
<file path=[Content_Types].xml><?xml version="1.0" encoding="utf-8"?>
<Types xmlns="http://schemas.openxmlformats.org/package/2006/content-types">
  <Default ContentType="application/xml" Extension="xml"/>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s>
  <definedNames/>
  <calcPr/>
</workbook>
</file>

<file path=xl/sharedStrings.xml><?xml version="1.0" encoding="utf-8"?>
<sst xmlns="http://schemas.openxmlformats.org/spreadsheetml/2006/main" count="10238" uniqueCount="6980">
  <si>
    <t>Categories</t>
  </si>
  <si>
    <t>User Prompt</t>
  </si>
  <si>
    <t>Assistant</t>
  </si>
  <si>
    <t>User Prompt (Filipino)</t>
  </si>
  <si>
    <t>Assistant(Filipino)</t>
  </si>
  <si>
    <t>Crime</t>
  </si>
  <si>
    <t>What are my legal options? when I was victimized by a fraud</t>
  </si>
  <si>
    <t>To get their money back, a fraud victim may sue the supposed con artist in civil court. Attorneys may file both civil and criminal lawsuits when someone is charged with fraud Speak with a local criminal defence lawyer to safeguard your legal rights. Consider getting in touch with a local consumer protection lawyer if you have been the victim of fraud. An expert lawyer can offer valuable legal counsel with respect to the following:
How the claimed fraud may impact your case depending on whether it is a state or federal crime
General details regarding the criminal justice system and laws pertaining to fraud
Whether making an arrest infringed upon any of your constitutional rights
Do not hesitate to get in touch with a fraud or criminal defence attorney if you are involved in a fraud case.</t>
  </si>
  <si>
    <t>Ano ang aking mga legal na opsyon? kapag nabiktima ako ng panloloko o paniiscam</t>
  </si>
  <si>
    <t>Makipag-usap sa isang lokal na abogado sa pagtatanggol sa kriminal upang pangalagaan ang iyong mga legal na karapatan. Pag-isipang makipag-ugnayan sa isang lokal na abogado sa proteksyon ng consumer kung naging biktima ka ng panloloko. Ang isang dalubhasang abogado ay maaaring mag-alok ng mahalagang legal na payo patungkol sa mga sumusunod:
Paano maaapektuhan ng inaangkin na pandaraya ang iyong kaso depende sa kung ito ay isang estado o pederal na krimen
Mga pangkalahatang detalye tungkol sa sistema ng hustisyang pangkriminal at mga batas na may kinalaman sa pandaraya
Kung ang pag-aresto ay lumabag sa alinman sa iyong mga karapatan sa konstitusyon
Huwag mag-atubiling makipag-ugnayan sa isang abogado ng panloloko o kriminal na pagtatanggol kung ikaw ay sangkot sa isang kaso ng pandaraya.</t>
  </si>
  <si>
    <t>What are my legal options? when I was victimized by rape</t>
  </si>
  <si>
    <t>The most crucial things are to get help right away and to keep records, even if you don't think you'll want to.
file a charge or
bring a damage lawsuit.</t>
  </si>
  <si>
    <t>Ano ang aking mga legal na opsyon? noong nabiktima ako ng panggagahasa</t>
  </si>
  <si>
    <t>Ang pinakamahalagang bagay ay ang humingi kaagad ng tulong at panatilihin ang mga talaan, kahit na sa tingin mo ay hindi mo gugustuhin.
magsampa ng singil o
magdala ng demanda sa pinsala.</t>
  </si>
  <si>
    <t>What are my legal options? when I was victimized by aggravated assault</t>
  </si>
  <si>
    <t>Common defenses in assault cases include self-defense (including "castle doctrine" and "stand your ground" laws), defense of others, consent, and challenging elements of the prosecution's case. Get professional legal help to navigate aggravated assault charges and potential defenses.</t>
  </si>
  <si>
    <t>Ano ang aking mga legal na opsyon? noong nabiktima ako ng matinding pananakit</t>
  </si>
  <si>
    <t>Kasama sa mga karaniwang depensa sa mga kaso ng pag-atake ang pagtatanggol sa sarili (kabilang ang mga batas sa "doctrine ng kastilyo" at "panindigan mo", pagtatanggol sa iba, pagpayag, at mga mapaghamong elemento ng kaso ng prosekusyon. Kumuha ng propesyonal na legal na tulong upang i-navigate ang mga pinalubhang singil sa pag-atake at mga potensyal na depensa.</t>
  </si>
  <si>
    <t>What are my legal options? when I was victimized by arson</t>
  </si>
  <si>
    <t>First, Keep a record of all events. Note down the date, time, and details of any incidents related to the arson attack, as well as any subsequent criminal damage or harassment.
Gather evidence. If possible, take photographs or videos of the damage. However, only do this if it's safe to do so. Some offenders may react violently to being photographed or filmed.</t>
  </si>
  <si>
    <t>Ano ang aking mga legal na opsyon? noong nabiktima ako ng panununog</t>
  </si>
  <si>
    <t>Una, Panatilihin ang isang talaan ng lahat ng mga kaganapan. Itala ang petsa, oras, at mga detalye ng anumang mga insidente na nauugnay sa pag-atake ng arson, pati na rin ang anumang kasunod na pinsalang kriminal o panliligalig.
Mangalap ng ebidensya. Kung maaari, kumuha ng litrato o video ng pinsala. Gayunpaman, gawin lamang ito kung ligtas na gawin ito. Ang ilang mga nagkasala ay maaaring mag-react nang marahas sa pagkuha ng litrato o pagkuha ng pelikula.</t>
  </si>
  <si>
    <t>What are my legal options? when I was victimized by burglary</t>
  </si>
  <si>
    <t>If possible, have a record of the crime happening, and clear evidence that will be the proof that the defendant is guilty of theft</t>
  </si>
  <si>
    <t>Ano ang aking mga legal na opsyon? noong nabiktima ako ng pagnanakaw</t>
  </si>
  <si>
    <t>Kung maaari, magkaroon ng rekord ng krimen na nangyayari, at malinaw na ebidensya na magiging patunay na ang nasasakdal ay nagkasala ng pagnanakaw.</t>
  </si>
  <si>
    <t>what are my legal options? when I was blamed/framed by authorities?</t>
  </si>
  <si>
    <t>If you believe you've been wrongly blamed or framed, it's crucial to consult with an attorney. They can access the situation, guide you on legal options, and help build a defense if necessary. You must retain high-quality defense representation at once. Do not act as your own attorney. Don't agree, or admit anything to the police.</t>
  </si>
  <si>
    <t>Ano ang aking mga legal na opsyon? kapag napagbingtangan lamang ako ng mga awtoridad</t>
  </si>
  <si>
    <t>kung sa tingin mo ay napagbintangan ka ng mga awtoridad ay dapat kumonsulta sa isang abogado, sila ang tutulong sayo sa sitwasyon na kinalalagyan mo, magagabayan ka ng mga legal na opsyon, at tutulong dependahan ang pagiging inosente mo. Huwag kumilos bilang iyong sariling abogado. Huwag sumang ayon, o umamin sa anuman pulisya. Makipag ugnayan muna sa iyong abogado kung maaari.</t>
  </si>
  <si>
    <t>what are my legal options? When one of my daughters gets raped?</t>
  </si>
  <si>
    <t>File a police report to initiate a criminal investigation, you should also consult with a lawyer about obtaining a restraining or protective order against the alleged perpetrator. Ensure your daughter receives medical care and evidence is collected for potential legal proceedings, and you must also consult with an attorney specializing in sexual assualt cases to explore options, such as pressing criminal charges or pursuing lawsuit.</t>
  </si>
  <si>
    <t>Ano ang aking legal na opsyon? kung nabiktima ang isa sa aking anak na babae ng panggagahasa?</t>
  </si>
  <si>
    <t>Maghain ng ulat sa pulisya upang simulan ang isang kriminal na imbestigation, dapat ka ring kumunsulta sa abogado tungkol sa pagkuha ng restraining o protective order laban sa akusado na kriminal. Siguradin din na ang iyong anak ay mabigyan ng medikal na pagaalaga at ang mga ebidensya na makukuha doon ay maaring magamit para sa potensyal na ebidensya. Kumusulta din sa abogado na dalubhasa sa mga kaso ng sexual assault upang tuklasin ang mga opsyon, gaya ng pagdiin ng mga kasong criminal o paghabol sa paglilitis.</t>
  </si>
  <si>
    <t>What are my legal options? When one of my family members gets murdered?</t>
  </si>
  <si>
    <t>Report the crime to the police to initiate a criiminal ivestigation. Consult with a lawyer to understand your rights, obtain legal advice, and potentially assist in navigating criminal proceedings. Do not act with revenge because that will turn the case upside down. Consulting with an attorney experienced in criminal law can provide personalized advice based on your specific circumstances. Explore available victim compensation programs that may provide financial assistance.</t>
  </si>
  <si>
    <t>Ano ang maaaring legal na opsyon? kapag ang isa sa pamilya ko pinatay?</t>
  </si>
  <si>
    <t>Makipag ugnayan sa pulisya upang masimulan ang pagsisiyasat sa krimen. Komunsulta sa isang abogado upang maunawaan ang iyong mga karapatan, makakuha ng legal na payo, at potensyal na makakatulong sa pag navigate sa mga paglilitis sa kriminal. Huwag kumilos nang may paghihiganti dahil iyan ay magpapabaliktad sa kaso. Pag konsulta sa isang makakapagbigay ng personalized na payo ang abogadong may karanasan sa batas na kriminal batay sa iyong mga partikular na sitwasyon. Suriin din mabuti ang mga maaaring programa sa kompensasyon sa biktima na makakapag bigay tulong pinansyal.</t>
  </si>
  <si>
    <t>If I killed someone with the act of self-defense? what legal options should I do?</t>
  </si>
  <si>
    <t>The best course of action in this situation is to seek immediate legal counsel. A qualified lawyer can review the details of your case and advise you on the best legal options available based on your local laws and specific circumstances of the incident. Additionaly, you should preserve any evidence that may support your claim of self-defense. This could include witness statements, video recordings, or any physical evidence related to the incident. Remember, you have the right to remain silent to legal presentation. Do not speak to the police or anyone else about the incident without consulting with a lawyer first.</t>
  </si>
  <si>
    <t>Ano ang maaring legal opsyon ko? kung nakapatay ako bilang pag depensa sa sarili ko?</t>
  </si>
  <si>
    <t>Ang pinakamahusay na hakbang ng aksyon sa sitwasyong ito ay ang humingi ng agarang legal na tagapayo o abogado. Maaaring suriin ng isang kwalipikadong abogado ang mga detalye ng kaso at payuhan ka sa mga pinakamahusay na legal na opsyon na magagamit batay sa iyong mga lokal na batas at partikular na pangyayari ng insidente. Bukod pa rito, dapat mong panatilihin ang anumang ebidensya na maaaring suportahan ang iyong paghahabol ng pagtatanggol sa sarili. Maaaring kabilang dito ang mga pahayag ng saksi, pag-record ng video, o anumang pisikal na ebidensya na may kaugnayan sa insidente. Tandaan, may karapatan kang manatiling tahimik sa legal na pagtatanghal. Huwag makipag-usap sa pulisya o sinuman tungkol sa insidente nang hindi muna kumunsulta sa isang abogado.</t>
  </si>
  <si>
    <t>Marriage and Child Support</t>
  </si>
  <si>
    <t>How to file and process an Annulment?</t>
  </si>
  <si>
    <t>1. Determine the Ground: Identify the valid legal reason for your annulment, such as psychological incapacity, underage marriage, lack of license, or bigamy.
2. Hire a Lawyer: Choose a reliable and affordable lawyer who specializes in family law. Avoid lawyers promising guaranteed success.
3. Gather Documents: Collect necessary documents like marriage certificate, birth certificates (if applicable), residence proofs, and IDs.
4. Consider Psychological Evaluation: Though not mandatory, it can strengthen your case. Consult your lawyer for a referral.
5. Line Up Witnesses: Prepare at least four witnesses, including yourself, the psychologist, and two supporting individuals.
6. Petition to the Court: Your lawyer will draft and file the petition after gathering all supporting evidence and information.
7. Collusion Investigation: The court will assess if collusion exists between you and your spouse regarding the annulment.
8. Pre-Trial Conference: This meeting aims to address issues like alimony, child custody, and property division.
9. Trial: Present evidence and witness testimonies before the judge.
10. Await Decision: The court will issue a decision, which may take time depending on their workload.
11. Finality and Certificate: If successful, wait for the decision to become final and obtain a certificate of finality.
12. Register Decision: Register the decision with relevant government offices.
13. Property Distribution: Divide and distribute shared assets after clearing any debts from the marriage.
14. Children's Inheritance: Seek legal advice for handling inheritance complexities involving children.</t>
  </si>
  <si>
    <t>Paano mag-file at magproseso ng Annulment?</t>
  </si>
  <si>
    <t>1. Tukuyin ang Ground: Tukuyin ang wastong legal na dahilan para sa iyong annulment, tulad ng psychological incapacity, menor de edad na kasal, kawalan ng lisensya, o bigamy.
2. Mag-hire ng Abogado: Pumili ng isang maaasahan at abot-kayang abogado na dalubhasa sa batas ng pamilya. Iwasan ang mga abogado na nangangako ng garantisadong tagumpay.
3. Magtipon ng mga Dokumento: Kolektahin ang mga kinakailangang dokumento tulad ng sertipiko ng kasal, mga sertipiko ng kapanganakan (kung naaangkop), mga patunay ng paninirahan, at mga ID.
4. Isaalang-alang ang Psychological Evaluation: Bagama't hindi sapilitan, maaari nitong palakasin ang iyong kaso. Kumonsulta sa iyong abogado para sa isang referral.
5. Line Up Witnesses: Maghanda ng hindi bababa sa apat na saksi, kabilang ang iyong sarili, ang psychologist, at dalawang sumusuportang indibidwal.
6. Petisyon sa Korte: Ang iyong abogado ay bubalangkas at maghahain ng petisyon pagkatapos makalikom ng lahat ng sumusuportang ebidensya at impormasyon.
7. Collusion Investigation: Susuriin ng korte kung mayroong collusion sa pagitan mo at ng iyong asawa tungkol sa annulment.
8. Pre-Trial Conference: Ang pulong na ito ay naglalayong tugunan ang mga isyu tulad ng alimony, child custody, at property division.
9. Paglilitis: Magharap ng ebidensya at mga patotoo ng saksi sa harap ng hukom.
10. Maghintay ng Desisyon: Ang hukuman ay maglalabas ng desisyon, na maaaring tumagal ng oras depende sa kanilang trabaho.
11. Finality at Certificate: Kung matagumpay, hintayin ang desisyon na maging pinal at makakuha ng certificate of finality.
12. Desisyon sa Pagrehistro: Irehistro ang desisyon sa mga kaugnay na tanggapan ng gobyerno.
13. Pamamahagi ng Ari-arian: Hatiin at ipamahagi ang mga nakabahaging ari-arian pagkatapos mabayaran ang anumang mga utang mula sa kasal.
14. Pamana ng mga Bata: Humingi ng legal na payo para sa paghawak ng mga kumplikadong pamana na kinasasangkutan ng mga bata.</t>
  </si>
  <si>
    <t>What is Pre-nuptial Agreements, does it exist in the Philippines?</t>
  </si>
  <si>
    <t>Yes, it does exist here in our country,A pre-nuptial agreement in the Philippines lets future spouses customize property rights within marriage legal limits, aiming to strengthen their union rather than ease separation.</t>
  </si>
  <si>
    <t>Ano ang Pre-nuptial Agreements, meron ba sa Pilipinas</t>
  </si>
  <si>
    <t>Oo, ito ay umiiral dito sa ating bansa, Ang isang pre-nuptial agreement sa Pilipinas ay nagpapahintulot sa mga mag-asawa sa hinaharap na ipasadya ang mga karapatan sa pag-aari sa loob ng mga legal na limitasyon ng kasal,
naglalayong palakasin ang kanilang pagsasama sa halip na mapagaan ang paghihiwalay.</t>
  </si>
  <si>
    <t>What are the process of getting Pre-nuptial Agreements?</t>
  </si>
  <si>
    <t>Drafting and registering your prenup in the Philippines requires discussing its terms with your partner, consulting a lawyer, signing with witnesses, getting it notarized, and registering it with both Civil Registry and Registry of Deeds, all for around PHP2,000 or more.</t>
  </si>
  <si>
    <t>Ano ang proseso ng pagkuha ng Pre-nuptial Agreements?</t>
  </si>
  <si>
    <t>Ang pag-draft at pagpaparehistro ng iyong prenup sa Pilipinas ay nangangailangan ng pagtalakay sa mga tuntunin nito sa iyong partner, pagkonsulta sa isang abogado, pagpirma sa mga testigo,
pagpapanotaryo nito, at pagpaparehistro nito sa parehong Civil Registry at Registry of Deeds, lahat ay humigit-kumulang PHP2,000 o higit pa.</t>
  </si>
  <si>
    <t>Can I Get a Prenuptial Agreement Without My Spouse Knowing?</t>
  </si>
  <si>
    <t>Prenuptial agreements in the Philippines must be truly mutual: no forced consent, targeting specific assets, or one-sided protection. Both partners' inputs determine property inheritance and debt allocation, so ensure it benefits both of you equally.</t>
  </si>
  <si>
    <t>Maaari ba akong Kumuha ng Prenuptial Agreement nang Hindi Alam ng Aking Asawa?</t>
  </si>
  <si>
    <t>Ang mga prenuptial na kasunduan sa Pilipinas ay dapat na tunay na mutual: walang sapilitang pagsang-ayon, pag-target sa mga partikular na asset, o one-sided na proteksyon.
Tinutukoy ng mga input ng magkapareha ang pagmamana ng ari-arian at paglalaan ng utang, kaya tiyaking pareho itong nakikinabang sa inyong dalawa.</t>
  </si>
  <si>
    <t xml:space="preserve">What are my legal options? I am victimized by Physical Bullying? </t>
  </si>
  <si>
    <t>Physical Bullying is Illegal. The specific laws will vary depending on your location, but bullying may be considered assault, battery, or harassment. If you have been physically injured, you may also be able to file a civil lawsuit against the bully. Here are some laws about it: Republic Act No. 10627 - Anti-Bullying Act of 2013, DepEd Order No. 40, s. 2012 - Implementing Rules and Regulations of the Anti-Bullying Act, Juvenile Justice and Welfare Act (RA 9344), Remember, if you are experiencing physical bullying, it's important to report it immediately and seek help from trusted adults. These laws and resources are in place to protect you and ensure your safety and well-being.</t>
  </si>
  <si>
    <t>ano ang dapat ko na gawin? nakakaranas ako ng pisikal na uri ng pambu-bully, may mga legal na opsyon o mga batas para sa pambu-bully?</t>
  </si>
  <si>
    <t>Ang Pisikal na Pang-aapi ay Ilegal. Ang mga partikular na batas ay mag-iiba depende sa iyong lokasyon, ngunit ang pananakot ay maaaring ituring na pag-atake, baterya, o panliligalig. Kung ikaw ay pisikal na nasaktan, maaari ka ring magsampa ng kasong sibil laban sa bully. Narito ang ilang batas tungkol dito: Republic Act No. 10627 - Anti-Bullying Act of 2013, DepEd Order No. 40, s. 2012 - Implementing Rules and Regulations of the Anti-Bullying Act, Juvenile Justice and Welfare Act (RA 9344), Tandaan , kung nakakaranas ka ng pisikal na pambu-bully, mahalagang iulat ito kaagad at humingi ng tulong sa mga pinagkakatiwalaang nasa hustong gulang. Ang mga batas at mapagkukunang ito ay nakalagay upang protektahan ka at matiyak ang iyong kaligtasan at kagalingan.</t>
  </si>
  <si>
    <t>What are the consequences for driving under the influence?</t>
  </si>
  <si>
    <t>Driving under the influence (DUI) is a serious offense with potentially heavy consequences, both legal and personal. Here's a breakdown of the penalties involved:
Legal Penalties:
Fines: Under the Anti-Drunk and Drugged Driving Act of 2013 (Republic Act No. 10586), the initial fine for DUI ranges from ₱50,000 to ₱100,000. Subsequent offenses will incur higher fines.
Imprisonment: The initial jail term for DUI is six months. This can increase depending on the severity of the offense and whether anyone was injured or killed.
Driver's License Suspension/Revocation: A first-time DUI offense will result in a 12-month suspension for non-professional licenses and lifetime revocation for professional licenses. Subsequent offenses will lead to permanent revocation for all types of licenses.
Additional Penalties: Depending on the circumstances, additional penalties like community service or mandatory drug rehabilitation programs may be imposed.</t>
  </si>
  <si>
    <t>ano ang maaaring kahihinatnan sa pag mamaneho habang nasa impluwensya?</t>
  </si>
  <si>
    <t>Ang pagmamaneho sa ilalim ng impluwensya (DUI) ay isang seryosong paglabag na may potensyal na mabibigat na kahihinatnan, parehong legal at personal. Narito ang isang breakdown ng mga parusang sangkot:
Mga Legal na Parusa:
Mga multa: Sa ilalim ng Anti-Drunk and Drugged Driving Act of 2013 (Republic Act No. 10586), ang unang multa para sa DUI ay mula ₱50,000 hanggang ₱100,000. Ang mga susunod na paglabag ay magkakaroon ng mas mataas na multa.
Pagkakulong: Ang unang pagkakakulong para sa DUI ay anim na buwan. Ito ay maaaring tumaas depende sa kalubhaan ng pagkakasala at kung sinuman ang nasugatan o namatay.
Pagsuspinde/Pagbawi ng Lisensya sa Pagmamaneho: Ang unang beses na pagkakasala sa DUI ay magreresulta sa 12 buwang pagsususpinde para sa mga hindi propesyonal na lisensya at panghabambuhay na pagbawi para sa mga propesyonal na lisensya. Ang mga kasunod na paglabag ay hahantong sa permanenteng pagbawi para sa lahat ng uri ng lisensya.
Mga Karagdagang Parusa: Depende sa mga pangyayari, maaaring ipataw ang mga karagdagang parusa tulad ng serbisyo sa komunidad o mandatoryong programa sa rehabilitasyon ng droga.</t>
  </si>
  <si>
    <t>Is a Prenuptial Agreement in the Philippines Permanent?</t>
  </si>
  <si>
    <t>Philippine prenups are permanent but changeable. While updates aren't mandatory, reviewing and revising your prenup every few years is
recommended to keep it aligned with your evolving assets and needs. Don't just file it away and forget!</t>
  </si>
  <si>
    <t>Permanente ba ang Prenuptial Agreement sa Pilipinas?</t>
  </si>
  <si>
    <t>Ang mga prenups sa Pilipinas ay permanente ngunit nababago. Bagama't hindi sapilitan ang mga update, ang pagsusuri at pagbabago ng iyong prenup bawat ilang taon ay
 inirerekomenda na panatilihin itong nakaayon sa iyong mga umuunlad na asset at pangangailangan. Huwag lamang i-file ito at kalimutan!</t>
  </si>
  <si>
    <t>Who Typically Gets Prenuptial Agreements?</t>
  </si>
  <si>
    <t>Philippine couples commonly choose prenups for several reasons:
Debt protection: Avoid inheriting each other's significant pre-marital debts.
Business separation: Keep individual pre-marital businesses separate from conjugal property.
Inheritance for children: Secure inheritance for children from previous relationships.
Wealth disparity: Protect individual wealth and prevent marrying for money.
Even if these specific situations don't apply, open communication about finances and prenups is always beneficial before marriage.</t>
  </si>
  <si>
    <t>Sino ang Karaniwang Nakakakuha ng Mga Kasunduan sa Prenuptial?</t>
  </si>
  <si>
    <t>Karaniwang pinipili ng mga mag-asawa sa Pilipinas ang mga prenups para sa ilang kadahilanan:
Proteksyon sa utang: Iwasang magmana ng mga makabuluhang utang sa isa't isa bago ang kasal.
Paghihiwalay ng negosyo: Panatilihing hiwalay ang mga indibidwal na negosyo bago ang kasal sa pag-aari ng conjugal.
Mana para sa mga bata: Secure na mana para sa mga bata mula sa mga nakaraang relasyon.
Wealth disparity: Protektahan ang indibidwal na kayamanan at pigilan ang pag-aasawa para sa pera.
Kahit na ang mga partikular na sitwasyong ito ay hindi naaangkop, ang bukas na komunikasyon tungkol sa pananalapi at prenups ay palaging kapaki-pakinabang bago ang kasal.</t>
  </si>
  <si>
    <t>What Happens if I Don’t Have a Prenuptial Agreement</t>
  </si>
  <si>
    <t>In the Philippines without a prenup, all premarital assets become shared (conjugal) upon marriage. When separation or annulment occurs, everything gets divided regardless of original ownership, potentially leading to conflict and distress.</t>
  </si>
  <si>
    <t>Ano ang Mangyayari Kung Wala Akong Prenuptial Agreement</t>
  </si>
  <si>
    <t>Sa Pilipinas nang walang prenup, lahat ng premarital asset ay naibabahagi (conjugal) sa kasal. Kapag nangyari ang paghihiwalay o pagpapawalang-bisa, nahahati ang lahat anuman ang orihinal na pagmamay-ari, na posibleng humantong sa salungatan at pagkabalisa.</t>
  </si>
  <si>
    <t>What happens to my pre-marital property after I get married without a prenuptial agreement?</t>
  </si>
  <si>
    <t>Anything that is Conjugal Property is split equally between the spouses in the absence of a Prenuptial Agreement.</t>
  </si>
  <si>
    <t>Ano ang mangyayari sa aking pre-marital property pagkatapos kong ikasal nang walang prenuptial agreement?</t>
  </si>
  <si>
    <t>Anumang bagay na Conjugal Property ay nahahati nang pantay sa pagitan ng mga mag-asawa sa kawalan ng Prenuptial Agreement.</t>
  </si>
  <si>
    <t>I am accused of stealing something. What should I do? What legal options can I do?</t>
  </si>
  <si>
    <t>Immediately, do not speak to the police or anyone else about the alleged theft without consulting with a lawyer first. Anything you say can be used against you, so it's crucial to exercise your right to remain silent.
Contact a lawyer specializing in criminal defense. They can advise you on your legal rights and options, guide you through the legal process, and represent you in court if needed. Gather any evidence that might support your innocence. This could include witness statements, receipts, or any other documentation that proves you had no intention of stealing or were not in the vicinity when the theft occurred.
Stay calm and cooperate with your lawyer. Following your lawyer's advice is crucial for navigating the legal process effectively. Cooperate with the investigation: While exercising your right to remain silent is important, cooperating with the investigation in a way advised by your lawyer can be beneficial. This can involve providing information that clarifies the situation and demonstrates your innocence.
Challenge the evidence: Your lawyer can help analyze the evidence against you and identify any potential weaknesses or inconsistencies. They may also be able to challenge the admissibility of certain evidence.
Negotiate a plea bargain: If the evidence against you is strong, your lawyer may discuss the possibility of negotiating a plea bargain with the prosecution. This could involve pleading guilty to a lesser charge in exchange for a reduced sentence. Go to trial: If your lawyer believes you have a strong defense, they may recommend going to trial. This will involve presenting your defense and challenging the prosecution's case. Remember, you are innocent until proven guilty. The burden of proof lies with the prosecution. Do not attempt to contact the accuser or discuss the case with anyone except your lawyer. Do not try to hide or destroy evidence. This will only worsen your situation.</t>
  </si>
  <si>
    <t>napagbintangan ako na nagnakaw ng bagay, Ano ang dapat ko na gawin? may mga legal na opsyon ba ako na maaari ko gawin?</t>
  </si>
  <si>
    <t>Kaagad, huwag makipag-usap sa pulisya o sinuman tungkol sa di-umano'y pagnanakaw nang hindi muna kumunsulta sa isang abogado. Anumang sasabihin mo ay maaaring gamitin laban sa iyo, kaya napakahalaga na gamitin ang iyong karapatang manatiling tahimik.
Makipag-ugnayan sa isang abogadong dalubhasa sa depensang kriminal. Maaari ka nilang payuhan tungkol sa iyong mga legal na karapatan at opsyon, gabayan ka sa legal na proseso, at katawanin ka sa korte kung kinakailangan. Magtipon ng anumang ebidensya na maaaring suportahan ang iyong kawalang-kasalanan. Maaaring kabilang dito ang mga pahayag ng saksi, mga resibo , o anumang iba pang dokumentasyon na nagpapatunay na wala kang intensyon na magnakaw o wala ka sa paligid noong nangyari ang pagnanakaw.
Manatiling kalmado at makipagtulungan sa iyong abogado. Ang pagsunod sa payo ng iyong abogado ay mahalaga para sa epektibong pag-navigate sa legal na proseso. Makipagtulungan sa pagsisiyasat: Bagama't ang paggamit ng iyong karapatang manatiling tahimik ay mahalaga, ang pakikipagtulungan sa pagsisiyasat sa paraang ipinapayo ng iyong abogado ay maaaring maging kapaki-pakinabang Maaaring kabilang dito ang pagbibigay ng impormasyon na nagpapaliwanag sa sitwasyon at nagpapakita ng iyong kawalang-kasalanan.
Hamunin ang ebidensya: Maaaring tumulong ang iyong abogado sa pag-analisa ng ebidensya laban sa iyo at tukuyin ang anumang mga potensyal na kahinaan o hindi pagkakapare-pareho. Maaari rin nilang hamunin ang pagiging matanggap ng ilang partikular na ebidensya.
Makipag-ayos sa isang plea bargain: Kung malakas ang ebidensya laban sa iyo, maaaring talakayin ng iyong abogado ang posibilidad na makipag-ayos sa isang plea bargain sa prosekusyon. Ito ay maaaring umamin ng guilty sa mas mababang kaso kapalit ng pinababang sentensiya. Pumunta sa paglilitis: Kung ang iyong abogado naniniwalang mayroon kang matibay na depensa, maaari nilang irekomenda ang pagpunta sa paglilitis. Kabilang dito ang paglalahad ng iyong depensa at paghamon sa kaso ng prosekusyon. Tandaan, inosente ka hanggang sa napatunayang nagkasala. Ang bigat ng patunay ay nasa prosekusyon. Huwag subukang makipag-ugnayan sa nag-aakusa o talakayin ang kaso sa sinuman maliban sa iyong abogado. Huwag subukang itago o sirain ang ebidensya. Lalala lamang nito ang iyong sitwasyon.</t>
  </si>
  <si>
    <t>How is conjugal property divided during separation or annulment?</t>
  </si>
  <si>
    <t>If Annulment is used to end the marriage, the following will occur: Net Conjugal Property is divided between the Spouses. The Spouse, with whom the children live, inherits the family home. The Spouses' Exclusive Properties are returned to them.</t>
  </si>
  <si>
    <t>Paano nahahati ang conjugal property sa panahon ng paghihiwalay o annulment?</t>
  </si>
  <si>
    <t>Kung ang Annulment ay gagamitin upang wakasan ang kasal, ang mga sumusunod ay magaganap: Ang Net Conjugal Property ay nahahati sa pagitan ng mga Mag-asawa. Ang Asawa, kung kanino nakatira ang mga anak, ay nagmamana ng tahanan ng pamilya. Ang Exclusive Properties ng Mag-asawa ay ibinalik sa kanila.</t>
  </si>
  <si>
    <t>What type of evidence is needed to prove that property is separate and not conjugal?</t>
  </si>
  <si>
    <t>In the Philippines, all property acquired during the marriage is presumed conjugal unless proven otherwise To prove that a property is separate and not conjugal, the following evidence may be presented in court 2:
Deed of Sale: A document that proves the transfer of ownership of a property to one spouse.
Title Certificate: A legal document that proves ownership of a property.
Tax Declaration: A document that shows the assessed value of a property for tax purposes.
Receipts: Proof of payment for the acquisition of a property.
Witness Testimonies: Statements from witnesses who can attest to the fact that the property is separate.
It is important to note that the burden of proof lies with the spouse who claims that the property is separate If the evidence presented is insufficient, the property will be considered conjugal</t>
  </si>
  <si>
    <t>Anong uri ng ebidensya ang kailangan upang patunayan na ang ari-arian ay hiwalay at hindi conjugal?</t>
  </si>
  <si>
    <t>Sa Pilipinas, ang lahat ng ari-arian na nakuha sa panahon ng kasal ay ipinapalagay na conjugal maliban kung napatunayan kung hindi man.
Deed of Sale: Isang dokumento na nagpapatunay sa paglipat ng pagmamay-ari ng isang ari-arian sa isang asawa.
Sertipiko ng Pamagat: Isang legal na dokumento na nagpapatunay ng pagmamay-ari ng isang ari-arian.
Tax Declaration: Isang dokumentong nagpapakita ng tinasang halaga ng isang ari-arian para sa mga layunin ng buwis.
Mga Resibo: Katibayan ng pagbabayad para sa pagkuha ng isang ari-arian.
Mga Testimonya ng Saksi: Mga pahayag mula sa mga saksi na makapagpapatunay sa katotohanang hiwalay ang ari-arian.
Mahalagang tandaan na ang burden of proof ay nakasalalay sa asawa na nagsasabing hiwalay ang ari-arian.</t>
  </si>
  <si>
    <t>I am a victim of domestic violence. what are my legal options?</t>
  </si>
  <si>
    <t>File a police report: Even if you are hesitant, reporting the abuse is crucial. The police will document the incident and investigate the perpetrator. You can file a report at the nearest police station.
Seek medical attention: Even minor injuries should be documented. Go to a hospital or clinic and report the cause of your injuries. The medical records can be used as evidence. Contact a lawyer: A lawyer specializing in family law or domestic violence can guide you through the legal process, represent you in court, and help you obtain protection orders and other legal remedies.</t>
  </si>
  <si>
    <t>Biktima ako ng domestic violence. Ano ang aking maaaring legal na opsyon?</t>
  </si>
  <si>
    <t>Maghain ng ulat sa pulisya: Kahit na ikaw ay nag-aalangan, ang pag-uulat ng pang-aabuso ay napakahalaga.
Humingi ng medikal na atensyon: Kahit na ang mga menor de edad na pinsala ay dapat idokumento. Pumunta sa isang ospital o klinika at iulat ang sanhi ng iyong mga pinsala. Ang mga medikal na rekord ay maaaring gamitin bilang ebidensya. Makipag-ugnayan sa isang abogado: Ang isang abogado na dalubhasa sa batas ng pamilya o karahasan sa tahanan ay maaaring gabayan ka sa pamamagitan ng legal na proseso, kinakatawan ka sa korte, at tulungan kang makakuha ng mga utos ng proteksyon at iba pang mga legal na remedyo.</t>
  </si>
  <si>
    <t>Can inheritance received during marriage be considered separate property?</t>
  </si>
  <si>
    <t>Absolute Community of Property is the default marital property regime in the Philippines, which means that assets acquired during the marriage are generally considered jointly owned. Inherited properties, on the other hand, are typically excluded from this regime.</t>
  </si>
  <si>
    <t>Maaari bang ituring na hiwalay na ari-arian ang natanggap na mana sa panahon ng kasal?</t>
  </si>
  <si>
    <t>Ang Absolute Community of Property ay ang default na rehimeng ari-arian ng mag-asawa sa Pilipinas, na nangangahulugang ang mga ari-arian na nakuha sa panahon ng kasal ay karaniwang itinuturing na magkasamang pagmamay-ari. Ang mga minanang pag-aari, sa kabilang banda, ay karaniwang hindi kasama sa rehimeng ito.</t>
  </si>
  <si>
    <t>Who is responsible for debts incurred during marriage?</t>
  </si>
  <si>
    <t>According to Par. 2 of the Art. 121 of the Family Code states that the conjugal partnership shall be liable for: (2) All debts and obligations contracted during the marriage by the designated administrator-spouse for the benefit of the conjugal partnership of gains, or by both spouses or by one of them with the consent of the other.</t>
  </si>
  <si>
    <t>Sino ang may pananagutan sa mga utang na natamo sa panahon ng kasal?</t>
  </si>
  <si>
    <t>Ayon kay Par. 2 ng Art. 121 ng Family Code ay nagsasaad na ang conjugal partnership ay mananagot para sa: (2) Lahat ng mga utang at obligasyon na kinontrata sa panahon ng kasal ng itinalagang administrator-asawa para sa benepisyo ng conjugal partnership of gains, o ng parehong mag-asawa o ng isa sa sila na may pagsang-ayon ng iba.</t>
  </si>
  <si>
    <t>Are there any legal protections for children in regards to property ownership within a marriage?</t>
  </si>
  <si>
    <t>Children's inheritance rights within marriage are protected under Philippine law:
Pre-marital assets with children from a previous marriage are kept separate from marital property.
In the Philippines, child marriage is strictly prohibited.
This provides children with financial security even if their parents marry or remarry.</t>
  </si>
  <si>
    <t>Mayroon bang anumang legal na proteksyon para sa mga bata tungkol sa pagmamay-ari ng ari-arian sa loob ng kasal?</t>
  </si>
  <si>
    <t>Ang mga karapatan sa mana ng mga bata sa loob ng kasal ay protektado sa ilalim ng batas ng Pilipinas:
Ang mga pre-marital asset na may mga anak mula sa nakaraang kasal ay pinananatiling hiwalay sa ari-arian ng mag-asawa.
Sa Pilipinas, mahigpit na ipinagbabawal ang pag-aasawa ng bata.
Nagbibigay ito sa mga bata ng pinansiyal na seguridad kahit na ang kanilang mga magulang ay nagpakasal o muling nagpakasal.</t>
  </si>
  <si>
    <t>My spouse and I purchased a house before marriage, but it was financed with a loan taken out in my name only. Who owns the house now?</t>
  </si>
  <si>
    <t>Properties acquired during a marriage are generally considered conjugal property under Philippine law. Land acquired prior to marriage or with exclusive funds, on the other hand, is considered 
the sole property of one spouse. Meaning, you are the owner of the house as you used your name for the loan</t>
  </si>
  <si>
    <t>Bumili kami ng aking asawa ng isang bahay bago kasal, ngunit ito ay tinustusan ng isang pautang na kinuha sa aking pangalan lamang. Sino ngayon ang may-ari ng bahay?</t>
  </si>
  <si>
    <t>Ang mga ari-arian na nakuha sa panahon ng kasal ay karaniwang itinuturing na conjugal property sa ilalim ng batas ng Pilipinas. Ang lupang nakuha bago ang kasal o may eksklusibong pondo, sa kabilang banda, ay isinasaalang-alang
ang tanging pag-aari ng isang asawa. Ibig sabihin, ikaw ang may-ari ng bahay dahil ginamit mo ang iyong pangalan para sa utang</t>
  </si>
  <si>
    <t>My husband inherited a business from his family before we got married. Is that considered conjugal property?</t>
  </si>
  <si>
    <t>Property acquired prior to marriage is considered separate property. As a result, if your husband inherited the business from his family prior to your marriage, it is his separate property rather than conjugal property 21.
It is important to note that the spouse who claims that the property is separate bears the burden of proof. If the evidence is insufficient, the property will be classified as conjugal 2.</t>
  </si>
  <si>
    <t>Nagmana ng negosyo ang asawa ko sa pamilya niya bago kami ikasal. Conjugal property ba yan?</t>
  </si>
  <si>
    <t>Ang ari-arian na nakuha bago ang kasal ay itinuturing na hiwalay na ari-arian. Bilang resulta, kung ang iyong asawa ay nagmana ng negosyo mula sa kanyang pamilya bago ang iyong kasal, ito ay kanyang hiwalay na ari-arian kaysa sa conjugal property 21.
Mahalagang tandaan na ang asawa na nag-aangkin na ang ari-arian ay hiwalay ay nagdadala ng pasanin ng patunay. Kung ang ebidensya ay hindi sapat, ang ari-arian ay mauuri bilang conjugal 2.</t>
  </si>
  <si>
    <t>If I was caught with drugs. What are the charges?</t>
  </si>
  <si>
    <t>Each type of drug carries different penalties under the Comprehensive Dangerous Drugs Act of 2002 (RA 9165). For example, marijuana possession has lighter penalties compared to harder drugs like cocaine or methamphetamine. The amount of drugs found on you will influence the severity of the charges. Possession of larger quantities can lead to more serious charges and harsher penalties. If this is your first offense, the charges might be different than if you have a history of drug-related offenses. I can offer some general information about the potential charges under RA 9165:
Section 4: Sale, Importation and Distribution of Dangerous Drugs: This section carries the harshest penalties, ranging from life imprisonment to death for large-scale drug trafficking.
Section 11: Possession of Dangerous Drugs: This section covers cases where someone is found in possession of illegal drugs. Penalties vary depending on the type and quantity of drugs found, ranging from six months to four years imprisonment for small amounts of marijuana to life imprisonment for large quantities of hard drugs.
Section 12: Possession of Equipment, Instrument, Apparatus and Other Paraphernalia for Dangerous Drugs: This section applies to anyone found with tools or materials used for cultivating, manufacturing, or injecting drugs. Penalties range from six months to four years imprisonment. Do not speak to the police without a lawyer present. You have the right to remain silent and consult with an attorney before answering any questions.
Contact a lawyer specializing in criminal defense as soon as possible. They can advise you on your specific situation, guide you through the legal process, and represent you in court if necessary.
Cooperate with your lawyer and follow their advice. Navigating a drug-related charge is complex, and having a good lawyer on your side is crucial for protecting your rights and achieving the best possible outcome.</t>
  </si>
  <si>
    <t>kung sakali na nahuli ako na may droga. ano ang mga maaaring isampa na kaso saakin?</t>
  </si>
  <si>
    <t>Ang bawat uri ng droga ay may iba't ibang parusa sa ilalim ng Comprehensive Dangerous Drugs Act of 2002 (RA 9165). Halimbawa, ang pagmamay-ari ng marijuana ay may mas magaan na parusa kumpara sa mas mahirap na droga tulad ng cocaine o methamphetamine. Ang halaga ng makikita sa iyo ay makakaimpluwensya sa kalubhaan ng mga singil . Ang pagkakaroon ng mas malalaking dami ay maaaring humantong sa mas malalang mga singil at mas mabibigat na parusa. Kung ito ang iyong unang pagkakasala, ang mga singil ay maaaring iba kaysa kung mayroon kang kasaysayan ng mga paglabag na nauugnay sa droga. Maaari akong mag-alok ng ilang pangkalahatang impormasyon tungkol sa mga potensyal na singil sa ilalim RA 9165:
Seksyon 4: Pagbebenta, Pag-aangkat at Pamamahagi ng mga Mapanganib na Gamot: Ang seksyong ito ay nagdadala ng pinakamabigat na parusa, mula sa habambuhay na pagkakakulong hanggang kamatayan para sa malakihang trafficking ng droga.
Seksyon 11: Pagmamay-ari ng Mapanganib na Droga: Sinasaklaw ng seksyong ito ang mga kaso kung saan ang isang tao ay natagpuang may hawak ng ilegal na droga. Ang mga parusa ay nag-iiba depende sa uri at dami ng mga droga na natagpuan, mula anim na buwan hanggang apat na taong pagkakakulong para sa maliit na halaga ng marijuana hanggang sa habambuhay na pagkakakulong para sa malalaking dami ng matapang na gamot.
Seksyon 12: Pagmamay-ari ng Kagamitan, Instrumento, Kagamitan at Iba pang Paraphernalia para sa Mapanganib na Gamot: Ang seksyong ito ay nalalapat sa sinumang natagpuang may mga kasangkapan o materyales na ginagamit para sa paglilinang, paggawa, o pag-iniksyon ng mga droga. Ang mga parusa ay mula anim na buwan hanggang apat na taong pagkakakulong. Huwag magsalita sa pulis na walang abogado. May karapatan kang manatiling tahimik at kumunsulta sa isang abogado bago sagutin ang anumang mga katanungan.
Makipag-ugnayan sa isang abogado na dalubhasa sa criminal defense sa lalong madaling panahon. Maaari ka nilang payuhan sa iyong partikular na sitwasyon, gabayan ka sa legal na proseso, at katawanin ka sa korte kung kinakailangan.
Makipagtulungan sa iyong abogado at sundin ang kanilang payo. Ang pag-navigate sa isang singil na may kaugnayan sa droga ay kumplikado, at ang pagkakaroon ng isang mahusay na abogado sa iyong panig ay napakahalaga para sa pagprotekta sa iyong mga karapatan at pagkamit ng pinakamahusay na posibleng resulta.</t>
  </si>
  <si>
    <t>My wife received a large sum of money in a legal settlement after we got married. Is that money mine too?</t>
  </si>
  <si>
    <t>Property acquired during a marriage is presumed to be conjugal. Property acquired prior to the marriage or through inheritance or donation, on the other hand, is considered separate property. As a result, if your wife received the money as part of a legal settlement after your marriage, it is considered her separate property rather than conjugal property .
It is important to note that the spouse who claims that the property is separate bears the burden of proof. If the evidence is insufficient, the property will be classified as conjugal</t>
  </si>
  <si>
    <t>Nakatanggap ang aking asawa ng malaking halaga ng pera sa isang legal na kasunduan pagkatapos naming ikasal. Akin din ba ang pera?</t>
  </si>
  <si>
    <t>Ang ari-arian na nakuha sa panahon ng kasal ay ipinapalagay na conjugal. Ang ari-arian na nakuha bago ang kasal o sa pamamagitan ng mana o donasyon, sa kabilang banda, ay itinuturing na hiwalay na ari-arian. Bilang resulta, kung natanggap ng iyong asawa ang pera bilang bahagi ng isang legal na pag-areglo pagkatapos ng iyong kasal, ito ay itinuturing na kanyang hiwalay na ari-arian sa halip na conjugal property .
Mahalagang tandaan na ang asawa na nag-aangkin na ang ari-arian ay hiwalay ay nagdadala ng pasanin ng patunay. Kung ang ebidensya ay hindi sapat, ang ari-arian ay mauuri bilang conjugal</t>
  </si>
  <si>
    <t>We separated, but haven't formally filed for divorce or annulment. Can I sell my pre-marital car without my spouse's consent?</t>
  </si>
  <si>
    <t>The sale of conjugal property without the consent of the other spouse is merely voidable in the Philippines. However, if the car is your pre-marital property, it is considered separate property, so you can sell it without your spouse's consent. It is important to note that the spouse who claims that the property is separate bears the burden of proof. If the evidence presented is insufficient, the property will be considered conjugal.</t>
  </si>
  <si>
    <t>Naghiwalay kami, pero hindi pa pormal na nagsampa ng divorce o annulment. Maaari ko bang ibenta ang aking pre-marital na sasakyan nang walang pahintulot ng aking asawa?</t>
  </si>
  <si>
    <t>The sale of conjugal property without the consent of the other spouse is merely voidable in the Philippines. However, if the car is your pre-marital property, it is considered separate property, so you can sell it without your spouse's consent.
Mahalagang tandaan na ang asawa na nag-aangkin na ang ari-arian ay hiwalay ay nagdadala ng pasanin ng patunay. Kung ang ebidensya na ipinakita ay hindi sapat, ang ari-arian ay ituring na conjugal.</t>
  </si>
  <si>
    <t>My spouse accumulated significant debt during our marriage, but I never used any of that money. Am I responsible for paying off those debts now that we're separated?</t>
  </si>
  <si>
    <t>Debts incurred during marriage under the ACP are generally the responsibility of both spouses, unless one spouse can prove that they did not consent to the debt or that it did not benefit the family. If there was consent or the debt benefited the family, then the community property is liable for the debt. This means that even if you did not personally take out the debt, you may still be responsible for repaying it.</t>
  </si>
  <si>
    <t>Nakaipon ng malaking utang ang aking asawa sa panahon ng aming kasal, ngunit hindi ko kailanman ginamit ang alinman sa perang iyon. Responsibilidad ko bang bayaran ang mga utang na iyon ngayong hiwalay na tayo?</t>
  </si>
  <si>
    <t>Ang mga utang na natamo sa panahon ng kasal sa ilalim ng ACP ay karaniwang pananagutan ng parehong mag-asawa, maliban kung mapatunayan ng isang asawa na hindi sila pumayag sa utang o hindi ito nakinabang sa pamilya. Kung may pahintulot o ang utang ay nakinabang sa pamilya, ang ari-arian ng komunidad ang mananagot sa utang. Nangangahulugan ito na kahit na hindi mo personal na kinuha ang utang, maaari mo pa ring pananagutan ang pagbabayad nito.</t>
  </si>
  <si>
    <t>We have children from previous relationships. Can we draft a prenuptial agreement to ensure their inheritance is protected?</t>
  </si>
  <si>
    <t>In the Philippines, getting a prenuptial agreement can help couples ensure that their children from previous relationships inherit their properties and assets if they die. This will avoid disputes and potential problems with inheritance and succession.</t>
  </si>
  <si>
    <t>Mayroon kaming mga anak mula sa mga nakaraang relasyon. Maaari ba tayong gumawa ng prenuptial agreement para matiyak na protektado ang kanilang mana?</t>
  </si>
  <si>
    <t>Sa Pilipinas, ang pagkuha ng prenuptial agreement ay makakatulong sa mga mag-asawa na matiyak na ang kanilang mga anak mula sa mga nakaraang relasyon ay magmamana ng kanilang mga ari-arian at ari-arian kung sila ay mamatay. Maiiwasan nito ang mga hindi pagkakaunawaan at mga potensyal na problema sa mana at paghalili.</t>
  </si>
  <si>
    <t>How is income from separate and conjugal property taxed?</t>
  </si>
  <si>
    <t>Married couples in the Philippines have a special category of property called "conjugal property," which includes most income earned during the marriage, regardless of who earned it. However, inherited property and personal belongings fall outside this category. While taxes are filed individually, in some cases couples must file a joint return. Essentially, the income from most conjugal property impacts both spouses' tax situations.</t>
  </si>
  <si>
    <t>Paano binubuwisan ang kita mula sa hiwalay at conjugal na ari-arian?</t>
  </si>
  <si>
    <t>Ang mga mag-asawa sa Pilipinas ay may espesyal na kategorya ng ari-arian na tinatawag na "conjugal property," na kinabibilangan ng karamihan sa kinikita sa panahon ng kasal, hindi alintana kung sino ang nakakuha nito. Gayunpaman, ang minanang ari-arian at personal na ari-arian ay nasa labas ng kategoryang ito. Habang ang mga buwis ay isa-isang inihain, sa ilang mga kaso, ang mga mag-asawa ay dapat maghain ng magkasanib na pagbabalik. Sa esensya, ang kita mula sa karamihan ng conjugal property ay nakakaapekto sa mga sitwasyon ng buwis ng mag-asawa.</t>
  </si>
  <si>
    <t>Are there any tax benefits or disadvantages for married couples in the Philippines?</t>
  </si>
  <si>
    <t>Benefits: a. Extra Exemptions: If you are married, you are each entitled to an additional personal exemption for your spouse and any eligible dependents. b. Premiums for Health and Medical Insurance: You may be able to deduct expenses if you or your spouse pay for health or medical insurance. c. Interest on Home Mortgages: Do you and your partner have a joint home loan? There's a chance you can deduct the interest you paid. Disadvantages: Your combined income after getting married might put you in a different tax bracket. Because of the progressive tax rates used in the Philippine tax system, higher income levels may be subject to higher tax rates. Thus, to find out where you stand, be sure to review the most recent tax tables that the BIR has provided.</t>
  </si>
  <si>
    <t>Mayroon bang anumang benepisyo o disadvantage sa buwis para sa mga mag-asawa sa Pilipinas?</t>
  </si>
  <si>
    <t>Mga Pakinabang: a. Mga Dagdag na Exemption: Kung ikaw ay may asawa, bawat isa ay may karapatan sa karagdagang personal na exemption para sa iyong asawa at sinumang karapat-dapat na umaasa.
b. Mga Premium para sa Seguro sa Kalusugan at Medikal: Maaari mong ibawas ang mga gastos kung ikaw o ang iyong asawa ay magbabayad para sa segurong pangkalusugan o medikal.
c. Interes sa Home Mortgages: Ikaw ba at ang iyong partner ay may joint home loan? May pagkakataong maaari mong ibawas ang interes na iyong binayaran.
Mga Disadvantage: Ang iyong pinagsamang kita pagkatapos magpakasal ay maaaring maglagay sa iyo sa ibang tax bracket. Dahil sa progresibong mga rate ng buwis na ginagamit sa sistema ng buwis sa Pilipinas, ang mas mataas na antas ng kita ay maaaring sumailalim sa mas mataas na mga rate ng buwis. Kaya, upang malaman kung saan ka nakatayo, siguraduhing suriin ang pinakabagong mga talahanayan ng buwis na ibinigay ng BIR.</t>
  </si>
  <si>
    <t>What happens to tax deductions and credits after separation or annulment?</t>
  </si>
  <si>
    <t>Tax deductions and credits are calculated individually for each spouse following a divorce or separation. You might qualify for additional tax credits and deductions if you have kids. To lower your taxable income, for instance, you might be able to claim a dependent exemption for each child.</t>
  </si>
  <si>
    <t>Ano ang mangyayari sa mga bawas sa buwis at mga kredito pagkatapos ng paghihiwalay o pagpapawalang-bisa?</t>
  </si>
  <si>
    <t>Ang mga bawas sa buwis at mga kredito ay kinakalkula nang paisa-isa para sa bawat asawa pagkatapos ng diborsyo o paghihiwalay. Maaari kang maging kwalipikado para sa karagdagang mga kredito sa buwis at mga pagbabawas kung mayroon kang mga anak. Para mapababa ang iyong nabubuwisang kita, halimbawa, maaari kang mag-claim ng dependent exemption para sa bawat bata.</t>
  </si>
  <si>
    <t>What are the legal consequences of living together unmarried in the Philippines in regards to property ownership?</t>
  </si>
  <si>
    <t>Co-ownership laws apply to properties obtained by the parties through labour while residing together. This means that each live-in partner owns a portion of the properties in proportion to their individual efforts in acquiring them.</t>
  </si>
  <si>
    <t>Ano ang mga legal na kahihinatnan ng pagsasama-sama ng walang asawa sa Pilipinas tungkol sa pagmamay-ari ng ari-arian?</t>
  </si>
  <si>
    <t>Ang mga batas sa co-ownership ay nalalapat sa mga ari-arian na nakuha ng mga partido sa pamamagitan ng paggawa habang naninirahan nang magkasama. Nangangahulugan ito na ang bawat live-in partner ay nagmamay-ari ng isang bahagi ng mga ari-arian na naaayon sa kanilang mga indibidwal na pagsisikap sa pagkuha ng mga ito.</t>
  </si>
  <si>
    <t>Can a prenuptial agreement be modified or changed after marriage?</t>
  </si>
  <si>
    <t>It becomes legally binding between the husband and wife and cannot be altered while the marriage is still in effect unless the court receives an application to set it aside for reasons akin to those of a petition for property separation.</t>
  </si>
  <si>
    <t>Maaari bang baguhin o baguhin ang isang prenuptial agreement pagkatapos ng kasal?</t>
  </si>
  <si>
    <t>Ito ay nagiging legal na may bisa sa pagitan ng mag-asawa at hindi maaaring baguhin habang ang kasal ay may bisa pa maliban kung ang hukuman ay nakatanggap ng isang aplikasyon upang isantabi ito para sa mga kadahilanang katulad ng sa isang petisyon para sa paghihiwalay ng ari-arian.</t>
  </si>
  <si>
    <t>Where can I find reliable legal resources and assistance for questions about property ownership and conjugal property in the Philippines?</t>
  </si>
  <si>
    <t>Nationwide resources:
Public Attorney's Office (PAO): Best for urgent needs and low income (income limits apply). They handle various cases except bouncing checks, criminal prosecution, and some adoption cases.
Department of Labor and Employment (DOLE): Only handle labor-related complaints.
Department of Social Welfare and Development (DSWD): Focus on social issues like women and children's concerns.
Special Interest Groups:
Saligan: Serves women, workers, the urban poor, indigenous groups, and peace concerns (mainly in Naga and Davao).
Free Legal Assistance Group (FLAG): Focuses on human rights cases nationwide.
University Legal Aid Offices:
Ateneo Legal Services Center (ALSC): Covers Makati and Mandaluyong, serves indigents with income limits.
University of the Philippines Office of Legal Aid: Metro Manila only, income limits apply.
San Beda Legal Aid Bureau: Several branches around Manila and Alabang, serves people of limited means.
University of St. Thomas, RJ Roberto Concepcion Legal Aid: Around Manila, focuses on assisting indigents and marginalized sectors.
Sebastinian Office of Legal Aid: Around Manila, call for details.
Xavier University Center for Legal Assistance: Cagayan De Oro, specifically for the poor and marginalized.</t>
  </si>
  <si>
    <t>Saan ako makakahanap ng maaasahang legal na mapagkukunan at tulong para sa mga tanong tungkol sa pagmamay-ari ng ari-arian at conjugal property sa Pilipinas?</t>
  </si>
  <si>
    <t>Mga mapagkukunan sa buong bansa:
Public Attorney's Office (PAO): Pinakamahusay para sa mga agarang pangangailangan at mababang kita (may mga limitasyon sa kita). Pinangangasiwaan nila ang iba't ibang kaso maliban sa mga patalbog na tseke, pag-uusig ng kriminal, at ilang kaso ng pag-aampon.
Department of Labor and Employment (DOLE): Pangasiwaan lamang ang mga reklamong may kinalaman sa paggawa.
Department of Social Welfare and Development (DSWD): Tumutok sa mga isyung panlipunan tulad ng mga alalahanin ng kababaihan at mga bata.
Mga Espesyal na Grupo ng Interes:
Saligan: Naglilingkod sa kababaihan, manggagawa, maralitang tagalungsod, grupong katutubo, at mga alalahanin sa kapayapaan (pangunahin sa Naga at Davao).
Free Legal Assistance Group (FLAG): Nakatuon sa mga kaso ng karapatang pantao sa buong bansa.
Mga Tanggapan ng Legal Aid sa Unibersidad:
Ateneo Legal Services Center (ALSC): Saklaw ang Makati at Mandaluyong, naglilingkod sa mga mahihirap na may mga limitasyon sa kita.
Opisina ng Legal Aid ng Unibersidad ng Pilipinas: Metro Manila lamang, may mga limitasyon sa kita.
San Beda Legal Aid Bureau: Ilang sangay sa paligid ng Maynila at Alabang, naglilingkod sa mga taong limitado ang kayamanan.
Unibersidad ng St. Thomas, RJ Roberto Concepcion Legal Aid: Sa paligid ng Maynila, nakatutok sa pagtulong sa mga mahihirap at marginalized na sektor.
Sebastinian Office of Legal Aid: Sa paligid ng Maynila, tumawag para sa mga detalye.
Xavier University Center for Legal Assistance: Cagayan De Oro, partikular para sa mahihirap at marginalized.</t>
  </si>
  <si>
    <t>Why is August 3, 1988 important in knowing the property relations of a married couple?</t>
  </si>
  <si>
    <t>Prior to August 3, 1988, married couples in the Philippines operated under the "Conjugal Partnership of Gains" regime. This meant individually owned property, like your pre-marital condo, remained yours alone. Only what you both acquired during the marriage, like rental income from that condo, formed a shared "common fund." Debt incurred during this time wouldn't burden your spouse unless they consented or it benefitted the family. Think of it as a shared pot for marriage-related gains and debts, separate from your individual belongings. Remember, this applied only before 1988 and for couples without a prenup, so later marriages might have different rules.</t>
  </si>
  <si>
    <t>Bakit mahalaga ang Agosto 3, 1988 sa pag-alam sa mga relasyon sa ari-arian ng mag-asawa?</t>
  </si>
  <si>
    <t>Bago ang Agosto 3, 1988, ang mga mag-asawa sa Pilipinas ay nagpatakbo sa ilalim ng rehimeng "Conjugal Partnership of Gains". Nangangahulugan ito na ang pag-aari ng indibidwal na pag-aari, tulad ng iyong pre-marital condo, ay nanatiling sa iyo nag-iisa. Tanging kung ano lang ang nakuha ninyong dalawa sa panahon ng kasal, tulad ng kita sa pag-upa mula sa condo na iyon, ang naging shared "common fund." Ang utang na natamo sa panahong ito ay hindi magpapabigat sa iyong asawa maliban kung sila ay pumayag o ito ay nakinabang sa pamilya. Isipin ito bilang isang shared pot para sa mga pakinabang at utang na nauugnay sa kasal, na hiwalay sa iyong mga indibidwal na ari-arian. Tandaan, nalalapat lang ito bago ang 1988 at para sa mga mag-asawang walang prenup, kaya maaaring magkaroon ng iba't ibang panuntunan ang mga kasal sa ibang pagkakataon.</t>
  </si>
  <si>
    <t>If my spouse have a debt, What happens if my partner and I had a prenup?</t>
  </si>
  <si>
    <t>Before 1988, Filipino marriages defaulted to "Conjugal Partnership of Gains," where only things acquired together during marriage were shared. But a prenup could switch this up, even letting you choose to pool everything entirely. After 1988, the default flipped to the broader "Absolute Community of Property," but again, a prenup could opt for the old system, full separation of property, or something entirely unique. So, regardless of your marriage date, a prenup isn't just for the rich – it's a flexible tool to tailor your property situation, even protecting children born outside the marriage through clauses in the agreement.</t>
  </si>
  <si>
    <t>Kung ang aking asawa ay may utang, Ano ang mangyayari kung ang aking kapareha at ako ay nagkaroon ng prenup?</t>
  </si>
  <si>
    <t>Bago ang 1988, ang pag-aasawa ng mga Pilipino ay na-default sa "Conjugal Partnership of Gains," kung saan ang mga bagay lamang na nakuha nang magkasama sa panahon ng kasal ang ibinahagi. Ngunit ang isang prenup ay maaaring baguhin ito, kahit na hayaan kang pumili na i-pool ang lahat nang buo. Pagkatapos ng 1988, ang default ay nalipat sa mas malawak na "Ganap na Komunidad ng Ari-arian," ngunit muli, ang isang prenup ay maaaring mag-opt para sa lumang sistema, ganap na paghihiwalay ng ari-arian, o isang bagay na ganap na kakaiba. Kaya, anuman ang petsa ng iyong kasal, ang isang prenup ay hindi lamang para sa mayayaman – ito ay isang flexible na tool upang maiangkop ang sitwasyon ng iyong ari-arian, kahit na protektahan ang mga batang ipinanganak sa labas ng kasal sa pamamagitan ng mga sugnay sa kasunduan.</t>
  </si>
  <si>
    <t>What is a separation of property? Can the parties still execute it if it turns out that one spouse is over-indebted?</t>
  </si>
  <si>
    <t>A prenup can be signed and executed only before celebrating the marriage following the Family Code. It is stated in the marriage certificate and attached to it. A prenup does not bind third persons (creditors, mortgagees, etc.) if it is not registered in the civil registry and in the registry of deeds where the marriage was solemnized. A prenup for separation of property is a way to protect a future spouse’s property from the other’s debts (existing or future). However, this can only be done before the marriage. Once married, the parties can no longer execute a prenup even if it turns out that the other spouse is drowned in debt.</t>
  </si>
  <si>
    <t>Ano ang separation of property? Maaari pa ba itong isagawa ng mga partido kung lumalabas na ang isang asawa ay labis sa utang?</t>
  </si>
  <si>
    <t>Ang isang prenup ay maaaring pirmahan at isakatuparan lamang bago ipagdiwang ang kasal kasunod ng Family Code. Ito ay nakasaad sa sertipiko ng kasal at kalakip dito. Ang isang prenup ay hindi nagbibigkis sa mga ikatlong tao (mga nagpapautang, nagsasangla, atbp.) kung ito ay hindi nakarehistro sa civil registry at sa registry of deeds kung saan ginawang solemne ang kasal. Ang prenup para sa separation of property ay isang paraan upang maprotektahan ang ari-arian ng magiging asawa mula sa mga utang ng iba (umiiral o hinaharap). Gayunpaman, maaari lamang itong gawin bago ang pag-aasawa. Kapag ikinasal na, hindi na maaaring magsagawa ng prenup ang mga partido kahit na lumabas na ang kabiyak ay nalunod sa utang.</t>
  </si>
  <si>
    <t>What if the community property or common fund is not enough to pay for the loans?</t>
  </si>
  <si>
    <t>Under the Family Code, both spouses will be liable to pay for the unpaid balance with their separate properties if the property relation is either ACP or CPG and the loans were obtained with the consent of the other spouse. This same applies even if there was no consent, but the debts benefited the family, and the community property or the common fund is not enough to pay for the loans.</t>
  </si>
  <si>
    <t>Paano kung ang ari-arian ng komunidad o karaniwang pondo ay hindi sapat upang bayaran ang mga pautang?</t>
  </si>
  <si>
    <t>Sa ilalim ng Family Code, ang dalawang mag-asawa ay mananagot na magbayad para sa hindi nabayarang balanse sa kanilang magkahiwalay na mga ari-arian kung ang kaugnayan sa ari-arian ay alinman sa ACP o CPG at ang mga pautang ay nakuha sa pahintulot ng isa pang asawa. Nalalapat din ito kahit na walang pahintulot, ngunit ang mga utang ay nakinabang sa pamilya, at ang ari-arian ng komunidad o ang karaniwang pondo ay hindi sapat upang bayaran ang mga pautang.</t>
  </si>
  <si>
    <t>If the loans were used for gambling, can payment be charged from the community property or common fund?</t>
  </si>
  <si>
    <t>No. According to the Family Code, only the losing spouse is responsible for any losses incurred while playing games of chance, betting, sweepstakes, or other forms of gambling, regardless of whether they are legal or not. However, any winnings will become a part of the common fund or community property.</t>
  </si>
  <si>
    <t>Kung ang mga pautang ay ginamit para sa pagsusugal, maaari bang singilin ang pagbabayad mula sa ari-arian ng komunidad o karaniwang pondo?</t>
  </si>
  <si>
    <t>Hindi. Ayon sa Family Code, ang nawawalang asawa lamang ang mananagot sa anumang pagkalugi habang naglalaro ng pagkakataon, pustahan, sweepstakes, o iba pang anyo ng pagsusugal, ligal man sila o hindi. Gayunpaman, ang anumang panalo ay magiging bahagi ng karaniwang pondo o ari-arian ng komunidad.</t>
  </si>
  <si>
    <t>If both Filipinos were married abroad, do the ACP, CPG, and prenup also apply?</t>
  </si>
  <si>
    <t>Indeed. Citizens of the Philippines are bound by laws pertaining to family rights and obligations as well as people's status, condition, and legal capacity under the New Civil Code. The Family Code (ACP, CPG, prenup, etc.) is still applicable even in cases where Filipino citizens were married overseas.</t>
  </si>
  <si>
    <t>Kung ang parehong Pilipino ay ikinasal sa ibang bansa, ang ACP, CPG, at prenup ay nalalapat din?</t>
  </si>
  <si>
    <t>Tunay nga. Ang mga mamamayan ng Pilipinas ay nakasalalay sa mga batas na may kinalaman sa mga karapatan at obligasyon ng pamilya gayundin ang katayuan, kondisyon, at legal na kapasidad ng mga tao sa ilalim ng Bagong Kodigo Sibil. Ang Family Code (ACP, CPG, prenup, atbp.) ay naaangkop pa rin. kahit sa mga kaso kung saan ang mga mamamayang Pilipino ay ikinasal sa ibang bansa.</t>
  </si>
  <si>
    <t>Can divorce be filed on the ground of outstanding debts?</t>
  </si>
  <si>
    <t>No. There is no divorce law in the Philippines. Divorce is only permitted in unions consummated according to Islamic law. Divorce is forbidden in only two sovereign states: the Philippines and the Vatican. In the nation, there is no legal way to end lawful unions that later soured due to financial difficulties or other reasons. Consequently, in order to dissolve a marriage, it must be ruled void from the start due to one or both parties' psychological incapacity, which must be established through a court trial. Only marriages that are voidable under certain circumstances may be annulled. Having excessive debt or unpaid bills is not one of those reasons.</t>
  </si>
  <si>
    <t>Maaari bang magsampa ng diborsiyo batay sa mga natitirang utang?</t>
  </si>
  <si>
    <t>Walang batas sa diborsyo sa Pilipinas. Ang diborsyo ay pinahihintulutan lamang sa mga unyon na ginawa ayon sa batas ng Islam. Ang diborsyo ay ipinagbabawal sa dalawang soberanong estado lamang: ang Pilipinas at ang Vatican.
Sa bansa, walang legal na paraan upang wakasan ang mga legal na unyon na kalaunan ay lumala dahil sa mga problema sa pananalapi o iba pang dahilan. Dahil dito, upang mabuwag ang kasal, dapat itong ipasiya na walang bisa mula sa simula dahil sa psychological incapacity ng isa o parehong partido, na dapat itatag sa pamamagitan ng paglilitis sa korte. Tanging ang mga kasal na walang bisa sa ilalim ng ilang mga pangyayari ang maaaring mapawalang-bisa. Ang pagkakaroon ng labis na utang o hindi nababayarang mga bayarin ay hindi isa sa mga kadahilanang iyon.</t>
  </si>
  <si>
    <t>Can I bequeath my separate property in a will despite the existing conjugal partnership?</t>
  </si>
  <si>
    <t>Yes, even with the current Philippine marital partnership, you are still able to leave your separate property in a will.</t>
  </si>
  <si>
    <t>Maaari ko bang ipamana ang aking hiwalay na ari-arian sa isang testamento sa kabila ng umiiral na conjugal partnership?</t>
  </si>
  <si>
    <t>Oo, kahit sa kasalukuyang Philippine marital partnership, nagagawa mo pa ring iwan ang iyong hiwalay na ari-arian sa isang testamento.</t>
  </si>
  <si>
    <t>How does inheritance from a deceased spouse affect the existing conjugal property?</t>
  </si>
  <si>
    <t>The Conjugal Property of Absolute Community ends upon the death of a Spouse, and the property is divided among the Heirs. The identity and extent of the Heirs are determined by Philippine law. These laws even apply to wills, which must account for the legal heirs or else be deemed void.</t>
  </si>
  <si>
    <t>Paano nakakaapekto ang mana mula sa isang namatay na asawa sa umiiral na pag-aari ng conjugal?</t>
  </si>
  <si>
    <t>Ang Conjugal Property of Absolute Community ay nagtatapos sa pagkamatay ng isang Asawa, at ang ari-arian ay nahahati sa mga Tagapagmana. Ang pagkakakilanlan at lawak ng mga Tagapagmana ay tinutukoy ng batas ng Pilipinas. Nalalapat pa nga ang mga batas na ito sa mga testamento, na dapat isaalang-alang ang mga legal na tagapagmana o kung hindi ay ituring na walang bisa.</t>
  </si>
  <si>
    <t>My spouse and I received an inheritance jointly during our marriage. What happens to it if we separate?</t>
  </si>
  <si>
    <t>It will be subjected to division if you and your spouse got seperated but, according to the Civil Code of the Philippines, it states that any property acquired before or during a marriage belongs to both spouses equally, unless it falls under one of the following exclusions: personal property that is owned exclusively by one spouse, with the exception of jewellery; properties acquired prior to marriage by either spouse who has legitimate descendants from a previous marriage, along with the fruits and income from those properties; or properties acquired during a marriage by either spouse on a gratuitous title, with no consideration for the other spouse.</t>
  </si>
  <si>
    <t>Ang aking asawa at ako ay nakatanggap ng mana sa panahon ng aming kasal. Ano ang mangyayari kung maghiwalay tayo?</t>
  </si>
  <si>
    <t>Isasailalim ito sa dibisyon kung kayo at ang iyong asawa ay naghiwalay ngunit, ayon sa Civil Code of the Philippines, nakasaad dito na anumang ari-arian na nakuha bago o sa panahon ng kasal ay pag-aari ng magkabilang asawa nang pantay, maliban kung ito ay nasa ilalim ng isa sa mga sumusunod na hindi kasama : personal na ari-arian na eksklusibong pagmamay-ari ng isang asawa, maliban sa mga alahas; mga ari-arian na nakuha bago ang kasal ng alinmang asawa na may mga lehitimong inapo mula sa nakaraang kasal, kasama ang mga prutas at kita mula sa mga ari-arian; o mga ari-arian na nakuha sa panahon ng kasal ng alinmang asawa sa isang walang bayad na titulo, na walang pagsasaalang-alang para sa ibang asawa.</t>
  </si>
  <si>
    <t>What are the legal rights of children born during the marriage regarding inheritance of conjugal property?</t>
  </si>
  <si>
    <t>Children born during a marriage are recognised as legitimate in the Philippines and are endowed with the same legal rights as children born prior to the marriage. They have a right to share in the marital property of their parents. Assets acquired by the spouses during their marriage are referred to as conjugal property. This includes any property acquired with conjugal funds as well as the earnings from their separate properties and the products of their labour.
It's crucial to remember that this rule does have some exceptions. For instance, property that one spouse inherited prior to or during the marriage is not included in the conjugal property and is regarded as exclusive property.</t>
  </si>
  <si>
    <t>Ano ang mga legal na karapatan ng mga batang ipinanganak sa panahon ng kasal tungkol sa pamana ng conjugal property?</t>
  </si>
  <si>
    <t>Ang mga anak na ipinanganak sa panahon ng kasal ay kinikilala bilang lehitimo sa Pilipinas at pinagkalooban ng parehong legal na karapatan tulad ng mga batang ipinanganak bago ang kasal. May karapatan silang makihati sa ari-arian ng mag-asawa ng kanilang mga magulang. Mga ari-arian na nakuha ng mag-asawa sa panahon ng kanilang kasal. ang kasal ay tinatawag na conjugal property.Kabilang dito ang anumang ari-arian na nakuha gamit ang conjugal fund gayundin ang mga kita mula sa kanilang magkahiwalay na ari-arian at ang mga produkto ng kanilang paggawa.
Mahalagang tandaan na ang panuntunang ito ay may ilang mga pagbubukod. Halimbawa, ang ari-arian na minana ng isang asawa bago o sa panahon ng kasal ay hindi kasama sa conjugal property at itinuturing na eksklusibong pag-aari.</t>
  </si>
  <si>
    <t>What happens to inheritance rights if a spouse has children from a previous marriage?</t>
  </si>
  <si>
    <t>It depends on several things such as what is in the will of the deceased parent, the child/children from previous marriage are not entitled to inherit something on the current marriage, but if the specific spouse that has the children from the last marriage are entitled to inherit that parent's seperate property. Assets that one spouse possessed prior to marriage, inherited during marriage, or obtained through gifts or personal funds during marriage are all considered separate property.</t>
  </si>
  <si>
    <t>Ano ang mangyayari sa mga karapatan sa mana kung ang isang asawa ay may mga anak mula sa nakaraang kasal?</t>
  </si>
  <si>
    <t>Ito ay depende sa ilang mga bagay tulad ng kung ano ang nasa habilin ng namatay na magulang, ang anak/mga anak mula sa nakaraang kasal ay walang karapatan na magmana ng isang bagay sa kasalukuyang kasal, ngunit kung ang partikular na asawa na may mga anak mula sa huling kasal ay karapat-dapat na magmana ng hiwalay na ari-arian ng magulang na iyon. Ang mga asset na taglay ng isang asawa bago ang kasal, minana sa panahon ng kasal, o nakuha sa pamamagitan ng mga regalo o personal na pondo sa panahon ng kasal ay itinuturing na hiwalay na ari-arian.</t>
  </si>
  <si>
    <t>To what extent am I responsible for my spouse's pre-marital debts after marriage?</t>
  </si>
  <si>
    <t>Except in cases where they redounded to the family's advantage, the husband and wife's personal debts incurred before or during the marriage shall not be charged against the conjugal properties partnership. The partnership will not be held responsible for any penalties or indemnities that are imposed upon them.</t>
  </si>
  <si>
    <t>Hanggang saan ako mananagot para sa mga utang bago ang kasal ng aking asawa pagkatapos ng kasal?</t>
  </si>
  <si>
    <t>Maliban sa mga kaso kung saan sila ay muling binago sa kalamangan ng pamilya, ang mga personal na utang ng mag-asawa na natamo bago o sa panahon ng kasal ay hindi dapat singilin laban sa conjugal properties partnership. Ang partnership ay hindi mananagot para sa anumang mga parusa o bayad-pinsala na ipapataw sa kanila.</t>
  </si>
  <si>
    <t>Can creditors of one spouse seize conjugal property to satisfy debts incurred by that spouse?</t>
  </si>
  <si>
    <t>To reiterate, conjugal property cannot be held liable for a personal obligation contracted by one spouse unless some advantage or benefit to the conjugal partnership is demonstrated.</t>
  </si>
  <si>
    <t>Maaari bang kunin ng mga nagpapautang ng isang asawa ang conjugal property upang mabayaran ang mga utang na natamo ng asawang iyon?</t>
  </si>
  <si>
    <t>Upang ulitin, ang pag-aari ng conjugal ay hindi maaaring managot para sa isang personal na obligasyon na kinontrata ng isang asawa maliban kung ang ilang kalamangan o benepisyo sa conjugal partnership ay ipinakita.</t>
  </si>
  <si>
    <t>What happens to pre-marital debts after separation or annulment?</t>
  </si>
  <si>
    <t>Personal debts incurred by the husband or wife prior to or during the marriage shall not be charged to the conjugal properties partnership.</t>
  </si>
  <si>
    <t>Ano ang mangyayari sa mga utang bago ang kasal pagkatapos ng paghihiwalay o pagpapawalang-bisa?</t>
  </si>
  <si>
    <t>Ang mga personal na utang na natamo ng mag-asawa bago o sa panahon ng kasal ay hindi dapat singilin sa conjugal properties partnership.</t>
  </si>
  <si>
    <t>Is one spouse liable for the other spouse's gambling debts or business losses incurred during marriage?</t>
  </si>
  <si>
    <t>No. According to the Family Code, whatever is lost during the marriage in any game of chance, betting, sweepstakes, or other type of gambling, whether permitted or prohibited by law, shall be borne solely by the losing spouse.</t>
  </si>
  <si>
    <t>Pananagutan ba ng isang asawa ang mga utang sa pagsusugal o pagkalugi sa negosyo ng isa pang asawa sa panahon ng kasal?</t>
  </si>
  <si>
    <t>Hindi. Ayon sa Family Code, anuman ang nawala sa panahon ng kasal sa anumang laro ng pagkakataon, pagtaya, sweepstakes, o iba pang uri ng pagsusugal, pinahihintulutan man o ipinagbabawal ng batas, ay pananagutan lamang ng natalong asawa.</t>
  </si>
  <si>
    <t>Can inheritance be used to cover debts incurred during marriage?</t>
  </si>
  <si>
    <t>Yes, the Conjugal Property compensates for one spouse's debt. When a spouse dies, the conjugal assets are first used to pay off debts and obligations. "You are not liable for the debts of others." Debts incurred during the marriage may be paid off with conjugal property.</t>
  </si>
  <si>
    <t>Maaari bang gamitin ang mana upang mabayaran ang mga utang na natamo sa panahon ng kasal?</t>
  </si>
  <si>
    <t>Oo, binabayaran ng Conjugal Property ang utang ng isang asawa. Kapag ang asawa ay namatay, ang conjugal asset ay unang ginagamit upang bayaran ang mga utang at obligasyon. "Hindi ka mananagot sa mga utang ng iba." Ang mga utang na natamo sa panahon ng kasal ay maaaring bayaran ng conjugal property.</t>
  </si>
  <si>
    <t>Who has the right to make decisions about the management and use of conjugal property?</t>
  </si>
  <si>
    <t>The husband is the administrator of the conjugal property, unless there is a stipulation in the marriage settlements conferring the administration upon the wife, according to Art. 112 of the Civil Code of the Philippines. In other cases specified in this Code, she may also administer the conjugal partnership.</t>
  </si>
  <si>
    <t>Sino ang may karapatang gumawa ng mga desisyon tungkol sa pamamahala at paggamit ng conjugal property?</t>
  </si>
  <si>
    <t>Ang asawang lalaki ay ang tagapangasiwa ng conjugal property, maliban kung may itinatadhana sa marriage settlements na nagbibigay ng administrasyon sa asawa, ayon sa Art. 112 ng Civil Code of the Philippines. Sa ibang mga kaso na tinukoy sa Kodigong ito, maaari din niyang pangasiwaan ang conjugal partnership.</t>
  </si>
  <si>
    <t>Can one spouse sell or dispose of conjugal property without the consent of the other spouse?</t>
  </si>
  <si>
    <t>There is no ambiguity in the law's wording. A sale of conjugal partnership real property by the husband without the consent of his wife is voidable. The annulment action must be filed during the marriage and within ten years of the questioned transaction by the wife.</t>
  </si>
  <si>
    <t>Maaari bang ibenta o itapon ng isang asawa ang conjugal property nang walang pahintulot ng isa pang asawa?</t>
  </si>
  <si>
    <t>Walang kalabuan sa mga salita ng batas. Ang pagbebenta ng conjugal partnership na real property ng asawang lalaki nang walang pahintulot ng kanyang asawa ay walang bisa. Ang annulment action ay dapat isampa sa panahon ng kasal at sa loob ng sampung taon ng kinuwestiyon na transaksyon ng asawa.</t>
  </si>
  <si>
    <t>What happens to property acquired using income from separate property?</t>
  </si>
  <si>
    <t>Income, products, fruits, earnings from the spouses' separate property, and anything acquired by one or both spouses through effort or chance belong to the partnership. The Conjugal Partnership of Gains includes any property acquired by one spouse as a result of his work during the marriage.</t>
  </si>
  <si>
    <t>Ano ang mangyayari sa ari-arian na nakuha gamit ang kita mula sa hiwalay na ari-arian?</t>
  </si>
  <si>
    <t>Ang kita, mga produkto, prutas, mga kita mula sa magkahiwalay na ari-arian ng mag-asawa, at anumang nakuha ng isa o kapwa mag-asawa sa pamamagitan ng pagsisikap o pagkakataon ay nabibilang sa partnership. Kasama sa Conjugal Partnership of Gains ang anumang ari-arian na nakuha ng isang asawa bilang resulta ng kanyang trabaho sa panahon ng kasal.</t>
  </si>
  <si>
    <t>Do there exist legal protections against financial abuse within a marriage?</t>
  </si>
  <si>
    <t>According to R.A. 9262: the Anti-Violence Against Women and their Children Act of 2004.Yes, you may file a VAW case against him as a result of his act of withdrawing financial support. His refusal to provide financial support to you or your daughter is an example of "Economic Abuse." I have been in an abusive relationship for a long time.</t>
  </si>
  <si>
    <t>Mayroon bang mga legal na proteksyon laban sa pang-aabuso sa pananalapi sa loob ng isang kasal, lalo na tungkol sa pagkontrol sa ari-arian?</t>
  </si>
  <si>
    <t>Ayon kay R.A. 9262: ang Anti-Violence Against Women and their Children Act of 2004. Oo, maaari kang magsampa ng kaso ng VAW laban sa kanya bilang resulta ng kanyang pagkilos ng pag-withdraw ng suportang pinansyal. Ang kanyang pagtanggi na magbigay ng suportang pinansyal sa iyo o sa iyong anak ay isang halimbawa ng "Economic Abuse." Matagal na akong nasa isang mapang-abusong relasyon.</t>
  </si>
  <si>
    <t>Can a pre-nuptial agreement specify how specific properties will be managed or controlled during marriage?</t>
  </si>
  <si>
    <t>When the spouses are both Filipino citizens, or when one is a Filipino citizen and the other is a foreigner, their property relations are governed, first and foremost, by their pre-nuptial agreement, which specifies which laws govern their property relations.</t>
  </si>
  <si>
    <t>Maaari bang tukuyin ng isang pre-nuptial agreement kung paano pamamahalaan o kontrolado ang mga partikular na ari-arian sa panahon ng kasal?</t>
  </si>
  <si>
    <t>Kapag ang mag-asawa ay kapwa mamamayang Pilipino, o kapag ang isa ay mamamayang Pilipino at ang isa ay dayuhan, ang kanilang mga relasyon sa ari-arian ay pinamamahalaan, una sa lahat, sa pamamagitan ng kanilang pre-nuptial agreement, na tumutukoy kung aling mga batas ang namamahala sa kanilang mga relasyon sa pag-aari.</t>
  </si>
  <si>
    <t>Do any tax advantages or disadvantages exist for pre-nuptial agreements in the Philippines?</t>
  </si>
  <si>
    <t>Pros: Offers Transparency and Clarity -Laying out all of the details about your assets before entering into a marital agreement can alleviate the stress of the unknown. Declaring who owns what leaves less room for confusion later in life.
Provides Security - Though seperation and anullment isn't a romantic thought, being prepared for its financial implications can offer peace of mind. A prenuptial agreement acts as a safety net, protecting your finances if things don't work out. It can even ease pre-marriage jitters for financially cautious individuals, providing much-needed certainty and removing monetary worries from the equation. So, consider a prenup as a practical tool for a secure future, regardless of what your marriage journey holds.
Prevents Disputes - Setting out your intentions from the start can help you avoid unwanted conflicts in your marriage. Furthermore, having the terms predetermined in a prenup agreement can be beneficial if an argument arises regarding the division of assets Seperation and Anullment is probably the last thing on your mind when you get married. However, it is important to put measures in place that will help prevent angst, stress, and conflict if the marriage fails in the future. Understanding the benefits and drawbacks of a prenuptial agreement is an important part of wedding planning that you should not overlook.
Cons:
It’s Not Romantic - Weddings are among the most romantic events in anyone's life. Couples are swept away by the joyous occasion, from the dress to the cake, which is natural and well-deserved! A prenuptial agreement, on the other hand, is none of the above. It's a harsh reality that few people want to face because contemplating divorce before marriage is depressing. However, it is worthwhile because once completed, you will never have to worry about it again.
It Can Be Uncertain - Unfortunately, a prenuptial agreement is not always foolproof. If either party fails to disclose all of their assets or omits something on purpose, the prenuptial agreement may not be binding. Furthermore, if the prenuptial agreement was not set up by an experienced Family Lawyer, the possibility of it lacking the correct information could result in the agreement not being binding. As a result, it is critical to be upfront about all assets and to hire a professional to set up your document.</t>
  </si>
  <si>
    <t>Mayroon bang anumang mga pakinabang o disadvantages sa buwis para sa mga pre-nuptial agreement sa Pilipinas?</t>
  </si>
  <si>
    <t>Mga kalamangan:
Nag-aalok ng Transparency at Clarity -Ang paglalatag ng lahat ng mga detalye tungkol sa iyong mga ari-arian bago pumasok sa isang kasunduan sa pag-aasawa ay maaaring maibsan ang stress ng hindi alam. Pagdedeklara kung sino ang nagmamay-ari ng kung ano ang nag-iiwan ng mas kaunting puwang para sa kalituhan sa bandang huli ng buhay.
Nagbibigay ng Seguridad - Kahit na ang paghihiwalay at pagpapawalang-bisa ay hindi isang romantikong pag-iisip, ang pagiging handa para sa mga pinansiyal na implikasyon nito ay maaaring mag-alok ng kapayapaan ng isip. Ang isang prenuptial agreement ay gumaganap bilang isang safety net, na nagpoprotekta sa iyong mga pananalapi kung ang mga bagay ay hindi gagana. Mapapawi pa nito ang mga pagkabalisa bago ang kasal para sa mga indibidwal na maingat sa pananalapi, na nagbibigay ng kinakailangang katiyakan at nag-aalis ng mga alalahanin sa pananalapi mula sa equation. Kaya, isaalang-alang ang isang prenup bilang isang praktikal na tool para sa isang secure na hinaharap, anuman ang pinanghahawakan ng iyong paglalakbay sa kasal.
Pinipigilan ang mga Di-pagkakasundo - Ang pagtatakda ng iyong mga intensyon sa simula ay makakatulong sa iyo na maiwasan ang mga hindi kanais-nais na salungatan sa iyong kasal. Higit pa rito, ang pagkakaroon ng mga tuntuning paunang natukoy sa isang kasunduan sa prenup ay maaaring maging kapaki-pakinabang kung ang isang argumento ay lumitaw tungkol sa paghahati ng mga ari-arian Seperation at Anullment ay marahil ang huling bagay na nasa isip mo kapag ikaw ay nagpakasal. Gayunpaman, mahalagang maglagay ng mga hakbang na makakatulong na maiwasan ang pagkabalisa, stress, at alitan kung mabibigo ang kasal sa hinaharap. Ang pag-unawa sa mga benepisyo at kawalan ng isang prenuptial agreement ay isang mahalagang bahagi ng pagpaplano ng kasal na hindi mo dapat palampasin.
Cons:
It’s Not Romantic - Ang kasal ay kabilang sa mga pinaka-romantikong kaganapan sa buhay ng sinuman. Ang mga mag-asawa ay natangay sa masayang okasyon, mula sa pananamit hanggang sa cake, na natural at karapat-dapat! Ang isang prenuptial agreement, sa kabilang banda, ay wala sa itaas. Ito ay isang malupit na katotohanan na ilang mga tao ang gustong harapin dahil ang pag-iisip ng diborsyo bago ang kasal ay nakakalungkot. Gayunpaman, ito ay kapaki-pakinabang dahil kapag natapos na, hindi mo na kailangang mag-alala muli tungkol dito.
Maaaring Hindi Ito Sigurado - Sa kasamaang palad, ang isang kasunduan sa prenuptial ay hindi palaging palya. Kung ang alinmang partido ay nabigo na ibunyag ang lahat ng kanilang mga ari-arian o nag-alis ng isang bagay nang sinasadya, ang prenuptial na kasunduan ay maaaring hindi may bisa. Higit pa rito, kung ang kasunduan sa prenuptial ay hindi na-set up ng isang makaranasang Abogado ng Pamilya, ang posibilidad na kulang ito sa tamang impormasyon ay maaaring magresulta sa hindi pagiging may bisa ng kasunduan. Bilang resulta, mahalagang maging upfront tungkol sa lahat ng asset at kumuha ng propesyonal para i-set up ang iyong dokumento.</t>
  </si>
  <si>
    <t>May the wife or children of the first marriage legally question the validity of the husband/ father’s second marriage?</t>
  </si>
  <si>
    <t>In the Philippines, if a man enters into two marriages without settling the property matters of the first, the wife and/or children of the first marriage can legally question the validity of the subsequent marriage. However, there are some conditions that must be met.The wife of the first marriage has the right to impugn the legality of the second marriage if her marital, property and inheritance rights are affected by the second marriage. This is known as a "direct attack" on the validity of a marriage.The children of the first marriage or even the State do not have the legal right to file any petition or case to assail the legal efficacy of the second marriage while the husband/ father is still alive. This is known as an "indirect attack" on the legal status of a marriage.The children can still question the validity of the second marriage in the intestate estate proceedings of their father after his death. If the second marriage is void, then the second wife is not an heir of the husband/ father, and therefore the children of the first marriage will get a bigger slice of the estate.</t>
  </si>
  <si>
    <t>Maaari bang legal na tanungin ng asawa o mga anak ng unang kasal ang bisa ng ikalawang kasal ng asawa/ama?</t>
  </si>
  <si>
    <t>Sa Pilipinas, kung ang isang lalaki ay pumasok sa dalawang kasal nang hindi naaayos ang mga usapin ng ari-arian ng una, ang asawa at/o mga anak ng unang kasal ay maaaring legal na magtanong sa bisa ng kasunod na kasal. Gayunpaman, mayroong ilang mga kundisyon na dapat matugunan. Ang asawa ng unang kasal ay may karapatan na tanggihan ang legalidad ng ikalawang kasal kung ang kanyang mga karapatan sa kasal, ari-arian at mana ay apektado ng ikalawang kasal. Ito ay kilala bilang isang "direktang pag-atake" sa bisa ng isang kasal. Ang mga anak ng unang kasal o kahit na ang Estado ay walang legal na karapatang magsampa ng anumang petisyon o kaso para saktan ang legal na bisa ng ikalawang kasal habang ang asawa / buhay pa si tatay. Ito ay kilala bilang isang "hindi direktang pag-atake" sa legal na katayuan ng isang kasal. Maaari pa ring kwestyunin ng mga bata ang bisa ng ikalawang kasal sa mga paglilitis sa intestate estate ng kanilang ama pagkatapos ng kanyang kamatayan. Kung ang pangalawang kasal ay walang bisa, kung gayon ang pangalawang asawa ay hindi tagapagmana ng asawa/ama, at samakatuwid ang mga anak ng unang kasal ay makakakuha ng mas malaking bahagi ng ari-arian.</t>
  </si>
  <si>
    <t>Who can legally get married in the Philippines? (age, citizenship, relationship restrictions)</t>
  </si>
  <si>
    <t>Both the bride and groom must be of legal age (16 for males and 14 for females, with exceptions) and mutually consenting. To make it legal, obtain a marriage licence from your local government and select a judge, priest, or minister to bless your union. The ceremony can take place in designated locations such as offices or churches, and remember to sign the marriage certificate alongside witnesses and the official who made it all possible. Remember that parental consent is required for young couples (under the age of 20 for males and 18 for females), and if one partner is a foreigner or in the military, additional paperwork may be required. Marriages that are valid in other countries are also recognised in our country.</t>
  </si>
  <si>
    <t>Sino ang legal na makakasal sa Pilipinas? (edad, pagkamamamayan, mga paghihigpit sa relasyon)</t>
  </si>
  <si>
    <t>Ang ikakasal ay dapat nasa legal na edad (16 para sa mga lalaki at 14 para sa mga babae, na may mga pagbubukod) at kapwa pumapayag. Upang gawin itong legal, kumuha ng marriage license mula sa iyong lokal na pamahalaan at pumili ng isang hukom, pari, o ministro upang basbasan ang iyong unyon. Maaaring maganap ang seremonya sa mga itinalagang lokasyon tulad ng mga opisina o simbahan, at tandaan na lagdaan ang sertipiko ng kasal kasama ng mga saksi at opisyal na ginawang posible ang lahat. Tandaan na ang pahintulot ng magulang ay kinakailangan para sa mga batang mag-asawa (sa ilalim ng edad na 20 para sa mga lalaki at 18 para sa mga babae), at kung ang isang kapareha ay isang dayuhan o sa militar, maaaring kailanganin ang karagdagang papeles. Ang mga kasal na may bisa sa ibang bansa ay kinikilala din sa ating bansa.</t>
  </si>
  <si>
    <t>What documents are required to apply for a marriage license?</t>
  </si>
  <si>
    <t>Getting married in this area necessitates some paperwork from both parties! Copies of your CENOMAR, cedula, residence certificate, birth certificate, and barangay residency are required. Both family planning and marriage counselling certificates are required, so don't forget about them. If you are under the age of 25, parental consent or advice may be required, depending on your age. The ceremony can take place in a church, garden, or other suitable location, with an officiant such as a priest or pastor. Bring your passport and a certificate of legal capacity to marry from your embassy if you are a foreigner. Finally, the licence fee is P500, and you must both be present in person.</t>
  </si>
  <si>
    <t>Anong mga dokumento ang kinakailangan upang mag-aplay para sa isang lisensya sa kasal?</t>
  </si>
  <si>
    <t>Ang pagpapakasal sa lugar na ito ay nangangailangan ng ilang mga papeles mula sa magkabilang partido! Kinakailangan ang mga kopya ng iyong CENOMAR, cedula, residence certificate, birth certificate, at barangay residency. Parehong kinakailangan ang mga sertipiko ng pagpaplano ng pamilya at pagpapayo sa kasal, kaya huwag kalimutan ang tungkol sa mga ito. Kung ikaw ay wala pang 25 taong gulang, maaaring kailanganin ang pahintulot o payo ng magulang, depende sa iyong edad. Ang seremonya ay maaaring maganap sa isang simbahan, hardin, o iba pang angkop na lokasyon, na may isang opisyal tulad ng isang pari o pastor. Dalhin ang iyong pasaporte at sertipiko ng legal na kapasidad para magpakasal mula sa iyong embahada kung ikaw ay isang dayuhan. Sa wakas, ang bayad sa lisensya ay P500, at dapat na pareho kayong naroroon nang personal.</t>
  </si>
  <si>
    <t>Where can I obtain a marriage license? (local civil registrar, specific office)</t>
  </si>
  <si>
    <t>You can get your marriage licence from the local registry office where one of you usually lives. The licence is a piece of paper that states that both of you are legally permitted to marry under Philippine government law.</t>
  </si>
  <si>
    <t>Saan ako makakakuha ng marriage license? (local civil registrar, partikular na opisina)</t>
  </si>
  <si>
    <t>Maaari mong makuha ang iyong lisensya sa kasal mula sa lokal na tanggapan ng pagpapatala kung saan karaniwang nakatira ang isa sa inyo. Ang lisensya ay isang piraso ng papel na nagsasaad na pareho kayong legal na pinahihintulutang magpakasal sa ilalim ng batas ng gobyerno ng Pilipinas.</t>
  </si>
  <si>
    <t>What is the validity period of a marriage license?</t>
  </si>
  <si>
    <t>The marriage licence is valid for a period of 120 days. This means that you must marry within 120 days of the date the licence was issued, or you will have to apply for a new one. Payment for the Marriage Licence Fee (Php 100) can be made when the Marriage Licence is claimed.</t>
  </si>
  <si>
    <t>Ano ang validity period ng marriage license?</t>
  </si>
  <si>
    <t>Ang lisensya ng kasal ay may bisa sa loob ng 120 araw. Nangangahulugan ito na dapat kang magpakasal sa loob ng 120 araw mula sa petsa na ibinigay ang lisensya, o kailangan mong mag-aplay para sa bago. Ang pagbabayad para sa Marriage License Fee (Php 100) ay maaaring gawin kapag na-claim ang Marriage License.</t>
  </si>
  <si>
    <t>Can a marriage license be used in another country?</t>
  </si>
  <si>
    <t>Yes. According to Article 26 of the Philippine Family Code, a marriage celebrated abroad is valid in the Philippines if it is also valid in the place where it was celebrated. As a result, if a marriage ceremony performed online in the United States is valid in the United States, it will also be valid in the Philippines.</t>
  </si>
  <si>
    <t>Pwede bang gamitin ang marriage license sa ibang bansa?</t>
  </si>
  <si>
    <t>Oo. Ayon sa Article 26 ng Philippine Family Code, ang kasal na ipinagdiriwang sa ibang bansa ay valid sa Pilipinas kung ito ay valid din sa lugar kung saan ito ipinagdiwang. Dahil dito, kung ang seremonya ng kasal na isinagawa online sa United States ay valid sa United States, magiging valid din ito sa Pilipinas.</t>
  </si>
  <si>
    <t>Are there any specific requirements for foreign nationals getting married in the Philippines?</t>
  </si>
  <si>
    <t>All foreigners must provide a "Certificate of Legal Capacity to Contract Marriage" before applying for a marriage licence in the Philippines. This certification confirms that there are no legal obstacles to the foreigner marrying a Filipino (i.e., that the foreigner is not already married).</t>
  </si>
  <si>
    <t>Mayroon bang mga partikular na kinakailangan para sa mga dayuhan na magpakasal sa Pilipinas?</t>
  </si>
  <si>
    <t>Lahat ng dayuhan ay dapat magbigay ng "Certificate of Legal Capacity to Contract Marriage" bago mag-apply ng marriage license sa Pilipinas. Ang sertipikasyong ito ay nagpapatunay na walang legal na mga hadlang sa dayuhan sa pagpapakasal sa isang Pilipino (i.e., na ang dayuhan ay hindi pa kasal).</t>
  </si>
  <si>
    <t>Do religious ceremonies alone legally recognize a marriage in the Philippines?</t>
  </si>
  <si>
    <t>The main distinction between a church wedding and a civil ceremony in the Philippines is that getting married in a church is not automatically legal. You must obtain your wedding certificate and other church marriage requirements before or after the ceremony to make it legal.</t>
  </si>
  <si>
    <t>Ang mga seremonyang pangrelihiyon lamang ba ay legal na kinikilala ang kasal sa Pilipinas?</t>
  </si>
  <si>
    <t>Ang pangunahing pagkakaiba sa pagitan ng isang kasal sa simbahan at isang sibil na seremonya sa Pilipinas ay ang pagpapakasal sa isang simbahan ay hindi awtomatikong legal. Dapat mong makuha ang iyong sertipiko ng kasal at iba pang mga kinakailangan sa kasal sa simbahan bago o pagkatapos ng seremonya upang maging legal ito.</t>
  </si>
  <si>
    <t>What are the different types of legal officiants who can perform a marriage ceremony?</t>
  </si>
  <si>
    <t>Supreme Court Chief Justice and Associate Justices
The Presiding Justice and the Court of Appeals Justices
Courts of First Instance Judges
Mayors and municipal officials
Justices of the peace and municipal judges
Priests, rabbis, and gospel ministers of any denomination, church, religion, or sect who are properly registered
Ship captains, airline captains, military commanders, and consuls and vice-consuls in exceptional cases (death-row marriages and marriages between Filipino citizens abroad)
Municipal and city judges or mayors will typically preside. Unless you have a specific person in mind, your local civil registrar will assign you an officiant based on your wedding date and the officiant's availability.</t>
  </si>
  <si>
    <t>Ano ang iba't ibang uri ng mga legal na opisyal na maaaring magsagawa ng seremonya ng kasal?</t>
  </si>
  <si>
    <t>Punong Mahistrado ng Korte Suprema at mga Associate Justice
Ang Presiding Justice at ang Court of Appeals Justices
Mga Hukom ng Unang Halimbawang Hukom
Mga mayor at opisyal ng munisipyo
Mga hukom ng kapayapaan at mga hukom ng munisipyo
Mga pari, rabbi, at mga ministro ng ebanghelyo ng anumang denominasyon, simbahan, relihiyon, o sekta na wastong nakarehistro
Mga kapitan ng barko, mga kapitan ng eroplano, mga kumander ng militar, at mga konsul at bise-konsul sa mga pambihirang kaso (mga death-row marriage at kasal sa pagitan ng mga mamamayang Pilipino sa ibang bansa)
Ang mga hukom o mayor ng munisipyo at lungsod ay karaniwang mamumuno. Maliban kung mayroon kang isang partikular na tao na nasa isip, ang iyong lokal na rehistro ng sibil ay magtatalaga sa iyo ng isang opisyal batay sa petsa ng iyong kasal at pagiging available ng opisyal.</t>
  </si>
  <si>
    <t>What are the legal requirements for witnesses at a marriage ceremony?</t>
  </si>
  <si>
    <t>The contracting parties must provide two witnesses who are both 21 years of age or older, will attend the marriage ceremony, and will sign the Contract of Marriage as witnesses.</t>
  </si>
  <si>
    <t>Ano ang mga legal na kinakailangan para sa mga saksi sa seremonya ng kasal?</t>
  </si>
  <si>
    <t>Ang magkakontratang partido ay dapat magbigay ng dalawang saksi na parehong 21 taong gulang o mas matanda, dadalo sa seremonya ng kasal, at pipirma sa Kontrata ng Kasal bilang mga saksi.</t>
  </si>
  <si>
    <t>What are the legal consequences of not registering a marriage with the government?</t>
  </si>
  <si>
    <t>There are repercussions for not registering a marriage contract, which include:
Absence of Legal Recognition: The rights and advantages associated with a legal marriage may be impacted by an unregistered marriage's potential lack of legal recognition.
Property Rights and Inheritance: In order for property rights and inheritance to be legally recognised, registration is required.
Getting Legal Documents: A registered marriage contract may be needed by some government organisations and agencies in order to process legal documents or to obtain passports, among other things.</t>
  </si>
  <si>
    <t>Ano ang mga legal na kahihinatnan ng hindi pagpaparehistro ng kasal sa gobyerno?</t>
  </si>
  <si>
    <t>May mga epekto sa hindi pagrehistro ng kontrata sa kasal, na kinabibilangan ng:
Kawalan ng Legal na Pagkilala: Ang mga karapatan at pakinabang na nauugnay sa isang legal na kasal ay maaaring maapektuhan ng potensyal na kawalan ng legal na pagkilala ng isang hindi rehistradong kasal.
Mga Karapatan sa Ari-arian at Mana: Upang ang mga karapatan sa ari-arian at mana ay legal na makilala, kinakailangan ang pagpaparehistro.
Pagkuha ng mga Legal na Dokumento: Maaaring kailanganin ng ilang organisasyon at ahensya ng gobyerno ang isang rehistradong kontrata ng kasal upang maproseso ang mga legal na dokumento o makakuha ng mga pasaporte, bukod sa iba pang mga bagay.</t>
  </si>
  <si>
    <t>I'm under 21 years old, can I still get married with parental consent?</t>
  </si>
  <si>
    <t>Even if your parents are on board, you cannot get married in the Philippines if you are under the age of 18.
In the Philippines, a person must be at least 21 years old to get married without the express written consent of their parents. If your parents are unable to accompany you to the civil registrar's office, a formal affidavit bearing the signatures of two witnesses might be accepted.</t>
  </si>
  <si>
    <t>Ako ay wala pang 21 taong gulang, maaari pa rin ba akong magpakasal nang may pahintulot ng magulang?</t>
  </si>
  <si>
    <t>“Kahit nakasakay ang mga magulang mo, hindi ka makakapag-asawa sa Pilipinas kung wala ka pang 18 taong gulang.
Sa Pilipinas, ang isang tao ay dapat na hindi bababa sa 21 taong gulang upang magpakasal nang walang malinaw na nakasulat na pahintulot ng kanilang mga magulang. Kung hindi ka maaaring samahan ng iyong mga magulang sa tanggapan ng civil registrar, maaaring tanggapin ang isang pormal na affidavit na may pirma ng dalawang saksi.
"</t>
  </si>
  <si>
    <t>I'm divorced/separated, what procedures are required to remarry?</t>
  </si>
  <si>
    <t>In general, annulled couples who wish to get married again must go through the same legal procedures as any other couple. This entails obtaining a marriage licence and meeting additional requirements outlined in the Philippine Family Code, including age requirements, parental approval or advice, if applicable, and others.</t>
  </si>
  <si>
    <t>Ako ay diborsiyado/naghiwalay, anong mga pamamaraan ang kinakailangan upang muling magpakasal?</t>
  </si>
  <si>
    <t>Sa pangkalahatan, ang mga annulled couple na gustong magpakasal muli ay dapat dumaan sa parehong legal na pamamaraan gaya ng ibang mag-asawa. Nangangahulugan ito ng pagkuha ng lisensya sa kasal at pagtugon sa mga karagdagang kinakailangan na nakabalangkas sa Philippine Family Code, kabilang ang mga kinakailangan sa edad, pag-apruba o payo ng magulang, kung naaangkop, at iba pa.</t>
  </si>
  <si>
    <t>What if one of the spouses is unable to personally apply for a marriage license due to illness or disability?</t>
  </si>
  <si>
    <t>For instance, one spouse may be released from the requirement if they are incapable of applying for a marriage licence in person because of a medical condition or disability.
For a civil or church wedding in such circumstances, the couple may substitute a straightforward affidavit for a marriage licence. The affidavit must attest to the fact that the individual who is unable to apply for the marriage licence is, in fact, ill or disabled and unable to appear in person before the local civil registrar.
It is significant to remember that the conditions and steps involved in getting a marriage licence can change based on the couple's circumstances and location. To get precise information, it is best to speak with a lawyer or your local civil registrar.</t>
  </si>
  <si>
    <t>Paano kung ang isa sa mga mag-asawa ay hindi makapag-apply ng personal para sa marriage license dahil sa sakit o kapansanan?</t>
  </si>
  <si>
    <t>Halimbawa, ang isang asawa ay maaaring palayain mula sa kinakailangan kung hindi nila kayang mag-aplay para sa isang lisensya sa kasal nang personal dahil sa isang kondisyong medikal o kapansanan.
Para sa isang sibil o kasal sa simbahan sa ganitong mga sitwasyon, maaaring palitan ng mag-asawa ang isang tuwirang affidavit para sa isang lisensya ng kasal. Dapat na patunayan ng affidavit ang katotohanan na ang indibidwal na hindi makapag-aplay para sa lisensya ng kasal ay, sa katunayan, may sakit o may kapansanan at hindi maaaring humarap nang personal sa lokal na rehistro ng sibil.
Mahalagang tandaan na ang mga kundisyon at hakbang na kasangkot sa pagkuha ng lisensya sa kasal ay maaaring magbago batay sa mga kalagayan at lokasyon ng mag-asawa. Upang makakuha ng tumpak na impormasyon, pinakamahusay na makipag-usap sa isang abogado o sa iyong lokal na civil registrar.</t>
  </si>
  <si>
    <t>Is a prenuptial agreement mandatory in the Philippines? What are its legal requirements?</t>
  </si>
  <si>
    <t>Prenuptial agreements have to be voluntarily. These ought to be written down. For lack of consent, fraud, coercion, error, undue influence, or bad faith, they may be set aside.</t>
  </si>
  <si>
    <t>Ang prenuptial agreement ba ay mandatory sa Pilipinas? Ano ang mga legal na kinakailangan nito?</t>
  </si>
  <si>
    <t>Ang mga kasunduan sa prenuptial ay kailangang kusang-loob. Ang mga ito ay dapat na isulat. Dahil sa kawalan ng pahintulot, panloloko, pamimilit, pagkakamali, hindi nararapat na impluwensya, o masamang pananampalataya, maaaring isantabi ang mga ito.</t>
  </si>
  <si>
    <t>Can a marriage be annulled? What are the grounds for annulment?</t>
  </si>
  <si>
    <t>In the Philippines, Yes, marriage can be annulled but can't be divorced as Divorce law does not exist in this country. The Family Code lists the following reasons for annulment: impotence; lack of parental consent; insanity or psychological incapacity; fraud, force, intimidation, or undue influence. There are still many grounds for annulment but the example above are the common ones.</t>
  </si>
  <si>
    <t>Maaari bang mapawalang-bisa ang kasal? Ano ang mga batayan para sa annulment?</t>
  </si>
  <si>
    <t>Sa Pilipinas, Oo, ang kasal ay maaaring ipawalang-bisa ngunit hindi maaaring hiwalayan dahil ang batas ng Diborsiyo ay hindi umiiral sa bansang ito. Ang Family Code ay naglilista ng mga sumusunod na dahilan para sa pagpapawalang-bisa: kawalan ng lakas; kawalan ng pahintulot ng magulang; pagkabaliw o psychological incapacity; panloloko. , puwersa, pananakot, o hindi nararapat na impluwensya. Marami pa ring batayan para sa pagpapawalang-bisa ngunit ang mga halimbawa sa itaas ay ang mga karaniwan.</t>
  </si>
  <si>
    <t>What is the legal process for legal separation in the Philippines?</t>
  </si>
  <si>
    <t>In the Philippines, obtaining a legal separation usually entails submitting a petition to the relevant court, showing up to hearings, and supplying supporting documentation. Everybody is actively participating in the proceedings.</t>
  </si>
  <si>
    <t>Ano ang legal na proseso para sa legal na paghihiwalay sa Pilipinas?</t>
  </si>
  <si>
    <t>Sa Pilipinas, ang pagkuha ng legal na paghihiwalay ay karaniwang nangangailangan ng pagsumite ng petisyon sa kaukulang hukuman, pagpapakita sa mga pagdinig, at pagbibigay ng sumusuportang dokumentasyon. Ang lahat ay aktibong nakikilahok sa mga paglilitis.</t>
  </si>
  <si>
    <t>What are the legal rights and obligations of spouses and children after separation?</t>
  </si>
  <si>
    <t>Living: You can live apart, but the marriage remains valid.
Property: Shared property (ACP/CPG) gets dissolved and divided. A court or chosen person manages it during the process.
Children: Innocent spouse gets custody, but no child under 7 is separated from the mother unless necessary. Court considers preferences during proceedings.
Support: Children and spouse receive support during the process from shared property. After the decree, the court may order support based on financial means. Spousal support is advanced and deducted later.
Inheritance: The offending spouse can't inherit from the innocent one, and will-begotten benefits are revoked. The innocent spouse can revoke gifts and insurance beneficiary designations for 5 years after finalizing separation.
Judicial separation: Spouses still support each other and inheritance/gifts/beneficiaries are unaffected.</t>
  </si>
  <si>
    <t>Ano ang mga legal na karapatan at obligasyon ng mag-asawa at mga anak pagkatapos ng paghihiwalay?</t>
  </si>
  <si>
    <t>Buhay: Maaari kang manirahan nang hiwalay, ngunit ang kasal ay nananatiling wasto.
Ari-arian: Nalulusaw at nahahati ang nakabahaging ari-arian (ACP/CPG). Ang korte o piniling tao ang namamahala nito sa panahon ng proseso.
Mga Anak: Ang inosenteng asawa ay makakakuha ng kustodiya, ngunit walang batang wala pang 7 taong gulang ang nahiwalay sa ina maliban kung kinakailangan. Isinasaalang-alang ng korte ang mga kagustuhan sa panahon ng paglilitis.
Suporta: Ang mga anak at asawa ay tumatanggap ng suporta sa panahon ng proseso mula sa shared property. Pagkatapos ng utos, ang hukuman ay maaaring mag-utos ng suporta batay sa pinansyal na paraan. Ang suporta sa asawa ay advanced at ibabawas sa ibang pagkakataon.
Pamana: Ang nagkasalang asawa ay hindi maaaring magmana mula sa inosente, at ang mga begotten ay bawiin. Maaaring bawiin ng inosenteng asawa ang mga regalo at pagkakatalaga ng benepisyaryo ng insurance sa loob ng 5 taon pagkatapos makumpleto ang paghihiwalay.
Judicial separation: Ang mag-asawa ay sumusuporta pa rin sa isa't isa at hindi naaapektuhan ang mana/regalo/benepisyaryo.</t>
  </si>
  <si>
    <t>What happens if I lose my marriage license or certificate?</t>
  </si>
  <si>
    <t>At the LCR of the city or municipality where your marriage was performed and registered, you are able to obtain a copy of your Certificate of Marriage (COM). You can obtain the registered copy from the LCR if the solemnising officer properly submitted your COM.</t>
  </si>
  <si>
    <t>Ano ang mangyayari kung mawala ang aking marriage license o certificate?</t>
  </si>
  <si>
    <t>How can I change my last name after getting married?</t>
  </si>
  <si>
    <t>Obtain a marriage licence.
Revise your details:
PhilHealth: Complete the Member Registration Form and send it in with your identification and marriage certificate.
Pag-Ibig: Complete the Change of Information Form and send it in with your ID and marriage certificate.
Passport: Make an appointment, complete the application, pay the costs, and bring the necessary paperwork to the DFA office.
Driver's Licence: Complete the application and turn it in to the LTO office along with your marriage licence and current licence.
Bank Records: Take your marriage certificate and current ID to your bank.
Keep in mind that this is essential parts of the requirements. There may be additional guidelines or protocols specific to each agency. For more information, don't be afraid to call or visit their websites.</t>
  </si>
  <si>
    <t>Paano ko mapapalitan ang aking apelyido pagkatapos magpakasal?</t>
  </si>
  <si>
    <t>Kumuha ng lisensya sa kasal.
Baguhin ang iyong mga detalye:
PhilHealth: Kumpletuhin ang Member Registration Form at ipadala ito kasama ng iyong pagkakakilanlan at sertipiko ng kasal.
Pag-Ibig: Kumpletuhin ang Form ng Pagbabago ng Impormasyon at ipadala ito kasama ng iyong ID at sertipiko ng kasal.
Pasaporte: Gumawa ng appointment, kumpletuhin ang aplikasyon, bayaran ang mga gastos, at dalhin ang kinakailangang papeles sa opisina ng DFA.
Lisensya sa Pagmamaneho: Kumpletuhin ang aplikasyon at ibigay ito sa opisina ng LTO kasama ang iyong lisensya sa kasal at kasalukuyang lisensya.
Mga Rekord ng Bangko: Dalhin ang iyong sertipiko ng kasal at kasalukuyang ID sa iyong bangko.
Tandaan na ito ay mahahalagang bahagi ng mga kinakailangan. Maaaring may karagdagang mga alituntunin o protocol na partikular sa bawat ahensya. Para sa karagdagang impormasyon, huwag matakot na tumawag o bisitahin ang kanilang mga website.</t>
  </si>
  <si>
    <t>What legal documents are required to register a foreign marriage in the Philippines?</t>
  </si>
  <si>
    <t>Original and photocopy of the Foreign Marriage Certificate
Passport copies of both parties
Application for registration
Any additional documents required by the specific Philippine Consulate or Embassy</t>
  </si>
  <si>
    <t>Anong mga legal na dokumento ang kinakailangan para makapagrehistro ng kasal sa ibang bansa sa Pilipinas?</t>
  </si>
  <si>
    <t>Orihinal at photocopy ng Foreign Marriage Certificate
Mga kopya ng pasaporte ng parehong partido
Aplikasyon para sa pagpaparehistro
Anumang karagdagang mga dokumento na kinakailangan ng partikular na Konsulado o Embahada ng Pilipinas</t>
  </si>
  <si>
    <t>How can I challenge the validity of a marriage?</t>
  </si>
  <si>
    <t>In the Philippines, you can challenge a marriage's validity in two ways: annulment or declaring it null.
What makes a marriage invalid?
Missing any of the essential elements like legal capacity, consent, officiant, license, ceremony, witness, or declaration.
No marriage license makes the marriage generally void.
License errors or discrepancies make the marriage voidable.
What to do if you think your marriage is void?
Consult a family lawyer to understand your options and implications.
Depending on the situation, legal remedies might be available.</t>
  </si>
  <si>
    <t>Paano ko hamunin ang bisa ng kasal?</t>
  </si>
  <si>
    <t>“Sa Pilipinas, maaari mong hamunin ang validity ng kasal sa dalawang paraan: annulment or declaring it null.
Ano ang nagpapawalang-bisa sa kasal?
Nawawala ang alinman sa mga mahahalagang elemento tulad ng legal na kapasidad, pahintulot, opisyal, lisensya, seremonya, saksi, o deklarasyon.
Walang lisensya sa kasal ang ginagawang walang bisa ang kasal.
Ang mga pagkakamali sa lisensya o mga pagkakaiba ay nagpapawalang-bisa sa kasal.
Ano ang gagawin kung sa tingin mo ay walang bisa ang iyong kasal?
Kumunsulta sa isang abogado ng pamilya upang maunawaan ang iyong mga opsyon at implikasyon.
Depende sa sitwasyon, maaaring magkaroon ng mga legal na remedyo.
"</t>
  </si>
  <si>
    <t>What are the legal fees associated with marriage applications, ceremonies, and registrations?</t>
  </si>
  <si>
    <t>The legal fees associated with marriage applications, ceremonies, and registrations can vary greatly depending on the location and specific requirements</t>
  </si>
  <si>
    <t>Ano ang mga legal na bayarin na nauugnay sa mga aplikasyon ng kasal, seremonya, at pagpaparehistro?</t>
  </si>
  <si>
    <t>Ang mga legal na bayarin na nauugnay sa mga aplikasyon ng kasal, seremonya, at pagpaparehistro ay maaaring mag-iba nang malaki depende sa lokasyon at mga partikular na kinakailangan</t>
  </si>
  <si>
    <t>Can minors below 18 marry under exceptional circumstances, and what specific requirements and authorizations are needed?</t>
  </si>
  <si>
    <t>Fortunately, No minors below 18 cannot marry even if under any exceptional circumstances here in the Philippines. There are even a law prohibiting this kind of acts and it is REPUBLIC ACT 11596
or “AN ACT PROHIBITING THE PRACTICE OF CHILD MARRIAGE AND IMPOSING
PENALTIES FOR VIOLATIONS THEREOF”</t>
  </si>
  <si>
    <t>Maaari bang magpakasal ang mga menor de edad sa ilalim ng 18 sa ilalim ng mga pambihirang pagkakataon, at anong mga partikular na kinakailangan at pahintulot ang kailangan?</t>
  </si>
  <si>
    <t>Buti na lang, No minors below 18 cannot marry even if under any exceptional circumstances here in the Philippines. May batas pa ngang nagbabawal sa ganitong klase ng mga gawain at ito ay REPUBLIC ACT 11596
o “ISANG BATAS NA NAGBABAWAL SA PAGSASABUHAY NG BATA NA PAG-AASAWA AT PAGPAPAHAYAG
MGA PARUSA PARA SA MGA PAGLABAG NITO”</t>
  </si>
  <si>
    <t>Does parental consent or guardian approval differ for marriages based on age or circumstances (e.g., pregnancy, financial independence)?</t>
  </si>
  <si>
    <t>Ascertain your age! Although the legal age limit is 21, parental consent opens the door for those between the ages of 18 and 20. If you're between the ages of 21 and 25, don't worry; parental guidance is sound counsel, but it's not legally binding. If you choose not to take it, just be ready for a three-month wait. Never forget that child marriages are never acceptable. If in doubt, seek legal advice.</t>
  </si>
  <si>
    <t>Naiiba ba ang pahintulot ng magulang o pag-apruba ng tagapag-alaga para sa mga kasal batay sa edad o mga pangyayari (hal., pagbubuntis, kalayaan sa pananalapi)?</t>
  </si>
  <si>
    <t>Tiyakin ang iyong edad! Bagama't ang legal na limitasyon sa edad ay 21, ang pahintulot ng magulang ay nagbubukas ng pinto para sa mga nasa pagitan ng edad na 18 at 20. Kung ikaw ay nasa pagitan ng edad na 21 at 25, huwag mag-alala; Ang patnubay ng magulang ay mahusay na payo, ngunit hindi ito legal na may bisa. Kung pipiliin mong hindi kunin ito, maghanda lamang para sa tatlong buwang paghihintay. Huwag kalimutan na ang pag-aasawa ng bata ay hindi katanggap-tanggap. Kung may pagdududa, humingi ng legal na payo.</t>
  </si>
  <si>
    <t>Are there legal repercussions for marriages performed without proper consent or within prohibited age restrictions?</t>
  </si>
  <si>
    <t>A person under the age of eighteen who arranges, facilitates, participates in, or officiates at a marriage ceremony for another person faces severe penalties under Republic Act No. 11596, also known as An Act Prohibiting the Practice of Child Marriage and Imposing Penalties for Violations Thereof.</t>
  </si>
  <si>
    <t>Mayroon bang mga legal na epekto para sa mga kasal na isinagawa nang walang wastong pahintulot o sa loob ng mga ipinagbabawal na paghihigpit sa edad?</t>
  </si>
  <si>
    <t>Ang isang taong wala pang labingwalong taong gulang na nag-aayos, nangangasiwa, nakikilahok, o nangangasiwa sa seremonya ng kasal para sa ibang tao ay nahaharap sa matinding parusa sa ilalim ng Republic Act No. 11596, na kilala rin bilang An Act Prohibiting the Practice of Child Marriage and Imposing Penalties for Violations Nito.</t>
  </si>
  <si>
    <t>Beyond blood relations, what specific family ties (in-laws, stepfamily) fall under legal marriage restrictions?</t>
  </si>
  <si>
    <t>According to the Executive Order No. 209 or Family Code of The Philippines, specifically its Article 37 and 38, its stated that No matter the extent of the relationship between ascendants and descendants (parent-child or grandparent-grandchild), marriages involving these individuals are null and void in the Philippines. Similarly, marriages between siblings are regarded as incestuous and are void from the start, regardless of whether their parents are the same or different. These laws provide clear guidelines for the legitimacy of marriages in the nation by protecting social norms and prohibiting relationships that are viewed as immoral or inappropriate.</t>
  </si>
  <si>
    <t>Higit pa sa mga relasyon sa dugo, anong mga partikular na relasyon sa pamilya (in-laws, stepfamily) ang napapailalim sa mga legal na paghihigpit sa kasal?</t>
  </si>
  <si>
    <t>Ayon sa Executive Order No. 209 o Family Code of The Philippines, partikular sa Article 37 at 38 nito, nakasaad dito na Kahit gaano pa kalawak ang ugnayan ng mga ascendants at descendants (parent-child or grandparent-apo), kasal na kinasasangkutan ng mga ito. Ang mga indibidwal ay walang bisa sa Pilipinas. Katulad nito, ang pag-aasawa sa pagitan ng magkapatid ay itinuturing na incest at walang bisa sa simula, hindi alintana kung pareho o magkaiba ang kanilang mga magulang. Ang mga batas na ito ay nagbibigay ng malinaw na mga patnubay para sa pagiging lehitimo ng mga kasal sa bansa sa pamamagitan ng pagprotekta sa mga pamantayang panlipunan at pagbabawal sa mga relasyon na tinitingnan bilang imoral o hindi naaangkop.</t>
  </si>
  <si>
    <t>What are the legal consequences of attempting to marry within a prohibited relationship?</t>
  </si>
  <si>
    <t>Attempting to marry within prohibited relationships in the Philippines can have serious legal consequences, including charges of bigamy for individuals entering a second marriage before legally dissolving the first or confirming the absence of the initial spouse. Marriages contrary to the Marriage Law, where essential requirements like age, marriage license, consent, and the authority of the solemnizing officer are not met, are considered illegal and can be void, voidable, or annullable. Engaging in premature marriages, particularly for women within 301 days of a husband's death or following the annulment or dissolution of a marriage, can lead to criminal charges. The Philippines also strictly prohibits child marriages, imposing a 12-year prison sentence on those marrying or cohabiting with individuals under 18 years of age, as well as those organizing or solemnizing underage unions. Additionally, solemnizing officers who perform illegal marriages can face legal consequences. These measures aim to uphold the integrity of marriage laws and protect individuals from unlawful unions.</t>
  </si>
  <si>
    <t>Ano ang mga legal na kahihinatnan ng pagtatangkang magpakasal sa loob ng isang ipinagbabawal na relasyon?</t>
  </si>
  <si>
    <t>Ang pagtatangkang magpakasal sa loob ng mga ipinagbabawal na relasyon sa Pilipinas ay maaaring magkaroon ng malubhang legal na kahihinatnan, kabilang ang mga singil ng bigamy para sa mga indibidwal na pumapasok sa pangalawang kasal bago legal na dissolve ang una o kumpirmahin ang kawalan ng unang asawa. Ang mga kasal na salungat sa Marriage Law, kung saan hindi natutugunan ang mga mahahalagang kinakailangan tulad ng edad, lisensya sa kasal, pahintulot, at awtoridad ng opisyal ng solemnizing, ay itinuturing na labag sa batas at maaaring walang bisa, mapapawalang-bisa, o mapawalang-bisa. Ang pagsasagawa ng mga napaaga na pag-aasawa, lalo na para sa mga kababaihan sa loob ng 301 araw ng pagkamatay ng asawa o pagkatapos ng pagpapawalang-bisa o dissolution ng kasal, ay maaaring humantong sa mga kasong kriminal. Mahigpit ding ipinagbabawal ng Pilipinas ang pag-aasawa ng bata, na nagpapataw ng 12-taong pagkakulong na sentensiya sa mga nag-aasawa o nakikihalubilo sa mga indibidwal na wala pang 18 taong gulang, gayundin sa mga nag-oorganisa o nagsosolemn ng mga unyon na menor de edad. Karagdagan pa, ang mga opisyal ng solemne na nagsasagawa ng mga iligal na kasal ay maaaring harapin ang mga legal na kahihinatnan. Ang mga hakbang na ito ay naglalayong itaguyod ang integridad ng mga batas sa kasal at protektahan ang mga indibidwal mula sa labag sa batas na pagsasama.</t>
  </si>
  <si>
    <t>Does adoption alter any existing family ties affecting marriage eligibility?</t>
  </si>
  <si>
    <t>Adoption in the Philippines creates a legal parent-child relationship between adoptive parents and adopted children, and is regulated by laws such as the Domestic Adoption Act of 1998 (Republic Act No. 8552). Adoption does not, however, change the eligibility for marriage of pre-existing family ties, even in spite of this newly created legal tie. Any modifications to the adopted child's eligibility for marriage are not specifically addressed by the adoption laws. The biological family ties do not alter, even though the adoptive parents and the adopted child have a legal parent-child relationship. Because of this, the adopted child is still regarded as a relative to the extent of their consanguinity or affinity to their biological family, which may have an impact on their ability to marry.</t>
  </si>
  <si>
    <t>Binabago ba ng pag-aampon ang anumang umiiral na ugnayan ng pamilya na nakakaapekto sa pagiging karapat-dapat sa kasal?</t>
  </si>
  <si>
    <t>Ang pag-aampon sa Pilipinas ay lumilikha ng isang legal na relasyon ng magulang-anak sa pagitan ng mga magulang na nag-ampon at mga ampon, at kinokontrol ng mga batas tulad ng Domestic Adoption Act of 1998 (Republic Act No. 8552). Ang pag-ampon, gayunpaman, ay hindi nagbabago sa pagiging karapat-dapat para sa kasal ng mga dati nang ugnayan ng pamilya, kahit na sa kabila ng bagong likhang legal na ugnayang ito. Ang anumang mga pagbabago sa pagiging karapat-dapat ng pinagtibay na bata para sa kasal ay hindi partikular na tinutugunan ng mga batas sa pag-aampon. Ang mga biyolohikal na ugnayan ng pamilya ay hindi nagbabago, kahit na ang adoptive parents at ang adopted child ay may legal na relasyon ng magulang-anak. Dahil dito, ang pinagtibay na anak ay itinuturing pa rin bilang isang kamag-anak sa lawak ng kanilang consanguinity o affinity sa kanilang biological na pamilya, na maaaring magkaroon ng epekto sa kanilang kakayahang mag-asawa.</t>
  </si>
  <si>
    <t>Is there a standard format or template for pre-nuptial agreements, and what specific clauses are legally enforceable?</t>
  </si>
  <si>
    <t>In the Philippines, prenuptial agreements, or prenups, are legally recognized tools for managing property relations within the constraints set by the Family Code. To be valid, a prenup must be entered into voluntarily, in writing, notarized, and duly recorded in the local civil registry and the Registry of Property. It can be challenged and dismissed for reasons such as lack of consent, coercion, mistakes, fraud, undue influence, or bad faith. Standard prenuptial agreements typically include a detailed inventory of assets, the distinction between individual and shared assets, provisions for asset management during the marriage, and guidelines for asset distribution in the event of divorce or legal separation. The Family Code offers specific property regimes that couples can adopt, including the Regime of Absolute Community, where all properties owned by both spouses are considered communal, the Regime of Conjugal Partnership of Gains, which combines proceeds and income, and the Regime of Separation of Property, allowing spouses to independently own, administer, and dispose of their individual estates without mutual consent.</t>
  </si>
  <si>
    <t>Mayroon bang karaniwang format o template para sa mga pre-nuptial agreement, at anong mga partikular na clause ang legal na maipapatupad?</t>
  </si>
  <si>
    <t>Sa Pilipinas, ang mga prenuptial agreement, o prenups, ay legal na kinikilalang mga tool para sa pamamahala ng mga relasyon sa ari-arian sa loob ng mga hadlang na itinakda ng Family Code. Upang maging wasto, ang isang prenup ay dapat na pumasok sa kusang-loob, sa pamamagitan ng pagsulat, notarized, at nararapat na naitala sa local civil registry at sa Registry of Property. Maaari itong hamunin at i-dismiss para sa mga kadahilanan tulad ng kawalan ng pahintulot, pamimilit, pagkakamali, pandaraya, hindi nararapat na impluwensya, o masamang pananampalataya. Karaniwang kasama sa mga karaniwang kasunduan sa prenuptial ang isang detalyadong imbentaryo ng mga asset, ang pagkakaiba sa pagitan ng indibidwal at nakabahaging mga asset, mga probisyon para sa pamamahala ng asset sa panahon ng kasal, at mga alituntunin para sa pamamahagi ng asset sa kaganapan ng diborsyo o legal na paghihiwalay. Nag-aalok ang Family Code ng mga partikular na rehimen ng ari-arian na maaaring gamitin ng mga mag-asawa, kabilang ang Regime of Absolute Community, kung saan ang lahat ng ari-arian na pagmamay-ari ng parehong mag-asawa ay itinuturing na communal, ang Regime of Conjugal Partnership of Gains, na pinagsasama ang mga nalikom at kita, at ang Regime of Separation of Ari-arian, na nagpapahintulot sa mga mag-asawa na mag-isa na magmay-ari, mangasiwa, at magtapon ng kanilang mga indibidwal na ari-arian nang walang pahintulot ng isa't isa.</t>
  </si>
  <si>
    <t>Can marriage licenses be obtained online or through electronic applications?</t>
  </si>
  <si>
    <t>You can order a copy of your marriage certificate online if you don't have the time to go out and complete the application in person. The PSA has authorised PSAHelpline.ph as a platform to provide online PSA marriage certificates and to assist with the application process.</t>
  </si>
  <si>
    <t>Maaari bang makakuha ng mga lisensya sa kasal online o sa pamamagitan ng mga elektronikong aplikasyon?</t>
  </si>
  <si>
    <t>Maaari kang mag-order ng kopya ng iyong sertipiko ng kasal online kung wala kang oras upang lumabas at kumpletuhin ang aplikasyon nang personal. Pinahintulutan ng PSA ang PSAHelpline.ph bilang isang plataporma para magbigay ng online PSA marriage certificate at para tumulong sa proseso ng aplikasyon.</t>
  </si>
  <si>
    <t>What alternative procedures exist for applying for a marriage license in remote areas or under special circumstances?</t>
  </si>
  <si>
    <t>In the Philippines, couples who have cohabited as husband and wife for a minimum of five years without any legal hindrance to marrying each other have the option to marry without obtaining a traditional marriage license. Instead, they must submit a notarized Affidavit of Joint Cohabitation, which includes details such as the names of the couple, their shared address, the commencement date of their cohabitation, and a declaration of continuous living together without interruption for five years. The affidavit should also affirm the absence of legal issues between the couple and assert that there has been no third party involved in their relationship since they started living together. Additionally, if the couple has children, the affidavit can include the names and birth details of their children. This alternative process streamlines the marriage procedure for long-term cohabiting couples in the absence of any legal impediments.</t>
  </si>
  <si>
    <t>Anong mga alternatibong pamamaraan ang umiiral para sa pag-aaplay para sa lisensya ng kasal sa mga malalayong lugar o sa ilalim ng mga espesyal na pangyayari?</t>
  </si>
  <si>
    <t>Sa Pilipinas, ang mga mag-asawang nagsasama bilang mag-asawa nang hindi bababa sa limang taon nang walang anumang legal na hadlang sa pag-aasawa sa isa't isa ay may opsyon na magpakasal nang hindi kumukuha ng tradisyunal na lisensya sa pag-aasawa. Sa halip, dapat silang magsumite ng notarized Affidavit of Joint Cohabitation , na kinabibilangan ng mga detalye tulad ng mga pangalan ng mag-asawa, kanilang ibinahaging tirahan, petsa ng pagsisimula ng kanilang pagsasama, at isang deklarasyon ng patuloy na pagsasama-sama nang walang pagkaantala sa loob ng limang taon. Dapat ding pagtibayin ng affidavit ang kawalan ng mga legal na isyu sa pagitan ng mag-asawa at Iginiit na walang third party na kasali sa kanilang relasyon mula noong nagsimula silang magsama. Bukod pa rito, kung ang mag-asawa ay may mga anak, maaaring isama sa affidavit ang mga pangalan at mga detalye ng kapanganakan ng kanilang mga anak. Ang alternatibong prosesong ito ay nag-streamline sa pamamaraan ng kasal para sa pangmatagalang magkakasamang mag-asawa sa kawalan ng anumang legal na hadlang.</t>
  </si>
  <si>
    <t>Do specific documents or certifications need to be presented if either spouse is a foreign national or resident?</t>
  </si>
  <si>
    <t>For a foreign national or resident intending to marry in the Philippines, certain documents and certifications are essential. A crucial requirement is the Certificate of Legal Capacity to Contract Marriage, affirming the foreigner's eligibility for marriage without legal impediments. Alternatively, an Affidavit In Lieu of Certificate of Legal Capacity to Marry can be submitted, providing a sworn statement on the foreigner's single status, details of prior marriages, and proof of citizenship. The foreign national must also present a valid passport and, in some cases, a copy of their birth certificate. It's important to note that specific requirements may vary based on the foreign national's home country, necessitating verification with the local civil registrar or the embassy/consulate of the foreign national in the Philippines for accurate and up-to-date information.</t>
  </si>
  <si>
    <t>Kailangan bang ipakita ang mga partikular na dokumento o sertipikasyon kung ang asawa ay dayuhan o residente?</t>
  </si>
  <si>
    <t>Para sa isang dayuhan o residente na nagnanais na magpakasal sa Pilipinas, ang ilang mga dokumento at sertipikasyon ay mahalaga. Ang isang mahalagang kinakailangan ay ang Certificate of Legal Capacity to Contract Marriage, na nagpapatunay sa pagiging karapat-dapat ng dayuhan para sa kasal nang walang legal na mga hadlang. Bilang kahalili, maaaring magsumite ng Affidavit In Lieu of Certificate of Legal Capacity to Marry, na nagbibigay ng sinumpaang salaysay sa single status ng dayuhan, mga detalye ng mga naunang kasal, at patunay ng pagkamamamayan. Ang dayuhan ay dapat ding magpakita ng isang balidong pasaporte at, sa ilang mga kaso, isang kopya ng kanilang sertipiko ng kapanganakan. Mahalagang tandaan na ang mga partikular na kinakailangan ay maaaring mag-iba batay sa sariling bansa ng dayuhan, na nangangailangan ng pagpapatunay sa lokal na rehistro ng sibil o sa embahada/konsulado ng dayuhan sa Pilipinas para sa tumpak at napapanahong impormasyon.</t>
  </si>
  <si>
    <t>Beyond accredited religious ministers, what other individuals or entities can legally officiate a marriage ceremony?</t>
  </si>
  <si>
    <t>A solemnising officer (SO) in the Philippines is a civil leader or a member of their church who is authorised to perform marriages. Priests, mayors, judges, generals in the armed forces, and pastors are examples of this. They need to have a Certificate of Registration of Authority to Solemnise Marriage and be registered with the Civil Registrar General in order to solemnise. The Solemnising Officers Information System database can be used for verification. Mayors and judges can perform civil weddings; military commanders and religious leaders can perform religious weddings under certain conditions.</t>
  </si>
  <si>
    <t>Higit pa sa mga kinikilalang ministro ng relihiyon, anong iba pang mga indibidwal o entity ang maaaring legal na mangasiwa ng seremonya ng kasal?</t>
  </si>
  <si>
    <t>Ang solemnising officer (SO) sa Pilipinas ay isang pinunong sibil o miyembro ng kanilang simbahan na awtorisadong magsagawa ng kasal. Ang mga pari, mayor, hukom, heneral sa hukbong sandatahan, at mga pastor ay mga halimbawa nito. Kailangan nilang magkaroon ng Certificate of Registration of Authority to Solemnise Marriage at mairehistro sa Civil Registrar General para makapag-solemnise. Ang database ng Solemnising Officers Information System ay maaaring gamitin para sa pagpapatunay. Ang mga alkalde at hukom ay maaaring magsagawa ng mga kasalang sibil; ang mga kumander ng militar at mga pinuno ng relihiyon ay maaaring magsagawa ng mga relihiyosong kasal sa ilalim ng ilang mga kundisyon.</t>
  </si>
  <si>
    <t>Are there special regulations or requirements for non-traditional or alternative wedding ceremonies?</t>
  </si>
  <si>
    <t>Combining different religious backgrounds is a common practice in non-traditional or alternative wedding ceremonies in the Philippines, such as interfaith and mixed-religion unions. Interfaith weddings combine the customs of both religions for a single celebration of marriage. Such weddings are complicated to plan, needing to follow the unique customs of each religion and fulfil the demands of the Philippine government as well as the churches. On the other hand, civil weddings give couples a quick and inexpensive way to get married, regardless of their religious beliefs.</t>
  </si>
  <si>
    <t>Mayroon bang mga espesyal na regulasyon o kinakailangan para sa hindi tradisyonal o alternatibong seremonya ng kasal?</t>
  </si>
  <si>
    <t>Ang pagsasama-sama ng iba't ibang relihiyon ay isang karaniwang gawain sa mga di-tradisyonal o alternatibong mga seremonya ng kasal sa Pilipinas, tulad ng interfaith at mixed-religion union. Pinagsasama ng mga kasalang interfaith ang mga kaugalian ng parehong relihiyon para sa iisang pagdiriwang ng kasal. Ang ganitong mga kasalan ay masalimuot sa pagpaplano, na kailangang sundin ang mga natatanging kaugalian ng bawat relihiyon at tuparin ang mga hinihingi ng gobyerno ng Pilipinas pati na rin ng mga simbahan. Sa kabilang banda, ang mga kasalang sibil ay nagbibigay sa mga mag-asawa ng mabilis at murang paraan upang magpakasal, anuman ang kanilang mga paniniwala sa relihiyon.</t>
  </si>
  <si>
    <t>What happens if a marriage ceremony is not properly officiated or documented?</t>
  </si>
  <si>
    <t>Under Philippine law, a marriage that is performed solemnly at home without a formal ceremony officiated by a solemnising officer or a marriage licence is generally not regarded as legal.</t>
  </si>
  <si>
    <t>Ano ang mangyayari kung ang seremonya ng kasal ay hindi maayos na pinangasiwaan o naidokumento?</t>
  </si>
  <si>
    <t>Sa ilalim ng batas ng Pilipinas, ang kasal na isinagawa nang taimtim sa tahanan nang walang pormal na seremonya na pinangangasiwaan ng opisyal ng solemnising o lisensya sa kasal ay karaniwang hindi itinuturing na legal.</t>
  </si>
  <si>
    <t>Can civil ceremonies be conducted abroad and recognized in the Philippines?</t>
  </si>
  <si>
    <t>Indeed. Article 26 of the Philippine Family Code states that a marriage consummated outside of the country is lawful in the Philippines as long as it is lawful in the country of origin. As a result, if an online marriage ceremony performed in the US is recognised there, it will also be recognised in the Philippines.</t>
  </si>
  <si>
    <t>Maaari bang isagawa ang mga seremonyang sibil sa ibang bansa at kilalanin sa Pilipinas?</t>
  </si>
  <si>
    <t>Sa totoo lang. Nakasaad sa Article 26 ng Philippine Family Code na ang kasal sa labas ng bansa ay legal sa Pilipinas basta ito ay legal sa bansang pinagmulan. Dahil dito, kung ang online marriage ceremony na ginanap sa US ay kikilalanin doon, kikilalanin din ito sa Pilipinas.</t>
  </si>
  <si>
    <t>Beyond nullity grounds like misrepresentation or bigamy, are there specific circumstances where a valid marriage can be dissolved through other legal means?</t>
  </si>
  <si>
    <t>There are various legal ways to dissolve a marriage in the Philippines. Null marriages are those that do not meet formal or necessary requirements. Psychological incapacity, as outlined in Article 36 of the Family Code, serves as another ground for nullity. When at least one spouse was not Filipino at the time of the divorce, the divorce can be recognised as having occurred abroad. Married couples can choose to live apart without ending their marriage by filing for legal separation; however, this option does not allow for remarriage within the Philippines. These legal channels provide a range of choices for people looking to dissolve their marriages in line with Philippine family law.</t>
  </si>
  <si>
    <t>Higit pa sa nullity grounds tulad ng misrepresentation o bigamy, mayroon bang mga partikular na sitwasyon kung saan maaaring matunaw ang isang balidong kasal sa pamamagitan ng iba pang legal na paraan?</t>
  </si>
  <si>
    <t>Mayroong iba't ibang mga legal na paraan upang mabuwag ang kasal sa Pilipinas. Ang mga null marriage ay yaong hindi nakakatugon sa pormal o kinakailangang mga kinakailangan. Ang psychological incapacity, gaya ng nakabalangkas sa Article 36 ng Family Code, ay nagsisilbing isa pang batayan para sa nullity. Kapag ang hindi bababa sa isang asawa ay hindi Pilipino sa oras ng diborsyo, ang diborsyo ay maaaring kilalanin bilang nangyari sa ibang bansa. Maaaring piliin ng mga mag-asawa na manirahan nang hiwalay nang hindi tinatapos ang kanilang kasal sa pamamagitan ng paghahain ng legal na paghihiwalay; gayunpaman, hindi pinapayagan ng opsyong ito ang muling pag-aasawa sa loob ng Pilipinas. Ang mga legal na channel na ito ay nagbibigay ng hanay ng mga pagpipilian para sa mga taong nagnanais na buwagin ang kanilang mga kasal alinsunod sa batas ng pamilya ng Pilipinas.</t>
  </si>
  <si>
    <t>What legal procedures and evidence are required to prove grounds for annulment or separation?</t>
  </si>
  <si>
    <t>The grounds for the annulment of marriage in the Philippines must have existed at the time of the marriage and include lack of parental consent, insanity, fraud, duress, impotence, and serious and incurable sexually transmissible disease, as specified in the Family Code, Article 45.</t>
  </si>
  <si>
    <t>Anong mga legal na pamamaraan at ebidensya ang kinakailangan upang patunayan ang mga batayan para sa annulment o paghihiwalay?</t>
  </si>
  <si>
    <t>Ang mga batayan para sa pagpapawalang-bisa ng kasal sa Pilipinas ay dapat na umiral sa panahon ng kasal at kasama ang kawalan ng pahintulot ng magulang, pagkabaliw, pandaraya, pamimilit, kawalan ng lakas, at malubha at walang lunas na sakit na nakukuha sa pakikipagtalik, gaya ng tinukoy sa Family Code, Article 45.</t>
  </si>
  <si>
    <t>Are there legal protections for child custody and financial security during separation proceedings?</t>
  </si>
  <si>
    <t>In cases of child custody, the innocent spouse is generally awarded custody, with a preference for keeping children under 7 years with the mother unless compelling reasons dictate otherwise. The custody arrangement during legal proceedings is determined by a written agreement or court order based on the child's best interest. The court's order of preference considers both parents jointly, then surviving grandparents, eldest siblings over 21, or any other suitable person deemed by the court. Support during legal proceedings is governed by agreement or the Absolute Community of Property/Conjugal Partnership of Gains. After the decree, the court may order either parent to provide support proportionate to their means and the recipient's necessities. Spousal support is considered an advance, subject to adjustment or restitution based on circumstances and financial capability. Importantly, a judgment granting support remains modifiable according to changing circumstances.</t>
  </si>
  <si>
    <t>Mayroon bang mga legal na proteksyon para sa pag-iingat ng bata at seguridad sa pananalapi sa panahon ng mga paglilitis sa paghihiwalay?</t>
  </si>
  <si>
    <t>Sa mga kaso ng child custody, ang inosenteng asawa ay karaniwang iginagawad ng custody, na may kagustuhan na panatilihin ang mga batang wala pang 7 taong gulang kasama ng ina maliban kung iba ang idinidikta ng mga mapanghikayat na dahilan. Ang pag-aayos ng kustodiya sa panahon ng mga legal na paglilitis ay tinutukoy ng isang nakasulat na kasunduan o utos ng hukuman batay sa pinakamahusay na interes ng bata. Isinasaalang-alang ng order of preference ng korte ang parehong mga magulang, pagkatapos ay ang mga nabubuhay na lolo't lola, mga pinakamatandang kapatid na higit sa 21, o sinumang iba pang angkop na tao na itinuring ng korte. Ang suporta sa panahon ng mga legal na paglilitis ay pinamamahalaan ng kasunduan o ng Absolute Community of Property/Conjugal Partnership of Gains. Pagkatapos ng utos, maaaring utusan ng korte ang alinman sa magulang na magbigay ng suporta na naaayon sa kanilang kaya at mga pangangailangan ng tatanggap. Ang suporta sa asawa ay itinuturing na isang advance, napapailalim sa pagsasaayos o pagsasauli batay sa mga pangyayari at kakayahan sa pananalapi. Mahalaga, ang isang paghatol na nagbibigay ng suporta ay nananatiling nababago ayon sa nagbabagong mga pangyayari.</t>
  </si>
  <si>
    <t>What legal rights and obligations remain in place for co-parenting or shared parental responsibilities after separation?</t>
  </si>
  <si>
    <t>The Family Code of the Philippines outlines the principles of parental authority and guardianship. According to Article 209, parental authority encompasses the natural right and duty of parents to care for, rear, and develop the moral, mental, and physical well-being of their unemancipated children. This authority cannot be renounced or transferred, except as authorized by law (Article 210). Jointly, both parents exercise parental authority over their common children, with the father's decision prevailing in case of disagreement, unless a judicial order states otherwise (Article 211). In the absence or death of either parent, the present parent continues to exercise authority, unaffected by the remarriage of the surviving parent, unless the court appoints another guardian. In cases of parental separation, the court designates the parent with authority, considering the choice of the child over seven years old, unless deemed unfit (Article 213). Grandparents can assume substitute parental authority in specific situations, such as death, absence, or unsuitability of parents, with the court designating the suitable grandparent. In the absence of parents or a court-appointed guardian, the surviving grandparent, the eldest sibling over 21, or the child's actual custodian over 21 may exercise substitute parental authority, following a specified order of preference (Articles 214 and 216).</t>
  </si>
  <si>
    <t>Anong mga legal na karapatan at obligasyon ang nananatili para sa co-parenting o shared parental responsibilities pagkatapos ng paghihiwalay?</t>
  </si>
  <si>
    <t>Ang Family Code of the Philippines ay nagbabalangkas sa mga prinsipyo ng parental authority at guardianship. Ayon sa Artikulo 209, ang awtoridad ng magulang ay sumasaklaw sa likas na karapatan at tungkulin ng mga magulang na pangalagaan, palakihin, at paunlarin ang moral, mental, at pisikal na kapakanan ng kanilang mga anak na hindi pinalaya. Ang awtoridad na ito ay hindi maaaring talikuran o ilipat, maliban kung pinapahintulutan ng batas (Artikulo 210). Magkasama, ang parehong mga magulang ay gumagamit ng awtoridad ng magulang sa kanilang mga karaniwang anak, kung saan ang desisyon ng ama ang mangingibabaw sa kaso ng hindi pagkakasundo, maliban kung iba ang isinasaad ng isang hudisyal na utos (Artikulo 211). Sa kawalan o pagkamatay ng alinmang magulang, ang kasalukuyang magulang ay patuloy na nagsasagawa ng awtoridad, na hindi naaapektuhan ng muling pag-aasawa ng nabubuhay na magulang, maliban kung ang hukuman ay humirang ng ibang tagapag-alaga. Sa mga kaso ng paghihiwalay ng magulang, itinalaga ng korte ang magulang na may awtoridad, na isinasaalang-alang ang pagpili ng bata na higit sa pitong taong gulang, maliban kung itinuring na hindi karapat-dapat (Artikulo 213). Ang mga lolo't lola ay maaaring kumuha ng kapalit na awtoridad ng magulang sa mga partikular na sitwasyon, tulad ng pagkamatay, kawalan, o hindi pagiging angkop ng mga magulang, kung saan itinalaga ng korte ang angkop na lolo't lola. Kung wala ang mga magulang o isang tagapag-alaga na hinirang ng hukuman, ang nabubuhay na lolo't lola, ang panganay na kapatid na higit sa 21, o ang aktwal na tagapag-alaga ng bata na higit sa 21 ay maaaring gumamit ng kapalit na awtoridad ng magulang, kasunod ng isang tinukoy na utos ng kagustuhan (Mga Artikulo 214 at 216).</t>
  </si>
  <si>
    <t>Can marriages performed in indigenous communities or following customary practices hold legal validity?</t>
  </si>
  <si>
    <t>Marriages performed in indigenous communities or in line with customary practices are valid legally in the Philippines. These traditional unions are frequently in accordance with the fundamental requirements for marriage stipulated by national legislation, despite differences in the ceremonies, attesting, and registration procedures. Certificates of Tribal Marriage (CTMs) can be granted by the National Commission on Indigenous Peoples (NCIP), which was established by the Indigenous Peoples Rights Act of 1997 (Republic Act No. 8371). Civil laws recognise the legal validity of these certificates. Furthermore, marriages consummated outside of the Philippines are acknowledged as long as they remain lawful in the nation in which they were celebrated. This acknowledgement illustrates how national marriage laws in the Philippines coexist with indigenous customs.</t>
  </si>
  <si>
    <t>Maaari bang magkaroon ng legal na bisa ang mga kasal na ginawa sa mga katutubong komunidad o pagsunod sa mga kaugalian?</t>
  </si>
  <si>
    <t>Ang mga kasal na isinagawa sa mga katutubong komunidad o alinsunod sa mga nakaugalian na gawain ay legal na may bisa sa Pilipinas. Ang mga tradisyunal na unyon na ito ay madalas na naaayon sa mga pangunahing kinakailangan para sa kasal na itinakda ng pambansang batas, sa kabila ng mga pagkakaiba sa mga seremonya, pagpapatotoo, at mga pamamaraan ng pagpaparehistro. Ang mga Certificate of Tribal Marriage (CTMs) ay maaaring ibigay ng National Commission on Indigenous Peoples (NCIP), na itinatag ng Indigenous Peoples Rights Act of 1997 (Republic Act No. 8371). Kinikilala ng mga batas sibil ang legal na bisa ng mga sertipikong ito. Higit pa rito, ang mga kasal na ginawa sa labas ng Pilipinas ay kinikilala hangga't sila ay nananatiling legal sa bansa kung saan sila ipinagdiwang. Ang pagkilalang ito ay naglalarawan kung paano nabubuhay ang mga pambansang batas sa kasal sa Pilipinas sa mga katutubong kaugalian.</t>
  </si>
  <si>
    <t>What legal provisions exist for protecting marriages from exploitation or coercion, especially in vulnerable communities?</t>
  </si>
  <si>
    <t>In the Philippines, domestic violence is addressed primarily by Republic Act No. 9262, known as the Anti-Violence Against Women and Their Children Act of 2004. This legislation recognizes various forms of violence against women and their children, encompassing physical, sexual, psychological harm, and economic abuse. Perpetrators may face criminal charges under the Revised Penal Code, including crimes such as rape, acts of lasciviousness, and physical injuries. The country also addresses trafficking in persons, including forced labor and sexual exploitation, through the Expanded Anti-Trafficking in Persons Act of 2012. Legislation like the Anti-Sexual Harassment Act and the Safe Spaces Act specifically addresses sexual harassment in various settings. Pending bills aim to enhance legal measures, such as granting additional leaves for victims of domestic violence and proposing absolute divorce. The Family Courts, designated under the Family Courts Act of 1997, handle cases of domestic violence, providing special remedies, restraining orders, and support orders. Notable court decisions underscore the importance of the VAWC Act and the jurisdiction of Philippine courts over offenses even when committed abroad. Overall, the legal framework addresses domestic violence comprehensively, considering constitutional freedoms and international human rights instruments.</t>
  </si>
  <si>
    <t>Anong mga legal na probisyon ang umiiral para sa pagprotekta sa mga pag-aasawa mula sa pagsasamantala o pamimilit, lalo na sa mga mahihinang komunidad?</t>
  </si>
  <si>
    <t>Sa Pilipinas, ang karahasan sa tahanan ay pangunahing tinutugunan ng Republic Act No. 9262, na kilala bilang Anti-Violence Against Women and Their Children Act of 2004. Kinikilala ng batas na ito ang iba't ibang anyo ng karahasan laban sa kababaihan at kanilang mga anak, na sumasaklaw sa pisikal, sekswal, sikolohikal. pinsala, at pang-aabuso sa ekonomiya. Maaaring harapin ng mga salarin ang mga kasong kriminal sa ilalim ng Revised Penal Code, kabilang ang mga krimen tulad ng rape, acts of lasciviousness, at physical injuries. Tinutugunan din ng bansa ang trafficking ng mga tao, kabilang ang forced labor at sexual exploitation, sa pamamagitan ng Expanded Anti-Trafficking in Persons Act of 2012. Ang batas tulad ng Anti-Sexual Harassment Act at Safe Spaces Act ay partikular na tumutugon sa sekswal na panliligalig sa iba't ibang setting. Ang mga nakabinbing panukalang batas ay naglalayong pahusayin ang mga legal na hakbang, tulad ng pagbibigay ng karagdagang mga leave para sa mga biktima ng karahasan sa tahanan at pagmumungkahi ng ganap na diborsiyo. Ang Family Courts, na itinalaga sa ilalim ng Family Courts Act of 1997, ay humahawak ng mga kaso ng karahasan sa tahanan, nagbibigay ng mga espesyal na remedyo, mga restraining order, at mga utos ng suporta. Binibigyang-diin ng mga kapansin-pansing desisyon ng korte ang kahalagahan ng VAWC Act at ang hurisdiksyon ng mga korte sa Pilipinas sa mga pagkakasala kahit na ginawa sa ibang bansa. Sa pangkalahatan, ang ligal na balangkas ay tumutugon sa karahasan sa tahanan nang komprehensibo, isinasaalang-alang ang mga kalayaan sa konstitusyon at mga internasyonal na instrumento sa karapatang pantao.</t>
  </si>
  <si>
    <t>Are there legal resources or support programs available for individuals facing difficulties or legal issues related to marriage?</t>
  </si>
  <si>
    <t>In the Philippines, despite constitutional mandates for free access to justice, there are challenges in providing effective legal assistance to the majority. Only 20% of Filipinos have accessed legal help, with reasons including cost, inconvenience, time constraints, and limited contact with lawyers. Vulnerable demographics, such as overseas Filipino workers, persons with disabilities, and indigent clients, face additional barriers. Pro bono work is encouraged through laws granting tax deductions, the Public Attorney’s Office, and legal aid programs. Law schools and the Integrated Bar of the Philippines contribute to pro bono services. However, practical difficulties, including financial constraints for lawyers and logistical challenges for clients, hinder widespread success. The COVID-19 pandemic has prompted innovations like online platforms for free legal consultation, presenting opportunities for more accessible legal aid if further judiciary initiatives are implemented, such as online filing and remote processes.</t>
  </si>
  <si>
    <t>Mayroon bang mga legal na mapagkukunan o mga programa ng suporta na magagamit para sa mga indibidwal na nahaharap sa mga paghihirap o legal na isyu na may kaugnayan sa kasal?</t>
  </si>
  <si>
    <t>Sa Pilipinas, sa kabila ng mga utos ng konstitusyon para sa libreng pag-access sa hustisya, may mga hamon sa pagbibigay ng epektibong legal na tulong sa karamihan. 20% lamang ng mga Pilipino ang naka-access ng legal na tulong, na may mga dahilan kabilang ang gastos, abala, limitasyon sa oras, at limitadong pakikipag-ugnayan sa Mga abogado. Ang mga mahihinang demograpiko, gaya ng mga overseas Filipino worker, mga taong may kapansanan, at mga mahihirap na kliyente, ay nahaharap sa mga karagdagang hadlang. Ang pro bono na trabaho ay hinihikayat sa pamamagitan ng mga batas na nagbibigay ng mga bawas sa buwis, Public Attorney's Office, at mga programang legal aid. Law schools and the Integrated Bar of the Philippines ay nag-aambag sa mga serbisyong pro bono. Gayunpaman, ang mga praktikal na paghihirap, kabilang ang mga paghihigpit sa pananalapi para sa mga abogado at logistical challenges para sa mga kliyente, ay humahadlang sa malawakang tagumpay. legal aid kung ang karagdagang mga hakbangin ng hudikatura ay ipinatupad, tulad ng online na pag-file at malalayong proseso.</t>
  </si>
  <si>
    <t>How do recent legal developments or amendments to family law in the Philippines affect existing marriages or future applications?</t>
  </si>
  <si>
    <t>Family law in the Philippines has undergone substantial modifications as a result of recent legal developments. Republic Act No. 8972 is amended by the Expanded Solo Parents Welfare Act (Republic Act No. 11861), which provides additional benefits to single parents. The Family Code is being amended to remove disparities between spouses regarding parental authority, community property management, and consent from parents. Businesses that arrange marriages or cohabitation between Filipinos and foreigners are forbidden by the Anti-Mail Order Spouse Law, which also imposes severe fines and jail time on offenders. A new law also attempts to make adoption easier for Filipinos. These legal updates are an attempt to bring the Philippines' marriage and family law framework up to date and in line with current events and practices.</t>
  </si>
  <si>
    <t>Paano naaapektuhan ng mga kamakailang legal na pag-unlad o pagbabago sa batas ng pamilya sa Pilipinas ang mga kasalukuyang kasal o mga aplikasyon sa hinaharap?</t>
  </si>
  <si>
    <t>Ang batas ng pamilya sa Pilipinas ay sumailalim sa malalaking pagbabago bilang resulta ng kamakailang mga legal na pag-unlad. Ang Republic Act No. 8972 ay sinusugan ng Expanded Solo Parents Welfare Act (Republic Act No. 11861), na nagbibigay ng mga karagdagang benepisyo sa mga solong magulang. Ang Family Code ay sinusugan upang alisin ang mga pagkakaiba sa pagitan ng mga mag-asawa tungkol sa awtoridad ng magulang, pamamahala ng ari-arian ng komunidad, at pahintulot mula sa mga magulang. Ipinagbabawal ng Anti-Mail Order Spouse Law ang mga negosyong nag-aayos ng kasal o pagsasama sa pagitan ng mga Pilipino at dayuhan, na nagpapataw din ng matinding multa at oras ng pagkakakulong sa mga nagkasala. Sinusubukan din ng isang bagong batas na gawing mas madali ang pag-aampon para sa mga Pilipino. Ang mga legal na update na ito ay isang pagtatangka na gawing napapanahon ang balangkas ng kasal at batas sa pamilya ng Pilipinas at naaayon sa mga kasalukuyang kaganapan at gawi.</t>
  </si>
  <si>
    <t>Can I still ask for a lawyer even if I committed a Crime?</t>
  </si>
  <si>
    <t>Yes, you absolutely have the right to ask for a lawyer even if you committed a crime. In fact, it is in your best interest to do so, regardless of whether you believe you are innocent or guilty. Here's why:
Your right to an attorney is protected by law.
The Philippine Constitution guarantees the right to counsel in Article III, Section 14: "Section 14. (1) No person shall be deprived of the liberty of life, liberty or property without due process of law, nor shall be denied the equal protection of the laws. (2) The right of the people to peaceably assemble and petition the government for redress of grievances shall not be abridged. (3) The right of the people to information is recognized. Access to official records and to documents and papers pertaining to official acts, transactions, or decisions, as well as to government research data used as basis for policy development, shall be afforded the citizen, subject to such limitations as may be provided by law. (4) The right of the people to security of person and privacy shall be respected and shall be free from unreasonable searches and seizures of one's person, houses, papers, effects, and communications. Any warrant issued for the arrest of a person or for the search and seizure of one's property shall be based on probable cause.
The Anti-Wiretapping Act also affirms the right to an attorney during interrogation: "Section 5. No person shall be subjected to an interrogation to elicit any information or confession from him... unless he is assisted by a lawyer of his own choice or by a lawyer provided by the State." A lawyer can protect your rights and ensure you are treated fairly. They can advise you on your Miranda rights, such as the right to remain silent and the right to an attorney. They can help you understand the charges against you and the potential consequences. They can negotiate with the prosecution on your behalf and try to get you a better deal. They can represent you in court and fight for your best interests. Having a lawyer does not mean you are automatically admitting guilt. It simply means you are exercising your right to a fair trial and protecting your legal interests.
In fact, having a lawyer can often improve your chances of getting a lighter sentence or even having the charges against you dropped.</t>
  </si>
  <si>
    <t>Maaari pa din ba akong kumuha ng abogado kahit nakagawa ako ng anumang krimen?</t>
  </si>
  <si>
    <t>Oo, talagang may karapatan kang humingi ng abogado kahit na nakagawa ka ng krimen. Sa katunayan, ito ay para sa iyong pinakamahusay na interes na gawin ito, hindi alintana kung naniniwala ka na ikaw ay inosente o nagkasala. Narito kung bakit:
Ang iyong karapatan sa isang abogado ay protektado ng batas.
Ang Saligang Batas ng Pilipinas ay ginagarantiyahan ang karapatang magpayo sa Artikulo III, Seksyon 14: "Seksyon 14. (1) Walang sinumang tao ang dapat alisan ng kalayaan ng buhay, kalayaan o ari-arian nang walang angkop na proseso ng batas, at hindi rin dapat pagkakaitan ng pantay na proteksyon ng ang mga batas.(2) Ang karapatan ng mga tao na mapayapang magtipun-tipon at magpetisyon sa pamahalaan para sa pagtugon sa mga hinaing ay hindi dapat paikliin. (4) Ang karapatan ng mga tao sa seguridad ng tao at pagkapribado ay dapat igalang at dapat na malaya mula sa hindi makatwirang paghahalughog at pagsamsam ng isang tao, bahay, papel, epekto, at komunikasyon. Anumang warrant na inilabas para sa pag-aresto sa isang tao o para sa ang paghahanap at pag-agaw ng ari-arian ng isang tao ay dapat batay sa maaaring dahilan.
Pinagtitibay din ng Anti-Wiretapping Act ang karapatan sa isang abogado sa panahon ng interogasyon: "Seksyon 5. Walang tao ang dapat isailalim sa isang interogasyon upang makakuha ng anumang impormasyon o pag-amin mula sa kanya... maliban kung siya ay tinulungan ng isang abogado na kanyang pinili o ng isang abogado na ibinigay ng Estado." Maaaring protektahan ng isang abogado ang iyong mga karapatan at matiyak na tinatrato ka nang patas. Maaari ka nilang payuhan sa iyong mga karapatan sa Miranda, tulad ng karapatang manatiling tahimik at karapatan sa isang abogado. Matutulungan ka nilang maunawaan ang mga paratang laban sa iyo at ang mga potensyal na kahihinatnan. Maaari silang makipag-ayos sa prosekusyon para sa iyo at subukang makakuha ng mas mahusay na pakikitungo sa iyo. Maaari silang kumatawan sa iyo sa korte at ipaglaban ang iyong pinakamahusay na interes. Ang pagkakaroon ng abogado ay hindi nangangahulugan na awtomatiko kang umaamin Pagkakasala. Nangangahulugan lamang ito na ginagamit mo ang iyong karapatan sa isang patas na paglilitis at pinoprotektahan ang iyong mga legal na interes.
Sa katunayan, ang pagkakaroon ng abogado ay kadalasang maaaring mapabuti ang iyong mga pagkakataong makakuha ng mas magaan na sentensiya o kahit na ang mga singil laban sa iyo ay ibinaba.</t>
  </si>
  <si>
    <t>Can the police use evidence they obtained illegally against me?</t>
  </si>
  <si>
    <t>In the Philippines, whether evidence obtained illegally can be used against you in court depends on the specific circumstances of the case, but there are crucial principles at play:
Exclusionary Rule: The Philippine legal system upholds the Exclusionary Rule, which generally prevents illegally obtained evidence from being presented in court. This protects your right to privacy and ensures fairness in the judicial process.
Exceptions to the Exclusionary Rule: However, there are some exceptions to the Exclusionary Rule. Evidence may still be admissible in court even if it was obtained illegally if:
The error in obtaining the evidence was made in "good faith" by the police, meaning they were not acting intentionally or recklessly.
The "fruit of the poisonous tree" doctrine does not apply, meaning the illegally obtained evidence did not lead to the discovery of other relevant evidence.
The prosecution can prove that the evidence would have been inevitably discovered through lawful means even without the illegal activity. If you believe the police may have used illegally obtained evidence against you, it's vital to consult with a qualified lawyer specializing in criminal defense. They can assess the specifics of your case, determine whether the Exclusionary Rule applies, and advise you on how to proceed. You have the right to remain silent and to consult with a lawyer before answering any questions from the police. Do not attempt to hide or destroy evidence, as this may worsen your situation.
Cooperate with your lawyer and follow their advice to navigate the legal process effectively and protect your rights.</t>
  </si>
  <si>
    <t>Maaari ba gamitin ng mga pulisya ang ebidensyang nakuha nila ng illegal saakin?</t>
  </si>
  <si>
    <t>Sa Pilipinas, kung ang ebidensya na nakuhang iligal ay maaaring gamitin laban sa iyo sa korte ay depende sa mga partikular na kalagayan ng kaso, ngunit may mahahalagang prinsipyong gumaganap:
Exclusionary Rule: Itinataguyod ng legal na sistema ng Pilipinas ang Exclusionary Rule, na sa pangkalahatan ay pumipigil sa iligal na nakuhang ebidensya na maiharap sa korte. Pinoprotektahan nito ang iyong karapatan sa privacy at tinitiyak ang pagiging patas sa proseso ng hudikatura.
Mga Exception sa Exclusionary Rule: Gayunpaman, may ilang exception sa Exclusionary Rule. Ang ebidensya ay maaari pa ring tanggapin sa korte kahit na ito ay nakuha nang ilegal kung:
Ang pagkakamali sa pagkuha ng ebidensiya ay ginawa sa "magandang loob" ng pulisya, ibig sabihin ay hindi nila sinasadya o walang ingat.
Ang doktrinang "bunga ng makamandag na puno" ay hindi nalalapat, ibig sabihin ang iligal na nakuhang ebidensya ay hindi humantong sa pagtuklas ng iba pang nauugnay na ebidensya.
Mapapatunayan ng prosekusyon na ang ebidensya ay hindi maiiwasang matuklasan sa pamamagitan ng mga legal na paraan kahit na wala ang ilegal na aktibidad. Kung naniniwala kang maaaring gumamit ang pulisya ng ilegal na pagkuha ng ebidensya laban sa iyo, mahalagang kumunsulta sa isang kwalipikadong abogado na dalubhasa sa criminal defense. Maaari silang tasahin ang mga detalye ng iyong kaso, tukuyin kung naaangkop ang Exclusionary Rule, at payuhan ka kung paano magpatuloy. May karapatan kang manatiling tahimik at kumunsulta sa isang abogado bago sagutin ang anumang mga tanong mula sa pulisya. Huwag subukang itago o sirain ebidensya, dahil ito ay maaaring magpalala sa iyong sitwasyon.
Makipagtulungan sa iyong abogado at sundin ang kanilang payo upang epektibong mag-navigate sa legal na proseso at maprotektahan ang iyong mga karapatan.</t>
  </si>
  <si>
    <t>How much will a criminal defense lawyer cost?</t>
  </si>
  <si>
    <t>Lawyer's experience and reputation: More experienced and highly regarded lawyers generally charge higher fees than those with less experience.
Complexity of the case: More complex cases involving serious charges, extensive evidence, or lengthy trials typically require more lawyer time and resources, leading to higher fees.
Location: Lawyers in metropolitan areas like Manila tend to charge more than those in smaller cities or towns.
Type of fee arrangement: Several fee arrangements exist, each impacting the total cost:
Hourly rate: The lawyer charges an hourly rate for their time spent on your case.
Retainer fee: An upfront payment secures the lawyer's services for a specific period, often supplemented by additional hourly charges.
Contingency fee: The lawyer receives a percentage of any financial compensation you receive (e.g., winning a civil lawsuit), but no fees if you lose.
Here are some general estimates based on available information:
Initial consultation: Expect to pay P500-P1,000 for an initial consultation with a lawyer.
Hourly rate: Hourly rates can range from P500-P5,000 or even higher for highly experienced lawyers.
Retainer fee: Retainer fees can vary widely, starting from around P5,000 for simple cases and reaching tens or even hundreds of thousands for complex cases. However, there is a Public Attorney's Office (PAO), It provides free legal representation to indigent Filipinos.</t>
  </si>
  <si>
    <t>Magkano kaya ang maaaring magastos kung kukuha ako ng criminal defense na abogado?</t>
  </si>
  <si>
    <t>Karanasan at reputasyon ng abugado: Ang mga abogadong mas may karanasan at mataas na itinuturing na mga abogado ay karaniwang naniningil ng mas mataas na bayad kaysa sa mga may kaunting karanasan.
Pagiging kumplikado ng kaso: Ang mas kumplikadong mga kaso na kinasasangkutan ng mga seryosong singil, malawak na ebidensya, o mahabang pagsubok ay karaniwang nangangailangan ng mas maraming oras at mapagkukunan ng abogado, na humahantong sa mas mataas na mga bayarin.
Lokasyon: Ang mga abogado sa metropolitan na lugar tulad ng Maynila ay may posibilidad na maningil ng mas mataas kaysa sa mga nasa maliliit na lungsod o bayan.
Uri ng pagsasaayos ng bayad: Mayroong ilang mga pagsasaayos ng bayad, bawat isa ay nakakaapekto sa kabuuang gastos:
Oras na rate: Ang abogado ay naniningil ng oras-oras na rate para sa kanilang oras na ginugol sa iyong kaso.
Bayad sa retainer: Ang isang paunang bayad ay sinisiguro ang mga serbisyo ng abogado para sa isang partikular na panahon, na kadalasang dinadagdagan ng mga karagdagang oras-oras na singil.
Contingency fee: Ang abogado ay isang porsyento ng anumang pinansiyal na kabayaran na natatanggap mo (hal., nanalo sa isang sibil na kaso), ngunit walang bayad kung natanggap mo.
Narito ang ilang pangkalahatang pagtatantya batay sa magagamit na impormasyon:
Paunang konsultasyon: Asahan na magbayad ng P500-P1,000 para sa isang paunang konsultasyon sa isang abogado.
Oras na rate: Ang oras-oras na rate ay maaaring mula P500-P5,000 o mas mataas pa para sa mga abogadong may karanasan na.
Retainer fee: Maaaring mag-iba-iba ang mga bayarin sa retainer, simula sa humigit-kumulang P5,000 para sa mga simpleng kaso at umaabot sa sampu o kahit daan-daang libo para sa mga komplikadong kaso. Gayunpaman, mayroong Public Attorney's Office (PAO), Nagbibigay ito ng libreng legal na representasyon sa mga mahihirap na Pilipino .</t>
  </si>
  <si>
    <t>What types of wtnesses can be called to testify? what if the witness fails to prove that I am innocent?</t>
  </si>
  <si>
    <t>There are different types of witnesses who can be called to testify in your case, each playing a unique role in strengthening your defense:
1. Eye Witnesses:
These are individuals who directly observed the scene of the crime and can provide firsthand accounts of what happened. Their testimony can be crucial in establishing your alibi, confirming your innocence, or identifying the actual perpetrator.
2. Character Witnesses:
These individuals speak to your overall reputation and character. They can testify about your good moral standing, community involvement, and positive traits, suggesting it's unlikely you would commit the crime in question.
3. Expert Witnesses:
These are individuals with specialized knowledge relevant to the case. They can provide expert opinions and interpretations of evidence, helping the court understand complex aspects of the case that support your defense.
4. Alibi Witnesses:
These individuals can confirm your whereabouts during the time the crime occurred, establishing an alibi and weakening the prosecution's timeline.
5. Rebuttal Witnesses:
They are called to counter specific evidence or testimony presented by the prosecution, aiming to cast doubt on its credibility or relevance.
If a witness fails to prove your innocence:
Even if a specific witness's testimony doesn't conclusively prove your innocence, it can still contribute to your overall defense in various ways:
Supporting Evidence: Their testimony can corroborate other pieces of evidence, strengthening your defense narrative.
Raising Doubts: It can introduce reasonable doubt, casting uncertainty on the prosecution's case and potentially leading to a more favorable outcome.
Reputation Building: Positive character witness testimony can create a good impression on the court and jury, enhancing your overall image.
Remember, building a strong defense often involves multi-pronged strategies. While a single witness may not conclusively prove your innocence, their testimony can be a valuable element within your broader defense strategy.
Here are some additional points to consider:
Witness Credibility: The court considers a witness's credibility, influenced by factors like their relationship to the case, potential biases, and consistency of their testimony.
Attorney's Role: Your lawyer will assess the potential value of different witnesses and guide you on who to call to strengthen your defense.
Complementary Evidence: Witness testimony should be combined with other evidence like physical evidence, alibis, and expert opinions to build a comprehensive defense</t>
  </si>
  <si>
    <t>Ano ang uri ng testigo and pwede kong tawagin upang patunayan ang aking pagiging inosente? ano ang mangyayari pag di nya napatunayan na inosente ako?</t>
  </si>
  <si>
    <t>Mayroong iba't ibang uri ng mga testigo na maaaring tawagin upang tumestigo sa iyong kaso, bawat isa ay gumaganap ng isang natatanging papel sa pagpapalakas ng iyong depensa:
1. Mga Saksi sa Mata:
Ang mga ito ay mga indibidwal na direktang nag-obserba sa pinangyarihan ng krimen at maaaring magbigay ng mismong mga salaysay tungkol sa nangyari. Ang kanilang patotoo ay maaaring maging mahalaga sa pagtatatag ng iyong alibi, pagkumpirma ng iyong kawalang-kasalanan, o pagtukoy sa aktwal na may kasalanan.
2. Mga Character Witness:
Ang mga indibidwal na ito ay nagsasalita sa iyong reputasyon sa pangkalahatan at pagkatao. Maaari silang magpatotoo tungkol sa iyong mabuting katayuan sa moral, pakikilahok sa komunidad, at mga positibong katangian, na nagmumungkahi na malamang na hindi mo gagawin ang krimen na pinag-uusapan.
3. Mga Dalubhasang Saksi:
Ito ay mga indibidwal na may espesyal na kaalaman na nauugnay sa kaso. Maaari silang magbigay ng mga ekspertong opinyon at interpretasyon ng ebidensya, na tumutulong sa korte na maunawaan ang mga kumplikadong aspeto ng kaso na sumusuporta sa iyong depensa.
4. Mga Saksing Alibi:
Maaaring kumpirmahin ng mga indibidwal na ito ang iyong kinaroroonan sa oras na nangyari ang krimen, na nagtatatag ng alibi at nagpapahina sa timeline ng prosekusyon.
5. Mga Saksing Rebuttal:
Tinatawag sila upang kontrahin ang partikular na ebidensya o testimonya na ipinakita ng prosekusyon, na naglalayong magduda sa kredibilidad o kaugnayan nito.
Kung nabigo ang isang saksi na patunayan ang iyong inosente:
Kahit na ang testimonya ng isang partikular na saksi ay hindi nagpapatunay ng iyong kawalang-kasalanan, maaari pa rin itong mag-ambag sa iyong pangkalahatang pagtatanggol sa iba't ibang paraan:
Mga Katibayan ng Pagsuporta: Ang kanilang patotoo ay maaaring patunayan ang iba pang mga piraso ng ebidensya, na nagpapatibay sa iyong salaysay ng pagtatanggol.
Pagtaas ng mga Pagdududa: Maaari itong magpakilala ng makatwirang pagdududa, magdulot ng kawalan ng katiyakan sa kaso ng prosekusyon at potensyal na humahantong sa isang mas kanais-nais na resulta.
Pagbuo ng Reputasyon: Ang positibong testimonya ng testigo ng karakter ay maaaring lumikha ng magandang impresyon sa hukuman at hurado, na magpapahusay sa iyong pangkalahatang imahe.
Tandaan, ang pagbuo ng isang malakas na depensa ay kadalasang nagsasangkot ng mga multi-pronged na estratehiya. Bagama't ang isang saksi ay maaaring hindi tiyak na nagpapatunay sa iyong kawalang-kasalanan, ang kanilang patotoo ay maaaring maging isang mahalagang elemento sa iyong mas malawak na diskarte sa pagtatanggol.
Narito ang ilang karagdagang punto na dapat isaalang-alang:
Kredibilidad ng Saksi: Isinasaalang-alang ng hukuman ang kredibilidad ng isang saksi, na naiimpluwensyahan ng mga salik tulad ng kanilang kaugnayan sa kaso, mga potensyal na bias, at pagkakapare-pareho ng kanilang patotoo.
Tungkulin ng Abugado: Susuriin ng iyong abogado ang potensyal na halaga ng iba't ibang saksi at gagabay sa iyo kung sino ang tatawagan upang palakasin ang iyong depensa.
Komplementaryong Ebidensya: Dapat na isama ang testimonya ng saksi sa iba pang ebidensya tulad ng pisikal na ebidensya, alibi, at opinyon ng eksperto para makabuo ng komprehensibong depensa</t>
  </si>
  <si>
    <t>What case should I file If someone scammed me?</t>
  </si>
  <si>
    <t>Gather Evidence:
Collect any evidence you may have regarding the scam, such as emails, text messages, receipts, screenshots, or recordings of conversations. This evidence will be crucial if you decide to pursue legal action.
Report the Scam:
Several agencies may be interested in investigating your case, depending on the specific type of scam:
Philippine National Police (PNP) Anti-Cybercrime Division: For online scams and cybercrime.
Department of Trade and Industry (DTI): For consumer scams and unfair trade practices.
Securities and Exchange Commission (SEC): For investment scams and financial fraud.
National Bureau of Investigation (NBI): For major fraud cases.
Consider Legal Options:
Consult with a qualified lawyer specializing in consumer protection, fraud, or internet crime. They can help you assess your legal options and decide on the best course of action, which might include:
Filing a civil lawsuit: To recover any financial losses you may have incurred.
Reporting the scam to the appropriate authorities: To help prevent others from being victimized.
Mediation or arbitration: In some cases, these alternative dispute resolution methods may be an option for resolving the issue out of court.</t>
  </si>
  <si>
    <t>Anong kaso ang pwede ko isampa kapag ako ay na-scam?</t>
  </si>
  <si>
    <t>Magtipon ng Ebidensya:
Mangolekta ng anumang katibayan na maaaring mayroon ka tungkol sa scam, tulad ng mga email, text message, resibo, screenshot, o pag-record ng mga pag-uusap. Magiging mahalaga ang ebidensyang ito kung magpasya kang magsagawa ng legal na aksyon.
Iulat ang Scam:
Maaaring interesado ang ilang ahensya sa pagsisiyasat sa iyong kaso, depende sa partikular na uri ng scam:
Philippine National Police (PNP) Anti-Cybercrime Division: Para sa online scam at cybercrime.
Department of Trade and Industry (DTI): Para sa mga scam ng consumer at hindi patas na mga gawi sa kalakalan.
Securities and Exchange Commission (SEC): Para sa mga scam sa pamumuhunan at pandaraya sa pananalapi.
National Bureau of Investigation (NBI): Para sa malalaking kaso ng pandaraya.
Isaalang-alang ang Mga Legal na Opsyon:
Kumonsulta sa isang kwalipikadong abogado na dalubhasa sa proteksyon ng consumer, panloloko, o krimen sa internet. Matutulungan ka nilang masuri ang iyong mga legal na opsyon at magpasya sa pinakamahusay na paraan ng pagkilos, na maaaring kasama ang:
Pagsampa ng kasong sibil: Upang mabawi ang anumang pagkalugi sa pananalapi na maaaring natamo mo.
Pag-uulat ng scam sa mga naaangkop na awtoridad: Upang makatulong na maiwasan ang iba na mabiktima.
Pamamagitan o arbitrasyon: Sa ilang mga kaso, ang mga alternatibong pamamaraan sa paglutas ng hindi pagkakaunawaan ay maaaring isang opsyon para sa paglutas ng isyu sa labas ng hukuman.</t>
  </si>
  <si>
    <t>Is there a law about catcallers? I always get catcalled in our street.</t>
  </si>
  <si>
    <t>Yes, there are actually several laws in the Philippines that address catcalling and other forms of public sexual harassment: 1. Anti-Sexual Harassment Act of 1995 (RA 7877):
This law broadly prohibits sexual harassment in the workplace, educational institutions, and public spaces. Catcalling can be considered sexual harassment under this law if it is unsolicited and creates a hostile, intimidating, or offensive environment for the victim. Penalties for violation include fines and imprisonment. 2. Safe Spaces Act of 2018 (RA 11313): This law specifically addresses sexual harassment in public spaces, including catcalling, wolf whistling, leering, unwanted touching, and other forms of intrusive behavior. Penalties for violation under this law range from fines to imprisonment, depending on the severity of the offense. 3. Local Ordinances:
Several cities and municipalities in the Philippines have passed their own ordinances against catcalling and public sexual harassment. These ordinances may have specific definitions of catcalling and different penalties compared to national laws. Examples of local ordinances:
Quezon City Ordinance No. 2859: Penalizes catcalling and other forms of sexual harassment with fines of up to P5,000.
Manila Ordinance No. 7857: Prohibits catcalling and other forms of public sexual harassment with fines of up to P10,000.
Additional points to consider:
While these laws exist, enforcing them can be challenging. Reporting incidents of catcalling is still relatively low in the Philippines.
Public awareness of these laws and the importance of reporting incidents is crucial for effective enforcement.
Organizations like the Philippine Commission on Women (PCW) and NGOs can provide support and guidance for victims of catcalling and other forms of sexual harassment.</t>
  </si>
  <si>
    <t>May mga batas ba para sa mga catcallers? Palagi kasi ako naca-catcall sa aming barangay.</t>
  </si>
  <si>
    <t>Oo, talagang may ilang batas sa Pilipinas na tumutugon sa catcalling at iba pang anyo ng pampublikong sekswal na panliligalig: 1. Anti-Sexual Harassment Act of 1995 (RA 7877):
Malawakang ipinagbabawal ng batas na ito ang sekswal na panliligalig sa lugar ng trabaho, mga institusyong pang-edukasyon, at mga pampublikong espasyo. Ang catcalling ay maaaring ituring na sekswal na panliligalig sa ilalim ng batas na ito kung ito ay hindi hinihiling at lumilikha ng isang pagalit, nakakatakot, o nakakasakit na kapaligiran para sa biktima. Kasama sa mga parusa sa paglabag ang mga multa at pagkakulong. 2. Safe Spaces Act of 2018 (RA 11313): Partikular na tinutugunan ng batas na ito ang sekswal na panliligalig sa mga pampublikong lugar, kabilang ang catcalling, pagsipol ng lobo, paglingkuran, hindi gustong paghipo, at iba pang anyo ng mapanghimasok na pag-uugali. Ang mga parusa para sa paglabag sa ilalim ng batas na ito ay mula sa multa hanggang pagkakulong, depende sa kalubhaan ng pagkakasala 3. Mga Lokal na Ordinansa:
Ilang lungsod at munisipalidad sa Pilipinas ang nagpasa ng sarili nilang mga ordinansa laban sa catcalling at pampublikong sekswal na panliligalig. Ang mga ordinansang ito ay maaaring may mga partikular na kahulugan ng catcalling at iba't ibang mga parusa kumpara sa mga pambansang batas. Mga halimbawa ng mga lokal na ordinansa:
Quezon City Ordinance No. 2859: Nagpaparusa ng catcalling at iba pang anyo ng sexual harassment na may multa na hanggang P5,000.
Manila Ordinance No. 7857: Ipinagbabawal ang catcalling at iba pang anyo ng pampublikong sexual harassment na may multa na hanggang P10,000.
Mga karagdagang puntos na dapat isaalang-alang:
Bagama't umiiral ang mga batas na ito, maaaring maging mahirap ang pagpapatupad nito. Ang pag-uulat ng mga insidente ng catcalling ay medyo mababa pa rin sa Pilipinas.
Ang kamalayan ng publiko sa mga batas na ito at ang kahalagahan ng pag-uulat ng mga insidente ay mahalaga para sa epektibong pagpapatupad.
Ang mga organisasyon tulad ng Philippine Commission on Women (PCW) at NGOs ay maaaring magbigay ng suporta at patnubay para sa mga biktima ng catcalling at iba pang anyo ng sexual harassment.</t>
  </si>
  <si>
    <t>What should I do if someone is telling fake stories about through social media? Is there any law that I can file against the one who posted?</t>
  </si>
  <si>
    <t>Consider legal advice: If the false stories are causing significant harm or damage to your reputation, consulting with a lawyer specializing in cyberlaw or defamation may be necessary. Don't engage in arguments or retaliate online: This can fuel the negativity and worsen the situation. Collect evidence of the false stories: This can be helpful if you need to take legal action or report the content to the platform. Stay calm and focused: Dealing with online negativity can be emotional, but maintaining composure will help you make clear decisions. There are laws against an individual that posts fake stroies about you. Revised Penal Code:
Libel: Defined as the malicious publication of a defamatory statement that tends to impeach the reputation of a person, blacken his memory, or expose him to public hatred, contempt, ridicule, or obloquy. Penalties can range from fines to imprisonment, depending on the severity of the defamation. Cyber libel: A specific provision within the Libel law addressing libel committed through online platforms. Penalties are generally higher than traditional libel. Anti-Cybercrime Prohibition Act of 2012 (RA 10175): Content Offenses: Covers online content constituting threats, harassment, and offensive behavior. False stories falling under these categories can potentially be prosecuted under this law. Data Privacy Violation: If the false stories involve the unauthorized disclosure of your personal information without your consent, this law may apply. Safe Spaces Act of 2018 (RA 11313): Focuses on sexual harassment and gender-based violence. If the false stories are sexually suggestive or constitute online sexual harassment, this law may provide options for redress. Consulting with a qualified lawyer specializing in cyberlaw or defamation is crucial to understand your legal options and assess the viability of legal action.</t>
  </si>
  <si>
    <t>Ano ang dapat na gawin ko kapag may isang indibidwal na nagkakalat ng makatotoohanang storya saakin o naninira? may mga batas ba ayon dito?</t>
  </si>
  <si>
    <t>Isaalang-alang ang legal na payo: Kung ang mga maling kuwento ay nagdudulot ng malaking pinsala o pinsala sa iyong reputasyon, maaaring kailanganin ang pagkonsulta sa isang abogadong dalubhasa sa cyberlaw o paninirang-puri. Huwag makipagtalo o gumanti online: Maaari nitong pasiglahin ang negatibiti at palalain ang sitwasyon . Mangolekta ng katibayan ng mga maling kwento: Makakatulong ito kung kailangan mong gumawa ng legal na aksyon o iulat ang nilalaman sa platform. Manatiling kalmado at nakatuon: Ang pagharap sa negatibong online ay maaaring maging emosyonal, ngunit ang pagpapanatiling kalmado ay makakatulong sa iyong gumawa ng malinaw na mga desisyon. May mga batas laban sa isang indibidwal na nagpo-post ng mga pekeng kwento tungkol sa iyo. Binagong Kodigo Penal:
Libel: Tinukoy bilang malisyosong paglalathala ng isang mapanirang-puri na pahayag na may posibilidad na i-impeach ang reputasyon ng isang tao, itim ang kanyang alaala, o ilantad siya sa publikong poot, pang-aalipusta, panlilibak, o obloquy. Ang mga parusa ay maaaring mula sa mga multa hanggang sa pagkakulong, depende sa kalubhaan ng paninirang-puri. Cyber ​​​​libel: Isang partikular na probisyon sa loob ng batas ng Libel na tumutugon sa libel na ginawa sa pamamagitan ng mga online na platform. Karaniwang mas mataas ang mga parusa kaysa sa tradisyunal na libel. Anti-Cybercrime Prohibition Act of 2012 (RA 10175): Content Offenses: Sumasaklaw sa online na content bumubuo ng mga pagbabanta , panliligalig, at nakakasakit na pag-uugali. Ang mga maling kwentong nasa ilalim ng mga kategoryang ito ay posibleng magamit sa ilalim ng batas na ito. Paglabag sa Privacy ng Data: Kung ang mga maling kwento ay nagsasangkot ng hindi awtorisadong pagbubunyag ng iyong personal na impormasyon nang wala ang iyong pahintulot, maaaring malapat ang batas na ito. Safe Spaces Act of 2018 (RA 11313): Nakatuon sa sekswal na panliligalig at karahasan na nakabatay sa kasarian. Kung ang mga maling kwento ay sekswal na nagpapahiwatig o bumubuo ng online na sekswal na panliligalig, ang batas na ito ay maaaring magbigay ng mga opsyon para sa pagtugon. Ang pagkonsulta sa isang kwalipikadong abogado na dalubhasa sa cyberlaw o paninirang-puri ay mahalaga upang maunawaan ang iyong mga legal na opsyon at masuri ang posibilidad ng legal na aksyon.</t>
  </si>
  <si>
    <t>I invested on a small business and after I send the money to them they are cannot be reached right now, What legal options should I do?</t>
  </si>
  <si>
    <t>Report the scam:
Philippines National Police (PNP) Anti-Cybercrime Division: If the investment was made online, report the scam to the PNP Anti-Cybercrime Division. They can investigate potential cybercrime offenses like online fraud and computer-aided fraud.
Department of Trade and Industry (DTI): If the investment involved a physical business, you can report the scam to the DTI. They handle consumer complaints and unfair trade practices.
Securities and Exchange Commission (SEC): If the investment involved securities or investment products, you can file a complaint with the SEC. They regulate the securities market and investigate investment scams. Civil lawsuit: You can file a civil lawsuit against the individuals or entities involved in the scam to recover your lost investment. This requires gathering evidence, building a case, and potentially going to court. Consulting with a lawyer specializing in fraud or consumer protection is crucial for this option. Mediation or arbitration: In some cases, mediation or arbitration may be an alternative to a full-blown lawsuit. These processes involve a neutral third party who helps the parties reach an agreement. This can be quicker and less expensive than going to court, but it may not always be successful. Join a class action lawsuit: If other individuals were also scammed by the same business, you may be able to join a class action lawsuit. This allows you to combine your claims with others to increase the chances of success and share the costs of litigation.
Additional tips:
Gather evidence: Collect any documentation related to the investment, such as emails, contracts, receipts, and screenshots. This evidence will be crucial for any legal action you take.
Be cautious of recovery services: Some companies offer to help recover lost investments, but they may be scams themselves. Do your research and avoid paying any upfront fees before consulting with a lawyer.
Seek legal advice: Consulting with a qualified lawyer specializing in fraud or consumer protection is crucial to understand your legal options and determine the best course of action for your specific situation.</t>
  </si>
  <si>
    <t>nag invest ako sa isang maliit na business at noong naipadala ko na yung pera na hinihingi nila ay biglang hindi na sila macontact. Ano ang mga legal na opsyon na pwede kong gawin?</t>
  </si>
  <si>
    <t>Iulat ang scam:
Philippines National Police (PNP) Anti-Cybercrime Division: Kung ang pamumuhunan ay ginawa online, iulat ang scam sa PNP Anti-Cybercrime Division. Maaari nilang imbestigahan ang mga potensyal na cybercrime offense tulad ng online fraud at computer-aided fraud.
Department of Trade and Industry (DTI): Kung ang pamumuhunan ay may kinalaman sa isang pisikal na negosyo, maaari mong iulat ang scam sa DTI. Pinangangasiwaan nila ang mga reklamo ng consumer at hindi patas na mga gawi sa kalakalan.
Securities and Exchange Commission (SEC): Kung ang pamumuhunan ay may kinalaman sa mga securities o mga produkto ng pamumuhunan, maaari kang magsampa ng reklamo sa SEC. Kinokontrol nila ang securities market at sinisiyasat ang mga scam sa pamumuhunan. Sibil na demanda: Maaari kang magsampa ng kasong sibil laban sa mga indibidwal o entity kasangkot sa scam upang mabawi ang iyong nawalang puhunan. Nangangailangan ito ng pangangalap ng ebidensya, pagbuo ng kaso, at posibleng pagpunta sa korte. Ang pagkonsulta sa isang abogado na dalubhasa sa pandaraya o proteksyon ng consumer ay mahalaga para sa opsyong ito. Pamamagitan o arbitrasyon: Sa ilang mga kaso, ang pamamagitan o arbitrasyon ay maaaring isang alternatibo sa isang ganap na kaso. Ang mga prosesong ito ay nagsasangkot ng isang neutral na ikatlong partido na tumutulong sa mga partido na maabot ang isang kasunduan. Ito ay maaaring mas mabilis at mas mura kaysa sa pagpunta sa korte, ngunit maaaring hindi ito palaging matagumpay. Sumali sa isang class action na demanda: Kung ang ibang mga indibidwal ay na-scam din ng parehong negosyo, maaari kang sumali sa isang class action na demanda. Nagbibigay-daan ito sa iyong pagsamahin sa iyong mga paghahabol sa iba upang mapataas ang mga pagkakataong magtagumpay at ibahagi ang mga gastos sa paglilitis.
Mga karagdagang tip:
Magtipon ng ebidensya: Mangolekta ng anumang dokumentasyong nauugnay sa pamumuhunan, gaya ng mga email, kontrata, resibo, at screenshot. Magiging mahalaga ang ebidensyang ito para sa anumang legal na aksyong gagawin mo.
Maging maingat sa mga serbisyo sa pagbawi: Nag-aalok ang ilang kumpanya na tumulong sa pagbawi ng mga nawalang pamumuhunan, ngunit maaaring sila mismo ay mga scam. Gawin ang iyong pananaliksik at iwasang magbayad ng anumang paunang bayad bago kumonsulta sa isang abogado.
Humingi ng legal na payo: Ang pagkonsulta sa isang kwalipikadong abogado na dalubhasa sa pandaraya o proteksyon ng consumer ay mahalaga upang maunawaan ang iyong mga legal na opsyon at matukoy ang pinakamahusay na paraan ng pagkilos para sa iyong partikular na sitwasyon.</t>
  </si>
  <si>
    <t>What will happen if I committed a crime at the age of 16?</t>
  </si>
  <si>
    <t>The consequences of committing a crime at the age of 16 in the Philippines depend on several factors, including:
1. The specific crime committed: Different crimes have different penalties, with more serious offenses carrying harsher consequences. 2. Age of completion: If you were 16 at the time of the crime but turned 18 before completing it (e.g., a theft that spanned over several weeks), the Juvenile Justice and Welfare Act (JJWA) may not apply anymore, and you could be tried as an adult. 3. Circumstances of the crime: Factors like intent, motive, and presence of aggravating or mitigating circumstances can influence the severity of the penalty. 4. Previous offenses: If you have a prior criminal record, it may lead to stricter penalties for the current offense.
However, in general, when a 16-year-old commits a crime in the Philippines, the Juvenile Justice and Welfare Act (JJWA) applies. This law aims to provide rehabilitation and reform for young offenders, rather than punishment. Here's what happens under the JJWA: Investigation: The Department of Social Welfare and Development (DSWD) will conduct an investigation and assess the child's social and family background.
Diversion programs: If appropriate, the child may be referred to diversion programs like counseling, community service, or family therapy. These programs aim to address the underlying factors that led to the crime and prevent future offenses. Intervention programs: If diversion is not deemed suitable, the child may be placed in an intervention program within a Bahay Pag-asa (house of hope) or a similar facility. These programs provide education, vocational training, and other rehabilitative services. Judicial proceedings: In some cases, the child may be subjected to judicial proceedings. However, these proceedings are different from adult court proceedings and focus on rehabilitation rather than punishment. The maximum period of confinement for a child under the JJWA is three years. If you are facing a situation where you or someone you know has committed a crime at the age of 16, it's crucial to seek legal advice from a lawyer specializing in juvenile justice. They can explain the specific consequences of the crime under the JJWA, guide you through the legal process, and advocate for the best possible outcome for the child.</t>
  </si>
  <si>
    <t>Ano ang maaari na mangayri kung may nagawa na akong krimen sa edad na 16?</t>
  </si>
  <si>
    <t>Ang mga kahihinatnan ng paggawa ng krimen sa edad na 16 sa Pilipinas ay nakasalalay sa ilang mga kadahilanan, kabilang ang:
1. Ang partikular na krimeng nagawa: Ang iba't ibang krimen ay may iba't ibang parusa, na may mas mabibigat na pagkakasala na nagdadala ng mas malupit na kahihinatnan. sa loob ng ilang linggo), maaaring hindi na mailapat ang Juvenile Justice and Welfare Act (JJWA), at maaari kang litisin bilang isang nasa hustong gulang. ang kalubhaan ng parusa 4. Mga nakaraang pagkakasala: Kung mayroon kang naunang kriminal na rekord, maaari itong humantong sa mas mahigpit na mga parusa para sa kasalukuyang pagkakasala.
Gayunpaman, sa pangkalahatan, kapag nakagawa ng krimen ang isang 16 na taong gulang sa Pilipinas, nalalapat ang Juvenile Justice and Welfare Act (JJWA). ang JJWA: Investigation: Ang Department of Social Welfare and Development (DSWD) ay magsasagawa ng imbestigasyon at susuriin ang panlipunan at pamilya ng bata.
Mga diversion program: Kung naaangkop, ang bata ay maaaring i-refer sa mga diversion programs tulad ng counseling, community service, o family therapy. Ang mga programang ito ay naglalayong tugunan ang pinagbabatayan na mga salik na humantong sa krimen at maiwasan ang mga hinaharap na pagkakasala. Mga programa ng interbensyon: Kung hindi itinuring na diversion angkop, ang bata ay maaaring ilagay sa isang interbensyon na programa sa loob ng Bahay Pag-asa (bahay ng pag-asa) o katulad na pasilidad. Ang mga programang ito ay nagbibigay ng edukasyon, bokasyonal na pagsasanay, at iba pang mga serbisyong rehabilitative. Mga paglilitis sa hudisyal: Sa ilang mga kaso, ang bata ay maaaring sasailalim sa hudisyal na mga paglilitis. Gayunpaman, ang mga paglilitis na ito ay iba sa mga paglilitis sa korte ng mga nasa hustong gulang at nakatuon sa rehabilitasyon sa halip na parusa. Ang maximum na panahon ng pagkakulong para sa isang bata sa ilalim ng JJWA ay tatlong taon. Kung ikaw ay nahaharap sa isang sitwasyon kung saan ikaw o isang tao know ay nakagawa ng krimen sa edad na 16, mahalagang humingi ng legal na payo mula sa isang abogadong dalubhasa sa juvenile justice. Maaari nilang ipaliwanag ang mga partikular na kahihinatnan ng krimen sa ilalim ng JJWA, gabayan ka sa legal na proseso, at itaguyod ang pinakamahusay posibleng resulta para sa bata.</t>
  </si>
  <si>
    <t>What will be the possible charges that I will face if I shot someone with a unregistered/unlicensed gun?</t>
  </si>
  <si>
    <t>Gun Safety: Owning and operating a firearm is a serious responsibility. If you own a gun, it is crucial to understand and follow proper gun safety procedures, including obtaining the necessary permits and registrations. Failing to do so can lead to legal consequences even without using the firearm. If you have questions about gun laws or regulations in the Philippines, I recommend consulting with a qualified lawyer specializing in firearms law. They can provide you with accurate and up-to-date information specific to your situation. epublic Act 10908 or the Act Defining and Penalizing Crimes in Violation of the Comprehensive Firearms and Explosives Control Act: This is the main law regulating firearms in the Philippines. It requires all firearms to be registered with the Philippine National Police (PNP) and prohibits the possession of unregistered firearms. Penalties for owning an unregistered firearm can range from imprisonment of 2 to 6 years for the first offense, and up to 12 years for subsequent offenses. Additional penalties may apply depending on the caliber of the firearm, whether it is considered an assault weapon, and the presence of aggravating circumstances.</t>
  </si>
  <si>
    <t>Ano ang maaari kong ikaharap na kaso kung sakaling makabaril ako gamit ang di rehistradong baril?</t>
  </si>
  <si>
    <t>Kaligtasan ng baril: Ang pagmamay-ari at pagpapatakbo ng baril ay isang seryosong responsibilidad. Kung nagmamay-ari ka ng baril, mahalagang maunawaan at sundin ang wastong pamamaraan sa kaligtasan ng baril, kabilang ang pagkuha ng mga kinakailangang permit at pagpaparehistro. Ang pagkabigong gawin ito ay maaaring humantong sa mga legal na kahihinatnan kahit na wala gamit ang baril. Kung mayroon kang mga tanong tungkol sa mga batas o regulasyon ng baril sa Pilipinas, inirerekomenda ko ang pagkonsulta sa isang kwalipikadong abogado na dalubhasa sa batas ng baril. Maaari silang magbigay sa iyo ng tumpak at napapanahon na impormasyong partikular sa iyong sitwasyon. epublic Act 10908 o ang Act Defining and Penalizing Crimes in Violation of the Comprehensive Firearms and Explosives Control Act: Ito ang pangunahing batas na nagre-regulate ng mga baril sa Pilipinas. Ito ay nag-aatas sa lahat ng baril na nakarehistro sa Philippine National Police (PNP) at ipinagbabawal ang pagkakaroon ng hindi rehistrado baril. Ang mga parusa para sa pagmamay-ari ng hindi rehistradong baril ay maaaring mula sa pagkakakulong ng 2 hanggang 6 na taon para sa unang pagkakasala, at hanggang 12 taon para sa mga kasunod na pagkakasala. Maaaring magkaroon ng mga karagdagang parusa depende sa kalibre ng baril, kung ito ay itinuturing na isang assault weapon , at ang pagkakaroon ng nagpapalubha na mga pangyayari.</t>
  </si>
  <si>
    <t>Can a marriage application be rejected? What are the potential grounds for denial?</t>
  </si>
  <si>
    <t>Invalidation of a marriage license can occur for reasons beyond fraud. Examples include engaging in a sham marriage for immigration purposes, coercing or threatening someone to obtain a marriage license, committing bigamy by marrying someone already married, providing false information on a marriage license application, marrying a close relative (incest), and obtaining a marriage license without proper consent, particularly if one party is underage or mentally incapable of understanding marriage.</t>
  </si>
  <si>
    <t>Maaari bang tanggihan ang aplikasyon ng kasal? Ano ang mga potensyal na batayan para sa pagtanggi?</t>
  </si>
  <si>
    <t>Ang pagpapawalang bisa ng isang lisensya sa kasal ay maaaring mangyari para sa mga kadahilanang lampas sa panloloko. Kabilang sa mga halimbawa ang pagsali sa isang pekeng kasal para sa mga layunin ng imigrasyon, pagpilit o pagbabanta sa isang tao na kumuha ng lisensya sa kasal, paggawa ng bigamy sa pamamagitan ng pagpapakasal sa isang taong may asawa na, pagbibigay ng maling impormasyon sa aplikasyon ng lisensya sa kasal , pagpapakasal sa malapit na kamag-anak (incest), at pagkuha ng lisensya sa kasal nang walang tamang pahintulot, lalo na kung ang isang partido ay menor de edad o walang kakayahan sa pag-iisip na maunawaan ang kasal.</t>
  </si>
  <si>
    <t>Can a marriage license be revoked after it is issued? If so, under what circumstances?</t>
  </si>
  <si>
    <t>The resolution of an invalid marriage license depends on the circumstances. If parties made a genuine effort but faced issues, they can typically reapply for a new license, often supported by an affidavit of marriage. However, if the invalidity is due to fraud or misrepresentation, obtaining a new license might be denied, leading to potential legal consequences, including civil lawsuits between spouses. Immigration status can also be affected, potentially resulting in removal hearings or loss of immigrant status. Mistakes on a marriage license, if not rectified in time, can pose future problems, especially in immigration cases. If eligible for a new license, couples can have a civil ceremony to formalize their marriage.</t>
  </si>
  <si>
    <t>Maaari bang bawiin ang lisensya sa kasal pagkatapos na maibigay ito? Kung gayon, sa ilalim ng anong mga pangyayari?</t>
  </si>
  <si>
    <t>Ang paglutas ng isang di-wastong lisensya sa kasal ay nakasalalay sa mga pangyayari. Kung ang mga partido ay gumawa ng tunay na pagsisikap ngunit nahaharap sa mga isyu, karaniwan ay maaari silang mag-aplay muli para sa isang bagong lisensya, na kadalasang sinusuportahan ng isang affidavit ng kasal. Gayunpaman, kung ang kawalan ng bisa ay dahil sa panloloko o maling representasyon, ang pagkuha ng bagong lisensya ay maaaring tanggihan, na humahantong sa mga potensyal na legal na kahihinatnan, kabilang ang mga kasong sibil sa pagitan ng mga mag-asawa. Maaari ding maapektuhan ang status ng imigrasyon, na posibleng magresulta sa mga pagdinig sa pag-alis o pagkawala ng katayuang imigrante. Mga pagkakamali sa lisensya sa kasal, kung hindi naitama sa oras, ay maaaring magdulot ng mga problema sa hinaharap, lalo na sa mga kaso ng imigrasyon. Kung karapat-dapat para sa isang bagong lisensya, ang mga mag-asawa ay maaaring magkaroon ng isang sibil na seremonya upang gawing pormal ang kanilang kasal.</t>
  </si>
  <si>
    <t>How long does it take to get a marriage license after applying?</t>
  </si>
  <si>
    <t>After submitting the required documents and the marriage license application, there is a waiting period of 10 business days or two weeks for the document to be issued. Once the marriage license is obtained, couples can proceed with the marriage ceremony.</t>
  </si>
  <si>
    <t>Gaano katagal bago makakuha ng marriage license pagkatapos mag-apply?</t>
  </si>
  <si>
    <t>Matapos isumite ang mga kinakailangang dokumento at aplikasyon ng marriage license, mayroong tagal ng paghihintay na 10 araw ng negosyo o dalawang linggo para maibigay ang dokumento. Kapag nakuha na ang marriage license, maaaring magpatuloy ang mag-asawa sa seremonya ng kasal.</t>
  </si>
  <si>
    <t>What happens if a marriage license expires before the ceremony?</t>
  </si>
  <si>
    <t>If the contracting parties do not use it by the end of the specified period, it will be automatically terminated (Article 20, Family Code). This means that the contracting parties will need to obtain a new marriage licence when their current one expires if the marriage is not celebrated within one hundred twenty (120) days of the licence being issued.</t>
  </si>
  <si>
    <t>Ano ang mangyayari kung mag-expire ang isang marriage license bago ang seremonya?</t>
  </si>
  <si>
    <t>Kung hindi ito gagamitin ng mga nakipagkontrata sa pagtatapos ng tinukoy na panahon, ito ay awtomatikong wawakasan (Artikulo 20, Family Code). Nangangahulugan ito na ang mga nagkontrata na partido ay kailangang kumuha ng bagong lisensya sa kasal kapag ang kanilang kasalukuyang lisensya ay nag-expire kung ang kasal ay hindi ipinagdiwang sa loob ng isang daan at dalawampung (120) araw ng pagkakaloob ng lisensya.</t>
  </si>
  <si>
    <t>What are the legal requirements for witnesses beyond their presence at the ceremony?</t>
  </si>
  <si>
    <t>In the Philippines, a couple needs two witnesses when they get married. The witnesses have to be able to comprehend the significance of the marriage ceremony and be at least eighteen years old.</t>
  </si>
  <si>
    <t>Ano ang mga legal na kinakailangan para sa mga testigo na lampas sa kanilang presensya sa seremonya?</t>
  </si>
  <si>
    <t>Sa Pilipinas, ang mag-asawa ay nangangailangan ng dalawang saksi kapag sila ay ikinasal. Ang mga saksi ay kailangang maunawaan ang kahalagahan ng seremonya ng kasal at hindi bababa sa labing walong taong gulang.</t>
  </si>
  <si>
    <t>Can same-sex partners serve as legal witnesses in a marriage ceremony?</t>
  </si>
  <si>
    <t>Yes, as long as the two are at least eighteen years old and could comprehend the importance of the marriage ceremony.</t>
  </si>
  <si>
    <t>Maaari bang magsilbing legal na saksi ang magkaparehas na kasarian sa seremonya ng kasal?</t>
  </si>
  <si>
    <t>Oo, hangga't ang dalawa ay hindi bababa sa labing walong taong gulang at maaaring maunawaan ang kahalagahan ng seremonya ng kasal.</t>
  </si>
  <si>
    <t>Does the location of the ceremony affect the legal requirements and procedures?</t>
  </si>
  <si>
    <t>The location of the marriage ceremony in the Philippines can impact legal requirements. Couples can choose to marry in the civil registrar's office or another location within the registrar's jurisdiction. After obtaining the marriage license, a mandatory 10-day waiting period ensues, during which a notice of the upcoming marriage is posted publicly by the local civil registrar. The validity of legal documents, such as a donation of immovable property, may be influenced by the location of the ceremony, as adherence to proper notarial procedures is crucial to avoid disputes over validity.</t>
  </si>
  <si>
    <t>Ang lokasyon ba ng seremonya ay nakakaapekto sa mga legal na kinakailangan at pamamaraan?</t>
  </si>
  <si>
    <t>Ang lokasyon ng seremonya ng kasal sa Pilipinas ay maaaring makaapekto sa mga legal na kinakailangan. Maaaring piliin ng mga mag-asawa na magpakasal sa tanggapan ng civil registrar o sa ibang lokasyon sa loob ng hurisdiksyon ng registrar. Pagkatapos makuha ang lisensya ng kasal, isang mandatoryong 10-araw na panahon ng paghihintay ay kasunod, kung saan ang isang abiso ng paparating na kasal ay nai-post sa publiko ng lokal na rehistro ng sibil. Ang bisa ng mga legal na dokumento, tulad ng isang donasyon ng hindi natitinag na ari-arian, ay maaaring maimpluwensyahan ng lokasyon ng seremonya, dahil ang pagsunod sa mga wastong pamamaraan ng notaryo ay napakahalaga upang maiwasan ang mga pagtatalo sa bisa.</t>
  </si>
  <si>
    <t>Should I Hire a Lawyer for an Invalid Marriage License?</t>
  </si>
  <si>
    <t>A valid marriage license is crucial for legal marital status and can impact various aspects of life, such as tax filings. If there are concerns about the validity of a marriage license, seeking the advice of a local family lawyer is recommended. A family law attorney can explain local marriage laws, guide through the requirements for obtaining a valid license, and ensure that sufficient supporting evidence is provided to demonstrate the intent for a legally valid marriage. In cases of suspected fraud or criminal activity during the marriage license application, the attorney can advise on the appropriate course of action.</t>
  </si>
  <si>
    <t>Dapat ba Akong Mag-hire ng Abogado para sa Di-wastong Lisensya sa Pag-aasawa?</t>
  </si>
  <si>
    <t>Ang isang wastong lisensya sa pag-aasawa ay mahalaga para sa legal na katayuan sa pag-aasawa at maaaring makaapekto sa iba't ibang aspeto ng buhay, tulad ng paghahain ng buwis. Kung may mga alalahanin tungkol sa bisa ng isang lisensya sa kasal, ang paghingi ng payo sa isang lokal na abogado ng pamilya ay inirerekomenda. Maaaring ipaliwanag ng abogado ng batas ng pamilya ang mga lokal na batas sa kasal, gabayan ang mga kinakailangan para sa pagkuha ng wastong lisensya, at tiyaking may sapat na sumusuportang ebidensya upang ipakita ang layunin para sa legal na wastong kasal. Sa mga kaso ng pinaghihinalaang panloloko o aktibidad na kriminal sa panahon ng aplikasyon ng lisensya sa kasal, maaaring magpayo ang abogado sa naaangkop na paraan ng pagkilos.</t>
  </si>
  <si>
    <t>What legal recognition does a religious marriage hold in the Philippines?</t>
  </si>
  <si>
    <t>The Philippines' Family Code acknowledges a marriage consummated in accordance with church law as lawful.</t>
  </si>
  <si>
    <t>Anong legal na pagkilala ang taglay ng relihiyosong kasal sa Pilipinas?</t>
  </si>
  <si>
    <t>Kinikilala ng Kodigo ng Pamilya ng Pilipinas ang kasal na ginawa alinsunod sa batas ng simbahan bilang ayon sa batas.</t>
  </si>
  <si>
    <t>Are there any legal advantages or disadvantages to choosing a religious or civil ceremony?</t>
  </si>
  <si>
    <t>The choice between a church wedding and a civil ceremony in the Philippines involves considerations such as venue, freedom of choice, attire, and cost. Church weddings offer a traditionally beautiful setting but come with fees ranging from Php5,000 to Php20,000, along with potential additional charges for air-conditioning and musicians. Civil ceremonies provide more venue flexibility, allowing for personalized locations like gardens, beach resorts, or even homes. They offer greater creative freedom in the ceremony format compared to the more standardized nature of church weddings. Attire for civil ceremonies is less formal, allowing for more flexibility in clothing choices. The cost of a wedding varies widely, with church ceremonies potentially ranging from Php7,000 to Php25,000, while civil ceremonies are generally more budget-friendly, requiring around Php3,000 to Php5,000 for documentary requirements. Overall, civil weddings have gained popularity, constituting 38.2% of total marriages in the Philippines in 2018.</t>
  </si>
  <si>
    <t>Mayroon bang anumang legal na pakinabang o disadvantage sa pagpili ng isang relihiyoso o sibil na seremonya?</t>
  </si>
  <si>
    <t>Ang pagpili sa pagitan ng isang kasal sa simbahan at isang sibil na seremonya sa Pilipinas ay nagsasangkot ng mga pagsasaalang-alang tulad ng lugar, kalayaan sa pagpili, damit, at gastos. Ang mga kasal sa simbahan ay nag-aalok ng isang tradisyonal na magandang setting ngunit may mga bayad mula sa Php5,000 hanggang Php20,000, kasama ng mga potensyal na karagdagang singil para sa air-conditioning at mga musikero. Nagbibigay ang mga civil ceremonies ng higit na flexibility ng venue, na nagbibigay-daan para sa mga personalized na lokasyon tulad ng mga hardin, beach resort, o kahit na mga tahanan. Nag-aalok ang mga ito ng higit na malikhaing kalayaan sa format ng seremonya kumpara sa mas standardized na kalikasan ng simbahan kasalan. Ang kasuotan para sa mga seremonyang sibil ay hindi gaanong pormal, na nagbibigay-daan para sa higit na kakayahang umangkop sa mga pagpili ng pananamit. Ang halaga ng isang kasal ay malawak na nag-iiba, na may mga seremonya sa simbahan na posibleng mula sa Php7,000 hanggang Php25,000, habang ang mga seremonyang sibil sa pangkalahatan ay mas matipid sa badyet, nangangailangan ng humigit-kumulang Php3,000 hanggang Php5,000 para sa mga kinakailangan sa dokumentaryo. Sa pangkalahatan, ang mga kasalang sibil ay naging popular, na bumubuo ng 38.2% ng kabuuang kasal sa Pilipinas noong 2018.</t>
  </si>
  <si>
    <t>Can a religious marriage be later registered as a civil union for legal purposes?</t>
  </si>
  <si>
    <t>In the Philippines, a religious marriage is legally recognised as a civil union. The couple can file a Report of Marriage at the Philippine Embassy following a religious ceremony. The Philippines will acknowledge the marriage once the Report of Marriage has been verified by the Philippine Statistics Authority (PSA)1. After verified, this Report of Marriage can be utilised in the Philippines for a number of legal purposes1.</t>
  </si>
  <si>
    <t>Maaari bang irehistro sa ibang pagkakataon ang isang relihiyosong kasal bilang isang civil union para sa mga legal na layunin?</t>
  </si>
  <si>
    <t>Sa Pilipinas, ang relihiyosong kasal ay legal na kinikilala bilang isang civil union. Ang mag-asawa ay maaaring maghain ng Report of Marriage sa Philippine Embassy kasunod ng isang relihiyosong seremonya. Aaminin ng Pilipinas ang kasal kapag napatunayan na ng Philippine Statistics Authority (PSA)1 ang Report of Marriage. Pagkatapos ma-verify, ang Ulat ng Kasal na ito ay maaaring gamitin sa Pilipinas para sa ilang legal na layunin1.</t>
  </si>
  <si>
    <t>Are there legal provisions for interfaith marriages in terms of ceremonies and officiants?</t>
  </si>
  <si>
    <t>The state grants licences to religious officiants to consummate marriages at churches. In the Philippines, couples seeking a speedy and cost-effective solution might consider organising a civil wedding, which solely involves the state. Couples can wed in a civil ceremony regardless of their religious beliefs.</t>
  </si>
  <si>
    <t>Mayroon bang mga legal na probisyon para sa interfaith marriages sa mga tuntunin ng mga seremonya at opisyal?</t>
  </si>
  <si>
    <t>Ang estado ay nagbibigay ng mga lisensya sa mga relihiyosong opisyal upang ganapin ang mga kasal sa mga simbahan. Sa Pilipinas, ang mga mag-asawang naghahanap ng mabilis at matipid na solusyon ay maaaring isaalang-alang ang pag-oorganisa ng isang sibil na kasal, na nagsasangkot lamang ng estado. Ang mga mag-asawa ay maaaring ikasal sa isang sibil na seremonya anuman ang kanilang mga paniniwala sa relihiyon.</t>
  </si>
  <si>
    <t>How does marriage affect individual tax filing and financial responsibilities?</t>
  </si>
  <si>
    <t>In the Philippines, marriage has significant implications for individual tax filing and financial responsibilities. Key considerations include choosing a filing status after marriage, such as Married Filing Jointly or Married Filing Separately, which can impact how incomes, deductions, and credits are combined. The progressive tax rates in the Philippine tax system may place couples into different tax brackets based on their combined income. Marriage also offers financial perks, including additional exemptions for the spouse and qualified dependents, deductions for medical and health insurance premiums, and potential deductions on joint housing loan interest. Additionally, marital status influences estate and donor's taxes, affecting applicable tax rates and exemptions. It is crucial to stay informed about the latest regulations and consult professionals in the field for accurate and up-to-date information, utilizing reputable sources like the official BIR website.</t>
  </si>
  <si>
    <t>Paano nakakaapekto ang kasal sa indibidwal na paghahain ng buwis at mga pananagutan sa pananalapi?</t>
  </si>
  <si>
    <t>Sa Pilipinas, ang kasal ay may malaking implikasyon para sa indibidwal na paghahain ng buwis at mga pananagutan sa pananalapi. Kabilang sa mga pangunahing pagsasaalang-alang ang pagpili ng status ng pag-file pagkatapos ng kasal, tulad ng Married Filing Jointly o Married Filing Separately, na maaaring makaapekto sa kung paano pinagsama ang mga kita, pagbabawas, at mga kredito. Ang mga progresibong rate ng buwis sa sistema ng buwis sa Pilipinas ay maaaring maglagay ng mga mag-asawa sa magkakaibang mga bracket ng buwis batay sa kanilang pinagsamang kita. Nag-aalok din ang kasal ng mga pinansiyal na perk, kabilang ang mga karagdagang exemption para sa asawa at mga kwalipikadong dependent, mga pagbabawas para sa mga premium ng medikal at health insurance, at mga potensyal na pagbabawas sa joint housing loan na interes. Bukod pa rito, naiimpluwensyahan ng marital status ang mga buwis sa ari-arian at donor, na nakakaapekto sa mga naaangkop na rate ng buwis at mga exemption. Napakahalaga na manatiling may kaalaman tungkol sa pinakabagong mga regulasyon at kumunsulta sa mga propesyonal sa larangan para sa tumpak at napapanahon na impormasyon, gamit ang mga mapagkakatiwalaang mapagkukunan tulad ng opisyal na website ng BIR.</t>
  </si>
  <si>
    <t>Are there any legal protections for individual assets and debts within a marriage?</t>
  </si>
  <si>
    <t>In the Philippines, legal protections for individual assets and debts within a marriage include the Conjugal Partnership of Gains as the default property regime. Under this regime, properties acquired during the marriage are considered conjugal, except those explicitly excluded by law. Personal debts contracted by either spouse before or during the marriage are not charged to the conjugal partnership, except if they benefited the family. Legal separation of property is possible under certain circumstances, allowing spouses to manage their own properties. Additionally, the wife has the right to seek annulment of any contract or act of the husband that defrauds or impairs her interests in conjugal partnership property, provided the action is taken within ten years from the transaction.</t>
  </si>
  <si>
    <t>Mayroon bang anumang legal na proteksyon para sa mga indibidwal na ari-arian at mga utang sa loob ng kasal?</t>
  </si>
  <si>
    <t>Sa Pilipinas, ang mga legal na proteksyon para sa mga indibidwal na ari-arian at mga utang sa loob ng kasal ay kinabibilangan ng Conjugal Partnership of Gains bilang default na rehimen ng ari-arian. Sa ilalim ng rehimeng ito, ang mga ari-arian na nakuha sa panahon ng kasal ay itinuturing na conjugal, maliban sa mga tahasang ibinukod ng batas. Ang mga personal na utang ay kinontrata ng alinmang asawa bago o sa panahon ng kasal ay hindi sisingilin sa conjugal partnership, maliban kung sila ay nakinabang sa pamilya. Ang legal na paghihiwalay ng ari-arian ay posible sa ilalim ng ilang partikular na mga pangyayari, na nagpapahintulot sa mga mag-asawa na pamahalaan ang kanilang sariling mga ari-arian. Bukod pa rito, ang asawa ay may karapatang maghanap pagpapawalang-bisa ng anumang kontrata o gawa ng asawang lalaki na nanloloko o pumipinsala sa kanyang mga interes sa pag-aari ng conjugal partnership, kung ang aksyon ay gagawin sa loob ng sampung taon mula sa transaksyon.</t>
  </si>
  <si>
    <t>How are joint bank accounts, mortgages, and other co-owned properties handled during marriage?</t>
  </si>
  <si>
    <t>Joint bank accounts, mortgages, and jointly owned real estate are typically recognised as marital property in the Philippines, belonging to both spouses. Until the contrary is demonstrated, all assets acquired during the marriage are assumed to be marital. Property obtained before the marriage by a spouse with legitimate descendants from a previous marriage, property for exclusive personal use, and property acquired through gratuitous title are all excluded from the definition of conjugal property. The Bangko Sentral ng Pilipinas has regulations governing joint bank accounts, and when it comes to joint housing loans, the property and the loan are usually regarded as marital. Before getting married, prenuptial agreements can be created to outline property relations and indicate which assets are owned jointly by the husband and wife and which are considered conjugal.</t>
  </si>
  <si>
    <t>Paano pinangangasiwaan ang magkasanib na bank account, mortgage, at iba pang pag-aari na pag-aari sa panahon ng kasal?</t>
  </si>
  <si>
    <t>Ang magkasanib na bank account, mortgage, at magkasanib na ari-arian ay karaniwang kinikilala bilang ari-arian ng mag-asawa sa Pilipinas, na pagmamay-ari ng parehong asawa. Hanggang sa maipakita ang kabaligtaran, ang lahat ng mga ari-arian na nakuha sa panahon ng kasal ay ipinapalagay na kasal. Ang ari-arian na nakuha bago ang kasal ng isang asawa na may mga lehitimong inapo mula sa nakaraang kasal, ari-arian para sa eksklusibong personal na paggamit, at ari-arian na nakuha sa pamamagitan ng walang bayad na titulo ay lahat ay hindi kasama sa kahulugan ng conjugal property. Ang Bangko Sentral ng Pilipinas ay may mga regulasyon na namamahala sa magkasanib na mga account sa bangko, at pagdating sa magkasanib na pautang sa pabahay, ang ari-arian at ang utang ay karaniwang itinuturing na kasal. Bago magpakasal, ang mga prenuptial na kasunduan ay maaaring gawin upang balangkasin ang mga relasyon sa ari-arian at ipahiwatig kung aling mga ari-arian ang magkasamang pagmamay-ari ng mag-asawa at kung saan ay itinuturing na conjugal.</t>
  </si>
  <si>
    <t>What legal steps can be taken to protect inheritance rights for children from previous relationships?</t>
  </si>
  <si>
    <t>In the Philippines, there are legal steps to protect the inheritance rights of children from previous relationships:
Acknowledgment: Illegitimate children can inherit if the father acknowledges or recognizes them, even posthumously. There is a specified period within which an action can be filed to compel recognition.
Legal Adoption: If the parent refuses acknowledgment, legal adoption creates a parent-child relationship recognized by the law, granting the same inheritance rights as legitimate children.
Life Insurance: Naming the child as an irrevocable beneficiary in the parent's life insurance policy can ensure an inheritance even without legal adoption, equalizing the child's share with legitimate siblings.
Donation: The parent can donate property to the child during their lifetime, subject to collation, where the value of donations is computed to determine the actual estate size and shares of compulsory heirs.
Holographic Will: If a free portion of the estate is available, the parent can execute a notarial or holographic will, allocating part or all of the free portion to the illegitimate child, equalizing their share with legitimate siblings.</t>
  </si>
  <si>
    <t>Anong mga legal na hakbang ang maaaring gawin upang maprotektahan ang mga karapatan sa mana para sa mga bata mula sa mga nakaraang relasyon?</t>
  </si>
  <si>
    <t>"Sa Pilipinas, may mga legal na hakbang upang protektahan ang mga karapatan sa mana ng mga bata mula sa mga nakaraang relasyon:
Pagkilala: Ang mga anak sa labas ay maaaring magmana kung kinikilala o kinikilala sila ng ama, kahit posthumously. May tinukoy na panahon kung saan maaaring magsampa ng aksyon upang pilitin ang pagkilala.
Legal na Pag-ampon: Kung ang magulang ay tumanggi sa pagkilala, ang legal na pag-aampon ay lilikha ng relasyon ng magulang-anak na kinikilala ng batas, na nagbibigay ng parehong mga karapatan sa mana bilang mga lehitimong anak.
Seguro sa Buhay: Ang pagbibigay ng pangalan sa bata bilang isang hindi mababawi na benepisyaryo sa patakaran ng seguro sa buhay ng magulang ay maaaring matiyak ang isang mana kahit na walang legal na pag-aampon, na katumbas ng bahagi ng bata sa mga lehitimong kapatid.
Donasyon: Maaaring mag-donate ng ari-arian ang magulang sa bata habang nabubuhay sila, napapailalim sa pagkolekta, kung saan ang halaga ng mga donasyon ay kinukuwenta upang matukoy ang aktwal na laki ng ari-arian at mga bahagi ng mga sapilitang tagapagmana.
Holographic Will: Kung ang isang libreng bahagi ng ari-arian ay magagamit, ang magulang ay maaaring magsagawa ng isang notaryo o holographic na kalooban, na naglalaan ng bahagi o lahat ng libreng bahagi sa anak sa labas, na katumbas ng kanilang bahagi sa mga lehitimong kapatid."</t>
  </si>
  <si>
    <t>Do both spouses need separate legal representation when applying for a marriage license or pre-nuptial agreement?</t>
  </si>
  <si>
    <t>It is advisable that you and your partner retain independent legal counsel to review and advise on the prenuptial agreement.</t>
  </si>
  <si>
    <t>Kailangan ba ng dalawang mag-asawa ang magkahiwalay na legal na representasyon kapag nag-a-apply para sa marriage license o pre-nuptial agreement?</t>
  </si>
  <si>
    <t>Maipapayo na ikaw at ang iyong kapareha ay magpanatili ng independiyenteng legal na tagapayo upang suriin at payuhan ang prenuptial agreement.</t>
  </si>
  <si>
    <t>What pro bono legal services or support programs exist for low-income or marginalized communities seeking marriage guidance?</t>
  </si>
  <si>
    <t>Many organisations and initiatives, such as the Public Attorney's Office (PAO), the Free Legal Assistance Group (FLAG), Alternative Law Groups (ALG), and the Clinical Legal Education Programme (CLEP) at nearby law schools, work to give pro bono legal aid to the impoverished in the Philippines.</t>
  </si>
  <si>
    <t>Anong mga pro bono na legal na serbisyo o mga programa ng suporta ang umiiral para sa mga komunidad na mababa ang kita o marginalized na naghahanap ng gabay sa kasal?</t>
  </si>
  <si>
    <t>Maraming organisasyon at inisyatiba, gaya ng Public Attorney's Office (PAO), Free Legal Assistance Group (FLAG), Alternative Law Groups (ALG), at Clinical Legal Education Program (CLEP) sa mga kalapit na law school, ang nagtatrabaho upang magbigay ng pro bono tulong legal sa mga mahihirap sa Pilipinas.</t>
  </si>
  <si>
    <t>How can technology and online resources be utilized to navigate Filipino marriage legalities?</t>
  </si>
  <si>
    <t>Technology and online resources play a crucial role in navigating Filipino marriage legalities:
Online Guides: Platforms like Courtly and FilipiKnow offer comprehensive guides on the process of getting married in the Philippines, detailing step-by-step procedures, requirements, and legal considerations.
Online Marriages: While online marriages are not allowed under Filipino marriage licenses, some countries, such as the United States, have legalized and facilitated online marriages. Marriages conducted online in a legally recognized country may be acknowledged in the Philippines.
Digital Documents: Essential marriage documents like the Certificate of No Marriage (CENOMAR) or Certificate of Singleness can be obtained online, streamlining the documentation process.
Online Pre-Marriage Counseling: Certain organizations provide online pre-marriage counseling, a requirement for marriage in the Philippines.
Legal Consultations: Law firms offering online consultations facilitate a better understanding of the legal aspects and implications of marriage.
Government Websites: Official websites of government agencies like the Philippine Statistics Authority (PSA) and the Department of Foreign Affairs (DFA) offer valuable information regarding marriage requirements, contributing to efficient and informed decision-making.</t>
  </si>
  <si>
    <t>Paano magagamit ang teknolohiya at mga online na mapagkukunan upang mag-navigate sa legalidad ng kasal ng mga Pilipino?</t>
  </si>
  <si>
    <t>Ang teknolohiya at mga mapagkukunang online ay may mahalagang papel sa pag-navigate sa mga legalidad ng kasal ng mga Pilipino:
Mga Online na Gabay: Ang mga platform tulad ng Courtly at FilipiKnow ay nag-aalok ng mga komprehensibong gabay sa proseso ng pagpapakasal sa Pilipinas, na nagdedetalye ng sunud-sunod na mga pamamaraan, mga kinakailangan, at mga legal na pagsasaalang-alang.
Mga Online na Kasal: Bagama't ang mga online na kasal ay hindi pinapayagan sa ilalim ng mga lisensya sa kasal ng mga Pilipino, ang ilang mga bansa, tulad ng Estados Unidos, ay ginawang legal at pinadali ang mga online na kasal. Ang mga kasal na isinasagawa online sa isang legal na kinikilalang bansa ay maaaring kilalanin sa Pilipinas.
Mga Digital na Dokumento: Ang mga mahahalagang dokumento sa kasal tulad ng Certificate of No Marriage (CENOMAR) o Certificate of Singleness ay maaaring makuha online, na nagpapadali sa proseso ng dokumentasyon.
Online Pre-Marriage Counseling: Ang ilang organisasyon ay nagbibigay ng online pre-marriage counseling, isang kinakailangan para sa kasal sa Pilipinas.
Mga Legal na Konsultasyon: Ang mga law firm na nag-aalok ng mga online na konsultasyon ay nagpapadali ng mas mahusay na pag-unawa sa mga legal na aspeto at implikasyon ng kasal.
Mga Website ng Pamahalaan: Ang mga opisyal na website ng mga ahensya ng gobyerno tulad ng Philippine Statistics Authority (PSA) at Department of Foreign Affairs (DFA) ay nag-aalok ng mahalagang impormasyon tungkol sa mga kinakailangan sa kasal, na nag-aambag sa mahusay at matalinong paggawa ng desisyon.</t>
  </si>
  <si>
    <t>How do cohabitation agreements compare to pre-nuptial agreements in terms of legal recognition and enforceability?</t>
  </si>
  <si>
    <t>A prenuptial agreement, also known as a premarital agreement, is a written contract created by a couple anticipating marriage. Similar to a cohabitation agreement, it outlines the division of assets and debts in the event of divorce or death. Prenuptial agreements require full financial disclosure, must be in writing, and must be signed before the marriage to be legally valid. Common clauses in prenuptial agreements cover property and financial separation, alimony, division of responsibilities, child inheritance, forum selection, choice of law, and sunset provisions. Prenuptial agreements aim to provide peace of mind for both parties by clarifying their rights and obligations.
A cohabitation agreement, or "living together" contract, serves a similar purpose for unmarried couples living together. It outlines the distribution of property, ownership of joint accounts, debt payment, financial support, property deeds, rent or mortgage responsibilities, bill payments, child custody, child support, and dispute resolution through mediation. While some may hesitate to invest time and money in such agreements, they are generally cost-effective compared to potential legal fees in the absence of a pre-established agreement.</t>
  </si>
  <si>
    <t>Paano maihahambing ang mga kasunduan sa cohabitation sa mga pre-nuptial agreement sa mga tuntunin ng legal na pagkilala at pagpapatupad?</t>
  </si>
  <si>
    <t>Ang prenuptial agreement, na kilala rin bilang premarital agreement, ay isang nakasulat na kontrata na nilikha ng mag-asawang naghihintay ng kasal. Katulad ng isang kasunduan sa cohabitation, binabalangkas nito ang paghahati ng mga ari-arian at mga utang kung sakaling maghiwalay o mamatay. Ang mga kasunduan sa prenuptial ay nangangailangan ng buong pagsisiwalat sa pananalapi, dapat ay nakasulat, at dapat na lagdaan bago ang kasal upang maging legal na wasto. Ang mga karaniwang sugnay sa mga kasunduan sa prenuptial ay sumasaklaw sa paghihiwalay ng ari-arian at pananalapi, alimony, paghahati ng mga responsibilidad, mana ng anak, pagpili ng forum, pagpili ng batas, at mga probisyon sa paglubog ng araw. Ang mga kasunduan sa prenuptial ay naglalayong magbigay ng kapayapaan ng isip para sa parehong partido sa pamamagitan ng paglilinaw ng kanilang mga karapatan at obligasyon.
Ang isang kasunduan sa cohabitation, o kontratang "living together", ay nagsisilbi ng katulad na layunin para sa mga hindi kasal na nagsasama. Binabalangkas nito ang pamamahagi ng ari-arian, pagmamay-ari ng magkasanib na mga account, pagbabayad ng utang, suportang pinansyal, mga gawa ng ari-arian, mga responsibilidad sa upa o pagsasangla, pagbabayad ng bill, pag-iingat ng bata, suporta sa bata, at paglutas ng hindi pagkakaunawaan sa pamamagitan ng pamamagitan. Bagama't ang ilan ay maaaring mag-atubiling mag-invest ng oras at pera sa mga naturang kasunduan, ang mga ito ay karaniwang cost-effective kumpara sa mga potensyal na legal na bayarin sa kawalan ng isang paunang itinatag na kasunduan.</t>
  </si>
  <si>
    <t>What legal challenges or complications arise with online dating and marriages formed across international borders?</t>
  </si>
  <si>
    <t>Online dating and international marriages in the Philippines pose legal challenges:
Online Dating:
Scams and Fraud: The Philippines is susceptible to online scams, with criminals targeting individuals for financial exploitation.
Privacy Risks: Dating apps raise privacy concerns as users may link accounts to social media, potentially exposing personal information.
International Marriages:
Legal Requirements: Marriages abroad are recognized in the Philippines if they comply with local laws, as governed by the Family Code.
Certificate of No Marriage (CENOMAR): Essential for reporting a marriage, CENOMAR verifies the absence of existing marriage records in the Philippines.
Previous Marriages: Complications may arise if there are records of prior marriages, especially if dissolved in a foreign country after taking place in the Philippines.
Navigating these challenges requires awareness of legal requirements, seeking professional guidance, and exercising caution in online dating. Verification of information is crucial to mitigate risks and ensure a legally sound process.</t>
  </si>
  <si>
    <t>Anong mga legal na hamon o komplikasyon ang lumitaw sa online na pakikipag-date at mga pag-aasawa na nabuo sa mga internasyonal na hangganan?</t>
  </si>
  <si>
    <t>Ang online dating at mga kasal sa ibang bansa sa Pilipinas ay nagdudulot ng mga legal na hamon:
Online Dating:
Mga Scam at Panloloko: Ang Pilipinas ay madaling kapitan ng mga online scam, na may mga kriminal na nagta-target ng mga indibidwal para sa pananamantalang pananalapi.
Mga Panganib sa Privacy: Ang mga pakikipag-date na app ay nagpapataas ng mga alalahanin sa privacy dahil maaaring i-link ng mga user ang mga account sa social media, na posibleng maglantad ng personal na impormasyon.
Mga internasyonal na kasal:
Mga Legal na Kinakailangan: Ang mga kasal sa ibang bansa ay kinikilala sa Pilipinas kung sumusunod sila sa mga lokal na batas, na pinamamahalaan ng Family Code.
Certificate of No Marriage (CENOMAR): Mahalaga para sa pag-uulat ng kasal, ang CENOMAR ay nagbe-verify ng kawalan ng umiiral na mga rekord ng kasal sa Pilipinas.
Nakaraang Pag-aasawa: Maaaring magkaroon ng mga komplikasyon kung may mga talaan ng mga naunang kasal, lalo na kung dissolved sa ibang bansa pagkatapos maganap sa Pilipinas.
Ang pag-navigate sa mga hamong ito ay nangangailangan ng kamalayan sa mga legal na kinakailangan, paghanap ng propesyonal na gabay, at pag-iingat sa online na pakikipag-date. Ang pag-verify ng impormasyon ay mahalaga upang mabawasan ang mga panganib at matiyak ang isang legal na maayos na proseso.</t>
  </si>
  <si>
    <t>What legal considerations exist for surrogacy, adoption, and alternative family arrangements within a marriage?</t>
  </si>
  <si>
    <t>In the Philippines, there is no specific law explicitly permitting or prohibiting commercial surrogacy. Existing legislation may partially apply, but there is a lack of comprehensive legal guidelines for both traditional and gestational surrogacy. Traditional surrogacy can raise concerns related to parentage, custody, and potential exploitation of the surrogate, while gestational surrogacy lacks clear legal frameworks for the rights and responsibilities of the parties involved. The absence of specific legislation has led to difficulties in obtaining legal recognition of parental rights for prospective parents and challenges for surrogate mothers regarding their rights and compensation.
Adoption in the Philippines is primarily governed by Republic Act No. 8552, known as the Domestic Adoption Act of 1998. To be eligible adopters, individuals must be Filipino citizens, of legal age, possess full civil capacity, exhibit good moral character, have no convictions for crimes involving moral turpitude, be emotionally and psychologically capable of caring for children, and be at least sixteen years older than the adoptee. In 2022, Republic Act 11642, also called the Domestic Administrative Adoption Act, was enacted to streamline the adoption process. Under this law, an attached agency of the Department of Social Welfare and Development, known as the National Authority for Child Care (NACC), was established with quasi-judicial powers to approve and grant various types of adoption.
Alternative family care arrangements are provided through various means, including adoption, foster family care, legal guardianship, or residential care based on the specific needs of the child. Republic Act No. 11642 ensures that every child remains under the care and custody of parents, receiving love, care, understanding, and security for their full and harmonious development. Additionally, Republic Act No. 10165, known as the Foster Care Act of 2012, emphasizes the state's commitment to providing neglected, abused, surrendered, dependent, abandoned, or special needs children with alternative families. These families are expected to offer love, care, and opportunities for growth and development, contributing to the overall welfare of the child.</t>
  </si>
  <si>
    <t>Anong mga legal na pagsasaalang-alang ang umiiral para sa surrogacy, adoption, at alternatibong kaayusan sa pamilya sa loob ng kasal?</t>
  </si>
  <si>
    <t>Sa Pilipinas, walang partikular na batas na tahasang nagpapahintulot o nagbabawal sa komersyal na surrogacy. Ang kasalukuyang batas ay maaaring bahagyang nalalapat, ngunit may kakulangan ng komprehensibong legal na mga alituntunin para sa parehong tradisyonal at gestational surrogacy. Ang tradisyonal na surrogacy ay maaaring maglabas ng mga alalahanin na may kaugnayan sa pagiging magulang, pangangalaga, at potensyal na pagsasamantala sa kahalili, habang ang gestational surrogacy ay walang malinaw na legal na mga balangkas para sa mga karapatan at pananagutan ng mga kasangkot na partido. karapatan at kabayaran.
Ang Adoption sa Pilipinas ay pangunahing pinamamahalaan ng Republic Act No. 8552, na kilala bilang Domestic Adoption Act of 1998. Upang maging karapat-dapat na mga adopter, ang mga indibidwal ay dapat na mamamayang Pilipino, nasa legal na edad, nagtataglay ng ganap na sibil na kapasidad, nagpapakita ng mabuting moralidad, walang paghatol para sa mga krimen na kinasasangkutan ng moral turpitude, emosyonal at sikolohikal na may kakayahang pangalagaan ang mga bata, at maging mas matanda nang hindi bababa sa labing-anim na taon kaysa sa inampon. Noong 2022, ang Republic Act 11642, na tinatawag ding Domestic Administrative Adoption Act, ay pinagtibay upang i-streamline ang proseso ng pag-aampon. Sa ilalim ng batas na ito, itinatag ang isang kalakip na ahensya ng Department of Social Welfare and Development, na kilala bilang National Authority for Child Care (NACC), na may quasi-judicial powers upang aprubahan at bigyan ng iba't ibang uri ng pag-aampon.
Ang mga alternatibong kaayusan sa pangangalaga ng pamilya ay ibinibigay sa pamamagitan ng iba't ibang paraan, kabilang ang pag-aampon, pangangalaga sa pamilya ng foster, legal na pangangalaga, o pangangalaga sa tirahan batay sa mga partikular na pangangailangan ng bata. Tinitiyak ng Republic Act No. 11642 na ang bawat bata ay mananatili sa ilalim ng pangangalaga at pangangalaga ng mga magulang, na tumatanggap ng pagmamahal, pangangalaga, pag-unawa, at seguridad para sa kanilang ganap at maayos na pag-unlad. Bukod pa rito, binibigyang-diin ng Republic Act No. 10165, na kilala bilang Foster Care Act of 2012, ang pangako ng estado sa pagbibigay ng mga napabayaan, inabuso, isinuko, umaasa, inabandona, o mga espesyal na pangangailangan ng mga bata na may mga alternatibong pamilya. Ang mga pamilyang ito ay inaasahang mag-aalok ng pagmamahal, pangangalaga, at mga pagkakataon para sa paglaki at pag-unlad, na nag-aambag sa pangkalahatang kapakanan ng bata.</t>
  </si>
  <si>
    <t>Can a marriage be annulled if one spouse was mentally incapacitated at the time of the ceremony?</t>
  </si>
  <si>
    <t>In the Philippines, the Family Code specifically provides psychological incapacity as a ground for annulment under Article 36.</t>
  </si>
  <si>
    <t>Maaari bang mapawalang-bisa ang kasal kung ang isang asawa ay may kapansanan sa pag-iisip sa oras ng seremonya?</t>
  </si>
  <si>
    <t>Sa Pilipinas, ang Family Code ay partikular na nagbibigay ng psychological incapacity bilang ground para sa annulment sa ilalim ng Article 36.</t>
  </si>
  <si>
    <t>What specific types of psychological disorders qualify as grounds for annulment?</t>
  </si>
  <si>
    <t>Severe and incurable type of psychological disorders are often grounds for annulment</t>
  </si>
  <si>
    <t>Anong mga partikular na uri ng psychological disorder ang kwalipikado bilang batayan para sa pagpapawalang-bisa?</t>
  </si>
  <si>
    <t>Ang malubha at walang lunas na uri ng mga sikolohikal na karamdaman ay kadalasang batayan para sa pagpapawalang-bisa</t>
  </si>
  <si>
    <t>What type of deception or concealment justifies an annulment attempt?</t>
  </si>
  <si>
    <t>We are very sorry for your pain, but lying or misrepresenting one's character, health, status, wealth, or virginity does not qualify as fraud and cannot be used as a reason for annulment. Maybe you could look into the possibility of using Article 36 of the Family Code to declare your marriage void on other grounds, like psychological incapacity.</t>
  </si>
  <si>
    <t>Anong uri ng panlilinlang o pagtatago ang nagbibigay-katwiran sa isang pagtatangka sa pagpapawalang-bisa?</t>
  </si>
  <si>
    <t>Lubos kaming humihingi ng paumanhin sa iyong pananakit, ngunit ang pagsisinungaling o maling pagkilala sa pagkatao, kalusugan, katayuan, kayamanan, o pagkabirhen ng isang tao ay hindi kwalipikado bilang panloloko at hindi maaaring gamitin bilang dahilan ng pagpapawalang-bisa. Marahil ay maaari mong tingnan ang posibilidad na gamitin ang Artikulo 36 ng Family Code para ideklarang walang bisa ang iyong kasal sa iba pang dahilan, tulad ng psychological incapacity.</t>
  </si>
  <si>
    <t>What legal procedures and evidence are required to prove a bigamous marriage?</t>
  </si>
  <si>
    <t>For someone to be found guilty of bigamy, the prosecution must establish certain elements. Firstly, it needs to be proven that the defendant was previously legally married and that the first marriage has not been formally dissolved or, if the spouse is absent, the presumption of death under the Civil Code has not been met. Additionally, it must be demonstrated that the defendant entered into a second or subsequent marriage. Finally, the prosecution must show that the second or subsequent marriage fulfills all necessary conditions to be considered valid. Crucially, it must be established that, without the continuation of the first marriage, the alleged second marriage would not be valid.</t>
  </si>
  <si>
    <t>Anong mga legal na pamamaraan at ebidensya ang kinakailangan upang patunayan ang isang bigamous na kasal?</t>
  </si>
  <si>
    <t>Para ang isang tao ay mapatunayang nagkasala ng bigamy, ang prosekusyon ay dapat magtatag ng ilang mga elemento. Una, kailangang patunayan na ang nasasakdal ay dating legal na kasal at ang unang kasal ay hindi pa pormal na dissolved o, kung ang asawa ay wala, ang presumption of death sa ilalim ng Civil Code ay hindi natugunan. Bukod pa rito, dapat itong ipakita na ang nasasakdal ay pumasok sa pangalawa o kasunod na kasal. Sa wakas, dapat ipakita ng prosekusyon na ang pangalawa o kasunod na kasal ay tumutupad sa lahat ng kinakailangang kondisyon upang ituring na wasto. Mahalaga, dapat itong matiyak na, kung wala ang pagpapatuloy ng unang kasal, ang sinasabing pangalawang kasal ay hindi magiging wasto.</t>
  </si>
  <si>
    <t>Under what circumstances can a marriage be annulled due to lack of physical intimacy?</t>
  </si>
  <si>
    <t>If one spouse is physically unable to consummate the marriage with the other, and this incapacity is incurable, the marriage may be dissolved.</t>
  </si>
  <si>
    <t>Sa anong mga pangyayari maaaring mapawalang-bisa ang kasal dahil sa kakulangan ng pisikal na intimacy?</t>
  </si>
  <si>
    <t>Kung ang isang asawa ay pisikal na hindi kayang isagawa ang kasal sa isa, at ang kawalan ng kakayahan na ito ay hindi magagamot, ang kasal ay maaaring mabuwag.</t>
  </si>
  <si>
    <t>What happens if one spouse was already married and did not properly dissolve the previous union?</t>
  </si>
  <si>
    <t>The crime of bigamy in the Philippines is defined as contracting a second or subsequent marriage before the legal dissolution of the former marriage or before the absent spouse is declared presumptively dead through a proper judicial judgment. The penalty for bigamy is prision mayor.</t>
  </si>
  <si>
    <t>Ano ang mangyayari kung ang isang asawa ay may asawa na at hindi maayos na nabuwag ang nakaraang unyon?</t>
  </si>
  <si>
    <t>Ang krimen ng bigamy sa Pilipinas ay binibigyang kahulugan bilang pagkontrata ng pangalawa o kasunod na kasal bago ang legal na dissolution ng dating kasal o bago ang absent na asawa ay ideklarang mapagpalagay na patay sa pamamagitan ng tamang hudisyal na hatol. Ang parusa sa bigamy ay prision mayor.</t>
  </si>
  <si>
    <t>Can a marriage contracted under the legal age be annulled later?</t>
  </si>
  <si>
    <t>If one of the parties to a marriage between individuals who are between the ages of 18 and 21 did not receive parental consent, the marriage may be dissolved by the party who did not provide consent within five years of turning 21.</t>
  </si>
  <si>
    <t>Maaari bang mapawalang-bisa sa ibang pagkakataon ang kasal na kinontrata sa ilalim ng legal na edad?</t>
  </si>
  <si>
    <t>Kung ang isa sa mga partido sa kasal sa pagitan ng mga indibidwal na nasa pagitan ng edad na 18 at 21 ay hindi nakatanggap ng pahintulot ng magulang, ang kasal ay maaaring buwagin ng partido na hindi nagbigay ng pahintulot sa loob ng limang taon pagkatapos ng pagiging 21.</t>
  </si>
  <si>
    <t>What is the legal process for filing for annulment? What documents and evidence are needed?</t>
  </si>
  <si>
    <t>To initiate the annulment process, it is recommended to engage a specialized family lawyer due to the intricate nature of the proceedings. The first step involves preparing a petition outlining the grounds for annulment and presenting supporting evidence. Subsequently, the petition must be filed in the Regional Trial Court, either where the marriage occurred or where the couple last resided together. Attendances at hearings may be mandatory, with the possibility of expert witnesses being summoned. Following the court's decision to grant the annulment, the verdict is recorded with the local civil registry and the National Statistics Office for legal recognition.</t>
  </si>
  <si>
    <t>Ano ang legal na proseso para sa paghahain ng annulment? Anong mga dokumento at ebidensya ang kailangan?</t>
  </si>
  <si>
    <t>Upang simulan ang proseso ng pagpapawalang-bisa, inirerekumenda na makipag-ugnayan sa isang dalubhasang abogado ng pamilya dahil sa masalimuot na katangian ng mga paglilitis. Ang unang hakbang ay nagsasangkot ng paghahanda ng isang petisyon na nagbabalangkas sa mga batayan para sa pagpapawalang-bisa at paglalahad ng mga sumusuportang ebidensya. Kasunod nito, ang petisyon ay dapat ihain sa Regional Trial Court, kung saan naganap ang kasal o kung saan huling nanirahan ang mag-asawa. Maaaring mandatory ang pagdalo sa mga pagdinig, na may posibilidad na ipatawag ang mga ekspertong saksi. Kasunod ng desisyon ng korte na ibigay ang annulment, ang hatol ay naitala sa local civil registry at National Statistics Office para sa legal na pagkilala.</t>
  </si>
  <si>
    <t>Who can file for annulment? Can both spouses or just one person initiate the process?</t>
  </si>
  <si>
    <t>Before you turn twenty-one, your parent(s) or guardian may also file the petition at any time. 2. When they got married, one of the parties was mentally ill. Before your spouse passes away, you are free to file the petition at any time.</t>
  </si>
  <si>
    <t>Bago ka maging dalawampu't isa, ang iyong (mga) magulang o tagapag-alaga ay maaari ding maghain ng petisyon anumang oras. 2. Nang magpakasal sila, ang isa sa mga partido ay may sakit sa pag-iisip. Bago pumanaw ang iyong asawa, malaya kang maghain ng petisyon anumang oras.</t>
  </si>
  <si>
    <t>Does annulment require separation or living apart before filing?</t>
  </si>
  <si>
    <t>No, it does not as it is depends on the two partners whether they will continue to live together or live apart until the annulment process is done, but most partners that</t>
  </si>
  <si>
    <t>Nangangailangan ba ang annulment ng paghihiwalay o pagtira bago mag-file?</t>
  </si>
  <si>
    <t>Hindi, hindi dahil nakadepende sa dalawang magkasosyo kung magpapatuloy silang mamuhay nang magkasama o magkakahiwalay hanggang sa matapos ang proseso ng annulment, ngunit karamihan sa mga kasosyo na</t>
  </si>
  <si>
    <t>How long does an annulment case typically take to be resolved?</t>
  </si>
  <si>
    <t>The Philippines' infamously drawn-out annulment procedure can take up to two years, or even longer, depending on the intricacy of the case, the parties' and their attorneys' availability, and the court's schedule.</t>
  </si>
  <si>
    <t>Gaano katagal karaniwang nareresolba ang isang kaso ng annulment?</t>
  </si>
  <si>
    <t>Maaaring tumagal ng hanggang dalawang taon, o mas matagal pa, ng Pilipinas ang karumal-dumal na proseso ng pagpapawalang-bisa, depende sa masalimuot ng kaso, availability ng mga partido at kanilang mga abogado, at iskedyul ng korte.</t>
  </si>
  <si>
    <t>What are the legal fees associated with filing for annulment?</t>
  </si>
  <si>
    <t>The expenses associated with an annulment can vary significantly, encompassing lawyer's fees, court fees, and additional costs like those for psychological assessments and documentation. Typically ranging from PHP 150,000 to PHP 300,000 or more, the overall cost hinges on factors such as the lawyer's experience and the intricacy of the case. While court-imposed filing fees are relatively minimal, other expenses may arise for notarization and various documentation needs.</t>
  </si>
  <si>
    <t>Ano ang mga legal na bayarin na nauugnay sa paghahain ng annulment?</t>
  </si>
  <si>
    <t>Ang mga gastos na nauugnay sa isang annulment ay maaaring mag-iba nang malaki, na sumasaklaw sa mga bayarin ng abogado, bayad sa korte, at karagdagang mga gastos tulad ng para sa mga sikolohikal na pagtatasa at dokumentasyon. Karaniwang mula sa PHP 150,000 hanggang PHP 300,000 o higit pa, ang kabuuang gastos ay nakasalalay sa mga salik tulad ng karanasan ng abogado at ang pagiging kumplikado ng kaso. Bagama't ang mga bayarin sa paghaharap na ipinataw ng korte ay medyo minimal, ang iba pang mga gastos ay maaaring lumitaw para sa notarization at iba't ibang mga pangangailangan sa dokumentasyon.</t>
  </si>
  <si>
    <t>Does annulment erase the marriage from legal records?</t>
  </si>
  <si>
    <t>Annulment is a legal judgment that nullifies a marriage, declaring it void and asserting that the union was never legally valid. Despite the annulment, the marriage records are retained on file, preserving a historical record of the marriage even though it is legally considered nonexistent.</t>
  </si>
  <si>
    <t>Bubura ba ng annulment ang kasal sa mga legal na rekord?</t>
  </si>
  <si>
    <t>Ang pagpapawalang-bisa ay isang legal na hatol na nagpapawalang-bisa sa isang kasal, na nagdedeklarang walang bisa at nagsasaad na ang unyon ay hindi kailanman legal na balido. Sa kabila ng pagpapawalang-bisa, ang mga rekord ng kasal ay pinananatili sa file, na pinapanatili ang isang makasaysayang rekord ng kasal kahit na ito ay legal na itinuturing na wala.</t>
  </si>
  <si>
    <t>What happens to property acquired during the marriage? Are there specific procedures for property division after annulment?</t>
  </si>
  <si>
    <t>The following would occur if the case used to dissolve the marriage was an annulment: The spouses would split the net conjugal property. The spouse who lives with the children inherits the family home. Returned to Spouses are Exclusive Properties.</t>
  </si>
  <si>
    <t>Ano ang mangyayari sa ari-arian na nakuha sa panahon ng kasal? Mayroon bang mga tiyak na pamamaraan para sa paghahati ng ari-arian pagkatapos ng annulment?</t>
  </si>
  <si>
    <t>Ang mga sumusunod ay mangyayari kung ang kaso na ginamit sa pag-dissolve ng kasal ay isang annulment: Ang mga mag-asawa ay hatiin ang net conjugal property. Ang asawang nakatira sa mga anak ay nagmamana ng tahanan ng pamilya. Ang Ibinalik sa Mag-asawa ay Mga Eksklusibong Properties.</t>
  </si>
  <si>
    <t>Can either spouse remarry after an annulment is granted?</t>
  </si>
  <si>
    <t>Legally speaking, nothing in the laws of the Philippines prevents two people whose marriages have been dissolved from getting married again. The important thing to remember is that both parties are now legally single and can marry anyone they want, even each other, as a result of the annulment.</t>
  </si>
  <si>
    <t>Maaari bang magpakasal muli ang alinmang mag-asawa pagkatapos maibigay ang annulment?</t>
  </si>
  <si>
    <t>Sa legal na pagsasalita, wala sa mga batas ng Pilipinas ang pumipigil sa dalawang tao na ang kasal ay dissolved na magpakasal muli. Ang mahalagang tandaan ay ang parehong partido ay legal nang walang asawa at maaari nang magpakasal sa sinumang gusto nila, maging sa isa't isa, bilang resulta ng annulment.</t>
  </si>
  <si>
    <t>What are the key differences between legal separation and annulment?</t>
  </si>
  <si>
    <t>Even after a legal separation, the parties are still regarded as married and are not allowed to get married again unless, if applicable, they get a divorce abroad. On the other hand, the marriage is deemed null and void and the parties are regarded as single after an annulment is granted.</t>
  </si>
  <si>
    <t>Ano ang mga pangunahing pagkakaiba sa pagitan ng legal na paghihiwalay at annulment?</t>
  </si>
  <si>
    <t>Kahit na matapos ang isang legal na paghihiwalay, ang mga partido ay itinuturing pa rin bilang kasal at hindi pinapayagang magpakasal muli maliban kung, kung naaangkop, sila ay makakuha ng diborsiyo sa ibang bansa. Sa kabilang banda, ang kasal ay itinuring na walang bisa at ang mga partido ay itinuturing na walang asawa pagkatapos ng annulment ay ipinagkaloob.</t>
  </si>
  <si>
    <t>When would legal separation be a more suitable option than annulment?</t>
  </si>
  <si>
    <t>There will be a court battle between you and your spouse. This leads to a higher expense and longer processing time associated with legal separation. Legal Separation is therefore far more expensive than Annulment. When property concerns are the primary issue and neither spouse wants to get married again, a legal separation is appropriate.</t>
  </si>
  <si>
    <t>Kailan magiging mas angkop na opsyon ang legal na paghihiwalay kaysa sa annulment?</t>
  </si>
  <si>
    <t>Magkakaroon ng labanan sa korte sa pagitan mo at ng iyong asawa. Ito ay humahantong sa isang mas mataas na gastos at mas mahabang oras ng pagproseso na nauugnay sa legal na paghihiwalay. Ang Legal Separation kung gayon ay mas mahal kaysa Annulment. Kapag ang mga alalahanin sa ari-arian ang pangunahing isyu at ayaw ng mag-asawang magpakasal muli, angkop ang legal na paghihiwalay.</t>
  </si>
  <si>
    <t>Are the grounds for legal separation different from those for annulment?</t>
  </si>
  <si>
    <t>An annulment necessitates the proof of grounds such as lack of parental consent, mental incapacity, fraud, force, or impotence, among others, whereas legal separation requires the proof of specific grounds like repeated physical violence or extreme abuse.</t>
  </si>
  <si>
    <t>Iba ba ang mga batayan para sa legal na paghihiwalay sa para sa annulment?</t>
  </si>
  <si>
    <t>Ang isang annulment ay nangangailangan ng patunay ng mga batayan tulad ng kawalan ng pahintulot ng magulang, kawalan ng kakayahan sa pag-iisip, pandaraya, puwersa, o kawalan ng lakas, bukod sa iba pa, samantalang ang legal na paghihiwalay ay nangangailangan ng patunay ng mga partikular na batayan tulad ng paulit-ulit na pisikal na karahasan o matinding pang-aabuso.</t>
  </si>
  <si>
    <t>Does legal separation dissolve the marriage or simply put it on hold?</t>
  </si>
  <si>
    <t>Notably, a legal separation does not end a marriage; rather, both parties continue to be legally married and are prohibited from getting married again.</t>
  </si>
  <si>
    <t>Ang legal na paghihiwalay ba ay dissolve ang kasal o ipagpaliban lang ito?</t>
  </si>
  <si>
    <t>Kapansin-pansin, ang isang legal na paghihiwalay ay hindi nagtatapos sa isang kasal; sa halip, ang parehong partido ay patuloy na legal na kasal at ipinagbabawal na magpakasal muli.</t>
  </si>
  <si>
    <t>What are the long-term legal and financial implications of choosing legal separation over annulment?</t>
  </si>
  <si>
    <t>In the Philippines, opting for legal separation instead of annulment entails distinct legal and financial consequences. Legal separation allows married couples to live separately without terminating the marriage, leading to the cessation of mutual support obligations and the dissolution of common property. However, the spouse at fault forfeits rights to any share of net profits from the common property and becomes disqualified from inheriting from the innocent spouse. On the other hand, annulment is a process that nullifies the marriage, granting both parties the freedom to remarry. Property, child custody, and support issues are addressed separately during annulment proceedings. Financially, legal separation generally incurs lower costs compared to annulment, which can range widely, potentially reaching PHP 150,000 to PHP 500,000 or more, contingent on various factors.</t>
  </si>
  <si>
    <t>Ano ang mga pangmatagalang legal at pinansyal na implikasyon ng pagpili ng legal na paghihiwalay kaysa sa pagpapawalang-bisa?</t>
  </si>
  <si>
    <t>Sa Pilipinas, ang pagpili para sa legal na paghihiwalay sa halip na annulment ay nangangailangan ng natatanging legal at pinansyal na kahihinatnan. Ang legal na paghihiwalay ay nagpapahintulot sa mga mag-asawa na mamuhay nang hiwalay nang hindi tinapos ang kasal, na humahantong sa pagtigil ng mga obligasyon sa suporta sa isa't isa at ang pagbuwag ng karaniwang pag-aari. Gayunpaman, ang asawang may kasalanan ay nawawalan ng karapatan sa anumang bahagi ng netong kita mula sa karaniwang ari-arian at nagiging disqualified mula sa pagmamana mula sa inosenteng asawa. Sa kabilang banda, ang annulment ay isang proseso na nagpapawalang-bisa sa kasal, na nagbibigay sa magkabilang panig ng kalayaang magpakasal muli. Ang mga isyu sa ari-arian, pag-iingat ng bata, at suporta ay hiwalay na tinutugunan sa panahon ng mga paglilitis sa pagpapawalang-bisa. Sa pananalapi, ang legal na paghihiwalay sa pangkalahatan ay nagkakaroon ng mas mababang gastos kumpara sa annulment, na maaaring malawak na saklaw, na posibleng umabot sa PHP 150,000 hanggang PHP 500,000 o higit pa, depende sa iba't ibang salik.</t>
  </si>
  <si>
    <t>Are there any religious considerations for annulment or legal separation in the Philippines?</t>
  </si>
  <si>
    <t>In the Philippines, navigating the legal landscape of marital dissolution involves careful consideration of religious aspects, particularly within the context of the dominant Catholic Church. Annulment is recognized by the Catholic Church as an alternative to divorce, with a proposed law, the Church Nullity Act of 2022, aimed at acknowledging annulments obtained from religious institutions. This bill, currently undergoing legislative processes, would enable the registration of final annulment decrees within 30 days of issuance. The Catholic Church conducts its own annulment process based on Canon Law, running parallel to the civil procedure. On the other hand, legal separation, accepted by civil law, is met with limited support from the Catholic Church, which upholds the sanctity and indissolubility of marriage. Despite the Church's influence, the Philippine Constitution ensures the separation of church and state, preserving citizens' religious freedom without government interference. These dynamics underscore the intricate relationship between civil laws and religious beliefs in the Philippines.</t>
  </si>
  <si>
    <t>Mayroon bang anumang pagsasaalang-alang sa relihiyon para sa annulment o legal na paghihiwalay sa Pilipinas?</t>
  </si>
  <si>
    <t>Yes, in the Philippines, annulment and legal separation can involve religious considerations, particularly for couples who were married in the Catholic Church. The Catholic Church does not recognize divorce but allows for annulments under certain circumstances, such as when the marriage is found to be invalid from the beginning due to reasons like lack of consent, psychological incapacity, or other impediments. However, the process can be lengthy and complex, involving both civil and ecclesiastical authorities. Legal separation, on the other hand, is a civil matter and does not have the same religious implications.</t>
  </si>
  <si>
    <t>Can an annulment or separation decision be appealed in court?</t>
  </si>
  <si>
    <t> A higher court may hear an appeal of the ruling. Typically, the Court of Appeals is involved, and in rare circumstances, the Supreme Court may even get involved. New Petition: The petitioner may file a new annulment case at a later date if they have new grounds or evidence.</t>
  </si>
  <si>
    <t>Maaari bang iapela sa korte ang desisyon sa pagpapawalang-bisa o paghihiwalay?</t>
  </si>
  <si>
    <t>Maaaring dinggin ng mas mataas na hukuman ang isang apela sa desisyon. Karaniwan, ang Court of Appeals ay kasangkot, at sa mga bihirang pagkakataon, ang Korte Suprema ay maaaring masangkot pa. Bagong Petisyon: Ang petitioner ay maaaring magsampa ng bagong kaso ng annulment sa ibang araw kung mayroon silang bagong batayan o ebidensya.</t>
  </si>
  <si>
    <t>Does ignorance of a spouse's STD constitute grounds for annulment?</t>
  </si>
  <si>
    <t>In the Philippines, the presence of a serious and seemingly incurable sexually transmitted disease (STD) at the time of marriage can serve as grounds for annulment, constituting a form of fraud. To pursue annulment on these grounds, the petition must be filed within five years after the marriage.</t>
  </si>
  <si>
    <t>Ang kamangmangan ba sa STD ng isang asawa ay bumubuo ng mga batayan para sa pagpapawalang-bisa?</t>
  </si>
  <si>
    <t>Sa Pilipinas, ang pagkakaroon ng isang malubha at tila walang lunas na sexually transmitted disease (STD) sa oras ng kasal ay maaaring magsilbing batayan para sa pagpapawalang-bisa, na bumubuo ng isang uri ng pandaraya. Upang ituloy ang pagpapawalang-bisa sa mga batayan na ito, ang petisyon ay dapat na isampa sa loob ng limang taon pagkatapos ng kasal.</t>
  </si>
  <si>
    <t>Can marriage be annulled if the spouses cannot fulfill religious obligations together?</t>
  </si>
  <si>
    <t>In the Philippines, the inability to fulfill religious obligations together is not explicitly recognized as a ground for annulment under the existing legal provisions. The traditional grounds for annulment in the country involve factors like psychological incapacity, lack of a marriage license, minority (below 18), and specific health conditions. However, a recently proposed law suggests a potential shift, acknowledging annulments granted by churches or religions. This implies that if a religious institution deems the inability to fulfill religious obligations as a valid reason for annulment, there is a possibility of state recognition.</t>
  </si>
  <si>
    <t>Maaari bang mapawalang-bisa ang kasal kung ang mag-asawa ay hindi makatutupad sa mga obligasyong panrelihiyon nang magkasama?</t>
  </si>
  <si>
    <t>Sa Pilipinas, ang kawalan ng kakayahang tuparin ang mga obligasyong panrelihiyon nang magkasama ay hindi tahasang kinikilala bilang batayan para sa pagpapawalang-bisa sa ilalim ng umiiral na mga legal na probisyon. Ang mga tradisyunal na batayan para sa pagpapawalang-bisa sa bansa ay nagsasangkot ng mga kadahilanan tulad ng sikolohikal na kawalan ng kakayahan, kakulangan ng lisensya sa pag-aasawa, minorya (sa ilalim ng 18), at mga partikular na kondisyon ng kalusugan. Gayunpaman, ang isang kamakailang iminungkahing batas ay nagmumungkahi ng isang potensyal na pagbabago, na kinikilala ang mga annulment na ipinagkaloob ng mga simbahan o relihiyon. Ipinahihiwatig nito na kung itinuturing ng isang institusyong panrelihiyon ang kawalan ng kakayahan na tuparin ang mga obligasyon sa relihiyon bilang isang wastong dahilan para sa pagpapawalang-bisa, may posibilidad ng pagkilala ng estado.</t>
  </si>
  <si>
    <t>Under what circumstances can a marriage be challenged due to pressure or manipulation?</t>
  </si>
  <si>
    <t>In the Philippines, a marriage can be contested on the basis of "consent obtained by force or intimidation," which is recognized as a valid ground for annulment according to the Family Code. Nevertheless, establishing and proving such grounds in court can be intricate, necessitating substantial and compelling evidence.</t>
  </si>
  <si>
    <t>Sa ilalim ng anong mga kalagayan maaaring hamunin ang kasal dahil sa panggigipit o manipulasyon?</t>
  </si>
  <si>
    <t>Sa Pilipinas, ang kasal ay maaaring ipaglaban batay sa "pagsang-ayon na nakuha sa pamamagitan ng puwersa o pananakot," na kinikilala bilang isang balidong batayan para sa pagpapawalang-bisa ayon sa Family Code. Gayunpaman, ang pagtatatag at pagpapatunay ng gayong mga batayan sa korte ay maaaring maging masalimuot, na nangangailangan ng matibay at nakakahimok na ebidensya.</t>
  </si>
  <si>
    <t>What happens if a spouse develops a mental illness after the ceremony?</t>
  </si>
  <si>
    <t>In the Philippines, the development of a mental illness by a spouse after marriage could potentially serve as grounds for annulment under the legal concept of "psychological incapacity." The Supreme Court has clarified that psychological incapacity is a legal, not medical, concept. It refers to a personal condition hindering a spouse from fulfilling marital obligations, which might manifest post-ceremony. Importantly, it need not be a permanent or incurable condition; rather, the evidence must convincingly demonstrate the basis for declaring the marriage null and void.</t>
  </si>
  <si>
    <t>Ano ang mangyayari kung ang isang asawa ay magkaroon ng sakit sa pag-iisip pagkatapos ng seremonya?</t>
  </si>
  <si>
    <t>Sa Pilipinas, ang pagkakaroon ng sakit sa pag-iisip ng isang asawa pagkatapos ng kasal ay maaaring maging batayan para sa pagpapawalang-bisa sa ilalim ng legal na konsepto ng "psychological incapacity." Nilinaw ng Korte Suprema na ang psychological incapacity ay isang legal, hindi medikal, na konsepto. Ito ay tumutukoy sa isang personal na kondisyon na humahadlang sa isang asawa sa pagtupad ng mga obligasyon sa kasal, na maaaring magpakita pagkatapos ng seremonya. Ang mahalaga, hindi ito kailangang maging permanente o walang lunas na kondisyon; sa halip, ang ebidensya ay dapat na nakakumbinsi na nagpapakita ng batayan para sa pagdeklara ng kasal na walang bisa.</t>
  </si>
  <si>
    <t>Does contracting a serious illness invalidate the marriage vows?</t>
  </si>
  <si>
    <t>In the Philippines, developing a serious illness after the marriage ceremony doesn't inherently nullify the marriage. However, if the illness results in the psychological incapacity of a spouse to fulfill marital obligations, it could be considered grounds for annulment. Psychological incapacity, clarified by the Supreme Court, is a legal concept, not a medical one. It pertains to a personal condition hindering a spouse from meeting marital duties, and this incapacity may arise after the wedding ceremony.</t>
  </si>
  <si>
    <t>Ang pagkakaroon ba ng malubhang karamdaman ay nagpapawalang-bisa sa mga panata ng kasal?</t>
  </si>
  <si>
    <t>Sa Pilipinas, ang pagkakaroon ng malubhang karamdaman pagkatapos ng seremonya ng kasal ay hindi likas na nagpapawalang-bisa sa kasal. Gayunpaman, kung ang sakit ay nagreresulta sa sikolohikal na kawalan ng kakayahan ng isang asawa na tuparin ang mga obligasyon sa pag-aasawa, maaari itong ituring na mga batayan para sa pagpapawalang-bisa. Ang psychological incapacity, na nilinaw ng Korte Suprema, ay isang legal na konsepto, hindi isang medikal. Ito ay nauukol sa isang personal na kondisyon na humahadlang sa isang asawa sa pagtupad sa mga tungkulin sa pag-aasawa, at ang kawalan ng kakayahan na ito ay maaaring lumitaw pagkatapos ng seremonya ng kasal.</t>
  </si>
  <si>
    <t>Can marriages formed under duress or exploitation be annulled?</t>
  </si>
  <si>
    <t>In the Philippines, marriages formed under duress or exploitation can be annulled through a legal procedure. Annulment involves declaring a marriage void or invalid, and grounds for annulment include psychological incapacity, fraud, lack of parental consent, impotence, sexually transmitted disease, or bigamy. Consulting with an experienced family lawyer who specializes in annulment cases is essential, as they can provide personalized guidance on the applicable grounds and navigate the unique aspects of each case. The specific steps and requirements may vary, making professional legal advice crucial to ensuring an effective representation of your interests in the process.</t>
  </si>
  <si>
    <t>Maaari bang ipawalang-bisa ang mga kasal na nabuo sa ilalim ng pamimilit o pagsasamantala?</t>
  </si>
  <si>
    <t>Sa Pilipinas, ang mga kasal na nabuo sa ilalim ng pamimilit o pagsasamantala ay maaaring ipawalang-bisa sa pamamagitan ng legal na pamamaraan. Ang pagpapawalang bisa ay nagsasangkot ng pagdedeklara ng kasal na walang bisa o hindi wasto, at ang mga batayan para sa pagpapawalang bisa ay kinabibilangan ng sikolohikal na kawalan ng kakayahan, pandaraya, kawalan ng pahintulot ng magulang, kawalan ng lakas, sakit na nakukuha sa pakikipagtalik, o bigamy. Ang pagkonsulta sa isang makaranasang abogado ng pamilya na dalubhasa sa mga kaso ng annulment ay mahalaga, dahil maaari silang magbigay ng personalized na patnubay sa mga naaangkop na batayan at mag-navigate sa mga natatanging aspeto ng bawat kaso. Maaaring mag-iba ang mga partikular na hakbang at kinakailangan, na ginagawang mahalaga ang propesyonal na legal na payo sa pagtiyak ng epektibong representasyon ng iyong mga interes sa proseso.</t>
  </si>
  <si>
    <t>Can reconciliation efforts be attempted before moving forward with an annulment case?</t>
  </si>
  <si>
    <t>In the Philippines, reconciliation efforts can be attempted before pursuing legal separation . The Family Code mandates that no legal separation may be decreed unless the court has taken steps toward the reconciliation of the spouses and is fully satisfied, despite such efforts, that reconciliation is highly improbable. Additionally, the proposed Senate Bill 2443, which aims to establish divorce in the Philippines, includes a provision for "irreconcilable marital differences or irreparable breakdown of the marriage, despite earnest efforts at reconciliation, subject to a cooling-off period of sixty (60) days." However, consulting with a legal professional is essential to understand the specific requirements and procedures applicable to each unique situation. It's crucial to seek professional legal advice from a family lawyer who can guide you through the process and represent your interests effectively.</t>
  </si>
  <si>
    <t>Maaari bang subukan ang mga pagsusumikap sa pagkakasundo bago sumulong sa isang kaso ng annulment?</t>
  </si>
  <si>
    <t>Sa Pilipinas, ang mga pagsusumikap sa pagkakasundo ay maaaring subukan bago ituloy ang legal na paghihiwalay o diborsyo. Ang Family Code ay nag-uutos na walang legal na paghihiwalay ang maaaring itakda maliban kung ang korte ay gumawa ng mga hakbang tungo sa pagkakasundo ng mga mag-asawa at ganap na nasiyahan, sa kabila ng gayong mga pagsisikap, na ang pagkakasundo ay napaka-imposible. Karagdagan pa, ang iminungkahing Senate Bill 2443, na naglalayong magtatag ng diborsyo sa Pilipinas, ay kinabibilangan ng probisyon para sa "irreconcilable marital differences or irreparable breakdown of the marriage, sa kabila ng marubdob na pagsisikap sa reconciliation, subject to a cooling-off period of sixty (60) araw." Gayunpaman, ang pagkonsulta sa isang legal na propesyonal ay mahalaga upang maunawaan ang mga partikular na kinakailangan at pamamaraan na naaangkop sa bawat natatanging sitwasyon. Napakahalagang humingi ng propesyonal na legal na payo mula sa isang abogado ng pamilya na maaaring gumabay sa iyo sa proseso at epektibong kumatawan sa iyong mga interes.</t>
  </si>
  <si>
    <t>Are there legal provisions for temporary restraining orders or protective measures during annulment proceedings?</t>
  </si>
  <si>
    <t>In the Philippines, legal provisions exist for protective measures during annulment proceedings, particularly under the Anti-Violence Against Women and Their Children Act of 2004 (RA 9262). This law allows the court to issue Temporary Protection Orders (TPOs) upon the filing of an application, effective for thirty (30) days after an ex parte determination. TPOs can grant various reliefs to address acts of violence, such as physical, sexual, and psychological violence, against women and their children by their intimate partners. RA 9262 aims to combat violence and protect victims during legal proceedings. Additionally, the law provides for permanent protection orders, which, when granted, prevent further acts of violence, safeguard victims, minimize disruptions in their lives, and aid in regaining control. Consulting with a legal professional is crucial to understanding the specific requirements and procedures applicable to each unique situation. Seeking advice from a family lawyer can guide individuals through the process and effectively represent their interests.</t>
  </si>
  <si>
    <t>Mayroon bang mga legal na probisyon para sa mga pansamantalang restraining order o mga hakbang sa proteksyon sa panahon ng mga paglilitis sa pagpapawalang-bisa?</t>
  </si>
  <si>
    <t>Sa Pilipinas, umiiral ang mga legal na probisyon para sa mga panukalang proteksiyon sa panahon ng mga paglilitis sa pagpapawalang-bisa, partikular sa ilalim ng Anti-Violence Against Women and Their Children Act of 2004 (RA 9262). Ang batas na ito ay nagpapahintulot sa korte na mag-isyu ng Temporary Protection Orders (TPOs) sa paghahain ng aplikasyon, na epektibo sa loob ng tatlumpung (30) araw pagkatapos ng ex-parte determination. Ang mga TPO ay maaaring magbigay ng iba't ibang kaluwagan upang matugunan ang mga gawa ng karahasan, tulad ng pisikal, sekswal, at sikolohikal na karahasan, laban sa mga kababaihan at kanilang mga anak ng kanilang matalik na kasosyo. Ang RA 9262 ay naglalayon na labanan ang karahasan at protektahan ang mga biktima sa panahon ng legal na paglilitis. Bukod pa rito, ang batas ay nagbibigay ng mga permanenteng utos ng proteksyon, na, kapag ipinagkaloob, ay pumipigil sa mga karagdagang pagkilos ng karahasan, pinangangalagaan ang mga biktima, pinapaliit ang mga pagkagambala sa kanilang buhay, at tumutulong sa muling pagkuha ng kontrol. Ang pagkonsulta sa isang legal na propesyonal ay mahalaga sa pag-unawa sa mga partikular na kinakailangan at pamamaraan na naaangkop sa bawat natatanging sitwasyon. Ang paghingi ng payo mula sa isang abogado ng pamilya ay maaaring gumabay sa mga indibidwal sa proseso at epektibong kumakatawan sa kanilang mga interes.</t>
  </si>
  <si>
    <t>Do anonymous lawsuits apply to annulment cases involving sensitive situations like abuse or infidelity?</t>
  </si>
  <si>
    <t>In the Philippines, annulment cases are typically not anonymous, and the parties involved are identified in court documents and proceedings. While the details of the case, especially sensitive information like abuse or infidelity, are generally kept confidential and only disclosed as necessary during the proceedings. Acts of adultery and concubinage can serve as grounds for legal separation, and in extreme cases, they may indicate psychological incapacity, a recognized ground for annulment. Instances of violence against women are covered by Republic Act 9262. Consulting with a legal professional is crucial to understanding the specific requirements and procedures applicable to each unique situation. Seeking advice from a family lawyer can guide individuals through the process and effectively represent their interests.</t>
  </si>
  <si>
    <t>Nalalapat ba ang mga hindi kilalang kaso sa mga kaso ng annulment na kinasasangkutan ng mga sensitibong sitwasyon tulad ng pang-aabuso o pagtataksil?</t>
  </si>
  <si>
    <t>Sa Pilipinas, ang mga kaso ng annulment ay karaniwang hindi anonymous, at ang mga kasangkot na partido ay tinutukoy sa mga dokumento at paglilitis ng korte. Habang ang mga detalye ng kaso, lalo na ang sensitibong impormasyon tulad ng pang-aabuso o pagtataksil, ay karaniwang pinananatiling kumpidensyal at ibinubunyag lamang kung kinakailangan sa panahon ng paglilitis. Ang mga gawa ng pangangalunya at concubinage ay maaaring magsilbing batayan para sa legal na paghihiwalay, at sa matinding mga kaso, maaari silang magpahiwatig ng psychological incapacity, isang kinikilalang ground para sa annulment. Ang mga pagkakataon ng karahasan laban sa kababaihan ay saklaw ng Republic Act 9262. Ang pagkonsulta sa isang legal na propesyonal ay mahalaga sa pag-unawa sa mga partikular na kinakailangan at pamamaraan na naaangkop sa bawat natatanging sitwasyon. Ang paghingi ng payo mula sa isang abogado ng pamilya ay maaaring gumabay sa mga indibidwal sa proseso at epektibong kumakatawan sa kanilang mga interes.</t>
  </si>
  <si>
    <t>What happens if one spouse refuses to cooperate or participate in the annulment process?</t>
  </si>
  <si>
    <t>In the Philippines, the annulment process is intricate and necessitates the involvement of an attorney to initiate a case before the courts. While the sources do not explicitly outline the consequences of a spouse refusing to cooperate in the annulment process, it is implied that such refusal may complicate the proceedings. It's crucial to understand that the absence of a divorce law in the Philippines means that individuals seeking to end failed marriages must pursue either an annulment or a declaration of nullity to formally separate and change their civil status. The Family Code of the Philippines prescribes specific and limited grounds for the annulment or declaration of nullity of marriages.</t>
  </si>
  <si>
    <t>Ano ang mangyayari kung ang isang asawa ay tumangging makipagtulungan o lumahok sa proseso ng annulment?</t>
  </si>
  <si>
    <t>Sa Pilipinas, ang proseso ng annulment ay masalimuot at nangangailangan ng pakikilahok ng isang abogado upang simulan ang isang kaso sa mga korte. Bagama't ang mga pinagmumulan ay hindi tahasang binabalangkas ang mga kahihinatnan ng isang asawa na tumatangging makipagtulungan sa proseso ng pagpapawalang-bisa, ipinahihiwatig na ang gayong pagtanggi ay maaaring magpalubha sa mga paglilitis. Napakahalagang maunawaan na ang kawalan ng batas sa diborsiyo sa Pilipinas ay nangangahulugan na ang mga indibidwal na naghahangad na wakasan ang mga bigong kasal ay dapat ituloy ang alinman sa isang annulment o isang deklarasyon ng nullity upang pormal na paghiwalayin at baguhin ang kanilang katayuang sibil. Ang Family Code of the Philippines ay nagsasaad ng tiyak at limitadong mga batayan para sa pagpapawalang-bisa o pagdedeklara ng walang bisa ng kasal.</t>
  </si>
  <si>
    <t>Are there alternative dispute resolution options available, such as mediation or arbitration, for resolving an annulment case?</t>
  </si>
  <si>
    <t>Yes, under Republic Acts 876 (the Arbitration Law) and 9285 (the Alternative Dispute Resolution Act 2004) and their implementing rules and regulations, there are specific provisions on how to start arbitration, select arbitrators, and hold arbitration hearings.</t>
  </si>
  <si>
    <t>Mayroon bang mga alternatibong opsyon sa pagresolba ng hindi pagkakaunawaan, gaya ng pamamagitan o arbitrasyon, para sa paglutas ng isang kaso ng pagpapawalang-bisa?</t>
  </si>
  <si>
    <t>Oo, sa ilalim ng Republic Acts 876 (ang Arbitration Law) at 9285 (ang Alternative Dispute Resolution Act 2004) at ang kanilang mga implementing rules and regulations, may mga partikular na probisyon kung paano simulan ang arbitrasyon, pumili ng mga arbitrator, at magdaos ng mga pagdinig sa arbitrasyon.</t>
  </si>
  <si>
    <t>Can child custody and support arrangements be modified post-annulment based on changing circumstances?</t>
  </si>
  <si>
    <t>In the Philippines, child custody and support arrangements can be modified post-annulment based on changing circumstances. Parental authority, encompassing the right and duty to bring up a minor, cannot be renounced or transferred except in cases allowed by law. In cases of annulment or declaration of nullity, there is a presumption that a child below 7 years old is deemed to choose the mother, unless the court decides otherwise, with the court always considering the best interests of the child. Child support, involving regular financial assistance, is typically provided by the non-custodial parent, but it can be paid by both parents if someone else, like a relative, has custody of the child. Legal counsel is advised for anyone pursuing a case related to child custody and/or support, as this information is a general overview and not tailored to specific cases.</t>
  </si>
  <si>
    <t>Maaari bang baguhin ang pag-iingat ng bata at mga kaayusan sa suporta pagkatapos ng annulment batay sa nagbabagong mga pangyayari?</t>
  </si>
  <si>
    <t>Sa Pilipinas, ang pag-aalaga ng bata at mga kaayusan sa suporta ay maaaring baguhin pagkatapos ng pagpapawalang-bisa batay sa pagbabago ng mga pangyayari. Ang awtoridad ng magulang, na sumasaklaw sa karapatan at tungkulin na magpalaki ng isang menor de edad, ay hindi maaaring talikuran o ilipat maliban sa mga kaso na pinapayagan ng batas. Sa mga kaso ng annulment o pagdedeklara ng nullity, mayroong pagpapalagay na ang isang bata na wala pang 7 taong gulang ay itinuring na pipili ng ina, maliban kung iba ang desisyon ng korte, na palaging isinasaalang-alang ng korte ang pinakamahusay na interes ng bata. Ang suporta sa bata, na kinasasangkutan ng regular na tulong pinansyal, ay karaniwang ibinibigay ng hindi-custodial na magulang, ngunit maaari itong bayaran ng parehong mga magulang kung may ibang tao, tulad ng isang kamag-anak, ang may kustodiya ng bata. Ang legal na tagapayo ay pinapayuhan para sa sinumang naghahabol ng isang kaso na may kaugnayan sa pag-iingat ng bata at/o suporta, dahil ang impormasyong ito ay isang pangkalahatang pangkalahatang-ideya at hindi iniangkop sa mga partikular na kaso.</t>
  </si>
  <si>
    <t>Are spousal support obligations still required after an annulment? If so, under what conditions?</t>
  </si>
  <si>
    <t>Pendente lite, spousal support shall be determined by a written agreement or, in the event that one does not exist, by assets of the ACP or CP, and shall be deemed an advance to be subtracted from the supported spouse's share of the liquidation. If the court determines after the decree that the person providing support pendente lite is not liable therefor, there may be restitution of spousal support.</t>
  </si>
  <si>
    <t>Kailangan pa ba ang mga obligasyon ng suporta sa asawa pagkatapos ng annulment? Kung gayon, sa ilalim ng anong mga kondisyon?</t>
  </si>
  <si>
    <t>Pendente lite, ang suporta sa asawa ay dapat matukoy sa pamamagitan ng isang nakasulat na kasunduan o, kung sakaling wala ang isa, sa pamamagitan ng mga asset ng ACP o CP, at dapat ituring na isang advance na ibawas mula sa bahagi ng suportadong asawa sa pagpuksa. Kung ang hukuman ay nagpasiya pagkatapos ng utos na ang taong nagbibigay ng suporta pendente lite ay hindi mananagot para doon, maaaring magkaroon ng pagsasauli ng suporta sa asawa.</t>
  </si>
  <si>
    <t>Does annulment affect pension benefits, inheritance rights, or insurance policies acquired during the marriage?</t>
  </si>
  <si>
    <t>In the Philippines, the annulment of a marriage can impact pension benefits, inheritance rights, and insurance policies acquired during the marriage. According to the Family Code, the termination of the marriage through annulment can affect the distribution of pension benefits acquired during the marriage, subject to the terms of the pension plan and relevant laws. In terms of inheritance rights, a spouse who contracted a subsequent marriage in bad faith may be disqualified from inheriting from the innocent spouse, affecting testate and intestate succession. Additionally, the innocent spouse has the right to revoke the designation of the other spouse who acted in bad faith as the beneficiary in any insurance policy, even if the designation is stipulated as irrevocable. The specifics of these consequences would depend on the circumstances and the legal provisions governing each area.</t>
  </si>
  <si>
    <t>Nakakaapekto ba ang annulment sa mga benepisyo ng pensiyon, mga karapatan sa mana, o mga patakaran sa insurance na nakuha sa panahon ng kasal?</t>
  </si>
  <si>
    <t>Sa Pilipinas, ang pagpapawalang-bisa ng kasal ay maaaring makaapekto sa mga benepisyo ng pensiyon, mga karapatan sa mana, at mga patakaran sa seguro na nakuha sa panahon ng kasal. Ayon sa Family Code, ang pagwawakas ng kasal sa pamamagitan ng annulment ay maaaring makaapekto sa pamamahagi ng mga benepisyo ng pensiyon na nakuha sa panahon ng kasal, napapailalim sa mga tuntunin ng plano ng pensiyon at mga kaugnay na batas. Sa mga tuntunin ng mga karapatan sa mana, ang isang asawa na nakipagkontrata sa isang kasunod na kasal nang may masamang hangarin ay maaaring madiskuwalipika sa pagmana mula sa inosenteng asawa, na makakaapekto sa testate at intestate succession. Karagdagan pa, ang inosenteng asawa ay may karapatan na bawiin ang pagtatalaga ng ibang asawa na kumilos sa masamang pananampalataya bilang benepisyaryo sa anumang patakaran sa seguro, kahit na ang pagtatalaga ay itinakda bilang hindi na mababawi. Ang mga detalye ng mga kahihinatnan na ito ay depende sa mga pangyayari at mga legal na probisyon na namamahala sa bawat lugar.</t>
  </si>
  <si>
    <t>What implications does annulment have on pre-nuptial agreements, if any were in place?</t>
  </si>
  <si>
    <t>In the Philippines, a prenuptial agreement, also known as a prenup, is a legal contract that individuals enter into before marriage, outlining how assets, finances, and other matters will be handled in case of divorce or separation. Having a prenup can play a crucial role in the event of an annulment. It protects individual assets brought into the marriage by specifying which properties remain separate and which are considered marital property, which is particularly relevant in the context of the community property regime in the Philippines. Prenups also help clarify financial rights and obligations, addressing how expenses, joint accounts, and debts will be managed. However, for a prenuptial agreement to be valid, it must be entered into voluntarily, in writing, notarized, and duly recorded in the local civil registry and the Registry of Property. Challenges to validity can arise for reasons such as lack of consent, coercion, mistakes, fraud, undue influence, or bad faith.</t>
  </si>
  <si>
    <t>Ano ang mga implikasyon ng annulment sa mga pre-nuptial agreement, kung mayroon man?</t>
  </si>
  <si>
    <t>Sa Pilipinas, ang prenuptial agreement, na kilala rin bilang prenup, ay isang legal na kontrata na pinapasok ng mga indibidwal bago ang kasal, na binabalangkas kung paano haharapin ang mga ari-arian, pananalapi, at iba pang mga bagay sa kaso ng diborsyo o paghihiwalay. Ang pagkakaroon ng prenup ay maaaring gumanap ng isang mahalagang papel sa kaganapan ng isang annulment. Pinoprotektahan nito ang mga indibidwal na ari-arian na dinala sa kasal sa pamamagitan ng pagtukoy kung aling mga ari-arian ang nananatiling hiwalay at kung saan ay itinuturing na pag-aari ng mag-asawa, na partikular na nauugnay sa konteksto ng rehimeng ari-arian ng komunidad sa Pilipinas. Tumutulong din ang mga prenups na linawin ang mga karapatan at obligasyon sa pananalapi, na tinutugunan kung paano pamamahalaan ang mga gastos, pinagsamang account, at mga utang. Gayunpaman, para maging wasto ang isang prenuptial agreement, dapat itong pasukin nang kusang-loob, nakasulat, notaryo, at nararapat na naitala sa local civil registry at Registry of Property. Maaaring lumitaw ang mga hamon sa pagiging wasto para sa mga kadahilanan tulad ng kawalan ng pahintulot, pamimilit, pagkakamali, pandaraya, hindi nararapat na impluwensya, o masamang pananampalataya.</t>
  </si>
  <si>
    <t>Can annulment impact criminal charges or legal proceedings related to the marriage, such as domestic violence cases?</t>
  </si>
  <si>
    <t>The aggrieved party may pursue additional legal remedies under the Anti-Violence Against Women and Their Children Act of 2004, also known as Republic Act No. 9262, after the annulment is granted. Protection orders and possible criminal charges against the abusive spouse are a couple examples of these.</t>
  </si>
  <si>
    <t>Makakaapekto ba ang annulment sa mga kasong kriminal o legal na paglilitis na may kaugnayan sa kasal, gaya ng mga kaso ng karahasan sa tahanan?</t>
  </si>
  <si>
    <t>Ang naagrabyado ay maaaring magsagawa ng karagdagang mga legal na remedyo sa ilalim ng Anti-Violence Against Women and Their Children Act of 2004, na kilala rin bilang Republic Act No. 9262, pagkatapos maibigay ang annulment. Ang mga utos ng proteksyon at posibleng mga kasong kriminal laban sa mapang-abusong asawa ay ilang halimbawa nito.</t>
  </si>
  <si>
    <t>Can couples live together after legal separation? What limitations or restrictions apply?</t>
  </si>
  <si>
    <t>In legal terms, the couple is still regarded as a married couple. They continue to be each other's spouses. In the event that the court grants a petition for legal separation, the couple will no longer reside in the same home.</t>
  </si>
  <si>
    <t>Maaari bang magsama ang mag-asawa pagkatapos ng legal na paghihiwalay? Anong mga limitasyon o paghihigpit ang nalalapat?</t>
  </si>
  <si>
    <t>Sa legal na termino, ang mag-asawa ay itinuturing pa rin bilang mag-asawa. Patuloy silang mag-asawa. Kung sakaling magbigay ang korte ng petisyon para sa legal na paghihiwalay, hindi na titira ang mag-asawa sa iisang tahanan.</t>
  </si>
  <si>
    <t>Are there specific tax implications for filing for legal separation instead of annulment?</t>
  </si>
  <si>
    <t>In the Philippines, both legal separation and annulment can have financial implications, and the specific tax consequences may vary based on individual circumstances. Legal separation permits married couples to live separately while maintaining the marital status, and the financial implications involve complexities related to property division, spousal support, and child support. Annulment, on the other hand, declares a marriage null and void, allowing parties to remarry. The financial implications of annulment are also multifaceted, covering issues like property division, spousal support, child support, and other financial matters. The tax implications associated with legal separation and annulment are contingent on factors such as the couple's financial situation, terms of the separation or annulment agreement, and relevant tax laws.</t>
  </si>
  <si>
    <t>Mayroon bang partikular na implikasyon sa buwis para sa paghahain ng legal na paghihiwalay sa halip na pagpapawalang-bisa?</t>
  </si>
  <si>
    <t>Sa Pilipinas, ang parehong legal na paghihiwalay at pagpapawalang-bisa ay maaaring magkaroon ng mga pinansiyal na implikasyon, at ang mga partikular na kahihinatnan sa buwis ay maaaring mag-iba batay sa mga indibidwal na pangyayari. Ang legal na paghihiwalay ay nagpapahintulot sa mga mag-asawa na manirahan nang hiwalay habang pinapanatili ang katayuan sa pag-aasawa, at ang mga implikasyon sa pananalapi ay nagsasangkot ng mga kumplikadong nauugnay sa paghahati ng ari-arian, suporta sa asawa, at suporta sa bata. Ang pagpapawalang-bisa, sa kabilang banda, ay nagdedeklara ng kasal na walang bisa, na nagpapahintulot sa mga partido na muling magpakasal. Ang mga pinansiyal na implikasyon ng annulment ay marami ring aspeto, na sumasaklaw sa mga isyu tulad ng paghahati ng ari-arian, suporta sa asawa, suporta sa bata, at iba pang usaping pinansyal. Ang mga implikasyon sa buwis na nauugnay sa legal na paghihiwalay at pagpapawalang-bisa ay nakasalalay sa mga salik gaya ng sitwasyon sa pananalapi ng mag-asawa, mga tuntunin ng kasunduan sa paghihiwalay o pagpapawalang-bisa, at mga nauugnay na batas sa buwis.</t>
  </si>
  <si>
    <t>Does legal separation affect the spouses' health insurance coverage or other shared benefits?</t>
  </si>
  <si>
    <t>In the Philippines, legal separation is a judicial process that allows spouses to live separately while ceasing the obligation of mutual support. Despite living apart, the marriage bond is not severed, and the individuals are still recognized as spouses. In terms of health insurance, the specifics may vary based on the terms and conditions of each policy. Generally, being disqualified from covered employee health coverage due to divorce is prohibited. Spouses covered under a group policy might be offered a conversion plan if they become ineligible, ensuring continued access to health benefits.</t>
  </si>
  <si>
    <t>Naaapektuhan ba ng legal na paghihiwalay ang saklaw ng insurance sa kalusugan ng mag-asawa o iba pang nakabahaging benepisyo?</t>
  </si>
  <si>
    <t>Sa Pilipinas, ang legal na paghihiwalay ay isang proseso ng hudisyal na nagpapahintulot sa mag-asawa na mamuhay nang hiwalay habang tinatigil ang obligasyon ng mutual support. Sa kabila ng pamumuhay na magkahiwalay, ang bono ng kasal ay hindi naputol, at ang mga indibidwal ay kinikilala pa rin bilang mga asawa. Sa mga tuntunin ng segurong pangkalusugan, ang mga detalye ay maaaring mag-iba batay sa mga tuntunin at kundisyon ng bawat patakaran. Sa pangkalahatan, ipinagbabawal ang pagiging disqualified mula sa sakop na coverage sa kalusugan ng empleyado dahil sa diborsyo. Ang mga asawang nasasaklaw sa ilalim ng patakaran ng grupo ay maaaring mag-alok ng plano ng conversion kung sila ay naging hindi karapat-dapat, na tinitiyak ang patuloy na pag-access sa mga benepisyong pangkalusugan.</t>
  </si>
  <si>
    <t>How can legal separation be converted into a annulment after a specified period?</t>
  </si>
  <si>
    <t>It's not an easy process to turn a legal separation into an annulment. You would need to file a separate annulment case if you are legally separated and would like your marriage to be dissolved12. Generally, the procedure entails submitting a petition to the relevant court, showing up to hearings, and supplying supporting documentation3.</t>
  </si>
  <si>
    <t>Paano mako-convert ang legal na paghihiwalay sa isang diborsiyo pagkatapos ng isang tinukoy na panahon?</t>
  </si>
  <si>
    <t>Hindi madaling proseso na gawing annulment ang legal na paghihiwalay. Kakailanganin mong magsampa ng hiwalay na kaso ng annulment kung legal kang hiwalay at gusto mong mabuwag ang iyong kasal12. Sa pangkalahatan, ang pamamaraan ay nangangailangan ng pagsumite ng petisyon sa kaukulang hukuman, pagpapakita sa mga pagdinig, at pagbibigay ng sumusuportang dokumentasyon3.</t>
  </si>
  <si>
    <t>Is it easier to obtain a mortgage or loan status as a separated individual compared to being annulled?</t>
  </si>
  <si>
    <t>In the Philippines, eligibility for a mortgage or loan is primarily determined by factors like income, credit history, and repayment capability. Civil status, whether separated or annulled, may indirectly influence the loan process. In cases of legal separation, the dissolution of the common property regime can impact collateral availability. After an annulment, reverting to single status may necessitate updating records with financial institutions, potentially affecting the loan application. Additionally, financial obligations resulting from separation or annulment, such as alimony or child support, can impact an individual's debt-to-income ratio, a crucial consideration for lenders.</t>
  </si>
  <si>
    <t>Mas madali bang makakuha ng mortgage o loan status bilang isang hiwalay na indibidwal kumpara sa pagiging annulled?</t>
  </si>
  <si>
    <t>Sa Pilipinas, ang pagiging kwalipikado para sa isang mortgage o loan ay pangunahing tinutukoy ng mga salik tulad ng kita, kasaysayan ng kredito, at kakayahan sa pagbabayad. Ang katayuang sibil, hiwalay man o napawalang-bisa, ay maaaring hindi direktang makaimpluwensya sa proseso ng pautang. Sa mga kaso ng legal na paghihiwalay, ang paglusaw ng karaniwang pag-aari na rehimen ay maaaring makaapekto sa pagkakaroon ng collateral. Pagkatapos ng isang pagpapawalang-bisa, ang pagbabalik sa iisang katayuan ay maaaring mangailangan ng pag-update ng mga rekord sa mga institusyong pampinansyal, na posibleng makaapekto sa aplikasyon ng pautang. Bukod pa rito, ang mga obligasyong pinansyal na nagreresulta mula sa paghihiwalay o pagpapawalang-bisa, tulad ng sustento o suporta sa bata, ay maaaring makaapekto sa ratio ng utang-sa-kita ng isang indibidwal, isang mahalagang pagsasaalang-alang para sa mga nagpapahiram.</t>
  </si>
  <si>
    <t>What mental health or emotional support resources are available for individuals navigating the emotional challenges of annulment or separation?</t>
  </si>
  <si>
    <t>Navigating the emotional challenges of annulment or separation in the Philippines can be supported through various resources. Friends and family constitute an essential support network, offering understanding and companionship during this difficult period. Joining support groups provides a platform to share experiences and gain insights from individuals who have undergone similar situations. Seeking professional help from mental health professionals, such as psychologists or therapists, can offer coping strategies and guide individuals through the healing process. Legal assistance from firms like Respicio &amp; Co. specializing in annulment cases and family law matters ensures expert guidance and tailored representation for specific situations.</t>
  </si>
  <si>
    <t>Anong mga mapagkukunan ng suporta sa kalusugan ng isip o emosyonal ang magagamit para sa mga indibidwal na nagna-navigate sa mga emosyonal na hamon ng pagpapawalang-bisa o paghihiwalay?</t>
  </si>
  <si>
    <t>Ang pag-navigate sa mga emosyonal na hamon ng annulment o paghihiwalay sa Pilipinas ay maaaring suportahan sa pamamagitan ng iba't ibang mapagkukunan. Ang mga kaibigan at pamilya ay bumubuo ng isang mahalagang network ng suporta, na nag-aalok ng pag-unawa at pakikisama sa mahirap na panahong ito. Ang pagsali sa mga grupo ng suporta ay nagbibigay ng platform upang magbahagi ng mga karanasan at makakuha ng mga insight mula sa mga indibidwal na dumaan sa mga katulad na sitwasyon. Ang paghingi ng propesyonal na tulong mula sa mga propesyonal sa kalusugan ng isip, tulad ng mga psychologist o therapist, ay maaaring mag-alok ng mga diskarte sa pagharap at gabayan ang mga indibidwal sa proseso ng pagpapagaling. Tinitiyak ng legal na tulong mula sa mga kumpanya tulad ng Respicio &amp; Co. na nag-specialize sa mga kaso ng annulment at mga usapin sa batas ng pamilya ang ekspertong gabay at iniangkop na representasyon para sa mga partikular na sitwasyon.</t>
  </si>
  <si>
    <t>How can technology and online platforms be used to manage legal documents, court schedules, or communication during annulment or separation proceedings?</t>
  </si>
  <si>
    <t>Leveraging technology and online platforms can streamline various aspects of the annulment or separation process:
Legal Document Management Systems: These platforms securely store, organize, and manage legal documents, offering real-time authenticated access, user onboarding, and payment authorization.
Court Scheduling Systems: Online systems from courts provide information on schedules, aiding individuals in tracking essential dates and deadlines.
Communication Platforms: Digital tools like email, messaging apps, video conferencing, and collaborative platforms facilitate communication between parties and legal representatives, overcoming physical barriers.
Legal Consultation Platforms: Online consultation services provided by law firms enable individuals to discuss their cases with lawyers, gaining insights into the legal grounds for annulment and seeking advice on the process.
Online Legal Services: Some legal services are now accessible online, guiding individuals through the annulment or separation process, assisting in document preparation, and filing documents on their behalf.</t>
  </si>
  <si>
    <t>Paano magagamit ang teknolohiya at mga online na platform upang pamahalaan ang mga legal na dokumento, iskedyul ng hukuman, o komunikasyon sa panahon ng paglilitis sa pagpapawalang-bisa o paghihiwalay?</t>
  </si>
  <si>
    <t>Ang paggamit ng teknolohiya at mga online na platform ay maaaring mag-streamline ng iba't ibang aspeto ng proseso ng annulment o paghihiwalay:
Mga Sistema sa Pamamahala ng Legal na Dokumento: Ang mga platform na ito ay ligtas na nag-iimbak, nag-aayos, at namamahala ng mga legal na dokumento, na nag-aalok ng real-time na napatotohanang pag-access, onboarding ng user, at awtorisasyon sa pagbabayad.
Mga Sistema sa Pag-iiskedyul ng Hukuman: Ang mga online na sistema mula sa mga korte ay nagbibigay ng impormasyon sa mga iskedyul, na tumutulong sa mga indibidwal sa pagsubaybay sa mahahalagang petsa at mga deadline.
Mga Platform ng Komunikasyon: Ang mga digital na tool tulad ng email, messaging app, video conferencing, at collaborative na platform ay nagpapadali sa komunikasyon sa pagitan ng mga partido at legal na kinatawan, na nalampasan ang mga pisikal na hadlang.
Mga Platform ng Legal na Konsultasyon: Ang mga serbisyong online na konsultasyon na ibinibigay ng mga law firm ay nagbibigay-daan sa mga indibidwal na talakayin ang kanilang mga kaso sa mga abogado, pagkakaroon ng mga insight sa mga legal na batayan para sa pagpapawalang-bisa at paghingi ng payo sa proseso.
Online na Mga Serbisyong Legal: Ang ilang mga serbisyong legal ay naa-access na ngayon online, gumagabay sa mga indibidwal sa pamamagitan ng proseso ng pagpapawalang-bisa o paghihiwalay, pagtulong sa paghahanda ng dokumento, at paghahain ng mga dokumento para sa kanila.</t>
  </si>
  <si>
    <t>How does Filipino law address same-sex couples seeking annulment or separation, considering the current legal landscape for same-sex marriage in the Philippines?</t>
  </si>
  <si>
    <t>In the Philippines, the Family Code strictly defines marriage as a union between a man and a woman, explicitly prohibiting same-sex couples from entering into marriage. The law acknowledges homosexuality and lesbianism, but only as grounds for annulment or legal separation. While the 1987 Philippine Constitution emphasizes the importance of marriage as an inviolable social institution, it does not explicitly address or prohibit same-sex marriage. As of now, there is no legal recognition for marriages or unions between two Filipino citizens of the same sex, as affirmed by a Supreme Court ruling in September 2019 and subsequent dismissal of a motion for reconsideration in January 2020. Any change in the legal recognition of same-sex marriage would require the enactment of an enabling law to redefine and expand the parties eligible to contract marriage.</t>
  </si>
  <si>
    <t>Paano tinutugunan ng batas ng Filipino ang mga magkaparehas na kasarian na naghahangad ng annulment o paghihiwalay, kung isasaalang-alang ang kasalukuyang legal na tanawin para sa same-sex marriage sa Pilipinas?</t>
  </si>
  <si>
    <t>Sa Pilipinas, ang Family Code ay mahigpit na tinukoy ang kasal bilang isang unyon sa pagitan ng isang lalaki at isang babae, na tahasang nagbabawal sa magkaparehas na kasarian na pumasok sa kasal. Kinikilala ng batas ang homosexuality at lesbianism, ngunit bilang batayan lamang para sa annulment o legal na paghihiwalay. Habang binibigyang-diin ng 1987 Philippine Constitution ang kahalagahan ng kasal bilang isang hindi nalabag na institusyong panlipunan, hindi nito tahasang tinutugunan o ipinagbabawal ang same-sex marriage. Sa ngayon, walang legal na pagkilala para sa mga kasal o unyon sa pagitan ng dalawang mamamayang Pilipino ng parehong kasarian, gaya ng pinagtibay ng desisyon ng Korte Suprema noong Setyembre 2019 at kasunod na pagbasura ng mosyon para sa muling pagsasaalang-alang noong Enero 2020. Anumang pagbabago sa legal na pagkilala ng same-sex marriage ay mangangailangan ng pagpapatibay ng isang nagbibigay-daan na batas upang muling tukuyin at palawakin ang mga partidong karapat-dapat sa kontrata ng kasal.</t>
  </si>
  <si>
    <t>Is divorce allowed under Philippine laws?</t>
  </si>
  <si>
    <t>No, in the Philippines, divorce is not permitted. Nonetheless, there are some situations in which the divorce obtained by the foreign spouse—and even by former Filipinos—is accepted by Philippine law.</t>
  </si>
  <si>
    <t>Pinapayagan ba ang diborsyo sa ilalim ng batas ng Pilipinas?</t>
  </si>
  <si>
    <t>Hindi, sa Pilipinas, hindi pinahihintulutan ang diborsyo. Gayunpaman, may ilang sitwasyon kung saan ang diborsyo na nakuha ng dayuhang asawa—at maging ng mga dating Pilipino—ay tinatanggap ng batas ng Pilipinas.</t>
  </si>
  <si>
    <t>Is “annulment” different from a “declaration of nullity” of marriage?</t>
  </si>
  <si>
    <t>Indeed. Essentially, a marriage that is deemed lawful but has grounds to be revoked is subject to "annulment." On the other hand, marriages that are void or invalid from the start are covered by a "declaration of nullity." Stated differently, it was never legitimate to begin with.
Furthermore, whereas a declaration of nullity of marriage does not prescribe, an action for annulment of voidable marriages may.</t>
  </si>
  <si>
    <t>Iba ba ang "annulment" sa "declaration of nullity" ng kasal?</t>
  </si>
  <si>
    <t>Sa totoo lang. Sa esensya, ang isang kasal na itinuring na ayon sa batas ngunit may mga batayan na bawiin ay napapailalim sa "annulment." Sa kabilang banda, ang mga kasal na walang bisa o di-wasto sa simula ay sakop ng isang "deklarasyon ng walang bisa." Sa ibang paraan, hindi ito lehitimo sa simula.
Higit pa rito, habang ang isang deklarasyon ng walang bisa ng kasal ay hindi nagrereseta, ang isang aksyon para sa pagpapawalang-bisa ng mga mapapawalang bisang kasal ay maaaring.</t>
  </si>
  <si>
    <t>So, if a marriage is void from the very beginning (void ab initio), there’s no need to file anything in court?</t>
  </si>
  <si>
    <t>A court order deeming the marriage null and void is required in order to get married again. If a subsequent marriage is entered into without such a court declaration, the parties run the risk of being accused of bigamy. In addition, the subsequent marriage is null and void.</t>
  </si>
  <si>
    <t>Kaya, kung ang kasal ay walang bisa sa simula pa lamang (void ab initio), hindi na kailangang magsampa ng anuman sa korte?</t>
  </si>
  <si>
    <t>Ang isang utos ng hukuman na nagtuturing na walang bisa at walang bisa ang kasal ay kinakailangan upang makapagpakasal muli. Kung ang isang kasunod na kasal ay pinasok nang walang ganoong deklarasyon ng korte, ang mga partido ay may panganib na akusahan ng bigamy. Bilang karagdagan, ang kasunod na kasal ay walang bisa.</t>
  </si>
  <si>
    <t>What if no marriage certificate could be found?</t>
  </si>
  <si>
    <t>According to Justice Sempio-Dy, "the marriage certificate is not an essential or formal requisite of marriage without which the marriage will be void" (Handbook of on the Family Code of the Philippines, reprint, p. 26, 1997). Therefore, an oral marriage is lawful, and it is not rendered void by either party's failure to sign the marriage licence or the solemnising officer's failure to forward a copy of the document to the appropriate local civil registrar. Additionally, if all the conditions for a marriage's validity are met, the simple fact that no record of the union can be located does not render the union null and void. (Citations omitted)</t>
  </si>
  <si>
    <t>Paano kung walang makitang sertipiko ng kasal?</t>
  </si>
  <si>
    <t>Ayon kay Justice Sempio-Dy, "ang sertipiko ng kasal ay hindi isang esensyal o pormal na kahilingan ng kasal kung wala ito ay magiging walang bisa ang kasal" (Handbook of on the Family Code of the Philippines, reprint, p. 26, 1997). Samakatuwid, ang isang oral na kasal ay ayon sa batas, at ito ay hindi ginawang walang bisa sa pamamagitan ng kabiguan ng alinmang partido na pirmahan ang lisensya ng kasal o ang kabiguan ng solemnising officer na ipasa ang isang kopya ng dokumento sa naaangkop na lokal na rehistro ng sibil. Karagdagan pa, kung ang lahat ng mga kundisyon para sa bisa ng kasal ay natutugunan, ang simpleng katotohanan na walang rekord ng unyon ang makikita ay hindi magpapawalang-bisa sa unyon. (Inalis ang mga pagsipi)</t>
  </si>
  <si>
    <t>I was released on parole. What are the conditions of my release?</t>
  </si>
  <si>
    <t>Parole Agreement: Upon release, you should have received a written document outlining your specific parole conditions. This document is legally binding and details expectations for your behavior and conduct during your parole period. Parole Officer: You will be assigned a parole officer responsible for monitoring your progress and ensuring you comply with the conditions of your release. Contact your parole officer immediately if you have any questions or concerns regarding your specific conditions. Common Parole Conditions: While specific conditions vary, some general ones may include: Reporting regularly to your parole officer. Living within a defined area and not leaving without permission. Finding and maintaining regular employment. Not changing residence or employment without permission. Abstaining from drugs and alcohol. Not associating with persons with criminal records. Following any court-ordered treatment or counseling programs.</t>
  </si>
  <si>
    <t>napalaya na ako ngunit naka parole. Ano ang maaaring kundisyon sa aking pagkalaya?</t>
  </si>
  <si>
    <t>Ang mga kondisyon ng iyong paglaya sa parole ay maaaring mag-iba depende sa hurisdiksyon at mga partikular na detalye ng iyong kaso, ngunit ilan sa mga karaniwang kondisyon ng parole ay maaaring include ang mga sumusunod:
1. Sumunod sa batas: Kailangan mong sundin ang lahat ng mga batas ng bansa at lokal na pamahalaan.
2. Magpatuloy sa pag-aaral o trabaho: Maaaring hinihiling na magpatuloy ka sa pag-aaral o magtrabaho upang magkaroon ka ng produktibong buhay.
3. Regular na pag-uulat: Maaaring kailangan mong mag-ulat sa iyong opisyal ng parole sa regular na mga oras at oras.
4. Pagsunod sa mga ipinagbabawal na gawain: Baka ipinagbawal sa iyo ang pag-inom ng alak o paggamit ng droga, o bawal na makipag-ugnayan sa mga taong may kaso rin ng krimen.
5. Pagdalo sa counseling o rehabilitasyon: Maaaring kailangan mong dumalo sa mga sesyon ng counseling o rehabilitasyon upang matulungan ka sa pagbabalik sa lipunan.
6. Pagsunod sa mga lokal na kundisyon: Maaaring may mga karagdagang kondisyon na ibinigay ng lokal na parole board o otoridad batay sa iyong kaso at kalagayan.
Mahalaga na sundin mo ang lahat ng mga kondisyon ng iyong parole upang mapanatili ang iyong kalayaan at maiwasan ang anumang paglabag na maaaring magresulta sa pagbalik mo sa pagkakapiit.</t>
  </si>
  <si>
    <t>I'm not guilty, but the evidence looks bad. What are my options?</t>
  </si>
  <si>
    <t>Seek legal counsel immediately: This is the most crucial step. Consulting with a qualified lawyer specializing in criminal defense is essential to understand your rights, assess the situation in detail, and explore the best defense strategies. Your lawyer can review the evidence against you, investigate further if needed, and build a strong defense case.
Do not speak to anyone about the case except your lawyer: Any statement you make, even if you believe it's innocent, could be used against you. Only communicate about the case with your lawyer, who can advise you on what information is safe to share and how to navigate interactions with law enforcement or others.
Gather and preserve evidence in your favor: If you have any information or evidence that supports your innocence, such as witness testimonies, alibis, or documents, gather and preserve them carefully. Share this information with your lawyer as soon as possible.
Do not take any drastic actions: Facing a challenging legal situation can be overwhelming, but stay calm and avoid making any rash decisions. Do not attempt to flee, tamper with evidence, or engage in any illegal activity. Such actions will only worsen your situation.
Exercise your right to remain silent: You have the right to remain silent and refuse to answer questions from law enforcement without your lawyer present. Remember, the burden of proof lies with the prosecution, and you are not obligated to help them build their case against you.
Consider alternative dispute resolution options: Depending on the specific circumstances, exploring alternative dispute resolution options like plea bargaining or pretrial diversion programs might be possible. Discuss these options with your lawyer to see if they could be suitable in your case.
Remember, you are innocent until proven guilty: The legal system operates on the principle of the presumption of innocence. This means that the prosecution must prove your guilt beyond a reasonable doubt. Your lawyer will fight to ensure that your rights are protected and that the prosecution meets this burden of proof.</t>
  </si>
  <si>
    <t>hindi ako nagkasala, ngunit ang ebidensya ay di maganda ang dating o kinalabasan. Ano ang maaaring opsyon ko?</t>
  </si>
  <si>
    <t>Humingi kaagad ng legal na payo: Ito ang pinakamahalagang hakbang. Ang pagkonsulta sa isang kwalipikadong abogado na dalubhasa sa criminal defense ay mahalaga upang maunawaan ang iyong mga karapatan, masuri ang sitwasyon nang detalyado, at galugarin ang pinakamahusay na mga diskarte sa pagtatanggol. Maaaring suriin ng iyong abogado ang ebidensya laban sa iyo, mag-imbestiga pa kung kinakailangan, at bumuo ng isang malakas na kaso ng pagtatanggol.
Huwag makipag-usap sa sinuman tungkol sa kaso maliban sa iyong abogado: Anumang pahayag na gagawin mo, kahit na naniniwala kang ito ay inosente, ay maaaring gamitin laban sa iyo. Makipag-usap lamang tungkol sa kaso sa iyong abogado, na makapagpapayo sa iyo kung anong impormasyon ang ligtas na ibahagi at kung paano mag-navigate sa mga pakikipag-ugnayan sa nagpapatupad ng batas o sa iba pa.
Magtipon at magpanatili ng ebidensya na pabor sa iyo: Kung mayroon kang anumang impormasyon o ebidensya na sumusuporta sa iyong pagiging inosente, tulad ng mga testimonya ng saksi, alibi, o mga dokumento, tipunin at ingatan ang mga ito nang mabuti. Ibahagi ang impormasyong ito sa iyong abogado sa lalong madaling panahon.
Huwag gumawa ng anumang marahas na aksyon: Ang pagharap sa isang mapaghamong legal na sitwasyon ay maaaring napakahirap, ngunit manatiling kalmado at iwasang gumawa ng anumang padalus-dalos na desisyon. Huwag subukang tumakas, pakialaman ang ebidensya, o gumawa ng anumang ilegal na aktibidad. Ang mga naturang aksyon ay magpapalala lamang sa iyong sitwasyon .
Gamitin ang iyong karapatang manatiling tahimik: May karapatan kang manatiling tahimik at tumanggi na sagutin ang mga tanong mula sa tagapagpatupad ng batas nang wala ang iyong abogado. ikaw.
Isaalang-alang ang mga alternatibong opsyon sa pagresolba ng hindi pagkakaunawaan: Depende sa mga partikular na pangyayari, ang paggalugad ng mga alternatibong opsyon sa paglutas ng hindi pagkakaunawaan tulad ng plea bargaining o mga programa sa paglilipat bago ang paglilitis ay maaaring posible. Talakayin ang mga opsyong ito sa iyong abogado upang makita kung ang mga ito ay angkop sa iyong kaso.
Tandaan, ikaw ay inosente hangga't hindi napatunayang nagkasala: Ang legal na sistema ay nagpapatakbo sa prinsipyo ng presumption of innocence. Nangangahulugan ito na dapat patunayan ng prosekusyon ang iyong pagkakasala nang lampas sa isang makatwirang pagdududa. Ang iyong abogado ay lalaban upang matiyak na ang iyong mga karapatan ay protektado at ang natutugunan ng pag-uusig ang pasanin ng patunay na ito.</t>
  </si>
  <si>
    <t>Can I afford a lawyer? What are my options for legal representation?</t>
  </si>
  <si>
    <t>Yes, you can afford a lawyer because there are some free legal services like: Public Attorney's Office (PAO): The PAO offers free legal representation to indigent Filipinos. They handle a wide range of cases, including criminal cases. Integrated Bar of the Philippines (IBP): The IBP offers a Lawyer Referral Service that can connect you with a qualified lawyer in your area. They may also offer pro bono (free) legal services in some cases. Legal Aid Organizations: Several non-profit organizations provide legal aid to low-income individuals and families. You can search online for legal aid organizations in your area or contact your local bar association for referrals. Some private lawyers may be willing to work out a payment plan with you. This could involve making monthly payments or paying a smaller fee upfront and the rest later.
Some lawyers also offer sliding scales, where their fees are based on your income. This can make their services more affordable for low-income individuals.</t>
  </si>
  <si>
    <t>kaya ko ba makakuha ng isang abogado? ano ang maaaring opsyon para sa legal na representasyon?</t>
  </si>
  <si>
    <t>Oo, kaya mong magbayad ng abogado dahil may ilang libreng serbisyong legal tulad ng: Public Attorney's Office (PAO): Ang PAO ay nag-aalok ng libreng legal na representasyon sa mga mahihirap na Pilipino. Sila ay humahawak ng malawak na hanay ng mga kaso, kabilang ang mga kasong kriminal. Integrated Bar of the Philippines (IBP): Nag-aalok ang IBP ng Serbisyo sa Referral ng Abugado na maaaring kumonekta sa iyo sa isang kwalipikadong abogado sa iyong lugar. Maaari rin silang mag-alok ng pro bono (libre) na serbisyong legal sa ilang mga kaso. Mga Organisasyon ng Legal Aid: Maraming non-profit na organisasyon ang nagbibigay ng legal na tulong sa mga indibidwal at pamilyang mababa ang kita. Maaari kang maghanap online para sa mga organisasyon ng legal na tulong sa iyong lugar o makipag-ugnayan sa iyong lokal na asosasyon ng bar para sa mga referral. Maaaring handang gumawa ang ilang pribadong abogado ng plano sa pagbabayad kasama mo. Maaaring kabilang dito ang paggawa ng buwanang pagbabayad o nagbabayad ng mas maliit na bayad nang maaga at ang natitira sa ibang pagkakataon.
Nag-aalok din ang ilang abogado ng mga sliding scale, kung saan ang kanilang mga bayarin ay nakabatay sa iyong kita. Maaari nitong gawing mas abot-kaya ang kanilang mga serbisyo para sa mga indibidwal na mababa ang kita.</t>
  </si>
  <si>
    <t>I was found guilty. What are my sentencing options?</t>
  </si>
  <si>
    <t>The specific crime you were convicted of: Different crimes have different sentencing guidelines and maximum penalties.
The severity of the offense: The nature of the crime and the harm it caused can significantly impact the sentencing range.
Your prior criminal history: If you have a prior criminal record, it may increase the likelihood of a harsher sentence.
Aggravating and mitigating factors: The court will consider any factors that make your case more or less serious, such as your motive, cooperation with the investigation, or remorse.
Jurisdiction: Sentencing laws and procedures vary depending on your location.
However, I can offer some general information about sentencing options that may be applicable in your case:
Incarceration: This is the most common sentencing option for serious crimes. The length of your sentence will depend on the factors mentioned above.
Probation: Probation allows you to remain free in the community while complying with certain conditions, such as regular reporting to a probation officer, community service, or drug testing.
Fines: The court may order you to pay a fine as part of your sentence.
Restitution: You may be ordered to pay restitution to the victim of the crime to compensate them for their losses.</t>
  </si>
  <si>
    <t>napatunayan na ako ay nagkasala. Ano ang mga maaaring isentensya saakin?</t>
  </si>
  <si>
    <t>Ang partikular na krimen na hinatulan ka ng: Ang iba't ibang krimen ay may iba't ibang mga alituntunin sa pagsentensiya at pinakamataas na parusa.
Ang kalubhaan ng pagkakasala: Ang uri ng krimen at ang pinsalang dulot nito ay maaaring makabuluhang makaapekto sa hanay ng paghatol.
Ang iyong naunang kasaysayan ng krimen: Kung mayroon kang naunang rekord ng krimen, maaari nitong dagdagan ang posibilidad na magkaroon ng mas malupit na sentensiya.
Mga salik na nagpapalubha at nagpapagaan: Isasaalang-alang ng hukuman ang anumang mga salik na magpapabigat o hindi gaanong seryoso ang iyong kaso, gaya ng iyong motibasyon, pakikipagtulungan sa pagsisiyasat, o pagsisisi.
Jurisdiction: Ang mga batas at pamamaraan ng paghatol ay nag-iiba depende sa iyong lokasyon.
Gayunpaman, maaari akong mag-alok ng ilang pangkalahatang impormasyon tungkol sa mga opsyon sa pagsentensiya na maaaring naaangkop sa iyong kaso:
Pagkakulong: Ito ang pinakakaraniwang opsyon sa pagsentensiya para sa mga seryosong krimen. Ang haba ng iyong sentensiya ay magdedepende sa mga salik na binanggit sa itaas.
Probation: Binibigyang-daan ka ng Probation na manatiling malaya sa komunidad habang sumusunod sa ilang mga kundisyon, tulad ng regular na pag-uulat sa isang opisyal ng probasyon, serbisyo sa komunidad, o pagsusuri sa droga.
Mga multa: Maaaring utusan ka ng korte na magbayad ng multa bilang bahagi ng iyong sentensiya.
Restitution: Maaari kang utusan na magbayad ng restitution sa biktima ng krimen upang mabayaran sila para sa kanilang mga pagkalugi.</t>
  </si>
  <si>
    <t>I'm a victim of a crime. What are my rights and resources?</t>
  </si>
  <si>
    <t>Your Rights:
Right to be treated with respect and dignity: You deserve to be treated fairly and compassionately throughout the legal process. Right to be informed: You have the right to be informed about the crime, the investigation, and your legal options. This includes information about the suspect, the charges, and the potential outcomes of the case. Right to protection: You have the right to be protected from the perpetrator and any further harm. This may involve law enforcement intervention, restraining orders, or witness protection programs. Right to participate in the legal process: You have the right to report the crime, file a complaint, and provide testimony in court. You may also have the right to attend court proceedings and request victim impact statements. Right to restitution: Depending on the crime, you may be entitled to financial compensation for your losses, such as medical expenses, lost wages, or property damage.
Resources Available:
Law Enforcement: Report the crime immediately to the police. They will investigate the incident and gather evidence.
Victim Support Organizations: Many organizations provide support and resources for victims of crime. These may include counseling, advocacy services, legal aid, and financial assistance.</t>
  </si>
  <si>
    <t>Ako ay isang biktima ng krimen. Ano ang mga karapatan ko at mapagkukunan?</t>
  </si>
  <si>
    <t>Iyong Mga Karapatan:
Karapatang tratuhin nang may paggalang at dignidad: Karapat-dapat kang tratuhin nang patas at mahabagin sa buong prosesong legal. ang suspek, ang mga singil, at ang mga potensyal na resulta ng kaso. Karapatan sa proteksyon: May karapatan kang protektahan mula sa kriminal at anumang karagdagang pinsala. Maaaring may kasama itong interbensyon sa pagpapatupad ng batas, mga restraining order, o mga programa sa proteksyon ng saksi. Karapatan na lumahok sa legal na proseso: May karapatan kang iulat ang krimen, magsampa ng reklamo, at magbigay ng testimonya sa korte. Maaari ka ring may karapatang dumalo sa mga paglilitis sa korte at humiling ng mga pahayag sa epekto ng biktima. Karapatan sa pagbabayad-pinsala: Depende sa krimen, maaari kang maging karapat-dapat sa pinansiyal na kabayaran para sa iyong mga pagkalugi, tulad ng mga gastusing medikal, nawalang sahod, o pinsala sa ari-arian.
Magagamit na Mga Mapagkukunan:
Pagpapatupad ng Batas: Isumbong kaagad sa pulisya ang krimen. Sisiyasatin nila ang insidente at mangalap ng ebidensya.
Mga Organisasyon ng Suporta sa Biktima: Maraming organisasyon ang nagbibigay ng suporta at mapagkukunan para sa mga biktima ng krimen. Maaaring kabilang dito ang pagpapayo, mga serbisyo sa adbokasiya, tulong legal, at tulong pinansyal.</t>
  </si>
  <si>
    <t>What if I got arrested for the first time. What happens now?</t>
  </si>
  <si>
    <t>Immediately After Arrest:
Booking: You'll be taken to a police station for booking, where your fingerprints and photos will be taken, and you'll be asked for basic information. Miranda Rights: You will be read your Miranda rights, which explain your right to remain silent, to have an attorney present during questioning, and to stop the questioning at any time. Bail or Bond: Depending on the charges and the jurisdiction, you might be eligible for bail or bond, which allows you to be released temporarily until your trial date. Initial Court Appearance: Within a few days, you'll have an initial court appearance, where you'll be formally charged with the crime and informed of your legal rights. You can request a lawyer at this point if you haven't already.
Post-Arrest Process:
Investigation: The police will continue to investigate the crime, collect evidence, and interview witnesses. Discovery: Your lawyer will receive all the evidence and information the prosecution has against you. This is called discovery. Pre-trial Conferences: You and your lawyer may meet with the prosecutor to discuss plea bargains or other resolutions to the case. Trial: If no plea bargain is reached, your case will go to trial. You will have the right to a jury trial, where you and your lawyer will present your defense.
What You Can Do:
Remain calm and respectful: Cooperate with police instructions while asserting your right to remain silent. Request an attorney: If you haven't already, request an attorney at your initial court appearance. You have the right to free legal representation if you cannot afford one. Don't talk to the police without your lawyer: Anything you say can be used against you, so speak to your lawyer before answering any questions beyond confirming your identity. Gather evidence: If you have any evidence that may help your case, collect and keep it safe. Stay informed: Talk to your lawyer and keep track of important dates and deadlines.
Seek support: Getting arrested can be stressful. Talk to trusted friends or family members, or consider seeking professional support from a therapist or counselor.</t>
  </si>
  <si>
    <t>Kung sakaling ako unang beses naaresto. Ano ang maaari na mangyari saakin?</t>
  </si>
  <si>
    <t>Kaagad Pagkatapos Arestuhin:
Pagbu-book: Dadalhin ka sa istasyon ng pulisya para sa booking, kung saan kukunin ang iyong mga fingerprint at larawan, at hihilingin sa iyo ang pangunahing impormasyon. Mga Karapatan ng Miranda: Babasahin ka ng iyong mga karapatan sa Miranda, na nagpapaliwanag ng iyong karapatang manatili tahimik, magkaroon ng abogado sa panahon ng pagtatanong, at ihinto ang pagtatanong anumang oras. Bail o Bond: Depende sa mga singil at hurisdiksyon, maaari kang maging karapat-dapat para sa piyansa o bono, na nagpapahintulot sa iyong pansamantalang makalaya hanggang sa iyong paglilitis Petsa. Paunang Pagpapakita sa Korte: Sa loob ng ilang araw, magkakaroon ka ng unang pagharap sa korte, kung saan pormal kang kakasuhan ng krimen at ipaalam sa iyo ang iyong mga legal na karapatan. Maaari kang humiling ng abogado sa puntong ito kung hindi mo pa nagagawa na.
Proseso pagkatapos ng Pag-aresto:
Pagsisiyasat: Ang pulisya ay patuloy na mag-iimbestiga sa krimen, mangolekta ng ebidensiya, at pakikipanayam sa mga saksi. Pagtuklas: Matatanggap ng iyong abogado ang lahat ng ebidensya at impormasyon na mayroon ang prosekusyon laban sa iyo. Ito ay tinatawag na pagtuklas. Mga Pre-trial na Kumperensya: Ikaw at ang iyong abogado ay maaaring makipagkita sa tagausig upang talakayin ang mga plea bargain o iba pang mga resolusyon sa kaso. Paglilitis: Kung walang naabot na plea bargain, ang iyong kaso ay mapupunta sa paglilitis. Magkakaroon ka ng karapatan sa isang paglilitis ng hurado, kung saan ikaw at ang iyong abogado ay maghaharap ng iyong depensa .
Ang magagawa mo:
Manatiling kalmado at magalang: Makipagtulungan sa mga tagubilin ng pulisya habang iginigiit ang iyong karapatang manatiling tahimik. Humiling ng isang abogado: Kung hindi mo pa nagagawa, humiling ng isang abogado sa iyong unang pagharap sa korte. Mayroon kang karapatan sa libreng legal na representasyon kung hindi mo kayang bayaran . Huwag makipag-usap sa pulis nang wala ang iyong abogado: Anumang sasabihin mo ay maaaring gamitin laban sa iyo, kaya kausapin ang iyong abogado bago sagutin ang anumang mga tanong na higit sa pagkumpirma ng iyong pagkakakilanlan. at panatilihin itong ligtas.Manatiling may kaalaman: Makipag-usap sa iyong abogado at subaybayan ang mahahalagang petsa at deadline.
Humingi ng suporta: Maaaring maging stress ang pag-aresto. Makipag-usap sa mga pinagkakatiwalaang kaibigan o miyembro ng pamilya, o isaalang-alang ang paghingi ng propesyonal na suporta mula sa isang therapist o tagapayo.</t>
  </si>
  <si>
    <t>What does the prosecutor have to prove to convict me?</t>
  </si>
  <si>
    <t>To convict you of a crime, the prosecutor has to prove your guilt beyond a reasonable doubt. This is a very high standard of proof, meaning the jury must be overwhelmingly convinced that you committed the crime based on the evidence presented.
Here are the key elements the prosecutor needs to prove:
The elements of the crime: Each crime has specific elements that must be proven, and these can vary depending on the specific offense. This may include things like intent, action, and result. For example, to prove theft, the prosecutor must show that you took someone else's property intentionally without their consent and that the property had some value. Every element beyond a reasonable doubt: This means that the evidence presented must leave no room for reasonable doubt about any element of the crime. If even one element is not proven beyond a reasonable doubt, the jury must find you not guilty. Through admissible evidence: Only evidence that is legally allowed can be used to prove your guilt. This means that evidence obtained illegally or through other inadmissible means cannot be used against you. By the weight of the evidence: While the burden of proof rests with the prosecution, the jury will weigh all the evidence presented, including your defense, before reaching a verdict.
Additional factors to consider:
Presumption of innocence: You are presumed innocent until proven guilty. This means the prosecution, not you, has the burden of proving your guilt.
Your right to remain silent: You have the right to remain silent throughout the legal process. You are not obligated to answer any questions or provide any information that could incriminate you.
Right to an attorney: You have the right to an attorney to represent you throughout the legal process. An attorney can advise you of your rights, challenge the evidence, and present your defense in court.</t>
  </si>
  <si>
    <t>Ano ang dapat patunayan ng tagausig para mahatulan ako?</t>
  </si>
  <si>
    <t>Upang mahatulan ka ng isang krimen, kailangang patunayan ng tagausig ang iyong pagkakasala nang lampas sa isang makatwirang pagdududa. Ito ay isang napakataas na pamantayan ng patunay, ibig sabihin, ang hurado ay dapat na lubos na kumbinsido na ginawa mo ang krimen batay sa ipinakitang ebidensya.
Narito ang mga pangunahing elemento na kailangang patunayan ng tagausig:
Ang mga elemento ng krimen: Ang bawat krimen ay may mga partikular na elemento na dapat patunayan, at maaaring mag-iba ang mga ito depende sa partikular na pagkakasala. Maaaring kabilang dito ang mga bagay tulad ng layunin, aksyon, at resulta. Halimbawa, upang patunayan ang pagnanakaw, dapat ipakita ng tagausig na sinasadya mong kinuha ang ari-arian ng ibang tao nang walang pahintulot nila at may halaga ang ari-arian. Bawat elemento na lampas sa makatwirang pagdududa: Nangangahulugan ito na ang ebidensyang ipinakita ay hindi dapat mag-iwan ng puwang para sa makatwirang pagdududa tungkol sa anumang elemento ng krimen. Kung kahit isang elemento ay hindi napatunayang lampas sa isang makatwirang pagdududa, ang hurado ay dapat mahanap na hindi ka nagkasala. Sa pamamagitan ng tinatanggap na ebidensya: Tanging ang ebidensya na legal na pinahihintulutan ang maaaring gamitin upang patunayan ang iyong pagkakasala. Nangangahulugan ito na ang ebidensya na nakuha nang ilegal o sa pamamagitan ng iba pang hindi tinatanggap na paraan ay hindi maaaring gamitin laban sa iyo. Sa pamamagitan ng ang bigat ng ebidensya: Habang ang bigat ng patunay ay nakasalalay sa pag-uusig, titimbangin ng hurado ang lahat ng ebidensyang ipinakita, kasama ang iyong depensa, bago umabot sa isang hatol.
Mga karagdagang salik na dapat isaalang-alang:
Presumption of innocence: Ikaw ay ipinapalagay na inosente hanggang sa napatunayang nagkasala. Ibig sabihin, ang prosekusyon, hindi ikaw, ang may pasanin na patunayan ang iyong pagkakasala.
Ang iyong karapatang manatiling tahimik: May karapatan kang manatiling tahimik sa buong prosesong legal. Hindi ka obligadong sagutin ang anumang mga tanong o magbigay ng anumang impormasyon na maaaring magdulot sa iyo ng kasalanan.
Karapatan sa isang abogado: May karapatan ka sa isang abogado na kumatawan sa iyo sa buong prosesong legal. Maaaring payuhan ka ng isang abogado tungkol sa iyong mga karapatan, hamunin ang ebidensya, at iharap ang iyong depensa sa korte.</t>
  </si>
  <si>
    <t>Do I need a lawyer if I am facing drug charges?</t>
  </si>
  <si>
    <t>It is highly recommended to consult with a qualified lawyer if you are facing drug charges. The decision ultimately rests on your individual circumstances and risk tolerance, but here's why having legal representation in such cases can be immensely beneficial: Navigating a complex legal system: Drug laws are intricate and vary across jurisdictions. A lawyer can explain the specific charges against you, the potential penalties, and the legal procedures involved. They can also assess the strength of the prosecution's case and identify potential weaknesses or defenses. Protecting your rights: You have certain rights throughout the legal process, such as the right to remain silent, the right to an attorney, and the right to due process. A lawyer can ensure these rights are protected and guide you through interactions with law enforcement and the court system. Building a strong defense: Your lawyer can investigate the case, gather evidence in your favor, interview witnesses, and negotiate with the prosecution on your behalf. They can also develop a strong defense strategy based on the specifics of your case, potentially leading to reduced charges, dismissal of the case, or a more favorable outcome. Mitigating potential consequences: Even if convicted, a lawyer can advocate for you in sentencing hearings, seeking alternatives to incarceration or advocating for shorter sentences, probation, or other alternatives. They can also help you explore options for drug treatment programs or expungement of your record in the future.</t>
  </si>
  <si>
    <t>Kelangan ko padin ba ng abogado kung sakaling ang kinakaharap kong kaso ay tungkol sa droga?</t>
  </si>
  <si>
    <t>Lubos na inirerekomendang kumunsulta sa isang kwalipikadong abogado kung nahaharap ka sa mga singil sa droga. Ang desisyon sa huli ay nakasalalay sa iyong mga indibidwal na kalagayan at pagpapaubaya sa panganib, ngunit narito kung bakit ang pagkakaroon ng legal na representasyon sa mga ganitong kaso ay maaaring maging lubhang kapaki-pakinabang: Pag-navigate sa isang kumplikadong legal na sistema: Droga ang mga batas ay masalimuot at nag-iiba-iba sa mga hurisdiksyon. Maaaring ipaliwanag ng isang abogado ang mga partikular na kaso laban sa iyo, ang mga potensyal na parusa, at ang mga legal na pamamaraan na kasangkot. Maaari din nilang tasahin ang lakas ng kaso ng prosekusyon at tukuyin ang mga potensyal na kahinaan o depensa. Pagprotekta sa iyong mga karapatan: Ikaw ay may ilang partikular na karapatan sa buong proseso ng batas, tulad ng karapatang manatiling tahimik, karapatan sa isang abogado, at karapatan sa angkop na proseso. Maaaring tiyakin ng isang abogado na ang mga karapatang ito ay protektado at gagabay sa iyo sa pamamagitan ng mga pakikipag-ugnayan sa tagapagpatupad ng batas at sa sistema ng hukuman. Pagbuo ng isang malakas na depensa: Ang iyong abogado ay maaaring mag-imbestiga sa kaso, mangalap ng ebidensya na pabor sa iyo, makapanayam ng mga saksi, at makipag-ayos sa prosekusyon para sa iyo. Maaari rin silang bumuo ng isang malakas na diskarte sa pagtatanggol batay sa mga detalye ng iyong kaso, na posibleng humantong sa pagbawas mga kaso, pag-dismiss ng kaso, o isang mas kanais-nais na resulta. Pagbabawas ng mga potensyal na kahihinatnan: Kahit na nahatulan, ang isang abogado ay maaaring magsulong para sa iyo sa paghatol ng mga pagdinig, naghahanap ng mga alternatibo sa pagkakulong o pagtataguyod para sa mas maikling mga sentensiya, probasyon, o iba pang mga alternatibo. Maaari rin silang tulungan kang tuklasin ang mga opsyon para sa mga programa sa paggamot sa droga o pagtanggal ng iyong rekord sa hinaharap.</t>
  </si>
  <si>
    <t>Are there any legal programs or resources available to help me with drug-related legal issues?</t>
  </si>
  <si>
    <t>There are various legal programs and resources available to help you navigate drug-related legal issues. Here are some options to consider:
Free Legal Aid:
Public Attorney's Office (PAO): The PAO offers free legal representation to indigent Filipinos in criminal cases, including drug-related offenses. They have lawyers specializing in criminal defense and can provide comprehensive legal assistance. Integrated Bar of the Philippines (IBP): The IBP provides access to legal professionals and directories. They can help you locate lawyers experienced in drug-related cases in your area.</t>
  </si>
  <si>
    <t>Mayroon bang anumang mga legal na programa o mapagkukunan na magagamit upang matulungan ako sa mga legal na isyu na nauugnay sa droga?</t>
  </si>
  <si>
    <t>Mayroong iba't ibang mga legal na programa at mapagkukunan na magagamit upang matulungan kang mag-navigate sa mga isyung legal na nauugnay sa droga. Narito ang ilang mga opsyon na dapat isaalang-alang:
Libreng Legal Aid:
Public Attorney's Office (PAO): Nag-aalok ang PAO ng libreng legal na representasyon sa mga mahihirap na Pilipino sa mga kasong kriminal, kabilang ang mga paglabag na may kaugnayan sa droga. Mayroon silang mga abogadong dalubhasa sa criminal defense at maaaring magbigay ng komprehensibong legal na tulong. Integrated Bar of the Philippines (IBP): Ang Nagbibigay ang IBP ng access sa mga legal na propesyonal at direktoryo. Matutulungan ka nilang mahanap ang mga abogadong nakaranas sa mga kaso na may kaugnayan sa droga sa iyong lugar.</t>
  </si>
  <si>
    <t>My child is using drugs. What should I do? what if he keeps using it? should I tell him to the authoritiies?</t>
  </si>
  <si>
    <t>our child's drug use is a serious concern, and it's understandable that you're considering various options, including informing the authorities. However, before taking any drastic steps, here are some crucial things to consider: First and foremost, prioritize your child's safety and well-being. This should be your driving force in deciding how to proceed.
Open communication: Talk to your child: Initiate a calm and open conversation about your concerns. Choose a quiet, private space where you can talk without interruptions. Express your love and concern without judgment or anger. Encourage them to be honest and open with you about their reasons for using drugs. Actively listen without interrupting, and try to understand their perspective. Seek professional help: Encourage your child to seek professional help from a therapist or counselor specializing in addiction treatment. This can provide them with the necessary support and guidance to address the underlying issues behind their drug use and develop healthy coping mechanisms. Building trust and support: Show empathy and support: Let your child know that you love and care about them, regardless of their choices. Offer your support and help them feel comfortable coming to you for help and guidance. Set clear boundaries: While being supportive, establish clear boundaries and consequences for continued drug use. These consequences should be reasonable and serve as a deterrent, not a punishment. Involve other family members: If necessary, involve other family members or trusted adults in supporting your child and creating a safe and supportive environment.
Addressing drug use directly: Educate yourself: Familiarize yourself with the risks and consequences of drug use. This will help you understand the situation better and provide your child with accurate information. Don't enable the behavior: Avoid enabling your child's drug use by providing them with money, transportation, or covering up for their actions. This will only perpetuate the problem. Consider family interventions: Family interventions, led by a trained professional, can provide a structured way for the family to collectively address the issue and encourage your child to seek help.
Involving the authorities:
Consider the consequences: Informing the authorities can be a drastic step with potentially serious consequences for your child, including legal repercussions and social stigma. Weigh the potential benefits (intervention, rehabilitation) against the potential harms (criminal charges, strained relationship) before making this decision.
Explore alternatives: Before escalating the situation, consider alternative options like professional treatment programs, drug courts, or community support groups. These options may offer less severe consequences and a greater focus on rehabilitation.</t>
  </si>
  <si>
    <t>Gumagamit ng droga ang aking anak. Ano ang dapat kong gawin?</t>
  </si>
  <si>
    <t>ang paggamit ng droga ng ating anak ay isang seryosong alalahanin, at maliwanag na isinasaalang-alang mo ang iba't ibang mga opsyon, kabilang ang pagpapaalam sa mga awtoridad. Gayunpaman, bago gumawa ng anumang marahas na hakbang, narito ang ilang mahahalagang bagay na dapat isaalang-alang: Una at pangunahin, unahin ang kaligtasan ng iyong anak at kagalingan. Ito dapat ang iyong puwersang nagtutulak sa pagpapasya kung paano magpapatuloy.
Bukas na komunikasyon: Makipag-usap sa iyong anak: Magsimula ng isang mahinahon at bukas na pag-uusap tungkol sa iyong mga alalahanin. Pumili ng isang tahimik, pribadong lugar kung saan maaari kang makipag-usap nang walang pagkagambala. Ipahayag ang iyong pagmamahal at pagmamalasakit nang walang paghuhusga o galit. Himukin silang maging tapat at bukas sa iyo tungkol sa kanilang mga dahilan sa paggamit ng mga droga. Aktibong makinig nang hindi naaabala, at subukang unawain ang kanilang pananaw. Humingi ng propesyonal na tulong: Hikayatin ang iyong anak na humingi ng propesyonal na tulong mula sa isang therapist o tagapayo na dalubhasa sa paggamot sa addiction. Maaari itong magbigay sa kanila ng kinakailangang suporta at patnubay upang matugunan ang mga pinagbabatayan na isyu sa likod ng kanilang paggamit ng droga at bumuo ng malusog na mga mekanismo sa pagharap. Pagbuo ng tiwala at suporta: Magpakita ng empatiya at suporta: Ipaalam sa iyong anak na mahal mo at nagmamalasakit ka sa kanila, anuman ang kanilang mga pagpipilian. Ialok ang iyong suporta at tulungan silang maging komportable lalapit sa iyo para sa tulong at patnubay. Magtakda ng malinaw na mga hangganan: Habang sumusuporta, magtatag ng malinaw na mga hangganan at kahihinatnan para sa patuloy na paggamit ng droga. Ang mga kahihinatnan na ito ay dapat na makatwiran at magsisilbing isang hadlang, hindi isang parusa. Isali ang ibang miyembro ng pamilya: Kung kinakailangan, isama iba pang miyembro ng pamilya o mga pinagkakatiwalaang nasa hustong gulang sa pagsuporta sa iyong anak at paglikha ng isang ligtas at matulungin na kapaligiran.
Direktang pagtugon sa paggamit ng droga: Turuan ang iyong sarili: Sanayin ang iyong sarili sa mga panganib at kahihinatnan ng paggamit ng droga. Makakatulong ito sa iyong mas maunawaan ang sitwasyon at mabigyan ang iyong anak ng tumpak na impormasyon. Huwag paganahin ang pag-uugali: Iwasang payagan ang paggamit ng droga ng iyong anak sa pamamagitan ng pagbibigay sa kanila ng pera, transportasyon, o pagtatakip para sa kanilang mga aksyon. Ito ay magpapatuloy lamang sa problema. Isaalang-alang ang mga interbensyon ng pamilya: Ang mga interbensyon ng pamilya, na pinamumunuan ng isang sinanay na propesyonal, ay maaaring magbigay ng isang nakaayos na paraan para sa pamilya upang sama-samang matugunan ang isyu at hikayatin ang iyong anak para humingi ng tulong.
Kinasasangkutan ng mga awtoridad:
Isaalang-alang ang mga kahihinatnan: Ang pagpapaalam sa mga awtoridad ay maaaring maging isang matinding hakbang na may potensyal na malubhang kahihinatnan para sa iyong anak, kabilang ang mga legal na epekto at panlipunang stigma. desisyon.
Galugarin ang mga alternatibo: Bago palakihin ang sitwasyon, isaalang-alang ang mga alternatibong opsyon tulad ng mga propesyonal na programa sa paggamot, mga korte sa droga, o mga grupo ng suporta sa komunidad. Ang mga opsyong ito ay maaaring mag-alok ng hindi gaanong malubhang kahihinatnan at mas malaking pagtuon sa rehabilitasyon.</t>
  </si>
  <si>
    <t>I was caught with drugs. What are the legal consequences?</t>
  </si>
  <si>
    <t>The type and quantity of drugs you were caught with: Different drugs have different classifications under Philippine law, and the penalties vary accordingly.
Whether it was your first offense: Prior convictions for drug offenses can significantly increase the potential penalties.
The circumstances of the arrest: Where and how you were apprehended may also influence the charges and sentencing.
Your cooperation with law enforcement: Cooperating with the investigation and expressing remorse can potentially lead to lenient sentencing.
However, I can offer some general information about the potential legal consequences of drug possession in the Philippines:
Penalties under Republic Act No. 9165:
This law, known as the Comprehensive Dangerous Drugs Act of 2002, outlines the penalties for various drug offenses. Here are some examples:
Possession of marijuana: For small quantities (less than 5 grams), the penalty can range from six months to four years imprisonment and a fine of Php 10,000 to Php 50,000. For larger quantities, the penalties can be much harsher, including life imprisonment. Possession of shabu (methamphetamine): For quantities less than 0.3 grams, the penalty can range from six years to twelve years imprisonment and a fine of Php 50,000 to Php 200,000. Larger quantities can carry even higher penalties, including life imprisonment and the death penalty (though the implementation of the death penalty is currently suspended). Additional Considerations: Administrative sanctions: Aside from criminal penalties, you may also face administrative sanctions, such as revocation of licenses or permits. Rehabilitation options: The Dangerous Drugs Board offers various rehabilitation programs for individuals struggling with addiction. Participating in such programs may be considered during sentencing and lead to more lenient treatment.
Legal representation: It is highly recommended to seek legal counsel from a qualified lawyer experienced in drug-related cases. They can advise you on your specific situation, negotiate with the prosecution, and represent you in court.</t>
  </si>
  <si>
    <t>Nahuli ako sa droga. Ano ang mga legal na kahihinatnan?</t>
  </si>
  <si>
    <t>Ang uri at dami ng mga gamot na nahulihan ka ng: Ang iba't ibang gamot ay may iba't ibang klasipikasyon sa ilalim ng batas ng Pilipinas, at ang mga parusa ay nag-iiba nang naaayon.
Kung ito man ang iyong unang pagkakasala: Ang mga naunang paghatol para sa mga pagkakasala sa droga ay maaaring makabuluhang tumaas ang mga potensyal na parusa.
Ang mga kalagayan ng pag-aresto: Saan at paano ka nahuli ay maaari ring makaimpluwensya sa mga kaso at sentensiya.
Ang iyong pakikipagtulungan sa pagpapatupad ng batas: Ang pakikipagtulungan sa pagsisiyasat at pagpapahayag ng pagsisisi ay maaaring humantong sa maluwag na parusa.
Gayunpaman, maaari akong mag-alok ng ilang pangkalahatang impormasyon tungkol sa mga potensyal na legal na kahihinatnan ng pagkakaroon ng droga sa Pilipinas:
Mga parusa sa ilalim ng Republic Act No. 9165:
Ang batas na ito, na kilala bilang Comprehensive Dangerous Drugs Act of 2002, ay nagbabalangkas ng mga parusa para sa iba't ibang pagkakasala sa droga. Narito ang ilang mga halimbawa:
Pagmamay-ari ng marihuwana: Para sa maliliit na dami (mas mababa sa 5 gramo), ang parusa ay maaaring mula sa anim na buwan hanggang apat na taong pagkakulong at multa na Php 10,000 hanggang Php 50,000. Para sa mas malalaking dami, ang mga parusa ay maaaring mas mabigat, kabilang ang habambuhay na pagkakakulong. Pag-aari ng shabu (methamphetamine): Para sa dami na mas mababa sa 0.3 gramo, ang parusa ay maaaring mula sa anim na taon hanggang labindalawang taong pagkakulong at multang Php 50,000 hanggang Php 200,000. Ang mas malaking dami ay maaaring magdala ng mas mataas na parusa, kabilang ang habambuhay na pagkakakulong at parusang kamatayan (bagama't kasalukuyang sinuspinde ang pagpapatupad ng parusang kamatayan). Mga Karagdagang Pagsasaalang-alang: Mga parusang pang-administratibo: Bukod sa mga parusang kriminal, maaari ka ring humarap sa mga parusang pang-administratibo, tulad ng pagbawi ng mga lisensya o permit. Mga opsyon sa rehabilitasyon: Nag-aalok ang Lupon ng Dangerous Drugs ng iba't ibang programa sa rehabilitasyon para sa mga indibidwal na nakikipaglaban sa pagkagumon. Maaaring isaalang-alang ang paglahok sa mga naturang programa sa panahon ng paghatol at humantong sa mas maluwag na paggamot.
Legal na representasyon: Lubos na inirerekomenda na humingi ng legal na payo mula sa isang kwalipikadong abogado na may karanasan sa mga kaso na may kaugnayan sa droga. Maaari ka nilang payuhan sa iyong partikular na sitwasyon, makipag-ayos sa prosekusyon, at kumatawan sa iyo sa korte.</t>
  </si>
  <si>
    <t>My property has been stolen. What should I do?</t>
  </si>
  <si>
    <t>Report the theft to the police: This is the most important step. Contact your local police station or call the emergency hotline and report the theft. Be prepared to provide a detailed description of the stolen property, including the time and location of the incident. Obtain a police report number for reference. Document the theft: Take photographs of the stolen items, if possible. Make a list of everything that was taken, including the brand, model, and serial numbers if available. This documentation will be helpful for the police investigation and insurance claims. Contact your insurance company: If you have homeowner's or renter's insurance, contact your insurance company as soon as possible. They will guide you through the claims process and may be able to provide financial compensation for the stolen property. Check for hidden spaces: Sometimes thieves may hide stolen items nearby before moving them. Look around your property thoroughly to see if you can find your belongings.
Additional steps: File a police report online: Some police departments allow you to file a police report online. Check your local police department's website for details. Cancel credit cards and other accounts: If any stolen items contain your personal information, such as credit cards or passports, cancel them immediately to prevent identity theft. Change your passwords: If any stolen devices contained sensitive information, such as your computer or phone, change your passwords for all your online accounts. Be vigilant: Keep an eye out for your stolen property online and in pawn shops. You can also post about the stolen items on social media in case someone has seen them. Consider investing in security measures: To prevent future thefts, consider installing security cameras, alarms, and other security measures in your home.
Additional resources:
Public Attorney's Office (PAO): Offers free legal representation to indigent Filipinos in criminal cases, including theft-related cases.</t>
  </si>
  <si>
    <t>Ang aking ari-arian ay ninakaw. Ano ang dapat kong gawin?</t>
  </si>
  <si>
    <t>Iulat ang pagnanakaw sa pulisya: Ito ang pinakamahalagang hakbang. Makipag-ugnayan sa iyong lokal na istasyon ng pulisya o tumawag sa emergency hotline at iulat ang pagnanakaw. Maging handa na magbigay ng detalyadong paglalarawan ng ninakaw na ari-arian, kabilang ang oras at lokasyon ng insidente. Kumuha ng numero ng police report para sa sanggunian. Idokumento ang pagnanakaw: Kunin ang mga larawan ng mga ninakaw na bagay, kung maaari. Gumawa ng isang listahan ng lahat ng kinuha, kabilang ang tatak, modelo, at mga serial number kung magagamit. Makakatulong ang dokumentasyong ito para sa imbestigasyon ng pulisya at mga claim sa seguro. Makipag-ugnayan sa iyong kompanya ng seguro: Kung mayroon kang insurance ng may-ari o umuupa, makipag-ugnayan sa iyong kompanya ng seguro sa lalong madaling panahon. Gagabayan ka nila sa proseso ng pag-claim at maaaring makapagbigay ng pinansiyal na kabayaran para sa ninakaw na ari-arian. Suriin para sa mga nakatagong espasyo: Minsan maaaring itago ng mga magnanakaw ang mga ninakaw na bagay sa malapit bago ilipat ang mga ito. Tumingin nang mabuti sa paligid ng iyong ari-arian upang makita kung mahahanap mo ang iyong mga gamit.
Mga karagdagang hakbang: Mag-file ng ulat ng pulisya online: Ang ilang mga departamento ng pulisya ay nagpapahintulot sa iyo na maghain ng ulat ng pulisya online. Tingnan ang website ng iyong lokal na departamento ng pulisya para sa mga detalye. Kanselahin ang mga credit card at iba pang mga account: Kung ang anumang mga ninakaw na item ay naglalaman ng iyong personal na impormasyon, tulad ng mga credit card o mga pasaporte, kanselahin kaagad ang mga ito upang maiwasan ang pagnanakaw ng pagkakakilanlan. Baguhin ang iyong mga password: Kung ang anumang mga ninakaw na device ay naglalaman ng sensitibong impormasyon, gaya ng iyong computer o telepono, palitan ang iyong mga password para sa lahat ng iyong online na account. Maging mapagbantay: Bantayan ang iyong ninakaw na ari-arian online at sa mga pawn shop. Maaari ka ring mag-post tungkol sa mga ninakaw na bagay sa social media kung sakaling may nakakita sa kanila. Isaalang-alang ang pamumuhunan sa mga hakbang sa seguridad: Para maiwasan ang mga pagnanakaw sa hinaharap, isaalang-alang ang pag-install ng mga security camera, alarm, at iba pang mga hakbang sa seguridad sa iyong tahanan.
Mga karagdagang mapagkukunan:
Public Attorney's Office (PAO): Nag-aalok ng libreng legal na representasyon sa mga mahihirap na Pilipino sa mga kasong kriminal, kabilang ang mga kasong may kaugnayan sa pagnanakaw.</t>
  </si>
  <si>
    <t>What legal options do I have to recover my stolen property?</t>
  </si>
  <si>
    <t>Recovering stolen property can involve both civil and criminal avenues. Here are some legal options you can explore:
Civil Options:
Replevin: This is a legal action to recover specific personal property wrongfully detained by another. If you know who has your property, you can file a replevin case in court to demand its return. This can be a relatively quick process compared to criminal proceedings. Action for damages: If you cannot recover the actual property, you can sue the thief for the value of the stolen items. This can be helpful if the property is difficult to recover or has been damaged. Conversion: Similar to an action for damages, filing a conversion case allows you to sue the person in possession of your property for its value. This applies if they have sold or used your stolen items.
Criminal Options:
Filing a police complaint: Even though this may not directly lead to property recovery, it can put pressure on the police to investigate and potentially apprehend the thief. Civil case filed by the State: If the police can identify and apprehend the thief, the State may prosecute them for theft. If convicted, the court may order restitution as part of the sentence, potentially leading to the return of your property.
Additional Strategies:
Negotiate with the thief: In some cases, directly contacting the thief or someone close to them may lead to the return of your property. However, use caution and prioritize your safety when considering this option. Track stolen items online: Several websites and resources track stolen items reported by various users. You can register your stolen items on these platforms to increase the chances of identifying them if they are sold online. Work with a lawyer: A lawyer can advise you on the best legal options for your specific case, navigate the legal process, and represent you in court if necessary.
Important considerations:
Evidence: Having proof of ownership, such as receipts, photos, or videos, strengthens your claims in both civil and criminal cases. Statute of limitations: Each legal path has a specific deadline for filing claims. Consult with a lawyer to ensure you don't miss any deadlines. Costs: Legal proceedings can involve fees and costs. Consider your financial resources when choosing which options to pursue.</t>
  </si>
  <si>
    <t>Anong mga legal na opsyon ang mayroon ako para mabawi ang aking nanakaw na ari-arian?</t>
  </si>
  <si>
    <t>Ang pagbawi ng ninakaw na ari-arian ay maaaring magsama ng parehong sibil at kriminal na paraan. Narito ang ilang legal na opsyon na maaari mong tuklasin:
Mga Opsyon sa Sibil:
Replevin: Ito ay isang legal na aksyon para mabawi ang partikular na personal na ari-arian na maling pinigil ng iba. Kung alam mo kung sino ang may ari-arian mo, maaari kang magsampa ng replevin case sa korte para hilingin ang pagbabalik nito. Ito ay maaaring medyo mabilis na proseso kumpara sa mga paglilitis sa krimen. Pagkilos para sa mga pinsala: Kung hindi mo mabawi ang aktwal na ari-arian, maaari mong kasuhan ang magnanakaw para sa halaga ng mga ninakaw na bagay. Makakatulong ito kung mahirap mabawi o nasira ang ari-arian. Conversion: Katulad ng isang aksyon para sa mga pinsala, Ang paghahain ng kaso ng conversion ay nagpapahintulot sa iyo na idemanda ang taong nagmamay-ari ng iyong ari-arian para sa halaga nito. Nalalapat ito kung naibenta o ginamit nila ang iyong mga ninakaw na bagay.
Mga Opsyon sa Kriminal:
Pagsampa ng reklamo sa pulisya: Kahit na ito ay maaaring hindi direktang humantong sa pagbawi ng ari-arian, maaari itong maglagay ng panggigipit sa pulisya na imbestigahan at posibleng mahuli ang magnanakaw. Kasong sibil na isinampa ng Estado: Kung matukoy at mahuhuli ng pulisya ang magnanakaw, ang Estado maaaring usigin sila dahil sa pagnanakaw.
Mga Karagdagang Istratehiya:
Makipag-ayos sa magnanakaw: Sa ilang mga kaso, ang direktang pakikipag-ugnayan sa magnanakaw o isang taong malapit sa kanila ay maaaring humantong sa pagbabalik ng iyong ari-arian. Gayunpaman, mag-ingat at unahin ang iyong kaligtasan kapag isinasaalang-alang ang opsyong ito. Subaybayan ang mga ninakaw na item online: Maraming mga website at mapagkukunan ang sumusubaybay mga item na iniulat ng iba't ibang mga user. Maaari mong irehistro ang iyong mga ninakaw na item sa mga platform na ito upang madagdagan ang pagkakataong makilala ang mga ito kung ibinebenta ang mga ito online. Makipagtulungan sa isang abogado: Maaaring payuhan ka ng isang abogado sa mga pinakamahusay na legal na opsyon para sa iyong partikular na kaso, mag-navigate sa legal na proseso, at kinakatawan ka sa korte kung kinakailangan.
Mahahalagang pagsasaalang-alang:
Katibayan: Ang pagkakaroon ng patunay ng pagmamay-ari, gaya ng mga resibo, larawan, o video, ay nagpapatibay sa iyong mga paghahabol sa parehong sibil at kriminal na mga kaso. Batas ng mga limitasyon: Ang bawat legal na landas ay may partikular na deadline para sa paghahain ng mga paghahabol. Kumonsulta sa isang abogado upang matiyak na hindi ka t makaligtaan ang anumang mga deadline. Mga Gastos: Ang mga legal na paglilitis ay maaaring may kasamang mga bayarin at gastos. Isaalang-alang ang iyong mga mapagkukunang pinansyal kapag pumipili kung aling mga opsyon ang gagawin.</t>
  </si>
  <si>
    <t>What legal resources are available for victims of scams?</t>
  </si>
  <si>
    <t>Philippine National Police (PNP): File a formal complaint at your local police station. Provide all evidence you have, such as screenshots, emails, transaction details, and any communication with the scammers. National Bureau of Investigation (NBI): For more complex or online scams, consider reporting to the NBI Cybercrime Division. They specialize in investigating cybercrimes and have advanced resources to track down perpetrators.
Legal Avenues:
Public Attorney's Office (PAO): If you cannot afford a lawyer, the PAO offers free legal representation to indigent Filipinos in criminal cases, including fraud-related offenses. They can guide you through the legal process and represent you in court. Private Lawyers: Consulting a lawyer specializing in fraud and scams can be beneficial. They can assess your case, advise you on legal options, and represent you in pursuing civil claims for damages or pursuing criminal charges against the perpetrators. Integrated Bar of the Philippines (IBP): The IBP website provides access to directories of lawyers in your area, allowing you to find one specializing in scam-related cases.</t>
  </si>
  <si>
    <t>Anong mga legal na mapagkukunan ang magagamit para sa mga biktima ng mga scam?</t>
  </si>
  <si>
    <t>Philippine National Police (PNP): Magsampa ng pormal na reklamo sa iyong lokal na istasyon ng pulisya. Ibigay ang lahat ng ebidensya na mayroon ka, tulad ng mga screenshot, email, detalye ng transaksyon, at anumang komunikasyon sa mga scammer. National Bureau of Investigation (NBI): Para sa mas kumplikado o online scam, isaalang-alang ang pag-uulat sa NBI Cybercrime Division. Dalubhasa sila sa pagsisiyasat sa mga cybercrime at may mga advanced na mapagkukunan upang masubaybayan ang mga kriminal.
Mga Legal na Avenue:
Public Attorney's Office (PAO): Kung hindi mo kayang magbayad ng abogado, nag-aalok ang PAO ng libreng legal na representasyon sa mga mahihirap na Pilipino sa mga kasong kriminal, kabilang ang mga pagkakasala na may kaugnayan sa pandaraya. Maaari ka nilang gabayan sa legal na proseso at kinakatawan ka sa korte. Mga Pribadong Abugado: Ang pagkonsulta sa isang abogado na dalubhasa sa pandaraya at mga scam ay maaaring maging kapaki-pakinabang. Maaari nilang tasahin ang iyong kaso, payuhan ka sa mga legal na opsyon, at kumatawan sa iyo sa paghahabol ng mga sibil na paghahabol para sa mga pinsala o paghabol sa mga kasong kriminal laban sa mga may kasalanan. Integrated Bar of the Philippines (IBP): Ang website ng IBP ay nagbibigay ng access sa mga direktoryo ng mga abogado sa iyong lugar, na nagbibigay-daan sa iyong makahanap ng isa na dalubhasa sa mga kaso na nauugnay sa scam.</t>
  </si>
  <si>
    <t>I have witnessed a crime. What should I do?</t>
  </si>
  <si>
    <t>Ensure your own safety: The priority is always your own safety. If you feel in any danger, do not hesitate to move away from the scene and call emergency services (dial 117) immediately. Observe and remember: If safe to do so, try to observe the situation without putting yourself at risk. Pay attention to the details of the crime, such as: The appearance of the perpetrator(s): Their physical description, clothing, and any distinguishing features. The victim(s): If possible, note their gender, clothing, and any injuries. The details of the crime: What happened, when and where it took place, and any weapons or vehicles involved.
Contact the authorities:
Call the police: After ensuring your safety, call the police as soon as possible. Report the crime in detail, including all the information you observed. Be prepared to answer any questions they may have. Consider filing a witness report: If possible, visit the nearest police station to file a formal witness report. This statement will document your observations and provide valuable evidence for the investigation.
Preserving evidence:
Avoid touching or disturbing the scene: If safe to do so, avoid touching or disturbing anything that might be considered evidence, such as fingerprints or footprints. This will preserve the scene for police investigation. Write down your observations: As soon as possible, write down a detailed account of what you saw, heard, and remembered about the crime. This will help you recall specifics later on, even if it's a few days or weeks.</t>
  </si>
  <si>
    <t>Nakasaksi ako ng isang krimen. Ano ang dapat kong gawin?</t>
  </si>
  <si>
    <t>Siguraduhin ang iyong sariling kaligtasan: Ang priyoridad ay palaging ang iyong sariling kaligtasan. Kung sa tingin mo ay nasa anumang panganib, huwag mag-atubiling umalis sa pinangyarihan at tumawag kaagad sa mga serbisyong pang-emerhensiya (dial 117). Obserbahan at tandaan: Kung ligtas na gawin ito, subukan upang obserbahan ang sitwasyon nang hindi inilalagay ang kanilang sarili sa panganib. Bigyang-pansin ang mga detalye ng krimen, tulad ng: Ang hitsura ng (mga) kriminal: Ang kanilang pisikal na paglalarawan, pananamit, at anumang natatanging katangian. Ang (mga) biktima: Kung maaari , tandaan ang kanilang kasarian, pananamit, at anumang pinsala. Ang mga detalye ng krimen: Ano ang nangyari, kailan at saan ito naganap, at anumang armas o sasakyang sangkot dito.
Makipag-ugnayan sa mga awtoridad:
Tawagan ang pulis: Pagkatapos ng iyong kaligtasan, tumawag sa pulis sa lalong madaling panahon. Iulat ang krimen nang detalyado, kasama ang lahat ng impormasyong tinitiyak na iyong naobserbahan. Maging handa na sagutin ang anumang mga katanungan na maaaring mayroon sila. Isaalang-alang ang paghahain ng ulat ng saksi: Kung maaari, bisitahin sa pinakamalapit na istasyon ng pulisya upang maghain ng isang pormal na ulat ng saksi. Ang pahayag na ito ay magdodokumento ng iyong mga obserbasyon at magbibigay ng mahalagang ebidensya para sa imbestigasyon.
Pagpapanatili ng ebidensya:
Iwasang hawakan o abalahin ang eksena: Kung ligtas na gawin ito, iwasang hawakan o abalahin ang anumang bagay na maaaring ituring na ebidensya, tulad ng mga fingerprint o footprint. Ito ay mapangalagaan ang eksena para sa imbestigasyon ng pulisya. Isulat ang iyong mga obserbasyon: Sa lalong madaling panahon, isulat isang detalyadong salaysay ng kung ano ang iyong nakita, narinig, at naalala tungkol sa krimen. Makakatulong ito sa iyong maalala ang mga detalye sa ibang pagkakataon, kahit na ito ay ilang araw o linggo.</t>
  </si>
  <si>
    <t>I believe someone has stolen my personal information online. What steps can I take to protect myself from further harm?</t>
  </si>
  <si>
    <t>Change your passwords: Immediately change the passwords for all your online accounts, especially email, banking, social media, and any other accounts containing sensitive information. Use strong passwords with a mix of uppercase and lowercase letters, numbers, and symbols. Consider using a password manager to keep track of strong and unique passwords for each account. Report the breach: Contact the companies or platforms where you believe your information may have been compromised. Inform them of your concerns and request assistance securing your accounts. Place a credit freeze: Contact the major credit bureaus in the Philippines (TransUnion, Equifax, and Experian) and place a credit freeze on your credit report. This prevents potential attackers from opening new accounts in your name. You can do this online or by calling their customer service.
Monitor your accounts: Closely monitor your bank statements, credit card statements, and other financial accounts for any suspicious activity. Report any unauthorized transactions immediately to your financial institutions.
Consider identity theft protection: If you're concerned about extensive data exposure or potential fraudulent activity, consider subscribing to an identity theft protection service. These services can monitor your credit report, alert you to suspicious activity, and provide insurance coverage in case of identity theft. Philippine National Police (PNP): You can report the incident to the PNP Cybercrime Division if you suspect your information has been compromised through a cybercrime. They can investigate the case and provide assistance.
National Bureau of Investigation (NBI): The NBI Cybercrime Division can also be contacted for more serious cybercrime cases involving data breaches or identity theft.
Department of Justice (DOJ): The DOJ provides legal resources and support for victims of cybercrime.</t>
  </si>
  <si>
    <t>Naniniwala ako na may nagnakaw ng aking personal na impormasyon online. Anong mga hakbang ang maaari kong gawin upang maprotektahan ang aking sarili mula sa karagdagang pinsala?</t>
  </si>
  <si>
    <t>Baguhin ang iyong mga password: Agad na palitan ang mga password para sa lahat ng iyong online na account, lalo na ang email, banking, social media, at anumang iba pang account na naglalaman ng sensitibong impormasyon. Gumamit ng mga malalakas na password na may pinaghalong uppercase at lowercase na mga titik, numero, at simbolo. Isaalang-alang ang paggamit ng isang tagapamahala ng password upang subaybayan ang matibay at natatanging mga password para sa bawat account. Iulat ang paglabag: Makipag-ugnayan sa mga kumpanya o platform kung saan naniniwala kang maaaring nakompromiso ang iyong impormasyon. Ipaalam sa kanila ang iyong mga alalahanin at humiling ng tulong sa pag-secure ng iyong mga account. Maglagay ng credit freeze: Makipag-ugnayan sa mga pangunahing credit bureaus sa Pilipinas (TransUnion, Equifax, at Experian) at maglagay ng credit freeze sa iyong credit report. Pinipigilan nito ang mga potensyal na umaatake na magbukas ng mga bagong account sa iyong pangalan. Magagawa mo ito online o sa pamamagitan ng pagtawag sa kanilang serbisyo sa customer.
Subaybayan ang iyong mga account: Mahigpit na subaybayan ang iyong mga bank statement, credit card statement, at iba pang financial account para sa anumang kahina-hinalang aktibidad. Iulat kaagad ang anumang hindi awtorisadong transaksyon sa iyong mga institusyong pampinansyal.
Isaalang-alang ang proteksyon sa pagnanakaw ng pagkakakilanlan: Kung nag-aalala ka tungkol sa malawak na pagkakalantad ng data o potensyal na mapanlinlang na aktibidad, isaalang-alang ang pag-subscribe sa isang serbisyo sa proteksyon sa pagnanakaw ng pagkakakilanlan. Maaaring subaybayan ng mga serbisyong ito ang iyong ulat sa kredito, alertuhan ka sa kahina-hinalang aktibidad, at magbigay ng saklaw ng seguro kung sakaling magkaroon ng pagkakakilanlan pagnanakaw.Philippine National Police (PNP): Maaari mong iulat ang insidente sa PNP Cybercrime Division kung pinaghihinalaan mo na ang iyong impormasyon ay nakompromiso sa pamamagitan ng isang cybercrime. Maaari nilang imbestigahan ang kaso at magbigay ng tulong.
National Bureau of Investigation (NBI): Ang NBI Cybercrime Division ay maaari ding makipag-ugnayan para sa mas malalang kaso ng cybercrime na kinasasangkutan ng data breaches o identity theft.
Department of Justice (DOJ): Ang DOJ ay nagbibigay ng mga legal na mapagkukunan at suporta para sa mga biktima ng cybercrime.</t>
  </si>
  <si>
    <t>My home or vehicle was broken into. What steps can I take to secure my property and report the incident safely?</t>
  </si>
  <si>
    <t>Ensure your safety:
Do not enter the property if you believe the perpetrator is still present. Call the police immediately and wait for them to arrive.
If you are already inside, leave calmly and quietly. Do not touch anything or disturb the scene. Go to a safe location and call the police from there. Report the break-in and provide as much detail as possible, including the time, location, what was taken, and any potential suspect descriptions. Do not touch or disturb anything inside the property that the police might consider evidence. Obtain a police report number for your records. This will be crucial for insurance claims and any legal proceedings. Public Attorney's Office (PAO): Offers free legal representation to indigent Filipinos in criminal cases, including theft-related cases.</t>
  </si>
  <si>
    <t>Nasira ang aking bahay o sasakyan. Anong mga hakbang ang maaari kong gawin upang ma-secure ang aking ari-arian at ligtas na maiulat ang insidente?</t>
  </si>
  <si>
    <t>Tiyakin ang iyong kaligtasan:
Huwag pumasok sa property kung naniniwala kang naroroon pa rin ang kriminal. Tumawag kaagad ng pulis at hintayin silang dumating.
Kung nasa loob ka na, umalis ka nang mahinahon at tahimik. Huwag hawakan ang anuman o istorbohin ang eksena. Pumunta sa isang ligtas na lokasyon at tumawag ng pulis mula doon. Iulat ang break-in at magbigay ng maraming detalye hangga't maaari, kasama ang oras, lokasyon , kung ano ang kinuha, at anumang mga paglalarawan ng potensyal na pinaghihinalaan. Huwag hawakan o istorbohin ang anumang bagay sa loob ng ari-arian na maaaring isaalang-alang ng pulisya ang ebidensya. Kumuha ng numero ng ulat ng pulisya para sa iyong mga rekord. Ito ay magiging mahalaga para sa mga claim sa insurance at anumang legal na paglilitis. Public Attorney's Office (PAO): Nag-aalok ng libreng legal na representasyon sa mga mahihirap na Pilipino sa mga kasong kriminal, kabilang ang mga kasong may kaugnayan sa pagnanakaw.</t>
  </si>
  <si>
    <t>I think I might have fallen victim to a financial scam. What are my immediate steps to minimize damage and seek help?</t>
  </si>
  <si>
    <t>Report the scam:
Philippine National Police (PNP): File a formal complaint at your local police station. Provide all evidence you have, such as screenshots, emails, transaction details, and any communication with the scammers. National Bureau of Investigation (NBI): For more complex or online scams, consider reporting to the NBI Cybercrime Division. They specialize in investigating cybercrimes and have advanced resources to track down perpetrators. Public Attorney's Office (PAO): If you cannot afford a lawyer, the PAO offers free legal representation to indigent Filipinos in criminal cases, including fraud-related offenses. They can guide you through the legal process and represent you in court.</t>
  </si>
  <si>
    <t>Sa tingin ko, maaaring ako ay naging biktima ng isang financial scam. Ano ang aking mga agarang hakbang upang mabawasan ang pinsala at humingi ng tulong?</t>
  </si>
  <si>
    <t>Iulat ang scam:
Philippine National Police (PNP): Magsampa ng pormal na reklamo sa iyong lokal na istasyon ng pulisya. Ibigay ang lahat ng ebidensya na mayroon ka, tulad ng mga screenshot, email, detalye ng transaksyon, at anumang komunikasyon sa mga scammer. National Bureau of Investigation (NBI): Para sa mas kumplikado o mga online scam, isaalang-alang ang pag-uulat sa NBI Cybercrime Division. Dalubhasa sila sa pag-iimbestiga sa mga cybercrime at may mga advanced na mapagkukunan para matunton ang mga kriminal. Public Attorney's Office (PAO): Kung hindi mo kayang magbayad ng abogado, nag-aalok ang PAO ng libreng legal na representasyon sa mga mahihirap na Pilipino sa mga kasong kriminal, kabilang ang mga paglabag na nauugnay sa pandaraya. Maaari ka nilang gabayan sa legal na proseso at kinakatawan ka sa korte.</t>
  </si>
  <si>
    <t>Who can I report a scam to, and what resources are available to support victims in recovering their losses?</t>
  </si>
  <si>
    <t>Philippine National Police (PNP): This is the primary option for reporting most types of scams, including online scams. National Bureau of Investigation (NBI): For complex or online scams involving organized crime or sophisticated operations, consider reporting to the NBI Cybercrime Division. They have advanced resources to investigate such cases. Department of Trade and Industry (DTI): If the scam involved consumer goods or services, you can file a complaint with the DTI Consumer Protection Group. They investigate violations of consumer protection laws and can seek redress for damages incurred Securities and Exchange Commission (SEC): If the scam involved investment or financial products, such as investment scams or pyramid schemes, report it to the SEC. They regulate the securities market and investigate financial fraud. Depending on the specific type of scam, you may consider reporting it to other agencies like the Bangko Sentral ng Pilipinas (BSP) for banking-related scams or the Department of Justice (DOJ) for legal assistance. Legal representation: Consider seeking legal advice from a lawyer specializing in fraud and scams. They can assess your case, guide you through legal options, and represent you in pursuing civil claims for damages or criminal charges against the perpetrators. The Public Attorney's Office (PAO) offers free legal representation to indigent Filipinos in criminal cases, including scam-related offenses.</t>
  </si>
  <si>
    <t>Kanino ako maaaring mag-ulat ng scam, at anong mga mapagkukunan ang magagamit upang suportahan ang mga biktima sa pagbawi ng kanilang mga pagkalugi?</t>
  </si>
  <si>
    <t>Philippine National Police (PNP): Ito ang pangunahing opsyon para sa pag-uulat ng karamihan sa mga uri ng scam, kabilang ang online scam. Mayroon silang mga advanced na mapagkukunan upang imbestigahan ang mga ganitong kaso. Department of Trade and Industry (DTI): Kung ang scam ay may kinalaman sa mga consumer goods o serbisyo, maaari kang magsampa ng reklamo sa DTI Consumer Protection Group. Iniimbestigahan nila ang mga paglabag sa mga batas sa proteksyon ng consumer at maaaring humingi ng kabayaran para sa mga pinsalang natamo Securities and Exchange Commission (SEC): Kung ang scam ay may kinalaman sa pamumuhunan o mga produktong pampinansyal, gaya ng mga investment scam o pyramid scheme, iulat ito sa SEC. Kinokontrol nila ang securities market at iniimbestigahan ang pandaraya sa pananalapi. Depende sa partikular na uri ng scam, maaari mong isaalang-alang ang pag-uulat nito sa ibang mga ahensya tulad ng Bangko Sentral ng Pilipinas (BSP) para sa mga scam na may kaugnayan sa pagbabangko o sa Department of Justice (DOJ) para sa legal na tulong. mga scam. Maaari nilang tasahin ang iyong kaso, gabayan ka sa mga legal na opsyon, at kumatawan sa iyo sa paghahabol ng mga sibil na paghahabol para sa mga pinsala o mga kasong kriminal laban sa mga salarin. Nag-aalok ang Public Attorney's Office (PAO) ng libreng legal na representasyon sa mga mahihirap na Pilipino sa mga kasong kriminal, kabilang ang scam. -kaugnay na mga pagkakasala.</t>
  </si>
  <si>
    <t>I have been hearing about the term psychological incapacity. Please explain to me what is “psychological incapacity” as a ground to declare the marriage void?</t>
  </si>
  <si>
    <t>To put it plainly, "psychological incapacity" is a severe psychological condition that makes one or both spouses genuinely incapable of carrying out the fundamental responsibilities of marriage, but it is not always insanity. It is necessary for this psychological state to be present when the marriage is celebrated.</t>
  </si>
  <si>
    <t>Narinig ko na ang tungkol sa katagang psychological incapacity. Pakipaliwanag sa akin kung ano ang "psychological incapacity" bilang batayan para ideklarang walang bisa ang kasal?</t>
  </si>
  <si>
    <t>Sa madaling salita, ang "psychological incapacity" ay isang malubhang sikolohikal na kondisyon na nagiging sanhi ng isa o parehong mag-asawa na tunay na walang kakayahan na gampanan ang mga pangunahing responsibilidad ng kasal, ngunit hindi ito palaging pagkabaliw. Ito ay kinakailangan para sa sikolohikal na estado na ito ay naroroon kapag ang kasal ay ipinagdiriwang.</t>
  </si>
  <si>
    <t>What are these essential marital obligations?</t>
  </si>
  <si>
    <t>The duties of a husband and wife are as follows: (1) to live together, observe mutual love, respect, and fidelity, and provide mutual help and support; (2) to procreate in accordance with the universal principle that having children through sexual cooperation is the fundamental goal of marriage; (3) to jointly support the family (Art. 70), as the spouses are joint administrators in the partnership; and (4) to refrain from doing any actions that could endanger, dishonour, or injure the family (Art. 72), as the spouses have a fundamental responsibility to ensure the safety and security of the family at all times.</t>
  </si>
  <si>
    <t>Ano ang mga mahahalagang obligasyong ito sa pag-aasawa?</t>
  </si>
  <si>
    <t>Ang mga tungkulin ng mag-asawa ay ang mga sumusunod: (1) mamuhay nang magkasama, obserbahan ang pagmamahalan, paggalang, at katapatan sa isa't isa, at magbigay ng tulong at suporta sa isa't isa; (2) upang magkaanak alinsunod sa unibersal na prinsipyo na ang pagkakaroon ng mga anak sa pamamagitan ng pakikipagtulungang sekswal ay ang pangunahing layunin ng kasal; (3) upang sama-samang suportahan ang pamilya (Art. 70), dahil ang mag-asawa ay magkasanib na administrador sa partnership; at (4) pigilin ang paggawa ng anumang mga aksyon na maaaring magsapanganib, masiraan ng puri, o makapinsala sa pamilya (Art. 72), dahil ang mag-asawa ay may pangunahing responsibilidad na tiyakin ang kaligtasan at seguridad ng pamilya sa lahat ng oras.</t>
  </si>
  <si>
    <t>Can you tell me in simple terms what are the manifestations of psychological incapacity?</t>
  </si>
  <si>
    <t>A few examples of psychological incapacity or narcissistic, antisocial personality disorder symptoms are as follows:
1. by one spouse's unwillingness to live, reside, and cohabitate with the other after marriage, with no culpability on the part of the offended party.
2. By purposefully declining to provide for the other spouse or their shared children
3. When one partner's compulsive gambling, alcoholism, drug addiction, violent outbursts, jealousy, or physical abuse of the other and the respondent spouse's children make the marriage intolerable</t>
  </si>
  <si>
    <t>Maaari mo bang sabihin sa akin sa mga simpleng salita kung ano ang mga manifestations ng psychological incapacity?</t>
  </si>
  <si>
    <t>Ang ilang mga halimbawa ng psychological incapacity o narcissistic, antisocial personality disorder na sintomas ay ang mga sumusunod:
1. sa hindi pagpayag ng isang asawa na manirahan, manirahan, at manirahan sa isa pagkatapos ng kasal, na walang kasalanan sa bahagi ng nasaktang partido.
2. Sa pamamagitan ng sadyang pagtanggi na tustusan ang ibang asawa o ang kanilang mga anak
3. Kapag ang mapilit na pagsusugal, alkoholismo, pagkagumon sa droga, marahas na pagsabog, paninibugho, o pisikal na pang-aabuso ng isang kapareha at ang mga anak ng asawa ng respondent ay naging dahilan upang hindi mabata ang kasal</t>
  </si>
  <si>
    <t>My wife has a serious sexual libido or promiscuity problem. To my knowledge, she had slept with three men other than me during our marriage. I have almost killed a guy because of her sexual escapades. But despite this, I still accepted her due to my love and desire to keep the marriage intact. But it came to a point that I cannot take her philandering anymore. Please help me file a Petition to annul our marriage preferably due to her own psychological incapacity.</t>
  </si>
  <si>
    <t>We genuinely comprehend and share your feelings regarding your current circumstance. Nonetheless, sexual infidelity or promiscuity
of the spouse is not an instance of psychological incompetence that the law considers. Regarding this matter, the Supreme Court recently rendered a decision in a case (Dedel v. CA, decided January 29, 2005). We recommend that you allow yourself to be examined psychologically. Considering the
Depending on the information you give the psychologist, your marriage might be ruled void on other grounds.</t>
  </si>
  <si>
    <t>Ang aking asawa ay may malubhang problema sa sekswal na libido o kahalayan. Sa pagkakaalam ko, tatlong lalaki ang natutulog niya maliban sa akin noong kasal namin. Muntik na akong pumatay ng isang lalaki dahil sa kanyang mga pakikipagtalik. Pero sa kabila nito, tinanggap ko pa rin siya dahil sa pagmamahal at kagustuhan kong panatilihing buo ang kasal. Pero dumating sa punto na hindi ko na kayang tiisin ang pagiging philander niya. Mangyaring tulungan akong maghain ng Petisyon upang ipawalang-bisa ang aming kasal mas mabuti dahil sa kanyang sariling sikolohikal na kawalan ng kakayahan.</t>
  </si>
  <si>
    <t>Kami ay tunay na nauunawaan at ibinabahagi ang iyong mga damdamin tungkol sa iyong kasalukuyang kalagayan. Gayunpaman, ang pagtataksil sa sekswal o kahalayan
ng asawa ay hindi isang halimbawa ng psychological incompetence na isinasaalang-alang ng batas. Hinggil sa usaping ito, ang Korte Suprema kamakailan ay nagbigay ng desisyon sa isang kaso (Dedel v. CA, nagpasya noong Enero 29, 2005). Inirerekomenda namin na payagan mo ang iyong sarili na masuri sa sikolohikal na paraan. Isinasaalang-alang ang
Depende sa impormasyong ibibigay mo sa psychologist, ang iyong kasal ay maaaring ipasiya na walang bisa sa ibang mga dahilan.</t>
  </si>
  <si>
    <t>Do I need a psychological report before I could file a petition for annulment?</t>
  </si>
  <si>
    <t>No. Generally speaking, you can file the petition to dissolve your marriage without first requiring a psychological report. Additionally, the New Rule states that an expert opinion need not be mentioned in the Petition.</t>
  </si>
  <si>
    <t>Kailangan ko ba ng psychological report bago ako makapag-file ng petition for annulment?</t>
  </si>
  <si>
    <t>Hindi. Sa pangkalahatan, maaari kang maghain ng petisyon para buwagin ang iyong kasal nang hindi muna nangangailangan ng psychological report. Bukod pa rito, ang Bagong Panuntunan ay nagsasaad na ang opinyon ng eksperto ay hindi kailangang banggitin sa Petisyon.</t>
  </si>
  <si>
    <t>But does a Firm require their clients to submit to a psychological evaluation before filing the Petition?</t>
  </si>
  <si>
    <t>Indeed. The basis of your petition is the psychological report. It's similar to going into battle prepared. Since the psychological report has already stated these facts, it would be simpler for us to allege the manifestations of psychological incapacities in this case.</t>
  </si>
  <si>
    <t>Ngunit hinihiling ba ng iyong Firm ang iyong mga kliyente na magsumite sa isang psychological evaluation bago maghain ng Petisyon?</t>
  </si>
  <si>
    <t>Sa totoo lang. Ang batayan ng iyong petisyon ay ang psychological report. Ito ay katulad ng pagpunta sa labanan na inihanda. Dahil ang sikolohikal na ulat ay nakasaad na ang mga katotohanang ito, magiging mas simple para sa atin na magpahayag ng mga pagpapakita ng mga sikolohikal na kawalan ng kakayahan sa kasong ito.</t>
  </si>
  <si>
    <t>If I am the one filing the Petition, do I still need to take a psychological test?</t>
  </si>
  <si>
    <t>Absolutely, you must take the test since the psychological report serves as the cornerstone of your petition. Our resident psychologist will assess you and your husband's psychological limitations during the psychological exam. Generally speaking, we advise that you take the test before submitting the petition.</t>
  </si>
  <si>
    <t>Kung ako ang magsasampa ng Petisyon, kailangan ko pa bang kumuha ng psychological test?</t>
  </si>
  <si>
    <t>Ganap, dapat kang kumuha ng pagsusulit dahil ang sikolohikal na ulat ay nagsisilbing pundasyon ng iyong petisyon. Susuriin ka ng aming resident psychologist at ang sikolohikal na limitasyon ng iyong asawa sa panahon ng sikolohikal na pagsusulit. Sa pangkalahatan, ipinapayo namin na kumuha ka ng pagsusulit bago isumite ang petisyon.</t>
  </si>
  <si>
    <t>I am planning to file an annulment case on the ground of the psychological incapacity of my husband. The lawyer that I have contacted over there told me that I can already receive the decision after five (5) to eight (8) months. But I don’t remember him mentioning about psychological report. Do I have reason to be suspicious?</t>
  </si>
  <si>
    <t>To pursue a case for the nullity of marriage based on psychological incapacity in the Philippines, it is essential to adhere to guidelines established by the Supreme Court. The burden of proof lies with the plaintiff, emphasizing a presumption in favor of marriage rather than nullity. The root cause of psychological incapacity must be medically identified, alleged in the complaint, proven by experts, and clearly explained in the decision. This incapacity should be demonstrated to exist at the time of marriage, be medically or clinically permanent, and be relevant to assuming marital obligations. Grave enough to impede essential marital duties, the illness must align with specific articles in the Family Code. While not conclusive, the court should respect interpretations by the National Appellate Matrimonial Tribunal of the Catholic Church. The involvement of the fiscal and Solicitor General is mandated, with no decision issued without the Solicitor General's certification, expressing agreement or opposition with reasons provided within fifteen days of case submission. Adhering to these guidelines ensures a thorough and comprehensive evaluation, acknowledging the complexity and duration typically associated with annulment cases.</t>
  </si>
  <si>
    <t>I am planning to file an annulment case on the ground of the psychological incapacity of my husband. Sinabi sa akin ng abogado na nakipag-ugnayan ako doon na matatanggap ko na ang desisyon pagkatapos ng limang (5) hanggang walong (8) buwan. Pero wala akong maalala na binanggit niya ang tungkol sa psychological report. May dahilan ba ako para maghinala?</t>
  </si>
  <si>
    <t>Upang ituloy ang isang kaso para sa pagpapawalang bisa ng kasal batay sa psychological incapacity sa Pilipinas, mahalagang sumunod sa mga alituntuning itinatag ng Korte Suprema. Ang pasanin ng patunay ay nakasalalay sa nagsasakdal, na nagbibigay-diin sa isang pagpapalagay na pabor sa kasal sa halip na walang bisa. Ang ugat na sanhi ng psychological incapacity ay dapat matukoy na medikal, pinaghihinalaang sa reklamo, napatunayan ng mga eksperto, at malinaw na ipinaliwanag sa desisyon. Ang kawalan ng kakayahan na ito ay dapat ipakita na umiiral sa oras ng kasal, maging medikal o klinikal na permanenteng, at may kaugnayan sa pag-aako ng mga obligasyon sa kasal. Sapat na upang hadlangan ang mahahalagang tungkulin sa pag-aasawa, ang sakit ay dapat na nakaayon sa mga partikular na artikulo sa Family Code. Bagama't hindi conclusive, dapat igalang ng korte ang mga interpretasyon ng National Appellate Matrimonial Tribunal ng Simbahang Katoliko. Ang paglahok ng piskal at Solicitor General ay ipinag-uutos, na walang desisyon na inilabas nang walang sertipikasyon ng Solicitor General, na nagpapahayag ng kasunduan o pagsalungat na may mga dahilan na ibinigay sa loob ng labinlimang araw ng pagsusumite ng kaso. Ang pagsunod sa mga alituntuning ito ay nagsisiguro ng isang masinsinang at komprehensibong pagsusuri, na kinikilala ang pagiging kumplikado at tagal na karaniwang nauugnay sa mga kaso ng pagpapawalang-bisa.</t>
  </si>
  <si>
    <t>Am I required to appear in every Court hearing?</t>
  </si>
  <si>
    <t>You are not, that is for sure. You, the petitioner, only need to show up for the pre-trial conference and the court date of your testimony.</t>
  </si>
  <si>
    <t>Kinakailangan ba akong humarap sa bawat pagdinig ng Korte?</t>
  </si>
  <si>
    <t>Ikaw ay hindi, iyon ay sigurado. Ikaw, ang petitioner, ay kailangan lamang na magpakita para sa pre-trial conference at ang petsa ng korte ng iyong testimonya.</t>
  </si>
  <si>
    <t>How many witnesses do we need to present in Court in order to prove my case?</t>
  </si>
  <si>
    <t>We must call you as the primary witness, the psychologist or psychiatrist as an expert witness to demonstrate your psychological incompetence, and one or two additional witnesses who can personally attest to your account and have firsthand knowledge of your marital circumstances.</t>
  </si>
  <si>
    <t>Ilang saksi ang kailangan nating iharap sa Korte upang mapatunayan ang aking kaso?</t>
  </si>
  <si>
    <t>Dapat ka naming tawagan bilang pangunahing saksi, ang psychologist o psychiatrist bilang isang ekspertong saksi upang ipakita ang iyong psychological incompetence, at isa o dalawang karagdagang saksi na maaaring personal na magpatotoo sa iyong account at may mismong kaalaman sa iyong mga kalagayan sa pag-aasawa.</t>
  </si>
  <si>
    <t>Can I file a petition (annulment or declaration of absolute nullity of marriage) even if I am in a foreign country?</t>
  </si>
  <si>
    <t>Yes, the regulations acknowledge and permit Filipinos residing abroad to file a petition.</t>
  </si>
  <si>
    <t>Maaari ba akong maghain ng petisyon (annulment o declaration of absolute nullity of marriage) kahit na nasa ibang bansa ako?</t>
  </si>
  <si>
    <t>Oo, kinikilala at pinahihintulutan ng mga regulasyon ang mga Pilipinong naninirahan sa ibang bansa na maghain ng petisyon.</t>
  </si>
  <si>
    <t>What if a spouse discovers that his/her spouse is a homosexual or is violent, can he/she ask for annulment?</t>
  </si>
  <si>
    <t>Physical violence or homosexuality by themselves do not dissolve a marriage. Nonetheless, these grounds could serve as the foundation for a formal separation at the absolute least.</t>
  </si>
  <si>
    <t>Paano kung matuklasan ng isang asawa na ang kanyang asawa ay isang homosexual o bayolente, maaari ba siyang humingi ng annulment?</t>
  </si>
  <si>
    <t>Ang pisikal na karahasan o homosexuality sa kanilang sarili ay hindi nakalulusaw sa kasal. Gayunpaman, ang mga batayan na ito ay maaaring magsilbing pundasyon para sa isang pormal na paghihiwalay sa ganap na hindi bababa sa.</t>
  </si>
  <si>
    <t>Should I file a petition for legal separation, can I use my own sexual infidelity as a ground?</t>
  </si>
  <si>
    <t>Interestingly, the term "of the respondent" or "by respondent" does not qualify "sexual infidelity or perversion," which is the only one of the aforementioned grounds for legal separation. This could give the idea that the petitioner's (the person who filed the petition) sexual infidelity could be a basis for a formal separation. However, we must keep in mind that the innocent spouse, also known as the "aggrieved party," files for legal separation from the guilty spouse.</t>
  </si>
  <si>
    <t>Dapat ba akong magsampa ng petisyon para sa legal na paghihiwalay, maaari ko bang gamitin ang sarili kong pagtataksil sa sekswal bilang batayan?</t>
  </si>
  <si>
    <t>Kapansin-pansin, ang terminong "ng respondent" o "by respondent" ay hindi kwalipikadong "sexual infidelity o perversion," na isa lamang sa mga nabanggit na batayan para sa legal na paghihiwalay. Ito ay maaaring magbigay ng ideya na ang pagtataksil ng petisyon (ang taong nagsampa ng petisyon) ay maaaring maging batayan para sa isang pormal na paghihiwalay. Gayunpaman, dapat nating tandaan na ang inosenteng asawa, na kilala rin bilang "agrabyado na partido," ay naghain ng legal na paghihiwalay mula sa nagkasalang asawa.</t>
  </si>
  <si>
    <t>If you’re separated from your spouse for 4 years, is that a sufficient ground for annulment?</t>
  </si>
  <si>
    <t>No. A de facto split is not an annulment basis. But, depending on the situation, a two- or four-year absence may be sufficient to request from the court a declaration of the "absent spouse's" presumed death, after which the petitioner would be free to remarry. See Can someone who has been separated or absent from court get married again?</t>
  </si>
  <si>
    <t>Kung hiwalay ka sa iyong asawa sa loob ng 4 na taon, sapat na ba iyon para sa annulment?</t>
  </si>
  <si>
    <t>Hindi. Ang de facto split ay hindi isang annulment basis. Ngunit, depende sa sitwasyon, ang dalawa o apat na taong pagliban ay maaaring sapat upang humiling sa korte ng deklarasyon ng inaakalang pagkamatay ng "absent na asawa", pagkatapos nito ay malayang magpakasal muli ang petitioner. See Maaari bang magpakasal muli ang isang taong nahiwalay o wala sa korte?</t>
  </si>
  <si>
    <t>What specifically is the role of the Solicitor General in the process of annulment? Is it true that the SolGen is often the source of delay?</t>
  </si>
  <si>
    <t>The Solicitor General is the nation's chief law enforcement officer and legal defender. They are permitted to intervene and participate in marriage annulment and declaration of nullity proceedings before the RTC and on appeal to higher courts. By stopping collusion between the parties or the fabrication or suppression of evidence, his intervention in the proceedings guarantees that the State's interest is represented and protected in proceedings for annulment and declaration of nullity of marriages. This is the Supreme Court's official statement. An annulment decision may be appealed or not, and the SolGen has the authority to make such a decision. Stated differently, it would be inaccurate and unjust to claim that the SolGen is the source of delay</t>
  </si>
  <si>
    <t>Ano ang partikular na tungkulin ng Solicitor General sa proseso ng annulment? Totoo bang ang SolGen ang madalas na pinagmumulan ng pagkaantala?</t>
  </si>
  <si>
    <t>Ang Solicitor General ay ang punong opisyal ng pagpapatupad ng batas ng bansa at legal na tagapagtanggol. Pinahihintulutan silang mamagitan at lumahok sa pagpapawalang-bisa ng kasal at pagdedeklara ng mga paglilitis sa pagpapawalang-bisa sa harap ng RTC at sa pag-apela sa mas matataas na hukuman. Sa pamamagitan ng paghinto ng sabwatan sa pagitan ng mga partido o ang katha o pagsugpo ng ebidensya, ang kanyang interbensyon sa mga paglilitis ay ginagarantiyahan na ang interes ng Estado ay kinakatawan at pinoprotektahan sa mga paglilitis para sa pagpapawalang-bisa at pagdedeklara ng walang bisa ng mga kasal. Ito ang opisyal na pahayag ng Korte Suprema. Ang isang desisyon sa pagpapawalang-bisa ay maaaring iapela o hindi, at ang SolGen ay may awtoridad na gumawa ng gayong desisyon. Sa ibang paraan, magiging hindi tumpak at hindi makatarungan ang pag-angkin na ang SolGen ang pinagmumulan ng pagkaantala</t>
  </si>
  <si>
    <t>How can I verify if my lawyer really filed the petition in court or if a decision was really issued? Can I obtain a copy of the decision?</t>
  </si>
  <si>
    <t>You have the right to request a copy of every document (movement, pleadings, orders, decisions, etc.) that is relevant to your case from your attorney. Naturally, the cost of photocopying will be billed to you. In any event, you could always ask the court where the petition was filed for a photocopy of the record.</t>
  </si>
  <si>
    <t>Paano ko mabe-verify kung ang aking abogado ay talagang nagsampa ng petisyon sa korte o kung ang isang desisyon ay talagang inilabas? Maaari ba akong makakuha ng kopya ng desisyon?</t>
  </si>
  <si>
    <t>May karapatan kang humiling ng kopya ng bawat dokumento (kilusan, pleading, utos, desisyon, atbp.) na may kaugnayan sa iyong kaso mula sa iyong abogado. Natural, ang halaga ng photocopying ay sisingilin sa iyo. Sa anumang pangyayari, maaari mong laging tanungin ang korte kung saan inihain ang petisyon para sa isang photocopy ng rekord.</t>
  </si>
  <si>
    <t>If there’s already a decision annulling my marriage, but the decision is appealed by the Office of the Solicitor General, is it ok to remarry?</t>
  </si>
  <si>
    <t>No. You cannot get married again until the ruling in your favour becomes final and executory (no motion for reconsideration or appeal was filed) and all other requirements are met.</t>
  </si>
  <si>
    <t>Kung mayroon nang desisyon na nagpapawalang-bisa sa aking kasal, ngunit ang desisyon ay inapela ng Tanggapan ng Solicitor General, ok lang bang magpakasal muli?</t>
  </si>
  <si>
    <t>Hindi. Hindi ka maaaring magpakasal muli hanggang ang desisyon na pabor sa iyo ay nagiging pinal at executory (walang mosyon para sa muling pagsasaalang-alang o apela ang isinampa) at lahat ng iba pang mga kinakailangan ay natutugunan.</t>
  </si>
  <si>
    <t>My fiancee and I secured a marriage license, but no marriage ceremony was ever celebrated. I learned, however, that my “wife” is already using my surname in her documents, including her passport. Am I considered as “married”?</t>
  </si>
  <si>
    <t>No. A marriage licence is only good for 120 days after it is issued; after that time, it is void. In the absence of a lawful marriage, a woman cannot take the surname of her putative "husband."</t>
  </si>
  <si>
    <t>Nagkaroon kami ng fiancee ko ng marriage license, pero walang kasal na ipinagdiwang. Nalaman ko, gayunpaman, na ang aking "asawa" ay gumagamit na ng aking apelyido sa kanyang mga dokumento, kasama ang kanyang pasaporte. Ako ba ay itinuturing na "may asawa"?</t>
  </si>
  <si>
    <t>Hindi. Ang isang marriage license ay mabuti lamang sa loob ng 120 araw pagkatapos na maibigay ito; pagkatapos ng panahong iyon, ito ay walang bisa. Kung walang legal na kasal, hindi maaaring kunin ng isang babae ang apelyido ng kanyang diumano'y "asawa."</t>
  </si>
  <si>
    <t>After a year of marriage, my spouse and I agreed that our marriage is getting nowhere, and that we should go find someone else. We prepared an agreement that we both want an annulment. Would this be of any help in the annulment process?</t>
  </si>
  <si>
    <t>No. A declaration of nullity or annulment cannot be based on an agreement between the spouses. Instead, it is the legal responsibility of the Office of the Solicitor General (OSG) or the public prosecutor, as applicable, to ensure that there is no collusion between the parties. Actually, one of the things that the law EXPRESSLY removes from the list of things that can be resolved or compromised is the grounds for annulment or the annulment itself.</t>
  </si>
  <si>
    <t>Pagkatapos ng isang taon ng kasal, napagkasunduan naming mag-asawa na wala nang patutunguhan ang aming kasal, at dapat kaming maghanap ng iba. Naghanda kami ng kasunduan na pareho kaming gusto ng annulment. Makakatulong ba ito sa proseso ng annulment?</t>
  </si>
  <si>
    <t>Hindi. Ang deklarasyon ng nullity o annulment ay hindi maaaring batay sa isang kasunduan sa pagitan ng mag-asawa. Sa halip, legal na responsibilidad ng Office of the Solicitor General (OSG) o ng public prosecutor, kung naaangkop, na tiyakin na walang sabwatan sa pagitan ng mga partido. Sa totoo lang, isa sa mga TAHAS na inaalis ng batas sa listahan ng mga bagay na maaaring iresolba o ikompromiso ay ang grounds para sa annulment o ang annulment mismo.</t>
  </si>
  <si>
    <t>Could I file a petition for annulment if my wife doesn’t agree?</t>
  </si>
  <si>
    <t>Indeed. Even in cases where the other spouse (spouse or husband) does not agree with or even opposes the petition, it is still possible to file the petition and carry on with the legal proceedings.</t>
  </si>
  <si>
    <t>Maaari ba akong magsampa ng petisyon para sa annulment kung hindi pumayag ang aking asawa?</t>
  </si>
  <si>
    <t>Sa totoo lang. Kahit na sa mga kaso kung saan ang ibang asawa (asawa o asawa) ay hindi sumasang-ayon o kahit na sumasalungat sa petisyon, posible pa ring maghain ng petisyon at magpatuloy sa mga legal na paglilitis.</t>
  </si>
  <si>
    <t>What if I can’t find my spouse?</t>
  </si>
  <si>
    <t>The other spouse must receive the summons, per the rules. Usually, this is accomplished by serving the other spouse with a copy of the petition and the summons. However, serving a summons by publication could be used if the other spouse could not be located.</t>
  </si>
  <si>
    <t>Paano kung hindi ko mahanap ang aking asawa?</t>
  </si>
  <si>
    <t>Ang ibang asawa ay dapat tumanggap ng tawag, alinsunod sa mga patakaran. Kadalasan, ito ay nagagawa sa pamamagitan ng pagsisilbi sa ibang asawa na may kopya ng petisyon at ang patawag. Gayunpaman, ang paghahatid ng isang summon sa pamamagitan ng publikasyon ay maaaring gamitin kung ang ibang asawa ay hindi mahanap.</t>
  </si>
  <si>
    <t>My wife (or husband) sent me a letter saying that “wala na akong pag-ibig,” “ginamit lang kita” or “let’s separate.” Are these sufficient grounds for annulment?</t>
  </si>
  <si>
    <t>No. The law consistently supports a marriage's legality. A marital agreement to an annulment, as previously mentioned, is not compliant with legal, moral, or public policy requirements. It is therefore invalid.</t>
  </si>
  <si>
    <t>My wife (or husband) sent me a letter saying that “wala na akong pag-ibig,” “ginamit lang kita” o “let’s separate.” Ang mga ito ba ay sapat na batayan para sa pagpapawalang-bisa?</t>
  </si>
  <si>
    <t>Hindi. Patuloy na sinusuportahan ng batas ang legalidad ng kasal. Ang isang kasunduan sa kasal sa isang annulment, gaya ng naunang nabanggit, ay hindi sumusunod sa mga kinakailangan sa legal, moral, o pampublikong patakaran. Ito ay samakatuwid ay hindi wasto.</t>
  </si>
  <si>
    <t>My spouse, who is no longer a Filipino citizen, said that he/she will not object to end our marriage. Can I seek an annulment here in the Philippines or, if that’s not possible, a divorce in the United States or anywhere abroad?</t>
  </si>
  <si>
    <t>Only the former Filipino (or the foreign spouse) may file for divorce abroad, as stated in Article 26. Put another way, a spouse who is still Filipino cannot lawfully file for divorce from another spouse even if the former is no longer a Filipino.</t>
  </si>
  <si>
    <t>Sabi ng asawa ko na hindi na Filipino citizen, hindi siya tututol na tapusin ang aming kasal. Maaari ba akong humingi ng annulment dito sa Pilipinas o, kung hindi posible, isang diborsyo sa Estados Unidos o saanman sa ibang bansa?</t>
  </si>
  <si>
    <t>Tanging ang dating Pilipino (o ang dayuhang asawa) lamang ang maaaring maghain ng diborsyo sa ibang bansa, gaya ng nakasaad sa Artikulo 26. Sa ibang paraan, ang isang asawa na Filipino pa rin ay hindi maaaring legal na maghain ng diborsyo sa ibang asawa kahit na ang una ay hindi na Pilipino.</t>
  </si>
  <si>
    <t>am a Filipino citizen, married to a foreigner. I discovered that my foreigner-spouse secured a divorce abroad and is now married to someone else. What should I do to be able to remarry? Is that unfair to the Filipino?</t>
  </si>
  <si>
    <t>Given that the foreign spouse, or the spouse who is no longer Filipino, has the option to remarry following a divorce, this clearly seems unfair to the Filipino spouse. On the other hand, the Filipino spouse needs to obtain the divorce decree and have it accepted by Philippine authorities. Sed lex, dura lex. Despite its harshness, the law is what it is.</t>
  </si>
  <si>
    <t>Ako ay isang mamamayang Pilipino, kasal sa isang dayuhan. Natuklasan ko na ang aking foreigner-spouse ay nakakuha ng divorce sa ibang bansa at ngayon ay kasal na sa iba. Ano ang dapat kong gawin para makapag-asawang muli? Unfair ba yan sa Pilipino?</t>
  </si>
  <si>
    <t>Dahil ang dayuhang asawa, o ang asawang hindi na Pilipino, ay may opsyon na magpakasal muli pagkatapos ng diborsiyo, ito ay malinaw na tila hindi patas sa asawang Pilipino. Sa kabilang banda, kailangang makuha ng asawang Pilipino ang divorce decree at tanggapin ito ng mga awtoridad ng Pilipinas. Sed lex, dura lex. Sa kabila ng kalupitan nito, ang batas ay kung ano ito.</t>
  </si>
  <si>
    <t>If my spouse is confined to a mental hospital for years now, can I use that as a ground for annulment?</t>
  </si>
  <si>
    <t>An annulment can be granted for insanity, but this condition needs to have existed at the time of the marriage and be confirmed by cohabitation. It might also be used to bolster the claim of psychological incapacity, but among other conditions, it would have to be demonstrated to exist at the time of marriage and seem to be incurable. But please be aware that psychological incapacity is not the same as insanity.</t>
  </si>
  <si>
    <t>Kung ang aking asawa ay naka-confine sa isang mental hospital sa loob ng maraming taon, maaari ko bang gamitin iyon bilang isang ground para sa annulment?</t>
  </si>
  <si>
    <t>Maaaring magbigay ng annulment para sa pagkabaliw, ngunit ang kundisyong ito ay kailangang umiral sa panahon ng kasal at kumpirmahin sa pamamagitan ng pagsasama. Maaari rin itong gamitin upang palakasin ang pag-aangkin ng psychological incapacity, ngunit bukod sa iba pang mga kundisyon, kailangan itong ipakita na umiiral sa oras ng kasal at tila walang lunas. Ngunit mangyaring magkaroon ng kamalayan na ang psychological incapacity ay hindi katulad ng pagkabaliw.</t>
  </si>
  <si>
    <t>How much will I spend for a petition for annulment or a petition for declaration of nullity? How long does it take?</t>
  </si>
  <si>
    <t>The number of costs varies depending on the grounds used; for example, psychological incapacity is one of the grounds that is comparatively easier to prove than the others. It also depends on the lawyer's acceptance fee. A number of factors, such as the grounds cited, the court's docket, the judge's or the public prosecutor's availability, postponements, etc., affect how long the entire process takes. Put differently, there truly isn't a set price or amount of time.</t>
  </si>
  <si>
    <t>Magkano ang gagastusin ko para sa petition for annulment o petition for declaration of nullity? Gaano katagal ito?</t>
  </si>
  <si>
    <t>Ang bilang ng mga gastos ay nag-iiba depende sa mga batayan na ginamit; halimbawa, ang psychological incapacity ay isa sa mga dahilan na medyo madaling patunayan kaysa sa iba. Depende din sa acceptance fee ng abogado. Ang ilang mga kadahilanan, tulad ng mga batayan na binanggit, ang docket ng korte, ang pagiging available ng hukom o ang pampublikong tagausig, mga pagpapaliban, atbp., ay nakakaapekto sa kung gaano katagal ang buong proseso. Sa ibang paraan, talagang walang itinakdang presyo o tagal ng panahon.</t>
  </si>
  <si>
    <t>I believe that my marriage is null and void because my spouse had a previous marriage. What should I do to remove my marriage file at the National Statistics Office (NSO)?</t>
  </si>
  <si>
    <t>Since it is illegal to "remove" any official record from the NSO, no one could just do so. A court filing is required for a petition for annulment or declaration of nullity. Following a favourable ruling, the decree is registered with the relevant civil registries and the NSO.</t>
  </si>
  <si>
    <t>Naniniwala ako na ang aking kasal ay walang bisa dahil ang aking asawa ay nagkaroon ng nakaraang kasal. Ano ang dapat kong gawin para tanggalin ang aking marriage file sa National Statistics Office (NSO)?</t>
  </si>
  <si>
    <t>Dahil bawal ang "alisin" ang anumang opisyal na rekord mula sa NSO, walang sinuman ang maaaring gumawa nito. Ang paghahain ng korte ay kinakailangan para sa isang petisyon para sa pagpapawalang-bisa o pagdedeklara ng walang bisa. Kasunod ng isang paborableng desisyon, ang kautusan ay nakarehistro sa mga nauugnay na civil registries at sa NSO.</t>
  </si>
  <si>
    <t>I’m separated from my wife for years now. I recently learned that she got pregnant by another man. Can this be used as a ground for annulment? Can I have custody over our child?</t>
  </si>
  <si>
    <t>At most, adultery or a formal separation could be the result of infidelity rather than a reason for annulment. In terms of custody, the Supreme Court has previously decided that a parent cannot be granted custody of a child based solely on sexual infidelity.</t>
  </si>
  <si>
    <t>Hiwalay ako sa aking asawa sa loob ng maraming taon. Nalaman ko kamakailan na nabuntis siya ng ibang lalaki. Pwede ba itong gawing ground para sa annulment? Maaari ba akong magkaroon ng kustodiya sa aming anak?</t>
  </si>
  <si>
    <t>Sa karamihan, ang pangangalunya o isang pormal na paghihiwalay ay maaaring resulta ng pagtataksil sa halip na isang dahilan para sa pagpapawalang-bisa. Sa usapin ng kustodiya, ang Korte Suprema ay dati nang nagpasya na ang isang magulang ay hindi maaaring bigyan ng kustodiya ng isang bata batay lamang sa pagtataksil sa sekswal.</t>
  </si>
  <si>
    <t>What are the requirements for proving psychological incapacity?</t>
  </si>
  <si>
    <t>To successfully declare a marriage null and void due to psychological incapacity in the Philippines, specific criteria must be met. Firstly, the psychological incapacity must be deemed grave or serious. This means that the condition significantly impairs the spouse's ability to fulfill essential marital duties. Secondly, the incapacity must have been present at the time of the marriage, indicating that the challenging condition existed from the beginning. Thirdly, the incapacity must be deemed incurable, suggesting that efforts to address the psychological challenge are unlikely to succeed. Lastly, it is crucial that the incapacity is directly linked to the spouse's inability to fulfill essential marital obligations, establishing a clear connection between the psychological condition and the failure to meet marital responsibilities.</t>
  </si>
  <si>
    <t>Ano ang mga kinakailangan para sa pagpapatunay ng psychological incapacity?</t>
  </si>
  <si>
    <t>Upang matagumpay na maideklarang null and void ang kasal dahil sa psychological incapacity sa Pilipinas, dapat matugunan ang mga partikular na pamantayan. Una, ang psychological incapacity ay dapat ituring na malala o seryoso. Nangangahulugan ito na ang kundisyon ay makabuluhang nakapipinsala sa kakayahan ng asawa na tuparin ang mahahalagang tungkulin sa pag-aasawa. Pangalawa, ang kawalan ng kakayahan ay dapat na naroroon sa oras ng kasal, na nagpapahiwatig na ang mahirap na kalagayan ay umiral mula pa sa simula. Pangatlo, ang kawalan ng kakayahan ay dapat ituring na walang lunas, na nagmumungkahi na ang mga pagsisikap na tugunan ang sikolohikal na hamon ay malamang na hindi magtagumpay. Panghuli, napakahalaga na ang kawalan ng kakayahan ay direktang nauugnay sa kawalan ng kakayahan ng asawa na tuparin ang mga mahahalagang obligasyon sa pag-aasawa, na nagtatatag ng isang malinaw na koneksyon sa pagitan ng sikolohikal na kondisyon at ang kabiguan na matugunan ang mga responsibilidad ng mag-asawa.</t>
  </si>
  <si>
    <t>How can I gather evidence to prove psychological incapacity?</t>
  </si>
  <si>
    <t>There is evidence to support the existence of psychological incapacity from a variety of sources, including:
- Firsthand accounts from all relevant parties.
- Statements from close friends and relatives who have seen the spouse's actions.
- Medical or psychological assessments carried out by licenced experts.
- Documentary proof supporting the claim of psychological incapacity, such as letters, diaries, or photos.</t>
  </si>
  <si>
    <t>Paano ako makakalap ng ebidensya para patunayan ang psychological incapacity?</t>
  </si>
  <si>
    <t>Mayroong katibayan upang suportahan ang pagkakaroon ng sikolohikal na kawalan ng kakayahan mula sa iba't ibang mga mapagkukunan, kabilang ang:
- Mga firsthand account mula sa lahat ng nauugnay na partido.
- Mga pahayag mula sa malalapit na kaibigan at kamag-anak na nakakita sa mga aksyon ng asawa.
- Mga medikal o sikolohikal na pagtatasa na isinagawa ng mga lisensyadong eksperto.
- Dokumentaryo na patunay na sumusuporta sa pag-aangkin ng psychological incapacity, gaya ng mga sulat, diary, o mga larawan.</t>
  </si>
  <si>
    <t>What is the usual duration of a psychological incapacity case?</t>
  </si>
  <si>
    <t>A psychological incapacity case's duration can vary based on a number of variables, such as the case's complexity, court schedule, and evidence availability. The average time to resolve a case can range from one to three years or more.</t>
  </si>
  <si>
    <t>Ano ang karaniwang tagal ng isang kaso ng psychological incapacity?</t>
  </si>
  <si>
    <t>Maaaring mag-iba ang tagal ng kaso ng psychological incapacity batay sa ilang variable, gaya ng pagiging kumplikado ng kaso, iskedyul ng korte, at pagkakaroon ng ebidensya. Ang average na oras upang malutas ang isang kaso ay maaaring mula sa isa hanggang tatlong taon o higit pa.</t>
  </si>
  <si>
    <t>Where should I file a petition for nullity based on psychological incapacity?</t>
  </si>
  <si>
    <t>The Regional Trial Court (RTC) of the province or city where either the petitioner or the respondent resides is where the nullity based on psychological incapacity petition should be filed. To make sure that everything is filed correctly and that you are represented, it is best to consult with an experienced family law attorney.</t>
  </si>
  <si>
    <t>Saan ako dapat maghain ng petisyon para sa nullity batay sa psychological incapacity?</t>
  </si>
  <si>
    <t>Ang Regional Trial Court (RTC) ng lalawigan o lungsod kung saan naninirahan ang petitioner o ang respondent ay kung saan dapat isampa ang nullity based on psychological incapacity petition. Upang matiyak na ang lahat ay naihain nang tama at ikaw ay kinakatawan, pinakamahusay na kumunsulta sa isang may karanasan na abogado ng batas ng pamilya.</t>
  </si>
  <si>
    <t>How much does it cost to file a nullity case based on psychological incapacity?</t>
  </si>
  <si>
    <t>A nullity case based on psychological incapacity may be more or less expensive to file, depending on a number of variables such as the case's complexity, court costs, and attorney fees. The best course of action is to seek legal advice from Respicio &amp; Co. Law Firm, in order to obtain a precise cost estimation.</t>
  </si>
  <si>
    <t>Magkano ang magagastos sa pagsasampa ng kaso ng nullity base sa psychological incapacity?</t>
  </si>
  <si>
    <t>Ang isang nullity na kaso batay sa psychological incapacity ay maaaring mas mahal o mas murang isampa, depende sa ilang variable gaya ng pagiging kumplikado ng kaso, mga gastos sa korte, at mga bayad sa abogado. Ang pinakamahusay na paraan ng pagkilos ay ang humingi ng legal na payo mula sa Respicio &amp; Co. Law Firm, upang makakuha ng tumpak na pagtatantya ng gastos.</t>
  </si>
  <si>
    <t>My wife fooled me into marrying her. Prior to our marriage, she told me that she is a doctor and no sexual experience After our marriage, I found out the truth that she is not what she claims to be. Can I file a Petition for annulment on the ground of fraud?</t>
  </si>
  <si>
    <t>Niloko ako ng asawa ko para pakasalan siya. Bago ang aming kasal, sinabi niya sa akin na siya ay isang doktor at walang sekswal na karanasan Pagkatapos ng aming kasal, nalaman ko ang katotohanan na hindi siya ang sinasabi niya. Maaari ba akong maghain ng Petisyon para sa pagpapawalang-bisa sa batayan ng pandaraya?</t>
  </si>
  <si>
    <t>I would like to file the Petition in Cebu but I do not have residence there yet. My husband is not also living there. But I will be accepting
a job as call center manager in Cebu a month from now. Can I file the Petition in Cebu?</t>
  </si>
  <si>
    <t>It is possible to file the petition in Cebu, but you must first establish residency in the city for a minimum of six (6) months before doing so. You will be moving there for your new job assignment, so this can be arranged.</t>
  </si>
  <si>
    <t>I would like to file the Petition in Cebu but I do not have residence there yet. My husband is not also living there. Pero tatanggapin ko.
isang trabaho bilang call center manager sa Cebu isang buwan mula ngayon. Maaari ba akong maghain ng Petisyon sa Cebu?</t>
  </si>
  <si>
    <t>Posibleng maghain ng petisyon sa Cebu, ngunit kailangan mo munang magtatag ng paninirahan sa lungsod nang hindi bababa sa anim (6) na buwan bago ito gawin. Ikaw ay lilipat doon para sa iyong bagong takdang-aralin sa trabaho, kaya ito ay maaaring ayusin.</t>
  </si>
  <si>
    <t>I just found out that my husband was married before and I have obtained a marriage contract from the NSO to prove this. It was also confirmed when I confronted my husband about this. Do I still have to file a Petition? Can I also file a criminal case against my husband? Can his ex-wife file a criminal case against me? What is my defense, if any?</t>
  </si>
  <si>
    <t>Even though your marriage was void from the start, you must still file a petition in court to get a declaration of the complete nullity of your marriage. Indeed, you have the right to prosecute your husband for bigamy. Indeed, his ex-wife has the right to prosecute you and your husband for bigamy. However, your defence rests on either your ignorance of his previous marriage or your lack of criminal intent.</t>
  </si>
  <si>
    <t>Nalaman ko na lang na kasal na pala ang asawa ko dati at nakakuha ako ng marriage contract sa NSO para patunayan ito. Nakumpirma rin ito nang harapin ko ang aking asawa tungkol dito. Kailangan ko pa bang magsampa ng Petisyon? Maaari ba akong magsampa ng kasong kriminal laban sa aking asawa? Maaari bang magsampa ng kasong kriminal ang kanyang dating asawa laban sa akin? Ano ang aking depensa, kung mayroon man?</t>
  </si>
  <si>
    <t>Kahit na ang iyong kasal ay walang bisa sa simula, kailangan mo pa ring magsampa ng petisyon sa korte upang makakuha ng deklarasyon ng kumpletong walang bisa ng iyong kasal. Sa katunayan, may karapatan kang kasuhan ang iyong asawa para sa bigamy. Sa katunayan, ang kanyang dating asawa ay may karapatan na kasuhan kayo ng iyong asawa dahil sa bigamy. Gayunpaman, ang iyong depensa ay nakasalalay sa alinman sa iyong kamangmangan sa kanyang nakaraang kasal o sa iyong kawalan ng kriminal na layunin.</t>
  </si>
  <si>
    <t>What happens if I will get married without having my first marriage declared void?</t>
  </si>
  <si>
    <t>Being bigamous will render your second marriage void. Regretfully, you will have to deal with another criminal case related to bigamy.</t>
  </si>
  <si>
    <t>Ano ang mangyayari kung ikakasal ako nang hindi idineklara na walang bisa ang aking unang kasal?</t>
  </si>
  <si>
    <t>Ang pagiging bigamous ay magpapawalang-bisa sa iyong pangalawang kasal. Sa kasamaang palad, kailangan mong harapin ang isa pang kasong kriminal na may kaugnayan sa bigamy.</t>
  </si>
  <si>
    <t>Is there a time limit for me to file a Petition to declare the marriage void?</t>
  </si>
  <si>
    <t>The motion to nullify the marriage will not be allowed to proceed. Thus, you have the option to submit the petition at any point in your lifetime.</t>
  </si>
  <si>
    <t>Mayroon bang takdang oras para magsampa ako ng Petisyon para ideklarang walang bisa ang kasal?</t>
  </si>
  <si>
    <t>Ang mosyon para ipawalang-bisa ang kasal ay hindi papayagang magpatuloy. Kaya, mayroon kang opsyon na isumite ang petisyon sa anumang punto ng iyong buhay.</t>
  </si>
  <si>
    <t>My lawyer told me that my second marriage was void from the beginning. I totally disagreed because the Court has already issued a Decision declaring my first marriage void from the beginning. I also showed him the Court Decision and an Entry of Judgment from the same Court. But my lawyer still insists that my second marriage was void because I failed to obtain a final decree of annulment from the Court? Is my lawyer correct?</t>
  </si>
  <si>
    <t>Your lawyer is right, of course. We believe that you have not finished the requirements in order to lawfully enter into a second marriage. The Local Civil Registrar is where you should have brought the Court Decision and Entry of Judgement for recording. Marriage was noted in the record. You ought to have returned to the court after the recording to provide evidence that the court documents had already been entered into the Local Civil Registrar's database. Next, a Final Decree of Annulment will be issued by the Court. Your second marriage is null and void because you did not adhere to this procedure.</t>
  </si>
  <si>
    <t>Sinabi sa akin ng aking abogado na ang aking pangalawang kasal ay walang bisa sa simula. Lubos akong hindi sumang-ayon dahil ang Korte ay naglabas na ng Desisyon na nagdedeklara ng aking unang kasal na walang bisa mula sa simula. Ipinakita ko rin sa kanya ang Desisyon ng Korte at isang Entry of Judgement mula sa parehong Korte. Ngunit ang aking abogado ay iginigiit pa rin na ang aking pangalawang kasal ay walang bisa dahil ako ay nabigo upang makakuha ng isang pinal na decree ng annulment mula sa Korte? Tama ba ang aking abogado?</t>
  </si>
  <si>
    <t>Tama ang iyong abogado, siyempre. Naniniwala kami na hindi mo pa natapos ang mga kinakailangan upang legal na pumasok sa pangalawang kasal. Ang Local Civil Registrar ay kung saan mo dapat dinala ang Desisyon ng Korte at Pagpasok ng Paghuhukom para sa pagtatala. Ang kasal ay nabanggit sa talaan. Dapat ay bumalik ka sa hukuman pagkatapos ng pagtatala upang magbigay ng ebidensya na ang mga dokumento ng hukuman ay naipasok na sa database ng Local Civil Registrar. Susunod, isang Final Decree of Annulment ang ilalabas ng Korte. Ang iyong pangalawang kasal ay walang bisa dahil hindi ka sumunod sa pamamaraang ito.</t>
  </si>
  <si>
    <t>My girlfriend and I are planning to get married this June. But we have been living together as husband and wife for almost six (6) years now. Both of us are still single. I have heard that we do not need to apply for a marriage license. Is this correct?</t>
  </si>
  <si>
    <t>You are right, of course. A man and a woman who have lived together as husband and wife for at least five years and who are free to get married without facing any legal obstacles need not obtain a licence in order to get married. However, you and your girlfriend must sign an affidavit attesting to the truth of your circumstances and turn it in to the civil registrar in your community.</t>
  </si>
  <si>
    <t>Balak naming magpakasal ng girlfriend ko this June. Pero halos anim (6) na taon na kaming nagsasama bilang mag-asawa. Pareho pa kaming single. Narinig ko na hindi namin kailangang mag-aplay para sa lisensya sa kasal. Tama ba ito?</t>
  </si>
  <si>
    <t>Sa ilang mga hurisdiksyon, ang mga magkasintahan na nagkasama nang tulad ng mag-asawa at nagpaplano na magpakasal ay maaaring mayroon nang de facto marriage o common law marriage. Sa ilang mga lugar, ang common law marriage ay kinikilala bilang legal na pag-aasawa kahit na walang opisyal na seremonya ng kasal.
Gayunpaman, ang mga batas ukol sa common law marriage ay nag-iiba depende sa lokasyon. Maaari itong kinikilala sa ilang mga estado o bansa, subalit hindi sa iba. Kaya't kailangan mong suriin ang lokal na batas sa inyong lugar upang alamin kung kinikilala ang common law marriage at kung ano ang mga kinakailangang kondisyon para ito ay maging legal.
Kahit na kayo ay nagkasama nang matagal at nagpaplano na magpakasal, maaaring kailangan pa rin ninyong kumuha ng marriage license o iba pang dokumentasyon bago kayo magsagawa ng opisyal na seremonya ng kasal, depende sa lokal na regulasyon. Kung ikaw at ang iyong girlfriend ay may mga katanungan ukol dito, maaari kayong kumonsulta sa isang abogado o sa lokal na tanggapan ng civil registrar upang malinaw na malaman ang mga hakbang na kinakailangan para sa inyong kasal.</t>
  </si>
  <si>
    <t>I already had a falling out with my husband. Our marriage contract so states that we were issued a marriage license. I know for a fact that we did not apply for a marriage license. I also verified the marriage license number at the Local Civil Registrar of Manila if it was issued to us. But the local civil registrar of Manila told me that there is no such thing. Can I file Petition to declare my marriage void on this ground alone?</t>
  </si>
  <si>
    <t>Indeed, it is legal to declare a marriage void if there is no marriage licence. You can ask for a certification from the Manila local civil registrar stating that you have not received a marriage licence. This document must be presented in court as proof.</t>
  </si>
  <si>
    <t>Nagkaroon na ako ng pakikipagtalik sa aking asawa. Nakasaad sa marriage contract namin na nabigyan kami ng marriage license. I know for a fact na hindi kami nag-apply ng marriage license. I also verify the marriage license number sa Local Civil Registrar of Manila kung na-issue sa amin. Pero ang sabi sa akin ng local civil registrar ng Manila, wala daw ganoon. Maaari ba akong maghain ng Petisyon upang ideklarang walang bisa ang aking kasal sa kadahilanang ito lamang?</t>
  </si>
  <si>
    <t>Sa katunayan, legal na ideklara ang kasal na walang bisa kung walang lisensya sa kasal. Maaari kang humingi ng sertipikasyon mula sa Manila local civil registrar na nagsasaad na hindi ka pa nakatanggap ng marriage license. Ang dokumentong ito ay dapat iharap sa korte bilang patunay.</t>
  </si>
  <si>
    <t>What are the factors considered by the court in determining child custody arrangements? (age of children, needs, relationship with parents, living arrangements)</t>
  </si>
  <si>
    <t>When evaluating what is in a child's best interests when they are in legal trouble, the following elements may be taken into account: the child's age and gender; the child's mental and physical health; the parents' mental and physical health; their lifestyle and other social factors; the child's emotional attachment to the parents; the parents' ability to provide food, shelter, clothing, and medical care; the child's established routine regarding school, home, community, and religious institution; the quality of education; the presence of other relatives who might be better able to spend time with the child and the child's relationship with these relatives; the child's background, maturity and understanding, sexual orientation, lifestyle, and any other characteristics</t>
  </si>
  <si>
    <t>Ano ang mga salik na isinasaalang-alang ng korte sa pagtukoy ng mga kaayusan sa pangangalaga sa bata? (edad ng mga bata, pangangailangan, relasyon sa mga magulang, kaayusan sa pamumuhay)</t>
  </si>
  <si>
    <t>Kapag sinusuri kung ano ang para sa pinakamahusay na interes ng isang bata kapag sila ay nasa legal na problema, ang mga sumusunod na elemento ay maaaring isaalang-alang: ang edad at kasarian ng bata; mental at pisikal na kalusugan ng bata; mental at pisikal na kalusugan ng mga magulang; kanilang pamumuhay at iba pang mga salik sa lipunan; emosyonal na attachment ng bata sa mga magulang; kakayahan ng mga magulang na magbigay ng pagkain, tirahan, damit, at pangangalagang medikal; ang itinatag na gawain ng bata tungkol sa paaralan, tahanan, komunidad, at institusyong panrelihiyon; kalidad ng edukasyon; ang pagkakaroon ng iba pang mga kamag-anak na maaaring mas mahusay na makasama ang bata at ang relasyon ng bata sa mga kamag-anak na ito; background ng bata, kapanahunan at pag-unawa, oryentasyong sekswal, pamumuhay, at anumang iba pang katangian</t>
  </si>
  <si>
    <t>What are the different types of child custody arrangements in the Philippines? (sole custody, joint custody, visitation rights)</t>
  </si>
  <si>
    <t>Sole Custody: The child's sole physical and legal custody is shared by one parent. Joint Custody: The child's physical and/or legal custody is shared by both parents.</t>
  </si>
  <si>
    <t>Sole Custody: Ang nag-iisang pisikal at legal na custody ng bata ay pinagsasaluhan ng isang magulang. Joint Custody: Ang pisikal at/o legal na custody ng bata ay pinagsasaluhan ng parehong mga magulang.</t>
  </si>
  <si>
    <t>Can child custody arrangements be modified later if circumstances change?</t>
  </si>
  <si>
    <t>Child custody arrangements in the Philippines can be modified based on changes in circumstances. It is crucial to understand the relevant family laws and regulations, considering factors like the child's well-being, parental ability, financial support, moral character, and a stable home environment. Seeking legal advice is recommended to comprehend parental rights and responsibilities. While parents can negotiate custody changes through a jointly created parenting plan, court intervention may be necessary for formal modifications. Individualized legal counsel is essential due to the unique nature of each custody situation.</t>
  </si>
  <si>
    <t>Maaari bang baguhin ang mga kaayusan sa pag-iingat ng bata sa ibang pagkakataon kung magbago ang mga pangyayari?</t>
  </si>
  <si>
    <t>Ang mga kaayusan sa pag-iingat ng bata sa Pilipinas ay maaaring baguhin batay sa mga pagbabago sa mga pangyayari. Napakahalagang maunawaan ang mga nauugnay na batas at regulasyon ng pamilya, na isinasaalang-alang ang mga salik tulad ng kapakanan ng bata, kakayahan ng magulang, suportang pinansyal, moral na katangian, at isang matatag na kapaligiran sa tahanan. Ang paghingi ng legal na payo ay inirerekomenda upang maunawaan ang mga karapatan at responsibilidad ng magulang. Bagama't maaaring makipag-ayos ang mga magulang sa mga pagbabago sa kustodiya sa pamamagitan ng pinagsama-samang ginawang plano sa pagiging magulang, maaaring kailanganin ang interbensyon ng korte para sa mga pormal na pagbabago. Ang indibidwal na legal na tagapayo ay mahalaga dahil sa kakaibang katangian ng bawat sitwasyon sa pag-iingat.</t>
  </si>
  <si>
    <t>How is child support calculated and determined in the Philippines? (income of parents, needs of children, standard of living)</t>
  </si>
  <si>
    <t>The father's ability and the child's needs are taken into consideration by the court when determining the amount of child support, which is not calculated.</t>
  </si>
  <si>
    <t>Paano kinakalkula at tinutukoy ang suporta sa bata sa Pilipinas? (kita ng mga magulang, pangangailangan ng mga anak, antas ng pamumuhay)</t>
  </si>
  <si>
    <t>Ang kakayahan ng ama at ang mga pangangailangan ng bata ay isinasaalang-alang ng korte kapag tinutukoy ang halaga ng suporta sa bata, na hindi kinakalkula.</t>
  </si>
  <si>
    <t>Who is responsible for paying child support?</t>
  </si>
  <si>
    <t>It is typically paid to the custodial parent by the non-custodial parent, but in cases where another person (such as a relative) has custody of the child, it may also be paid by both parents.</t>
  </si>
  <si>
    <t>Sino ang may pananagutan sa pagbabayad ng suporta sa bata?</t>
  </si>
  <si>
    <t>Karaniwan itong binabayaran sa magulang na nag-aalaga ng hindi nag-aalaga na magulang, ngunit sa mga kaso kung saan ang ibang tao (gaya ng kamag-anak) ay may kustodiya ng bata, maaari rin itong bayaran ng parehong mga magulang.</t>
  </si>
  <si>
    <t>Can child support be modified later if circumstances change, like income loss or remarriage?</t>
  </si>
  <si>
    <t>Ang suporta ay hindi static at maaaring baguhin batay sa iba't ibang mga kadahilanan tulad ng kakayahan sa pananalapi ng magulang, mga pangangailangan ng bata, at anumang pagbabago sa mga pangyayari. Ang mga pagbabagong ito ay maaaring ayusin nang pribado, o kung may mga hindi pagkakasundo, maaaring humingi ng desisyon ng korte para sa naaangkop na pagsasaayos.</t>
  </si>
  <si>
    <t>Maaari bang baguhin ang suporta sa bata sa ibang pagkakataon kung magbago ang mga pangyayari, tulad ng pagkawala ng kita o muling pag-aasawa?</t>
  </si>
  <si>
    <t>Ang suporta ay hindi static at maaaring baguhin batay sa iba pang mga kadahilanan tulad ng kakayahan sa pananalapi ng magulang, mga pangangailangan ng bata, at anumang pagbabago sa mga pangyayari. Ang mga pagbabagong ito ay maaaring ayusin nang pribado, o kung may mga hindi pagkakasundo, maaaring humingi ng desisyon ng korte para sa maayos na pagsasaayos.</t>
  </si>
  <si>
    <t>What legal recourse is available if a parent fails to pay child support?</t>
  </si>
  <si>
    <t>If child support is not paid, there may be legal ramifications. You can bring a civil lawsuit against the parent who is not meeting their obligations. Moreover, depending on the specifics, abandonment may result in criminal charges under the Revised Penal Code.</t>
  </si>
  <si>
    <t>Anong legal na paraan ang magagamit kung ang isang magulang ay hindi nagbabayad ng suporta sa bata?</t>
  </si>
  <si>
    <t>Kung hindi binabayaran ang suporta sa bata, maaaring may mga legal na epekto. Maaari kang magsampa ng kasong sibil laban sa magulang na hindi nakakatugon sa kanilang mga obligasyon. Bukod dito, depende sa mga detalye, ang pag-abandona ay maaaring magresulta sa mga kasong kriminal sa ilalim ng Binagong Kodigo Penal.</t>
  </si>
  <si>
    <t>My ex-partner and I share joint custody of our two children, but they are constantly trying to limit my visitation time. What can I do?</t>
  </si>
  <si>
    <t>To address the issue of your ex-partner consistently limiting your visitation time with your children, it is crucial to maintain a detailed record of each incident, noting dates, times, and any relevant communications. This documentation will serve as essential evidence in demonstrating the pattern of interference. Seeking legal advice from a family law specialist is recommended to understand your rights and options within the context of Philippine family laws. If informal resolution methods prove unsuccessful, court intervention may be necessary. A legal professional can guide you through the process of returning to court to either enforce the existing custody agreement or seek a modification based on the best interests of the child. The court will carefully consider these factors when making decisions related to custody arrangements.</t>
  </si>
  <si>
    <t>Ang aking dating kasosyo at ako ay nagbabahagi ng magkasanib na pangangalaga sa aming dalawang anak, ngunit patuloy nilang sinusubukang limitahan ang oras ng aking pagbisita. Ano angmagagawa ko?</t>
  </si>
  <si>
    <t>Upang matugunan ang isyu ng iyong dating kasosyo na patuloy na nililimitahan ang iyong oras ng pagbisita sa iyong mga anak, napakahalagang magpanatili ng isang detalyadong talaan ng bawat insidente, paglalagay ng mga petsa, oras, at anumang nauugnay na komunikasyon. Ang dokumentasyong ito ay magsisilbing mahalagang ebidensya sa pagpapakita ng pattern ng panghihimasok. Ang paghingi ng legal na payo mula sa isang espesyalista sa batas ng pamilya ay inirerekomenda upang maunawaan ang iyong mga karapatan at mga opsyon sa loob ng konteksto ng mga batas ng pamilya sa Pilipinas. Kung mapatunayang hindi matagumpay ang mga pamamaraan ng impormal na pagresolba, maaaring kailanganin ang interbensyon ng korte. Maaaring gabayan ka ng isang legal na propesyonal sa proseso ng pagbabalik sa hukuman upang ipatupad ang umiiral na kasunduan sa pag-iingat o humingi ng pagbabago batay sa pinakamahusay na interes ng bata. Maingat na isasaalang-alang ng korte ang mga salik na ito kapag gumagawa ng mga desisyon na may kaugnayan sa mga kaayusan sa pag-iingat.</t>
  </si>
  <si>
    <t>My income has significantly decreased since our annulment, can I request a reduction in child support payments?</t>
  </si>
  <si>
    <t>Any parent may ask the court to modify the child support obligations in the event that one or both of their parents' financial situations change. If the other parent agrees, there are two main ways to lower child support payments: either way, you can file a petition with the court for a formal reduction, or you can try to reach a voluntary agreement. Parents can make sure that child support arrangements are in line with their current circumstances and address changes in their financial situation by using these processes.</t>
  </si>
  <si>
    <t>Ang aking kita ay makabuluhang nabawasan mula noong aming diborsiyo, maaari ba akong humiling ng pagbawas sa mga pagbabayad ng suporta sa bata?</t>
  </si>
  <si>
    <t>Maaaring hilingin ng sinumang magulang sa korte na baguhin ang mga obligasyon sa suporta sa bata kung sakaling magbago ang isa o pareho sa mga sitwasyong pinansyal ng kanilang mga magulang. Kung sumang-ayon ang ibang magulang, mayroong dalawang pangunahing paraan upang mapababa ang mga pagbabayad ng suporta sa bata: alinman sa paraan, maaari kang maghain ng petisyon sa korte para sa isang pormal na pagbawas, o maaari mong subukang makipagkasundo sa isang boluntaryong kasunduan. Maaaring tiyakin ng mga magulang na ang mga kaayusan sa suporta sa bata ay naaayon sa kanilang kasalukuyang mga kalagayan at tinutugunan ang mga pagbabago sa kanilang sitwasyon sa pananalapi sa pamamagitan ng paggamit ng mga prosesong ito.</t>
  </si>
  <si>
    <t>My ex-partner wants to relocate with our children to another country. Can I prevent this?</t>
  </si>
  <si>
    <t>You can take specific measures to stop your ex-partner from moving abroad with your child if you are worried that they plan to do so without your consent. Since both parents must sign the passport application in order for it to be issued, you can initially decline to sign it. Furthermore, you can apply for a Prohibited Steps Order (PSO) in the Family Court. A parent is prohibited by this legal order from moving abroad or engaging in other activities without the necessary authorization because of shared parental responsibility. You can seek legal protection by taking these steps to stop the child from being taken out of the jurisdiction without permission.</t>
  </si>
  <si>
    <t>Gusto ng aking dating kasosyo na lumipat kasama ang aming mga anak sa ibang bansa. Maaari ko bang maiwasan ito?</t>
  </si>
  <si>
    <t>Maaari kang gumawa ng mga partikular na hakbang upang pigilan ang iyong dating kasosyo sa paglipat sa ibang bansa kasama ang iyong anak kung nag-aalala ka na plano nilang gawin ito nang wala ang iyong pahintulot. Dahil ang parehong mga magulang ay dapat pumirma sa aplikasyon ng pasaporte upang ito ay maibigay, maaari mo munang tanggihan ang pagpirma nito. Higit pa rito, maaari kang mag-aplay para sa isang Prohibited Steps Order (PSO) sa Family Court. Ang isang magulang ay ipinagbabawal ng legal na kautusang ito na lumipat sa ibang bansa o gumawa ng iba pang aktibidad nang walang kinakailangang pahintulot dahil sa kabahaging responsibilidad ng magulang. Maaari kang humingi ng legal na proteksyon sa pamamagitan ng pagsasagawa ng mga hakbang na ito upang pigilan ang bata na maalis sa hurisdiksyon nang walang pahintulot.</t>
  </si>
  <si>
    <t>I have remarried and my new spouse wants to adopt my children. How can we achieve this?</t>
  </si>
  <si>
    <t>Consent: Unless one parent has legally lost their parental rights, the adoption of a child normally requires the consent of both biological parents. Exception: The court may move forward with adoption without the consent of a parent if they have lost or abandoned their parental rights.</t>
  </si>
  <si>
    <t>Nag-asawa akong muli at gusto ng aking bagong asawa na ampunin ang aking mga anak. Paano natin ito makakamit?</t>
  </si>
  <si>
    <t>Pahintulot: Maliban kung ang isang magulang ay legal na nawala ang kanilang mga karapatan ng magulang, ang pag-aampon ng isang bata ay karaniwang nangangailangan ng pahintulot ng parehong biyolohikal na mga magulang. Exception: Maaaring sumulong ang korte sa pag-aampon nang walang pahintulot ng magulang kung nawala o inabandona nila ang kanilang mga karapatan ng magulang.</t>
  </si>
  <si>
    <t>My child is now a teenager and wants to live with me full-time. Can they make this decision on their own?</t>
  </si>
  <si>
    <t>In the Philippines, there is no specific age at which a child can independently decide which parent they want to live with. The court considers the child's material and moral well-being when awarding custody, and the weight given to the child's views depends on their maturity. Despite this, the 'best interests' of the children are prioritized in family law. The court's focus is on determining what is in the best interest of the children, emphasizing their welfare over the preferences of the parents.</t>
  </si>
  <si>
    <t>Ang aking anak ay tinedyer na ngayon at gustong makasama ko ng full-time. Kaya ba nilang mag-isa ang desisyong ito?</t>
  </si>
  <si>
    <t>Sa Pilipinas, walang tiyak na edad kung saan ang isang bata ay makapag-iisa na makapagpasya kung sinong magulang ang gusto nilang makasama. Isinasaalang-alang ng korte ang materyal at moral na kapakanan ng bata kapag nagbibigay ng kustodiya, at ang bigat na ibinibigay sa mga pananaw ng bata ay nakasalalay sa kanilang kapanahunan. Sa kabila nito, inuuna sa batas ng pamilya ang 'best interest' ng mga bata. Ang pokus ng korte ay sa pagtukoy kung ano ang pinakamabuting interes ng mga bata, na binibigyang-diin ang kanilang kapakanan kaysa sa mga kagustuhan ng mga magulang.</t>
  </si>
  <si>
    <t>My ex-partner is in a new relationship, and I'm concerned about the well-being of our children. Can I take legal action?</t>
  </si>
  <si>
    <t>Seek legal counsel if you believe that your child's safety is in danger or if there are significant doubts about your ex-partner's suitability as a parent. To get a formal custody agreement or to change current arrangements while keeping your child's best interests in mind, you might need to go before a family court.</t>
  </si>
  <si>
    <t>Ang aking dating kasosyo ay nasa isang bagong relasyon, at nag-aalala ako tungkol sa kapakanan ng aming mga anak. Maaari ba akong gumawa ng legal na aksyon?</t>
  </si>
  <si>
    <t>Humingi ng legal na payo kung naniniwala kang nasa panganib ang kaligtasan ng iyong anak o kung may malaking pagdududa tungkol sa pagiging angkop ng iyong dating kapareha bilang magulang. Upang makakuha ng isang pormal na kasunduan sa pag-iingat o upang baguhin ang mga kasalukuyang pagsasaayos habang iniisip ang pinakamabuting interes ng iyong anak, maaaring kailanganin mong pumunta sa korte ng pamilya.</t>
  </si>
  <si>
    <t>What are the legal rights of grandparents and other family members regarding child custody and visitation?</t>
  </si>
  <si>
    <t>Under the Family Code, grandparents may still be allowed visitation rights even though they may not automatically be awarded custody of their grandchildren. The law acknowledges that a child has the right to see his or her grandparents on a regular basis, provided that the visits serve the child's best interests.</t>
  </si>
  <si>
    <t>Ano ang mga legal na karapatan ng mga lolo't lola at iba pang miyembro ng pamilya tungkol sa pangangalaga at pagbisita sa bata?</t>
  </si>
  <si>
    <t>Sa ilalim ng Family Code, ang mga lolo't lola ay maaari pa ring payagan ang mga karapatan sa pagbisita kahit na hindi sila maaaring awtomatikong mabigyan ng kustodiya ng kanilang mga apo. Kinikilala ng batas na ang isang bata ay may karapatan na makita ang kanyang mga lolo't lola nang regular, sa kondisyon na ang mga pagbisita ay nagsisilbi para sa pinakamahusay na interes ng bata.</t>
  </si>
  <si>
    <t>How can domestic violence or substance abuse issues affect child custody arrangements?</t>
  </si>
  <si>
    <t>Under Philippine family law, a parent may lose custody rights in situations involving domestic violence or drug abuse. If a parent is accused of domestic abuse and the court determines that they pose a risk to the child or the other parent, the parent may be denied custody. If a parent is found to be abusing drugs, which is frequently linked to domestic violence, they may lose their custody rights. The child's best interests, with an emphasis on preserving their physical and mental health, are the court's top priority. The court gives careful consideration to any factors that might endanger the child when deciding on custody arrangements. In cases like these, getting legal advice is crucial to ensuring the welfare of the child is protected.</t>
  </si>
  <si>
    <t>Paano makakaapekto ang karahasan sa tahanan o mga isyu sa pag-abuso sa droga sa mga kaayusan sa pag-iingat ng bata?</t>
  </si>
  <si>
    <t>Sa ilalim ng batas ng pamilya ng Pilipinas, maaaring mawalan ng karapatan sa pangangalaga ang magulang sa mga sitwasyong may kinalaman sa karahasan sa tahanan o pag-abuso sa droga. Kung ang isang magulang ay inakusahan ng pang-aabuso sa tahanan at napagpasyahan ng korte na nagdudulot sila ng panganib sa bata o sa ibang magulang, maaaring tanggihan ang magulang ng kustodiya. Kung ang isang magulang ay napatunayang umaabuso sa droga, na kadalasang nauugnay sa karahasan sa tahanan, maaaring mawala sa kanila ang kanilang mga karapatan sa pangangalaga. Ang pinakamabuting interes ng bata, na may diin sa pangangalaga sa kanilang pisikal at mental na kalusugan, ang pangunahing priyoridad ng korte. Ang hukuman ay nagbibigay ng maingat na pagsasaalang-alang sa anumang mga salik na maaaring magsapanganib sa bata kapag nagpapasya sa mga kaayusan sa kustodiya. Sa mga ganitong kaso, ang pagkuha ng legal na payo ay napakahalaga upang matiyak na ang kapakanan ng bata ay protektado.</t>
  </si>
  <si>
    <t>What resources are available to parents experiencing conflict or challenges related to child custody and support?</t>
  </si>
  <si>
    <t>In the Philippines, the Department of Social Welfare and Development (DSWD) plays a crucial role in assisting mothers seeking child support from fathers. The DSWD can support mothers in demanding child support from fathers who are unwilling to provide it. In cases where a father refuses to contribute to child support, the DSWD can escalate the matter to the Public Attorney's Office (PAO), which can handle the case and assist mothers in filing legal actions. The Department of Justice is another avenue that can facilitate the process of claiming child support. Additionally, private law firms specializing in family law are available to assist in child custody cases. Moreover, the Solo Parents' Welfare Act of 2000 (RA 8972) provides benefits for single parents, offering support and recognition for those raising children on their own.</t>
  </si>
  <si>
    <t>Anong mga mapagkukunan ang magagamit sa mga magulang na nakakaranas ng salungatan o mga hamon na nauugnay sa pangangalaga at suporta sa bata?</t>
  </si>
  <si>
    <t>Sa Pilipinas, ang Department of Social Welfare and Development (DSWD) ay gumaganap ng isang mahalagang papel sa pagtulong sa mga ina na naghahanap ng suporta sa anak mula sa mga ama. Maaaring suportahan ng DSWD ang mga ina sa paghingi ng suporta sa anak mula sa mga ama na ayaw magbigay nito. Sa mga kaso kung saan ang isang ama ay tumangging mag-ambag sa suporta sa bata, ang DSWD ay maaaring idulog ang usapin sa Public Attorney's Office (PAO), na maaaring humawak sa kaso at tumulong sa mga ina sa pagsasampa ng mga legal na aksyon. Ang Kagawaran ng Hustisya ay isa pang paraan na maaaring mapadali ang proseso ng pag-claim ng suporta sa bata. Bukod pa rito, ang mga pribadong law firm na nagdadalubhasa sa batas ng pamilya ay magagamit upang tumulong sa mga kaso ng pag-iingat ng bata. Bukod dito, ang Solo Parents' Welfare Act of 2000 (RA 8972) ay nagbibigay ng mga benepisyo para sa mga solong magulang, na nag-aalok ng suporta at pagkilala para sa mga nagpapalaki ng mga anak sa kanilang sarili.</t>
  </si>
  <si>
    <t>Can mediation or arbitration be used to resolve child custody disputes outside of court?</t>
  </si>
  <si>
    <t>In the Philippines, there are alternative dispute resolution mechanisms aimed at resolving legal matters outside traditional court proceedings. Court-Annexed Mediation (CAM) is a voluntary process facilitated by the Philippine Mediation Center (PMC) Unit under court supervision, often used for settling disputes, including aspects like child custody. Judicial Dispute Resolution (JDR) involves judges using conciliation, mediation, or early neutral evaluation to resolve cases during the pre-trial stage. The Alternative Dispute Resolution Act of 2004 institutionalizes a broader spectrum of processes, collectively known as Alternative Dispute Resolution (ADR), which includes arbitration, mediation, conciliation, early neutral evaluation, mini-trial, or a combination of these methods. These ADR mechanisms offer parties more flexible and collaborative avenues for resolving legal disputes in the Philippines.</t>
  </si>
  <si>
    <t>Maaari bang gamitin ang pamamagitan o arbitrasyon upang malutas ang mga hindi pagkakaunawaan sa pangangalaga ng bata sa labas ng hukuman?</t>
  </si>
  <si>
    <t>Sa Pilipinas, may mga alternatibong mekanismo sa pagresolba ng hindi pagkakaunawaan na naglalayong lutasin ang mga legal na usapin sa labas ng tradisyonal na paglilitis sa korte. Ang Court-Annexed Mediation (CAM) ay isang boluntaryong proseso na pinadali ng Philippine Mediation Center (PMC) Unit sa ilalim ng pangangasiwa ng korte, na kadalasang ginagamit para sa pag-aayos ng mga hindi pagkakaunawaan, kabilang ang mga aspeto tulad ng child custody. Ang Judicial Dispute Resolution (JDR) ay kinasasangkutan ng mga hukom na gumagamit ng conciliation, mediation, o maagang neutral na pagsusuri upang malutas ang mga kaso sa yugto ng pre-trial. Ang Alternative Dispute Resolution Act of 2004 ay naglalagay ng mas malawak na spectrum ng mga proseso, na pinagsama-samang kilala bilang Alternative Dispute Resolution (ADR), na kinabibilangan ng arbitrasyon, pamamagitan, pagkakasundo, maagang neutral na pagsusuri, mini-trial, o kumbinasyon ng mga pamamaraang ito. Ang mga mekanismo ng ADR na ito ay nag-aalok sa mga partido ng mas nababaluktot at magkatuwang na mga paraan para sa paglutas ng mga legal na hindi pagkakaunawaan sa Pilipinas.</t>
  </si>
  <si>
    <t>What are the legal consequences of neglecting or abandoning a child?</t>
  </si>
  <si>
    <t>Section 2 Art. 276 of Revised Penal Code . Abandoning a minor. - Anyone who abandons [a child under seven years of age] A MINOR, of whom he is required to provide custody, faces the penalty of arresfo mayor and a fine not to exceed five hundred pesos (Php 500.00).</t>
  </si>
  <si>
    <t>Ano ang mga legal na kahihinatnan ng pagpapabaya o pag-abandona sa isang bata?</t>
  </si>
  <si>
    <t>Seksyon 2 Art. 276 ng Binagong Kodigo Penal . Pag-abandona sa isang menor de edad. - Ang sinumang mag-abandona sa [isang batang wala pang pitong taong gulang] Isang MINOR, kung saan siya ay kinakailangang magbigay ng kustodiya, ay nahaharap sa parusa ng arresfo mayor at multang hindi hihigit sa limang daang piso (Php 500.00).</t>
  </si>
  <si>
    <t>What happens if parents neglect their responsibilities towards their child, like providing essential needs or maintaining contact?</t>
  </si>
  <si>
    <t>The State, acting as parens patriae (Latin for "parent of the nation"), may intervene in family affairs in cases of neglect or abuse. Parents who fail to meet their constitutional obligations may find themselves facing legal repercussions, including the loss of parental authority. Parens patriae signifies the state's authority to act as a guardian for those unable to protect their own interests, especially in situations where the well-being of individuals, such as children, is at risk due to parental neglect or abuse.</t>
  </si>
  <si>
    <t>Ano ang mangyayari kung napapabayaan ng mga magulang ang kanilang mga responsibilidad sa kanilang anak, tulad ng pagbibigay ng mahahalagang pangangailangan o pagpapanatili ng pakikipag-ugnayan?</t>
  </si>
  <si>
    <t>Ang Estado, na kumikilos bilang parens patriae (Latin para sa "magulang ng bansa"), ay maaaring makialam sa mga gawain ng pamilya sa mga kaso ng pagpapabaya o pang-aabuso. Ang mga magulang na hindi nakakatugon sa kanilang mga obligasyon sa konstitusyon ay maaaring nahaharap sa mga legal na epekto, kabilang ang pagkawala ng awtoridad ng magulang. Ang parens patriae ay nagpapahiwatig ng awtoridad ng estado na kumilos bilang isang tagapag-alaga para sa mga hindi kayang protektahan ang kanilang sariling mga interes, lalo na sa mga sitwasyon kung saan ang kapakanan ng mga indibidwal, tulad ng mga bata, ay nasa panganib dahil sa pagpapabaya o pang-aabuso ng magulang.</t>
  </si>
  <si>
    <t>Can unmarried parents share legal custody and child support responsibilities?</t>
  </si>
  <si>
    <t>Unmarried parents have the option to jointly pursue and obtain legal custody of their child, provided they can reach a mutual agreement on the terms involved. Alternatively, one of the parents may seek sole legal custody, enabling them to make all decisions for the child independently, without the need for input or approval from the other parent.</t>
  </si>
  <si>
    <t>Maaari bang ibahagi ng mga walang asawang magulang ang legal na pag-iingat at mga responsibilidad sa pagsuporta sa anak?</t>
  </si>
  <si>
    <t>Ang mga walang asawang magulang ay may opsyon na magkasamang ituloy at makuha ang legal na pag-iingat ng kanilang anak, basta't maaari silang magkasundo sa mga tuntuning kasangkot. Bilang kahalili, ang isa sa mga magulang ay maaaring humingi ng nag-iisang legal na pag-iingat, na nagbibigay-daan sa kanila na gawin ang lahat ng mga desisyon para sa bata nang nakapag-iisa, nang hindi nangangailangan ng input o pag-apruba mula sa ibang magulang.</t>
  </si>
  <si>
    <t>What are the legal provisions for international custody arrangements when parents reside in different countries?</t>
  </si>
  <si>
    <t>International child custody arrangements, when parents reside in different countries, are governed by various legal provisions. The 1980 Hague Convention on the Civil Aspects of International Child Abduction is a crucial international agreement adopted by the community, offering remedies if a child is taken across borders without the consent of one parent. In the Philippines, the Philippine Family Code and the Supreme Court's Rule on Child Custody provide guidelines for custody decisions, prioritizing the best interest of the child. Additionally, court-annexed mediation (CAM) and judicial dispute resolution (JDR) are processes under court supervision for dispute settlement. The Alternative Dispute Resolution Act of 2004 further institutionalizes the use of alternative methods, collectively known as Alternative Dispute Resolution (ADR), within the Philippine legal system.</t>
  </si>
  <si>
    <t>Ano ang mga legal na probisyon para sa mga internasyonal na kaayusan sa pangangalaga kapag ang mga magulang ay naninirahan sa iba't ibang bansa?</t>
  </si>
  <si>
    <t>Ang mga internasyonal na kaayusan sa pag-iingat ng bata, kapag ang mga magulang ay naninirahan sa iba't ibang bansa, ay pinamamahalaan ng iba't ibang mga legal na probisyon. Ang 1980 Hague Convention on the Civil Aspects of International Child Abduction ay isang mahalagang internasyonal na kasunduan na pinagtibay ng komunidad, na nag-aalok ng mga remedyo kung ang isang bata ay dadalhin sa mga hangganan nang walang pahintulot ng isang magulang. Sa Pilipinas, ang Philippine Family Code at ang Supreme Court's Rule on Child Custody ay nagbibigay ng mga alituntunin para sa mga desisyon sa custody, na inuuna ang pinakamahusay na interes ng bata. Bukod pa rito, ang court-annexed mediation (CAM) at judicial dispute resolution (JDR) ay mga proseso sa ilalim ng pangangasiwa ng korte para sa hindi pagkakaunawaan. Ang Alternative Dispute Resolution Act of 2004 ay higit na nagpapatibay sa paggamit ng mga alternatibong pamamaraan, na pinagsama-samang kilala bilang Alternative Dispute Resolution (ADR), sa loob ng sistemang legal ng Pilipinas.</t>
  </si>
  <si>
    <t>Can children express their preferences regarding custody with the court? At what age are their opinions given significant weight?</t>
  </si>
  <si>
    <t>In the Philippines, the age of a child can play a role in custody decisions, allowing children above a specified age to express their preferences. However, it's important to note that the child's preference is not the sole determining factor in custody matters.Courts generally consider the wishes of a child who is above 7 years old in custody battles, although they are not bound to abide by the child's preference</t>
  </si>
  <si>
    <t>Maaari bang ipahayag ng mga bata ang kanilang mga kagustuhan tungkol sa kustodiya sa korte? Sa anong edad binibigyan ng makabuluhang timbang ang kanilang mga opinyon?</t>
  </si>
  <si>
    <t>Sa Pilipinas, ang edad ng isang bata ay maaaring gumanap ng isang papel sa mga desisyon sa pag-iingat, na nagpapahintulot sa mga bata na higit sa isang tinukoy na edad na ipahayag ang kanilang mga kagustuhan. Gayunpaman, mahalagang tandaan na ang kagustuhan ng bata ay hindi ang tanging salik sa pagtukoy sa mga usapin sa pag-iingat. Karaniwang isinasaalang-alang ng mga korte ang kagustuhan ng isang bata na higit sa 7 taong gulang sa mga laban sa pag-iingat, bagama't hindi sila nakatakdang sumunod sa kagustuhan ng bata</t>
  </si>
  <si>
    <t>How are cultural and religious considerations factored into child custody decisions?</t>
  </si>
  <si>
    <t>Cultural aspects are recognized in the Family Code of the Philippines, which generally leans towards granting custody to the mother for children under the age of seven. However, custody may be awarded to the father if it is proven that the mother is unfit, with considerations including the parents' ability to meet the child's needs, their moral character, and the child's preferences. Religious considerations are outlined in the Child and Youth Welfare Code (P.D. No. 603), emphasizing the provision of religious training while respecting the child's or parents' religious affiliation or expressed preferences. Parents with custody have the authority to decide on various aspects, including care, education, health, and religion.</t>
  </si>
  <si>
    <t>Paano isinasaalang-alang ang kultura at relihiyon sa mga desisyon sa pangangalaga sa bata?</t>
  </si>
  <si>
    <t>Ang mga aspetong pangkultura ay kinikilala sa Family Code of the Philippines, na karaniwang nakahilig sa pagbibigay ng kustodiya sa ina para sa mga batang wala pang pitong taong gulang. Gayunpaman, maaaring igawad ang kustodiya sa ama kung mapatunayang hindi karapat-dapat ang ina, na may mga pagsasaalang-alang kasama ang kakayahan ng mga magulang na tugunan ang mga pangangailangan ng bata, ang kanilang moral na katangian, at ang mga kagustuhan ng bata. Ang mga pagsasaalang-alang sa relihiyon ay nakabalangkas sa Child and Youth Welfare Code (P.D. No. 603), na binibigyang-diin ang probisyon ng relihiyosong pagsasanay habang iginagalang ang relihiyon ng bata o mga magulang o ipinahayag na mga kagustuhan. Ang mga magulang na may kustodiya ay may awtoridad na magpasya sa iba't ibang aspeto, kabilang ang pangangalaga, edukasyon, kalusugan, at relihiyon.</t>
  </si>
  <si>
    <t>My ex-partner has a history of mental health issues, but insists on shared custody. What are my options for protecting my child's well-being?</t>
  </si>
  <si>
    <t>Supervised visitation may be implemented if a parent's mental illness significantly hampers their ability to create a safe environment for the child. Tips for successful co-parenting and joint custody include fostering open communication, developing a parenting plan, coordinating logistics for events and special occasions, sharing vital information about schedules and health, and maintaining a respectful tone. Advocating for education within the legal system on parental mental illness and enabling parent-child visitation during psychiatric hospitalization are recommended. It is emphasized that successful co-parenting requires separating the personal relationship with the ex-partner from the co-parenting relationship, focusing solely on the well-being of the children.</t>
  </si>
  <si>
    <t>Ang aking dating kapareha ay may kasaysayan ng mga isyu sa kalusugan ng isip, ngunit iginigiit ang nakabahaging pangangalaga. Ano ang aking mga opsyon para sa pagprotekta sa kapakanan ng aking anak?</t>
  </si>
  <si>
    <t>Ang pinangangasiwaang pagbisita ay maaaring ipatupad kung ang sakit sa pag-iisip ng magulang ay lubos na humahadlang sa kanilang kakayahang lumikha ng ligtas na kapaligiran para sa bata. Kasama sa mga tip para sa matagumpay na co-parenting at joint custody ang pagpapaunlad ng bukas na komunikasyon, pagbuo ng plano sa pagiging magulang, pag-coordinate ng logistik para sa mga kaganapan at espesyal na okasyon, pagbabahagi ng mahahalagang impormasyon tungkol sa mga iskedyul at kalusugan, at pagpapanatili ng isang magalang na tono. Ang pagtataguyod para sa edukasyon sa loob ng legal na sistema sa sakit sa pag-iisip ng magulang at pagpapagana ng pagbisita ng magulang-anak sa panahon ng psychiatric na ospital ay inirerekomenda. Binibigyang-diin na ang matagumpay na co-parenting ay nangangailangan ng paghihiwalay ng personal na relasyon sa dating partner mula sa co-parenting relationship, na nakatuon lamang sa kapakanan ng mga bata.</t>
  </si>
  <si>
    <t>We share custody, but my ex-partner refuses to contribute their share of child support. Can I take legal action to enforce the agreement?</t>
  </si>
  <si>
    <t>If the parent obligated to provide financial support neglects their responsibility, the custodial parent has the option to pursue legal actions to ensure compliance. This may entail initiating a court petition to enforce the support obligation.</t>
  </si>
  <si>
    <t>Magkabahagi kami ng kustodiya, ngunit ang aking dating kasosyo ay tumangging mag-ambag ng kanilang bahagi ng suporta sa bata. Maaari ba akong gumawa ng legal na aksyon upang maipatupad ang kasunduan?</t>
  </si>
  <si>
    <t>Kung ang magulang na obligado na magbigay ng suportang pinansyal ay pinabayaan ang kanilang responsibilidad, ang magulang ng kustodiya ay may opsyon na magsagawa ng mga legal na aksyon upang matiyak ang pagsunod. Maaaring kailanganin nito ang pagsisimula ng petisyon sa korte upang ipatupad ang obligasyon sa suporta.</t>
  </si>
  <si>
    <t>My child has special needs requiring specific care and resources. How can I ensure their needs are met within the custody arrangement?</t>
  </si>
  <si>
    <t>The Foster Care Act of 2012 (Republic Act No. 10165) ensures that children facing neglect, abuse, abandonment, sociocultural difficulties, or special needs are provided with an alternative family offering love, care, and opportunities for growth. The Parent Effectiveness Service Program Act (Republic Act No. 11908) mandates the establishment of a program to enhance parental involvement in children's development and learning. The Child and Youth Welfare Code (P.D. No. 603) emphasizes religious training for children in custody, considering their religious affiliation or expressed wishes. Locally, identify institutions and professionals supporting children with special needs. To obtain custody in the Philippines, a legal petition must be filed, and the court will determine custody based on the child's best interests, evaluating both parents' capabilities in moral, social, and economic aspects.</t>
  </si>
  <si>
    <t>Ang aking anak ay may mga espesyal na pangangailangan na nangangailangan ng partikular na pangangalaga at mga mapagkukunan. Paano ko matitiyak na natutugunan ang kanilang mga pangangailangan sa loob ng kaayusan sa pag-iingat?</t>
  </si>
  <si>
    <t>Tinitiyak ng Foster Care Act of 2012 (Republic Act No. 10165) na ang mga batang nahaharap sa kapabayaan, pang-aabuso, pag-abandona, kahirapan sa sosyo-kultural, o mga espesyal na pangangailangan ay binibigyan ng alternatibong pamilyang nag-aalok ng pagmamahal, pangangalaga, at mga pagkakataon para sa paglaki. Ang Parent Effectiveness Service Program Act (Republic Act No. 11908) ay nag-uutos sa pagtatatag ng isang programa upang mapahusay ang pakikilahok ng magulang sa pag-unlad at pag-aaral ng mga bata. Binibigyang-diin ng Child and Youth Welfare Code (P.D. No. 603) ang pagsasanay sa relihiyon para sa mga batang nasa kustodiya, na isinasaalang-alang ang kanilang kaugnayan sa relihiyon o ipinahayag na mga kagustuhan. Sa lokal, tukuyin ang mga institusyon at propesyonal na sumusuporta sa mga batang may espesyal na pangangailangan. Upang makakuha ng kustodiya sa Pilipinas, kailangang maghain ng legal na petisyon, at tutukuyin ng korte ang kustodiya batay sa pinakamabuting interes ng bata, sinusuri ang mga kakayahan ng mga magulang sa moral, panlipunan, at pang-ekonomiyang aspeto.</t>
  </si>
  <si>
    <t>My new partner and I want to raise my child together, but my ex-partner objects. Can we still pursue adoption or guardianship?</t>
  </si>
  <si>
    <t>In the Philippines, adoption is regulated by the Domestic Administrative Adoption and Alternative Child Care Act and the Domestic Adoption Act of 1998. Typically, the consent of the biological parents is required, and if one spouse seeks to adopt their own illegitimate child, the consent of the other spouse is necessary. Guardianship, governed by the Rule on Guardianship of Minors, allows any concerned individual to contest a guardianship petition, citing grounds such as the unsuitability of the proposed guardian. Central to all matters concerning the care, custody, and adoption of a child is the paramount consideration of the child's best interest.</t>
  </si>
  <si>
    <t>Gusto namin ng bago kong partner na palakihin ang anak ko, pero tumutol ang dating partner ko. Maaari pa ba nating ituloy ang pag-aampon o pangangalaga?</t>
  </si>
  <si>
    <t>Sa Pilipinas, ang pag-aampon ay kinokontrol ng Domestic Administrative Adoption and Alternative Child Care Act at ng Domestic Adoption Act of 1998. Karaniwan, ang pahintulot ng mga biyolohikal na magulang ay kinakailangan, at kung ang isang asawa ay naghahangad na ampunin ang kanilang sariling anak sa labas, ang pahintulot ng ibang asawa ay kailangan. Ang Guardianship, na pinamamahalaan ng Rule on Guardianship of Minors, ay nagpapahintulot sa sinumang nababahala na indibidwal na labanan ang isang guardianship petition, na nagbabanggit ng mga batayan tulad ng hindi pagiging angkop ng iminungkahing tagapag-alaga. Ang sentro sa lahat ng bagay tungkol sa pangangalaga, pag-aalaga, at pag-aampon ng isang bata ay ang pinakamahalagang pagsasaalang-alang sa pinakamahusay na interes ng bata.</t>
  </si>
  <si>
    <t>My child's teacher suspects abuse in my ex-partner's household. What legal steps should I take to protect my child?</t>
  </si>
  <si>
    <t>In response to child abuse, the Department of Social Welfare and Development (DSWD) encourages the public to report incidents. The DSWD can offer various forms of support, including physical, emotional, and medical treatments, protective custody for the child, filing charges against the perpetrator, and implementing psychosocial interventions. Legal action can be pursued under Republic Act No. 7610, which provides enhanced deterrence and special protection against child abuse, exploitation, and discrimination. Seeking legal advice from a professional in your area is recommended to discuss specific circumstances and explore all available legal options.</t>
  </si>
  <si>
    <t>Hinala ng guro ng anak ko ang pang-aabuso sa sambahayan ng dati kong kapareha. Anong mga legal na hakbang ang dapat kong gawin upang protektahan ang aking anak?</t>
  </si>
  <si>
    <t>Bilang tugon sa pang-aabuso sa bata, hinihikayat ng Department of Social Welfare and Development (DSWD) ang publiko na mag-ulat ng mga insidente. Ang DSWD ay maaaring mag-alok ng iba't ibang anyo ng suporta, kabilang ang pisikal, emosyonal, at medikal na paggagamot, proteksiyon na kustodiya para sa bata, pagsasampa ng mga kaso laban sa may kasalanan, at pagpapatupad ng mga psychosocial na interbensyon. Maaaring isulong ang legal na aksyon sa ilalim ng Republic Act No. 7610, na nagbibigay ng pinahusay na pagpigil at espesyal na proteksyon laban sa pang-aabuso sa bata, pagsasamantala, at diskriminasyon. Ang paghingi ng legal na payo mula sa isang propesyonal sa iyong lugar ay inirerekomenda upang talakayin ang mga partikular na pangyayari at tuklasin ang lahat ng magagamit na mga legal na opsyon.</t>
  </si>
  <si>
    <t>I want to travel abroad with my child, but my ex-partner's consent is required. What happens if they refuse?</t>
  </si>
  <si>
    <t>To address concerns about the possibility of the other parent traveling with the child without consent, a parent can pursue legal recourse, including obtaining a hold departure order. This legal measure aims to prevent the child from leaving the country without proper authorization.</t>
  </si>
  <si>
    <t>Gusto kong maglakbay sa ibang bansa kasama ang aking anak, ngunit kailangan ang pahintulot ng aking dating kasosyo. Ano ang mangyayari kung tumanggi sila?</t>
  </si>
  <si>
    <t>Upang matugunan ang mga alalahanin tungkol sa posibilidad ng ibang magulang na maglakbay kasama ang bata nang walang pahintulot, ang isang magulang ay maaaring humingi ng legal na paraan, kabilang ang pagkuha ng isang hold departure order. Ang legal na panukalang ito ay naglalayong pigilan ang bata na umalis ng bansa nang walang kaukulang pahintulot.</t>
  </si>
  <si>
    <t>Is child abduction, within or across borders, considered a criminal offense in the Philippines?</t>
  </si>
  <si>
    <t>Parental child abduction is not categorized as a crime under Philippine law. Instead, custody disputes are viewed as civil legal matters that need resolution through either mutual agreement between the parties involved or legal proceedings within the Philippine courts.</t>
  </si>
  <si>
    <t>Ang pagdukot sa bata, sa loob o sa kabila ng mga hangganan, ay itinuturing na isang krimen sa Pilipinas?</t>
  </si>
  <si>
    <t>Ang pagdukot ng magulang sa anak ay hindi nakategorya bilang isang krimen sa ilalim ng batas ng Pilipinas. Sa halip, ang mga hindi pagkakaunawaan sa kustodiya ay tinitingnan bilang mga sibil na legal na usapin na nangangailangan ng resolusyon sa pamamagitan ng alinman sa kapwa kasunduan sa pagitan ng mga kasangkot na partido o mga legal na paglilitis sa loob ng mga korte ng Pilipinas.</t>
  </si>
  <si>
    <t>What legal protections exist for children born through surrogacy or assisted reproductive technologies?</t>
  </si>
  <si>
    <t>Currently, the Philippines lacks a comprehensive legal framework for Assisted Reproductive Technology (ART) and surrogacy. However, the Department of Health (DOH) has issued guidelines in 2010, requiring ART clinics to secure informed consent, provide counseling and support services, and undergo registration and accreditation.
There is a move towards regulation through proposed legislation. House Bill 8301 has been introduced in the House of Representatives, aiming to establish the ART and Surrogacy Regulation Commission. This commission would be responsible for administering, implementing, and enforcing regulatory policies concerning ART and surrogacy procedures. The proposed bill also outlines clear guidelines on parentage, stating that a child born through surrogacy would be recognized as the biological child of the intending couple, entitled to all the rights and privileges accorded to a biological child under existing laws.</t>
  </si>
  <si>
    <t>Anong mga legal na proteksyon ang umiiral para sa mga batang ipinanganak sa pamamagitan ng surrogacy o mga assisted reproductive technologies?</t>
  </si>
  <si>
    <t>Sa kasalukuyan, ang Pilipinas ay kulang ng komprehensibong legal na balangkas para sa Assisted Reproductive Technology (ART) at surrogacy. Gayunpaman, ang Department of Health (DOH) ay naglabas ng mga alituntunin noong 2010, na nangangailangan ng mga klinika ng ART na makakuha ng may-kaalamang pahintulot, magbigay ng mga serbisyo sa pagpapayo at suporta, at sumailalim sa pagpaparehistro at akreditasyon.
Mayroong isang hakbang patungo sa regulasyon sa pamamagitan ng iminungkahing batas. Ang House Bill 8301 ay ipinakilala sa Kapulungan ng mga Kinatawan, na naglalayong itatag ang ART at Surrogacy Regulation Commission. Ang komisyong ito ay magiging responsable para sa pangangasiwa, pagpapatupad, at pagpapatupad ng mga patakarang pangregulasyon tungkol sa ART at mga pamamaraan ng surrogacy. Ang iminungkahing panukalang batas ay nagbabalangkas din ng malinaw na mga alituntunin sa pagiging magulang, na nagsasaad na ang isang bata na ipinanganak sa pamamagitan ng surrogacy ay kikilalanin bilang biyolohikal na anak ng nagbabalak na mag-asawa, na may karapatan sa lahat ng mga karapatan at pribilehiyong ibinibigay sa isang biyolohikal na bata sa ilalim ng mga umiiral na batas.</t>
  </si>
  <si>
    <t>Do government or social welfare programs offer financial assistance to single parents or families facing difficulties with child support?</t>
  </si>
  <si>
    <t>The Cash Assistance for Single Parents, a social protection program initiated by the Department of Social Welfare and Development (DSWD), offers monthly cash grants to eligible solo parents and their dependent children. This program was established by Republic Act No. 11861 and further amended by Republic Act No. 8972, known as the Expanded Solo Parents Welfare Act, on June 4, 2022.</t>
  </si>
  <si>
    <t>Nag-aalok ba ang mga programa ng gobyerno o panlipunang welfare ng tulong pinansyal sa mga nag-iisang magulang o mga pamilyang nahaharap sa kahirapan sa suporta sa bata?</t>
  </si>
  <si>
    <t>Ang Cash Assistance for Single Parents, isang social protection program na pinasimulan ng Department of Social Welfare and Development (DSWD), ay nag-aalok ng buwanang cash grant sa mga karapat-dapat na solong magulang at kanilang mga anak na umaasa. Ang programang ito ay itinatag sa pamamagitan ng Republic Act No. 11861 at binago pa ng Republic Act No. 8972, na kilala bilang Expanded Solo Parents Welfare Act, noong Hunyo 4, 2022.</t>
  </si>
  <si>
    <t>Can technology be utilized to facilitate communication and co-parenting, such as online custody arrangements or shared calendars?</t>
  </si>
  <si>
    <t>Utilizing co-parenting apps and digital communication tools allows for real-time updates on schedule changes, appointments, and other crucial information. This minimizes the risk of miscommunication and ensures both parents stay well-informed. Missing important appointments can lead to conflicts and discomfort for both you and your children.</t>
  </si>
  <si>
    <t>Magagamit ba ang teknolohiya para mapadali ang komunikasyon at co-parenting, gaya ng online custody arrangement o shared calendar?</t>
  </si>
  <si>
    <t>Ang paggamit ng mga co-parenting app at mga digital na tool sa komunikasyon ay nagbibigay-daan para sa mga real-time na update sa mga pagbabago sa iskedyul, appointment, at iba pang mahalagang impormasyon. Pinaliit nito ang panganib ng miscommunication at tinitiyak na mananatiling may kaalaman ang parehong mga magulang. Ang pagkawala ng mahahalagang appointment ay maaaring humantong sa mga salungatan at kakulangan sa ginhawa para sa iyo at sa iyong mga anak.</t>
  </si>
  <si>
    <t>How do recent legal developments or amendments to family law in the Philippines affect child custody and support regulations?</t>
  </si>
  <si>
    <t>Republic Act 9262 criminalizes the failure to provide child support, compelling fathers to pay through legal proceedings and threatening them with criminal action if they neglect their financial responsibilities. Additionally, the Department of Social Welfare and Development (DSWD) directs its field offices to assist mothers in obtaining child support in accordance with Article 195 of the Family Code, which mandates parental financial support. Republic Act 11596 addresses support, property relations, and custody matters after the termination of child marriage. Celebrating the 25th anniversary of the implementing rules of the Family Courts Act (Republic Act 8369), the Supreme Court reaffirms its dedication to addressing issues related to child and family cases.</t>
  </si>
  <si>
    <t>Paano naaapektuhan ng mga kamakailang legal na pag-unlad o pagbabago sa batas ng pamilya sa Pilipinas ang mga regulasyon sa pangangalaga at suporta sa bata?</t>
  </si>
  <si>
    <t>Isinasakriminal ng Republic Act 9262 ang kabiguan na magbigay ng sustento sa bata, nag-uudyok sa mga ama na magbayad sa pamamagitan ng mga legal na paglilitis at pagbabanta sa kanila ng kriminal na aksyon kung papabayaan nila ang kanilang mga pananagutan sa pananalapi. Bukod pa rito, inaatasan ng Department of Social Welfare and Development (DSWD) ang mga field office nito na tulungan ang mga ina sa pagkuha ng suporta sa anak alinsunod sa Article 195 ng Family Code, na nag-uutos ng suportang pinansyal ng magulang. Tinutugunan ng Republic Act 11596 ang mga usapin sa suporta, relasyon sa ari-arian, at kustodiya pagkatapos ng pagwawakas ng child marriage. Sa pagdiriwang ng ika-25 anibersaryo ng pagpapatupad ng mga panuntunan ng Family Courts Act (Republic Act 8369), muling pinagtitibay ng Korte Suprema ang dedikasyon nito sa pagtugon sa mga isyu na may kaugnayan sa mga kaso ng bata at pamilya.</t>
  </si>
  <si>
    <t>How is parental alienation, where one parent attempts to turn the child against the other, addressed in custody decisions?</t>
  </si>
  <si>
    <t>In the Philippines, parental authority and responsibility are inherent and cannot be transferred or relinquished except in situations permitted by law. Both the father and the mother are jointly responsible for exercising parental authority over their common children. In cases of disagreement, the father's decision generally takes precedence, unless a judicial order states otherwise. However, the court always prioritizes the best interest of the child in custody decisions.
If a parent is involved in parental alienation, where one parent attempts to harm or interfere with the child's relationship with the other parent, it could impact the court's decision. The court may determine that limiting contact with the alienating parent is in the child's best interest to repair and maintain a healthy relationship with the other parent.</t>
  </si>
  <si>
    <t>Paano tinutugunan sa mga desisyon sa kustodiya ang pag-iisa ng magulang, kung saan sinusubukan ng isang magulang na ibaling ang bata laban sa isa pa?</t>
  </si>
  <si>
    <t>Sa Pilipinas, ang awtoridad at responsibilidad ng magulang ay likas at hindi maaaring ilipat o talikuran maliban sa mga sitwasyong pinahihintulutan ng batas. Ang ama at ina ay magkatuwang na responsable sa paggamit ng awtoridad ng magulang sa kanilang mga karaniwang anak. Sa mga kaso ng hindi pagkakasundo, ang desisyon ng ama sa pangkalahatan ay nangunguna, maliban kung iba ang isinasaad ng isang utos ng hudikatura. Gayunpaman, palaging inuuna ng korte ang pinakamahusay na interes ng bata sa mga desisyon sa kustodiya.
Kung ang isang magulang ay sangkot sa parental alienation, kung saan ang isang magulang ay nagtangkang saktan o pakialaman ang relasyon ng bata sa isa pang magulang, maaari itong makaapekto sa desisyon ng korte. Maaaring tukuyin ng korte na ang paglilimita sa pakikipag-ugnayan sa naghiwalay na magulang ay para sa pinakamahusay na interes ng bata upang ayusin at mapanatili ang isang malusog na relasyon sa ibang magulang.</t>
  </si>
  <si>
    <t>What legal framework exists for protecting children from witnessing or experiencing domestic violence within the family?</t>
  </si>
  <si>
    <t>Republic Act 7610 aims to safeguard children from any harm that could impede their regular growth and development. The associated Protocol is particularly pertinent as it tackles persistent issues in effectively addressing cases of abuse, neglect, and exploitation of children.</t>
  </si>
  <si>
    <t>Anong legal na balangkas ang umiiral para sa pagprotekta sa mga bata mula sa pagsaksi o pagdanas ng karahasan sa tahanan sa loob ng pamilya?</t>
  </si>
  <si>
    <t>Layunin ng Republic Act 7610 na pangalagaan ang mga bata sa anumang pinsalang maaaring makahadlang sa kanilang regular na paglaki at pag-unlad. Ang nauugnay na Protocol ay partikular na mahalaga dahil ito ay tumatalakay sa mga patuloy na isyu sa epektibong pagtugon sa mga kaso ng pang-aabuso, kapabayaan, at pagsasamantala sa mga bata.</t>
  </si>
  <si>
    <t>Are there special considerations for child custody involving children with disabilities or specific medical needs?</t>
  </si>
  <si>
    <t>Recognizing the impact of annulment decisions on all children, especially those with special needs, is crucial, as they may face challenges in comprehending the complexities involved. Meaningful visitation planning becomes a significant challenge in custody cases concerning special needs children, considering the difficulties associated with transitioning to separate households. Dividing custody rights for such children necessitates careful consideration of their medical and educational needs, requiring collaborative decision-making between co-parents. In the Philippines, legal protections for children with disabilities are established under laws such as the Child and Youth Welfare Code, Special Protection of Children Against Abuse, Exploitation, and Discrimination Act, and Magna Carta for Disabled Persons.</t>
  </si>
  <si>
    <t>Mayroon bang mga espesyal na pagsasaalang-alang para sa pag-iingat ng bata na kinasasangkutan ng mga batang may kapansanan o mga partikular na pangangailangang medikal?</t>
  </si>
  <si>
    <t>Ang pagkilala sa epekto ng mga desisyon sa pagpapawalang-bisa sa lahat ng bata, lalo na sa mga may espesyal na pangangailangan, ay napakahalaga, dahil maaari silang humarap sa mga hamon sa pag-unawa sa mga kumplikadong kasangkot. Ang makabuluhang pagpaplano ng pagbisita ay nagiging isang malaking hamon sa mga kaso ng kustodiya tungkol sa mga espesyal na pangangailangan ng mga bata, kung isasaalang-alang ang mga paghihirap na nauugnay sa paglipat sa magkakahiwalay na sambahayan. Ang paghahati sa mga karapatan sa pag-iingat para sa mga naturang bata ay nangangailangan ng maingat na pagsasaalang-alang sa kanilang mga medikal at pang-edukasyon na pangangailangan, na nangangailangan ng pagtutulungang paggawa ng desisyon sa pagitan ng mga kapwa magulang. Sa Pilipinas, ang mga legal na proteksyon para sa mga batang may kapansanan ay itinatag sa ilalim ng mga batas tulad ng Child and Youth Welfare Code, Special Protection of Children Against Abuse, Exploitation, and Discrimination Act, at Magna Carta for Disabled Persons.</t>
  </si>
  <si>
    <t>How are cultural practices and traditions regarding child-rearing incorporated into custody arrangements when relevant?</t>
  </si>
  <si>
    <t>Respect for elders is a fundamental value in Filipino families, often demonstrated through the use of "po" and "opo" as expressions of respect. Parents serve as role models, showcasing hospitality and influencing court decisions on the most suitable parent for raising the child. The authoritative parenting style, characterized by high communication and standards, is predominant in the Philippines and is taken into consideration when determining custody arrangements. Gentle parenting, emphasizing mutual respect between child and parent, is gaining popularity among modern Filipino parents. While corporal punishment is prevalent in the Philippines, it's essential to acknowledge that this practice could have adverse effects on custody decisions.</t>
  </si>
  <si>
    <t>Paano isinasama ang mga kultural na kasanayan at tradisyon tungkol sa pagpapalaki ng bata sa mga kaayusan sa pag-iingat kapag may kaugnayan?</t>
  </si>
  <si>
    <t>Ang paggalang sa mga nakatatanda ay isang pangunahing halaga sa mga pamilyang Pilipino, na kadalasang ipinapakita sa pamamagitan ng paggamit ng "po" at "opo" bilang mga pagpapahayag ng paggalang. Ang mga magulang ay nagsisilbing huwaran, na nagpapakita ng mabuting pakikitungo at nakakaimpluwensya sa mga desisyon ng korte sa pinakaangkop na magulang para sa pagpapalaki sa bata. Ang awtoritatibong istilo ng pagiging magulang, na nailalarawan sa mataas na komunikasyon at mga pamantayan, ay nangingibabaw sa Pilipinas at isinasaalang-alang kapag tinutukoy ang mga kaayusan sa pag-iingat. Ang malumanay na pagiging magulang, na nagbibigay-diin sa paggalang sa isa't isa sa pagitan ng anak at magulang, ay nagiging popular sa mga modernong Pilipinong magulang. Bagama't laganap ang corporal punishment sa Pilipinas, mahalagang kilalanin na ang gawaing ito ay maaaring magkaroon ng masamang epekto sa mga desisyon sa pag-iingat.</t>
  </si>
  <si>
    <t>What legal provisions regulate relocation with children after separation or annulment, considering the child's well-being and minimizing disruption?</t>
  </si>
  <si>
    <t>According to Article 54 of the Family Code, children conceived or born before the final judgment of annulment or absolute nullity of the marriage under Article 36 will be deemed legitimate, preserving their status even if their parents' marriage is annulled. In cases where there is no prior agreement or a dispute over child custody, the court will decide, considering the best interests of the children, which parent will have custody.
Typically, joint custody is awarded, granting both parents equal rights in making significant decisions regarding their child's education, medical care, and religious upbringing. After settling custody matters, both parents must reach an agreement on child support, as parents in the Philippines are obligated to support their children until they reach the age of majority.</t>
  </si>
  <si>
    <t>Anong mga legal na probisyon ang kumokontrol sa paglipat ng mga bata pagkatapos ng paghihiwalay o diborsiyo, isinasaalang-alang ang kapakanan ng bata at pinapaliit ang pagkagambala?</t>
  </si>
  <si>
    <t>Ayon sa Article 54 ng Family Code, ang mga batang ipinaglihi o ipinanganak bago ang huling hatol ng annulment o absolute nullity ng kasal sa ilalim ng Article 36 ay ituturing na lehitimo, na pinapanatili ang kanilang katayuan kahit na ang kasal ng kanilang mga magulang ay napawalang-bisa. Sa mga kaso kung saan mayroong ay walang naunang kasunduan o isang pagtatalo sa pag-iingat ng bata, ang hukuman ang magpapasya, na isinasaalang-alang ang pinakamahusay na interes ng mga bata, kung sinong magulang ang magkakaroon ng pangangalaga.
Karaniwan, iginagawad ang magkasanib na pag-iingat, na nagbibigay sa parehong mga magulang ng pantay na karapatan sa paggawa ng mahahalagang desisyon tungkol sa edukasyon, pangangalagang medikal, at pagpapalaki sa relihiyon ng kanilang anak. Pagkatapos ayusin ang mga usapin sa pag-iingat, dapat na magkasundo ang mga magulang sa suporta sa bata, dahil obligado ang mga magulang sa Pilipinas na suportahan ang kanilang mga anak hanggang sa maabot nila ang edad ng mayorya.</t>
  </si>
  <si>
    <t>My child exhibits emotional and behavioral issues after spending time with their other parent. Can I request a psychological evaluation?</t>
  </si>
  <si>
    <t>In a custody case, interested parties, including either parent, a Guardian ad Litem, or an attorney, have the option to request a psychological evaluation. The judge may order an evaluation for either the child or the entire family based on the request.
It's important to note that if a psychological evaluation is requested, not only will the child's other parent be evaluated, but you, as the requesting party, will also undergo evaluation. This process involves a comprehensive investigation into your parenting skills and abilities.
Under certain circumstances, the court may appoint a custody evaluator who will issue a report to the judge with recommendations aligning with the child's best interests. This type of psychological evaluation is commonly known as a "730 Evaluation," where a qualified custody evaluator employs various tools and techniques to assess the family dynamics and make recommendations regarding custody arrangements.</t>
  </si>
  <si>
    <t>Ang aking anak ay nagpapakita ng emosyonal at pag-uugali na mga isyu pagkatapos na gumugol ng oras sa kanilang iba pang magulang. Maaari ba akong humiling ng isang sikolohikal na pagsusuri?</t>
  </si>
  <si>
    <t>Sa isang kaso sa pag-iingat, ang mga interesadong partido, kabilang ang alinman sa magulang, isang Guardian ad Litem, o isang abogado, ay may opsyon na humiling ng isang sikolohikal na pagsusuri. Ang hukom ay maaaring mag-utos ng pagsusuri para sa alinman sa bata o sa buong pamilya batay sa kahilingan.
Mahalagang tandaan na kung hihilingin ang isang sikolohikal na pagsusuri, hindi lamang ang ibang magulang ng bata ang susuriin, ngunit ikaw, bilang humihiling na partido, ay sasailalim din sa pagsusuri. Ang prosesong ito ay nagsasangkot ng komprehensibong pagsisiyasat sa iyong mga kakayahan at kakayahan sa pagiging magulang.
Sa ilalim ng ilang mga pangyayari, maaaring magtalaga ang hukuman ng isang tagasuri ng kustodiya na maglalabas ng ulat sa hukom na may mga rekomendasyong naaayon sa pinakamabuting interes ng bata. Ang ganitong uri ng psychological evaluation ay karaniwang kilala bilang isang "730 Evaluation," kung saan ang isang kwalipikadong custody evaluator ay gumagamit ng iba't ibang mga tool at diskarte upang masuri ang dynamics ng pamilya at gumawa ng mga rekomendasyon tungkol sa pag-aayos ng custody.</t>
  </si>
  <si>
    <t>My ex-partner refuses mediation or arbitration for resolving our custody disagreements. What options do I have?</t>
  </si>
  <si>
    <t>If one party declines to participate in mediation, or if the parties cannot come to an agreement through mediation, the subsequent course of action is to file an application with the court for a parenting or property order.</t>
  </si>
  <si>
    <t>Ang aking dating kasosyo ay tumanggi sa pamamagitan o arbitrasyon para sa paglutas ng aming mga hindi pagkakasundo sa pangangalaga. Anong mga pagpipilian ang mayroon ako?</t>
  </si>
  <si>
    <t>Kung ang isang partido ay tumanggi na lumahok sa pamamagitan, o kung ang mga partido ay hindi maaaring magkaroon ng kasunduan sa pamamagitan ng pamamagitan, ang kasunod na hakbang ng aksyon ay maghain ng aplikasyon sa korte para sa isang utos ng pagiging magulang o ari-arian.</t>
  </si>
  <si>
    <t>My child is a teenager and wants to pursue certain academic or extracurricular activities, but one parent disagrees. How can we reach a consensus?</t>
  </si>
  <si>
    <t>Effective communication is vital in addressing conflicts related to your teenager's involvement in extracurricular activities. Openly discuss the matter with the other parent, emphasizing your child's interests and the potential benefits of such activities for their overall development. Consider your teenager's perspective, taking into account their feelings and opinions, as they are the ones directly involved.
If reaching an agreement proves challenging, seeking professional help from a mediator or counselor is a constructive step to facilitate discussions and find a solution that respects everyone's viewpoints. In cases of persistent disagreements, consulting with a legal professional can provide guidance on protecting your child's interests within the context of Philippine law.
It is crucial to prioritize your child's best interests, as extracurricular activities play a significant role in their education in the Philippines. These activities offer opportunities for exploration, social skill development, and overall academic enhancement.</t>
  </si>
  <si>
    <t>Ang aking anak ay isang tinedyer at gustong ituloy ang ilang mga aktibidad sa akademiko o ekstrakurikular, ngunit hindi sumasang-ayon ang isang magulang. Paano natin makakamit ang isang pinagkasunduan?</t>
  </si>
  <si>
    <t>Mahalaga ang epektibong komunikasyon sa pagtugon sa mga salungatan na may kaugnayan sa paglahok ng iyong tinedyer sa mga ekstrakurikular na aktibidad. Tahasan na talakayin ang bagay sa ibang magulang, na binibigyang-diin ang mga interes ng iyong anak at ang mga potensyal na benepisyo ng naturang mga aktibidad para sa kanilang pangkalahatang pag-unlad. Isaalang-alang ang pananaw ng iyong tinedyer, na isinasaalang-alang kanilang mga damdamin at opinyon, dahil sila ang direktang kasangkot.
Kung ang pag-abot sa isang kasunduan ay nagpapatunay na mahirap, ang paghingi ng propesyonal na tulong mula sa isang tagapamagitan o tagapayo ay isang nakabubuo na hakbang upang mapadali ang mga talakayan at makahanap ng solusyon na iginagalang ang mga pananaw ng lahat. Sa mga kaso ng patuloy na hindi pagkakasundo, ang pagkonsulta sa isang legal na propesyonal ay maaaring magbigay ng gabay sa pagprotekta sa mga interes ng iyong anak sa loob ng konteksto ng batas ng Pilipinas.
Napakahalaga na unahin ang pinakamabuting interes ng iyong anak, dahil ang mga ekstrakurikular na aktibidad ay may mahalagang papel sa kanilang edukasyon sa Pilipinas. Ang mga aktibidad na ito ay nag-aalok ng mga pagkakataon para sa paggalugad, pagpapaunlad ng kasanayang panlipunan, at pangkalahatang pagpapahusay sa akademiko.</t>
  </si>
  <si>
    <t>I suspect financial abuse or mismanagement of child support funds by my ex-partner. What can I do to investigate and protect my child's financial interests?</t>
  </si>
  <si>
    <t>If you have concerns that your ex-partner is misusing child support funds, there are several steps you can take. Firstly, you can report the issue to the Department of Social Welfare and Development (DSWD). Legal action can be pursued under Republic Act No. 9262, also known as the Anti-Violence Against Women &amp; Children Act of 2004, which recognizes economic abuse, including the deprivation or withdrawal of financial support to the common child, as a form of violence.
To gather evidence, consider obtaining a credit report if you suspect parental financial abuse. This report can serve as proof for potential legal actions. Seeking legal advice from a professional in your area is advisable to discuss your specific circumstances and explore all available legal avenues.</t>
  </si>
  <si>
    <t>Pinaghihinalaan ko ang pang-aabuso sa pananalapi o maling pamamahala sa mga pondo ng suporta sa bata ng aking dating kasosyo. Ano ang maaari kong gawin upang siyasatin at protektahan ang mga pinansyal na interes ng aking anak?</t>
  </si>
  <si>
    <t>Kung mayroon kang mga alalahanin na ang iyong dating kasosyo ay maling ginagamit ang mga pondo ng suporta sa bata, mayroong ilang mga hakbang na maaari mong gawin. Una, maaari mong iulat ang isyu sa Department of Social Welfare and Development (DSWD). Ang legal na aksyon ay maaaring ituloy sa ilalim ng Republic Act No. 9262, na kilala rin bilang Anti-Violence Against Women &amp; Children Act of 2004, na kinikilala ang pang-aabuso sa ekonomiya, kabilang ang pag-agaw o pag-alis ng suportang pinansyal sa karaniwang bata, bilang isang uri ng karahasan.
Upang mangalap ng ebidensya, isaalang-alang ang pagkuha ng ulat ng kredito kung pinaghihinalaan mo ang pang-aabuso sa pananalapi ng magulang. Ang ulat na ito ay maaaring magsilbing patunay para sa mga potensyal na legal na aksyon. Ang paghingi ng legal na payo mula sa isang propesyonal sa iyong lugar ay ipinapayong talakayin ang iyong mga partikular na kalagayan at tuklasin ang lahat ng magagamit na mga legal na paraan.</t>
  </si>
  <si>
    <t>My ex-partner's new partner has a criminal record. Can I raise concerns about their potential impact on my child's safety?</t>
  </si>
  <si>
    <t>In the Philippines, safeguarding the welfare and safety of the child is the paramount consideration in any custody decision. If there are concerns about the child's safety, it is essential to document these issues meticulously, noting dates, times, locations, and relevant details. In cases where there is substantial reason to believe the child's safety is at risk, legal action can be pursued by petitioning the court for a modification in custody or visitation arrangements. Seeking guidance from a legal professional is crucial in this process, as they can provide assistance in navigating the legal framework and help individuals understand their available options.</t>
  </si>
  <si>
    <t>May criminal record ang bagong partner ng ex-partner ko. Maaari ba akong mag-alala tungkol sa kanilang potensyal na epekto sa kaligtasan ng aking anak?</t>
  </si>
  <si>
    <t>Sa Pilipinas, ang pag-iingat sa kapakanan at kaligtasan ng bata ang pinakamahalagang konsiderasyon sa anumang desisyon sa pag-iingat. Kung may mga alalahanin tungkol sa kaligtasan ng bata, mahalagang idokumento ang mga isyung ito nang maingat, itala ang mga petsa, oras, lokasyon, at mga nauugnay na detalye. Sa mga kaso kung saan may malaking dahilan upang maniwala na nasa panganib ang kaligtasan ng bata, maaaring isagawa ang legal na aksyon sa pamamagitan ng pagpetisyon sa korte para sa pagbabago sa kustodiya o mga kaayusan sa pagbisita. Ang paghingi ng patnubay mula sa isang legal na propesyonal ay mahalaga sa prosesong ito, dahil maaari silang magbigay ng tulong sa pag-navigate sa legal na balangkas at tulungan ang mga indibidwal na maunawaan ang kanilang mga magagamit na opsyon.</t>
  </si>
  <si>
    <t>My child is reaching the age of legal emancipation in the Philippines. What happens to the existing custody and support arrangements then?</t>
  </si>
  <si>
    <t>Emancipation in the Philippines signifies the termination of parental authority over both the person and property of the child. Once emancipated, the child becomes qualified and responsible for all acts of civil life, with certain exceptions as stipulated by existing laws in special cases. Regarding child support, the emancipation of a minor may potentially end a parent's obligation, although this is not always automatic. For instance, if a single court order covers the support of multiple children, the emancipation of one child might not automatically lead to reduced support payments. Parental consent remains a requirement for contracting marriage until the age of twenty-one, emphasizing ongoing parental involvement in significant life decisions. Additionally, the duty and responsibility of parents and guardians for children and wards below twenty-one years of age, as outlined in Article 2180 of the Civil Code, remains unaffected by the provisions of emancipation in the Family Code.</t>
  </si>
  <si>
    <t>Ang aking anak ay umaabot na sa edad ng legal na emancipation sa Pilipinas. Ano ang mangyayari sa kasalukuyang kustodiya at mga kaayusan sa suporta?</t>
  </si>
  <si>
    <t>Ang pagpapalaya sa Pilipinas ay nangangahulugan ng pagwawakas ng awtoridad ng magulang sa kapwa tao at ari-arian ng bata. Sa sandaling mapalaya, ang bata ay magiging kwalipikado at responsable para sa lahat ng mga aksyon ng buhay sibil, na may ilang mga pagbubukod na itinakda ng mga umiiral na batas sa mga espesyal na kaso. Tungkol sa suporta sa bata, ang pagpapalaya ng isang menor de edad ay maaaring potensyal na wakasan ang obligasyon ng isang magulang, bagama't hindi ito palaging awtomatiko. Halimbawa, kung ang isang utos ng hukuman ay sumasaklaw sa suporta ng maraming bata, ang pagpapalaya ng isang bata ay maaaring hindi awtomatikong humantong sa pinababang mga pagbabayad ng suporta. Ang pahintulot ng magulang ay nananatiling isang kinakailangan para sa pagkontrata ng kasal hanggang sa edad na dalawampu't isa, na nagbibigay-diin sa patuloy na paglahok ng magulang sa mahahalagang desisyon sa buhay. Dagdag pa rito, ang tungkulin at pananagutan ng mga magulang at tagapag-alaga para sa mga bata at ward na wala pang dalawampu't isang taong gulang, gaya ng nakabalangkas sa Artikulo 2180 ng Civil Code, ay nananatiling hindi naaapektuhan ng mga probisyon ng emancipation sa Family Code.</t>
  </si>
  <si>
    <t>Are there legal provisions for grandparents or other family members to seek custody if biological parents are deemed unfit or unable to care for the child?</t>
  </si>
  <si>
    <t>In the Philippines, the courts give paramount consideration to the best interest of the child when making custody decisions. If there is evidence demonstrating that the biological parents are abusive or unfit, the court may grant custody to a non-biological parent or another concerned individual, given they can provide a safe and nurturing environment for the child. The primary focus remains on ensuring the child's well-being and safety in the custody arrangement.</t>
  </si>
  <si>
    <t>Mayroon bang mga legal na probisyon para sa mga lolo't lola o iba pang miyembro ng pamilya na humingi ng kustodiya kung ang mga biyolohikal na magulang ay itinuturing na hindi karapat-dapat o hindi kayang pangalagaan ang bata?</t>
  </si>
  <si>
    <t>Sa Pilipinas, ang mga korte ay nagbibigay ng pinakamahalagang pagsasaalang-alang sa pinakamahusay na interes ng bata kapag gumagawa ng mga desisyon sa kustodiya. Kung may katibayan na nagpapakita na ang mga biyolohikal na magulang ay mapang-abuso o hindi karapat-dapat, ang hukuman ay maaaring magbigay ng kustodiya sa isang hindi biyolohikal na magulang o isa pang nag-aalalang indibidwal, dahil maaari silang magbigay ng isang ligtas at mapag-aruga na kapaligiran para sa bata. Ang pangunahing pokus ay nananatili sa pagtiyak ng kagalingan at kaligtasan ng bata sa pagsasaayos ng kustodiya.</t>
  </si>
  <si>
    <t>What rights and obligations do adoptive parents have regarding child support from biological parents?</t>
  </si>
  <si>
    <t>In the Philippines, the process of adoption results in the termination of parental rights for the biological parents, rendering all legal ties between them and the adopted child null and void. This termination is comprehensive, affecting inheritance rights as the adoptee cannot inherit through legal or intestate succession from their biological parents. However, they retain the possibility of receiving inheritance if specifically named as heirs.
Conversely, the adoptive parents assume the same rights and responsibilities as if the child were biologically their own. This includes the duty to provide love, care, understanding, and security for the full and harmonious development of the child's personality. The adoptive parents are afforded protection from any attempts to disturb their parental authority and custody over the adopted child, ensuring a secure and stable family environment.</t>
  </si>
  <si>
    <t>Anong mga karapatan at obligasyon ang mayroon ang mga adoptive na magulang tungkol sa suporta sa bata mula sa mga biyolohikal na magulang?</t>
  </si>
  <si>
    <t>Sa Pilipinas, ang proseso ng pag-aampon ay nagreresulta sa pagwawakas ng mga karapatan ng magulang para sa mga biyolohikal na magulang, na nagpapawalang-bisa sa lahat ng legal na ugnayan sa pagitan nila at ng adopted child. Ang pagwawakas na ito ay komprehensibo, na nakakaapekto sa mga karapatan sa mana dahil hindi maaaring magmana ang adoptee sa pamamagitan ng legal o intestate succession mula sa kanilang mga biyolohikal na magulang. Gayunpaman, pinananatili nila ang posibilidad na makatanggap ng mana kung partikular na pinangalanan bilang mga tagapagmana.
Sa kabaligtaran, ang mga nag-ampon na magulang ay umaako sa parehong mga karapatan at responsibilidad na para bang ang bata ay sa kanilang biyolohikal. Kabilang dito ang tungkuling magbigay ng pagmamahal, pangangalaga, pag-unawa, at seguridad para sa ganap at maayos na pag-unlad ng pagkatao ng bata. Ang mga nag-aampon na magulang ay binibigyan ng proteksyon mula sa anumang pagtatangka na abalahin ang kanilang awtoridad ng magulang at pag-iingat sa pinagtibay na anak, na tinitiyak ang isang ligtas at matatag na kapaligiran ng pamilya.</t>
  </si>
  <si>
    <t>Do religious institutions or faith-based organizations offer mediation or support services for families facing child custody conflicts?</t>
  </si>
  <si>
    <t>Religious institutions and faith-based organizations (FBOs) play a significant role in supporting families navigating child custody conflicts. These organizations often provide essential mediation and counseling services to help families navigate through the complexities of child custody disputes. With strong community networks, FBOs offer both emotional and practical support, creating a sense of community for families facing these challenges. Additionally, some FBOs engage in advocacy efforts, working to identify systemic barriers and develop actionable solutions to improve the overall environment for families dealing with custody conflicts. Furthermore, FBOs have been longstanding contributors to the child welfare system, offering crucial services like foster care, adoption, and the recruitment of foster and adoptive families. Their involvement contributes significantly to the well-being of children and families in need.</t>
  </si>
  <si>
    <t>Nag-aalok ba ang mga relihiyosong institusyon o organisasyong nakabatay sa pananampalataya ang pamamagitan o mga serbisyo ng suporta para sa mga pamilyang nahaharap sa mga salungatan sa pangangalaga sa bata?</t>
  </si>
  <si>
    <t>Malaki ang papel ng mga relihiyosong institusyon at mga organisasyong nakabatay sa pananampalataya (FBO) sa pagsuporta sa mga pamilyang nagna-navigate sa mga salungatan sa pangangalaga sa bata. Ang mga organisasyong ito ay madalas na nagbibigay ng mahahalagang serbisyo sa pamamagitan at pagpapayo upang matulungan ang mga pamilya na mag-navigate sa mga kumplikado ng mga hindi pagkakaunawaan sa pangangalaga ng bata. Sa malakas na network ng komunidad, ang mga FBO ay nag-aalok ng parehong emosyonal at praktikal na suporta, na lumilikha ng pakiramdam ng komunidad para sa mga pamilyang nahaharap sa mga hamong ito. Bukod pa rito, ang ilang FBO ay nakikibahagi sa mga pagsusumikap sa pagtataguyod, nagtatrabaho upang matukoy ang mga sistematikong hadlang at bumuo ng mga naaaksyunan na solusyon upang mapabuti ang pangkalahatang kapaligiran para sa mga pamilyang nakikitungo sa mga salungatan sa pag-iingat. Higit pa rito, ang mga FBO ay matagal nang nag-aambag sa child welfare system, na nag-aalok ng mga mahahalagang serbisyo tulad ng foster care, adoption, at recruitment ng foster at adoptive na mga pamilya. Malaki ang naitutulong ng kanilang paglahok sa kapakanan ng mga bata at pamilyang nangangailangan.</t>
  </si>
  <si>
    <t>How can parents utilize resources like child psychologists, social workers, or family therapists to navigate complex custody concerns?</t>
  </si>
  <si>
    <t>Child psychologists and family therapists play a crucial role in offering therapy and counseling services to assist families in navigating challenging situations like child custody conflicts. These professionals contribute by helping children and parents comprehend their circumstances and make healthier choices. Social workers, equipped with insights into complex needs, provide valuable support to families, offering child-focused practice strategies to navigate intricate problems. Clinical psychologists and other experts conduct training sessions for parents and professionals, enhancing understanding of the systemic factors influencing family conflict and child custody disputes. Collaboration with forensic psychologists aids custody lawyers in obtaining capable evidence and developing effective questioning strategies for court presentations. Additionally, therapists and counselors in the Philippines are often trained to address a broad spectrum of issues and can provide referrals to specialists when needed.</t>
  </si>
  <si>
    <t>Paano magagamit ng mga magulang ang mga mapagkukunan tulad ng mga psychologist ng bata, mga social worker, o mga therapist ng pamilya upang mag-navigate sa mga kumplikadong alalahanin sa pangangalaga?</t>
  </si>
  <si>
    <t>Ang mga child psychologist at family therapist ay may mahalagang papel sa pag-aalok ng mga serbisyo ng therapy at pagpapayo upang tulungan ang mga pamilya sa pag-navigate sa mga mapanghamong sitwasyon tulad ng mga salungatan sa pangangalaga sa bata. Ang mga propesyonal na ito ay nag-aambag sa pamamagitan ng pagtulong sa mga bata at magulang na maunawaan ang kanilang mga kalagayan at gumawa ng mas malusog na mga pagpipilian. Ang mga social worker, na nilagyan ng mga insight sa mga kumplikadong pangangailangan, ay nagbibigay ng mahalagang suporta sa mga pamilya, na nag-aalok ng mga diskarte sa pagsasanay na nakatuon sa bata upang i-navigate ang mga masalimuot na problema. Ang mga clinical psychologist at iba pang mga eksperto ay nagsasagawa ng mga sesyon ng pagsasanay para sa mga magulang at mga propesyonal, na nagpapahusay ng pag-unawa sa mga sistematikong salik na nakakaimpluwensya sa salungatan ng pamilya at mga pagtatalo sa pangangalaga ng bata. Ang pakikipagtulungan sa mga forensic psychologist ay tumutulong sa mga abogado ng kustodiya sa pagkuha ng may kakayahang ebidensya at pagbuo ng mga epektibong estratehiya sa pagtatanong para sa mga presentasyon sa korte. Bukod pa rito, ang mga therapist at tagapayo sa Pilipinas ay kadalasang sinasanay upang tugunan ang isang malawak na spectrum ng mga isyu at maaaring magbigay ng mga referral sa mga espesyalista kung kinakailangan.</t>
  </si>
  <si>
    <t>What legal pathways exist for challenging or appealing a court's child custody decision in the Philippines?</t>
  </si>
  <si>
    <t>Initiating an appeal in a child custody case in the Philippines involves a process akin to appealing a final decision in a divorce case. This typically entails filing a notice of appeal and a cost bond, serving the notice, deciding on the stay of execution of the judgment, filing a statement of evidence justifying the appeal, and awaiting further instructions from the court. Grounds for appeal may include demonstrating that a judge erred in the child custody ruling, leading the appellate court to order a re-review or retrial of the case. This could be based on improper exclusion or inclusion of evidence, violation of procedural requirements, or the incorrect application of the law to the case. Collaborating with a family law attorney is recommended when considering an appeal, as they can compile a legal brief outlining the reasons for the appeal and highlighting inconsistencies in the original ruling. The court will then review this brief, along with transcripts of the initial hearing.</t>
  </si>
  <si>
    <t>Anong mga legal na landas ang umiiral para sa paghamon o pag-apela sa desisyon ng korte sa pangangalaga sa bata sa Pilipinas?</t>
  </si>
  <si>
    <t>Ang pagsisimula ng apela sa isang kaso sa pag-iingat ng bata sa Pilipinas ay nagsasangkot ng isang proseso na katulad ng pag-apela sa isang pinal na desisyon sa isang kaso ng diborsiyo. Ito ay karaniwang nangangailangan ng paghahain ng notice ng apela at isang cost bond, paghahatid ng notice, pagpapasya sa pananatili ng pagpapatupad ng hatol, paghahain ng pahayag ng ebidensya na nagbibigay-katwiran sa apela, at paghihintay ng karagdagang mga tagubilin mula sa hukuman. Maaaring kabilang sa mga batayan para sa apela ang pagpapakita na ang isang hukom ay nagkamali sa desisyon sa pag-iingat ng bata, na humantong sa korte ng apela na mag-utos ng muling pagsusuri o muling paglilitis ng kaso. Ito ay maaaring batay sa hindi wastong pagbubukod o pagsasama ng ebidensya, paglabag sa mga kinakailangan sa pamamaraan, o ang maling aplikasyon ng batas sa kaso. Ang pakikipagtulungan sa isang abogado ng batas ng pamilya ay inirerekomenda kapag isinasaalang-alang ang isang apela, dahil maaari silang mag-compile ng isang legal na maikling binabalangkas ang mga dahilan para sa apela at itinatampok ang mga hindi pagkakatugma sa orihinal na desisyon. Pagkatapos ay susuriin ng korte ang maikling ito, kasama ang mga transcript ng paunang pagdinig.</t>
  </si>
  <si>
    <t>How do I report a cybercrime, and what can I expect during the process?</t>
  </si>
  <si>
    <t>Reporting a cybercrime in the Philippines involves specific procedures and expectations. Here's a breakdown to help you navigate the process:
Reporting Channels:
Philippine National Police (PNP): You can file a formal complaint at your local police station or online through the PNP Anti-Cybercrime Group (ACG)
National Bureau of Investigation (NBI): For complex cybercrimes or those involving organized crime, consider reporting to the NBI Cybercrime Division.
Department of Justice (DOJ): You can file a complaint with the DOJ Cybercrime Office if you require legal assistance or guidance.
What to Expect: Initial Investigation: When reporting, provide detailed information about the cybercrime, including the type of offense, date and time, platform where it occurred, and any evidence you have (screenshots, emails, etc.). The police or NBI may ask questions to understand the situation better. Case Assessment: Based on the information provided, the authorities will assess the severity of the case and determine the appropriate course of action. This may involve further investigation, gathering additional evidence, or coordinating with other agencies. Investigation Process: The investigation can vary depending on the complexity of the crime. It may involve cyber forensics, analysis of digital evidence, and potentially tracking down the perpetrators. Updates and Communication: You may receive updates from the authorities throughout the investigation process. They will keep you informed about any progress made or challenges encountered. Legal Proceedings: If sufficient evidence is gathered and the case warrants legal action, the authorities will prepare for prosecution. This may involve filing charges, presenting evidence in court, and seeking justice for the victim.
Additional Information: Anonymity: If you are concerned about your safety or retaliation, you can request anonymity during the reporting process. The authorities will take appropriate measures to protect your identity. Support Resources: The Department of Justice offers legal support and assistance to victims of cybercrime. You can contact the Public Attorney's Office (PAO) for free legal representation if you are facing financial challenges.</t>
  </si>
  <si>
    <t>What evidence is crucial in a burglary case?</t>
  </si>
  <si>
    <t>View other draftsThe evidence crucial in a burglary case depends on several factors, including the specific circumstances of the break-in, the type of property stolen, and the methods used by the perpetrator. However, some general categories of evidence can significantly strengthen your case:
Physical Evidence: Point of Entry: Examining the door, window, or other point of entry for signs of forced entry, like broken glass, pry marks, or tool marks, can help connect the perpetrator to the scene. Fingerprints: Fingerprints left on the scene, such as doorknobs, windows, or stolen items, can be compared to existing databases to identify potential suspects. Footprints: Shoeprints or tire tracks near the scene might link the perpetrator to the break-in or reveal their escape route. DNA: Blood traces, hair, or other biological evidence recovered from the scene can provide valuable DNA evidence for identification. Stolen Property: Recovered stolen items, especially those with unique markings or serial numbers, can directly link the perpetrator to the burglary. Tools and Weapons: Any tools or weapons found at the scene, such as crowbars, knives, or gloves, might connect the perpetrator to the crime and reveal their modus operandi. Witness Testimony:
 Eyewitness Accounts: Statements from anyone who witnessed the actual break-in or suspicious activity around the time of the crime can provide crucial details about the perpetrator's appearance, behavior, or vehicle. Alibis: Statements from individuals who can confirm the whereabouts of potential suspects during the time of the burglary can help rule them out or strengthen the case against others. Circumstantial Evidence: Security Footage: Recordings from cameras near the scene, such as CCTV footage or doorbell cameras, might capture the perpetrator's activities before, during, or after the crime. Cell Phone Records: Phone tower data or cell phone records of individuals suspected of involvement can corroborate their movements near the scene at the time of the burglary. Financial Records: Tracing financial transactions, such as pawn shop records or online sales of stolen items, might lead investigators to the perpetrator. Criminal History: Prior criminal convictions of individuals suspected of involvement can be considered as circumstantial evidence, especially if related to similar offenses. Remember, securing the scene as soon as possible is crucial to preserving evidence. Do not touch or disturb anything that might have been handled by the perpetrator, and contact the police immediately to report the incident. They will be able to properly assess the scene, collect evidence, and initiate an investigation.
By providing as much information and detailed description of the above elements to the authorities, you can significantly increase the chances of apprehending the culprit and recovering your stolen belongings.</t>
  </si>
  <si>
    <t>What is the difference between a misdemeanor and a felony charge?</t>
  </si>
  <si>
    <t>The key difference between a misdemeanor and a felony charge lies in the severity of the crime and the resulting punishments: Severity: Misdemeanor: Considered a less serious offense, often involving minor harm or damage. Examples include shoplifting, disorderly conduct, or traffic violations. Felony: Considered a more serious offense, often involving significant harm or damage, or posing a greater threat to society. Examples include robbery, assault, drug trafficking, or major fraud.
Punishments: Misdemeanor: Typically punishable by: Jail time: Up to one year, but often less (or even no jail time in some cases). Fines: Usually less significant compared to felonies.
Probation: Common alternative or addition to jail time, requiring supervision and adherence to specific conditions. Felony: Typically punishable by: Jail time: One year or more, potentially reaching decades depending on the severity of the crime. Fines: Often significantly higher than misdemeanors, sometimes amounting to thousands or even millions of pesos. Long-term consequences: Can impact future employment, housing opportunities, and even voting rights.
Additional Considerations:
Classification: The specific classification of a crime as a misdemeanor or felony can vary depending on state or national laws.
Aggravating Factors: Certain factors, like using a weapon during the crime or causing serious injury, can elevate a misdemeanor to a felony.
Legal Proceedings: Felony cases typically involve more complex legal proceedings and stricter standards of evidence compared to misdemeanors.</t>
  </si>
  <si>
    <t>What defenses are available if I'm being accused of shoplifting?</t>
  </si>
  <si>
    <t>If you are accused of shoplifting, it's essential to consult with a qualified lawyer specialising in criminal law to discuss your specific situation and potential defences. Mistaken Identity: If you believe you've been misidentified as the shoplifter, gather evidence to support your claim. This could include witness statements, security footage showing you weren't in the vicinity of the item allegedly stolen, or receipts from other stores you were visiting around the time of the accusation. Absence of Mens Rea: This defence argues that you lacked the intention to steal. This could be applicable if you accidentally placed an item in your bag without realizing it, forgot to pay for an item due to distraction, or were misled by confusing product placement or signage. Consent: If the storekeeper consented to you taking the item (e.g., giving you a sample or allowing you to hold an item while waiting for assistance), this could negate the accusation of theft. Duress: In rare cases, you might argue that you were forced to take the item under duress, such as threats of violence or coercion. However, this is a complex defence requiring substantial evidence. Factual Dispute: You can challenge the factual basis of the accusation, such as questioning the accuracy of security footage or witness statements, or providing evidence that the item in question was never actually in your possession. Procedural Errors: Sometimes, legal errors during the apprehension or investigation process can render the evidence inadmissible or weaken the prosecution's case. Your lawyer can evaluate potential procedural errors and raise them in court. Alibi: If you have a strong alibi that places you elsewhere at the time of the alleged shoplifting, this could significantly weaken the prosecution's case. Negotiation: Depending on the specific circumstances, your lawyer might negotiate with the prosecutor for a reduced charge or alternative sentencing, such as community service or fines, in exchange for pleading guilty to a lesser offence. Cooperate with the authorities during the investigation but avoid admitting guilt or providing unnecessary information.
Consulting a lawyer is crucial to understand your rights, explore available defences, and navigate the legal process effectively.</t>
  </si>
  <si>
    <t>Can you guide me through the legal steps after a hit and run?</t>
  </si>
  <si>
    <t>File a police report: Follow up with the police and make sure they are investigating the hit-and-run. Request a copy of the police report for your records. Consult a lawyer: A qualified lawyer can advise you on your legal rights and options, including filing a lawsuit against the hit-and-run driver (if they are found) or seeking compensation from your own insurance company. Gather evidence and documentation: Your lawyer will help you gather evidence to support your claim, such as medical records, photos, witness statements, police reports, and any communication with the insurance company. Negotiate a settlement or file a lawsuit: Depending on the specific circumstances of your case, your lawyer may attempt to negotiate a settlement with the insurance company or file a lawsuit against the driver for compensation for your injuries, property damage, and other losses.
Additional Considerations: Statute of limitations: There is a time limit for filing a lawsuit after a hit-and-run accident. This varies depending on the jurisdiction, so it's crucial to consult with a lawyer as soon as possible.Uninsured motorist coverage: If the hit-and-run driver is not identified or does not have insurance, you may be able to claim compensation under your own uninsured motorist coverage if you have it. The legal process following a hit-and-run accident can be complex and challenging. Consulting with a qualified lawyer can help ensure your rights are protected and you receive the compensation you deserve.
Do not try to handle the legal process yourself. A lawyer can navigate the legal system, gather evidence, negotiate with insurance companies, and represent you in court if necessary.</t>
  </si>
  <si>
    <t>What are my rights If I'm accused of white-collar crime at work?</t>
  </si>
  <si>
    <t>Remain calm and cooperative: Avoid confrontation or argument with your employer or the authorities. Be courteous and polite, but don't answer questions without legal representation. Request to speak with a lawyer: This is your fundamental right and crucial for protecting your interests. A lawyer can guide you through the legal process, advise you on what to say and not say, and ensure your rights are respected. Gather evidence: If possible, quietly document any relevant information related to the accusation, such as emails, memos, or meeting notes. However, do not tamper with or attempt to destroy any evidence.
Legal Rights: Right to silence: You have the right to remain silent and not answer any questions that could incriminate you. Your lawyer can advise on the best approach to responding to inquiries.
Right to an attorney: You have the right to legal representation throughout the investigation and any potential legal proceedings. Your lawyer can advocate for your rights, build your defense, and represent you in court if necessary. Right to a fair investigation: You have the right to a fair and impartial investigation into the accusations. Your lawyer can ensure the investigation is conducted properly and your rights are not violated. Presumption of innocence: You are innocent until proven guilty in a court of law. The burden of proof lies with the prosecution to demonstrate your guilt beyond a reasonable doubt. Focus on staying informed and involved in your defense. While your lawyer will handle the legal aspects, stay involved in the process and provide them with any relevant information to build a strong defense.
Navigating this situation can be complex, but remember you have rights and options. Take the necessary steps to protect yourself, prioritize your well-being, and seek professional guidance from a qualified lawyer to ensure your rights are protected and you receive fair treatment.</t>
  </si>
  <si>
    <t>What steps should I take if I've been a victim of identity theft?</t>
  </si>
  <si>
    <t>Report the theft:
Philippine National Police (PNP): File a formal complaint at your local police station. Provide copies of any evidence you have, such as emails, text messages, or bank statements showing fraudulent activity. National Bureau of Investigation (NBI): For complex cases or those involving organized crime, consider reporting to the NBI Cybercrime Division. Contact your financial institutions: Immediately alert your bank, credit card companies, and any other financial institutions potentially impacted by the theft. Request them to freeze your accounts related to the fraudulent activity and stop any further transactions.
Change your passwords: Update your passwords for all online accounts, including banking, email, social media, and any other accounts containing sensitive information. Use strong passwords with a mix of uppercase and lowercase letters, numbers, and symbols. You can also consider using a password manager to keep track of strong and unique passwords for each account. Place a credit freeze: Contact the major credit bureaus in the Philippines (TransUnion, Equifax, and Experian) and place a credit freeze on your credit report. This prevents potential attackers from opening new accounts in your name. You can do this online or by calling their customer service. Report social media fraud: If your social media accounts have been compromised, report the fraudulent activity to the respective platforms. They usually have procedures to help restore your accounts and investigate the issue. Gather evidence: Preserve any evidence related to the identity theft, such as emails, text messages, suspicious transactions, and police reports. This will be crucial for filing complaints and pursuing legal action against the perpetrators. Report to relevant agencies: Depending on the type of identity theft, you may consider reporting it to other agencies like the Department of Trade and Industry (DTI) for consumer protection issues, the Securities and Exchange Commission (SEC) for investment scams, or the Department of Justice (DOJ) for legal assistance. Seek legal advice: Consider consulting with a lawyer specializing in fraud and identity theft. They can assess your case, guide you through legal options, and represent you in pursuing civil claims for damages or criminal charges against the perpetrators. Stay informed and vigilant: Educate yourself about common identity theft scams and preventative measures to avoid falling victim again.</t>
  </si>
  <si>
    <t>How does self-defense apply in different situations, and what are the legal limits?</t>
  </si>
  <si>
    <t>Self-defense is a complex legal concept with different applications depending on the specific situation and jurisdiction. The general principle is that you can use reasonable force to defend yourself or others from imminent harm, but there are limitations and nuances to consider. Here's a breakdown of how self-defense applies in different situations and the legal limits:
General Principles: Imminent threat: The threat of harm must be real, immediate, and ongoing. You cannot claim self-defense for past threats or for hypothetical situations. Reasonable force: The force used must be proportional to the threat you face. Using excessive force beyond what is necessary to defend yourself can negate your self-defense claim. Duty to retreat: In some situations, you may have a duty to retreat before using force. This rule varies depending on jurisdiction, but generally applies if retreating is safe and possible. No aggression: You cannot provoke an attack and then claim self-defense. Aggressor instigating the conflict weakens your self-defense argument.
Different Situations: Physical assault: You can use reasonable force to defend yourself against an attacker, such as punches, kicks, or defensive weapons (pepper spray, stun guns) if necessary. Home invasion: You can use more significant force to defend your home and its occupants against a burglary or intruder, potentially including deadly force depending on the severity of the threat. Verbal threats: Verbal threats alone, even if intimidating, are not enough to justify physical force. However, if they are accompanied by threatening gestures or actions that suggest imminent physical harm, self-defense may be applicable. Citizen's arrest: In some limited circumstances, you may be allowed to use reasonable force to detain someone you believe has committed a crime until authorities arrive. This should be done with caution and within legal boundaries.
Legal Limits: Deadly force: Using deadly force is legal only when you reasonably believe that you or someone else is in imminent danger of death or serious bodily harm, and no other reasonable options exist. The consequences of using deadly force are extremely serious, so it should only be used as a last resort. Duty to inform: After using self-defense, you must immediately inform the authorities and explain the circumstances of the incident. Failure to do so might raise suspicion and weaken your claim. Civil consequences: Even if your actions are deemed justified self-defense, you may still face civil charges from the other party in some cases. Consulting with a lawyer is crucial to understand your legal rights and potential liabilities.
Remember: Self-defense is a legal justification, not a free pass for violence. Always prioritize de-escalation and avoiding conflict if possible. Understanding the specific laws and guidelines for self-defense in your jurisdiction is crucial. Seeking legal advice from a qualified lawyer is the most reliable way to ensure you are acting within legal bounds. Even if you are justified in using self-defense, the experience can be traumatic. There are various resources available to help you cope with the emotional and psychological consequences, such as therapy or support groups.</t>
  </si>
  <si>
    <t>What are the penalties for trespassing on private property?</t>
  </si>
  <si>
    <t>Severity of the offense: Simple trespass: Entering private property without permission but without causing any damage or harm is considered simple trespass and classified under Article 280 of the Revised Penal Code. Punishment typically involves arresto menor (up to 30 days in jail) or a fine not exceeding 200 pesos. Qualified trespass: Trespassing with violence or intimidation, committing a crime while on the property, or causing damage can escalate the offense to qualified trespass. This is punishable by prisión correccional in its medium and maximum periods (6 months to 6 years imprisonment) and a fine not exceeding 200,000 pesos.
Presence of aggravating factors: Certain factors can elevate the penalties, such as:
Use of weapons: Carrying or using weapons during the trespass can significantly increase the sentence. Physical harm: Causing injury to another person on the property can lead to additional charges depending on the severity of the harm. Recidivism: Repeated trespassing offenses may result in harsher penalties.
Local ordinances: Some areas or municipalities might have additional ordinances specific to trespassing, which could impose further penalties or fines.
Here are some additional things to keep in mind: Property signage: Clearly posted "No Trespassing" signs on private property strengthen the case against trespassers. Consent: Permission from the property owner or legitimate representative (e.g., security guard) negates the trespassing offense. Mistaken entry: Mistakenly entering the wrong property due to unclear boundaries or believing it was public space might result in reduced penalties or dismissal of the charge.</t>
  </si>
  <si>
    <t>Can you explain the process of expunging criminal record?</t>
  </si>
  <si>
    <t>The process of expunging a criminal record in the Philippines is currently undergoing some changes due to a proposed law called the Clean Slate Act (House Bill 7938). As such, I'll offer information based on both the currently applicable process and the potential changes proposed by the bill.
Current process: Under existing Philippine law, expungement (also called sealing) of a criminal record is generally not a right but a privilege granted by the court at its discretion. It's primarily possible in the following situations: Minors: Individuals who committed crimes when they were below the age of criminal responsibility (15 years old at present) can have their records sealed upon reaching adulthood, provided they demonstrated good behavior and rehabilitation. Successful completion of probation or rehabilitation programs: Individuals who successfully complete court-ordered probation or rehabilitation programs for their offenses may be eligible for expungement, depending on the judge's assessment. Presidential pardon: In rare cases, the President can grant a pardon, which effectively erases the criminal record altogether.
Potential changes under the Clean Slate Act: If passed, the Clean Slate Act would significantly expand the scope of expungement in the Philippines. Some key proposed changes include: Eligibility for low-level crimes: Individuals convicted of certain low-level crimes, such as petty theft, vandalism, or first-time minor drug offenses, would be eligible for expungement after a certain period of clean conduct (one year after completing sentence or probation). Automatic expungement for acquitted cases: Criminal records related to dismissed charges or cases where the individual was acquitted would be automatically expunged after 60 days. Simplified process: The Act proposes a more streamlined and accessible process for applying for expungement, reducing reliance on court discretion and making it easier for eligible individuals to clear their records.
Overall: While the current process for expungement is limited, the proposed Clean Slate Act offers a more expansive and accessible approach. If you are interested in expunging your criminal record, it's recommended to: Consult with a qualified lawyer: A lawyer can assess your specific case, inform you about your eligibility under existing laws and the potential changes under the proposed Act, and guide you through the appropriate process. Gather relevant documents: This may include court records, certificates of completion for probation or rehabilitation programs, and evidence of your clean conduct since completing your sentence. Stay informed about the Clean Slate Act: The Act is still undergoing legislative processes, so staying updated on its progress can help you understand your options and potential timelines. Remember, expungement is not a guarantee, and certain crimes may not be eligible under any circumstances. Consulting with a legal professional is crucial to understand your specific situation and explore the possibilities of clearing your record.</t>
  </si>
  <si>
    <t>What rights do I have during a police search of my home or vehicle?</t>
  </si>
  <si>
    <t>The Right to be Secure from Unreasonable Searches and Seizures: This fundamental right is enshrined in Article III, Section 2 of the Philippine Constitution. It essentially means that police cannot search your home or vehicle without a valid reason or justificationRequirements for a Valid Search: Search warrant: Generally, a search warrant issued by a judge based on probable cause (meaning sufficient evidence to believe a crime has been committed and evidence is present at the location) is required for a lawful search. Exceptions exist for specific situations like hot pursuit, exigent circumstances (danger or destruction of evidence imminent), or consent. Consent: You have the right to refuse or grant consent for a search of your property. Consent should be voluntary and not coerced through threats or intimidation. You can ask to see the warrant before giving consent and have a lawyer present during the search.
During the Search: Right to be informed: You have the right to be informed of the reason for the search and shown the search warrant (if applicable). Right to observe: You have the right to observe the search and ensure it is conducted within the limitations of the warrant or your consent. Right to legal counsel: You have the right to consult with a lawyer before or during the search. Right to refuse questions: You have the right to remain silent and refuse to answer any questions about the search or any potential crimes. If you believe the search is being conducted illegally, you can politely but firmly object and request to speak with a lawyer. Do not resist or obstruct the search physically, as this might lead to further legal consequences. Document the situation, if possible, by taking notes or recording the interaction with the officers (within legal boundaries). After the search, consult with a lawyer to discuss your rights and options, especially if you believe the search was unlawful or if you feel your rights were violated.</t>
  </si>
  <si>
    <t>How can I obtain restraining order in cases of harassment or stalking?</t>
  </si>
  <si>
    <t>Obtaining a restraining order in cases of harassment or stalking in the Philippines is possible under Republic Act No. 9262, also known as the "Anti-Violence Against Women and Children Act of 2004." Here's what you need to know:
Who can file for a restraining order? The offended party (yourself), parents or guardians of the offended party, ascendants, descendants, or collateral relatives within the fourth civil degree of consanguinity or affinity (close family members), officers or social workers of the Department of Social Welfare and Development (DSWD) or social workers of local government units (LGUs), police officers, preferably those in charge of women and children's desks, punong Barangay or Barangay Kagawad (village officials), lawyer, counselor, therapist, or healthcare provider of the petitioner
When can a restraining order be issued? Acts of violence: Any physical abuse, including punching, kicking, slapping, or any bodily harm. Threats of violence: Threatening to inflict physical harm on the petitioner or their family. Psychological or emotional abuse: Acts that inflict mental or emotional suffering, such as stalking, intimidating behavior, controlling actions, or verbal abuse.
Sexual abuse: Any form of unwanted sexual contact or advances. Economic abuse: Depriving the petitioner of financial resources or control over their finances.
Types of restraining orders: Temporary Protection Order (TPO): Issued immediately without the respondent present, providing immediate protection while a full hearing is scheduled. Permanent Protection Order (PPO): Issued after a full hearing, offering long-term protection and imposing specific restrictions on the respondent's behavior.
Steps to obtain a restraining order: Gather evidence: This can include police reports, medical records, witness statements, emails, text messages, social media posts, or any other documented evidence of the harassment or stalking. Consult with a lawyer: While not mandatory, legal advice from a lawyer specializing in family law or domestic violence can be invaluable in navigating the legal process and ensuring your rights are protected. File a petition: You can file the petition at the Family Court or Regional Trial Court within your jurisdiction. The petition should detail the acts of harassment or stalking and the requested protection measures. Hearing: Both parties will be given a chance to be heard, present evidence, and argue their case.
Order issuance: If the court finds sufficient evidence to support the claim, a restraining order (TPO or PPO) will be issued, detailing the respondent's restrictions and the consequences of violating the order.</t>
  </si>
  <si>
    <t>In a domestic violence situation, what legal protections are available for victims?</t>
  </si>
  <si>
    <t>Under Republic Act No. 9262, the "Anti-Violence Against Women and Their Children Act of 2004," victims have access to:
Protection orders: Temporary Protection Order (TPO): Issued quickly without the respondent present, offering immediate protection while a full hearing is scheduled. Permanent Protection Order (PPO): Issued after a full hearing, providing long-term protection and imposing specific restrictions on the abuser's behavior, such as prohibiting them from contacting, approaching, or harming the victim or their children. Criminal sanctions: The Act defines various acts of violence and abuse against women and children as crimes, with penalties ranging from imprisonment to fines, depending on the severity of the offense. Access to shelters and safe houses: These facilities provide secure and supportive environments for victims and their children, offering temporary housing, counseling, and other essential services. Medical and legal assistance: Government agencies like the Department of Social Welfare and Development (DSWD) and the Public Attorney's Office (PAO) offer free legal advice and representation to victims. Additionally, hospitals and medical centers provide medical care and support. Psycho-social services: Counseling and therapy are crucial for victims to cope with the emotional and psychological trauma of abuse. The DSWD and NGOs offer these services to support healing and recovery.
Additional protective measures: Barangay Protection Orders: Under the Barangay Protection Orders Act, barangay officials can issue temporary protection orders valid for 15 days, offering immediate relief in less urgent situations. Anti-Trafficking in Persons Act: This Act protects individuals, particularly women and children, from trafficking and exploitation, which can include domestic servitude and forced marriage.
Remember: Victims of domestic violence should not hesitate to reach out for help. Local authorities, the DSWD, PAO, or hotlines like the National Women's Helpline (1800-1000) can provide immediate support and guidance. Seeking legal advice from a lawyer specializing in family law or domestic violence can be invaluable in navigating the legal process and ensuring your rights are protected.
Prioritizing your safety and well-being is crucial. Don't hesitate to leave an abusive situation and seek refuge in safe houses or with trusted individuals.</t>
  </si>
  <si>
    <t>Inheritance</t>
  </si>
  <si>
    <t>What is the legal process for distributing real estate assets among heirs when there is no will?</t>
  </si>
  <si>
    <t>Without a will, the heirs must sign an Extra-Judicial Settlement of Estate (EJS). This notarized legal document lists the assets that comprise the decedent’s estate and the agreed-upon method of division among the legal heirs.</t>
  </si>
  <si>
    <t>Ano ang legal na proseso para sa pamamahagi ng mga ari-arian ng real estate sa mga tagapagmana kapag walang testamento?</t>
  </si>
  <si>
    <t>How does the probate process work for inheriting property, and what are the key steps involved?</t>
  </si>
  <si>
    <t>Probate is the court-supervised process of authenticating a last will and testament if the deceased made one. It includes locating and determining the value of the person’s assets, paying their final bills and taxes, and distributing the remainder of the estate to their rightful beneficiaries.</t>
  </si>
  <si>
    <t>Paano gumagana ang proseso ng probate para sa pagmamana ng ari-arian, at ano ang mga pangunahing hakbang na kasangkot?</t>
  </si>
  <si>
    <t>In the absence of a will, how is the distribution of inherited property determined in accordance with state laws?</t>
  </si>
  <si>
    <t>In the absence of a will, the state divvies up a person’s real property and personal property. In the absence of a will, the law of intestate succession takes precedence. Even if you knew what the decedent’s wishes were upon their death, if a valid will does not exist there are no legal exceptions to the situation.</t>
  </si>
  <si>
    <t>Kung walang testamento, paano tinutukoy ang pamamahagi ng minanang ari-arian alinsunod sa mga batas ng estado?</t>
  </si>
  <si>
    <t>What are the tax implications for heirs receiving property through inheritance, and how can they be minimized?</t>
  </si>
  <si>
    <t>When heirs receive property through inheritance, they may face tax implications such as capital gains tax on appreciated assets and income tax on any income generated. To minimize these taxes, heirs can consider strategies like holding onto the property to qualify for long-term capital gains rates, exploring gifting or gradual ownership transfer options, and seeking professional advice from tax experts or financial planners for tailored strategies to optimize inheritance benefits while minimizing tax burdens.</t>
  </si>
  <si>
    <t>Ano ang mga implikasyon sa buwis para sa mga tagapagmana na tumatanggap ng ari-arian sa pamamagitan ng mana, at paano sila mababawasan?</t>
  </si>
  <si>
    <t>Can a person disinherit a family member, and what legal steps are necessary to do so?</t>
  </si>
  <si>
    <t>Yes, in many jurisdictions, a person can disinherit a family member, although the specific laws and procedures vary depending on the jurisdiction. Typically, to disinherit a family member, the individual must clearly express their intention to do so in a legally valid document, such as a will or a trust. This document should explicitly state that the family member is being disinherited and provide the reasons for this decision, if desired. It's crucial to ensure that the document complies with all legal requirements regarding execution, witnesses, and any specific formalities mandated by local laws to prevent challenges to its validity. Seeking guidance from a qualified attorney experienced in estate planning and probate law is highly recommended to navigate the process effectively and ensure that the disinheritance is legally enforceable.</t>
  </si>
  <si>
    <t>Maaari bang mawalan ng mana ang isang tao sa isang miyembro ng pamilya, at anong mga legal na hakbang ang kailangan para magawa ito?</t>
  </si>
  <si>
    <t>How does joint tenancy or tenancy in common affect the inheritance of property, and what are the legal rights of co-owners?</t>
  </si>
  <si>
    <t>Joint tenancy and tenancy in common have distinct effects on the inheritance of property and the legal rights of co-owners. In joint tenancy, the right of survivorship means that when one owner passes away, their share automatically transfers to the surviving joint tenant(s), bypassing probate and inheritance laws. Conversely, in tenancy in common, each co-owner holds a separate share that can be passed on to their heirs through a will or intestacy laws. Co-owners in both arrangements have rights such as possession, use, and sharing in profits, but these can vary based on specific agreements or local regulations. It's crucial for co-owners to understand these implications and seek legal advice to ensure their intentions regarding inheritance and property rights are properly documented and protected.</t>
  </si>
  <si>
    <t>Paano nakakaapekto ang magkasanib na pangungupahan o pare-parehong pangungupahan sa pamana ng ari-arian, at ano ang mga legal na karapatan ng mga kapwa may-ari?</t>
  </si>
  <si>
    <t>What role does the executor play in overseeing the distribution of inherited property, and what legal responsibilities do they have?</t>
  </si>
  <si>
    <t>The executor represents the estate in court, often appearing on behalf of the estate, filing an inventory of assets with the court, and handling other legal duties. The executor oversees all financial matters and maintenance of properties and assets through the process, as well as paying bills and filing taxes.</t>
  </si>
  <si>
    <t>Anong papel ang ginagampanan ng tagapagpatupad sa pangangasiwa sa pamamahagi ng minanang ari-arian, at anong mga legal na responsibilidad ang mayroon sila?</t>
  </si>
  <si>
    <t>How are debts and liabilities associated with the inherited property handled during the inheritance process?</t>
  </si>
  <si>
    <t>Creditors have specific rights, and the estate's assets can be used to pay off existing debts. Settlement Agreement: Siblings can enter into an extrajudicial settlement if they all agree on the distribution, provided there are no debts, or they can cover the debts themselves.</t>
  </si>
  <si>
    <t>Paano pinangangasiwaan ang mga utang at pananagutan sa minanang ari-arian sa panahon ng proseso ng pagmamana?</t>
  </si>
  <si>
    <t>Are there any legal restrictions or requirements for selling inherited property, and what steps should be taken to transfer ownership?</t>
  </si>
  <si>
    <t>You can sell land that you've inherited. The needed steps include changing ownership, checking for claims, setting a price, and finding a buyer. When selling inherited property, keeping your tax bill in mind is paramount. Understanding capital gain taxes on your potential sale is crucial.</t>
  </si>
  <si>
    <t>Mayroon bang anumang legal na paghihigpit o kinakailangan para sa pagbebenta ng minanang ari-arian, at anong mga hakbang ang dapat gawin upang ilipat ang pagmamay-ari?</t>
  </si>
  <si>
    <t>How does the inheritance of a family home affect the rights of a surviving spouse, and what legal protections exist for them?</t>
  </si>
  <si>
    <t>The inheritance of a family home can have significant implications for the rights of a surviving spouse, particularly in jurisdictions with specific laws protecting their interests. In many places, a surviving spouse is entitled to certain legal protections, such as the right to inherit a portion or all of the family home, regardless of the deceased spouse's will or estate plan. These protections, often referred to as spousal or marital rights, aim to ensure that the surviving spouse is adequately provided for and can continue to reside in the family home. Legal mechanisms such as spousal elective shares, homestead exemptions, and community property laws may come into play to safeguard the surviving spouse's rights and prevent their displacement or disinheritance from the family home. It's essential for individuals to be aware of these legal protections and to seek guidance from experienced attorneys to navigate inheritance matters involving family homes and spousal rights effectively.</t>
  </si>
  <si>
    <t>Paano nakakaapekto ang mana ng tahanan ng pamilya sa mga karapatan ng nabubuhay na asawa, at anong mga legal na proteksyon ang umiiral para sa kanila?</t>
  </si>
  <si>
    <t>Can you explain the legal process and potential challenges involved in inheriting property, especially when there is no clear will, and what steps should one take to ensure a smooth and legally sound transfer of inherited real estate assets?</t>
  </si>
  <si>
    <t>Inheriting property without a clear will entails a complex legal process, typically involving probate to distribute assets according to state intestacy laws. Challenges may include disputes among heirs, identifying all potential heirs, assessing property value, settling debts, and addressing tax implications. To ensure a smooth transfer, consult a probate attorney, gather relevant documents, file a petition with the probate court, communicate with heirs, and seek advice from financial and tax professionals. By following these steps, individuals can navigate the process efficiently and ensure a legally sound transfer of inherited real estate assets.</t>
  </si>
  <si>
    <t>Maaari mo bang ipaliwanag ang legal na proseso at mga potensyal na hamon na kasangkot sa pagmamana ng ari-arian, lalo na kapag walang malinaw na kalooban, at anong mga hakbang ang dapat gawin upang matiyak ang maayos at legal na maayos na paglipat ng minanang mga ari-arian ng real estate?</t>
  </si>
  <si>
    <t>How does the probate process work, and what role does it play in the distribution of inherited property?</t>
  </si>
  <si>
    <t>During the probate process, the court supervises the transfer of property to the inheritors, as well as the paying of any debts and taxes owed by the deceased person. If the deceased person left behind a valid will, the property will be distributed according to the terms of the will.</t>
  </si>
  <si>
    <t>Paano gumagana ang proseso ng probate, at anong papel ang ginagampanan nito sa pamamahagi ng minanang ari-arian?</t>
  </si>
  <si>
    <t>What legal rights and responsibilities do heirs have during the probate process?</t>
  </si>
  <si>
    <t>In a probate case, an executor (if there is a will) or an administrator (if there is no will) is appointed by the court as personal representative to collect the assets, pay the debts and expenses, and then distribute the remainder of the estate to the beneficiaries (those who have the legal right to inherit), all under the supervision of the court.</t>
  </si>
  <si>
    <t>Anong mga legal na karapatan at responsibilidad ang mayroon ang mga tagapagmana sa panahon ng proseso ng probate?</t>
  </si>
  <si>
    <t>In the absence of a will, how is the distribution of property determined according to state laws, and what factors influence this process?</t>
  </si>
  <si>
    <t>In the absence of a will, the legal system applies the intestacy laws of each state to determine the distribution of assets. The court examines the deceased person's estate and decides whether their spouse, children, parents, or siblings will inherit the assets. This process is time-consuming and can be overwhelming for surviving family members.</t>
  </si>
  <si>
    <t>Kung walang testamento, paano tinutukoy ang pamamahagi ng ari-arian ayon sa mga batas ng estado, at anong mga salik ang nakakaimpluwensya sa prosesong ito?</t>
  </si>
  <si>
    <t>Are there any tax implications associated with inheriting property, and how can one minimize the tax burden?</t>
  </si>
  <si>
    <t>Inherited property may also be subject to capital gains tax (CGT). You may have to pay CGT as part of your income tax when you sell an asset like property (or even stock) for more than its original cost. Find out how you can best use trusts for estate planning to minimise the tax bill your beneficiaries will face</t>
  </si>
  <si>
    <t>Mayroon bang anumang implikasyon sa buwis na nauugnay sa pagmamana ng ari-arian, at paano mababawasan ang pasanin sa buwis?</t>
  </si>
  <si>
    <t>Can a person contest a will or challenge the distribution of inherited property, and what legal grounds are typically considered in such cases?</t>
  </si>
  <si>
    <t>Yes, individuals can contest a will or challenge the distribution of inherited property under specific legal circumstances. Grounds for contesting a will typically include lack of testamentary capacity, undue influence, fraud or forgery, improper execution, mistake or ambiguity, and revocation. Contesting a will involves a complex legal process and requires the assistance of an experienced estate litigation attorney to navigate effectively. It's crucial to consult with legal professionals to assess the validity of potential grounds for contesting a will and understand the available options for challenging the distribution of inherited property.</t>
  </si>
  <si>
    <t>Maaari bang labanan ng isang tao ang isang testamento o hamunin ang pamamahagi ng minanang ari-arian, at anong mga legal na batayan ang karaniwang isinasaalang-alang sa mga ganitong kaso?</t>
  </si>
  <si>
    <t>How are jointly-owned properties handled in the context of inheritance, especially in cases of joint tenancy or tenancy in common?</t>
  </si>
  <si>
    <t>Jointly owned property will pass to the other property owners regardless of what the deceased party’s will states. To that end, even if a person leaves a house to a surviving child, that child would not inherit the house if a joint tenant still survives, regardless of whether that tenant is in the will.</t>
  </si>
  <si>
    <t>Paano pinangangasiwaan ang mga ari-arian ng magkasanib na pag-aari sa konteksto ng mana, lalo na sa mga kaso ng magkasanib na pangungupahan o pangungupahan sa karaniwan?</t>
  </si>
  <si>
    <t>What steps should be taken to transfer ownership of inherited real estate, and are there any legal requirements or restrictions?</t>
  </si>
  <si>
    <t>To transfer ownership of inherited real estate, several steps must be taken. First, obtain a copy of the deceased owner's death certificate and locate the original deed to the property. If the property is going through probate, wait for the court to finalize the process and issue an order of distribution. Once authorized, prepare a new deed transferring ownership to the heirs or beneficiaries as specified in the will or determined by intestacy laws. The deed must be signed by all relevant parties and notarized. Finally, record the new deed with the appropriate county or municipal office to officially transfer ownership. Legal requirements and restrictions vary by jurisdiction, but typically involve adherence to state probate laws, ensuring proper documentation, and complying with any local recording requirements for real estate transactions. Consulting with a real estate attorney or title company can provide guidance specific to the relevant laws and procedures.</t>
  </si>
  <si>
    <t>Anong mga hakbang ang dapat gawin upang ilipat ang pagmamay-ari ng minanang real estate, at mayroon bang anumang legal na kinakailangan o paghihigpit?</t>
  </si>
  <si>
    <t>How are debts and liabilities associated with the inherited property addressed, and to what extent are heirs responsible for them?</t>
  </si>
  <si>
    <t>Heirs cannot be held personally responsible for the debts of their predecessor. The heirs’ extent of liability to the creditor is limited to the value of the estate which they inherited from the decedent.</t>
  </si>
  <si>
    <t>Paano tinutugunan ang mga utang at pananagutan sa minanang ari-arian, at hanggang saan ang pananagutan ng mga tagapagmana para sa kanila?</t>
  </si>
  <si>
    <t>Can a person disinherit a family member, and what legal considerations should be taken into account when doing so?</t>
  </si>
  <si>
    <t>As long as the person is of sound mind and body, with full mental capacity, they may choose to disinherit any beneficiary or heir for any reason, or no reason at all. An exception to this general rule exists in those states that have “forced inheritance” laws that prevent complete disinheritance of children and/or spouses.</t>
  </si>
  <si>
    <t>Maaari bang alisin ng isang tao ang isang miyembro ng pamilya, at anong mga legal na pagsasaalang-alang ang dapat isaalang-alang kapag ginagawa ito?</t>
  </si>
  <si>
    <t>What legal protections exist for surviving spouses in the inheritance of a family home, and how does it impact their rights?</t>
  </si>
  <si>
    <t>Legal protections for surviving spouses in the inheritance of a family home vary depending on jurisdiction but often include provisions to ensure the surviving spouse's right to reside in the family home and receive a portion of its value. These protections aim to safeguard the surviving spouse's interests and prevent their displacement or disinheritance from the family home. Common protections may include statutory rights of homestead, spousal elective shares, or community property laws, which entitle the surviving spouse to a predetermined share of the family home's value regardless of the deceased spouse's will or estate plan. Additionally, some jurisdictions provide exemptions or allowances for surviving spouses to retain ownership or occupancy rights in the family home, even if it passes to other heirs. These legal protections help ensure that surviving spouses are adequately provided for and can maintain their connection to the family home despite the complexities of inheritance.</t>
  </si>
  <si>
    <t>Anong mga legal na proteksyon ang umiiral para sa mga nabubuhay na mag-asawa sa mana ng isang tahanan ng pamilya, at paano ito nakakaapekto sa kanilang mga karapatan?</t>
  </si>
  <si>
    <t>How can one ensure a fair and equitable distribution of property among multiple heirs, and are there legal mechanisms to resolve disputes?</t>
  </si>
  <si>
    <t>Individuals facing such conflicts must be aware of the available legal mechanisms for resolution, such as mediation, arbitration, settlement agreements, probate, and litigation. Seeking the assistance of experienced legal counsel can help protect one's rights and interests while ensuring a fair and equitable resolution to estate-related disputes.</t>
  </si>
  <si>
    <t>Paano masisiguro ng isang tao ang isang patas at patas na pamamahagi ng ari-arian sa maraming tagapagmana, at mayroon bang mga legal na mekanismo upang malutas ang mga hindi pagkakaunawaan?</t>
  </si>
  <si>
    <t>Are there any time limits or deadlines associated with the probate and inheritance process that individuals should be aware of?</t>
  </si>
  <si>
    <t>Yes and you should always seek legal advice however the key time limits to be aware of are as follows :- Inheritance Act Claims – 6 months from the grant of probate Beneficiary making a claim – 12 months from the date of death</t>
  </si>
  <si>
    <t>Mayroon bang anumang mga limitasyon sa oras o mga deadline na nauugnay sa proseso ng probate at mana na dapat malaman ng mga indibidwal?</t>
  </si>
  <si>
    <t>How does the location of the property impact the inheritance process, and what jurisdictional considerations should be taken into account?</t>
  </si>
  <si>
    <t>The location of the property can significantly impact the inheritance process due to variations in probate laws, property laws, and tax regulations across jurisdictions. Each jurisdiction has its own set of rules governing inheritance, including procedures for probate, distribution of assets, and taxation. Additionally, real estate laws may differ regarding property ownership, transfer, and succession rights. Therefore, it's crucial to consider jurisdictional differences when navigating the inheritance process, especially if the deceased owned property in multiple locations. Factors to consider include the location of the deceased's primary residence, where the property is situated, and any applicable laws governing inheritance and property rights in those jurisdictions. Consulting with legal professionals familiar with the laws of each relevant jurisdiction can help ensure compliance with all necessary requirements and streamline the inheritance process across different locations.</t>
  </si>
  <si>
    <t>Paano nakakaapekto ang lokasyon ng ari-arian sa proseso ng pagmamana, at anong mga pagsasaalang-alang sa hurisdiksyon ang dapat isaalang-alang?</t>
  </si>
  <si>
    <t>What documentation and legal formalities are required for a smooth transfer of inherited property, and how can one navigate these processes?</t>
  </si>
  <si>
    <t>For a smooth transfer of inherited property, several documentation and legal formalities are typically required. First, obtain the deceased owner's death certificate, which serves as proof of death and is essential for initiating the transfer process. Next, identify and gather all relevant estate planning documents, including the deceased's will, trust documents, and any court orders or probate proceedings. Additionally, locate the original deed to the property, as well as any mortgage or lien documents. Depending on the jurisdiction and specific circumstances, other documentation such as affidavits of heirship, letters testamentary, or a certificate of appointment may be necessary. To navigate these processes effectively, consider consulting with an experienced probate attorney or estate planning professional who can provide guidance on the required documentation and legal formalities specific to your situation. They can also assist with preparing and filing the necessary paperwork, ensuring compliance with all legal requirements, and facilitating a smooth transfer of inherited property.</t>
  </si>
  <si>
    <t>Anong dokumentasyon at legal na pormalidad ang kinakailangan para sa maayos na paglilipat ng minanang ari-arian, at paano ma-navigate ang mga prosesong ito?</t>
  </si>
  <si>
    <t>Are there any specific considerations for business properties or investment properties in the context of inheritance?</t>
  </si>
  <si>
    <t>Yes, there are specific considerations for business properties or investment properties in the context of inheritance. When inheriting such properties, it's essential to assess their value, potential income streams, and any existing leases or contracts. Additionally, consider the operational aspects of managing the property, including maintenance, taxes, insurance, and compliance with local regulations. Depending on the structure of the business or investment, there may be implications for ownership rights, control, and decision-making processes among heirs or beneficiaries. It's crucial to address these considerations proactively to ensure the smooth transition and continued operation of the business or investment property. Consulting with legal, financial, and tax professionals can provide valuable guidance on navigating these complexities and maximizing the benefits of inherited business or investment properties.</t>
  </si>
  <si>
    <t>Mayroon bang anumang partikular na pagsasaalang-alang para sa mga ari-arian ng negosyo o mga ari-arian ng pamumuhunan sa konteksto ng mana?</t>
  </si>
  <si>
    <t>How does the process of probate differ when dealing with real estate assets, and what steps should be taken to initiate the probate of an estate with property?</t>
  </si>
  <si>
    <t>The process of probate can differ when dealing with real estate assets due to the unique nature of real property ownership and transfer. When a deceased person owns real estate, the probate process typically involves additional steps to transfer the property's title to the heirs or beneficiaries. These steps may include identifying and inventorying all real estate assets, obtaining appraisals to determine their value, and addressing any outstanding mortgages or liens on the property. Additionally, probate may require specific documentation related to real estate, such as deeds, titles, and property tax records. To initiate the probate of an estate with property, several steps should be taken. First, file a petition with the probate court in the jurisdiction where the deceased resided or where the property is located. This petition requests the court to appoint a personal representative or executor to manage the estate, including the real estate assets. Next, provide the necessary documentation, such as the deceased's will, death certificate, and inventory of assets, including any real estate. The court will then issue letters testamentary or letters of administration, granting the personal representative the authority to act on behalf of the estate. Finally, follow the court's instructions and legal requirements to administer the estate, including transferring or selling real estate assets according to the terms of the will or applicable intestacy laws. Consulting with an experienced probate attorney can provide valuable guidance and assistance throughout the probate process, especially when dealing with real estate assets.</t>
  </si>
  <si>
    <t>Paano naiiba ang proseso ng probate kapag nakikitungo sa mga ari-arian ng real estate, at anong mga hakbang ang dapat gawin upang simulan ang probate ng isang ari-arian na may ari-arian?</t>
  </si>
  <si>
    <t>Can you explain the concept of "intestate succession" and how it applies to the distribution of property when there is no will?</t>
  </si>
  <si>
    <t>Simply stated, there will be legal or intestate succession if the decedent dies without leaving any last will and testament. Thus, the law will step in to distribute, based on the deceased’s presumed will, the inheritance in favor of his or her compulsory heirs.</t>
  </si>
  <si>
    <t>Maaari mo bang ipaliwanag ang konsepto ng "intestate succession" at kung paano ito naaangkop sa pamamahagi ng ari-arian kapag walang habilin?</t>
  </si>
  <si>
    <t>What legal rights do beneficiaries have in the context of inherited property, and how can disputes among beneficiaries be resolved?</t>
  </si>
  <si>
    <t>Beneficiaries of inherited property possess several legal rights, including the entitlement to their designated share as outlined in the deceased's will or according to intestacy laws if there is no will. They also have the right to be informed about estate administration proceedings, challenge the will's validity, and contest the actions of the executor if necessary. Disputes among beneficiaries can be resolved through mediation, negotiation, or litigation, with beneficiaries having the option to seek resolution through the probate court if informal methods fail. It's essential for beneficiaries to understand their rights and seek legal advice when navigating disputes to ensure fair treatment and protect their interests in the inheritance process.</t>
  </si>
  <si>
    <t>Anong mga legal na karapatan ang mayroon ang mga benepisyaryo sa konteksto ng minanang ari-arian, at paano malulutas ang mga hindi pagkakaunawaan sa pagitan ng mga benepisyaryo?</t>
  </si>
  <si>
    <t>Are there any specific considerations or legal obligations for executors in managing and distributing real estate assets within an estate?</t>
  </si>
  <si>
    <t>The duties of an executor include the identification and collection of the assets of the estate, the safeguarding and investment of those assets pending distribution to beneficiaries, the payment of debts and liabilities owed by the estate, the filing of appropriate tax returns for the deceased and the estate, and ultimately the distribution of assets to beneficiaries in accordance with the provisions of the Will.</t>
  </si>
  <si>
    <t>Mayroon bang anumang partikular na pagsasaalang-alang o legal na obligasyon para sa mga tagapagpatupad sa pamamahala at pamamahagi ng mga ari-arian ng real estate sa loob ng isang ari-arian?</t>
  </si>
  <si>
    <t>How does the inheritance of property impact property taxes, and what strategies can be employed to minimize tax liabilities?</t>
  </si>
  <si>
    <t>While completely avoiding inheritance tax may not be feasible, there are strategies to minimize its impact. Gifting assets before death, setting up trusts, and taking advantage of state exemptions can help reduce the inheritance tax burden.</t>
  </si>
  <si>
    <t>Paano nakakaapekto ang pagmamana ng ari-arian sa mga buwis sa ari-arian, at anong mga diskarte ang maaaring gamitin upang mabawasan ang mga pananagutan sa buwis?</t>
  </si>
  <si>
    <t>Can inherited property be sold before the probate process is complete, and what legal implications should be considered in such cases?</t>
  </si>
  <si>
    <t>Can You Sell an Inherited Property Before Probate The short answer is no. You don’t own the property until the probate process finishes. That means you don’t have a right to sell the property until the entire probate process gets finished.</t>
  </si>
  <si>
    <t>Maaari bang ibenta ang minanang ari-arian bago matapos ang proseso ng probate, at anong mga legal na implikasyon ang dapat isaalang-alang sa mga ganitong kaso?</t>
  </si>
  <si>
    <t>What legal mechanisms exist for addressing challenges to the validity of a will affecting property distribution?</t>
  </si>
  <si>
    <t>Common grounds for contesting a will include lack of testamentary capacity, undue influence, fraud, and improper execution. To ensure a fair distribution and resolution of disputes around Wills and Estates, alternatives like mediation and negotiation should be explored before resorting to litigation.</t>
  </si>
  <si>
    <t>Anong mga legal na mekanismo ang umiiral para sa pagtugon sa mga hamon sa bisa ng isang testamento na nakakaapekto sa pamamahagi ng ari-arian?</t>
  </si>
  <si>
    <t>In cases of blended families, what legal considerations should be taken into account when it comes to the inheritance of property?</t>
  </si>
  <si>
    <t>In summary, writing a Will for a blended family can be a complex process. In these scenarios, it's important to consider the legal structure of your family, the distribution of your assets and who will be the executor of your estate. You should also maintain clear communication with your family, to make your wishes clear and avoid future disputes.</t>
  </si>
  <si>
    <t>Sa mga kaso ng pinaghalong pamilya, anong mga legal na pagsasaalang-alang ang dapat isaalang-alang pagdating sa mana ng ari-arian?</t>
  </si>
  <si>
    <t>How does the inheritance of property differ when dealing with various types of real estate, such as residential homes, commercial properties, or vacant land?</t>
  </si>
  <si>
    <t>The inheritance of property can differ depending on the type of real estate involved. Residential homes, commercial properties, and vacant land each have unique characteristics that can impact the inheritance process. Residential homes are typically used for personal dwelling purposes, and inheritance may involve considerations such as occupancy rights, sentimental value, and potential family dynamics. Commercial properties, on the other hand, are used for business purposes, and inheritance may involve considerations such as lease agreements, rental income, and business continuity. Vacant land may have development potential or environmental considerations, impacting its value and potential uses. Additionally, each type of real estate may be subject to different zoning regulations, tax implications, and maintenance requirements, which can influence the inheritance process and subsequent management of the property. Understanding these differences and seeking appropriate legal and financial guidance can help ensure a smooth and successful inheritance of various types of real estate.</t>
  </si>
  <si>
    <t>Paano naiiba ang mana ng ari-arian kapag nakikitungo sa iba't ibang uri ng real estate, tulad ng mga tirahan, komersyal na ari-arian, o bakanteng lupa?</t>
  </si>
  <si>
    <t>What legal safeguards are in place to protect the rights of minor heirs in the inheritance of property?</t>
  </si>
  <si>
    <t>If the value of property left to the minor is not significant, usually $20,000 or less, state law may allow an interested adult such as the minor's parent or grandparent to request that the minor's inheritance be placed in an account established under the state's Uniform Transfers to Minors Act (UTMA) or Uniform Gifts to Minors Act (UGMA).</t>
  </si>
  <si>
    <t>Anong mga legal na pananggalang ang inilalagay upang protektahan ang mga karapatan ng mga menor de edad na tagapagmana sa mana ng ari-arian?</t>
  </si>
  <si>
    <t>Can a person place conditions on the inheritance of their property, and how legally enforceable are such conditions?</t>
  </si>
  <si>
    <t>The court will ignore such conditions. You may not place restrictions on marriage. Generally, the court will not enforce conditions intended to forbid a beneficiary from getting married.</t>
  </si>
  <si>
    <t>Maaari bang maglagay ng mga kundisyon ang isang tao sa mana ng kanilang ari-arian, at gaano legal na naipapatupad ang mga naturang kundisyon?</t>
  </si>
  <si>
    <t>What are the implications of having a trust in place for the inheritance of property, and how does it affect the probate process?</t>
  </si>
  <si>
    <t>Having a trust in place for the inheritance of property can have several implications, including potentially avoiding the probate process altogether. When property is placed in a trust, it is legally owned by the trust itself, rather than the individual. As a result, upon the trust creator's death, the property can pass directly to the beneficiaries named in the trust without going through probate. This can lead to faster distribution of assets, increased privacy, and potentially reduced costs associated with probate proceedings. Additionally, trusts offer greater flexibility in how assets are managed and distributed, allowing the trust creator to specify detailed instructions for asset distribution, provide for beneficiaries with special needs, and minimize estate taxes. However, establishing and managing a trust involves upfront costs and ongoing administrative responsibilities, such as funding the trust, appointing a trustee, and ensuring compliance with legal requirements. It's essential to consult with legal and financial professionals to determine whether a trust is appropriate for your specific circumstances and to ensure that it is properly drafted and administered to achieve your estate planning goals.</t>
  </si>
  <si>
    <t>Ano ang mga implikasyon ng pagkakaroon ng tiwala sa lugar para sa mana ng ari-arian, at paano ito nakakaapekto sa proseso ng probate?</t>
  </si>
  <si>
    <t>How can individuals plan for the smooth transfer of family businesses or farms as part of the inheritance process?</t>
  </si>
  <si>
    <t>You should contact your bank and let them know that you are planning to transfer the business to your children or child through a sale or family inheritance, says Snell, who works with families to help them plan the transition. You will also need to contact your lawyer and accountant to do the required estate and tax planning, she says.</t>
  </si>
  <si>
    <t>Paano magplano ang mga indibidwal para sa maayos na paglipat ng mga negosyo ng pamilya o mga sakahan bilang bahagi ng proseso ng mana?</t>
  </si>
  <si>
    <t>What legal options are available for individuals who want to ensure their property is distributed according to their wishes but are concerned about potential challenges to their will?</t>
  </si>
  <si>
    <t>Individuals concerned about potential challenges to their will have several legal options available to ensure their property is distributed according to their wishes. Consulting with an estate planning attorney can help ensure the will is properly drafted and executed, reducing the risk of challenges. Including a no-contest clause disinherits beneficiaries who contest the will, deterring potential challengers. Creating a revocable living trust allows assets to pass directly to beneficiaries without going through probate, offering greater privacy and reducing the likelihood of challenges. Openly communicating wishes with loved ones and regularly reviewing and updating the estate plan can also help prevent misunderstandings and minimize the risk of challenges to the will.</t>
  </si>
  <si>
    <t>Anong mga legal na opsyon ang magagamit para sa mga indibidwal na gustong matiyak na ang kanilang ari-arian ay ipinamamahagi ayon sa kanilang kagustuhan ngunit nag-aalala tungkol sa mga potensyal na hamon sa kanilang kalooban?</t>
  </si>
  <si>
    <t>How do state and federal laws regarding inheritance and property distribution interact, and what steps can be taken to navigate these legal complexities?</t>
  </si>
  <si>
    <t>State and federal laws regarding inheritance and property distribution interact in various ways, with state laws primarily governing matters such as intestacy, wills, probate procedures, and property ownership rights, while federal laws may impact estate taxes, retirement accounts, and certain types of property like intellectual property or federally-regulated assets. To navigate these legal complexities effectively, individuals should take several steps. First, consult with legal professionals knowledgeable about both state and federal laws governing inheritance and property distribution. They can provide guidance on how these laws intersect and impact your specific circumstances. Second, understand the differences between state and federal laws and how they apply to your estate planning goals. Third, review and update your estate plan regularly to ensure compliance with any changes in state or federal laws. Finally, consider seeking advice from financial professionals to optimize your estate plan and minimize tax liabilities. By taking these steps and staying informed about relevant laws, individuals can navigate the complexities of state and federal laws regarding inheritance and property distribution effectively.</t>
  </si>
  <si>
    <t>Paano nakikipag-ugnayan ang mga batas ng estado at pederal tungkol sa pamana at pamamahagi ng ari-arian, at anong mga hakbang ang maaaring gawin upang ma-navigate ang mga legal na kumplikadong ito?</t>
  </si>
  <si>
    <t>How does the legal process differ when inheriting property located in different states or countries, and what steps should be taken to address potential cross-border issues?</t>
  </si>
  <si>
    <t>When inheriting property located in different states or countries, the legal process can differ due to variations in probate laws, property laws, and taxation across jurisdictions. In some cases, separate probate proceedings may be required in each jurisdiction where property is located, leading to increased complexity, time, and costs. Additionally, each jurisdiction may have its own rules governing inheritance, property transfer, and taxation, which can impact the distribution of assets. To address potential cross-border issues when inheriting property in different states or countries, several steps should be taken. First, consult with legal professionals experienced in international estate planning to understand the relevant laws and requirements in each jurisdiction. Second, gather all necessary documentation related to the property, including deeds, titles, and estate planning documents. Third, consider the use of legal mechanisms such as trusts or wills with international provisions to streamline the inheritance process and minimize potential complications. Finally, seek advice from financial professionals to understand and address any tax implications associated with inheriting property in multiple jurisdictions. By taking these steps and seeking appropriate guidance, individuals can navigate the legal complexities of inheriting property across different states or countries effectively.</t>
  </si>
  <si>
    <t>Paano naiiba ang legal na proseso kapag nagmamana ng ari-arian na matatagpuan sa iba't ibang estado o bansa, at anong mga hakbang ang dapat gawin upang matugunan ang mga potensyal na isyu sa cross-border?</t>
  </si>
  <si>
    <t>Can you explain the concept of a life estate, and how it impacts the inheritance and use of property by beneficiaries?</t>
  </si>
  <si>
    <t>A life estate is a form of joint ownership that allows you to live in your home during your lifetime. Upon your death, the property passes to the co-owner, known as the beneficiary or remainder owner. This is a way to pre-gift your home to your heirs while still protecting your own shelter.</t>
  </si>
  <si>
    <t>Maaari mo bang ipaliwanag ang konsepto ng isang buhay na ari-arian, at kung paano ito nakakaapekto sa pamana at paggamit ng ari-arian ng mga benepisyaryo?</t>
  </si>
  <si>
    <t>What legal considerations should be taken into account when multiple generations are involved in the inheritance of a family property?</t>
  </si>
  <si>
    <t>When multiple generations are involved in the inheritance of a family property, several legal considerations should be taken into account to ensure a smooth and fair process. First, it's important to clarify ownership rights and responsibilities among the different generations, especially if multiple family members will co-own the property. This may involve drafting a co-ownership agreement specifying each party's rights, obligations, and decision-making processes regarding the property. Second, consider estate planning strategies to minimize potential conflicts and tax liabilities, such as creating a trust or establishing a succession plan to transfer ownership of the property to future generations. Third, address potential disputes or disagreements among family members by implementing conflict resolution mechanisms, such as mediation or arbitration clauses in relevant legal documents. Finally, consult with legal and financial professionals specializing in estate planning and family law to ensure that all legal considerations are properly addressed and the interests of all generations involved are protected.</t>
  </si>
  <si>
    <t>Anong mga legal na pagsasaalang-alang ang dapat isaalang-alang kapag maraming henerasyon ang sangkot sa pagmamana ng ari-arian ng pamilya?</t>
  </si>
  <si>
    <t>How are specific bequests of real estate addressed in a will, and what steps should be taken to ensure their proper execution?</t>
  </si>
  <si>
    <t>Specific bequests of real estate in a will are typically addressed by clearly identifying the property being bequeathed and specifying the intended recipient(s). This may include providing a detailed description of the property, such as its address, legal description, or any other identifying information. Additionally, the will should specify any conditions or restrictions associated with the bequest, such as maintenance obligations or limitations on the use of the property. To ensure the proper execution of specific bequests of real estate in a will, several steps should be taken. First, the will should be drafted and executed in compliance with all legal requirements of the jurisdiction where it is created, including signature and witness requirements. Second, the will should be properly stored and safeguarded to prevent loss, damage, or tampering. Third, it's essential to communicate the details of the bequest to the intended recipient(s) and any other relevant parties, such as executors or trustees, to ensure they are aware of their rights and responsibilities. Finally, consult with legal professionals specializing in estate planning and probate law to review the will and address any potential issues or concerns regarding the execution of specific bequests of real estate.</t>
  </si>
  <si>
    <t>Paano tinutugunan ang mga partikular na pamana ng real estate sa isang testamento, at anong mga hakbang ang dapat gawin upang matiyak ang tamang pagpapatupad ng mga ito?</t>
  </si>
  <si>
    <t>In cases of co-ownership or shared property, what legal mechanisms exist to handle disagreements among heirs about the use, sale, or management of the inherited property?</t>
  </si>
  <si>
    <t>In cases of co-ownership or shared property, several legal mechanisms exist to handle disagreements among heirs about the use, sale, or management of the inherited property. One common approach is to include provisions in the relevant legal documents, such as a will, trust, or co-ownership agreement, outlining dispute resolution mechanisms. These may include mediation, arbitration, or the appointment of a neutral third party to make decisions in the event of disagreements. Additionally, heirs may seek judicial intervention through the courts to resolve disputes, such as filing a partition action to force the sale or division of the property. Alternatively, heirs can negotiate and enter into agreements among themselves to address specific issues or concerns, such as creating a buyout agreement allowing one heir to purchase the others' interests in the property. It's essential to consult with legal professionals specializing in estate planning and property law to understand the available options and choose the most appropriate mechanism for handling disagreements among heirs regarding inherited property.</t>
  </si>
  <si>
    <t>Sa mga kaso ng co-ownership o shared property, anong mga legal na mekanismo ang umiiral upang mahawakan ang mga hindi pagkakasundo ng mga tagapagmana tungkol sa paggamit, pagbebenta, o pamamahala ng minanang ari-arian?</t>
  </si>
  <si>
    <t>Are there legal distinctions between inheriting a primary residence and vacation property, and how do these differences affect the inheritance process?</t>
  </si>
  <si>
    <t>Yes, legal distinctions exist between inheriting a primary residence and vacation property, affecting the inheritance process. Primary residences may qualify for tax exemptions like a homestead exemption or step-up in basis, reducing tax liabilities, while vacation properties may not enjoy the same benefits, potentially leading to higher taxes for heirs. Differences in intended use, such as regular occupancy versus intermittent or rental use, can influence property management decisions and potential disputes among heirs. Additionally, varying location and zoning regulations contribute to different legal considerations for inheritance and property management. Heirs should navigate these distinctions with the guidance of legal and financial professionals to address relevant implications effectively.</t>
  </si>
  <si>
    <t>Mayroon bang mga legal na pagkakaiba sa pagitan ng pagmamana ng pangunahing tirahan at pag-aari ng bakasyon, at paano nakakaapekto ang mga pagkakaibang ito sa proseso ng pagmamana?</t>
  </si>
  <si>
    <t>What legal recourse do heirs have if they believe the executor of an estate is not fulfilling their duties appropriately in the context of property distribution?</t>
  </si>
  <si>
    <t>If you believe the executor is failing to properly administer the estate (either through improper actions or through inaction), you have two options: petition the court to remove the executor or file a lawsuit against the executor.</t>
  </si>
  <si>
    <t>Anong legal na paraan ang mayroon ang mga tagapagmana kung naniniwala silang hindi ginagampanan ng tagapagpatupad ng isang ari-arian ang kanilang mga tungkulin nang naaangkop sa konteksto ng pamamahagi ng ari-arian?</t>
  </si>
  <si>
    <t>Can you explain the impact of outstanding mortgages, liens, or other encumbrances on inherited property, and how are these handled during the inheritance process?</t>
  </si>
  <si>
    <t>The impact of outstanding mortgages, liens, or other encumbrances on inherited property can complicate the inheritance process. These debts and legal claims against the property become the responsibility of the estate, with the executor or personal representative tasked with identifying and addressing them. This may involve using estate assets to satisfy outstanding balances or negotiating with creditors. Heirs inheriting property subject to these encumbrances may need to negotiate with creditors, refinance debts, or consider selling the property to settle obligations. Awareness of existing encumbrances and proper legal and financial guidance are crucial for navigating these complexities during the inheritance process effectively.</t>
  </si>
  <si>
    <t>Maaari mo bang ipaliwanag ang epekto ng mga hindi pa nababayarang mortgage, lien, o iba pang encumbrances sa minanang ari-arian, at paano pinangangasiwaan ang mga ito sa panahon ng proseso ng inheritance?</t>
  </si>
  <si>
    <t>How does the inheritance of property impact eligibility for government benefits or assistance programs, and what steps can be taken to preserve such eligibility?</t>
  </si>
  <si>
    <t>The inheritance of property can impact eligibility for government benefits or assistance programs as it may affect an individual's asset and income levels, which are often criteria for program eligibility. Inheriting property could potentially exceed asset limits for programs like Medicaid or Supplemental Security Income (SSI), leading to the loss of benefits. To preserve eligibility, options include transferring ownership into a special needs trust, exploring legal strategies such as gifting or creating a life estate, and consulting with legal and financial professionals experienced in estate planning and government benefit eligibility. Careful consideration and appropriate steps are necessary to protect eligibility for government benefits or assistance programs when inheriting property.</t>
  </si>
  <si>
    <t>Paano nakakaapekto ang pagmamana ng ari-arian sa pagiging karapat-dapat para sa mga benepisyo ng gobyerno o mga programa ng tulong, at anong mga hakbang ang maaaring gawin upang mapanatili ang gayong pagiging karapat-dapat?</t>
  </si>
  <si>
    <t>Are there legal implications for heirs if the deceased had outstanding property-related legal issues, such as ongoing lawsuits or zoning disputes?</t>
  </si>
  <si>
    <t>When a loved one passes away, conflicts may arise among heirs and beneficiaries over inheritance rights, property distribution, and management of assets. Such disputes can lead to prolonged legal battles, affecting family relationships and the rightful distribution of assets.</t>
  </si>
  <si>
    <t>Mayroon bang mga legal na implikasyon para sa mga tagapagmana kung ang namatay ay may mga hindi pa nababayarang legal na isyu na may kaugnayan sa ari-arian, tulad ng mga patuloy na demanda o mga hindi pagkakaunawaan sa zoning?</t>
  </si>
  <si>
    <t>What legal considerations should be kept in mind when gifting property while alive, with the intention of avoiding potential conflicts among heirs after death?</t>
  </si>
  <si>
    <t>When gifting property while alive to avoid potential conflicts among heirs after death, several legal considerations should be kept in mind. First, it's crucial to ensure that the gift is made voluntarily and without undue influence or coercion, as any signs of duress could lead to challenges to the validity of the gift. Second, consider the potential tax implications of the gift, including gift tax and potential capital gains tax if the property has appreciated in value. Third, document the gift properly to establish clear ownership and intent, which can help prevent disputes among heirs later on. This may involve drafting a deed or other legal instrument transferring ownership of the property and obtaining any necessary signatures or approvals. Additionally, communicate openly and transparently with all involved parties, including heirs and beneficiaries, to address any concerns or questions and minimize the risk of future conflicts. Consulting with legal and financial professionals experienced in estate planning and gift taxation can provide guidance on navigating these legal considerations effectively when gifting property while alive.</t>
  </si>
  <si>
    <t>Anong mga legal na pagsasaalang-alang ang dapat isaisip kapag nagregalo ng ari-arian habang nabubuhay, na may layuning maiwasan ang mga potensyal na salungatan sa pagitan ng mga tagapagmana pagkatapos ng kamatayan?</t>
  </si>
  <si>
    <t>How can individuals plan for the care and maintenance of inherited property, especially when multiple heirs are involved and have varying levels of interest?</t>
  </si>
  <si>
    <t>I emphasize careful planning to avoid conflict when multiple heirs inherit property with diverse interests. Encourage open communication – discuss long-term plans, individual needs, and potential financial burdens openly. Consider forming a family LLC or trust to manage the property jointly, with voting rights reflecting varying interests. If desired, opt for buy-out clauses allowing uninterested heirs to sell their shares to those committed to upkeep. Consulting a financial advisor for a shared budget for maintenance and potential renovations can foster collaboration. Remember, flexibility and clear communication are key to ensuring the inherited property becomes a cherished legacy, not a source of discord.</t>
  </si>
  <si>
    <t>Paano magplano ang mga indibidwal para sa pangangalaga at pagpapanatili ng minanang ari-arian, lalo na kapag maraming tagapagmana ang kasangkot at may iba't ibang antas ng interes?</t>
  </si>
  <si>
    <t>Can you provide guidance on the legal and tax implications of transferring property to a trust for the purpose of inheritance?</t>
  </si>
  <si>
    <t>While transferring property to a trust can offer inheritance tax benefits by removing it from your estate, the legal and tax implications are complex and vary significantly depending on factors like your location, the type of trust, and timing of transfer. Seeking professional guidance from a lawyer and tax specialist is crucial to navigate potential gift tax, capital gains tax, and specific trust tax rules. Consider this a complex financial move best undertaken with expert advice.</t>
  </si>
  <si>
    <t>Maaari ka bang magbigay ng gabay sa legal at buwis na implikasyon ng paglilipat ng ari-arian sa isang trust para sa layunin ng mana?</t>
  </si>
  <si>
    <t>What are the potential consequences of not updating a will to reflect changes in property ownership or relationships among heirs over time?</t>
  </si>
  <si>
    <t>Excluding a large asset from the will may result in intestate distribution of the asset. Intestacy laws could divide your estate contrary to your wishes. Always remember your will to reflect new inherited assets as soon as possible.</t>
  </si>
  <si>
    <t>Ano ang mga potensyal na kahihinatnan ng hindi pag-update ng isang testamento upang ipakita ang mga pagbabago sa pagmamay-ari ng ari-arian o mga relasyon sa mga tagapagmana sa paglipas ng panahon?</t>
  </si>
  <si>
    <t>How do state laws address the inheritance of digital assets related to real estate, such as online records, virtual property, or cryptocurrency holdings?</t>
  </si>
  <si>
    <t>The legal landscape for inheriting real estate-related digital assets is a patchwork across states, evolving faster than legislation can keep pace. While some courts grant access to online records based on familial relationships, others stick to strict Terms of Service agreements. Virtual property within video games may be treated as personal property subject to inheritance laws, but cryptocurrency might fall under separate financial regulations. It's vital to consult a knowledgeable lawyer in your state who understands both real estate and digital asset intricacies to navigate this complex and rapidly changing area.</t>
  </si>
  <si>
    <t>Paano tinutugunan ng mga batas ng estado ang pamana ng mga digital na asset na nauugnay sa real estate, tulad ng mga online na talaan, virtual na ari-arian, o mga cryptocurrency holdings?</t>
  </si>
  <si>
    <t>Can you explain the impact of property valuation on the distribution of assets during the probate process, and how is fair market value determined?</t>
  </si>
  <si>
    <t>Property valuation in probate directly impacts asset distribution because it determines the total pool of assets available for beneficiaries. A higher valuation means a larger estate, potentially altering individual shares. Fair market value (FMV) is typically determined by a professional appraiser who considers: 1) Comparable sales: Recent sales of similar properties in the same area; 2) Property condition: Age, updates, repairs needed; 3) Location: Desirable neighborhood, proximity to amenities; 4) Market trends: Current economic climate, housing demand. Accurate FMV ensures fairness among beneficiaries, minimizes disputes, and influences potential tax liabilities on the estate.</t>
  </si>
  <si>
    <t>Maaari mo bang ipaliwanag ang epekto ng pagtatasa ng ari-arian sa pamamahagi ng mga ari-arian sa panahon ng proseso ng probate, at paano tinutukoy ang patas na halaga sa pamilihan?</t>
  </si>
  <si>
    <t>What legal considerations should be taken into account when dealing with unique or specialized properties, such as historic homes or properties with conservation easements?</t>
  </si>
  <si>
    <t>When dealing with unique or specialized properties such as historic homes or properties with conservation easements, it is important to consider the specific tax and legal requirements associated with these types of properties. For historic homes, this may include compliance with the Secretary of the Interior's Standards for Rehabilitation and potential tax credits for qualified rehabilitation expenses. For properties with conservation easements, it is crucial to ensure that the easement is properly drafted and recorded, and that any donations of conservation easements meet the requirements of Section 170(h) of the Internal Revenue Code, including the requirement that the conservation purpose is protected in perpetuity. Additionally, developers should be aware of the potential for IRS enforcement in cases of "bad" conservation easement deals, which can threaten the viability of otherwise successful land conservation transactions.</t>
  </si>
  <si>
    <t>Anong mga legal na pagsasaalang-alang ang dapat isaalang-alang kapag nakikitungo sa mga natatangi o espesyal na pag-aari, tulad ng mga makasaysayang tahanan o ari-arian na may mga conservation easement?</t>
  </si>
  <si>
    <t>In cases of blended families, how do prenuptial agreements affect the inheritance of property, and what legal challenges may arise?</t>
  </si>
  <si>
    <t>Prenuptial agreements in blended families can impact inheritance in complex ways, potentially reducing conflict but also facing legal challenges. They can specify which pre-marital assets remain separate, ensuring pre-existing inheritance plans for biological children aren't disrupted. However, these agreements may be contested by surviving spouses or children if deemed unfair or unconscionable, particularly if one party wasn't fully informed or pressured into signing. Navigating these complexities requires proactive discussions, thorough legal counsel, and clear documentation to maximize clarity and minimize future legal tangles.</t>
  </si>
  <si>
    <t>Sa mga kaso ng pinaghalong pamilya, paano nakakaapekto ang mga prenuptial agreement sa mana ng ari-arian, at anong mga legal na hamon ang maaaring lumitaw?</t>
  </si>
  <si>
    <t>How does the inheritance of property intersect with estate planning strategies, and what role do trusts play in ensuring a seamless transfer of assets?</t>
  </si>
  <si>
    <t>Inheritance of property and estate planning strategies are intricately linked. Without a plan, property distribution is governed by state laws, potentially leading to unintended outcomes and legal complexities. Estate planning empowers you to dictate who inherits your property, minimizing confusion and conflict. Trusts play a crucial role in ensuring a seamless asset transfer. They offer several advantages: Flexibility: You can specify inheritance conditions, manage assets for beneficiaries, and bypass probate, which saves time and money. Asset protection: Trusts shield assets from creditors and lawsuits, ensuring they reach your intended heirs. Tax minimization: Certain trusts offer tax benefits, reducing the financial burden on your beneficiaries.
However, choosing the right trust requires careful consideration. Different types serve different purposes, and they come with administrative costs. Consulting with an estate planning attorney is crucial to tailor a plan that meets your specific needs and goals. Remember, estate planning is an ongoing process. Review and update your plan regularly to reflect changes in your life, assets, and legal landscape. By taking a proactive approach, you can ensure a smooth and efficient transfer of your property, leaving a lasting legacy for your loved ones.</t>
  </si>
  <si>
    <t>Paano nakikipag-ugnay ang pagmamana ng ari-arian sa mga diskarte sa pagpaplano ng ari-arian, at anong papel ang ginagampanan ng mga trust sa pagtiyak ng tuluy-tuloy na paglilipat ng mga asset?</t>
  </si>
  <si>
    <t>Can you provide guidance on the legal implications of receiving an inheritance through a life insurance policy that includes real estate assets?</t>
  </si>
  <si>
    <t>Receiving an inheritance through a life insurance policy that includes real estate assets can have several legal implications, especially in the context of Philippine law. Here are some key points to consider:
Estate Tax: In the Philippines, the estate of the deceased is subject to estate tax, which must be settled before the distribution of the assets to the heirs.
Legal Succession: If the deceased did not leave a will, the legal or intestate succession laws would apply. The National Law of the decedent at the time of death governs the succession
Compulsory Heirs: The law identifies compulsory heirs (such as children, spouse, and parents) who are entitled to a portion of the inheritance called the “legitime” which is protected by law
Life Insurance Proceeds: Generally, life insurance proceeds are not subject to income tax, and beneficiaries do not have to pay tax on the received amount. However, if the policy includes real estate, it may be subject to estate tax
Real Estate Transfer: The transfer of real estate as part of the inheritance may require judicial or extrajudicial settlement and proper documentation to ensure the legal transfer of ownership to the heirs</t>
  </si>
  <si>
    <t>Maaari ka bang magbigay ng gabay sa mga legal na implikasyon ng pagtanggap ng mana sa pamamagitan ng isang patakaran sa seguro sa buhay na kinabibilangan ng mga ari-arian ng real estate?</t>
  </si>
  <si>
    <t>What legal obligations do heirs have regarding the maintenance and upkeep of inherited property, and how are shared costs typically managed?</t>
  </si>
  <si>
    <t>## Heirs' Obligations and Shared Costs for Inherited Property in the Philippines (RA &amp; Constitution)
**Obligations:**
In the Philippines, heirs have several legal obligations regarding the maintenance and upkeep of inherited property, as outlined in the **Civil Code of the Philippines (CCP):**
* **Co-ownership:** Upon inheritance, heirs become **co-owners** of the property, each with a specific share based on their inheritance rights. This establishes a **co-ownership relationship** with shared responsibilities for maintaining the property.
* **Preservation and enjoyment:** Heirs have a **duty to preserve the property** and ensure its continued existence and functionality. This includes taking necessary steps for maintenance and repairs to prevent deterioration or damage.
* **Proportionate contribution:** Each heir is generally responsible for contributing to the upkeep **proportionate to their share of ownership**. This means contributing financially or through effort towards maintenance and repair costs.
**Managing Shared Costs:**
Several options exist for managing shared costs among heirs when it comes to maintaining inherited property:
* **Agreement among heirs:** Heirs can reach a **written agreement** outlining their respective contributions towards maintenance and upkeep costs. This agreement can specify:
* **Financial contributions:** Each heir's share of the total cost based on their ownership percentage.
* **Division of labor:** Assigning specific maintenance tasks to individual heirs based on their skills or preferences.
* **Decision-making process:** Establishing procedures for discussing and agreeing on major repairs or renovations.
* **Court intervention:** If heirs cannot reach an agreement, they can petition the court for **partition** of the property. This process divides the property into individual shares, effectively severing the co-ownership relationship and eliminating shared maintenance responsibilities.
**Important Considerations:**
* **Nature of the property:** The specific maintenance needs and associated costs will vary depending on the type of property (land, building, etc.) and its condition.
* **Communication and cooperation:** Effective communication and cooperation among heirs are crucial for managing shared costs and ensuring the property's upkeep.
* **Legal assistance:** Consulting a lawyer specializing in property law can be beneficial for navigating legal obligations, drafting agreements, and resolving potential disputes regarding shared costs and maintenance responsibilities.
**Disclaimer:** This information is for general understanding and does not constitute legal advice. Consulting a lawyer for specific situations and detailed legal guidance regarding the interpretation and application of relevant laws and the most effective approach for managing shared costs and maintenance responsibilities for inherited property in the Philippines is crucial.</t>
  </si>
  <si>
    <t>Anong mga legal na obligasyon ang mayroon ang mga tagapagmana tungkol sa pagpapanatili at pangangalaga ng minanang ari-arian, at paano karaniwang pinamamahalaan ang mga shared cost?</t>
  </si>
  <si>
    <t>How are disputes among heirs over the division or use of inherited property resolved, and what legal avenues are available for mediation or arbitration?</t>
  </si>
  <si>
    <t>## Resolving Disputes Among Heirs in the Philippines (RA &amp; Constitution)
Disputes among heirs regarding the division or use of inherited property are unfortunately common in the Philippines. Fortunately, several legal avenues exist for resolving these conflicts, promoting peaceful settlements, and ensuring a fair outcome for all involved.
**1. Amicable Settlement:**
* **Preferred approach:** The most **encouraged** method is reaching an **amicable settlement** through open communication, negotiation, and compromise among the heirs. This can involve:
* **Family discussions:** Openly discussing concerns, needs, and preferences regarding the property division or use.
* **Mediation:** Engaging a neutral third party to facilitate communication, guide discussions, and help reach a mutually agreeable solution.
**2. Extrajudicial Settlement:**
* **Formalized agreement:** If an amicable settlement is achieved, it can be formalized through an **Extrajudicial Settlement of Estate**. This document, signed by all heirs, outlines the agreed-upon division of the property or its use, serving as legal evidence of the agreement.
**3. Judicial Settlement:**
* **Court intervention:** If an amicable settlement proves impossible, heirs can resort to **judicial settlement** by filing a case with the appropriate court. The court will then:
* **Hear arguments:** Consider evidence and arguments presented by each heir regarding their claims and desired outcomes.
* **Issue a decision:** Based on the presented evidence and applicable laws, the court will issue a decision on the property's division or use, which is binding on all heirs.
**4. Mediation and Arbitration:**
* **Alternative dispute resolution (ADR):** The Philippines actively promotes **ADR** methods like mediation and arbitration for resolving disputes, including those among heirs.
* **Mediation:** Similar to the approach in amicable settlements, a neutral third party facilitates communication and guides discussions towards a mutually agreeable solution, but with the added benefit of the mediator having legal expertise and potentially more formal dispute resolution skills.
* **Arbitration:** Heirs can agree to binding arbitration, where a neutral third party (arbitrator) hears arguments and issues a binding decision on the dispute, similar to a court ruling, but often with a faster and less formal process.
**Important Considerations:**
* **Choice of method:** The most suitable method depends on the specific circumstances, the level of conflict, and the willingness of all heirs to participate constructively.
* **Legal assistance:** Consulting a lawyer specializing in inheritance and property law is crucial for navigating legal complexities, understanding applicable laws, and protecting individual rights throughout the dispute resolution process.
* **Costs involved:** Each method incurs varying costs, including potential legal fees, court filing fees, and mediator/arbitrator fees.
**Disclaimer:** This information is for general understanding and does not constitute legal advice. Consulting a lawyer for specific situations and detailed legal guidance regarding the most appropriate approach for resolving disputes among heirs, the intricacies of each method, and the potential legal implications is crucial. Remember, seeking professional legal guidance can significantly enhance the chances of achieving a fair and amicable resolution for all involved parties.</t>
  </si>
  <si>
    <t>Paano nareresolba ang mga hindi pagkakaunawaan sa pagitan ng mga tagapagmana sa paghahati o paggamit ng minanang ari-arian, at anong mga legal na paraan ang magagamit para sa pamamagitan o arbitrasyon?</t>
  </si>
  <si>
    <t>What legal safeguards exist to protect the rights of a surviving spouse when it comes to inheriting the marital home or other jointly-owned properties?</t>
  </si>
  <si>
    <t>In the Philippines, several legal safeguards exist to protect the rights of a surviving spouse when it comes to inheriting the marital home or other jointly-owned properties. Here's a breakdown of relevant provisions:
**1. Conjugal Partnership of Gains (CPG) Regime:**
* **Presumption of co-ownership:** Under the default CPG regime, most properties acquired during the marriage are presumed to be co-owned by both spouses, regardless of whose name appears on the title. This includes the marital home and other jointly-owned assets.
* **Surviving spouse's share:** Upon the death of one spouse, the surviving spouse automatically inherits **half** of the conjugal assets, including the marital home and other jointly-owned properties. This share is received **without going through probate** and is **independent of any will** left by the deceased spouse.
**2. Absolute Community of Property Regime:**
* **Equal ownership:** Spouses who choose this regime through a marriage settlement agreement become **equal owners** of all properties acquired during the marriage, regardless of individual contributions.
* **Surviving spouse's inheritance:** Upon the death of one spouse, the surviving spouse automatically inherits the **deceased spouse's half** of the absolute community property, including the marital home and other jointly-owned assets.
**3. Special Legal Regimes:**
* **Separate Property Regime:** Spouses can opt for this regime through a marriage settlement agreement, where properties acquired during the marriage remain separate and individually owned. However, this regime is rarely chosen and requires specific legal formalities.
* **Mixed Property Regime:** This regime combines elements of CPG and Separate Property regimes, requiring careful legal drafting of the marriage settlement agreement to define ownership rights for specific assets.
**4. Rights under the Family Code:**
* **Right to spousal support:** The surviving spouse has the right to receive support from the estate of the deceased spouse, which can be particularly relevant if the surviving spouse relies on income from jointly-owned properties.
* **Succession rights:** If the deceased spouse leaves a will, the surviving spouse still has **compulsory heirship rights**, meaning they cannot be completely disinherited and are entitled to a minimum share of the estate, which might include the marital home or other jointly-owned properties depending on the specific circumstances and the provisions of the will.
**Important Considerations:**
* **Marriage settlement agreement:** If a marriage settlement agreement exists, its provisions regarding property ownership and inheritance rights will prevail over the default CPG regime.
* **Consultation with a lawyer:** Consulting a lawyer specializing in family law and estate planning is crucial for understanding the specific legal protections available in each situation, considering the applicable property regime, potential complications, and ensuring the surviving spouse's rights are adequately protected.
**Disclaimer:** This information is for general understanding and does not constitute legal advice. Consulting a lawyer for specific situations and detailed legal guidance regarding the applicable property regime, inheritance rights, potential legal complications, and the most effective strategies for protecting the surviving spouse's rights is crucial.</t>
  </si>
  <si>
    <t>Anong mga legal na pananggalang ang umiiral upang protektahan ang mga karapatan ng isang nabubuhay na asawa pagdating sa pagmamana ng tahanan ng mag-asawa o iba pang mga ari-arian na pag-aari?</t>
  </si>
  <si>
    <t>Can you explain the impact of changing property values or market conditions on the inheritance process, and how can individuals plan for potential fluctuations?</t>
  </si>
  <si>
    <t>While the inheritance process itself is not directly impacted by changing property values or market conditions, the **value of the inheritance** and potential **tax implications** can be affected:
**Impact on Inheritance Value:**
* **Increased value:** If the property value appreciates significantly between the time of ownership and inheritance, the inheriting individual receives a larger share. Conversely, a decrease in value results in a smaller inheritance.
* **Impact on estate taxes:** The value of inherited property is used to calculate estate taxes. If the property value increases significantly, it might push the estate into a higher tax bracket, potentially increasing the overall tax burden.
**Planning for Fluctuations:**
* **Estate planning:** Consulting with a lawyer and financial advisor can help individuals develop an estate plan that considers potential fluctuations in property values. This might involve:
* **Diversification:** Diversifying assets beyond real estate to mitigate the risk associated with market fluctuations.
* **Life insurance:** Utilizing life insurance to provide additional financial security for beneficiaries and potentially offset potential losses in property value.
* **Living trusts:** Establishing a living trust can offer some control over asset distribution and potentially minimize tax implications.
* **Regular valuation:** Regularly reviewing property values and estate plans helps individuals adjust their strategies and ensure they remain effective in the face of changing market conditions.
**Additional Considerations:**
* **Joint ownership:** Holding property jointly with another individual (e.g., spouse) might offer some protection against market fluctuations, as the surviving owner retains full ownership rights upon the other's death.
* **Beneficiary designations:** Clearly designating beneficiaries for specific assets, including real estate, in wills or retirement accounts can help ensure the intended distribution of inheritance even if property values fluctuate.
**Disclaimer:** This information is for general understanding and does not constitute legal or financial advice. Consulting with a lawyer specializing in estate planning and a financial advisor is crucial for developing a personalized plan that considers individual circumstances, risk tolerance, and potential impacts of changing property values and market conditions on the inheritance process and tax implications.</t>
  </si>
  <si>
    <t>Maaari mo bang ipaliwanag ang epekto ng pagbabago ng mga halaga ng ari-arian o mga kondisyon ng merkado sa proseso ng mana, at paano magplano ang mga indibidwal para sa mga potensyal na pagbabago?</t>
  </si>
  <si>
    <t>What steps should be taken if an heir wishes to sell their share of inherited property, and what legal considerations are involved in such transactions?</t>
  </si>
  <si>
    <t>## Selling an Inherited Share of Property in the Philippines: Steps and Legal Considerations
Inheriting property can be both a blessing and a challenge, especially when multiple heirs are involved. If you, as an heir, wish to sell your share of the inherited property, navigating the process requires careful consideration of legal aspects and following specific steps:
**1. Understand Ownership and Agreements:**
* **Verify ownership:** Confirm your exact ownership percentage in the property through the **Certificate of Title** or **Extrajudicial Settlement of Estate**.
* **Review existing agreements:** Check for any **co-ownership agreements** or **restrictions on sale** outlined in the settlement documents or a will left by the deceased.
**2. Obtain Necessary Documentation:**
* **Estate tax clearance:** Ensure the estate has obtained clearance from the Bureau of Internal Revenue (BIR) regarding estate taxes.
* **Heirship documents:** Gather necessary documents like the **Certificate of Death**, **Extrajudicial Settlement of Estate**, or **judicial court order** proving your inheritance rights.
* **Property documents:** Obtain the **original title deed** and any other relevant property documents.
**3. Inform Co-owners and Negotiate:**
* **Open communication:** Discuss your intention to sell your share with other co-owners openly and transparently.
* **Right of first refusal:** Depending on the co-ownership agreement, other heirs might have the **right of first refusal** to purchase your share before it's offered to external buyers.
* **Negotiate price and terms:** If co-owners are not interested in buying, negotiate a fair selling price and terms with them, considering market value and potential contributions to maintenance and upkeep.
**4. Engage a Lawyer and Real Estate Agent:**
* **Legal guidance:** Consulting a lawyer specializing in property law is crucial to ensure the sale complies with legal requirements, protects your rights, and addresses potential complexities.
* **Real estate expertise:** Engaging a licensed real estate agent can help with market valuation, marketing the property, and navigating the selling process effectively.
**5. Sale and Transfer Process:**
* **Sale agreement:** Once a buyer is found, a **Sale of Share Agreement** outlining the terms and conditions of the sale needs to be drafted and signed by all parties involved.
* **Tax obligations:** You might be liable for **capital gains tax** on the sale, and the lawyer can advise on the applicable tax rate and filing procedures.
* **Transfer of ownership:** Upon completing the sale and fulfilling tax obligations, the **title deed** needs to be updated to reflect the transfer of your ownership share to the buyer.
**Important Legal Considerations:**
* **Compliance with co-ownership agreements:** Any existing agreements regarding co-ownership or restrictions on sale must be strictly adhered to.
* **Tax implications:** Understand your potential capital gains tax liability and ensure proper declaration and payment to avoid legal complications.
* **Disclosure of material facts:** Disclose any known defects or issues with the property to potential buyers to comply with ethical and legal obligations.
* **Seek legal advice:** Consulting a lawyer throughout the process is crucial to navigate legal complexities, protect your rights, and ensure a smooth and successful sale.
**Disclaimer:** This information is for general understanding and does not constitute legal advice. Consulting a lawyer specializing in property law for specific situations and detailed guidance regarding the intricacies of selling an inherited property share, applicable legal requirements, potential tax implications, and navigating the process effectively is crucial.</t>
  </si>
  <si>
    <t>Anong mga hakbang ang dapat gawin kung nais ng isang tagapagmana na ibenta ang kanilang bahagi ng minanang ari-arian, at anong mga legal na pagsasaalang-alang ang nasasangkot sa naturang mga transaksyon?</t>
  </si>
  <si>
    <t>In cases where a family member is excluded from the will, what legal recourse do they have, if any, in contesting the will and claiming a share of the property?</t>
  </si>
  <si>
    <t>In the Philippines, family members excluded from a will **might** have legal recourse to contest the will and claim a share of the property, but the success depends on several factors and meeting specific legal requirements. Here's an overview of the potential options and considerations:
**Grounds for Contesting a Will:**
Under Philippine law, individuals can only contest a will if they have a **valid legal reason**. These reasons typically fall under the following categories:
* **Lack of testamentary capacity:** The deceased lacked the mental capacity to understand the nature and consequences of their actions when creating the will.
* **Undue influence:** The will was created due to coercion, pressure, or manipulation exerted by another person.
* **Fraud:** The will was obtained through deception, misrepresentation, or fraudulent activities.
* **Mistake:** The will contains errors or omissions due to a genuine mistake on the part of the testator (person who made the will).
* **Non-compliance with formalities:** The will was not executed following the legal requirements regarding form and witnesses.
**Individuals with Legal Standing:**
Only individuals with a **legal standing** to contest the will can do so. This typically includes:
* **Compulsory heirs:** These are the closest relatives entitled to a share of the estate by law, regardless of the will's provisions. In the Philippines, compulsory heirs include legitimate descendants, surviving spouse, and parents.
* **Beneficiaries named in a previous will:** If the deceased had a validly executed earlier will that named the excluded individual as a beneficiary, they might have grounds to contest the newer will.
**Process of Contesting a Will:**
Contesting a will involves filing a **petition with the appropriate court**, presenting evidence supporting the chosen ground for contest, and undergoing a legal process that can be lengthy and complex.
**Important Considerations:**
* **Burden of proof:** The burden of proof lies with the individual contesting the will to demonstrate the existence of a valid ground for contest by presenting convincing evidence.
* **Legal representation:** Navigating the complexities of contesting a will requires expertise in estate law. Consulting a lawyer specializing in this area is crucial for understanding the specific legal grounds applicable to the situation, gathering evidence, and effectively representing the individual's interests in court.
* **Alternative dispute resolution:** Exploring alternative dispute resolution (ADR) methods like mediation or arbitration might be a faster and more amicable approach to resolving the dispute compared to a lengthy court battle.
**Disclaimer:** This information is for general understanding and does not constitute legal advice. The specific legal options, success rates, and complexities involved in contesting a will vary depending on the individual circumstances, the grounds for contest, and the applicable laws. Consulting a lawyer specializing in estate law is crucial for a detailed assessment of the situation, understanding the legal rights and options available, and navigating the process effectively.</t>
  </si>
  <si>
    <t>Sa mga kaso kung saan ang isang miyembro ng pamilya ay hindi kasama sa testamento, anong legal na paraan ang mayroon sila, kung mayroon man, sa paglaban sa testamento at pag-claim ng bahagi ng ari-arian?</t>
  </si>
  <si>
    <t>How do state laws address the inheritance of timeshares or vacation properties, and are there specific regulations governing their transfer?</t>
  </si>
  <si>
    <t>## Inheritance of Timeshares and Vacation Properties in the Philippines
**State laws** in the Philippines do not specifically address the inheritance of timeshares or vacation properties. However, the general principles of inheritance outlined in the **Civil Code of the Philippines (Republic Act No. 386)** apply to these types of properties.
Here's a breakdown of the relevant legal framework:
**1. Classification of Timeshares and Vacation Properties:**
* **Timeshares:** These are typically considered **personal property** under Philippine law, as they represent a right to use a specific unit in a resort for a designated period each year.
* **Vacation Properties:** These can be classified as either **real property** (e.g., land and buildings) or **personal property** (e.g., mobile homes, boats) depending on their nature and ownership structure.
**2. Inheritance Process:**
* **Intestate Succession:** If the deceased owner did not leave a will, their timeshare or vacation property will be distributed according to the **intestate succession rules** outlined in the Civil Code. These rules determine the order of inheritance for surviving spouses, descendants, and ascendants.
* **Testate Succession:** If the deceased owner left a will, the timeshare or vacation property will be distributed according to the **provisions of the will**. The will can designate specific beneficiaries and outline their inheritance rights.
**3. Transfer Regulations:**
* **Timeshares:** Transferring timeshares may involve additional steps depending on the specific agreement with the resort developer. These agreements might stipulate restrictions on transferability, requiring approval from the developer or adherence to specific procedures.
* **Real Property:** Transferring real property (e.g., land and buildings) requires compliance with various regulations, including:
* **Registration with the Land Registration Authority (LRA)**
* **Payment of taxes and fees**
* **Compliance with specific requirements for specific types of properties (e.g., condominiums)
**4. Additional Considerations:**
* **Maintenance Fees:** Inheriting a timeshare or vacation property also comes with the responsibility of paying ongoing maintenance fees, which can be a significant financial burden.
* **Tax Implications:** Depending on the value of the property and the relationship between the deceased and the beneficiary, inheritance taxes might apply.
**It is important to note that:**
* This is a general overview, and specific legal details may vary depending on the circumstances of each case.
* Consulting with a qualified lawyer specializing in inheritance and property law is highly recommended to understand the specific legal implications and navigate the inheritance process effectively.
I hope this information helps! Remember, this is not a substitute for professional legal advice.</t>
  </si>
  <si>
    <t>Paano tinutugunan ng mga batas ng estado ang pamana ng mga timeshare o pag-aari ng bakasyon, at mayroon bang mga partikular na regulasyon na namamahala sa kanilang paglipat?</t>
  </si>
  <si>
    <t>Can you provide insights into the legal implications of inheriting property subject to homeowners' association (HOA) rules and regulations?</t>
  </si>
  <si>
    <t>Inheriting property within a homeowners' association (HOA) in the Philippines comes with certain legal implications that both the inheritor and the HOA need to be aware of:
**For the Inheritor:**
* **Membership and Obligations:** Upon inheriting the property, the inheritor automatically becomes a member of the HOA and is bound by its rules and regulations. This includes:
* **Paying HOA dues and fees:** Regularly paying assessments and other charges levied by the HOA for maintaining common areas, amenities, and services.
* **Compliance with HOA rules:** Abiding by the community's established regulations regarding noise levels, pet ownership, property maintenance, and other restrictions outlined in the HOA's governing documents.
* **Potential consequences:** Failure to comply with HOA rules might result in fines, warnings, or even legal action, including foreclosures in extreme cases.
* **Reviewing HOA Documents:** It's crucial for the inheritor to thoroughly review the HOA's governing documents, including the Declaration of Covenants, Conditions, and Restrictions (CC&amp;Rs) and bylaws, to understand their specific rights and responsibilities as a member.
* **Transfer of Ownership:** The inheritor needs to inform the HOA about the inheritance and complete any necessary procedures for transferring ownership of the property to their name on the HOA records. This might involve submitting relevant documents like the Certificate of Death and proof of inheritance.
**For the HOA:**
* **Verification of Ownership:** The HOA should verify the legitimacy of the inheritance through official documents like the Certificate of Death and proof of inheritance before recognizing the inheritor as the new owner.
* **Enforcing Rules and Regulations:** The HOA has the right to enforce its rules and regulations on all members, including new ones like inheritors. However, such enforcement should be fair, consistent, and in accordance with established procedures.
* **Communication and Transparency:** The HOA should maintain open communication with the inheritor, providing them with relevant information about the community, association rules, and any upcoming assessments or changes within the HOA.
**Additional Considerations:**
* **Dispute Resolution:** In case of conflicts between the inheritor and the HOA regarding rules, regulations, or fees, established dispute resolution mechanisms within the HOA should be followed first. If an amicable resolution cannot be reached, legal recourse might be necessary.
* **Seeking Legal Advice:** Both the inheritor and the HOA might benefit from seeking legal advice from lawyers specializing in property law and homeowners' associations to navigate potential complexities and ensure compliance with relevant laws and regulations.
**Disclaimer:** This information is for general understanding and does not constitute legal advice. Consulting a lawyer specializing in property law and homeowners' associations is crucial for specific situations and detailed guidance regarding the legal implications of inheriting property subject to HOA rules and regulations, understanding individual rights and obligations, and navigating any potential disputes or challenges effectively.</t>
  </si>
  <si>
    <t>Maaari ka bang magbigay ng mga insight sa mga legal na implikasyon ng pagmamana ng ari-arian na napapailalim sa mga tuntunin at regulasyon ng homeowners' association (HOA)?</t>
  </si>
  <si>
    <t>What legal considerations should be taken into account when inheriting property with environmental or zoning restrictions, and how can potential issues be navigated?</t>
  </si>
  <si>
    <t>## Legal Considerations for Inheriting Property with Environmental or Zoning Restrictions in the Philippines
Inheriting property with environmental or zoning restrictions in the Philippines involves additional legal considerations beyond the standard inheritance process. Here's a breakdown of the key aspects to be aware of:
**1. Identifying Restrictions:**
* **Environmental Restrictions:** These may arise from various laws and regulations, including the **Philippine Environmental Impact Statement System (EIS) System,** the **Clean Air Act,** the **Clean Water Act,** and the **National Integrated Protected Areas System (NIPAS) Act.** Restrictions can limit development activities, resource utilization, or impose specific environmental protection measures.
* **Zoning Restrictions:** These are established through local zoning ordinances and define permitted land uses within specific areas. Zoning restrictions can dictate what type of structures can be built, their height, density, and other development parameters.
**2. Understanding Impact on Inheritance:**
* Restrictions can affect the **value, usability, and development potential** of the inherited property.
* They may limit the ability to:
* **Sell or transfer** the property freely.
* **Develop or modify** the property for specific purposes.
* **Conduct certain activities** on the property.
**3. Navigating Potential Issues:**
* **Conduct thorough due diligence:** Before accepting the inheritance, it's crucial to **investigate the specific environmental and zoning restrictions** applicable to the property. This can involve:
* Reviewing relevant legal documents, permits, and zoning maps.
* Consulting with government agencies (e.g., Department of Environment and Natural Resources, local planning office).
* Seeking professional advice from lawyers specializing in environmental and property law.
* **Assess potential costs:** Depending on the restrictions, inheriting the property might involve:
* **Compliance costs:** Meeting specific environmental requirements or obtaining necessary permits for development.
* **Remediation costs:** Addressing any existing environmental liabilities associated with the property.
* **Explore options:** Based on the findings, various options can be explored, such as:
* **Accepting the inheritance with full knowledge of the restrictions.**
* **Negotiating with co-inheritors** regarding the division of the property or potential buyouts.
* **Relinquishing the inheritance** through legal means, if permitted by the will or intestacy laws.
**Remember:**
* Consulting with a qualified lawyer specializing in environmental and property law is **essential** to understand the specific legal implications of inheriting the property and guide you through the process effectively.
* Seeking legal advice can help you **navigate potential issues**, ensure compliance with relevant regulations, and make informed decisions regarding the inheritance.
By carefully considering these legal aspects and seeking professional guidance, you can approach inheriting property with environmental or zoning restrictions with greater clarity and confidence.</t>
  </si>
  <si>
    <t>Anong mga legal na pagsasaalang-alang ang dapat isaalang-alang kapag nagmamana ng ari-arian na may mga paghihigpit sa kapaligiran o zoning, at paano ma-navigate ang mga potensyal na isyu?</t>
  </si>
  <si>
    <t>How does the inheritance of property impact the rights and responsibilities of heirs residing in different states or countries, and what legal considerations arise in these situations?</t>
  </si>
  <si>
    <t>Inheriting property when heirs reside in different states or countries introduces additional complexities compared to domestic inheritance. Here's an overview of the potential impacts and legal considerations:
**Impact on Rights and Responsibilities:**
* **Applicable Law:** The legal process and rights of heirs can be governed by the **law of the jurisdiction where the property is located**, regardless of the heirs' residency. This means the specific rules regarding inheritance, distribution of assets, and potential taxes will be determined by the local laws of that jurisdiction.
* **Probate Process:** Heirs might need to participate in the probate process in the state/country where the property is located, which can involve additional legal fees and formalities compared to domestic inheritance.
* **Tax Implications:** Heirs residing in different countries might be subject to **inheritance taxes** in both their home country and the country where the property is located, potentially leading to double taxation in some cases.
**Legal Considerations:**
* **International Estate Planning:** Consulting with lawyers specializing in **international estate planning** is crucial to understand the applicable laws, potential tax implications, and strategies for minimizing complexities and ensuring a smooth inheritance process for all involved.
* **Wills and Estate Planning Documents:** Wills and other estate planning documents should be drafted carefully, considering the international aspect and clearly specifying how the property should be distributed among heirs residing in different jurisdictions.
* **Treaties and Agreements:** Some countries have **treaties or agreements** in place to avoid double taxation or simplify inheritance procedures for residents of specific countries. Exploring the existence of such agreements between relevant countries can be beneficial.
* **Communication and Cooperation:** Effective communication and cooperation among heirs is essential to navigate the complexities of international inheritance, ensure everyone's rights are respected, and reach a consensus on managing the inherited property.
**Additional Challenges:**
* **Currency exchange:** Fluctuations in exchange rates can impact the value of the inherited property and potentially create challenges in dividing the assets fairly among heirs residing in different countries with different currencies.
* **Cultural and legal differences:** Understanding cultural and legal differences between the jurisdictions involved can be crucial for navigating the process effectively and avoiding misunderstandings or conflicts.
**Disclaimer:** This information is for general understanding and does not constitute legal advice. The specific legal implications, rights, and responsibilities of heirs inheriting property across different jurisdictions can be complex and vary depending on the specific circumstances, location of the property, and applicable laws of each involved country. Consulting lawyers specializing in international estate planning and property law in both the relevant jurisdictions is crucial for navigating the intricacies, understanding individual rights and obligations, minimizing potential complications, and ensuring a smooth and successful inheritance process.</t>
  </si>
  <si>
    <t>Paano nakakaapekto ang pagmamana ng ari-arian sa mga karapatan at responsibilidad ng mga tagapagmana na naninirahan sa iba't ibang estado o bansa, at anong mga legal na pagsasaalang-alang ang lumitaw sa mga sitwasyong ito?</t>
  </si>
  <si>
    <t>Can you explain the implications of inheriting property that is part of a trust, and how does the trust structure influence the distribution process?</t>
  </si>
  <si>
    <t>Inheriting property that is part of a trust in the Philippines involves different considerations compared to inheriting property directly. Here's a breakdown of the key points:
**1. Trust Structure and Terms:**
* The specific implications of inheriting trust property depend heavily on the **structure and terms of the trust document.** This document outlines the following:
* **Type of trust:** Revocable or irrevocable.
* **Settlor:** The person who created the trust.
* **Trustee:** The person responsible for managing the trust assets.
* **Beneficiaries:** The individuals or entities entitled to receive benefits from the trust.
* **Distribution provisions:** How the trust assets will be distributed to the beneficiaries, including timing, conditions, and specific property allocation.
**2. Beneficiary Status:**
* **Named beneficiary:** If you are named as a beneficiary in the trust document, you are entitled to receive the property or its benefits according to the **specific terms outlined in the trust.**
* **Unnamed beneficiary:** If you are not explicitly named as a beneficiary, you may not have any inheritance rights to the trust property. However, the trust document might define **contingency plans** or **class gifts** that could potentially benefit you under specific circumstances.
**3. Distribution Process:**
* The distribution of trust property is **governed by the trust document and overseen by the trustee.** They are responsible for ensuring that the property is distributed according to the settlor's wishes and adhering to all legal and fiduciary obligations.
* As an inheriting beneficiary, you may not have direct control over the distribution process. However, you have the right to **receive information about the trust** and **seek clarification** regarding the distribution plan if it appears unclear or inconsistent with the trust terms.
**4. Legal Considerations:**
* In case of any **disputes or disagreements** regarding the trust interpretation or distribution, seeking legal counsel from a lawyer specializing in trust law is highly recommended.
* It's important to remember that the **trust document takes precedence** over any conflicting provisions in a will or intestate succession laws.
**In summary:**
* Inheriting property from a trust requires understanding the specific trust structure and terms.
* Your beneficiary status within the trust determines your inheritance rights.
* The distribution process is overseen by the trustee according to the trust document.
* Consulting a lawyer specializing in trust law is crucial for navigating complex situations or potential disputes.
By understanding these implications and seeking professional guidance when necessary, you can ensure a smooth and informed approach to inheriting property from a trust in the Philippines.</t>
  </si>
  <si>
    <t>Maaari mo bang ipaliwanag ang mga implikasyon ng pagmamana ng ari-arian na bahagi ng isang tiwala, at paano nakakaimpluwensya ang istraktura ng tiwala sa proseso ng pamamahagi?</t>
  </si>
  <si>
    <t>What legal steps can be taken to address potential disputes among heirs when it comes to the division or management of inherited rental properties?</t>
  </si>
  <si>
    <t>Here are some legal steps that can be taken to address potential disputes among heirs when it comes to the division or management of inherited rental properties in the Philippines, based on relevant laws and jurisprudence:
**1. Amicable Settlement:**
* **Extrajudicial Settlement of Estate (Rule 74, Rules of Court):** This is the preferred method when all heirs are of legal age and capacity and agree on the distribution of the property. It involves executing a Deed of Extrajudicial Settlement, which outlines the division of assets, including the rental property, and is notarized.
* **Family Conciliation:** (Republic Act No. 8344 or the Family Code of the Philippines, Article 153): This process involves a court-appointed mediator facilitating communication and negotiation between heirs to reach an amicable settlement.
**2. Judicial Settlement:**
* **Probate of Will (Rule 75, Rules of Court):** If a valid will exists, it must be probated in court to establish its authenticity and enforce its provisions regarding the distribution of the property.
* **Partition Action (Rule 69, Rules of Court):** If no agreement is reached on the division of the property, any heir can file a partition action in court. The court will then decide on the division based on the legal rights of each heir, considering factors like the value of the property and contributions made by individual heirs.
**Relevant Laws and Jurisprudence:**
* **The Constitution of the Philippines, Article XIII, Section 1:** Guarantees the right to property.
* **Rule 74, Rules of Court:** Provides for the extrajudicial settlement of estates.
* **Rule 75, Rules of Court:** Governs the probate of wills.
* **Rule 69, Rules of Court:** Deals with partition actions.
* **Republic Act No. 8344 (Family Code of the Philippines):** Article 153 provides for family conciliation.
**Additional Considerations:**
* **Heirs' rights and obligations:** Each heir has a legal right to a share of the inheritance, but they also have obligations, such as contributing to estate taxes and other expenses.
* **Management of the property:** If the heirs cannot agree on how to manage the property, they may need to appoint a co-administrator or professional property manager.
* **Tax implications:** Heirs are responsible for paying taxes associated with the inheritance, including estate taxes and income taxes from rental income.
It's important to remember that this is just a general overview, and the specific legal steps will depend on the circumstances of each case. Consulting with a qualified lawyer specializing in inheritance and property law is highly recommended to ensure you understand your rights and obligations and navigate the legal process effectively.</t>
  </si>
  <si>
    <t>Anong mga legal na hakbang ang maaaring gawin upang matugunan ang mga potensyal na hindi pagkakaunawaan sa pagitan ng mga tagapagmana pagdating sa paghahati o pamamahala ng minanang mga ari-arian?</t>
  </si>
  <si>
    <t>In cases of multiple marriages, how are the rights of children from different marriages balanced in the inheritance of property, and what legal safeguards can be implemented?</t>
  </si>
  <si>
    <t>In the Philippines, where polygamy is illegal, inheritance rights for children from multiple marriages are primarily determined by the **marital status** of the parents at the time of conception and the existence of a **valid will**. Here's a breakdown of the key points:
**1. Legitimate vs. Illegitimate Children:**
* **Children born from a valid marriage:** These are considered **legitimate children** and have full inheritance rights from both parents, regardless of the number of marriages.
* **Children born outside of marriage:** These are considered **illegitimate children** and their inheritance rights differ based on circumstances:
* **Acknowledged by both parents:** They have **equal inheritance rights** as legitimate children from the acknowledging parent's estate.
* **Acknowledged by only one parent:** They have inheritance rights **only from the acknowledging parent's estate**.
* **Not acknowledged by either parent:** They generally **do not inherit** from their parents' estates.
**2. Importance of a Will:**
* A **valid will** allows the deceased parent to **explicitly define** how their property will be distributed among their children, regardless of their legitimacy status. This can help ensure a **fair and balanced distribution** according to the parent's wishes.
* In the absence of a will, **intestacy rules** outlined in the Civil Code will dictate the distribution, which might not necessarily reflect the parent's intentions or achieve an equal outcome for all children.
**3. Legal Safeguards:**
* **Prenuptial agreements:** These agreements, entered into before marriage, can **pre-determine the distribution** of marital property in case of divorce or death. This can help protect the rights of children from previous marriages by ensuring their inheritance from their biological parent's separate property.
* **Trusts:** Establishing a trust can be another way to **manage and distribute assets** according to specific wishes, potentially benefiting children from different marriages in a designated manner.
**4. Legal Considerations:**
* The specific inheritance rights and available legal safeguards can become **complex** in situations involving multiple marriages, children from different relationships, and potential disputes.
* Consulting with a qualified lawyer specializing in family law and estate planning is **highly recommended** to understand the applicable legal framework, navigate the complexities, and ensure the rights of all children are protected fairly.
**Remember:**
* This is a general overview, and specific legal details and strategies may vary depending on the individual circumstances.
* Seeking professional legal advice is crucial to navigate the intricacies of inheritance in cases of multiple marriages and ensure a fair and balanced outcome for all children involved.</t>
  </si>
  <si>
    <t>Sa mga kaso ng maraming kasal, paano balanse ang mga karapatan ng mga bata mula sa iba't ibang kasal sa mana ng ari-arian, at anong mga legal na pananggalang ang maaaring ipatupad?</t>
  </si>
  <si>
    <t>How does the legal concept of "community property" apply to the inheritance of real estate, and what implications does it have for surviving spouses?</t>
  </si>
  <si>
    <t>Paano nalalapat ang legal na konsepto ng "pag-aari ng komunidad" sa mana ng real estate, at ano ang mga implikasyon nito sa mga nabubuhay na mag-asawa?</t>
  </si>
  <si>
    <t>Can you provide guidance on the legal considerations for heirs inheriting property with significant historical or cultural value?</t>
  </si>
  <si>
    <t>Inheriting property with significant historical or cultural value in the Philippines presents unique legal considerations beyond typical inheritance procedures. Here's an overview of relevant aspects to keep in mind:
**Cultural Heritage Protection:**
* **Republic Act No. 10066 (National Cultural Heritage Act of 2009):** This law safeguards important cultural properties, including historical landmarks, ancestral houses, and artifacts. It establishes a regulatory framework for their identification, registration, conservation, and promotion.
* **Restrictions on Ownership and Transfer:** Properties declared as cultural treasures or national cultural heritage may have limitations on ownership and transfer. Heirs might need approval from relevant authorities before making any significant changes or disposing of the property.
**Inheritance and Estate Planning:**
* **Will and Deed of Donation:** A well-crafted will or deed of donation can specify the heir's intentions for the inherited property, ensuring its preservation and responsible management while adhering to legal requirements.
* **Restrictions on Division:** Depending on the property's cultural significance, there might be legal restrictions on dividing it among heirs. The law may prioritize keeping the property intact to preserve its historical or cultural value.
**Tax Implications:**
* **Tax Exemptions and Incentives:** The government may offer tax exemptions or incentives for heirs who maintain and conserve properties with cultural significance. Consulting a tax professional can help navigate these benefits.
**Additional Considerations:**
* **Consultation with Experts:** Involving experts from the National Commission for Culture and the Arts (NCCA) or heritage conservation organizations can provide valuable guidance on managing and preserving the inherited property.
* **Community Involvement:** Engaging with local communities and stakeholders can foster understanding and support for preserving the property's cultural value.
**Remember, this is a general overview, and the specific legal considerations will depend on the unique characteristics of the inherited property and its cultural significance.** It's highly recommended to consult with a lawyer specializing in cultural heritage law and estate planning to ensure you comply with all legal requirements and navigate the inheritance process effectively while preserving the property's historical and cultural value.</t>
  </si>
  <si>
    <t>Maaari ka bang magbigay ng gabay sa mga legal na pagsasaalang-alang para sa mga tagapagmana na nagmamana ng ari-arian na may makabuluhang halaga sa kasaysayan o kultura?</t>
  </si>
  <si>
    <t>What role does digital documentation play in the inheritance process, and how can heirs access and manage online records related to inherited property?</t>
  </si>
  <si>
    <t>Digital documentation plays an increasingly significant role in the inheritance process, offering both opportunities and challenges for heirs in accessing and managing online records related to inherited property in the Philippines.
**Benefits of Digital Documentation:**
* **Improved Accessibility:** Heirs can access property-related documents like titles, deeds, and tax records conveniently from anywhere with an internet connection, reducing reliance on physical copies and potential risks of loss or damage.
* **Enhanced Transparency:** Online platforms can provide centralized access to property information, fostering transparency and facilitating communication among heirs and relevant authorities.
* **Streamlined Processes:** Digital documentation can potentially expedite certain aspects of the inheritance process, such as verification of ownership and submission of documents to government agencies.
**Challenges and Considerations:**
* **Digital Literacy:** Not all heirs may possess the necessary digital literacy skills to navigate online platforms and access relevant information.
* **Security Concerns:** Ensuring the secure storage and access of sensitive property information online requires careful consideration of cybersecurity measures to prevent unauthorized access or data breaches.
* **Legal Recognition:** While digital documents are increasingly accepted, their legal validity and enforceability may vary depending on the specific context and adherence to relevant regulations.
**Accessing and Managing Online Records:**
* **Government Online Platforms:** The Philippines government offers various online platforms for accessing property information, such as the Land Registration Authority's (LRA) online services and the Bureau of Internal Revenue's (BIR) online filing system.
* **Financial Institutions:** Heirs may need to access online accounts of the deceased linked to the property, such as bank accounts holding investment funds or online portals for utility bills.
* **Estate Planning Documents:** If the deceased used online tools for estate planning, like digital wills or online asset management platforms, heirs will need to follow specific procedures to access and manage these accounts.
**Recommendations:**
* **Consult with a Lawyer:** Seek guidance from a lawyer specializing in inheritance and estate planning to understand the legal implications of digital documentation and navigate accessing online records related to the inherited property.
* **Secure Digital Assets:** Implement appropriate cybersecurity measures to safeguard sensitive information stored online, such as using strong passwords and enabling two-factor authentication.
* **Maintain Physical Copies:** While digital access is convenient, it's advisable to maintain physical copies of critical documents for backup purposes and potential situations where digital access might be unavailable.
**Remember, the legal landscape surrounding digital documentation in inheritance is evolving, and it's crucial to stay informed and seek professional guidance to ensure proper management and secure access to online records related to inherited property.**</t>
  </si>
  <si>
    <t>Anong papel ang ginagampanan ng digital documentation sa proseso ng inheritance, at paano maa-access at mapapamahalaan ng mga tagapagmana ang mga online na talaan na nauugnay sa minanang ari-arian?</t>
  </si>
  <si>
    <t>How are mortgages and other debts secured by the inherited property handled during the probate process, and what legal options do heirs have in managing these obligations?</t>
  </si>
  <si>
    <t>In the Philippines, the handling of mortgages and other debts secured by inherited property during probate and the legal options available to heirs are governed by specific provisions within the **Rules of Court** and relevant jurisprudence. Here's a breakdown:
**Treatment of Secured Debts:**
* **Secured debts:** These are liabilities attached to the inherited property, such as mortgages, home equity loans, or liens. Unlike unsecured debts (e.g., credit card debt), they are directly tied to the specific asset.
* **Priority in Payment:** During probate, secured debts generally have priority over unsecured debts when it comes to repayment from the estate's assets. This means the estate must attempt to settle the secured debt before distributing remaining funds to beneficiaries.
**Options for Heirs:**
1. **Assume the Debt and Keep the Property:** Heirs can choose to accept ownership of the property and become responsible for fulfilling the remaining mortgage payments or other secured debts. This requires careful consideration of their financial capacity and potential risks involved.
2. **Sell the Property to Pay Off the Debt:** Heirs can opt to sell the inherited property through probate court approval or private sale to generate funds for settling the secured debt. Any remaining proceeds after debt settlement would then be distributed according to the will or intestate succession rules.
3. **Abandon the Property and Let the Creditor Foreclose:** If the property's value is insufficient to cover the secured debt, or heirs are unable or unwilling to assume the responsibility, they can choose to relinquish ownership and allow the creditor holding the secured debt (e.g., bank) to proceed with foreclosure proceedings.
4. **Negotiate with the Creditor:** Heirs can attempt to negotiate with the creditor for a modified repayment plan, potentially involving extending the loan term, lowering interest rates, or exploring a short sale option.
**Relevant Legal Provisions:**
* **Rule 69, Rules of Court:** Deals with partition actions, which may become necessary if heirs disagree on how to handle the secured debt and inherited property.
* **Rule 74, Rules of Court:** Provides for the extrajudicial settlement of estates, which can be used if all heirs agree on selling the property to settle the debt.
**Additional Considerations:**
* **Heir Liability:** In general, heirs are not personally liable for the deceased's debts beyond the value of the inherited assets. However, exceptions may exist in specific situations, such as co-signing loans with the deceased.
* **Tax Implications:** Selling the inherited property may trigger capital gains tax for heirs, impacting the final proceeds available for debt settlement.
* **Seeking Legal Guidance:** Consulting a lawyer specializing in probate and estate law is crucial for navigating the complexities of handling secured debts during inheritance, understanding legal options, and protecting the rights of heirs.
Remember, this is a general overview, and the specific approach to handling secured debts and inherited property will depend on the individual circumstances of each case. Consulting a qualified legal professional is highly recommended to ensure informed decision-making and effective management of these obligations during the probate process.</t>
  </si>
  <si>
    <t>Paano pinangangasiwaan ang mga mortgage at iba pang mga utang ng minanang ari-arian sa panahon ng proseso ng probate, at anong mga legal na opsyon ang mayroon ang mga tagapagmana sa pamamahala sa mga obligasyong ito?</t>
  </si>
  <si>
    <t>What legal mechanisms exist for individuals who wish to donate their property to a charitable organization as part of their estate planning?</t>
  </si>
  <si>
    <t>In the Philippines, individuals have several legal mechanisms available to donate their property to charitable organizations as part of their estate planning:
**1. Testamentary Donations:**
* **Will:** This is the most common method. Individuals can specify their intention to donate property to a qualified charitable organization in their will. The will must be properly drafted, witnessed, and signed to be legally valid.
* **Codicil:** If an existing will doesn't include a charitable donation, a codicil can be added to modify the will and include the donation clause.
**2. Inter vivos Donations:**
* **Deed of Donation:** This document formally transfers ownership of the property to the charitable organization during the donor's lifetime. The deed must be notarized and registered with the appropriate government agency.
* **Stock Donation:** Individuals can donate publicly traded securities directly to a qualified charity, offering tax benefits.
**3. Life Estate with Charitable Remainder:**
* This complex arrangement allows the donor to retain the right to use or occupy the property during their lifetime, with ownership automatically transferring to the charity upon their death. This option offers potential tax advantages.
**Relevant Laws and Regulations:**
* **Republic Act No. 9160 (Tax Code of the Philippines):** Provides tax exemptions and deductions for charitable donations, incentivizing such contributions.
* **Securities Regulation Code:** Governs the process of donating publicly traded securities.
**Additional Considerations:**
* **Qualifying Charities:** Ensure the chosen organization is registered with the Securities and Exchange Commission (SEC) and has a valid Donor's Information Sheet (DIS) issued by the Bureau of Internal Revenue (BIR) to qualify for tax benefits.
* **Clarity and Specificity:** Clearly define the donated property and the intended recipient in the legal documents to avoid potential disputes.
* **Seeking Professional Guidance:** Consulting a lawyer specializing in estate planning and tax law is highly recommended to ensure the chosen method complies with legal requirements, maximizes potential tax benefits, and aligns with the donor's overall estate planning goals.
Remember, this is a general overview, and the specific legal mechanisms and considerations may vary depending on the type of property, the chosen charitable organization, and the donor's individual circumstances. Consulting a qualified legal professional is crucial for navigating the legalities of donating property to charity and ensuring a smooth and effective process.</t>
  </si>
  <si>
    <t>Anong mga legal na mekanismo ang umiiral para sa mga indibidwal na gustong mag-abuloy ng kanilang ari-arian sa isang organisasyong pangkawanggawa bilang bahagi ng kanilang pagpaplano ng ari-arian?</t>
  </si>
  <si>
    <t>How does the inheritance of property impact eligibility for means-tested government benefits, and what legal strategies can be employed to preserve such benefits?</t>
  </si>
  <si>
    <t>In the Philippines, inheriting property **can** impact eligibility for means-tested government benefits, but the specific details depend on the type of benefit, the value of the inherited property, and the individual's circumstances. Here's a breakdown:
**Impact on Benefits:**
* **Resource-based benefits:** Many government assistance programs in the Philippines are **resource-based**, meaning they consider an individual's income and assets when determining eligibility and benefit amount. Inheriting property, especially if it has significant value, can increase an individual's total assets and potentially **disqualify them** from receiving benefits or **reduce the amount** they receive.
* **Examples of affected benefits:** Programs like the **Pantawid Pamilyang Pilipino Program (4Ps)** and the **Modified Conditional Cash Transfer Program (MCCTP)** consider both income and assets when determining eligibility.
**Legal Strategies for Preserving Benefits:**
* **Understanding Specific Programs:** It's crucial to **understand the specific rules and eligibility criteria** of the government benefit program in question. Different programs may have varying asset thresholds and exemptions for inherited property.
* **Consulting with a Lawyer:** Seeking guidance from a **lawyer specializing in social welfare law** is highly recommended. They can assess the individual's specific situation, the type of inherited property, and advise on potential strategies to minimize the impact on their benefits.
* **Exploring Legal Options:** Depending on the circumstances, some legal options might be available to help preserve benefits, such as:
* **Holding the property in trust:** A trust allows an individual to transfer ownership of the property to a trustee while retaining certain rights, potentially impacting how the asset is counted for benefit purposes.
* **Selling the property and investing the proceeds in exempt assets:** If permitted by the program rules, selling the inherited property and investing the proceeds in assets not considered for benefit calculations (e.g., educational funds) could be an option.
**Important Caveats:**
* **Ethical Considerations:** It's essential to approach any strategy with **ethical considerations** in mind. Deliberately manipulating assets to qualify for benefits while being financially capable can be considered fraudulent and have legal consequences.
* **Seeking Professional Advice:** Consulting with a qualified lawyer and a financial advisor is crucial to ensure any chosen strategy complies with legal requirements, aligns with the individual's financial goals, and avoids unintended consequences.
Remember, this is a complex topic with various nuances depending on individual circumstances. It's **strongly recommended** to consult with a lawyer specializing in social welfare law and potentially a financial advisor to understand the specific impact of inheriting property on your eligibility for government benefits and explore legal strategies that comply with regulations while preserving your access to necessary assistance.</t>
  </si>
  <si>
    <t>Paano naaapektuhan ng pagmamana ng ari-arian ang pagiging karapat-dapat para sa mga benepisyo ng pamahalaan na sinubok ng paraan, at anong mga legal na estratehiya ang maaaring gamitin upang mapanatili ang mga naturang benepisyo?</t>
  </si>
  <si>
    <t>Can you explain the legal considerations for heirs who wish to convert inherited property into rental units or engage in other commercial uses?</t>
  </si>
  <si>
    <t>Here's an explanation of the legal considerations for heirs who wish to convert inherited property into rental units or engage in other commercial uses in the Philippines:
**1. Ownership and Permissions:**
* **Heirship:** Heirs must first establish their legal ownership of the property through a Certificate of Title and/or an Extrajudicial Settlement of Estate, depending on the presence of a will.
* **Co-ownership:** If multiple heirs inherit the property, their consent is necessary for any significant changes, including converting it to commercial use. Agreements should be documented to avoid future disputes.
**2. Zoning and Land Use:**
* **Zoning Regulations:** Heirs must ensure the property is zoned for the intended commercial use. Local government zoning ordinances dictate permitted activities in specific areas. Contacting the local planning office or barangay is crucial.
* **Permits and Licenses:** Depending on the intended commercial activity, specific permits and licenses might be required from various government agencies. Examples include business permits, barangay clearances, and relevant licenses depending on the nature of the business.
**3. Taxation:**
* **Estate and Inheritance Taxes:** Depending on the value of the inherited property, estate and inheritance taxes might apply. Heirs should consult a tax advisor for proper assessment and compliance.
* **Income Tax:** Once the property becomes a rental unit or generates commercial income, income tax obligations arise. Heirs must register the business and comply with tax filing and payment requirements.
**4. Landlord-Tenant Laws:**
* **Rental Agreements:** If converting to rental units, heirs must comply with the provisions of the Urban Development and Housing Act (RA 7219) and its implementing rules and regulations. This includes creating written lease agreements, adhering to rent regulations, and ensuring proper maintenance of the property.
* **Tenant Rights:** Heirs, as landlords, must respect the rights of tenants as outlined in RA 7219. This includes adhering to eviction procedures, providing basic amenities, and ensuring a safe and habitable environment.
**5. Additional Considerations:**
* **Building Codes and Safety Regulations:** Any modifications or renovations required for commercial use must comply with the National Building Code and relevant safety regulations to ensure structural integrity and occupant safety.
* **Homeowners' Association (HOA) Rules:** If the property is located within a subdivision with an HOA, any changes in use might require approval from the HOA and adherence to their regulations.
**Important Note:**
This information provides a general overview and should not be considered as legal advice. It is highly recommended to consult with a qualified lawyer specializing in property law and taxation to obtain specific guidance based on the unique circumstances of your situation. They can advise on navigating the legal processes, ensuring compliance with relevant laws and regulations, and protecting your rights and interests throughout the process.</t>
  </si>
  <si>
    <t>Maaari mo bang ipaliwanag ang mga legal na pagsasaalang-alang para sa mga tagapagmana na gustong i-convert ang minanang ari-arian sa mga paupahang unit o makisali sa iba pang komersyal na paggamit?</t>
  </si>
  <si>
    <t>What legal steps should be taken if an heir discovers hidden assets or undisclosed real estate during the probate process?</t>
  </si>
  <si>
    <t>Here are the legal steps an heir in the Philippines can take if they discover hidden assets or undisclosed real estate during the probate process:
**1. Gather Evidence:**
* **Document the discovery:** Secure any documents, emails, or recordings that prove the existence of the hidden assets or undisclosed real estate. This could include bank statements, investment records, property deeds, or witness testimonies.
* **Consult the will (if any):** If a will exists, review it carefully to see if there are any mentions of the discovered assets. Inconsistencies between the will and the discovered assets might require further investigation.
**2. Inform the Personal Representative:**
* **Open communication:** Discuss your findings with the personal representative appointed by the court to handle the estate administration. This could be the executor named in the will or an administrator appointed by the court if there is no will.
* **Transparency is key:** Explain how you discovered the hidden assets and provide any supporting evidence you have gathered.
**3. Determine Legal Action:**
* **Consult with a lawyer:** Seek legal advice from a lawyer specializing in probate matters. They can assess the situation, analyze the evidence, and advise on the appropriate legal course of action.
* **Options may include:**
* **Amending the inventory:** If the hidden assets were not included in the initial inventory filed with the court, the lawyer can guide you through the process of amending it to reflect the newly discovered assets.
* **Filing a petition with the court:** Depending on the circumstances, legal action might be necessary to compel the inclusion of the hidden assets in the estate or challenge the actions of the personal representative if they were aware of the assets and failed to disclose them.
**4. Court Proceedings:**
* **Be prepared for potential disputes:** If other heirs contest the inclusion of the discovered assets, the lawyer can represent you in court proceedings to present your case and advocate for your rightful inheritance.
* **Follow legal guidance:** Throughout the process, strictly adhere to the lawyer's instructions and provide all necessary information and documentation to ensure a smooth and successful resolution.
**Important Reminders:**
* **Time is of the essence:** Act promptly upon discovering hidden assets to ensure they are properly accounted for and included in the probate process. Delays can complicate matters and potentially affect your inheritance rights.
* **Do not attempt to handle the situation alone:** Legal matters surrounding probate and estate administration can be complex. Seeking professional legal guidance is crucial to protect your rights and navigate the process effectively.
Remember, this information is for general guidance only and does not constitute legal advice. It is essential to consult with a qualified lawyer specializing in probate law in the Philippines for specific advice tailored to your situation and ensure compliance with all relevant laws and regulations.</t>
  </si>
  <si>
    <t>Anong mga legal na hakbang ang dapat gawin kung ang isang tagapagmana ay nakatuklas ng mga nakatagong ari-arian o hindi nabunyag na real estate sa panahon ng proseso ng probate?</t>
  </si>
  <si>
    <t>How are inherited properties with environmental contamination issues addressed, and what legal obligations do heirs have in managing these concerns?</t>
  </si>
  <si>
    <t>In the Philippines, addressing inherited properties with environmental contamination issues involves a combination of legal considerations and potential liabilities for heirs. Here's a breakdown:
**1. Identifying Contamination:**
* **Heirs' responsibility:** Upon inheriting a property, heirs should exercise due diligence to investigate potential environmental issues. This might involve conducting environmental site assessments or seeking professional advice from environmental consultants.
* **Government records:** Consulting relevant government agencies like the Department of Environment and Natural Resources (DENR) can provide insights into past violations or reported contamination at the property.
**2. Legal Framework:**
* **Environmental laws:** The Philippine Constitution (Article XVI, Sec. 20) mandates the State's responsibility to protect and promote the right to a healthy ecology. Various environmental laws like the Ecological Solid Waste Management Act (RA 9003), Clean Air Act (RA 8749), and Clean Water Act (RA 3933) establish regulations and liabilities for environmental pollution.
* **Polluter Pays Principle:** This principle, enshrined in various environmental laws, holds the polluter accountable for the costs of pollution cleanup and remediation. Heirs inheriting contaminated properties might inherit this liability depending on the specific circumstances.
**3. Heirs' Obligations:**
* **Disclosure:** If heirs are aware of existing environmental contamination, they have a legal obligation to disclose this information to potential buyers or tenants before any transaction. Failure to do so can lead to legal repercussions.
* **Remediation:** Depending on the severity and nature of the contamination, heirs might be obligated to undertake remediation measures to address the issue and comply with environmental regulations. This could involve collaborating with DENR and engaging qualified environmental professionals for cleanup and decontamination efforts.
* **Compliance with regulations:** Heirs must comply with all applicable environmental laws and regulations concerning the contaminated property. This might involve obtaining permits for waste disposal, adhering to specific handling procedures for hazardous materials, and ensuring proper management of any ongoing environmental risks.
**4. Seeking Legal Guidance:**
* **Complexities involved:** Navigating the legal and technical aspects of inherited contaminated properties can be complex. Consulting with a lawyer specializing in environmental law is crucial to understand your specific obligations, potential liabilities, and available options for addressing the situation.
* **Negotiation and agreements:** In some cases, heirs might negotiate with the government or other parties involved to share or transfer the responsibility for remediation based on the circumstances and established legal principles. Legal guidance is essential in navigating such negotiations and ensuring agreements comply with relevant laws.
**Important Note:**
This information provides a general overview and should not be construed as legal advice. The specific legal obligations and liabilities of heirs inheriting contaminated properties will vary depending on the unique circumstances of each case. Consulting with a qualified lawyer specializing in environmental law is highly recommended to obtain specific guidance tailored to your situation and ensure compliance with all relevant legal requirements.</t>
  </si>
  <si>
    <t>Paano tinutugunan ang mga minanang ari-arian na may mga isyu sa kontaminasyon sa kapaligiran, at anong mga legal na obligasyon ang mayroon ang mga tagapagmana sa pamamahala sa mga alalahaning ito?</t>
  </si>
  <si>
    <t>Can you provide guidance on the legal implications of inheriting property subject to restrictive covenants or deed restrictions?</t>
  </si>
  <si>
    <t>Inheriting property in the Philippines subject to restrictive covenants or deed restrictions comes with specific legal implications that heirs must understand to avoid violating these agreements and potential consequences. Here's a breakdown:
**Understanding Restrictive Covenants:**
* **Definition:** Restrictive covenants, also known as deed restrictions, are limitations placed on the use, development, or modification of a property. These limitations are typically outlined in the property deed or homeowners' association (HOA) agreements.
* **Examples:** Common examples of restrictive covenants include restrictions on building height, architectural style, landscaping, types of businesses allowed, and pet ownership.
**Heirs' Obligations:**
* **Abide by the covenants:** Upon inheriting the property, heirs become bound by the existing restrictive covenants, even if they were not aware of them beforehand. Failing to comply with these restrictions can result in legal repercussions.
* **Review the documents:** Heirs should carefully review the property deed, HOA agreements, and any other relevant documents outlining the specific restrictive covenants applicable to the inherited property.
* **Seek clarification:** If any ambiguity exists regarding the interpretation or application of the covenants, consulting with a lawyer specializing in real estate law is advisable to obtain proper clarification and avoid any potential misunderstandings.
**Potential Consequences of Violation:**
* **Enforcement actions:** Homeowners' associations or other parties entitled to enforce the covenants can take legal action against heirs who violate the restrictions. This might involve issuing fines, seeking injunctions to prevent further violations, or even pursuing legal action to compel compliance.
* **Impact on property value:** Breaches of restrictive covenants can negatively impact the property value, making it difficult to sell or rent in the future.
**Additional Considerations:**
* **Changes to the covenants:** Amending or removing restrictive covenants might be possible through a collective agreement among all affected property owners. However, this typically requires following specific procedures outlined in the governing documents and potentially obtaining approval from a majority of homeowners within the community.
* **Seeking legal advice:** Consulting with a lawyer specializing in real estate law is crucial throughout the process. They can advise on the specific implications of the restrictive covenants in your situation, potential legal risks involved, and available options for addressing any concerns or navigating any complexities that might arise.
**Remember:**
This information provides a general overview and should not be considered as legal advice. The specific legal implications and consequences of inheriting property with restrictive covenants will vary depending on the nature of the covenants, the governing documents, and the specific circumstances involved. Consulting with a qualified lawyer specializing in real estate law is essential to obtain tailored advice and ensure compliance with all applicable legal requirements and avoid any potential legal issues.</t>
  </si>
  <si>
    <t>Maaari ka bang magbigay ng gabay sa mga legal na implikasyon ng pagmamana ng ari-arian na napapailalim sa mga paghihigpit na tipan o mga paghihigpit sa gawa?</t>
  </si>
  <si>
    <t>How do changes in property laws or tax regulations over time affect the inheritance process, and what proactive steps can individuals take to adapt their estate plans accordingly?</t>
  </si>
  <si>
    <t>## Impact of Changing Laws and Regulations on Inheritance
Changes in property laws and tax regulations can significantly impact the inheritance process in several ways:
**1. Modifications to inheritance rights:** Legislative changes might alter the legal framework governing inheritance, potentially affecting:
* **Intestate succession:** This refers to the distribution of assets when someone dies without a will. New laws might modify the default distribution shares allocated to spouses, children, and other relatives.
* **Spousal rights:** Changes in laws might affect the inheritance rights of surviving spouses, altering their entitlement to a specific portion of the deceased's estate.
**2. Adjustments to tax implications:** Revisions to tax regulations can impact the inheritance process in terms of:
* **Estate tax:** Changes in tax rates, exemptions, or deductions can significantly alter the overall tax burden on inherited assets.
* **Capital gains tax:** Modifications to capital gains tax regulations might affect the tax liabilities associated with selling inherited property.
**3. Impact on estate planning strategies:** These changes necessitate adjustments to existing estate plans to ensure they remain effective and achieve the desired outcomes in light of the new legal landscape.
## Proactive Steps for Adapting Estate Plans
Individuals can take proactive steps to adapt their estate plans in response to changing laws and regulations:
**1. Regularly review estate plans:** Schedule periodic reviews of your estate plan, ideally every 3-5 years, or whenever significant changes occur in your personal circumstances, such as marriage, birth of children, or changes in wealth.
**2. Consult with a qualified estate planning attorney:** Seek professional guidance from a lawyer specializing in estate planning. They can assess the impact of recent legal and regulatory changes on your specific situation and recommend appropriate adjustments to your estate plan.
**3. Update estate planning documents:** Based on the lawyer's recommendations, update your will, trust documents, beneficiary designations, and other relevant estate planning documents to reflect the current legal environment and ensure they align with your wishes.
**4. Consider incorporating flexibility:** When drafting or revising your estate plan, consider incorporating elements of flexibility to adapt to future changes in laws and regulations. This might involve using clauses that reference "current laws" or incorporating provisions that allow for adjustments based on unforeseen circumstances.
**5. Communicate with beneficiaries:** Discuss your estate plan and any updates with your designated beneficiaries to ensure they understand their roles and responsibilities and avoid any future confusion or disputes.
By taking these proactive steps, individuals can ensure their estate plans remain effective and aligned with their wishes, even in the face of evolving legal and regulatory landscapes. Remember, consulting with a qualified estate planning attorney is crucial to navigate the complexities of inheritance laws and regulations and tailor your plan to your specific needs and circumstances.</t>
  </si>
  <si>
    <t>Paano naaapektuhan ng mga pagbabago sa mga batas sa ari-arian o mga regulasyon sa buwis sa paglipas ng panahon ang proseso ng mana, at anong mga proactive na hakbang ang maaaring gawin ng mga indibidwal para iakma ang kanilang mga estate plan nang naaayon?</t>
  </si>
  <si>
    <t>How does the inheritance of property intersect with digital assets, such as virtual real estate or cryptocurrency holdings, and what legal considerations should heirs be aware of?</t>
  </si>
  <si>
    <t>The inheritance of property in the Philippines is increasingly intertwined with the growing realm of digital assets, presenting both opportunities and challenges. Here's an overview of this intersection and the legal considerations heirs should be aware of:
**1. Digital Assets as Inheritable Property:**
* **Evolving legal landscape:** While Philippine laws haven't explicitly addressed the inheritance of digital assets like virtual real estate or cryptocurrency, they are increasingly recognized as valuable property with inheritable rights.
* **Intention and designation:** Similar to traditional assets, the key lies in clearly expressing your intention regarding the inheritance of your digital assets. This can be achieved through:
* **Including them in your will:** Clearly mention your digital assets and designate beneficiaries to inherit them.
* **Specifying access details:** Provide secure instructions for accessing your digital assets, including passwords, login credentials, or recovery keys, in a trusted location accessible to your executor or designated individuals.
**2. Legal Considerations for Heirs:**
* **Accessing and managing assets:** Heirs might face challenges in accessing and managing inherited digital assets due to:
* **Platform restrictions:** Some platforms might have limitations on transferring ownership of digital assets upon death, requiring specific procedures or communication with the provider.
* **Technical complexities:** Understanding and accessing the specific platforms, wallets, or storage mechanisms associated with the digital assets might require technical expertise.
* **Legal advice is crucial:** Consulting a lawyer specializing in digital asset inheritance is recommended to navigate the legal complexities, understand your rights and responsibilities as an heir, and ensure proper handling of the inherited digital assets.
**3. Additional Points to Consider:**
* **Tax implications:** Depending on the nature and value of the inherited digital assets, tax liabilities might arise. Seeking guidance from a tax advisor can help ensure compliance with relevant tax regulations.
* **Evolving regulations:** The legal framework surrounding digital assets is constantly evolving. Staying informed about relevant updates and seeking professional advice can help you navigate the complexities effectively.
**Remember:**
This information provides a general overview and should not be considered as legal advice. The specific legal considerations and processes surrounding the inheritance of digital assets can vary depending on the nature of the assets, platform policies, and evolving regulations. Consulting with a qualified lawyer specializing in digital asset inheritance is crucial to understand your rights and obligations, navigate the legalities effectively, and ensure the smooth transfer of inherited digital assets.</t>
  </si>
  <si>
    <t>Paano nakikipag-ugnay ang pagmamana ng ari-arian sa mga digital na asset, gaya ng virtual real estate o cryptocurrency holdings, at anong mga legal na pagsasaalang-alang ang dapat malaman ng mga tagapagmana?</t>
  </si>
  <si>
    <t>What legal mechanisms are available for heirs who wish to transfer ownership of inherited property to a family trust for long-term management?</t>
  </si>
  <si>
    <t>In the Philippines, heirs have several legal mechanisms available to transfer ownership of inherited property to a family trust for long-term management. Here are the two most common options:
**1. Deed of Sale:**
* **Transferring ownership:** Heirs can execute a Deed of Sale, transferring their individual ownership rights in the inherited property to the family trust. This document should be notarized and registered with the appropriate Registry of Deeds to formally transfer legal ownership.
* **Tax implications:** Depending on the value of the property and the relationship between the heirs and the trust, capital gains tax or donor's tax might apply. Consulting with a tax advisor is crucial to understand potential tax liabilities and ensure compliance with relevant regulations.
* **Flexibility:** This option allows for tailoring the terms of the sale, potentially including considerations like nominal purchase prices to minimize tax implications, or installment payments if applicable.
**2. Extrajudicial Settlement of Estate with Trust Provision:**
* **Combining processes:** If the heirs haven't yet received individual titles through an Extrajudicial Settlement of Estate (ESE), they can include a provision within the ESE document transferring ownership directly to the family trust upon its approval by the court.
* **Streamlined process:** This option can potentially save time and resources by combining the inheritance settlement process with the transfer to the trust.
* **Court approval required:** The inclusion of the trust provision in the ESE requires court approval, adding an additional step to the process.
**Additional Considerations:**
* **Trust Deed:** Regardless of the chosen mechanism, a properly drafted Trust Deed is essential. This document outlines the purpose of the trust, designates the beneficiaries, defines the powers and duties of the trustee, and specifies how the trust property will be managed and distributed.
* **Legal counsel:** Consulting with a lawyer specializing in estate planning and trust law is highly recommended. They can guide you through the legal complexities involved, advise on the most suitable option based on your specific circumstances, and ensure the chosen process adheres to all applicable legal requirements.
It's important to remember that this information provides a general overview and should not be considered as legal advice. The specific legal mechanisms and processes involved in transferring inherited property to a family trust can vary depending on the circumstances of each case. Consulting with a qualified lawyer is crucial to ensure a smooth and successful transfer, minimize potential legal and tax complications, and achieve your desired estate planning goals.</t>
  </si>
  <si>
    <t>Anong mga legal na mekanismo ang magagamit para sa mga tagapagmana na gustong ilipat ang pagmamay-ari ng minanang ari-arian sa isang tiwala ng pamilya para sa pangmatagalang pamamahala?</t>
  </si>
  <si>
    <t>In cases of family-owned businesses tied to the inherited property, what legal strategies can be employed to ensure a smooth transition to the next generation?</t>
  </si>
  <si>
    <t>In the Philippines, ensuring a smooth transition of family-owned businesses tied to inherited property to the next generation requires careful planning and a combination of legal strategies. Here are some key considerations:
**1. Early Planning and Communication:**
* **Open communication:** Initiate open and transparent communication with family members involved in the business and potential heirs well in advance of any transition. Discuss future plans, succession goals, and individual aspirations.
* **Estate planning:** Work with a lawyer specializing in estate planning and business law to develop a comprehensive estate plan that addresses the specific needs of the family business. This plan should consider:
* **Succession plan:** Clearly define the process for transferring ownership and management responsibilities to the next generation. This might involve designating specific individuals to take over key roles or outlining a timeline for phased transitions.
* **Buy-sell agreements:** Establish buy-sell agreements between family members to ensure a fair and transparent mechanism for determining the value of the business and addressing potential disagreements during ownership transitions.
* **Tax implications:** Consider the potential tax consequences of transferring ownership, such as capital gains tax or estate tax, and develop strategies to minimize these burdens.
**2. Legal Structures:**
* **Family trust:** Establishing a family trust can be a valuable tool for managing the ownership and control of the business while ensuring its continued operation for the benefit of future generations. The trust can hold the ownership of the property and business assets, with designated trustees managing them according to the terms outlined in the trust deed.
* **Incorporation:** Consider incorporating the family business as a separate legal entity. This can provide various benefits including:
* **Limited liability:** Protects personal assets of family members from business liabilities.
* **Clear ownership structure:** Defines ownership rights and facilitates easier transfer of shares to the next generation.
* **Succession planning:** Incorporation allows for establishing clear mechanisms for transferring ownership and management control through shareholder agreements or board of directors' decisions.
**3. Professional Guidance:**
* **Legal counsel:** Consulting with a lawyer throughout the process is crucial to ensure compliance with all relevant laws and regulations, navigate potential legal complexities, and draft necessary legal documents like wills, trust deeds, and buy-sell agreements.
* **Financial advisor:** Seek guidance from a financial advisor specializing in family-owned businesses. They can provide valuable insights on financial planning, tax strategies, and valuation of the business for smooth ownership transitions.
**4. Communication and Education:**
* **Ongoing communication:** Maintain open communication with family members involved in the business, keeping them informed about progress, addressing any concerns, and fostering collaboration throughout the transition process.
* **Education and training:** If family members are interested in taking on leadership roles within the business, consider providing them with opportunities for education, training, and mentorship to develop the necessary skills and knowledge for successful leadership.
Remember, a successful transition requires careful planning, open communication, and professional guidance tailored to the specific circumstances of the family and the business. By employing these strategies and seeking expert advice, families can ensure a smooth and sustainable transfer of their legacy to future generations.</t>
  </si>
  <si>
    <t>Sa mga kaso ng mga negosyong pag-aari ng pamilya na nakatali sa minanang ari-arian, anong mga legal na estratehiya ang maaaring gamitin upang matiyak ang maayos na paglipat sa susunod na henerasyon?</t>
  </si>
  <si>
    <t>Can you provide insights into the legal implications of inheriting property with ongoing rental agreements or leases, and how do these contracts affect the inheritance process?</t>
  </si>
  <si>
    <t>In the Philippines, inheriting property with ongoing rental agreements or leases comes with specific legal implications that both heirs and tenants need to be aware of. Here's a breakdown of the key points:
**1. Existing Leases Remain Binding:**
* **Heirs' obligation:** Upon inheriting the property, the existing lease agreements automatically become binding on the heirs, even if they were unaware of them beforehand. This means heirs must:
* **Respect the terms of the lease:** Heirs are obligated to uphold the agreed-upon rent, maintenance responsibilities, and other provisions outlined in the existing lease agreements with the tenants.
* **Acknowledge existing rights:** Heirs cannot evict tenants solely because they inherited the property. Tenants have the right to remain in the property until the lease term expires, provided they fulfill their obligations as outlined in the agreement.
**2. Heirs' Rights and Options:**
* **Collecting rent:** Heirs take over the role of the previous landlord and have the right to collect rent from the tenants as per the existing lease agreements.
* **Renegotiating leases:** Once the current lease term ends, heirs can negotiate new lease agreements with the tenants on their own terms. They are not obligated to renew the existing agreements.
* **Selling the property:** Heirs can choose to sell the property even with ongoing leases. However, the new owner becomes bound by the existing lease agreements with the tenants.
**3. Importance of Reviewing Lease Agreements:**
* **Understanding terms:** Heirs should thoroughly review the existing lease agreements to understand their rights and obligations, including:
* **Remaining lease term:** This clarifies how long the current tenants have the right to occupy the property.
* **Rent amount and payment schedule:** This ensures clear understanding of the expected rental income from the property.
* **Maintenance responsibilities:** This defines who is responsible for repairs and upkeep of the property during the lease term.
**4. Seeking Legal Guidance:**
* **Complexities involved:** Navigating the legal aspects of inheriting property with existing leases can be complex. Consulting with a lawyer specializing in landlord-tenant law is highly recommended to:
* **Understand your rights and responsibilities:** The lawyer can explain the legal implications of the existing leases and advise on your options for managing the property and interacting with the tenants.
* **Ensure compliance with laws:** They can ensure you comply with relevant laws and regulations governing landlord-tenant relationships in the Philippines.
* **Address potential disputes:** In case of any disagreements with the tenants, legal guidance can help navigate the situation and resolve issues effectively.
**Remember:**
This information provides a general overview and should not be considered as legal advice. The specific legal implications and rights of heirs and tenants in situations involving inherited property with ongoing leases can vary depending on the individual circumstances and the specific terms of the lease agreements. Consulting with a qualified lawyer specializing in landlord-tenant law is crucial to ensure a smooth transition, protect your rights, and navigate any potential legal complexities effectively.</t>
  </si>
  <si>
    <t>Maaari ka bang magbigay ng mga insight sa mga legal na implikasyon ng pagmamana ng ari-arian na may mga patuloy na kasunduan sa pag-upa o pag-upa, at paano nakakaapekto ang mga kontratang ito sa proseso ng mana?</t>
  </si>
  <si>
    <t>How does the inheritance of property impact the eligibility of heirs for veterans' benefits or military housing assistance, and what legal steps can be taken to preserve these benefits?</t>
  </si>
  <si>
    <t>In the Philippines, inheriting property generally **does not directly impact** the eligibility of heirs for veterans' benefits or military housing assistance. These benefits are typically determined based on the veteran's service record, qualifying conditions, and specific program requirements, not on the inheritance status of their dependents.
However, there are some **indirect ways** in which inherited property might **affect** the eligibility of certain benefits:
* **Means-tested benefits:** Some veterans' benefits, such as financial aid for educational purposes or medical assistance, might be subject to **means testing**. This means the applicant's income and assets, including inherited property, might be considered when determining their eligibility and the amount of assistance they receive.
* **Tax implications:** Depending on the value of the inherited property and the specific benefit program, **tax implications** might arise. Consulting with a tax advisor can help ensure proper tax filing and avoid any potential issues related to inherited assets.
**Preserving Veterans' Benefits:**
While inheriting property itself doesn't directly affect eligibility, it's crucial to ensure these benefits remain accessible to eligible dependents. Here are some steps that can be helpful:
* **Veteran's estate planning:** Encourage the veteran to engage in estate planning and clearly outline their wishes regarding the distribution of their assets, including any potential impact on beneficiaries' eligibility for specific benefits.
* **Seek professional guidance:** Consulting with a lawyer specializing in veterans' benefits and estate planning can provide valuable insights and ensure the estate plan effectively addresses potential concerns related to preserving benefit eligibility for dependents.
* **Stay informed:** Regularly check with the relevant government agencies administering veterans' benefits to stay updated on any program changes or eligibility requirements that might be impacted by changes in an heir's financial situation due to inherited property.
**Important Note:**
This information provides a general overview and should not be considered as legal advice. The specific impact of inheriting property on veterans' benefits or eligibility for specific programs can vary depending on individual circumstances, program requirements, and potential means testing involved. Consulting with a qualified lawyer specializing in veterans' benefits and estate planning is crucial to obtain tailored advice and ensure the well-being of veterans and their dependents.</t>
  </si>
  <si>
    <t>Paano nakakaapekto ang pamana ng ari-arian sa pagiging karapat-dapat ng mga tagapagmana para sa mga benepisyo ng mga beterano o tulong sa pabahay ng militar, at anong mga legal na hakbang ang maaaring gawin upang mapanatili ang mga benepisyong ito?</t>
  </si>
  <si>
    <t>What legal considerations should be taken into account when inheriting property that includes valuable artwork, antiques, or other high-value personal property?</t>
  </si>
  <si>
    <t>Inheriting property that includes valuable artwork, antiques, or other high-value personal property comes with unique legal considerations beyond those associated with standard real estate inheritance. Here's a breakdown of key points to consider:
**1. Valuation and Appraisal:**
* **Accurate assessment:** Determining the fair market value of these items is crucial for various purposes, including:
* **Estate tax calculations:** If the value of the estate exceeds a certain threshold, estate taxes might apply. Accurate valuations ensure proper tax assessments and compliance.
* **Equitable distribution:** If multiple heirs inherit the property, fair valuations help ensure an equitable distribution of assets, minimizing potential disputes.
* **Professional appraisal:** Engaging qualified appraisers specializing in valuing specific categories like artwork, antiques, or collectibles is highly recommended. They can provide accurate and defensible valuations based on market trends, item condition, and relevant factors.
**2. Insurance and Protection:**
* **Adequate coverage:** Inheriting valuable personal property necessitates reviewing and potentially adjusting existing insurance policies to ensure adequate coverage against theft, loss, or damage. Consulting with an insurance advisor can help identify appropriate coverage options and ensure proper protection for these assets.
* **Safe storage:** Implementing proper storage solutions for valuable items is crucial. This might involve considering climate-controlled facilities, security measures, and appropriate packaging to minimize risks of damage or deterioration.
**3. Legal Documentation:**
* **Ownership verification:** Ensure proper documentation exists to establish ownership and provenance of the valuable items. This might include receipts, certificates of authenticity, or appraisals conducted by previous owners.
* **Wills and estate planning:** If the inheritance involves valuable personal property, consider revising wills and estate planning documents to clearly specify the intended beneficiaries and desired distribution of these assets. This can help minimize confusion and potential disputes among heirs.
**4. Legal and Tax Implications:**
* **Tax considerations:** Depending on the value of the inherited items, various tax implications might arise, such as capital gains tax when selling them or estate taxes if they are part of a large estate. Consulting with a tax advisor can help navigate these complexities and ensure compliance with relevant regulations.
* **Export restrictions:** If the inherited items are considered cultural artifacts or antiques, specific regulations and export restrictions might apply. Consulting with legal counsel specializing in art law can ensure proper handling and compliance with relevant laws and regulations.
**5. Seeking Professional Guidance:**
* **Complexity involved:** Navigating the legal and practical considerations associated with inheriting valuable personal property can be complex. Consulting with professionals like appraisers, insurance advisors, lawyers specializing in art law or estate planning, and tax advisors can provide invaluable guidance and ensure a smooth process.
**Remember:**
This information provides a general overview and should not be considered as legal advice. The specific legal considerations and complexities involved in inheriting valuable personal property can vary significantly depending on the nature of the items, their value, and individual circumstances. Consulting with qualified professionals tailored to the specific situation is crucial to ensure proper handling, protection, and compliance with all relevant legal and tax requirements.</t>
  </si>
  <si>
    <t>Anong mga legal na pagsasaalang-alang ang dapat isaalang-alang kapag nagmamana ng ari-arian na kinabibilangan ng mahalagang likhang sining, mga antique, o iba pang personal na ari-arian na may mataas na halaga?</t>
  </si>
  <si>
    <t>Can you explain the role of a trust in protecting the privacy of inherited assets, especially in cases where heirs may want to keep details confidential?</t>
  </si>
  <si>
    <t>While trusts cannot guarantee absolute privacy of inherited assets, they can offer significant advantages in protecting the confidentiality of certain details compared to traditional inheritance methods like wills. Here's how trusts can contribute to privacy protection:
**1. Limited Public Disclosure:**
* **Wills become public records:** When someone passes away, their will typically becomes a public record accessible to anyone upon request. This means details about the deceased's assets, including the identity of beneficiaries and the specific distribution of their estate, become publicly available.
* **Trusts offer privacy:** In contrast, trust documents are generally not public records. The details of the trust, including the identity of beneficiaries, the nature of the assets held within the trust, and the terms of distribution, remain private and confidential.
**2. Discretionary Distributions:**
* **Wills provide limited control:** Wills typically distribute assets according to pre-defined percentages or specific instructions. This lack of flexibility can make it difficult to control the disclosure of information about the inherited assets.
* **Discretionary trusts:** Certain types of trusts, such as discretionary trusts, grant the trustee the authority to distribute assets based on their discretion and specific criteria outlined in the trust deed. This allows for more flexibility in managing the distribution and potentially minimizing the disclosure of specific details about the assets or beneficiaries.
**3. Reduced Risk of Contestation:**
* **Public wills can lead to disputes:** When the details of a will become public, it can increase the risk of challenges or contestations from disgruntled family members or individuals who believe they were unfairly excluded from the inheritance.
* **Trusts can deter disputes:** The private nature of trusts can deter frivolous claims and minimize the likelihood of public disputes regarding the inheritance, potentially reducing the need to disclose sensitive information about the assets or beneficiaries in court proceedings.
**4. Management and Control:**
* **Direct control in wills:** Wills generally transfer ownership of assets directly to beneficiaries upon the passing of the deceased. This limits the control the deceased has over how the assets are managed or distributed after their passing.
* **Ongoing management in trusts:** Trusts allow the deceased to establish specific instructions for managing and distributing the assets held within the trust, even after their passing. This can include provisions for managing the assets for the benefit of beneficiaries over time, potentially reducing the need for public disclosure of specific asset details.
**Important Considerations:**
* **Trusts are not foolproof:** While trusts offer significant privacy advantages, it's important to remember that they are not foolproof methods for guaranteeing absolute confidentiality. Depending on the specific circumstances, certain information about the trust, such as its existence or the identity of the trustee, might still be discoverable through legal proceedings.
* **Seek legal advice:** Establishing a trust and ensuring it effectively protects privacy involves careful planning and legal expertise. Consulting with a qualified lawyer specializing in estate planning and trust law is crucial to understand the legal complexities, choose the appropriate trust structure, and draft the trust deed in a way that aligns with your specific privacy goals and complies with all relevant laws and regulations.
In conclusion, while trusts offer valuable tools for protecting the privacy of inherited assets, they should be considered within a comprehensive estate planning strategy tailored to your individual circumstances and desired level of confidentiality. Consulting with a qualified legal professional is essential to ensure the effectiveness of your chosen approach and navigate the legal complexities involved in protecting your privacy and achieving your estate planning goals.</t>
  </si>
  <si>
    <t>Maaari mo bang ipaliwanag ang papel ng isang trust sa pagprotekta sa privacy ng minanang mga ari-arian, lalo na sa mga kaso kung saan ang mga tagapagmana ay maaaring gustong panatilihing kumpidensyal ang mga detalye?</t>
  </si>
  <si>
    <t>How do state laws address the inheritance of property with unique zoning requirements or land-use designations, and what legal challenges may arise?</t>
  </si>
  <si>
    <t>In the Philippines, state laws generally address the inheritance of property with unique zoning requirements or land-use designations through a combination of:
**1. Zoning Ordinances and Regulations:**
* **Local government control:** Each locality, such as cities and municipalities, typically has its own zoning ordinances and regulations that define different land-use zones and establish specific restrictions and guidelines for development and use of property within those zones.
* **Inheritance impact:** These zoning regulations can impact the inheritance of property in various ways, such as:
* **Restrictions on development:** Heirs might inherit property with zoning restrictions that limit their ability to develop the land for specific purposes, potentially affecting their plans for the inherited asset.
* **Compliance requirements:** Even if the heirs intend to retain the property in its current state, they might still be obligated to comply with specific regulations and maintenance requirements associated with the designated land-use zone.
**2. State-Level Regulations:**
* **Overarching framework:** While local zoning ordinances provide the primary framework, some states might have additional regulations or policies at the state level that can influence the inheritance of property with unique zoning considerations.
* **Environmental regulations:** In cases where the property has specific environmental considerations or limitations due to its zoning designation, state environmental laws and regulations might also come into play, imposing additional requirements or restrictions on the heirs.
**3. Potential Legal Challenges:**
* **Non-conforming uses:** If the inherited property involves a "non-conforming use," meaning it exists legally but doesn't comply with current zoning regulations, heirs might face challenges in continuing the existing use. They might need to seek variances or approvals from local authorities to maintain the non-conforming use or face potential restrictions or forced compliance with current zoning requirements.
* **Development limitations:** Depending on the specific zoning designation and the heirs' plans for the property, they might encounter limitations on development potential. These limitations could involve restrictions on building height, density, or specific types of development allowed within the zone, potentially requiring adjustments to their plans or seeking approvals for variances or permitted uses.
* **Environmental concerns:** If the property's zoning designation is related to environmental considerations, such as protected areas or sensitive ecosystems, heirs might inherit additional legal obligations related to environmental compliance, management, or potential restrictions on development activities.
**Navigating Complexities:**
Inheriting property with unique zoning requirements can be complex and involve potential legal challenges. Here are some recommendations:
* **Consult with a lawyer:** Seeking legal advice from a lawyer specializing in real estate and zoning law is crucial. They can assess the specific zoning regulations applicable to the inherited property, advise on potential challenges, and guide you through navigating any legal requirements or restrictions associated with the land-use designation.
* **Review relevant documents:** Carefully review the zoning ordinances, property deeds, and any other relevant documents related to the property to understand the specific limitations and requirements associated with the zoning designation.
* **Seek professional guidance:** Depending on the complexity of the situation, consider consulting with additional professionals like land use planners or environmental consultants to gain insights into potential development options, compliance requirements, and potential environmental considerations.
By understanding the legal framework, potential challenges, and seeking professional guidance, heirs can navigate the complexities associated with inheriting property with unique zoning requirements and make informed decisions regarding the management, use, or potential development of the inherited asset.</t>
  </si>
  <si>
    <t>Paano tinutugunan ng mga batas ng estado ang pagmamana ng ari-arian na may natatanging mga kinakailangan sa pagsona o mga pagtatalaga sa paggamit ng lupa, at anong mga legal na hamon ang maaaring lumitaw?</t>
  </si>
  <si>
    <t>What legal steps can be taken to mitigate the impact of property-related debts on the inheritance process, especially when the estate lacks sufficient liquidity?</t>
  </si>
  <si>
    <t>Inheriting property can be bittersweet, especially when the estate also carries property-related debts. While navigating this situation can be challenging, several legal steps can be taken to mitigate the impact of these debts on the inheritance process, particularly when the estate lacks sufficient liquidity. Here are some key strategies to consider:
**1. Assess the Situation:**
* **Debt evaluation:** Conduct a thorough evaluation of the property-related debts, including:
* **Type of debt:** Identify the type of debt, such as mortgages, liens, or unpaid taxes.
* **Amount owed:** Determine the outstanding balance for each debt.
* **Interest rates and terms:** Understand the interest rates and repayment terms associated with each debt.
* **Estate valuation:** Assess the total value of the estate, including the inherited property and any other assets. This helps determine if the estate has enough assets to cover the debts after distribution to beneficiaries.
**2. Explore Debt Repayment Options:**
* **Negotiate with creditors:** Consider contacting creditors to negotiate potential solutions like:
* **Loan modification:** Explore options to modify the loan terms, such as extending the repayment period or lowering the interest rate.
* **Settlement:** Negotiate a settlement agreement to pay a lump sum amount to satisfy the debt in full.
* **Liquidate other assets:** If the estate has other assets besides the inherited property, consider selling them to generate funds for debt repayment. This might involve selling stocks, bonds, or other valuable possessions.
**3. Legal Options for Debt Management:**
* **Probate process:** Utilize the probate process to prioritize and settle debts using estate assets. The court will determine the order in which creditors are paid, ensuring secured creditors with claims against the property are paid first.
* **Disclaimer of inheritance:** If the debts outweigh the value of the inherited property, beneficiaries have the legal right to disclaim the inheritance altogether. This avoids inheriting the associated liabilities. However, it's crucial to consult with a lawyer before pursuing this option, as it comes with specific legal requirements and consequences.
**4. Seeking Professional Guidance:**
* **Legal counsel:** Consulting with a lawyer specializing in estate law and debt management is crucial. They can provide legal advice on navigating the complexities of the situation, exploring available options, and ensuring compliance with relevant laws and regulations.
* **Financial advisor:** Seeking guidance from a financial advisor can be beneficial, especially if the estate involves complex financial assets or requires strategic planning for debt repayment and asset allocation.
**Additional Considerations:**
* **Tax implications:** Depending on the chosen debt management strategy, potential tax implications might arise. Consulting with a tax advisor can help ensure proper tax filing and minimize any tax burdens associated with debt repayment or asset sales.
* **Communication with beneficiaries:** Maintain open communication with all beneficiaries throughout the process. Explain the situation, discuss the available options, and involve them in decision-making whenever possible to foster transparency and minimize potential conflicts.
Remember, the specific legal steps and strategies most suitable for your situation will depend on the unique circumstances of the estate, the nature and amount of the debts, and the overall financial situation. Consulting with qualified legal and financial professionals is crucial to navigate the complexities effectively, protect your rights, and minimize the impact of property-related debts on the inheritance process.</t>
  </si>
  <si>
    <t>Anong mga legal na hakbang ang maaaring gawin upang pagaanin ang epekto ng mga utang na nauugnay sa ari-arian sa proseso ng mana, lalo na kapag ang ari-arian ay walang sapat na pagkatubig?</t>
  </si>
  <si>
    <t>Can you provide guidance on the legal implications of inheriting property subject to conservation easements, and what restrictions or opportunities do these agreements present?</t>
  </si>
  <si>
    <t>Inheriting property with a conservation easement comes with both **restrictions and opportunities** that raise specific legal considerations. Here's a breakdown of the key points to understand:
**Restrictions:**
* **Land-use limitations:** Conservation easements typically restrict the use and development of the property in accordance with the specific terms outlined in the easement agreement. These restrictions might limit activities like:
* **Construction:** Building new structures or modifying existing ones might be prohibited or require approval from the easement holder.
* **Resource extraction:** Activities like mining, logging, or excessive water withdrawal might be restricted or prohibited.
* **Land alteration:** Modifying the natural landscape, such as clearing vegetation or altering wetlands, might be restricted.
* **Compliance obligations:** As an inheritor, you become responsible for upholding the terms of the existing conservation easement. This might involve:
* **Maintaining the property:** Ensuring the property is managed in accordance with the easement's conservation goals, which might involve specific practices for maintaining ecosystems or protecting endangered species.
* **Seeking approval for changes:** Any modifications to the property or activities that might conflict with the easement typically require prior approval from the easement holder.
* **Potential enforcement actions:** Failure to comply with the easement terms could lead to legal action by the easement holder, including fines or even the possibility of losing ownership of the property.
**Opportunities:**
* **Tax benefits:** Inheriting property with a qualified conservation easement can offer significant tax advantages. These might include:
* **Reduced estate taxes:** The value of the property for estate tax purposes might be reduced by the value of the development rights extinguished by the easement.
* **Income tax deductions:** Donating a qualified conservation easement to a qualified organization might be eligible for income tax deductions.
* **Land preservation:** Inheriting a property with a conservation easement ensures its continued protection for future generations, contributing to environmental conservation and preserving valuable natural resources.
**Navigating the legalities:**
* **Review the easement agreement:** Carefully review the specific terms and restrictions outlined in the existing conservation easement to understand your rights and obligations as the inheritor.
* **Seek legal counsel:** Consulting with a lawyer specializing in real estate and environmental law is crucial. They can advise you on your legal responsibilities, potential tax implications, and any options available for managing the property within the easement's framework.
* **Connect with the easement holder:** Establishing communication with the easement holder can be beneficial. They can provide guidance on their expectations, answer any questions you might have, and collaborate on managing the property in accordance with the easement's goals.
**Remember:**
The specific legal implications and opportunities associated with inheriting property subject to a conservation easement will vary depending on the individual circumstances, the specific terms of the easement, and applicable laws in your jurisdiction. Consulting with qualified legal and potentially environmental professionals is crucial to ensure you understand your rights and obligations, navigate the legalities effectively, and make informed decisions regarding the management and use of the inherited property while upholding its conservation values.</t>
  </si>
  <si>
    <t>Maaari ka bang magbigay ng gabay sa mga legal na implikasyon ng pagmamana ng ari-arian na napapailalim sa conservation easements, at anong mga paghihigpit o pagkakataon ang ipinakita ng mga kasunduang ito?</t>
  </si>
  <si>
    <t>In cases of cohabiting couples who are not legally married, what legal rights do surviving partners have in the inheritance of property, and how can they protect their interests?</t>
  </si>
  <si>
    <t>In the Philippines, cohabiting couples, also referred to as "live-in partners," **do not automatically inherit** from each other under intestacy (dying without a will). However, the law offers some avenues for protecting their interests:
**Common-Law Marriage (Presumption of Marriage):**
* Article 147 of the Family Code recognizes a form of common-law marriage. If a man and woman cohabited for a significant period, **exclusively and continuously** just like husband and wife, there's a **presumption of marriage**. This presumption can be rebutted with evidence to the contrary (e.g., both partners were already married to someone else).
* If the presumption of marriage is established, the surviving partner would have inheritance rights following the rules for married couples under the Family Code.
**Co-ownership of Property:**
* Article 148 of the Family Code applies when the cohabitation doesn't meet the requirements of common-law marriage. Here, properties acquired by **both parties through their actual joint contribution** (money, property, or industry) are owned **in common** in proportion to their contributions. * In the absence of a written agreement on contribution percentages, it's presumed to be equal. The surviving partner would have a right to their share of co-owned property.
**Protecting Interests:**
* **Living Together Declaration:** While not a legal requirement, a notarized "Living Together Declaration" can be helpful. It outlines the relationship and potential agreements on property ownership or financial arrangements in case of separation or death.
* **Will:** The deceased partner can create a will specifying who inherits their property. This is the most secure way to ensure the surviving partner receives what's intended. A lawyer can help ensure the will is legally sound.
**Here are some resources for further information:**
* Family Code of the Philippines: You can find the Family Code online through various legal information websites.
* Philippine Law Commission: [https://lawphil.net/](https://lawphil.net/)
**Remember, consulting a lawyer specializing in family law is recommended for specific advice tailored to your situation.**</t>
  </si>
  <si>
    <t>Sa mga kaso ng magkasintahang mag-asawa na hindi legal na kasal, anong mga legal na karapatan ng mga nakaligtas na kasosyo sa pagmamana ng ari-arian, at paano nila mapoprotektahan ang kanilang mga interes?</t>
  </si>
  <si>
    <t>How does the inheritance of property impact individuals with disabilities, and what legal considerations should be addressed to ensure their financial and housing security?</t>
  </si>
  <si>
    <t>Inheritance can be both a benefit and a challenge for individuals with disabilities in the Philippines. Here's a breakdown of the issues and some legal considerations:
**Potential Benefits:**
* **Financial Security:** An inheritance can provide much-needed financial resources for individuals with disabilities, improving their quality of life and covering expenses for care, assistive technologies, or adapted housing.
* **Increased Independence:** Financial security from inheritance can empower individuals with disabilities to live more independently, potentially reducing reliance on government benefits or family support.
**Potential Challenges:**
* **Loss of Government Benefits:** In some cases, inheriting assets above a certain threshold can disqualify individuals from receiving government benefits like the Persons with Disabilities (PWD) Social Pension.
* **Exploitation:** Individuals with disabilities may be vulnerable to financial exploitation by family members or caregivers who misuse inherited funds.
* **Lack of Planning:** Without proper planning, an inheritance can be quickly depleted, leaving the individual worse off in the long run.
**Legal Considerations for Security:**
* **Trusts:** A Special Needs Trust can be a valuable tool. Assets are placed in a trust managed by a trustee who uses them for the beneficiary's benefit This can ensure access to necessary funds without jeopardizing government benefits.
* **Guardianship:** For individuals with severe disabilities, a court-appointed guardian might be necessary to manage their finances and ensure responsible use of inherited assets.
* **Wills and Estate Planning:** The deceased can create a will specifying how the inheritance is managed. This can include designating a trusted individual to oversee the use of funds or creating a trust structure.
* **Guardianship Ad Litem:** In some situations, a guardian ad litem, a court-appointed representative, might be needed to advocate for the best interests of the individual with a disability during inheritance discussions.
**Recommendations:**
* **Consult a Lawyer:** An experienced lawyer specializing in estate planning and disability law can provide tailored advice on the most suitable legal structures to protect the individual's financial and housing security * **Government Agencies:** The Department of Social Welfare and Development (DSWD) and the Philippine National Council for Disability Affairs (PCD) offer resources and support for individuals with disabilities, including information on legal matters. By carefully considering these legal aspects and seeking professional guidance, inheritance can be used to improve the well-being and security of individuals with disabilities in the Philippines.</t>
  </si>
  <si>
    <t>Paano nakakaapekto ang pamana ng ari-arian sa mga indibidwal na may mga kapansanan, at anong mga legal na pagsasaalang-alang ang dapat tugunan upang matiyak ang kanilang seguridad sa pananalapi at pabahay?</t>
  </si>
  <si>
    <t>Can you explain the legal nuances involved in inheriting a timeshare, and how are maintenance fees, usage rights, and transferability typically managed?</t>
  </si>
  <si>
    <t>Inheriting a timeshare in the Philippines involves specific legal considerations regarding ownership, usage rights, maintenance fees, and transferability. Here's a breakdown:
**Ownership:**
* **Timeshare Ownership Structure:** In the Philippines, timeshares are commonly structured as either vacation club memberships or co-ownership of a property.
* **Vacation Club Membership:** This grants the inheritor usage rights for a specific period each year but not ownership of the underlying property. Membership terms and inheritance rights will be dictated by the specific vacation club contract.
* **Co-ownership:** This grants the inheritor a shared ownership stake in the property, along with other timeshare owners. Philippine inheritance laws will apply, and the inheritor inherits the share like any other property.
**Usage Rights:**
* **Fixed Week or Floating Week:** The inheritor will inherit the existing usage rights specified in the timeshare contract. This could be a fixed week each year, a floating week within a season, or a points system for flexible scheduling.
* **Restrictions:** There might be restrictions on usage, such as blackout dates (periods when the timeshare cannot be used) or limitations on occupancy. These will be outlined in the timeshare contract.
**Maintenance Fees:**
* **Shared Responsibility:** In both membership and co-ownership structures, timeshare owners are typically responsible for sharing the maintenance fees of the property. These fees cover upkeep, utilities, insurance, and property taxes.
* **Assessment on Inheritor:** The inheritor will be responsible for their inherited share of the maintenance fees. This can be a significant ongoing cost, and it's crucial to factor it into the decision of accepting the inheritance.
**Transferability:**
* **Reselling Timeshares:** Timeshares can be difficult to resell due to a saturated market. The inheritor may explore selling through the timeshare company, a resale broker, or online marketplaces, but there's no guarantee of a buyer or a good price.
* **Surrendering the Timeshare:** Some timeshare contracts may allow surrendering ownership back to the developer, but this option is uncommon and might come with fees.
* **Inheritance Considerations:** If the inheritor doesn't want the timeshare, they can potentially disclaim it through a legal process. However, this disclaims any potential benefits as well.
**Recommendations:**
* **Review the Timeshare Contract:** Carefully examine the contract details regarding ownership structure, usage rights, maintenance fees, and transferability clauses.
* **Financial Implications:** Consider the ongoing maintenance fees and potential resale value before accepting the inheritance.
* **Consult a Lawyer:** An lawyer specializing in property or inheritance law can provide specific guidance based on the particular timeshare contract and the inheritor's situation.
Inheriting a timeshare can be beneficial for those who enjoy the vacation aspect and can afford the maintenance fees. However, it's crucial to understand the legal aspects and financial obligations before inheriting one.</t>
  </si>
  <si>
    <t>Maaari mo bang ipaliwanag ang mga legal na nuances na kasangkot sa pagmamana ng timeshare, at paano karaniwang pinamamahalaan ang mga bayarin sa pagpapanatili, mga karapatan sa paggamit, at paglipat?</t>
  </si>
  <si>
    <t>What legal options exist for heirs who wish to divide jointly inherited property, such as vacation homes or recreational land, among multiple beneficiaries?</t>
  </si>
  <si>
    <t>Heirs inheriting jointly owned property in the Philippines have several legal options for dividing it amongst themselves. Here's a breakdown of the most common approaches:
**1. Amicable Agreement and Partition:**
* This is the preferred option as it avoids lengthy legal battles. Heirs discuss and agree on a fair division method, considering factors like value, size, and personal preferences. * A written agreement outlining the division details (who gets what portion) is crucial. This agreement can be notarized for added weight.
* If the property is easily divisible (e.g., dividing land into parcels), a physical partition can be done.
**2. Selling the Property and Dividing Proceeds:**
* If an amicable agreement on physical division is not achievable, selling the property might be the best option. Heirs can collectively decide on a listing price and sell through a real estate agent.
* Once the property is sold, the proceeds are divided among the heirs according to their inheritance share, typically based on the will or intestacy laws (if there's no will).
**3. Buying Out Other Heirs:**
* One or more heirs might want to keep the entire property. They can negotiate with other heirs to buy out their ownership stake. This buyout can be a lump sum payment, installments, or a combination.
* A formal buy-out agreement should be drafted by a lawyer to ensure all aspects are clearly defined and legally binding.
**4. Partition Action Lawsuit:**
* If all else fails, a partition action lawsuit can be filed in court. This is a formal legal process where the court orders the sale of the property and division of proceeds among heirs.
* Lawsuits are expensive and time-consuming. It's best to consider this as a last resort after attempts at amicable resolution fail. **Additional Considerations:**
* **Taxes:** In any scenario (division, sale, buyout), heirs should be aware of potential capital gains tax implications on the property's sale. Consulting a tax advisor is recommended.
* **Estate Settlement Process:** If there's a will, the executor named in the will might have specific instructions regarding the property's division. These instructions need to be followed.
* **Legal Counsel:** Consulting a lawyer experienced in inheritance and property law is highly advisable. They can guide heirs through the legalities of each option, draft necessary agreements, and represent them in court if a lawsuit becomes necessary.
By communicating openly, considering all options, and seeking professional guidance when needed, heirs can navigate the division of jointly inherited property fairly and efficiently.</t>
  </si>
  <si>
    <t>Anong mga legal na opsyon ang umiiral para sa mga tagapagmana na gustong hatiin ang magkasanib na minanang ari-arian, tulad ng mga bahay bakasyunan o lupaing libangan, sa maraming benepisyaryo?</t>
  </si>
  <si>
    <t>How do changes in property values over time affect the inheritance process, and what legal strategies can be employed to account for market fluctuations?</t>
  </si>
  <si>
    <t>Fluctuations in property value can significantly impact the inheritance process in the Philippines. Here's how:
**Impact of Changing Property Values:**
* **Unequal Distribution:** If a property is the primary inheritance asset, and its value has significantly increased since the deceased acquired it, some heirs might inherit a much larger share than others who receive cash or less valuable assets. This can lead to disputes among beneficiaries.
* **Tax Implications:** Depending on the inheritance scenario and the change in property value, capital gains tax might apply when the property is sold. This can affect the final amount heirs receive.
* **Estate Planning Challenges:** If a will was drafted based on outdated property values, it might not reflect the current fair market value, leading to unintended consequences for the distribution of assets.
**Legal Strategies to Address Market Fluctuations:**
* **Living Trusts:** A revocable living trust can be a valuable tool. The property is transferred to the trust while the grantor (original owner) remains in control during their lifetime. The trust dictates how the property is managed and distributed upon death, allowing for adjustments based on market value at the time.
* **Updating Wills:** Regularly reviewing and updating wills is crucial. This ensures the distribution plan reflects the current value of the property and avoids unintended consequences due to market fluctuations. A lawyer can advise on appropriate revisions.
* **Valuation Clauses:** Including a valuation clause in the will can be helpful. This clause specifies how the property should be valued for inheritance purposes (e.g., professional appraisal, average of multiple appraisals, or a designated method).
* **Granting Power of Sale to Executor:** The will can grant the executor the power to sell the property if necessary to ensure a fair division of assets among heirs, especially if the property value has significantly changed. * **Communicating with Heirs:** Open communication among heirs about the property's value and potential inheritance plans can help manage expectations and avoid disputes.
**Additional Considerations:**
* **Tax Planning:** Consulting a tax advisor is recommended to understand potential capital gains tax implications based on the inheritance scenario and property value changes.
* **Legal Counsel:** An experienced lawyer specializing in estate planning and inheritance law can provide tailored advice on the most suitable strategies to account for market fluctuations and ensure a smooth inheritance process considering the specific situation.
By implementing these strategies and seeking professional guidance, property owners can mitigate the challenges associated with changing property values and ensure a fair and efficient inheritance process for their beneficiaries.</t>
  </si>
  <si>
    <t>Paano nakakaapekto ang mga pagbabago sa mga halaga ng ari-arian sa paglipas ng panahon sa proseso ng pamana, at anong mga legal na diskarte ang maaaring gamitin upang matugunan ang mga pagbabago sa merkado?</t>
  </si>
  <si>
    <t>How does the inheritance of property intersect with intellectual property rights, such as copyrights or patents, and what legal considerations should heirs be aware of?</t>
  </si>
  <si>
    <t>In the Philippines, inheritance of property and intellectual property (IP) rights like copyrights and patents do intersect, but with some key distinctions. Here's a breakdown:
**Inheritance of Tangible Property vs. IP Rights:**
* **Tangible Property:** Physical assets like land, buildings, or artwork are inherited according to the rules of intestacy (if no will exists) or the terms of a will. Heirs become the new owners with full rights to use, sell, or lease the property.
* **Intellectual Property Rights:** These are intangible rights granted for creations of the mind. Unlike tangible property, ownership of IP rights often follows specific rules depending on the type of IP.
**Inheritance of Specific IP Rights:**
* **Copyrights:** These can be inherited by heirs. The copyright term in the Philippines extends for the author's lifetime plus 50 years. Heirs collectively own the copyright and can decide on its use (e.g., licensing, selling rights, or keeping it exclusive). * **Patents:** Patent ownership can be inherited. Heirs become the new patent holders and can enforce their rights to exclude others from making, using, selling, or importing the invention for the remaining patent term.
* **Trademarks:** Unlike copyrights and patents, trademarks generally require use to maintain protection. Inheritance alone might not be enough. Heirs should continue using the trademark or take steps to register it if not already registered.
**Legal Considerations for Heirs:**
* **Reviewing Ownership Documents:** Heirs need to understand the ownership details of the IP. Copyright and patent registrations usually specify ownership. Trademark registration might be needed if not already done.
* **Formalizing Ownership Transfer:** While inheritance grants ownership, for some IP rights, a formal assignment document might be required to solidify the transfer to heirs. Consulting a lawyer specializing in IP law is recommended.
* **Exploiting or Selling IP:** Heirs can choose to exploit the IP rights themselves (e.g., publishing copyrighted works, licensing patents) or sell them to interested parties. * **Taxes:** Income generated from exploiting IP rights (e.g., royalties) might be subject to income tax. Heirs should consult a tax advisor for guidance.
* **Conflicts and Disputes:** If there are multiple heirs, disagreements about using or selling IP can arise. A pre-inheritance agreement outlining how IP will be handled can help prevent conflicts.
**Recommendations:**
* **Seek Legal Counsel:** An IP lawyer can advise heirs on the specific legalities of inheriting their particular type of IP, ensure proper ownership transfer, and guide them on exploiting or selling the IP rights effectively.
* **Maintain IP Protection:** Heirs should understand renewal requirements for patents and steps to maintain trademark protection through continued use or registration.
By understanding the legal nuances and seeking professional guidance, heirs can effectively manage inherited intellectual property rights and maximize their benefits.</t>
  </si>
  <si>
    <t>Paano nakikipag-ugnay ang pagmamana ng ari-arian sa mga karapatan sa intelektwal na ari-arian, tulad ng mga copyright o patent, at anong mga legal na pagsasaalang-alang ang dapat malaman ng mga tagapagmana?</t>
  </si>
  <si>
    <t>Can you provide guidance on the legal implications of inheriting property subject to historic preservation restrictions, and how do these constraints impact ownership?</t>
  </si>
  <si>
    <t>Inheriting property with historic preservation restrictions in the Philippines adds a layer of complexity to ownership. Here's a breakdown of the legal implications and how they can impact you:
**Restrictions on Ownership:**
* **Preservation Easements or Covenants:** These legal agreements limit what the owner can do with the property. They might restrict alterations to the exterior, additions, demolition, or even changes to landscaping.
* **Designation by Government Agencies:** The National Commission for Culture and the Arts (NCCA) or local cultural heritage offices might designate the property as a historical landmark or heritage site. This comes with specific regulations outlined by the designating agency.
* **Compliance Requirements:** You'll be responsible for maintaining the property's historical character. This might involve using specific materials for repairs, obtaining permits before renovations, and potentially seeking approval from a heritage conservation body.
**Financial Implications:**
* **Maintenance Costs:** Preserving a historic property can be expensive. Special materials, skilled restoration work, and limitations on modernizations can lead to higher maintenance costs compared to a regular property.
* **Tax Benefits:** In some cases, the government might offer tax breaks for owning and maintaining a historically significant property. These benefits can help offset the higher maintenance costs.
* **Grants and Assistance:** Government agencies or heritage organizations might offer grants or technical assistance for restoration projects. **Using and Enjoying the Property:**
* **Limited Modifications:** You might have limited flexibility in renovating or modifying the property. While you can still enjoy the property, significant changes might require approval from relevant authorities. * **Potential for Increased Value:** Historically preserved properties can hold their value well or even appreciate due to their unique character.
* **Leasing or Renting:** You might be able to lease or rent the property, but restrictions might apply to modifications tenants can make. **Recommendations:**
* **Review Preservation Documents:** Carefully examine the property's designation documents, easements, or covenants to understand the specific restrictions and compliance requirements.
* **Consult a Lawyer:** An experienced lawyer specializing in real estate and heritage law can advise you on your rights and obligations as an owner subject to historic preservation restrictions.
* **Contact Heritage Organizations:** The NCCA or local heritage organizations might offer resources, guidance, and potential financial assistance for maintaining the property's historical character.
* **Weigh the Benefits and Challenges:** Owning a historically preserved property comes with both restrictions and potential benefits. Carefully consider these factors before deciding whether to accept the inheritance.
By understanding the legal implications and seeking professional advice, you can make informed decisions about inheriting and managing a property subject to historic preservation restrictions.</t>
  </si>
  <si>
    <t>Maaari ka bang magbigay ng gabay sa mga legal na implikasyon ng pagmamana ng ari-arian na napapailalim sa makasaysayang mga paghihigpit sa pangangalaga, at paano nakakaapekto ang mga hadlang na ito sa pagmamay-ari?</t>
  </si>
  <si>
    <t>In cases where a family member is incapacitated or unable to manage their property, what legal steps can be taken to ensure a smooth inheritance process?</t>
  </si>
  <si>
    <t>In the Philippines, if a family member who owns property becomes incapacitated and unable to manage their affairs, legal steps can be taken to ensure a smooth inheritance process. Here's a breakdown of the options:
**1. Legal Guardianship:**
* A legal guardian can be appointed by the court to manage the incapacitated person's property and finances. This is typically a close relative (spouse, child, parent, or sibling).
* A petition for guardianship needs to be filed with the court, along with a doctor's evaluation establishing the incapacity. The court will then hear the petition and decide whether a guardian is necessary.
* The appointed guardian will have the legal authority to manage the property based on the incapacitated person's best interests and in accordance with any existing estate plan (will). **2. Estate Planning Tools:**
* **Durable Power of Attorney:** If an estate plan was already established, a durable power of attorney might be in place. This legal document authorizes a trusted person to manage the property and finances if the original owner becomes incapacitated.
* **Living Trust:** A living trust can be a useful tool. The property is transferred to the trust while the original owner retains control during their lifetime. Upon incapacity, the designated trustee manages the assets according to the trust's instructions, ensuring a smooth transition.
**3. Advance Directives:**
* An incapacitated person might have created an advance directive, which can include a "living will" specifying wishes regarding medical treatment and a "durable power of attorney for healthcare" designating someone to make healthcare decisions. * While not directly related to property inheritance, these directives can help ensure the incapacitated person's wishes are respected and avoid confusion or disagreements among family members.
**Recommendations:**
* **Consult a Lawyer:** An attorney specializing in estate planning and elder law is crucial. They can guide you through the legal processes for guardianship, advise on the interpretation of existing estate planning documents, and draft necessary documents if needed.
* **Open Communication:** Discussing incapacity planning and inheritance wishes openly with your family member while they are still competent can help avoid confusion and conflict later.
* **Consider Professional Care:** Depending on the severity of the incapacity, professional caregiving or assisted living facilities might be necessary. Planning for these potential costs is advisable.
By taking proactive steps, such as establishing legal guardianships or utilizing estate planning tools when possible, families can ensure a smoother inheritance process and protect the incapacitated person's assets during their lifetime.</t>
  </si>
  <si>
    <t>Sa mga kaso kung saan ang isang miyembro ng pamilya ay walang kakayahan o hindi kayang pamahalaan ang kanilang ari-arian, anong mga legal na hakbang ang maaaring gawin upang matiyak ang maayos na proseso ng mana?</t>
  </si>
  <si>
    <t>How are property taxes calculated and affected by the inheritance of real estate, and what strategies can heirs use to manage tax liabilities?</t>
  </si>
  <si>
    <t>## Property Taxes and Inheritance in the Philippines
In the Philippines, inheriting real estate can impact your property tax obligations. Here's a breakdown of how property taxes are calculated and strategies for managing them as an heir.
**Calculating Property Taxes:**
* **Schedule of Values (SOV):** The government uses the Schedule of Values (SOV) to determine the property's **assessed value**. This assessed value is a percentage (usually around 2% to 4%) of the property's fair market value.
* **Mill Rate:** Local government units (LGUs) set a **mill rate** (a percentage) that's multiplied by the assessed value to calculate the annual property tax. Mill rates can vary depending on the location and property type.
**Formula:** **Property Tax = Assessed Value (SOV x Fair Market Value) x Mill Rate**
**Impact of Inheritance:**
* **Reassessment:** In some cases, inheriting property can trigger a reassessment by the local assessor's office. This could potentially increase the assessed value and, consequently, the property tax.
* **Tax Breaks:** **Exemptions:** There are some exemptions for certain property types or owners, such as senior citizens or persons with disabilities. Heirs should inquire about potential exemptions applicable to their situation.
* **Discounts:** Some LGUs offer early payment discounts for property taxes. Paying early can help heirs manage their tax liabilities.
**Strategies for Heirs:**
* **Gather Information:** Heirs should obtain a copy of the latest property tax assessment and understand the applicable mill rate.
* **Consider Reassessment:** If you believe the assessed value is significantly underestimated, a formal reassessment request can be filed with the local assessor's office. However, be aware that this could lead to an even higher assessment.
* **Explore Exemptions:** Research and apply for any available exemptions based on property type or owner qualifications.
* **Plan for Payments:** Factor in property taxes when budgeting for inherited property ownership. Consider early payment discounts offered by LGUs.
* **Seek Professional Help:** Consulting a tax advisor experienced in property taxation can be beneficial. They can advise on optimizing tax obligations and potential strategies for minimizing property tax burdens.
**Additional Considerations:**
* **Joint Inheritance:** If multiple heirs inherit the property jointly, they'll be collectively responsible for property taxes. A clear agreement on how tax payments will be shared is advisable.
* **Selling the Property:** If heirs decide to sell the property, capital gains tax might be applicable on the difference between the selling price and the inherited value. Consulting a tax advisor is crucial in such situations.
By understanding how property taxes work and implementing these strategies, heirs can better manage their tax liabilities associated with inheriting real estate in the Philippines.</t>
  </si>
  <si>
    <t>Paano kinakalkula at naaapektuhan ang mga buwis sa ari-arian ng pagmamana ng real estate, at anong mga diskarte ang maaaring gamitin ng mga tagapagmana upang pamahalaan ang mga pananagutan sa buwis?</t>
  </si>
  <si>
    <t>What legal considerations should be taken into account when inheriting property with existing home equity loans or reverse mortgages, and how are these obligations managed?</t>
  </si>
  <si>
    <t>Inheriting property with existing debt like home equity loans (HELs) or reverse mortgages (RMs) in the Philippines adds a layer of complexity. Here's a breakdown of the legal considerations and how these obligations are managed:
**Understanding the Loan Details:**
* **Review Loan Documents:** Heirs should carefully review the HEL or RM loan documents to understand the outstanding balance, interest rates, repayment terms, and any "due on sale" clauses. These clauses accelerate the loan's full repayment upon the property's sale.
* **Consult the Lender:** Contacting the lender directly is crucial. They can explain the loan's status, remaining obligations, and options available to heirs as inheritors.
**Obligations and Options for Heirs:**
* **Personal Liability:** In most cases, heirs **do not automatically become personally liable** for the outstanding HEL or RM balance simply by inheriting the property.
* **Repayment Options:** Heirs have several options to handle the debt:
* **Repay the Loan in Full:** Heirs can collectively use their own funds or proceeds from selling other inherited assets to repay the loan entirely.
* **Sell the Property:** Selling the property can be a way to settle the outstanding loan. The proceeds from the sale would be used to pay off the HEL/RM first, with any remaining amount going to the heirs.
* **Assume the Loan (if applicable):** In some cases, with the lender's approval, an heir might be able to **assume the loan**. This essentially means taking over the remaining loan obligations. However, qualifying for assumption typically requires good credit and financial standing.
* **Negotiate with Lender:** Heirs might be able to negotiate with the lender for alternative repayment options, such as extending the loan term or modifying the interest rate.
**Legal Considerations:**
* **Will Provisions:** If there's a will, it might specify how the deceased intended for the HEL/RM to be handled. The will's instructions should be followed.
* **Multiple Heirs:** If there are multiple heirs, communication and agreement on how to manage the debt are essential. A formal agreement outlining each heir's contribution or responsibilities might be helpful.
* **Tax Implications:** Depending on the inheritance scenario and how the debt is handled, capital gains tax might apply when the property is sold. Consulting a tax advisor is recommended.
* **Seek Legal Advice:** An experienced lawyer specializing in estate planning and real estate law can provide tailored guidance on handling the inherited debt considering the specific loan documents, inheritance scenario, and the heirs' overall situation.
**By understanding their obligations and exploring all options, heirs can make informed decisions about managing inherited property with existing HELs or RMs. Consulting financial and legal professionals is highly recommended to navigate the legalities and make the most advantageous choices.**</t>
  </si>
  <si>
    <t>Anong mga legal na pagsasaalang-alang ang dapat isaalang-alang kapag nagmamana ng ari-arian na may mga kasalukuyang home equity loan o reverse mortgage, at paano pinamamahalaan ang mga obligasyong ito?</t>
  </si>
  <si>
    <t>Can you explain the role of a personal representative in the inheritance process and the legal responsibilities they bear, especially regarding property distribution?</t>
  </si>
  <si>
    <t>The personal representative, also known as an executor (if there's a will) or administrator (if there's no will), plays a crucial role in managing the estate and distributing assets to beneficiaries in the Philippines. Here's a breakdown of their responsibilities regarding property distribution:
**Duties of the Personal Representative:**
* **Locate and Inventory Assets:** The representative must identify and inventory all assets belonging to the deceased, including real estate, bank accounts, investments, and personal belongings.
* **Pay Debts and Taxes:** They are responsible for paying off the deceased's outstanding debts (e.g., credit cards, loans) and settling all taxes owed (e.g., estate tax, income tax on final paychecks).
* **Manage and Protect Assets:** The representative has a duty to prudently manage and protect the estate's assets until distribution. This might involve securing vacant properties, maintaining insurance coverage, and making necessary repairs.
* **Distribute Property According to Will or Law:** This is a key responsibility. The representative must distribute the remaining assets to the beneficiaries as specified in the will (if there's one). If there's no will, they must follow the intestacy laws of the Philippines, which dictate how assets are distributed among family members.
**Property Distribution Process:**
1. **Following the Will (if applicable):** The representative must adhere faithfully to the instructions outlined in the will regarding property distribution. This includes identifying beneficiaries, specifying the type and amount of property each receives, and considering any conditions attached to inheritances.
2. **Intestacy Laws (if no will):** In the absence of a will, the representative distributes the property according to the intestacy laws. These laws prioritize surviving spouse and children, followed by parents, siblings, nieces/nephews, and more distant relatives in a specific order.
3. **Valuation and Division (if necessary):** If assets cannot be easily divided among heirs (e.g., a single property), the representative might need to arrange for professional valuation and potentially sell the asset to distribute the proceeds according to the will or intestacy laws.
**Legal Responsibilities:**
* **Fiduciary Duty:** The representative acts in a fiduciary capacity. This means they have a legal obligation to act in the best interests of the estate and beneficiaries, avoiding conflicts of interest and managing assets with prudence and care.
* **Accountability:** The representative is accountable to the court and beneficiaries for their actions. They might be required to file reports detailing estate administration and distribution of assets.
* **Breach of Duty:** Failing to fulfill their responsibilities or mismanaging assets can lead to legal consequences, including lawsuits from beneficiaries.
**Importance of a Personal Representative:**
A competent and trustworthy personal representative can ensure a smooth and efficient inheritance process, minimizing disputes and ensuring beneficiaries receive their rightful share of the estate.
**Additional Considerations:**
* **Professional Help:** The role can be complex. The representative might seek assistance from lawyers, accountants, or financial advisors throughout the process.
* **Beneficiary Communication:** Maintaining open communication with beneficiaries is crucial. By understanding these responsibilities and the legal framework, personal representatives can fulfill their role effectively and ensure a fair and orderly distribution of inherited property.</t>
  </si>
  <si>
    <t>Maaari mo bang ipaliwanag ang papel ng isang personal na kinatawan sa proseso ng mana at ang mga legal na pananagutan nila, lalo na tungkol sa pamamahagi ng ari-arian?</t>
  </si>
  <si>
    <t>How does the inheritance of property impact individuals with non-U.S. citizenship, and what legal considerations arise for heirs residing abroad?</t>
  </si>
  <si>
    <t>Inheriting property in the Philippines as a non-U.S. citizen can come with some complexities, especially if you reside abroad. Here's a breakdown of the key considerations:
**Inheritance Rights:**
* **Non-discrimination:** Foreign heirs generally have the same inheritance rights as Philippine citizens. They can inherit property through a will or intestacy laws.
**Tax Implications:**
* **Estate Tax:** The Philippines imposes estate tax on the transfer of property located within the country, regardless of the decedent's or heir's citizenship. The tax rate is progressive, meaning it increases as the estate value rises.
* **Tax Treaties:** The Philippines has tax treaties with many countries that might reduce or eliminate estate tax for non-resident heirs. Consulting a tax advisor familiar with these treaties is crucial.
**Administrative Challenges:**
* **Distance and Communication:** Heirs residing abroad might face challenges in managing the inheritance process remotely. This could involve coordinating with local representatives, property management, and potentially traveling to the Philippines.
* **Legal Representation:** Appointing a trusted lawyer in the Philippines familiar with inheritance law can streamline the process, ensure proper documentation, and represent your interests during legal proceedings (if necessary).
**Additional Considerations:**
* **Property Type:** The type of property inherited (land, house, etc.) might influence the administrative complexities. Real estate often involves local registration and potential restrictions on foreign ownership.
* **Currency Exchange:** If the property needs to be sold, converting Philippine pesos to your home currency might involve exchange rate fluctuations and associated fees.
**Recommendations:**
* **Consult a Lawyer:** An experienced Philippine lawyer specializing in estate planning and inheritance law can provide tailored guidance on your specific situation, including tax implications and navigating the administrative process.
* **Tax Planning:** Early tax planning with a tax advisor familiar with relevant treaties can help minimize tax liabilities.
* **Consider Local Representation:** Appointing a trusted individual or company in the Philippines to manage the property (e.g., collecting rent, handling maintenance) can be helpful, especially if you reside abroad.
By understanding these legal aspects and seeking professional guidance, non-U.S. citizen heirs residing abroad can navigate the inheritance process in the Philippines more effectively and ensure they receive their rightful share of the property.</t>
  </si>
  <si>
    <t>Paano nakakaapekto ang pagmamana ng ari-arian sa mga indibidwal na hindi mamamayan ng U.S., at anong mga legal na pagsasaalang-alang ang lumitaw para sa mga tagapagmana na naninirahan sa ibang bansa?</t>
  </si>
  <si>
    <t>In cases of inherited property with shared access rights, such as shared driveways or pathways, what legal mechanisms exist to manage disputes among co-owners?</t>
  </si>
  <si>
    <t>Inheriting property with shared access rights, like driveways or pathways, can lead to disputes among co-owners in the Philippines. Here are some legal mechanisms to manage such conflicts:
**1. Reviewing Existing Agreements:**
* **Deeds and Covenants:** The property deeds or covenants might outline established access rights and maintenance responsibilities. These documents should be the first point of reference.
* **Easements:** An easement might be registered granting specific access rights across one property for the benefit of another. The easement document would detail the scope and limitations of this right.
**2. Communication and Negotiation:**
* **Open communication:** Co-owners should attempt to resolve the dispute amicably through open communication and negotiation. * **Mediation:** Consider mediation with a neutral third party to facilitate a mutually agreeable solution.
**3. Legal Solutions:**
* **Partition Action:** If communication fails, a partition action can be filed in court. This formal lawsuit forces the sale of the shared access area, dividing the proceeds among co-owners. This is a last resort due to the time and expense involved.
* **Declaratory Relief:** A lawsuit for declaratory relief can be filed to seek a court judgment clarifying the extent of shared access rights and responsibilities. **4. Establishing Clear Agreements:**
* **Co-ownership Agreement:** If there are no existing agreements, co-owners can draft a formal co-ownership agreement. This document should clearly define:
* **Access Rights:** Who has access and for what purposes.
* **Maintenance:** How maintenance and repair costs of the shared area will be shared among co-owners. * **Dispute Resolution:** A process for resolving future disagreements.
* **Registering Agreements:** For added enforceability, consider registering the co-ownership agreement with the appropriate government agency.
**Recommendations:**
* **Consult a Lawyer:** An experienced lawyer specializing in real estate and property law can advise you on the most appropriate legal mechanisms based on the specific situation and existing documents.
* **Prioritize Communication:** Open communication and willingness to compromise can often resolve disputes amicably and avoid costly legal battles.
By understanding these legal options and emphasizing clear communication, co-owners of inherited property with shared access rights can manage potential conflicts effectively and ensure the continued enjoyment of their respective properties.</t>
  </si>
  <si>
    <t>Sa mga kaso ng minanang ari-arian na may nakabahaging mga karapatan sa pag-access, tulad ng mga shared driveway o pathway, anong mga legal na mekanismo ang umiiral upang pamahalaan ang mga hindi pagkakaunawaan sa pagitan ng mga kapwa may-ari?</t>
  </si>
  <si>
    <t>Can you provide insights into the legal implications of inheriting property with significant environmental features, such as wetlands or protected habitats?</t>
  </si>
  <si>
    <t>Inheriting property with significant environmental features in the Philippines adds a layer of complexity due to environmental regulations. Here's a breakdown of the legal implications you should consider:
**Environmental Laws and Protections:**
* **Protected Areas:** The property might be located within a proclaimed protected area (e.g., national park, wildlife sanctuary). This could restrict development activities and impose specific use limitations.
* **Wetland Regulations:** If wetlands are present, the Philippine Clean Water Act and Wetland Conservation and Wise Use Act might regulate activities like construction or land alteration.
* **Endangered Species:** The property might contain habitat for threatened or endangered species. The Wildlife Resources Conservation and Protection Act might restrict activities that could harm these species or their habitat.
**Impact on Inheritance:**
* **Restrictions on Use and Development:** The environmental regulations could limit how you use or develop the property. Permits might be required for specific activities, and some developments might be prohibited altogether.
* **Maintenance Responsibilities:** You might inherit some responsibility for maintaining the environmental features of the property. This could involve managing vegetation, preventing pollution, or protecting wildlife habitats.
**Legal Considerations:**
* **Environmental Impact Assessments:** Any development plans might require environmental impact assessments (EIAs) to ensure minimal ecological disruption.
* **Government Permits:** Obtaining permits from the Department of Environment and Natural Resources (DENR) or other relevant agencies might be necessary for certain activities.
* **Compliance Costs:** Meeting environmental regulations might involve costs for studies, permits, and potentially restoration efforts.
**Recommendations:**
* **Conduct Environmental Audits:** Before making decisions about the property, commission an environmental audit to identify environmental features and understand the applicable regulations.
* **Consult Environmental Lawyers:** Seek legal guidance from lawyers specializing in environmental law. They can advise you on your rights and obligations as an inheritor and help you navigate the legal framework.
* **Explore Sustainable Options:** Consider sustainable development approaches that minimize environmental impact. This could increase the property's value in the long run.
* **Government Agencies:** Contacting the DENR or local environmental offices can provide information on specific regulations and potential assistance programs for managing environmentally sensitive property.
By understanding the legal framework and seeking professional guidance, you can manage your inheritance responsibly, comply with environmental regulations, and potentially explore sustainable development options for the property.</t>
  </si>
  <si>
    <t>Maaari ka bang magbigay ng mga insight sa mga legal na implikasyon ng pagmamana ng ari-arian na may mahahalagang katangian sa kapaligiran, tulad ng mga wetlands o protektadong tirahan?</t>
  </si>
  <si>
    <t>What legal options exist for heirs who wish to donate inherited property to a nonprofit organization or charity, and how are these transactions typically facilitated?</t>
  </si>
  <si>
    <t>Inheriting property in the Philippines opens the door to charitable giving through property donation to a non-profit organization (NPO) or charity. Here's a breakdown of legal options and how these transactions are facilitated:
**Legal Options for Donating Inherited Property:**
* **Direct Donation:** The simplest approach involves directly donating the inherited property to the chosen NPO. This requires a Deed of Donation outlining the transfer of ownership and any specific conditions attached to the donation (e.g., the property's intended use by the NPO).
* **Charitable Remainder Trust:** A more complex option is establishing a charitable remainder trust. This trust holds the inherited property, pays income to designated beneficiaries (heirs) for a set period, and then distributes the remaining property to the chosen NPO upon trust termination. * This option can offer tax benefits to the heirs by reducing their capital gains tax liability on the property's donation.
* **Sale and Donation of Proceeds:** Heirs can choose to sell the inherited property and donate the proceeds to the NPO. This might be advantageous if the property is difficult to manage or the NPO can utilize the funds more effectively.
**Facilitating the Donation:**
* **Consulting with the NPO:** Discuss your intention to donate the property with the NPO. They might have experience handling property donations and can advise on the most suitable approach based on the property type and their needs.
* **Engaging a Lawyer:** An experienced lawyer specializing in estate planning and tax law is crucial. They can draft the necessary legal documents (Deed of Donation or trust agreement), ensure compliance with tax regulations, and guide you through the donation process.
* **Property Valuation:** In some cases, especially for a charitable remainder trust, a professional appraisal of the property's fair market value might be required for tax purposes.
**Tax Considerations:**
* **Capital Gains Tax:** Donating the property directly to the NPO generally exempts the heirs from capital gains tax. * **Charitable Remainder Trust:** Tax implications can vary depending on the trust structure and income distribution plan. Consulting a tax advisor is crucial to understand potential tax benefits and obligations.
**Additional Considerations:**
* **NPO Qualification:** Ensure the chosen NPO is a registered non-profit organization with proper accreditation.
* **Record Keeping:** Maintain detailed records of the donation, including the Deed of Donation or trust agreement, property appraisal (if applicable), and receipts for any related expenses.
By understanding these legal options and seeking professional guidance, heirs can effectively donate inherited property to support a cause they care about while potentially minimizing tax liabilities. Remember, the most suitable approach depends on the specific situation and the type of property inherited.</t>
  </si>
  <si>
    <t>Anong mga legal na opsyon ang umiiral para sa mga tagapagmana na gustong mag-donate ng minanang ari-arian sa isang nonprofit na organisasyon o charity, at paano karaniwang pinapadali ang mga transaksyong ito?</t>
  </si>
  <si>
    <t>How does the inheritance of property affect individuals receiving means-tested government benefits, and what legal strategies can be employed to protect eligibility?</t>
  </si>
  <si>
    <t>In the Philippines, inheriting property can impact your eligibility for means-tested government benefits. Here's a breakdown of the situation and potential strategies:
**Impact on Benefits:**
* **Asset-Based Testing:** Many government benefits in the Philippines utilize asset-based testing. This means the **value of your assets,** including inherited property, can affect your eligibility or benefit amount.
* **Property Type:** The impact might vary depending on the property type. Owning a primary residence often has less impact than inheriting land, investment properties, or large sums of money.
**Strategies for Protecting Benefits:**
* **Understanding Benefit Rules:** Research the specific rules of the government program you receive benefits from. Contact the program administrator to understand how inherited property might affect your eligibility.
* **Delaying Property Sale (if applicable):** If you consider selling the inherited property, delaying the sale can help maintain your benefit eligibility for a longer period.
* **Separate Ownership:** If inheriting with multiple heirs, consider separating ownership through a formal partition agreement. This can help minimize the impact on individual asset values for means-testing purposes.
* **Living Arrangements:** If inheriting a house, consider **continuing to reside there as your primary residence**. Primary residences are often excluded or have a lower impact on asset calculations.
* **Seek Legal and Financial Advice:** Consulting a lawyer specializing in estate planning and a financial advisor familiar with government benefits can be highly beneficial. They can advise on the most appropriate strategies for your situation to minimize the impact on your benefits while ensuring you comply with all legal requirements.
**Additional Considerations:**
* **Benefit Disqualification vs. Reduced Amount:** Inheriting property might not disqualify you entirely, but it could reduce the amount of benefits you receive.
* **Transparency and Reporting:** If you receive means-tested benefits, it's crucial to report any changes in your assets, including inherited property, to the program administrator to avoid penalties or overpayments.
**Remember:** Government benefit programs and their eligibility criteria can change over time. Staying informed and consulting professional advisors can help you navigate these changes and protect your eligibility while benefiting from your inheritance.</t>
  </si>
  <si>
    <t>Paano naaapektuhan ng pagmamana ng ari-arian ang mga indibidwal na tumatanggap ng mga benepisyo ng pamahalaan na sinubok ng paraan, at anong mga legal na estratehiya ang maaaring gamitin upang protektahan ang pagiging karapat-dapat?</t>
  </si>
  <si>
    <t>Can you explain the legal considerations for heirs who wish to convert inherited property into income-generating assets, such as rental properties or commercial ventures?</t>
  </si>
  <si>
    <t>Inheriting property in the Philippines presents opportunities to generate income. Here's a breakdown of the legal considerations for heirs who want to convert inherited property into income-generating assets like rentals or commercial ventures:
**Understanding the Property:**
* **Zoning and Use Restrictions:** Review zoning regulations and any covenants attached to the property deed. These might restrict the type of business activity allowed on the property.
* **Suitability for Income Generation:** Evaluate if the property requires renovations or modifications to function effectively as a rental unit or commercial space. Factor in the associated costs.
**Legal Considerations for Different Uses:**
* **Residential Rentals:** * **Tenancy Laws:** The Philippines has specific tenancy laws governing landlord-tenant relationships. Understanding your obligations as a landlord regarding repairs, maintenance, and tenant rights is crucial.
* **Tax Implications:** Rental income is taxable. Consult a tax advisor on record-keeping requirements and tax filing obligations.
* **Commercial Ventures:**
* **Business Permits and Licenses:** Obtaining necessary permits and licenses from local government authorities is essential for operating a commercial venture.
* **Business Registration:** Depending on the business structure (sole proprietorship, partnership, corporation), registration with the appropriate government agencies might be required.
* **Joint Inheritance:** If inheriting with multiple heirs, consider establishing a co-ownership agreement outlining responsibilities, profit-sharing, and decision-making processes related to managing the income-generating property.
**Additional Considerations:**
* **Estate Planning Considerations:** If there's a will, ensure converting the property for income generation aligns with the deceased's wishes.
* **Legal and Financial Guidance:** Consulting a lawyer specializing in real estate and business law, along with a financial advisor, can provide tailored advice on legal compliance, optimizing income generation, and managing potential risks.
**Strategies for Success:**
* **Develop a Business Plan:** For commercial ventures, create a comprehensive business plan assessing market viability, financial projections, and operational strategies.
* **Property Management:** Consider hiring a property management company to handle tenant relations, rent collection, and maintenance for rentals.
* **Insurance Coverage:** Secure appropriate insurance protections for the property against potential risks like fire, theft, or tenant damage.
By understanding the legal framework, seeking professional guidance, and implementing strategic planning, heirs can effectively convert inherited property into income-generating assets while ensuring compliance with relevant regulations and maximizing financial benefits.</t>
  </si>
  <si>
    <t>Maaari mo bang ipaliwanag ang mga legal na pagsasaalang-alang para sa mga tagapagmana na gustong i-convert ang minanang ari-arian sa mga asset na kumikita, tulad ng mga pag-aari ng paupahang ari o komersyal na pakikipagsapalaran?</t>
  </si>
  <si>
    <t>What legal safeguards can be implemented to protect the interests of heirs when inheriting property subject to complex zoning regulations or land-use planning?</t>
  </si>
  <si>
    <t>Inheriting property with complex zoning regulations or land-use planning restrictions in the Philippines adds a layer of complexity. Here are some legal safeguards heirs can implement to protect their interests:
**Pre-Inheritance Planning (if applicable):**
* **Communication with Grantor (if possible):** If the property owner is still alive, discuss their vision for the property's future use. This can help heirs understand potential limitations and development options.
* **Reviewing Estate Planning Documents:** Carefully examine the will or intestacy laws to determine inheritance details and any specific instructions regarding the property's use.
**Post-Inheritance Safeguards:**
* **Professional Assessment:** Engage a qualified land-use attorney and a land surveyor familiar with the area. They can conduct a thorough assessment of the property, including:
* **Zoning Regulations:** A detailed analysis of current zoning restrictions and potential future changes in the land-use plan.
* **Development Feasibility:** Evaluating the property's suitability for various development options within the zoning limitations.
* **Permitting Requirements:** Understanding the permits and approvals needed for construction or modifications
* **Clear Agreements (if multiple heirs):** If inheriting with siblings or other parties, establish a formal co-ownership agreement. This agreement should outline:
* **Decision-Making Process:** How decisions regarding property use and development will be made.
* **Financial Responsibilities:** Allocation of costs associated with holding the property, including potential legal fees and development expenses.
* **Dispute Resolution Mechanism:** A clear process for resolving disagreements among heirs.
* **Proactive Legal Representation:** An experienced real estate lawyer can provide ongoing guidance on:
* **Compliance with Regulations:** Ensuring adherence to current and evolving zoning restrictions.
* **Development Options:** Exploring opportunities for development within the permissible uses, potentially maximizing the property's value.
* **Negotiations:** If seeking variances or amendments to zoning regulations, the lawyer can represent heirs in negotiations with government agencies.
* **Estate Planning for Future Generations:** If you plan to pass the property on to future generations, consider incorporating restrictions or guidelines in your will regarding adherence to zoning regulations and potential development limitations.
By implementing these safeguards, heirs can protect their interests regarding inherited property with complex zoning regulations. Professional assessments, clear agreements, and ongoing legal guidance can help heirs navigate the legal framework, maximize development options within permissible uses, and ensure compliance with regulations, minimizing the risk of future complications.</t>
  </si>
  <si>
    <t>Anong mga legal na pananggalang ang maaaring ipatupad upang protektahan ang mga interes ng mga tagapagmana kapag nagmamana ng ari-arian na napapailalim sa kumplikadong mga regulasyon sa pag-zoning o pagpaplano sa paggamit ng lupa?</t>
  </si>
  <si>
    <t>How does the inheritance of property impact the rights of tenants residing in rental units within the inherited property, and what legal obligations do heirs have in such cases?</t>
  </si>
  <si>
    <t>Inheriting property with existing tenants in the Philippines comes with specific legal obligations for the heirs towards the tenants. Here's a breakdown of how inheritance impacts tenant rights and the legalities involved:
**Tenant Rights and Protections:**
* **Continuation of Tenancy:** Philippine law, particularly Section 9 of Republic Act No. 3844 (Agricultural Land Reform Code), protects tenants. Upon inheritance, the tenancy relationship **continues between the existing tenants and the heirs**, assuming the land is not for agricultural use (covered under a different law).
* **Selection of Successor Tenant (if applicable):** If the existing tenant passes away, their rights might be transferred to a qualified family member under certain conditions, as outlined in the law.
* **Right to Remain:** Heirs cannot evict tenants solely due to inheritance. The tenancy agreement remains in effect with the new landlords (heirs).
**Obligations of Heirs as Landlords:**
* **Respecting Existing Agreements:** Heirs must honor the terms and conditions outlined in the existing tenancy agreement between the previous owner and the tenants. This includes rent amount, lease duration, and repair responsibilities.
* **Proper Notice for Changes:** If heirs intend to modify the tenancy agreement (e.g., increase rent), they must provide written notice within a reasonable timeframe as stipulated by law.
* **Maintenance and Repairs:** Heirs become responsible for maintaining the property and making necessary repairs as outlined in the tenancy agreement or as mandated by law (e.g., structural repairs).
* **Communication and Transparency:** Heirs should maintain open communication with tenants regarding any upcoming changes or ownership transition.
**Additional Considerations:**
* **Inheritance and Lease Renewal:** If the lease approaches its end date after the inheritance, heirs can negotiate new terms with the tenants, but they cannot force them to vacate without a valid reason and following proper legal procedures.
* **Eviction:** Eviction is only possible under specific legal grounds, such as non-payment of rent, causing property damage, or violating the tenancy agreement. Eviction requires following legal procedures through court.
* **Seeking Legal Counsel:** Consulting a real estate lawyer familiar with landlord-tenant laws is highly recommended. They can advise heirs on their obligations, navigate potential disputes, and ensure compliance with legal requirements.
By understanding their obligations and respecting existing tenant rights, heirs can ensure a smooth transition and maintain a positive relationship with their tenants.</t>
  </si>
  <si>
    <t>Paano nakakaapekto ang pamana ng ari-arian sa mga karapatan ng mga nangungupahan na naninirahan sa mga paupahang unit sa loob ng minanang ari-arian, at anong mga legal na obligasyon ang taglay ng mga tagapagmana sa mga ganitong kaso?</t>
  </si>
  <si>
    <t>Can you provide guidance on the legal implications of inheriting property with ongoing construction projects or renovations, and how are these projects managed during the inheritance process</t>
  </si>
  <si>
    <t>Inheriting property with ongoing construction projects in the Philippines presents unique legal and practical challenges. Here's a breakdown of the implications and how these projects are managed during the inheritance process:
**Legal Considerations:**
* **Reviewing Construction Contracts:** Heirs should thoroughly examine all existing construction contracts between the deceased and contractors, architects, and suppliers. * These contracts will outline the scope of work, payment schedule, and potential termination clauses in case of ownership change.
* **Assessing Project Status:** Engage a qualified engineer or contractor to conduct a comprehensive assessment of the ongoing project's progress, quality of work completed, and potential completion timelines and costs.
* **Financial Implications:** Understand the financial commitment associated with the construction project. Are there outstanding payments to contractors or suppliers? * Heirs need to determine if they have the financial resources to complete the project or explore alternative options.
* **Building Permits and Approvals:** Ensure all necessary permits and approvals are in place for the ongoing construction. * Any delays or violations might lead to penalties or require reapplying for permits, causing further delays.
**Management of Ongoing Projects:**
* **Decision-Making by Heirs:** Heirs collectively need to decide whether to:
* **Complete the Project:** If financially feasible and aligned with their intentions for the property, heirs can choose to complete the construction according to the original plans.
* **Modify the Project:** Heirs might consider scaling back or modifying the project based on their budgets and preferences. Renegotiating contracts with contractors might be necessary.
* **Terminate the Project:** If completing the project is not financially viable or desirable, heirs can explore legal options for terminating the construction contract and securing the partially built structure.
* **Communication with Contractors:** Heirs or their appointed representative should communicate clearly with contractors and suppliers regarding the inheritance, decision on project continuation, and any potential changes.
* **Legal Representation:** Consulting a lawyer specializing in construction law can be crucial. They can advise on legal obligations, contract interpretations, negotiations with contractors, and potential termination procedures.
**Additional Considerations:**
* **Insurance Coverage:** Review existing insurance policies related to the construction project. Ensure proper coverage for ongoing work and potential liabilities.
* **Taxes and Permits:** Be mindful of potential tax implications related to construction costs and completion of the project.
* **Safety Measures:** Ensure the partially constructed property is secured to prevent accidents or injuries.
By understanding the legal landscape, carefully assessing the project's status, and seeking professional guidance, heirs can make informed decisions about the future of the ongoing construction project associated with the inherited property. This can help them minimize risks, manage costs, and ensure a smooth continuation or termination of the project.</t>
  </si>
  <si>
    <t>Maaari ka bang magbigay ng patnubay sa mga legal na implikasyon ng pagmamana ng ari-arian sa mga kasalukuyang proyekto sa pagtatayo o pagsasaayos, at paano pinamamahalaan ang mga proyektong ito sa panahon ng proseso ng pagmamana</t>
  </si>
  <si>
    <t>What are the legal steps involved in inheriting property when there is a valid will in place, and how is the distribution of assets determined?</t>
  </si>
  <si>
    <t>Inheriting property in the Philippines with a valid will involves a legal process to ensure proper administration and distribution of the estate. Here's a breakdown of the steps and how asset distribution is determined, based on relevant Philippine laws:
**Steps Involved:**
1. **Probate of the Will (Securing Letters Testamentary):**
- The executor named in the will initiates the process by filing a petition with the **Regional Trial Court (RTC)** where the deceased (testator) resided at the time of death. (Rule 74, Rules of Court)
- This petition triggers probate, a court proceeding to determine the will's validity. This might involve presenting witnesses and ensuring the will complies with formalities (written, signed by the testator and witnesses). (Art. 804, Civil Code of the Philippines)
- Upon successful probate, the court issues **Letters Testamentary**, officially authorizing the executor to manage the estate according to the will's provisions. (Sec. 2, Rule 78, Rules of Court)
2. **Inventory and Appraisal of Estate Assets:**
- The executor creates a detailed inventory listing all the testator's assets (properties, cash, investments, etc.). (Sec. 1, Rule 84, Rules of Court)
- Qualified professionals appraise the assets to determine their fair market value. (Sec. 2, Rule 84, Rules of Court)
3. **Settlement of Debts and Taxes:**
- The executor uses estate assets to pay any outstanding debts of the deceased (e.g., mortgages, loans) and taxes (estate tax). (Sec. 578, Civil Code of the Philippines)
* Estate tax is a tax imposed on the privilege of transferring property upon death. The amount is based on the total value of the estate.
4. **Distribution of Assets to Beneficiaries:**
- Once debts and taxes are settled, the remaining assets are distributed to the beneficiaries as specified in the will. (Art. 878, Civil Code of the Philippines)
* The will should clearly identify beneficiaries and their designated shares.
**Distribution of Assets:**
* The will dictates the distribution of assets. The testator has the freedom to allocate their estate as they wish, **as long as it does not violate compulsory heirship rules**.
* **Compulsory Heirship (Sec. 878, Civil Code of the Philippines):**
* The testator's legitimate children and spouse are considered compulsory heirs. * A certain portion of the estate (legitime) cannot be entirely disinherited by the will. The legitime is typically half (1/2) for the children and another half (1/2) for the surviving spouse if there are no children.
**Additional Considerations:**
* If a beneficiary is a minor, the court might appoint a guardian to manage their inheritance until they reach legal age.
* Heirs can contest the will if they believe it's invalid or unfair. This would involve a legal battle in court.
**Important Resources:**
* Rules of Court: [https://sc.judiciary.gov.ph/rules-of-court/](https://sc.judiciary.gov.ph/rules-of-court/)
* Civil Code of the Philippines: [https://sc.judiciary.gov.ph/](https://sc.judiciary.gov.ph/)
**Remember:** This is a general overview. Consulting a lawyer specializing in probate matters is highly recommended to navigate the specific processes and ensure compliance with all legal requirements.</t>
  </si>
  <si>
    <t>Ano ang mga legal na hakbang na kasangkot sa pagmamana ng ari-arian kapag mayroong wastong testamento, at paano tinutukoy ang pamamahagi ng mga ari-arian?</t>
  </si>
  <si>
    <t>Can you explain the legal concept of intestacy and how it applies to the inheritance of property when there is no will?</t>
  </si>
  <si>
    <t>In the Philippines, if a person dies **without a valid will**, their property is distributed according to the law of intestacy. Here's a breakdown of the concept and its application:
**Intestacy Defined:**
* Intestacy refers to the legal process that governs the distribution of a deceased person's estate **in the absence of a valid will**.
* The law dictates who inherits the property and in what proportions.
**Application of Intestacy:**
* When someone dies intestate, the following order of succession is applied:
1. **Compulsory Heirs (Sec. 878, Civil Code of the Philippines):**
* The primary beneficiaries are the legitimate children and the surviving spouse of the deceased.
* These compulsory heirs are entitled to a specific share of the estate called the **legitime**.
* The legitime is typically half (1/2) for the children and another half (1/2) for the surviving spouse if there are no children.
2. **Descendants (if no surviving spouse or children):**
* If there's no surviving spouse or children, the estate goes to the **descendants** of the deceased (grandchildren, great-grandchildren, etc.).
3. **Parents (if no descendants):**
* In the absence of descendants, the **parents** of the deceased inherit the estate.
4. **Ascendants (if no parents):**
* If there are no surviving parents, the **ascendants** (grandparents) of the deceased inherit.
5. **Collateral Relatives (if no ascendants):**
* In the absence of ascendants, **collateral relatives** (siblings, nephews, nieces) might inherit, following a specific order outlined in the Civil Code.
6. **The State (if no heirs):**
* If there are no legal heirs, the **estate goes to the State**.
**Important Considerations:**
* The specific share each heir receives depends on the number and category of surviving relatives.
* Heirs can still contest the distribution under intestacy rules if they believe they were unfairly excluded or their share is incorrect.
**Resources:**
* Civil Code of the Philippines: [https://sc.judiciary.gov.ph/](https://sc.judiciary.gov.ph/)
**Recommendation:**
Having a valid will is highly recommended to ensure your property is distributed according to your wishes and minimize potential disputes among heirs.</t>
  </si>
  <si>
    <t>Maaari mo bang ipaliwanag ang legal na konsepto ng intestacy at kung paano ito naaangkop sa mana ng ari-arian kapag walang testamento?</t>
  </si>
  <si>
    <t>How does the law handle the inheritance of property by minors, and what legal mechanisms exist to protect their interests?</t>
  </si>
  <si>
    <t>In the Philippines, the law takes special considerations when minors inherit property. Here's a breakdown of how inheritance is handled and the legal mechanisms in place to protect their interests:
**Inheritance by Minors:**
* Minors (individuals below 18 years old) can inherit property through a will or under intestacy laws.
* **Will:** If there's a will, the testator (deceased) can specify who manages the minor's inheritance.
* **Intestacy:** If there's no will, the court appoints a guardian to manage the inheritance until the minor reaches legal age.
**Legal Mechanisms for Protection:**
* **Guardian:** A court-appointed guardian is responsible for managing the minor's inherited property. This includes:
* **Preserving the assets:** Ensuring the property is maintained and protected from loss or damage.
* **Managing income:** Collecting any income generated by the property (e.g., rent from rentals).
* **Investing assets:** Investing the inheritance funds prudently for the minor's future benefit.
* **Accounting:** Maintaining proper records and accounting for all financial transactions related to the inheritance.
* **Family Court Approval:** For specific actions involving the minor's inheritance, such as selling property or making significant investments, the guardian may require approval from the Family Court. This ensures responsible management and protects the minor's interests.
* **Bonding Requirement:** In some cases, the court might require the guardian to post a bond. This acts as financial security, ensuring the guardian fulfills their responsibilities and protects the minor's assets.
* **Termination of Guardianship:** Once the minor reaches legal age (18 years old in the Philippines), the guardianship ends, and the minor takes full control of their inheritance.
**Additional Considerations:**
* **Trusts:** A testator can establish a trust in their will, which can be a beneficial way to manage a minor's inheritance. A trustee, often a trusted individual or financial institution, manages the assets according to the terms of the trust, ensuring the minor receives the inheritance at a specific age or upon meeting certain conditions.
* **Parental Rights:** Parents of a minor who inherit property might have limited decision-making power regarding the inheritance, depending on the specific circumstances and court orders.
* **Legal Representation:** Consulting a lawyer specializing in probate and estate planning can be crucial for navigating the legal process, understanding guardianship responsibilities, and ensuring the minor's inheritance is protected and managed effectively.
By implementing these legal mechanisms, Filipino law aims to safeguard the inheritance of minors and ensure they receive their rightful share of property when they reach adulthood.</t>
  </si>
  <si>
    <t>Paano pinangangasiwaan ng batas ang pagmamana ng ari-arian ng mga menor de edad, at anong mga legal na mekanismo ang umiiral upang protektahan ang kanilang mga interes?</t>
  </si>
  <si>
    <t>What are the tax implications for beneficiaries inheriting property, including estate taxes and potential capital gains taxes?</t>
  </si>
  <si>
    <t>In the Philippines, inheriting property comes with some tax obligations for beneficiaries. Here's a breakdown of the relevant taxes:
**Estate Tax:**
* Estate tax is a tax imposed on the privilege of transferring property upon death. It is paid by the estate **before** distribution to beneficiaries.
* The amount of estate tax is based on the **net taxable estate**, which is the total value of the deceased's assets minus allowable deductions and exemptions. ([Tax Code, Sec. 85])
**Capital Gains Tax (CGT):**
* Capital gains tax is a separate tax **potentially** applicable to beneficiaries upon **disposition** (selling, donating, etc.) of the inherited property.
**Tax Implications for Beneficiaries:**
* **Beneficiaries do not directly pay estate tax.** It is the estate's responsibility to settle this tax before distribution.
* **Capital gains tax might apply to beneficiaries depending on the situation:**
* **No CGT if holding and selling:** If a beneficiary inherits the property and holds it for some time before selling, they generally **don't pay CGT** unless significant improvements increased the property's value.
* **CGT upon inheritance (optional):** Beneficiaries have the option to pay a **final tax of 6%** based on the property's **fair market value** upon inheritance. This **eliminates CGT liability** upon future sale.
**Important Considerations:**
* The specific tax rates and exemptions for estate tax are subject to change. Consulting a tax professional is recommended to determine the current applicable rates and thresholds.
* Proper record-keeping of the property's acquisition cost (inherited value) is important for calculating potential capital gains tax if the property is eventually sold.
**Additional Taxes:**
* Depending on the type of inherited property, beneficiaries might encounter other taxes, such as:
* **Documentary Stamp Tax (DST):** A tax usually paid on property sales or donations (1.5% of the selling price).
* **Donor's Tax:** A tax on donations (if the property is gifted instead of inherited).
By understanding these tax implications, beneficiaries can make informed decisions regarding inherited property and ensure they comply with all tax obligations.</t>
  </si>
  <si>
    <t>Ano ang mga implikasyon sa buwis para sa mga benepisyaryo na nagmamana ng ari-arian, kabilang ang mga buwis sa ari-arian at mga potensyal na buwis sa capital gains?</t>
  </si>
  <si>
    <t>Can you provide guidance on the legal process for challenging the validity of a will affecting the inheritance of property?</t>
  </si>
  <si>
    <t>In the Philippines, if you believe a will is invalid or unfair, you can challenge it through a legal process. Here's an overview of the steps involved:
**Grounds for Contesting a Will:**
There are several grounds for contesting a will in the Philippines. Some common reasons include:
* **Testamentary incapacity:** The deceased lacked the mental capacity to understand the nature and consequences of creating a will at the time it was signed.
* **Undue influence:** The testator was pressured or coerced into signing the will.
* **Forgery:** The will is a fake document, or someone forged the testator's signature.
* **Improper execution:** The will was not created following the legal formalities (e.g., not properly witnessed).
* **Preterition:** A compulsory heir (spouse or legitimate children) was unintentionally omitted from the will without a valid reason.
**Legal Process:**
1. **Filing a Petition:** You, as the contesting party, file a petition with the Regional Trial Court (RTC) where the probate proceedings for the will are taking place or where the deceased resided at the time of death.
2. **Grounds for Contest:** The petition should clearly state the specific reason(s) why you believe the will is invalid. Evidence to support your claims (witnesses, documents) should be attached.
3. **Serving Notice:** Notice of the contest is served to the executor of the will and other beneficiaries.
4. **Hearings:** The court will hold hearings to hear arguments from both sides and assess the evidence.
5. **Decision:** The court will issue a decision determining whether the will is valid or invalid.
**Additional Considerations:**
* Contesting a will can be a complex and lengthy legal process. Consulting a lawyer specializing in probate and estate litigation is highly recommended to navigate the process effectively.
* Legal fees and court costs associated with contesting a will can be significant. Consider the financial implications before initiating the process.
* There are strict time limits for contesting a will in the Philippines. Generally, you have to file a petition **within three (3) years** from the probate of the will. ([Rule 141, Rules of Court])
**Alternatives to Litigation:**
* **Mediation:** In some cases, mediation might be an option to resolve disputes regarding the will outside of court. A neutral third party facilitates communication and helps reach an agreement.
* **Settlement:** The contesting party and beneficiaries might negotiate a settlement to avoid a lengthy court battle.
**Remember:** This is a general overview. Consulting a lawyer specializing in probate matters is essential to understand the specific requirements and strategize the best course of action for your situation.</t>
  </si>
  <si>
    <t>Maaari ka bang magbigay ng gabay sa legal na proseso para sa paghamon sa bisa ng isang testamento na nakakaapekto sa pagmamana ng ari-arian?</t>
  </si>
  <si>
    <t>What legal considerations should be taken into account when inheriting property with existing tenants or rental agreements?</t>
  </si>
  <si>
    <t>Inheriting property with existing tenants in the Philippines presents both opportunities and legal considerations. Here's a breakdown of the key points to remember:
**Tenant Rights and Protections:**
* **Continuation of Tenancy:** Philippine law protects tenants' rights. Upon inheritance, the tenancy relationship **continues between the existing tenants and the heirs**, assuming the land is not for agricultural use (covered under a different law).
* **Respecting Existing Agreements:** Heirs must **honor the terms and conditions** outlined in the existing tenancy agreement between the previous owner and the tenants. This includes rent amount, lease duration, and repair responsibilities.
* **Right to Remain:** Heirs cannot **evict tenants solely due to inheritance**.
* **Selection of Successor Tenant (if applicable):** If the existing tenant passes away, their rights might be transferred to a qualified family member under certain conditions, as outlined in the law.
**Obligations of Heirs as Landlords:**
* **Notice for Changes:** If heirs intend to modify the tenancy agreement (e.g., increase rent), they must provide written notice within a reasonable timeframe as stipulated by law.
* **Maintenance and Repairs:** Heirs become responsible for maintaining the property and making necessary repairs as outlined in the tenancy agreement or as mandated by law (e.g., structural repairs).
* **Communication and Transparency:** Heirs should maintain open communication with tenants regarding any upcoming changes or ownership transition.
**Additional Considerations:**
* **Inheritance and Lease Renewal:** If the lease approaches its end date after the inheritance, heirs can negotiate new terms with the tenants, but they cannot force them to vacate without a valid reason and following proper legal procedures.
* **Eviction:** Eviction is only possible under specific legal grounds, such as non-payment of rent, causing property damage, or violating the tenancy agreement. Eviction requires following legal procedures through court.
* **Seeking Legal Counsel:** Consulting a real estate lawyer familiar with landlord-tenant laws is highly recommended. They can advise heirs on their obligations, navigate potential disputes, and ensure compliance with legal requirements.
By understanding these legal considerations and respecting existing tenant rights, heirs can ensure a smooth transition and maintain a positive relationship with their tenants.</t>
  </si>
  <si>
    <t>Anong mga legal na pagsasaalang-alang ang dapat isaalang-alang kapag nagmamana ng ari-arian sa mga kasalukuyang nangungupahan o mga kasunduan sa pag-upa?</t>
  </si>
  <si>
    <t>In cases of jointly-owned property, what legal mechanisms exist to handle disputes among co-owners regarding the inheritance and management of the property?</t>
  </si>
  <si>
    <t>In the Philippines, jointly-owned property inheritance and management disputes among co-owners can be addressed through various legal mechanisms. Here's an overview of the options:
**Communication and Negotiation:**
* The most preferred approach is open communication and negotiation between co-owners. Discuss the inheritance, management plans, and potential solutions. **Reviewing Co-ownership Agreements (if any):**
* If a co-ownership agreement exists, refer to it for provisions on inheritance, dispute resolution, and management responsibilities. This agreement might dictate predetermined solutions.
**Reaching an Agreement:**
* Co-owners can strive to reach a mutually agreeable solution. This could involve:
* **Selling the Property:** Agreeing to sell the property and dividing the proceeds based on ownership shares.
* **Buying Out Other Co-owners:** One co-owner can buy out the others' shares to become the sole owner.
* **Partitioning the Property (if feasible):** Dividing the property physically (if possible) into separate units for individual ownership.
* **Establishing Clear Management Guidelines:** Co-owners can create a formal management agreement outlining maintenance responsibilities, rental income sharing (if applicable), and decision-making procedures for future issues.
**Mediation:**
* If communication is strained, consider mediation. A neutral third party facilitates discussion and helps co-owners reach a compromise.
**Litigation (as a last resort):**
* If all else fails, legal action can be taken. This should be seen as a last resort due to potential costs, time involved, and strained relationships. Lawsuits can involve:
* **Partition Action:** A court-ordered division of the property, either physically or by selling it and dividing the proceeds.
* **Breach of Contract Lawsuit:** If a co-ownership agreement exists and a co-owner violates its terms, legal action can be taken for breach of contract.
**Additional Considerations:**
* **Legal Representation:** Consulting a lawyer specializing in real estate and co-ownership disputes is highly recommended. * **Understanding Ownership Shares:** Knowing each co-owner's share in the property is crucial for any agreements or legal proceedings.
* **Documentation:** Maintain clear and organized records of agreements, communication, and financial transactions related to the property.
**Remember:** Prioritizing communication, negotiation, and alternative dispute resolution methods can help co-owners reach solutions efficiently and minimize conflict.</t>
  </si>
  <si>
    <t>Sa mga kaso ng pag-aari ng magkasanib na pag-aari, anong mga legal na mekanismo ang umiiral upang pangasiwaan ang mga hindi pagkakaunawaan sa pagitan ng mga kapwa may-ari tungkol sa pagmamana at pamamahala ng ari-arian?</t>
  </si>
  <si>
    <t>How does the law address the inheritance of property with environmental or zoning restrictions, and what legal obligations do heirs have in managing these concerns?</t>
  </si>
  <si>
    <t>In the Philippines, inheriting property with environmental or zoning restrictions comes with specific legal considerations for heirs. Here's a breakdown of how the law addresses these situations and the obligations of heirs:
**Understanding Restrictions:**
* Heirs should thoroughly understand the environmental and zoning restrictions associated with the inherited property. These might be documented in:
* **Titles and Deeds:** Restrictions might be specified in the property titles or deeds.
* **Zoning Ordinances:** Local zoning ordinances dictate permitted uses for specific zones (e.g., residential, commercial).
* **Environmental Laws:** Laws like the Environmental Impact Statement System Act (EIS Law) might apply for specific development or activities on the property.
**Impact on Inheritance and Management:**
* These restrictions can limit how heirs utilize the property. For instance, zoning might restrict development to residential use only, prohibiting commercial activities.
* Environmental restrictions might limit construction or modifications to preserve sensitive ecosystems or comply with pollution control regulations.
**Obligations of Heirs:**
* Heirs are responsible for complying with the existing restrictions. Violations can lead to penalties or even property confiscation by the government.
* Heirs should conduct **environmental audits** (if applicable) to assess potential environmental hazards or liabilities associated with the property.
* Heirs must obtain necessary **permits and clearances** from environmental agencies or local authorities before undertaking any construction or development activities on the property, even for renovations.
* Heirs might need to consult with environmental specialists or zoning experts to ensure their intended use of the property aligns with the restrictions.
**Additional Considerations:**
* **Disclosure Requirements:** If heirs decide to sell the property, they must disclose environmental and zoning restrictions to potential buyers.
* **Seeking Legal Counsel:** Consulting a lawyer with expertise in environmental and zoning laws is highly recommended. * They can advise on specific restrictions, compliance obligations, and potential development permissions depending on the property and its location.
**Remember:** Understanding the environmental and zoning restrictions associated with inherited property is crucial for heirs to manage it responsibly, avoid legal trouble, and ensure its sustainable use within the boundaries set by law.</t>
  </si>
  <si>
    <t>Paano tinutugunan ng batas ang pagmamana ng ari-arian na may mga paghihigpit sa kapaligiran o zoning, at anong mga legal na obligasyon ang mayroon ang mga tagapagmana sa pamamahala sa mga alalahaning ito?</t>
  </si>
  <si>
    <t>Can you explain the legal process for transferring inherited property to beneficiaries, including requirements for title transfer and registration?</t>
  </si>
  <si>
    <t>Inheriting property in the Philippines involves transferring ownership from the deceased to the beneficiaries. Here's a breakdown of the legal process for transferring inherited property, including title transfer and registration requirements:
**Steps Involved:**
1. **Secure Estate Tax Clearance:**
* The executor (or heirs if there's no will) must settle any outstanding estate taxes with the Bureau of Internal Revenue (BIR). ([Tax Code, Sec. 85])
* Once the estate tax is paid, a clearance certificate is issued by the BIR, which is a crucial document for title transfer.
2. **Prepare Necessary Documents:**
* **Death Certificate:** A certified copy of the deceased's death certificate.
* **Certificate of Heirship (if no will):** If there's no will, this document, issued by the court, establishes the legal heirs and their respective shares in the estate.
* **Will (if applicable):** The original or a certified copy of the valid will. * **Estate Tax Clearance Certificate:** The document obtained from the BIR after settling estate taxes.
* **Tax Declaration:** The latest tax declaration of the property.
* **Transfer Tax Payment:** Proof of payment of the transfer tax based on the property's value.
3. **Deed of Adjudication (if applicable):**
* If there are multiple heirs and they agree on the property distribution as per the will or intestacy rules, they can execute a Deed of Adjudication. This document formally divides the property ownership among the heirs. A lawyer can assist in preparing this document.
4. **Title Transfer and Registration:**
* All the required documents are submitted to the Registry of Deeds (ROD) where the property is registered.
* The ROD verifies the documents and processes the transfer of ownership to the beneficiaries based on the will, intestacy rules, or Deed of Adjudication.
* Upon successful processing, the ROD issues a new Certificate of Title reflecting the names of the beneficiaries as the new owners.
**Additional Considerations:**
* **Registration Fees:** Fees associated with transferring the title and registering the property with the ROD need to be paid.
* **Legal Representation:** Consulting a lawyer experienced in property transfer and estate settlements can be beneficial to ensure all legal requirements are met and the process is completed efficiently.
* **Timeframe:** The duration of the transfer process can vary depending on the complexity of the case and the workload at the BIR and ROD.
**Important Resources:**
* Bureau of Internal Revenue (BIR): [https://www.bir.gov.ph/](https://www.bir.gov.ph/)
* Registry of Deeds (ROD): [https://www.doj.gov.ph/](https://www.doj.gov.ph/)
By following these steps and completing the necessary documentation, heirs can successfully transfer inherited property to their rightful ownership and have their names reflected in the official land titles.</t>
  </si>
  <si>
    <t>Maaari mo bang ipaliwanag ang legal na proseso para sa paglilipat ng minanang ari-arian sa mga benepisyaryo, kasama ang mga kinakailangan para sa paglilipat ng titulo at pagpaparehistro?</t>
  </si>
  <si>
    <t>How does the law address the inheritance of property subject to mortgages or other liens, and what steps should heirs take to address these obligations?</t>
  </si>
  <si>
    <t>## Inheritance of Property with Mortgages or Liens in the Philippines
Here's how Philippine law addresses inheritance of property with mortgages or liens, and steps heirs can take:
**Heirs Inherit Property Subject to Encumbrances:**
* Heirs inherit the property **along with any existing mortgages or liens**. This is enshrined in the Civil Code of the Philippines (Article 657).
**Mortgage/Lien Status After Inheritance:**
* The mortgage/lien **remains attached to the property**. The heirs become responsible for the debt secured by the mortgage/lien. (Civil Code, Article 657)
**Heirs' Options:**
* **Pay Off the Mortgage/Lien:** Heirs can collectively settle the outstanding amount to remove the encumbrance from the property. This allows them to own the property free and clear.
* **Sell the Property:** Heirs can sell the property. The proceeds from the sale are used to pay off the mortgage/lien first, with any remaining amount distributed among the heirs according to their inheritance share. (Civil Code, Article 1081)
* **Assume the Mortgage (if allowed):** In some cases, the loan agreement might allow an heir to assume the mortgage payments and become the new borrower. This requires approval from the lender.
**Steps for Heirs:**
1. **Review Loan Documents:** Heirs should carefully review the mortgage/lien documents to understand the terms and conditions, including any "due-on-transfer" clause that might accelerate the loan upon inheritance.
2. **Contact Lender/Lienholder:** Heirs should establish communication with the lender/lienholder to discuss options. This could involve requesting a payoff amount or exploring the possibility of assuming the mortgage (if applicable). 3. **Consult a Lawyer:** It's highly recommended to consult a lawyer specializing in property and inheritance law. They can provide specific guidance based on the situation and ensure heirs understand their rights and obligations.
**Additional Notes:**
* The process of settling an estate with a mortgaged/liened property can be complex. Heirs should work together and act collectively in making decisions.
* Philippine law allows for extrajudicial foreclosure if the mortgage/lien is not settled according to the terms. This could lead to the property being sold to pay off the debt.
**Remember:** This is a simplified overview. Consulting a qualified lawyer is crucial for navigating the legalities of inheriting property with mortgages or liens.</t>
  </si>
  <si>
    <t>Paano tinutugunan ng batas ang pagmamana ng ari-arian na napapailalim sa mga pagkakasangla o iba pang lien, at anong mga hakbang ang dapat gawin ng mga tagapagmana upang matugunan ang mga obligasyong ito?</t>
  </si>
  <si>
    <t>In the Philippines, when a valid will exists, inheriting property follows a specific legal process for distribution of assets. Here's a breakdown of the steps and how distribution is determined:
**Legal Steps:**
1. **Probate of the Will:**
* The named executor in the will files a petition with the appropriate court to probate the will. This verifies its authenticity and legal validity. (Rule 74, Rules of Court)
* The court issues a notice to interested parties, allowing them to contest the will's validity if necessary.
2. **Settlement of Debts and Taxes:**
* Estate taxes are determined and paid to the Bureau of Internal Revenue (BIR). (Tax Code, Section 88)
* The executor settles any outstanding debts of the deceased using estate assets before distribution. (Civil Code, Article 683)
3. **Inventory and Appraisal:**
* The executor creates a complete inventory of all estate assets, including property and other valuables. * The assets are appraised to determine their fair market value. 4. **Distribution of Assets:**
* Based on the valid will, the executor distributes the remaining estate assets to the beneficiaries named in the will. (Civil Code, Article 878)
**Distribution of Assets:**
* **Testator's Freedom (with Limits):** The testator (person who wrote the will) has significant freedom in distributing their assets. They can designate specific beneficiaries and how much each receives.
* **Compulsory Heirs (Legitime):** However, Philippine law protects certain compulsory heirs, usually the spouse and legitimate children. They have a legal right to a portion of the estate, regardless of the will's provisions. (Civil Code, Article 878)
* The amount they receive depends on their relation to the deceased and the presence of a surviving spouse.
**Additional Considerations:**
* **Will Interpretation:** If the will's wording is unclear, the court may be required to interpret its meaning and intent of the testator.
* **Contesting the Will:** Beneficiaries who believe the will is invalid or unfair can contest it in court. (Rule 74, Rules of Court)
**Recommendation:**
For a smooth inheritance process, ensure the will is clear, properly executed, and follows Philippine legal requirements. Consulting a lawyer specializing in estate planning can help ensure the will is valid and minimizes the risk of disputes.</t>
  </si>
  <si>
    <t>In the Philippines, intestacy refers to a situation where a person dies **without leaving a valid will**. When this happens, Philippine law dictates how the deceased's property (estate) is distributed to their heirs. Here's a breakdown of the legal concept and its application:
**Intestacy vs. Testate Succession:**
* **Testate Succession:** When a valid will exists, the distribution of assets follows the testator's wishes as outlined in the will. ([Previous Response on Wills])
* **Intestate Succession:** In the absence of a will, Philippine law dictates the distribution of the estate through a set order of inheritance.
**Order of Heirs in Intestacy (Civil Code, Book II, Title II):**
The law prioritizes heirs in a specific order to receive a share of the estate:
1. **Compulsory Heirs:** These are the spouse and legitimate children of the deceased. Their share is called the "legitime."
* The exact share depends on the presence of a surviving spouse and the number of legitimate children.
2. **Ascendants (Parents and Ancestors):** If there are no surviving spouse or legitimate children, the deceased's parents or closest living ascendants inherit the estate.
3. **Collateral Heirs (Siblings, Nephews, Nieces):** In the absence of spouse, legitimate children, and ascendants, the deceased's siblings, nephews, or nieces inherit. 4. **The State:** If no heirs qualify under the previous categories, the Philippine government inherits the estate.
**Important Notes:**
* **Compulsory Heirs' Protection:** Philippine law safeguards the "legitime" of compulsory heirs. Even with no will, they are entitled to a portion of the estate. * **Sharing Ratios:** The specific share each heir receives within a category depends on the number of heirs in that category. (Civil Code, Articles 886-890)
* **Illegitimate Children:** While not compulsory heirs, illegitimate children may be entitled to a share under certain circumstances (Civil Code, Article 891).
**Recommendation:**
Creating a will allows you to control how your assets are distributed after death. This can help avoid potential disputes among heirs and ensure your wishes are followed. Consulting a lawyer specializing in estate planning is highly recommended.</t>
  </si>
  <si>
    <t>In the Philippines, inheritance by minors requires special legal considerations to protect their interests. Here's how the law handles it:
**Minors as Heirs:**
* Minors can inherit property through intestacy (no will) or as beneficiaries in a valid will.
**Protection Mechanisms:**
* **Guardian Ad Litem:** When a minor inherits property, a court-appointed guardian ad litem represents their interests during legal proceedings related to the inheritance. (Rule 10, Section 1(g), Rules of Court)
* **Family Code Provisions:** The Family Code outlines specific rules for managing property inherited by minors (Family Code, Articles 219-224).
* **Judicial Approval:** In most cases, any significant transactions involving the minor's inherited property require court approval to ensure responsible management. This includes selling, mortgaging, or leasing the property.
* **Parental Administration:** Parents typically act as administrators of the minor's property, but they must act in the minor's best interest and secure court approval for major transactions.
**Types of Guardians:**
* **Parents:** Usually, parents become the natural guardians who manage the minor's property. * **Dative Guardian:** If parents are unavailable or unfit, the court appoints a dative guardian to manage the property.
**Additional Considerations:**
* **Inventory and Appraisal:** An inventory of the inherited property is created, and its value is appraised to ensure proper accounting.
* **Investment and Use of Income:** The guardian typically invests the minor's inheritance for their future benefit. Income generated from the property can be used for the minor's needs (e.g., education, healthcare).
* **Accountability:** The guardian is accountable to the court for managing the minor's property and must submit regular reports.
**Importance of Legal Guidance:**
* Navigating the legalities of inheritance by minors can be complex. Consulting a lawyer specializing in family law and estate planning is crucial. They can guide you through the process, ensure the minor's interests are protected, and help navigate court procedures if necessary.
By following these legal mechanisms, Philippine law strives to safeguard the inheritance of minors and ensure responsible management of their assets until they reach legal adulthood.</t>
  </si>
  <si>
    <t>In the Philippines, beneficiaries inheriting property may face two main tax implications: estate taxes and capital gains taxes. Here's a breakdown of each:
**Estate Tax:**
* **Imposed on the Estate:** Estate tax is a tax levied on the **total net estate** of the deceased resident or non-resident who died owning property in the Philippines. (Tax Code, Section 84)
* **Progressive Tax Rates:** The estate tax has progressive tax rates, meaning the tax rate increases as the value of the estate increases. You can find the current tax rates on the Bureau of Internal Revenue (BIR) website [https://www.bir.gov.ph/index.php/tax-information/estate-tax.html](https://www.bir.gov.ph/index.php/tax-information/estate-tax.html).
* **Responsibility and Payment:** The executor or administrator of the estate is responsible for filing the estate tax return and paying the tax before distribution of assets to beneficiaries. (Tax Code, Section 88)
**Capital Gains Tax (CGT):**
* **Applicability:** Capital gains tax is generally imposed on the **gain** realized from the sale, exchange, or other disposition of **capital assets**. (Tax Code, Section 24)
* **Inheritance not Considered Sale:** Inheriting property itself is **not considered a sale** and therefore **not subject to capital gains tax**. The beneficiary receives the property at its **fair market value** as of the date of death, which becomes their cost basis.
* **Potential CGT on Future Sale:** If the beneficiary decides to sell the inherited property in the future, they will be subject to capital gains tax on any **profit** earned from the sale. The profit is calculated as the selling price minus the **cost basis** (fair market value on date of inheritance). (Capital Gains Tax - Bureau of Internal Revenue [https://www.bir.gov.ph/index.php/tax-information/capital-gains-tax.html](https://www.bir.gov.ph/index.php/tax-information/capital-gains-tax.html))
**Important Notes:**
* **Exceptions for Specific Properties:** There might be specific exemptions or exclusions for capital gains tax depending on the type of inherited property. Consulting a tax professional is recommended for specific situations.
* **Tax Basis Adjustment:** In some cases, the cost basis of inherited property might be adjusted for inflation or specific circumstances. A tax professional can advise on this.
**Recommendation:**
For a smooth inheritance process and to understand your specific tax obligations, it's advisable to consult with a qualified lawyer specializing in estate planning and a tax professional. They can guide you through the legalities and tax implications of inheriting property in the Philippines.</t>
  </si>
  <si>
    <t>While I cannot provide specific legal advice, here's an overview of the legal process for challenging the validity of a will in the Philippines:
**Grounds for Contest:**
There are several grounds for contesting a will in the Philippines. Some common reasons include:
* **Testamentary incapacity:** The person who wrote the will (testator) lacked the mental capacity to understand the nature and consequences of their actions at the time the will was written.
* **Undue influence:** The testator was pressured or coerced into signing the will through threats, intimidation, or undue influence.
* **Forgery:** The will itself is a forgery, meaning it was not genuinely signed by the testator.
* **Lack of formalities:** The will was not executed following the proper legal formalities outlined in the Civil Code (Article 804). **Who Can Contest:**
* Beneficiaries named in a previous will.
* Heirs who believe they were unfairly excluded from the will and have legal standing to inherit under intestacy rules (if there's no valid will).
**Legal Steps:**
1. **Gather Evidence:** This could involve medical records (for testamentary incapacity), witness testimonies (for undue influence), or handwriting analysis (for forgery).
2. **File a Petition:** A formal petition contesting the will is filed with the appropriate Regional Trial Court (RTC) where the deceased resided or owned property. 3. **Hearings and Evidence Presentation:** Both parties present their arguments and evidence before the court.
4. **Court Decision:** The court will issue a decision on the validity of the will. **Important Considerations:**
* **Time Limits:** There is a time limit for contesting a will, typically within four (4) years from the probate of the will (Rule 74, Rules of Court).
* **Legal Representation:** Contesting a will can be complex. Consulting a lawyer experienced in estate litigation is highly recommended. They can guide you through the legal process, gather evidence, represent you in court, and increase your chances of success.
* **Costs:** Legal fees, court costs, and other expenses associated with contesting a will can be significant.
**Alternatives to Contest:**
* **Mediation:** In some cases, mediation between contesting parties might be an option to reach a mutually agreeable settlement outside of court.
**Disclaimer:**
This is not a substitute for legal advice. The specific legal process and your chances of success will depend on the unique circumstances of your situation. Consulting a qualified lawyer specializing in estate litigation is crucial for navigating the legalities of contesting a will in the Philippines.</t>
  </si>
  <si>
    <t>Inheriting property with tenants can be a mixed bag. On the one hand, it can provide a stable source of income. On the other hand, you become an owner overnight, with your own legal obligations. Here's what you need to consider: Tenant Rights: Honor Existing Lease: You must comply with the terms of any existing lease, including rental amount, term and renewal options.
Eviction: Eviction is a complicated process and often requires a valid reason beyond wanting the property to remain vacant. Lease violations, nonpayment of rent or safety hazards are grounds for eviction, but local tenant laws will dictate the details.
Your options: Become an Owner: You can choose to hold the property as a rental and collect rent. This means familiarizing yourself with the laws governing landlord-tenant relationships, repair and maintenance obligations, and tenant screening procedures.
Selling a property: You can sell a property "as is" with the tenant in place, although this may affect the sale price. Additionally, you can negotiate with the tenant for early release with incentives.
Financial Considerations:
Taxes: Inheriting property may have tax implications, so consult a tax advisor. Rental income will also be subject to income tax.
Expenses: Consider ongoing expenses such as property taxes, mortgage payments (if applicable), maintenance and repairs.
Next steps: Review leases: Obtain copies of all existing leases and understand their terms.
Contact tenant: Introduce yourself and express your intentions about the house.
Consult a real estate attorney: An attorney can advise you on your specific situation, local laws, and help you navigate any complex issues.
Remember that this is a general overview and specific laws will vary by location.
Ask additional questions if you have detailed information about your situation.</t>
  </si>
  <si>
    <t>Joint ownership, also known as co-ownership, can give rise to disputes between co-owners regarding inheritance and management. Below is an overview of some of the legal mechanisms available to address these issues:
Negotiation and Agreement:
This is often the preferred method. Co-owners may attempt to reach mutual agreement on succession or management issues through open communication and compromise.
If an agreement is reached, it is wise to formalize it in writing describing the points that have been resolved.
Extrajudicial Partition:
If an amicable agreement proves difficult, extrajudicial division may be attempted. This involves the co-owners dividing the property in a notarized document.
This option works best when the property can be easily divided (like vacant land) and the co-owners clearly understand the desired outcome.
Judicial Partition:
When co-owners cannot agree on extra-judicial partition, a lawsuit can be filed in court to request judicial partition.
The court will consider a variety of factors, including the shares of the co-owners and the potential division of the property.
He can order the physical sharing of the property or its sale, the proceeds of which will be divided between the co-owners according to their shares.
Other legal options:
Acquisition: A co-owner can offer to buy out another person's shares to become the sole owner. This requires a formal agreement describing the purchase price and payment terms.
Resolution of Management Disputes: If the dispute concerns the management of the property (repairs, collection of rent, etc.), Sections 489 to 493 of the Civil Code of the Philippines provide the framework for co-owners to discuss and possibly vote on decisions. In some cases, court intervention may be necessary.
Important Considerations: Co-Ownership Agreement: Writing a clear co-ownership agreement in advance can help prevent future disputes. This document should clearly state the ownership ratio, inheritance rights, management responsibilities and dispute resolution mechanism.
Legal advice: You should consult with an attorney experienced in real estate co-ownership issues. They can advise you on the most appropriate legal approach depending on the specifics of your situation and the nature of the dispute.
By understanding these legal mechanisms and seeking professional advice when necessary, co-owners in the Philippines can manage management and succession disputes more effectively and reach resolution fair.</t>
  </si>
  <si>
    <t>Inheriting a property with environmental or planning restrictions can add a level of complexity to the process. Here's how the law usually deals with this issue: Impact on inheritance: Relating to land restrictions: These restrictions are "attached" to the property itself and becomes binding on any future owners, including heirs. They do not disappear when ownership changes hands.
Disclosure requirements: In most cases, the existence of these restrictions must be disclosed during the disposal of the assets. This ensures that heirs understand the limits on how they can use the assets.
Legal Obligations of Heirs: Compliance with Restrictions: Heirs are responsible for compliance with applicable environmental and zoning regulations. This could involve things like maintaining wetlands on the property, following noise regulations or following specific building codes for renovations.
Knowledge of restrictions: Although not always required by law, it is generally wise for heirs to familiarize themselves with specific restrictions before inheriting. This helps avoid any surprises or potential violations during implementation.
Additional considerations:
Type of restriction: Specific legal obligations will vary depending on the nature of the restrictions. EPA environmental regulations may differ from local zoning regulations.
Will or trust provisions: The deceased may state their wishes regarding the administration of the estate in their will or trust document. These provisions could impact how the heir deals with environmental or planning issues.
Recommended:
Inheriting property with restrictions can be difficult. To ensure that you are fully informed and compliant, I strongly recommend that you consult with a real estate attorney who specializes in property law in your specific jurisdiction. They can learn the details of your situation and provide you with personalized legal advice.</t>
  </si>
  <si>
    <t>Transferring an inheritance to a beneficiary involves several key steps, with some variations depending on whether there is a will (will) or no will (intestate). Here is an overview of the process: With a Will (Testate): Probate (optional): Although not always required, probate can be helpful if appropriate. The provisions of the will are contested or if the distribution requires judicial oversight. This process includes filing the will with the appropriate court, notifying heirs, paying debts and taxes, and finally receiving a court order approving the division of assets, including property, according to will.
Extrajudicial inheritance settlement (EJS): This is the more common route, especially for simple inheritances. This implies that all heirs agree on the division of assets as determined in the will. An EJS is a notarized document detailing the deceased's assets, debts and how the inheritance will be divided between the beneficiaries.
Without a Will (Intestate):
Declaration of heirs: If there is no will, a declaration of heirs issued by the court is required. This legal document identifies the legal heirs and their respective actions based on Philippine intestate succession laws.
Extrajudicial Estate Settlement (EJS): Similar to the will making process, all legal heirs must agree on the division of the estate through a notarized EJS.
Requirements for transfer and ownership registration:
Death certificate: Certified copy proving the owner's death.
EJS: Notarized document describing the division of an estate.
Inheritance Tax Return (ETR) and Authorization: File the ETR with the Bureau of Internal Revenue (BIR) and pay all applicable estate taxes. A BIR tax return is required to transfer ownership.
Transfer Certificate of Title (TCT): This document proves ownership of the property. You may need to obtain a certified copy of the Register of Deeds (ROD).
Judgment Deed: This legal deed formalizes the transfer of assets from the deceased to the beneficiaries as provided for in the EJS or Declaration of Heirs.
Payment of registration fee: There will be a fee involved to file and register the transfer with the ROD.
Additional points to consider: Legal support: An experienced lawyer specializing in estates and estates law can guide you through your specific requirements, ensuring the documentation is appropriate integrate and resolve potentially complex problems.
Tax Implications: Inheritance tax may apply depending on the value of the assets. It is advisable to consult a tax professional.
Time frame: The time frame for settling an estate can vary depending on the complexity of the estate and the court's ability to intervene.
Remember that this is a general overview. To obtain the most accurate and up-to-date information about your specific situation, you should consult with an attorney familiar with Philippine inheritance law.</t>
  </si>
  <si>
    <t>Inheriting property by mortgage or lien follows the same principles as other jurisdictions, but there are some specific considerations:
Heirs inherit assets, not debts:
Philippine law generally does not require heirs to be personally liable for the mortgage or lien on inherited property.
Liability for the debt remains with the estate itself and not with the heirs.
Due-on-sale clauses in mortgages: Philippine law does not impose due-on-sale clauses in mortgages for purposes of inheritance. This means that heirs have the option to keep the existing mortgage without requiring immediate full payment from the lender.
Heir options and steps:
Review loan documents and title: Carefully review mortgage documents to understand loan terms, interest rates, and penalties prepayment may occur.
Also, check the property's title to see if there are any other liens recorded. Consider your options: Consider your finances and long-term plans for the property. Here are some common approaches: Assumed mortgage: If you are financially qualified and want to keep the property, you can contact the lender to have them assume the mortgage now available. This involves transferring the loan into your name and taking personal responsibility for the debt.
Mortgage Refinance: You may consider refinancing your mortgage with a new loan in your name. This could potentially result in lower interest rates or more favorable terms.
Sale of assets: If debt cannot be inherited, selling assets may be an option. The proceeds from the sale will be used to pay off the mortgage or mortgage, with the remaining funds distributed to the heirs according to the estate plan.
Extrajudicial Settlement with Creditor's Agreement (ESCWA): This option allows heirs to reach an agreement with the creditor (lender) regarding the mortgage or lien during the settlement process outside the court. This agreement may involve extending the term of the loan, renegotiating the interest rate or agreeing on a specific timetable for selling assets to settle the debt.
Estate Tax Settlement: Estate taxes are levied on the entire estate, including the value of the property less any outstanding liens or liens. Heirs will need to consider these taxes when deciding how to handle the inheritance.
Consulting lawyer: Lawyers specializing in property and inheritance can give you valuable advice. They can explain the legal implications of each option, taking into account Philippine inheritance and mortgage laws. They can also help you navigate the out-of-court settlement process or manage potential disputes with creditors.
Key points:
Heirs have options when inheriting property by mortgage or mortgage.
It is important to consult with an attorney to understand your rights and obligations and to choose the best course of action based on your specific situation. Inheritance tax must be considered in the decision-making process. By understanding these legal aspects and seeking professional advice, heirs in the Philippines can make informed choices regarding mortgaged or mortgaged inheritances.</t>
  </si>
  <si>
    <t>What are the legal steps involved in transferring inherited property to beneficiaries, and what documentation is required for the title transfer?</t>
  </si>
  <si>
    <t>The process of transferring inheritance depends on whether the deceased left a will or not. Below is an overview of the general steps and documents involved: If there is a will (testate succession): Probate: The will must be confirmed by the court through a process called probate. This ensures its authenticity and legal effectiveness.
Grant of Letters of Will: After the will is probated, the court will issue letters of will, authorizing the executor named in the will to manage the estate, including transferring assets to beneficiaries as specified in the will.
Documentation: Original will Death certificate of the deceased
Inheritance documents (marriage contract, birth certificate)
Tax identification number (TIN) of the deceased and beneficiaries
If there's no will (intestate succession):
Illegal inheritance settlement (EJS): If there is no will, heirs can execute EJS. This is a notarized document signed by all legal heirs, stating the assets of the estate and their division.
Payment of inheritance tax: Heirs must file an Inheritance Tax Return (ETR) and pay the corresponding inheritance tax before the Register of Deeds transfers ownership.
Declaration of Heirs: In some cases, if the heirs cannot agree on the division, legal action may be necessary to obtain a Declaration of Heirs, which identifies the legal heirs and their rights.
Documentation: Extrajudicial settlement documents (EJS)
Death certificate of the deceased
Inheritance documents (marriage contract, birth certificate)
Tax identification number (TIN) of the deceased and beneficiaries
Estate Tax Return (ETR) and payments receipt (if any)
Additional notes:
You should consult with an attorney specializing in property law assets to ensure the transfer process goes smoothly and complies with the law. They can help you navigate the legal issues, prepare the necessary documents and represent you if necessary during the probate or EJS process. Remember that this is a general overview, and specific requirements may vary depending on the property and situation.</t>
  </si>
  <si>
    <t>Ano ang mga legal na hakbang na kasangkot sa paglilipat ng minanang ari-arian sa mga benepisyaryo, at anong dokumentasyon ang kinakailangan para sa paglilipat ng titulo?</t>
  </si>
  <si>
    <t>Can you explain the legal process for resolving disputes among heirs regarding the division or management of inherited property?</t>
  </si>
  <si>
    <t>There are two main options for resolving disputes between heirs:
Extrajudicial Settlement of Estate: This is the preferred method if all heirs agree on how to divide and inheritance management. It is a faster and less expensive process than litigation. What this entails: The deceased cannot leave a will.
All heirs with absolute rights of succession must agree.
An out-of-court settlement deed is created, describing details such as: The relationship of the heirs to the deceased Description of the estate (assets) Agreement for division of assets between heirs
The deed must be notarized and registered in the Register of Deeds.
Judicial settlement of estate (lawsuit): If there is disagreement between heirs or if the will is disputed, legal action becomes necessary. This process includes:
Filing a complaint with a competent court.
Provide evidence to support your claim.
Hearing and likely to be tried.
The court will make a decision on how to divide the estate.
Here are some additional points to consider:
There is a statute of limitations on filing a petition for division of inheritance.
Normally, this period is 10 years from the date of death (as prescribed in Article 623 of the Civil Code).
Consider mediation or other alternative dispute resolution (ADR) options before going to court. These methods can be faster and less expensive than litigation.
Disclaimer: This is a general overview only and specific procedures may vary depending on your situation. We strongly recommend that you consult a qualified attorney for specific legal advice tailored to your situation.</t>
  </si>
  <si>
    <t>Maaari mo bang ipaliwanag ang legal na proseso para sa paglutas ng mga hindi pagkakaunawaan sa pagitan ng mga tagapagmana tungkol sa paghahati o pamamahala ng minanang ari-arian?</t>
  </si>
  <si>
    <t>How does the law address the inheritance of property with existing homeowners' association (HOA) regulations or fees, and what legal obligations do heirs have?</t>
  </si>
  <si>
    <t>Inheriting property in a homeowner's association (HOA) comes with a number of legal considerations regarding HOA regulations and fees. Here are the details:
Inheritance and HOA Rules:
HOA Membership: By inheriting property, you automatically become a member of the HOA. The HOA must provide you with a copy of the association's Declaration of Restrictions, Covenants and Conditions (DRCC) which outlines the rules and regulations you must follow as an owner.
Obligations of heirs regarding HOA fees: Payment of unpaid fees: Any unpaid HOA fees from the previous owner will become your responsibility upon inheritance. Failure to pay can result in penalties or even foreclosure by the HOA as a last resort.
Future HOA Fees: You are responsible for paying all future HOA fees.
These fees typically cover maintenance, security, equipment, and other community expenses.
Heir Rights:
Access to HOA Records: You have the right to access relevant HOA documents, including financial statements and meeting minutes.
Participate in HOA activities: You can participate in HOA meetings and vote on community issues.
Recommendations:
Contact HOA immediately: Notify HOA of property inheritance and inquire about any unpaid fees or upcoming assessments.
DRCC Reference: Become familiar with HOA rules and regulations to avoid unintended violations.
Budget for HOA Fees: Consider HOA fees when planning your property's finances.
Remember: This is a general overview, and specific situations may require further analysis. For comprehensive legal advice regarding your inheritance and HOA involvement, consider scheduling a consultation with a property law attorney. They can learn the details of your situation and specific HOA regulations.</t>
  </si>
  <si>
    <t>Paano tinutugunan ng batas ang pagmamana ng ari-arian sa mga kasalukuyang regulasyon o bayad sa asosasyon ng mga may-ari ng bahay (homeowners' association (HOA), at anong mga legal na obligasyon ang mayroon ang mga tagapagmana?</t>
  </si>
  <si>
    <t>In cases of jointly-owned property inherited by multiple heirs, what legal mechanisms exist to handle disagreements over the use or sale of the property?</t>
  </si>
  <si>
    <t>Inheriting property jointly with siblings or other heirs can lead to disagreements over the use or sale of the property. Below is an overview of the legal mechanisms to resolve such situations: Resolving disagreements over shared assets:
Extrajudicial inheritance settlement (ESE): If all heirs have an agreement, ESE allows for more of a fair sharing process regarding the real estate. This is a sworn document describing the division of assets between heirs, thereby avoiding court intervention. However, this method requires consensus on the division or sale.
Judicial division: When agreement cannot be reached, judicial division is necessary. This involves filing a complaint with the court, where a judge will determine how to fairly divide assets. The court may order material division if possible, or sale of the proceeds divided according to the share owned by each heir. This process can be lengthy and expensive.
Co-ownership contract: Heirs can draw up a co-ownership contract describing usage rights, maintenance responsibilities and possible future purchase procedures. This can help prevent future conflicts.
Although not a legal requirement, a carefully drafted agreement may be presented to the court to support the heir's position in a partition action.
Important Considerations:
Type of co-ownership: The legal regime may vary slightly depending on the type of co-ownership. In the Philippines, the most common is “joint property,” in which each heir owns a specific, undivided share.
Heir's inheritance: The division of assets or proceeds from the sale of assets will be based on the inheritance of each heir determined according to the will (if any) or according to the law on inheritance succession without a will (if there is no will).
Recommendations:
Seeking legal advice: Consulting with a lawyer experienced in estates and inheritance law can be very beneficial. They will be able to guide you through the most suitable choice based on your specific circumstances, taking into account the number of heirs, the value of the assets and the nature of the disagreement. Remember that open communication and a willingness to compromise are essential to resolving disagreements with co-heirs. Sometimes legal intervention is unavoidable, but an attorney can help you navigate the process effectively and protect your legal rights.</t>
  </si>
  <si>
    <t>Sa mga kaso ng ari-arian ng magkasanib na pagmamay-ari na minana ng maraming tagapagmana, anong mga legal na mekanismo ang umiiral upang pangasiwaan ang mga hindi pagkakasundo sa paggamit o pagbebenta ng ari-arian?</t>
  </si>
  <si>
    <t>What are the tax implications for beneficiaries inheriting property, including potential estate taxes and capital gains taxes?</t>
  </si>
  <si>
    <t>The tax implications of inheriting property are different from what one might expect. Here are the detailed figures:
Estate tax: The Philippines imposes a 6% estate tax on the net assets of the deceased. This tax is levied on the total value of the deceased's assets less allowable deductions and exemptions. It is the property, not the individual, who is subject to this tax. It is usually settled before assets are distributed to heirs.
Inheritance tax: The Philippines does not have its own inheritance tax. Beneficiaries are not directly taxed on the value of the assets they inherit.
Capital gains tax: This tax may take effect in the future, but not at the time of inheritance. If the beneficiary later decides to sell the inheritance, he or she may be subject to capital gains tax on any profit realized from the sale. The capital gains tax rate in the Philippines is also 6%.
Here are some additional points to consider:
Valuation: The value of an asset used for estate tax purposes is its fair market value at the time of death. This can be an important factor in determining the total amount of inheritance tax.
Renunciation of inheritance: If the beneficiary chooses to renounce his inheritance, this may be considered a gift and may trigger donor tax (which has a different tax rate structure than gift tax inheritance).
Important note: This is a general overview and tax law can be complex. For specific advice about your situation, taking into account factors such as the value of the assets and the beneficiary's relationship to the deceased, you should consult a specialist.</t>
  </si>
  <si>
    <t>Ano ang mga implikasyon sa buwis para sa mga benepisyaryo na nagmamana ng ari-arian, kabilang ang mga potensyal na buwis sa ari-arian at mga buwis sa capital gains?</t>
  </si>
  <si>
    <t>Can you provide guidance on the legal considerations for heirs inheriting property subject to conservation easements or environmental restrictions?</t>
  </si>
  <si>
    <t>Absolutely, here's a breakdown of the legal considerations for heirs inheriting property with conservation easements or environmental restrictions in the Philippines:
**Understanding the Restrictions:**
* **Conservation Easement:** This is a legal agreement that restricts development or use of the property to protect its natural resources or historical significance. The specific limitations will be outlined in the easement document. Heirs should obtain a copy and thoroughly understand the restrictions it places on the property [Civil Code of the Philippines, Article 1311].
* **Environmental Restrictions:** These can arise from various laws, like zoning ordinances or proclamations establishing protected areas. Heirs should check with the Department of Environment and Natural Resources (DENR) or the local government unit (LGU) to determine any specific environmental restrictions applicable to the property [Presidential Decree No. 1586, Executive Order No. 192].
**Impact on Inheritance:**
* **Limitations on Use and Development:** Heirs inherit the property along with the existing restrictions. They cannot develop or use the property in ways that violate the conservation easement or environmental regulations.
* **Valuation:** Conservation easements and environmental restrictions can potentially reduce the property's market value. This may affect the inheritance tax calculation [Tax Code, Section 88]. Heirs can consult a qualified appraiser specializing in valuing properties with such encumbrances.
* **Obligations of Heirs:** Heirs become responsible for complying with the terms of the conservation easement and environmental restrictions. This may involve maintaining the property in a specific way or obtaining permits for certain activities. **Recommendations for Heirs:**
* **Review Documents:** Carefully examine the conservation easement document and any relevant environmental regulations to understand the specific limitations.
* **Seek Legal Advice:** Consult a lawyer specializing in property law and environmental law to understand your rights and obligations as heirs. They can advise on potential challenges and ensure compliance with the restrictions.
* **Contact the Holding Organization:** If the conservation easement is held by a qualified organization, reach out to them to discuss your responsibilities and any available support programs.
* **Consider Selling the Property:** If the restrictions significantly limit your ability to use or develop the property, you may consider selling it to someone who can manage it within the existing limitations. However, consult your lawyer about any potential tax implications of selling inherited property.
By understanding these legal considerations, heirs can navigate the inheritance process smoothly and ensure they comply with the important environmental and conservation goals attached to the property.</t>
  </si>
  <si>
    <t>Maaari ka bang magbigay ng gabay sa mga legal na pagsasaalang-alang para sa mga tagapagmana na nagmamana ng ari-arian na napapailalim sa mga conservation easement o mga paghihigpit sa kapaligiran?</t>
  </si>
  <si>
    <t>How does the law address the inheritance of property with existing rental agreements, and what legal obligations do heirs have towards tenants?</t>
  </si>
  <si>
    <t>In the Philippines, the law protects both heirs and existing tenants when inheriting property with a rental agreement. Here's a breakdown based on relevant Philippine laws:
**Inheritance and Existing Rental Agreements:**
* **Respect for Existing Contracts (Article 1124 of the Civil Code of the Philippines):** This principle ensures existing contracts, like rental agreements, remain valid and enforceable even after a change in ownership. Heirs become the new landlords, and the tenants retain their rights under the existing lease agreement.
* **Right to Continue Occupancy (Article 1678 of the Civil Code):** Tenants have the right to continue occupying the property for the remainder of the lease term, even after inheritance. This applies to both written and verbal agreements, as long as the verbal agreement can be proven. **Heirs' Obligations Towards Tenants:**
* **Honor Lease Agreement:** Heirs must respect the terms and conditions outlined in the existing lease agreement, including rent amount, duration, and renewal options. * **Provide Proper Notice for Changes:** If heirs intend to modify the lease terms after the existing agreement expires, they must provide tenants with reasonable notice as stipulated under the Urban Development and Housing Act (RA 7279).
* **Maintain the Property:** Heirs are responsible for maintaining the property according to the standards outlined in the lease agreement, ensuring the tenants' peaceful enjoyment of the property.
* **Collect Rent:** Heirs have the right to collect rent from the tenants as per the agreed-upon schedule.
**Additional Considerations:**
* **Reviewing the Lease Agreement:** Heirs are encouraged to review the existing lease agreement thoroughly to understand their rights and obligations as landlords.
* **Seeking Legal Counsel:** If the lease agreement is unclear or there are potential disputes, it's wise to consult a lawyer specializing in landlord-tenant law for guidance.
**In conclusion,** Philippine law ensures a smooth transition for both parties when inheriting property with existing rental agreements. Heirs assume the role of landlord, respecting the existing lease and fulfilling their obligations towards the tenants.</t>
  </si>
  <si>
    <t>Paano tinutugunan ng batas ang pagmamana ng ari-arian sa mga umiiral nang kasunduan sa pag-upa, at anong mga legal na obligasyon ang mayroon ang mga tagapagmana sa mga nangungupahan?</t>
  </si>
  <si>
    <t>What legal options exist for heirs who wish to sell their share of inherited property, and what steps should be taken to ensure a fair sale?</t>
  </si>
  <si>
    <t>There are a couple of ways for heirs to sell their share of inherited property in the Philippines:
Negotiated Buyout: This is the simplest option. You can approach your co-heirs and propose they buy out your interest in the property. This can be at an agreed-upon price or based on a professional appraisal.
Partition Action: If a negotiated buyout isn't feasible, you can file a partition action in court. This forces the sale of the entire property, with proceeds divided among the heirs according to their inheritance share.
Here are some additional points to consider:
Right of First Refusal: Co-heirs often have a right of first refusal. This means they get the first chance to buy your share before you sell it to someone else.
Fair Market Value: To ensure a fair sale, it's recommended to get a professional appraisal of the property to determine its market value. This helps establish a reasonable price for your share or the entire property in case of a partition action.
Ensuring a Fair Sale:
Transparency: Be transparent with your co-heirs about your intention to sell your share.
Documentation: Have a lawyer draft a clear and comprehensive sale agreement outlining the terms and conditions.
Finding a Lawyer:
While I cannot recommend specific lawyers, I can suggest some resources to help you find a qualified professional:
Philippine Bar Association: https://www.ibp.ph/
Lawyers in the Philippines: You can search online directories like "Lawyers Philippines: https://lawyerphilippines.org/"
Remember, this information provides a general overview and shouldn't be considered a substitute for legal advice. Consulting with a lawyer specializing in property and inheritance law is crucial to ensure a smooth and legal sale of your inherited property share.</t>
  </si>
  <si>
    <t>Anong mga legal na opsyon ang umiiral para sa mga tagapagmana na gustong ibenta ang kanilang bahagi ng minanang ari-arian, at anong mga hakbang ang dapat gawin upang matiyak ang patas na pagbebenta?</t>
  </si>
  <si>
    <t>Can you explain the legal process for transferring inherited property to a trust for long-term management, and what are the advantages of doing so?</t>
  </si>
  <si>
    <t>Transferring Inherited Property to a Trust in the Philippines
There are several steps involved in transferring inherited property to a trust for long-term management in the Philippines:
Estate Settlement:
If the deceased left a will, it needs to be probated in court.
If there's no will, heirs will need to secure a "Declaration of Heirs" from the court, establishing their rightful ownership share.
Create a Trust Deed:
This legal document outlines the terms of the trust, including:
Grantor (s): The person(s) transferring the property (heirs in this case)
Trustee(s): The person(s) responsible for managing the trust property
Beneficiaries: The person(s) who will ultimately benefit from the trust (can be heirs, future generations, or charities)
Trust Assets: Description of the inherited property being transferred
Distribution Provisions: How the income and eventually the property itself will be distributed to the beneficiaries
Transfer of Property:
Once the trust deed is finalized, the heirs will need to formally transfer the inherited property to the trustee. This often involves updating titles and registrations with the appropriate government agencies.
Tax Considerations:
There might be donor's tax implications when transferring property to a trust. It's crucial to consult a tax advisor to understand the potential tax liabilities.
Advantages of a Trust:
Long-Term Management: A trust allows for professional and centralized management of the inherited property, ensuring its preservation and growth over time.
Estate Planning: Trusts can be a valuable estate planning tool. You can specify how the property is distributed to beneficiaries, minimizing potential disputes amongst heirs in the future.
Asset Protection: Trusts can offer some protection against creditors of the beneficiaries.
Tax Benefits: In some cases, trusts can offer tax advantages, such as reducing estate taxes for future generations.
Important Note:
This is a simplified overview, and the specific legal process may vary depending on the complexity of the estate and the terms of the trust. Consulting with a qualified lawyer specializing in trusts and estates is crucial to ensure a smooth and legal transfer of your inherited property.</t>
  </si>
  <si>
    <t>Maaari mo bang ipaliwanag ang legal na proseso para sa paglilipat ng minanang ari-arian sa isang trust para sa pangmatagalang pamamahala, at ano ang mga pakinabang ng paggawa nito?</t>
  </si>
  <si>
    <t>How does the law handle the inheritance of property with outstanding debts or mortgages, and what legal steps should heirs take to address these obligations?</t>
  </si>
  <si>
    <t>Heirs inherit not just the property of the deceased but also their obligations, including outstanding debts and mortgages. Here's how the law handles such situations and the steps heirs should take:
Heirs' Liability:
Limited Liability: Heirs are only liable for the debts of the deceased to the extent of the value of the inheritance they receive. This means they can't be held personally responsible for debts exceeding the inherited property's value.
Legal Options for Heirs:
Accept the Inheritance with Benefit of Inventory: This is a legal process where an inventory of the deceased's assets and liabilities is created. Heirs are then only liable for the debts to the extent of the inventoried assets. However, this process can be lengthy and complex.
Renounce the Inheritance: Heirs can completely reject the inheritance, freeing themselves of any responsibility for the debts. But this also means they lose any rights to the inherited property.
Negotiate with Creditors: Heirs might be able to negotiate a settlement with creditors, offering a lump sum payment or proposing a payment plan using the inherited assets.
Sell the Property: If the debts are significant, heirs can choose to sell the inherited property, use the proceeds to pay off the debts, and then divide the remaining amount according to their inheritance share.
Recommended Steps:
Consult a Lawyer: An experienced lawyer specializing in inheritance law can advise on the best course of action based on the specific situation, including the value of the property, the amount of debt, and the number of heirs involved.
Gather Documents: Collect all documents related to the inheritance, including the death certificate, will (if any), property titles, and loan documents for the mortgage.
Inventory Assets and Debts: Create a detailed list of all inherited assets and their estimated value, along with a complete list of outstanding debts.
Communicate with Creditors: Heirs should promptly notify creditors about the death of the property owner and express their intention to address the outstanding debts.
Remember: Timely action is crucial. Heirs should not delay consulting a lawyer and taking necessary steps to address inherited debts. Ignoring the issue can lead to legal complications, including creditor lawsuits and potential foreclosure on the mortgaged property.</t>
  </si>
  <si>
    <t>Paano pinangangasiwaan ng batas ang pagmamana ng ari-arian na may mga hindi pa nababayarang utang o pagkakasangla, at anong mga legal na hakbang ang dapat gawin ng mga tagapagmana para tugunan ang mga obligasyong ito?</t>
  </si>
  <si>
    <t>What legal considerations should be taken into account when inheriting property with valuable personal assets, such as artwork or collectibles?</t>
  </si>
  <si>
    <t>Inheriting property with valuable personal assets like artwork or collectibles presents some unique legal considerations in the Philippines. Here's a breakdown of key points to keep in mind:
Valuation:
Accuracy is Crucial: Accurate valuation of the personal assets is essential for several reasons:
Fair Division Among Heirs: Ensures a fair distribution of the inheritance if the assets are divided or sold.
Tax Purposes: May be subject to estate and donor's taxes, and proper valuation affects the amount owed.
Consider Professional Appraisal: For valuable artwork or collectibles, it's highly recommended to get a professional appraisal by a qualified appraiser familiar with the specific type of asset.
Inventory and Safekeeping:
Detailed Inventory: Create a detailed inventory of the personal assets, including descriptions, photos, and any available documentation proving authenticity or value.
Secure Storage: Depending on the value and fragility of the items, consider secure storage solutions like climate-controlled facilities or insurance with specialized coverage for valuables.
Legal Ownership:
Will or Intestacy: If the deceased left a will, it might specify how the personal assets should be distributed among heirs. In the absence of a will (intestacy), Philippine inheritance laws will dictate the distribution.
Joint Ownership: Some assets might be jointly owned by the deceased and another person. Legal advice is crucial to determine ownership rights and potential tax implications.
Taxation:
Estate Tax: The Philippines imposes an estate tax on the total value of the deceased's estate, including personal assets. ([invalid URL removed])
Donor's Tax: If you plan to sell or gift the inherited personal assets, you might be subject to donor's tax. Consulting a tax advisor about potential tax liabilities is recommended.
Sale or Distribution:
Market Research: If selling the assets, research the market to understand their potential value and identify potential buyers like auction houses or specialized dealers.
Legal Agreements: If heirs decide to divide the assets among themselves, consider formal legal agreements outlining ownership rights and responsibilities for each item.
Additional Considerations:
Cultural Significance: Some personal assets may have cultural or historical significance. Explore options for donation to museums or institutions if applicable.
Export Restrictions: If the assets are considered cultural heritage items, there might be restrictions on exporting them from the Philippines. Research any export regulations before attempting to sell internationally.
Remember, this is a general overview, and the specific legal considerations may vary depending on the circumstances. Consulting with a lawyer specializing in inheritance and tax law is highly recommended to navigate these complexities and ensure a smooth process for handling your valuable inherited personal assets.</t>
  </si>
  <si>
    <t>Anong mga legal na pagsasaalang-alang ang dapat isaalang-alang kapag nagmamana ng ari-arian na may mahahalagang personal na ari-arian, tulad ng likhang sining o mga collectible?</t>
  </si>
  <si>
    <t>In cases of inherited property with ongoing construction projects or renovations, what legal steps should be taken to ensure completion and compliance with regulations?</t>
  </si>
  <si>
    <t>Inheriting property with ongoing construction projects or renovations in the Philippines presents a unique situation requiring careful legal navigation. Here's a breakdown of some key steps to ensure completion and compliance with regulations:
Gather Information:
Review Construction Documents: Obtain and review all existing documents related to the construction project, including permits, contracts with builders or architects, and blueprints.
Assess Project Status: Evaluate the current stage of construction, identify any outstanding work, and understand the potential costs for completion.
Financial Records: Gather all financial records related to the project, including receipts for completed work and outstanding payments.
Consult Professionals:
Lawyer: Consulting a lawyer experienced in construction law is crucial. They can advise on legal rights and obligations as heirs regarding the project, including potential liabilities for unfinished work or building code violations.
Engineer or Architect: Engaging a qualified engineer or architect familiar with the project can provide a professional assessment of the construction's progress and compliance with building codes. They can also advise on the feasibility and cost of completing the project.
Communication and Collaboration:
Co-heirs: If there are multiple heirs, open communication is essential. Discuss intentions regarding the project (completion, sale, etc.) and establish a clear decision-making process.
Contractors/Builders: Communicate with any existing contractors or builders involved in the project. Understand their role, contractual obligations, and potential fees for completing the work.
Legal Considerations:
Permits and Licenses: Ensure all necessary permits and licenses for the construction project are valid and up-to-date. If permits have expired, consult your lawyer regarding the process for renewal.
Building Code Compliance: Verify that the construction adheres to current building codes. If any violations exist, address them promptly to avoid legal issues and potential fines.
Completion Options:
Based on the information gathered and professional advice, you can explore various options for completing the project:
Continue Construction: If feasible and financially viable, consider hiring new contractors (if necessary) to complete the project according to the original plans.
Modify the Project: Depending on the situation, you might choose to modify the original plan to reduce costs or address unforeseen challenges. Legal guidance is crucial to ensure any changes comply with regulations.
Sell the Property: If completing the project isn't an option, consider selling the property "as-is." Disclose the unfinished construction and potential liabilities to potential buyers.
Remember: Consulting with a qualified lawyer and construction professional is crucial for navigating the legalities and technical details involved in completing an inherited construction project. Their guidance can help ensure a smooth and compliant process while protecting your rights and interests as heirs.</t>
  </si>
  <si>
    <t>Sa mga kaso ng minanang ari-arian na may patuloy na mga proyekto sa pagtatayo o pagsasaayos, anong mga legal na hakbang ang dapat gawin upang matiyak ang pagkumpleto at pagsunod sa mga regulasyon?</t>
  </si>
  <si>
    <t>How does the law address the inheritance of property with existing land-use permits or entitlements, and what legal obligations do heirs have in managing these approvals?</t>
  </si>
  <si>
    <t>In the Philippines, the inheritance of property with existing land-use permits or entitlements generally follows these principles:
Inheritance of Permits/Entitlements:
Not Automatically Transferred: Land-use permits and entitlements are not automatically transferred with the property itself. Heirs inherit the property ownership, but the permits/entitlements might require specific steps for continuation.
Review Permit Terms: Each permit/entitlement will have specific terms and conditions. Carefully review these documents to understand if there are provisions for transfer upon inheritance. Some permits may be tied to the original owner and may need to be reapplied for by the heirs.
Legal Obligations of Heirs:
Maintain Compliance: Heirs have a legal obligation to maintain compliance with the existing land-use regulations attached to the property. This includes adhering to any limitations on usage, construction, or environmental impact outlined in the permits.
Possible Renewal: Depending on the specific permit/entitlement, heirs may need to initiate a renewal process with the relevant government agency. Renewal procedures can vary, so consulting a lawyer familiar with land-use regulations is recommended.
Timely Action: Failure to comply with regulations or neglecting to renew permits can lead to penalties including fines, potential revocation of the permit, or even a halt to any ongoing construction or activity on the property.
Additional Considerations:
Disclosure During Sale: If heirs decide to sell the property, they are legally obligated to disclose the existing land-use permits and entitlements (including any limitations) to potential buyers.
Impact on Property Value: Existing land-use permits/entitlements can significantly affect the property's value. Permits for commercial development typically hold higher value than agricultural use permits.
Recommendations:
Consult a Lawyer: Seek legal advice from a lawyer specializing in land-use law. They can review the specific permits/entitlements and advise on the inheritance process, compliance obligations, and potential renewal requirements.
Contact Government Agency: Contact the government agency that issued the permits/entitlements to inquire about potential transfer procedures or renewal processes for heirs.
By understanding these legal aspects and taking necessary steps, heirs can ensure they properly manage the inherited property while complying with existing land-use regulations.</t>
  </si>
  <si>
    <t>Paano tinutugunan ng batas ang pagmamana ng ari-arian na may umiiral na mga permit o karapatan sa paggamit ng lupa, at anong mga legal na obligasyon ang taglay ng mga tagapagmana sa pamamahala sa mga pag-apruba na ito?</t>
  </si>
  <si>
    <t>Can you provide guidance on the legal process for inheriting property located abroad, and what jurisdictional considerations should be taken into account?</t>
  </si>
  <si>
    <t>Inheriting property located abroad can be a complex process with various legal considerations depending on the specific situation. Here's a general overview to guide you:
Jurisdictional Considerations:
Applicable Law: The key factor is determining which country's laws will govern the inheritance process. This typically depends on:
Deceased's Domicile: The country where the deceased person had their permanent residence at the time of death often dictates the applicable inheritance laws.
Location of Property: Some countries have laws that apply their inheritance rules to property located within their borders, regardless of the deceased's domicile.
Will vs. Intestacy: If the deceased left a will, it might specify which jurisdiction's laws should govern the inheritance of their foreign property. In the absence of a will (intestacy), the default rules of the relevant country will apply.
Legal Process:
The specific process will vary depending on the jurisdiction, but here are some general steps:
Locate Relevant Documents:
Death certificate (translated if necessary)
Will (translated if necessary)
Proof of heirship (birth certificates, marriage certificates)
Property ownership documents for the foreign asset
Probate or Estate Administration:
You might need to initiate probate proceedings in the country where the property is located, even if probate has already occurred in your home country.
This process involves verifying the will (if any), identifying heirs, settling debts, and distributing the remaining assets.
Tax Implications:
Both the country where the deceased resided and the country where the property is located might have inheritance or estate taxes. Consulting a tax advisor specializing in international inheritance is crucial.
Local Representation:
Considering the complexities involved, it's highly advisable to engage a lawyer experienced in inheritance law in the foreign jurisdiction. They can navigate the legalities, represent you in local courts if necessary, and ensure compliance with relevant regulations.
Additional Tips:
Early Communication: Communicate with other heirs involved in the inheritance as soon as possible. Discuss plans, responsibilities, and potential costs associated with inheriting foreign property.
Translation Services: Ensure all necessary documents are translated into the official language of the foreign jurisdiction, if applicable.
Costs and Timeline: Be prepared for potential delays and significant costs associated with legal fees, taxes, and administrative procedures in the foreign country.
Remember, this is a simplified overview, and the specific legal process can be quite intricate. Consulting with a qualified lawyer specializing in international inheritance law is crucial to ensure a smooth and successful inheritance of your property abroad.</t>
  </si>
  <si>
    <t>Maaari ka bang magbigay ng gabay sa legal na proseso para sa pagmamana ng ari-arian na matatagpuan sa ibang bansa, at anong mga pagsasaalang-alang sa hurisdiksyon ang dapat isaalang-alang?</t>
  </si>
  <si>
    <t>What legal options exist for heirs who wish to donate inherited property to a charitable organization, and what tax benefits may be associated with such donations?</t>
  </si>
  <si>
    <t>Heirs in the Philippines have several legal options for donating inherited property to a charitable organization. Here's a breakdown of the possibilities and potential tax benefits:
Donation Options:
Direct Donation of Property:
Heirs can directly donate the inherited property (land, house, etc.) to the chosen charitable organization. This involves transferring the ownership title to the charity.
Sale and Donation of Proceeds:
Heirs can choose to sell the inherited property and then donate the proceeds from the sale to the charity.
Donation of a Portion:
Heirs can keep a portion of the property for themselves and donate the remaining share to the charity.
Tax Benefits:
Donating inherited property to a qualified charitable organization can offer some tax advantages in the Philippines, but it's important to understand the specific regulations and consult a tax advisor for accurate calculations. Here are some potential benefits:
Donor's Tax Exemption: Donations of real property (land, buildings) to donors-accredited charitable institutions may be exempt from donor's tax, up to a certain percentage of the donor's net worth per year. (https://www.bir.gov.ph/index.php/tax-information/donor-s-tax.html)
Income Tax Deduction: For donations of personal property (art, collectibles) to donee-accredited charitable institutions, a portion of the value may be deducted from the donor's income tax.
Important Considerations:
Qualified Charities: To qualify for tax exemptions, the charitable organization must be registered with the Philippine government and hold the appropriate accreditation for receiving donations.
Documentation: Maintain proper documentation for the donation, including a deed of donation and receipts for any associated expenses.
Tax Implications: Depending on the chosen donation method (direct property vs. sale proceeds) and the type of property, there might be different tax implications. Consulting a tax advisor is crucial to understand the potential tax benefits and any potential tax liabilities associated with the donation.
Additional Tips:
Contact the Charity: Discuss the donation process with the chosen charitable organization. They might have specific requirements or procedures for accepting donated property.
Legal Advice: Consider seeking legal counsel to ensure the donation process is completed correctly and complies with all relevant regulations. This can help minimize any potential legal or tax issues in the future.
By carefully considering the different legal options and potential tax benefits, heirs can make informed decisions about donating inherited property to a charitable cause while maximizing the financial advantages of their generosity. Remember, consulting with a tax advisor is crucial to ensure you understand the specific tax implications associated with your situation.</t>
  </si>
  <si>
    <t>Anong mga legal na opsyon ang umiiral para sa mga tagapagmana na gustong mag-abuloy ng minanang ari-arian sa isang organisasyong kawanggawa, at anong mga benepisyo sa buwis ang maaaring iugnay sa gayong mga donasyon?</t>
  </si>
  <si>
    <t>What are the legal steps involved in probating a will and distributing inherited property?</t>
  </si>
  <si>
    <t>Probating a will and distributing inherited property in the Philippines involves several legal steps. Here's a breakdown of the general process:
1. Gather Necessary Documents:
Death Certificate: A certified copy of the death certificate issued by the Philippine Statistics Authority (PSA) or the local civil registry.
Original Will: The original signed will of the deceased.
2. Filing the Petition for Probate:
An heir, executor named in the will, or a lawyer representing them will file a petition for probate with the appropriate court. This petition typically includes:
Details of the deceased, including their name, residence, and date of death.
Copies of the death certificate and the will.
A list of the heirs and beneficiaries named in the will.
3. Notice to Heirs and Creditors:
The court will issue notices to all identified heirs and creditors of the deceased. This allows them to contest the validity of the will or file claims against the estate.
4. Hearing on the Petition:
The court will hold a hearing to determine the validity of the will. This may involve witnesses testifying to the proper execution of the will.
5. Issuance of Letters Testamentary:
If the court validates the will, it will issue "Letters Testamentary" to the appointed executor (or an administrator if none was named). These documents officially authorize the executor to manage the estate assets.
6. Inventory and Appraisal of Assets and Debts:
The executor will create a detailed inventory of all the deceased's assets and liabilities (debts). This inventory will be submitted to the court. Assets might include real estate, bank accounts, investments, and personal property.
7. Settling Debts and Taxes:
The executor will use estate funds to pay off the deceased's debts, including funeral expenses, outstanding loans, and taxes. This may involve selling assets if necessary.
8. Distribution of Inherited Property:
After all debts and taxes are settled, the executor will distribute the remaining assets to the beneficiaries according to the instructions outlined in the will. This might involve dividing property amongst heirs or selling it and distributing the proceeds.
9. Closing the Estate:
Once all debts and taxes are paid, and assets are distributed, the executor will file a final account with the court, seeking approval for closing the estate.
Important Considerations:
Timeframe: The probate process can take anywhere from several months to a year or more, depending on the complexity of the estate.
Legal Assistance: Considering the complexities involved, it's highly recommended to seek legal assistance from a lawyer experienced in probate law. They can guide you through the process, ensure proper documentation, and represent you in court if necessary.
Intestacy: If the deceased died without a valid will, the process of distributing the property will be governed by the Philippine intestacy laws, which dictate how assets are divided among legal heirs.
Additional Resources:
The Supreme Court of the Philippines: https://sc.judiciary.gov.ph/
The Philippine Bar Association: https://www.ibp.ph/
Remember, this is a general overview, and the specific steps involved in probate and distribution may vary depending on the circumstances. Consulting with a lawyer is crucial to ensure a smooth and legal process for handling your probate and inheritance matters.</t>
  </si>
  <si>
    <t>Ano ang mga legal na hakbang na kasangkot sa pagsubok ng testamento at pamamahagi ng minanang ari-arian?</t>
  </si>
  <si>
    <t>How are inheritances taxed, and what tax implications should heirs be aware of?</t>
  </si>
  <si>
    <t>In the Philippines, inheritances are subject to estate tax as opposed to inheritance tax. Here's a breakdown of the key points heirs should be aware of:
Estate Tax:
Tax on the Estate: The Philippines imposes a 6% estate tax on the net value of the deceased's estate at the time of death. This includes all assets owned by the deceased, such as real estate, bank accounts, investments, and personal property.
Deductions Allowed: Several deductions are allowed from the gross estate value before calculating the estate tax. These deductions may include:
Debts and funeral expenses of the deceased
Medical expenses incurred within the last year before death
Family home allowance for the surviving spouse and minor children
Marital and legitimate reserves (depending on the marital status)
Estate Tax Return: Heirs or the appointed executor are responsible for filing an Estate Tax Return (BIR Form 1801) with the Bureau of Internal Revenue (BIR) within one year from the date of death.
Payment of Estate Tax: The estate tax is generally due and payable within one year from the date of death. However, extensions can be requested under certain circumstances.
Tax Implications for Heirs:
Heirs are Not Directly Taxed: Heirs themselves are not directly taxed on the inheritance they receive. However, the estate tax is paid from the estate's assets before distribution to beneficiaries. This means the amount each heir receives might be reduced by the amount of estate tax owed.
Donor's Tax on Donations: If heirs decide to sell or donate inherited property, they might be subject to donor's tax. This tax applies to the transfer of ownership of property without any valuable consideration (payment) in return. Consulting a tax advisor about potential donor's tax liabilities is recommended.
Income Tax on Investment Income: If the inheritance includes income-generating assets like investments or rental properties, heirs will be responsible for paying income tax on the income earned from these assets.
Recommendations:
Consult a Tax Advisor: Understanding tax implications can be complex. It's highly recommended to consult with a qualified tax advisor specializing in estate and inheritance taxes. They can advise on the specific tax liabilities associated with your situation and guide you through the filing and payment process.
Gather Information: Gather all relevant documents related to the deceased's assets and liabilities to ensure accurate valuation for calculating the estate tax.
Plan for Tax Payment: Plan for the potential estate tax liability early on. This might involve setting aside funds from the estate to cover the tax payment.
By understanding these tax implications and seeking professional advice, heirs can ensure they are compliant with their tax obligations and maximize the value they receive from their inheritance.</t>
  </si>
  <si>
    <t>Paano binubuwisan ang mga mana, at anong mga implikasyon sa buwis ang dapat malaman ng mga tagapagmana?</t>
  </si>
  <si>
    <t>Can you explain the legal process for contesting a will affecting the inheritance of property?</t>
  </si>
  <si>
    <t>In the Philippines, contesting a will is a serious legal matter. Here's a breakdown of the process for challenging a will that affects your inheritance:
Grounds for Contest:
There are several valid reasons to contest a will in the Philippines. Some common grounds include:
Testamentary Capacity: If you believe the deceased lacked the mental capacity to understand the nature and consequences of creating a will at the time it was signed.
Undue Influence: If you suspect someone pressured or coerced the deceased into changing their will against their wishes.
Forgery: If you have evidence that the will itself or the signatures on the will are fraudulent.
Improper Execution: If the will was not signed and witnessed according to the legal formalities required by Philippine law.
Preterition: If a legitimate descendant (child or grandchild) was unintentionally omitted from the will without a valid reason for their exclusion.
Initiating the Contest:
File a Petition: To contest a will, you will need to file a petition with the appropriate court, typically the Regional Trial Court (RTC) where the probate proceedings are ongoing or will be filed.
Standing: Only those with a legal interest in the estate can contest the will. This generally includes heirs named in a previous will, legal heirs under intestacy laws (if there's no valid will), or beneficiaries who believe they were wrongly excluded from the current will.
Evidence Gathering: You will need to gather evidence to support your claim. This might involve medical records, witness testimonies, financial documents, or even handwriting analysis (in case of forgery).
Court Hearing:
The court will hold a hearing to hear arguments from both sides. You will have the opportunity to present your evidence and challenge the validity of the will. The proponent of the will (usually the executor or a beneficiary named in the will) will defend its authenticity.
Decision: Based on the presented evidence and arguments, the court will issue a decision regarding the validity of the will.
Appeals: Either party can appeal the court's decision to a higher court if they disagree with the outcome.
Important Considerations:
Time Limits: There is a three-year time limit from the date the will is probated to contest it. Missing this deadline can significantly weaken your case.
Legal Representation: Contesting a will is a complex legal process. Consulting with a lawyer experienced in estate litigation is crucial. They can guide you through the process, ensure you meet all legal requirements, and effectively represent your interests in court.
Costs: Contesting a will can be expensive due to court filing fees, lawyer fees, and potential expert witness costs. Consider the financial implications before initiating a challenge.
Alternative Dispute Resolution: In some cases, it might be beneficial to explore alternative dispute resolution (ADR) options like mediation with other heirs to reach a mutually agreeable solution outside of court.
Remember: Contesting a will can be a lengthy and emotionally charged process. Understanding the legal grounds, seeking professional legal advice, and carefully weighing the potential costs and benefits are crucial before deciding to challenge a will.</t>
  </si>
  <si>
    <t>Maaari mo bang ipaliwanag ang legal na proseso para sa paglaban sa isang testamento na nakakaapekto sa mana ng ari-arian?</t>
  </si>
  <si>
    <t>How are inherited properties with outstanding debts or mortgages managed during the inheritance process?</t>
  </si>
  <si>
    <t>Inheriting property with outstanding debts or mortgages in the Philippines presents a unique situation for heirs. Here's a breakdown of how such properties are typically managed during the inheritance process:
Understanding Heirs' Liability:
Limited Liability: Heirs are only liable for the inherited debts to the extent of the value of the property they receive. This means they can't be held personally responsible for debts exceeding the property's value.
Management Options for Heirs:
Heirs have several options for dealing with inherited property burdened with debts:
Accept the Inheritance with Benefit of Inventory:
This is a legal process where an inventory of the deceased's assets and liabilities is created. Heirs are then only liable for the debts to the extent of the inventoried assets. However, this process can be lengthy and complex.
Renounce the Inheritance:
Heirs can completely reject the inheritance, freeing themselves of any responsibility for the debts or the property itself. But this also means they lose any rights to any potential value in the property.
Negotiate with Creditors:
Heirs may be able to negotiate a settlement with creditors, offering a lump sum payment or proposing a payment plan using funds from the sale of the property (if applicable).
Sell the Property:
If the debts are significant, heirs might choose to sell the inherited property. They can use the proceeds to pay off the debts associated with the property and then divide the remaining amount according to their inheritance share.
Additional Considerations:
Probate Process: During probate (if applicable), the court might order the sale of the property to settle outstanding debts before distributing remaining assets to heirs.
Foreclosure Risk: If heirs fail to address the mortgage payments on the inherited property, the lender could initiate foreclosure proceedings and seize the property to recover the remaining debt.
Tax Implications: Depending on the chosen management option (selling vs. keeping the property), there might be tax implications for heirs. Consulting a tax advisor is recommended.
Recommendations:
Consult a Lawyer: An experienced lawyer specializing in inheritance and estate law can advise on the best course of action based on the specific situation, including the value of the property, the amount of debt, and the number of heirs involved.
Gather Information: Collect all documents related to the inheritance, including the death certificate, will (if any), property titles, loan documents for the mortgage, and any appraisals.
Communicate with Creditors: Heirs should promptly notify creditors about the death of the property owner and express their intention to address the outstanding debts.
Financial Planning: Consider the financial implications of each option. Factor in potential costs like legal fees, taxes, and ongoing maintenance if keeping the property.
By understanding their options, seeking legal advice, and carefully evaluating the financial implications, heirs can make informed decisions on how to manage inherited property with outstanding debts or mortgages.</t>
  </si>
  <si>
    <t>Paano pinangangasiwaan ang mga minanang ari-arian na may mga hindi pa nababayarang utang o sangla sa panahon ng proseso ng mana?</t>
  </si>
  <si>
    <t>What legal options exist for heirs who wish to sell their inherited property, and what steps are involved in the sale?</t>
  </si>
  <si>
    <t>Heirs in the Philippines have several legal options for selling inherited property, and the specific process will depend on the circumstances. Here's a breakdown of the key options and steps involved:
Legal Options for Selling Inherited Property:
Individual Sale by Heirs: If all heirs agree, they can choose to sell the property themselves. This involves finding a buyer, negotiating the sale price and terms, and completing the legal paperwork.
Sale Through a Real Estate Agent: Heirs can appoint a licensed real estate agent to handle the marketing, negotiations, and paperwork associated with the sale. This can be a good option if the property is complex to sell or if heirs lack the time or expertise.
Court-Ordered Sale: In some cases, a court order might be necessary to sell the property. This can occur if there are disagreements among heirs about selling the property, or if the property needs to be sold to settle outstanding debts on the estate.
Steps Involved in the Sale:
Gather Information:
Property Documents: Collect all relevant documents related to the property, including the title deed, tax receipts, and any maintenance records.
Estate Information: If the property is part of an estate undergoing probate, obtain necessary documents from the executor or lawyer handling the process.
Market Research: Research current market trends in the area to determine a fair selling price. Consider getting a professional appraisal for an accurate valuation.
Prepare the Property: Ensure the property is presentable for potential buyers. This might involve minor repairs, cleaning, and possibly staging the property to showcase its potential.
Marketing and Negotiations:
Individual Sale: If selling independently, advertise the property through online platforms, local listings, or "for sale" signs. Be prepared to negotiate the price and terms with potential buyers.
Real Estate Agent: Discuss your expectations with the agent and define their commission structure. They will handle marketing, open houses, and negotiations on your behalf.
Legal Documentation and Closing:
Sale Agreement: Once a buyer is found, a sale agreement outlining the terms and conditions of the sale will be drafted and signed by all parties involved (heirs and buyer).
Estate Approval: If the property is part of an estate, ensure the sale is approved by the court overseeing probate (if applicable).
Transfer of Title: Upon receiving full payment from the buyer, the title of the property will be transferred to the buyer's name. This process usually involves a lawyer and documentary fees.
Tax Obligations: Heirs might be subject to capital gains tax or donor's tax depending on the sale price and their relationship to the deceased. Consulting a tax advisor is recommended.
Important Considerations:
Heir Agreement: If there are multiple heirs, ensure everyone is on the same page regarding the sale, the desired selling price, and the distribution of proceeds. Open communication and a signed agreement can avoid future disputes.
Outstanding Debts: If the property has outstanding debts like a mortgage, these will need to be settled from the sale proceeds before distributing the remaining amount to heirs.
Legal Representation: Consider consulting a lawyer specializing in real estate and inheritance law to ensure the sale process adheres to legalities and protects your interests.
By understanding the legal options, carefully planning the sale process, and potentially seeking professional guidance, heirs can efficiently and successfully sell their inherited property while minimizing potential legal or tax complications.</t>
  </si>
  <si>
    <t>Anong mga legal na opsyon ang umiiral para sa mga tagapagmana na gustong ibenta ang kanilang minanang ari-arian, at anong mga hakbang ang kasangkot sa pagbebenta?</t>
  </si>
  <si>
    <t>Can you provide guidance on the legal considerations for inheriting property jointly with other beneficiaries?</t>
  </si>
  <si>
    <t>Certainly, when inheriting property jointly with other beneficiaries in the Philippines, several legal considerations should be taken into account. Here are some key points:
1. **Estate Administration:**
- The process of estate administration begins with the settlement of the deceased person's estate.
- The estate may go through probate, especially if there is a will. If there is no will, the estate will be distributed according to the rules of intestate succession.
2. **Co-ownership:**
- In joint inheritance, beneficiaries become co-owners of the inherited property. This means they share ownership rights, such as possession, use, and disposal.
- The type of co-ownership is crucial. The default under Philippine law is co-ownership in equal shares unless specified otherwise.
3. **Legal Documentation:**
- It's important to ensure that the transfer of property is properly documented. This typically involves the execution of a Deed of Extra-judicial Settlement of Estate if the property is not subject to court probate.
4. **Consent and Agreement:**
- Decision-making among co-owners often requires consensus, especially for major decisions like selling the property. It's advisable to have a clear agreement among co-owners to avoid disputes.
5. **Taxes and Fees:**
- Be aware of any applicable taxes and fees related to the transfer of property. Consult with a tax professional to understand the tax implications and obligations.
6. **Conflict Resolution:**
- If disputes arise among co-owners, the law provides mechanisms for resolution. This may involve legal actions such as partition, where the property is divided among the co-owners.
7. **Foreign Ownership Restrictions:**
- For non-Filipino beneficiaries, there may be restrictions on owning land in the Philippines. It's important to comply with relevant laws, such as the Philippine Constitution's provisions on foreign ownership of land.
8. **Rights and Responsibilities:**
- Co-owners have certain rights and responsibilities. It's crucial to understand these, including the right to use and enjoy the property, as well as the responsibility to contribute to necessary expenses for the maintenance and preservation of the property.
9. **Legal Assistance:**
- Given the complexities of inheritance laws and property matters, seeking legal advice is highly recommended. Consulting with a lawyer specializing in real estate and inheritance can help ensure compliance with relevant laws and regulations.
Always consult with a legal professional to get advice tailored to your specific situation, as individual cases may vary.</t>
  </si>
  <si>
    <t>Maaari ka bang magbigay ng gabay sa mga legal na pagsasaalang-alang para sa pagmamana ng ari-arian kasama ng iba pang mga benepisyaryo?</t>
  </si>
  <si>
    <t>What legal mechanisms exist for transferring inherited property to a trust for long-term management?</t>
  </si>
  <si>
    <t>In the Philippines, the process of transferring inherited property to a trust for long-term management involves several legal steps. Here are the key mechanisms and considerations:
1. **Creation of a Trust:**
- The first step is to create a trust agreement. This document outlines the terms and conditions of the trust, including the names of the beneficiaries, the trustee, the purpose of the trust, and the powers and duties of the trustee.
2. **Selection of Trustee:**
- The trustee is the person or entity responsible for managing the trust and ensuring that the terms of the trust agreement are followed. It's crucial to select a trustee who is trustworthy, competent, and has the best interests of the beneficiaries in mind.
3. **Transfer of Title:**
- The legal title of the inherited property needs to be transferred to the trust. This typically involves executing a deed of transfer, transferring ownership from the individual beneficiaries to the trust.
4. **Compliance with Legal Formalities:**
- Ensure that all legal formalities and requirements for transferring property are followed. This may include notarization of documents and registration with the appropriate government authorities.
5. **Registration of the Trust:**
- In some cases, depending on the type of trust, it may be necessary to register the trust with the Securities and Exchange Commission (SEC) or other relevant government agencies.
6. **Tax Considerations:**
- Be aware of any tax implications associated with the transfer of property to a trust. Consult with a tax professional to understand the tax obligations and benefits.
7. **Distribution and Management of Assets:**
- Clearly outline in the trust agreement how the assets, including the inherited property, will be managed, distributed, and utilized for the benefit of the beneficiaries.
8. **Legal Advice:**
- Given the legal complexities involved in creating a trust and transferring property, seeking the advice of a lawyer with expertise in estate planning, trusts, and property law is highly recommended.
9. **Compliance with Foreign Ownership Laws:**
- If any of the beneficiaries or trustees are non-Filipinos, ensure compliance with any restrictions on foreign ownership of land as per Philippine laws.
10. **Ongoing Legal Compliance:**
- Once the trust is established, it's important to ensure ongoing compliance with legal requirements and to periodically review and update the trust agreement as needed.
It's crucial to consult with legal professionals specializing in estate planning, trusts, and property law to ensure that the transfer of inherited property to a trust is done in accordance with Philippine laws and regulations.</t>
  </si>
  <si>
    <t>Anong mga legal na mekanismo ang umiiral para sa paglilipat ng minanang ari-arian sa isang tiwala para sa pangmatagalang pamamahala?</t>
  </si>
  <si>
    <t>How does the law handle disputes among heirs regarding the division or management of inherited property?</t>
  </si>
  <si>
    <t>Philippine law addresses disputes among heirs concerning inherited property through a two-pronged approach:
1. **Extrajudicial Settlement (EJS):** This is the preferred method when heirs agree on the division and management of the estate. It involves a notarized document called an "Extrajudicial Settlement of Estate and Adjudication of Estate" (EJS) specifying:
* Details of the deceased, including a death certificate.
* Inventory of the estate's properties.
* Agreed-upon distribution of properties among heirs.
This is valid only if there's no will, no debts, and all heirs are of legal age (or properly represented).
2. **Judicial Settlement:** If there's a disagreement or a will is contested, a court settlement becomes necessary. This involves filing a case with a probate court, which will:
* Determine the validity of the will (if any).
* Appoint an administrator to manage the estate if none is designated in the will.
* Oversee the settlement of debts and taxes.
* Resolve disputes regarding the division and management of the estate.
Here are some relevant Philippine laws on inheritance:
* **The New Civil Code of the Philippines (Republic Act No. 68):** This law provides the legal framework for inheritance, including intestacy (dying without a will) and succession. * **Rule 74 of the Rules of Court:** This rule outlines the procedure for judicial settlement of estates.
Remember, this is a simplified explanation. For a more comprehensive understanding, it's advisable to consult a lawyer who can analyze the specifics of your situation.</t>
  </si>
  <si>
    <t>Paano pinangangasiwaan ng batas ang mga hindi pagkakaunawaan sa pagitan ng mga tagapagmana hinggil sa paghahati o pamamahala ng minanang ari-arian?</t>
  </si>
  <si>
    <t>Can you explain the legal process for transferring inherited property located in a different state or country?</t>
  </si>
  <si>
    <t>Philippine law primarily applies to property located within the Philippines. Transferring inherited property abroad involves additional considerations and may require following the laws of the other state or country. Here's a general framework to understand the process:
1. **Determine Ancillary Probate Needs:** Inheritances involving property in another state (US) or country might require "ancillary probate." This is a separate probate proceeding conducted in the state/country where the property is located. It ensures the property is distributed according to local laws and debts/taxes are settled.
2. **Consult Relevant Local Legal Professionals:** Seek advice from a lawyer specializing in probate law in the other state/country. They can guide you through the specific requirements for transferring the property, including:
* **Tax Implications:** Inheritance taxes might apply in the other jurisdiction. The lawyer can advise on minimizing tax liabilities. * **Local Probate Procedures:** The process for transferring property can differ. They can explain the steps involved, like filing necessary documents and navigating the court system.
3. **Coordinate with Philippine Representative:** You might need a Philippine lawyer to handle aspects related to the Philippine estate, such as:
* Obtaining necessary documents from the Philippines (e.g., death certificate, proof of heirship)
* Ensuring the Philippine estate is settled before transferring foreign property
**Important Considerations:**
* Treaties: The Philippines may have treaties with other countries regarding inheritance. These treaties can simplify the process by reducing bureaucracy. A lawyer can advise on the applicability of any such treaties. * Complexity: The process can be complex, especially if the property is valuable or there are disputes among heirs. Consulting experienced legal professionals in both jurisdictions is crucial.
**Disclaimer:** This is a simplified overview, and the specific process will vary depending on the location and circumstances. It's essential to consult qualified lawyers in both the Philippines and the other state/country for accurate legal advice.</t>
  </si>
  <si>
    <t>Maaari mo bang ipaliwanag ang legal na proseso para sa paglilipat ng minanang ari-arian na matatagpuan sa ibang estado o bansa?</t>
  </si>
  <si>
    <t>What legal obligations do heirs have regarding the maintenance and upkeep of inherited property?</t>
  </si>
  <si>
    <t>Heirs in the Philippines have certain legal obligations regarding the maintenance and upkeep of inherited property. These obligations arise from the principles of co-ownership and the general duties imposed by law. Here are some key legal obligations:
1. **Contributions to Necessary Expenses:**
- Co-owners, including heirs, are generally required to contribute to the necessary expenses for the preservation and maintenance of the property. This includes expenses for repairs, taxes, and other charges that are essential for keeping the property in good condition.
2. **Reasonable Use and Enjoyment:**
- Heirs are entitled to the reasonable use and enjoyment of the inherited property. However, they must exercise this right in a manner that does not prejudice the rights of other co-owners.
3. **Consensus on Major Decisions:**
- Heirs should seek consensus with other co-owners on major decisions regarding the property. This is particularly important when it comes to significant actions such as selling the property or making substantial alterations.
4. **Legal Compliance:**
- Heirs must comply with all relevant laws and regulations concerning the property, including zoning laws, building codes, and environmental regulations.
5. **Notification of Changes:**
- If an heir intends to make significant changes to the property or undertake major repairs, it is advisable to notify the other co-owners. This helps maintain transparency and ensures that decisions are made collectively.
6. **Payment of Property Taxes:**
- Heirs are responsible for ensuring that property taxes are paid promptly. Failure to pay property taxes can lead to legal consequences and may affect the co-ownership arrangement.
7. **Maintenance of Common Areas:**
- If the inherited property has common areas or shared facilities, heirs are typically required to contribute to the maintenance of these areas. This may include gardens, driveways, or other shared spaces.
8. **Compliance with Environmental Laws:**
- Heirs should adhere to environmental laws and regulations, ensuring that the property is not used in a way that violates environmental standards.
9. **Avoidance of Waste or Destruction:**
- Heirs are obligated to avoid waste or destruction of the property. Any actions that could significantly devalue or harm the property may be subject to legal scrutiny.
10. **Resolution of Disputes:**
- In case of disagreements among co-owners, including heirs, legal mechanisms are available for resolving disputes. This may involve seeking legal advice, mediation, or, in extreme cases, resorting to legal actions like partition to divide the property.
It's essential for heirs to be aware of their legal obligations, communicate effectively with other co-owners, and seek legal advice when necessary to ensure compliance with Philippine laws and regulations. Consulting with a lawyer specializing in real estate and inheritance matters can provide guidance tailored to the specific situation.</t>
  </si>
  <si>
    <t>Anong mga legal na obligasyon ang mayroon ang mga tagapagmana tungkol sa pagpapanatili at pangangalaga ng minanang ari-arian?</t>
  </si>
  <si>
    <t>How are inheritances of property subject to environmental regulations or restrictions managed?</t>
  </si>
  <si>
    <t>In the Philippines, inheritances of property subject to environmental regulations or restrictions are managed with a two-pronged approach, considering both the Philippine environmental laws and the inheritance process:
**1. Environmental Regulations and Restrictions:**
* **Environmental Laws:** The Philippines has various environmental laws that may impose regulations or restrictions on property use. Some key ones include:
* **The Ecological Solid Waste Management Act (Republic Act No. 9003):** This law regulates the management of solid waste, which could impact how certain properties can be used. * **The Clean Water Act (Presidential Decree No. 1181):** This law protects water quality and may restrict activities on properties near water bodies.
* **The Forestry Reform Act (Republic Act No. 7161):** This law regulates the use of forest lands, which could limit development on inherited property.
* **Impact on Management:** The specific environmental regulations or restrictions will dictate how the inherited property can be managed. This might involve:
* **Obtaining permits or licenses** for certain activities on the property.
* **Complying with specific waste disposal** or pollution control measures.
* **Following restrictions on development** or land use.
**2. Inheritance Process:**
* **Disclosure and Due Diligence:** During the inheritance process, heirs should be informed about any environmental regulations or restrictions attached to the property. This can be done through the will (if any) or by disclosing relevant documents.
* **Management Decisions:** Heirs will need to decide how to manage the property considering the environmental restrictions. Options might include:
* **Selling the property:** If the restrictions make development or use difficult, selling may be an option.
* **Seeking modification of restrictions:** In some cases, it might be possible to seek a modification of the restrictions from the relevant government agency. This would require justification and following a specific process.
* **Complying with restrictions:** Heirs may choose to comply with the restrictions and manage the property in a way that adheres to environmental regulations.
**Important Considerations:**
* **Professional Help:** Consulting an environmental lawyer can be crucial to understanding the specific regulations impacting the property and exploring options for management. * **Compliance Costs:** Complying with environmental regulations might involve additional costs for things like pollution control measures or waste disposal. Heirs should factor this into their decision-making.
By understanding both the environmental regulations and the inheritance process, heirs can effectively manage inherited property subject to environmental restrictions.</t>
  </si>
  <si>
    <t>Paano napapailalim ang mga mana ng ari-arian sa mga regulasyon o paghihigpit sa kapaligiran?</t>
  </si>
  <si>
    <t>What are the legal implications of inheriting property with existing rental agreements or tenants?</t>
  </si>
  <si>
    <t>Inheriting property with existing rental agreements or tenants in the Philippines has several legal implications for the new owner, as outlined below:
**Respecting Existing Rental Agreements:**
* **Honoring the Terms:** You, as the new owner, are legally obligated to honor the existing rental agreements with the tenants. This includes:
* Rent amount and payment schedule as stipulated in the agreement.
* Lease duration as defined in the agreement (fixed-term or open-ended).
* Rights and obligations outlined in the agreement, such as maintenance responsibilities and tenant rights.
* **Exceptions:** The agreement might become void in specific situations, such as:
* **Material breach by the tenant:** If the tenant violates significant terms (e.g., non-payment of rent, damage to property beyond normal wear and tear). However, a legal process for eviction may still be necessary.
* **Expiry of fixed-term lease:** If the agreement is a fixed-term lease and expires, you can renegotiate terms with the tenant or seek a new tenant upon the lease end.
**Communication with Tenants:**
* **Introduce Yourself:** It's advisable to introduce yourself to the tenants as the new owner and inform them of the inheritance. This establishes a communication channel and builds trust.
* **Provide Contact Information:** Share your contact information with the tenants in case they have any questions or concerns regarding the property or rental agreement.
**Reviewing the Agreements:**
* **Analyze the Terms:** Carefully review the existing rental agreements to understand details like rent amount, lease duration, and maintenance responsibilities. This helps you determine if adjustments are necessary upon renewal.
* **Seeking Legal Advice:** Consider consulting a lawyer specializing in landlord-tenant law to review the agreements and advise on your rights and obligations as the new owner. **Future Considerations:**
* **Renewal of Lease:** When the existing lease expires, you can choose to:
* **Renegotiate with existing tenants:** You can negotiate new terms with the current tenants based on market rates and your preferences.
* **Seek new tenants:** You can advertise for new tenants and offer a new lease agreement with your preferred terms.
* **Changes to the Property:** Making significant changes to the property requires careful consideration, especially if the agreements have clauses about alterations. * It's best to communicate any planned renovations with the tenants beforehand and potentially offer temporary accommodation if needed.
Remember, inheriting property with tenants requires you to act as a landlord and comply with relevant laws. Following these guidelines and seeking legal advice when necessary can ensure a smooth transition for both you and the existing tenants.</t>
  </si>
  <si>
    <t>Ano ang mga legal na implikasyon ng pagmamana ng ari-arian sa mga umiiral nang kasunduan sa pag-upa o mga nangungupahan?</t>
  </si>
  <si>
    <t>Can you provide guidance on the legal considerations for inheriting property subject to homeowners' association rules?</t>
  </si>
  <si>
    <t>Inheriting property subject to homeowners' association (HOA) rules introduces additional legal considerations, as the heirs will need to adhere to the regulations and agreements set forth by the homeowners' association. Here's guidance on the legal aspects of inheriting such property:
1. **Review HOA Documents:**
- Thoroughly review the homeowners' association documents, including the covenants, conditions, and restrictions (CC&amp;R) and bylaws. These documents outline the rules and regulations governing the community and the property.
2. **Notification to HOA:**
- Notify the homeowners' association of the change in ownership due to inheritance. Provide them with the necessary documentation, such as a copy of the death certificate and any legal documents establishing the heirs' ownership.
3. **Compliance with HOA Rules:**
- Ensure strict compliance with the HOA rules and regulations. This may include rules related to property maintenance, architectural changes, and use of common areas. Failure to comply could lead to penalties or legal action by the association.
4. **Transfer of Membership:**
- If the HOA membership is associated with the property, heirs should inquire about the process for transferring the membership to the new owners. This may involve submitting certain documents to the homeowners' association.
5. **Payment of HOA Fees:**
- Continue paying homeowners' association fees and assessments promptly. Non-payment may result in penalties or restrictions on the use of common facilities. Be aware of any outstanding fees or dues from the deceased owner.
6. **Participation in HOA Meetings:**
- Attend homeowners' association meetings, if required or allowed. This is an opportunity to stay informed about any changes to the rules, upcoming assessments, or community matters.
7. **Architectural Approvals:**
- If the property is subject to architectural guidelines, seek approval from the homeowners' association before making any structural changes or additions. Failure to obtain approval may result in fines or the need to reverse the changes.
8. **Dispute Resolution Mechanisms:**
- Familiarize yourself with the dispute resolution mechanisms outlined in the HOA documents. This may include mediation or arbitration processes to resolve conflicts between the heirs and the homeowners' association.
9. **HOA Enforcement Powers:**
- Be aware of the homeowners' association's enforcement powers. They may have the authority to impose fines, issue warnings, or take legal action to enforce compliance with the rules.
10. **Legal Consultation:**
- If there are uncertainties or disputes with the homeowners' association, seek legal advice. An attorney experienced in property law and homeowners' association matters can provide guidance on navigating legal issues and protecting your rights.
It's essential to approach the inheritance of property subject to homeowners' association rules with a thorough understanding of the obligations and responsibilities outlined in the governing documents. Adhering to these rules helps maintain a harmonious relationship with the community and avoids potential legal complications.</t>
  </si>
  <si>
    <t>Maaari ka bang magbigay ng gabay sa mga legal na pagsasaalang-alang para sa pagmamana ng ari-arian na napapailalim sa mga tuntunin ng asosasyon ng mga may-ari ng bahay?</t>
  </si>
  <si>
    <t>How does the law address the inheritance of property with existing land-use permits or entitlements?</t>
  </si>
  <si>
    <t>In the Philippines, the inheritance of property with existing land-use permits or entitlements involves considerations related to the transfer of those permits or entitlements to the heirs. Here are some general legal considerations:
1. **Review Existing Permits:**
- The heirs should review the existing land-use permits or entitlements associated with the property. This may include zoning clearances, building permits, environmental permits, or any other approvals granted by government authorities.
2. **Transfer of Ownership:**
- The legal transfer of the property through inheritance should be properly documented. This may involve the execution of a Deed of Extra-judicial Settlement of Estate or other legal instruments, depending on the circumstances.
3. **Notification to Concerned Authorities:**
- Notify the relevant government authorities or agencies that issued the existing permits about the change in ownership due to inheritance. Provide them with the necessary documentation, such as proof of inheritance and updated property documents.
4. **Transfer of Permits:**
- In some cases, the heirs may need to formally apply for the transfer of existing permits or entitlements to reflect the change in ownership. This process typically involves submitting the required documents to the issuing authorities.
5. **Compliance with Conditions:**
- Ensure that the heirs are aware of and willing to comply with any conditions or requirements attached to the existing permits. Failure to comply with these conditions may result in the revocation of permits or other legal consequences.
6. **Environmental Compliance:**
- If the property has environmental permits, it's crucial to comply with environmental laws and regulations. This may involve maintaining the property in accordance with approved plans and mitigating any environmental impact.
7. **Architectural and Zoning Compliance:**
- If the property is subject to architectural or zoning requirements, heirs should ensure continued compliance with these regulations. Seek necessary approvals for any changes or developments that may be planned for the property.
8. **Consultation with Authorities:**
- In some cases, it may be advisable for the heirs to consult with the relevant authorities before making significant changes to the property or its use. This can help prevent potential legal issues and ensure that the changes align with existing permits.
9. **Legal Advice:**
- Given the complexity of land-use regulations, seeking legal advice is highly recommended. Consult with a lawyer specializing in real estate law to navigate the legal aspects of inheriting property with existing permits and entitlements.
It's essential for heirs to be proactive in addressing the legal implications of inheriting property with existing land-use permits or entitlements. Working closely with legal professionals and government authorities can help ensure a smooth transition and compliance with applicable laws and regulations.</t>
  </si>
  <si>
    <t>Paano tinutugunan ng batas ang pagmamana ng ari-arian na may mga umiiral na permit o karapatan sa paggamit ng lupa?</t>
  </si>
  <si>
    <t>What legal options exist for heirs who wish to donate their inherited property to a charitable organization?</t>
  </si>
  <si>
    <t>Donating Inherited Property to Charity (Philippines): Legal Options
Heirs in the Philippines have several options when it comes to donating inherited property to a charitable organization:
Direct Donation: This is the simplest method. Heirs can directly transfer ownership of the property (cash, real estate, etc.) to the charity through a notarized Deed of Donation. This might incur minimal registration fees depending on the property type.
Disclaimer and Redirection: Heirs can formally decline (disclaim) the inheritance within a reasonable timeframe set by courts. This allows the property to pass directly to a designated beneficiary, which can be the chosen charity. This option might be useful for tax purposes or if the property has complexities (debts attached).
Charitable Trust: Heirs can establish a trust that holds the inherited property. The trust then distributes income or assets to the charity over time, as outlined in a trust agreement. This can offer tax benefits and allow for controlled distribution to the charity.
Important Considerations:
Consult a Lawyer: Consulting a lawyer specializing in estate planning is highly recommended. They can advise on the best approach considering legalities, tax implications, and ensuring a smooth donation process.
Research the Charity: Ensure the chosen charity is a registered and reputable organization aligned with your values.
Tax Implications: Donating inherited property might have tax implications. A lawyer can advise on maximizing potential tax deductions.
Additional Considerations:
Probate: If the estate's value exceeds a certain legal threshold, it may need to undergo probate before property transfer. A lawyer can guide you through this process.
Heir Agreement: If there are multiple heirs, ensure everyone agrees on donating the property.
By understanding these legal options and seeking professional guidance, heirs can efficiently and legally donate inherited property to a deserving charity in the Philippines.</t>
  </si>
  <si>
    <t>Anong mga legal na opsyon ang umiiral para sa mga tagapagmana na gustong ibigay sa kanila ang minahan ari-arian sa isang organisasyong pangkawanggawa?</t>
  </si>
  <si>
    <t>How does the probate process work for inheriting property, and what steps are involved?</t>
  </si>
  <si>
    <t>In the Philippines, the probate process is a legal procedure that validates and settles the estate of a deceased person. This process is essential for inheriting property and involves several steps. Here's an overview of the probate process:
1. **Filing a Petition for Probate:**
- The first step is to file a petition for probate with the Regional Trial Court (RTC) in the province where the deceased person resided at the time of death. This petition is typically filed by the appointed executor or administrator of the estate.
2. **Publication of Notice:**
- After filing the petition, the court will issue a notice of hearing, and the petitioner is required to publish this notice in a newspaper of general circulation. This serves to notify creditors and other interested parties about the probate proceedings.
3. **Probate Hearing:**
- The court will conduct a hearing to determine the validity of the will (if there is one) and to appoint the executor or administrator. If the deceased had no will, the court will appoint an administrator to manage the estate.
4. **Letters of Administration or Testamentary:**
- If the court approves the petition, it issues either Letters of Administration (if there is no will) or Letters Testamentary (if there is a valid will). These documents grant authority to the executor or administrator to act on behalf of the estate.
5. **Inventory and Appraisal:**
- The executor or administrator is required to prepare an inventory of the deceased person's assets and have them appraised. This inventory is submitted to the court for approval.
6. **Creditor Claims:**
- Creditors are given an opportunity to file claims against the estate. The executor or administrator must settle valid claims using the estate's assets.
7. **Payment of Taxes:**
- The estate may be subject to inheritance tax. The executor or administrator is responsible for filing the necessary tax returns and paying any taxes owed by the estate.
8. **Distribution of Assets:**
- After settling debts and taxes, the remaining assets are distributed to the heirs as specified in the will or according to the rules of intestate succession if there is no will.
9. **Final Accounting:**
- The executor or administrator must submit a final accounting to the court detailing how the assets were distributed and how debts and taxes were settled.
10. **Closing of the Estate:**
- Once the court is satisfied that all legal requirements have been met, it issues an order closing the estate. The executor or administrator is then discharged from their duties.
It's important to note that the probate process may vary depending on the complexity of the estate and other factors. Seeking legal assistance from a lawyer experienced in estate law is advisable to navigate the probate process effectively and ensure compliance with Philippine laws and regulations.</t>
  </si>
  <si>
    <t>Paano gumagana ang proseso ng probate para sa pagmamana ng ari-arian, at anong mga hakbang ang kasangkot?</t>
  </si>
  <si>
    <t>What are the tax implications of inheriting property, including estate taxes and capital gains taxes?</t>
  </si>
  <si>
    <t>In the Philippines, inheriting property comes with certain tax implications, primarily in the form of estate taxes and potential capital gains taxes. Here's an overview:
1. **Estate Taxes:**
- Estate taxes are imposed on the transfer of the net estate of a deceased person to their heirs. The net estate is calculated by deducting allowable deductions from the gross estate. Deductions may include funeral expenses, medical expenses, and outstanding debts of the deceased.
- The estate tax rate as of my last knowledge update in January 2022 is a flat rate of 6% on the net estate, with a standard deduction of Php 5 million. The executor or administrator of the estate is responsible for filing the estate tax return and paying the applicable taxes.
- Non-resident aliens inheriting property in the Philippines may be subject to a higher estate tax rate of 15% on the net estate.
2. **Capital Gains Tax:**
- Capital gains tax (CGT) is a tax imposed on the gains or profit from the sale or transfer of real property. When heirs decide to sell the inherited property, they may be liable to pay capital gains tax on the difference between the selling price and the fair market value as of the time of inheritance.
- As of my last knowledge update in January 2022, the capital gains tax rate on the sale of real property is 6% of the higher of the selling price or the fair market value as determined by the Bureau of Internal Revenue (BIR) zonal valuation.
3. **Donor's Tax:**
- In some cases, heirs may receive the property through donation before the death of the original owner. In such instances, the donor's tax may apply instead of estate tax. Donor's tax rates vary depending on the relationship between the donor and the donee.
4. **Exemptions and Deductions:**
- There are certain exemptions and deductions available for both estate taxes and donor's taxes. For example, the first Php 10 million of the net estate is exempt from estate tax, and certain transfers among family members may be exempt from donor's tax.
5. **Tax Filing and Payment:**
- The filing of estate tax returns and payment of estate taxes are typically due within six months from the decedent's death. Extensions may be granted under certain circumstances.
- Capital gains tax is paid upon the sale of the property, and the tax return must be filed within 30 days after the sale.
It's crucial to note that tax laws may change, and it's advisable to consult with a tax professional or legal advisor to get the most up-to-date and accurate information. Additionally, the specific circumstances of the inheritance, the relationship between the deceased and the heirs, and the nature of the property can impact the applicable taxes.</t>
  </si>
  <si>
    <t>Ano ang mga implikasyon sa buwis ng pagmamana ng ari-arian, kabilang ang mga buwis sa ari-arian at mga buwis sa capital gains?</t>
  </si>
  <si>
    <t>Can a will be contested, and what legal grounds are required to challenge the distribution of inherited property?</t>
  </si>
  <si>
    <t>Yes, a will can be contested in the Philippines under certain circumstances. The legal grounds for contesting a will are outlined in the Family Code and the Rules of Court. Here are common grounds for challenging the distribution of inherited property through a will:
1. **Lack of Testamentary Capacity:**
- One of the primary grounds for contesting a will is the alleged lack of testamentary capacity of the testator (the person who made the will). Testamentary capacity refers to the mental capacity of the testator to understand the nature and consequences of making a will.
2. **Undue Influence:**
- If it can be shown that the testator was unduly influenced or coerced into making certain provisions in the will, the document may be contested. Undue influence involves a situation where the testator's free will was overpowered by another person's influence.
3. **Fraud or Forgery:**
- A will can be contested if there is evidence of fraud or forgery. This may include situations where the testator's signature was forged, or if there were misrepresentations made to the testator about the contents of the will.
4. **Improper Execution:**
- A will must be executed in accordance with the formalities required by law. If there are irregularities in the execution process, such as improper witnessing or lack of proper signatures, the will may be contested.
5. **Revocation:**
- If there is evidence that the testator revoked the will or intended to revoke it but was prevented from doing so, the validity of the will may be questioned.
6. **Mistake or Duress:**
- A will may be contested if it can be shown that the testator made a mistake in the will, or if the testator signed the will under duress.
7. **Violation of Forced Heirship Rules:**
- In the Philippines, there are rules on forced heirship, which prescribe a portion of the estate that must be reserved for compulsory heirs (such as children). If the will violates these rules, it may be contested.
8. **Forgery of a Codicil:**
- A codicil is a document that amends, modifies, or revokes a will. If there is evidence that a codicil was forged or executed under fraudulent circumstances, it may be grounds for contesting the will.
9. **Violation of Formalities:**
- The failure to comply with the formalities required for the execution of a valid will, such as the presence of witnesses, may be a ground for contesting the distribution of property through the will.
It's important to note that contesting a will involves a legal process and should be pursued through the appropriate legal channels. Those seeking to contest a will should consult with a lawyer specializing in estate law to assess the validity of their claims and navigate the legal procedures involved. Additionally, the specific grounds for contesting a will may vary, and legal advice should be sought based on the individual circumstances of each case.</t>
  </si>
  <si>
    <t>Maaari bang labanan ang isang testamento, at anong mga legal na batayan ang kinakailangan upang hamunin ang pamamahagi ng minanang ari-arian?</t>
  </si>
  <si>
    <t>What happens to inherited property if there are outstanding debts or mortgages on the estate?</t>
  </si>
  <si>
    <t>Philippine law offers some protection for heirs inheriting property with outstanding debts or mortgages. Here's what you need to know:
Heir's Liability:
Philippine law adheres to the principle of "benefit of inventory" (beneficium inventarii) as stated in Article 1023 of the Civil Code [Article 1023 Civil Code of the Philippines]. This means:
Limited Liability: An heir's liability for the estate's debts is limited to the value of the inherited property itself. Your personal assets are generally safe from creditors.
Inventory of Assets and Debts: To claim this benefit, an heir can request an inventory of the estate's assets and liabilities. This helps determine the extent of their financial responsibility.
Mortgage on Inherited Property:
Mortgage Continues: The mortgage on the inherited property remains in effect. The heirs become responsible for making the remaining mortgage payments.
Foreclosure Risk: If the mortgage payments are not fulfilled, the lender has the right to foreclose on the property.
Options for Heirs:
Sell the Property: Heirs can choose to sell the property to settle the mortgage and other debts. After settling the outstanding obligations, the remaining proceeds from the sale can be divided among the heirs according to their inheritance share.
Refinance the Mortgage: Heirs may consider refinancing the mortgage, potentially securing a better interest rate or extending the loan term, making payments more manageable.
Renounce Inheritance: Under certain circumstances, an heir may renounce their inheritance altogether. This avoids any liability associated with the debts. However, this also means giving up any rights to the property itself.
Seeking Legal Counsel:
Navigating inherited property with outstanding debts can be complex. Consulting with a Philippine lawyer specializing in estate law is highly recommended. They can:
Advise on the best course of action based on your specific situation.
Help you navigate the legal processes involved, such as requesting an inventory or dealing with the mortgagee.
Represent your interests and ensure your rights are protected throughout the process.</t>
  </si>
  <si>
    <t>Ano ang mangyayari sa minanang ari-arian kung may mga hindi pa nababayarang utang o pagkakasangla sa ari-arian?</t>
  </si>
  <si>
    <t>How can inherited property be sold, and what legal procedures are involved in the sale process?</t>
  </si>
  <si>
    <t>Inheriting property can be both a fortunate event and a legally intricate one, especially when it comes to selling it. Here's a breakdown of the general process for selling inherited property in the Philippines:
Settlement of Estate:
Agreement Among Heirs: First and foremost, all heirs need to reach a consensus on how the estate, including the property, will be divided. This can be done through a Deed of Extrajudicial Settlement (DES), which allows for distribution without court intervention. A lawyer's guidance is highly recommended here to ensure a legally sound agreement.
Estate Tax Settlement: The estate taxes must be settled with the Bureau of Internal Revenue (BIR) within one year of the decedent's death. This involves filing BIR Form 1801 and securing a Certificate Authorizing Registration (CAR) before the property title can be transferred.
Selling the Property:
Individual or Collective Sale: An heir can only sell their inherited share, not the entire property, unless other heirs agree to sell theirs as well. Ideally, for a smoother sale, all heirs will agree to sell the property collectively.
Legal Documentation: The sale will involve a Deed of Sale outlining the terms and conditions of the transaction. A lawyer can ensure the Deed is comprehensive and legally binding.
Additional Considerations:
Probate vs. Extrajudicial Settlement: If the deceased left a will, it may need to be probated in court, which can be a lengthy process. An extrajudicial settlement, when applicable, is generally faster and less expensive.
Capital Gains Tax: The seller(s) may be liable for capital gains tax on the sale of the property. A lawyer or tax advisor can help determine the tax implications.
Important Note:
This is a simplified overview, and the specific legal procedures may vary depending on your situation. Consulting with a qualified Philippine lawyer is crucial to ensure a smooth and legal sale of your inherited property. They can guide you through the intricacies of your specific case and represent your interests effectively.</t>
  </si>
  <si>
    <t>Paano maibebenta ang minanang ari-arian, at anong mga legal na pamamaraan ang kasangkot sa proseso ng pagbebenta?</t>
  </si>
  <si>
    <t>Can inherited property be jointly owned with other beneficiaries, and what legal considerations apply?</t>
  </si>
  <si>
    <t>In the Philippines, inherited property can indeed be jointly owned with other beneficiaries, but the legal implications depend on how the joint ownership is established. Here's a breakdown of the two main options:
Joint Tenancy with Right of Survivorship:
Automatic Transfer: This form of joint ownership allows the surviving co-owner(s) to automatically inherit the deceased beneficiary's share upon their death. No probate or extrajudicial settlement is typically required for the transfer.
Equal Shares: Unless otherwise specified, joint tenancy assumes equal ownership shares among all co-owners.
Tenancy in Common:
Individual Ownership Shares: Each beneficiary owns a specific, undivided share of the property. These shares can be unequal and can be passed on through a will or intestate succession upon a beneficiary's death.
No Automatic Transfer: The deceased beneficiary's share undergoes the regular inheritance process, requiring a will or extrajudicial settlement for distribution.
Legal Considerations:
Agreement Among Heirs: Regardless of the chosen form of joint ownership, all beneficiaries must agree on the arrangement and clearly document it. A lawyer can help draft a written agreement outlining the ownership percentages, rights, and responsibilities of each co-owner.
Tax Implications: Depending on the relationship between the deceased and the surviving co-owners, inheritance tax may be applicable on the inherited share. A tax advisor can provide guidance on potential tax liabilities.
Management and Disputes: Joint ownership necessitates clear communication and collaboration among co-owners. A written agreement can address how decisions regarding the property will be made and how potential disagreements will be resolved. A lawyer can help draft provisions to minimize future conflicts.
Additional Points:
Existing Mortgages: If the inherited property has an existing mortgage, all co-owners become responsible for the loan payments.
Selling the Property: Selling jointly owned property requires the consent of all co-owners.
Seeking Legal Advice:
While both joint tenancy and tenancy in common are viable options, the most suitable approach depends on your specific situation and the beneficiaries' goals. Consulting with a Philippine lawyer specializing in property and estate law is highly recommended. They can:
Help you choose the most appropriate form of joint ownership based on your needs and objectives.
Draft a clear and legally binding agreement outlining the terms of joint ownership.
Advise on potential tax implications and any other legal considerations.
Help navigate potential complexities and ensure a smooth process for all beneficiaries.</t>
  </si>
  <si>
    <t>Maaari bang pagmamay-ari ang minanang ari-arian sa iba pang mga benepisyaryo, at anong mga legal na pagsasaalang-alang ang naaangkop?</t>
  </si>
  <si>
    <t>What legal options exist for transferring inherited property into a trust for management or tax purposes?</t>
  </si>
  <si>
    <t>In the Philippines, transferring inherited property into a trust for management or tax purposes is a viable option, but there are some legal considerations and limitations to be aware of. Here's a breakdown of the key points:
Types of Trusts:
Philippine law recognizes two main types of trusts relevant to inherited property:
Testamentary Trust: Established through a will by the deceased, outlining the terms of the trust, the property to be transferred, and the beneficiaries. This requires probate of the will before the trust becomes operational.
Deed of Trust: Created during the lifetime of the original owner (settlor) through a legal document. This allows for more flexibility in transferring inherited property after the owner's death.
Tax Benefits:
The potential tax benefits of using a trust in the Philippines are less clear-cut compared to some other jurisdictions. While trusts can offer some asset protection and management advantages, significant tax reduction strategies may be limited.
Legal Considerations:
Compulsory Heirship Rules: Philippine law upholds compulsory heirship rules, which dictate a certain portion of the estate must pass on to legitimate descendants, spouse, and parents. This can limit the flexibility of how much property can be placed in a trust, particularly if there are surviving compulsory heirs.
Tax Implications: The tax implications of using trusts in the Philippines can be complex. It's essential to consult with a lawyer and tax advisor to understand potential income, capital gains, and donor's tax liabilities associated with the trust structure.
Trust Administration: Setting up and managing a trust requires careful planning and ongoing costs. This includes appointing a trustee, drafting trust documents, and potentially dealing with trust accounting and legal fees.
Seeking Legal Counsel:
Considering the complexities involved, consulting with a qualified Philippine lawyer specializing in trusts and estate planning is crucial. They can:
Analyze your specific situation and advise on the most suitable type of trust for your goals.
Draft legally sound trust documents that comply with Philippine law and compulsory heirship rules.
Explain the potential tax implications of using a trust and help you navigate any tax planning strategies.
Guide you through the trust creation and administration process.
Additional Points:
Alternatives to Trusts: Depending on your objectives, alternative options like co-ownership structures or joint tenancy with right of survivorship might be worth exploring with your lawyer.
Professional Trustee: Consider the benefits of appointing a professional trustee, such as a bank trust department, to manage the trust's assets objectively and according to the trust terms.
Remember: While trusts can be a valuable tool for managing inherited property, navigating the legalities and maximizing potential benefits requires careful planning and professional guidance.</t>
  </si>
  <si>
    <t>Anong mga legal na opsyon ang umiiral para sa paglilipat ng minanang ari-arian sa isang trust para sa pamamahala o mga layunin ng buwis?</t>
  </si>
  <si>
    <t>How are disputes among heirs regarding the distribution of inherited property resolved under the law?</t>
  </si>
  <si>
    <t>In the Philippines, disputes among heirs concerning the distribution of inherited property can be resolved through several avenues, depending on the severity and complexity of the disagreement. Here's an outline of the common approaches:
1. Amicable Settlement:
Open Communication: This is always the preferred approach. Heirs can attempt to reach a mutual agreement through open communication and negotiation. This might involve compromise on the division of assets or the sale of the property and sharing the proceeds.
2. Extrajudicial Settlement:
Faster and Less Expensive: If an amicable agreement is reached, an extrajudicial settlement (EJS) can be formalized. This is a document outlining the agreed-upon distribution of the estate, signed by all heirs. It's generally faster and less expensive than court proceedings. A lawyer can assist in drafting a legally sound EJS.
3. Mediation:
Neutral Third Party: If communication breaks down, mediation can be a helpful option. A neutral third party, a mediator, facilitates discussion and helps heirs find a solution acceptable to all parties.
4. Ordinary Action for Partition:
Court Intervention: When an amicable settlement or mediation fails, heirs can file an ordinary action for partition with the court. This involves a formal legal process where the court determines the rightful distribution of the estate based on Philippine inheritance laws.
Factors Affecting Resolution:
Presence of a Will: A valid will can provide clear instructions on property distribution, potentially streamlining the process. However, disputes can still arise regarding the interpretation of the will.
Compulsory Heirship: Philippine law mandates a certain portion of the estate goes to compulsory heirs (spouse, legitimate descendants, parents). Disputes can arise if the deceased attempted to disinherit a compulsory heir through a will.
Complexity of Estate: The number of heirs, the value and type of assets involved, and any existing debts on the estate can all influence the complexity of the dispute resolution process.
Seeking Legal Counsel:
Consulting with a Philippine lawyer specializing in estate law is highly recommended when dealing with disputes among heirs. They can:
Advise on the most suitable approach for resolving the dispute based on your specific situation.
Represent your interests in mediation or court proceedings.
Fight for your rightful share of the inheritance according to Philippine law.
Help negotiate a fair and amicable settlement if possible.
Remember, legal disputes can be stressful and time-consuming. Exploring options for collaborative solutions like mediation or seeking professional legal guidance can lead to a more efficient and less acrimonious resolution for all parties involved.</t>
  </si>
  <si>
    <t>Paano nareresolba ang mga hindi pagkakaunawaan sa pagitan ng mga tagapagmana hinggil sa pamamahagi ng minanang ari-arian sa ilalim ng batas?</t>
  </si>
  <si>
    <t>Are there any legal implications for inheriting property located in a different state or country?</t>
  </si>
  <si>
    <t>Absolutely, inheriting property located in a different state or country introduces additional legal complexities compared to inheriting within the Philippines. Here's a breakdown of some key implications:
Jurisdiction and Applicable Law:
Lex Situs (Law of the Location): Generally, the inheritance of property is governed by the laws of the state or country where the property is located (lex situs). This means Philippine inheritance law might not apply.
Probate vs. Extrajudicial Settlement:
Different Processes: The process for settling the estate and distributing the property will likely differ from the Philippines. Probate court in the foreign jurisdiction might be necessary, which can be time-consuming and expensive.
Taxes:
Multiple Tax Burdens: You might encounter inheritance taxes in both the Philippines (on your worldwide estate) and the foreign jurisdiction where the property is located. Tax treaties between countries can sometimes help reduce double taxation.
Foreign Currency and Exchange Rates:
Fluctuations and Costs: The value of the inherited property can be affected by fluctuations in foreign currency exchange rates. There might also be additional costs associated with converting foreign currency.
Local Legal and Administrative Requirements:
Dealing with Foreign Authorities: You might need to navigate unfamiliar legal and administrative procedures in the foreign country. This could involve dealing with local courts, tax authorities, or property registries.
Additional Considerations:
Complexity of Estate: The more complex the estate (multiple properties, various beneficiaries), the more challenging it can be to manage the inheritance process across borders.
Language Barriers: Communication and understanding legal documents in a foreign language can create difficulties.
Seeking Professional Help:
Due to the complexities involved, seeking professional guidance is crucial:
Philippine Lawyer: A lawyer familiar with Philippine inheritance law can advise you on your obligations and potential tax implications in the Philippines.
Foreign Lawyer: Consulting a lawyer specializing in inheritance law in the country where the property is located is highly recommended. They can guide you through the local legal process, taxes, and any administrative requirements.
Remember, inheriting foreign property can be a rewarding experience, but proper legal planning and professional help are essential to navigate the legalities and maximize your benefits.</t>
  </si>
  <si>
    <t>Mayroon bang anumang legal na implikasyon para sa pagmamana ng ari-arian na matatagpuan sa ibang estado o bansa?</t>
  </si>
  <si>
    <t>What are the legal responsibilities of heirs regarding the maintenance and upkeep of inherited property?</t>
  </si>
  <si>
    <t>In the Philippines, the legal responsibilities of heirs regarding inherited property maintenance and upkeep depend on a few key factors:
Type of Ownership:
Individual Ownership: If an heir inherits the property solely, the responsibility for maintenance and upkeep falls entirely on them. They have the right to use and enjoy the property but also the obligation to maintain it in good condition.
Joint Ownership: When heirs inherit the property jointly (co-ownership), the responsibilities are shared. Ideally, co-owners should reach an agreement on how maintenance costs will be divided and who will handle upkeep tasks.
Undivided Property:
If the property remains undivided after inheritance (meaning no formal partition has occurred), the situation becomes a bit more complex:
Proactive Maintenance: While there's no clear legal obligation for each heir to contribute towards upkeep, neglecting the property and causing damage could lead to legal disputes among heirs.
Burden of Proof: If one heir takes initiative to maintain the property and seeks reimbursement from others, they'll need to prove the necessity of the repairs and the fairness of the cost-sharing.
Specific Situations:
Tenants: If the property has existing tenants, the responsibility for maintenance might shift partially or entirely to the tenant depending on the terms of the lease agreement.
Foreclosure Risk: Neglecting to pay property taxes or mortgage payments could lead to foreclosure, impacting all heirs.
General Legal Principles:
Good Faith: Heirs are expected to act in good faith regarding the inherited property. This includes taking reasonable steps to prevent its deterioration.
Preservation of Value: Heirs have a certain interest in preserving the value of their inheritance. Proper maintenance helps ensure the property remains in good condition.
Disclaimer: This is a simplified overview, and specific legal nuances might exist depending on the situation.
Recommendations:
Communication and Agreements: Open communication and clear agreements among heirs, especially regarding co-owned property, can help avoid future disputes about maintenance responsibilities.
Legal Consultation: Consulting a lawyer specializing in property law can provide more specific guidance based on your situation and the type of inherited property. They can clarify your legal obligations and any potential risks associated with neglecting maintenance.</t>
  </si>
  <si>
    <t>Ano ang mga legal na responsibilidad ng mga tagapagmana tungkol sa pagpapanatili at pangangalaga ng minanang ari-arian?</t>
  </si>
  <si>
    <t>How does inheritance law address properties subject to environmental regulations or restrictions?</t>
  </si>
  <si>
    <t>Inheritance law in the Philippines interacts with environmental regulations in a few key ways when it comes to inherited property:
Disclosure Requirements:
Heir's Right to Know: Heirs have the right to be informed about any environmental issues or restrictions associated with the property they are inheriting. This could include:
Zoning restrictions due to environmental sensitivity.
Presence of hazardous materials or contamination.
Ongoing environmental cleanup orders.
Any outstanding fines or penalties related to environmental violations.
Potential Liabilities:
"Polluter Pays" Principle: The Philippines adheres to the "polluter pays" principle, which can hold heirs liable for environmental problems caused by the property, even if they weren't the ones who caused the issue. This can be particularly relevant for properties with pre-existing contamination.
Compliance Obligations:
Continuing Responsibility: Heirs might inherit the responsibility to comply with existing environmental regulations or ongoing cleanup orders. This could involve:
Obtaining necessary permits for operating certain types of businesses on the property.
Implementing specific pollution control measures.
Continuing any ongoing environmental remediation efforts.
Impact on Inheritance Value:
Reduced Value: Properties with environmental issues or restrictions can have a significantly lower market value compared to similar properties without such burdens. This can affect the overall value of the inheritance for all heirs.
Legal Considerations:
Due Diligence: Before accepting an inheritance, especially property with potential environmental concerns, it's crucial for heirs to conduct thorough due diligence. This might involve:
Environmental site assessments to identify potential contamination.
Reviewing zoning regulations and restrictions.
Consulting with a lawyer specializing in environmental law.
Disclaimer: Environmental regulations and their implications on inheritance can be complex and situation-specific.
Recommendations:
Professional Guidance: Heirs inheriting property with potential environmental issues are strongly advised to seek legal counsel from a lawyer specializing in both environmental and inheritance law. They can:
Advise on potential liabilities and compliance obligations.
Help navigate the legalities of dealing with environmental restrictions.
Guide you in making informed decisions about accepting or managing the inheritance.
Understanding these interactions between inheritance law and environmental regulations can help heirs make informed decisions and protect themselves from unforeseen liabilities or financial burdens associated with inherited property.</t>
  </si>
  <si>
    <t>Paano tinutugunan ng batas ng mana ang mga ari-arian na napapailalim sa mga regulasyon o paghihigpit sa kapaligiran?</t>
  </si>
  <si>
    <t>What legal rights and obligations do heirs have if the inherited property includes existing rental agreements or tenants?</t>
  </si>
  <si>
    <t>Inheriting property with existing rental agreements or tenants comes with a specific set of legal rights and obligations for heirs under Philippine law. Here's a breakdown of the key points:
Heirs' Rights:
Become the New Landlord: Upon inheriting the property, the heirs collectively become the new landlords, inheriting the rights and obligations outlined in the existing lease agreements with the tenants.
Review Lease Agreements: Heirs have the right to review the existing lease agreements to understand the terms and conditions, including:
Rent amount and payment schedule.
Length of the lease term.
Tenant's rights and responsibilities regarding maintenance and repairs.
Provisions for lease termination.
Obligations Towards Tenants:
Respect Existing Agreements: Heirs are generally bound to honor the existing lease agreements with the tenants. This means upholding the agreed-upon rent, maintaining the property according to the lease terms, and respecting the tenants' right to peaceful enjoyment of the property.
Communication with Tenants: Heirs should establish clear communication channels with the tenants. This might involve informing them about the change in ownership and outlining any potential modifications to the lease agreements upon renewal.
Options for Heirs:
Continue Existing Agreements: If the heirs are comfortable with the current terms, they can simply continue with the existing lease agreements until their natural expiration.
Renegotiate Terms: Heirs can initiate discussions with the tenants to renegotiate the rent or other lease terms upon renewal. However, this must be done within the legal framework outlined in the existing lease agreement and Philippine rental laws.
Terminate Lease Upon Renewal: Under certain circumstances, and depending on the specific lease terms, heirs might have the right to terminate the lease upon its natural expiration and seek new tenants. However, proper notice periods and adherence to Philippine rental laws are crucial.
Legal Considerations:
Rent Control Laws: Philippine law, particularly in urban areas, might have rent control regulations that limit how much rent heirs can increase upon lease renewal.
Security Deposits: Heirs are responsible for safeguarding any security deposits received from the tenants by the previous owner.
Eviction Process: If eviction becomes necessary, heirs must follow the legal eviction process outlined in Philippine law. Consulting a lawyer can ensure a smooth and legal eviction process.
Recommendations:
Seek Legal Advice: Consulting a lawyer specializing in rental law is highly recommended. They can:
Review existing lease agreements and advise on your rights and obligations.
Guide you through potential changes to the lease agreements or the eviction process.
Ensure you comply with relevant Philippine rental laws.
By understanding their legal rights and obligations regarding existing tenants, heirs can navigate the inheritance process smoothly and ensure a positive experience for both themselves and the tenants residing in the property.</t>
  </si>
  <si>
    <t>Anong mga legal na karapatan at obligasyon ang mayroon ang mga tagapagmana kung kasama sa minanang ari-arian ang mga umiiral na kasunduan sa pag-upa o nangungupahan?</t>
  </si>
  <si>
    <t>Can inherited property be subject to homeowners' association rules or fees, and how are these managed?</t>
  </si>
  <si>
    <t>Yes, inherited property located in a development with a homeowners' association (HOA) can absolutely be subject to HOA rules and fees. Here's how it works:
HOA Membership Transfers with Ownership:
Binding Agreement: When you inherit a property within an HOA community, you inherit the responsibility to abide by the HOA's rules and regulations, outlined in the HOA's Covenants, Conditions, and Restrictions (CC&amp;Rs). These rules govern everything from property maintenance to noise restrictions.
Automatic Membership: Membership in the HOA typically transfers automatically with the transfer of ownership. You become a member upon inheriting the property.
HOA Fees and Assessments:
Financial Obligations: Heirs become responsible for paying HOA fees and any special assessments levied by the association. These fees cover the cost of maintaining common areas, amenities, and administrative expenses of the HOA.
Timely Payment: Just like any homeowner, late payments to the HOA can result in fines or even legal action.
Responsibilities of Heirs:
Understanding the CC&amp;Rs: Familiarize yourself with the HOA's CC&amp;Rs to understand the specific rules and regulations you must comply with.
Communication with HOA: Maintain open communication with the HOA regarding any changes in ownership or occupancy of the property.
Compliance with Rules: Ensure the inherited property adheres to the HOA's regulations regarding maintenance, modifications, or parking restrictions.
Options for Heirs:
Selling the Property: If the HOA fees or rules are not a good fit, heirs can choose to sell the property. However, any outstanding HOA dues must be settled before the sale can be finalized.
Important Considerations:
Disclosure During Sale: If you decide to sell the inherited property, you are obligated to disclose the existence of an HOA and its associated fees to potential buyers.
Recommendations:
Contact the HOA: Upon inheriting the property, proactively contact the HOA to introduce yourself as the new owner and inquire about any outstanding fees or upcoming assessments.
Review the CC&amp;Rs: Carefully review the HOA's CC&amp;Rs to understand your rights and responsibilities as a homeowner within the community.
Seek Legal Advice: If you have any questions or concerns regarding the HOA's rules or fees, consulting a lawyer specializing in real estate law can be beneficial.
Remember, inheriting property within an HOA community comes with both benefits (maintained common areas, amenities) and responsibilities (adherence to rules, payment of fees). Understanding these expectations can ensure a smooth transition for you and a positive experience within the HOA community.</t>
  </si>
  <si>
    <t>Maaari bang sumailalim ang minanang ari-arian sa mga tuntunin o bayad sa asosasyon ng mga may-ari ng bahay, at paano ito pinamamahalaan?</t>
  </si>
  <si>
    <t>How does inheritance law address properties with existing land-use permits or entitlements?</t>
  </si>
  <si>
    <t>In the Philippines, inheritance law generally doesn't directly address how land-use permits or entitlements transfer with inherited property. However, there are some key points to consider:
Permits Attached to the Land:
Real Property Right: Land-use permits and entitlements are typically seen as rights attached to the real property itself, not necessarily the owner. So, upon inheritance, these permits and entitlements generally transfer along with the property to the heirs.
Renewal or Transfer Considerations:
Specific Conditions: While the permits or entitlements might transfer, there could be specific conditions attached to their renewal or transfer upon ownership change. These conditions could be outlined in:
Local government ordinances related to zoning and land use.
The original permit or entitlement documents issued by the government agency.
Potential Limitations:
Non-Transferable Permits: In some cases, certain land-use permits might not be automatically transferable to new owners. This could be due to the specific nature of the permit or the intended use of the property.
Compliance Requirements: Heirs might need to demonstrate compliance with specific requirements outlined in the permit or zoning regulations to retain the existing land-use rights.
Role of Heirs:
Verification and Due Diligence: Heirs should conduct due diligence to verify the types of land-use permits or entitlements associated with the inherited property. This might involve:
Reviewing the original permit documents.
Consulting with the relevant government agency responsible for issuing the permits.
Legal Considerations:
Zoning Regulations: Philippine zoning regulations can be complex and vary depending on the location. A lawyer specializing in land-use law can provide guidance on the specific zoning regulations applicable to the inherited property and any potential limitations on existing permits.
Future Development Plans: If the heirs plan to develop the property in a way that deviates from the existing land-use permits, they might need to apply for new permits or seek modifications to the existing ones. Navigating this process can involve legal expertise.
Recommendations:
Seek Professional Advice: Consulting a lawyer with expertise in land-use and real estate law is highly recommended. They can:
Analyze the specific land-use permits or entitlements attached to the property.
Advise on any potential limitations or renewal requirements.
Guide you through the process of securing necessary permits if future development plans differ from the existing entitlements.
By understanding how inheritance law interacts with land-use permits and entitlements, heirs can make informed decisions about managing and potentially developing the inherited property.</t>
  </si>
  <si>
    <t>Paano tinutugunan ng batas ng mana ang mga ari-arian na may mga umiiral na permit o karapatan sa paggamit ng lupa?</t>
  </si>
  <si>
    <t>What legal options exist for heirs who wish to donate their inherited property to charitable organizations or causes?</t>
  </si>
  <si>
    <t>In the Philippines, heirs have several legal options for donating their inherited property to charitable organizations or causes. Here's a breakdown of the key approaches:
Direct Donation:
Simple and Straightforward: This involves transferring ownership of the property directly to the chosen charitable organization through a Deed of Donation. A lawyer can help ensure the Deed is legally sound and outlines the terms of the donation (unconditional or with specific restrictions).
Sale and Donation of Proceeds:
Monetization Option: Heirs can choose to sell the inherited property and then donate the proceeds from the sale to the charity of their choice. This approach can be beneficial if the property is difficult to manage or the charity can utilize the funds more effectively.
Donating a Share of Ownership:
Partial Donation: If the property is co-owned by multiple heirs, one or more heirs can choose to donate their individual share of ownership to the charity. Legal agreements outlining the donation and any remaining ownership rights are crucial.
Establishing a Trust:
Structured Donation: Heirs can set up a trust with the inherited property as the main asset. The trust can be designed to:
Distribute a portion of the income generated by the property to the charity over time.
Donate the entire property (or remaining assets) to the charity upon specific conditions or after a set period.
Tax Considerations:
Potential Tax Benefits: Donating property to qualified charitable organizations might offer some tax benefits in the Philippines. However, it's crucial to consult with a tax advisor to understand the specific tax implications and eligibility requirements.
Recommendations:
Consult a Lawyer: Regardless of the chosen donation method, seeking legal advice from a lawyer specializing in property and estate law is highly recommended.
They can assist with drafting the necessary legal documents (Deed of Donation, trust agreements).
Ensure the donation process complies with Philippine law and maximizes any potential tax benefits.
Contact the Charity: Establish communication with the chosen charitable organization to ensure they can accept the donation and understand any specific requirements they might have.
Additional Considerations:
Clarity of Purpose: Clearly define the purpose of the donation and any restrictions you wish to impose (specific programs or causes the charity should use the funds for).
Due Diligence: Research the charitable organization to ensure their legitimacy and alignment with your values.
By exploring the legal options and seeking professional guidance, heirs can fulfill their philanthropic goals and contribute to worthy causes while navigating the legalities of donating inherited property in the Philippines.</t>
  </si>
  <si>
    <t>Anong mga legal na opsyon ang umiiral para sa mga tagapagmana na gustong mag-abuloy ng kanilang minanang ari-arian sa mga organisasyon o adhikain ng kawanggawa?</t>
  </si>
  <si>
    <t>How are inheritances taxed, and what tax implications should heirs consider when inheriting property?</t>
  </si>
  <si>
    <t>Inheritance taxes in the Philippines have undergone significant changes in recent years. Here's a breakdown of the current tax implications heirs should consider:
Estate Tax vs. Inheritance Tax:
Unified Estate Tax: As of 2018, the Philippines implements a unified estate tax system. This means the entire net estate of the deceased, regardless of the number of heirs, is subject to a single tax rate.
Tax Rate:
Simplified Structure: The current estate tax rate is a flat 6% on the net estate value exceeding Php 5,000,000 (around $91,000 USD as of March 5, 2024).
Taxable Estate:
Net Estate Calculation: The tax is calculated on the net estate value, which is the fair market value of all the deceased's assets minus allowable deductions such as debts, funeral expenses, and medical expenses.
Tax Payment Responsibility:
Executors or Administrators: The responsibility for filing the estate tax return and paying the tax falls on the executor or administrator of the estate appointed by the court. If there's no appointed executor, any person in actual or constructive possession of the deceased's property becomes responsible.
Tax Implications for Heirs:
Indirect Impact: While heirs themselves don't directly pay inheritance tax, the estate tax might affect the amount they ultimately inherit. The tax liability is settled before the estate is distributed, so a larger tax burden can reduce the net amount received by each heir.
Additional Considerations:
Tax Amnesty Programs: The Philippines may offer tax amnesty programs from time to time, allowing heirs to settle outstanding estate taxes with reduced penalties or interest. It's advisable to stay updated on any such programs.
Donated Assets: Property donated to qualified charitable organizations might be exempt from estate tax, potentially reducing the overall tax burden. Consulting a tax advisor can clarify eligibility requirements.
Foreign Assets: If the deceased owned property located abroad, additional inheritance or estate taxes might be applicable in that specific country.
Recommendations:
Consult a Tax Advisor: Seeking guidance from a tax advisor specializing in estate tax is highly recommended. They can:
Calculate the potential estate tax liability based on the specific circumstances of the inheritance.
Advise on strategies to minimize the tax burden, if applicable.
Guide the executor or administrator through the estate tax filing and payment process.
By understanding the current tax regime and seeking professional advice, heirs can navigate the inheritance process with a clearer picture of their potential tax obligations and maximize the value they receive from their inheritance.</t>
  </si>
  <si>
    <t>Paano binubuwisan ang mga mana, at anong mga implikasyon sa buwis ang dapat isaalang-alang ng mga tagapagmana kapag nagmamana ng ari-arian?</t>
  </si>
  <si>
    <t>What are the legal steps involved in transferring inherited property to beneficiaries?</t>
  </si>
  <si>
    <t>The legal steps involved in transferring inherited property to beneficiaries in the Philippines depend on whether the deceased left a will or not. Here's a breakdown of the two main scenarios:
Scenario 1: With a Will (Testate Succession)
Probate of the Will:
The appointed executor named in the will files a petition with the court to have the will probated. This verifies the will's authenticity and validity.
Settlement of Estate Taxes:
The executor calculates the estate tax based on the net estate value (all assets minus deductions).
An estate tax return is filed with the Bureau of Internal Revenue (BIR) and the tax is paid.
A Certificate Authorizing Registration (CAR) is obtained from the BIR after tax clearance.
Extrajudicial Settlement of Estate (EJS) (Optional):
If the estate is not complex and all heirs agree on the distribution, an EJS can be prepared by a lawyer. This is a notarized document outlining the distribution of assets among beneficiaries as per the will.
Transfer of Property Titles:
With the will, probate order, and CAR (if applicable), the executor can approach the Registry of Deeds to transfer the titles of inherited properties to the names of the beneficiaries as outlined in the will.
Scenario 2: No Will (Intestate Succession)
Declaration of Heirs:
If there's no will, heirs need to file a petition with the court for a Declaration of Heirs. This legal process establishes the identity and legal entitlement of each heir according to Philippine intestate succession laws.
Extrajudicial Settlement of Estate (EJS):
Similar to the process with a will, once heirs are established, an EJS can be prepared by a lawyer outlining the agreed-upon distribution of assets among the heirs.
Settlement of Estate Taxes:
The same process for calculating, filing, and paying estate tax applies, followed by obtaining the CAR from the BIR.
Transfer of Property Titles:
With the Declaration of Heirs, EJS, and CAR (if applicable), heirs can proceed to the Registry of Deeds to transfer the titles of inherited properties to their respective names.
Additional Considerations:
Timeframe: The entire process can take several months, depending on the complexity of the estate, court proceedings, and workload at government agencies.
Legal Representation: Consulting a lawyer specializing in estate law is highly recommended. They can guide you through the legal steps, handle paperwork, and ensure compliance with all legal requirements.
Communication and Agreements: Open communication and clear agreements among heirs are crucial, especially for scenarios without a will, to avoid disputes during the distribution process.
Disclaimer: This is a simplified overview, and specific procedures or additional requirements might exist depending on the situation.</t>
  </si>
  <si>
    <t>Ano ang mga legal na hakbang na kasangkot sa paglilipat ng minanang ari-arian sa mga benepisyaryo?</t>
  </si>
  <si>
    <t>Can a will be contested, and under what circumstances can heirs challenge the distribution of inherited property?</t>
  </si>
  <si>
    <t>Yes, a will can be contested in the Philippines under certain circumstances. Here's what the law says based on the Rules of Court and the Civil Code:
**Grounds for Contesting a Will:**
Heirs can challenge a will if they believe it is invalid due to:
* **Formal Defects:** The will was not executed following the proper legal formalities as outlined in the Rules of Court (Rule 74, Section 2). This includes requirements like having a certain number of witnesses and being signed by the testator in their presence. * **Testator's Capacity:** The testator (person who wrote the will) lacked testamentary capacity at the time of writing. This means they were not of sound mind or did not understand the consequences of their actions (Article 832 of the Civil Code).
* **Undue Influence or Duress:** The testator was pressured or forced into making the will through coercion or manipulation (Article 831 of the Civil Code).
**Who Can Contest a Will:**
* **Disinherited Heirs:** If the will leaves out a forced heir (such as a spouse, legitimate children, or parents), they have the right to contest the will to claim their rightful share of the inheritance (Article 878 of the Civil Code).
* **Beneficiaries Who Believe They Received Less Than They Deserve:** While not as common, beneficiaries named in the will can also contest it if they believe they were not allocated their rightful share as stipulated in a previous will or codicil.
**Process of Contesting a Will:**
* **Filing a Petition:** The heir challenging the will must file a petition with the court where the will is being probated (the legal process of proving the validity of a will). The petition should outline the grounds for contesting the will.
* **Court Hearing:** A court hearing will be held to hear arguments from both sides. Witnesses may be called to testify. * **Court Decision:** The court will then issue a decision on the validity of the will. **Important to Note:**
* The burden of proof lies with the person contesting the will. They must present convincing evidence to support their claim.
* Contesting a will can be a lengthy and expensive process. It's advisable to consult with a lawyer before taking any legal action.
**Additional Considerations:**
* **Time Limit for Contesting a Will:** There is a time limit for contesting a will in the Philippines. Generally, an heir has three (3) months from the date they learned of the will's existence to file a petition (Rule 74, Section 5 of the Rules of Court).
By understanding these legal grounds and procedures, heirs can determine if they have a valid case for contesting a will in the Philippines. It's important to remember that this information cannot be substituted for legal advice. Consulting with a qualified lawyer is crucial for navigating the complexities of will contests and protecting your inheritance rights.</t>
  </si>
  <si>
    <t>Maaari bang labanan ang isang testamento, at sa ilalim ng anong mga pangyayari maaaring hamunin ng mga tagapagmana ang pamamahagi ng minanang ari-arian?</t>
  </si>
  <si>
    <t>How does the law handle the inheritance of property with outstanding debts or mortgages?</t>
  </si>
  <si>
    <t>In the Philippines, the inheritance of property with outstanding debts or mortgages is addressed by the Civil Code. Here's a breakdown of the key points:
* **Heirs inherit both assets and liabilities:** Under Article 774 of the Civil Code, heirs succeed not only to the rights of the deceased but also to their obligations. This means that when someone inherits property, they also inherit any outstanding debts or mortgages associated with that property.
* **Heirs are not liable beyond the value of the inheritance:** Article 1003 of the Civil Code provides some protection for heirs. An heir's responsibility for the debts of the deceased is limited to the value of the property they inherit. They cannot be held personally liable for any remaining debt.
**Options for Heirs:**
* **Accept the inheritance with benefit of inventory (BPI):** This option allows the heir to separate their personal assets from those of the estate. They will only be liable for the debts of the deceased to the extent of the value of the inherited property (Article 1003). However, BPI requires a more complex legal process.
* **Renounce the inheritance:** Heirs can choose to forego their inheritance altogether (Article 885). This relieves them of any responsibility for the deceased's debts.
* **Accept the inheritance purely and simply:** This is the simplest option, but it comes with the most risk. The heir becomes fully responsible for all debts and obligations associated with the property, even if they exceed the value of the inheritance (Article 1003).
**Important to Note:**
* Consulting a lawyer is highly recommended. A lawyer can advise heirs on the best course of action based on the specific circumstances of the inheritance, including the value of the property, the amount of outstanding debt, and the heirs' financial situation.
* Deadlines might apply for accepting or renouncing an inheritance. It's crucial to act within the legal timeframe.
By understanding these legal principles, heirs can make informed decisions about inheriting property with outstanding debts or mortgages in the Philippines. Remember, this information cannot be considered legal advice. Consulting with a qualified lawyer is crucial for navigating the legalities of inheritance and protecting your rights.</t>
  </si>
  <si>
    <t>Paano pinangangasiwaan ng batas ang pagmamana ng ari-arian na may mga hindi pa nababayarang utang o sangla?</t>
  </si>
  <si>
    <t>What legal procedures are involved in selling inherited property, and how are the proceeds distributed among heirs?</t>
  </si>
  <si>
    <t>In the Philippines, selling inherited property involves following specific legal procedures to ensure a smooth and legal transaction. Here's a breakdown of the key steps and how proceeds are distributed:
**Before the Sale:**
1. **Settle the Estate:** You cannot sell inherited property until the deceased's estate is settled. This involves:
* **Securing a Death Certificate:** Obtain a certified copy from the local civil registry or the Philippine Statistics Authority (PSA). * **Probate of Will or Declaration of Heirs:** If a will exists, it needs to be probated in court to verify its validity. If there's no will, a court-issued Declaration of Heirs is required to determine legal heirs (Rules of Court). A lawyer can assist with this process.
* **Payment of Estate Taxes:** Calculate and pay estate taxes based on the property's value at the time of death. File the Estate Tax Return (BIR Form 1801) with the Bureau of Internal Revenue (BIR) within one year to avoid penalties (Tax Code).
* **Agreement Among Heirs:** All heirs with legal rights to the property must agree on its sale and how to distribute the proceeds. This agreement can be formalized through an Extrajudicial Settlement of Estate (EJS) if there's no disagreement, or a Judicial Settlement if there's a dispute (Rule 74 of the Rules of Court).
2. **Estate Tax Clearance:** Once estate taxes are settled, obtain a Certificate Authorizing Registration (CAR) from the BIR. This acts as clearance to proceed with the transfer of the property title.
**Selling the Property:**
1. **Engage a Lawyer:** A lawyer can help draft the Deed of Sale, ensuring it adheres to legal requirements and protects the interests of all parties involved.
2. **Marketing and Negotiations:** Find a buyer and negotiate the selling price.
**After the Sale:**
1. **Registration of Sale:** Present the necessary documents to the Register of Deeds, including:
* Deed of Extrajudicial Settlement (or Judicial Settlement)
* Deed of Sale
* Owner's duplicate of the property title
* Affidavit and Certification of Publication from a newspaper
* CAR
* Estate tax clearance
* Real estate tax clearance
* Certified copy of tax declaration
* Any other documents requested by the Register of Deeds
2. **Distribution of Proceeds:** Once the sale is registered and the transfer of ownership is complete, the proceeds are distributed among the heirs according to the agreed-upon terms in the EJS or Judicial Settlement. This could be an equal share for all heirs, or a specific percentage based on the will or agreement.
**Important Considerations:**
* Heirs are responsible for any capital gains tax arising from the sale. * Consulting a lawyer throughout the process is highly recommended to ensure legal compliance and avoid complications.
By following these legal procedures, heirs can successfully sell inherited property and distribute the proceeds fairly among themselves. Remember, this information cannot be considered legal advice. Consulting with a qualified lawyer is crucial for navigating the legalities of selling inherited property and protecting your rights.</t>
  </si>
  <si>
    <t>Anong mga legal na pamamaraan ang nasasangkot sa pagbebenta ng minanang ari-arian, at paano ibinabahagi ang mga nalikom sa mga tagapagmana?</t>
  </si>
  <si>
    <t>Can inherited property be jointly owned with other beneficiaries, and what legal considerations apply in such cases?</t>
  </si>
  <si>
    <t>In the Philippines, inherited property can be jointly owned with other beneficiaries, but there are legal considerations and ways to achieve this depending on your desired outcome. Here's a breakdown of the options and their legal implications:
**1. Co-ownership through Partition:**
* **Process:** Heirs can petition the court for a partition of the inherited property. This legal process divides the property into individual titles based on the rightful shares of each heir as determined by a will or intestacy laws (if there's no will). * **Legal Considerations:** Once partitioned, each heir receives a separate title, allowing them to sell or manage their portion independently. This option severs the joint ownership.
**2. Co-ownership through Indivisible Condominiums:**
* **Process:** If the property is deemed indivisible (e.g., a single house), heirs can agree to co-own it as an indivisible condominium. This requires a formal Deed of Co-ownership outlining the ownership percentage and management rights of each heir. * **Legal Considerations:** This option allows for joint ownership and management responsibilities as outlined in the Deed. However, selling the entire property requires the consent of all co-owners. **3. Co-ownership through a Trust:**
* **Process:** Heirs can establish a trust where the property is held by a trustee for the benefit of all beneficiaries. This involves a Trust Agreement outlining the terms of ownership, management, and distribution of benefits (income or eventual sale proceeds).
* **Legal Considerations:** Trusts offer flexibility in managing the property and distributing benefits according to the settlor's (person who creates the trust) wishes. However, setting up and administering a trust can be complex and involve legal fees.
**Important Considerations:**
* Regardless of the chosen method, a lawyer is crucial to ensure the agreement is legally sound and protects the interests of all co-owners. * Clear communication and a written agreement outlining co-ownership rights and responsibilities are essential to avoid future disputes.
* Tax implications might apply depending on the chosen method of co-ownership. Consulting a tax professional is recommended.
**Alternative:**
* **Selling the Property and Dividing Proceeds:** If co-ownership is not desirable, heirs can choose to sell the property and distribute the proceeds according to their inheritance shares. This can be a simpler option but might not be suitable if all heirs want to retain a stake in the property.
**Choosing the Right Option:**
The best approach depends on your specific situation, the type of property, and the long-term goals of the heirs. Carefully consider your desired level of control, management responsibilities, and future plans for the property before deciding on a co-ownership method. Consulting a lawyer and, potentially, a tax professional, can help you navigate the legalities and choose the most suitable option for your situation.</t>
  </si>
  <si>
    <t>Maari bang pagmamay-ari ang minanang ari-arian sa iba pang mga benepisyaryo, at anong mga legal na pagsasaalang-alang ang nalalapat sa mga ganitong kaso?</t>
  </si>
  <si>
    <t>In the Philippines, there are two main legal mechanisms for transferring inherited property to a trust for long-term management:
**1. Deed of Trust and Extrajudicial Settlement of Estate (ESE):**
* **Process:**
* **Create a Trust Agreement:** This document outlines the terms of the trust, including the purpose, the assets transferred (inherited property), the beneficiaries, and the powers and duties of the trustee. A lawyer can help draft a legally sound Trust Agreement.
* **Obtain an Extrajudicial Settlement of Estate (ESE):** If all heirs agree on the creation of the trust and distribution of assets, an ESE can be used to formally transfer the inherited property to the trustee. This avoids the need for court proceedings (Rule 74 of the Rules of Court).
* **Register the Deed of Trust:** Once signed by the grantor (s) and trustee, the Deed of Trust needs to be registered with the Register of Deeds for public record.
* **Advantages:** * This is a relatively simple and cost-effective option if all heirs are in agreement.
* An ESE can expedite the transfer process compared to court proceedings.
**2. Deed of Trust and Judicial Settlement of Estate:**
* **Process:**
* Follow steps 1a and 1c from the Deed of Trust and ESE method (creating a Trust Agreement and registering the Deed of Trust). * **File a Petition for Judicial Settlement:** If there's any disagreement among heirs on the creation of the trust or distribution of assets, a petition for Judicial Settlement needs to be filed with the court. The court will then decide on the validity of the trust and oversee the property transfer (Rule 74 of the Rules of Court).
* **Advantages:**
* This method provides court oversight and can be helpful if there are disputes among heirs.
* It offers a more formal and secure way to establish the trust, especially for valuable properties.
**Important Considerations:**
* Regardless of the method chosen, consulting with a lawyer is crucial to ensure the Trust Agreement is legally sound and complies with Philippine trust laws. * The lawyer can also advise on any tax implications associated with transferring property to a trust.
* Heirs named as beneficiaries in the trust should be informed of their rights and the terms of the trust.
**Additional Option:**
* **Will with Testamentary Trust:** If there's no existing will, the deceased could have created a will establishing a testamentary trust. This will specifies the property to be transferred to the trust upon the testator's death. The will then goes through probate, and the property is transferred to the trust as outlined in the will. **Choosing the Right Method:**
The most suitable method depends on the complexity of the situation. If there's full agreement among heirs, the Deed of Trust and ESE route is simpler and faster. However, if there are disagreements or the property is highly valuable, a Judicial Settlement with court oversight might be preferable. Consulting with a lawyer can help you determine the best approach for your specific circumstances.</t>
  </si>
  <si>
    <t>How are disputes among heirs regarding the division or management of inherited property resolved under the law?</t>
  </si>
  <si>
    <t>When heirs disagree on how to divide or manage inherited property in the Philippines, the law offers several avenues for resolving the dispute. Here's a breakdown of the potential approaches:
1. Amicable Resolution:
Open Communication: The most desirable solution is for heirs to openly communicate and try to reach a mutually agreeable solution regarding the property's division or management. This can involve:
Discussing concerns and priorities.
Considering different proposals for dividing the property (physical division, selling and splitting proceeds).
Establishing clear agreements on co-ownership management (maintenance responsibilities, rental arrangements).
2. Extrajudicial Settlement with Partition Agreement:
Formalized Agreement: If heirs reach an agreement on the division, they can formalize it through an Extrajudicial Settlement of Estate (EJS) with a Partition Agreement.
Legal Assistance: A lawyer can help draft the EJS, ensuring it complies with legal requirements and clearly outlines the agreed-upon property division.
Notarized Document: Once signed by all heirs, the EJS with Partition Agreement becomes a legally binding document.
3. Mediation:
Neutral Third Party: If communication breaks down, heirs can opt for mediation. A neutral third-party mediator facilitates discussions and helps them reach a consensus on dividing or managing the property.
Cost-Effective Alternative: Mediation can be a quicker and more cost-effective way to resolve disputes compared to litigation.
4. Court Action (Partition Suit):
Legal Battleground: As a last resort, heirs can file a partition suit in court. This is a formal legal process where a judge determines the division of the property based on Philippine inheritance laws.
Time-Consuming and Expensive: Court battles can be lengthy, stressful, and incur significant legal fees.
Factors Affecting Dispute Resolution:
Complexity of Estate: The more complex the estate (multiple properties, numerous heirs), the harder it might be to reach an amicable agreement.
Presence of a Will: If there's a will, it might outline the testator's wishes for property division, potentially reducing disputes.
Emotional Attachment: Sentimental attachment to certain properties can lead to emotional conflicts among heirs.
Recommendations:
Seek Legal Guidance: Consulting a lawyer specializing in estate and property law can be helpful in guiding you through the available options for dispute resolution. They can:
Advise on the legal implications of different approaches.
Draft legal documents like EJS with Partition Agreement.
Represent you in mediation or court proceedings, if necessary.
Prioritize Communication: Open and honest communication among heirs is crucial for finding a solution that respects everyone's interests and minimizes conflict.
By prioritizing communication, exploring amicable solutions, and potentially seeking legal guidance, heirs can increase their chances of resolving property disputes effectively and efficiently. Remember, resorting to litigation should be the last resort due to its time-consuming and expensive nature.</t>
  </si>
  <si>
    <t>Paano nareresolba sa ilalim ng batas ang mga hindi pagkakaunawaan sa pagitan ng mga tagapagmana hinggil sa paghahati o pamamahala ng minanang ari-arian?</t>
  </si>
  <si>
    <t>Can inherited property located in a different state or country be subject to different legal procedures or taxes?</t>
  </si>
  <si>
    <t>Absolutely, inherited property located in a different state (if within the same country) or a different country altogether can be subject to different legal procedures and taxes compared to inheriting property in your own jurisdiction. Here's a breakdown of the key considerations:
Different States (Within the Same Country):
Variations in Inheritance Law: While there might be a general framework for inheritance law within a country, individual states can have specific variations in their laws. These variations can affect aspects like:
Intestate succession rules (distribution of property if there's no will).
Spousal rights (elective share a surviving spouse might have in the estate).
Community property vs. separate property laws (impact on how marital assets are divided).
Probate Processes: The probate process for inheriting property might differ slightly between states. This could involve:
Varying timelines for probate court proceedings.
Differences in required paperwork or court fees.
Different Countries (International Inheritance):
Complexities and Challenges: Inheriting property across international borders adds a layer of complexity. Here's why:
Varying Legal Systems: Different countries have their own inheritance laws, tax codes, and legal procedures.
International Treaties: Some countries have bilateral treaties related to inheritance taxes or estate administration that can simplify the process.
Potential Issues in International Inheritance:
Multiple Jurisdictions: The estate might be subject to probate or inheritance taxes in both the deceased's country of residence and the country where the property is located.
Foreign Estate Taxes: Heirs might need to pay inheritance taxes in the country where the property is located on top of any taxes applicable in their home country.
Foreign Legal Processes: Dealing with foreign courts, unfamiliar legal systems, and potentially needing local legal representation can be challenging and expensive.
Recommendations:
Seek Legal Counsel: Consulting a lawyer experienced in international estate planning or inheritance law is crucial. They can:
Advise on the specific legal procedures and tax implications applicable in both countries involved.
Guide you through navigating the probate process or tax filings in the foreign country.
Help you understand your rights and obligations as an heir inheriting property abroad.
Additional Tips:
Estate Planning Considerations: If you own property in another country, consider incorporating international estate planning strategies in your will to minimize potential complications for your heirs.
Communication with Foreign Heirs: If there are heirs residing in different countries, clear communication and collaboration are essential for navigating the inheritance process smoothly.
Remember, inheriting property across borders requires careful planning and professional guidance to ensure you comply with all legal requirements and avoid unnecessary tax burdens or delays.</t>
  </si>
  <si>
    <t>Maaari bang sumailalim sa iba't ibang legal na pamamaraan o buwis ang minanang ari-arian na matatagpuan sa ibang estado o bansa?</t>
  </si>
  <si>
    <t>In the Philippines, the legal responsibilities of heirs regarding inherited property maintenance and upkeep depend on a few key factors:
1. Type of Ownership:
Sole Ownership: If an heir inherits the property as the sole owner, the responsibility for maintenance and upkeep falls entirely on them. They are free to make decisions about repairs, renovations, or how the property is used, as long as they comply with local zoning regulations and HOA rules (if applicable).
Co-Ownership: If multiple heirs inherit the property jointly, they become co-owners. The legal responsibilities for maintenance and upkeep become shared. This can involve:
Sharing Costs: Heirs are generally expected to contribute proportionally to the costs of maintenance, repairs, and property taxes based on their ownership share.
Joint Decision-Making: Significant decisions regarding maintenance or modifications usually require agreement from all co-owners. Open communication and collaboration are crucial to avoid disputes.
2. Presence of a Will:
Specific Instructions: A will may contain specific instructions from the deceased regarding the upkeep and maintenance of the property. Heirs are obligated to respect these wishes within legal boundaries.
Designation of Responsibility: In some cases, a will might designate a specific heir or executor to handle property maintenance on behalf of all beneficiaries.
3. Legal Considerations:
Duty to Maintain: Heirs have a general legal obligation to maintain the inherited property in a reasonable condition. This prevents the property from becoming a nuisance or safety hazard to the neighborhood.
Negligence and Liability: If the property falls into disrepair due to neglect by the heirs, and it causes damage to neighboring properties or injuries to someone, the heirs could be held liable.
4. Communication and Agreements:
Open Communication: For co-owned properties, establishing clear communication and agreements among heirs regarding maintenance responsibilities is crucial. This could involve:
Discussing financial contributions for upkeep.
Creating a schedule for shared maintenance tasks.
Outlining a decision-making process for major repairs or renovations.
Disclaimer: This is a simplified overview, and specific legal nuances might exist depending on the situation. Consulting a lawyer specializing in property law can provide more specific guidance.
In Summary:
Heirs are generally responsible for maintaining inherited property, but the exact legal responsibility depends on factors like ownership type, presence of a will, and co-ownership agreements. Open communication, adherence to any specific instructions in a will, and fulfilling a general duty to maintain the property in a reasonable condition are key aspects for heirs to consider.</t>
  </si>
  <si>
    <t>Inheritance law in the Philippines interacts with environmental regulations and restrictions on inherited property in several ways, creating both potential liabilities and limitations for heirs. Here's a breakdown of the key points:
Heir's Right to Know:
Disclosure Requirements: Heirs have the right to be informed about any environmental issues or restrictions associated with the property they are inheriting. This could include:
Zoning restrictions due to environmental sensitivity.
Presence of hazardous materials or contamination.
Ongoing environmental cleanup orders.
Any outstanding fines or penalties related to environmental violations.
Potential Liabilities:
"Polluter Pays" Principle: The Philippines adheres to the "polluter pays" principle, which can hold heirs liable for environmental problems caused by the property, even if they weren't the ones who caused the issue. This is particularly relevant for properties with pre-existing contamination.
Compliance Obligations:
Continuing Responsibility: Heirs might inherit the responsibility to comply with existing environmental regulations or ongoing cleanup orders. This could involve:
Obtaining necessary permits for operating certain types of businesses on the property.
Implementing specific pollution control measures.
Continuing any ongoing environmental remediation efforts.
Impact on Inheritance Value:
Reduced Value: Properties with environmental issues or restrictions can have a significantly lower market value compared to similar properties without such burdens. This can affect the overall value of the inheritance for all heirs.
Legal Considerations:
Due Diligence: Before accepting an inheritance, especially property with potential environmental concerns, it's crucial for heirs to conduct thorough due diligence. This might involve:
Environmental site assessments to identify potential contamination.
Reviewing zoning regulations and restrictions.
Consulting with a lawyer specializing in environmental law.
Disclaimer: Environmental regulations and their implications on inheritance can be complex and situation-specific.
Recommendations:
Seek Legal Guidance: Heirs inheriting property with potential environmental issues are strongly advised to seek legal counsel from a lawyer specializing in both environmental and inheritance law. They can:
Advise on potential liabilities and compliance obligations.
Help navigate the legalities of dealing with environmental restrictions.
Guide you in making informed decisions about accepting or managing the inheritance.
Understanding these interactions between inheritance law and environmental regulations can help heirs make informed decisions and protect themselves from unforeseen liabilities or financial burdens associated with inherited property.</t>
  </si>
  <si>
    <t>In the Philippines, heirs who inherit property with existing rental agreements or tenants have legally defined rights and obligations. Here's the breakdown: Heir's Rights: Respect current Leases: Heirs are required to honor current lease agreements with tenants. The prior owner's terms and conditions remain in effect, including the rent amount, lease duration, and other contract provisions. Collect Rent: Heirs have the right to collect rent from current tenants in accordance with the conditions of the existing lease agreement. Negotiate Renewal: When the lease expires, the heirs have the option to negotiate a new lease arrangement with the existing tenants on their own terms.
Eviction (Subject to specified Conditions): Heirs may only evict tenants given specified legal explanations outlined in the Urban Development and Housing Act (RA No. 7279) or the Civil Code of the Philippines. Nonpayment of rent, violation of lease terms, personal use of property, or demolition for redevelopment (with proper notice) are some of the possible reasons.</t>
  </si>
  <si>
    <t>Absolutely, inherited property in the Philippines can be subject to homeowners' association (HOA) rules and fees. Here's how it works:
HOA Applicability:
Property Location: If the inherited property is located within a subdivision or development with a registered HOA, it will be subject to HOA rules and fees.
Heirs' Obligations:
Comply with HOA Rules: Heirs, as the new owners, must comply with the HOA's Covenants, Conditions, and Restrictions (CC&amp;Rs) which govern things like property maintenance, modifications, and community conduct.
Pay HOA Fees: Heirs are responsible for paying regular HOA fees for maintaining common areas, amenities, and services offered by the association. These fees typically cover security, garbage collection, pool maintenance, and other shared expenses.
Management:
Reviewing HOA Documents: Heirs should obtain a copy of the HOA's CC&amp;Rs and fee schedule to understand their specific obligations and the breakdown of charges.
Contacting the HOA: It's best to contact the HOA directly to inquire about any outstanding fees from the previous owner and establish communication for future payments and updates.
Important Points:
Transfer Fees: Some HOAs may have transfer fees associated with a change in ownership. These fees should be outlined in the HOA's documents.
Non-payment Consequences: Non-payment of HOA fees can lead to penalties, fines, or even legal action by the HOA. In extreme cases, it could impact the property title.
Recommendations:
Inheritance Process: During the inheritance process, heirs should inquire about any outstanding HOA fees associated with the property.
Budgeting: Heirs should factor in HOA fees when budgeting for the inherited property, especially if they plan to rent it out or keep it vacant.
Disclaimer: HOA regulations can vary depending on the specific community. For a more detailed understanding of your situation, consulting a lawyer specializing in real estate law familiar with HOAs is highly recommended. They can review the HOA documents and advise you on your specific rights and obligations.</t>
  </si>
  <si>
    <t>In the Philippines, inheritance law itself doesn't directly address land-use permits or entitlements. However, it indirectly impacts them through the transfer of ownership. Here's how it works:
Inheritance and Land-Use Permits:
Property Ownership Transfer: When property is inherited, the ownership rights transfer to the heirs. However, existing land-use permits or entitlements are typically tied to the property itself, not the owner.
Permit Continuity: In most cases, these permits or entitlements continue to be valid after inheritance. The heirs inherit the benefit of the existing permits along with the property.
Heirs' Responsibilities:
Verifying Permits: Heirs are responsible for verifying the existing land-use permits and entitlements associated with the inherited property. This can be done through the issuing government agency or by reviewing property documents.
Compliance: Heirs must comply with the conditions outlined in the permits to maintain their validity. This may involve adhering to specific zoning regulations, use restrictions, or renewal procedures.
Potential Issues:
Permit Expiry: Some land-use permits may have expiry dates. Heirs need to be aware of these deadlines and initiate the renewal process well in advance to avoid disruptions in their plans for the property.
Permit Transferability: In rare cases, specific permits may not be automatically transferable upon inheritance. Heirs should consult the issuing agency to confirm the transferability of the permit and any potential requirements for continuation.
Recommendations:
Due Diligence: During the inheritance process, heirs should conduct due diligence to understand the existing land-use permits associated with the property and any potential limitations they may impose.
Legal Consultation: If there's any uncertainty about the transferability or ongoing validity of permits, consulting a lawyer specializing in real estate law is highly recommended. They can guide you through the legalities and ensure smooth ownership transition.
Remember: Land-use regulations and permit requirements can vary depending on the location and type of property. For specific details and guidance, consulting with a lawyer familiar with your area's regulations is always advisable.</t>
  </si>
  <si>
    <t>Inheriting property in the Philippines comes with the option to donate it to charitable organizations or causes. Here's a breakdown of the legal ways to handle such a donation:
Donation Options:
Direct Donation: Heirs can choose to donate the property directly to a registered charitable organization. This involves a donation deed outlining the transfer of ownership to the charity.
Tax Implications: It's important to note that donations to some qualified charitable institutions may be exempt from donor's income tax up to a certain amount. A lawyer can advise on the specifics and ensure the chosen charity qualifies for tax benefits.
Sale and Donation of Proceeds: Heirs can also opt to sell the property and then donate the proceeds to a charitable cause. This might be preferable if the property is difficult to manage or maintain.
Tax Implications: Capital gains tax may apply on the sale of the property, depending on the heirs' acquisition cost and the selling price. Consulting a tax advisor can help heirs understand their tax obligations.
Legal Requirements:
Donated Property Assessment: The property's value needs to be assessed to determine the value of the donation for tax purposes. A qualified appraiser can be engaged for this purpose.
Donation Deed: A donation deed needs to be drafted and notarized. This document outlines the transfer of ownership, the specific property being donated, and any agreed-upon conditions.
Charity Registration: Heirs should ensure the chosen charitable organization is duly registered with the Securities and Exchange Commission (SEC) or other relevant government agencies.
Additional Considerations:
Heir Agreement: If there are multiple heirs, all heirs must agree to the donation of the property.
Restrictions on Donated Property: Some charities may have restrictions on how they can use the donated property. Heirs should discuss any such limitations with the charity beforehand.
Legal Counsel: Consulting a lawyer specializing in property law and estate planning is highly recommended. They can guide you through the legalities of the donation process, ensure proper documentation, and advise on any tax implications.
Donating inherited property can be a thoughtful way to support a worthy cause. By following these legal steps and seeking professional guidance, heirs can ensure a smooth and successful donation process.</t>
  </si>
  <si>
    <t>How is the inheritance of property affected by the presence or absence of a valid will?</t>
  </si>
  <si>
    <t>In the Philippines, the presence or absence of a valid will significantly impacts how inherited property is distributed. Here's a breakdown:
With a Valid Will:
Testator's Control: A valid will allows the deceased (testator) to clearly define how they want their property distributed. The will can specify beneficiaries, the portion of the estate each receives, and even designate guardians for minor children.
Probate Process: The will needs to go through probate**, a legal process where the court validates the will's authenticity and oversees the distribution of assets according to the testator's wishes.
Without a Valid Will:
Intestate Succession: If there's no valid will, the property is distributed according to the rules of intestate succession. These are outlined in the Family Code of the Philippines and prioritize blood relatives as beneficiaries.
Distribution Order: The Family Code specifies a hierarchy of heirs who inherit in a specific order. Spouses, legitimate children, and acknowledged illegitimate children are typically prioritized, followed by parents, siblings, and other relatives.
Shares and Disputes: The shares each heir receives are also predetermined by the Family Code based on their relation to the deceased. This can lead to disputes among heirs if the distribution isn't what they expected.
A valid will grants the deceased, known as the testator, significant control over how their property is distributed. The will allows them to clearly specify who inherits what portion of the estate. This can include designating beneficiaries, setting shares for each recipient, and even naming guardians for minor children. To ensure the will's validity and oversee the distribution according to the testator's wishes, the document needs to go through probate, a legal process handled by the court.
On the other hand, if there's no valid will, the inheritance process is governed by the rules of intestate succession outlined in the Family Code of the Philippines. This means the court distributes the property based on a predetermined hierarchy, prioritizing blood relatives as beneficiaries. The Family Code dictates the order in which relatives inherit, with spouses, legitimate children, and acknowledged illegitimate children receiving priority, followed by parents, siblings, and other relatives further down the line. The Code also specifies the share each heir receives based on their relation to the deceased. This pre-determined distribution can sometimes lead to disputes among heirs if it doesn't reflect their expectations.
Additional Points:
Partial Intestacy: Even with a will, a portion of the estate may go through intestate succession if the will doesn't address all assets or if some beneficiaries are deemed disqualified.
Contesting a Will: Heirs who believe the will is invalid or unfair can contest it in court. However, this is a complex process with legal fees involved.
Recommendation:
Having a valid will is highly recommended in the Philippines to ensure your wishes regarding property distribution are respected. Consulting a lawyer specializing in estate planning can help you draft a clear and legally sound will that minimizes the risk of disputes among heirs.</t>
  </si>
  <si>
    <t>What are the legal procedures involved in probating a will and distributing inherited property?</t>
  </si>
  <si>
    <t>The probate process in the Philippines can seem complex, but it's essentially the legal procedure for validating a will and distributing the deceased's estate according to their wishes. Here's a breakdown of the general steps involved:
1. Filing a Petition for Probate:
Executor's Role: The person named as the executor in the will is responsible for initiating the probate process. They'll file a petition for probate with the appropriate court, typically the Regional Trial Court (RTC) where the deceased resided at the time of death.
Required Documents: The petition will be accompanied by the original will, death certificate of the deceased, and proof of the executor's authority (usually a clause in the will).
2. Notice to Heirs and Creditors:
Court Notification: The court will issue a notice to all interested parties, including heirs named in the will and any known creditors of the deceased. This notification informs them of the probate proceedings and allows them to raise any objections.
3. Publication of Notice:
Public Awareness: A notice of the probate proceedings will also be published in a newspaper of general circulation for a specific period. This serves to inform any unknown creditors or potential heirs who may not have been directly notified.
4. Hearing and Settlement of Debts:
Court Appearance: The executor may be required to appear before the court to answer questions about the will and the estate's assets and liabilities. The court will also address any claims filed by creditors and ensure all outstanding debts are settled before property distribution.
5. Issuance of Letters Testamentary:
Executor's Authority: Once the court is satisfied with the validity of the will and the estate's administration, it will issue Letters Testamentary to the executor. This document officially grants the executor the legal authority to manage and distribute the estate assets as outlined in the will.
6. Inventory and Appraisal:
Estate Assets: The executor will prepare an inventory of all assets belonging to the deceased's estate. This may include property, bank accounts, investments, and other valuables. The executor may also need to arrange for appraisals to determine the fair market value of these assets.
7. Payment of Taxes:
Tax Obligations: The estate may be subject to various taxes, such as estate tax and income tax on certain assets. The executor is responsible for calculating and paying these taxes before distributing the remaining assets to the beneficiaries.
8. Distribution of Assets:
Following the Will: Finally, the executor can distribute the remaining estate assets to the beneficiaries as specified in the will. This may involve transferring ownership of property, distributing cash or investments, and fulfilling any other wishes outlined in the will.
Additional Points:
Timeline: The probate process can take anywhere from several months to a few years, depending on the complexity of the estate and any potential disputes.
Legal Representation: Consulting a lawyer specializing in probate law is highly recommended. They can guide the executor through the process, ensure proper documentation, and represent them in court if necessary.
Extrajudicial Settlement: In some cases, if the estate is not too complex and all heirs agree on the distribution, an extrajudicial settlement may be an option. This is a faster and less expensive alternative to probate but requires all heirs' consent and approval from the BIR (Bureau of Internal Revenue).
Remember, this is a general overview. The specifics of the probate process can vary depending on the circumstances of the estate. Consulting a lawyer familiar with Philippine probate law is always advisable for personalized guidance.</t>
  </si>
  <si>
    <t>Ano ang mga legal na pamamaraan na kasangkot sa pagsubok sa isang testamento at pamamahagi ng minanang ari-arian?</t>
  </si>
  <si>
    <t>Intestacy is a legal concept that comes into play when someone dies without leaving a valid will. In the Philippines, the Family Code dictates how the deceased's property (estate) is distributed in such situations.
Here's a breakdown of intestacy and its application:
Intestate Succession: This refers to the legal order of inheritance that applies when there's no will. The Family Code establishes a hierarchy of beneficiaries who inherit the estate based on their relationship to the deceased.
Heirs and Their Shares:
Primary Heirs: The first in line are legitimate and illegitimate children of the deceased. They inherit the entire estate in equal shares if there's no surviving spouse.
Surviving Spouse: If there's a surviving spouse but no children, the spouse inherits the entire estate.
Concurrent Heirs: If there's both a surviving spouse and legitimate/illegitimate children, the estate is divided. The spouse gets half, and the children share the remaining half equally.
Secondary Heirs: If there are no children or surviving spouse, the estate goes to the deceased's parents in equal shares.
Further Heirs: In the absence of parents, siblings, nephews, and nieces inherit in a specific order outlined in the Family Code, with shares determined by their relation to the deceased.
Important Note: The intestate succession scheme is a pre-determined distribution plan. It may not reflect the deceased's wishes**, especially if they had intended to leave something to specific individuals or charities.
Here are some additional points to consider:
Disputes: Intestacy can sometimes lead to disputes among heirs, particularly if they disagree with the pre-determined shares or the interpretation of the Family Code.
Benefits: While it ensures a distribution plan in the absence of a will, intestacy can be less efficient and create family conflict compared to a clear will.
Recommendation:
Having a valid will is highly recommended to avoid the potential complications of intestacy. A will allows you to control how your property is distributed and ensure your wishes are respected after your passing. Consulting a lawyer specializing in estate planning can help you draft a will that reflects your intentions and minimizes the risk of disputes among heirs.</t>
  </si>
  <si>
    <t>How are inheritances taxed, including estate taxes and capital gains taxes, and what are the implications for heirs?</t>
  </si>
  <si>
    <t>In the Philippines, inheritances are subject to two main taxes: estate tax and capital gains tax. Here's a breakdown of how they apply and the implications for heirs:
1. Estate Tax:
Tax on the Estate: This is a tax imposed on the net value of the deceased's estate at the time of death. It's essentially a tax on the right to transmit property.
Tax Rate: Currently, a flat rate of 6% is applied to the net estate after deducting allowable expenses from the gross value of the estate.
Heirs' Responsibility: While the estate tax is technically imposed on the estate itself, heirs are ultimately responsible for paying it** before they can inherit any assets. This may require them to sell some assets or use other funds to settle the tax obligation.
Impact on Heirs: Estate tax reduces the overall value of the inheritance each heir receives. The burden of paying the tax can also create financial strain for heirs, especially if the estate is not very liquid (easily converted to cash).
2. Capital Gains Tax:
Tax on Asset Sales: This tax applies when heirs sell inherited property**. The capital gain is the difference between the selling price and the acquisition cost** (the value at which the deceased acquired the property).
Tax Rates: Capital gains tax rates vary depending on the type of asset and the length of time it was held by the deceased. For inherited property, the acquisition cost is generally considered to be the fair market value at the time of the decedent's death.
Heirs' Responsibility: Heirs are responsible for paying capital gains tax if they decide to sell the inherited property. This tax is separate from the estate tax** and is calculated based on the individual sale.
Impact on Heirs: Capital gains tax further reduces the net proceeds** heirs receive from selling inherited property. It's important for heirs to factor in this tax when making decisions about selling inherited assets.
Additional Points:
Tax Exemptions: There are some exemptions and deductions** available for estate tax and capital gains tax. A lawyer can advise heirs on these depending on the specific circumstances of the inheritance.
Tax Planning: Strategies can be implemented during estate planning to minimize the overall tax burden on heirs. Consulting a lawyer specializing in tax law can be beneficial.
Implications for Heirs:
Heirs should be aware of both estate tax and capital gains tax implications when inheriting property.
It's crucial to factor in these taxes** when planning how to manage the inherited assets.
Heirs may need to budget for potential tax liabilities** and discuss payment options with the executor of the estate.
Consulting a tax advisor** can help heirs understand their tax obligations and navigate the filing process.
By understanding these taxes and their implications, heirs can make informed decisions about managing their inheritance and minimize the financial impact.</t>
  </si>
  <si>
    <t>Paano binubuwisan ang mga mana, kabilang ang mga buwis sa ari-arian at mga buwis sa capital gains, at ano ang mga implikasyon para sa mga tagapagmana?</t>
  </si>
  <si>
    <t>Can a will be contested, and what legal grounds are necessary to challenge the distribution of inherited property?</t>
  </si>
  <si>
    <t>In the Philippines, heirs who inherit property with existing rental agreements or tenants have legally defined rights and obligations. Here's the breakdown:
Heir's Rights:
Respect current Leases: Heirs are required to honor current lease agreements with tenants. The prior owner's terms and conditions remain in effect, including the rent amount, lease duration, and other contract provisions. Collect Rent: Heirs have the right to collect rent from current tenants in accordance with the conditions of the existing lease agreement. Negotiate Renewal: When the lease expires, the heirs have the option to negotiate a new lease arrangement with the existing tenants on their own terms.
Eviction (Subject to specified Conditions): Heirs may only evict tenants given specified legal explanations outlined in the Urban Development and Housing Act (RA No. 7279) or the Civil Code of the Philippines. Nonpayment of rent, violation of lease terms, personal use of property, or demolition for redevelopment (with proper notice) are some of the possible reasons.
Heirs' Obligations:
Maintain the Property: Heirs are responsible for keeping the property up to the standards set in the lease agreement, ensuring the tenant's peaceful use of the property. Honor Repairs: Heirs must meet the former owner's obligations about repairs as outlined in the lease agreement. They are now responsible for resolving any essential repairs during the tenancy. Provide Notice of modifications: Heirs must provide proper written notice to tenants of any modifications to the lease agreement conditions or termination of the lease upon expiry (if not renewed). The required notice period varies depending on the type of lease.
Additional considerations:
Review Lease Agreement: Heirs should carefully read the existing lease agreement to understand their rights and obligations, such as the remaining lease period, rent amount, and any particular clauses. Seek Legal Advice: It is essential that you consult with a lawyer who specializes in property and tenancy law, particularly if there are any difficulties or problems with the current renters. Remember, this is a general summary of Philippine law. The particular rights and obligations may differ depending on the unique circumstances and the provisions of the existing lease agreement.</t>
  </si>
  <si>
    <t>In the Philippines, the law shields heirs from inheriting the deceased's personal debts. However, there are unique requirements for inherited property with ongoing debts or mortgages: Benefits of Inventory: Philippine law recognizes the "benefit of inventory" (Article 1023, Civil Code). This idea permits heirs to limit their liability for the estate's debts to the value of the inherited property. Heirs might accept the inheritance with the advantage of inventory, which entails compiling a comprehensive account of the estate's assets and liabilities.
Debt repayment: Priority goes to Estate Debts: Creditors with claims against the estate, including mortgage holders, receive first priority in getting payment from the estate's assets before any inheritance is paid to beneficiaries. Asset Sale for Repayment: If the estate's assets (including the inherited property) are insufficient to repay all debts, the property may be sold to pay off the remaining mortgage or other debts. Heir Responsibility is Limited: If heirs correctly used inventory, they are not personally accountable for any outstanding debts that exceed the value of the inherited property.
Heir Options: Accept with Benefit of Inventory: This permits heirs to inherit the property while limiting their liability for debts to its worth. They can then determine whether selling the home to pay off debts or using other estate assets is the best option.
Renounce Inheritance: Heirs can choose to completely give up their inheritance. This eliminates any liability for the estate's debts while also giving up any rights to the property or other assets. Negotiate with Creditors: Heirs may attempt to negotiate a settlement or payback plan that benefits both parties, including the mortgage holder.
Additional considerations: Time Limits: Heirs must determine whether to accept the bequest with the benefit of inventory within a defined timeframe. Consulting a lawyer is critical to ensuring that proper procedures are followed within the required timeframes. Estate Complexity: When there are several heirs, complex financial situations, or property conflicts, legal counsel may be required throughout the process.
Recommendation: Inheriting property with outstanding debts or a mortgage can be complicated. It is strongly advised that heirs contact with a lawyer who specializes in probate and inheritance law in the Philippines. They can assist you navigate the legal procedure, understand your rights and obligations, and make educated decisions about inherited property.</t>
  </si>
  <si>
    <t>Can inherited property be sold, and what legal procedures are involved in the sale process?</t>
  </si>
  <si>
    <t>In the Philippines, inherited property can definitely be sold by the heirs, but there are some legal procedures to follow to ensure a smooth and successful transaction. Here's a breakdown of the key steps involved:
1. Settlement of the Estate:
Estate Settlement: Before selling any inherited property, the estate of the deceased needs to be settled**. This typically involves going through probate if there's no valid will or undertaking an extrajudicial settlement if all heirs agree on the distribution.
Settling Debts and Taxes: The estate settlement process ensures all outstanding debts and taxes associated with the deceased are settled before the sale proceeds are distributed to the heirs.
Clear Title: This process also verifies that the title to the property is clear** and there are no legal encumbrances that could prevent the sale.
2. Obtaining Heirs' Agreement:
Consensus Among Heirs: If there are multiple heirs, they all need to agree to sell the property. This may involve discussions and potentially a signed agreement outlining the terms of the sale and how the proceeds will be divided.
Addressing Disagreements: In case of disagreements among heirs, mediation or legal consultation** may be necessary to reach a solution before proceeding with the sale.
3. Preparing the Property for Sale:
Market Analysis: Heirs may want to consider getting a property appraisal** to determine the fair market value of the property. A market analysis can also help determine the most suitable selling price.
Property Repairs/Improvements: Depending on the condition of the property, some repairs or renovations** might be necessary to attract potential buyers and maximize the selling price.
4. Marketing and Selling the Property:
Marketing Strategies: Heirs can choose to sell the property themselves** or hire a real estate agent** to handle the marketing and negotiations. Effective marketing strategies can help attract a wider pool of buyers and increase the chances of a successful sale.
Sale Agreement and Closing: Once a buyer is found, a sale agreement** outlining the terms and conditions of the sale will be drafted and signed by both parties. The closing process will involve transferring the ownership title** to the buyer and distributing the sale proceeds** among the heirs according to their agreed-upon shares.
Legal Documents Required:
Owner's Duplicate of the Title: This document proves ownership of the property.
Estate Tax Clearance: This certifies that all estate taxes have been settled.
Certificate Authorizing Registration (CAR): Issued by the BIR, this allows the transfer of the property title to the new owner.
Deed of Extrajudicial Settlement (if applicable): This document proves settlement of the estate if no will exists.
Deed of Sale: This legally binding document formalizes the sale of the property.
Other documents: Depending on the specific situation, additional documents like tax clearances, clearances from homeowners' associations (if applicable), and proof of heirship may be required.
Additional Points:
Legal Consultation: Consulting a lawyer specializing in real estate law** is highly recommended throughout the process. They can ensure legal compliance, advise on documentation, and represent heirs during negotiations or potential disputes.
Tax Implications: Heirs may be liable for capital gains tax** on the sale of the property. A tax advisor** can help them understand their tax obligations and navigate the filing process.
By following these steps and seeking professional guidance, heirs can ensure a smooth and legal sale of inherited property.</t>
  </si>
  <si>
    <t>Maaari bang ibenta ang minanang ari-arian, at anong mga legal na pamamaraan ang kasangkot sa proseso ng pagbebenta?</t>
  </si>
  <si>
    <t>Are there any legal considerations for inheriting property jointly with other beneficiaries?</t>
  </si>
  <si>
    <t>Yes, there are various legal factors to keep in mind while inheriting property alongside other heirs under Philippine law. Here's a breakdown of some important points:
Type of co-ownership:
The way you inherit the property influences how you and the other recipients will possess it. There are two primary types:
Tenancy in Common: Each recipient owns a particular percentage of the property. This portion may be equal or unequal, depending on the terms of the will or intestacy rules (if there is no will). Each beneficiary's portion is passed down to their heirs after their death.
Joint Tenancy with Right of Survivorship: All beneficiaries own the property as a single entity. If a beneficiary dies, their stake is automatically transferred to the remaining beneficiaries. This avoids the property going through probate for the dead beneficiary's portion.
Shared Responsibilities and Rights: Regardless of the type of co-ownership, you and the other beneficiaries will share specific rights and responsibilities: -	Sharing Costs and Profits: You will be responsible for sharing any upkeep, taxes, and other property-related fees. If the home is rented out, you will also receive a percentage of the profits.
-	Decision-Making: Major decisions about the property, such as selling or renting it out, often require unanimous approval among all co-owners.
Potential for Dispute: Co-ownership can result in conflicts, particularly if: -	The beneficiaries have differing intentions for the property (for example, one wants to sell while the other wants to maintain it). -	Decisions are tough to establish unanimity on. One recipient fails to meet their financial commitments to the property.
Recommendations: To mitigate potential issues: -	Communicate openly: Share your expectations and aspirations for the property with the other recipients. -	Consider a written agreement: A lawyer may help you establish an agreement describing co-ownership rights and obligations, decision-making processes, and dispute resolution methods. -	Seek legal advice: If you anticipate any issues, consulting a property inheritance lawyer will help.
Additional considerations: Debts and Taxes: You and the other beneficiaries may be accountable for any outstanding debts or taxes on the property. Probate: If there is no will or the will is contested, the property may go through probate, which may be a time-consuming and complicated process.
Remember, this is a general overview. Consulting a lawyer experienced in Philippine inheritance law is crucial for understanding your specific situation and ensuring a smooth inheritance process.</t>
  </si>
  <si>
    <t>Mayroon bang anumang legal na pagsasaalang-alang para sa pagmamana ng ari-arian kasama ng iba pang mga benepisyaryo?</t>
  </si>
  <si>
    <t>In the Philippines, there are a few legal options for moving inherited property into a trust for management or tax purposes, but you should speak with a Philippine lawyer to identify the best strategy for your unique situation. This is a general overview: 1. Deed of Trust: You can create a trust with a Deed of Trust, a legal instrument specifying the trust's terms, including
-	Grantor (the individual transferring the property) -	Trustee (someone who manages the property) -	Beneficiaries (individuals who will eventually acquire the property) -	Assets being transferred (inherited property) -	Management and dissemination directions. Tax Implications: The tax implications of using a Deed of Trust will depend on the type of trust and the value of the property. A lawyer can advise on potential donor's tax, capital gains tax, and documentary stamp tax.
2. Judicial Reform of Instruments (JRI): -	If the inherited property was received through a will without a trust provision, consider Judicial Reformation of Instruments (JRI). -	JRI is a legal process that involves petitioning the court to alter a will to include a trust based on the deceased's inferred purpose.
-	This alternative is difficult and requires court clearance. A lawyer can help you determine the feasibility and navigate the JRI process.
3. Estate Planning With A Lawyer: -	It is highly recommended that you consult with a Philippine lawyer who specializes in estate planning and trusts.
-	They can advise on the best trust type (revocable or irrevocable) based on your objectives (administration, tax benefits, etc.).
-	They can help draft the Deed of Trust or JRI petition, ensuring that it complies with Philippine legislation and reduces potential tax liabilities.
Remember: -	Philippines' rules and regulations might be complex. -	A lawyer can provide personalized advice based on your property type, value, and objectives. I hope this material is useful as a starting point. Seek expert legal assistance in the Philippines for recommendations.</t>
  </si>
  <si>
    <t>In the Philippines, disagreements between heirs over inherited property can be settled by many techniques, following these fundamental principles: Intestacy vs. Will: If the dead left a valid will, the will governs the division of property. In the case of intestacy (no will), the distribution is determined by Philippine intestate succession law.
Respect for the Decedent's Intent: Philippine courts stress following the decedent's desires as represented in a legal will. Fair and Equitable Distribution: In the absence of a will, the inheritance should be distributed fairly and equally to legal heirs.
Here are several approaches to resolving disputes: Negotiation and Agreement: Heirs may attempt to achieve an agreement on their own or with the assistance of a mediator. This is frequently the most cost-effective and relationship-preserving solution. Mediation is a process in which a neutral third person encourages discussion and assists heirs in reaching an agreement. Arbitration: Heirs may appoint a private arbitrator to render a binding verdict on the dispute. Litigation: As a last resort, heirs may initiate a lawsuit. This can be a time-consuming and expensive process, so carefully consider the costs and benefits.
Here are some places for more information on Philippine inheritance laws: - The Code of Civil Procedure (Book III, Title I, Chapter II (Specifically, look into Rules 74-81). - The Katipunan ng mga Abogado sa Patentes (KAPAT), a lawyer's association focusing in intellectual property law, provides a useful inheritance guide (accessible in Filipino)
Remember that this is only a broad overview; for any unique circumstance, speak with an inheritance lawyer. They can advise you on the best course of action based on the specifics of your situation.</t>
  </si>
  <si>
    <t>Yes, inherited property in the Philippines may be subject to HOA rules and fees. This is how it works.
Obligation to follow HOA rules and pay fees:
Heirs Become New Owners: Upon inheriting the property, you become the new owner and are governed by the current HOA rules and fees.
Following the Covenants: HOA laws are often stated in a document known as the Covenants, Conditions, and Restrictions (CC&amp;Rs). These rules control issues including as upkeep, external appearance, and community living. As the new owner, you must follow these CC&amp;Rs.
Fees: You are also responsible for paying any HOA fees related with the property. This includes any overdue dues by the previous owner.
Management of HOA fees:
HOA Responsibilities: HOA payments often cover common area maintenance, amenities, and, in some cases, community insurance. The HOA is in charge of managing these monies and guaranteeing their proper use.
Transfer Fees: Some HOAs may charge transfer fees for changes in ownership owing to inheritance. The legitimacy of such fees is determined by the specific HOA's governing documents and must be in accordance with Philippine legislation.
Recommendations:
Review CC&amp;Rs: Request a copy of the CC&amp;Rs from the HOA to better understand the property's unique regulations and fees.
Contact the HOA: If you have any issues or complaints, speak with the HOA's officials.
Legal Consultation: If you have questions about the HOA's conduct or are in a difficult situation, consider consulting with a lawyer who specializes in property rights and homeowner associations.</t>
  </si>
  <si>
    <t>What legal rights and obligations do heirs have regarding the maintenance and upkeep of inherited property?</t>
  </si>
  <si>
    <t>Yes, inherited property in the Philippines may be subject to HOA rules and fees. This is how it works.
Obligation to follow HOA rules and pay fees:
Heirs Become New Owners: Upon inheriting the property, you become the new owner and are governed by the current HOA rules and fees. 
Following the Covenants: HOA laws are often stated in a document known as the Covenants, Conditions, and Restrictions (CC&amp;Rs). These rules control issues including as upkeep, external appearance, and community living. As the new owner, you must follow these CC&amp;Rs.
Fees: You are also responsible for paying any HOA fees related with the property. This includes any overdue dues by the previous owner.
Management of HOA fees:
HOA Responsibilities: HOA payments often cover common area maintenance, amenities, and, in some cases, community insurance. The HOA is in charge of managing these monies and guaranteeing their proper use.
Transfer Fees: Some HOAs may charge transfer fees for changes in ownership owing to inheritance. The legitimacy of such fees is determined by the specific HOA's governing documents and must be in accordance with Philippine legislation.
Recommendations:
Review CC&amp;Rs: Request a copy of the CC&amp;Rs from the HOA to better understand the property's unique regulations and fees.
Contact the HOA: If you have any issues or complaints, speak with the HOA's officials.
Legal Consultation: If you have questions about the HOA's conduct or are in a difficult situation, consider consulting with a lawyer who specializes in property rights and homeowner associations.</t>
  </si>
  <si>
    <t>Anong mga legal na karapatan at obligasyon ang mayroon ang mga tagapagmana tungkol sa pagpapanatili at pangangalaga ng minanang ari-arian?</t>
  </si>
  <si>
    <t>Can inherited property be subject to environmental regulations or restrictions, and how does this impact its inheritance?</t>
  </si>
  <si>
    <t>Maaari bang sumailalim ang minanang ari-arian sa mga regulasyon o paghihigpit sa kapaligiran, at paano ito makakaapekto sa pamana nito?</t>
  </si>
  <si>
    <t>How does inheritance law address properties with existing rental agreements or tenants?</t>
  </si>
  <si>
    <t>The Philippine inheritance law protects existing rental agreements and tenants in inherited properties. Here's the breakdown:
Tenants' Rights:
Continuation of Lease: Upon inheritance, the existing lease agreement between the prior owner (dead) and the tenant is valid and enforceable [Civil Code of the Philippines, Article 1678].
Rights and Obligations: The new owner (heir) assumes the prior owner's obligations under the lease. This indicates that the tenant has the right to occupy the property for the remainder of the lease period under the same agreed-upon conditions (rent, terms of usage, and so on). The renter is also still required to pay rent and comply with the lease agreement's stipulations.
New Owners' Rights:
Collecting Rent: The new owner inherits the right to collect rent from the existing renter in accordance with the lease agreement.
Negotiating Renewal: After the lease ends, the new owner has the option of negotiating a new lease agreement with the tenant on new terms or declining to renew at all.
Important points:
Not applicable to informal agreements: These protections only apply to formal lease agreements with written documentation. Informal verbal agreements may prove more difficult to enforce.
Eviction: The new owner cannot evict the tenant without a sufficient reason under the Urban Development and Housing Act (RA 7219) [[invalid URL removed]].
Recommendations:
Review Lease Agreement: Carefully read the existing lease agreement to understand the remaining lease period, rent amount, and other terms.
Contact Tenant: It is best to communicate with the tenant to introduce yourself as the new owner and address any problems.
Seek Legal Advice: If there are any concerns about the leasing agreement, seek a lawyer who specializes in property and inheritance law.</t>
  </si>
  <si>
    <t>Paano tinutugunan ng batas ng mana ang mga ari-arian na may mga kasalukuyang kasunduan sa pag-upa o nangungupahan?</t>
  </si>
  <si>
    <t>Heirs in the Philippines have many legal options for donating inherited property to charitable organizations or causes. Here's an overview of the main possibilities.
1. Donation: This is the most popular choice. The heirs might enter into a Deed of Donation with the charity of their choice. Philippine Civil Code Articles 795 to 868 Important points to note about Donation:
Type of Property: Donations may be made for real property (land, buildings) or personal property (vehicles, jewels).
Tax implications: Heirs may be subject to donor's tax based on the value of the property and their relationship with the dead.
Restrictions: Restrictions may apply based on the type of inherited property and the nature of the conjugal union (if any). For example, a spouse may require the other spouse's consent for donations beyond a reasonable amount from conjugal property.
2. Sale and Donation of money: Heirs can opt to sell the inherited property and donate the money to charity. This technique avoids the donor's tax on the property but may result in capital gains tax on sale.
3. Legacy or Bequest (if applicable): If the dead left a will specifying a charitable donation, the heirs are required to carry out the contents of the will as long as they are valid. This strategy avoids the donor's tax for the heirs.
Additional considerations:
Confirmation of Charity Status: To optimize potential tax benefits, ensure that the chosen organization is a registered and approved charitable institution.
Legal Counsel: It is suggested that you consult with an estate and tax lawyer to guarantee a smooth donation process and minimize your tax liability.
Remember that these are general alternatives. The appropriate course of action will be determined by the unique circumstances surrounding your inheritance, the type of property involved, and your tax situation.</t>
  </si>
  <si>
    <t>How does the law determine the rightful heirs and their respective shares of inherited property?</t>
  </si>
  <si>
    <t>In the Philippines, if someone dies without a will (intestate), the law decides who inherits and how much. Here is the core idea:
Children and husband come first: Children generally inherit equally, and the spouse receives a part as well (usually half if there are children, more if not).
No children? If there are no children, the husband may receive more, while parents, grandparents, or illegitimate children may inherit.
If there is a legal will, it determines who inherits and how much, overriding these default guidelines.
Remember that this is a simplified explanation. In real-life situations, especially when there is no will or when things are complicated, it is best to consult with a lawyer.</t>
  </si>
  <si>
    <t>Paano tinutukoy ng batas ang mga karapat-dapat na tagapagmana at ang kani-kanilang bahagi ng minanang ari-arian?</t>
  </si>
  <si>
    <t>Can you explain the legal procedures and requirements for transferring inherited property to beneficiaries?</t>
  </si>
  <si>
    <t>In the Philippines, the process of transferring inherited property consists of various procedures that vary depending on whether the dead left a will (testate) or not. This is a general overview:
1.	Obtain a death certificate:
• Obtain a certified copy of the death certificate from your local civil register office or the Philippine Statistics Authority (PSA).
2.	Probate of Will or Declaration of Heirship:
• Probate a will in court to ensure legality. This includes filing the will with the relevant court and notifying any interested parties.
• In the absence of a will, a court will issue a Declaration of Heirs to determine who gets the property and their shares. This follows the intestate succession procedures provided in the Philippine Civil Code.
3.	Judicial or extrajudicial settlement: • If heirs cannot agree on property allocation, a court-supervised partition is required. This can be a long and costly process. • Heirs who reach an agreement on property division can use a Deed of Extrajudicial Settlement. This is a speedier and more cost-effective solution.
4.	Transfer of title: • After partitioning or settling the property, the title should be transferred to the heirs. This involves: o Submit a Deed of Adjudication to the Registry of Deeds. o Paying applicable transfer taxes. · Obtaining new titles in the heirs' names. Additional requirements:
• Obtain a Tax Identification Number (TIN) for the dead and their heirs.
• Estate taxes must be paid within a year of the decedent's passing. This includes submitting BIR Form 1904 and obtaining a Certificate Authorizing Registration from the Bureau of Internal Revenue (BIR).
• Some cases may require extra documents such as the owner's duplicate title, realty tax clearance, tax declaration, and affidavit of publication of settlement.
Important notes: • This is a broad guideline, and the method may differ based on the situation. • Consulting a lawyer who specializes in Philippine inheritance law is highly recommended. They can advise you on the best course of action for your specific scenario while also ensuring that you comply with all legal requirements.</t>
  </si>
  <si>
    <t>Maaari mo bang ipaliwanag ang mga legal na pamamaraan at mga kinakailangan para sa paglilipat ng minanang ari-arian sa mga benepisyaryo?</t>
  </si>
  <si>
    <t>In the Philippines, inheriting property carries two major financial consequences: estate tax and capital gains tax. Here's a breakdown based on Philippine law: Estate Tax: Estate tax is levied on the transfer of a deceased person's net estate to their heirs. It is effectively a levy on the privilege of inheriting property. The Bureau of Internal Revenue (BIR) collects estate taxes. There is a progressive tax rate for estates that exceed a particular threshold. The BIR website lists the current rates and exemptions.
Capital Gains Tax:
Capital gains tax is not levied immediately on inheritance. However, it may apply if the heir decides to sell the inherited property. Capital gains tax is a tax on the profits made from the sale of a capital asset, such as real estate or stock. The capital gains tax on real estate is typically 6% of the selling price or fair market value, whichever is greater.
Important to remember:
Other taxes may apply based on the type of property inherited. For example, documented stamp tax is frequently applied to real estate transactions. The specific tax status varies according to the circumstances. For further personalized counsel, consult a tax specialist who is knowledgeable with Philippine inheritance tax legislation.</t>
  </si>
  <si>
    <t>Can a will be contested, and what are the legal grounds required to challenge the distribution of inherited property?</t>
  </si>
  <si>
    <t>Yes, a will can be challenged in the Philippines under certain conditions. Here's what you need to know under Philippine law: Grounds for contesting a will:
The Philippine Civil Code specifies the reasons why a will may be prohibited (Article 839). • The will did not meet legal criteria, such as having enough witnesses and being properly notarized. • Testamentary incapacity: The testator lacked mental capacity to interpret the document at the time of signing. • Duress or undue influence: The testator was coerced into signing the will through fear or manipulation. • Fraud: A will made through fraud or dishonesty. Who can contest a will:
Generally, persons having a legal stake in the estate have the right to oppose the will. This may include: • Husband or wife • Descendants: offspring, grandkids, etc. • Ascendants: parents, grandparents, etc. • Other beneficiaries from a previous will.
Process of contesting a will: During the probate process (the judicial procedure for validating wills and distributing assets), a formal petition to contest the will is filed with the appropriate court. Evidence must be produced to back up the assertion that the will is invalid. Additional points: • Contesting a will based only on property distribution is insufficient. As previously stated, a valid legal ground must exist. • Court rulings influence how these legal bases are viewed. • Consulting a lawyer with expertise in Philippine inheritance law is highly suggested due to the complexity of the process.</t>
  </si>
  <si>
    <t>Maaari bang labanan ang isang testamento, at ano ang mga legal na batayan na kinakailangan upang hamunin ang pamamahagi ng minanang ari-arian?</t>
  </si>
  <si>
    <t>In the Philippines, the probate process addresses inherited properties with outstanding debts or mortgages, guided by the following principles:
Priorities and Duties:
Clearing Debts: The primary use of the estate's assets, including the inherited property, is to settle the deceased's obligations. This encompasses all valid debts, not limited to the mortgage (source).
Role of Executor: Whether appointed by the court or named in the will, the executor is responsible for managing the estate. This includes settling debts and distributing remaining assets to beneficiaries.
Options for Beneficiaries: Individuals inheriting property with a mortgage have several choices:
Acceptance with Mortgage: They can accept the property and assume responsibility for the outstanding mortgage payments.
Property Sale: Opting to sell the property is another alternative to settle the debt, with any surplus after the sale potentially requiring court approval.
Relinquish Inheritance: Beneficiaries can choose to renounce their claim to the property entirely.
Probate Procedure:
Asset and Debt Inventory: The executor identifies all assets and liabilities of the estate, including the inherited property and its associated mortgage.
Debt Settlement: Estate funds, such as cash and investments, are utilized by the executor to repay creditors following a legally established order. Mortgage payments may continue during this phase.
Property Disposal: Once debts are resolved or arrangements are made for their settlement, the court determines the appropriate course of action for the property in line with the beneficiary's selected option (accept, sell, renounce).
Important Factors:
Mortgage Foreclosure: Failure to maintain mortgage payments during probate or after inheritance may lead to foreclosure by the lender.
Beneficiary Responsibility: Generally, beneficiaries are not personally accountable for the deceased's debts beyond the value of the inherited property.
Tax Implications: Depending on the circumstances, estate and capital gains taxes may apply (refer to previous Q&amp;A on inheritance taxes).
Recommendations:
Seeking guidance from a lawyer specializing in Philippine probate and inheritance law is essential for effectively navigating the process and understanding implications for beneficiaries.
Executors should be well-versed in their duties regarding debt settlement and property administration.
It is crucial to note that this is a general overview, and the specific handling of inherited property with debt will depend on the unique details of each case.</t>
  </si>
  <si>
    <t>What legal options exist for heirs who wish to sell their inherited property, and what legal procedures are involved in the sale?</t>
  </si>
  <si>
    <t>Legal Choices for Heirs Selling Inherited Property
In the Philippines, heirs possess two primary choices for selling inherited property:
Extrajudicial Settlement of Estate (EJS): This option is preferable when there's no will or the will doesn't dispute the property's distribution. It offers a quicker and more cost-effective process compared to judicial settlement. The key steps include:
Agreement Among Heirs: All heirs must agree on selling the property and determining how to distribute the proceeds.
EJS Preparation: A lawyer assists in drafting and notarizing an EJS document outlining the estate's assets, debts (if any), and the agreed-upon distribution among heirs.
Publication: The EJS is published in a widely circulated newspaper for a specific period.
BIR Clearance: Heirs require a Bureau of Internal Revenue (BIR) clearance, confirming the settlement of estate taxes.
Judicial Settlement of Estate: This alternative becomes necessary if there's a will contesting the property's distribution or no will exists, and heirs cannot agree on the distribution. It involves a more prolonged and intricate process managed through court proceedings.
Legal Procedures in the Sale
Once heirs have resolved the estate through EJS or judicial settlement, they can proceed with selling the property. Here's a general outline:
Seller Selection: In cases of multiple heirs, they can collectively decide to sell the property or appoint one heir to handle the sale on behalf of all.
Tax Compliance: The sale incurs a capital gains tax (typically 6% of the selling price) that must be settled.
Sales Agreement: A lawyer can assist in crafting a sale agreement specifying the terms and conditions between the seller(s) and the buyer.
Transfer of Title: Upon complete payment, the property's title is transferred to the buyer through a Deed of Sale registered with the Registry of Deeds.
Important Considerations
Consulting with a lawyer specializing in Philippine inheritance and property law is strongly advised throughout the entire process.
Heirs should ensure all outstanding debts on the property are settled before proceeding with the sale.
Considering tax implications and ensuring compliance are critical aspects to take into account.
By adhering to these legal options and procedures, heirs in the Philippines can ensure a smooth and lawful sale of their inherited property.</t>
  </si>
  <si>
    <t>Anong mga legal na opsyon ang umiiral para sa mga tagapagmana na gustong ibenta ang kanilang minanang ari-arian, at anong mga legal na pamamaraan ang kasangkot sa pagbebenta?</t>
  </si>
  <si>
    <t>In the Philippines, disagreements among heirs over inherited property can be addressed through various channels, depending on the nature of the dispute and the goal of maintaining family unity. Here's a breakdown of the available options:
1. Amicable Settlement:
This is the preferred method, particularly if preserving family ties is a priority.
Heirs can engage in discussions and negotiations to reach an agreement on property division or management.
A lawyer can assist by mediating discussions and drafting a document outlining the agreed-upon terms.
2. Extrajudicial Settlement of Estate (EJS):
In cases where there's no will or the will doesn't challenge distribution, and a dispute arises during the EJS process, heirs can attempt to reconcile.
A lawyer can facilitate discussions and amend the EJS document to reflect the newly reached agreement.
3. Mediation:
A neutral third-party mediator guides heirs in discussing the dispute and finding a mutually acceptable solution.
This option is generally quicker and more cost-effective than court litigation.
4. Arbitration:
Similar to mediation, but the arbitrator has the authority to issue a binding decision on the dispute.
This is a more formal process with potentially higher costs compared to mediation.
5. Litigation:
If all other avenues fail, heirs can resort to filing a lawsuit in court.
This is the most adversarial and time-consuming approach, with potentially high legal fees. The court will issue a judgment on how the property should be divided or managed.
Factors to Consider When Choosing a Resolution Method:
Severity of Dispute: Minor disagreements may be addressed through amicable settlement or mediation, while complex issues might require arbitration or litigation.
Cost: Amicable settlement and mediation are generally more cost-effective than arbitration or litigation.
Time: Litigation takes the longest, while amicable settlement can lead to a quick resolution.
Preserving Relationships: If maintaining family harmony is crucial, amicable settlement or mediation are preferable options.
Recommendations:
Consulting with a lawyer specializing in Philippine inheritance law is essential. They can provide guidance on the most suitable approach for your specific situation.
Exploring alternative dispute resolution (ADR) methods like mediation or arbitration is often recommended before turning to litigation.</t>
  </si>
  <si>
    <t>Inherited property in the Philippines has the potential for joint ownership among beneficiaries. However, there are two primary methods of establishing this joint ownership, each carrying its own legal considerations:
1. Co-ownership Through the Will
The individual who created the will (testator) can explicitly mention in the document that specific beneficiaries are to jointly inherit the property.
The will should unambiguously outline the ownership percentages allocated to each beneficiary, such as a 50/50 split between two siblings.
Legal Considerations:
Will Interpretation: Ambiguities in the will's language regarding joint ownership might result in disputes, necessitating court interpretation.
Seeking legal counsel during the will drafting process is advisable to ensure clarity.
2. Co-ownership Through Extrajudicial Settlement of Estate (EJS)
In situations where there is no will or the will does not address joint ownership, heirs can mutually agree to become co-owners as part of the EJS process.
The EJS document must expressly state the agreed-upon ownership percentages for each heir.
Legal Considerations:
Heir Agreement: All involved heirs must come to a consensus regarding joint ownership and the specific distribution percentages. Disagreements have the potential to impede the EJS process or lead to litigation.
Additional Considerations for Joint Ownership:
Type of Co-ownership: Philippine law recognizes various co-ownership types, such as tenancy in common or joint tenancy with the right of survivorship. Understanding these distinctions is crucial, and legal advice can help determine the most suitable option for the specific situation.
Management and Rights: Co-owners bear rights and responsibilities concerning the property's use, upkeep, and potential sale. A documented agreement outlining these aspects can prevent future conflicts.
Recommendations:
Consulting with a lawyer specializing in Philippine inheritance law is highly recommended when contemplating joint ownership of inherited property.
A lawyer can provide guidance on the legalities of establishing joint ownership through a will or EJS and suggest the most appropriate co-ownership structure for the situation.
Having a clear and well-drafted will or EJS document specifying joint ownership and related rights can minimize the risk of future disputes among beneficiaries.</t>
  </si>
  <si>
    <t>Depending on whether the inheritance process has been completed, there are a couple of scenarios to consider:
If you've inherited property and intend to transfer it to a trust:
The common approach typically involves a deed, the type of which depends on your location and the property's nature. Here's a general outline:
Quitclaim Deed: A widely used option, this deed transfers your ownership interest in the property to the trust.
Steps involved (These are general guidelines; consult an estate planning attorney for specifics):
Conclude the inheritance process: Ensure the legal ownership of the property has been successfully transferred to you from the deceased's estate.
Seek legal advice: Consult with an attorney to discuss your unique situation and the type of trust you wish to establish (e.g., a revocable living trust). They will guide you on the appropriate deed and manage the legal aspects.
Draft and execute the deed: The attorney will prepare the deed, specifying the property and effecting the ownership transfer to the trust. You will likely need to sign it in the presence of a notary.
Record the deed: Officially transfer ownership to the trust by filing the signed deed with the relevant government office.
If the inheritance is designated for a trust in the will:
The will itself may delineate the legal process for transferring the property. It could involve the executor of the will adhering to specific instructions to convey ownership to the designated trust.
Important Considerations:
Legal Expertise: Involving an estate planning attorney throughout this process is crucial. They can ensure the transfer adheres to all legal requirements in your jurisdiction.
Type of Trust: Various trusts serve different purposes. Discuss with your attorney to determine which trust aligns best with your long-term management needs (e.g., an irrevocable trust for asset protection).
Tax Implications: Transferring property to a trust may have tax implications. Your attorney can provide guidance on potential tax liabilities.
It's essential to note that this is a simplified overview. Consulting with an estate planning attorney well-versed in your local laws is vital to guarantee a seamless and legal transfer of inherited property to a trust.</t>
  </si>
  <si>
    <t>How does the law address the inheritance of property subject to environmental regulations or restrictions?</t>
  </si>
  <si>
    <t>In the Philippines, the inheritance of property subject to environmental regulations or restrictions is governed by various laws and regulations designed to protect the environment. The laws focus on ensuring that the use and development of properties comply with environmental standards. Here are key considerations:
1. **Environmental Compliance Certificate (ECC):**
- Properties with potential environmental impacts, such as those involved in development projects, may require an Environmental Compliance Certificate (ECC). The ECC is issued by the Department of Environment and Natural Resources (DENR) after an environmental impact assessment.
2. **Protected Areas and Critical Habitats:**
- Some properties may be located within protected areas or critical habitats, where additional regulations and restrictions apply. The National Integrated Protected Areas System (NIPAS) Act and other relevant laws govern these areas.
3. **Forest Lands and Watersheds:**
- Inherited properties located in forest lands or watersheds may be subject to specific regulations to protect these vital ecosystems. Forest laws and watershed management regulations aim to ensure sustainable land use and resource conservation.
4. **Clean Air and Water Acts:**
- The Clean Air Act and the Clean Water Act impose regulations to maintain and improve air and water quality. Properties that may impact air or water quality must adhere to these laws.
5. **Solid Waste Management:**
- Inherited properties are subject to the Ecological Solid Waste Management Act, which regulates the proper disposal and management of solid waste. Compliance with waste management practices is crucial for property owners.
6. **Environmental Impact Assessment (EIA):**
- Large-scale projects or developments may require an Environmental Impact Assessment (EIA) to assess potential environmental impacts. This assessment is part of the process for obtaining an ECC.
7. **Liability for Environmental Violations:**
- Heirs may be held liable for environmental violations on inherited properties. The law allows for the imposition of penalties and fines for non-compliance with environmental regulations.
8. **Transparency and Public Participation:**
- Environmental laws often promote transparency and public participation in decision-making processes. Heirs may need to engage with relevant authorities and communities, especially if the inherited property is involved in projects that impact the environment.
When inheriting property subject to environmental regulations, it is crucial for heirs to conduct due diligence to understand the property's environmental status and compliance. Seeking legal advice and consulting with environmental experts can help navigate the complexities of environmental regulations and ensure proper adherence to the law.</t>
  </si>
  <si>
    <t>Paano tinutugunan ng batas ang pagmamana ng ari-arian na napapailalim sa mga regulasyon o paghihigpit sa kapaligiran?</t>
  </si>
  <si>
    <t>Yes, inherited property can be subject to homeowners' association (HOA) rules and fees if the property is located within a community or development that is governed by an HOA. Homeowners' associations are common in subdivisions, condominiums, and other residential communities in the Philippines. The rules and fees set by the HOA are generally binding on all property owners within the community, including heirs of inherited properties.
Here's how the management of inherited property within an HOA typically works:
1. **Obligations to the HOA:**
- Heirs of inherited property are generally obligated to comply with the rules and regulations set by the homeowners' association. These rules may cover various aspects such as architectural guidelines, use of common areas, and payment of association fees.
2. **Notification to the HOA:**
- Upon inheriting the property, heirs should notify the homeowners' association about the change in ownership. This is often done by submitting the necessary documents, such as proof of inheritance or transfer of title, to the HOA.
3. **Payment of Association Fees:**
- Heirs are typically responsible for paying association fees, which contribute to the maintenance and management of common areas, security, and other services provided by the homeowners' association.
4. **Compliance with Rules:**
- Heirs should familiarize themselves with the HOA rules and ensure compliance. This may include obtaining approval from the HOA for any structural changes or renovations to the property.
5. **Participation in HOA Meetings:**
- Heirs may have the right to participate in homeowners' association meetings, where decisions regarding community matters are discussed and voted upon.
6. **Handling Disputes:**
- If disagreements arise between heirs and the HOA, dispute resolution mechanisms outlined in the association's governing documents should be followed. This may involve mediation or other processes specified in the association's rules.
It's important for heirs to be aware of the specific HOA rules applicable to the inherited property and to maintain open communication with the association. Failure to comply with the association's rules may lead to penalties, fines, or other enforcement measures.
To ensure a smooth transition and understanding of the responsibilities associated with an inherited property within an HOA, heirs may seek legal advice and engage with the homeowners' association early in the process.</t>
  </si>
  <si>
    <t>In the Philippines, the legal rights and obligations of heirs regarding the maintenance and upkeep of inherited property are generally governed by the Civil Code of the Philippines. Here are some key points to consider:
### Rights of Heirs:
1. **Right to Possession:**
- Heirs have the right to possess and enjoy the inherited property upon the death of the decedent.
2. **Right to Lease or Rent:**
- Heirs have the authority to lease or rent out the inherited property, subject to any restrictions or conditions imposed by law or the terms of the last will and testament.
3. **Right to Income:**
- Heirs are entitled to any income generated by the inherited property, such as rental income or profits from its use.
4. **Right to Transfer:**
- Heirs have the right to sell, transfer, or otherwise dispose of their share or interest in the inherited property, unless restricted by the terms of the will or by law.
### Obligations of Heirs:
1. **Maintenance and Preservation:**
- Heirs are obligated to maintain and preserve the inherited property. This includes keeping the property in good condition and making necessary repairs to prevent deterioration.
2. **Payment of Debts and Taxes:**
- Heirs are responsible for settling the debts and obligations of the deceased, including estate taxes and other taxes related to the inherited property.
3. **Compliance with Legal Requirements:**
- Heirs must comply with legal requirements, such as registering the transfer of title with the appropriate government authorities.
4. **Respect for Co-heirs' Rights:**
- Heirs who co-own the property with others (e.g., siblings) must respect each other's rights and interests. Decisions regarding the property should be made in consultation with other co-heirs.
5. **Compliance with Will Provisions:**
- If there is a valid will, heirs are obliged to comply with the provisions stated in the will regarding the use, maintenance, and distribution of the inherited property.
It's important for heirs to communicate and cooperate with each other to ensure the proper management of the inherited property. Seeking legal advice, especially in complex situations or when disputes arise among heirs, can help clarify rights and obligations and facilitate a smooth administration of the estate.</t>
  </si>
  <si>
    <t>In the Philippines, the inheritance law primarily governed by the Civil Code of the Philippines addresses the transfer of properties upon the death of an individual. When it comes to properties with existing rental agreements or tenants, the rights and responsibilities of both the landlord and the tenants are typically considered.
Here are some key points to consider:
1. **Continuation of Rental Agreements:**
- In general, when a property owner passes away, the existing rental agreements remain valid and continue to be enforceable.
- The heirs or beneficiaries of the deceased owner assume the rights and obligations of the landlord, including those related to existing lease agreements.
2. **Notice to Tenants:**
- Heirs or beneficiaries should inform the tenants of the property owner's death as soon as possible.
- Notice may be given in accordance with the terms of the existing lease agreement or as required by local laws.
3. **Transfer of Ownership:**
- The process of transferring ownership to the heirs or beneficiaries may involve legal procedures, such as probate of the will or settlement of the estate.
- The transfer of ownership does not automatically terminate existing lease agreements.
4. **Rights of Heirs/Beneficiaries:**
- Heirs or beneficiaries have the right to receive rental income from the property, just as the deceased owner did.
- They are responsible for maintaining the property and fulfilling the terms of any existing leases.
5. **Tenant Protection:**
- Tenants are generally protected under existing lease agreements and applicable tenancy laws.
- The death of the landlord does not typically affect the tenant's right to occupancy, subject to the terms of the lease.
6. **Lease Agreement Terms:**
- It is important to review the terms of the existing lease agreements to determine any specific provisions regarding the transfer of ownership or the death of the landlord.
It's crucial for both heirs and tenants to communicate openly and adhere to the terms of existing agreements. Legal advice may be sought to ensure a smooth transition and to address any specific issues that may arise during the transfer of inherited properties with existing rental agreements.</t>
  </si>
  <si>
    <t>Can inherited property be subject to zoning regulations or land-use restrictions, and what legal implications does this have?</t>
  </si>
  <si>
    <t>Absolutely. Inherited property **can definitely be subject to zoning regulations or land-use restrictions** in the Philippines. These regulations dictate how a property can be used within a specific zoning district.
Here's a breakdown of the implications:
**Zoning and Land-Use Restrictions:**
* Local government units (LGUs) like municipalities or cities implement zoning ordinances to plan and regulate land use within their jurisdiction. These ordinances divide the area into different zoning districts (e.g., residential, commercial, industrial).
* Each zoning district has specific permissible uses for land and structures within its boundaries. For example, residential zones might primarily allow single-family homes, while commercial zones might permit stores and offices.
**Impact on Inherited Property:**
* Even if the property was previously used for a certain purpose by the deceased, zoning regulations at the present time will dictate its allowable uses. * Heirs inheriting the property must comply with existing zoning restrictions. They can use the property for purposes permitted within the designated zoning district of the property's location.
* **Non-conforming Uses:** If the inherited property is being used for a purpose that is no longer allowed in the current zoning district (called a non-conforming use), there might be special provisions that allow the existing use to continue under certain conditions. However, modifications or expansions to the non-conforming use might be restricted.
**Legal Implications:**
* **Non-Compliance:** Using inherited property in violation of zoning regulations can lead to legal issues. The LGU can issue warnings, fines, or even seek court orders to force compliance. * **Development Plans:** If heirs intend to develop the inherited property (e.g., construct a new building), they must ensure the planned development complies with zoning regulations and obtain necessary permits from the LGU.
* **Zoning Changes:** In some cases, zoning ordinances might be amended by the LGU through a public hearing process. Heirs can participate in such processes to advocate for zoning changes that better suit their development plans for the inherited property. However, approval of zoning amendments is not guaranteed.
**Recommendations:**
* **Research Zoning Regulations:** Heirs should research the specific zoning regulations applicable to the inherited property. This information can usually be obtained from the LGU's planning office.
* **Consult a Lawyer:** If there are ambiguities regarding zoning permissibility or development plans, consulting a lawyer experienced in land-use law is advisable. They can advise on compliance requirements and potential options for using the inherited property within zoning regulations.
**In conclusion,** zoning regulations are a significant factor to consider when inheriting property. Understanding the zoning restrictions applicable to the property and ensuring compliance can help heirs avoid legal issues and make informed decisions about how to use or develop their inheritance.</t>
  </si>
  <si>
    <t>Maaari bang sumailalim ang minanang ari-arian sa mga regulasyon sa pagsona o mga paghihigpit sa paggamit ng lupa, at anong mga legal na implikasyon ang mayroon ito?</t>
  </si>
  <si>
    <t>Heirs in the Philippines have several legal options for donating their inherited property to charitable organizations or causes. Here's a breakdown of the most common methods:
**Direct Donation:**
* The simplest approach is a **direct donation**. You can transfer ownership of the property directly to the chosen charity through a deed of donation. This deed should be properly drafted and notarized to ensure legality.
* **Tax Implications:** While donations to registered charitable organizations in the Philippines might be tax-deductible, consult a tax professional to understand the specific rules and requirements for claiming tax deductions related to property donations.
**Selling the Property and Donating the Proceeds:**
* Heirs can choose to **sell the inherited property** and donate the proceeds from the sale to the charity of their choice. This might be preferable if the charity has specific needs that can be better addressed with cash donations.
* **Tax Implications:** Capital gains tax might apply on the sale of the property. Consulting a tax professional can help you understand your tax obligations and maximize the donation amount reaching the charity.
**Charitable Remainder Trust:**
* A **charitable remainder trust** can be a more complex but potentially beneficial option. This involves creating a trust that holds the inherited property. The trust pays income to the heirs for a set period or lifetime, and then donates the remaining property value to the designated charity upon trust termination.
* **Tax Benefits:** This option might offer tax benefits such as a charitable income tax deduction when the trust is funded and avoidance of capital gains tax on the property's sale (if the trust sells it). However, it's important to consult with a lawyer and tax professional to understand the specific tax implications and ensure the trust is structured correctly.
**Considerations When Choosing a Method:**
* **Value of the Property:** The value of the inherited property can influence the best method. Direct donation might be simpler for less valuable properties, while charitable remainder trusts might be more suitable for high-value assets.
* **Charity's Needs:** Consider the charity's needs and how they can best utilize your donation. If they need the property itself, direct donation is ideal. For cash needs, selling the property and donating proceeds might be better.
* **Tax Implications:** Understanding the potential tax consequences of each option is crucial to maximize the donation's impact and minimize your tax burden. Consulting a tax professional is highly recommended.
**Additional Considerations:**
* **Due Diligence on Charities:** Before donating to any charity, research their reputation and ensure they are registered with the Securities and Exchange Commission (SEC) or have a valid Donor's Tax Exemption (DTE) issued by the Bureau of Internal Revenue (BIR).
* **Seek Legal and Tax Advice:** Consulting a lawyer experienced in estate planning and a tax professional can guide you through the legal process of donating inherited property, advise on the most tax-efficient method for your situation, and draft necessary documents like deeds of donation or trust agre</t>
  </si>
  <si>
    <t>Can inherited property be used as collateral for loans or financial transactions, and what legal considerations should be taken into account?</t>
  </si>
  <si>
    <t>Yes, inherited property in the Philippines **can be used as collateral for loans or financial transactions** once you have clear ownership of the property. Here's a breakdown of the legal considerations to keep in mind:
**Using Inherited Property as Collateral:**
* **Clear Title and Ownership Proof:** Ensure you have a **clear title** to the property and proof of ownership. This might involve documents from the probate process or an extrajudicial settlement if applicable.
* **No Existing Encumbrances:** Verify that the property is **free from encumbrances** like mortgages or liens. These can complicate using the property as collateral as the lender might be hesitant if there are already claims against the property.
* **Loan-to-Value Ratio (LTV):** Lenders consider the **loan amount** compared to the property's **appraised value** (LTV). A lower LTV generally means better loan terms like lower interest rates. Inheriting property increases your borrowing capacity as it contributes to your available assets.
**Legal Considerations:**
* **Will or Intestacy:** * **Will:** If there's a will, ensure its provisions allow using the property as collateral. Some wills might have restrictions on how beneficiaries can use the inherited property.
* **Intestacy:** If there's no will and the property is inherited through intestacy laws, all heirs' consent might be required before using it as collateral to avoid future disputes.
* **Multiple Heirs:** If there are multiple heirs to the property, you might need their written consent to use it as collateral, especially if their names are still on the title. Having a clear agreement among heirs regarding the collateral usage protects everyone's interests. * **Legal Advice:** Consulting a lawyer experienced in real estate and loan transactions is recommended. They can advise on specific requirements based on your situation (e.g., presence of a will, multiple heirs), potential risks involved, and the legal steps to properly use inherited property as collateral.
**Additional Considerations:**
* **Loan Terms:** Carefully review the loan terms offered by the financial institution before using inherited property as collateral. Understand the interest rates, repayment conditions, and potential consequences of defaulting on the loan.
* **Risk of Loss:** Using property as collateral carries the risk of foreclosure if you fail to repay the loan. Ensure you can comfortably afford the loan monthly payments to avoid jeopardizing your inheritance.
**In conclusion,** inherited property can be a valuable asset to use as collateral for loans. However, it's essential to address legal considerations like ownership clarity, absence of encumbrances, and compliance with any will provisions or agreements among heirs. Consulting a lawyer can help you navigate the process smoothly and mitigate potential risks.</t>
  </si>
  <si>
    <t>Maaari bang gamitin ang minanang ari-arian bilang collateral para sa mga pautang o mga transaksyong pinansyal, at anong mga legal na pagsasaalang-alang ang dapat isaalang-alang?</t>
  </si>
  <si>
    <t>How are inheritances of property with significant personal belongings or valuables handled, and what legal steps are involved in their distribution?</t>
  </si>
  <si>
    <t>Inheriting property with significant personal belongings or valuables adds another layer to the inheritance process in the Philippines. Here's a breakdown of how these are typically handled and the legal steps involved in their distribution:
**Distribution Methods:**
* **Will with Specific Instructions:** If the deceased left a **will with specific instructions** regarding the distribution of personal belongings and valuables, those instructions should be followed as long as they comply with the law. The will might list beneficiaries for specific items or outline a division method (e.g., each heir chooses items in turn).
* **Intestacy Laws (No Will):** If there's no will, **intestacy laws** dictate the distribution of **all** assets of the deceased, including personal belongings and valuables. These laws don't consider sentimental value and divide assets based on fair market value, which might lead to disputes among heirs. * **Agreement Among Heirs:** Regardless of a will's presence, heirs can always reach an **agreement** on distributing personal belongings and valuables. This can involve negotiation, considering sentimental value alongside fair market value, or letting heirs choose items in turn based on a predefined order.
**Legal Steps Involved:**
The legal steps involved depend on the presence of a will and the distribution method chosen. Here's a general guideline:
* **With a Will and Specific Instructions:**
* **Probate (if applicable):** If the estate goes through probate, the court oversees the distribution of assets according to the will. This might involve appraising valuables to ensure fair division if the will specifies division based on value.
* **Executor's Role:** The **executor** named in the will is responsible for identifying and inventorying personal belongings and valuables, ensuring proper distribution as per the will's instructions.
* **With a Will But No Specific Instructions or No Will (Intestacy):**
* **Extrajudicial Settlement (if applicable):** If all heirs are of legal age and agree on the distribution (including personal belongings and valuables), an **extrajudicial settlement** can be arranged to avoid probate. This involves a formal agreement outlining the distribution plan.
* **Legal Consultation:** Consulting a lawyer is recommended to ensure a fair and legally sound distribution process, especially if there's no will or disagreements arise among heirs. The lawyer can advise on appraising valuables and mediating agreements if necessary.
**Additional Considerations:**
* **Appraisals:** For valuable items like jewelry, art, or antiques, professional **appraisals** might be needed to determine fair market value and ensure an equitable distribution among heirs, especially if the will specifies division based on value.
* **Tax Implications:** Depending on the value of the inherited belongings and valuables, inheritance taxes might apply. A lawyer can advise on tax obligations and filing requirements.
* **Sentimental Value vs. Fair Market Value:** Distributing personal belongings can be emotionally charged due to sentimental value attached to certain items. Open communication and consideration among heirs are crucial to reach agreements that honor both sentimental attachment</t>
  </si>
  <si>
    <t>Paano pinangangasiwaan ang mga mana ng ari-arian na may mahahalagang personal na ari-arian o mahahalagang bagay, at anong mga legal na hakbang ang nasasangkot sa pamamahagi ng mga ito?</t>
  </si>
  <si>
    <t>What are the legal requirements for transferring inherited property located in a different jurisdiction or country?</t>
  </si>
  <si>
    <t>Inheriting property located in a different jurisdiction or country adds an extra layer of complexity to the process. Here's a breakdown of the general legal requirements for transferring inherited property internationally:
**Understanding Local Laws:**
* The **laws of the country where the property is located** dictate the specific legal requirements for transferring inherited property. These laws can differ significantly from the laws of your home jurisdiction or the country of the deceased.
* **Seek Legal Counsel:** Consulting with a **lawyer experienced in international estate law** in the country where the property is located is crucial. They can advise you on the specific legal procedures involved and ensure compliance with local regulations.
**Potential Requirements:**
* **Probate in the Foreign Country:** Even if probate has already occurred in your home jurisdiction, an **ancillary probate** might be required in the country where the property is located. This process involves appointing a local representative to handle the transfer of the property according to local laws.
* **Taxes:** You might be liable for **inheritance taxes** in the country where the property is located. These taxes can be substantial and should be factored into your decision to accept the inheritance.
* **Currency Exchange:** Consider the **currency exchange rates** when transferring funds related to the inheritance process. Fluctuations can affect the final amount you receive.
* **Treaties and Agreements:** Some countries have **treaties** or **agreements** in place to reduce double taxation and streamline the inheritance process for foreign heirs. A lawyer can advise on the applicability of such treaties in your specific case.
**Additional Considerations:**
* **Translation of Documents:** All documents related to the inheritance (will, probate orders, etc.) might need to be **translated and certified** by a translator authorized in the foreign country.
* **Timeframe:** The process of transferring inherited property internationally can be **time-consuming** due to different legal systems and bureaucracy. Be prepared for potential delays.
**Importance of Planning:**
* If you anticipate inheriting property abroad, encourage the deceased to consult with an **international estate planning lawyer**. Proper planning through wills and other instruments can minimize complications and costs during the inheritance process.
**In conclusion,** transferring inherited property located in a different jurisdiction requires careful consideration of foreign laws, potential taxes, and legal procedures. Consulting with a qualified lawyer experienced in international estate law is essential to ensure a smooth and legally compliant transfer.</t>
  </si>
  <si>
    <t>Ano ang mga legal na kinakailangan para sa paglilipat ng minanang ari-arian na matatagpuan sa ibang hurisdiksyon o bansa?</t>
  </si>
  <si>
    <t>Can inherited property be subject to eminent domain or government acquisition, and what legal protections do heirs have in such cases?</t>
  </si>
  <si>
    <t>Yes, inherited property **can be subject to eminent domain** or government acquisition in the Philippines. However, the government must follow **specific procedures and provide just compensation** to the heirs as legal protections exist.
Here's a breakdown of the key points:
**Eminent Domain and Heirs:**
* The Philippine Constitution grants the government the power of eminent domain. This allows them to take private property for **public use**, upon payment of just compensation.
* Heirs become the new owners of the property upon inheritance. Therefore, the government can exercise eminent domain over inherited property if it serves a public purpose.
**Legal Protections for Heirs:**
* **Just Compensation:** A crucial protection for heirs is the right to **just compensation**. The government must pay a fair market value for the property being acquired. This compensation should be enough to put the heirs in the same financial position as they would have been without the acquisition.
* **Right to Challenge:** Heirs have the legal right to **challenge** the government's use of eminent domain. They can dispute the following:
* **Public Use:** Heirs can contest whether the acquisition truly serves a public purpose.
* **Just Compensation:** Heirs can argue that the offered compensation is inadequate and seek a fairer market value through negotiation or legal action.
* **Due Process:** The government must follow **due process** procedures for acquisition. This involves proper notification to heirs and providing an opportunity to be heard before the property is taken.
**Recommendations:**
* **Consult a Lawyer:** If your inherited property is being targeted for eminent domain, consulting with a lawyer experienced in real estate and eminent domain law is essential. They can advise you on your legal rights, help negotiate just compensation, and represent you in court if necessary.
* **Gather Evidence:** Document the property's condition, market value through appraisals, and any proof that contradicts the claimed public purpose of the acquisition. This evidence can be valuable in negotiations or legal proceedings.
* **Explore Alternatives:** Depending on the situation, you might be able to explore alternatives with the government, such as negotiating a partial acquisition or relocation assistance if the entire property isn't essential. **In conclusion,** while eminent domain can affect inherited property, heirs have legal protections to ensure fair compensation and due process. Seeking legal advice and understanding your rights can help you navigate the eminent domain process effectively.</t>
  </si>
  <si>
    <t>Maaari bang sumailalim ang minanang ari-arian sa eminent domain o pagkuha ng gobyerno, at anong mga legal na proteksyon ang mayroon ang mga tagapagmana sa mga ganitong kaso?</t>
  </si>
  <si>
    <t>How does the law address the inheritance of property with existing easements or encumbrances, and what legal implications do these have for heirs?</t>
  </si>
  <si>
    <t>In the Philippines, **easements and encumbrances on a property transfer with the property itself**. This means that whoever inherits the property also inherits the rights and obligations associated with these easements and encumbrances.
Here's a breakdown of how the law addresses inheritance of encumbered properties:
**Easements:**
* An **easement** grants a specific right to use part of another person's property for a limited purpose. Common examples include right of way (access through another's land) or utility easements (allowing utility companies to install lines on the property).
* **Impact on Heirs:** When you inherit a property with an easement, you must respect the rights granted in the easement agreement. For instance, if your inheritance has an easement granting your neighbor a right of way across a portion of the land, you cannot block their access.
**Encumbrances:**
* An **encumbrance** is a claim or lien against a property that restricts the owner's full rights. This can include mortgages, taxes, or judgments against the deceased.
* **Impact on Heirs:** Heirs inheriting property with encumbrances become responsible for fulfilling the obligations attached to those encumbrances. For example, if the deceased had a mortgage on the property, the heirs would be responsible for making the mortgage payments or risk foreclosure.
**Legal Implications for Heirs:**
* **Understanding the Encumbrance:** It's crucial for heirs to understand the specific easements and encumbrances attached to the inherited property. This information should be disclosed during the probate process or through title documents.
* **Potential Impact on Value:** Easements and encumbrances can affect the marketability and value of the property. Heirs should factor in these restrictions when considering keeping or selling the inherited property.
* **Financial Obligations:** In case of encumbrances like mortgages, heirs become liable for the outstanding debt. They need to decide if they can afford the payments or if selling the property is a better option to settle the debt.
* **Dispute Resolution:** If disagreements arise among heirs regarding their obligations toward easements or encumbrances, legal consultation might be necessary to resolve the dispute.
**Recommendations:**
* **Consult a Lawyer:** Seek legal advice from a lawyer experienced in real estate and inheritance law. They can explain the specific implications of easements and encumbrances on your inherited property and advise on the best course of action. * **Full Disclosure by Seller:** If you're considering purchasing a property, ensure full disclosure by the seller regarding any existing easements and encumbrances. Have a lawyer review the property title and related documents to verify this information.
**In conclusion,** inheriting a property with easements and encumbrances comes with both rights and obligations. Understanding the legal implications of these restrictions can help heirs make informed decisions about managing or disposing of the inherited property.</t>
  </si>
  <si>
    <t>Paano tinutugunan ng batas ang pagmamana ng ari-arian na may mga umiiral na easement o encumbrances, at anong mga legal na implikasyon ang mayroon ang mga ito para sa mga tagapagmana?</t>
  </si>
  <si>
    <t>What are the legal requirements for inheriting property?</t>
  </si>
  <si>
    <t>The legal requirements for inheriting property in the Philippines depend on whether there's a **will** or not. Here's a breakdown of the key points:
**With a Will:**
* **Validity of the Will:** The will must be **valid** according to Philippine law. This means it must be properly signed by the testator (person making the will) and witnesses, and meet formality requirements outlined in the Civil Code.
* **Identification as a Beneficiary:** You must be clearly identified as a beneficiary in the will. The will should specify the property you inherit and the share you receive.
**Without a Will (Intestacy):**
* **Intestacy Laws Apply:** The distribution of property is governed by **intestacy laws**. These laws dictate how the estate **must** be divided among **compulsory heirs**. This bypasses the deceased's wishes and might not align with their original intention for property inheritance.
* **Compulsory Heir Status:** You must be classified as a **compulsory heir** under Philippine law to inherit property through intestacy. Compulsory heirs include:
* **Spouse:** Entitled to a portion of both conjugal property and the deceased spouse's separate property (share depends on presence of descendants).
* **Descendants (Children, Grandchildren):** Generally inherit a majority of the estate, shared equally.
* **Ascendants (Parents, Grandparents) in the absence of descendants:** Inherit a share of the estate if the deceased has no children or grandchildren.
**Additional Requirements:**
* **Settlement of Debts and Taxes:** Before property can be distributed to beneficiaries, all debts and taxes of the deceased estate must be settled. This might involve selling assets if necessary.
* **Extrajudicial Settlement (if applicable):** If all heirs are of legal age and agree on the property distribution outlined in the will (or by intestacy laws if no will exists), an **extrajudicial settlement** can be arranged. This avoids probate court and streamlines the process. A lawyer can advise on the feasibility of extrajudicial settlement in your specific case. **Importance of Legal Guidance:**
* Inheritance laws can be complex. Consulting with a lawyer experienced in estate planning and inheritance law is recommended. They can advise on the validity of a will, your rights as a beneficiary under a will or intestacy laws, and guide you through the legal process of inheriting property.
**In conclusion,** the legal requirements for inheriting property depend on the presence of a will and your status as a beneficiary or compulsory heir. Understanding these requirements and seeking legal advice can ensure a smooth and legally sound inheritance process.</t>
  </si>
  <si>
    <t>Ano ang mga legal na kinakailangan para sa pagmamana ng ari-arian?</t>
  </si>
  <si>
    <t>How does probate affect the inheritance process?</t>
  </si>
  <si>
    <t>Probate plays a significant role in the inheritance process in the Philippines, but it doesn't always apply. Here's a breakdown of how probate affects inheritance:
**What is Probate?**
* Probate is a legal process overseen by a court to determine the validity of a will (if one exists), identify beneficiaries, settle debts and taxes of the deceased, and distribute the remaining assets to heirs.
**When is Probate Required?**
* Probate is not mandatory for **all** inheritance situations in the Philippines. It generally applies in the following cases:
* **Presence of Complex Assets:** If the deceased has significant assets like real estate, investments, or multiple bank accounts, probate is often required to verify ownership and ensure a smooth transfer to beneficiaries.
* **No Will or Unclear Will:** If there's no will or the existing will is unclear and contested, probate becomes necessary to determine legal heirs and distribute assets according to intestacy laws (if no will).
* **Disputes Among Heirs:** If disagreements arise among beneficiaries regarding the validity of the will or the distribution of assets, probate provides a legal framework for resolving the dispute.
**When is Probate Not Required?**
* In certain situations, inheritance can proceed without probate, offering a faster and less expensive process. These scenarios include:
* **Minimal Assets:** If the deceased has a limited estate consisting primarily of personal belongings and a small amount of cash, an extrajudicial settlement can be arranged among heirs to divide the assets without court involvement.
* **Bank Accounts with Named Beneficiaries:** Bank accounts with designated beneficiaries automatically transfer ownership to the beneficiary upon the account holder's death, bypassing probate.
**Impact of Probate on Inheritance**
* **Time:** Probate can be a time-consuming process, taking anywhere from months to years to complete, depending on the complexity of the estate.
* **Cost:** Probate involves court fees, lawyer's fees, and other administrative expenses, which can deplete the estate's value before distribution to beneficiaries. * **Transparency:** Probate provides a public record of the estate's administration, which can be important for transparency and dispute resolution.
**Alternatives to Probate:**
* Consider creating a living trust during life to transfer ownership of assets to a trustee who manages them for the benefit of named beneficiaries upon your death. This can avoid probate for assets placed in the trust.
**Importance of Planning:**
* Having a well-drafted will and exploring estate planning strategies like living trusts can help minimize the need for probate and ensure a smoother inheritance process for your loved ones.
**In conclusion,** probate is a legal process that can significantly impact the inheritance timeline and costs in the Philippines. Understanding when probate applies and exploring alternatives can help you plan your estate effectively and streamline the inheritance process for your beneficiaries.</t>
  </si>
  <si>
    <t>Paano nakakaapekto ang probate sa proseso ng mana?</t>
  </si>
  <si>
    <t>Can a will be contested in court? If so, on what grounds?</t>
  </si>
  <si>
    <t>Yes, a will can be contested in court in the Philippines under certain circumstances. Here's a breakdown of the **grounds for contesting a will**:
**Limited Grounds for Contest:**
* The Philippine legal system presumes a will to be **valid**. The burden of proof falls on the party contesting the will to demonstrate a valid reason why it should be declared invalid.
**Common Grounds for Contest:**
* **Formal Defects:** The will must comply with specific formalities outlined in the Civil Code. Examples of formal defects include:
* Not being properly signed by the testator (person making the will) and witnesses.
* Lack of the required number of witnesses (usually two or more).
* Witness incompetence (e.g., being a minor or of unsound mind).
* **Testamentary Capacity:** The testator must have had **testamentary capacity** at the time of signing the will. This means they must have been of sound mind and understood the consequences of their actions. Factors like mental illness, intoxication, or extreme age might be considered.
* **Undue Influence:** The will was created as a result of **undue influence** on the testator. This means someone pressured or coerced the testator into making a will against their wishes.
* **Mistake:** The will contains a mistake that misrepresents the testator's true intentions. This could be due to scrivener's error (error by the person who wrote the will) or a misunderstanding by the testator.
**Proving the Grounds:**
* The party contesting the will needs to present credible evidence in court to support their claims regarding formal defects, testamentary capacity, undue influence, or mistake. This evidence might include medical records, witness testimonies, or earlier will drafts.
**Seeking Legal Counsel:**
* Contesting a will is a complex legal process. Consulting with a lawyer experienced in estate litigation is essential. They can advise on the validity of your claims and guide you through the court procedures involved in contesting a will.
**Additional Considerations:**
* **Time Limits:** There might be statutory time limits for contesting a will in the Philippines. It's crucial to act promptly if you believe the will is invalid.
* **Costly Process:** Contesting a will can be a lengthy and expensive process. Weigh the potential benefits against the costs involved before deciding to contest.
**In conclusion,** while wills are generally presumed valid in the Philippines, there are limited grounds for contesting them in court. Understanding these grounds and seeking legal advice can be valuable if you believe a will is invalid and you wish to challenge it.</t>
  </si>
  <si>
    <t>Maaari bang labanan ang isang testamento sa korte? Kung gayon, sa anong mga batayan?</t>
  </si>
  <si>
    <t>What happens if someone dies without a will?</t>
  </si>
  <si>
    <t>In the Philippines, if someone dies **without a will** (intestacy), several things happen:
* **Intestacy Laws Apply:** The distribution of their assets is governed by **intestacy laws**. These predefined laws dictate how the estate **must** be divided among **compulsory heirs**. This bypasses the deceased's wishes and can lead to an unintended distribution of assets compared to having a will.
* **Compulsory Heirs Inherit:** Close relatives considered **compulsory heirs** by law automatically inherit a share of the estate. These include:
* **Spouse:** Entitled to a portion of both conjugal property and the deceased spouse's separate property (share depends on presence of descendants).
* **Descendants (Children, Grandchildren):** Generally inherit a majority of the estate, shared equally.
* **Ascendants (Parents, Grandparents) in the absence of descendants:** Inherit a share of the estate if the deceased has no children or grandchildren.
* **Predefined Shares:** The intestacy laws specify the **share** each compulsory heir receives. These shares vary depending on the combination of surviving relatives (spouse, descendants, ascendants). * **Potential Complexities:**
* **Disagreements among heirs:** Without a clear will outlining distribution wishes, heirs might disagree on the division of assets, leading to conflict.
* **Extrajudicial Settlement vs. Probate Court:** If all heirs agree and are of legal age, an **extrajudicial settlement** can be arranged to avoid probate court. This streamlines the process but may require legal guidance.
* **Unintended Distribution:** The deceased loses control over how their assets are distributed. Assets might not go to intended beneficiaries outside the compulsory heir category.
**Importance of a Will:**
Having a **will** allows you to clearly state your wishes regarding asset distribution after death. It can help:
* **Avoid Intestacy:** Bypasses the uncertainties of intestacy laws and ensures your assets go to your chosen beneficiaries.
* **Minimize Conflict:** A clear will reduces the likelihood of disputes among heirs about inheritance.
* **Protect Loved Ones:** You can specify guardians for minor children and distribute assets as you see fit.
**Recommendation:**
Consulting with a lawyer experienced in estate planning is highly recommended. They can guide you through the will creation process, ensure compliance with Philippine law, and help you plan for a smooth inheritance process for your loved ones.</t>
  </si>
  <si>
    <t>Ano ang mangyayari kung ang isang tao ay namatay nang walang testamento?</t>
  </si>
  <si>
    <t>How are assets distributed if there is no will?</t>
  </si>
  <si>
    <t>In the Philippines, if a person dies **without a will** (intestacy), the distribution of their assets is governed by **intestacy laws**. These laws dictate how the estate **must** be divided among **compulsory heirs**.
Here's a breakdown of how assets are distributed in the absence of a will:
**Compulsory Heirs and Shares:**
* The **intestacy laws** identify specific relatives considered **compulsory heirs**. These heirs are entitled to a **prescribed share** of the deceased's estate. The shares vary depending on the surviving relatives:
* **Presence of Spouse and Descendants (Children, Grandchildren):** The estate is generally divided as follows:
* **Surviving Spouse:** Gets ½ (one-half) of the conjugal property **and** ⅓ (one-third) of the deceased spouse's separate property.
* **Descendants:** Share the remaining ⅓ (one-third) of the separate property equally.
* **Absence of Descendants but Presence of Spouse and Ascendants (Parents):** The estate is split as follows:
* **Surviving Spouse:** Gets ½ (one-half) of the conjugal property **and** ⅔ (two-thirds) of the deceased spouse's separate property.
* **Ascendants:** Share the remaining ⅓ (one-third) of the separate property equally.
* **Absence of Descendants and Spouse but Presence of Ascendants:** The entire estate goes to the ascendants (parents or ancestors), shared equally.
**Important Considerations:**
* **Illegitimate Children:** Legally recognized illegitimate children **also qualify** as compulsory heirs and are entitled to a share of the inheritance.
* **Predeceased Heirs:** If a child predeceased the deceased (died before them), their share generally passes on to their descendants (grandchildren of the deceased) by representation.
* **Extrajudicial Settlement:** If all heirs are of legal age and agree on the distribution, an **extrajudicial settlement** can be arranged. This avoids probate court and streamlines the process.
**Seeking Legal Advice:**
* Even with intestacy laws, the inheritance process can be complex. Consulting with a lawyer experienced in intestacy and estate administration is recommended. They can advise on the proper application of intestacy laws to your specific situation and ensure a fair distribution of assets among heirs.
**In conclusion,** the absence of a will doesn't prevent inheritance, but it **triggers intestacy laws** to distribute the estate among compulsory heirs. Understanding these laws and potentially seeking legal guidance can help ensure a smooth inheritance process according to Philippine regulations.</t>
  </si>
  <si>
    <t>Paano ipinamamahagi ang mga ari-arian kung walang kalooban?</t>
  </si>
  <si>
    <t>What is the role of an executor in the inheritance process?</t>
  </si>
  <si>
    <t>The executor plays a critical role in the inheritance process in the Philippines. They are the **personal representative** of the deceased's estate, responsible for managing the assets and distributing them to beneficiaries according to the will or intestacy laws.
Here's a breakdown of the key responsibilities of an executor in the Philippines:
**Gathering and Securing Assets:**
* Locate all the deceased's assets, including bank accounts, investments, real estate, and personal belongings.
* Secure the assets to prevent loss or damage. This might involve closing bank accounts, obtaining probate (if necessary), and insuring property.
**Paying Debts and Taxes:**
* Identify all the deceased's debts, including mortgages, loans, credit card debt, and unpaid taxes.
* Pay off these debts using funds from the estate in the correct order of priority as defined by Philippine law.
**Managing the Estate:**
* Manage the estate's assets prudently until they are distributed to beneficiaries. This might involve collecting rents from real estate, investing funds appropriately, or disposing of unnecessary assets.
**Locating Beneficiaries:**
* Identify and locate all beneficiaries named in the will or defined by intestacy laws. This might involve research and communication efforts.
**Distributing Inheritance:**
* Once debts and taxes are paid, and the estate is settled, distribute the remaining assets to beneficiaries according to the instructions in the will (if any) or intestacy laws.
**Additional Responsibilities:**
* Depending on the complexity of the estate, the executor might need to handle additional tasks such as:
* Filing legal documents for probate (if necessary)
* Dealing with appraisals for assets
* Managing legal challenges to the will (if any)
* Filing final tax returns for the deceased
**Qualifications and Considerations:**
* The executor is usually named in the deceased's will. It can be a trusted friend, family member, lawyer, or trust company.
* The executor should be someone responsible, organized, and familiar with estate administration procedures.
* In complex estates, appointing a professional executor like a lawyer or trust company might be advisable.
**Importance of the Executor's Role:**
* The executor's role is essential for ensuring a smooth and efficient inheritance process. They protect the assets, fulfill the deceased's wishes (as expressed in the will), and distribute the inheritance fairly to beneficiaries.
**In conclusion,** the executor shoulders significant responsibility in the Philippine inheritance process. Understanding their duties and the importance of their role can help ensure a fair and orderly distribution of the deceased's estate.</t>
  </si>
  <si>
    <t>Ano ang tungkulin ng isang tagapagpatupad sa proseso ng pamana?</t>
  </si>
  <si>
    <t>Can someone be disinherited, and under what circumstances?</t>
  </si>
  <si>
    <t>Yes, someone can be disinherited in the Philippines, but there are strict limitations on when and how this can happen. Philippine law protects compulsory heirs, which are close relatives entitled to a share of the estate. Disinheritance can only occur under specific circumstances outlined in the law, and it must be done through a valid will.
Here's a breakdown of the key points on disinheritance in the Philippines:
**Compulsory Heirs:**
* The Philippines recognizes **compulsory heirs** who have a **legal right** to inherit a portion of the deceased's estate. These include:
* **Legitimate descendants (children, grandchildren):** They generally inherit the majority of the estate.
* **Surviving spouse:** Entitled to a minimum share of the conjugal property and a portion of the deceased spouse's separate property (depending on the presence of descendants).
* **Ascendants (parents, grandparents) in the absence of descendants:** If the deceased has no children or grandchildren, parents or ancestors inherit a share of the estate.
**Grounds for Disinheritance:**
* A compulsory heir **can be disinherited only for specific reasons** stated in the Civil Code. These reasons include:
* **Certain crimes against the testator (person making the will) or their family:** This can include physical violence, threats, or attempts against the life of the testator, their spouse, descendants, or ascendants.
* **Formal accusation of a crime known to be false:** If a compulsory heir falsely accuses the testator of a serious crime punishable by imprisonment for more than six years, disinheritance may be possible.
* **Abandonment of the testator without justifiable cause:** This applies more commonly to children who abandon their parents without a valid reason.
* **Seduction, corruption, or concubinage:** In rare cases, if a parent induces their child into an immoral lifestyle, disinheritance might be considered.
**Requirements for Disinheritance:**
* Even when grounds exist, disinheritance must be done properly to be valid. Here's what's required:
* **Disinheritance through a will:** There must be a valid will explicitly mentioning the disinheritance and stating the grounds for it.
* **Clear and convincing evidence:** The reasons for disinheritance should be clearly stated in the will, and evidence might be required to support the claims (e.g., police reports for crimes).
**Seeking Legal Advice:**
* Disinheritance can be a complex legal matter. Consulting with a lawyer experienced in estate planning and inheritance law is highly recommended. They can advise on the validity of disinheritance clauses in a will and guide parties through the legal process if a disinheritance is contested. **In conclusion,** while disinheritance is possible in the Philippines under specific circumstances, it's subject to strict legal requirements. Understanding the grounds for disinheritance, the proper procedures, and seeking legal guidance can help ensure a fair and legally sound inheritance process.</t>
  </si>
  <si>
    <t>Maaari bang mawalan ng mana ang isang tao, at sa ilalim ng anong mga pangyayari?</t>
  </si>
  <si>
    <t>How are debts handled in the inheritance process?</t>
  </si>
  <si>
    <t>In the Philippines, debts are handled in the inheritance process **before** assets are distributed to beneficiaries. Here's a breakdown of the key points:
**Debts Take Precedence:**
* All **valid debts** of the deceased **must be settled** before any inheritance is distributed to beneficiaries. This includes mortgages, loans, credit card debt, unpaid taxes, and other financial obligations.
**Estate as Source of Payment:**
* The estate itself, which encompasses all the deceased's assets, is the primary source for settling debts. This might involve selling assets if necessary to generate enough funds.
**Order of Payment:**
* There might be a specific order in which debts are settled, depending on Philippine law and the type of debt. Generally, secured debts (like mortgages) have priority over unsecured debts (like credit cards).
**Beneficiary Liability:**
* In most cases, beneficiaries are not personally liable for the deceased's debts beyond the value of the assets they inherit. This means they cannot be held responsible for debts that exceed the value of their inheritance.
**Exceptions to Limited Liability:**
* There might be exceptions to limited liability in certain situations. For instance, if a beneficiary signed a personal guarantee on one of the deceased's loans, they might be held personally liable for that debt.
**Importance of Identifying Debts:**
* It's crucial for the executor or administrator of the estate to identify all of the deceased's debts as soon as possible. This involves reviewing financial statements, contacting creditors, and gathering necessary documentation.
**Impact on Inheritance Value:**
* The existence and amount of debts can significantly reduce the value of the inheritance ultimately received by beneficiaries. Understanding the total debt picture helps beneficiaries plan accordingly.
**Recommendations:**
* Consider life insurance policies to provide funds for debt settlement and minimize the impact on beneficiaries' inheritance.
* Consulting with a lawyer experienced in estate planning and debt settlement can be valuable throughout the inheritance process. They can advise on handling debts efficiently and protecting beneficiaries' interests.
**In conclusion,** debts are a significant factor in the inheritance process in the Philippines. Understanding how debts are handled and seeking professional guidance can help ensure a smooth and fair distribution of assets while fulfilling all financial obligations of the deceased.</t>
  </si>
  <si>
    <t>Paano pinangangasiwaan ang mga utang sa proseso ng mana?</t>
  </si>
  <si>
    <t>What are the tax implications of inheriting property?</t>
  </si>
  <si>
    <t>Inheriting property in the Philippines carries tax implications depending on the type of property, its value, and your relationship to the deceased. Here's a breakdown of the main taxes involved:
**Estate Tax:**
* This is a tax imposed on the **net estate** of the deceased before distribution to heirs. The current estate tax rate in the Philippines is **6%**.
* **Who Pays:** The estate itself is responsible for paying estate tax. However, the burden of payment often falls on the heirs before they receive their inheritance.
* **Threshold Exemption:** There is an estate tax exemption of ₱5 million (around $90,000 USD, subject to exchange rate fluctuations). Estates valued at ₱5 million or less are generally exempt from estate tax.
**Capital Gains Tax:**
* This tax is imposed on the **profit** made when you sell an inherited asset (usually real estate). The tax rate is graduated based on the capital gain amount.
* **Calculation:** The capital gain is the difference between the **acquisition cost** of the property by the deceased and its **current market value** at the time of inheritance.
* **Who Pays:** The heir who inherits and later sells the property is responsible for paying capital gains tax on the profit earned.
**Transfer Taxes:**
* These are various taxes associated with the transfer of ownership of the inherited property from the deceased to the heir. They include:
* **Documentary Stamp Tax:** A fixed tax based on the declared market value of the property.
* **Registration Fee:** A fee paid to the Registry of Deeds for processing the ownership transfer.
**Tax Implications for Spouses vs. Other Heirs:**
* **Spouses:** The surviving spouse generally has certain **minimum guaranteed shares** of the conjugal property and may receive tax benefits depending on the presence of descendants (children) of the deceased. Consulting a tax advisor is recommended to understand the specific tax treatment for spouses.
* **Other Heirs:** Children, parents, or other beneficiaries generally do not have special tax benefits and may be subject to the full taxes mentioned above.
**Importance of Proper Valuation:**
* The accuracy of the property's valuation significantly impacts the amount of estate tax and potential capital gains tax liability. Professional appraisals might be necessary to ensure fair market value is reflected for tax purposes.
**Seeking Professional Advice:**
* The tax implications of inheriting property can be complex. Consulting with a tax advisor experienced in estate planning and inheritance taxation is highly recommended. They can advise on minimizing tax burdens and ensure compliance with tax regulations.
**In conclusion,** inheriting property in the Philippines involves several potential taxes, including estate tax, capital gains tax, and transfer taxes. Understanding these taxes and seeking professional advice can help you plan effectively and manage your tax obligations related to your inheritance.</t>
  </si>
  <si>
    <t>Ano ang mga implikasyon sa buwis ng pagmamana ng ari-arian?</t>
  </si>
  <si>
    <t>Can a minor inherit property?</t>
  </si>
  <si>
    <t>Yes, a minor **can inherit property in the Philippines**. Philippine law allows inheritance regardless of age. However, there are some important considerations when a minor inherits property:
* **Legal Representation:** Minors are considered legally incompetent to manage their own affairs. Therefore, they will need a legal representative to handle the inherited property on their behalf. This representative can be:
* **Parents with Parental Authority:** If both parents have parental authority, they can generally manage the property for the benefit of the minor child.
* **Legal Guardian:** If the parents are deceased or unable to act as legal representatives, the court will appoint a legal guardian to manage the property.
* **Restrictions on Disposition:** The legal representative cannot sell or dispose of the inherited property without court approval. This protects the minor's inheritance and ensures it is preserved for their future benefit.
* **Management and Use of Property:** The legal representative has a fiduciary duty to manage the property prudently and in the best interest of the minor. This may involve collecting rents from real estate, investing funds appropriately, or using income for the minor's needs.
* **Reaching the Age of Majority:** Once the minor reaches the age of majority (18 years old in the Philippines), they will gain full control over their inherited property. **Additional Considerations:**
* **Will vs. Intestacy:** If a will exists, it might specify a testamentary trustee to manage the minor's inheritance. This trustee would have specific powers and duties outlined in the will.
* **Complexity of the Estate:** For complex estates involving significant assets, consulting with a lawyer experienced in handling minor's inheritance can be beneficial. The lawyer can guide the legal representative on the proper management of the property and ensure compliance with legal requirements.
**In conclusion,** while minors can inherit property in the Philippines, special considerations apply due to their age. Having a legal representative to manage the property and potentially seeking legal guidance can help ensure the inheritance is protected and used for the minor's benefit until they reach the age of majority.</t>
  </si>
  <si>
    <t>Maaari bang magmana ng ari-arian ang isang menor de edad?</t>
  </si>
  <si>
    <t>What are the differences between probate and non-probate assets?</t>
  </si>
  <si>
    <t>In the Philippines, inheritance is divided into two categories: probate and non- probate assets. Here's a breakdown of the key differences between them:
**Probate Assets:**
* **Definition:** These are assets that **go through the probate court** process to be distributed to beneficiaries. * **Characteristics:**
* Owned solely by the deceased in their individual name.
* No designated beneficiary outside of a will. * Not held jointly with rights of survivorship. * **Examples:**
* Real estate (land, house, etc.) solely owned by the deceased
* Bank accounts in the deceased's name only
* Investment accounts (stocks, bonds) solely owned by the deceased
* Personal belongings (jewelry, furniture, etc.) not specifically designated to someone else
**Non-Probate Assets:**
* **Definition:** These are assets that **bypass probate court** and transfer directly to designated beneficiaries without court involvement.
* **Characteristics:**
* Have a designated beneficiary outside of a will (e.g., life insurance policy, retirement account).
* Held jointly with another person with "rights of survivorship" stipulated. * Owned in a transfer-on-death (TOD) or pay-on-death (POD) account where ownership automatically transfers upon death.
* **Examples:**
* Life insurance policies with a designated beneficiary
* Retirement accounts (401(k), IRA) with a designated beneficiary
* Bank accounts held jointly with rights of survivorship
* Investment accounts held jointly with rights of survivorship
* Assets owned in a TOD or POD account designated to a beneficiary
**Key Differences in Handling:**
* **Time and Cost:** Probate can be a lengthy and costly process taking several months or even years to complete. Non- probate assets transfer more quickly and generally incur lower fees.
* **Court Involvement:** Probate requires court supervision to settle debts and distribute assets. Non- probate assets avoid court involvement.
* **Privacy:** Probate becomes a public record, while non- probate transfers remain private.
**Importance of Planning:**
Understanding the difference between probate and non- probate assets can help you plan your estate effectively. By designating beneficiaries for certain assets and considering joint ownership with rights of survivorship, you can streamline the inheritance process for your loved ones.</t>
  </si>
  <si>
    <t>Ano ang mga pagkakaiba sa pagitan ng probate at non-probate asset?</t>
  </si>
  <si>
    <t>Can life insurance policies be contested in inheritance cases?</t>
  </si>
  <si>
    <t>Yes, life insurance policies **can be contested in inheritance cases** in the Philippines under certain circumstances. Here's a breakdown of the situations where a contest might arise:
**Beneficiary Disputes:**
* The most common reason for contesting a life insurance policy is a dispute over the designated beneficiary. This can happen if:
* The policyholder changes the beneficiary but doesn't properly update the designation with the insurance company. This might lead to a dispute between the originally named beneficiary and the intended new beneficiary. * There's a question about the validity of the beneficiary designation due to mental incapacity of the policyholder at the time the change was made.
* The will specifies a different beneficiary than the one named on the life insurance policy, creating a conflict between the two documents.
**Fraudulent Activities:**
* A beneficiary might be contested if there's evidence of fraudulent activity related to the policy, such as:
* The beneficiary murdered the policyholder to collect the insurance payout.
* The beneficiary forged the policyholder's signature to change the beneficiary designation.
**Policy Provisions:**
* In rare cases, the life insurance policy itself might contain provisions that could lead to a contest. For example, if the policyholder committed suicide within a specific period after taking out the policy, the insurance company might contest the payment based on a policy exclusion clause.
**Taking a Contest to Court:**
* If you have grounds to contest a beneficiary designation or the validity of a life insurance policy claim, you will need to file a lawsuit in court. This process can be complex, and consulting with a lawyer specializing in insurance law is highly recommended.
**In conclusion,** while life insurance policies are generally intended to provide financial security for beneficiaries, there are situations where the policy itself or the beneficiary designation can be contested in court. Understanding the potential grounds for contestation and seeking legal advice can be important if you believe you have a claim related to a life insurance policy.</t>
  </si>
  <si>
    <t>Maaari bang labanan ang mga patakaran sa seguro sa buhay sa mga kaso ng mana?</t>
  </si>
  <si>
    <t>How are joint assets handled in inheritance cases?</t>
  </si>
  <si>
    <t>Here's how joint assets are handled in inheritance cases in the Philippines:
**Understanding Joint Ownership:**
* There are two main types of joint ownership in the Philippines that affect inheritance:
* **Joint Tenancy with Right of Survivorship (JTWROS):** In this type of ownership, ownership of the entire asset automatically passes to the surviving joint owner(s) upon the death of one owner. There's no need for probate.
* **Tenancy in Common:** Each joint owner has a specific ownership share (percentage) in the asset. Upon the death of a joint owner, their ownership share becomes part of their estate and is distributed according to their will (if any) or intestacy laws (if no will exists).
**Impact on Inheritance:**
* **JTWROS:** Assets held with JTWROS **generally avoid probate** as ownership automatically transfers to the surviving joint owner(s). This can be a **faster and simpler** process compared to inheritance through a will or intestacy.
* **Tenancy in Common:** The deceased joint owner's share of the asset becomes part of their estate. The inheritance process depends on whether a will exists:
* **With Will:** The deceased owner's will specifies who inherits their share of the jointly owned asset.
* **Without Will (Intestacy):** The deceased owner's share is distributed according to Philippine intestacy laws, which might involve dividing the share among spouses and children.
**Important Considerations:**
* **Reviewing Ownership Documents:** It's crucial to review the ownership documents related to joint assets to understand the specific type of joint ownership (JTWROS or Tenancy in Common).
* **Tax Implications:** There might be potential tax implications depending on the type of asset, the value, and the relationship between the deceased and the surviving joint owner(s). Consulting a tax advisor is recommended for specific tax advice.
**In conclusion,** understanding the type of joint ownership (JTWROS or Tenancy in Common) is essential to determine how joint assets are handled during inheritance. JTWROS generally avoids probate, while Tenancy in Common follows the inheritance process outlined in the deceased owner's will or intestacy laws. Consulting with a lawyer familiar with estate planning and inheritance can provide further guidance on your specific situation.</t>
  </si>
  <si>
    <t>Paano pinangangasiwaan ang mga pinagsamang asset sa mga kaso ng mana?</t>
  </si>
  <si>
    <t>Can a trust affect the inheritance process?</t>
  </si>
  <si>
    <t>Yes, a trust can affect the inheritance process in the Philippines in several ways:
**Asset Distribution Outside of Probate:**
* Trusts allow you to transfer ownership of assets (money, property, etc.) to a trustee for the benefit of beneficiaries you designate. Assets placed in a properly established trust generally avoid probate, which can be a lengthy and costly court process.
**Directed Distribution and Control:**
* With a trust, you can clearly specify how you want your assets to be distributed to beneficiaries. This can include stipulations regarding age, education completion, or responsible financial management before beneficiaries receive full access to their inheritance.
**Protection for Beneficiaries:**
* Trusts can be used to protect assets from beneficiaries' creditors or in case of immaturity or incapacity. The trustee manages the assets and distributes them according to the terms of the trust, ensuring financial security for beneficiaries.
**Tax Implications (Potential Benefits):**
* There might be potential tax benefits associated with trusts in the Philippines, especially for high-net-worth individuals. However, tax laws can be complex, and consulting with a tax advisor is essential to understand the specific tax implications of using a trust in your situation.
**Types of Trusts in the Philippines:**
* **Testamentary Trusts:** Established through a will, taking effect upon the settlor's (creator's) death.
* **Irrevocable Trusts:** Assets placed in these trusts generally cannot be retrieved by the settlor after creation. They offer strong asset protection benefits.
* **Revocable Trusts:** The settlor can retain control over the assets during their lifetime and potentially revoke or modify the trust. These may not offer the same level of asset protection as irrevocable trusts.
**Important Considerations:**
* **Legal Complexity:** Trusts can be legally complex instruments. Consulting with a lawyer experienced in trust law is highly recommended to ensure the trust is established correctly and achieves your desired goals.
* **Limited Use in the Philippines:** While trusts are becoming more common in estate planning, their use is not as widespread in the Philippines compared to common law countries. A lawyer can advise on the feasibility and effectiveness of utilizing a trust in your situation.
**In conclusion,** trusts can be a valuable tool for affecting the inheritance process in the Philippines. They offer benefits such as avoiding probate, directed distribution of assets, and protection for beneficiaries. However, consulting with a lawyer specializing in trust law is crucial to understand the legal complexities and determine if a trust is the right strategy for your estate planning goals in the Philippine legal context.</t>
  </si>
  <si>
    <t>Maaapektuhan ba ng trust ang proseso ng inheritance?</t>
  </si>
  <si>
    <t>How does the inheritance process differ for spouses compared to other beneficiaries?</t>
  </si>
  <si>
    <t>Inheritance rights for spouses in the Philippines differ from other beneficiaries in a few key ways:
**Spousal Rights under the Law:**
* **Minimum Share:** The surviving spouse, regardless of whether a will exists, is entitled to a minimum share of the deceased spouse's estate under Philippine law. This share varies depending on the presence of descendants (children) of the deceased spouse.
* **With Descendants:** The surviving spouse receives a minimum of ½ (one-half) of the conjugal property and ½ (one-half) of the deceased spouse's separate property after debts are settled.
* **Without Descendants:** The surviving spouse inherits the entire conjugal property and ½ (one-half) of the deceased spouse's separate property after debts are settled.
* **Community vs. Separate Property:** The distinction between conjugal property (acquired during marriage) and separate property (owned before marriage or inherited) is crucial. The surviving spouse has automatic rights to a share of conjugal property, while their inheritance rights for separate property depend on the presence of descendants and the existence of a will.
**Impact of a Will:**
* While the surviving spouse has minimum guaranteed rights, a will can alter the distribution of assets. The deceased spouse can choose to leave a larger or smaller share of their separate property to the surviving spouse compared to what they would receive under intestacy laws (if there's no will).
**Inheritance Compared to Other Beneficiaries:**
* **Priority:** The surviving spouse generally has priority inheritance rights compared to other beneficiaries such as children or parents of the deceased. Their minimum share is guaranteed by law.
* **Children's Rights:** Children of the deceased also have inheritance rights. The specific share they receive depends on the presence of a surviving spouse and the existence of a will.
* **Flexibility with a Will:** A well-drafted will can be used to specify inheritance wishes for both the spouse and other beneficiaries, ensuring a fair distribution of assets according to the deceased's intentions.
**In conclusion,** while spouses have certain guaranteed inheritance rights under Philippine law, a will can provide flexibility and clarity regarding the distribution of assets among the spouse and other beneficiaries. Understanding the distinction between conjugal and separate property is also important when determining inheritance rights for spouses. Consulting with a lawyer specializing in estate planning can provide valuable guidance on your specific situation and help ensure your wishes are reflected in your estate plan.</t>
  </si>
  <si>
    <t>Paano naiiba ang proseso ng mana para sa mga mag-asawa kumpara sa ibang mga benepisyaryo?</t>
  </si>
  <si>
    <t>What is the process for transferring ownership of real estate after inheritance?</t>
  </si>
  <si>
    <t>Here's a breakdown of the process for transferring ownership of real estate after inheritance in the Philippines:
**1. Secure Necessary Documents:**
* **Death Certificate:** This is a crucial document to establish that the property owner has passed away. You can obtain a certified copy from the Philippine Statistics Authority (PSA).
* **Original Title Deed:** This document proves ownership of the property by the deceased.
* **Estate Tax Clearance:** You'll need a certificate from the Bureau of Internal Revenue (BIR) indicating that all estate taxes associated with the inheritance have been paid.
* **Heirship:**
* **Will:** If a will exists, it should be submitted to prove your inheritance rights and the distribution of the property as specified in the will.
* **Affidavit of Self-Adjudication (Extrajudicial Settlement):** If there's no will and all heirs agree on the distribution, this document can be used to declare ownership without court intervention.
* **Court Order (Judicial Settlement):** In case of disagreements among heirs or complicated situations, a court settlement through judicial processes might be required to determine ownership.
* **Tax Declarations:** The latest property tax declarations of the inherited real estate.
**2. Pay Transfer Taxes:**
* Estate tax might have already been settled for the entire estate, but there are additional taxes associated with the transfer of ownership itself. These taxes include:
* **Capital Gains Tax:** This tax is imposed on the difference between the acquisition cost of the property by the deceased and its current market value. * **Documentary Stamp Tax:** A fixed tax based on the declared market value of the property.
* **Registration Fee:** A fee paid to the Registry of Deeds for processing the ownership transfer.
**3. Submit Documents and Pay Fees:**
* Once you have all the necessary documents and paid the corresponding taxes, submit them to the Registry of Deeds with jurisdiction over the property.
* There might be additional fees associated with the registration process at the Registry of Deeds.
**4. Obtain New Title Deed:**
* After processing and verification of documents and payment of fees, the Registry of Deeds will issue new title deeds reflecting the names of the heirs as the new owners.
**Additional Considerations:**
* **Timeframe:** The entire process can take several weeks or even months depending on the completeness of documents and potential court involvement (if applicable).
* **Professional Help:** An experienced lawyer specializing in property law can guide you through the process, ensure correct documentation, and address any complexities that may arise.
**In conclusion,** transferring ownership of real estate after inheritance in the Philippines involves collecting specific documents, settling estate taxes, paying transfer taxes, and registering the ownership change with the Registry of Deeds. Consulting with a lawyer can help ensure a smooth and efficient process.</t>
  </si>
  <si>
    <t>Ano ang proseso para sa paglilipat ng pagmamay-ari ng real estate pagkatapos ng mana?</t>
  </si>
  <si>
    <t>Are there any legal obligations for beneficiaries to accept their inheritance?</t>
  </si>
  <si>
    <t>In the Philippines, there is **no legal obligation for beneficiaries to accept their inheritance**. Beneficiaries have the right to decide whether or not to accept the inheritance they're named for in a will or through intestacy laws (if there's no will).
Here's a breakdown of the options beneficiaries have:
* **Accepting with Benefit:** This signifies full acceptance of the inheritance, including both assets and liabilities of the estate. The beneficiary becomes responsible for any debts associated with the inherited assets, up to the value of those assets.
* **Accepting with Reservation:** This allows beneficiaries to limit their liability to the value of the inherited assets. They won't be personally liable for debts that exceed the inheritance value. However, specific legal procedures must be followed within a certain timeframe to claim this limited liability. Consulting a lawyer is highly recommended for proper guidance on this option.
* **Renouncing the Inheritance:** Beneficiaries can choose to formally renounce their inheritance. This means they completely give up any rights to the inherited assets. The inheritance then passes on to alternate beneficiaries named in the will (if any) or according to intestacy laws.
**Important Considerations:**
* **Tax Implications:** Even if you renounce the inheritance, there might still be tax implications depending on the type of asset and the relationship between the deceased and the beneficiary. Consulting a tax advisor is recommended to understand potential tax obligations.
* **Deadlines for Decisions:** There might be time limitations for accepting with reservation or renouncing an inheritance. Consulting a lawyer can advise you on the applicable timeframes in your situation.
**In conclusion,** while beneficiaries don't have a legal obligation to accept an inheritance in the Philippines, they should carefully consider the implications of each option (accepting with benefit, with reservation, or renouncing) before making a decision. Consulting a lawyer specializing in estate planning can provide valuable guidance on understanding your rights and obligations as a beneficiary and choosing the best course of action for your specific circumstances.</t>
  </si>
  <si>
    <t>Mayroon bang anumang legal na obligasyon para sa mga benepisyaryo na tanggapin ang kanilang mana?</t>
  </si>
  <si>
    <t>How does the inheritance process differ for blended families?</t>
  </si>
  <si>
    <t>The inheritance process for blended families in the Philippines can be more complex compared to traditional families due to the presence of children from previous relationships. Here's a breakdown of the key differences:
**Intestacy vs. Wills:**
* **Intestacy (No Will):** If someone dies without a will (intestate), the Philippine intestacy laws dictate how the estate is divided. This can be problematic for blended families as it might not reflect the deceased's wishes regarding distribution of assets among a surviving spouse and children from previous relationships.
* **Wills:** Having a well-drafted will is crucial for blended families. The will can clearly outline how the deceased wants their assets distributed, ensuring financial security for their spouse and children from both relationships.
**Potential Conflicts:**
* **Spousal Rights vs. Children's Rights:** Philippine law grants the surviving spouse certain inheritance rights. However, there might be conflicts if the deceased wants to leave a portion of their estate to children from a previous marriage. A well-drafted will can help minimize such conflicts by clearly specifying inheritance shares.
* **Stepchildren vs. Biological Children:** In the absence of a will, stepchildren generally don't inherit from their stepparent under intestacy laws. A will can be used to include stepchildren in the inheritance plan if desired.
**Planning Strategies:**
* **Marital Agreements (Prenuptial/Postnuptial):** These agreements can help define separate property belonging to each spouse before marriage and protect existing assets for children from previous relationships.
* **Life Insurance:** Life insurance policies can be used to provide financial security for specific beneficiaries, such as children from a previous marriage.
* **Trusts (Limited Use):** While less common in the Philippines compared to other countries, irrevocable trusts can potentially offer asset protection benefits and directed distribution to intended beneficiaries. Consulting with a lawyer specializing in estate planning is essential to explore the feasibility of trusts in your situation.
**Legal Guidance:**
* Consulting with a lawyer experienced in estate planning for blended families is highly recommended. They can guide you through the legal processes, draft a will that reflects your wishes, and minimize the risk of future conflicts among heirs.
**In conclusion,** the inheritance process for blended families requires thoughtful planning and clear communication to ensure a fair and conflict-free distribution of assets. By utilizing wills, marital agreements, life insurance, and potentially trusts (with legal guidance), you can help protect the financial security of all your loved ones after you're gone.</t>
  </si>
  <si>
    <t>Paano naiiba ang proseso ng mana para sa mga pinaghalo na pamilya?</t>
  </si>
  <si>
    <t>Can digital assets be inherited, and how are they handled?</t>
  </si>
  <si>
    <t>Inheriting digital assets in the Philippines is a relatively new concept, and the legal landscape is still evolving. However, here's what we know so far:
**Inheritable Digital Assets:**
* Generally, **digital assets that you fully own and can transfer** can be inherited. This might include:
* **Cryptocurrency** (such as Bitcoin or Ethereum)
* **Non-fungible tokens (NFTs)**
* **Digital files** (such as music, photos, or documents) - inheritance rights may depend on copyright ownership
* **Domain names**
* **Online accounts with funds** (e.g., PayPal, online store credit) - depends on the terms of service of the platform
**Challenges with Inheritance:**
* **Lack of Clear Laws:** There are currently no specific laws in the Philippines explicitly addressing the inheritance of digital assets. This can create uncertainty regarding ownership transfer after death.
* **Terms of Service Restrictions:** Many online platforms and service providers have terms of service (TOS) that might limit inheritance rights or account access upon user death. It's important to review the TOS of relevant platforms to understand their policies regarding inheritance. * **Accessibility of Digital Assets:** Digital assets might be stored on different devices or platforms, and access might require passwords or private keys. Without proper planning, heirs might face difficulties accessing or inheriting these assets.
**Planning for Digital Asset Inheritance:**
* **Communicate with Heirs:** Inform your heirs about the existence and location of your digital assets, including passwords and account information (store securely but ensure accessibility for heirs).
* **Digital Legacy Options:** Some platforms offer digital legacy options that allow you to designate beneficiaries for your online accounts. Explore such options if available on platforms where you hold digital assets.
* **Consider Legal Advice:** A lawyer specializing in technology law can provide guidance on the best approach to plan for the inheritance of your digital assets considering the specific assets involved and the current legal landscape in the Philippines.
**In conclusion,** while inheriting digital assets is possible in the Philippines, it's important to be aware of the challenges and take steps to plan for a smooth transfer to your heirs. Communicating with heirs, exploring digital legacy options offered by platforms, and consulting with a lawyer can help ensure your digital assets are handled according to your wishes after you're gone.</t>
  </si>
  <si>
    <t>Maaari bang mamana ang mga digital asset, at paano pinangangasiwaan ang mga ito?</t>
  </si>
  <si>
    <t>What is the role of a guardian ad litem in inheritance cases involving minors?</t>
  </si>
  <si>
    <t>In inheritance cases involving minors in the Philippines, a guardian ad litem (GAL) plays a critical role in protecting the minor's legal rights and interests. Here's a breakdown of their responsibilities:
**Representation in Court Proceedings:**
* A guardian ad litem acts as the minor's legal representative in court during inheritance cases. This might involve situations like:
* Probate proceedings to settle the deceased's estate if the minor is a beneficiary.
* Disputes arising regarding the validity of a will or inheritance rights.
* The GAL ensures the minor's interests are considered and presented throughout the legal process.
**Investigating the Minor's Best Interests:**
* The GAL has a responsibility to investigate the inheritance situation and determine what truly represents the minor's best interests. This might involve:
* Reviewing the terms of a will (if applicable).
* Assessing the value and composition of the inheritance.
* Considering potential tax implications related to the inheritance.
* Based on their investigation, the GAL makes recommendations to the court regarding how the inheritance should be handled to benefit the minor.
**Independent Representation:**
* It's crucial to understand that the GAL acts independently and solely for the benefit of the minor. They don't represent the interests of the parents or other family members.
* Even if the parents have custody of the minor, the GAL has a duty to ensure the inheritance is managed and preserved until the minor reaches legal age (18 in the Philippines).
**Who Appoints the Guardian Ad Litem?**
* The court usually appoints a guardian ad litem during the probate proceedings or upon request from a party involved in the inheritance case.
* In most cases, the court appoints a qualified attorney as the guardian ad litem due to the legal complexities involved in inheritance matters.
**Additional Considerations:**
* The fees associated with the guardian ad litem are typically paid from the estate of the deceased.
* It's important to note that a guardian ad litem for inheritance cases differs from a legal guardian appointed to care for a minor's daily needs and well-being.
**In conclusion,** a guardian ad litem plays a vital role in inheritance cases involving minors by protecting their legal rights and ensuring their inheritance is handled in their best interest throughout the legal process.</t>
  </si>
  <si>
    <t>Ano ang tungkulin ng isang tagapag-alaga ng ad litem sa mga kaso ng mana na kinasasangkutan ng mga menor de edad?</t>
  </si>
  <si>
    <t>Can inheritance be challenged based on mental incapacity of the deceased?</t>
  </si>
  <si>
    <t>Yes, in the Philippines, inheritance can be challenged based on the mental incapacity of the deceased at the time they created their will. Here's a breakdown of the key points:
* **Testamentary Capacity:** This refers to the mental ability of a person to understand the nature and consequences of creating a will. The testator (person making the will) must be of sound mind when they sign the will.
* **Grounds for Challenge:** If there's evidence suggesting the testator lacked testamentary capacity due to mental illness, dementia, severe intoxication, or undue influence, a beneficiary (or potential heir) can contest the will in court.
* **Burden of Proof:** The person challenging the will (contestant) has the burden of proof. They need to present convincing evidence to demonstrate the testator's mental incapacity at the time the will was signed.
* **Evidence for Challenge:** Medical records, witness testimonies regarding the testator's mental state, and inconsistencies within the will itself can be used as evidence for a challenge.
**Here's a table summarizing the key points:**
| Aspect | Information |
|---|---|
| Legal Basis | Lack of testamentary capacity |
| Who Can Challenge | Beneficiary (or potential heir) |
| Burden of Proof | Lies with the contestant |
| Types of Evidence | Medical records, witness testimonies, inconsistencies in the will |
**Important Considerations:**
* **Time Limits:** There are time limits for contesting a will in the Philippines. Consulting a lawyer is crucial to understand the specific timeframe applicable to your situation.
* **Complexity of Cases:** Challenging a will based on mental incapacity can be complex and involve expert witness testimony (e.g., doctors). Consulting with a lawyer specializing in estate litigation is highly recommended to navigate the legal process effectively.
* **Alternative Dispute Resolution:** In some cases, alternative dispute resolution (ADR) such as mediation might be explored to reach an agreement between contesting parties outside of court.
**In conclusion,** while challenging a will based on mental incapacity is possible, it requires meeting specific criteria and providing sufficient evidence. Consulting with a lawyer experienced in estate litigation can provide valuable guidance on the feasibility of a challenge and the steps involved in the process.</t>
  </si>
  <si>
    <t>Maaari bang hamunin ang mana batay sa mental incapacity ng namatay?</t>
  </si>
  <si>
    <t>How are retirement accounts handled in the inheritance process?</t>
  </si>
  <si>
    <t>Here's how retirement accounts are handled in the inheritance process in the Philippines:
**Beneficiary Designation is Key:**
* When someone opens a retirement account (e.g., SSS, GSIS, Pag-IBIG MP2), they are typically required to designate beneficiaries. * These beneficiaries inherit the remaining balance in the account upon the account owner's death. * **Having a designated beneficiary is crucial to avoid the account going through probate**, which can be a lengthy and costly process.
**What Happens if No Beneficiary is Designated?**
* If no beneficiary is designated, or the designated beneficiary is deceased, the following might occur:
* The payout might be distributed according to intestacy laws (if the deceased has no will). This can involve a complicated process of determining legal heirs and dividing the payout among them.
* The retirement institution might have specific rules for handling such situations, potentially involving distribution to closest relatives.
**Types of Beneficiaries:**
* You can designate one or multiple primary beneficiaries.
* It's also wise to name contingent beneficiaries in case your primary beneficiaries predecease you. * You can choose a percentage share for each beneficiary or divide the account balance equally.
**Benefits of Designating Beneficiaries:**
* **Faster and Smoother Process:** Having a beneficiary avoids probate, streamlining the inheritance process for your loved ones.
* **Control Over Distribution:** You choose who inherits the funds, ensuring they go to your intended beneficiaries.
* **Tax Advantages (Potential):** Depending on the retirement account and beneficiary relationship, there might be some tax advantages on withdrawals for beneficiaries. However, consulting a tax professional is recommended for specific details.
**Updating Beneficiary Information:**
* It's important to review and update your beneficiary designations periodically, especially after major life events (marriage, birth of children, etc.).
**Here's a table summarizing the key points:**
| Aspect | Important Information |
|---|---|
| Beneficiary Designation | Crucial to avoid probate |
| No Beneficiary Designated | Distribution through intestacy laws or institution rules |
| Beneficiary Types | Primary, Contingent |
| Benefits of Beneficiaries | Faster process, control over distribution, potential tax advantages |
| Updating Information | Review and update regularly |
**In conclusion,** by understanding how retirement accounts are handled in the Philippines and the importance of beneficiary designation, you can ensure your retirement savings are distributed smoothly and according to your wishes after your passing. Consulting with a financial advisor or lawyer familiar with inheritance laws can provide further guidance for your specific situation.</t>
  </si>
  <si>
    <t>Paano pinangangasiwaan ang mga retirement account sa proseso ng mana?</t>
  </si>
  <si>
    <t>Can inheritance be subject to Medicaid recovery?</t>
  </si>
  <si>
    <t>In the Philippines, Medicaid, also known as the Philippine Health Insurance Corporation (PhilHealth), generally doesn't have direct rights to recover funds from inheritance for benefits provided to the deceased. Here's why:
* **Social Health Insurance Program:** PhilHealth functions as a social health insurance program. Contributions are made during employment or voluntarily by members, and these contributions fund health benefits for members.
* **No Clawback Provision:** Unlike some welfare programs in other countries, PhilHealth currently doesn't have legal provisions allowing them to clawback funds from a member's estate to repay benefits received during their lifetime.
**However,** there might be indirect situations where inheritance could be affected:
* **Estate Recovery for Long-Term Care:** While not directly related to PhilHealth, the Philippine government has a separate program for long-term care services for indigent senior citizens. This program might have recovery provisions allowing the government to claim reimbursement from a deceased beneficiary's estate up to a certain amount for services rendered. However, this applies only to specific situations and wouldn't be directly related to PhilHealth benefits.
**Important to Note:**
* PhilHealth and government policies can change. It's advisable to consult with a lawyer specializing in elder law or social welfare programs for the most up-to-date information regarding potential estate recovery concerns.
**In conclusion,** while inheritance generally isn't subject to direct recovery by PhilHealth in the Philippines, it's always advisable to stay informed about potential changes to government programs and seek legal advice if you have specific concerns regarding estate recovery and inheritance.</t>
  </si>
  <si>
    <t>Maaari bang sumailalim ang mana sa pagbawi ng Medicaid?</t>
  </si>
  <si>
    <t>What are the steps to take when someone dies abroad regarding inheritance?</t>
  </si>
  <si>
    <t>If you have to deal with inheritance where the deceased passed away abroad, the process can be complex and involve multiple jurisdictions. Here's a general roadmap to navigate this situation:
1. **Establish Legal Representation:**
* Locate a lawyer specializing in international estate law. They can advise on the specific processes involved for the country where the death occurred and the Philippines (if the inheritance is being directed there).
2. **Death Certificate and Local Proceedings:**
* Obtain a certified copy of the death certificate issued by the authorities in the country where the death occurred. This document will be crucial for various administrative processes.
* There might be local inheritance procedures to follow in the country of death. The lawyer can guide you through these requirements, which might involve probate or other legal processes to settle the local estate and release the assets.
3. **Understanding the Will:**
* Locate the deceased's will (if one exists). The will should outline their wishes regarding asset distribution. If the will was created in the Philippines, it might be valid in the foreign country as well, depending on treaty agreements between the two countries. The lawyer can advise on the will's validity and applicability in both jurisdictions.
4. **Inventorying Assets:**
* Make a comprehensive list of all the deceased's assets, including location and estimated value. This might involve bank accounts, real estate, investments, etc., both in the Philippines and abroad.
5. **Tax Implications:**
* There might be inheritance tax implications in both the country of death and the Philippines. The lawyer can advise on filing any necessary tax returns and ensuring compliance with both countries' tax laws.
6. **Distributing Inheritance:**
* Once legal requirements are met and taxes are settled, the inheritance can be distributed to beneficiaries according to the will or intestacy laws (if no valid will exists). This might involve transferring funds between countries, which can have associated currency exchange rates and banking fees. The lawyer can guide you through the most efficient and cost-effective methods for distributing the inheritance.
**Additional Considerations:**
* **Timeframe:** Resolving an international inheritance can take significantly longer than a domestic case. Be prepared for a lengthy process involving communication between lawyers in different countries.
* **Complexity:** The specific steps involved can vary depending on the countries involved, the complexity of the estate, and the presence of a will.
* **Cultural Differences:** Inheritance laws and customs can differ between countries. Understanding these differences can help avoid misunderstandings and delays.
**Remember,** consulting with a lawyer specializing in international estate law is crucial to navigate the complexities of inheritance when the deceased passed away abroad. They can guide you through the legal processes, ensure compliance with relevant laws in both countries, and help you distribute the inheritance efficiently and correctly.</t>
  </si>
  <si>
    <t>Ano ang mga hakbang na dapat gawin kapag may namatay sa ibang bansa tungkol sa mana?</t>
  </si>
  <si>
    <t>How does inheritance tax differ from estate tax?</t>
  </si>
  <si>
    <t>The Philippines actually **does not have an inheritance tax**. There might be some confusion because the term "inheritance tax" is sometimes used interchangeably with "estate tax" in general discussions. However, here's a breakdown of the key difference:
* **Inheritance Tax:** An inheritance tax is levied on the value of assets received by each individual beneficiary inheriting from an estate. The tax rate might vary depending on the beneficiary's relationship to the deceased and the amount they inherit.
* **Estate Tax:** An estate tax is levied on the total value of the deceased's estate before it's distributed to beneficiaries. In the Philippines, there's a **flat estate tax rate of 6%** applied to the net estate value (total assets minus allowable deductions).
Here's a table summarizing the key difference:
| Tax Type | Applies To | Rate |
|---|---|---|
| Inheritance Tax | Value of assets received by EACH beneficiary | Varies depending on beneficiary and inheritance amount (Philippines - Does not exist) |
| Estate Tax | Total value of the DECEASED's estate | Flat rate (Philippines - 6% of net estate value) |
**Additional Points:**
* The Philippines does have a stamp tax of 10% imposed on the "gratuitous acquisition of goods by individuals," which can apply to inheritance and gifts. However, this is a one-time tax on the acquisition itself, not progressive taxation based on inheritance amount like a true inheritance tax.
* Some countries do have both inheritance tax and estate tax. The nuances of inheritance taxation can vary significantly depending on the specific country's tax laws.
**In conclusion,** understanding the difference between inheritance tax and estate tax is crucial. The Philippines currently only has an estate tax system, meaning heirs inherit without additional taxation based on their inheritance amount. There is a stamp tax associated with inheritance, but it's a flat fee, not progressive taxation like a true inheritance tax.</t>
  </si>
  <si>
    <t>Paano naiiba ang inheritance tax sa estate tax?</t>
  </si>
  <si>
    <t>Can inheritance be protected from creditors?</t>
  </si>
  <si>
    <t>In the Philippines, there are limited ways to completely shield inheritance from creditors. However, some strategies can make it more difficult for creditors to access inherited assets:
* **Acceptance with Benefit vs. Acceptance with Reservation:**
* Heirs have the option to accept an inheritance with benefit or with reservation. Accepting with benefit signifies full acceptance of the estate, including both assets and liabilities. Creditors can then potentially go after inherited assets to settle the deceased's debts.
* Accepting with reservation allows heirs to limit their liability to the value of the inherited assets. Creditors cannot go after personal assets of the heirs beyond the value of the inheritance. This option requires following specific legal procedures within a certain timeframe. Consulting a lawyer is highly recommended for proper guidance.
* **Trusts (Limited Use):**
* While not as common in the Philippines as in other countries, irrevocable trusts can potentially offer some asset protection benefits. Assets placed in a properly established irrevocable trust generally become separate from the grantor's (person who creates the trust) estate and might be shielded from creditors of the grantor or the beneficiary (depending on the trust structure). However, there are strict legal requirements for establishing valid irrevocable trusts, and they might not be suitable for all situations. Consulting with a lawyer specializing in estate planning and trusts is crucial to explore this option.
* **Careful Asset Distribution:**
* If there's no will or the will provides flexibility, the executor (responsible for managing the estate) can distribute assets strategically. Prioritizing debt repayment before distributing remaining assets to beneficiaries can minimize the amount exposed to creditors.
**Important Considerations:**
* **Fraudulent Transfers:** There are laws against fraudulent transfers of assets to avoid creditors. Any actions taken primarily to evade creditors might be challenged in court.
* **Planning vs. Reaction:** Strategies for protecting inheritance from creditors are most effective when implemented proactively during estate planning. Trying to shield assets after debts become apparent might have limited success.
* **Consult a Lawyer:** The legal landscape regarding inheritance and creditor rights can be complex. Consulting with a lawyer specializing in estate planning is highly recommended to discuss your specific situation and explore the most effective options for protecting your inheritance from creditors.
**In conclusion,** while completely shielding inheritance from creditors might be challenging, there are strategies like acceptance with reservation and potentially irrevocable trusts (with legal guidance) that can add some protection. Remember, proactive planning through estate planning with a lawyer is key to maximizing protection for your heirs.</t>
  </si>
  <si>
    <t>Paano nakakaapekto ang mga kasunduan sa prenuptial o postnuptial sa mga karapatan sa mana?</t>
  </si>
  <si>
    <t>How does prenuptial or postnuptial agreements affect inheritance rights?</t>
  </si>
  <si>
    <t>In the Philippines, prenuptial agreements (prenup) and postnuptial agreements (postnup) can impact inheritance rights, but with some key limitations:
* **Limited Impact on Spousal Inheritance:** Philippine law prioritizes the rights of a surviving spouse. A prenup or postnup cannot completely eliminate a spouse's inheritance rights.
* **Minimum Share:** The surviving spouse is entitled to a minimum share of the deceased spouse's estate, known as the "absolute community share" or "conjugal share." This share is typically half of the assets acquired during the marriage (conjugal property). The prenup or postnup cannot reduce this share below a certain percentage defined by law.
* **Right to Elect:** In some cases, the surviving spouse might have the right to elect between receiving their share under the prenup/postnup or their absolute community share (whichever is more favorable).
* **Prenup/Postnup Can Define Separate Property:** A prenup or postnup can be effective in clearly defining which assets are considered separate property (belonging to each spouse individually). These separate assets generally aren't part of the conjugal property and won't be subject to the surviving spouse's absolute community share calculation. This can be useful if one spouse wants to ensure certain assets pass to specific heirs (children from a previous marriage, etc.).
* **No Impact on Inheritance from Other Sources:** A prenup or postnup only affects inheritance between spouses. It doesn't impact how either spouse chooses to leave their inheritance to children or other beneficiaries in their will. Here's a table summarizing the key points:
| Aspect | Impact of Prenup/Postnup |
| Spousal Right to Minimum Share (Absolute Community Share) | Cannot eliminate this right |
| Inheritance from Separate Property | Can be directed to specific heirs through prenup/postnup definition |
| Inheritance from Other Sources (e.g., Children) | Not affected by prenup/postnup |
**Important Considerations:**
* **Prenup/Postnup Must Comply with Law:** For a prenup or postnup to be valid, it must be executed voluntarily, in writing, and notarized. It also cannot contain unconscionable provisions (extremely unfair to one spouse).
* **Consult a Lawyer:** Prenuptial and postnuptial agreements can be complex. Consulting with a lawyer specializing in family law and estate planning is highly recommended to ensure the agreement is drafted correctly and complies with Philippine law. **In conclusion,** while prenups and postnups in the Philippines can't completely eliminate a spouse's inheritance rights, they can be effective tools for defining separate property and planning how certain assets are inherited. However, it's crucial to understand the limitations and seek legal guidance to ensure the agreement is valid and reflects your wishes accurately.</t>
  </si>
  <si>
    <t>Can pets be included in a will for inheritance purposes?</t>
  </si>
  <si>
    <t>No, in the Philippines, pets cannot be directly included in a will for inheritance purposes. Pets are considered personal property under Philippine law, and bequests to animals are not recognized.
However, there are alternative ways to ensure your pet's well-being after your passing:
* **Designation of a Caretaker:** You can name a trusted friend or family member as a caretaker in your will. This person would be responsible for your pet's care and well-being after you're gone. You can also leave funds to the caretaker to help cover expenses associated with pet care.
* **Pet Trust:** While not commonly used in the Philippines yet, a pet trust is an option to consider. A pet trust is a legal document that sets aside funds specifically for your pet's care. A trustee (responsible person) manages the funds and distributes them for your pet's needs according to your wishes. Consulting with a lawyer specializing in estate planning is crucial if you're considering this option, as it requires careful legal drafting to ensure enforceability.
* **Open Communication with Loved Ones:** Even if you can't directly leave an inheritance to your pet, openly communicating your wishes with loved ones can help ensure your pet finds a loving home. Discuss your desires for your pet's care with potential caretakers and consider having informal agreements in place to encourage them to honor your wishes.
**Here's a summary of options for caring for your pet after you're gone:**
* **Designation of Caretaker in Will**
* **Pet Trust (consult with a lawyer)**
* **Open Communication with Loved Ones**
**Remember,** while you can't directly leave an inheritance to your pet, there are ways to plan for their future well-being. By exploring these options and openly communicating your wishes, you can help ensure your furry friend is cared for even after you're gone.</t>
  </si>
  <si>
    <t>Maaari bang isama ang mga alagang hayop sa isang testamento para sa mga layunin ng mana?</t>
  </si>
  <si>
    <t>What are the rights of adopted children in inheritance cases?</t>
  </si>
  <si>
    <t>In the Philippines, adopted children have the same rights as biological children when it comes to inheritance. This means:
* **Treated as Legitimate Children:** Once legally adopted, an adopted child is considered a legitimate son or daughter of the adopting parent(s) for all intents and purposes.
* **Inheritance from Adoptive Parents:** An adopted child has the right to inherit from their adoptive parent(s) just like a biological child would. This includes inheritance through a will or through intestacy laws (if no valid will exists).
* **No Inheritance Rights from Biological Parents (Generally):** Upon legal adoption, legal ties between the biological parent(s) and the adopted child are severed. This generally means the adopted child cannot inherit from their biological parents through intestacy laws or unless they are specifically named as beneficiaries in a will.
Here are some key points to remember:
* **Domestic Adoption Act:** The legal basis for these rights comes from the Domestic Adoption Act of 1998 (RA No. 8552) and the Domestic Administrative Adoption and Alternative Child Care Act (RA No. 11642).
* **Exceptions:** While rare, there might be situations where exceptions apply. Consulting with a lawyer is advisable if the adoption process deviated from standard procedures or involved unusual circumstances.
**Here's a table summarizing the inheritance rights of adopted children:**
| Inheritance From | Rights of Adopted Child |
|---|---|
| Adoptive Parents | Yes, inherits like a biological child (through will or intestacy) |
| Biological Parents | Generally No (unless named as beneficiary in a will) | **In conclusion,** adopted children in the Philippines enjoy the same inheritance rights as biological children when it comes to their adoptive parents' estates. However, they typically lose inheritance rights from their biological parents upon legal adoption. If you have any questions or concerns regarding specific circumstances, consulting with a lawyer specializing in family law and inheritance is recommended.</t>
  </si>
  <si>
    <t>Ano ang mga karapatan ng mga ampon sa mga kaso ng mana?</t>
  </si>
  <si>
    <t>How does inheritance work for assets held in a business?</t>
  </si>
  <si>
    <t>Inheritance of assets held within a business in the Philippines can vary depending on the type of business structure. Here's a breakdown of some common scenarios:
**Sole Proprietorship:**
* A sole proprietorship is essentially owned and operated by one person. In this case, business assets are considered the owner's personal property.
* Inheritance for a sole proprietorship follows the same principles as other personal assets. The owner can designate beneficiaries in a will, and if no will exists, intestacy laws dictate how the assets are distributed among heirs.
**Partnership:**
* A partnership involves two or more individuals co-owning a business. There are different partnership structures, but generally, a deceased partner's ownership interest in the business becomes part of their estate.
* The partnership agreement should ideally outline how a deceased partner's interest will be handled. This might involve:
* **Buy-Sell Agreement:** A pre-determined process where the remaining partners agree to purchase the deceased partner's interest at a fair price.
* **Continuation Clause:** The partnership continues with the remaining partners, and the deceased partner's interest passes to their beneficiaries according to their will or intestacy laws. * **Forced Sale:** In the absence of a predetermined agreement, the remaining partners might have the right to force the deceased partner's estate to sell their interest.
**Corporation:**
* A corporation is a separate legal entity from its owners (shareholders). Ownership is represented by shares.
* In case of a shareholder's death, their shares of stock in the corporation become part of their estate and are distributed to beneficiaries according to their will or intestacy laws.
* The corporation itself continues to operate independently of ownership changes.
* The beneficiaries inheriting the shares become shareholders in the corporation and might have voting rights depending on the number of shares inherited.
**Importance of Planning:**
* Regardless of the business structure, clear planning is essential to ensure a smooth transition of ownership upon inheritance. * **Buy-Sell Agreements:** For partnerships, having a buy-sell agreement can minimize disputes among remaining partners and the deceased partner's heirs. * **Estate Planning:** Proper estate planning through a will can clearly specify wishes regarding business assets and avoid confusion during inheritance.
**Seeking Professional Guidance:**
* Consulting with a lawyer specializing in business law and estate planning is highly recommended. * They can advise on the best approach for your specific business structure and help draft agreements or will provisions to ensure a clear and efficient inheritance process for business assets.
**In conclusion,** inheriting assets held in a business requires consideration of the business structure and potential agreements in place. Proper planning and potentially seeking legal guidance can help facilitate a smooth inheritance process and minimize disruptions to the business operations.</t>
  </si>
  <si>
    <t>Paano gumagana ang mana para sa mga asset na hawak sa isang negosyo?</t>
  </si>
  <si>
    <t>Can a charity be named as a beneficiary in a will?</t>
  </si>
  <si>
    <t>Yes, absolutely! In the Philippines, a charity can be named as a beneficiary in a will. Here's why it's possible:
* **Freedom of Disposition:** Philippine law allows testators (people writing the will) the freedom to dispose of their estate through a will, including leaving bequests to charitable organizations.
* **Non-profit Status Not a Barrier:** The fact that a charity is a non-profit organization doesn't prevent it from receiving inheritances. **Specifying the Charity Clearly:**
* It's essential to clearly identify the charity you wish to include in your will. This includes providing the charity's full legal name and registered address to avoid confusion or delays.
**Types of Charitable Bequests:**
* You have flexibility in how you leave a charitable donation through your will. Here are some options:
* **Specific Asset:** You can leave a specific asset, like cash, stocks, or real estate, to the charity.
* **Percentage of Estate:** You can designate a specific percentage of your estate to go to the charity.
* **Residual Beneficiary:** You can name the charity as a residual beneficiary, meaning they would inherit any remaining assets after other bequests and debts are settled.
**Benefits of Leaving a Charitable Bequest:**
* **Supporting a Cause You Care About:** This allows you to contribute to a cause you believe in even after your passing.
* **Potential Tax Benefits:** Depending on the specific tax situation, charitable bequests might be tax-deductible, potentially reducing the estate's tax liability. **Consulting a Lawyer:**
* While including a charity in your will is straightforward, consulting with a lawyer specializing in estate planning is recommended. They can advise on the best way to structure your charitable bequest to maximize its impact and ensure compliance with legal requirements.
**In conclusion, including a charity as a beneficiary in your Philippine will is a great way to support a cause you care about and potentially receive tax benefits. By clearly identifying the charity and potentially consulting with a lawyer, you can ensure your charitable wishes are fulfilled effectively.**</t>
  </si>
  <si>
    <t>Maaari bang pangalanan ang isang kawanggawa bilang isang benepisyaryo sa isang testamento?</t>
  </si>
  <si>
    <t>What is the process for proving a will's validity in court?</t>
  </si>
  <si>
    <t>In the Philippines, proving a will's validity in court, also known as probate, involves a specific process overseen by the Regional Trial Court (RTC) with jurisdiction over the deceased's residence at the time of death. Here's a breakdown of the key steps:
**Filing a Petition for Probate:**
* The first step typically involves an interested party, usually the executor named in the will, filing a petition for probate with the appropriate RTC. * The petition should include:
* A copy of the will.
* Proof of the testator's (person who wrote the will) death.
* Information about the beneficiaries and heirs.
**Notification of Interested Parties:**
* The court will notify all interested parties, including beneficiaries and any potential heirs who might be excluded by the will. This notification ensures everyone with a stake in the estate has the opportunity to participate in the proceedings.
**Hearing and Presentation of Evidence:**
* A hearing will be scheduled where the proponent (person advocating for the will's validity) will present evidence to prove the will's authenticity and compliance with legal requirements. This evidence might include:
* Testimony from the witnesses who signed the will.
* Proof that the testator was of sound mind at the time of signing.
* Evidence that the will was properly executed according to Philippine law (written, signed by the testator and witnesses with specific formalities).
**Possible Challenges:**
* Any interested party can contest the will's validity during the hearing. Common grounds for contesting a will include:
* Lack of testamentary capacity (testator wasn't mentally sound when signing).
* Undue influence or coercion on the testator.
* Improper execution (not following legal formalities).
* Forgery.
* If the will is challenged, the court will hear arguments from both sides and examine the evidence presented. **Court Decision:**
* After considering all evidence and arguments, the court will issue a decision. The court can either:
* Uphold the will's validity (grant probate). * Declare the will invalid (intestacy laws will apply for inheritance).
* Partially uphold the will if certain parts are deemed invalid.
**Issuance of Letters Testamentary (optional):**
* If the will is upheld, the court may issue Letters Testamentary. This document officially appoints the executor and grants them the legal authority to manage the estate according to the will's instructions. **Timeframe and Costs:**
* The probate process can take several months to a year or more, depending on the complexity of the case and any challenges presented. * There are associated court fees and potentially lawyer fees involved in the process.
**Alternatives to Formal Probate:**
* In some cases, a simpler process called "extrajudicial settlement" might be an option. This involves all heirs agreeing on the distribution of assets without court intervention. However, this method is only suitable for uncomplicated estates where there is no dispute among heirs.
**Importance of Legal Guidance:**
* Navigating the probate process can be complex. Consulting with a lawyer experienced in estate planning and probate law is highly recommended. * They can advise on the specific steps needed in your situation, represent you in court if necessary, and ensure the process is completed efficiently and effectively.
**In conclusion,** proving a will's validity in the Philippines requires filing a petition with the court, presenting evidence, and potentially addressing any challenges. The process can be time-consuming, and seeking legal guidance is crucial to navigate the legalities and ensure a smooth resolution.</t>
  </si>
  <si>
    <t>Ano ang proseso para sa pagpapatunay ng bisa ng isang testamento sa korte?</t>
  </si>
  <si>
    <t>Can a will be revoked or amended after it's been executed?</t>
  </si>
  <si>
    <t>Yes, a will in the Philippines can be revoked or amended after it's been executed. Here's how:
**Revocation:**
* A will can be revoked entirely in several ways:
* **Creating a Later Will:** A later will that explicitly states it revokes all previous wills is the most straightforward method.
* **Physical Destruction:** Intentionally destroying the physical will with the intent to revoke it can be valid grounds for revocation. However, evidence is crucial to prove intention. Tearing it up accidentally wouldn't revoke the will.
* **Creating a Codicil:** A codicil is a written document that modifies an existing will without revoking it entirely. However, a codicil must go through the same formalities as the original will to be valid (written, signed by the testator and witnesses).
**Amendment:**
* A will can be amended through a codicil, as mentioned above. The codicil can change specific bequests, appoint a different executor, or address any other aspect you wish to update in your original will.
**Importance of Clarity and Proper Execution:**
* To avoid confusion and potential challenges, it's crucial to ensure any revocation or amendment is done clearly and following proper legal procedures. Vague attempts at revocation or codicils with improper execution might not be upheld in court.
**Consulting a Lawyer:**
* Given the legal implications, consulting with a lawyer specializing in estate planning is highly recommended if you plan to revoke or amend your will. They can advise on the best course of action based on your specific situation and ensure the process is completed correctly to avoid future disputes.
**In conclusion,** while a will becomes effective upon your death, it's not set in stone during your lifetime. You have the flexibility to revoke it entirely or amend specific provisions through a properly drafted and executed codicil. Consulting with a lawyer throughout the process is advisable to ensure your wishes are clearly reflected and legally sound.</t>
  </si>
  <si>
    <t>Maaari bang bawiin o baguhin ang isang testamento pagkatapos itong maisakatuparan?</t>
  </si>
  <si>
    <t>How are stocks and investments handled in the inheritance process?</t>
  </si>
  <si>
    <t>Stocks and investments are considered part of the estate in the Philippines and are handled similarly to other assets during inheritance. Here's a breakdown of the process:
**Inventory and Valuation:**
* The executor or administrator of the estate (responsible for managing the deceased's assets and debts) will first need to create an inventory of all estate assets, including stocks and investments.
* This inventory should detail the type of investment (stocks, bonds, mutual funds, etc.), the issuer (company that issued the security), the number of shares or units held, and their estimated market value at the date of death.
**Settlement of Debts:**
* As with other assets, estate debts (unpaid loans, taxes, etc.) take precedence over inheritance. These debts need to be settled before any assets, including stocks and investments, can be distributed to beneficiaries.
**Distribution Options:**
* Once debts are settled, stocks and investments can be distributed to beneficiaries according to the instructions in the will (if one exists). The will might specify which beneficiary inherits specific stocks or allow the executor to distribute them at their discretion.
* In the absence of a valid will, intestacy laws dictate how assets are distributed among heirs. These laws might not account for specific investments, so the executor might need to sell them and distribute the proceeds according to intestacy rules.
**Important Considerations:**
* **Market Fluctuations:** The value of stocks and investments can fluctuate. The value used for distribution purposes will depend on the specific provisions in the will or intestacy laws. Some wills might specify using the market value at the date of death, while others might allow using an average value over a specific period.
* **Tax Implications:** Depending on the type of investment and the holding period, there might be capital gains taxes to consider when selling inherited stocks or investments. Consulting with a tax advisor is recommended to understand the potential tax liability.
* **Account Transfer:** Transferring ownership of stocks and investments to beneficiaries might involve specific procedures with the custodian bank or brokerage firm. The executor will need to follow the proper procedures to ensure smooth ownership transfer.
**Role of the Executor:**
* The executor plays a crucial role in managing inherited stocks and investments. They are responsible for:
* **Obtaining stock certificates or account statements.**
* **Working with financial institutions to transfer ownership to beneficiaries.**
* **Making informed decisions regarding selling or holding the investments.** This might involve considering the beneficiary's investment goals and risk tolerance.
**Seeking Professional Guidance:**
* Inheritance involving stocks and investments can be complex. Consulting with a lawyer specializing in estate planning and a financial advisor can be beneficial. * **Lawyers** can advise on legal requirements for transferring ownership and ensure compliance with inheritance laws.
* **Financial advisors** can provide guidance on managing inherited investments to align with the beneficiaries' financial goals and risk tolerance.
**In conclusion,** inheriting stocks and investments requires careful consideration of valuation, distribution options, tax implications, and account transfer procedures. By planning ahead and potentially seeking professional guidance, the executor can ensure a smooth transition of these assets to the beneficiaries.</t>
  </si>
  <si>
    <t>Paano pinangangasiwaan ang mga stock at pamumuhunan sa proseso ng mana?</t>
  </si>
  <si>
    <t>Are there any limitations to what can be included in a will?</t>
  </si>
  <si>
    <t>Yes, there are some limitations to what you can include in a will in the Philippines. Here's a breakdown of the key restrictions:
* **Illegality:** The will cannot contain provisions that violate Philippine law or public policy. For example, you cannot leave property to someone with the condition that they commit a crime.
* **Impossibility:** The will cannot include bequests that are impossible to fulfill. Leaving someone a flying car, for instance, wouldn't be enforceable.
* **Inducement to Commit a Crime:** The will cannot incentivize illegal activity. Leaving money to someone on the condition they harm another person is obviously not allowed.
* **Restraint on Marriage:** Philippine law prohibits conditions in wills that restrict someone's right to marry. You cannot withhold inheritance if a beneficiary gets married.
* **Undue Influence:** While you can leave your assets to whomever you choose, the will cannot be the result of undue influence or coercion. If someone pressured you into leaving them something you wouldn't have otherwise, the provision might be challenged in court.
* **Capacity of Beneficiary:** In some situations, leaving something to a minor or someone deemed mentally incapable of managing their finances might require additional legal considerations. A trust might be necessary to ensure the proper management of the inheritance for their benefit.
**Important Considerations:**
* **Clarity and Specificity:** The will should be clear and specific about what you are leaving to each beneficiary. Ambiguous wording can lead to disputes later.
* **Professional Drafting:** While not mandatory, consulting with a lawyer specializing in estate planning can help ensure your will is legally sound, minimizes ambiguity, and reflects your true wishes.
* **Updating Your Will:** Your circumstances and wishes might change over time. It's crucial to review and update your will periodically to ensure it remains accurate and reflects your current intentions.
**In conclusion,** while you have a lot of freedom in how you distribute your assets through a will in the Philippines, there are some limitations to consider. Focusing on legality, clarity, and potentially seeking legal guidance can help ensure your will is enforceable and carries out your wishes effectively.</t>
  </si>
  <si>
    <t>Mayroon bang anumang mga limitasyon sa kung ano ang maaaring isama sa isang testamento?</t>
  </si>
  <si>
    <t>Can inheritance be subject to gift tax?</t>
  </si>
  <si>
    <t>In the Philippines, inheritance itself is not subject to gift tax. However, there are some situations where certain inheritance-related actions might trigger gift tax implications:
* **Renunciation of Inheritance:** There's a distinction between a general renunciation of inheritance and a renunciation in favor of a specific heir.
* **General Renunciation:** If a beneficiary chooses to entirely reject their inheritance, this is generally not subject to gift tax. It's considered their right to decline the inheritance.
* **Partial Renunciation in Favor of Another Heir:** This scenario can be considered a gift to the beneficiary who receives the renounced portion. Philippine law, through Revenue Memorandum Circular No. 94-2021 issued by the Bureau of Internal Revenue (BIR), now considers such partial renunciation a taxable gift if the value of the renounced portion exceeds the annual gift tax exemption (currently Php 250,000).
* **Distribution of Assets Among Heirs:** While the inheritance transfer itself isn't taxed, the way the estate distributes the assets among heirs might have gift tax implications if it deviates from the will's instructions or intestacy laws. * **Following Will or Intestacy:** Distributing assets according to the clearly stated wishes in a valid will or following intestacy laws typically doesn't trigger gift tax.
* **Unequal Distribution Beyond Will or Intestacy:** If the executor or heirs agree to distribute assets unequally in a way that significantly benefits one heir over others, and this isn't reflected in the will or intestacy laws, then the excess value received by the beneficiary could be considered a taxable gift.
**Importance of Clear Communication and Legal Advice:**
* Open communication among heirs about inheritance wishes and distribution plans can help avoid unintentional gift tax implications.
* Consulting with a lawyer specializing in estate planning and tax law is highly recommended to understand the potential gift tax consequences of inheritance decisions and ensure compliance with Philippine tax regulations.
**In conclusion,** while inheritance itself isn't subject to gift tax in the Philippines, some inheritance-related actions like partial renunciation or unequal asset distribution can have gift tax implications. Careful planning, clear communication, and consulting with a lawyer can help avoid unintended tax liabilities during the inheritance process.</t>
  </si>
  <si>
    <t>Maaari bang sumailalim sa buwis sa regalo ang mana?</t>
  </si>
  <si>
    <t>What happens if there are multiple wills?</t>
  </si>
  <si>
    <t>If there are multiple wills found after someone's death in the Philippines, here's what typically happens:
**Determining Validity:**
* The probate court will be involved in determining which will is valid. Here are some factors they consider:
* **Date:** Generally, the most recent will is presumed to be the valid one, reflecting the deceased's latest wishes.
* **Revocation Clause:** Most wills contain a clause stating that all previous wills are revoked. If an earlier will is found, but it doesn't contain a revocation clause, it might cast doubt on the validity of the later will.
* **Proper Execution:** The will must be properly executed according to Philippine law. This typically means it must be in writing, signed by the testator (person who wrote the will) in the presence of witnesses who also sign the document.
* **Partial Validity:** In some cases, parts of multiple wills might be deemed valid. For example, a later will might dispose of newly acquired assets while an earlier will might still be valid for other assets.
**Challenges to Validity:**
* Beneficiaries or potential heirs excluded from the allegedly valid will might challenge its validity in court. They could argue that the will was forged, the testator lacked mental capacity when signing it, or undue influence was used to pressure the testator into creating the will.
**Importance of Clear and Recent Will:**
* Having a clearly drafted and recent will can help avoid confusion and disputes regarding its validity.
**Additional Considerations:**
* **Intestacy Laws:** If none of the wills are deemed valid, intestacy laws will dictate how the assets are distributed among heirs.
* **Legal Representation:** Dealing with multiple wills can be complex. Consulting with a lawyer specializing in estate planning and probate is highly recommended. They can advise on the legal process, represent parties in court if necessary, and work towards a resolution that respects the deceased's wishes as much as possible given the circumstances.
**In conclusion,** multiple wills can complicate the inheritance process. Having a clear and recent will along with open communication among family members can help minimize the risk of disputes. If multiple wills surface, seeking legal guidance is crucial to navigate the legalities and ensure a fair resolution according to Philippine law.</t>
  </si>
  <si>
    <t>Ano ang mangyayari kung maraming habilin?</t>
  </si>
  <si>
    <t>How are disputes among beneficiaries resolved?</t>
  </si>
  <si>
    <t>In the Philippines, disputes among beneficiaries can be resolved through several methods, depending on the severity and complexity of the issue. Here's a breakdown of the options:
**Informal Resolution:**
* **Communication and Negotiation:** The most desirable approach is often for beneficiaries to communicate openly and try to reach an agreement through negotiation. This can involve:
* Discussing the disagreement respectfully.
* Considering each beneficiary's perspective.
* Finding a compromise solution that fairly addresses everyone's concerns.
* **Family Mediation:** A neutral third party, like a trusted family friend or a professional mediator, can facilitate communication and guide beneficiaries towards an amicable resolution.
**Formal Resolution:**
* **Lawsuit:** If informal methods fail, a beneficiary can file a lawsuit against the executor or other beneficiaries. This is a more adversarial process that can be costly and time-consuming. * **Probate Court:** Many inheritance disputes end up in probate court. * The court can make decisions on various issues, such as:
* The validity of the will (if challenged)
* The interpretation of ambiguous language in the will
* The distribution of assets according to the law if no valid will exists
**Factors Influencing Resolution Method:**
* **Severity of Dispute:** Minor disagreements might be resolved informally, while complex issues related to the will's validity or significant asset distribution might require court intervention.
* **Cost and Time:** Lawsuits and probate court processes can be expensive and time-consuming. Informal resolution options are generally faster and more cost-effective.
* **Relationships and Communication:** The relationship between beneficiaries and their willingness to communicate effectively can significantly influence the choice of resolution method.
**Role of Lawyers:**
* Consulting with a lawyer specializing in estate planning and inheritance law is highly recommended, especially for complex disputes. They can:
* Advise on the best course of action based on the specific situation.
* Represent beneficiaries in court or mediation processes.
* Help draft settlement agreements.
**Overall, while resolving inheritance disputes can be challenging, prioritizing communication, exploring informal options first, and seeking legal guidance when necessary can lead to a more efficient and satisfactory outcome for all parties involved.**</t>
  </si>
  <si>
    <t>Paano nareresolba ang mga hindi pagkakaunawaan sa pagitan ng mga benepisyaryo?</t>
  </si>
  <si>
    <t>Can inheritance be used to pay for funeral expenses?</t>
  </si>
  <si>
    <t>Yes, inheritance in the Philippines can be used to pay for funeral expenses, but there are some important points to consider:
**Priority of Debts:**
* While inheritance can be used for funeral costs, it's important to remember that Philippine law prioritizes settling the deceased's outstanding debts before any assets are distributed to beneficiaries. This includes:
* Unpaid loans (mortgages, personal loans, credit cards)
* Medical bills
* Taxes owed
* Legal fees associated with probate (if applicable)
* Only after all these debts are settled can the remaining inheritance be used for funeral expenses or distributed to beneficiaries according to the will (if there is one) or intestacy laws (if no will exists).
**Responsibility for Funeral Costs:**
* In the absence of sufficient funds in the estate to cover both debts and funeral expenses, Philippine law generally holds the closest relatives responsible for the funeral costs. This typically includes the spouse, children, parents, or siblings of the deceased.
* However, these closest relatives are not personally liable for the debts beyond the value of the inheritance they receive.
**Alternatives for Funeral Costs:**
* If the estate and inheritance are insufficient to cover funeral expenses, some families might:
* Look for financial assistance from charitable organizations or government programs that help with funeral costs.
* Opt for a more modest funeral service.
**Planning for Funeral Costs:**
* To avoid placing a financial burden on loved ones, consider planning for your own funeral expenses in advance. This could involve:
* Setting aside savings specifically for funeral costs.
* Purchasing a pre-need funeral plan.
* Discussing your wishes and budget for your funeral with your family.
**Role of the Executor:**
* The executor or administrator of the estate (responsible for handling the deceased's assets and debts) is ultimately responsible for ensuring all debts are settled and funeral expenses are paid within the limits of the available funds in the estate.
**Conclusion:**
Inheritance can be a source of funds for funeral expenses in the Philippines, but it's crucial to prioritize settling outstanding debts first. Planning ahead for funeral costs and clear communication with loved ones can help ensure a respectful and dignified farewell without creating a financial burden for the family.</t>
  </si>
  <si>
    <t>Maaari bang gamitin ang mana upang bayaran ang mga gastusin sa libing?</t>
  </si>
  <si>
    <t>How are digital assets, such as cryptocurrency, handled in inheritance cases?</t>
  </si>
  <si>
    <t>Inheriting digital assets like cryptocurrency in the Philippines is a relatively new and evolving area. There are no specific laws yet tailored for digital asset inheritance, but here's an overview of current considerations:
**Challenges with Digital Assets:**
* **Intangible Nature:** Unlike physical assets, cryptocurrency exists digitally and access often relies on private keys or passwords. This can make it difficult to include crypto in a traditional will and ensure it reaches the intended beneficiary.
* **Lack of Legal Clarity:** Philippine law hasn't yet established clear guidelines for inheriting cryptocurrency. This creates uncertainty regarding ownership transfer after death.
**Planning Strategies:**
Despite these challenges, there are ways to plan for the inheritance of digital assets:
* **Specific Instructions in Will:** While the legal weight might be uncertain, a will can still mention your ownership of cryptocurrency and clearly state your wishes for its inheritance. This can include specifying the beneficiary and providing instructions on accessing the crypto through private keys or account information (stored securely with a trusted individual or using a safe deposit box with clear instructions for access).
* **Digital Asset Management Platforms:** Some cryptocurrency exchanges or custodial services now offer inheritance planning features. These might allow you to designate a beneficiary for your crypto holdings within the platform itself.
* **Communication and Education:** Discussing your digital assets with your intended beneficiaries is crucial. Educate them about the existence of your cryptocurrency, where it's stored, and how to access it upon your passing. Consider storing private keys or account information securely but in a way they can understand and retrieve with proper guidance. **Importance of Secure Storage:**
* Regardless of the method chosen, secure storage of private keys or account credentials is paramount. Losing these credentials could mean losing access to the cryptocurrency forever, even for the intended beneficiary.
**Legal Developments:**
* The Philippines is part of the ASEAN member states working on a framework for digital currency. Future regulations might provide more clarity on digital asset inheritance.
**Consulting a Lawyer:**
* Given the evolving legal landscape, consulting with a lawyer specializing in both estate planning and cryptocurrency is highly recommended. They can advise on the most effective strategies for your specific situation and help you plan for a smooth inheritance process for your digital assets.
**In conclusion,** inheriting cryptocurrency in the Philippines requires careful planning due to the lack of established legal frameworks. By combining clear communication with your beneficiaries, secure storage of access credentials, and potentially utilizing digital asset management platforms when available, you can increase the chances of your cryptocurrency reaching its intended destination after your death.</t>
  </si>
  <si>
    <t>Paano pinangangasiwaan ang mga digital asset, gaya ng cryptocurrency, sa mga inheritance case?</t>
  </si>
  <si>
    <t>Can inheritance be affected by the deceased's debts?</t>
  </si>
  <si>
    <t>Yes, inheritance in the Philippines can be significantly affected by the deceased's outstanding legal obligations. Here's a breakdown of how:
**Debts Take Precedence Over Inheritance:**
* Creditors have the right to be paid before beneficiaries receive their inheritance. This means that before any assets are distributed to heirs, the estate needs to settle all outstanding debts and legal obligations of the deceased. These obligations can include:
* Unpaid loans (mortgages, personal loans, credit cards)
* Medical bills
* Taxes owed
* Legal fees associated with probate (if applicable)
**Process of Settling Debts:**
1. **Inventory of Assets and Debts:** The executor or administrator of the estate (responsible for handling the deceased's assets and debts) will first create an inventory of all estate assets and outstanding debts.
2. **Payment Priority:** Philippine law establishes a hierarchy for settling debts. Secured creditors (with collateral like a house for a mortgage) have priority over unsecured creditors (with no collateral like credit card debt). Taxes and certain government fees might also have priority depending on the specific case.
3. **Selling Assets (if necessary):** If the estate doesn't have enough cash readily available to settle all debts, some assets might need to be sold to generate funds. 4. **Remaining Assets Distributed:** Once all debts and obligations are settled, the remaining assets in the estate can be distributed to the beneficiaries according to the will (if there is one) or intestacy laws (if no will exists).
**Beneficiaries Not Liable for Debts Beyond Inheritance:**
It's important to remember that in the Philippines, beneficiaries are generally not personally liable for the deceased's debts beyond the value of the inheritance they receive. This means they cannot be forced to pay the debts out of their own pockets if the estate's assets are insufficient. **What Beneficiaries Can Do:**
* Beneficiaries have the right to be informed about the estate's financial situation, including the amount of debts owed.
* They can choose to:
* Accept their inheritance after debts are settled (if there are any remaining assets).
* Disclaim (reject) their inheritance entirely to avoid any potential liability.
**Considering these points, it's clear that the deceased's outstanding legal obligations can significantly impact how much, if anything, beneficiaries ultimately inherit.**</t>
  </si>
  <si>
    <t>Maaari bang maapektuhan ang mana ng mga utang ng namatay?</t>
  </si>
  <si>
    <t>What happens if the executor of a will is unable to perform their duties?</t>
  </si>
  <si>
    <t>If the executor named in a will is unable to perform their duties in the Philippines, here's what can happen:
**Reasons for Inability:**
There are various reasons why an executor might be unable to fulfill their responsibilities, such as:
* **Death or Incapacity:** If the executor predeceases the testator (the person who wrote the will) or becomes incapacitated due to illness or mental decline, they can no longer handle the estate.
* **Unwillingness to Serve:** The executor might be unwilling or unable to take on the responsibilities due to time constraints, lack of experience, or conflicts of interest.
* **Removal for Cause:** In rare cases, the executor might be removed from their position by the court due to misconduct, mismanagement of the estate, or failing to fulfill their duties.
**Alternate Options:**
The following options come into play depending on the situation:
* **Replacement Executor:**
* **Named Successor:** The will might designate a successor executor who takes over the duties if the primary executor is unable or unwilling to serve. This is the most ideal scenario.
* **No Successor Named:** If there's no named successor, the following options might be considered:
* **Beneficiary Agreement:** The beneficiaries named in the will can potentially agree on someone suitable to act as the executor and petition the court for their appointment.
* **Court-Appointed Administrator:** If there's no agreement among beneficiaries or a named successor, the court will appoint an administrator to handle the estate. This administrator could be a professional fiduciary like a bank trust department or a qualified lawyer.
**Process and Considerations:**
* **Petition to the Court:** In most cases involving an incapacitated or unwilling executor, a beneficiary or interested party will need to file a petition with the court to initiate the process of replacing the executor or appointing an administrator.
* **Court Hearings:** The court might hold hearings to determine the best course of action, considering factors like the terms of the will, the qualifications of potential replacements, and the wishes of the beneficiaries.
* **Bonding Requirements:** Executors or court-appointed administrators typically need to obtain a bond to guarantee they will fulfill their duties responsibly. The bond amount is usually based on the value of the estate. **Importance of a Will:**
* A well-drafted will that clearly names a successor executor can help avoid complications and delays in the probate process if the primary executor can't serve.
* The will can also specify the testator's wishes regarding the appointment of an administrator by the court, if necessary.
**Consulting a Lawyer:**
* Dealing with situations where the executor is unable to act can be complex. Consulting with a lawyer specializing in estate planning and probate is highly recommended. They can guide you through the legal process, advise on the best course of action, and ensure the smooth administration of the estate according to the testator's wishes.</t>
  </si>
  <si>
    <t>Ano ang mangyayari kung ang tagapagpatupad ng isang testamento ay hindi magampanan ang kanilang mga tungkulin?</t>
  </si>
  <si>
    <t>How does the inheritance process differ for personal belongings and sentimental items?</t>
  </si>
  <si>
    <t>Inheritance for personal belongings and sentimental items can differ from inheriting financial assets or real estate in a few key ways:
**Distribution Based on Will or Intestacy (Similar):**
* **Will Prevails:** Just like with other assets, if a will exists, it can specify who should inherit specific personal belongings or sentimental items. This is the most straightforward way to ensure your wishes are followed.
* **Intestacy Laws (if no will):** In the absence of a will, intestacy laws dictate how these items are distributed amongst heirs. This might involve dividing them equally or following a specific order of inheritance according to family relationships.
**Valuation Challenges:**
* **Monetary Value vs. Sentimental Value:** Unlike financial assets or property with a clear market value, personal belongings and sentimental items often hold significant emotional value that can't be easily quantified. This can lead to disagreements among heirs who might have different attachments to these items.
**Division and Fairness:**
* **Emotional Attachment:** The sentimental value attached to these items can make dividing them fairly more complex than dividing purely financial assets. There's no one-size-fits-all solution, and open communication and compromise among heirs are crucial.
**Alternative Distribution Methods:**
* **Specific Bequests in Will:** A will can be very specific about who inherits certain items, reducing the potential for disputes. For example, it could state "I leave my grandmother's locket to my niece Sarah."
* **Mementos and Sharing:** Heirs can choose to divide certain collections by allowing each person to choose a specific item until everything is distributed. Alternatively, some items can be kept undivided as shared family mementos.
* **Sentimental Value Assessment:** In some cases, heirs can work with a professional appraiser who specializes in evaluating the sentimental value of belongings. This doesn't provide a monetary value but can help understand the emotional significance of each item and guide a fair distribution.
**Importance of Communication:**
* **Open Discussions:** Before the inheritance process begins, having open discussions among family members about who values which items can help avoid future conflicts. * **Respecting Wishes:** If there's a clear indication in a will or through prior conversations about the testator's wishes for certain belongings, it's important to respect those wishes as much as possible.
**Additional Considerations:**
* **Tax Implications:** Depending on the value of the inherited items, there might be tax implications to consider. Consulting with a tax advisor is recommended if large valuable collections are involved.
* **Digital Assets:** With the rise of digital technology, consider how to handle digital assets like photos, videos, or online accounts containing sentimental value. Clear instructions in a will or discussions among family can help ensure these are preserved and distributed accordingly.
**In conclusion,** while the legal process for inheriting personal belongings and sentimental items might be similar to other assets, the emotional attachment adds a layer of complexity. Open communication, respect for the deceased's wishes, and creative distribution methods are key to navigating this aspect of inheritance smoothly.</t>
  </si>
  <si>
    <t>Paano naiiba ang proseso ng pamana para sa mga personal na gamit at sentimental na bagay?</t>
  </si>
  <si>
    <t>Can inheritance be challenged based on undue influence or coercion?</t>
  </si>
  <si>
    <t>Yes, inheritance in the Philippines can be challenged based on undue influence or coercion. Here's a breakdown of the situation:
* **Grounds for Contest:** A beneficiary, a potential heir excluded from the will, or even a creditor can contest a will if they believe it was not the true reflection of the deceased's wishes due to undue influence or coercion.
* **Undue Influence Defined:** Undue influence occurs when someone pressures, manipulates, or threatens the testator (person who wrote the will) into making a will that benefits them in a way that wouldn't have happened without such pressure. This can involve things like:
* Exploiting a trusting relationship
* Taking advantage of the testator's mental or emotional vulnerability
* Isolating the testator from family and friends
* **Coercion Defined:** Coercion involves using force, threats, or intimidation to compel the testator to create a will that benefits a specific person. This is a more extreme form of undue influence.
* **Burden of Proof:** The person challenging the will has the burden of proving undue influence or coercion by a preponderance of evidence (more likely than not). This can be difficult, as it requires establishing what the testator's true wishes were and demonstrating how they were pressured into changing them.
**Examples of Evidence:**
* **Changes in the Will:** Sudden or unexplained changes to the will, especially if they significantly benefit someone who had a close relationship with the testator and exerted undue influence, can be suspicious.
* **Witness Testimony:** Witnesses who were present when the will was signed might be able to testify about the testator's mental state or any pressure exerted by the beneficiary in question.
* **Medical Records:** If the testator had any mental or physical impairments at the time the will was signed, medical records can be used to support a claim of undue influence.
* **Financial Records:** Financial records showing suspicious transactions or gifts to the beneficiary around the time the will was written might be relevant evidence.
**Importance of Legal Representation:**
Challenging a will based on undue influence or coercion is a complex legal process. Consulting with a lawyer specializing in estate litigation is crucial. They can help gather evidence, build a strong case, and navigate the court proceedings.
**Overall,** while challenging a will on these grounds is difficult, it can be successful if sufficient evidence exists. If you believe an inheritance was obtained through undue influence or coercion, speaking with a lawyer can help determine if you have a valid case.</t>
  </si>
  <si>
    <t>Maaari bang hamunin ang mana batay sa hindi nararapat na impluwensya o pamimilit?</t>
  </si>
  <si>
    <t>What is the role of a guardian in managing inheritance for minors?</t>
  </si>
  <si>
    <t>In the Philippines, when a minor inherits assets, a guardian plays a crucial role in managing that inheritance for their benefit. Here's a breakdown of their responsibilities:
**Protecting and Preserving the Assets:**
* The guardian's primary duty is to safeguard the minor's inherited assets. This includes:
* Taking inventory of all inherited assets (cash, property, investments)
* Ensuring proper legal registration and documentation of the assets in the minor's name
* Securing the assets from loss, damage, or misuse
**Making Prudent Investment Decisions:**
* The guardian cannot simply hold onto the assets passively. They are expected to invest them wisely to preserve and potentially grow their value for the minor's future benefit. This involves:
* Following a prudent investor standard, meaning making sound investment decisions based on the minor's age, risk tolerance, and long-term goals.
* Diversifying the investments to minimize risk.
**Managing Income and Expenses:**
* Any income generated from the inherited assets (rentals, interest) needs to be managed responsibly. This might involve:
* Using some of the income for the minor's needs (education, healthcare) if necessary.
* Re-investing a portion of the income to grow the inheritance for the minor's future.
**Meeting Legal Requirements:**
* The guardian might need to comply with specific legal requirements depending on the type and value of the inheritance. This could include:
* Filing tax returns on behalf of the minor for income generated from the assets.
* Obtaining court approval for certain transactions involving the assets, especially high-risk investments or selling valuable assets.
**Reporting and Accountability:**
* The guardian is typically accountable to the court and/or the minor's parents (if still alive) for their management of the inheritance. This might involve:
* Keeping detailed records of all transactions related to the inherited assets.
* Submitting periodic reports to the court or parents about the status of the inheritance.
**Transitioning to Adulthood:**
* As the minor approaches adulthood (usually 18 years old in the Philippines), the guardian's role is to help them understand their inheritance and prepare them to manage it responsibly. This might involve:
* Providing financial literacy education
* Explaining investment strategies
* Assisting with the legal transfer of ownership of the assets to the minor upon reaching adulthood.
**Important Considerations:**
* The specific duties and limitations of a guardian regarding inheritance management might be outlined in a court order appointing them. * Consulting with a lawyer specializing in estate planning and minor guardianship is highly recommended to understand the legalities and ensure the guardian fulfills their responsibilities according to the law.
In essence, a guardian acts as a responsible steward of the minor's inheritance, ensuring it is protected, grows, and ultimately benefits the minor when they reach adulthood.</t>
  </si>
  <si>
    <t>Ano ang tungkulin ng isang tagapag-alaga sa pamamahala ng mana para sa mga menor de edad?</t>
  </si>
  <si>
    <t>Can inheritance rights be transferred or assigned to someone else?</t>
  </si>
  <si>
    <t>In the Philippines, the transferability of inheritance rights depends on the specific situation:
* **Assignment of Inheritance:** There might be limited possibilities for assigning inheritance rights. Here's a breakdown:
* **With Permission:** If the beneficiary is still alive, they might be able to assign their inheritance rights to someone else **with the consent of the person who will be leaving them the inheritance (the testator)**. This would likely be formalized in a legal agreement.
* **Without Permission (Limited):** In some situations, even without the testator's consent, Philippine law allows a beneficiary to enter into a "pact of inheritance" with a third party. This pact is essentially a promise to share the inheritance if the beneficiary receives it. However, these pacts are not always enforceable in court, and there are specific requirements for them to be valid. * **Disclaimer of Inheritance:** A beneficiary can choose to **disclaim their inheritance entirely**. This means they formally reject their right to inherit. Once disclaimed, the inheritance would pass to the next beneficiary in line according to the will or intestacy laws.
**Important Considerations:**
* **Will Provisions:** The terms of the will might explicitly prohibit or restrict the assignment of inheritance rights. It's crucial to carefully review the will's language.
* **Legal Advice:** Consulting with a lawyer specializing in estate planning is highly recommended to understand the legalities of inheritance transferability in your specific situation. **Here's an analogy:** Think of inheritance rights like a non-transferable ticket to a concert. You can give up your ticket (disclaim), but generally you can't sell it to someone else (assignment) without the permission of the organizer (testator).
**In conclusion,** while there might be limited options for assigning inheritance rights in the Philippines with the testator's consent, it's not a straightforward process. Disclaimer of inheritance is a clearer option, but it means giving up the inheritance entirely. Consulting with a lawyer is crucial to navigate the legalities and understand your best course of action.</t>
  </si>
  <si>
    <t>Maaari bang ilipat o italaga ang mga karapatan sa mana sa ibang tao?</t>
  </si>
  <si>
    <t>How are intellectual property rights handled in the inheritance process?</t>
  </si>
  <si>
    <t>Intellectual property (IP) rights can be inherited like other assets, but there are some specific considerations to keep in mind during the inheritance process. Here's a breakdown:
**Inheriting IP Rights:**
* **Similar to Other Assets:** Just like inheriting a house or a car, copyrights, patents, trademarks, and other forms of IP can be passed on to beneficiaries through a will or by intestacy laws (if no will exists).
* **Transfer of Ownership:** The beneficiary becomes the new owner of the IP rights, granting them the same legal rights as the original creator. This includes the ability to:
* Use the intellectual property
* License or sell the rights to others
* Take legal action against infringement
**Importance of a Will:**
* **Clarity and Control:** A well-drafted will specifying how IP rights should be inherited is crucial. * It can designate specific beneficiaries for each IP asset.
* It can outline any conditions or limitations on how the beneficiary can use the IP.
* This can help avoid confusion and potential disputes among heirs.
**Types of IP and Considerations:**
* **Copyrights:** These typically last for the author's life plus 70 years in the Philippines. Transferring ownership doesn't affect the duration of copyright protection.
* **Patents:** Exclusive rights granted for inventions typically last for 20 years from the filing date in the Philippines. Beneficiaries need to maintain patent fees to keep the protection active. * **Trademarks:** Registrations typically last for 10 years in the Philippines and can be renewed indefinitely. Beneficiaries need to be aware of renewal requirements.
**Tax Implications:**
* Inheriting IP assets might have tax implications, such as inheritance taxes or capital gains taxes when the IP is sold. Consulting with a tax advisor is recommended.
**Additional Considerations:**
* **Management of Complex IP:** If the IP involves ongoing projects, licensing agreements, or partnerships, additional legal and administrative steps might be required to ensure a smooth transition to the beneficiary.
* **Confidentiality Agreements:** Beneficiaries inheriting IP might need to comply with any existing confidentiality agreements associated with the intellectual property.
**Overall, careful planning and clear communication are essential when inheriting intellectual property.** Consulting with lawyers specializing in intellectual property and estate planning can help ensure a smooth and successful inheritance process for these valuable assets.</t>
  </si>
  <si>
    <t>Paano pinangangasiwaan ang mga karapatan sa intelektuwal na ari-arian sa proseso ng mana?</t>
  </si>
  <si>
    <t>Can inheritance be affected by a beneficiary's bankruptcy?</t>
  </si>
  <si>
    <t>In the Philippines, a beneficiary's bankruptcy generally **doesn't directly prevent them from inheriting**. Here's why:
* **Inheritance Rights:** Inheritance rights are established at the time of the death of the deceased (testator) and are separate from the beneficiary's financial situation.
* **Creditor Protection:** The inheritance itself becomes the property of the beneficiary, but there are ways to protect it from their creditors:
* **Spendthrift Trust:** The testator can establish a spendthrift trust in their will. This type of trust allows the beneficiary to receive the benefits of the inheritance (like income from investments) without giving creditors direct access to the principal amount. * **Exempt Assets:** Some types of inherited assets might be exempt from seizure by creditors in the Philippines (e.g., minimum family allowance).
However, there are some indirect ways a beneficiary's bankruptcy could affect their inheritance:
* **Management of Inherited Assets:** If the beneficiary's bankruptcy involves court-appointed trustees or debt repayment plans, these entities might have some control over how the inherited assets are managed or used to settle outstanding debts.
* **Timing of Inheritance Distribution:** If the estate is complex or involves probate, there might be a delay in distributing the inheritance. This could be problematic for a bankrupt beneficiary who needs immediate access to funds.
* **Taxes:** Depending on the value of the inheritance, the beneficiary might owe taxes upon receiving it. If they are struggling financially due to bankruptcy, this could create an additional burden.
**Overall**, while bankruptcy doesn't disqualify someone from inheriting, it might influence how they access or manage the inherited assets.
Here are some additional points to consider:
* The specific situation will depend on the details of the bankruptcy case and the terms of the inheritance.
* Consulting with a lawyer specializing in bankruptcy and estate planning can be helpful for both the testator (when creating their will) and the beneficiary (to understand their options).</t>
  </si>
  <si>
    <t>Maaari bang maapektuhan ang mana ng pagkabangkarote ng benepisyaryo?</t>
  </si>
  <si>
    <t>How are foreign assets handled in the inheritance process?</t>
  </si>
  <si>
    <t>Inheriting foreign assets can add complexity to the inheritance process. Here's a breakdown of some key points to consider:
**Jurisdiction and Laws:**
* The process for handling foreign assets is determined by two main factors:
* **Domicile of the deceased (testator):** This refers to the country the deceased considered their permanent home.
* **Location of the foreign assets:** This refers to the specific country where the assets (property, bank accounts, investments) are held.
* Each country has its own inheritance laws that will dictate things like:
* Taxation of inherited assets * Probate requirements (legal process to administer the estate)
* Distribution of assets according to a will or intestacy laws (if no will exists)
**Possible Scenarios:**
* **Testator's domicile and foreign asset location match:** This simplifies things a bit, as the laws of one country will govern the entire inheritance process.
* **Testator's domicile and foreign asset location differ:** This is more complex and might involve:
* **Ancillary probate:** A separate probate process might be required in the country where the foreign assets are located to handle those specific assets according to local laws.
* **International estate planning:** Consulting with lawyers specializing in both the testator's domicile and the foreign asset location is crucial to ensure a smooth inheritance process.
**Additional Considerations:**
* **Taxes:** Inheriting foreign assets can trigger inheritance taxes in both the testator's domicile and the country where the assets are located. Tax treaties between the countries might offer exemptions or reduced rates. Consulting a tax advisor familiar with international inheritance taxation is recommended.
* **Currency Exchange:** Fluctuations in currency exchange rates can impact the value of the inheritance received.
* **Legal and Administrative Costs:** Dealing with foreign assets often involves additional legal and administrative costs due to the need for potentially foreign lawyers, translators, and navigating unfamiliar legal processes.
**Recommendations:**
* If you have foreign assets, consulting with an estate planning lawyer experienced in international matters is crucial. They can advise you on structuring your estate plan to minimize complexities and tax burdens for your beneficiaries.
* Your beneficiaries should also be aware of the potential challenges of inheriting foreign assets and be prepared for the additional time and costs it might involve.</t>
  </si>
  <si>
    <t>Maaari bang maapektuhan ang mana ng mga natitirang legal na obligasyon ng namatay?</t>
  </si>
  <si>
    <t>Can inheritance be affected by the deceased's outstanding legal obligations?</t>
  </si>
  <si>
    <t>Yes, inheritance can be affected by the deceased's outstanding legal obligations in the Philippines. Here's how:
**Debts Take Precedence Over Inheritance:** Creditors have the right to be paid before beneficiaries receive their inheritance. This means that before any assets are distributed to heirs, the estate needs to settle all outstanding debts and legal obligations of the deceased. These obligations can include:
* Unpaid loans (mortgages, personal loans, credit cards)
* Medical bills
* Taxes owed
* Legal fees associated with probate (if applicable)
**Process of Settling Debts:**
1. **Inventory of Assets and Debts:** The executor or administrator of the estate (responsible for handling the deceased's assets and debts) will first create an inventory of all estate assets and outstanding debts.
2. **Payment Priority:** Philippine law establishes a hierarchy for settling debts. Secured creditors (with collateral like a house for a mortgage) have priority over unsecured creditors (with no collateral like credit card debt). Taxes and certain government fees might also have priority depending on the specific case.
3. **Selling Assets (if necessary):** If the estate doesn't have enough cash readily available to settle all debts, some assets might need to be sold to generate funds. 4. **Remaining Assets Distributed:** Once all debts and obligations are settled, the remaining assets in the estate can be distributed to the beneficiaries according to the will (if there is one) or intestacy laws (if no will exists).
**Beneficiaries Not Liable for Debts:**
It's important to remember that in the Philippines, beneficiaries are generally not personally liable for the deceased's debts beyond the value of the inheritance they receive. This means they cannot be forced to pay the debts out of their own pockets if the estate's assets are insufficient. **What Beneficiaries Can Do:**
* Beneficiaries have the right to be informed about the estate's financial situation, including the amount of debts owed.
* They can choose to:
* Accept their inheritance after debts are settled (if there are any remaining assets).
* Disclaim (reject) their inheritance entirely to avoid any potential liability.
**Considering these points, it's clear that the deceased's outstanding legal obligations can significantly impact how much, if anything, beneficiaries ultimately inherit.**</t>
  </si>
  <si>
    <t>What happens if a beneficiary predeceases the testator?</t>
  </si>
  <si>
    <t>In the Philippines, if a beneficiary predeceases the testator (the person who wrote the will), the outcome depends on whether the will includes a provision for such a scenario and the type of gift bequeathed. Here's a breakdown:
* **Lapse of Bequest:** The general situation is that a bequest "lapses" if the beneficiary dies before the testator. This means the gift the beneficiary was supposed to receive is no longer valid. * **Anti-Lapse Statutes (Limited Application):** The Philippines has limited anti-lapse statutes. These are laws that can sometimes redirect a lapsed bequest to the beneficiary's descendants (children, grandchildren) if certain conditions are met. However, anti-lapse provisions in the Philippines only apply in specific situations, like if the beneficiary is a legitimate child or descendant of the testator.
* **Will Provisions:** The most important factor is what the will says. A well-drafted will might include a **substitutionary clause** or a **residuary clause** that determines what happens to a lapsed bequest:
* **Substitutionary Clause:** This clause names a contingent beneficiary who will receive the gift if the primary beneficiary predeceases the testator.
* **Residuary Clause:** This clause specifies how any remaining estate assets, including lapsed bequests, will be distributed. They might go to other named beneficiaries or become part of a general pool to be divided according to the will's instructions.
* **Types of Gifts:** The type of gift designated in the will can also influence the outcome:
* **Specific Gifts:** If the gift is a specific item (e.g., a car, a house), it usually lapses and becomes part of the residue of the estate. * **Gifts to a Class:** If the gift is to a class of beneficiaries (e.g., "to all my grandchildren"), the surviving members of the class would typically share the bequest, excluding the predeceased beneficiary.
**Recommendations:**
* To avoid confusion and ensure your wishes are followed, it's crucial to consult with a lawyer specializing in estate planning when creating your will. * The lawyer can advise you on including clear and comprehensive language regarding what happens to a bequest if a beneficiary predeceases you.
* You can also revisit and update your will periodically to reflect changes in your family situation or the status of your beneficiaries.</t>
  </si>
  <si>
    <t>Ano ang mangyayari kung ang isang benepisyaryo ay nauna sa testator?</t>
  </si>
  <si>
    <t>Can inheritance be affected by a beneficiary's divorce?</t>
  </si>
  <si>
    <t>No, in the Philippines, a beneficiary's divorce generally **does not affect their right to inherit**. Here's why:
* **Inheritance Rights:** Inheritance rights are established at the time of the deceased's death (testator) or are dictated by intestacy laws (if no will exists). A divorce happens during the beneficiary's lifetime, separate from the inheritance process.
* **Separate Property:** Assets acquired during the marriage are generally considered conjugal property, but inherited assets are typically considered separate property. The beneficiary's spouse wouldn't have a claim on inherited assets unless they were somehow commingled with conjugal funds. However, there are a few situations where a divorce *might* indirectly affect inheritance:
* **Prenuptial Agreement:** If a prenuptial agreement existed between the deceased and the beneficiary (their former spouse), it could potentially limit inheritance rights if the agreement specifically addressed inherited assets.
* **Community Property (some exceptions):** In some specific circumstances, depending on the marital regime chosen by the couple, inherited assets might become conjugal property. This is uncommon but possible in rare cases.
* **Will with Specific Conditions:** The testator (deceased who wrote the will) could have included a clause in their will that conditions inheritance on the beneficiary's marital status. This is uncommon but legally possible (although enforceability might be challenged).
**Overall**, a beneficiary's divorce usually doesn't impact their inheritance rights in the Philippines. However, if there are exceptional circumstances like a prenuptial agreement or a specific clause in the will, it's best to consult with a lawyer specializing in estate planning and family law.</t>
  </si>
  <si>
    <t>Maaari bang maapektuhan ang mana ng diborsyo ng benepisyaryo?</t>
  </si>
  <si>
    <t>How does inheritance work for assets held in a trust?</t>
  </si>
  <si>
    <t>Inheritance with assets held in a trust works differently than traditional inheritance. Here's a breakdown:
**Traditional Inheritance vs. Trust:**
* **Traditional Inheritance:** Assets pass directly from the deceased (grantor) to the beneficiaries named in their will or according to intestacy laws (if no will exists). * **Trust:** Assets are transferred to a trust during the grantor's lifetime. The trust document outlines how the assets will be managed (by a trustee) and ultimately distributed to the beneficiaries according to the grantor's wishes.
**Inheritance from a Trust:**
* **Following the Trust Document:** The distribution of assets from a trust is dictated by the terms set forth in the trust document. This document specifies:
* **Beneficiaries:** Who will inherit the trust assets.
* **Distribution Schedule:** When and how the beneficiaries will receive their inheritance (e.g., in lump sums, at certain ages, or based on specific conditions).
* **Trustee Duties:** The responsibilities of the trustee who manages the trust assets for the benefit of the beneficiaries.
* **Avoiding Probate:** Assets held in a trust generally avoid probate, which is the legal process of administering a will. This can save time and money for the beneficiaries.
**Types of Trusts and Inheritance:**
* **Revocable Living Trust:** The grantor can modify or revoke the trust during their lifetime. Upon the grantor's death, the remaining assets in the trust are distributed to the beneficiaries as outlined in the trust document.
* **Irrevocable Trust:** The grantor gives up ownership of the assets placed in the trust and cannot generally make changes to the trust terms. Inheritance for beneficiaries is fixed according to the trust document.
**Benefits of Inheritance Through a Trust:**
* **Reduced probate costs and time**
* **Greater control over asset distribution**
* **Potential asset protection from creditors**
* **Management of inheritance for beneficiaries who might not be financially responsible yet**
**Important Considerations:**
* It's crucial to understand the specific terms of the trust document to know how inheritance will be handled.
* Consulting with a lawyer specializing in trusts and estate planning can be helpful, especially if the trust document is complex or there are any potential issues.
**Overall,** inheritance from a trust offers more flexibility and control compared to traditional inheritance. However, it's essential to understand the specific trust structure and its impact on beneficiary rights.</t>
  </si>
  <si>
    <t>Paano gumagana ang mana para sa mga asset na hawak sa isang trust?</t>
  </si>
  <si>
    <t>Can inheritance be affected by a beneficiary's disability or incapacity?</t>
  </si>
  <si>
    <t>In the Philippines, a beneficiary's disability or incapacity generally **doesn't disinherit them** from receiving their inheritance. However, there are situations where it might affect how they receive it:
* **Management of Inherited Assets:** * If a beneficiary has a disability that affects their ability to manage money responsibly, a court might appoint a guardian or conservator to oversee their inheritance. * This person would be responsible for managing the funds and ensuring they are used for the beneficiary's benefit.
* **Special Needs Trust:**
* In some cases, a testator (the person who wrote the will) might establish a special needs trust for a disabled beneficiary. * This trust allows the beneficiary to receive the benefits of the inheritance without jeopardizing their eligibility for government assistance programs.
* **Disinheritance (Rare Cases):**
* While uncommon, a testator can choose to disinherit a beneficiary due to disability, but there needs to be a strong justification. * This justification would likely involve proving the beneficiary's disability would cause significant harm to the inheritance or themselves if they received it directly.
Here are some additional points to consider:
* **Type of Disability:** The impact of disability on inheritance will vary depending on the nature and severity of the disability.
* **Will vs. Intestacy:** If there's a will, the testator's instructions regarding a disabled beneficiary might be outlined. In the absence of a will (intestacy), the court will determine how to handle the inheritance based on the beneficiary's situation. * **Legal Guidance:** Consulting with a lawyer specializing in estate planning and trusts is crucial, especially if a beneficiary has a disability. They can advise on the best way to structure the inheritance to ensure it benefits the beneficiary while considering their specific needs.
Remember, this is a general overview, and the specifics will depend on the individual circumstances.</t>
  </si>
  <si>
    <t>Maaari bang maapektuhan ang mana sa pamamagitan ng kapansanan o kawalan ng kakayahan ng benepisyaryo?</t>
  </si>
  <si>
    <t>What is the process for claiming inheritance from a foreign estate?</t>
  </si>
  <si>
    <t>Claiming inheritance from a foreign estate can be a complex process with additional considerations compared to inheriting from a domestic estate. Here's a breakdown of the general steps involved:
**1. Locate the Legal Representative:**
* Find out if the deceased left a will. If so, the will should name an executor or administrator responsible for handling the estate. * If there's no will (intestacy), the laws of the country where the assets are located will determine who inherits and how the estate is settled. You might need to research the inheritance laws of that specific country.
**2. Gather Necessary Documents:**
* **Death certificate of the deceased** (translated and apostilled if required by the foreign country)
* **Proof of your identity and beneficiary status** (birth certificates, marriage certificates, any legal documents naming you as an heir)
* **Possibly a tax identification number** (may vary by country)
**3. Navigate Probate (if applicable):**
* Probate is the legal process of administering the estate, including paying debts and taxes before distributing assets to beneficiaries. * Whether probate is required depends on the country's laws and the value of the assets. * In some cases, an ancillary probate might be necessary in your home country to handle the distribution of the inherited assets locally.
**4. Tax Implications:**
* You might be liable for inheritance taxes in both the foreign country and your home country. * Research tax treaties between the two countries to see if any exemptions or reduced rates apply.
* It's crucial to consult with a tax advisor familiar with international inheritance taxes.
**5. Transferring Assets:**
* The process for transferring assets like property or bank accounts will depend on the specific location and type of asset. * You might need to work with local lawyers or financial institutions to navigate the transfer procedures.
**Additional Considerations:**
* **Legal Representation:** Due to the complexities involved, consulting with lawyers specializing in international inheritance law in both the foreign country and your home country is highly recommended. * **Currency Exchange:** Consider potential currency exchange rate fluctuations when receiving and managing the inheritance.
* **Translation and Apostille Services:** Documents might require translation into the official language of the foreign country and apostille certification (verification of authenticity) for legal purposes.
Remember, this is a general overview, and the specific process will vary depending on the country where the estate is located, the type of assets involved, and the presence of a will.</t>
  </si>
  <si>
    <t>Ano ang proseso para sa pag-claim ng mana mula sa isang dayuhang ari-arian?</t>
  </si>
  <si>
    <t>Cybercrime</t>
  </si>
  <si>
    <t>What constitutes hacking under the law?</t>
  </si>
  <si>
    <t>The legal definition of hacking can be nuanced, but generally revolves around unauthorized access, modification, or disruption of a computer system or network, for any unlawful purpose. Key factors include: lack of permission, whether the hacker exceeded authorized access, intent (e.g., to steal data, cause harm), and the type of system targeted (protected computers, critical infrastructure). Laws like the US Computer Fraud and Abuse Act and similar legislation in other countries criminalize these actions, while "ethical hacking" conducted with permission and for beneficial purposes falls outside the legal definition. It's important to remember that context and intention are crucial in determining whether an act constitutes illegal hacking.</t>
  </si>
  <si>
    <t>Ano ang ibig sabihin ng pag-hack sa ilalim ng batas?</t>
  </si>
  <si>
    <t>Can I be held legally responsible if someone hacks into my computer without my knowledge?</t>
  </si>
  <si>
    <t>No, generally you won't be held legally responsible for crimes committed through your hacked computer, particularly if you took reasonable precautions like using strong passwords and antivirus software. However, specific situations, like negligence in cybersecurity practices or specific contractual obligations, could open you to liability in some cases. Consulting a lawyer about your specific situation and cyber hygiene practices is best for definitive guidance.</t>
  </si>
  <si>
    <t>Maaari ba akong magkaroon ng legal na pananagutan kung may nang-hack sa aking computer nang hindi ko nalalaman</t>
  </si>
  <si>
    <t>What are the potential legal consequences for hacking into someone else's social media account?</t>
  </si>
  <si>
    <t>Hacking into someone's social media is a serious offense with hefty legal consequences. It violates federal and state laws like unauthorized computer access, identity theft, and fraud, potentially leading to heavy fines, prison time, and civil lawsuits for damages. Even seemingly harmless actions can land you in trouble, and the severity depends on the information accessed, harm caused, and jurisdiction. It's best to stay on the safe side and respect others' online privacy.</t>
  </si>
  <si>
    <t>Ano ang potensyal na legal na kahihinatnan para sa pag-hack sa social media account ng ibang tao?</t>
  </si>
  <si>
    <t>If my company's database is hacked, what legal liabilities do I face as the owner?</t>
  </si>
  <si>
    <t>The legal liabilities you face as a company owner after a database hack depend on various factors, but can be significant. You could face civil lawsuits from affected individuals claiming damages like identity theft, financial loss, or emotional distress. You may also incur regulatory fines for violating data privacy laws or failing to implement adequate security measures. Additionally, you could face contractual penalties if any agreements were breached due to the hack. It's crucial to seek legal counsel immediately after a breach to minimize potential liabilities and ensure proper notification and mitigation steps are taken.</t>
  </si>
  <si>
    <t>Kung na-hack ang database ng aking kumpanya, anong mga legal na pananagutan ang kinakaharap ko bilang may-ari?</t>
  </si>
  <si>
    <t>Is it considered hacking if I access someone's Wi-Fi network without their permission?</t>
  </si>
  <si>
    <t>In the Philippines, the legal situation around accessing someone's Wi-Fi network without permission is not entirely clear-cut. There isn't a specific law that directly addresses this issue. However, there are a few points to consider:
Computer Fraud and Abuse Act: This act, enacted in 1986, criminalizes unauthorized access to a computer system. While Wi-Fi networks weren't as prevalent then, it's possible this law could be interpreted to cover unauthorized Wi-Fi access.
Legality of Piggybacking: Court rulings in other countries have addressed Wi-Fi access. A 2017 case in Japan ruled that simply accessing an unsecured Wi-Fi network isn't a crime, even if there's a password. However, using that access to commit other crimes, like stealing data, would be illegal.
Ethical Implications:
Even if there's no clear legal penalty, accessing someone's Wi-Fi without permission raises ethical concerns:
Security Risk: You could be exposing your device to vulnerabilities on the network.
Bandwidth Theft: You're using their internet resources without their consent.
Network Strain: This could slow down the connection for the authorized users.
Alternatives:
There are more ethical ways to access the internet:
Ask for the password: The homeowner might be willing to share it with you.
Use public Wi-Fi: Many libraries, cafes, and parks offer free Wi-Fi access.
Consider mobile data: Many phone plans offer data packages for internet access on your phone.
Recommendation:
It's best to err on the side of caution and avoid accessing someone's Wi-Fi network without their permission. There's a chance it could be considered a crime, and it's disrespectful to their privacy and resources. Look for alternative ways to connect to the internet.</t>
  </si>
  <si>
    <t>Itinuturing ba itong pag-hack kung ina-access ko ang Wi-Fi network ng isang tao nang walang pahintulot nila?</t>
  </si>
  <si>
    <t>Can I sue a company for inadequate cybersecurity measures if my personal information is hacked from their database?</t>
  </si>
  <si>
    <t>Whether you can sue a company for inadequate cybersecurity measures if your personal information is hacked from their database depends on several factors, including the specific laws of your jurisdiction. In the Philippines, the legal landscape around data privacy is evolving, but here's some general information to consider:
Data Privacy Act of 2012 (DPA):
This act protects the privacy of personal information and imposes obligations on personal information controllers (PICs) such as companies.
The DPA requires PICs to implement appropriate security measures** to protect personal information.
Potential Lawsuit Grounds:
Negligence: If a company fails to implement reasonable security measures** as required by the DPA, and this failure leads to a data breach where your personal information is compromised, you might have grounds for a lawsuit based on negligence.
Privacy Breach Notification: The DPA also requires PICs to notify affected individuals in case of a data breach. If a company fails to notify you of a breach, it could strengthen your case.
Challenges of Lawsuits:
Proving Negligence: It can be difficult to prove** that a company's security measures were inadequate and directly caused the breach**.
Damages: You would also need to demonstrate damages** suffered due to the data breach, such as identity theft or financial loss.
Alternative Dispute Resolution:
The National Privacy Commission (NPC), the government agency tasked with implementing the DPA, offers alternative dispute resolution (ADR) mechanisms for data privacy concerns. This can be a faster and less expensive** way to seek redress compared to a lawsuit.
Recommendation:
Report the Breach: If you believe your personal information has been compromised in a data breach, report it to the NPC** to file a complaint against the company.
Consult a Lawyer: If you're considering a lawsuit, consulting a lawyer specializing in data privacy law** is highly recommended. They can assess your specific situation, advise on the likelihood of success, and guide you through the legal process.
Evolving Legal Landscape:
The Philippines is seeing developments in data privacy regulations. The proposed amendments to the DPA, known as the Data Protection Act, are currently under deliberation. These amendments could potentially strengthen the legal framework for data security and privacy.
Remember: This is a general overview, and the specific laws and their application may vary. Consulting with a lawyer familiar with data privacy law in the Philippines is crucial for personalized advice.</t>
  </si>
  <si>
    <t>Maaari ko bang idemanda ang isang kumpanya para sa hindi sapat na mga hakbang sa cybersecurity kung ang aking personal na impormasyon ay na-hack mula sa kanilang database?</t>
  </si>
  <si>
    <t>What legal protections are in place for victims of hacking?</t>
  </si>
  <si>
    <t>The Philippines has legal protections evolving alongside the growing importance of cybersecurity. Here's a breakdown of the existing framework and how it can help victims of hacking:
Data Privacy Act of 2012 (DPA):
This act serves as the cornerstone for data privacy rights. Here's how it protects victims of hacking:
Security Measures: The DPA requires personal information controllers (PICs) like companies to implement "appropriate security measures"** to safeguard personal data. A hacking incident due to inadequate security could be a violation.
Data Breach Notification: The DPA mandates that PICs notify affected individuals** in case of a data breach. This allows victims to take steps to protect themselves from potential harm caused by the compromised data.
Potential Legal Actions:
While the DPA doesn't explicitly grant a private right of action, there are potential legal avenues for hacking victims depending on the circumstances:
Negligence Lawsuit: If a company's failure to implement reasonable security measures** as required by the DPA leads to a data breach compromising your information, you might have grounds to sue based on negligence. Proving this can be challenging, but a lawyer can assess your case.
Right to Compensation: The proposed amendments to the DPA, known as the Data Protection Act, introduce a right to compensation for damages arising from a data breach. This strengthens legal recourse for victims, but these amendments haven't been fully implemented yet.
National Privacy Commission (NPC):
This government agency oversees data privacy:
Complaint Filing: Victims of hacking can file a complaint with the NPC** against the company responsible for the data breach. The NPC can investigate and potentially impose sanctions on the company.
Alternative Dispute Resolution (ADR): The NPC offers ADR mechanisms for data privacy concerns. This can be a faster and less expensive** way to seek redress compared to a lawsuit.
Additional Protections:
Cybercrime Law: The Cybercrime Prevention Act of 2012 penalizes various cybercrimes, including illegal access to computer systems. While this law may not directly address data breaches from inadequate security, it strengthens the overall cybersecurity framework.
Challenges and Recommendations:
Proving Negligence: Demonstrating a company's security lapses directly caused the breach can be difficult.
Damages: To pursue legal action, you'd likely need to show quantifiable damages** suffered due to the hacking incident, such as identity theft or financial loss.
Consulting a Lawyer:
For a specific situation, consulting a lawyer specializing in data privacy law** is highly recommended. They can assess your case's merits, advise on the best course of action, and guide you through the legal process.
Evolving Landscape:
The Philippines' data privacy regulations are constantly evolving. The proposed amendments to the DPA offer promising developments for victim protection. Staying informed about these changes can help you understand your rights better.
Remember: This is a general overview, and the specific laws and their application may vary. Consulting with a lawyer familiar with data privacy law in the Philippines is crucial for personalized advice.</t>
  </si>
  <si>
    <t>Anong mga legal na proteksyon ang inilalagay para sa mga biktima ng pag-hack?</t>
  </si>
  <si>
    <t>Can hacking into a government database result in more severe penalties than hacking into a private individual's account?</t>
  </si>
  <si>
    <t>Yes, hacking into a government database typically results in more severe penalties than hacking into a private individual's account. Here's why:
Severity of Information Accessed: Government databases often contain sensitive information**, such as national security secrets, classified documents, or personal data of millions of citizens. A successful hack into a government database could have a much wider impact than compromising a single person's account.
National Security Threat: Hacking attempts on government systems can be seen as a threat to national security**. Governments take these incidents very seriously, and the penalties reflect the potential damage such breaches can cause.
Cyberwarfare Concerns: In today's world, cyberattacks can be a form of warfare between countries. Hacking into a government database could be interpreted as an act of aggression, leading to heightened penalties**.
Specific Laws and Penalties:
The Philippines, like many countries, has specific laws addressing cybercrimes. Here are some relevant examples:
Cybercrime Prevention Act of 2012: This act penalizes various cybercrimes, including:
Illegal Access: Gaining unauthorized access to a computer system or network, particularly government or critical infrastructure systems**, carries heavy penalties including imprisonment.
Data Breaches: Causing a data breach involving sensitive personal information can also result in significant fines and jail time**.
Espionage Laws: Depending on the nature of the information accessed and the hacker's motives, espionage laws might also come into play, leading to even harsher punishments**.
Increased Scrutiny and Resources:
Government agencies are prime targets for cyberattacks, and they dedicate significant resources to cybersecurity measures and investigations. Detection and prosecution of hackers targeting government systems are often prioritized**, leading to a higher chance of getting caught and facing serious consequences.
In Conclusion:
Hacking into a government database is a serious offense** with potentially graver legal repercussions** compared to hacking into a private individual's account. The sensitivity of information accessed, national security concerns, and specific cybercrime laws** all contribute to the increased severity of penalties for these types of attacks.</t>
  </si>
  <si>
    <t>Maaari bang magresulta ang pag-hack sa isang database ng gobyerno sa mas matinding parusa kaysa sa pag-hack sa account ng isang pribadong indibidwal?</t>
  </si>
  <si>
    <t>How can I protect myself legally if I suspect my computer has been hacked?</t>
  </si>
  <si>
    <t>While there's no single legal action to take immediately upon suspicion of a hack, here are steps you can follow to protect yourself legally and minimize potential damage:
1. Secure Your System:
Disconnect from the Internet: Isolate your computer from the internet to prevent further unauthorized access and potential data exfiltration.
Change Passwords: Immediately change passwords for all online accounts you access from this device, including email, banking, social media, and any other important accounts. Use strong, unique passwords for each account.
Scan for Malware: Run a thorough malware scan using reputable antivirus and anti-malware software to identify and remove any malicious programs that might have infiltrated your system.
Consider a System Restore: Depending on the severity of the suspected hack, a system restore to a point before the potential breach might be necessary. However, proceed with caution as this might erase valuable data.
2. Document the Incident:
Record Details: Keep a record of the date and time you noticed suspicious activity, any error messages encountered, and any unusual behavior of your system. This documentation can be helpful for future reference and potential legal action.
Screenshots and Logs: Take screenshots of any suspicious activity or error messages you encounter. Save any relevant system logs that might provide clues about the hack.
3. Report the Incident:
Report to Authorities: Consider filing a report with the Philippine National Bureau of Investigation (NBI) Cybercrime Division. They specialize in investigating cybercrimes and can offer guidance based on your specific situation.
Report to Platforms: If the hack seems to be targeting a specific online account (e.g., email hack), report the incident to the platform's security team. They can help you secure your account and investigate the breach further.
4. Consider Legal Advice:
Consult a Lawyer: While a lawyer isn't necessarily needed immediately, consulting a lawyer specializing in cybercrime or data privacy law can be beneficial. They can advise you on your legal rights and potential courses of action depending on the nature and severity of the hack.
Additional Points:
Data Breach Notification: If you discover personal information of others has been compromised due to the hack on your system (e.g., a business owner), you might have a legal obligation to notify those affected individuals depending on the nature of the data and the specific laws in your jurisdiction. Consulting a lawyer can provide guidance on this.
Focus on Prevention: Taking preventative measures like using strong passwords, enabling two-factor authentication, and keeping software updated can significantly reduce the risk of getting hacked in the first place.
Remember, this is a general overview. The specific legal implications and necessary actions may vary depending on the circumstances of your situation. Consulting with a lawyer familiar with Philippine cybercrime laws is highly recommended for personalized advice.</t>
  </si>
  <si>
    <t>Paano ko mapoprotektahan ang aking sarili nang legal kung pinaghihinalaan kong na-hack ang aking computer?</t>
  </si>
  <si>
    <t>Is it illegal to access information that is publicly available but not intended for public viewing, such as through a website's directory?</t>
  </si>
  <si>
    <t>Whether it's illegal to access publicly available information not intended for public viewing depends on a few factors and can be a grey area. Here's a breakdown to consider:
Generally Accessible vs. Intentional Obscurement:
Publicly Available: Information that's intentionally placed online and accessible to anyone visiting a website (even through directory listings) is generally not considered illegal to access**.
Intentionally Obscured: If information is intentionally hidden** behind password protection, complex URLs, or robots.txt restrictions, accessing it might be considered trespassing** in the digital world.
Legality Depends on Intent and Use:
Even if publicly accessible, your purpose for accessing the information can be a factor**.
Legitimate Use: Accessing information for research, educational purposes, or general curiosity** is generally not illegal.
Malicious Intent: If you access the information to steal data, commit fraud, disrupt operations, or cause harm**, it could be illegal even if it's technically public.
Specific Laws and Website Terms:
Computer Fraud and Abuse Act (Philippines): This act criminalizes unauthorized access to a computer system**. However, interpretations around what constitutes "unauthorized" in the context of publicly accessible information can be debated.
Website Terms of Service (TOS): Many websites have Terms of Service (TOS)** outlining acceptable use of their platform. Violating these terms (even if unintentionally) might have consequences** like account suspension or being blocked from the website.
Recommendation:
Err on the Side of Caution: If you're unsure whether accessing certain information is appropriate, it's best to avoid it**.
Respect Robots.txt: Robots.txt is a file that tells search engines and bots which parts of a website should not be indexed. Respecting this file demonstrates good digital etiquette.
Seek Permission When Uncertain: If you need specific information** and are unsure about accessing it directly, contacting the website owner or administrator for permission is the safest approach.
Remember: Laws and interpretations can evolve, and this is a general overview. Consulting with a lawyer** specializing in cyber law** can provide specific guidance based on the exact situation and your intended use of the information.</t>
  </si>
  <si>
    <t>Labag ba sa batas ang pag-access ng impormasyon na magagamit ng publiko ngunit hindi nilayon para sa pampublikong pagtingin, tulad ng sa pamamagitan ng direktoryo ng website?</t>
  </si>
  <si>
    <t>What should I do if I suspect my ex-partner is hacking into my email account?</t>
  </si>
  <si>
    <t>If you suspect your ex-partner is hacking into your email account, here are some steps you can take to secure your account and potentially address the situation legally:
1. Secure Your Email Account:
Change your password immediately: Use a strong, unique password that is difficult to guess. Don't reuse passwords from other accounts. Consider using a password manager to generate and store strong passwords for all your online accounts.
Enable two-factor authentication (2FA): This adds an extra layer of security by requiring a code from your phone or another device in addition to your password to log in.
Check for suspicious activity: Review your recent login history for any unrecognized locations or devices. Consider logging out of all devices and logging back in only with your trusted devices.
Scan for malware: Run a thorough malware scan on your devices (computer, phone) to identify and remove any malicious programs that might have been installed by your ex to monitor your activity.
2. Gather Evidence (Optional):
Document suspicious activity: Keep a record of the date and time you noticed anything suspicious, any error messages encountered, and any unusual behavior of your account. This documentation can be helpful if you decide to pursue legal action.
Screenshots: Take screenshots of any suspicious login attempts or unusual activity you encounter in your email account.
3. Consider Legal Action:
Consult a lawyer: A lawyer specializing in cybercrime or data privacy law can advise you on your legal rights and potential courses of action depending on your situation.
Report to authorities: In the Philippines, you can consider filing a report with the National Bureau of Investigation (NBI) Cybercrime Division. They specialize in investigating cybercrimes like hacking.
4. Protect Yourself from Future Intrusions:
Be mindful of what information you share online: Avoid sharing personal information or passwords on social media or public forums.
Beware of phishing scams: Phishing emails often try to trick you into revealing your login credentials. Be cautious of emails with suspicious links or attachments, especially if they appear to be from someone you know.
5. Consider Changing Your Email Address (Optional):
In some cases, depending on the severity of the situation and the level of trust you have in securing your existing account, you may consider creating a new, secure email address**. This can be a fresh start and give you more control over who has access to your communication.
Important Note:
It's important to remember that gathering evidence and pursuing legal action can be a complex process. The decision of how far to pursue this depends on your comfort level, the severity of the situation, and the potential consequences. Consulting with a lawyer can help you navigate these complexities.
By taking these steps, you can help to protect yourself from further hacking attempts and potentially hold your ex-partner accountable for their actions.</t>
  </si>
  <si>
    <t>Ano ang dapat kong gawin kung pinaghihinalaan kong ang aking dating kasosyo ay nagha-hack sa aking email account?</t>
  </si>
  <si>
    <t>Can I be charged with hacking if I accidentally access someone else's files on a shared network?</t>
  </si>
  <si>
    <t>In the Philippines, accidentally accessing someone else's files on a shared network** is generally not considered hacking and wouldn't result in hacking charges. Here's why:
Intentionality is Key: Hacking typically involves intentional** unauthorized access to a computer system or network. Accidentally accessing a file due to a configuration issue or human error wouldn't fall under this definition.
Focus on Malicious Intent: The focus is often on malicious intent**. If you deliberately try to access someone else's files without permission, that could be considered a crime. But simply stumbling upon an open file or encountering a permission error wouldn't be malicious.
However, there are still some things to consider:
Confidentiality of Information: Even if accidental, accessing confidential information** you weren't meant to see raises ethical concerns**. You should avoid viewing or sharing** this information further.
Respecting User Permissions: Shared network environments often have designated access levels**. Respecting these permissions** and avoiding attempts to access files beyond your designated access** is important.
Reporting the Incident: If you accidentally access someone else's files, the ethical approach** is to report the incident** to the network administrator or the intended recipient of those files. This demonstrates transparency and avoids any misunderstandings.
Legal Implications of Negligence:
While unlikely in a simple accidental access scenario, there's a remote possibility of legal implications based on negligence:
Data Security Measures: If the organization has inadequate data security measures** that allowed accidental access, and this resulted in damages** (e.g., data breach), there could be potential legal issues for the organization**, not necessarily for you.
Recommendation:
Exercise Caution on Shared Networks: When working on shared networks, be mindful of the files you access**. Stick to folders designated for your use and avoid venturing into areas you shouldn't be.
Seek Clarification if Unsure: If you're unsure about accessing a particular file or folder, err on the side of caution** and seek clarification from the network administrator or the file owner.
Remember: This is a general overview, and the specific legalities may vary depending on the circumstances. If you're concerned about a specific situation, consulting a lawyer specializing in cyber law is recommended.</t>
  </si>
  <si>
    <t>Maaari ba akong makasuhan ng pag-hack kung hindi ko sinasadyang ma-access ang mga file ng ibang tao sa isang nakabahaging network?</t>
  </si>
  <si>
    <t>What constitutes unauthorized access in the context of hacking laws?</t>
  </si>
  <si>
    <t>In the context of hacking laws, unauthorized access refers to gaining entry to a computer system, network, or data without permission or exceeding authorized access**. The key element here is the lack of permission or exceeding the limitations of permitted access.
Understanding "Permission" in Unauthorized Access:
Explicit Permission: Permission can be explicit**, such as having a username and password for a specific system.
Implicit Permission: Permission can also be implicit**, such as being granted access to a shared folder on a network. However, exceeding the scope of this implicit permission (e.g., accessing confidential files beyond your designated access level) could be considered unauthorized.
Examples of Unauthorized Access:
Cracking passwords: Using tools or techniques to bypass password protection mechanisms.
Exploiting vulnerabilities: Taking advantage of security weaknesses in a system to gain access.
Social engineering: Tricking or manipulating someone into granting access to a system or revealing their credentials.
Exceeding authorized access: Accessing files or functionalities beyond your permitted level on a system you have some access to.
Using stolen credentials: Using someone else's username and password to access a system.
Gaining access through a guest account and then using it to access unauthorized areas of the system.
Intent and Context Matter:
Malicious Intent: While accidental access might not be illegal, unauthorized access with malicious intent** often forms the core of hacking crimes. This intent could involve stealing data, disrupting operations, planting malware, or causing other harm.
Context is Important: The specific context also matters**. For example, accidentally accessing a public document on a shared drive wouldn't be considered unauthorized access, whereas intentionally accessing a private file on the same drive would be.
The Evolving Landscape of Hacking Laws:
Hacking laws are constantly evolving to keep pace with new technologies and hacking methods. The specific definition of unauthorized access may vary depending on the jurisdiction and the specific law being applied.
Importance of Consulting a Lawyer:
If you're unsure whether your actions constitute unauthorized access** or face accusations of hacking, consulting a lawyer specializing in cybercrime law** is crucial. They can provide specific guidance based on your situation and the applicable laws in your jurisdiction.</t>
  </si>
  <si>
    <t>Ano ang bumubuo ng hindi awtorisadong pag-access sa konteksto ng mga batas sa pag-hack?</t>
  </si>
  <si>
    <t>Can hacking into a website for educational purposes still result in legal consequences?</t>
  </si>
  <si>
    <t>Hacking into a website for educational purposes can still lead to legal consequences** in the Philippines, even though your intent isn't malicious. Here's why:
Legality Hinges on Permission:
Unauthorized Access is a Crime: The core issue lies in unauthorized access**. The law (Cybercrime Prevention Act of 2012) criminalizes gaining unauthorized access to a computer system or network.
Permission is Key: Even if your intentions are educational, accessing a system without permission** is still a violation. Websites often have security measures in place to prevent unauthorized access, and bypassing these measures can be seen as a crime.
Understanding Legality vs. Ethics:
Ethical Concerns: While not necessarily illegal in every case, hacking into a website for educational purposes raises ethical concerns**. It can jeopardize the website's security** and potentially disrupt operations**.
Alternative Learning Methods: There are many ethical and legal ways** to learn about website security. These include:
Online resources: Many websites and educational platforms offer courses and tutorials on website security concepts.
Bug bounty programs: Some companies run bug bounty programs where they reward ethical hackers for discovering and reporting vulnerabilities in their systems.
Ethical hacking simulations: There are software programs that simulate real-world hacking scenarios in a safe and legal environment.
Potential Consequences:
Even with educational intent, the consequences of getting caught hacking a website can be:
Legal Charges: Depending on the severity of the intrusion and the information accessed, you could face criminal charges** under the Cybercrime Prevention Act. This could lead to fines and even jail time**.
Civil Lawsuit: The website owner could also file a civil lawsuit** against you for damages caused by the intrusion.
Damaged Reputation: A hacking conviction or lawsuit can damage your reputation** and potentially hinder future career opportunities.
Recommendation:
Seek Permission or Use Alternatives: Always seek permission from the website owner** before attempting any kind of security testing. If permission is not granted, explore alternative educational methods** mentioned earlier.
Respect the Law and Ethics: Respect the law and avoid actions that could have negative consequences** for yourself and the website owner.
Remember: This is a general overview, and the specific legalities may vary depending on the circumstances. Consulting a lawyer specializing in cyber law is recommended** for a more definitive answer based on the specific website and your intended actions.</t>
  </si>
  <si>
    <t>Ang pag-hack sa isang website para sa mga layuning pang-edukasyon ay magreresulta pa rin sa mga legal na kahihinatnan?</t>
  </si>
  <si>
    <t>What are the legal ramifications of using someone else's login credentials with their permission?</t>
  </si>
  <si>
    <t>In the Philippines, using someone else's login credentials with their permission** generally falls into a legal grey area. There isn't a definitive answer, but here's a breakdown of the factors to consider:
Apparent Legality:
On the surface, using login credentials with permission seems legal**. After all, the owner is granting access. However, there are potential complexities:
Terms of Service (TOS) Violation: Many websites and online services have Terms of Service (TOS)** that outline acceptable use of their platform. Sharing login credentials might violate these terms**, even if the owner consents. Consequences could include account suspension or termination.
Security Risks: Sharing credentials increases the security risk**. If the borrowed credentials are compromised, both accounts could be vulnerable**.
Nuances Based on Context:
The potential legal implications can vary depending on the context**:
Sharing within an Organization: In some organizations, sharing login credentials might be a common practice** for specific tasks, especially if proper access controls are in place.
Impersonation Concerns: If you're using the credentials to impersonate the owner** and engage in activities they wouldn't, that could be illegal.
Limited Legal Precedent:
There's limited legal precedent** in the Philippines regarding using someone else's login credentials with permission. Cases might be decided based on the specific circumstances and potential harm caused.
Recommendations:
Alternatives for Shared Access: Many platforms offer more secure ways to share access**, such as guest accounts, shared folders with designated permissions, or multi-factor authentication.
Prioritize Strong Passwords: Encourage the owner to use strong, unique passwords** and avoid sharing them for everyday tasks.
Consider a Password Manager: Password managers can help users create and store strong, unique passwords for different accounts, eliminating the need to share credentials.
Seeking Legal Advice:
For a specific situation, consulting a lawyer specializing in cyber law** is recommended. They can provide clearer guidance** based on the exact context, the platform or service involved, and the intended use of the shared credentials.</t>
  </si>
  <si>
    <t>Ano ang mga legal na epekto ng paggamit ng mga kredensyal sa pag-log in ng ibang tao nang may pahintulot nila?</t>
  </si>
  <si>
    <t>Is it illegal to sell or distribute hacking tools or software?</t>
  </si>
  <si>
    <t>The legality of selling or distributing hacking tools or software in the Philippines is not entirely black and white. There are no specific laws directly addressing this issue, but here's a breakdown of relevant factors to consider:
Potential Violations:
Cybercrime Prevention Act (CPA): This act criminalizes acts that can be facilitated by hacking tools**. These include:
Illegal Access: Gaining unauthorized access to a computer system or network could be a violation** if the hacking tools are designed and marketed specifically for such purposes.
Data Breaches: Hacking tools that enable stealing data** from computer systems could be seen as aiding a crime.
Legality Depends on Purpose:
Dual-Use Nature: Many hacking tools have legitimate uses** as well, such as penetration testing (ethical hacking) to identify vulnerabilities in computer systems. Selling tools marketed and intended for legitimate purposes** might be less likely to be considered illegal.
Focus on Malicious Intent:
The key factor is intent**. If you're selling hacking tools primarily for malicious purposes**, you could face legal repercussions**. However, selling tools with legitimate uses** might be permissible.
Other Considerations:
Terms of Service (TOS) Violations: Selling hacking tools might violate the TOS** of platforms you use for advertising or distribution.
Recommendation:
Exercise Caution: Due to the legal grey area, it's best to exercise caution** when selling or distributing hacking tools.
Consult a Lawyer: If you're considering selling hacking tools, consult a lawyer specializing in cyber law**. They can advise you on the legal risks** based on the specific functionalities of the tools and your intended marketing strategy.
Alternative Considerations:
Focus on Ethical Hacking Tools: If you're interested in the security field, consider developing or selling tools specifically designed for ethical hacking** and penetration testing.
Security Awareness Training: Another option is to focus on security awareness training**. This can help educate people about cybersecurity best practices and how to protect themselves from hacking attacks.
Remember: Laws and interpretations can evolve. This is a general overview, and consulting with a lawyer familiar with Philippine cybercrime laws is crucial for specific guidance.</t>
  </si>
  <si>
    <t>Ilegal ba ang pagbebenta o pamamahagi ng mga tool o software sa pag-hack?</t>
  </si>
  <si>
    <t>Can I be held liable for damages caused by a hacker who gained access to my system through a vulnerability I failed to patch?</t>
  </si>
  <si>
    <t>Whether you can be held liable for damages caused by a hacker who exploited an unpatched vulnerability on your system depends on a few factors and can vary depending on the specific situation. Here's a breakdown to consider:
Potential Liability:
Negligence Laws: In the Philippines, negligence laws** might be applied. These laws hold individuals or entities liable for damages caused by their failure to take reasonable care.
Duty to Maintain Security: You could be seen as having a duty to maintain the security** of your system by applying available patches. Failing to do so could be considered negligence**.
Factors Influencing Liability:
Severity of the Vulnerability: The severity of the unpatched vulnerability** plays a role. A critical, well-known vulnerability that you neglected to patch could increase your potential liability.
Reasonableness of Patching: Courts might consider the reasonableness of patching**. If the patch was readily available, easy to install, and didn't cause significant disruptions, your failure to patch might be seen as less reasonable.
Foreseeability of Harm: The foreseeability of harm** is also a factor. If a security expert could have predicted a specific attack due to the unpatched vulnerability, it strengthens the case for negligence.
Specific Examples and Context:
Personal Computer: For a personal computer**, being sued for damages caused by a hacker exploiting an unpatched vulnerability is less likely**. However, it's not impossible, especially if the compromised system caused harm to others (e.g., spreading malware).
Businesses: For businesses**, the potential for liability is higher**. Businesses often have a legal obligation to maintain data security**, and failing to patch known vulnerabilities could be seen as a breach of that duty. If a data breach occurs due to an unpatched vulnerability, the business could be sued by affected customers or by regulatory bodies.
Recommendations:
Prioritize Patch Management: Make patch management a priority**. Regularly update your systems with the latest security patches to minimize vulnerabilities.
Consider Cyber Insurance: For businesses, cyber insurance** can help mitigate the financial risks associated with cyberattacks and data breaches.
Consult a Lawyer: If you're concerned about potential liability, consult a lawyer specializing in cyber law**. They can advise you on the specific risks in your situation and the steps you can take to minimize them.
Remember: This is a general overview, and the specific legalities may vary depending on the circumstances. Consulting with a lawyer familiar with Philippine cybercrime laws is highly recommended for personalized advice.</t>
  </si>
  <si>
    <t>Maaari ba akong managot para sa mga pinsalang dulot ng isang hacker na nakakuha ng access sa aking system sa pamamagitan ng isang kahinaan na hindi ko na-patch?</t>
  </si>
  <si>
    <t>What is the statute of limitations for prosecuting hacking offenses?</t>
  </si>
  <si>
    <t>The specific statute of limitations for prosecuting hacking offenses in the Philippines depends on the particular crime committed under the Cybercrime Prevention Act of 2012 (Republic Act No. 10175). Here's a breakdown:
Generally: An exact timeframe isn't universally stated in the act. It defers to the provisions of the Revised Penal Code (RPC)** of the Philippines for the general statute of limitations**.
Revised Penal Code: The RPC generally prescribes a fifteen (15) year** statute of limitations for prosecuting offenses punishable by Reclusión temporal (imprisonment exceeding six (6) years and one (1) day to twelve (12) years).
Specific Offenses under Cybercrime Act: However, some specific offenses within the Cybercrime Act might have their own prescribed limitation periods**.
For a more definitive answer on the statute of limitations applicable to a particular hacking offense, it's crucial to consult a lawyer specializing in cyber law** in the Philippines. They can examine the specific provisions of the Cybercrime Act** related to the alleged offense and refer to the relevant sections of the RPC** to determine the applicable timeframe for prosecution.
Here are some examples of specific offenses within the Cybercrime Act:
Illegal Access: This offense may carry a penalty of imprisonment ranging from six (6) months to three (3) years**. If this falls under the general RPC provisions, the statute of limitations could be fifteen (15) years**.
Data Breaches: The penalty for data breaches can vary depending on the severity**. In some cases, it might fall under the general RPC provisions** with a fifteen (15) year** limitation period.
Importance of Legal Expertise:
Due to the complexities of cybercrime laws and the interplay between the Cybercrime Act and the RPC, consulting a lawyer** is highly recommended to understand the specific statute of limitations applicable to your situation or a case you're interested in.</t>
  </si>
  <si>
    <t>Ano ang batas ng mga limitasyon para sa pag-uusig sa mga paglabag sa pag-hack?</t>
  </si>
  <si>
    <t>Can I be prosecuted for hacking if I didn't actually gain anything from accessing the system?</t>
  </si>
  <si>
    <t>Yes, in the Philippines, you can be prosecuted for hacking even if you didn't gain anything from accessing the system. Here's why:
Focus on Unauthorized Access: The core of hacking offenses under the Cybercrime Prevention Act of 2012 (CPA) lies in unauthorized access. The law penalizes gaining unauthorized access to a computer system or network, regardless of whether you obtained anything.
Intention vs. Impact: The law differentiates between intention and impact. Even if you didn't intend to steal data or cause harm, simply bypassing security measures to access a system you aren't authorized to be in is a crime.
Examples of Prosecutable Offenses: Here are some examples from the CPA that can lead to prosecution even without gaining anything:
Illegal Access: This is the most basic offense and applies to any unauthorized access to a computer system or network.
Cyber Intrusion: This offense applies to attempts to bypass security measures to access a computer system or network.
Importance of Intent, But Not a Requirement:
Malicious Intent can Increase Penalties: While gaining something might not be necessary for prosecution, malicious intent** such as stealing data or disrupting operations can increase the penalties** you face if convicted.
Recommendations:
Respect Cybersecurity: The best approach is to respect cybersecurity measures** and avoid attempting to access systems you aren't authorized to use.
Ethical Hacking with Permission: If you're interested in ethical hacking (penetration testing) to identify vulnerabilities in systems, always seek permission** from the system owner before conducting any tests.
Remember: This is a general overview, and the specific legalities may vary depending on the circumstances. Consulting a lawyer specializing in cyber law** is highly recommended for a more definitive answer based on the specific details of your situation.</t>
  </si>
  <si>
    <t>Maaari ba akong kasuhan para sa pag-hack kung wala talaga akong nakuha mula sa pag-access sa system?</t>
  </si>
  <si>
    <t>What legal protections exist for whistleblowers who hack into systems to expose wrongdoing?</t>
  </si>
  <si>
    <t>The Philippines has some legal protections for whistleblowers, but the current framework doesn't explicitly address whistleblowing through hacking. Here's a breakdown of what you need to know:
Republic Act No. 6713 (The Whistleblower Protection Act):
This act offers general protections for whistleblowers** who report tax evasion, graft and corrupt practices, gross incompetence or inefficiency in the government**.
Limitations: It doesn't explicitly mention private companies** or situations where hacking is involved.
Proposed Amendments:
The proposed amendments** to the Whistleblower Protection Act include broader protection for whistleblowers in the private sector.
However, the legality of hacking to obtain evidence** likely wouldn't be addressed even in the amended version.
Potential Legal Issues with Hacking:
Cybercrime Prevention Act (CPA): Hacking into a system, even to expose wrongdoing, could be considered a crime** under the CPA's unauthorized access provisions**.
Alternative Approaches for Whistleblowers:
If you suspect wrongdoing within an organization, here are some safer options** to consider:
Report internally: Many organizations have internal reporting mechanisms** for employees to report suspected misconduct. Utilize these channels first if available.
Report to authorities: You can report suspected wrongdoing to relevant government agencies depending on the nature of the offense**.
Seek legal guidance: A lawyer specializing in whistleblower protection can advise you on legal options** and how to report the wrongdoing without incriminating yourself**.
The Role of Journalists:
Journalists sometimes receive information from whistleblowers, including hacked materials. They may have legal protections** depending on press freedom laws. However, they would likely avoid encouraging hacking activities** by their sources.
Overall, the legal landscape for whistleblowing through hacking in the Philippines is evolving. While there are protections for whistleblowing in general, the specific act of hacking to obtain evidence remains a grey area. Consulting a lawyer specializing in both whistleblower protection and cybercrime law is highly recommended to understand your options in such situations.</t>
  </si>
  <si>
    <t>Anong mga legal na proteksyon ang umiiral para sa mga whistleblower na nagha-hack sa mga system upang ilantad ang maling gawain?</t>
  </si>
  <si>
    <t>Can hacking into a self-driving car's system result in different legal consequences compared to hacking into a traditional car's system?</t>
  </si>
  <si>
    <t>Hacking into a self-driving car's system could potentially result in different legal consequences** compared to hacking a traditional car's system in the Philippines, due to the increased potential for harm** associated with self-driving vehicles. Here's why:
Traditional Cars vs. Self-Driving Cars:
Traditional Cars: Hacking a traditional car might give someone remote control of functions** like locks, lights, or the stereo. While inconvenient, the risk of serious harm is generally lower.
Self-Driving Cars: Hacking a self-driving car could allow manipulation of critical systems** like steering, braking, and acceleration. This poses a significant risk of accidents and injuries**.
Potential Legal Ramifications:
Existing Laws: The Philippines already has laws** like the Cybercrime Prevention Act (CPA) that criminalize unauthorized access to computer systems. Hacking a self-driving car's system would likely fall under this category.
Increased Penalties: Due to the higher potential for harm**, judges might be more likely to impose harsher penalties** for hacking a self-driving car compared to a traditional car.
Emerging Laws: As self-driving car technology becomes more prevalent, new laws** specifically addressing hacking and cybersecurity risks might be developed**. These laws could create stricter liabilities** for those who tamper with self-driving car systems.
Uncertainties and Legal Gray Areas:
Accident Responsibility: The legal landscape regarding accidents caused by hacked self-driving cars** is still evolving. It's unclear who would be held liable (the hacker, the car manufacturer, etc.).
Intent vs. Recklessness: The differentiation between intent and recklessness** might be a factor. A hacker who deliberately tries to cause harm through a self-driving car attack would likely face harsher penalties compared to someone who hacks out of curiosity but ends up causing an accident.
Recommendations:
Don't Hack Self-Driving Cars: The potential legal and ethical consequences are simply too high**.
Report Vulnerabilities: If you discover a vulnerability in a self-driving car system, report it responsibly** to the manufacturer or relevant authorities.
The legal framework surrounding hacking self-driving cars is still developing, but the potential consequences are significant. Staying on the safe side and respecting cybersecurity is crucial.</t>
  </si>
  <si>
    <t>Maaari bang magresulta ang pag-hack sa sistema ng self-driving na kotse sa iba't ibang legal na kahihinatnan kumpara sa pag-hack sa sistema ng tradisyonal na sasakyan?</t>
  </si>
  <si>
    <t>How do hacking laws apply to activities conducted across international borders?</t>
  </si>
  <si>
    <t>Hacking laws applied to activities conducted across international borders** can be complex due to the jurisdictional challenges**. Here's a breakdown of the key considerations:
Challenges of International Hacking:
Location of the Hacker: The hacker might be in a different country than the computer system they're targeting**. This creates a question of which country's laws apply**.
Location of the Server: The server hosting the targeted system** might be located in a third country, further complicating jurisdiction.
International Cooperation: Investigating and prosecuting cross-border hacking often requires cooperation** between law enforcement agencies of different countries**. This cooperation can be slow and complex.
Potential Legal Scenarios:
Targeting a System in Your Own Country: If you hack a system in your own country**, the laws of your country** will likely apply, regardless of your location when hacking.
Targeting a System in Another Country: Things get trickier here. The country where the system is located** might have jurisdiction to prosecute you, even if you're hacking from a different country**.
International Treaties: Some countries have international treaties** on cybercrime that can facilitate cooperation and extradition of cybercriminals.
Focus on Harm Caused: The country where the harm is caused** (e.g., data breach affecting citizens in that country) might also have a claim to prosecute.
Difficulties in Enforcement:
Varying Laws: Different countries have varying cybercrime laws** with different definitions of hacking and penalties.
Challenges in Extradition: Extradition (handing over a suspect to another country for trial)** can be a lengthy and complex process**.
Recommendations:
Be Aware of International Implications: If you're considering any action that might involve hacking a computer system, be aware of the potential international legal implications**.
Respect the Law: The safest approach is to respect the law** and avoid hacking activities altogether.
Seek Legal Advice: If you have any questions about the legal implications of your actions, consult a lawyer specializing in cybercrime law**. They can advise you based on the specific circumstances and the countries involved.
The field of international cybercrime law is constantly evolving. New treaties and cooperation mechanisms are being developed, but challenges remain**. It's crucial to be cautious** and avoid engaging in activities that could have legal repercussions across borders.</t>
  </si>
  <si>
    <t>Paano nalalapat ang mga batas sa pag-hack sa mga aktibidad na isinasagawa sa mga internasyonal na hangganan?</t>
  </si>
  <si>
    <t>Can I be charged with hacking if I accidentally access sensitive information while testing a company's cybersecurity measures with their permission?</t>
  </si>
  <si>
    <t>In the Philippines, accidentally accessing sensitive information** while ethically testing a company's cybersecurity measures with their permission** generally shouldn't lead to hacking charges**. However, it's important to understand the nuances to avoid any misunderstandings:
Importance of Clear Permission:
Written Agreement is Best: For the strongest protection, have a written agreement** with the company outlining the scope of your testing and the types of information you're authorized to access.
Verbal Permission Can Be Risky: While verbal permission** might be sufficient, it's less clear-cut** in case of any disputes. A written agreement provides a documented record of the agreement.
Accidental Access vs. Scope Creep:
Sticking to the Agreed Scope: It's crucial to only access information and systems explicitly permitted** in the agreement. Accidentally going beyond the agreed scope** could raise questions about your intentions.
Reporting Accidental Access: If you do accidentally access sensitive information, immediately report it** to the company contact person overseeing the testing. Transparency is key.
Mitigating Risks:
Focus on Vulnerability Identification: The goal of ethical hacking (penetration testing) is to identify vulnerabilities** in the system, not to access sensitive data.
Use Ethical Hacking Tools: There are ethical hacking tools** designed to simulate attacks without causing harm or accessing sensitive data.
Seeking Legal Certainty:
Consult a Lawyer: If you're unsure about the legalities or want ironclad protection**, consulting a lawyer specializing in cyber law** is recommended. They can help you draft a comprehensive agreement** that outlines the testing process and protects you from any potential liability.
Remember: This is a general overview, and the specific legalities may vary depending on the circumstances. Consulting a lawyer familiar with Philippine cybercrime laws is crucial for the most definitive answer based on your specific situation and the details of your agreement with the company.</t>
  </si>
  <si>
    <t>Maaari ba akong makasuhan ng pag-hack kung hindi ko sinasadyang ma-access ang sensitibong impormasyon habang sinusubukan ang mga hakbang sa cybersecurity ng kumpanya nang may pahintulot nila?</t>
  </si>
  <si>
    <t>What evidence is typically required to prosecute someone for hacking?</t>
  </si>
  <si>
    <t>The specific evidence required to prosecute someone for hacking in the Philippines depends on the particular offense** alleged under the Cybercrime Prevention Act of 2012 (CPA) but generally involves technical evidence** and circumstantial evidence** to establish:
Unauthorized Access:
Log Files: Server logs showing unauthorized access attempts** from the IP address or device linked to the suspect can be crucial evidence.
System Access Records: Records of unusual access patterns** or failed login attempts** from unfamiliar locations or accounts can be used to build a case.
Intention and Malice (if applicable):
Communications: Emails, chat logs, or other communications demonstrating intent** to hack the system, steal data, or cause harm can strengthen the prosecution's case.
Digital Footprints: Traces of the hacker's activity within the system**, such as accessed files, modified settings, or malware deployment attempts, can provide evidence of their actions.
Incriminating Files:
Seized Devices: If law enforcement lawfully seizes devices belonging to the suspect**, they might find incriminating files** such as hacking tools, stolen data, or scripts used in the attack.
Circumstantial Evidence:
Witness Testimony: Testimonies from people who observed the suspect** engaged in hacking activities or possessing hacking tools can be helpful.
Expert Witness Testimony: Expert witnesses can interpret technical evidence** and explain the significance of log files, system access patterns, or digital footprints.
Remember, the burden of proof lies with the prosecution. They need to present convincing evidence** to establish the suspect's guilt beyond a reasonable doubt.
Here's a breakdown of evidence requirements for some specific offenses under the CPA:
Illegal Access: Proof of unauthorized access to a computer system or network is essential. Log files and system access records often play a key role here.
Data Breaches: Evidence demonstrating the data breach** (e.g., unauthorized data transfer) and potentially linking the suspect to the breach through digital footprints or incriminating files** is necessary.
Importance of Following Proper Procedures:
Legally Obtained Evidence: Law enforcement must collect evidence following proper legal procedures**. Evidence obtained illegally might be inadmissible in court.
Always consult with a lawyer if you face accusations of hacking. They can advise you on the specific evidence** being used against you and help you build a defense strategy**.</t>
  </si>
  <si>
    <t>Anong katibayan ang karaniwang kinakailangan upang usigin ang isang tao para sa pag-hack?</t>
  </si>
  <si>
    <t>Can a minor be charged with hacking, and if so, what are the potential consequences?</t>
  </si>
  <si>
    <t>Yes, a minor can be charged with hacking** in the Philippines under the Cybercrime Prevention Act of 2012 (Republic Act No. 10175). However, the consequences differ from those for adults** due to the Juvenile Justice and Welfare Act (JJWA) of 2006 (Republic Act No. 9344).
Understanding the Cybercrime Act:
The Cybercrime Act criminalizes** unauthorized access to computer systems or networks. Minors who engage in such activities can be charged with hacking offenses.
Intervention Under the Juvenile Justice Act:
However, the JJWA applies to children** in conflict with the law (CICL), which includes minors below 18 years old** who commit crimes. The JJWA prioritizes restorative justice** and intervention programs** over imprisonment for minors.
Potential Consequences for Minors:
Diversion Programs: Minors might be placed in diversion programs** focused on rehabilitation and behavior modification.
Probation: The court might order probation** with specific conditions, such as community service or attending counseling sessions.
Commitment to a Rehabilitation Center: In more serious cases, the court could order commitment to a rehabilitation center** for a specific period.
Severity Depends on the Offense:
The severity of the hacking offense** and the minor's age** will influence the specific consequences. For example, a minor accidentally accessing sensitive information might face a less severe consequence** than a minor who deliberately launched a cyberattack that caused significant damage.
Parental Responsibility:
The JJWA also emphasizes parental responsibility**. Parents or guardians might be required** to attend counseling sessions or parenting seminars to address the minor's behavior.
Recommendations:
Educate Minors about Cybersecurity: Educate your children about responsible computer use** and the dangers of hacking**.
Monitor Online Activity: Monitor your children's online activity within reasonable limits** to identify potential issues early on.
Seek Legal Guidance: If your minor child faces hacking charges, consult a lawyer specializing in juvenile law** to understand the specific consequences and potential defense strategies.
Remember: This is a general overview, and the specific legalities may vary depending on the circumstances. Consulting a lawyer familiar with both the Cybercrime Act and the Juvenile Justice Act is crucial for the most definitive answer based on your situation.</t>
  </si>
  <si>
    <t>Maaari bang kasuhan ang isang menor de edad ng pag-hack, at kung gayon, ano ang mga potensyal na kahihinatnan?</t>
  </si>
  <si>
    <t>Are there legal defenses available for individuals accused of hacking under coercion or duress?</t>
  </si>
  <si>
    <t>Yes, in the Philippines, there can be legal defenses available for individuals accused of hacking under coercion or duress. The Revised Penal Code of the Philippines (RPC) recognizes duress as a defense that can potentially reduce criminal liability or even absolve a person of guilt entirely.
Here's a breakdown of how duress might apply in hacking cases:
Duress as a Defense:
Definition: Duress refers to a situation where someone is forced to commit a crime** due to a threat of imminent and serious harm** to themselves or others.
Elements of Duress: To claim duress as a defense, the accused must prove the following elements:
Threat of Harm: A credible threat of unlawful violence or serious harm** to the accused or another person
Imminence of Threat: The threat must be imminent**, meaning it would happen very soon** if the crime is not committed.
No Reasonable Escape: The accused had no reasonable escape** from the threat. They could not have avoided committing the crime without putting themselves or someone else in danger.
Application to Hacking:
Consider the Circumstances: If someone was threatened with violence or harm** and forced to hack into a system, they might have a defense of duress**.
Burden of Proof: The burden of proof** lies with the accused to establish duress by a preponderance of evidence** (more likely than not).
Challenges and Considerations:
Strength of the Threat: The credibility and severity** of the threat will be scrutinized by the court**. Frivolous or unsubstantiated threats are unlikely to be accepted as duress.
Proportionality of the Crime: The seriousness of the hacking offense** needs to be proportional to the threat**. Someone forced to hack into a system to steal a small amount of money might have a stronger defense than someone forced to launch a large-scale attack that could cause widespread damage.
Other Potential Defenses:
Mistake of Fact: If the accused mistakenly believed** they were acting legally, it might be a defense. However, this is unlikely to apply in hacking cases where intent to access a system unauthorized is a key element.
Entrapment: This defense applies if law enforcement induced** the accused to commit the crime. Entrapment is a complex legal doctrine with specific requirements.
Importance of Legal Counsel:
Consult a Lawyer: If you are accused of hacking and believe you acted under duress, consulting a lawyer specializing in criminal defense** is crucial. They can analyze the specifics of your situation and advise you on the feasibility of a duress defense** and other potential legal strategies.
Remember: This is a general overview, and the specific legalities may vary depending on the circumstances. Consulting a lawyer familiar with Philippine criminal law is crucial for the most definitive answer based on the details of your situation.</t>
  </si>
  <si>
    <t>Mayroon bang mga legal na depensa na magagamit para sa mga indibidwal na inakusahan ng pag-hack sa ilalim ng pamimilit o pagpilit?</t>
  </si>
  <si>
    <t>Can accessing someone's email account without permission be considered hacking under the law?</t>
  </si>
  <si>
    <t>Yes, in the Philippines, accessing someone's email account without permission can be considered hacking under the Cybercrime Prevention Act of 2012 (Republic Act No. 10175). Here's why:
Focus on Unauthorized Access: The core of hacking offenses under the CPA lies in unauthorized access. This law applies regardless of whether you steal data, cause harm, or simply gain access to a system or account you aren't authorized to be in.
Email Accounts as Computer Systems: Email accounts are considered computer systems** under the CPA. Therefore, unauthorized access to an email account falls under the definition of hacking.
Examples of Relevant Offenses:
Illegal Access: This is the most basic offense and applies to any unauthorized access to a computer system or network, including email accounts.
Data Breaches: If you access an email account and steal or leak any data** such as emails, contacts, or attachments, you could face additional charges related to data breaches under the CPA.
Understanding Intent:
The presence or absence of malicious intent** (e.g., stealing data, causing harm) might influence the severity of the charges** pressed against you. However, intent isn't a requirement** for the basic offense of unauthorized access.
Importance of Permission:
Explicit Permission Needed: Someone explicitly granting you permission** to access their email account would likely negate the "unauthorized" aspect of the offense.
Sharing Login Credentials: If the account owner knowingly shares** their login credentials with you, it wouldn't be considered unauthorized access.
Recommendations:
Respect Privacy: It's important to respect the privacy** of others and avoid accessing their email accounts without permission.
Legal Methods for Access: If you have a legal reason** to access someone's email account (e.g., court order), you should follow the proper legal procedures**.
Seek Legal Advice: If you face accusations of unauthorized access to an email account, consult a lawyer specializing in cybercrime law** to understand your legal options and potential defenses.</t>
  </si>
  <si>
    <t>Maaari bang ituring na pag-hack sa ilalim ng batas ang pag-access sa email account ng isang tao nang walang pahintulot?</t>
  </si>
  <si>
    <t>What legal recourse do I have if a company's lax security measures led to my personal information being hacked?</t>
  </si>
  <si>
    <t>In the Philippines, if a company's lax security measures led to your personal information being hacked, you may have legal recourse**. Here's a breakdown of potential options:
Grounds for Legal Action:
Data Privacy Breach: The Philippines has the Data Privacy Act of 2012 (DPA)** which grants individuals rights concerning their personal data. A company's lax security measures could be seen as a violation** of their obligation to protect your personal information**.
Negligence: You could potentially sue the company for negligence** if their failure to take reasonable security measures** resulted in the hacking incident and caused you harm.
Specific Legal Actions:
Filing a Complaint with the National Privacy Commission (NPC): The NPC is the primary enforcer** of the DPA. You can file a complaint with the NPC** alleging that the company violated your data privacy rights. The NPC can investigate the complaint** and impose fines** on the company if they find a violation.
Civil Lawsuit: You could potentially file a civil lawsuit** against the company seeking compensation for damages** caused by the data breach. Damages could include financial losses** (e.g., due to identity theft) or non-economic damages** (e.g., emotional distress).
Success Factors and Challenges:
Severity of the Breach: The severity of the data breach** and the type of personal information compromised** will influence the strength of your case. Breaches involving sensitive data like financial information or medical records could be more compelling.
Demonstrable Harm: To win a lawsuit, you'd likely need to demonstrate harm** suffered due to the data breach. Financial losses** due to identity theft or costs associated with credit monitoring** can strengthen your case.
Causation: It's important to establish a link** between the company's lax security and the data breach.
Recommendations:
Gather Evidence: Collect any evidence documenting the data breach**, your affected information**, and any harm** you've suffered (e.g., bank statements showing fraudulent activity).
Consult a Lawyer: A lawyer specializing in data privacy law** can advise you on the feasibility of legal action** based on the specific details of your situation. They can help you navigate the legal process** and understand your options.
The Philippine legal landscape regarding data breaches is evolving. While there have been some successful cases against companies for data breaches, precedent is still developing**. Consulting a lawyer is crucial to understand your individual situation and the potential for legal recourse.</t>
  </si>
  <si>
    <t>Anong legal na paraan ang mayroon ako kung ang mahinang hakbang sa seguridad ng kumpanya ay humantong sa pag-hack ng aking personal na impormasyon?</t>
  </si>
  <si>
    <t>Can hacking into a computer system be considered a federal offense?</t>
  </si>
  <si>
    <t>Yes, hacking into a computer system can be considered a federal offense in the Philippines under the Cybercrime Prevention Act of 2012 (Republic Act No. 10175). This law is the primary legislation in the Philippines that deals with computer crimes and offenses.
Here's why hacking falls under the Cybercrime Act:
Focus on Unauthorized Access: The core of hacking offenses under the CPA lies in unauthorized access. This applies regardless of whether you steal data, cause harm, or simply gain access to a system or account you aren't authorized to be in.
Definition of Computer System: The law defines a computer system** broadly to encompass not just individual computers but also networks, servers, and other digital infrastructure.
Relevant Offenses under the CPA:
Illegal Access: This is the most basic offense and applies to any unauthorized access to a computer system or network.
Data Breaches: If you access a system and steal or leak any data**, you could face additional charges related to data breaches under the CPA.
Cyber Intrusion: This offense applies to attempts to bypass security measures to access a computer system or network.
Intent and Penalties:
Intent plays a role: While intent to cause harm can increase the severity of the charges (e.g., penalties might be harsher if the hacking resulted in financial loss or disruption of critical services), intent isn't a requirement** for the basic offense of unauthorized access.
Penalties vary: The penalties for cybercrime offenses depend on the specific offense committed and the resulting damage. Penalties can range from fines and imprisonment to community service.
Importance of Legal Advice:
If you face accusations of hacking, consulting a lawyer specializing in cybercrime law** is crucial. They can advise you on the specifics of your situation and your legal options.</t>
  </si>
  <si>
    <t>Maaari bang ituring na isang pederal na pagkakasala ang pag-hack sa isang computer system?</t>
  </si>
  <si>
    <t>How does the law differentiate between hacking and legitimate security testing?</t>
  </si>
  <si>
    <t>The Philippines' Cybercrime Prevention Act of 2012 (Republic Act No. 10175) doesn't explicitly differentiate between hacking and legitimate security testing. However, legal professionals rely on several factors to distinguish between the two:
Authorization:
Hacking: Involves unauthorized access to a computer system or network. This is the core distinction. Hacking occurs without the owner's permission.
Security Testing: Requires explicit permission from the system owner. This permission is often formalized in a written agreement outlining the scope and limitations of the testing.
Intent:
Hacking: The intent is often malicious, aiming to:
Steal data (e.g., credit card information, personal details)
Disrupt operations (e.g., take down websites, launch Denial-of-Service attacks)
Cause damage (e.g., corrupt files, tamper with critical infrastructure)
Security Testing: The intent is to identify vulnerabilities in the system to improve its security posture. Ethical hackers disclose** their findings to the system owner in a responsible manner** so they can be addressed.
Disclosure:
Hacking: Hackers typically conceal their activities and don't disclose vulnerabilities they discover. This allows them to exploit them for personal gain.
Security Testing: Ethical hackers disclose** the vulnerabilities they find to the system owner in a responsible manner**. This allows the owner to fix the vulnerabilities before they can be exploited by malicious actors.
Additional Considerations:
Scope: Security testing stays within the agreed-upon scope**, focusing on specific areas authorized by the owner. Hacking might involve going beyond authorized access or exploiting vulnerabilities not included in the agreement.
Methods: Ethical hackers use authorized tools and techniques to identify vulnerabilities. Hackers might use malware or other unauthorized methods that could harm the system.
Importance of Legal Counsel:
If you're unsure whether your actions constitute hacking or legitimate security testing, it's crucial to consult with a lawyer specializing in cybercrime law**. They can advise you on the specific legalities in your situation and help you avoid any legal trouble.
Here are some additional points to consider:
Ethical Hacking Frameworks: Frameworks like the Penetration Testing Execution Standard (PTES) can guide ethical hackers and ensure their activities are legal and responsible.
Certification: Consider becoming a Certified Ethical Hacker (CEH) to demonstrate your knowledge of ethical hacking methodologies and best practices.
Remember: The burden of proof lies with the prosecution. If you can demonstrate you had permission, followed ethical guidelines, and disclosed vulnerabilities responsibly, it strengthens your case for legitimate security testing.</t>
  </si>
  <si>
    <t>Paano naiiba ang batas sa pagitan ng pag-hack at lehitimong pagsubok sa seguridad?</t>
  </si>
  <si>
    <t>Can a company be held liable for damages caused by a hacker who exploited a vulnerability they were aware of but failed to address?</t>
  </si>
  <si>
    <t>The legal landscape in the Philippines regarding cyberattacks is evolving, but there's a growing body of evidence suggesting a company could be held liable in the scenario you described. Here's why:
Developing Legal Framework: The Philippines is actively developing its legal framework for cybersecurity. The "Cybersecurity Act of 2012" (Republic Act No. 10175) establishes the National Cybersecurity Plan and creates the Computer Emergency Response Team (CERT). While it doesn't explicitly address data breach liability, it sets the stage for future regulations.
Data Privacy Act: The "Data Privacy Act of 2012" (Republic Act No. 10173) mandates the "security of personal data" by requiring "appropriate security measures" to protect it. A company's failure to address a known vulnerability could be seen as a violation of this Act, especially if it resulted in a data breach.
Case Law (developing): While there aren't many established legal precedents yet, there have been cases where negligence in data security led to penalties from regulatory bodies. These cases can pave the way for future lawsuits against companies responsible for data breaches due to unaddressed vulnerabilities.
However, there are still uncertainties to consider:
Specificity of the Law: The current laws don't explicitly define the specific security measures companies must implement. This ambiguity could lead to legal arguments in court.
Intent vs. Negligence: The current focus seems to be on negligence rather than intent. A company that can demonstrate a reasonable effort to address vulnerabilities might have a stronger defense.
In conclusion, the Philippine legal system is increasingly holding companies accountable for data security. While the specific legal framework is still under development, a company aware of a vulnerability but failing to address it could be found liable for damages caused by a subsequent cyberattack. If you find yourself in such a situation, consulting a lawyer specializing in cyberlaw is highly recommended.</t>
  </si>
  <si>
    <t>Maaari bang managot ang isang kumpanya para sa mga pinsalang dulot ng isang hacker na nagsamantala sa isang kahinaan na alam nila ngunit nabigong tugunan?</t>
  </si>
  <si>
    <t>Can hacking into a gaming server result in legal consequences?</t>
  </si>
  <si>
    <t>Yes, hacking into a gaming server in the Philippines can definitely result in legal consequences. Here's why:
Electronic Commerce Act (ECA): The Electronic Commerce Act of 2000 (Republic Act No. 8792) prohibits various cybercrimes, including:
Illegal Access: This applies to unauthorized access to computer systems or networks, which includes hacking into a gaming server.
Data Interference: If the hacking alters or destroys data on the server, this section could be relevant.
Data Privacy Act: As mentioned earlier, the Data Privacy Act of 2012 (Republic Act No. 10173) mandates "security of personal data" and "appropriate security measures" to protect it. Hacking a gaming server could potentially expose player data, putting the company in violation of this Act.
Potential Penalties:
Depending on the severity of the offense, penalties under the ECA can range from imprisonment of up to seven years to hefty fines.
The Data Privacy Act also prescribes penalties for violations, including imprisonment and fines.
Important to Consider:
Intent and Impact: The severity of the penalty will likely depend on the offender's intent and the impact of the hacking. Just browsing the server without causing damage might be viewed differently than stealing player data or disrupting gameplay.
Minor vs. Adult: The Philippine legal system considers the age of the offender. Minors who commit cybercrimes may be subject to different penalties or rehabilitation programs.
Overall, hacking into a gaming server in the Philippines is a serious offense with potential legal repercussions. If you're considering such actions, it's important to understand the legal risks involved. It's always advisable to find legitimate ways to enjoy gaming and avoid any activities that could violate the law.</t>
  </si>
  <si>
    <t>Maaari bang magresulta ang pag-hack sa isang gaming server sa mga legal na kahihinatnan?</t>
  </si>
  <si>
    <t>Are there different penalties for hacking into a government agency's systems compared to hacking into a private company's systems?</t>
  </si>
  <si>
    <t>Yes, there can be harsher penalties for hacking into a government agency's systems compared to a private company's systems in the Philippines. Here's why:
Target Specificity: Hacking into government systems can be seen as a more serious offense because it can potentially disrupt critical infrastructure, national security, or public services. Government agencies often handle sensitive data like citizen information or national security secrets. A successful hack could have far-reaching consequences.
Relevant Laws: Both scenarios fall under the Electronic Commerce Act (ECA) for illegal access and potentially the Data Privacy Act for data interference. However, additional laws come into play for government systems:
Cybersecurity Act: This act aims to protect critical information infrastructure. Hacking into government systems could be considered a violation, potentially leading to additional penalties.
Espionage Law: If the hacking is suspected to be conducted for espionage purposes, even harsher penalties under the Espionage Act of 1936 (Act No. 677) could be applied.
Potential Penalties:
The penalties for hacking under the ECA can already be significant, but additional laws can lead to even steeper fines and longer imprisonment terms for government system breaches.
Important to Consider:
Intent and Impact: Similar to hacking into private systems, the intent and impact of the hack will still influence the penalty. Stealing classified information would be viewed more seriously than unauthorized access without causing damage.
International Cooperation: In some cases, hacking into government systems might involve international cooperation or violate international treaties, further complicating the case.
In conclusion, hacking into a government agency's systems in the Philippines carries a greater risk of severe legal consequences compared to hacking into a private company's system. The additional laws and potential for national security implications can significantly increase the penalties.</t>
  </si>
  <si>
    <t>Mayroon bang iba't ibang mga parusa para sa pag-hack sa mga sistema ng ahensya ng gobyerno kumpara sa pag-hack sa mga sistema ng pribadong kumpanya?</t>
  </si>
  <si>
    <t>Can accessing someone's social media account with their permission still be considered hacking if it violates the platform's terms of service?</t>
  </si>
  <si>
    <t>In the Philippines, accessing someone's social media account with their permission wouldn't be considered hacking under current laws. Here's why:
Hacking centers on unauthorized access. If someone willingly gives you their permission to access their account, it wouldn't be unauthorized.
However, violating the social media platform's terms of service can still have consequences:
Account Suspension or Termination: The platform could suspend or even terminate the accounts involved for violating their terms of service.
Civil Dispute: In theory, the account owner could sue you for violating their privacy even if they gave permission (depending on the specific actions you take while accessing the account). This is unlikely if you were just browsing or helping them with a simple task, but it's a possibility to consider.
Here's a recommendation:
Be Transparent with the Platform: If you absolutely need to access someone's social media account with their permission, it might be best to check with the platform's support to see if there's a legitimate way to do so without violating their terms of service. Some platforms might have features for account takeover or temporary access for specific purposes.
Overall, while it wouldn't be hacking, accessing someone's social media account with their permission can still cause issues with the platform itself. It's important to be aware of the platform's terms and be transparent about your actions to avoid unintended consequences.</t>
  </si>
  <si>
    <t>Maituturing pa bang pag-hack ang pag-access sa social media account ng isang tao nang may pahintulot nila kung lumalabag ito sa mga tuntunin ng serbisyo ng platform?</t>
  </si>
  <si>
    <t>Can I be charged with hacking if I unintentionally access someone's cloud storage account due to a typo in the email address?</t>
  </si>
  <si>
    <t>In the Philippines, unintentionally accessing someone's cloud storage due to a typo in the email address is unlikely to result in hacking charges. Here's why:
Focus on Intent: Philippine cybercrime laws like the Electronic Commerce Act (ECA) generally focus on illegal access. This means there needs to be an intention to gain unauthorized access. A simple typo would be considered a mistake, not a deliberate attempt to hack.
However, there are still some things to consider:
Taking Advantage of the Access: If you realize you've accessed the wrong account due to a typo and then proceed to download files, browse private information, or make changes, that could be seen as exceeding the scope of the unintentional access.
Data Privacy Act: The Data Privacy Act (DPA) requires individuals to respect the privacy of others. Even if unintentional, accessing someone's cloud storage could be a technical violation of the DPA, especially if you don't take steps to rectify the situation.
Here's what you should do if this happens:
Disconnect Immediately: Once you realize it's not your account, disconnect from the cloud storage to avoid further access.
Report the Incident: Most cloud storage providers have options to report a potential security breach. Use this feature to report the accidental access.
Consider Contacting the Account Owner (Optional): If you're comfortable, you can craft a polite email explaining the typo and accidental access. Emphasize that you didn't view or download any information.
In conclusion, while unintentional access due to a typo is unlikely to be hacking, avoid taking any further actions once you realize the mistake. Report the incident and consider reaching out to the account owner to show transparency. If you're unsure about any specific situation, consulting a lawyer specializing in cyberlaw is always a good idea.</t>
  </si>
  <si>
    <t>Maaari ba akong makasuhan ng pag-hack kung hindi ko sinasadyang ma-access ang cloud storage account ng isang tao dahil sa isang typo sa email address?</t>
  </si>
  <si>
    <t>How does the law treat hacking offenses committed by employees against their employers?</t>
  </si>
  <si>
    <t>The Philippine legal landscape regarding employee hacking isn't entirely settled, but there are strong arguments for holding them liable under existing laws. Here's a breakdown:
Lack of Specific Law: There's currently no law explicitly addressing employee hacking. However, other laws can be applied depending on the nature of the hack and its consequences.
Electronic Commerce Act (ECA): This act prohibits illegal access (unauthorized access to computer systems). If an employee hacks into their employer's system without permission, it could be a violation.
Data Privacy Act (DPA): The DPA mandates the security of personal data and requires "appropriate security measures" to protect it. An employee bypassing security measures to access data could be seen as a violation, especially if it involves sensitive information.
Potential Penalties:
Penalties under the ECA range from imprisonment (up to seven years) to fines. The DPA also prescribes penalties for violations.
The severity would depend on factors like the intent behind the hacking, the type of data accessed, and the damage caused.
Additional Considerations:
Employment Contract: Most employment contracts likely have clauses prohibiting unauthorized access to company systems and data. Violating these clauses could be grounds for termination.
Trade Secrets Law: If the employee hacks to steal trade secrets, the Intellectual Property Code of the Philippines could be invoked, leading to additional legal issues.
Overall, while there's no single law for employee hacking, the combination of existing laws and potential contractual violations creates a strong case for holding them liable. The specific consequences would depend on the details of the case.
Here's some additional advice:
Employers: Implement strong cybersecurity measures, educate employees about acceptable use policies, and have clear consequences outlined in employment contracts for data breaches.
Employees: Never access employer systems or data without authorization. If you have legitimate reasons for needing access, follow proper procedures and obtain the necessary permissions.
Remember, this is a complex legal area, and consulting a lawyer specializing in cyberlaw is highly recommended for both employers and employees facing such situations.</t>
  </si>
  <si>
    <t>Paano tinatrato ng batas ang mga pagkakasala sa pag-hack na ginawa ng mga empleyado laban sa kanilang mga employer?</t>
  </si>
  <si>
    <t>Can I be charged with hacking if I access my own device remotely without realizing it's lost or stolen?</t>
  </si>
  <si>
    <t>No, in the Philippines, you wouldn't be charged with hacking for remotely accessing your own device even if it's lost or stolen, as long as you are the legitimate owner and authorized user.
Here's why:
Hacking centers on unauthorized access. Since you are the rightful owner, your access wouldn't be unauthorized.
However, there are a few things to consider:
Security Measures: If you use remote access tools, ensure they have strong security measures in place like two-factor authentication. This becomes even more important if your device is lost or stolen.
Data Wipes: Some remote access tools allow for data wipes on lost devices. This can be a useful security measure to protect your information in case the device falls into the wrong hands.
Here are some recommendations:
Report Lost or Stolen Device: If you realize your device is lost or stolen, report it to the authorities and your service provider immediately. This can help them track the device and potentially prevent unauthorized access.
Change Login Credentials: Change your login credentials for any accounts you accessed remotely from the lost device. This adds another layer of security and makes it harder for anyone else to gain access to your information.
In conclusion, there's no legal concern for accessing your own device remotely in the Philippines, even if it's lost or stolen. However, practicing good security hygiene and taking precautions like strong passwords and remote wipe options can further protect your data in such situations.</t>
  </si>
  <si>
    <t>Maaari ba akong makasuhan ng pag-hack kung ina-access ko ang aking sariling device nang malayuan nang hindi napagtatanto na nawala o nanakaw ito?</t>
  </si>
  <si>
    <t>What legal protections exist for individuals whose devices have been hacked by law enforcement agencies?</t>
  </si>
  <si>
    <t>The legal protections for individuals whose devices have been hacked by law enforcement agencies in the Philippines are still evolving. While there are no guarantees, here's what you can consider:
Limited Legal Framework:
The Philippines doesn't have a specific law addressing law enforcement hacking. However, other laws might offer some safeguards:
Constitution: The Philippine Constitution guarantees the right to privacy (Article III, Section 3). This could be argued to limit the scope of warrantless hacking by law enforcement.
Rule of Law: Law enforcement agencies are expected to follow established legal procedures, which typically involve obtaining warrants for searches and seizures. Warrantless hacking could be challenged as a violation of these procedures.
Potential Legal Challenges:
Lawyers specializing in cyberlaw could argue that the hacking violated your constitutional right to privacy and due process.
They might challenge the legality of the evidence obtained through hacking if the proper warrants weren't secured.
However, there are limitations to these protections:
National Security: Law enforcement might have broader justifications for hacking in cases related to national security or preventing imminent threats.
Technical Challenges: Proving that your device was hacked by law enforcement and the specific information accessed can be difficult.
Recommendations:
Consult a Lawyer: If you suspect your device was hacked by law enforcement, it's crucial to consult with a lawyer specializing in cyberlaw. They can assess your situation and advise you on potential legal challenges.
Digital Security Practices: While not a foolproof solution, consider using strong passwords, encryption tools, and keeping your software updated to make hacking more difficult.
The Situation is Developing:
Philippine courts are starting to grapple with digital rights issues. Landmark cases could establish stronger legal precedents for digital privacy protections in the future.
Overall, while the legal landscape is uncertain, there are potential legal arguments and resources available for individuals who believe their devices were hacked by law enforcement. Consulting with a lawyer specializing in cyberlaw is the best course of action to navigate this complex situation.</t>
  </si>
  <si>
    <t>Anong mga legal na proteksyon ang umiiral para sa mga indibidwal na ang mga device ay na-hack ng mga ahensyang nagpapatupad ng batas?</t>
  </si>
  <si>
    <t>Can hacking into a medical device be considered a more severe offense compared to hacking into other types of devices?</t>
  </si>
  <si>
    <t>Yes, hacking into a medical device can be considered a more severe offense compared to hacking into other types of devices in the Philippines, due to the potential for grave consequences. Here's why:
Increased Risk of Harm: Medical devices are critical for patient well-being. Hacking could disrupt their function, alter data, or even cause physical harm to the patient.
Potential Loss of Life: In the worst-case scenario, hacking a medical device could lead to serious injury or even death of the patient. This elevates the seriousness of the offense compared to hacking a device that doesn't directly impact health.
Existing Laws and Potential Penalties:
The Philippines already has laws that can be applied to hacking medical devices:
Electronic Commerce Act (ECA): This law prohibits illegal access (unauthorized access to computer systems), which applies to medical devices with computer components.
Cybersecurity Act: This Act aims to protect critical information infrastructure, and medical devices could be considered part of that infrastructure in some cases.
Data Privacy Act: If the hacking breaches patient data privacy, this Act could also be relevant.
Additionally, here are some factors that could influence the severity of the offense:
Intent and Impact: Someone accidentally accessing a medical device while trying to hack into another system would likely be treated differently than someone deliberately hacking a device to harm a patient.
Type of Medical Device: The severity of the potential consequences would also play a role. Hacking a pacemaker could be seen as more serious than hacking a non-critical device.
Overall, hacking into a medical device carries a significant risk of harm and could result in harsher penalties under existing Philippine laws.
Here are some additional points to consider:
Evolving Legal Landscape: The Philippines is constantly developing its legal framework for cybersecurity. New laws specifically addressing hacking of medical devices might emerge in the future.
International Cooperation: Medical device hacking can have international implications, and there might be cooperation with other countries in investigating and prosecuting such offenses.
If you believe a medical device has been hacked, it's crucial to report the incident immediately to the relevant authorities and the medical device manufacturer. They can take steps to mitigate the risks and investigate the matter further.</t>
  </si>
  <si>
    <t>Maaari bang ituring na mas matinding pagkakasala ang pag-hack sa isang medikal na device kumpara sa pag-hack sa iba pang mga uri ng device?</t>
  </si>
  <si>
    <t>How do hacking laws apply to activities conducted through virtual private networks (VPNs) or proxies?</t>
  </si>
  <si>
    <t>The use of a VPN or proxy itself isn't illegal in the Philippines. However, hacking laws still apply to the activities you conduct through them. Here's a breakdown:
VPNs and Proxies: These tools essentially route your internet traffic through an intermediary server, masking your IP address and location. Legitimate uses of VPNs and proxies include accessing geo-restricted content or using public Wi-Fi more securely.
Hacking Laws: The Philippines has laws like the Electronic Commerce Act (ECA) that prohibit illegal access to computer systems. These laws apply regardless of whether you're using a VPN or proxy. If you hack into a system through a VPN or proxy, you can still be held liable.
Here's why using a VPN or proxy doesn't make hacking legal:
Intent Behind the Action: The law focuses on the action itself (hacking) and your intent. Using a VPN or proxy to mask your identity while hacking indicates a malicious intent.
Lifting the Veil: Law enforcement may have ways to identify users who commit crimes through VPNs or proxies, especially in serious cases.
Some additional things to consider:
VPN Providers: While using a VPN isn't illegal, some VPN providers might have terms of service that prohibit illegal activities on their network. Violating these terms could result in your account being suspended.
Legitimate vs. Illegal Activities: Using a VPN to access geo-restricted content from a streaming service might be against their terms, but not necessarily illegal. However, hacking into a system is always illegal.
In conclusion, using a VPN or proxy doesn't give you a free pass to commit hacking activities in the Philippines. The laws regarding illegal access still apply, and you can be held liable for your actions. It's important to use these tools responsibly and for legitimate purposes.</t>
  </si>
  <si>
    <t>Paano nalalapat ang mga batas sa pag-hack sa mga aktibidad na isinasagawa sa pamamagitan ng mga virtual private network (VPN) o proxy?</t>
  </si>
  <si>
    <t>Can I be held responsible if someone uses my internet connection to commit hacking offenses?</t>
  </si>
  <si>
    <t>In the Philippines, the question of whether you can be held responsible if someone uses your internet connection to commit hacking offenses can be a complex one. There isn't a definitive legal answer yet, but here's a breakdown of the situation:
Unclear Legal Precedent:
The Philippine legal system regarding cybercrimes is still evolving. There haven't been many court cases that specifically address this situation.
Two Sides of the Argument:
Strict Liability: Some argue that internet service providers (ISPs) and account holders could potentially be held liable due to a negligence standard. This means if you failed to take reasonable precautions to secure your network (like using strong passwords and keeping software updated), you might be seen as partly responsible.
Intent vs. Knowledge: Others argue that holding someone responsible requires proof of knowledge or intent. If someone hacks into your network without your knowledge and uses it for illegal activities, it might be difficult to hold you liable.
What You Can Do to Mitigate Risk:
Secure Your Network: Take steps to secure your Wi-Fi network with a strong password, enable encryption (WPA2 or WPA3), and disable features like guest access when not in use.
Monitor Usage: While not a foolproof solution, monitor your network activity for any unusual patterns that could indicate unauthorized access.
Report Suspicious Activity: If you suspect your network has been compromised, report it to your ISP and consider changing your passwords.
Importance of Legal Consultation:
If you find yourself in a situation where your internet connection might have been used for hacking, consulting with a lawyer specializing in cyberlaw is highly recommended. They can assess your specific situation and advise you on the best course of action.
Conclusion:
The current legal landscape makes it difficult to say definitively whether you can be held responsible in such a scenario.
By taking steps to secure your network and reporting suspicious activity, you can try to mitigate the risks.
If faced with such a situation, consulting with a lawyer is crucial.</t>
  </si>
  <si>
    <t>Maaari ba akong managot kung may gumagamit ng aking koneksyon sa internet upang gumawa ng mga paglabag sa pag-hack?</t>
  </si>
  <si>
    <t>What measures can I take to protect myself legally if I discover unauthorized access to my computer systems?</t>
  </si>
  <si>
    <t>If you discover unauthorized access to your computer systems in the Philippines, here are some measures you can take to protect yourself legally:
1. Secure Your Systems:
Contain the Breach: First and foremost, take steps to prevent further unauthorized access. Disconnect your system from the internet if possible, change passwords for all affected accounts, and run a security scan to identify and remove any malware.
2. Document the Incident:
Gather Evidence: Collect as much evidence as possible, including timestamps of the unauthorized access, any suspicious activity logs, and error messages. Take screenshots if possible.
Detailed Notes: Write down a detailed timeline of events, including when you discovered the unauthorized access, what you observed, and the actions you took to secure your system.
3. Report the Incident:
Authorities: Report the incident to the Philippine National Police (PNP) Anti-Cybercrime Unit. They can investigate the matter and potentially identify the culprit.
ISPs: If you suspect the unauthorized access originated from your internet service provider (ISP), report the incident to them as well. They might be able to provide additional information or assist with the investigation.
4. Consider Legal Consultation:
Cybersecurity Lawyer: Consulting with a lawyer specializing in cyberlaw is highly recommended. They can assess the situation, advise you on your legal rights, and help you navigate the legal process if you choose to pursue legal action against the perpetrator.
Here are some additional tips:
Change Passwords Regularly: Make it a habit to change your passwords for all your accounts regularly, especially after a security breach.
Data Backups: Maintain regular backups of your data to a secure location. This can be crucial in case your systems are compromised and data is lost or corrupted.
Security Software: Use reputable security software like firewalls and antivirus programs to protect your systems from malware and unauthorized access attempts.
By taking these steps, you can help protect yourself legally and minimize the damage caused by unauthorized access to your computer systems. Remember, seeking professional legal advice from a lawyer specializing in cyberlaw is vital for navigating the legal complexities of such situations.</t>
  </si>
  <si>
    <t>Anong mga hakbang ang maaari kong gawin upang maprotektahan ang aking sarili nang legal kung matuklasan ko ang hindi awtorisadong pag-access sa aking mga computer system?</t>
  </si>
  <si>
    <t>Can hacking into a website to expose security vulnerabilities be considered a criminal offense?</t>
  </si>
  <si>
    <t>In the Philippines, hacking into a website to expose security vulnerabilities can be a legal gray area. Here's a breakdown of the situation:
No Specific Law:
There's currently no law in the Philippines that explicitly addresses hacking for the purpose of exposing vulnerabilities.
Potential Charges Under Existing Laws:
Electronic Commerce Act (ECA): This law prohibits illegal access (unauthorized access to computer systems). Hacking into a website could be seen as a violation, even if the intent is to expose vulnerabilities.
Data Privacy Act (DPA): If the hacking exposes any personal data stored on the website, it could be a violation of the DPA's requirement to secure personal data.
However, there are arguments for leniency:
Good Samaritan Defense: Some legal experts argue that if the hacker acts responsibly by disclosing the vulnerability to the website owner and doesn't exploit it for personal gain, they might be protected under a "good Samaritan" defense. This defense applies to individuals who take actions to help others, even if they break a technical rule.
White Hat Hacking: The concept of "white hat hacking" refers to ethical hacking where vulnerabilities are exposed with the intention of improving security. If the hacker follows responsible disclosure practices and avoids causing damage, there might be a case for leniency.
What You Can Do to Minimize Legal Risk:
Obtain Permission: The safest approach is to get permission from the website owner before attempting any security testing. This eliminates the issue of unauthorized access.
Responsible Disclosure: If permission isn't obtainable, follow responsible disclosure practices. This involves notifying the website owner of the vulnerability in a private manner and giving them a reasonable timeframe to fix it before making the vulnerability public.
Consult a Lawyer: If you're unsure about the legality of your actions, consulting with a lawyer specializing in cyberlaw is highly recommended. They can assess the specific situation and advise you on the best course of action.
Overall, hacking into a website in the Philippines, even with good intentions, can be a legal risk. By obtaining permission, following responsible disclosure practices, and potentially seeking legal advice, you can minimize these risks.</t>
  </si>
  <si>
    <t>Maaari bang ituring na isang kriminal na pagkakasala ang pag-hack sa isang website upang ilantad ang mga kahinaan sa seguridad?</t>
  </si>
  <si>
    <t>How do hacking laws apply to individuals who discover and report security vulnerabilities to companies without malicious intent?</t>
  </si>
  <si>
    <t>In the Philippines, the legal landscape regarding individuals who discover and report security vulnerabilities (often called "bug bounty hunters" or "ethical hackers") is evolving. There's no single law specifically addressing this situation, but here's a breakdown of the potential implications:
Current Legal Framework:
Focus on Unauthorized Access: Existing laws like the Electronic Commerce Act (ECA) primarily focus on "illegal access" to computer systems. Hacking into a system, even to expose vulnerabilities, could technically be seen as unauthorized access.
Data Privacy Act (DPA): If the vulnerability exposes personal data, it could be a violation of the DPA's requirement for securing such data.
However, there are arguments for leniency:
Good Samaritan Defense: Legal experts suggest a "good Samaritan" defense might apply. This protects individuals who unintentionally break a technical rule while acting in good faith to help others (in this case, improve the company's website security).
Responsible Disclosure: The concept of "responsible disclosure" encourages ethical hacking where vulnerabilities are reported privately to the company with a reasonable timeframe to fix them before going public. This responsible approach strengthens the good Samaritan argument.
Minimizing Legal Risks:
Don't Hack Without Permission: The safest approach is to get explicit permission from the company before attempting any security testing. This eliminates the unauthorized access concern.
Follow Responsible Disclosure Practices: If permission is unavailable, follow responsible disclosure. Notify the company privately about the vulnerability, give them time to fix it, and avoid exploiting it for personal gain.
Consider Bug Bounty Programs: Many companies have bug bounty programs that reward ethical hackers for responsibly disclosing vulnerabilities. This provides a legal and sanctioned way to participate in website security improvement.
Consult a Lawyer: For complex situations or if you're unsure about the legality of your actions, consulting a lawyer specializing in cyberlaw is highly recommended.
The Future of Bug Bounty Hunting:
The Philippines is constantly developing its cybersecurity framework. Laws specifically addressing responsible disclosure and bug bounty programs could emerge in the future, providing a clearer legal foundation for ethical hackers.
Organizations like the Philippine National Police (PNP) Anti-Cybercrime Unit are starting to recognize the value of ethical hacking in improving national cybersecurity.
Conclusion:
While the current legal situation isn't entirely settled, there are ways to minimize legal risks for ethical hackers in the Philippines. Following responsible disclosure practices, seeking permission whenever possible, and considering bug bounty programs are all important steps. The legal landscape is evolving, and future advancements might create a more supportive environment for ethical hacking and vulnerability reporting.</t>
  </si>
  <si>
    <t>Paano nalalapat ang mga batas sa pag-hack sa mga indibidwal na nakatuklas at nag-uulat ng mga kahinaan sa seguridad sa mga kumpanyang walang malisyosong layunin?</t>
  </si>
  <si>
    <t>Can accessing someone's email account with their permission still be considered hacking if I use their login credentials without their knowledge?</t>
  </si>
  <si>
    <t>In the Philippines, accessing someone's email account with their permission, even if you use their login credentials without their knowledge, wouldn't be considered hacking under current laws. Here's why:
Hacking focuses on unauthorized access. If someone gives you permission to access their account, it wouldn't be unauthorized.
However, there can still be consequences:
Violating Platform Terms: The email platform's terms of service might prohibit sharing login credentials. Both accounts could be suspended or terminated for violating these terms.
Privacy Concerns: Even with permission, the account owner might feel their privacy is being breached if they weren't aware you were using their login credentials. This could damage trust or lead to other issues.
Here's a recommendation:
Transparency is Key: If there's a legitimate reason to access their email (e.g., helping an elderly relative manage their account), it's always best to be transparent. Explain why you need access and ask them to grant permission explicitly, perhaps by letting them log in themselves and granting temporary access through authorized features offered by the platform (if available).
In conclusion, while not hacking legally, using someone's email login credentials without their knowledge can still cause problems. Transparency and clear communication are essential to avoid any misunderstandings or violations of the platform's terms of service.</t>
  </si>
  <si>
    <t>Maituturing pa bang pag-hack ang pag-access sa email account ng isang tao nang may pahintulot nila kung gagamitin ko ang kanilang mga kredensyal sa pag-log in nang hindi nila nalalaman?</t>
  </si>
  <si>
    <t>Can hacking into a smart home device result in different legal consequences compared to hacking into a computer?</t>
  </si>
  <si>
    <t>The legal consequences for hacking into a smart home device in the Philippines might not be drastically different from hacking into a computer, but there could be some nuances to consider:
Similarities in Penalties:
Electronic Commerce Act (ECA): This law is the primary tool for combating cybercrimes in the Philippines. It prohibits illegal access to computer systems, which could apply to both computers and smart home devices with internet connectivity. Penalties under the ECA can range from imprisonment (up to seven years) to fines.
Potential Differences in Consequences:
Intent and Impact: The severity of the penalty often hinges on the intent and impact of the hacking. Hacking a computer for financial gain might be viewed more seriously than hacking a smart home device to play loud music, for example.
Data at Risk: If the hacked smart home device stores sensitive data like security camera footage or personal information, accessing it illegally could be a more serious offense, potentially involving the Data Privacy Act (DPA) and additional penalties.
Evolving Legal Landscape:
Laws specifically addressing smart home hacking are not yet established in the Philippines. Courts might rely on existing laws like the ECA and DPA to determine penalties. As smart home technology becomes more prevalent, the legal framework might evolve to address these specific devices.
Here's a breakdown of some additional factors to consider:
Disruption and Harm: Hacking a smart home device could disrupt daily routines or even cause harm in extreme cases (e.g., tampering with thermostats in harsh weather conditions). This could influence the severity of the offense.
Type of Smart Home Device: The type of device hacked could also play a role. Hacking a security system might be seen as more serious than hacking a smart speaker.
Overall, while the core laws against illegal access apply to both computers and smart home devices, the specific consequences in the Philippines might depend on the intent, impact, and type of device involved.
Here are some recommendations:
Respect User Privacy: Don't attempt to hack into any smart home device, even if it seems tempting. It's a violation of the user's privacy and could have legal consequences.
Report Suspicious Activity: If you suspect your own smart home device has been hacked, report the incident to the device manufacturer and relevant authorities.
Remember, the legal landscape is constantly evolving. Consulting with a lawyer specializing in cyberlaw is highly recommended if you have any specific questions or concerns.</t>
  </si>
  <si>
    <t>Maaari bang magresulta ang pag-hack sa isang smart home device sa iba't ibang legal na kahihinatnan kumpara sa pag-hack sa isang computer?</t>
  </si>
  <si>
    <t>Can I be charged with hacking if I access a public database but use the information for unauthorized purposes?</t>
  </si>
  <si>
    <t>In the Philippines, accessing a public database itself wouldn't be considered hacking. However, using the information for unauthorized purposes could lead to legal trouble depending on the specific situation. Here's a breakdown:
Public vs. Private Databases: Public databases are intended for public access, so simply accessing them wouldn't be illegal.
Terms of Use: Even public databases might have terms of use that restrict how the information can be used. Violating these terms could lead to the database owner taking civil action against you, not necessarily criminal charges.
Unauthorized Purposes: This is where things get more complex. Using the information for purposes beyond its intended use might be problematic. Here are some potential issues:
Data Privacy Act (DPA): The DPA protects personal data. If the public database contains personal information and you use it for unauthorized purposes that could harm the individuals involved, you could be violating the DPA.
Other Laws: Depending on how you use the information, other laws might come into play. For example, using public information for identity theft, stalking, or fraud would be illegal.
Here are some recommendations:
Check the Terms of Use: Before accessing any public database, review the terms of use to understand any restrictions on how the information can be used.
Respect Privacy: Even if the information is publicly available, use it with respect for individual privacy. Don't use it for any purpose that could cause harm or harassment.
Consult a Lawyer: If you're unsure about the legality of using information from a public database for a specific purpose, consulting a lawyer specializing in cyberlaw or data privacy is highly recommended.
In conclusion, accessing a public database in the Philippines isn't hacking, but using the information for unauthorized purposes, especially if it violates the DPA or other laws, could lead to legal consequences. It's important to be responsible and respectful of individual privacy when using information from public sources.</t>
  </si>
  <si>
    <t>Maaari ba akong makasuhan ng pag-hack kung nag-access ako ng pampublikong database ngunit ginagamit ang impormasyon para sa hindi awtorisadong layunin?</t>
  </si>
  <si>
    <t>How does the law handle hacking offenses committed by individuals with disabilities who may not fully understand the consequences of their actions?</t>
  </si>
  <si>
    <t>The legal system in the Philippines considers mitigating factors when dealing with hacking offenses committed by individuals with disabilities. Here's a breakdown of what you can expect:
Understanding and Intent:
Philippine courts consider the mental state and understanding of the accused. If a disability can be proven to significantly impair the person's ability to understand the consequences of their actions (hacking in this case), it could affect the charges or penalties.
Expert Evaluation:
A court might order a psychological evaluation by a qualified professional to assess the individual's mental capacity and understanding at the time of the offense. This evaluation would be crucial evidence in determining how the case proceeds.
Reduced Charges or Penalties:
Depending on the severity of the disability and its impact on the person's understanding, the charges might be reduced or even dismissed. Similarly, penalties could be lessened or alternative sentencing options might be considered.
Special Considerations for Disabilities:
The type of disability can also be a factor. For example, someone with intellectual disabilities might receive more lenient treatment compared to someone with a physical disability that doesn't affect their cognitive abilities.
Here are some additional points to consider:
Level of Disability: The severity of the disability plays a role. Someone with a mild disability might still be held accountable for their actions, while someone with a more severe disability might be treated differently.
Past Offenses: A history of criminal activity, even if unrelated to hacking, could reduce the leniency shown by the court.
Navigating the Legal Process:
Legal Representation: If you or someone you know faces hacking charges and has a disability, having a lawyer experienced in both cybercrime and disability law is crucial. They can effectively present evidence of the disability and its impact on the case.
Support Services: Disability rights organizations or social services might be able to provide additional support and resources throughout the legal process.
Conclusion:
The Philippine legal system acknowledges the complexities of disability and its potential impact on criminal behavior. While hacking offenses are taken seriously, individuals with disabilities can expect a fair assessment of their mental state and potential mitigating factors when facing legal charges. Consulting with a lawyer specializing in both cybercrime and disability law is vital for navigating such situations.</t>
  </si>
  <si>
    <t>Paano pinangangasiwaan ng batas ang mga paglabag sa pag-hack na ginawa ng mga indibidwal na may mga kapansanan na maaaring hindi lubos na nauunawaan ang mga kahihinatnan ng kanilang mga aksyon?</t>
  </si>
  <si>
    <t>Can hacking into a financial institution's systems result in more severe penalties compared to hacking into other types of systems?</t>
  </si>
  <si>
    <t>Yes, hacking into a financial institution's systems in the Philippines can likely result in more severe penalties compared to hacking into other types of systems. Here's why:
Increased Risk and Impact: Financial institutions handle sensitive data like bank accounts, credit card information, and financial transactions. A successful hack could lead to significant financial losses for individuals and institutions, disrupt financial services, and even erode public trust in the financial system.
Focus on Financial Crimes: The Philippines has specific laws that focus on financial crimes, and hacking a financial institution could be seen as a more serious offense under these laws. Here are some relevant examples:
The Electronic Commerce Act (ECA): This law prohibits unauthorized access to computer systems, with harsher penalties for violations involving financial institutions.
The Cybercrime Prevention Act (CPA): This Act specifically mentions computer-related offenses against financial institutions and carries stricter penalties.
Potential for Additional Charges: Depending on the purpose and outcome of the hack, additional charges might be filed. These could include:
Identity Theft: If the hacker steals personal information for fraudulent purposes.
Estafa (Fraud): If the hacker uses the access to steal money or manipulate financial records.
Money Laundering: If the hacker uses the stolen funds for illegal activities.
Severity Based on Specifics:
Intent and Outcome: The severity of the penalties will also depend on the intent and outcome of the hack. A hacker who accidentally gains access and does no harm might face lighter penalties compared to someone who deliberately steals financial data.
Scope of the Attack: A large-scale attack that compromises a vast amount of data or disrupts critical financial services would likely be treated more harshly than a smaller-scale intrusion.
Here's a comparison to hacking other systems:
Non-Financial Systems: Hacking into a personal computer or a non-financial website might still be a crime, but the penalties would likely be less severe due to the lower potential for financial harm.
Overall, hacking a financial institution in the Philippines is a serious offense with the potential for significant consequences. The increased risks, focus on financial crimes, and potential for additional charges all contribute to harsher penalties compared to hacking into other types of systems.</t>
  </si>
  <si>
    <t>Maaari bang magresulta ang pag-hack sa mga sistema ng institusyong pampinansyal sa mas matinding parusa kumpara sa pag-hack sa iba pang uri ng mga system?</t>
  </si>
  <si>
    <t>What are the legal implications of hacking into a satellite communication system?</t>
  </si>
  <si>
    <t>The legal implications of hacking into a satellite communication system in the Philippines can be complex and depend on several factors. Here's a breakdown of what you can expect:
Relevant Laws:
Electronic Commerce Act (ECA): This primary act against cybercrimes in the Philippines prohibits illegal access (unauthorized access) to computer systems. Satellite communication systems likely rely on computer components, making the ECA applicable.
Cybersecurity Act of 2018: This Act aims to protect critical information infrastructure. While the specific definition of critical infrastructure is still evolving, satellite communication systems could potentially be considered part of it, especially if they support essential services.
Potential Penalties:
Penalties under the ECA can range from imprisonment (up to seven years) to fines, depending on the severity of the offense. If the Cybersecurity Act applies, penalties might be even harsher.
Increased Scrutiny:
Hacking into a satellite communication system is a sophisticated act and is likely to attract significant attention from law enforcement agencies. The investigation would likely be more complex compared to hacking into a typical computer system.
Additional Considerations:
Military or Government Use: If the satellite communication system is used by the military or government, hacking could be seen as a national security threat and lead to even stricter penalties.
Disruption of Services: Hacking a satellite communication system could disrupt critical services that rely on it, potentially causing widespread harm. This would be a severe aggravating factor when determining penalties.
International Implications:
Satellite communication systems often cross international borders. If the hack originates in the Philippines but targets a system in another country, international cooperation between law enforcement agencies might be necessary. This can add complexity to the legal process.
Overall, hacking into a satellite communication system in the Philippines is a serious offense with potentially heavy penalties. The potential for national security risks, disruption of critical services, and international complications all contribute to the severity of the crime.
Here are some additional points to consider:
Intent and Impact: The intent behind the hacking and the resulting impact will significantly influence the legal consequences. Someone accidentally gaining access versus someone deliberately disrupting critical services would face vastly different situations.
Consulting a Lawyer: If you face any accusations of hacking into a satellite communication system, consulting a lawyer specializing in cyberlaw is crucial. They can navigate the legal complexities and advise you on the best course of action.
Remember: Hacking into any system is illegal and can have serious consequences. It's important to respect cybersecurity and refrain from engaging in such activities.</t>
  </si>
  <si>
    <t>Ano ang mga legal na implikasyon ng pag-hack sa isang satellite communication system?</t>
  </si>
  <si>
    <t>Can hacking into a voting machine be considered a federal offense?</t>
  </si>
  <si>
    <t>As of my last knowledge update in January 2022, the Philippines does not have a federal system of government. Instead, it follows a unitary form of government, and the term "federal offense" is not applicable to Philippine law. However, the act of hacking into a voting machine or any electronic system is generally considered a serious offense under Philippine law.
In the Philippines, the relevant laws that address hacking, unauthorized access, and related cybercrimes include:
1. **Republic Act No. 10175 - Cybercrime Prevention Act of 2012:**
- This law criminalizes offenses such as illegal access to computer systems, data interference, and computer-related fraud. If an individual hacks into a voting machine, they could be charged under this law.
2. **Republic Act No. 10365 - Automated Election System Law:**
- This law specifically pertains to the use of automated systems in elections, including voting machines. Unauthorized access, tampering, or interference with the automated election system is a criminal offense under this law.
If someone hacks into a voting machine, they may face charges under these and other relevant laws. The penalties for such offenses can include imprisonment and fines.
It's important to note that laws and regulations can be updated or amended, so it's advisable to check for any recent changes in Philippine cybercrime legislation. Additionally, legal interpretations and enforcement practices may evolve over time. For the latest and most accurate information, consulting with legal professionals or authorities familiar with Philippine cybercrime laws is recommended.</t>
  </si>
  <si>
    <t>Maaari bang ituring na isang pederal na pagkakasala ang pag-hack sa isang makina ng pagboto?</t>
  </si>
  <si>
    <t>Can I sue someone for phishing my personal information?</t>
  </si>
  <si>
    <t>The possibility of suing someone for phishing your personal information exists in the Philippines, but there are some things to consider:
Yes, it can be considered a crime. Phishing can be a violation of the Philippine laws on data privacy and cybercrime:
The Data Privacy Act of 2012 Republic Act No. 10173: RA 10173 protects your personal information and gives you rights to control its processing.
The Cybercrime Prevention Act of 2012 [RA 10175] penalizes various cybercrimes, including unauthorized access to computer systems (hacking) and illegal interception.
Suing can be complicated. While the legal basis exists, successfully suing the phisher themself can be difficult. They might be anonymous or located outside the jurisdiction.
You might consider suing a negligent entity. In some cases, it might be more practical to sue a company or institution that negligently allowed the phishing attack to succeed if they had a duty to protect your information.
Here's what you can do:
Gather evidence. Keep emails, screenshots, and any documentation related to the phishing attempt.
Report the incident. Report the phishing attempt to the authorities and the company or institution whose platform it involved.
Consult a lawyer. A Philippine lawyer specializing in cybercrime or data privacy law can advise you on the best course of action based on your specific situation.</t>
  </si>
  <si>
    <t>Maaari ba akong magdemanda ng isang tao para sa phishing ng aking personal na impormasyon?</t>
  </si>
  <si>
    <t>What evidence do I need to prove a phishing attack occurred?</t>
  </si>
  <si>
    <t>Unfortunately, Philippine law doesn't have a single, specific piece of evidence to definitively prove a phishing attack. However, you can build a strong case using a combination of evidence according to relevant laws. Here's what you can gather:
**1. Electronic Evidence:**
* **Phishing Email:** Save the email (including headers) as evidence. This shows the sender's address, content, and any links/attachments.
* **Screenshots:** Take screenshots of the email and any suspicious website you were directed to (without entering any information).
**2. Digital Forensics:**
* If you suspect malware downloaded through the phishing attempt, consider having a digital forensics expert examine your device to identify malicious code.
**3. Reporting:**
* Report the phishing attempt to the platform you received it on (e.g., email provider). Many platforms have reporting mechanisms for phishing emails.
**Relevant Laws:**
* **Republic Act No. 10175 or the Cybercrime Prevention Act of 2012:** This act penalizes various cybercrimes, including phishing. You can reference specific sections like unauthorized access to computer systems (Section 14) and illegal interception (Section 15) to strengthen your case.
* **Republic Act No. 8424 or the Data Privacy Act of 2012:** If the phishing attempt involved attempts to steal your personal information, consider this act. It emphasizes the protection of personal data.
**What to Do:**
* File a report with the Philippine National Police (PNP) Anti-Cybercrime Unit. They can guide you on the evidence collection process.
* Consider seeking legal assistance, especially if you suffered financial loss or identity theft due to the phishing attack. Remember, the more evidence you can gather, the stronger your case will be.</t>
  </si>
  <si>
    <t>Anong katibayan ang kailangan ko upang mapatunayang may naganap na pag-atake sa phishing?</t>
  </si>
  <si>
    <t>How can I determine who's responsible for a phishing scam?</t>
  </si>
  <si>
    <t>Attributing responsibility for a phishing scam in the Philippines can be challenging. Here's what Philippine laws and legal frameworks offer:
**Challenges:**
* **Anonymity:** Phishing scammers often operate anonymously, making it difficult to identify the mastermind. * **Foreign Actors:** Scammers might operate from outside the Philippines, further complicating jurisdiction.
**Legal Framework:**
* **Republic Act No. 10175 or the Cybercrime Prevention Act of 2012 (Cybercrime Act):** * While the Act doesn't directly address identifying perpetrators, it establishes mechanisms for investigating cybercrimes. * Section 12 on "Preservation of Electronic Evidence" empowers authorities to preserve electronic evidence upon a verified complaint. * This can be crucial if authorities manage to track down the source of the phishing attempt.
* **Data Privacy Act (RA 8424):**
* This act doesn't directly pinpoint responsibility but emphasizes data protection. * If the phishing attempt involved your personal data, a complaint under this act could compel the platform where the data breach occurred to cooperate with the investigation. **Recommendations:**
* **Report the Phishing Attempt:** * File a report with the Philippine National Police (PNP) Anti-Cybercrime Unit. They have expertise in handling cybercrime investigations and can leverage the Cybercrime Act's provisions.
* Report the attempt to the platform you received it on (e.g., email provider). Their cooperation might provide leads for the investigation.
* **Gather Evidence:** * As mentioned previously, save the phishing email (including headers), screenshots, and any relevant digital evidence. **Additional Notes:**
* While identifying the mastermind might be difficult, law enforcement can use the evidence you provide to potentially track down individuals involved in the operation or disrupt their activities. * Reporting the attempt helps create a record of the crime and assists authorities in building a bigger picture of cybercrime activities in the Philippines.</t>
  </si>
  <si>
    <t>Paano ko matutukoy kung sino ang may pananagutan sa isang phishing scam?</t>
  </si>
  <si>
    <t>What legal actions can be taken against companies that fall victim to phishing attacks and expose my data?</t>
  </si>
  <si>
    <t>The legal actions you can take against companies in the Philippines that fall victim to phishing attacks and expose your data depend on the specifics of the situation. Here's what relevant Philippine laws offer:
**Potential Legal Actions:**
* **Data Privacy Act (RA 8424):**
* This Act emphasizes the protection of personal data. If the phishing attack involved your personal data and the company's negligence contributed to the exposure, you might have grounds for a complaint under RA 8424. * The Act outlines principles like data security, informed consent, and data breach notification. * **Data Security:** Companies have a responsibility to implement appropriate security measures to protect personal data they collect (Section 18). * **Informed Consent:** You, as the data subject, have the right to be informed about how your data is collected, processed, disclosed, and secured (Section 13). * **Data Breach Notification:** In case of a data breach, the company has a legal obligation to notify you (Section 17).
* If the company failed to uphold these principles, you could file a complaint with the National Privacy Commission (NPC). The NPC can investigate and potentially impose sanctions on the company.
* **Civil Case:**
* Depending on the severity of the data exposure and the consequences you faced (e.g., identity theft, financial loss), you might consider filing a civil case against the company for damages. * This would involve proving negligence on the company's part and the harm you suffered due to the data exposure.
**Important Considerations:**
* The success of any legal action depends on the specific circumstances and the ability to prove the company's negligence. * Consulting a lawyer specializing in data privacy or cyberlaw can be highly beneficial to assess your situation and determine the best course of action.
**Additional Notes:**
* While the Cybercrime Act (RA 10175) focuses on punishing cybercriminals, it can indirectly hold companies accountable. * Section 13 on "Aiding or Abetting in the commission of Cybercrime" discourages companies from cooperating with cybercriminals. **Remember:** Legal proceedings can be complex and time-consuming. Exploring alternative dispute resolution mechanisms with the company might be a faster and less expensive option.</t>
  </si>
  <si>
    <t>Anong mga legal na aksyon ang maaaring gawin laban sa mga kumpanyang nabibiktima ng mga pag-atake ng phishing at ilantad ang aking data?</t>
  </si>
  <si>
    <t>Can I hold a company liable for failing to protect my personal information from a phishing attack?</t>
  </si>
  <si>
    <t>Possibly, but it depends on the specifics of the situation in the Philippines. Here's a breakdown based on relevant laws:
**Data Privacy Act (RA 8424):**
* This act offers the strongest grounds for holding a company liable. * It mandates companies to implement "appropriate security measures" to safeguard your personal data (Section 18). * It also requires them to obtain your "informed consent" on how your data is collected, used, and secured (Section 13). * Finally, in case of a data breach, the company has a legal obligation to notify you promptly (Section 17).
**Potential Liability:**
* If the phishing attack exposed your data and the company demonstrably failed to uphold these principles, you could have a case. * You'd need to prove the company's negligence in data security measures. * This could involve showing inadequate employee training on phishing awareness, weak password protocols, or outdated security software.
**Course of Action:**
* File a complaint with the National Privacy Commission (NPC): * The NPC can investigate and potentially impose sanctions on the company if they find a violation of RA 8424.
**Challenges:**
* Proving a company's negligence can be difficult. * The burden of proof lies with you. **Additional Considerations:**
* **Severity of Harm:** The severity of the data exposure and the consequences you faced (e.g., identity theft, financial loss) will influence the strength of your case.
* **Civil Case:** Depending on the circumstances, you might consider a civil lawsuit for damages. This would involve proving the company's negligence caused you harm.
**Recommendation:**
* Consult a lawyer specializing in data privacy or cyberlaw. They can assess your situation, advise on the best course of action (complaint vs lawsuit), and help navigate the legal process.</t>
  </si>
  <si>
    <t>Maaari ko bang panagutan ang isang kumpanya para sa hindi pagprotekta sa aking personal na impormasyon mula sa isang pag-atake ng phishing?</t>
  </si>
  <si>
    <t>What laws protect individuals from phishing attacks?</t>
  </si>
  <si>
    <t>In the Philippines, there isn't a single law specifically designed to protect individuals from phishing attacks. However, a combination of laws provides a legal framework to address the issue:
1. **Republic Act No. 10175 or the Cybercrime Prevention Act of 2012 (Cybercrime Act):** * This Act focuses on penalizing cybercrimes, but it indirectly offers protection from phishing. * Section 14 on "Unauthorized Access to Computer Systems" discourages unauthorized access to computer systems to steal data, which is a common goal of phishing attacks.
* Section 15 on "Illegal Interception" criminalizes intercepting data transmissions without authorization, which can be relevant if a phishing attempt involves capturing login credentials.
2. **Republic Act No. 8424 or the Data Privacy Act of 2012 (Data Privacy Act):**
* This Act directly protects individuals from data breaches caused by phishing attacks. * It emphasizes the responsibility of companies that collect personal data to implement appropriate security measures to safeguard it (Section 18). Phishing attacks that exploit weak security measures can be a violation of this Act.
* The Act also mandates "informed consent" from individuals regarding how their data is collected, used, and secured (Section 13). If a company fails to obtain proper consent before data collection, it weakens their position if a phishing attack exposes that data.
**Remember:** These laws don't prevent phishing attacks, but they offer legal recourse if a company's negligence in data security leads to your information being compromised through phishing.</t>
  </si>
  <si>
    <t>Anong mga batas ang nagpoprotekta sa mga indibidwal mula sa mga pag-atake ng phishing?</t>
  </si>
  <si>
    <t>Is it worth pursuing legal action against a phishing scammer if the amount stolen was relatively small?</t>
  </si>
  <si>
    <t>Whether pursuing legal action against a phishing scammer for a relatively small amount stolen is worthwhile in the Philippines depends on several factors:
**Financial Cost vs. Benefit:**
* Legal action, even in small claims court, involves filing fees and potentially lawyer costs. Weigh these costs against the amount stolen to see if financial gain is a primary motivator.
**Time Commitment:**
* Legal proceedings can be time-consuming, requiring appearances in court and gathering evidence. Consider the time investment compared to the potential return.
**Strength of Your Case:**
* Successfully holding a scammer liable often requires proving their identity and location, which can be very difficult. **Alternative Actions:**
* Reporting the phishing attempt to the authorities helps build a record of the crime and might aid in investigations.
* Contacting your bank or financial institution immediately after discovering the theft can help minimize losses and potentially recover funds.
* Focusing on securing your data and online accounts with stronger passwords and multi-factor authentication can be a proactive approach to prevent future attacks.
**However, there might be reasons beyond financial gain to pursue legal action:**
* **Principle:** Taking legal action sends a message that such scams won't be tolerated. * **Identity Theft Concerns:** Even a small amount stolen could be a sign of further attempts to exploit your identity. Taking legal action can discourage future attacks. **Recommendation:**
* Consult a lawyer specializing in cyberlaw or data privacy. They can assess your situation, considering the amount stolen, the likelihood of recovering funds, and the strength of your case. They can advise on the most cost-effective course of action, whether legal action, reporting the crime, or focusing on securing your data.</t>
  </si>
  <si>
    <t>Sulit bang magsagawa ng legal na aksyon laban sa isang phishing scammer kung ang halagang ninakaw ay medyo maliit?</t>
  </si>
  <si>
    <t>Can I sue a bank for allowing a phishing scam to compromise my account?</t>
  </si>
  <si>
    <t>Maybe, but suing a bank for allowing a phishing scam to compromise your account in the Philippines is complex. Here's a breakdown of what to consider based on Philippine laws:
**Potential Grounds for a Lawsuit:**
* **Data Privacy Act (RA 8424):** This law mandates banks to secure your data. If the bank's negligence (weak security measures) allowed a phishing attack to succeed, you might have a case under RA 8424. You'd need to prove the bank's security failures and how they directly resulted in your data exposure.
**Challenges of Winning the Lawsuit:**
* **Burden of Proof:** The onus is on you to prove the bank's negligence and that it directly caused your loss.
* **Bank's Policies:** Banks often have strong customer agreements outlining their liability in cases of phishing scams. These agreements might limit their responsibility if you disregard security protocols (e.g., clicking suspicious links).
**Alternatives to a Lawsuit:**
* **Report the Phishing Attempt:** File a report with the Philippine National Police Anti-Cybercrime Unit. They can investigate and potentially hold the scammers accountable.
* **Contact Your Bank:** Immediately report the incident to your bank's fraud department. They might be able to recover stolen funds and investigate the phishing attempt.
**Recommendation:**
* Consult a lawyer specializing in data privacy or cyberlaw. They can assess your situation, including the bank's customer agreement and the details of the phishing scam. They can advise you on the likelihood of success in a lawsuit and explore alternative courses of action.
**Remember:** * Legal battles can be lengthy and expensive. * Consider the potential benefits (recovered funds) against the time and financial investment required for a lawsuit.</t>
  </si>
  <si>
    <t>Maaari ba akong magdemanda sa isang bangko para sa pagpayag sa isang phishing scam na ikompromiso ang aking account?</t>
  </si>
  <si>
    <t>How do I report a phishing attack to law enforcement?</t>
  </si>
  <si>
    <t>In the Philippines, you can report a phishing attack to several law enforcement agencies. Here's how:
**1. Philippine National Police (PNP) Anti-Cybercrime Unit:**
* This is the primary agency for reporting cybercrimes like phishing attacks.
* **Online Reporting:** You can file a report online through the PNP Anti-Cybercrime Group (ACG) website: [https://acg.pnp.gov.ph/](https://acg.pnp.gov.ph/)
* **Hotline:** You can call the PNP ACG hotline at (02) 8723-0401 local 5313.
**2. National Bureau of Investigation (NBI) Anti-Fraud Division:**
* While the PNP focuses on cybercrimes, the NBI Anti-Fraud Division handles broader fraud cases. * **Online Reporting:** You can submit a message through the NBI website: [https://www.nbi.gov.ph/](https://www.nbi.gov.ph/) or their official Facebook account. * **Email:** You can send an email to afad@nbi.gov.ph
* **Hotline:** You can call the NBI Anti-Fraud Division at (02) 8525-4093.
**3. Reporting to Other Platforms:**
* In addition to law enforcement, consider reporting the phishing attempt to the platform you received it on (e.g., email provider, social media platform). Many platforms have reporting mechanisms for phishing emails.
**What Information to Include:**
* When reporting the phishing attack, gather as much evidence as possible, including:
* The phishing email (including headers)
* Screenshots of the email and any suspicious website you were directed to (without entering any information)
* Any other relevant details about the scam (e.g., what information they tried to steal)
**Additional Notes:**
* Reporting the phishing attempt helps law enforcement agencies track down scammers and build a bigger picture of cybercrime activities in the Philippines.
* Even if you weren't a victim (e.g., you identified a phishing attempt but didn't lose any information), reporting it can still be helpful.
By reporting the phishing attack, you can potentially help prevent others from falling victim and contribute to law enforcement efforts against cybercrime.</t>
  </si>
  <si>
    <t>Paano ako mag-uulat ng pag-atake ng phishing sa tagapagpatupad ng batas?</t>
  </si>
  <si>
    <t>What are the penalties for engaging in phishing activities?</t>
  </si>
  <si>
    <t>Engaging in phishing activities in the Philippines can result in serious penalties depending on the specific offense committed under the Cybercrime Prevention Act of 2012 (RA 10175). Here's a breakdown of potential charges and penalties:
**1. Unauthorized Access to Computer Systems (Section 14):**
* **Penalty:** Imprisonment of **two (2) to six (6) years** and a fine of **PhP 100,000 to PhP 1,000,000**.
This applies if the phisher gains unauthorized access to a computer system to steal, alter, destroy, or impede access to data. **2. Illegal Interception (Section 15):**
* **Penalty:** Imprisonment of **two (2) to seven (7) years** and a fine of **PhP 100,000 to PhP 1,000,000**.
This applies if the phisher intercepts data transmissions without authorization, such as capturing login credentials through a phishing website.
**3. Data Interference (Section 16):**
* **Penalty:** Imprisonment of **two (2) to six (6) years** and a fine of **PhP 100,000 to PhP 1,000,000**.
This applies if the phisher modifies, deletes, or destroys data without right. This could be relevant if a phishing attack aims to corrupt or erase data.
**4. Computer-Related Offenses (Section 18):**
* **Penalty:** Imprisonment of **six (6) months to three (3) years** or a fine of **PhP 10,000 to PhP 100,000**, or both.
This is a broader provision that can encompass various phishing activities like using fraudulent computer programs or devices.
**Additional Considerations:**
* The specific penalty imposed depends on the severity of the offense, the damage caused, and the discretion of the court.
* If the phishing attempt resulted in identity theft or financial loss, the offender might face additional charges under other Philippine laws.
**Remember:** These are just the potential penalties. The actual prosecution and sentencing process would be handled by the Philippine legal system.</t>
  </si>
  <si>
    <t>Ano ang mga parusa sa pagsali sa mga aktibidad sa phishing?</t>
  </si>
  <si>
    <t>Can I recover damages if I've been a victim of a phishing scam?</t>
  </si>
  <si>
    <t>Recovering damages if you've been a victim of a phishing scam in the Philippines depends on the specifics of the situation. Here's a breakdown of possibilities:
**Recovering Stolen Funds:**
* **Financial Institutions:** * Immediately contact your bank or financial institution after discovering the theft. They might be able to reverse unauthorized transactions or recover stolen funds depending on their policies and the time frame. * Explore options like chargeback requests for fraudulent credit card transactions.
**Legal Action:**
* **Suing the Scammer:** * This can be challenging due to difficulty identifying and locating the scammer. * Even if successful, collecting damages might be difficult.
* **Suing a Bank (for negligence):** * This is also challenging. Banks often have customer agreements limiting their liability in phishing cases if you disregard security protocols.
**Alternatives:**
* **Report the Phishing Attempt:** * Filing a report with the PNP Anti-Cybercrime Unit helps build a record of the crime and might aid investigations. **Recommendations:**
* **Consult a Lawyer:** * A lawyer specializing in cyberlaw or data privacy can assess your situation and advise on the most realistic path to recover damages. They can evaluate the potential benefits (recovered funds) against the time and financial investment required for legal action.
**Remember:** * Focus on securing your accounts and data to prevent future attacks. * Change passwords and enable multi-factor authentication.
* Report phishing attempts to the platform you received them on (e.g., email provider) and law enforcement.</t>
  </si>
  <si>
    <t>Maaari ba akong mabawi ang mga pinsala kung ako ay naging biktima ng isang phishing scam?</t>
  </si>
  <si>
    <t>Are there any precedents for successful lawsuits related to phishing attacks?</t>
  </si>
  <si>
    <t>Due to privacy concerns and the nature of legal proceedings, it's difficult to find publicly available information on specific successful lawsuits related to phishing attacks in the Philippines. However, here's what we can glean from the legal framework:
* **Data Privacy Act (RA 8424):**
* There might be cases where individuals successfully sued companies whose negligence in data security led to a phishing attack compromising their information. * These cases likely wouldn't be publicized due to privacy considerations.
**Challenges in Finding Precedents:**
* **Focus on Criminal Charges:** Law enforcement might prioritize pursuing criminal charges against the scammers rather than civil lawsuits for damages.
* **Confidentiality Agreements:** Lawsuits might be settled with confidentiality agreements, preventing public knowledge of the case.
**Alternative Sources:**
* You can try searching legal databases (though access might be restricted) for cases involving the Data Privacy Act and phishing attacks.
* Consulting a lawyer specializing in data privacy or cyberlaw can provide more insights on relevant case law or ongoing litigation that might not be publicly available.
**Remember:** * The lack of easily accessible precedents doesn't necessarily mean lawsuits haven't been successful.
* A lawyer can give you a more accurate picture of the legal landscape and your options based on your specific situation.</t>
  </si>
  <si>
    <t>Mayroon bang anumang mga precedent para sa matagumpay na mga demanda na nauugnay sa mga pag-atake sa phishing?</t>
  </si>
  <si>
    <t>What steps should I take legally if my business is targeted by a phishing attack?</t>
  </si>
  <si>
    <t>Here are the steps you can take legally if your business is targeted by a phishing attack in the Philippines:
**1. Secure Your Systems and Mitigate Damage:**
* **Identify the Breach:** * Investigate the phishing attempt to understand what information might have been compromised (e.g., customer data, employee credentials).
* **Contain the Threat:** * Isolate compromised systems or accounts to prevent further damage or lateral movement within your network.
* **Change Passwords:** * Reset passwords for all potentially compromised accounts, including customer accounts and employee logins.
* **Report the Phishing Attempt:** * Report the incident to the platform where you received the attack (e.g., email provider). Many platforms have reporting mechanisms for phishing attempts.
**2. Assess Legal Options:**
* **Data Privacy Act (RA 8424):** * If customer data was compromised, consider filing a complaint with the National Privacy Commission (NPC) if you believe a data breach occurred due to the phishing attack. The NPC can investigate and potentially impose sanctions on the party responsible for the data breach if they find a violation of RA 8424.
* **Civil Lawsuit:** * Depending on the severity of the attack and the consequences for your business (e.g., data breach, financial losses), you might consider a civil lawsuit against the party responsible for the phishing attack (if identified) to recover damages. This could be the scammer or potentially a third-party vendor whose negligence contributed to the vulnerability. * However, successfully suing the scammer directly can be challenging due to difficulty identifying and locating them.
**3. Gather Evidence:**
* **Phishing Email:** * Save the phishing email (including headers) as evidence. This shows the sender's address, content, and any links/attachments.
* **Screenshots:** * Take screenshots of the email and any suspicious website you were directed to (without entering any information).
**4. Consider Data Breach Notification:**
* If customer data was compromised, depending on the nature and volume of data involved, you might be legally obligated to notify affected individuals under the Data Privacy Act. **5. Consult a Lawyer:**
* A lawyer specializing in data privacy or cyberlaw can provide the best course of action based on your specific situation. They can advise on:
* The likelihood of success in a lawsuit against the scammer or a potentially negligent third party.
* Your obligations under the Data Privacy Act regarding data breach notification.
* Strategies to strengthen your company's cybersecurity posture to prevent future attacks.
**Remember:** * Legal proceedings can be complex and time-consuming. Exploring alternative dispute resolution mechanisms might be a faster and less expensive option in some cases. * The most important first steps are to secure your systems, mitigate damage, and assess your legal options with the help of a qualified lawyer.</t>
  </si>
  <si>
    <t>Anong mga hakbang ang dapat kong gawin nang legal kung ang aking negosyo ay na-target ng isang pag-atake sa phishing?</t>
  </si>
  <si>
    <t>Can I be held legally responsible if my email account is used for phishing without my knowledge?</t>
  </si>
  <si>
    <t>No, you generally wouldn't be held legally responsible in the Philippines if your email account is used for phishing without your knowledge. Here's why:
* **Lack of Intent:** Phishing attacks involve unauthorized access to your email. The law recognizes the difference between someone's actions and their account being compromised.
* **Due Diligence:** As long as you practiced reasonable security measures for your email account (e.g., strong password, not clicking suspicious links), the burden of responsibility falls on the attacker who compromised your account.
**However, there could be very rare exceptions:**
* **Gross Negligence:** In an extremely unlikely scenario, if it could be proven you displayed gross negligence in securing your email account (e.g., using a very weak password or sharing login credentials publicly), there might be a chance of some liability being assigned. This is highly improbable and would likely only be relevant in a very specific situation.
**Here's what strengthens your position:**
* **Reporting the Phishing Activity:** * If you discover your email account has been compromised and used for phishing, report it immediately to your email provider. This creates a record of the incident and demonstrates you weren't involved.
* **Taking Steps to Secure Your Account:** * Change your email password to a strong one and enable multi-factor authentication if available. This shows you're taking responsibility for securing your account.
**In Conclusion:**
Phishing relies on tricking people into giving away information or clicking malicious links. As long as you weren't involved in the phishing attempt and can demonstrate reasonable security measures, you wouldn't be held legally responsible in the Philippines.</t>
  </si>
  <si>
    <t>Maaari ba akong maging legal na responsable kung ang aking email account ay ginagamit para sa phishing nang hindi ko nalalaman?</t>
  </si>
  <si>
    <t>What measures can I take to legally protect my personal information from phishing attacks?</t>
  </si>
  <si>
    <t>While there's no foolproof legal protection against phishing attacks, several measures can significantly reduce the risk and strengthen your legal position if your information is compromised:
**1. Be Proactive with Data Security:**
* **Strong Passwords &amp; Multi-Factor Authentication (MFA):** Use unique, complex passwords for all your online accounts and enable MFA wherever available. This makes unauthorized access much harder.
* **Data Encryption:** Consider encrypting sensitive data on your devices for an extra layer of security.
**2. Stay Informed and Vigilant:**
* **Phishing Awareness Training:** Educate yourself and your employees (if applicable) on how to identify phishing attempts. Look for red flags like suspicious email addresses, generic greetings, urgency tactics, and grammatical errors.
* **Stay Updated on Phishing Scams:** Keep yourself updated on the latest phishing tactics by following reputable cybersecurity resources.
**3. Minimize Exposure:**
* **Beware of Unknown Senders:** Don't click links or open attachments in emails from unknown senders. Verify the sender's identity before interacting with their emails.
* **Scrutinize Links &amp; Websites:** Hover over links before clicking to see the actual destination URL. Don't enter personal information on websites that appear suspicious.
**4. Secure Your Devices:**
* **Anti-Virus &amp; Anti-Malware Software:** Keep your devices (computers, phones) up-to-date with the latest security software to detect and block malware that can steal information.
* **Beware of Public Wi-Fi:** Avoid entering sensitive information on public Wi-Fi networks as they might be less secure.
**5. Legal Measures (For Businesses):**
* **Data Privacy Compliance:** If you run a business, ensure compliance with the Data Privacy Act (RA 8424) to safeguard customer data. This includes implementing appropriate security measures and having a data breach notification plan if necessary.
**Legal Leverage in Case of a Breach:**
* By taking these proactive measures, you demonstrate a commitment to data security. If your information is compromised despite these precautions, it strengthens your legal case if you decide to pursue legal action against the attacker or a negligent third party. * You can show you were a responsible victim who took steps to minimize the risk.
**Remember:** While legal measures can help in some situations, prevention is key. By following these steps, you can significantly reduce the risk of falling victim to a phishing attack and protect your personal information.</t>
  </si>
  <si>
    <t>Anong mga hakbang ang maaari kong gawin upang legal na maprotektahan ang aking personal na impormasyon mula sa mga pag-atake ng phishing?</t>
  </si>
  <si>
    <t>Is there a statute of limitations for pursuing legal action against a phishing scammer?</t>
  </si>
  <si>
    <t>The Philippines doesn't have a single, specific statute of limitations for pursuing legal action against a phishing scammer. However, the timeline for filing a lawsuit depends on the offense committed during the phishing attack:
* **Cybercrime Prevention Act (RA 10175):** This Act outlines penalties for various cybercrimes related to phishing attacks. The specific statute of limitations for each offense would apply. * For example, Section 14 on "Unauthorized Access to Computer Systems" doesn't mention a specific timeframe, so the general rule of prescription under the Revised Penal Code (Article 89) might apply. This generally sets a prescription period of **twenty (20) years** for felonies.
* **Data Privacy Act (RA 8424):** This Act doesn't have a specific statute of limitations. However, filing a complaint with the National Privacy Commission (NPC) under RA 8424 is likely subject to a reasonableness standard. A significant delay in filing a complaint could weaken your case.
**Here's what to consider:**
* **Evidence Preservation:** The longer you wait to pursue legal action, the harder it might be to gather and preserve evidence (e.g., phishing emails).
* **Civil Lawsuits:** If you're considering a civil lawsuit for damages, there's a general **four (4) year** prescriptive period under the Civil Code for most civil actions.
**Recommendation:**
* Consult a lawyer specializing in data privacy or cyberlaw. They can advise on the most relevant statute of limitations based on the specific offense committed during the phishing attack and the type of legal action you're considering.
* Generally, it's best to act promptly after discovering a phishing attack. This allows for better evidence preservation and strengthens your legal position.</t>
  </si>
  <si>
    <t>Mayroon bang batas ng mga limitasyon para sa pagsasagawa ng legal na aksyon laban sa isang phishing scammer?</t>
  </si>
  <si>
    <t>How do I prove that I've been financially harmed by a phishing attack?</t>
  </si>
  <si>
    <t>Proving financial harm caused by a phishing attack in the Philippines can be challenging but not impossible. Here's how you can strengthen your case:
**Gather Evidence:**
* **Phishing Email:** Save the phishing email, including headers, to show the sender's address and content (what information they tried to steal).
* **Financial Statements:** Collect bank statements or financial records before and after the attack. Highlight any unauthorized transactions or suspicious activity.
* **Police Report:** If you filed a report with the police, obtain a copy of the report for your records.
* **Communication with Financial Institution:** Keep copies of any emails or records of communication with your bank or financial institution regarding the fraudulent activity.
**Demonstrate Causation:**
* You need to show a clear link between the phishing attack and your financial loss. * This might involve showing the phishing attempt targeted financial information (e.g., login credentials for your bank account).
* If you can demonstrate you immediately reported the phishing attempt to your financial institution after receiving it but still suffered losses, it strengthens your case.
**Severity of Harm:**
* The severity of the financial harm can influence your case. * Larger amounts of stolen money or significant financial disruption caused by the attack will carry more weight.
**Maintain Records:**
* Keep all your documents related to the phishing attack and financial loss organized and readily available.
**Consider Alternative Evidence:**
* If you cannot access bank statements before the attack (e.g., new account), explore alternative evidence like screenshots showing your typical account balance compared to the post-attack balance.
**Legal Help:**
* A lawyer specializing in data privacy or cyberlaw can advise on the best way to present evidence and build a strong case to prove financial harm.
**Additional Notes:**
* Even if you recover stolen funds through your financial institution, you might still be able to pursue legal action to hold the scammer accountable, especially if you suffered additional damages (e.g., account closure fees, time spent resolving the issue).
* The burden of proof lies with you to demonstrate financial harm caused by the phishing attack. By gathering strong evidence and potentially seeking legal guidance, you can increase your chances of successfully proving financial harm from a phishing attack.</t>
  </si>
  <si>
    <t>Paano ko mapapatunayan na ako ay pinansiyal na nasaktan ng isang phishing na pag-atake?</t>
  </si>
  <si>
    <t>Can I sue a social media platform for not adequately protecting my account from phishing attempts?</t>
  </si>
  <si>
    <t>Suing a social media platform for not adequately protecting your account from phishing attempts in the Philippines is possible, but success hinges on several factors. Here's a breakdown of the situation:
**Potential Grounds for a Lawsuit:**
* **Data Privacy Act (RA 8424):** This Act mandates social media platforms to implement appropriate security measures to protect user data. If a phishing attack compromised your information due to a social media platform's weak security practices, you might have a case under RA 8424. You'd need to prove the platform's negligence and how it directly resulted in your data exposure.
**Challenges of Winning the Lawsuit:**
* **Burden of Proof:** It's your responsibility to prove the social media platform's negligence directly caused the phishing attack's success. This can be difficult because these platforms have complex security systems and might argue they took reasonable measures.
* **User Agreements:** Social media platforms often have terms of service agreements that limit their liability in phishing cases. These agreements might outline user responsibility to protect their accounts (e.g., strong passwords, not clicking suspicious links).
**Alternatives to a Lawsuit:**
* **Report the Phishing Attempt:** Report the phishing attempt directly to the social media platform. Many platforms have reporting mechanisms for such incidents.
* **Strengthen Your Account Security:** Enable multi-factor authentication and use strong passwords to enhance your account's security.
**Recommendation:**
* Consult a lawyer specializing in data privacy or cyberlaw. They can assess your situation, including the details of the phishing attack, the social media platform's security practices, and the relevant user agreement. Based on this analysis, they can advise on the likelihood of success in a lawsuit and explore alternative courses of action.
**Additional Notes:**
* Legal battles can be lengthy and expensive. Weigh the potential benefits (recovering damages) against the time and financial investment required for a lawsuit. * Consider the social media platform's response to your report of the phishing attempt. If they take no action or demonstrate a lack of concern for user security, it might strengthen your case if you decide to pursue legal action.
**Remember:** There's no guarantee of success in suing a social media platform for a phishing attack. However, exploring your options with a qualified lawyer and focusing on securing your accounts can empower you to protect yourself online.</t>
  </si>
  <si>
    <t>Maaari ko bang idemanda ang isang platform ng social media para sa hindi sapat na pagprotekta sa aking account mula sa mga pagtatangka sa phishing?</t>
  </si>
  <si>
    <t>Are there any legal remedies available if a phishing attack results in identity theft?</t>
  </si>
  <si>
    <t>If a phishing attack results in identity theft in the Philippines, there are several legal remedies you can explore. Here's a breakdown of some options:
**1. Reporting the Identity Theft:**
* **Police Report:** File a report with the Philippine National Police (PNP), particularly the Anti-Cybercrime Unit. This report documents the crime and can be crucial evidence in any legal action you pursue.
* **National Bureau of Investigation (NBI):** You can also consider filing a report with the NBI's Anti-Fraud Division, especially if the identity theft involves broader financial fraud.
**2. Protecting Yourself from Further Harm:**
* **Credit Bureau Alerts:** Contact credit bureaus operating in the Philippines (e.g., TransUnion, Equifax) and request a fraud alert or credit freeze on your credit report. This can help prevent further unauthorized access to credit in your name.
* **Financial Institutions:** Contact your bank and other financial institutions to report the identity theft and take steps to secure your accounts (e.g., changing passwords, monitoring activity).
**3. Legal Action:**
* **Civil Lawsuit:** You could consider a civil lawsuit against the person responsible for the identity theft, if they can be identified. However, this can be challenging due to difficulty locating the culprit. * **Suing a Negligent Third Party:** In some cases, you might explore suing a third party whose negligence contributed to the identity theft. For example, if a data breach at a company you do business with exposed your information and led to the identity theft, you might have a case against that company. **Challenges of Legal Action:**
* **Identifying the Culprit:** Finding the person who committed the identity theft can be difficult.
* **Burden of Proof:** The onus is on you to prove the identity theft occurred and the extent of the damages you suffered.
* **Damages:** Recovering financial losses can be challenging. However, you might be able to seek compensation for damages like emotional distress or time spent resolving the issue.
**Recommendation:**
* Consult a lawyer specializing in data privacy or cyberlaw. They can assess your situation, including the severity of the identity theft, the evidence available, and the potential legal options. They can advise on the likelihood of success in a lawsuit and the potential costs involved.
**Additional Notes:**
* Legal battles can be lengthy and expensive. Weigh the potential benefits (recovering damages) against the financial and emotional investment required for a lawsuit.
* Focus on protecting yourself further and minimizing the damage caused by the identity theft.
**Remember:** While legal action is an option, prioritizing self-protection and minimizing the impact of the identity theft is crucial. This might involve working with your financial institutions to recover stolen funds and disputing fraudulent charges on your accounts. A qualified lawyer can guide you through these steps and advise on the best course of action for your specific situation.</t>
  </si>
  <si>
    <t>Mayroon bang anumang legal na remedyo na magagamit kung ang pag-atake ng phishing ay nagreresulta sa pagnanakaw ng pagkakakilanlan?</t>
  </si>
  <si>
    <t>Can I sue a phishing scammer if they're operating from another country?</t>
  </si>
  <si>
    <t>Suing a phishing scammer operating from another country in the Philippines is possible, but success is challenging. Here's a breakdown of the complexities involved:
**Challenges of Suing a Foreign Scammer:**
* **Jurisdiction:** Establishing jurisdiction in a foreign court to sue the scammer can be difficult and expensive. You'd need to prove the scam caused harm within the Philippines and that the court has authority over the case.
* **Identifying the Scammer:** Pinpointing the scammer's location and identity can be nearly impossible, especially with sophisticated phishing operations that mask their origin.
* **Enforcing a Judgment:** Even if you win a lawsuit, enforcing a judgment against a scammer in another country can be very complex.
**Alternatives to Consider:**
* **Report the Phishing Attempt:** Reporting the attack to the Philippine National Police (PNP) Anti-Cybercrime Unit helps build a record of the crime and might aid investigations.
* **Focus on Damage Control:** * Secure your accounts and data (change passwords, enable MFA).
* Contact your bank or financial institutions to report any fraudulent activity and recover stolen funds if possible.
* Consider placing a fraud alert or credit freeze on your credit reports to prevent further identity theft.
**Potential Exceptions (Limited):**
* **Targeted Scams by a Known Individual:** If you can demonstrably prove the scammer is someone you know who resides abroad, suing them in the Philippines might be an option, but legal complexities would still apply. * **Large-Scale Scams with International Cooperation:** In rare cases, if the phishing scam is a large-scale operation with international cooperation from Philippine authorities or companies, suing the scammers might be pursued through coordinated efforts, but this wouldn't be a typical scenario for individual victims. **Recommendation:**
* Consult a lawyer specializing in data privacy or cyberlaw. They can assess your situation and advise on the feasibility of suing a foreign scammer. They can also guide you through alternative options for protecting yourself and minimizing the damage caused by the phishing attack.
**Remember:** * Legal battles against foreign actors can be very resource-intensive with little guarantee of success. * Prioritize protecting your information and finances. A lawyer can help you navigate these steps and explore the most realistic options for your situation.</t>
  </si>
  <si>
    <t>Maaari ko bang kasuhan ang isang phishing scammer kung sila ay nagpapatakbo mula sa ibang bansa?</t>
  </si>
  <si>
    <t>How can I legally recover funds lost in a phishing scam?</t>
  </si>
  <si>
    <t>Recovering funds lost in a phishing scam in the Philippines can be difficult, but there are several legal and non-legal avenues you can explore. Here's a breakdown of some options:
**1. Contact Your Bank or Financial Institution:**
* **Act Quickly:** The sooner you report the fraudulent activity to your bank, the better chance you have of recovering stolen funds.
* **Dispute Transactions:** File a dispute for any unauthorized transactions you identify. Gather evidence like the phishing email (if possible) to support your claim. * **Follow Up:** Be persistent in following up with your bank on the status of your dispute. **2. Explore Bank Policies and Regulations:**
* **Consumer Protection Policies:** Many banks have consumer protection policies that might outline their liability in cases of fraud or unauthorized transactions. Understanding these policies can help manage your expectations for recovery.
**3. Legal Action:**
* **Suing the Scammer:** This is challenging due to difficulty identifying and locating the scammer, especially if they operate from another country. * **Suing a Negligent Third Party:** In some cases, you might explore suing a third party whose negligence contributed to the phishing attack and subsequent financial loss. For instance, if a data breach at a company exposed your information and led to the scam, you might have a case against them (consult a lawyer for specific situations).
**Challenges of Legal Action:**
* **Burden of Proof:** The onus is on you to prove the fraudulent activity occurred and that it resulted from a phishing attack.
* **Time and Cost:** Legal battles can be lengthy and expensive. Weigh the potential benefits (recovered funds) against the time and financial investment required for a lawsuit.
**Non-Legal Option:**
* **Report the Phishing Attempt:** * Filing a report with the Philippine National Police (PNP) Anti-Cybercrime Unit helps build a record of the crime and might aid investigations.
* Reporting to the platform where you received the attack (e.g., email provider) can also be helpful. **Recommendations:**
* **Consult a Lawyer:** A lawyer specializing in data privacy or cyberlaw can assess your situation and advise on the most realistic path to recover funds. They can evaluate:
* The likelihood of success in a lawsuit against a scammer or a potentially negligent third party.
* The potential benefits of pursuing legal action compared to the costs involved.
**Additional Notes:**
* **Focus on Preventing Future Attacks:** * Strengthen your online security measures (strong passwords, MFA).
* Stay informed about phishing tactics.
* **Be Wary of Recovery Scams:** Unfortunately, some scammers might target victims of phishing scams with fake recovery offers. Be cautious of unsolicited calls or emails promising to get your money back.
Remember, recovering lost funds can be a complex process. While legal action is an option, prioritizing protecting your remaining information and finances is crucial. A lawyer can guide you through the best course of action for your specific situation.</t>
  </si>
  <si>
    <t>Paano ko legal na mababawi ang mga pondong nawala sa isang phishing scam?</t>
  </si>
  <si>
    <t>Are there any legal obligations for companies to notify customers if their data has been compromised in a phishing attack?</t>
  </si>
  <si>
    <t>The legal obligation for companies to notify customers in the Philippines regarding a data breach caused by a phishing attack depends on the nature of the data compromised and the severity of the breach. Here's a breakdown of the relevant law:
**Data Privacy Act (RA 8424):**
* This Act mandates that personal information controllers (PICs), which can be companies or organizations, implement appropriate security measures to protect personal data. * In case of a "personal data breach," the Act requires notification to the National Privacy Commission (NPC) and potentially to affected data subjects (customers).
**Key Definitions:**
* **Personal Data Breach:** This refers to a breach of security leading to the accidental or unlawful destruction, loss, alteration, unauthorized disclosure of, or access to processed personal data.
**Notification Requirements:**
* **NPC Notification:** The PIC must notify the NPC within seventy-two (72) hours upon knowledge or reasonable belief that a personal data breach has occurred. * **Data Subject Notification:** * The Act requires notification to affected data subjects if the breach involves:
* **Sensitive personal information:** This includes data like passwords, financial information, medical records, etc. * **Any other information that may be used to enable identity theft:** This could include usernames, email addresses, or other data points that could be misused for impersonation.
* There's also a requirement to notify data subjects if the breach is likely to give rise to a real risk to their rights and freedoms. * The notification to data subjects should be made within seventy-two (72) hours if possible, with the available information at the time.
**Phishing Attacks and Data Breaches:**
* A successful phishing attack can lead to a data breach if it allows unauthorized access to customer data. * If a company experiences a data breach due to a phishing attack that compromises personal data as defined above, they are legally obligated to notify the NPC and potentially affected customers under the Data Privacy Act.
**Additional Notes:**
* The specific details of the notification (content, format) are outlined in the implementing rules and regulations of the Data Privacy Act issued by the NPC.
* Companies can face penalties for non-compliance with the notification requirements under the Act.
**Recommendation:**
* In case you suspect a company hasn't notified you about a data breach you believe might have affected your information, you can file a complaint with the National Privacy Commission.
**Remember:** The Data Privacy Act plays a key role in ensuring companies are accountable for protecting customer data and notifying them in case of a breach.</t>
  </si>
  <si>
    <t>Mayroon bang anumang legal na obligasyon para sa mga kumpanya na abisuhan ang mga customer kung ang kanilang data ay nakompromiso sa isang pag-atake ng phishing?</t>
  </si>
  <si>
    <t>Can a phishing scammer be extradited to face legal charges?</t>
  </si>
  <si>
    <t>The possibility of extraditing a phishing scammer to face legal charges in the Philippines depends on several factors:
**1. Location of the Scammer:**
* **Foreign Country:** * Extradition treaties exist between the Philippines and many countries. These treaties outline the legal framework for extraditing individuals facing criminal charges. * The specific terms of the treaty with the scammer's country would determine the feasibility of extradition. * Extradition is a complex legal process that can take a significant amount of time.
**2. Severity of the Crime:**
* **Philippine Laws:** The alleged offense by the scammer must be considered a crime in both the Philippines and the scammer's home country.
* **Seriousness of the Offense:** Extradition is typically pursued for serious crimes, not minor offenses. The severity of the phishing attack and the resulting financial losses or harm caused would be a factor in determining if extradition efforts would be initiated.
**3. Evidence and Investigation:**
* **Strong Case:** Philippine authorities would need a strong case against the scammer, including evidence linking them to the phishing attack. This could involve things like digital footprints, communication records, or financial transactions.
**4. International Cooperation:**
* **Successful extradition relies on cooperation** between Philippine law enforcement and the authorities in the scammer's country.
**Overall, the likelihood of a phishing scammer being extradited to the Philippines is generally low.** However, here are some situations where it might be more likely:
* **Large-scale phishing operation causing significant financial losses in the Philippines.**
* **The scammer is a known individual with a strong connection to the Philippines.**
* **There's clear and compelling evidence against the scammer.**
**For Individual Victims:**
While extradition might be unlikely for individual victims, here are some steps you can take:
* **Report the Phishing Attempt:** * File a report with the Philippine National Police (PNP) Anti-Cybercrime Unit. This helps build a record of the crime and might aid investigations.
* **Focus on Damage Control:** * Secure your accounts and data (change passwords, enable MFA).
* Contact your bank or financial institutions to report any fraudulent activity and recover stolen funds if possible.
**Legal Help:**
A lawyer specializing in data privacy or cyberlaw can provide more specific guidance based on the details of your situation.</t>
  </si>
  <si>
    <t>Maaari bang i-extradite ang isang phishing scammer upang harapin ang mga legal na kaso?</t>
  </si>
  <si>
    <t>What legal recourse do I have if a phishing attack leads to unauthorized access to my medical records?</t>
  </si>
  <si>
    <t>If a phishing attack leads to unauthorized access to your medical records in the Philippines, here's an overview of potential legal recourse you can explore:
**1. Violation of the Data Privacy Act (RA 8424):**
* This Act protects your personal data, including medical records. A data breach caused by a phishing attack can be a violation if it compromises your medical information.
* **Key Requirements:**
* The medical facility or entity that holds your medical records is considered a "personal information controller" (PIC) under the Act.
* PICs are mandated to implement appropriate security measures to protect personal data.
* In case of a "personal data breach," the Act requires notification to the National Privacy Commission (NPC) and potentially to affected individuals (you).
* **Potential recourse:**
* **Complaint to the NPC:** If you believe the data breach occurred due to inadequate security measures by the PIC, you can file a complaint with the NPC. The NPC can investigate and potentially impose sanctions on the PIC if they find a violation of RA 8424.
* **Civil Lawsuit:** In some cases, you might consider a civil lawsuit against the PIC for damages caused by the data breach. This could include emotional distress, reputational harm, or even financial losses if the unauthorized access resulted in identity theft and fraudulent medical charges.
**2. Breach of Contract or Negligence:**
* You might have a case for breach of contract or negligence depending on the specific agreement you have with the medical facility that holds your records. * **Review the agreement:** See if it outlines any specific data security measures the facility promises to uphold. * **Negligence:** You could argue the facility was negligent in protecting your data if they failed to implement reasonable security measures, which allowed the phishing attack to succeed.
**3. Doctor-Patient Confidentiality:**
* Filipino doctors have a professional obligation to maintain the confidentiality of your medical records. A data breach caused by a phishing attack can be a violation of this duty.
**Challenges and Considerations:**
* **Burden of Proof:** The onus is on you to prove the data breach occurred, the extent of the unauthorized access, and the damages you suffered.
* **Legal Costs:** Consulting with a lawyer and potentially pursuing legal action can be expensive.
**Recommendations:**
* **Report the Data Breach:** * File a report with the medical facility that holds your records. * Report the phishing attempt to the Philippine National Police (PNP) Anti-Cybercrime Unit. This documents the incident and might aid investigations.
* **Consider the Severity of the Breach:** * If the unauthorized access only involved basic contact information, the need for legal action might be lower compared to a breach exposing your entire medical history.
* **Consult a Lawyer:** A lawyer specializing in data privacy or medical malpractice can assess your situation and advise on the most suitable legal course of action. They can evaluate the likelihood of success in a case against the PIC or medical facility and the potential costs involved.
**Remember:** * The Data Privacy Act offers a framework for holding entities accountable for protecting your personal data, including medical records.
* While legal action is an option, focusing on securing your remaining medical information and minimizing potential harm is crucial. A lawyer can guide you through the best steps to take depending on the specifics of your situation.</t>
  </si>
  <si>
    <t>Anong legal na paraan ang mayroon ako kung ang pag-atake ng phishing ay humantong sa hindi awtorisadong pag-access sa aking mga medikal na rekord?</t>
  </si>
  <si>
    <t>Can I sue a phishing scammer for emotional distress caused by their actions?</t>
  </si>
  <si>
    <t>Suing a phishing scammer for emotional distress caused by their actions in the Philippines is possible, but success hinges on several factors. Here's a breakdown of the situation:
**Legal Basis:**
* **Civil Law:** The Philippines legal system allows lawsuits for damages under Civil Law. Emotional distress caused by a wrongful act can be a basis for claiming damages.
**Challenges of Lawsuit:**
* **Identifying the Scammer:** Pinpointing the location and identity of the scammer can be difficult, especially for sophisticated phishing operations. This makes it challenging to sue them in the first place.
* **Causation:** You'd need to prove the phishing attempt directly caused your emotional distress. This might involve medical records or therapist documentation if available.
* **Extent of Damages:** Emotional distress damages can be subjective and difficult to quantify in court.
**Alternatives to Consider:**
* **Report the Phishing Attempt:** Reporting the attack to the Philippine National Police (PNP) Anti-Cybercrime Unit helps build a record of the crime.
* **Focus on Self-Care:** Prioritize your mental and emotional well-being after a phishing attack. Consider relaxation techniques, seeking professional help from a therapist, or talking to a trusted friend or family member.
**Recommendation:**
* Consult a Lawyer:** A lawyer specializing in data privacy or cyberlaw can assess your situation. They can advise on the feasibility of suing the scammer for emotional distress based on the likelihood of identifying them and the potential challenges of proving causation and damages.
**Additional Notes:**
* Legal battles can be lengthy and expensive. The emotional toll and financial investment required for a lawsuit should be weighed against the potential benefits (recovering damages).
* **Focus on Recovery:** Prioritize your well-being and take steps to protect yourself from future attacks (strong passwords, MFA).
**Remember:** While emotional distress from a phishing attack is valid, suing the scammer might be challenging. A lawyer can guide you through the best course of action for your situation, considering both legal options and self-care strategies.</t>
  </si>
  <si>
    <t>Anong legal na mayroon ako kung ang pag-atake ng phishing ay isang paraan sa hindi awtorisadong pag-access sa aking mga medikal na rekord?</t>
  </si>
  <si>
    <t>How do I legally protect my business from liability in the event of a phishing attack on our customers?</t>
  </si>
  <si>
    <t>Here are some steps you can take to legally protect your business from liability in the event of a phishing attack on your customers in the Philippines:
**Preventative Measures:**
* **Implement Strong Security Measures:**
* Secure your systems and data with firewalls, intrusion detection systems, and data encryption.
* Regularly update software and applications to patch vulnerabilities.
* Conduct security awareness training for employees to educate them on phishing tactics and best practices for secure information handling.
* Implement multi-factor authentication (MFA) for all user accounts.
* **Data Privacy Compliance:**
* Ensure compliance with the Data Privacy Act (DPA) of the Philippines (RA 8424). * This includes having a data privacy program in place, conducting regular risk assessments, and implementing appropriate security safeguards for customer data.
* **Clear Communication and Policies:**
* Have clear and easily accessible policies for customers regarding data security and reporting suspicious activity.
* Regularly communicate these policies to your customers.
**Response Measures:**
* **Phishing Attack Response Plan:** Develop a plan outlining steps to take if a phishing attack occurs. This plan should address actions like:
* Identifying and containing the attack.
* Investigating the scope of the breach.
* Notifying affected customers promptly.
* Reporting the incident to the National Privacy Commission (NPC) if required under the DPA. * **Cybersecurity Insurance:** Consider cyber insurance to help manage financial losses in case of a data breach caused by a phishing attack. **Legal Considerations:**
* **Consult a Lawyer:** A lawyer specializing in data privacy or cyberlaw can advise you on your legal obligations and best practices for mitigating liability in case of a phishing attack.
**Benefits of Proactive Measures:**
By implementing these proactive measures, you can demonstrate to the court that your business took reasonable steps to safeguard customer data. This can significantly strengthen your position if a lawsuit arises due to a phishing attack.
**Remember:** Preventing a phishing attack is always the best course of action. Taking these steps can minimize the risk of customer data breaches and potential legal ramifications. While these measures cannot guarantee complete protection, they demonstrate your commitment to data security and can help limit your legal liability in case of an attack.</t>
  </si>
  <si>
    <t>Paano ko legal na mapoprotektahan ang aking negosyo mula sa pananagutan sa kaganapan ng pag-atake ng phishing sa aming mga customer?</t>
  </si>
  <si>
    <t>Can I sue a company for negligence if they fail to implement adequate cybersecurity measures and become a victim of phishing?</t>
  </si>
  <si>
    <t>In the Philippines, suing a company for negligence if they fail to implement adequate cybersecurity measures and subsequently fall victim to a phishing attack that results in harm to you is possible, but success depends on several factors. Here's a breakdown of the situation:
**Potential Grounds for a Lawsuit:**
* **Data Privacy Act (RA 8424):** This Act mandates companies (personal information controllers or PICs) to implement appropriate security measures to protect personal data. If a company's weak cybersecurity practices allowed a phishing attack to compromise your information, you might have a case under RA 8424. You'd need to prove the company's negligence directly led to the data breach and subsequent harm to you.
**Challenges of Winning the Lawsuit:**
* **Burden of Proof:** It's your responsibility to prove the company's cybersecurity measures were inadequate and directly caused the phishing attack's success. This can be challenging, as companies often have complex security systems.
* **Causation:** Demonstrating a clear link between the company's negligence, the phishing attack, and the specific harm you suffered is crucial. * **Data Security Measures:** Companies have some leeway in the specific security measures they implement. Proving their choices were unreasonable can be difficult.
**Alternatives to a Lawsuit:**
* **Report the Phishing Attempt:** Report the attack to the company you believe failed to protect your data. * **File a Complaint with the NPC:** If you believe the company violated the Data Privacy Act, you can file a complaint with the National Privacy Commission (NPC).
**Recommendation:**
* Consult a Lawyer:** A lawyer specializing in data privacy or cyberlaw can assess your situation. They can analyze the details of the phishing attack, the company's security practices, and the Data Privacy Act to determine the likelihood of success in a lawsuit. They can also advise on alternative courses of action like filing a complaint with the NPC.
**Additional Notes:**
* Legal battles can be lengthy and expensive. Weigh the potential benefits (compensation for damages) against the time and financial investment required for a lawsuit.
* **Severity of Harm:** The severity of the harm you suffered (financial losses, identity theft) can influence the case's strength.
**Remember:** There's no guarantee of success in suing a company for a data breach caused by a phishing attack. Focusing on protecting yourself online with strong passwords and multi-factor authentication remains crucial. However, exploring legal options with a qualified lawyer can empower you to hold companies accountable for data security practices that might have compromised your information.</t>
  </si>
  <si>
    <t>Maaari ko bang idemanda ang isang kumpanya para sa kapabayaan kung nabigo silang magpatupad ng sapat na mga hakbang sa cybersecurity at maging biktima ng phishing?</t>
  </si>
  <si>
    <t>What should I do if I accidentally click on a phishing email and provide personal information?</t>
  </si>
  <si>
    <t>If you accidentally clicked on a phishing email and provided personal information, here's what you should do immediately:
**1. Secure Your Accounts:**
* **Change Passwords:** Immediately change the passwords for all accounts where you might have used the same login credentials as the one compromised in the phishing email. This includes your email, bank accounts, social media accounts, and any other online services you use.
* **Enable MFA:** If Multi-Factor Authentication (MFA) is available for your accounts, enable it immediately. This adds an extra layer of security by requiring a second verification code in addition to your password when logging in.
**2. Monitor Your Accounts:**
* **Bank Accounts:** Closely monitor your bank accounts and credit card statements for any suspicious activity. Look for unauthorized transactions or withdrawals.
* **Email:** Be wary of further phishing attempts. Phishing emails often come in waves, so be extra vigilant in checking the sender's address and the legitimacy of any emails you receive. **3. Damage Control:**
* **Report the Phishing Email:** Report the phishing email to your email provider. This helps them identify and block similar attempts in the future. * **Contact the Companies Involved:** If you provided personal information related to specific accounts (e.g., bank account details), contact the companies involved and report the incident. They might be able to take steps to further secure your account or monitor for fraudulent activity.
**4. Consider a Credit Freeze:**
* **For Additional Protection:** You might consider placing a credit freeze on your credit report. This can help prevent unauthorized individuals from opening new lines of credit in your name. Contact credit bureaus operating in the Philippines (e.g., TransUnion, Equifax) to inquire about credit freeze options.
**Additional Tips:**
* **Beware of Scare Tactics:** Phishing emails often use urgency or scare tactics to pressure you into acting quickly. Don't rush into clicking any links or providing information.
* **Verify Sender Addresses:** Always double-check the sender's email address before clicking on links or opening attachments. Legitimate companies will use their official domain names in their email addresses.
* **Don't Download Attachments:** Avoid downloading attachments from suspicious emails. Phishing emails might contain malware that can infect your device.
**Remember:** Don't feel ashamed if you fell victim to a phishing attack. These scams are sophisticated and can be very convincing. By following these steps, you can take control of the situation, minimize potential damage, and improve your online security awareness.</t>
  </si>
  <si>
    <t>Ano ang dapat kong gawin kung hindi ko sinasadyang mag-click sa isang phishing email at magbigay ng personal na impormasyon?</t>
  </si>
  <si>
    <t>Can I legally share information about a phishing scammer to help others avoid falling victim?</t>
  </si>
  <si>
    <t>Sharing information about a phishing scammer can be a helpful way to warn others, but there are legal boundaries to consider in the Philippines. Here's a breakdown to navigate this situation:
**Sharing Information:**
* **Public Awareness:** Sharing details about a phishing attempt, like the sender's email address, the website they try to lure you to, or the specific tactics used, can be helpful for public awareness. This can be done through social media posts, blog entries, or word-of-mouth warnings to friends and family.
**Legal Considerations:**
* **Defamation:** Be cautious about sharing the scammer's real name or other identifying information that could be considered defamatory, especially if you cannot verify it with certainty. * Focus on sharing the scam details (sender address, website, tactics) instead of targeting a specific individual.
* **Privacy Rights:** Even if you have the scammer's email address, it might be linked to a stolen identity. Sharing it could inadvertently expose someone else's information.
**Safe Ways to Share Information:**
* **Report the Phishing Email:** Reporting the attempt to your email provider is the most effective way to get the sender's address blacklisted and prevent further attacks.
* **General Phishing Awareness:** Instead of focusing on a single scammer, share general information about phishing tactics and red flags to look out for. This can be done through educational posts or discussions without revealing specific identifying information.
* **Report to Authorities:** Consider reporting the phishing attempt to the Philippine National Police (PNP) Anti-Cybercrime Unit. This can help them track phishing operations and potentially take action against the perpetrators.
**Recommendation:**
* **Focus on Safe Sharing:** Prioritize sharing information in a way that raises awareness about phishing tactics without potentially infringing on someone's privacy or reputation.
**Remember:** While you can't share everything about a scammer, you can still play a valuable role in protecting others by sharing general phishing awareness tips and reporting suspicious attempts to the appropriate authorities.</t>
  </si>
  <si>
    <t>Maaari ba akong legal na magbahagi ng impormasyon tungkol sa isang phishing scammer upang matulungan ang iba na maiwasan ang pagiging biktima?</t>
  </si>
  <si>
    <t>Are there any legal implications for companies that inadvertently facilitate phishing attacks through their platforms?</t>
  </si>
  <si>
    <t>Yes, there can be legal implications for companies in the Philippines that inadvertently facilitate phishing attacks through their platforms. The specific legal implications depend on several factors, including:
* **The Nature of the Platform:** * Social media platforms, email providers, and online marketplaces all have different roles and responsibilities related to user security.
* **The Company's Security Measures:** * Did the company implement reasonable security measures to prevent phishing attempts on their platform?
* **The Data Privacy Act (RA 8424):** * This Act mandates companies to protect user data and may apply if a phishing attack compromised customer information.
Here's a breakdown of potential consequences:
**Civil Lawsuits:**
* **Negligence:** If a company's weak security practices allowed a phishing attack to compromise user data, they might be sued for negligence. The lawsuit could be filed by a user who suffered financial losses or identity theft due to the phishing attack.
* **Data Privacy Act Violations:** * The company could face a complaint with the National Privacy Commission (NPC) if the phishing attack resulted in a data breach that violated the Act's security safeguards. The NPC can impose fines and require corrective actions.
**Reputational Damage:**
* Companies that experience major phishing attacks on their platforms can suffer significant reputational damage. Users might lose trust in the platform's security.
**Measures Companies Can Take:**
* **Implement Strong Security Measures:** * Companies should have robust security systems to detect and prevent phishing attempts. This might involve spam filters, email authentication protocols, and user education programs.
* **Comply with Data Privacy Laws:** * Following the Data Privacy Act's requirements for data security and user notification in case of a breach is crucial.
* **Promote User Awareness:** * Companies can educate users about phishing tactics and best practices for protecting their information online.
**Remember:** The legal landscape surrounding online security is constantly evolving. Companies should consult with lawyers specializing in data privacy and cyberlaw to understand their obligations and how to minimize the risk of legal repercussions from phishing attacks facilitated through their platforms.</t>
  </si>
  <si>
    <t>Mayroon bang anumang legal na implikasyon para sa mga kumpanyang hindi sinasadyang nagpapadali sa mga pag-atake ng phishing sa pamamagitan ng kanilang mga platform?</t>
  </si>
  <si>
    <t>Can I sue a website for hosting phishing content?</t>
  </si>
  <si>
    <t>Suing a website for hosting phishing content in the Philippines is possible, but success depends on several factors. Here's a breakdown of the situation:
**Potential Grounds for a Lawsuit:**
* **Aiding and Abetting:** You could argue the website knowingly or unknowingly allowed their platform to be used for illegal activity (phishing). However, proving this knowledge can be challenging.
* **Data Privacy Act (RA 8424):** If the phishing content resulted in a data breach that compromised your personal information, the website might be liable under the Data Privacy Act if they failed to implement appropriate security measures.
**Challenges of Winning the Lawsuit:**
* **Website's Knowledge:** It's difficult to prove the website had knowledge of the phishing content. Many websites rely on user-generated content or advertising, and they might not be aware of every malicious attempt.
* **Website's Terms of Service:** Most websites have terms of service agreements that limit their liability for user-generated content or third-party actions.
**Alternatives to a Lawsuit:**
* **Report the Phishing Content:** Report the phishing content to the website hosting it. Most platforms have mechanisms for users to report suspicious activity.
* **Report the Phishing Attempt:** Report the phishing attempt to the Philippine National Police (PNP) Anti-Cybercrime Unit. This helps build a record of the crime.
**Recommendation:**
* Consult a Lawyer:** A lawyer specializing in data privacy or cyberlaw can assess your situation. They can analyze the details of the phishing content, the website's role, and the Data Privacy Act to determine the likelihood of success in a lawsuit. They can also advise on alternative courses of action.
**Additional Notes:**
* Legal battles can be lengthy and expensive. Weigh the potential benefits (compensation for damages) against the time and financial investment required for a lawsuit.
**Remember:** While suing the website might be an option, focusing on protecting yourself and reporting the phishing content is crucial. A lawyer can guide you through the best course of action for your situation.</t>
  </si>
  <si>
    <t>Maaari ko bang idemanda ang isang website para sa pagho-host ng nilalaman ng phishing?</t>
  </si>
  <si>
    <t>How do I legally respond to a phishing attempt targeting my intellectual property?</t>
  </si>
  <si>
    <t>Here's how you can legally respond to a phishing attempt targeting your intellectual property in the Philippines:
**1. Don't Engage:**
* **Avoid Clicking Links or Downloading Attachments:** These could contain malware designed to steal your intellectual property.
* **Don't Reply to the Email:** Responding can confirm the validity of your email address to the scammers and open you up to further attacks.
**2. Secure Your Systems:**
* **Change Passwords:** Immediately change the passwords for all accounts potentially compromised, including email, cloud storage, and any platforms where your intellectual property resides.
* **Enable MFA:** If Multi-Factor Authentication (MFA) is available, enable it on all your accounts for an extra layer of security.
**3. Document the Attempt:**
* **Save the Phishing Email:** Don't delete it. The email can serve as evidence if you need to take legal action or report the incident.
* **Take Screenshots:** Capture screenshots of the email content, sender address, and any other relevant details.
**4. Report the Phishing Attempt:**
* **Report to Your Email Provider:** Report the phishing email to your email provider. This helps them identify and block similar attempts in the future. * **Report to the PNP Anti-Cybercrime Unit:** Consider filing a report with the Philippine National Police (PNP) Anti-Cybercrime Unit. This documents the incident and might aid investigations.
**5. Consider Legal Options:**
* **Consult a Lawyer:** A lawyer specializing in intellectual property or cyberlaw can assess your situation. Depending on the severity of the attempt and the details of your intellectual property, legal options like filing a civil lawsuit against the scammers (if identifiable) might be considered. However, this can be challenging due to difficulty identifying the perpetrators.
**6. Secure Your Intellectual Property:**
* **Strong Passwords &amp; Access Controls:** Ensure strong passwords and access controls are in place for all systems and platforms where your intellectual property is stored.
* **Consider Digital Rights Management:** Explore digital rights management (DRM) solutions if applicable to your intellectual property to add an extra layer of protection.
**Additional Notes:**
* **Focus on Prevention:** Regularly train your employees on identifying phishing attempts and best practices for protecting intellectual property online.
* **Stay Informed:** Keep yourself updated on the latest phishing tactics to stay vigilant against evolving threats.
**Remember:** The key is to act quickly and decisively when faced with a phishing attempt. While legal options are a possibility, prioritizing securing your systems, documenting the incident, and taking steps to prevent future attacks is crucial. Consulting a lawyer can help you explore potential legal avenues and optimize your intellectual property security strategy.</t>
  </si>
  <si>
    <t>Paano ako legal na tutugon sa isang pagtatangka sa phishing na nagta-target sa aking intelektwal na ari-arian?</t>
  </si>
  <si>
    <t>Can I hold a telecommunications company legally responsible if a phishing scam is conducted through their network?</t>
  </si>
  <si>
    <t>In the Philippines, holding a telecommunications company legally responsible for a phishing scam conducted through their network is possible, but success depends on several factors. Here's a breakdown of the legal landscape:
**Potential Grounds for a Lawsuit:**
* **Shared Responsibility Framework:** The Philippines is considering a legal framework establishing "shared responsibility" between telecommunications companies (telcos) and banks regarding customer protection from online scams, including phishing. If and when this framework is implemented, telcos might have a legal obligation to implement measures to prevent phishing scams on their networks. Currently, such a framework isn't fully established.
* **Negligence:** You could argue the telco was negligent in failing to implement reasonable security measures to prevent phishing attempts from utilizing their network. However, proving such negligence can be difficult.
**Challenges of Winning the Lawsuit:**
* **Telco's Role:** Telcos primarily provide communication channels. The onus of preventing phishing scams often falls on the individuals or platforms targeted.
* **Difficulty Proving Negligence:** Demonstrating the telco could have prevented the specific phishing attempt and that their inaction directly caused your harm can be challenging. * **Shared Responsibility (Future):** If the "shared responsibility" framework is implemented, the specific legal obligations of telcos regarding phishing scams will become clearer. Currently, the legal landscape is evolving.
**Alternatives to a Lawsuit:**
* **Report the Phishing Attempt:** Report the phishing attempt to the telco you suspect was used. * **Report to the NPC:** If you believe your data was compromised, you can file a complaint with the National Privacy Commission (NPC) under the Data Privacy Act (RA 8424).
**Recommendation:**
* Consult a Lawyer:** A lawyer specializing in data privacy or cyberlaw can assess your situation based on the specifics of the phishing attempt and the current legal landscape. They can advise on the feasibility of a lawsuit and suggest alternative courses of action.
**Additional Notes:**
* Legal battles can be lengthy and expensive. Weigh the potential benefits (compensation for damages) against the time and financial investment required for a lawsuit.
**Remember:** While legal options exist, focusing on protecting yourself online and reporting the phishing attempt remains crucial. A lawyer can guide you through the best course of action for your situation. Here are some additional points to consider:
* **Severity of Harm:** The severity of the harm you suffered (financial losses, identity theft) can influence the case's strength.
* **Evolving Legal Landscape:** Stay informed about developments in the "shared responsibility" framework for telcos and banks in the Philippines. This could impact future legal options regarding phishing scams.</t>
  </si>
  <si>
    <t>Maaari ba akong magkaroon ng legal na pananagutan sa isang kumpanya ng telekomunikasyon kung ang isang phishing scam ay isinasagawa sa pamamagitan ng kanilang network?</t>
  </si>
  <si>
    <t>What legal protections exist for employees who unintentionally disclose sensitive information in response to a phishing email?</t>
  </si>
  <si>
    <t>The Philippines has some legal protections for employees who unintentionally disclose sensitive information in response to a phishing email, but the extent of protection depends on several factors. Here's a breakdown:
**Potential Protections:**
* **Fair Labor Standards Act (RA 6715):** This Act protects employees from termination without due process. If an employee is fired solely for falling victim to a phishing attack, they might have grounds for contesting the termination under this Act.
* **Data Privacy Act (RA 8424):** This Act outlines an employee's right to privacy with regards to their personal data held by their employer. While it doesn't directly address phishing incidents, it emphasizes data security and potentially strengthens an employee's case if the company failed to implement adequate security measures that contributed to the phishing attack's success.
**Factors Influencing Protection:**
* **Employment Contract:** The specific terms of the employee's contract might outline expectations regarding data security and consequences for breaches. * **Severity of Disclosure:** The type of information disclosed and the potential harm caused by the breach can influence the situation.
* **Employer's Response:** A fair and proportionate response from the employer is crucial. Disciplinary action might be taken, but termination should be a last resort, especially if the employee cooperated and the employer didn't have strong cybersecurity measures in place.
**Recommendations for Employees:**
* **Report the Phishing Attempt:** Immediately report the phishing attempt to your employer's IT security department or designated contact person. * **Cooperate with Investigation:** Cooperate fully with any internal investigation regarding the incident. Provide all relevant information and demonstrate a willingness to learn from the experience.
**Recommendations for Employers:**
* **Cybersecurity Training:** Provide regular cybersecurity training for employees to educate them on phishing tactics and best practices for protecting sensitive information.
* **Strong Security Measures:** Implement robust security measures to minimize the risk of phishing attacks, such as email filtering, multi-factor authentication, and data encryption.
* **Proportionate Response:** If an employee falls victim to a phishing attack, conduct a fair and proportionate investigation before considering disciplinary action.
**Remember:** Open communication and a focus on preventing future breaches are key. Employees should be aware of their potential vulnerability to phishing attacks and report them promptly. Employers should prioritize cybersecurity awareness training and implement strong security measures to protect sensitive information.
**Consulting a Lawyer:**
* Both employers and employees can benefit from consulting a lawyer specializing in labor law or data privacy to understand their rights and obligations in such situations.</t>
  </si>
  <si>
    <t>Anong mga legal na proteksyon ang umiiral para sa mga empleyado na hindi sinasadyang nagbubunyag ng sensitibong impormasyon bilang tugon sa isang phishing na email?</t>
  </si>
  <si>
    <t>Can I sue a phishing scammer for defamation if they impersonate me online?</t>
  </si>
  <si>
    <t>In the Philippines, suing a phishing scammer for defamation if they impersonate you online is possible, but success hinges on several factors. Here's a breakdown of the situation:
**Legal Basis:**
* **Defamation Laws:** The Philippines recognizes defamation as a civil wrong. You could potentially sue under the Revised Penal Code (RPC) or Civil Code provisions related to libel or slander. These require proving the impersonation was done with malice and caused damage to your reputation.
**Challenges of Winning the Lawsuit:**
* **Identifying the Scammer:** Pinpointing the location and identity of the scammer can be difficult, especially for sophisticated phishing operations. This makes it challenging to sue them in the first place.
* **Proving Malice:** You'd need to demonstrate the scammer intended to damage your reputation through the impersonation. This can be difficult to prove in court.
* **Extent of Damages:** Quantifying the reputational harm caused by the impersonation can be subjective.
**Alternatives to a Lawsuit:**
* **Report the Impersonation:** Report the impersonation to the platform where it occurred (social media, website, etc.). Most platforms have mechanisms for users to report fake accounts or impersonation attempts.
* **Take Down the Impersonating Content:** Request the platform to remove the impersonating content if possible.
**Recommendation:**
* Consult a Lawyer:** A lawyer specializing in cyberlaw or intellectual property can assess your situation. They can analyze the details of the impersonation, the platform involved, and the evidence available to determine the likelihood of success in a defamation lawsuit. They can also advise on alternative courses of action like reporting the impersonation to the platform or relevant authorities.
**Additional Notes:**
* Legal battles can be lengthy and expensive. Weigh the potential benefits (clearing your name) against the time and financial investment required for a lawsuit.
**Remember:** While suing the scammer might be an option, focusing on removing the impersonating content and protecting your online reputation is crucial. A lawyer can guide you through the best course of action for your situation.</t>
  </si>
  <si>
    <t>Maaari ko bang kasuhan ang isang phishing scammer para sa paninirang-puri kung ginagaya nila ako online?</t>
  </si>
  <si>
    <t>Are there any legal ramifications for individuals who knowingly purchase information obtained through phishing?</t>
  </si>
  <si>
    <t>In the Philippines, there can be legal ramifications for individuals who knowingly purchase information obtained through phishing. The specific consequences depend on the nature of the information purchased and how it's intended to be used. Here's a breakdown of the potential legal issues:
**Potential Offenses:**
* **Aiding and Abetting a Crime:** If the information is used to commit a crime (identity theft, fraud), the purchaser could be charged with aiding and abetting the original phishing crime.
* **Data Privacy Act (RA 8424):** This Act protects personal data and prohibits its unauthorized processing. Purchasing personal information obtained through phishing could be considered a violation, especially if the purchaser intends to use it for malicious purposes.
* **Electronic Commerce Act (RA 8792):** This Act prohibits acts that constitute unfair and deceptive practices in e-commerce. Knowingly purchasing information obtained illegally could be considered a violation.
**Factors Influencing Consequences:**
* **Type of Information:** The severity of the offense depends on the type of information purchased. Financial data or sensitive personal information carries a higher risk of legal repercussions.
* **Intended Use:** If the purchaser intends to use the information for illegal activities (identity theft, fraud), the consequences will be more severe.
* **Investigation and Evidence:** The likelihood of prosecution hinges on the authorities successfully investigating the purchase and gathering sufficient evidence.
**Recommendations:**
* **Avoid Purchasing Illegally Obtained Information:** There are significant legal risks associated with knowingly purchasing information from phishing attacks. Legitimate sources are readily available for most types of data.
**Reporting Phishing Attempts:**
* If you encounter someone offering to sell information obtained through phishing, report it to the authorities. * You can report it to the Philippine National Police (PNP) Anti-Cybercrime Unit.
**Remember:**
Protecting your own information online and avoiding involvement in illegal activities is crucial. If you're unsure about the legality of purchasing specific information, consult with a lawyer specializing in data privacy or cyberlaw.</t>
  </si>
  <si>
    <t>Mayroon bang anumang legal na epekto para sa mga indibidwal na sadyang bumibili ng impormasyong nakuha sa pamamagitan ng phishing?</t>
  </si>
  <si>
    <t>Can I sue a government agency if they're involved in a phishing attack targeting citizens?</t>
  </si>
  <si>
    <t>In the Philippines, suing a government agency directly for a phishing attack targeting citizens is possible, but success depends on several factors. Here's a breakdown of the situation:
**Potential Grounds for a Lawsuit:**
* **Data Privacy Act (RA 8424):** If the phishing attack involved a government agency and compromised your personal information due to their inadequate security measures, you might have a case under the Data Privacy Act. * You'd need to prove the agency was a "personal information controller" (PIC) responsible for your data, that they failed to implement appropriate security safeguards, and that this failure directly led to the data breach and harm to you. * **Negligence:** You could argue the agency was negligent in protecting your data. However, proving negligence against a government agency can be challenging.
**Challenges of Winning the Lawsuit:**
* **Sovereign Immunity:** The Philippine government has sovereign immunity, which limits its liability in lawsuits. There are exceptions, but they can be complex and require meeting specific criteria.
* **Burden of Proof:** The onus is on you to prove the agency's fault, the data breach, and the damages you suffered. This can be difficult.
**Alternatives to a Lawsuit:**
* **File a Complaint with the NPC:** The National Privacy Commission (NPC) enforces the Data Privacy Act. You can file a complaint with the NPC if you believe a government agency violated your data privacy rights.
* **Report the Phishing Attempt:** Report the phishing attempt to the agency involved and relevant authorities like the Philippine National Police (PNP) Anti-Cybercrime Unit.
**Recommendation:**
* Consult a Lawyer:** A lawyer specializing in data privacy or administrative law can assess your situation. They can analyze the details of the phishing attack, the agency's role, and the Data Privacy Act to determine the feasibility of a lawsuit and advise on alternative courses of action like filing a complaint with the NPC.
**Additional Notes:**
* Legal battles can be lengthy and expensive. Weigh the potential benefits (compensation for damages) against the time and financial investment required for a lawsuit.
**Remember:** While suing the government agency might be an option, focusing on protecting yourself online, reporting the attack, and potentially filing a complaint with the NPC can be more realistic initial steps. A lawyer can guide you through the best course of action for your situation.</t>
  </si>
  <si>
    <t>Maaari ko bang idemanda ang isang ahensya ng gobyerno kung sangkot sila sa isang phishing na pag-atake na nagta-target ng mga mamamayan?</t>
  </si>
  <si>
    <t>How do I legally recover losses from a phishing scam if the scammer is unidentified?</t>
  </si>
  <si>
    <t>Unfortunately, recovering losses from a phishing scam if the scammer is unidentified is very challenging in the Philippines, but there are still some steps you can take:
**Limited Legal Options:**
* **Suing the Scammer:** Suing an unidentified scammer is practically impossible. You need to know their identity to file a lawsuit.
* **Suing Intermediaries (Rare Cases):** In very specific situations, you might explore suing a platform (website, email provider) that inadvertently facilitated the phishing attack. However, this is complex and requires proving the platform's negligence directly contributed to the attack's success. Consulting a lawyer specializing in cyberlaw is crucial for such an approach. **Focus on Recovery Efforts:**
* **Report the Phishing Attempt:** Reporting the attack helps raise awareness and potentially aids investigations. Report it to the platform where it occurred (website, email provider) and the Philippine National Police (PNP) Anti-Cybercrime Unit.
* **Contact Relevant Institutions:** If financial losses occurred, immediately contact your bank or financial institution to report the fraudulent activity and explore options for recovering funds (lost credit card charges, unauthorized transfers). * **Change Passwords and Secure Accounts:** Change passwords for all accounts potentially compromised by the phishing attempt. Enable multi-factor authentication (MFA) for added security.
* **Consider Credit Freeze:** For additional protection, consider placing a credit freeze on your credit report to prevent unauthorized individuals from opening new lines of credit in your name. Contact credit bureaus operating in the Philippines (e.g., TransUnion, Equifax) to inquire about credit freeze options.
**Preventative Measures:**
* **Stay Vigilant:** Be cautious of suspicious emails, links, and phone calls. Don't share personal information or click on unknown links.
* **Strong Passwords &amp; MFA:** Use strong passwords and enable Multi-Factor Authentication (MFA) where available for added security.
* **Data Security Awareness:** Educate yourself and those around you on common phishing tactics and best practices for protecting information online.
**Remember:**
While legal options for recovering losses from an unidentified scammer are limited, focusing on reporting the attack, securing your accounts, and taking preventative measures can help minimize future risks. Consulting a lawyer can provide specific guidance based on your situation, but managing expectations about legal recourse against unidentified scammers is crucial.</t>
  </si>
  <si>
    <t>Paano ko legal na mababawi ang mga pagkalugi mula sa isang phishing scam kung ang scammer ay hindi nakikilala?</t>
  </si>
  <si>
    <t>Can I sue an individual for phishing if they're a minor?</t>
  </si>
  <si>
    <t>In the Philippines, suing an individual for phishing if they're a minor presents unique challenges. Here's a breakdown of the situation:
**Suing a Minor:**
* **Limited Liability:** Minors (individuals below 18 years old) have limited liability under Philippine law. Lawsuits against them typically proceed differently compared to adults.
**Parental Responsibility:**
* **Compensation:** In some situations, the parents or guardians of the minor might be held liable for the damages caused by the phishing attempt. This depends on whether the parents were negligent in supervising the minor's actions. * **Legal Representation:** If you pursue a lawsuit, the minor will likely require legal representation from a guardian ad litem, a court-appointed adult who represents the minor's best interests.
**Challenges of Success:**
* **Gathering Evidence:** Proving the minor's involvement in the phishing attempt and the extent of the damages caused can be difficult.
* **Recovering Losses:** Even if successful, collecting compensation from a minor or their family might be challenging.
**Alternatives to a Lawsuit:**
* **Report the Phishing Attempt:** Report the attack to the relevant authorities, such as the Philippine National Police (PNP) Anti-Cybercrime Unit. This can help build a record of the crime and potentially lead to the identification of the minor's guardians.
* **Report to Platform (if applicable):** If the phishing attempt occurred through a specific platform (website, social media), report it to the platform's security team. * **Focus on Recovery:** Prioritize actions like reporting the attack, securing your compromised accounts, and potentially filing a complaint with your bank or financial institution to recover lost funds (depending on the specifics of the scam).
**Recommendation:**
* Consult a Lawyer:** A lawyer specializing in cyberlaw or juvenile delinquency can assess your situation. They can analyze the details of the phishing attempt, the potential involvement of a minor, and the feasibility of legal options. They can also advise on alternative courses of action.
**Remember:** While suing a minor might be technically possible, the complexities and limited chances of recovering losses make it a challenging path. Focusing on reporting the attack, securing your accounts, and exploring other avenues for recovery might be more productive. A lawyer can guide you through the best course of action for your situation.</t>
  </si>
  <si>
    <t>Maaari ko bang kasuhan ang isang indibidwal para sa phishing kung sila ay isang menor de edad?</t>
  </si>
  <si>
    <t>Are there any legal defenses available for individuals accused of phishing?</t>
  </si>
  <si>
    <t>In the Philippines, if you're accused of phishing, there are potential legal defenses you can explore with your lawyer. Here's a breakdown of some possibilities:
**Defenses Based on Intent:**
* **Mistake:** You might argue that you mistakenly believed the phishing attempt was legitimate. This could be due to a well-crafted scam or a misunderstanding. However, you'd need to demonstrate you took reasonable steps to verify the legitimacy of the attempt.
* **Lack of Criminal Intent:** If you can show you weren't intending to commit a crime like fraud or identity theft through the phishing attempt, it might strengthen your defense.
**Defenses Based on Knowledge:**
* **Unawareness:** You might argue you were unaware you were participating in a phishing attempt. This could be due to being pressured or deceived by others involved in the scam. However, the court will consider the reasonableness of your actions and knowledge. * **Identity Theft:** If your own identity was stolen and used for the phishing attempt, you can present evidence to prove you weren't the perpetrator. **Technical Defenses:**
* **Unauthorized Access:** If your device was compromised by malware or unauthorized access, you might argue you weren't directly responsible for initiating the phishing attempt. However, you'd need to demonstrate you took steps to secure your device.
**Mitigating Factors:**
* **Cooperation:** Demonstrating a willingness to cooperate with authorities and help prevent future phishing attempts can work in your favor.
**Remember:**
The specific legal defense strategy will depend on the details of your situation. Consulting with a lawyer specializing in cybercrime is crucial. They can analyze the evidence against you, explore potential defenses, and guide you through the legal process.
**Important Note:**
Engaging in phishing activities is illegal in the Philippines. These defenses should only be considered in situations where you were genuinely unaware or not involved in the malicious intent behind the phishing attempt. If you're unsure about the legality of an action online, it's always best to err on the side of caution and avoid activities that could be misconstrued as phishing.</t>
  </si>
  <si>
    <t>Mayroon bang anumang legal na panlaban na magagamit para sa mga indibidwal na inakusahan ng phishing?</t>
  </si>
  <si>
    <t>Can I legally intercept phishing emails sent to my company's employees?</t>
  </si>
  <si>
    <t>The legality of intercepting phishing emails sent to your company's employees in the Philippines depends on several factors:
**Data Privacy Act (RA 8424):**
* The Act protects the privacy of electronic communications, including emails. However, it allows for some exceptions, including:
* Consent - You can likely intercept emails with the employee's consent.
* Legitimate Business Interest - You might have a legitimate business interest in protecting your company from phishing attacks. This could justify interception without individual consent, but the specific implementation needs to be balanced against employee privacy.
**Security Measures vs Privacy:**
* There's a balancing act between implementing security measures to protect your company and respecting employee privacy. **Recommendations:**
* **Transparent Policy:** Develop a clear and transparent policy outlining your company's email monitoring practices. This policy should inform employees about potential monitoring and the reasons behind it. * **Focus on Training:** Prioritize employee training on phishing awareness and best practices for protecting themselves and the company from cyber threats. * **Consider Consulting a Lawyer:** A lawyer specializing in data privacy can analyze your specific situation and advise on the legality of email interception within the framework of the Data Privacy Act and upholding employee privacy.
**Alternative Approaches:**
* **Email Filtering Systems:** Explore robust email filtering systems that can automatically detect and quarantine phishing attempts before they reach employees' inboxes.
* **Security Awareness Programs:** Implement ongoing security awareness programs to educate employees on identifying phishing tactics and how to respond appropriately.
* **Technical Safeguards:** Enforce strong technical safeguards like multi-factor authentication and regular security updates to minimize vulnerabilities.
**Remember:**
While intercepting emails might seem like a way to stop phishing attacks, it's crucial to prioritize employee privacy and transparency. A combination of technical safeguards, security awareness training, and a well-crafted email monitoring policy can be a more effective and legally compliant approach to protecting your company from phishing scams. Consulting with a lawyer can help you navigate the legalities and develop a comprehensive anti-phishing strategy.</t>
  </si>
  <si>
    <t>Maaari ko bang legal na harangin ang mga email sa phishing na ipinadala sa mga empleyado ng aking kumpanya?</t>
  </si>
  <si>
    <t>How do I legally protect my business from liability if an employee falls for a phishing scam?</t>
  </si>
  <si>
    <t>Here are several steps you can take to legally protect your business from liability if an employee falls for a phishing scam in the Philippines:
**Employee Training and Awareness:**
* **Regular Phishing Simulations:** Conduct regular phishing simulations to test employee awareness and train them to identify suspicious emails. * **Security Awareness Training:** Implement ongoing security awareness training programs that educate employees on various cyber threats, including phishing tactics, best practices for handling sensitive information, and reporting procedures for suspicious activity. * **Clear Policies and Procedures:** Establish clear and documented policies and procedures regarding email usage, data security, and reporting suspicious activity. These policies should outline employee responsibilities and consequences for non-compliance.
**Technical Safeguards:**
* **Robust Email Filtering:** Implement a robust email filtering system that can automatically detect and quarantine phishing attempts before they reach employees' inboxes. * **Multi-Factor Authentication (MFA):** Enforce the use of multi-factor authentication (MFA) for all company accounts to add an extra layer of security beyond passwords. * **Data Encryption:** Encrypt sensitive data at rest and in transit to minimize potential damage if a breach occurs.
* **Regular Security Updates:** Maintain a regular schedule for updating software and operating systems with the latest security patches to address vulnerabilities exploited by phishing attacks.
**Incident Response Plan:**
* **Develop a Plan:** Create a documented incident response plan outlining the steps to take in case of a phishing attack or data breach. This plan should define roles, responsibilities, communication protocols, and procedures for damage control and remediation.
* **Regular Testing:** Regularly test your incident response plan to ensure its effectiveness and identify areas for improvement.
**Additional Considerations:**
* **Cybersecurity Insurance:** Consider purchasing cybersecurity insurance to help mitigate financial losses associated with cyberattacks, including phishing scams.
* **Legal Consultation:** Consulting with a lawyer specializing in data privacy and cyberlaw can be beneficial. They can review your security measures, policies, and incident response plan to ensure compliance with relevant laws and best practices.
**Remember:**
* There's no foolproof way to prevent phishing attacks entirely. However, by implementing a comprehensive security strategy that combines employee training, technical safeguards, and clear policies, you can significantly reduce the risk of successful phishing attempts and minimize potential legal liability if an incident occurs.
By demonstrating a proactive approach to cybersecurity and data protection, you can strengthen your legal defense if an employee falls victim to a phishing scam.</t>
  </si>
  <si>
    <t>Paano ko legal na mapoprotektahan ang aking negosyo mula sa pananagutan kung ang isang empleyado ay nahulog sa isang phishing scam?</t>
  </si>
  <si>
    <t>Can I sue a company for not providing adequate training to employees to recognize phishing attempts?</t>
  </si>
  <si>
    <t>In the Philippines, suing a company for not providing adequate training to employees who fall victim to phishing scams is possible, but success depends on several factors. Here's a breakdown of the situation:
**Potential Grounds for a Lawsuit:**
* **Negligence:** You could argue the company was negligent in failing to provide their employees with adequate training to recognize and avoid phishing attempts. This negligence resulted in a data breach or financial loss to you.
* **Breach of Contract:** If your contract with the company (employment agreement, service agreement) outlines specific security measures or training obligations, their failure to fulfill those obligations could be grounds for a lawsuit.
**Challenges of Winning the Lawsuit:**
* **Proving Negligence:** Demonstrating the company's training was inadequate and directly caused the phishing incident is challenging. Industry standards for cybersecurity training can be subjective.
* **Comparative Negligence:** The court might consider your own contribution to the incident. For example, if you ignored clear security protocols or failed to report suspicious activity promptly.
* **Damages:** Quantifying the damages you suffered due to the phishing attack can be difficult.
**Alternatives to a Lawsuit:**
* **Report the Phishing Attempt:** Report the phishing attempt to the relevant authorities, such as the Philippine National Police (PNP) Anti-Cybercrime Unit. This can help build a record of the crime and potentially hold the perpetrators accountable.
* **File a Complaint with the NPC (if applicable):** If the phishing attack involved a data breach and the company you're suing is a "personal information controller" (PIC) under the Data Privacy Act, you could file a complaint with the National Privacy Commission (NPC).
**Recommendation:**
* Consult a Lawyer:** A lawyer specializing in data privacy, cyberlaw, or labor law can assess your situation. They can analyze the details of the phishing attack, the company's training practices, and the relevant legal frameworks to determine the feasibility of a lawsuit and advise on alternative courses of action.
**Remember:**
Lawsuits can be lengthy and expensive. Weigh the potential benefits against the time and financial investment required. Focusing on reporting the attack, protecting yourself from further harm, and exploring alternative avenues for recourse might be more productive in many cases. Here are some additional points to consider:
* **Severity of Harm:** The severity of the damages you suffered (financial losses, identity theft) can influence the case's strength.
* **Industry Standards:** A lawyer can help determine the industry standards for cybersecurity training relevant to the company's business.
* **Your Actions:** Your actions after receiving the phishing attempt (reporting it, following security protocols) can influence the case.
**Remember:**
The best course of action depends on the specifics of your situation. Consulting with a lawyer can help you navigate the legalities and explore the most effective approach to address the issue.</t>
  </si>
  <si>
    <t>Maaari ko bang idemanda ang isang kumpanya para sa hindi pagbibigay ng sapat na pagsasanay sa mga empleyado upang makilala ang mga pagtatangka sa phishing?</t>
  </si>
  <si>
    <t>What legal obligations do I have if my website inadvertently hosts a phishing page?</t>
  </si>
  <si>
    <t>Here's a breakdown of the potential legal obligations you might face if your website inadvertently hosts a phishing page in the Philippines:
**Data Privacy Act (RA 8424):**
* This Act mandates that personal information controllers (PICs) implement appropriate security safeguards to protect personal data. If a phishing page hosted on your website collects user data, you could be considered a PIC in violation of the Act if you:
* **Failed to Implement Security Measures:** Didn't have reasonable security measures in place to prevent phishing attempts on your platform.
* **Didn't Take Action:** Knew or should have known about the phishing page and failed to take prompt action to remove it.
**Potential Consequences:**
* **Complaint with the NPC:** Users affected by the phishing page could file a complaint with the National Privacy Commission (NPC). The NPC can impose fines and require corrective actions.
* **Reputational Damage:** Being associated with a phishing attack can damage your website's reputation and user trust.
**Recommendations:**
* **Take Down the Phishing Page:** If you discover a phishing page on your website, take immediate action to remove it. This might involve disabling the page, deleting malicious content, or isolating the compromised area.
* **Report the Incident:** Consider reporting the incident to relevant authorities, such as the Philippine National Police (PNP) Anti-Cybercrime Unit.
* **Review Security Measures:** Evaluate your website's security measures and identify vulnerabilities that allowed the phishing attempt. Implement additional security measures to prevent similar incidents in the future.
**Additional Considerations:**
* **Website Terms of Service (TOS):** Most websites have TOS agreements that outline user responsibilities and limitations on liability. Review your TOS to understand your obligations and potential defenses.
* **Content Moderation:** Depending on the nature of your website, you might need to implement content moderation practices to identify and remove malicious content like phishing attempts.
**Remember:** While legal consequences are a possibility, prioritizing taking down the phishing page, reporting the incident, and improving your website's security is crucial. **Consulting a Lawyer:**
* A lawyer specializing in data privacy or cyberlaw can provide specific advice based on your situation. They can analyze the details of the phishing attempt, your website's security measures, and the Data Privacy Act to assess potential legal risks and recommend appropriate actions.</t>
  </si>
  <si>
    <t>Anong mga legal na obligasyon ang mayroon ako kung ang aking website ay hindi sinasadyang nagho-host ng isang pahina ng phishing?</t>
  </si>
  <si>
    <t>Can I be held criminally responsible if my computer is used as part of a phishing botnet without my knowledge?</t>
  </si>
  <si>
    <t>In the Philippines, it's highly unlikely you would be held criminally responsible if your computer was unknowingly part of a phishing botnet. Here's why:
**Mens Rea (Criminal Intent):**
* Philippine criminal law generally requires "mens rea" (guilty mind or criminal intent) for conviction. This means you must have knowingly or intentionally participated in the crime.
* Unwitting Participation:** If your computer was infected with malware that made it part of a botnet without your knowledge, you wouldn't have the criminal intent required for a conviction.
**Focus on the Hacker:**
* The criminal intent and responsibility lie with the hacker who created and operates the botnet for malicious purposes.
**Your Responsibility:**
* You do have a responsibility to take reasonable steps to protect your computer from malware infection. This includes using strong passwords, keeping software updated, and being cautious when clicking on links or opening attachments in emails.
**What to Do If Your Computer's in a Botnet:**
* **Anti-Malware Scan:** Run a thorough scan with reputable anti-malware software to detect and remove the botnet infection.
* **Secure Your Passwords:** Change passwords for all your online accounts, especially those potentially compromised by the botnet activity.
* **Report the Incident:** Consider reporting the incident to the Philippine National Police (PNP) Anti-Cybercrime Unit. This can help raise awareness and potentially aid investigations.
**Remember:**
While criminal charges are unlikely, prioritize removing the malware and securing your computer to prevent further harm. You can also consult with a lawyer specializing in cyberlaw for specific advice based on your situation. They can analyze the details and offer guidance on additional steps you might take.</t>
  </si>
  <si>
    <t>Maaari ba akong managot bilang kriminal kung ang aking computer ay ginagamit bilang bahagi ng isang phishing botnet nang hindi ko nalalaman?</t>
  </si>
  <si>
    <t>How do I legally respond to a phishing attempt targeting my business's financial accounts?</t>
  </si>
  <si>
    <t>Here's a comprehensive guide on how to legally respond to a phishing attempt targeting your business's financial accounts in the Philippines:
**Immediate Actions:**
1. **Do Not Engage:** Avoid clicking on any links, downloading attachments, or replying to the phishing email. This can confirm your email address to the attacker and potentially trigger further attempts.
2. **Isolate the Email:** Move the phishing email to a designated folder (e.g., "Spam" or "Phishing") to prevent accidental access by employees.
3. **Report the Phishing Attempt:**
* **Report to Email Provider:** Notify your email provider about the phishing attempt. Many providers have reporting mechanisms within their email platforms.
* **Report to Authorities:** Consider reporting the incident to the Philippine National Police (PNP) Anti-Cybercrime Unit. This can help build a record of the crime and potentially aid investigations.
4. **Secure Your Accounts:**
* **Change Passwords:** Immediately change the passwords for all your business financial accounts, especially those potentially exposed in the email. Enable multi-factor authentication (MFA) for added security.
* **Contact Financial Institutions:** Notify your financial institutions of the phishing attempt. They can monitor your accounts for suspicious activity and potentially offer additional security measures.
**Further Steps:**
1. **Employee Awareness Training:** Conduct a training session to educate your employees on recognizing phishing attempts and proper procedures for handling suspicious emails. Regular phishing simulations can further enhance their awareness.
2. **Review Security Measures:** Evaluate your current security measures and identify any vulnerabilities that might have enabled the phishing attempt. Consider implementing stronger spam filters, email authentication protocols (e.g., DMARC), and employee access controls.
3. **Incident Response Plan:** Develop or review your incident response plan for handling cyber threats, including phishing attempts. This plan should outline roles, responsibilities, communication protocols, and procedures for damage control and remediation.
4. **Legal Consultation (Optional):** While not always necessary, consulting with a lawyer specializing in cyberlaw can provide specific legal advice based on your situation. They can analyze the phishing attempt, potential legal implications, and recommend further legal actions if necessary.
**Remember:**
* **Prioritize Security:** The primary focus should be on protecting your business's financial accounts and preventing further harm. * **Legal Considerations:** While legal options like suing the phisher might exist, the feasibility and benefits are often limited. Focus on preventative measures and reporting the incident.
* **Documentation:** Maintain a record of the phishing attempt, including the email, timestamps, actions taken, and any communication with authorities or financial institutions.
By following these steps, you can legally respond to a phishing attempt, minimize potential damage, and strengthen your business's cyber defenses to prevent future attacks.</t>
  </si>
  <si>
    <t>Paano ako legal na tutugon sa isang pagtatangka sa phishing na nagta-target sa mga account sa pananalapi ng aking negosyo?</t>
  </si>
  <si>
    <t>Can I sue a cybersecurity company for failing to prevent a phishing attack on my business?</t>
  </si>
  <si>
    <t>Suing a cybersecurity company for failing to prevent a phishing attack on your business in the Philippines is possible, but success depends on several factors. Here's a breakdown of the situation:
**Potential Grounds for a Lawsuit:**
* **Breach of Contract:** If your contract with the cybersecurity company explicitly outlines specific security measures or guarantees protection against phishing attacks, their failure to fulfill those obligations could be grounds for a lawsuit.
* **Negligence:** You could argue the company was negligent in providing adequate security services. This negligence resulted in a successful phishing attack and financial losses to your business.
**Challenges of Winning the Case:**
* **Proving Negligence:** Demonstrating the company's services were inadequate and directly caused the phishing incident is challenging. Cybersecurity is a complex field, and phishing attacks can be sophisticated and difficult to entirely prevent.
* **Standard of Care:** Establishing the industry standard of care for cybersecurity services relevant to your company's size and industry can be complex.
* **Contractual Terms:** The specific terms of your contract with the cybersecurity company will play a crucial role. Disclaimers limiting liability or clauses outlining shared responsibility for security might weaken your case.
**Alternatives to a Lawsuit:**
* **Negotiate with the Company:** Attempt to negotiate a settlement with the cybersecurity company to recover some or all of your losses.
* **Report to Professional Associations:** If the cybersecurity company belongs to relevant professional associations, you can report their alleged negligence to these bodies.
**Recommendation:**
* Consult a Lawyer:** A lawyer specializing in cyberlaw or contract law can assess your situation. They can analyze your contract with the cybersecurity company, the details of the phishing attack, and relevant legal precedents to determine the feasibility of a lawsuit and advise on alternative courses of action.
**Remember:** Lawsuits can be expensive and time-consuming. Consider the potential benefits against the costs involved. Focusing on recovering from the attack, strengthening your internal security measures, and exploring alternative avenues for recourse might be more productive in many cases.
Here are some additional points to consider:
* **Severity of Damages:** The severity of the financial losses suffered due to the phishing attack can influence the case's strength.
* **Your Security Measures:** The court might consider whether your business implemented any additional security measures beyond those provided by the cybersecurity company. **Remember:** The best course of action depends on the specific details of your situation. Consulting with a lawyer can help you navigate the legalities and explore the most effective approach to address the issue.</t>
  </si>
  <si>
    <t>Maaari ko bang idemanda ang isang kumpanya ng cybersecurity para sa hindi pagtupad sa pag-atake ng phishing sa aking negosyo?</t>
  </si>
  <si>
    <t>What legal protections exist for whistleblowers who expose phishing scams within their organization?</t>
  </si>
  <si>
    <t>The legal protections for whistleblowers who expose phishing scams within their organization in the Philippines are currently evolving. Here's a breakdown of the relevant laws and considerations:
**Current Protections:**
* **Fair Labor Standards Act (RA 6715):** This Act protects employees from termination without due process. If an employee is fired solely for reporting a phishing scam, they might have grounds for contesting the termination under this Act.
**Limited Scope:**
* Whistleblower protections in the Philippines are currently not as comprehensive as in some other countries. There's no dedicated whistleblower protection law specifically addressing private sector employees.
**Potential Developments:**
* **Anti-Red Tape Act (ARTA) of 2007:** While not explicitly focused on whistleblowing, Section 34 of ARTA mandates government agencies to establish grievance mechanisms for reporting irregularities and violations. This provision could potentially be used to support whistleblowers reporting phishing scams within government institutions.
* **Proposed Whistleblower Protection Bill:** A Whistleblower Protection Bill has been proposed in the Philippine Congress multiple times in recent years. While not yet enacted, it indicates a growing awareness of the need for stronger whistleblower protections.
**Recommendations for Whistleblowers:**
* **Gather Evidence:** Document the phishing scam and your attempts to report it internally within the organization. This could include emails, recordings of conversations, or timestamps.
* **Report Internally:** If comfortable, follow established channels within your organization for reporting internal security concerns. Document your attempts to report the issue through these channels.
* **Report to Authorities:** If internal reporting is unsuccessful or there's a risk of retaliation, consider reporting the phishing scam to relevant authorities like the Philippine National Police (PNP) Anti-Cybercrime Unit.
* **Seek Legal Advice:** A lawyer specializing in labor law or cyberlaw can advise you on your rights and potential legal options based on the specific circumstances of your situation.
**Remember:**
The legal landscape for whistleblower protections in the Philippines is evolving. While comprehensive protections aren't yet fully established, existing laws like the Fair Labor Standards Act can offer some level of protection. Gathering evidence, following internal reporting procedures (if possible), and seeking legal advice are crucial steps for whistleblowers. **Additional Considerations:**
* **Company Policies:** Some companies might have internal policies offering specific protections for employees who report security concerns. Review your company's employee handbook or relevant policies.
* **Public Interest:** The severity of the phishing scam and the potential public harm it poses can strengthen your case for reporting it.
**Remember:** Exposing a phishing scam within your organization can be a courageous act that helps protect your company and others from cyber threats. While legal protections are still developing, taking documented steps to report the issue and seeking legal advice can empower you to act ethically and potentially benefit from existing legal frameworks.</t>
  </si>
  <si>
    <t>Anong mga legal na proteksyon ang umiiral para sa mga whistleblower na naglalantad ng mga phishing scam sa loob ng kanilang organisasyon?</t>
  </si>
  <si>
    <t>Can I sue a phishing scammer for invasion of privacy if they obtain personal information through deceitful means?</t>
  </si>
  <si>
    <t>In the Philippines, suing a phishing scammer for invasion of privacy if they obtain your personal information through deceitful means is possible, but success depends on several factors. Here's a breakdown of the situation:
**Potential Grounds for a Lawsuit:**
* **Right to Privacy:** The Philippine Constitution recognizes the right to privacy. You can argue that the phishing scam violated your privacy by obtaining personal information through deceitful means.
* **Data Privacy Act (RA 8424):** This Act protects personal data and prohibits its unauthorized processing. A phishing scam that deceives you into revealing personal information could be considered a violation.
**Challenges of Winning the Case:**
* **Identifying the Scammer:** Pinpointing the location and identity of the scammer can be difficult, especially for sophisticated phishing operations. This makes it challenging to sue them in the first place.
* **Damages:** Quantifying the damages caused by the scammer obtaining your personal information can be subjective. You might need to demonstrate actual harm beyond the privacy violation (e.g., identity theft, financial losses).
**Alternatives to a Lawsuit:**
* **Report the Phishing Attempt:** Report the phishing attempt to the relevant authorities, such as the Philippine National Police (PNP) Anti-Cybercrime Unit. This can help build a record of the crime and potentially hold the perpetrators accountable.
* **Take Steps to Mitigate Risk:** Monitor your credit report for suspicious activity, consider placing a credit freeze to prevent unauthorized access, and change passwords for accounts potentially compromised by the phishing attempt.
**Recommendation:**
* Consult a Lawyer:** A lawyer specializing in data privacy or cyberlaw can assess your situation. They can analyze the details of the phishing attack, the type of personal information obtained, and the Data Privacy Act to determine the feasibility of a lawsuit and advise on alternative courses of action.
**Remember:**
Lawsuits can be lengthy and expensive. Weigh the potential benefits against the time and financial investment required. Focusing on protecting yourself from further harm, reporting the attack, and exploring alternative avenues for recourse might be more productive in many cases.
Here are some additional points to consider:
* **Severity of Data Breach:** The extent of personal information compromised and the potential consequences can influence the case's strength.
* **Your Actions:** If you readily provided the information without exercising caution (e.g., clicking suspicious links), it might affect the lawsuit.
**Remember:**
The best course of action depends on the specifics of your situation. Consulting with a lawyer can help you navigate the legalities and explore the most effective approach to address the issue.</t>
  </si>
  <si>
    <t>Maaari ko bang idemanda ang isang phishing scammer para sa pagsalakay sa privacy kung nakakuha sila ng personal na impormasyon sa pamamagitan ng mapanlinlang na paraan?</t>
  </si>
  <si>
    <t>How do I legally recover damages if a phishing attack leads to a breach of confidentiality agreements?</t>
  </si>
  <si>
    <t>Recovering damages for a breach of confidentiality agreements due to a phishing attack in the Philippines is challenging, but there are still steps you can take:
**Limited Legal Options:**
* **Suing the Phisher (Difficult):** Similar to other situations, suing the unidentified phisher is highly improbable due to difficulty establishing their identity and jurisdiction.
* **Suing Intermediaries (Rare Cases):** In specific scenarios, you might explore suing a platform (website, email provider) that inadvertently facilitated the attack. However, proving their direct negligence in enabling the phishing attempt is complex and requires legal expertise.
**Focus on Recovery Efforts:**
* **Report the Phishing Attack:** Report the attack to the platform where it occurred and the Philippine National Police (PNP) Anti-Cybercrime Unit. This helps raise awareness and potentially aids investigations.
* **Contact Relevant Institutions:** If financial losses occurred, immediately notify your bank or financial institution to report fraudulent activity and explore options for recovering funds (lost credit card charges, unauthorized transfers).
**Internal Measures:**
* **Evaluate Security Measures:** Analyze your existing security measures to identify vulnerabilities exploited in the phishing attempt. Implement stronger safeguards to prevent similar incidents in the future (e.g., employee training, stricter access controls).
* **Review Confidentiality Agreements:** If the breach affects sensitive information covered by confidentiality agreements, understand your obligations under those agreements.
**Considering Legal Action:**
* **Consult a Lawyer:** A lawyer specializing in cyberlaw or contract law can best assess your situation. They can analyze the details of the phishing attack, the confidentiality agreements, and potential legal options, including:
* **Negotiating with Breached Party:** The lawyer can help you negotiate with the party whose confidentiality agreement was breached. Depending on the agreement's terms and the severity of the breach, reaching a settlement for potential damages might be an option.
* **Defending Potential Lawsuit:** If the breached party sues you for the confidentiality violation, the lawyer can represent you and build a defense strategy based on the nature of the phishing attack and the efforts you took to prevent it (e.g., security measures in place). **Remember:**
Succeeding in legal action against the phisher or intermediary is unlikely. The focus should be on:
* **Preventing future breaches:** Strengthening your security measures and employee training to minimize the risk of successful phishing attempts.
* **Mitigating damages:** Reporting the attack, recovering compromised funds, and potentially negotiating a settlement with the breached party (if applicable).
**Data Privacy Act (RA 8424):**
* While not directly addressing damage recovery, the Data Privacy Act emphasizes implementing appropriate security safeguards to protect personal data. Demonstrating a commitment to data security can strengthen your position if legal action arises from the breach.
**Remember:**
The best course of action depends on the specifics of the attack, the confidentiality agreements, and the potential damages. Consulting with a lawyer can provide specific guidance based on your situation and help you navigate the legal complexities involved.</t>
  </si>
  <si>
    <t>Paano ko legal na mababawi ang mga pinsala kung ang pag-atake ng phishing ay humantong sa paglabag sa mga kasunduan sa pagiging kumpidensyal?</t>
  </si>
  <si>
    <t>What legal protections exist against sexual exploitation in the workplace?</t>
  </si>
  <si>
    <t>The Philippines has several legal protections against sexual exploitation in the workplace:
**1. Anti-Sexual Harassment Act of 1995 (RA 7877):**
* This is the primary law addressing sexual harassment in the Philippines. It defines sexual harassment as unwelcome sexual advances, requests for sexual favors, and other verbal or physical conduct of a sexual nature that creates a hostile or offensive work environment. * The law applies to all employers and employees, regardless of position or level. It also covers sexual harassment committed by non-employees, such as clients or customers, towards employees.
* It outlines the different forms of sexual harassment, including:
* **Hostile work environment** - This occurs when unwelcome sexual conduct unreasonably interferes with an individual's work performance or creates an intimidating, hostile, or offensive work environment.
* **Demand or request for sexual favors** - This involves the employer or someone in authority conditioning employment, job benefits, or promotion on sexual favors.
* **Verbal or physical conduct of a sexual nature** - This includes unwelcome sexual advances, lewd remarks, groping, and sexual assault.
**2. Republic Act No. 11313 (Safe Spaces Act):**
* This Act expands the definition of sexual harassment to include online sexual harassment. This applies to online interactions related to work, such as through company messaging platforms or social media.
**3. Revised Penal Code (RPC) Provisions:**
* Several provisions of the Revised Penal Code can be applied to cases of sexual exploitation in the workplace, depending on the severity of the act. These include:
* **Acts of Lasciviousness (Article 335):** This covers lewd acts that offend public morals.
* **Rape (Article 335):** This applies to forced sexual intercourse.
* **Acts of Libidinous Conduct (Article 336):** This covers indecent touching or acts that arouse or satisfy sexual desires.
**4. Labor Code of the Philippines (LC):**
* The Labor Code guarantees the right to a safe and healthy work environment. This can be used to hold employers accountable for failing to prevent or address sexual harassment in the workplace.
**Additional Protections:**
* **Company Policies:** Many companies have internal policies against sexual harassment. These policies can provide additional protections and procedures for employees to report incidents.
* **Government Agencies:** The Department of Labor and Employment (DOLE) and the Commission on Women (PCW) have programs and resources to assist victims of sexual harassment in the workplace. **Remember:**
These are some of the key legal protections against sexual exploitation in the workplace in the Philippines. If you experience sexual harassment, you have the right to report it and seek legal action. Here are some resources that can help:
* Department of Labor and Employment (DOLE): [https://www.officialgazette.gov.ph/section/briefing-room/department-of-labor-and-employment/](https://www.officialgazette.gov.ph/section/briefing-room/department-of-labor-and-employment/)
* Commission on Women (PCW): [https://pcw.gov.ph/](https://pcw.gov.ph/)
* Public Attorney's Office (PAO): [https://pao.gov.ph/](https://pao.gov.ph/)</t>
  </si>
  <si>
    <t>Anong mga legal na proteksyon ang umiiral laban sa sekswal na pagsasamantala sa lugar ng trabaho?</t>
  </si>
  <si>
    <t>Can I sue my employer for tolerating a sexually hostile work environment?</t>
  </si>
  <si>
    <t>Yes, you can sue your employer for tolerating a sexually hostile work environment in the Philippines under the Anti-Sexual Harassment Act of 1995 (RA 7877). Here's a breakdown of the law and how it applies to your situation:
**Anti-Sexual Harassment Act (RA 7877):**
* This Act defines a hostile work environment as one where unwelcome sexual advances, requests for sexual favors, and other verbal or physical conduct of a sexual nature:
* Unreasonably interfere with an individual's work performance.
* Create an intimidating, hostile, or offensive work environment.
**Employer Liability:**
* The law holds employers liable for tolerating a sexually hostile work environment. This means that if your employer knew or should have known about the harassment and failed to take steps to stop it, they can be sued.
**Steps to Take:**
1. **Document the Harassment:** Keep a record of the specific incidents of sexual harassment, including dates, times, witnesses, and what exactly happened. This will be crucial evidence in your case.
2. **Report the Harassment:** Report the harassment to your employer's Human Resources department or a supervisor. You can also file a complaint with the Department of Labor and Employment (DOLE).
3. **Seek Legal Advice:** A lawyer specializing in labor law can advise you on your legal options and represent you in court if necessary.
**What the Court Will Consider:**
* **Severity of Harassment:** The severity, frequency, and nature of the sexual harassment will be considered by the court.
* **Employer's Knowledge:** The court will assess whether your employer knew or should have known about the harassment and what steps they took to address it.
* **Your Complaint:** Whether you reported the harassment internally and the employer's response to your complaint will be considered.
**Potential Outcomes:**
* **Cease and Desist Order:** The court may order your employer to stop the harassment and take steps to prevent it from happening again.
* **Damages:** You may be awarded monetary damages for emotional distress, medical expenses, and lost wages.
**Additional Considerations:**
* **Statute of Limitations:** There is a one-year time limit to file a complaint with DOLE. However, you might still be able to sue your employer in court after this deadline.
* **Workplace Policies:** Many companies have internal policies against sexual harassment. Review your company's policy and follow the procedures outlined for reporting harassment.
**Remember:**
Sexual harassment is illegal in the Philippines, and you have the right to a safe and healthy work environment. If you experience sexual harassment at work, you should not have to tolerate it. By documenting the harassment, reporting it, and seeking legal advice, you can take steps to hold your employer accountable and protect yourself.</t>
  </si>
  <si>
    <t>Maaari ko bang idemanda ang aking tagapag-empleyo para sa pagpapaubaya sa isang kapaligiran sa trabaho na hindi kanais-nais na sekswal?</t>
  </si>
  <si>
    <t>How can I prove sexual harassment if there were no witnesses?</t>
  </si>
  <si>
    <t>Even without witnesses, you can still build a strong case to prove sexual harassment in the Philippines. Here's how:
**Documentation is Key:**
* **Detailed Records:** Maintain a detailed record of the harassment incidents. This includes:
* **Dates and Times:** Record the specific dates and times each incident occurred.
* **Specific Details:** Describe the details of the harassment accurately, including what was said, what actions were taken, and any nonverbal cues.
* **Evidence of Impact:** Document how the harassment impacted you emotionally (anxiety, fear) or professionally (decreased work performance).
**Types of Evidence:**
* **Electronic Communications:** Save any emails, text messages, or voicemails containing harassing content. These can be crucial pieces of evidence.
* **Physical Evidence:** Keep any physical evidence of harassment, such as notes, gifts of a sexual nature, or damaged clothing.
**Supporting Evidence:**
* **Changes in Behavior:** Document any changes in your behavior at work due to the harassment, such as increased absenteeism, withdrawal from colleagues, or a decline in work quality.
* **Statements from Colleagues:** While not direct witnesses, colleagues might be able to confirm changes in your behavior or the general work environment.
**Reporting the Harassment:**
* **Internal Reporting:** Report the harassment to your employer's Human Resources department or a supervisor, even if there are no witnesses. Document the date and time of your report, as well as who you reported it to and their response.
* **DOLE Complaint:** Consider filing a complaint with the Department of Labor and Employment (DOLE) even if you haven't reported internally. This establishes a record of the incident and potentially strengthens your case.
**Seeking Legal Help:**
* **Lawyer's Expertise:** A lawyer specializing in labor law can be invaluable. They can analyze your situation, advise on the best course of action, and help you gather additional evidence. They can also represent you if you decide to pursue legal action against your employer.
**Remember:**
* **Credibility is Important:** The more detailed and consistent your record is, the stronger your case will be. * **Focus on Facts:** Avoid speculation or emotional language when documenting the harassment. Focus on factual descriptions of events.
**While witnesses can strengthen your case, their absence doesn't negate your experience. By building a comprehensive record with documented evidence, internal reports, and seeking legal guidance, you can effectively demonstrate the sexual harassment you endured and fight for a safe work environment.**
**Additional Resources:**
* Department of Labor and Employment (DOLE): [https://www.officialgazette.gov.ph/section/briefing-room/department-of-labor-and-employment/page/2/](https://www.officialgazette.gov.ph/section/briefing-room/department-of-labor-and-employment/page/2/)
* Commission on Women (PCW): [https://pcw.gov.ph/](https://pcw.gov.ph/)
* Public Attorney's Office (PAO): [https://pao.gov.ph/](https://pao.gov.ph/)</t>
  </si>
  <si>
    <t>Paano ko mapapatunayan ang sekswal na panliligalig kung walang mga saksi?</t>
  </si>
  <si>
    <t>What constitutes sexual exploitation in the context of labor laws?</t>
  </si>
  <si>
    <t>Sexual exploitation in the context of labor laws goes beyond just unwanted sexual advances or a hostile work environment. Here's a breakdown of what it entails in the Philippines:
**Coercion of Sexual Favors:**
* This is the most common form of sexual exploitation in the workplace. It occurs when an employer, supervisor, or someone in a position of power:
* Conditions employment, job benefits, or promotion on sexual favors.
* Threatens job security, demotion, or other negative consequences if sexual favors are refused.
* This can be explicit or implicit, through verbal or nonverbal cues.
**Abuse of Authority for Sexual Purposes:**
* This involves using a position of power to pressure or coerce an employee into sexual activity. This could include:
* Demanding sexual favors in exchange for training opportunities.
* Threatening negative performance reviews for refusing sexual advances.
* Using sexual relationships as a factor in promotions or job assignments.
**Trafficking for Sexual Exploitation:**
* This is the most extreme form of sexual exploitation and involves forcing someone into sexual activity through deception, violence, or threats. It's rarely encountered in formal employment settings but can be relevant in some situations, such as forced labor in the sex industry.
**Key Points to Remember:**
* **Consent is Crucial:** Sexual activity must be completely voluntary and without any pressure or coercion. * **Power Imbalance:** The power imbalance between employers, supervisors, and employees creates a vulnerability to exploitation. * **Implicit Coercion:** Even subtle threats or implications about job security can be considered coercion.
**The Anti-Sexual Harassment Act (RA 7877):**
* This Act is the primary legal framework addressing sexual harassment in the Philippines. While it focuses on hostile work environments and unwanted sexual advances, it can also encompass situations of sexual exploitation.
**Other Relevant Laws:**
* **Safe Spaces Act (RA 11313):** This Act expands the definition of sexual harassment to include online sexual harassment, which can be relevant in some exploitation cases.
* **Revised Penal Code:** Depending on the severity, some provisions of the Penal Code might apply, such as acts of lasciviousness or rape.
**If you experience any form of sexual exploitation in the workplace, you have rights and legal protections. Here are some resources that can help:**
* Department of Labor and Employment (DOLE): [https://www.officialgazette.gov.ph/section/briefing-room/department-of-labor-and-employment/](https://www.officialgazette.gov.ph/section/briefing-room/department-of-labor-and-employment/)
* Commission on Women (PCW): [https://pcw.gov.ph/](https://pcw.gov.ph/)
* Public Attorney's Office (PAO): [https://pao.gov.ph/](https://pao.gov.ph/)
**Remember:**
Sexual exploitation in the workplace is illegal and unacceptable. By understanding your rights and seeking help from relevant agencies or legal professionals, you can take action against the perpetrator and protect yourself.</t>
  </si>
  <si>
    <t>Ano ang bumubuo ng sekswal na pagsasamantala sa konteksto ng mga batas sa paggawa?</t>
  </si>
  <si>
    <t>Can I file a lawsuit against my employer for forcing me into a sexual relationship for job security?</t>
  </si>
  <si>
    <t>Yes, you can file a lawsuit against your employer for forcing you into a sexual relationship for job security in the Philippines. Here's why:
**Anti-Sexual Harassment Act (RA 7877):**
* This Act prohibits sexual harassment, which includes:
* **Demand or request for sexual favors:** This applies directly to your situation, where your employer conditioned job security on sexual favors.
* The law protects all employees regardless of position or level and applies even if the harasser is not a direct supervisor.
**Coercion and Power Imbalance:**
* The fact that your employer used your job security to coerce you into a sexual relationship strengthens your case. The power imbalance between an employer and an employee creates a situation where consent might be difficult or impossible to give freely.
**Building Your Case:**
* **Evidence is Key:** While witnesses are ideal, any evidence you have can be helpful. This could include:
* Documentation of threats or demands related to your job security.
* Electronic communications (emails, texts) with your employer that might be suggestive or incriminating.
* Records of changes in your work environment or behavior due to the harassment.
* **Reporting the Harassment:** Filing a complaint with the Department of Labor and Employment (DOLE) can establish a record of the incident and support your lawsuit. **Seeking Legal Counsel:**
* A lawyer specializing in labor law can be vital. They can analyze your situation, advise on the best course of action, and help you gather evidence. They can also represent you in court and navigate the legal process. **Potential Outcomes:**
* **Cease and Desist Order:** The court may order your employer to stop the harassment and take steps to prevent future incidents.
* **Damages:** You might be awarded monetary compensation for emotional distress, medical expenses, and lost wages (if any) due to the harassment.
* **Job Reinstatement:** In some cases, the court might order your reinstatement to your previous position if you were wrongfully terminated.
**Remember:**
* **Statute of Limitations:** There is a one-year time limit to file a complaint with DOLE. However, you might still be able to sue your employer in court after this deadline.
* **Emotional Toll:** The legal process can be lengthy and stressful. Consider seeking emotional support from trusted friends, family, or a therapist throughout this journey.
**Taking a stand against sexual exploitation in the workplace protects your rights and discourages similar behavior towards others. The resources below can provide additional support:**
* Department of Labor and Employment (DOLE): [https://www.officialgazette.gov.ph/](https://www.officialgazette.gov.ph/)
* Commission on Women (PCW): [https://pcw.gov.ph/](https://pcw.gov.ph/)
* Public Attorney's Office (PAO): [https://pao.gov.ph/](https://pao.gov.ph/)</t>
  </si>
  <si>
    <t>Maaari ba akong magsampa ng kaso laban sa aking tagapag-empleyo para sa pagpilit sa akin sa isang sekswal na relasyon para sa seguridad sa trabaho?</t>
  </si>
  <si>
    <t>Is there a statute of limitations for reporting sexual exploitation in the workplace?</t>
  </si>
  <si>
    <t>In the Philippines, there are actually two relevant deadlines to consider for reporting sexual exploitation in the workplace:
**1. Department of Labor and Employment (DOLE) Complaint:**
* There is a **one-year statute of limitations** for filing a complaint with the DOLE regarding sexual harassment or exploitation. This means you have one year from the date the incident occurred (or the last incident in a series of ongoing harassment) to file a complaint with DOLE.
**2. Lawsuit Filing:**
* While there's no specific statute of limitations for filing a lawsuit against your employer for sexual exploitation, there are general civil law deadlines that apply. These deadlines can vary depending on the nature of the legal claim pursued (e.g., damages for emotional distress, wrongful termination). Consulting with a lawyer specializing in labor law is crucial to understand the specific deadlines relevant to your situation.
**Here's a breakdown of the implications:**
* **DOLE Complaint:** Filing a complaint with DOLE within the one-year window allows them to investigate the incident and potentially impose penalties on your employer. It can also strengthen your case if you decide to pursue a lawsuit.
* **Lawsuit Filing:** Even if you miss the one-year window for a DOLE complaint, you might still be able to sue your employer in court. However, the specific timeframe for filing a lawsuit depends on the legal basis of your claim. **What to Do:**
* Regardless of how much time has passed since the incident, it's important to document everything you can remember about the sexual exploitation. This includes dates, times, details of the incidents, and any evidence you might have (e.g., emails, texts, witness statements).
* Consult with a lawyer specializing in labor law as soon as possible. They can analyze the specifics of your situation, advise on the best course of action, and determine the relevant legal deadlines that apply to your case.
**Additional Resources:**
* Department of Labor and Employment (DOLE): [https://www.officialgazette.gov.ph/section/briefing-room/department-of-labor-and-employment/page/2/](https://www.officialgazette.gov.ph/section/briefing-room/department-of-labor-and-employment/page/2/)
* Commission on Women (PCW): [https://pcw.gov.ph/](https://pcw.gov.ph/)
* Public Attorney's Office (PAO): [https://pao.gov.ph/](https://pao.gov.ph/)
**Remember:**
Even if you can't pursue a complaint with DOLE due to the one-year limitation, seeking legal advice and exploring the possibility of a lawsuit might still be an option. A lawyer can help you understand your rights and potential legal avenues in your specific situation.</t>
  </si>
  <si>
    <t>Mayroon bang batas ng mga limitasyon para sa pag-uulat ng sekswal na pagsasamantala sa lugar ng trabaho?</t>
  </si>
  <si>
    <t>What legal actions can I take if I've experienced sexual exploitation by a co-worker?</t>
  </si>
  <si>
    <t>While the scenario you describe doesn't involve a supervisor directly pressuring you, sexual exploitation by a co-worker can still be addressed legally in the Philippines. Here's how:
**Anti-Sexual Harassment Act (RA 7877):**
* This Act, although primarily focused on harassment from supervisors, can still be applicable in certain co-worker situations. * The Act defines sexual harassment as unwelcome sexual advances, requests for sexual favors, and other verbal or physical conduct of a sexual nature that creates a hostile work environment.
**Key Considerations for Co-worker Harassment:**
* **Severity and Frequency:** The severity and frequency of the sexual exploitation are crucial factors. * **Employer's Knowledge:** If your employer knew or should have known about the harassment and failed to take action, they might be held liable for creating a hostile work environment.
* **Workplace Policies:** Many companies have internal policies against sexual harassment. Review your company's policy and follow the procedures outlined for reporting harassment.
**Potential Legal Actions:**
* **Internal Complaint:** File a complaint with your employer's Human Resources department or a supervisor. This establishes a record of the incident and puts the responsibility on the employer to address it.
* **DOLE Complaint:** Even if your co-worker is the harasser, you can still file a complaint with the Department of Labor and Employment (DOLE). DOLE can investigate the complaint and potentially impose penalties on your employer if they failed to prevent a hostile work environment.
* **Lawsuit:** Consider pursuing a lawsuit against your co-worker or employer (depending on their knowledge and actions). A lawyer can advise on the best course of action based on the specifics of your situation. You might be able to seek damages for emotional distress, medical expenses, or lost wages if the harassment impacted your work performance.
**Additional Considerations:**
* **Evidence Collection:** Maintain a record of the harassment incidents, including dates, times, witnesses (if any), and specific details of what happened. * **Seeking Legal Help:** A lawyer specializing in labor law can be invaluable. They can assess your situation, analyze the applicability of the Anti-Sexual Harassment Act, and advise on the appropriate legal steps. **Remember:**
Sexual harassment and exploitation have no place in the workplace, regardless of the harasser's position. You have the right to a safe work environment. By documenting the incidents, reporting the harassment, and potentially seeking legal guidance, you can take a stand against sexual exploitation and hold those responsible accountable. Here are some resources that can provide additional support:
* Department of Labor and Employment (DOLE): [https://www.officialgazette.gov.ph/section/briefing-room/department-of-labor-and-employment/page/2/](https://www.officialgazette.gov.ph/section/briefing-room/department-of-labor-and-employment/page/2/)
* Commission on Women (PCW): [https://pcw.gov.ph/](https://pcw.gov.ph/)
* Public Attorney's Office (PAO): [https://pao.gov.ph/](https://pao.gov.ph/)</t>
  </si>
  <si>
    <t>Anong mga legal na aksyon ang maaari kong gawin kung nakaranas ako ng sekswal na pagsasamantala ng isang katrabaho?</t>
  </si>
  <si>
    <t>How can I protect myself from retaliation if I report sexual exploitation at work?</t>
  </si>
  <si>
    <t>Unfortunately, retaliation for reporting sexual exploitation at work is a potential concern in the Philippines, but there are steps you can take to protect yourself:
**Before Reporting:**
* **Gather Evidence:** Document the sexual exploitation incidents thoroughly. Include dates, times, details of what happened, witnesses (if any), and any evidence you can collect (emails, texts, inappropriate gifts). This strengthens your case if you face retaliation.
* **Understand Company Policies:** Review your company's policies on sexual harassment and retaliation. Know the official channels for reporting such incidents.
* **Consider Internal Reporting:** If you feel comfortable, report the sexual exploitation internally to your Human Resources department or a supervisor you trust. Document the date and time of your report and who you reported it to.
**When Reporting:**
* **Choose Your Audience Wisely:** If you don't trust your company's internal procedures, consider reporting directly to the Department of Labor and Employment (DOLE).
* **Seek Legal Advice:** A lawyer specializing in labor law can advise on the best course of action for reporting and minimizing the risk of retaliation.
**After Reporting:**
* **Maintain Records:** Keep copies of all reports you file and any communication you have with your employer or DOLE regarding the sexual exploitation and potential retaliation.
* **Document Retaliatory Actions:** If you experience retaliation after reporting, such as demotion, increased workload, or termination, document these incidents with dates, times, and any witnesses.
* **Report Retaliation:** If you experience retaliation, report it immediately to DOLE. You can also file a lawsuit against your employer for violating your rights.
**Legal Protections:**
* **Anti-Sexual Harassment Act (RA 7877):** This Act prohibits retaliation against employees who report sexual harassment.
* **Labor Code of the Philippines:** The Labor Code guarantees the right to security of tenure and prohibits employers from terminating employees without just cause. Retaliation for reporting sexual exploitation can be considered unjust termination.
**Remember:**
* **You Have Rights:** The law protects you from retaliation for reporting sexual exploitation.
* **Seek Support:** Don't be afraid to seek legal advice or support from organizations like the Commission on Women (PCW) or the Public Attorney's Office (PAO).
* **Raise Awareness:** Talking to trusted colleagues or anonymously reporting the retaliation can raise awareness and potentially discourage retaliation attempts.
**While retaliation is a possibility, it's important not to be discouraged from reporting sexual exploitation. The steps mentioned above can help you minimize the risk and ensure your voice is heard. Remember, a safe work environment is your right, and legal recourse is available if those rights are violated.**
Here are some resources that can provide additional support:
* Department of Labor and Employment (DOLE): [https://www.officialgazette.gov.ph/](https://www.officialgazette.gov.ph/)
* Commission on Women (PCW): [https://pcw.gov.ph/](https://pcw.gov.ph/)
* Public Attorney's Office (PAO): [https://pao.gov.ph/](https://pao.gov.ph/)</t>
  </si>
  <si>
    <t>Paano ko mapoprotektahan ang aking sarili mula sa paghihiganti kung mag-uulat ako ng sekswal na pagsasamantala sa trabaho?</t>
  </si>
  <si>
    <t>Can an employer be held responsible for sexual exploitation by a client or customer?</t>
  </si>
  <si>
    <t>In the Philippines, an employer's responsibility for sexual exploitation by a client or customer depends on the specific circumstances. Here's a breakdown of the situation:
**Employer's Potential Liability:**
* **Knowledge and Foreseeability:** The key factor is whether the employer knew or should have known about the potential for sexual exploitation by clients or customers. If they had prior incidents or a reasonable expectation of such behavior, they might be held liable for failing to take preventive measures.
* **Reasonable Precautions:** The employer's duty is to take reasonable precautions to protect employees from foreseeable harm. This can include measures like:
* **Workplace Policies:** Having clear policies against sexual harassment and procedures for employees to report such incidents.
* **Training:** Training employees on recognizing and responding to sexual harassment, including harassment from clients/customers.
* **Security Measures:** Implementing appropriate security measures based on the work environment to minimize vulnerability (e.g., security personnel, after-hours protocols).
**Examples of Employer Liability:**
* **Ignoring Prior Complaints:** If an employer has received previous complaints about a specific client/customer engaging in sexual harassment and fails to take action, they could be liable for subsequent incidents.
* **Creating a Vulnerable Environment:** Assigning employees to work alone with a known problematic client without proper safeguards could be seen as negligence.
* **Inadequate Training:** If the employer fails to provide adequate training on identifying and reporting harassment, they might be partially liable.
**Challenges of Holding Employers Responsible:**
* **Proving Knowledge:** Demonstrating that the employer knew or should have known about the risk can be difficult.
* **Client/Customer Control:** Employers often have limited control over the behavior of clients or customers.
**Alternative Options for Employees:**
* **Report the Incident:** Report the sexual exploitation incident to your employer, regardless of whether you believe they will be held responsible. This documents the incident and establishes a record.
* **Pursue Legal Action Against Client/Customer:** You might be able to file a lawsuit against the client/customer directly for sexual harassment.
* **Consider DOLE Complaint:** Even if the employer isn't deemed completely responsible, you can still file a complaint with the Department of Labor and Employment (DOLE) regarding the hostile work environment created by the client/customer's behavior. **Importance of Consultation:**
* **Specific Legal Advice:** A lawyer specializing in labor law can assess the details of your situation and determine the likelihood of holding your employer accountable. They can also advise on the best course of action, including reporting the incident, pursuing legal action, or filing a DOLE complaint.
**Remember:**
The legal landscape around employer responsibility for client/customer harassment is evolving. While holding them fully liable might be challenging, you still have options for reporting the incident, protecting yourself, and potentially seeking compensation for the damages caused.
Here are some resources that can provide additional support:
* Department of Labor and Employment (DOLE): [invalid URL removed]
* Commission on Women (PCW): [https://pcw.gov.ph/](https://pcw.gov.ph/)
* Public Attorney's Office (PAO): [https://pao.gov.ph/](https://pao.gov.ph/)</t>
  </si>
  <si>
    <t>What should I do if I suspect my child is being sexually exploited at their job?</t>
  </si>
  <si>
    <t>If you suspect that your child is being sexually exploited at their job in the Philippines, you should take immediate action to ensure their safety. Here are steps you can consider:
1. **Talk to Your Child:**
- Approach your child with sensitivity and ask open-ended questions to understand their experiences.
- Encourage open communication and assure them of your support.
2. **Gather Information:**
- Collect details about the job, workplace, and any individuals involved.
- Document any signs or behaviors that raise concerns.
3. **Contact Authorities:**
- Report the suspected exploitation to the local law enforcement authorities, such as the Philippine National Police (PNP) or the National Bureau of Investigation (NBI).
- Provide them with all relevant information and cooperate with their investigation.
4. **Contact the Department of Labor and Employment (DOLE):**
- Reach out to DOLE to report the incident and seek assistance in ensuring the workplace complies with labor laws.
- DOLE may be able to provide guidance and take appropriate actions.
5. **Seek Legal Advice:**
- Consult with a lawyer who specializes in labor and child protection laws to understand your rights and legal options.
- Consider filing a complaint against the employer or individuals involved.
6. **Contact Child Protection Agencies:**
- Reach out to local child protection agencies, such as the Department of Social Welfare and Development (DSWD), to report the exploitation and seek support for your child.
7. **Provide Emotional Support:**
- Ensure your child has access to counseling services to address any emotional trauma they may be experiencing.
- Consider involving support organizations that specialize in child protection.
Remember, it is crucial to act swiftly and responsibly when dealing with suspicions of child exploitation. Always prioritize your child's well-being and seek assistance from relevant authorities and organizations.</t>
  </si>
  <si>
    <t>Ano ang dapat kong gawin kung pinaghihinalaan kong ang aking anak ay pinagsasamantalahang sekswal sa kanilang trabaho?</t>
  </si>
  <si>
    <t>Are there specific laws protecting minors from sexual exploitation in the workplace?</t>
  </si>
  <si>
    <t>Yes, there are laws in the Philippines that protect minors from sexual exploitation in the workplace. One key piece of legislation addressing this issue is the "Anti-Child Abuse Law" or Republic Act No. 7610. Here are relevant provisions from RA 7610:
1. **Republic Act No. 7610 (Special Protection of Children Against Abuse, Exploitation and Discrimination Act):**
- RA 7610 is a comprehensive law that protects children from abuse, exploitation, and discrimination. It includes provisions related to child labor and the sexual exploitation of minors.
- Section 3 defines child abuse as any act that "deprives the child of his/her normal development and shall include, but not be limited to, the following: (a) Any person who shall keep or have in his company a minor, twelve (12) years or under or who in ten (10) years or more his junior in any public or private place, hotel, motel, beer joint, discotheque, cabaret, pension house, sauna or massage parlor, beach and/or other tourist resort or similar places shall suffer the penalty of prision mayor in its maximum period and a fine of not less than Fifty thousand pesos (P50,000): Provided, That this provision shall not apply to any person who is related within the fourth degree of consanguinity or affinity or any bond recognized by law, local custom and tradition or acts in the performance of a social, moral or legal duty."
- Section 5 specifically addresses child prostitution and other sexual exploitation, imposing penalties on those involved in such activities.
Apart from RA 7610, the Labor Code of the Philippines, particularly Book III on Labor Conditions for Special Groups of Workers, also contains provisions regulating the employment of minors. Employers are generally prohibited from employing minors under certain conditions, ensuring their safety and well-being in the workplace.
It's essential to consult the latest version of the laws and seek legal advice for the most accurate and up-to-date information.</t>
  </si>
  <si>
    <t>Mayroon bang mga partikular na batas na nagpoprotekta sa mga menor de edad mula sa sekswal na pagsasamantala sa lugar ng trabaho?</t>
  </si>
  <si>
    <t>Can I sue a company for failing to provide adequate training to prevent sexual exploitation?</t>
  </si>
  <si>
    <t>Maybe. Whether you can sue a company for failing to provide adequate training to prevent sexual exploitation depends on a few factors:
* **The nature of the exploitation:** This lawsuit would likely fall under the umbrella of sexual harassment. There are two main types of sexual harassment: quid pro quo and hostile work environment. Quid pro quo involves threats or demands for sexual favors in exchange for job benefits. Hostile work environment involves unwelcome sexual advances or other conduct that creates a hostile or offensive work environment. Your situation would likely be considered a hostile work environment.
* **The severity of the exploitation:** The courts will consider how severe the sexual exploitation was. * **The adequacy of the training:** If the company provided some sexual harassment training, but it was clearly inadequate, that could strengthen your case. * **State laws:** Laws vary by state, so what is considered actionable sexual harassment may differ.
Here are some resources that can give you more information:
* The Equal Employment Opportunity Commission (EEOC) is a good resource for information about sexual harassment in the workplace, including your rights and how to file a charge: [EEOC sexual harassment ON Equal Employment Opportunity Commission (.gov) eeoc.gov]
* You can also consult with an employment lawyer in your state. They can advise you on the specifics of your case and whether you have a strong case for suing.</t>
  </si>
  <si>
    <t>Maaari ko bang idemanda ang isang kumpanya para sa hindi pagbibigay ng sapat na pagsasanay upang maiwasan ang sekswal na pagsasamantala?</t>
  </si>
  <si>
    <t>Is there a difference between sexual harassment and sexual exploitation under the law?</t>
  </si>
  <si>
    <t>Yes, there is a difference between sexual harassment and sexual exploitation under the law, although there can be some overlap. Here's a breakdown:
**Sexual Harassment:**
* Focuses on unwelcome sexual advances, requests for sexual favors, and other verbal or physical conduct of a sexual nature. * Creates a hostile or offensive work environment. * Can involve a power imbalance, but not always. * Generally falls under civil law (though severe cases might have criminal aspects). * Examples include inappropriate comments, unwanted touching, or pressure for sexual favors.
**Sexual Exploitation:**
* Involves taking advantage of a person's vulnerability, differential power, or trust for sexual purposes. * Often involves exchanging something of value (money, goods, services) for sexual activity. * Can include coercion, blackmail, or threats. * Can be criminal and civil depending on the specifics. * Examples include prostitution involving minors, sex trafficking, or pressuring someone to have sex in exchange for a job promotion.
Here's an analogy: Think of sexual harassment as rude and unwelcome behavior, while sexual exploitation is a form of abuse that leverages power imbalances for sexual gain.
**Overlap:**
There can be some overlap, especially in situations where a supervisor uses their position to pressure someone for sexual favors. In such cases, it could be both sexual harassment (hostile work environment) and sexual exploitation.
**Resources:**
* The United Nations High Commissioner for Refugees (UNHCR) provides a clear explanation of the distinctions: UNHCR Defining sexual exploitation and abuse and sexual harassment: [https://www.unhcr.org/what-we-do/protect-human-rights/tackling-sexual-exploitation-abuse-and-harassment](https://www.unhcr.org/what-we-do/protect-human-rights/tackling-sexual-exploitation-abuse-and-harassment)</t>
  </si>
  <si>
    <t>Mayroon bang pagkakaiba sa pagitan ng sexual harassment at sexual exploitation sa ilalim ng batas?</t>
  </si>
  <si>
    <t>What evidence is necessary to prove sexual exploitation in a legal case?</t>
  </si>
  <si>
    <t>Evidence for proving sexual exploitation in a legal case can vary depending on the specific circumstances, but here are some common types that can be helpful:
**Witness Testimony:**
* Statements from **witnesses** who observed the sexual acts or who can corroborate the victim's account of the abuse can be strong evidence. This could include people who saw the defendant with the victim in compromising situations, heard incriminating statements, or noticed changes in the victim's behavior after the alleged assault.
**Victim Testimony:**
* The **victim's testimony** is central to the case. While courts don't always require other evidence if the testimony is credible, having supporting evidence strengthens the case. **Physical Evidence:**
* **Physical evidence** such as clothing with torn fibers or DNA evidence can link the defendant to the crime scene and support the victim's claims of sexual contact. However, the absence of such evidence doesn't necessarily discredit the victim's testimony.
**Medical Records:**
* **Medical records** documenting physical injuries consistent with sexual assault can be compelling evidence. These records might include results of rape kit examinations, presence of sexually transmitted infections (STIs), or other injuries sustained during the assault.
**Digital Evidence:**
* **Digital evidence** like text messages, emails, or social media posts can be used to establish communication between the defendant and the victim, especially if the messages contain suggestive content or threats. In some cases, digital evidence might show the defendant arranging the encounter or pressuring the victim into sexual activity.
**Other Evidence:**
* **Expert testimony** from forensic scientists, medical professionals, or mental health professionals can be valuable in interpreting physical evidence, explaining the effects of sexual exploitation on victims, or supporting the victim's credibility by explaining common reactions to trauma.
* Evidence of the **defendant's past behavior** regarding sexual misconduct toward others might be admissible in court to show a pattern of behavior.
**Important Considerations:**
* The burden of proof in criminal cases lies with the prosecution. This means the prosecutor must prove the defendant guilty **beyond a reasonable doubt**.
* **Admissibility of evidence** is determined by the judge. An experienced lawyer can advise on which evidence is likely to be admitted in court.
* **Reporting the crime** as soon as possible is important to preserve evidence. Law enforcement can collect forensic evidence and document the crime scene effectively when the incident is fresh.
**Seeking Legal Help**
If you believe you have been a victim of sexual exploitation, it's important to seek legal help as soon as possible. An attorney can advise you on your legal options, help you understand the evidence collection process, and represent you in court if you choose to press charges.</t>
  </si>
  <si>
    <t>Anong katibayan ang kinakailangan upang mapatunayan ang sekswal na pagsasamantala sa isang legal na kaso?</t>
  </si>
  <si>
    <t>Can I pursue criminal charges against someone who sexually exploited me at work?</t>
  </si>
  <si>
    <t>Yes, you can pursue criminal charges against someone who sexually exploited you at work in the Philippines. Sexual exploitation is a serious offense, and there are laws in place to protect individuals from such actions. The primary legal framework that addresses offenses related to sexual exploitation is the "Anti-Sexual Harassment Act of 1995" or Republic Act No. 7877.
Key points regarding pursuing criminal charges for sexual exploitation at work include:
1. **Anti-Sexual Harassment Act of 1995 (RA 7877):**
- RA 7877 defines and prohibits sexual harassment in workplaces, educational institutions, and training centers. It includes unwelcome sexual advances, requests for sexual favors, and other verbal or physical conduct of a sexual nature.
2. **Filing a Complaint:**
- If you have experienced sexual exploitation at work, you can file a formal complaint with your employer, supervisor, or the appropriate authority within the organization.
3. **Department of Labor and Employment (DOLE):**
- The Department of Labor and Employment (DOLE) is one of the government agencies that handles cases related to sexual harassment in the workplace. You may file a complaint with the DOLE if your employer fails to address the issue adequately.
4. **Criminal Charges:**
- In addition to administrative actions within the workplace, criminal charges can be pursued against the offender. If the sexual exploitation involves criminal offenses, such as acts of lasciviousness or rape, you may file a complaint with the Philippine National Police (PNP) or the National Bureau of Investigation (NBI).
5. **Legal Assistance:**
- It is advisable to seek legal assistance when pursuing criminal charges. Consult with a lawyer who specializes in labor laws or criminal law to understand your rights, the legal process, and the potential outcomes.
6. **Preservation of Evidence:**
- It is important to preserve any evidence related to the incident, such as text messages, emails, or witnesses who may have observed the harassment. This evidence can be crucial in supporting your case.
Remember that reporting and pursuing legal action against sexual exploitation can be emotionally challenging, but it is an important step toward seeking justice. If you feel unsafe or uncertain about the process, consider reaching out to support organizations or legal professionals who can provide guidance and assistance.</t>
  </si>
  <si>
    <t>Maaari ko bang ituloy ang mga kasong kriminal laban sa isang taong sekswal na pinagsamantalahan ako sa trabaho?</t>
  </si>
  <si>
    <t>How can I file a complaint with the Equal Employment Opportunity Commission (EEOC) for sexual exploitation?</t>
  </si>
  <si>
    <t>As of my last knowledge update in January 2022, the Equal Employment Opportunity Commission (EEOC) is a U.S. government agency responsible for enforcing federal laws related to workplace discrimination in the United States. The EEOC does not have jurisdiction over workplace-related issues in the Philippines.
In the Philippines, the relevant agency for addressing workplace discrimination and harassment, including sexual exploitation, is the Department of Labor and Employment (DOLE). Here are general steps you can take to file a complaint in the Philippines:
1. **Document the Incident:**
- Keep a detailed record of the incidents of sexual exploitation, including dates, times, locations, individuals involved, and any witnesses. Preserve any relevant evidence such as text messages, emails, or other documentation.
2. **Consult with a Lawyer:**
- Before filing a complaint, it's advisable to consult with a lawyer who specializes in labor law or employment law. They can provide guidance on your rights, the legal process, and the specific steps to take.
3. **File a Complaint with Your Employer:**
- Notify your employer or the appropriate supervisor or manager about the incidents. Many workplaces have internal procedures for handling complaints of harassment.
4. **File a Complaint with DOLE:**
- If your employer does not address the issue adequately, you can file a formal complaint with the Department of Labor and Employment (DOLE). Visit the nearest DOLE regional or field office to submit your complaint.
5. **Provide Supporting Documents:**
- When filing a complaint with DOLE, be prepared to provide supporting documents, such as your detailed record of incidents, any evidence you have, and any correspondence with your employer regarding the matter.
6. **Mediation and Conciliation:**
- DOLE may attempt to mediate or conciliate the dispute between you and your employer. If an amicable settlement is not reached, your case may proceed to a formal hearing.
7. **Seek Legal Assistance:**
- If necessary, you may choose to seek the assistance of a lawyer during the DOLE complaint process.
It's essential to note that laws and procedures may have changed, and it's advisable to check with the latest information or legal professionals for the most accurate guidance. Additionally, if you're facing an urgent situation or threat to your safety, consider reaching out to local law enforcement authorities for immediate assistance.</t>
  </si>
  <si>
    <t>Paano ako makakapaghain ng reklamo sa Equal Employment Opportunity Commission (EEOC) para sa sekswal na pagsasamantala?</t>
  </si>
  <si>
    <t>Are there any legal remedies available if I've experienced sexual exploitation as an intern?</t>
  </si>
  <si>
    <t>Yes, there absolutely are legal remedies available if you've experienced sexual exploitation as an intern. Here's why:
* **Intern Classification:** Intern classifications can vary, but many interns hold legal status as employees, especially if they perform duties similar to paid staff. This means anti-discrimination laws covering sexual harassment apply. * **Sexual Exploitation as Harassment:** Sexual exploitation involves abuse of power for sexual gain. This can manifest in various ways, all falling under the umbrella of sexual harassment. Examples include unwanted sexual advances, threats based on submission to sexual demands, or creating a hostile work environment.
**Legal Avenues:**
* **Equal Employment Opportunity Commission (EEOC):** As mentioned earlier, the EEOC is the primary federal agency handling workplace discrimination complaints, including sexual harassment. You can file a charge with them.
* **Title IX (if applicable):** If your internship occurred at an educational institution receiving federal funding, Title IX protects against sexual harassment. You can explore options through the school's grievance process or file a complaint with the Department of Education's Office for Civil Rights.
* **State and Local Laws:** Many states and localities have laws that strengthen protections against workplace harassment or offer additional remedies. Researching your state's labor laws can be helpful.
**Lawsuit:** While not always the first option, you may also consider pursuing a lawsuit against your employer. This path typically involves consulting with an employment lawyer specializing in sexual harassment cases.
**Remember:**
* **Evidence Collection:** Try to document the details of the exploitation, including dates, times, witnesses (if any), and specific actions. Save emails, texts, or any voicemails containing evidence. * **Time Limits:** There are deadlines to file charges with the EEOC and potentially under Title IX. Look into the specific time limits for your situation.
* **Support Resources:** Consider seeking emotional support from a crisis hotline or mental health professional. There are resources available to help you through this. Here are some resources that can provide additional guidance:
* EEOC's website on how to file a charge [how to file an EEOC complaint]
* RAINN's Sexual Harassment webpage [RAINN sexual harassment]</t>
  </si>
  <si>
    <t>Mayroon bang anumang legal na remedyo na magagamit kung nakaranas ako ng sekswal na pagsasamantala bilang isang intern?</t>
  </si>
  <si>
    <t>Can I be fired for refusing to participate in sexual exploitation at work?</t>
  </si>
  <si>
    <t>No, you cannot be legally fired for refusing to participate in sexual exploitation at work in the Philippines. Sexual exploitation is a serious offense and is prohibited under the "Anti-Sexual Harassment Act of 1995" or Republic Act No. 7877.
Under this law, sexual harassment includes unwelcome sexual advances, requests for sexual favors, or any other conduct of a sexual nature that affects the dignity of an individual. If you refuse to participate in sexual exploitation at work and experience adverse employment actions, such as termination, due to your refusal, it could be considered a violation of your rights under the law.
If you find yourself in such a situation, you may take the following steps:
1. **Document the Incident:**
- Keep a record of the incidents, including dates, times, locations, and individuals involved. Document any communication or actions related to the sexual exploitation.
2. **Inform Your Employer:**
- Notify your employer or the appropriate supervisor about the situation. Many companies have internal procedures for addressing complaints of sexual harassment.
3. **File a Complaint with DOLE:**
- If your employer does not address the issue appropriately, you can file a complaint with the Department of Labor and Employment (DOLE).
4. **Seek Legal Advice:**
- Consult with a lawyer who specializes in labor law to understand your rights and explore legal options.
5. **Preserve Evidence:**
- Preserve any evidence related to the sexual exploitation, such as text messages, emails, or other documentation.
It's important to note that the law protects individuals from retaliation for reporting or opposing sexual harassment. If you believe you have been unfairly terminated or subjected to adverse actions for refusing to participate in sexual exploitation, you may have legal recourse under the Anti-Sexual Harassment Act and other labor laws in the Philippines.</t>
  </si>
  <si>
    <t>Maaari ba akong matanggal sa trabaho dahil sa pagtanggi na lumahok sa sekswal na pagsasamantala sa trabaho?</t>
  </si>
  <si>
    <t>Is there a difference between quid pro quo and hostile environment sexual harassment in the workplace?</t>
  </si>
  <si>
    <t>Yes, there is a difference between quid pro quo and hostile environment sexual harassment in the workplace in the context of Philippine laws.
1. **Quid Pro Quo Sexual Harassment:**
- In quid pro quo harassment, there is typically an explicit or implicit demand for sexual favors as a condition for employment, promotion, or other employment benefits.
- It involves a direct proposition where a person in authority offers job benefits in exchange for sexual acts.
- The victim may face adverse employment consequences if they refuse to comply with the harasser's demands.
In the Philippines, Republic Act No. 7877, also known as the Anti-Sexual Harassment Act of 1995, addresses quid pro quo harassment in the workplace. This law prohibits sexual harassment in employment, education, or training.
2. **Hostile Environment Sexual Harassment:**
- Hostile environment harassment occurs when the workplace becomes permeated with unwelcome sexual conduct that creates an intimidating, hostile, or offensive work environment.
- It may involve inappropriate comments, gestures, or other behaviors that contribute to a hostile atmosphere.
The Anti-Sexual Harassment Act of 1995 in the Philippines also covers hostile environment sexual harassment. It recognizes that sexual harassment is not limited to direct propositions but includes any unwelcome sexual advances or requests for sexual favors that create a hostile or intimidating work environment.
In summary, quid pro quo harassment involves explicit or implicit demands for sexual favors in exchange for job benefits, while hostile environment harassment pertains to the creation of a hostile atmosphere through unwelcome sexual conduct in the workplace. Both forms of sexual harassment are prohibited under Philippine law.</t>
  </si>
  <si>
    <t>Mayroon bang pagkakaiba sa pagitan ng quid pro quo at ng masamang kapaligiran na sekswal na panliligalig sa lugar ng trabaho?</t>
  </si>
  <si>
    <t>Can I sue a company for negligently hiring an employee who later sexually exploited me?</t>
  </si>
  <si>
    <t>In the Philippines, you may have legal recourse against a company for negligently hiring an employee who later sexually exploited you. While I can provide general information, it's important to consult with a legal professional for advice tailored to your specific situation.
Under Philippine law, employers have a duty to exercise reasonable care in hiring and retaining employees, and they can be held liable for the actions of their employees if it can be proven that they were negligent in their hiring process.
Here are some key points to consider:
1. **Negligent Hiring:**
- Negligent hiring occurs when an employer fails to exercise reasonable care in hiring an individual who poses a foreseeable risk of harm to others.
- To establish a claim for negligent hiring, you typically need to show that the employer knew or should have known about the employee's propensity for the harmful conduct.
2. **Employer Liability:**
- Employers can be held vicariously liable for the actions of their employees if those actions were committed within the scope of employment or in furtherance of the employer's business interests.
- Additionally, if the employer was negligent in hiring or retaining the employee, they may be directly liable for any harm caused by the employee.
3. **Consultation with Legal Professionals:**
- It is crucial to consult with a lawyer to assess the specific facts of your case, gather evidence, and determine the appropriate legal course of action.
- An attorney can guide you on the relevant laws, potential legal claims, and the necessary steps to take in pursuing a case against the company.
In the Philippines, laws such as the Civil Code, labor laws, and other statutes may come into play in cases of negligence and employer liability. Seek legal advice promptly to understand your rights, potential claims, and the legal process involved in pursuing a case against the company for negligently hiring an employee who sexually exploited you.</t>
  </si>
  <si>
    <t>Maaari ko bang idemanda ang isang kumpanya para sa kapabayaang pagkuha ng isang empleyado na nang maglaon ay sekswal na pinagsamantalahan ako?</t>
  </si>
  <si>
    <t>What legal protections exist for undocumented workers who experience sexual exploitation?</t>
  </si>
  <si>
    <t>Undocumented workers, like all individuals, have basic human rights and are entitled to protection against sexual exploitation. In the Philippines, there are legal provisions and mechanisms that provide some level of protection for undocumented workers, irrespective of their immigration status. Here are key points to consider:
1. **Anti-Sexual Harassment Laws:**
- The Anti-Sexual Harassment Act of 1995 (Republic Act No. 7877) protects individuals from sexual harassment in the workplace, regardless of their immigration status.
- This law covers a broad range of workplaces, including those employing undocumented workers.
2. **Human Trafficking Laws:**
- Republic Act No. 9208, known as the Anti-Trafficking in Persons Act of 2003, criminalizes human trafficking and provides protection for victims.
- Victims of human trafficking, including those who may be undocumented, are entitled to assistance, protection, and support services.
3. **Labor Laws:**
- The Philippine Labor Code covers all workers, regardless of their immigration status. It establishes minimum labor standards, including working conditions, wages, and benefits.
- Exploitation, abuse, or violations of labor rights can be reported to the Department of Labor and Employment (DOLE).
4. **Access to Justice:**
- Undocumented workers, like any other person, have the right to access the justice system to report crimes, including sexual exploitation.
- The Revised Rules of Court do not prohibit the filing of cases by undocumented individuals.
5. **Non-Governmental Organizations (NGOs) and Support Services:**
- Various NGOs and support organizations in the Philippines work to protect the rights of migrants, including undocumented workers.
- These organizations may offer legal assistance, counseling, and support to victims of exploitation.
It's important to note that while legal protections exist, the challenges faced by undocumented workers in pursuing justice can be substantial. Fear of deportation, language barriers, and lack of awareness about their rights may hinder their ability to seek help. Efforts are being made by advocacy groups to address these barriers and ensure that all individuals, regardless of immigration status, can access legal protections.
If you or someone you know is an undocumented worker facing sexual exploitation, consider reaching out to relevant support organizations or legal services for guidance tailored to the specific circumstances.</t>
  </si>
  <si>
    <t>Anong mga legal na proteksyon ang umiiral para sa mga undocumented na manggagawa na nakakaranas ng sekswal na pagsasamantala?</t>
  </si>
  <si>
    <t>Can I sue a staffing agency for placing me in a job where I was sexually exploited?</t>
  </si>
  <si>
    <t>Yes, you may have legal grounds to sue a staffing agency if you were placed in a job where you experienced sexual exploitation. Staffing agencies have a duty to exercise reasonable care in placing employees, and they can be held liable if they are found to be negligent in their hiring and placement processes. Here are some key considerations:
1. **Negligent Placement:**
- If the staffing agency failed to conduct proper background checks, ignored red flags, or placed you in a position where there was a foreseeable risk of sexual exploitation, they may be held liable for negligent placement.
2. **Vicarious Liability:**
- The principle of vicarious liability may apply, meaning that the staffing agency could be held responsible for the actions of the employer or supervisor at the workplace where you experienced exploitation, especially if the exploitation occurred within the scope of your employment.
3. **Breach of Duty:**
- Staffing agencies owe a duty of care to the individuals they place in jobs. If they breach this duty, leading to harm or exploitation, you may have a legal claim against them.
4. **Anti-Sexual Harassment Laws:**
- The Anti-Sexual Harassment Act of 1995 (Republic Act No. 7877) in the Philippines provides protection against sexual harassment in the workplace. The staffing agency may be liable if it is found to have placed you in a situation where you were subjected to sexual exploitation.
5. **Consultation with Legal Professionals:**
- It is crucial to consult with a lawyer to assess the specific facts of your case, gather evidence, and determine the appropriate legal course of action.
- An attorney can guide you on the relevant laws, potential legal claims, and the necessary steps to take in pursuing a case against the staffing agency.
If you believe that you have a case against the staffing agency, it's important to act promptly. Document the incidents, gather evidence, and seek legal advice to understand your rights and options. An attorney can help you navigate the legal process and pursue compensation for any harm you may have suffered due to the agency's negligence.</t>
  </si>
  <si>
    <t>Maaari ko bang idemanda ang isang ahensya ng kawani para sa paglalagay sa akin sa isang trabaho kung saan ako ay pinagsamantalahan ng sekswal?</t>
  </si>
  <si>
    <t>How does the law define consent in cases of sexual exploitation in the workplace?</t>
  </si>
  <si>
    <t>In the Philippines, consent is a crucial aspect in determining whether an act constitutes sexual exploitation, and it is defined within the context of laws addressing sexual harassment. The primary legal framework governing this issue is the Anti-Sexual Harassment Act of 1995 (Republic Act No. 7877). Here are key points related to consent in cases of sexual exploitation in the workplace:
1. **Definition of Sexual Harassment:**
- The law defines sexual harassment as any unwanted sexual advance, request for sexual favors, or any other verbal or physical conduct of a sexual nature that interferes with an individual's work or creates a hostile work environment.
2. **Consent as a Key Element:**
- Consent, or the lack thereof, is a critical factor in determining whether an act qualifies as sexual harassment. Unwanted or non-consensual behavior is a key element in establishing a case of sexual exploitation.
3. **Power Dynamics:**
- The law recognizes the influence of power dynamics in the workplace. Sexual harassment may occur when there is a power imbalance between the parties involved, such as a supervisor-subordinate relationship.
4. **Objective Standard:**
- The assessment of consent is based on an objective standard. It considers how a reasonable person would perceive the behavior in question rather than relying solely on the subjective feelings of the individuals involved.
5. **No Implied Consent:**
- The law makes it clear that the existence of a prior consensual relationship between the parties does not imply ongoing consent. Consent must be explicit and obtained for each specific instance.
6. **Prohibited Acts:**
- The law specifically identifies certain acts as forms of sexual harassment, including making sexual advances, requesting sexual favors, or engaging in any conduct of a sexual nature, whether verbal or physical, that is unwelcome.
It's important to note that consent is a nuanced and complex issue, and the legal definitions and interpretations may vary. The emphasis in the Anti-Sexual Harassment Act is on creating a safe and respectful work environment, and any form of sexual exploitation that violates this standard can be legally addressed.
If you believe you have experienced sexual exploitation in the workplace, it's advisable to consult with legal professionals who can provide guidance based on the specific details of your situation and help you understand your rights and potential courses of action.</t>
  </si>
  <si>
    <t>Paano tinutukoy ng batas ang pahintulot sa mga kaso ng sekswal na pagsasamantala sa lugar ng trabaho?</t>
  </si>
  <si>
    <t>Can I pursue civil damages against someone who sexually exploited me if criminal charges aren't filed?</t>
  </si>
  <si>
    <t>Yes, you may pursue civil damages against someone who sexually exploited you even if criminal charges aren't filed or if the criminal case does not result in a conviction. Civil damages are separate from criminal charges and involve seeking compensation for the harm you have suffered. Here are some key points to consider:
1. **Civil Lawsuit for Sexual Exploitation:**
- You have the right to file a civil lawsuit seeking damages against the individual who sexually exploited you. This is a separate legal process from any criminal proceedings.
2. **Legal Grounds for a Civil Lawsuit:**
- The legal grounds for a civil lawsuit may include claims such as intentional infliction of emotional distress, invasion of privacy, and other torts depending on the circumstances of the exploitation.
3. **Standard of Proof:**
- The standard of proof in a civil case is lower than in a criminal case. While a criminal case requires proof beyond a reasonable doubt, a civil case typically requires a preponderance of the evidence, meaning that it is more likely than not that the alleged misconduct occurred.
4. **Compensation in Civil Lawsuits:**
- In a civil lawsuit, you may seek compensation for various damages, including medical expenses, therapy costs, emotional distress, loss of earnings, and other harm caused by the exploitation.
5. **Consultation with Legal Professionals:**
- It is crucial to consult with a lawyer to assess the specific facts of your case, gather evidence, and determine the appropriate legal course of action.
- An attorney can guide you on the relevant laws, potential legal claims, and the necessary steps to take in pursuing a civil case against the person responsible for the sexual exploitation.
6. **Statute of Limitations:**
- Be aware of the statute of limitations, which is the time limit within which a lawsuit must be filed. In the Philippines, the statute of limitations for civil cases can vary, so it's important to consult with a lawyer promptly.
It's important to emphasize that pursuing a civil case is your right, and you can seek justice and compensation for the harm you have suffered. If you decide to move forward with a civil lawsuit, a legal professional can guide you through the process and help you navigate the complexities of the legal system.</t>
  </si>
  <si>
    <t>Maaari ba akong maghabol ng mga pinsalang sibil laban sa isang taong sekswal na nagsasamantala sa akin kung hindi isinampa ang mga kasong kriminal?</t>
  </si>
  <si>
    <t>Are there specific laws protecting LGBTQ+ individuals from sexual exploitation at work?</t>
  </si>
  <si>
    <t>In the Philippines, laws protecting individuals from sexual exploitation in the workplace, including LGBTQ+ individuals, are generally applicable to all employees regardless of sexual orientation, gender identity, or expression. Specific legal provisions addressing sexual harassment provide protection for LGBTQ+ individuals in the workplace. One such key legislation is the Anti-Sexual Harassment Act of 1995 (Republic Act No. 7877).
Here are some points to consider:
1. **Anti-Sexual Harassment Act of 1995:**
- This law prohibits sexual harassment in the workplace, covering unwelcome sexual advances, requests for sexual favors, and other verbal or physical conduct of a sexual nature.
- The law is inclusive and protects all employees, regardless of their gender identity or sexual orientation.
2. **Equal Protection Clause:**
- The Philippine Constitution includes an equal protection clause (Article III, Section 1) that prohibits discrimination on various grounds, including sex. Courts have interpreted this to cover protection against discrimination based on sexual orientation and gender identity.
3. **Labor Laws:**
- General labor laws in the Philippines, such as the Labor Code, provide protection to all employees against exploitation, abuse, and unfair labor practices.
4. **Philippine HIV/AIDS Policy Act:**
- The Philippine HIV/AIDS Policy Act (Republic Act No. 11166) prohibits discrimination based on HIV status. While not specific to sexual exploitation, it contributes to the protection of the rights of individuals, including those in the LGBTQ+ community.
5. **National Anti-Discrimination Bill:**
- As of my knowledge cutoff in January 2022, there were discussions about the possible passage of a National Anti-Discrimination Bill that would explicitly address discrimination based on sexual orientation, gender identity, and expression in various sectors, including employment. It's important to check for updates on the status of this legislation.
While there is legal protection, challenges related to awareness, enforcement, and societal attitudes may still exist. Individuals who believe they have experienced sexual exploitation or discrimination at work based on their LGBTQ+ status should seek legal advice from professionals who specialize in employment law or LGBTQ+ rights. Additionally, staying informed about any recent legal developments in this area is advisable.</t>
  </si>
  <si>
    <t>Mayroon bang mga partikular na batas na nagpoprotekta sa mga LGBTQ+ na indibidwal mula sa sekswal na pagsasamantala sa trabaho?</t>
  </si>
  <si>
    <t>Can I file a lawsuit against a supervisor who knew about sexual exploitation but did nothing to stop it?</t>
  </si>
  <si>
    <t>Yes, you may have legal grounds to file a lawsuit against a supervisor who knew about sexual exploitation in the workplace but took no action to prevent or address it. In such cases, the legal concept of "vicarious liability" or "supervisory liability" may come into play. Here are key points to consider:
1. **Negligence and Failure to Act:**
- If a supervisor was aware of sexual exploitation taking place in the workplace but failed to take reasonable steps to prevent or address it, they may be held liable for negligence.
2. **Vicarious Liability:**
- Vicarious liability refers to the legal responsibility of a superior for the actions of subordinates when those actions occur within the scope of employment. If the supervisor had the authority to prevent or address sexual exploitation and failed to do so, the employer may be vicariously liable.
3. **Anti-Sexual Harassment Laws:**
- The Anti-Sexual Harassment Act of 1995 (Republic Act No. 7877) in the Philippines prohibits sexual harassment in the workplace. Both the person directly responsible for the harassment and those in authority who failed to prevent it may be held liable.
4. **Hostile Work Environment:**
- If the supervisor's inaction contributes to creating a hostile work environment, this may also form the basis for a legal claim.
5. **Consultation with Legal Professionals:**
- It is crucial to consult with a lawyer to assess the specific facts of your case, gather evidence, and determine the appropriate legal course of action.
- An attorney can guide you on the relevant laws, potential legal claims, and the necessary steps to take in pursuing a case against the supervisor or employer.
When pursuing legal action against a supervisor, it's important to document incidents, gather evidence, and maintain a record of any communication or complaints you made. Reporting the issue to higher management or the human resources department, if applicable, may also be relevant.
Legal professionals can help you navigate the complexities of employment law and guide you through the process of seeking justice for the harm you have suffered due to a supervisor's failure to address sexual exploitation in the workplace.</t>
  </si>
  <si>
    <t>Maaari ba akong magsampa ng kaso laban sa isang superbisor na alam ang tungkol sa sekswal na pagsasamantala ngunit walang ginawa upang pigilan ito?</t>
  </si>
  <si>
    <t>How can I ensure my anonymity if I report sexual exploitation in the workplace?</t>
  </si>
  <si>
    <t>Ensuring your anonymity when reporting sexual exploitation in the workplace is important for your safety and well-being. Here are some steps you can consider to maintain confidentiality:
1. **Use Anonymous Reporting Channels:**
- Many organizations have anonymous reporting mechanisms in place, such as hotlines, online reporting forms, or third-party services. Utilize these channels to report the incidents while keeping your identity confidential.
2. **Consult with a Confidential Counselor:**
- If your workplace has a counselor or ombudsman, consider seeking their guidance. Conversations with certain professionals, like counselors or therapists, are often protected by confidentiality rules.
3. **Legal and Whistleblower Protections:**
- In some jurisdictions, there are legal protections for whistleblowers who report wrongdoing in the workplace. Familiarize yourself with the whistleblower protection laws in your country to understand your rights.
4. **Secure Communication Channels:**
- If you need to communicate with the authorities, use secure and private communication channels. Avoid using company email or other systems that may be monitored.
5. **Document Anonymously:**
- If you need to provide documents or evidence, consider doing so anonymously. This could involve sending information through a secure, anonymous channel or using a pseudonym.
6. **Seek Legal Advice:**
- Consult with a lawyer who specializes in employment law to understand the legal protections available to you and the best ways to maintain confidentiality while reporting sexual exploitation.
7. **Limit Disclosure of Details:**
- When reporting, provide only the necessary details to protect your identity. Focus on the facts related to the exploitation without revealing personal information that may identify you.
8. **Whistleblower Hotlines or Organizations:**
- Some countries or regions have independent whistleblower hotlines or organizations that allow individuals to report misconduct anonymously. Check if such resources are available to you.
9. **Create an Anonymous Email Account:**
- If you need to communicate via email, consider creating an anonymous email account that does not contain any personal information.
10. **Secure Devices and Communication:**
- Ensure that your devices are secure, and use encryption tools if possible. Be cautious about discussing the case even in person, and choose secure locations for any conversations.
It's important to note that maintaining complete anonymity can be challenging, especially if a legal investigation is required. Be aware of the limitations and potential risks, and consult with legal professionals to create a strategy that ensures your safety while addressing the issue of sexual exploitation in the workplace.</t>
  </si>
  <si>
    <t>Paano ko matitiyak ang aking hindi pagkakilala kung mag-uulat ako ng sekswal na pagsasamantala sa lugar ng trabaho?</t>
  </si>
  <si>
    <t>Can I seek compensation for emotional distress resulting from sexual exploitation at work?</t>
  </si>
  <si>
    <t>Yes, you may be able to seek compensation for emotional distress resulting from sexual exploitation at work. Emotional distress is a recognized form of harm for which individuals may be entitled to compensation in certain legal contexts. Here are some key points to consider:
1. **Anti-Sexual Harassment Laws:**
- In the Philippines, the Anti-Sexual Harassment Act of 1995 (Republic Act No. 7877) prohibits sexual harassment in the workplace. This law recognizes the emotional and psychological impact of sexual harassment and provides a basis for seeking compensation.
2. **Civil Lawsuits:**
- You may consider filing a civil lawsuit against the individuals or entities responsible for the sexual exploitation. Emotional distress can be one of the elements for which you seek compensation in such a lawsuit.
3. **Torts:**
- Emotional distress claims often fall under the category of tort law, specifically the tort of intentional infliction of emotional distress. If the actions leading to your emotional distress were intentional or reckless, you may have a legal basis for a tort claim.
4. **Damages for Emotional Distress:**
- In a civil lawsuit, damages for emotional distress may include compensation for mental anguish, anxiety, humiliation, and other emotional suffering caused by the sexual exploitation.
5. **Evidence:**
- To support a claim for emotional distress, it is important to document the incidents and gather evidence that demonstrates the impact on your mental and emotional well-being. This may include medical records, therapy records, witness statements, and any relevant documentation.
6. **Consultation with Legal Professionals:**
- It is crucial to consult with a lawyer to assess the specific facts of your case, gather evidence, and determine the appropriate legal course of action.
- An attorney can guide you on the relevant laws, potential legal claims, and the necessary steps to take in pursuing compensation for emotional distress.
Keep in mind that the legal process can be complex, and seeking compensation for emotional distress may involve navigating various legal principles and requirements. Consulting with a legal professional who specializes in employment law or civil litigation will help you understand your rights, assess the strength of your case, and pursue the appropriate legal remedies for the harm you have suffered.</t>
  </si>
  <si>
    <t>Maaari ba akong humingi ng kabayaran para sa emosyonal na pagkabalisa na nagreresulta mula sa sekswal na pagsasamantala sa trabaho?</t>
  </si>
  <si>
    <t>Are there any federal laws specifically addressing sexual exploitation in industries like entertainment or modeling?</t>
  </si>
  <si>
    <t>In the Philippines, there are no specific federal laws exclusively addressing sexual exploitation in the entertainment or modeling industries. However, there are broader legal provisions that may apply to such cases. Here are some relevant laws and considerations:
1. **Anti-Sexual Harassment Act of 1995 (Republic Act No. 7877):**
- This law prohibits sexual harassment in the workplace, covering various industries, including entertainment and modeling. Individuals working in these fields are entitled to protection against unwelcome sexual advances or conduct.
2. **Labor Code of the Philippines:**
- The Labor Code sets out general labor standards and regulations applicable to all industries. It includes provisions related to the rights of workers, working conditions, and employer obligations.
3. **Child Labor Laws:**
- Laws related to child labor, such as Republic Act No. 9231 (An Act Providing for the Elimination of the Worst Forms of Child Labor and Affording Stronger Protection for the Working Child), aim to protect minors from exploitation in various industries, including entertainment.
4. **Expanded Anti-Trafficking in Persons Act (Republic Act No. 10364):**
- While not specific to the entertainment or modeling industries, this law addresses human trafficking and includes provisions for the protection of individuals from exploitation.
5. **Code of Conduct and Ethical Standards for Public Officials and Employees (Republic Act No. 6713):**
- For those working in government agencies, this law sets forth ethical standards and conduct, including provisions related to preventing sexual harassment.
It's important to note that while there may not be industry-specific federal laws, existing legislation provides a foundation for addressing sexual exploitation in various contexts, including entertainment and modeling. Additionally, the legal landscape may evolve, so it's advisable to stay informed about any updates or new laws that may be enacted.
If you are facing sexual exploitation or harassment in the workplace within these industries, you may want to consult with a legal professional who specializes in employment law to discuss your specific situation and explore the legal options available to you.</t>
  </si>
  <si>
    <t>Mayroon bang anumang mga pederal na batas na partikular na tumutugon sa sekswal na pagsasamantala sa mga industriya tulad ng entertainment o pagmomolde?</t>
  </si>
  <si>
    <t>Can I sue a landlord if they sexually exploited me as a condition of my lease agreement?</t>
  </si>
  <si>
    <t>Yes, you may have legal grounds to sue a landlord if they sexually exploited you as a condition of your lease agreement. Sexual exploitation is a serious violation of the law, and individuals have the right to seek legal remedies for such misconduct. Here are some key points to consider:
1. **Criminal Offense:**
- Sexual exploitation, coercion, or harassment as a condition of a lease agreement is not only a violation of civil law but may also constitute a criminal offense. You may consider reporting the incident to law enforcement.
2. **Civil Lawsuit:**
- You may have grounds to file a civil lawsuit against the landlord for damages. This could include compensation for emotional distress, medical expenses, and other harm resulting from the sexual exploitation.
3. **Violation of Lease Agreement:**
- If the landlord's actions are connected to the lease agreement, it may constitute a violation of the terms and conditions of the lease. Documenting the exploitation and any related actions can be crucial evidence in a legal case.
4. **Consultation with Legal Professionals:**
- It is crucial to consult with an attorney to assess the specific facts of your case, gather evidence, and determine the appropriate legal course of action.
- An attorney can guide you on the relevant laws, potential legal claims, and the necessary steps to take in pursuing a case against the landlord.
5. **Evidence and Documentation:**
- Collect and preserve any evidence related to the sexual exploitation, including messages, emails, or other communications. If there were witnesses, consider obtaining their statements.
6. **Confidentiality and Privacy:**
- Discuss with your attorney how to maintain confidentiality and privacy throughout the legal process, especially if you are concerned about potential retaliation.
7. **Statute of Limitations:**
- Be aware of the statute of limitations for filing a lawsuit. Consult with your attorney to ensure that you file within the legally prescribed timeframe.
Remember that laws can vary, so it's important to seek legal advice from professionals who specialize in sexual exploitation or harassment cases. If you are in immediate danger or need urgent assistance, consider contacting local law enforcement or a crisis hotline for support.</t>
  </si>
  <si>
    <t>Maaari ko bang idemanda ang isang may-ari kung ginawa nila akong sekswal na pagsasamantala bilang isang kondisyon ng aking kasunduan sa pag-upa?</t>
  </si>
  <si>
    <t>What protections exist for individuals who are sexually exploited while receiving medical treatment?</t>
  </si>
  <si>
    <t>Sexual exploitation in the context of medical treatment is a serious violation of trust and ethical standards. Individuals who experience such exploitation may have legal recourse and protection. The specific legal provisions can vary, but here are some general points to consider:
1. **Medical Malpractice Laws:**
- If the sexual exploitation occurs within the context of medical treatment and involves a healthcare professional, medical malpractice laws may apply. Victims can file a lawsuit against the healthcare provider for negligence, intentional misconduct, or violation of the standard of care.
2. **Professional Licensing Boards:**
- Regulatory bodies overseeing medical professionals may take action against individuals who engage in sexual exploitation. Complaints can be filed with the relevant licensing boards, triggering investigations and potential disciplinary actions.
3. **Patient's Bill of Rights:**
- Many jurisdictions have a Patient's Bill of Rights or a similar set of regulations that outline the rights of patients, including the right to receive medical care free from abuse or exploitation. Violations of these rights can lead to legal consequences for the responsible healthcare provider.
4. **Criminal Charges:**
- In some cases, sexual exploitation by a healthcare professional may also lead to criminal charges, such as sexual assault or abuse. Reporting the incident to law enforcement can initiate a criminal investigation.
5. **Civil Lawsuits:**
- Victims of sexual exploitation during medical treatment may pursue civil lawsuits against the responsible parties. These lawsuits can seek compensation for damages, including emotional distress, medical expenses, and other related harm.
6. **Confidentiality and Privacy Laws:**
- Healthcare providers are bound by laws and ethical standards to protect patient confidentiality. If the sexual exploitation involves a breach of privacy or confidentiality, additional legal avenues may be available.
7. **Reporting and Documentation:**
- Victims should report the incident to the appropriate authorities, including law enforcement, medical licensing boards, and relevant healthcare institutions. Documenting the incident and preserving any evidence is important for legal proceedings.
8. **Consultation with Legal Professionals:**
- If you have experienced sexual exploitation during medical treatment, it is crucial to consult with an attorney specializing in medical malpractice or healthcare law. An attorney can provide guidance on the specific legal options available to you and help you navigate the legal process.
It's important to note that legal protections and available remedies may vary depending on the jurisdiction and the specific circumstances of the case. Seeking the advice of legal professionals who specialize in healthcare law or medical malpractice is essential for understanding your rights and pursuing justice.</t>
  </si>
  <si>
    <t>Anong mga proteksyon ang umiiral para sa mga indibidwal na pinagsasamantalahang sekswal habang tumatanggap ng medikal na paggamot?</t>
  </si>
  <si>
    <t>Can I file a lawsuit against a religious organization for sexual exploitation by clergy or staff?</t>
  </si>
  <si>
    <t>Yes, you may have legal grounds to file a lawsuit against a religious organization for sexual exploitation by clergy or staff. Sexual exploitation within a religious context is a serious violation, and legal remedies may be available to victims. Here are some key points to consider:
1. **Civil Lawsuit:**
- You can file a civil lawsuit against the religious organization, clergy, or staff members responsible for the sexual exploitation. Such lawsuits may seek compensation for damages, including emotional distress, medical expenses, and other harm resulting from the exploitation.
2. **Negligence and Vicarious Liability:**
- Claims in such lawsuits often involve allegations of negligence on the part of the religious organization, such as failing to properly screen or supervise clergy or staff. Vicarious liability may also come into play, holding the organization responsible for the actions of its representatives.
3. **Clergy Malpractice:**
- Some jurisdictions recognize the concept of clergy malpractice, which refers to professional negligence or misconduct by clergy members. This may be an additional legal avenue for seeking compensation.
4. **Duty of Care:**
- Religious organizations, like other institutions, have a duty of care to their members and attendees. If they fail to uphold this duty and individuals are harmed as a result, legal claims may arise.
5. **Statute of Limitations:**
- Be aware of the statute of limitations, which is the time limit within which a lawsuit must be filed. Statutes of limitations vary, and it's crucial to consult with an attorney to ensure compliance with these deadlines.
6. **Reporting to Law Enforcement:**
- If the sexual exploitation involves criminal conduct, consider reporting the incident to law enforcement. Criminal charges against the responsible individuals may be pursued independently of a civil lawsuit.
7. **Confidentiality and Privacy:**
- Discuss with your attorney how to maintain confidentiality and privacy throughout the legal process, especially if you are concerned about potential retaliation or public exposure.
8. **Legal Consultation:**
- Consult with an attorney who specializes in sexual exploitation cases or religious organization liability. An attorney can provide guidance on the specific laws applicable to your situation, assess the strength of your case, and help you pursue legal remedies.
It's important to note that legal considerations may vary depending on the jurisdiction, and the laws pertaining to religious organizations can be complex. Seeking the advice of legal professionals who specialize in sexual exploitation cases or religious institution liability is essential for understanding your rights and pursuing justice.</t>
  </si>
  <si>
    <t>Maaari ba akong magsampa ng kaso laban sa isang relihiyosong organisasyon para sa sekswal na pagsasamantala ng mga klero o kawani?</t>
  </si>
  <si>
    <t>How can I find a lawyer who specializes in cases of sexual exploitation in the workplace?</t>
  </si>
  <si>
    <t>Finding a lawyer who specializes in cases of sexual exploitation in the workplace involves specific steps to ensure you have the right legal representation for your situation. Here are some suggestions to help you find a qualified attorney:
1. **Legal Directories:**
- Use online legal directories to search for attorneys specializing in employment law or sexual harassment cases. Websites like Martindale-Hubbell, Avvo, or FindLaw provide information on lawyers, including their practice areas and client reviews.
2. **Bar Associations:**
- Contact your local or state bar association. They often provide referral services that can help you find attorneys specializing in employment law or sexual exploitation cases.
3. **Employment Law Organizations:**
- Organizations focused on employment law may have resources to help you find attorneys with expertise in sexual exploitation cases. Examples include the National Employment Lawyers Association (NELA) in the United States.
4. **Victim Advocacy Groups:**
- Reach out to victim advocacy groups or organizations that specialize in supporting individuals who have experienced sexual harassment or exploitation. They may be able to recommend attorneys with relevant expertise.
5. **Internet Search:**
- Conduct targeted internet searches using keywords such as "sexual exploitation lawyer" or "workplace harassment attorney." Check the websites of law firms to learn more about their practice areas.
6. **Referrals from Other Lawyers:**
- If you have worked with an attorney in a different legal area, ask them for recommendations. Lawyers often have professional networks and can refer you to colleagues with the right expertise.
7. **Consultations:**
- Schedule consultations with potential attorneys to discuss your case. During these meetings, assess the attorney's experience, approach, and their understanding of sexual exploitation laws in your jurisdiction.
8. **Local Legal Aid:**
- Contact local legal aid organizations or clinics. They may provide assistance or referrals, especially if you have financial constraints.
9. **Check Professional Organizations:**
- Professional organizations related to employment law or sexual harassment, such as the American Bar Association (ABA) or state-specific associations, may offer resources to help you find qualified attorneys.
10. **Review Websites and Testimonials:**
- Look for attorney websites and read client testimonials or reviews. This can give you insights into their reputation and success in handling similar cases.
Remember, it's essential to choose an attorney who specializes in employment law or sexual exploitation cases and has a successful track record in these areas. Additionally, ensure that you feel comfortable working with the attorney and that they understand the complexities of your specific situation. Legal consultations are often an opportunity to discuss your case and evaluate whether the attorney is the right fit for your needs.</t>
  </si>
  <si>
    <t>Paano ako makakahanap ng abogado na dalubhasa sa mga kaso ng sekswal na pagsasamantala sa lugar ng trabaho?</t>
  </si>
  <si>
    <t>Can I seek punitive damages against a company for condoning sexual exploitation by its employees?</t>
  </si>
  <si>
    <t>In certain circumstances, you may be able to seek punitive damages against a company for condoning sexual exploitation by its employees. Punitive damages, also known as exemplary damages, are awarded not to compensate the victim but to punish the wrongdoer and deter similar conduct in the future. However, the availability of punitive damages can depend on various factors and the laws of the jurisdiction involved.
Here are some considerations:
1. **Gross Negligence or Willful Misconduct:**
- Punitive damages are often awarded when there is evidence of gross negligence, willful misconduct, or a reckless disregard for the rights and safety of others. If a company condones or is complicit in sexual exploitation by its employees, it may be considered gross negligence or willful misconduct.
2. **Evidence of Company Knowledge:**
- To pursue punitive damages, you may need to provide evidence that the company had knowledge of the sexual exploitation and either condoned, ignored, or failed to address the misconduct. This could include documentation, witness statements, or other forms of proof.
3. **Legal Standards in Jurisdiction:**
- The availability of punitive damages varies by jurisdiction. Some jurisdictions have specific standards and limitations on punitive damages, and they may only be awarded in certain circumstances.
4. **Anti-Sexual Harassment Laws:**
- If the sexual exploitation violates anti-sexual harassment laws, the company may be held liable under these laws, and punitive damages could be sought as part of a legal claim.
5. **Consultation with Legal Professionals:**
- It is crucial to consult with an attorney who specializes in employment law or sexual harassment cases. An attorney can assess the specific facts of your case, guide you on the relevant laws, and help determine whether punitive damages may be pursued.
6. **Limitations and Caps:**
- Some jurisdictions may have limitations or caps on punitive damages. Be aware of the legal framework in your jurisdiction and discuss these aspects with your attorney.
7. **Company Policies and Practices:**
- If the company has policies and practices in place to prevent and address sexual harassment but fails to enforce them, this may strengthen a case for punitive damages.
It's important to note that pursuing punitive damages can involve a higher burden of proof compared to compensatory damages. Consultation with a legal professional will help you understand the specific legal options available in your situation and guide you through the process of seeking damages for the harm caused by the company's actions or omissions.</t>
  </si>
  <si>
    <t>Maaari ba akong humingi ng parusa laban sa isang kumpanya para sa pagkunsinti ng sekswal na pagsasamantala ng mga empleyado nito?</t>
  </si>
  <si>
    <t>What legal options are available if I was sexually exploited during a job interview or hiring process?</t>
  </si>
  <si>
    <t>If you have experienced sexual exploitation during a job interview or hiring process, you may have legal options to address the harm you've suffered. The specific legal avenues available can vary based on the jurisdiction and the nature of the incident. Here are some potential legal options to consider:
1. **Anti-Discrimination Laws:**
- Many jurisdictions have laws prohibiting discrimination in employment, which may encompass sexual exploitation during the hiring process. Check local anti-discrimination laws that protect individuals on the basis of sex, gender, or other relevant factors.
2. **Sexual Harassment Laws:**
- Sexual harassment laws may apply to situations where inappropriate conduct occurs during a job interview or hiring process. Such laws typically prohibit unwelcome sexual advances, requests for sexual favors, and other forms of sexual harassment.
3. **Title VII of the Civil Rights Act (United States):**
- In the United States, Title VII of the Civil Rights Act of 1964 prohibits sexual harassment and discrimination in employment. Victims can file a complaint with the Equal Employment Opportunity Commission (EEOC) or pursue legal action against the employer.
4. **Local Employment Laws:**
- Check for specific employment laws and regulations in your jurisdiction that address workplace harassment and discrimination. These laws may provide additional protections beyond federal or national statutes.
5. **Company Policies and Procedures:**
- Review the employer's policies and procedures regarding workplace harassment and discrimination. Companies often have internal mechanisms for reporting such incidents.
6. **Legal Consultation:**
- Consult with an attorney who specializes in employment law or workplace harassment. An attorney can assess the specific facts of your case, guide you on the relevant laws, and help you understand your legal rights and options.
7. **Reporting to Authorities:**
- In some cases, particularly if the sexual exploitation involves criminal conduct, you may consider reporting the incident to law enforcement.
8. **Documentation:**
- Maintain detailed documentation of the incident, including any communications, actions, or behaviors that constitute sexual exploitation. This evidence may be crucial in supporting your case.
9. **Time Limits (Statute of Limitations):**
- Be aware of any time limits (statute of limitations) for filing a complaint or lawsuit. Consult with an attorney promptly to ensure compliance with these time constraints.
It's important to take swift action if you've experienced sexual exploitation during a job interview or hiring process. Consulting with a legal professional will help you understand the specific laws applicable to your situation and guide you through the process of seeking justice and remedy for the harm you have suffered.</t>
  </si>
  <si>
    <t>Anong mga legal na opsyon ang magagamit kung ako ay sekswal na pinagsamantalahan sa panahon ng isang pakikipanayam sa trabaho o proseso ng pagkuha?</t>
  </si>
  <si>
    <t>Can I pursue a civil lawsuit against a school or educational institution for sexual exploitation by staff?</t>
  </si>
  <si>
    <t>Yes, you may pursue a civil lawsuit against a school or educational institution for sexual exploitation by staff. Schools have a duty to provide a safe and secure environment for students, and when staff members engage in sexual exploitation, the institution may be held liable. Here are key considerations if you are contemplating a civil lawsuit:
1. **Negligence:**
- A common legal claim in cases of sexual exploitation by staff is negligence. If the school failed to exercise reasonable care in hiring, training, and supervising its staff, and this negligence led to the exploitation, the institution may be held liable.
2. **Vicarious Liability:**
- The doctrine of vicarious liability may apply, holding the school responsible for the actions of its employees if the exploitation occurred within the scope of their employment. This principle is based on the idea that the employer is responsible for the actions of its employees during the course of their work.
3. **Title IX (United States):**
- In the United States, Title IX of the Education Amendments of 1972 prohibits sex discrimination, including sexual harassment, in educational programs and activities. Schools that receive federal funding are obligated to address and prevent sexual misconduct, and victims can pursue legal action for violations.
4. **Duty to Protect Students:**
- Schools have a duty to protect students from harm, including sexual exploitation. If the institution is aware of the misconduct and fails to take appropriate action, it may be held liable for breaching its duty to protect students.
5. **Intentional Infliction of Emotional Distress:**
- In some cases, victims may pursue claims for intentional infliction of emotional distress, especially if the staff member's actions were extreme and caused severe emotional harm.
6. **Statute of Limitations:**
- Be aware of the statute of limitations, which is the time limit within which a lawsuit must be filed. It is important to consult with an attorney promptly to ensure compliance with these time constraints.
7. **Evidence and Documentation:**
- Document the incidents, preserve any evidence, and gather information that may support your case. This may include witness statements, communications, and any relevant records.
8. **Consultation with Legal Professionals:**
- Consult with an attorney who specializes in education law, sexual exploitation cases, or civil litigation. An attorney can guide you on the relevant laws, assess the strength of your case, and help you navigate the legal process.
When pursuing legal action against a school for sexual exploitation by staff, it is important to seek the advice of legal professionals who understand the complexities of educational and employment laws. An attorney can help you understand your rights, assess the viability of your case, and pursue justice for the harm you have suffered.</t>
  </si>
  <si>
    <t>Maaari ko bang ituloy ang isang sibil na kaso laban sa isang paaralan o institusyong pang-edukasyon para sa sekswal na pagsasamantala ng mga kawani?</t>
  </si>
  <si>
    <t>How does the law protect individuals from sexual exploitation in the gig economy or freelance work?</t>
  </si>
  <si>
    <t>In the Philippines, protection from sexual exploitation in the gig economy or freelance work is primarily covered by general labor laws and regulations, including the Labor Code of the Philippines. While there may not be specific provisions addressing the gig economy or freelance work explicitly, the following legal principles and frameworks contribute to protecting individuals from sexual exploitation:
1. **Labor Code of the Philippines (Presidential Decree No. 442, as amended):**
- The Labor Code sets forth general labor standards and regulations applicable to all employment relationships, including those in the gig economy or freelance work.
- Relevant provisions include regulations on working conditions, wages, and the employer's duty to provide a safe and healthy working environment.
2. **Anti-Sexual Harassment Act of 1995 (Republic Act No. 7877):**
- This law prohibits sexual harassment in the workplace, and its provisions extend to various employment relationships, including those in the gig economy or freelance work.
- It defines sexual harassment and imposes obligations on employers to prevent and address such behavior.
3. **Contractual Agreements and Protections:**
- Individuals engaged in freelance work or gig economy jobs may enter into contractual agreements that include clauses related to professional conduct, non-discrimination, and the prevention of harassment.
- These contractual provisions can serve as a basis for legal action if there are instances of sexual exploitation.
4. **Equal Protection Clause (Philippine Constitution, Article III, Section 1):**
- The equal protection clause of the Philippine Constitution prohibits discrimination on various grounds, including sex. While not specific to sexual exploitation, it provides a constitutional basis for protection against discrimination.
5. **Gender-Focused Laws:**
- Laws promoting gender equality and protecting individuals from discrimination, such as the Magna Carta of Women (Republic Act No. 9710), contribute to the overall legal framework for preventing and addressing sexual exploitation.
6. **Self-Employed Workers and Human Rights:**
- Human rights principles, including the right to work in dignity and free from exploitation, apply to all individuals, including those in self-employed or freelance arrangements.
It's important to note that legal protections in the gig economy or freelance work may be influenced by the evolving nature of employment relationships. While some legal provisions are generally applicable, specific challenges may arise due to the decentralized and often informal nature of gig work.
Individuals in the gig economy or freelance work who experience sexual exploitation should consult with legal professionals specializing in employment law. Seeking advice on applicable laws, contractual protections, and potential legal remedies is crucial for addressing such issues in a comprehensive manner.</t>
  </si>
  <si>
    <t>Paano pinoprotektahan ng batas ang mga indibidwal mula sa sekswal na pagsasamantala sa gig economy o freelance na trabaho?</t>
  </si>
  <si>
    <t>Can I sue a company for failing to provide adequate security measures to prevent sexual exploitation?</t>
  </si>
  <si>
    <t>Yes, you may have grounds to sue a company for failing to provide adequate security measures to prevent sexual exploitation. Companies have a duty to ensure the safety and well-being of their employees and visitors, and failure to implement reasonable security measures may lead to legal liability. Here are key considerations:
1. **Negligence:**
- A common legal claim in such cases is negligence. To establish negligence, you typically need to show that the company had a duty to provide a safe environment, breached that duty by failing to implement adequate security measures, and that the breach directly resulted in harm.
2. **Duty of Care:**
- Companies have a duty of care to provide a safe and secure environment for employees, customers, and other individuals on their premises. This duty includes taking reasonable steps to prevent sexual exploitation and other forms of harm.
3. **Foreseeability:**
- Courts may consider whether the harm, including sexual exploitation, was foreseeable. If the company knew or should have known about the risks of such incidents and failed to address them, it strengthens the negligence claim.
4. **Security Measures:**
- The adequacy of security measures is crucial. This may include proper lighting, surveillance systems, access control, and other measures that are appropriate for the nature of the business and potential risks.
5. **Anti-Sexual Harassment Policies:**
- If the sexual exploitation is related to workplace harassment, the company's failure to enforce or implement anti-sexual harassment policies may also be a basis for legal action.
6. **Duty to Warn:**
- In some cases, a duty to warn may exist. If the company is aware of specific risks or threats, it may have an obligation to inform employees and visitors about those risks.
7. **Consultation with Legal Professionals:**
- It is crucial to consult with an attorney who specializes in premises liability, personal injury, or employment law. An attorney can assess the specific facts of your case, guide you on the relevant laws, and help you determine the appropriate legal course of action.
8. **Evidence and Documentation:**
- Document the incidents, preserve any evidence, and gather information that may support your case. This may include records of previous incidents, communications with the company, and any security-related documentation.
It's important to note that laws and legal standards can vary, and the specific circumstances of each case are crucial in determining liability. Consulting with legal professionals who specialize in premises liability or personal injury law will help you understand your rights, assess the strength of your case, and pursue legal remedies for the harm you have suffered.</t>
  </si>
  <si>
    <t>Maaari ko bang idemanda ang isang kumpanya para sa hindi pagbibigay ng sapat na mga hakbang sa seguridad upang maiwasan ang sekswal na pagsasamantala?</t>
  </si>
  <si>
    <t>What should I do if I'm being blackmailed by someone who sexually exploited me at work?</t>
  </si>
  <si>
    <t>If you are being blackmailed by someone who sexually exploited you at work, it is essential to take immediate steps to protect yourself and seek assistance. Here are some recommended actions:
1. **Do Not Give in to Demands:**
- Resist complying with the blackmailer's demands. Giving in may not guarantee that the exploitation will stop, and it can further empower the blackmailer.
2. **Document Evidence:**
- Preserve any evidence related to the sexual exploitation and the blackmail. This may include text messages, emails, or any other form of communication. Documentation can be crucial if you decide to involve law enforcement or pursue legal action.
3. **Seek Support:**
- Reach out to friends, family, or colleagues whom you trust. Share your situation with them, and consider seeking emotional support. Having a support system is important during challenging times.
4. **Report to Authorities:**
- If you feel comfortable and safe doing so, report the sexual exploitation and blackmail to local law enforcement. Provide them with any evidence you have gathered. Blackmail is a criminal offense in many jurisdictions.
5. **Inform Your Employer or HR Department:**
- Report the incidents to your employer or the human resources (HR) department. Many workplaces have policies and procedures in place to address harassment and misconduct. They may conduct an internal investigation and take appropriate action.
6. **Consult with an Attorney:**
- Seek legal advice from an attorney specializing in employment law or harassment cases. An attorney can guide you on your legal rights, help you navigate the situation, and advise on potential legal actions you may take against the blackmailer.
7. **Consider a Restraining Order:**
- If you feel threatened, you may explore obtaining a restraining order or protection order against the blackmailer. This legal document prohibits them from contacting or approaching you.
8. **Use Technology Safely:**
- Be cautious about your online presence. Adjust your privacy settings on social media platforms, and consider blocking the blackmailer to limit their access to your personal information.
9. **Self-Care:**
- Focus on your well-being and mental health. Consider seeking counseling or therapy to cope with the emotional impact of the exploitation and blackmail.
10. **Know Your Rights:**
- Familiarize yourself with the anti-sexual harassment laws and workplace policies in your jurisdiction. Knowing your rights can empower you to take appropriate action.
Remember, it's important to prioritize your safety and well-being. If you are unsure about the appropriate steps to take, consulting with a legal professional or a victim advocate can provide you with guidance tailored to your specific situation.</t>
  </si>
  <si>
    <t>Ano ang dapat kong gawin kung bina-blackmail ako ng isang taong nagsamantala sa akin sa trabaho?</t>
  </si>
  <si>
    <t>Can I seek compensation for lost wages if I had to quit my job due to sexual exploitation?</t>
  </si>
  <si>
    <t>Yes, you may be able to seek compensation for lost wages if you had to quit your job due to sexual exploitation. In situations where sexual exploitation in the workplace forces an employee to resign, the victim may have legal grounds to pursue damages, including lost wages. Here are some considerations:
1. **Constructive Discharge:**
- Constructive discharge occurs when an employee is forced to resign due to intolerable working conditions, such as sexual exploitation or harassment. If you can demonstrate that the exploitation created a hostile work environment and was a significant factor in your decision to quit, you may have a basis for a legal claim.
2. **Anti-Sexual Harassment Laws:**
- Anti-sexual harassment laws, such as the Anti-Sexual Harassment Act of 1995 (Republic Act No. 7877) in the Philippines, often provide remedies for victims. Compensation for lost wages may be included as part of a legal claim under these laws.
3. **Consultation with Legal Professionals:**
- Consult with an attorney who specializes in employment law or sexual harassment cases. An attorney can assess the specific facts of your case, guide you on the relevant laws, and help you determine the appropriate legal course of action, including seeking compensation for lost wages.
4. **Documenting the Harassment:**
- Preserve any evidence of the sexual exploitation or harassment, such as emails, messages, or witness statements. Documentation can strengthen your case and support your claim for lost wages.
5. **Mitigation of Damages:**
- In legal terms, you have a duty to mitigate your damages. This means taking reasonable steps to minimize the financial impact of the exploitation, such as seeking alternative employment. If you find a new job, the compensation from that job may offset the amount you can claim for lost wages.
6. **Reporting to Authorities:**
- If the sexual exploitation involves criminal conduct, consider reporting the incident to law enforcement. Criminal charges against the responsible individuals may be pursued independently of a civil lawsuit.
7. **Statute of Limitations:**
- Be aware of the statute of limitations for filing a lawsuit. Consult with your attorney to ensure that you file within the legally prescribed timeframe.
Seeking compensation for lost wages due to sexual exploitation is a complex legal process, and the success of your claim may depend on various factors. Consulting with a legal professional who specializes in employment law or sexual harassment cases will help you understand your rights, assess the strength of your case, and pursue the appropriate legal remedies for the harm you have suffered.</t>
  </si>
  <si>
    <t>Maaari ba akong humingi ng kabayaran para sa nawalang sahod kung kailangan kong huminto sa aking trabaho dahil sa sekswal na pagsasamantala?</t>
  </si>
  <si>
    <t>Are there any legal protections for individuals who experience sexual exploitation while participating in volunteer work?</t>
  </si>
  <si>
    <t>In the Philippines, individuals who experience sexual exploitation while participating in volunteer work may have legal protections under various laws and regulations. While there may not be specific provisions exclusively addressing sexual exploitation in volunteer settings, several broader legal principles can be relevant:
1. **Anti-Sexual Harassment Act of 1995 (Republic Act No. 7877):**
- This law prohibits sexual harassment in the workplace, covering various settings, including volunteer work. Individuals engaged in volunteer activities have the right to be free from unwelcome sexual advances or conduct.
2. **Gender and Development (GAD) Laws:**
- Gender and Development laws and policies aim to address gender-based discrimination and promote equality. Volunteers, like other individuals, are entitled to protection from sexual exploitation under these laws.
3. **Child Protection Laws:**
- If the volunteer involves work with children, child protection laws, such as Republic Act No. 7610 (Special Protection of Children Against Abuse, Exploitation and Discrimination Act), provide specific protections against sexual exploitation of minors.
4. **Civil Code of the Philippines:**
- General legal principles under the Civil Code may be applicable, including the right to privacy and the right to be free from harm. Acts of sexual exploitation may be subject to legal action under these principles.
5. **Labor Code of the Philippines:**
- While the Labor Code primarily applies to employer-employee relationships, some provisions may have relevance in cases involving volunteers, especially if there are elements of control or supervision that resemble an employment relationship.
6. **Criminal Laws:**
- Acts of sexual exploitation can be subject to criminal prosecution under relevant criminal laws, such as those addressing sexual assault, harassment, or abuse.
7. **Volunteer Organizations' Policies:**
- Many volunteer organizations have internal policies and codes of conduct that address sexual exploitation and harassment. Reporting mechanisms and support services may be available through these organizations.
8. **Human Rights Principles:**
- Human rights principles, including the right to be free from discrimination and violence, apply to all individuals, regardless of their volunteer status. Violations of these principles may be subject to legal action.
If you or someone you know has experienced sexual exploitation while participating in volunteer work, it is essential to consult with legal professionals who specialize in human rights, gender issues, or sexual harassment cases. Reporting the incident to relevant authorities, both within the organization and law enforcement, may be necessary to address the situation and seek justice. Additionally, seeking guidance from support organizations and advocates may provide assistance in navigating the legal process.</t>
  </si>
  <si>
    <t>Mayroon bang anumang legal na proteksyon para sa mga indibidwal na nakakaranas ng sekswal na pagsasamantala habang nakikilahok sa boluntaryong gawain?</t>
  </si>
  <si>
    <t>Can I sue a company for negligently supervising employees who engaged in sexual exploitation?</t>
  </si>
  <si>
    <t>Yes, you may have grounds to sue a company for negligently supervising employees who engaged in sexual exploitation. Negligent supervision is a legal claim that arises when an employer fails to exercise reasonable care in supervising and monitoring its employees, leading to harm or misconduct. Here are key considerations:
1. **Negligent Supervision:**
- Negligent supervision is a claim based on the premise that the employer had a duty to supervise its employees, failed to meet that duty, and, as a result, the employees engaged in harmful behavior such as sexual exploitation.
2. **Duty of Care:**
- Employers have a duty of care to provide a safe and secure workplace for their employees. This duty includes taking reasonable steps to prevent or address misconduct, including sexual exploitation by employees.
3. **Foreseeability:**
- Foreseeability is often a crucial element in negligent supervision claims. If the employer knew or should have known about the risk of sexual exploitation by its employees and failed to take appropriate action, it may strengthen the claim.
4. **Company Policies and Training:**
- The existence and enforcement of company policies addressing workplace behavior, harassment, and reporting mechanisms can be crucial in evaluating the employer's level of supervision. Adequate training on these policies is also essential.
5. **Prompt Response to Complaints:**
- If the employer received complaints or had knowledge of inappropriate behavior, a failure to promptly and effectively respond may contribute to a claim of negligent supervision.
6. **Consultation with an Attorney:**
- It is crucial to consult with an attorney specializing in employment law or workplace harassment. An attorney can assess the specific facts of your case, guide you on the relevant laws, and help you determine the appropriate legal course of action.
7. **Evidence and Documentation:**
- Document instances of sexual exploitation, harassment, or any other factors that may be relevant to the claim of negligent supervision. This documentation can serve as crucial evidence in a legal claim.
8. **Employer's Legal Responsibility:**
- Employers are legally responsible for the actions of their employees within the scope of employment. If sexual exploitation occurs during work-related activities or in the workplace, the employer may be held liable.
9. **Statute of Limitations:**
- Be aware of the statute of limitations, which is the time limit within which a lawsuit must be filed. Consult with an attorney promptly to ensure compliance with these time constraints.
Negligent supervision claims can be complex, and the outcome may depend on the specific facts of the case. Seeking legal advice from an experienced employment law attorney is essential to understand your rights, assess the strength of your case, and pursue appropriate legal remedies for the harm you have suffered due to the company's alleged negligence.</t>
  </si>
  <si>
    <t>Maaari ko bang idemanda ang isang kumpanya para sa kapabayaan na pangangasiwa sa mga empleyado na nasangkot sa sekswal na pagsasamantala?</t>
  </si>
  <si>
    <t>How does the law address sexual exploitation in situations where the victim is incapacitated or unable to consent?</t>
  </si>
  <si>
    <t>In situations where the victim is incapacitated or unable to consent, laws typically address sexual exploitation as a serious offense. The exact legal provisions can vary depending on the jurisdiction, but common principles include:
1. **Sexual Assault Laws:**
- Most jurisdictions have laws defining and criminalizing sexual assault. Sexual acts without valid consent, especially when the victim is incapacitated or unable to provide consent due to intoxication, impairment, or other factors, may constitute sexual assault.
2. **Incapacitation and Lack of Consent:**
- Laws often specify that engaging in sexual acts with an incapacitated or unconscious person is a crime, regardless of the relationship between the parties.
3. **Statutory Rape Laws:**
- Statutory rape laws address situations where one party is below the age of consent. These laws may still apply even if the victim is unable to provide legal consent due to age.
4. **Involuntary Intoxication:**
- Some jurisdictions recognize involuntary intoxication as a defense. If the alleged perpetrator intentionally intoxicated the victim to facilitate sexual exploitation, it may be considered a criminal offense.
5. **Consent and Capacity:**
- Laws typically require valid and voluntary consent for any sexual activity. If the victim is incapacitated, asleep, unconscious, or otherwise unable to provide meaningful consent, any sexual activity under such circumstances may be considered non-consensual and, therefore, illegal.
6. **Criminal Penalties:**
- Sexual exploitation in situations involving incapacity or lack of consent is often treated as a criminal offense, leading to penalties such as imprisonment, fines, and registration as a sex offender.
7. **Mental Incapacity:**
- Laws may also address situations where a victim is mentally incapacitated due to a temporary or permanent mental health condition, illness, or disability.
8. **Informed Consent:**
- In some cases, laws may require informed consent, emphasizing the importance of clear communication and mutual understanding between parties engaging in sexual activity.
9. **Medical and Forensic Examination:**
- In the aftermath of an alleged sexual exploitation incident, victims may undergo medical and forensic examinations. The results of these examinations may be used as evidence in legal proceedings.
10. **Victim Support and Advocacy:**
- Many jurisdictions have support services and advocacy organizations to assist victims of sexual exploitation. These organizations can provide resources, counseling, and guidance throughout legal proceedings.
It's important to consult the specific laws of your jurisdiction to understand how sexual exploitation is defined and prosecuted. If you or someone you know has experienced sexual exploitation in a situation where the victim was incapacitated or unable to consent, seeking legal advice from law enforcement, a sexual assault hotline, or an attorney specializing in sexual assault cases is crucial for understanding available legal remedies and support services.</t>
  </si>
  <si>
    <t>Paano tinutugunan ng batas ang seksuwal na pagsasamantala sa mga sitwasyon kung saan ang biktima ay walang kakayahan o hindi pumayag?</t>
  </si>
  <si>
    <t>Can I file a lawsuit against a hotel or hospitality establishment for sexual exploitation by staff?</t>
  </si>
  <si>
    <t>Yes, you may be able to file a lawsuit against a hotel or hospitality establishment for sexual exploitation by staff. Hotels and hospitality establishments have a duty to provide a safe environment for guests, and they can be held liable if their employees engage in sexual exploitation or harassment. Here are key considerations:
1. **Negligent Hiring and Supervision:**
- If the hotel failed to conduct proper background checks during the hiring process or failed to adequately supervise its staff, it may be liable for negligent hiring or supervision. This is a legal claim that asserts the employer's responsibility for the actions of its employees.
2. **Premises Liability:**
- Hotels have a duty to ensure the safety and security of their guests. If a guest is sexually exploited by hotel staff, the establishment may be held liable for premises liability. This legal theory holds property owners responsible for injuries that occur on their premises.
3. **Anti-Sexual Harassment Laws:**
- Violations of anti-sexual harassment laws may form the basis for legal action. Hotels are typically required to have policies in place to prevent sexual harassment and to address complaints promptly.
4. **Duty of Care:**
- The hotel owes a duty of care to its guests, and if that duty is breached through the actions of its staff, it may result in legal liability.
5. **Guest Safety Policies:**
- Hotels are expected to have policies and procedures in place to ensure the safety of guests. If these policies are inadequate or not enforced, it may contribute to legal liability.
6. **Damages for Emotional Distress:**
- Victims of sexual exploitation may be entitled to damages for emotional distress. This can include compensation for the psychological impact of the exploitation.
7. **Consultation with an Attorney:**
- It is crucial to consult with an attorney specializing in premises liability, personal injury, or sexual harassment cases. An attorney can assess the specific facts of your case, guide you on the relevant laws, and help you determine the appropriate legal course of action.
8. **Preserving Evidence:**
- Preserve any evidence related to the sexual exploitation, including any communications, witness statements, or other documentation that may support your case.
9. **Prompt Reporting:**
- If you are a victim of sexual exploitation at a hotel, report the incident to the hotel management immediately. This may help establish a record of the complaint and the hotel's response.
If you decide to pursue legal action against a hotel for sexual exploitation by staff, it is crucial to act promptly and seek the guidance of an experienced attorney. They can help you navigate the legal process, understand your rights, and work towards obtaining compensation for the harm you have suffered.</t>
  </si>
  <si>
    <t>Maaari ba akong magsampa ng kaso laban sa isang hotel o hospitality establishment para sa sekswal na pagsasamantala ng mga kawani?</t>
  </si>
  <si>
    <t>What can I do if I signed a non-disclosure agreement regarding sexual exploitation but want to take legal action?</t>
  </si>
  <si>
    <t>If you signed a non-disclosure agreement (NDA) related to sexual exploitation but wish to take legal action, it's important to understand that NDAs may impose legal obligations and restrictions on your ability to disclose certain information. However, there are circumstances where the enforcement of NDAs may be limited, especially if they involve illegal or unconscionable activities. Here are some steps you can consider:
1. **Consult an Attorney:**
- Seek legal advice from an attorney experienced in employment law or sexual harassment cases. An attorney can review the NDA, assess its enforceability, and provide guidance on the best course of action.
2. **Confidentiality Exceptions:**
- Some NDAs may have exceptions for reporting illegal activities or cooperating with law enforcement. If the sexual exploitation involves criminal conduct, the NDA may not prevent you from reporting the incident to the appropriate authorities.
3. **Whistleblower Protections:**
- In some jurisdictions, there are whistleblower protections that shield individuals from retaliation when reporting illegal activities. If the sexual exploitation constitutes a violation of the law, you may be protected under whistleblower laws.
4. **Invalidity of the NDA:**
- If the NDA is found to be unconscionable, against public policy, or otherwise invalid, it may not be enforceable in its entirety. An attorney can help you assess the validity of the NDA in your specific situation.
5. **Negotiate with the Other Party:**
- In certain cases, it may be possible to negotiate with the other party to modify the terms of the NDA or obtain their consent to release you from its restrictions.
6. **Report to Authorities:**
- If the sexual exploitation involves criminal conduct, consider reporting the incident to the appropriate law enforcement authorities. Criminal investigations may take precedence over contractual obligations.
7. **Seek Legal Remedies:**
- If you believe the NDA is unenforceable, and you have a legal basis for taking action related to sexual exploitation, discuss with your attorney the possibility of pursuing legal remedies. This may involve filing a lawsuit against the responsible parties.
8. **Public Policy Considerations:**
- Courts may consider public policy when evaluating the enforceability of NDAs. If enforcing the NDA would violate public policy or result in an injustice, the court may limit its application.
Keep in mind that the legal landscape can vary, and the specifics of your situation will play a crucial role in determining the best course of action. Consulting with an attorney is essential to understanding your rights, potential legal remedies, and the implications of the NDA you signed.</t>
  </si>
  <si>
    <t>Ano ang maaari kong gawin kung pumirma ako ng isang non-disclosure agreement tungkol sa sekswal na pagsasamantala ngunit gusto kong gumawa ng legal na aksyon?</t>
  </si>
  <si>
    <t>Can I sue a company for failing to investigate or respond appropriately to reports of sexual exploitation?</t>
  </si>
  <si>
    <t>Yes, you may have grounds to sue a company for failing to investigate or respond appropriately to reports of sexual exploitation. Employers have a legal obligation to address and prevent sexual harassment or exploitation in the workplace. If a company neglects to investigate or take appropriate action in response to reports of such misconduct, it may be held liable for its failure to provide a safe working environment. Here are key considerations:
1. **Negligence:**
- Negligence may be a legal basis for a lawsuit if the company failed to exercise reasonable care in addressing reports of sexual exploitation. Negligence claims typically involve establishing that the company had a duty of care, breached that duty, and that the breach directly resulted in harm.
2. **Violation of Anti-Sexual Harassment Laws:**
- Companies are often subject to anti-sexual harassment laws, which mandate a prompt and thorough investigation of complaints. Failure to comply with these laws can lead to legal action.
3. **Title VII of the Civil Rights Act (United States):**
- In the United States, Title VII prohibits sexual harassment and discrimination in the workplace. If a company fails to investigate or respond appropriately to reports of sexual exploitation, it may be in violation of Title VII.
4. **Company Policies:**
- Companies typically have internal policies and procedures for handling complaints of sexual harassment or exploitation. If the company fails to follow its own policies, it may be held accountable for its actions.
5. **Constructive Discharge:**
- Employees who resign due to the company's failure to address sexual exploitation may pursue a claim of constructive discharge if they can demonstrate that the working conditions became intolerable.
6. **Retaliation Claims:**
- If the company takes adverse actions against employees who report sexual exploitation or participate in investigations, those employees may have grounds for retaliation claims.
7. **Inadequate Training:**
- A lack of proper training on how to handle complaints of sexual exploitation may contribute to a company's failure to respond appropriately. Inadequate training can be a factor in legal claims.
8. **Documentation and Evidence:**
- Maintaining documentation of the reports, the company's response (or lack thereof), and any related communications can be crucial evidence in a legal case.
9. **Consultation with an Attorney:**
- Consult with an attorney who specializes in employment law or workplace harassment. An attorney can assess the specific facts of your case, guide you on the relevant laws, and help you determine the appropriate legal course of action.
It's important to note that legal options and the strength of a case can vary based on jurisdiction and the specific circumstances involved. If you believe you have a valid claim against a company for its failure to address reports of sexual exploitation, seeking legal advice promptly is crucial to understanding your rights and pursuing appropriate remedies.</t>
  </si>
  <si>
    <t>Maaari ko bang idemanda ang isang kumpanya dahil sa hindi pag-iimbestiga o pagtugon nang naaangkop sa mga ulat ng sekswal na pagsasamantala?</t>
  </si>
  <si>
    <t>How does the law protect individuals who are sexually exploited by someone in a position of authority or power?</t>
  </si>
  <si>
    <t>Laws often provide protections for individuals who are sexually exploited by someone in a position of authority or power. Sexual exploitation in such circumstances can be a form of abuse of power and a violation of the victim's rights. Legal protections may include:
1. **Criminal Laws:**
- Many jurisdictions have criminal laws specifically addressing sexual exploitation or abuse of power. These laws may criminalize various forms of sexual misconduct, harassment, or assault committed by individuals in positions of authority.
2. **Sexual Assault Laws:**
- Sexual assault laws typically cover non-consensual sexual acts and may apply regardless of the relationship between the parties. Individuals in positions of authority who engage in sexual exploitation may be subject to prosecution under these laws.
3. **Sexual Harassment Laws:**
- Laws addressing sexual harassment often extend to situations where someone in a position of authority abuses their power for sexual purposes. Employers and institutions are typically held responsible for preventing and addressing such harassment.
4. **Title VII of the Civil Rights Act (United States):**
- In the United States, Title VII prohibits sexual harassment and discrimination in the workplace. Employers can be held liable for the actions of individuals in positions of authority who engage in sexual exploitation.
5. **Age of Consent Laws:**
- Age of consent laws may apply in cases involving sexual exploitation, especially if the victim is a minor. These laws set the legal age at which an individual can provide legal consent for sexual activity.
6. **Abuse of Power and Authority:**
- Legal principles may recognize the abuse of power and authority as a basis for legal action. This can be relevant in civil cases where victims seek damages for the harm caused by the exploitation.
7. **Employment Laws:**
- Employment laws often require employers to take action against sexual harassment or exploitation by individuals in positions of authority. Failure to address such conduct may result in legal consequences for the employer.
8. **Civil Lawsuits:**
- Victims of sexual exploitation may pursue civil lawsuits against the individuals responsible, as well as against employers or institutions that failed to prevent or address the abuse. Civil remedies may include compensation for damages.
9. **Whistleblower Protections:**
- Some jurisdictions provide whistleblower protections for individuals who report misconduct, including sexual exploitation. These protections can shield individuals from retaliation for coming forward.
10. **Education and Institutional Policies:**
- Educational institutions and other organizations often have policies in place to prevent and address sexual exploitation by individuals in positions of authority. Violations of these policies may lead to disciplinary action or legal consequences.
It's important for victims of sexual exploitation to consult with legal professionals who specialize in sexual harassment or abuse cases. Reporting the exploitation promptly and seeking legal advice can help victims understand their rights, navigate the legal process, and pursue justice against those responsible for the abuse of power.</t>
  </si>
  <si>
    <t>Paano pinoprotektahan ng batas ang mga indibidwal na sekswal na pinagsamantalahan ng isang taong nasa posisyon ng awtoridad o kapangyarihan?</t>
  </si>
  <si>
    <t>Can I pursue a civil lawsuit against a government agency for sexual exploitation by employees or officials?</t>
  </si>
  <si>
    <t>Yes, you can pursue a civil lawsuit against a government agency for sexual exploitation by its employees or officials. Government agencies, like private entities, can be held accountable for the actions of their employees if they engage in sexual exploitation or other forms of misconduct. Here are key considerations when pursuing a civil lawsuit against a government agency:
1. **Violations of Civil Rights:**
- Sexual exploitation by government officials may violate an individual's civil rights. The U.S. Constitution, for example, protects individuals from government actions that infringe on their rights, including rights to privacy, bodily integrity, and protection from sexual harassment.
2. **Bivens Action (United States):**
- In the United States, individuals may bring a Bivens action against federal officials for violations of constitutional rights. This allows individuals to seek damages for injuries resulting from unconstitutional conduct by government employees.
3. **Section 1983 Claims:**
- Section 1983 of the Civil Rights Act allows individuals to sue government officials or agencies for violations of their constitutional rights under color of law. This statute is often used in cases involving sexual exploitation by government employees.
4. **Government Tort Liability Acts:**
- Many jurisdictions have Tort Claims Acts or similar statutes that outline the process for filing lawsuits against government entities. These acts may impose specific requirements and limitations on suing government agencies.
5. **Sovereign Immunity Considerations:**
- Government agencies may enjoy sovereign immunity, protecting them from certain lawsuits. However, many jurisdictions have exceptions to sovereign immunity, allowing individuals to pursue legal action in cases of intentional misconduct, including sexual exploitation.
6. **Compliance with Notice Requirements:**
- Some jurisdictions have notice requirements that individuals must fulfill before filing a lawsuit against a government agency. Failure to comply with these requirements may affect the ability to pursue a claim.
7. **Qualified Immunity:**
- Government officials may assert qualified immunity as a defense. Qualified immunity protects government officials from liability unless they violate "clearly established" constitutional rights. Courts assess whether the right allegedly violated was clearly established at the time of the alleged misconduct.
8. **Consultation with an Attorney:**
- Consult with an attorney who specializes in civil rights or government liability. An attorney can assess the specific facts of your case, guide you on the relevant laws, and help you determine the appropriate legal course of action.
9. **Evidence and Documentation:**
- Document instances of sexual exploitation, harassment, or any other factors relevant to your case. Gathering evidence can strengthen your claim and support your allegations.
It's important to note that suing a government agency involves navigating specific legal processes and potential challenges. Consulting with an experienced attorney is crucial to understanding the legal landscape, complying with procedural requirements, and building a strong case against the government agency responsible for the sexual exploitation.</t>
  </si>
  <si>
    <t>Maaari ko bang ituloy ang isang sibil na kaso laban sa isang ahensya ng gobyerno para sa sekswal na pagsasamantala ng mga empleyado o opisyal?</t>
  </si>
  <si>
    <t>Are there any legal protections for individuals who experience sexual exploitation while incarcerated or in detention?</t>
  </si>
  <si>
    <t>Yes, there are legal protections for individuals who experience sexual exploitation while incarcerated or in detention. Sexual exploitation in correctional facilities is a serious violation of human rights, and various laws and protections exist to address and prevent such misconduct. Key legal protections include:
1. **The Prison Rape Elimination Act (PREA):**
- In the United States, the Prison Rape Elimination Act (PREA) is a federal law that aims to prevent, detect, and respond to sexual abuse and assault in correctional facilities. PREA sets national standards for addressing sexual exploitation and requires facilities to have policies and procedures in place to prevent such incidents.
2. **Eighth Amendment Protections:**
- The Eighth Amendment to the U.S. Constitution prohibits cruel and unusual punishment. Courts have recognized that sexual exploitation or assault in prison can violate the constitutional rights of inmates, and legal actions may be pursued based on this amendment.
3. **Section 1983 Claims:**
- In the U.S., individuals may bring claims under Section 1983 of the Civil Rights Act for violations of their constitutional rights while in custody. This includes claims related to sexual exploitation or assault by prison officials or staff.
4. **Human Rights Protections:**
- International human rights instruments, such as the United Nations Standard Minimum Rules for the Treatment of Prisoners (the Nelson Mandela Rules), emphasize the protection of prisoners' human dignity and prohibit any form of sexual exploitation or abuse.
5. **Institutional Policies and Grievance Procedures:**
- Correctional facilities are typically required to have policies and grievance procedures for addressing sexual exploitation complaints. Inmates can use these procedures to report incidents and seek resolution.
6. **Prisoner Litigation Reform Act (PLRA):**
- The Prison Litigation Reform Act in the U.S. imposes certain procedural requirements on prisoners bringing legal actions, but it does not eliminate the ability to sue for violations of constitutional rights, including claims related to sexual exploitation.
7. **Whistleblower Protections:**
- Some jurisdictions have whistleblower protections that shield individuals from retaliation for reporting instances of sexual exploitation or abuse in correctional facilities.
8. **Victim Advocacy and Support Services:**
- Victim advocacy and support services may be available for individuals who have experienced sexual exploitation while incarcerated. These services can assist with counseling, medical care, and legal support.
9. **Class Action Lawsuits:**
- In some cases, individuals who have experienced sexual exploitation in correctional facilities may bring class action lawsuits to address systemic issues and seek reforms in the treatment of inmates.
It's crucial for individuals who have experienced sexual exploitation while incarcerated to consult with attorneys specializing in civil rights or prisoner rights. Legal professionals can help navigate the complex legal landscape, provide guidance on available legal remedies, and advocate for the rights of those who have been subjected to sexual exploitation within the criminal justice system.</t>
  </si>
  <si>
    <t>Mayroon bang anumang legal na proteksyon para sa mga indibidwal na nakakaranas ng sekswal na pagsasamantala habang nakakulong o nakakulong?</t>
  </si>
  <si>
    <t>How can I protect my rights and seek justice if I've been sexually exploited in any context?</t>
  </si>
  <si>
    <t>If you have been sexually exploited in any context, it's important to take steps to protect your rights and seek justice. Here are general guidelines that may be applicable:
1. **Ensure Your Safety:**
- Prioritize your safety and well-being. If you are in immediate danger, contact law enforcement or seek assistance from a trusted friend, family member, or support organization.
2. **Preserve Evidence:**
- Preserve any evidence related to the sexual exploitation. This may include text messages, emails, photographs, or any other documentation that can support your case.
3. **Seek Medical Attention:**
- If you have been physically harmed or if there are health concerns related to the exploitation, seek medical attention promptly. Medical professionals can document injuries, collect evidence, and provide necessary care.
4. **Document the Incident:**
- Write down a detailed account of the incident, including dates, times, locations, and any individuals involved. Document any actions you took to resist or report the exploitation.
5. **Report to Law Enforcement:**
- Report the incident to law enforcement. Provide them with all available information and evidence. If the exploitation occurred in a specific location (e.g., workplace, educational institution), report it to the relevant authorities in that context as well.
6. **Seek Support:**
- Reach out to friends, family, or support organizations that specialize in assisting survivors of sexual exploitation. Emotional support can be crucial during the healing process.
7. **Contact a Legal Professional:**
- Consult with an attorney who specializes in cases of sexual exploitation, harassment, or assault. A legal professional can guide you on your rights, potential legal remedies, and the appropriate steps to take.
8. **Know Your Rights:**
- Familiarize yourself with relevant laws and regulations that protect individuals from sexual exploitation in your jurisdiction. Understanding your rights empowers you to make informed decisions.
9. **Explore Civil Remedies:**
- In addition to criminal charges, you may have the option to pursue civil remedies. Consult with your attorney about the possibility of filing a civil lawsuit against the individuals or entities responsible for the exploitation.
10. **Cooperate with Investigations:**
- If law enforcement or relevant authorities launch an investigation, cooperate fully. Provide any information or assistance needed to support the investigation.
11. **Utilize Support Services:**
- Take advantage of support services, such as counseling or therapy, to address the emotional impact of the exploitation. Many organizations provide resources and assistance to survivors.
12. **Understand Statute of Limitations:**
- Be aware of the statute of limitations for criminal and civil actions related to sexual exploitation in your jurisdiction. Consult with your attorney to ensure you take timely action.
13. **Consider Reporting to Employer or Institution:**
- If the exploitation occurred in a specific context (e.g., workplace, educational institution), report the incident to the relevant authorities within that organization. They may have internal procedures for addressing such complaints.
Remember that seeking justice and healing is a personal journey, and individuals may choose different paths based on their circumstances. Consulting with legal and support professionals can provide guidance tailored to your specific situation.</t>
  </si>
  <si>
    <t>Paano ko mapoprotektahan ang aking mga karapatan at maghahanap ng hustisya kung ako ay sekswal na pinagsamantalahan sa anumang konteksto?</t>
  </si>
  <si>
    <t>Can I sue someone for spreading false information about me online?</t>
  </si>
  <si>
    <t>Yes, you may have legal options to sue someone for spreading false information about you online. Defamation laws typically cover false statements that harm the reputation of an individual. Defamation can take two forms:
1. **Libel:**
- Libel refers to written or published false statements, including those made online through social media, blogs, or other digital platforms.
2. **Slander:**
- Slander refers to spoken false statements. While this is not directly related to online communication, it is worth mentioning as it covers false spoken statements that may have reputational consequences.
To pursue a defamation lawsuit, you generally need to prove the following elements:
1. **False Statement:**
- The information spread about you must be false. Truth is generally a complete defense against defamation claims.
2. **Publication:**
- The false statement must be communicated to a third party. Posting information online, even on social media, can fulfill the publication requirement.
3. **Harm:**
- You must demonstrate that the false statement has caused harm to your reputation. This harm can be reputational damage, loss of employment opportunities, or other tangible consequences.
4. **Unprivileged Statement:**
- The false statement must not be protected by privilege. For example, statements made in courtrooms or certain legislative settings may be privileged and protected.
5. **Negligence or Malice (in some cases):**
- Depending on the jurisdiction, you may need to show that the person making the false statement acted negligently or with actual malice (knowing the statement was false or with reckless disregard for the truth).
Before proceeding with a lawsuit, consider the following steps:
1. **Document the False Statements:**
- Preserve evidence of the false statements, including screenshots, links, or any other relevant information.
2. **Cease and Desist Letter:**
- In some cases, sending a cease and desist letter through an attorney may prompt the individual to remove the false statements and cease their actions.
3. **Consult with an Attorney:**
- Consult with an attorney experienced in defamation cases. They can assess the specifics of your situation, advise you on the strength of your case, and guide you through the legal process.
4. **Limiting Damages:**
- Consider whether pursuing legal action is the best course of action, as legal proceedings can be time-consuming and emotionally draining. Sometimes, a private resolution may be preferable.
It's important to note that defamation laws can vary by jurisdiction, so the specific legal standards and requirements may differ depending on where you live. Consulting with a local attorney is crucial for understanding the legal options available to you and the likelihood of success in pursuing a defamation claim.</t>
  </si>
  <si>
    <t>Maaari ko bang idemanda ang isang tao para sa pagkalat ng maling impormasyon tungkol sa akin online?</t>
  </si>
  <si>
    <t>What legal actions can I take against someone who has posted false information about my business online?</t>
  </si>
  <si>
    <t>If someone has posted false information about your business online, you may have legal options to address the situation. Here are some potential legal actions you can consider:
1. **Cease and Desist Letter:**
- Start by sending a cease and desist letter to the individual responsible for the false statements. This letter, typically drafted by an attorney, demands that they stop spreading false information about your business and may request a public retraction.
2. **Contact the Platform:**
- If the false information is posted on a third-party platform, contact the platform's administrators or content moderators. Many platforms have policies against spreading false information, and they may take action to remove or restrict the content.
3. **Online Defamation Lawsuit:**
- Consider filing a lawsuit for online defamation if the false statements have caused harm to your business's reputation. To succeed in a defamation claim, you generally need to prove that the statements are false, have caused harm, and meet other legal elements specific to defamation.
4. **Injunctive Relief:**
- In addition to seeking damages, you may request injunctive relief to stop the individual from continuing to spread false information about your business. An injunction is a court order that can prevent further harm.
5. **Preservation of Evidence:**
- Preserve evidence of the false statements, including screenshots, links, or any other relevant information. This evidence may be crucial if you decide to pursue legal action.
6. **Consult with an Attorney:**
- Consult with an attorney who specializes in defamation or internet law. They can provide legal advice, assess the strength of your case, and guide you through the legal process.
7. **Reputation Management Strategies:**
- Implement reputation management strategies to counteract the false information. This may include creating positive content about your business, engaging with customers positively, and actively addressing concerns raised by the false information.
8. **Digital Millennium Copyright Act (DMCA) Takedown:**
- If the false information involves copyright infringement (e.g., unauthorized use of your copyrighted material), you may consider a DMCA takedown notice to have the infringing content removed.
9. **Federal Trade Commission (FTC) Complaint:**
- If the false information involves deceptive business practices, you may file a complaint with the Federal Trade Commission (FTC). The FTC investigates and takes action against deceptive or unfair business practices.
It's crucial to note that laws surrounding defamation and online behavior can vary by jurisdiction. Consulting with an attorney familiar with the laws in your jurisdiction is essential to understand your rights and explore the most effective legal actions to take against false information about your business.</t>
  </si>
  <si>
    <t>Anong mga legal na aksyon ang maaari kong gawin laban sa isang taong nag-post ng maling impormasyon tungkol sa aking negosyo online?</t>
  </si>
  <si>
    <t>How can I prove that the information being spread about me online is false?</t>
  </si>
  <si>
    <t>Proving that information being spread about you online is false may require gathering and presenting evidence to demonstrate the inaccuracies or falsehoods. Here are steps you can take to establish the falsity of the information:
1. **Collect Evidence:**
- Gather all available evidence that supports your position. This may include screenshots, archived web pages, or any other digital records that clearly show the false information.
2. **Compare with Facts:**
- Compare the false information with established facts. Provide concrete evidence, such as official documents, statements, or other reliable sources that contradict the false claims.
3. **Witness Statements:**
- If there are witnesses who can attest to the falsity of the information, consider obtaining statements or affidavits from them. Witness statements can provide additional support for your case.
4. **Expert Opinions:**
- In some cases, expert opinions may be relevant. For example, if the false information involves technical details, having an expert in the relevant field provide an opinion can strengthen your case.
5. **Authentication of Evidence:**
- Ensure that the evidence you present is authentic and admissible in legal proceedings. This may involve verifying the source of the evidence and establishing its reliability.
6. **Document Timelines:**
- Create a timeline that outlines the progression of events related to the false information. This can help establish when the false statements were made, how they evolved, and any subsequent actions taken to address them.
7. **Screen Captures and Archives:**
- If the false information is spread online, use screen captures or archives to document the existence of the false content. These records can be valuable evidence, especially if the false information is later removed or altered.
8. **Public Records:**
- If the false information relates to specific events or facts that can be verified through public records, obtain and present those records to support your case.
9. **Expert Witnesses:**
- Depending on the nature of the false information, you may consider consulting with expert witnesses who can testify to the inaccuracies. For example, a forensic expert may be able to analyze digital evidence.
10. **Consistency of Statements:**
- Highlight any inconsistencies or contradictions in the statements made by those spreading the false information. This can undermine the credibility of the sources.
11. **Legal Assistance:**
- Consult with an attorney who specializes in defamation or internet law. They can provide guidance on the type of evidence needed and help you navigate legal proceedings.
Remember that laws surrounding defamation and false statements can vary by jurisdiction, so it's essential to understand the legal standards applicable to your situation. Presenting a well-documented and compelling case with clear evidence will strengthen your position when addressing false information online.</t>
  </si>
  <si>
    <t>Paano ko mapapatunayan na mali ang impormasyong kumakalat tungkol sa akin online?</t>
  </si>
  <si>
    <t>Is it possible to get a court order to remove false information from the internet?</t>
  </si>
  <si>
    <t>Yes, it is possible to obtain a court order to remove false information from the internet, but the process and availability of such orders can vary based on jurisdiction and legal principles. Here are common legal avenues through which you might seek the removal of false information:
1. **Defamation Lawsuit:**
- If the false information constitutes defamation, you may file a defamation lawsuit. If successful, the court may issue an order (injunction) requiring the removal of the defamatory content. The removal order can be directed at the individuals responsible for spreading the false information or, in some cases, the hosting platform.
2. **Court Order Against the Platform:**
- In some jurisdictions, you may seek a court order directly against the internet platform hosting the false information. This might involve filing a legal action against the platform and requesting an injunction to remove or disable access to the false content.
3. **Digital Millennium Copyright Act (DMCA) Takedown:**
- If the false information involves copyright infringement, you can use the DMCA to request the removal of the infringing content. The DMCA provides a mechanism for copyright owners to request the takedown of unauthorized copies of their work.
4. **Right to Be Forgotten (European Union):**
- In the European Union, individuals may have the right to request the removal of certain personal information from search engines under the "right to be forgotten." This right is based on data protection laws and may not apply universally.
5. **Cyber-harassment or Cyberstalking Laws:**
- If the false information is part of a broader pattern of online harassment or stalking, you may seek legal remedies under cyber-harassment or cyberstalking laws. These laws vary by jurisdiction.
6. **Court-Ordered Retraction:**
- In defamation cases, the court may order not only the removal of false information but also the issuance of a court-ordered retraction. The retraction could be required to be prominently displayed, correcting the false statements.
7. **Consent Decree or Settlement Agreement:**
- In some cases, parties may reach a settlement or enter into a consent decree that includes terms for the removal of false information. The court may enforce such agreements.
It's important to note that obtaining a court order for the removal of false information can be a complex legal process. Consulting with an attorney who specializes in defamation, internet law, or related fields is crucial to understanding your legal options, the applicable laws in your jurisdiction, and the likelihood of success in pursuing such orders. Additionally, the effectiveness of court orders can depend on factors like the jurisdiction of the court, the location of the parties involved, and the cooperation of internet service providers and platforms.</t>
  </si>
  <si>
    <t>Posible bang makakuha ng utos ng hukuman upang alisin ang maling impormasyon mula sa internet?</t>
  </si>
  <si>
    <t>What damages can I claim if I've been a victim of false online information?</t>
  </si>
  <si>
    <t>If you've been a victim of false online information, you may be eligible to claim various types of damages in a legal action. The specific damages available to you can depend on the nature of the false information, the jurisdiction, and the legal principles applicable to your case. Here are common types of damages that individuals may seek in cases involving false online information:
1. **Compensatory Damages:**
- Compensatory damages are intended to compensate you for the actual harm you've suffered due to the false information. This may include damages for reputational harm, emotional distress, and any financial losses resulting from the false statements.
2. **Special Damages:**
- Special damages are specific, quantifiable losses that can be directly attributed to the false information. This may include financial losses, such as lost business opportunities or damage to your professional reputation.
3. **General Damages:**
- General damages are non-specific and are intended to compensate for more subjective harm, such as emotional distress, damage to personal relationships, or the impact on mental well-being.
4. **Punitive Damages:**
- Punitive damages, also known as exemplary damages, are awarded to punish the wrongdoer for particularly egregious conduct. These damages are not solely compensatory but are meant to deter similar conduct in the future.
5. **Injunctive Relief:**
- Injunctive relief involves a court order to stop the dissemination of false information or to require the removal of defamatory content. While not strictly damages, injunctive relief can be a powerful remedy to prevent ongoing harm.
6. **Corrective Statements or Retractions:**
- In some cases, you may seek damages in the form of corrective statements or retractions. This involves a court order requiring the party responsible for spreading false information to publicly correct or retract their statements.
7. **Legal Fees and Costs:**
- If you prevail in a legal action, you may be entitled to recover your reasonable legal fees and court costs associated with pursuing the case.
8. **Loss of Business Opportunities:**
- If the false information has affected your business or professional opportunities, you may seek damages for the loss of potential income or business deals.
9. **Statutory Damages:**
- In some jurisdictions, specific laws may provide for statutory damages in cases of false information. These damages are pre-determined amounts set by law and may not require proof of specific harm.
10. **Future Economic Harm:**
- If the false information is likely to have ongoing economic consequences, you may be able to claim damages for future economic harm.
It's important to consult with an attorney experienced in defamation, internet law, or related fields to assess your specific situation and understand the types of damages available to you. The availability and calculation of damages can vary by jurisdiction, and legal professionals can provide guidance tailored to your case.</t>
  </si>
  <si>
    <t>Anong mga pinsala ang maaari kong i-claim kung naging biktima ako ng maling impormasyon sa online?</t>
  </si>
  <si>
    <t>Can I sue a website or social media platform for hosting false information about me?</t>
  </si>
  <si>
    <t>In the Philippines, as in many jurisdictions, the legal landscape regarding liability for false information on websites or social media platforms involves several factors. While I can provide general information, it's essential to consult with a legal professional in the Philippines to understand the specific nuances of the law in your jurisdiction. Here are some considerations:
1. **Defamation Laws:**
- If the false information is defamatory, you may have legal grounds to pursue a lawsuit against the individuals responsible for spreading the false information. In the Philippines, defamation laws exist to protect individuals from false statements that harm their reputation.
2. **Website and Platform Liability:**
- The liability of websites and social media platforms for hosting false information can be complex. Many platforms, including social media sites, are considered intermediaries or hosting providers, and they may be protected by certain legal immunities.
3. **Cybercrime Prevention Act of 2012:**
- The Philippines has the Cybercrime Prevention Act of 2012, which addresses various offenses related to cybercrime, including online libel. It's important to consult with a legal professional to understand how this law may apply to your situation.
4. **Injunctions and Takedown Requests:**
- You may explore legal options to request the removal or correction of false information through injunctions or takedown requests. Platforms may have specific procedures in place for addressing such requests.
5. **Data Privacy Laws:**
- Consider the implications of data privacy laws in the Philippines. If the false information involves the unauthorized use of personal data, data privacy laws may provide additional avenues for legal recourse.
6. **Consultation with a Legal Professional:**
- To determine the viability of a legal action, consult with a lawyer who specializes in internet law, defamation, or cyber law in the Philippines. They can assess the specific details of your case and guide you on the appropriate legal steps to take.
7. **Notice and Takedown Procedures:**
- Some platforms have notice and takedown procedures that allow individuals to report and request the removal of false or defamatory content. Understanding and following these procedures can be part of your strategy.
8. **Documentation of Harm:**
- Document the harm caused by the false information. This may include evidence of reputational damage, emotional distress, or any tangible losses suffered as a result.
Keep in mind that laws can evolve, and legal advice should be based on the most current information. The guidance of a legal professional is crucial to navigating the legal landscape, understanding your rights, and taking appropriate legal actions in the Philippines.</t>
  </si>
  <si>
    <t>Maaari ko bang idemanda ang isang website o platform ng social media para sa pagho-host ng maling impormasyon tungkol sa akin?</t>
  </si>
  <si>
    <t>How long do I have to take legal action against someone for posting false information online?</t>
  </si>
  <si>
    <t>The time within which you can take legal action against someone for posting false information online is governed by the statute of limitations, which varies by jurisdiction and the type of legal claim involved. The statute of limitations sets a specific time limit within which a lawsuit must be filed after the cause of action arises. Once the statute of limitations expires, the right to bring a legal claim is generally lost.
The length of the statute of limitations can vary, and it's crucial to consult the laws of your specific jurisdiction and the type of legal claim you may be considering. Here are some general considerations:
1. **Defamation:**
- Defamation claims, which involve false statements that harm someone's reputation, often have specific time limits. In many jurisdictions, the statute of limitations for defamation may range from one to three years, but it can vary significantly.
2. **Invasion of Privacy:**
- If the false information involves an invasion of privacy claim, the statute of limitations may vary depending on the specific privacy violation alleged. Consult the laws in your jurisdiction for the applicable time limit.
3. **Cyber Libel or Online Libel:**
- Some jurisdictions may have specific statutes or provisions addressing online libel or cyber libel. These statutes may define the time limit for filing a lawsuit related to false information posted online.
4. **Personal Injury or Emotional Distress:**
- Claims related to personal injury or emotional distress caused by false information may have their own statute of limitations. The time limit can vary, and it's important to check the laws in your jurisdiction.
5. **Copyright Infringement:**
- If the false information involves copyright infringement, legal action may be subject to the copyright statute of limitations, which can vary depending on jurisdiction and circumstances.
It's crucial to act promptly if you believe you have a legal claim related to false information online. As soon as you become aware of the false information and the harm it has caused, consult with an attorney to understand the applicable statute of limitations and to discuss your legal options.
Keep in mind that the specific details of your case, the jurisdiction involved, and the type of claim will all impact the statute of limitations. An attorney with expertise in the relevant area of law and knowledge of your jurisdiction can provide guidance tailored to your situation.</t>
  </si>
  <si>
    <t>Gaano katagal ako kailangang gumawa ng legal na aksyon laban sa isang tao para sa pag-post ng maling impormasyon online?</t>
  </si>
  <si>
    <t>Is there a difference in legal recourse if the false information was posted anonymously?</t>
  </si>
  <si>
    <t>Yes, there can be differences in legal recourse when false information is posted anonymously. Dealing with anonymous online content presents unique challenges, but legal options are available to address such situations. Here are some considerations:
1. **Identifying the Anonymous User:**
- The initial challenge is often identifying the anonymous user responsible for the false information. Depending on the circumstances, you may need to work with the platform hosting the content, seek a court order to unmask the anonymous user, or employ forensic techniques.
2. **Subpoenas and Court Orders:**
- Once the identity of the anonymous user is known or suspected, legal action may involve obtaining subpoenas or court orders to compel the platform or internet service provider to reveal the user's identity. This process may vary by jurisdiction.
3. **Defamation Claims:**
- If the false information constitutes defamation, you may pursue a defamation claim against the identified individual. Defamation laws generally apply whether the statements are made anonymously or not. Proving the elements of defamation, such as falsity, harm, and publication, remains important.
4. **Invasion of Privacy Claims:**
- Invasion of privacy claims, especially those related to false information, may also be pursued. Privacy laws and the ability to identify anonymous users may vary by jurisdiction.
5. **Online Platforms' Cooperation:**
- Some online platforms have mechanisms for reporting and handling false or defamatory content, even when posted anonymously. Check the platform's terms of service and policies, and report the content if applicable.
6. **John Doe Lawsuits:**
- In certain cases, you may file a "John Doe" lawsuit, naming the defendant as an unknown or anonymous person. This legal action is initiated to uncover the identity of the individual responsible for the false information.
7. **Specialized Cybercrime Laws:**
- Some jurisdictions have specialized cybercrime laws that address online offenses, including anonymous posting of false information. Familiarize yourself with the specific laws in your jurisdiction.
8. **Digital Millennium Copyright Act (DMCA) Takedown:**
- If the false information involves copyright infringement, you may use the DMCA to request the removal of infringing content. This process doesn't necessarily reveal the identity of the poster but can lead to content removal.
9. **Consultation with Legal Professionals:**
- Consult with an attorney experienced in internet law, defamation, or cyber law. They can guide you through the legal process, help navigate challenges related to anonymous posts, and advise on the best course of action based on your circumstances and jurisdiction.
It's important to act promptly when dealing with false information posted anonymously, as identifying the responsible party may require timely legal action. Legal professionals can provide guidance on the specific steps to take and help you understand the available legal options in your jurisdiction.</t>
  </si>
  <si>
    <t>Mayroon bang pagkakaiba sa legal na paraan kung ang maling impormasyon ay nai-post nang hindi nagpapakilala?</t>
  </si>
  <si>
    <t>Can I sue for emotional distress caused by false online information?</t>
  </si>
  <si>
    <t>In the Philippines, emotional distress caused by false online information may be a basis for legal action, particularly if it meets the criteria for a recognized cause of action under Philippine law. One potential legal avenue to consider is filing a civil suit for damages, with emotional distress as one of the claimed damages. However, it's important to note that specific legal remedies and the availability of emotional distress claims may depend on the circumstances and the applicable laws. Here are some considerations:
1. **Defamation:**
- If the false online information also constitutes defamation, you may pursue a defamation claim. Under Philippine law, defamation encompasses both libel (written or printed defamation) and slander (spoken defamation). If the false information has caused you emotional distress, you may include emotional distress damages in your claim.
2. **Invasion of Privacy:**
- Certain forms of false information may be actionable under invasion of privacy laws in the Philippines. If the false information involves an intrusion into your private life that has caused emotional distress, you may explore legal remedies under invasion of privacy laws.
3. **Article 32 of the Civil Code:**
- Article 32 of the Philippine Civil Code recognizes the right to damages for any act that causes prejudice to another, including mental suffering. This article may be invoked in cases where emotional distress is a direct result of wrongful acts.
4. **Torts and Damages:**
- The general principles of tort law and damages in the Philippines allow for the recovery of damages for injuries, including emotional distress, caused by the wrongful acts of others.
5. **Human Rights:**
- In certain situations, particularly if the false information is related to a violation of human rights, you may explore legal remedies under Philippine human rights laws.
It's crucial to consult with a lawyer in the Philippines who specializes in civil litigation, defamation, or privacy law to assess the specific details of your case. They can provide guidance on the appropriate legal remedies and strategies to pursue emotional distress damages.
Keep in mind that laws and legal interpretations may evolve, so seeking advice from a legal professional familiar with the current legal landscape in the Philippines is essential for accurate and up-to-date information.</t>
  </si>
  <si>
    <t>Maaari ba akong magdemanda para sa emosyonal na pagkabalisa na dulot ng maling impormasyon sa online?</t>
  </si>
  <si>
    <t>How do defamation laws apply to false information spread online?</t>
  </si>
  <si>
    <t>Defamation laws in the Philippines, as in many jurisdictions, apply to false information spread online. In the context of defamation, false statements that harm the reputation of an individual or entity may be subject to legal action. In the Philippines, defamation can take the form of libel, which includes both written and printed defamatory statements. Here are key considerations regarding how defamation laws apply to false information spread online:
1. **Libel Laws:**
- Libel laws in the Philippines cover written or printed defamatory statements, and they are applicable to content spread online. This includes false information posted on websites, social media platforms, forums, or any other digital medium.
2. **Defamatory Statements:**
- To constitute defamation, the statements must be false and damaging to the reputation of the person or entity involved. Truth is generally a defense against defamation claims, so false information is a crucial element.
3. **Online Libel:**
- The Cybercrime Prevention Act of 2012 in the Philippines specifically addresses online libel. It recognizes libel as a cybercrime, and individuals spreading false information online may be held liable under this law.
4. **Identification of the Author:**
- Defamation claims typically require the identification of the author of the false statements. In cases where the false information is spread anonymously, legal action may involve efforts to unmask the anonymous user through court orders or other legal mechanisms.
5. **Publication:**
- Defamation requires the publication of false information to a third party. Posting false information online satisfies this element, as it involves making the information accessible to others.
6. **Damages:**
- To succeed in a defamation claim, the plaintiff often needs to demonstrate that they suffered actual harm or damages as a result of the false information. Damages can include harm to reputation, emotional distress, or other tangible losses.
7. **Defenses:**
- Defamation laws may provide certain defenses. Truth is a common defense—if the information is true, it may not be considered defamatory. Additionally, other defenses may include privilege, fair comment, or lack of malice, depending on the jurisdiction.
8. **Prescriptive Period:**
- The Philippines has a prescriptive period for filing defamation cases. The prescriptive period is the time within which legal action must be initiated. Consult with a lawyer to understand the applicable prescriptive period in your specific case.
If you believe you have been a victim of defamation due to false information spread online in the Philippines, it's advisable to consult with a lawyer experienced in defamation and cybercrime laws. They can assess the specific details of your situation, guide you on the legal options available, and help you navigate the complexities of defamation laws in the Philippines.</t>
  </si>
  <si>
    <t>Paano nalalapat ang mga batas sa paninirang-puri sa maling impormasyong kumakalat online?</t>
  </si>
  <si>
    <t>Can I demand a retraction or correction of false information posted online?</t>
  </si>
  <si>
    <t>Yes, you can demand a retraction or correction of false information posted online, especially if the information is defamatory or harmful to your reputation. In the Philippines, the Cybercrime Prevention Act of 2012 recognizes online libel as a cybercrime, and individuals spreading false information online may be held liable. Here are steps you can consider:
1. **Contact the Source:**
- Start by contacting the source of the false information, if known. Politely request that they remove or correct the inaccurate information. Provide evidence to support your claim that the information is false.
2. **Send a Cease and Desist Letter:**
- If direct communication does not resolve the issue, you may send a cease and desist letter through a lawyer. This formal letter demands that the responsible party cease spreading false information, issue a retraction, and refrain from making further defamatory statements.
3. **Invoke Legal Remedies:**
- If the false information persists and is causing harm to your reputation, you may consider pursuing legal remedies. Consult with a lawyer to understand the specific legal options available, which may include filing a defamation lawsuit.
4. **File a Complaint with Authorities:**
- In cases of online libel or cybercrime, you can file a complaint with the appropriate authorities. The Cybercrime Prevention Act of 2012 provides legal avenues for addressing online libel in the Philippines.
5. **Report to Online Platforms:**
- If the false information is posted on social media or other online platforms, report the content to the platform administrators. Many platforms have mechanisms for reporting and addressing false or defamatory content.
6. **Seek a Court-Ordered Retraction:**
- In the course of legal proceedings, you may seek a court-ordered retraction. If successful, the court may order the responsible party to publicly correct the false information.
7. **Engage in Alternative Dispute Resolution:**
- Consider alternative dispute resolution methods, such as mediation or arbitration, to resolve the dispute amicably and avoid protracted legal proceedings.
8. **Document Your Efforts:**
- Keep thorough documentation of your efforts to address the false information, including communication with the source, any legal correspondence, and evidence supporting your claim of falsity.
Before taking legal action, it's advisable to consult with a lawyer in the Philippines who specializes in defamation, cyber law, or internet law. They can guide you through the specific legal processes, help you understand your rights, and provide advice tailored to your situation and jurisdiction.</t>
  </si>
  <si>
    <t>Maaari ba akong humingi ng pagbawi o pagwawasto ng maling impormasyong nai-post online?</t>
  </si>
  <si>
    <t>What steps should I take to preserve evidence of the false information before taking legal action?</t>
  </si>
  <si>
    <t>Preserving evidence is crucial when preparing to take legal action against false information. Here are steps you can take to preserve evidence effectively before initiating legal proceedings:
1. **Document the False Information:**
- Take screenshots or save copies of the false information, including the URL, date, and time of publication. This documentation will serve as crucial evidence during legal proceedings.
2. **Record Metadata:**
- Capture metadata associated with the false information, such as the author's username, account details, and any available information about the source. This metadata can be essential in identifying the responsible party.
3. **Archive Web Pages:**
- Use web archiving tools or services to create a snapshot or archive of the web pages containing the false information. This helps ensure that you have a preserved version of the content as it appeared at the time of the incident.
4. **Take Note of Context:**
- Document the context surrounding the false information, including any interactions, comments, or discussions related to the content. This broader context may be relevant to understanding the impact of the false information.
5. **Capture Social Media Posts:**
- If the false information is spread on social media, capture screenshots of relevant posts, comments, and interactions. Include information about shares, likes, or any engagement with the content.
6. **Identify Witnesses:**
- Identify any potential witnesses who may have seen the false information or can testify to its impact. Record their contact information, statements, or any relevant details that can strengthen your case.
7. **Preserve Emails and Communications:**
- If the false information was communicated through emails or other electronic means, preserve copies of these communications. This includes any correspondence with the source or other involved parties.
8. **Keep a Timeline:**
- Create a chronological timeline of events related to the false information, including when you first became aware of it, your efforts to address it, and any subsequent developments. This timeline can help establish the context and progression of the situation.
9. **Monitor Changes:**
- Keep a vigilant eye on the false information. If there are changes, updates, or deletions, document these modifications as they may be relevant during legal proceedings.
10. **Back Up Digital Files:**
- Back up all digital files and evidence in multiple locations to prevent accidental loss or damage. Use secure storage methods to ensure the integrity of the evidence.
11. **Consult with Legal Professionals:**
- Before taking any further action, consult with a lawyer experienced in defamation, cyber law, or internet law. They can provide guidance on the specific evidence needed for your case and advise you on the best strategies.
Preserving evidence promptly and comprehensively is crucial for building a strong case. Legal professionals can provide specific advice tailored to your situation and jurisdiction, ensuring that you have the necessary evidence to support your claims.</t>
  </si>
  <si>
    <t>Anong mga hakbang ang dapat kong gawin upang mapanatili ang ebidensya ng maling impormasyon bago gumawa ng legal na aksyon?</t>
  </si>
  <si>
    <t>Can I hold someone liable for sharing false information that originated from another source?</t>
  </si>
  <si>
    <t>In many legal systems, individuals who share false information that originated from another source may be held liable, depending on the circumstances and applicable laws. Liability in such cases is often tied to concepts like defamation, spreading false information, or other legal principles. Here are some considerations:
1. **Defamation:**
- If the shared information is defamatory, individuals who pass on false information may be held liable for defamation. Defamation laws typically apply to those who make, publish, or disseminate false statements that harm the reputation of another person or entity.
2. **Republication:**
- The act of sharing or republishing false information can be considered a form of republication. In some jurisdictions, individuals who republish defamatory content may be treated similarly to the original source in terms of liability.
3. **Actual Malice:**
- In some defamation cases, the concept of "actual malice" may be relevant. Actual malice involves making false statements with knowledge of their falsity or with reckless disregard for the truth. If someone knowingly shares false information, they may be held liable.
4. **Negligence:**
- Depending on the legal framework, individuals may be held liable for negligence if they share false information without verifying its accuracy. Negligence in sharing false information could contribute to legal responsibility.
5. **Public Disclosure of Private Facts:**
- In some cases, sharing false information that invades someone's privacy may be actionable under laws related to the public disclosure of private facts.
6. **Conspiracy or Joint Liability:**
- If multiple individuals collaborate or knowingly contribute to the spread of false information, they may be held liable for conspiracy or joint liability, depending on applicable laws.
7. **Good Samaritan Laws:**
- Some jurisdictions have laws that protect individuals who act in good faith to report false information. However, the applicability of these laws can vary, and they may not provide absolute immunity.
8. **Context Matters:**
- The legal analysis often considers the context in which the false information is shared. Factors such as intent, knowledge, the relationship between the parties, and the impact of the sharing may influence liability.
It's important to consult with a legal professional in your jurisdiction to understand the specific laws and principles that apply. Liability for sharing false information may vary based on defamation laws, privacy laws, and other legal doctrines. Legal advice can help you assess the circumstances of the situation and determine the potential for holding individuals liable for sharing false information.</t>
  </si>
  <si>
    <t>Maaari ko bang panagutan ang isang tao para sa pagbabahagi ng maling impormasyon na nagmula sa ibang pinagmulan?</t>
  </si>
  <si>
    <t>How can I protect my reputation from false online information?</t>
  </si>
  <si>
    <t>Protecting your reputation from false online information involves a combination of proactive measures and responsive actions. Here are some strategies to help safeguard your reputation:
### Proactive Measures:
1. **Establish a Positive Online Presence:**
- Develop and maintain a positive online presence through social media, professional profiles, and other platforms. Highlight your achievements, expertise, and positive contributions.
2. **Monitor Your Online Presence:**
- Regularly monitor online platforms for mentions of your name or business. Set up Google Alerts or use monitoring tools to receive notifications when your name is mentioned.
3. **Privacy Settings:**
- Adjust privacy settings on social media platforms to control who can see your personal information and posts. Be mindful of the information you share publicly.
4. **Secure Your Accounts:**
- Use strong, unique passwords for your online accounts, and enable two-factor authentication when available. Regularly review and update your security settings.
5. **Educate Others:**
- Promote digital literacy and educate friends, family, and colleagues about the importance of verifying information before sharing it online. Encourage responsible online behavior.
### Responsive Actions:
1. **Address False Information Promptly:**
- Act swiftly to address false information. Respond directly to the source or platform requesting corrections or retractions. Provide evidence to refute false claims.
2. **Engage in Positive Online Communication:**
- Counter false information by sharing accurate and positive content about yourself or your business. Engage with your audience in a positive and professional manner.
3. **Report False Information:**
- Use reporting mechanisms on social media platforms to report false information. Many platforms have procedures for handling misinformation and harmful content.
4. **Seek Legal Advice:**
- Consult with a lawyer experienced in defamation or internet law to understand your legal options. They can guide you on the best course of action and help assess the viability of legal claims.
5. **Court-Ordered Retraction:**
- If false information is damaging your reputation, consider seeking a court-ordered retraction. Legal action may be necessary to compel the responsible party to correct the misinformation.
6. **Build a Support Network:**
- Reach out to friends, colleagues, and allies who can vouch for your character and provide support during challenging times. Positive testimonials and endorsements can bolster your reputation.
7. **Document Evidence:**
- Keep thorough records of false information, including screenshots, dates, and any communication with the source or platform. This documentation can be crucial if legal action becomes necessary.
8. **Maintain Professionalism:**
- Respond to false information with professionalism and restraint. Avoid engaging in online conflicts or making inflammatory statements that could further harm your reputation.
Remember that a combination of preventative actions and responsive strategies is key to reputation management. If false information persists and causes significant harm, seeking legal advice and taking appropriate legal action may be necessary to protect your reputation.</t>
  </si>
  <si>
    <t>Paano ko mapoprotektahan ang aking reputasyon mula sa maling impormasyon sa online?</t>
  </si>
  <si>
    <t>Can I sue someone for creating fake social media accounts to spread false information about me?</t>
  </si>
  <si>
    <t>Yes, you may have legal recourse if someone creates fake social media accounts to spread false information about you. In many jurisdictions, such actions can be considered defamation, and you may be able to pursue a legal remedy. However, the specific laws and available legal options can vary by jurisdiction.
Here are some common legal actions you might consider:
1. **Defamation Lawsuit:** If the false information harms your reputation, you may have grounds for a defamation lawsuit. Defamation generally includes false statements that harm the reputation of an individual.
2. **Identity Theft:** Creating fake social media accounts using your identity may also constitute identity theft or impersonation, which can be a criminal offense in some jurisdictions.
3. **Violation of Social Media Policies:** Report the fake accounts to the respective social media platforms. Many social media platforms have policies against impersonation and spreading false information. Reporting the accounts might result in their removal.
4. **Cease and Desist Letter:** In some cases, sending a cease and desist letter through a legal professional may be an initial step to request the individual to stop the false statements and actions.
To pursue legal action, you should consult with a lawyer who specializes in defamation or internet law. They can provide advice based on the specific laws applicable to your jurisdiction and guide you on the best course of action. Keep any evidence, such as screenshots or records of the false information, as it may be important in building your case.</t>
  </si>
  <si>
    <t>Maaari ba akong magdemanda ng isang tao para sa paggawa ng mga pekeng social media account para magkalat ng maling impormasyon tungkol sa akin?</t>
  </si>
  <si>
    <t>Is there a statute of limitations for suing over false online information?</t>
  </si>
  <si>
    <t>The statute of limitations for suing over false online information can vary depending on the jurisdiction and the specific legal claims you are pursuing. In many places, defamation claims, which often involve false statements that harm a person's reputation, have their own statutes of limitations.
It's important to note that the statute of limitations can be different for civil and criminal cases, and it can vary based on the nature of the claim, the jurisdiction, and other factors. Additionally, the discovery of the false information might be a factor in determining when the clock starts ticking on the statute of limitations.
If you are considering legal action, it's crucial to consult with a lawyer who specializes in defamation or internet law in your specific jurisdiction. They can provide guidance on the applicable statute of limitations and help you understand your rights and options.
Keep in mind that laws can change, so the information provided here may not reflect the most current legal standards. Always seek advice from legal professionals to ensure accurate and up-to-date information relevant to your situation.</t>
  </si>
  <si>
    <t>Mayroon bang batas ng mga limitasyon para sa pagdemanda sa maling impormasyon sa online?</t>
  </si>
  <si>
    <t>Can I sue someone for defamation if they posted false information in a closed online group?</t>
  </si>
  <si>
    <t>Whether you can sue someone for defamation based on false information posted in a closed online group can depend on several factors, including the jurisdiction and the nature of the false statements. Here are some general considerations:
1. **Defamation Elements:** Defamation typically involves false statements that harm the reputation of an individual and are communicated to a third party. If the false information posted in the closed online group meets these criteria, you may have grounds for a defamation claim.
2. **Publication to a Third Party:** One essential element of defamation is that the false information must be communicated to a third party. If the closed online group is private and limited to certain individuals, it might be more challenging to establish the element of publication.
3. **Group Members:** Consider whether the members of the closed online group can be considered a "public" audience for defamation purposes. In some jurisdictions, statements made within a private or limited group may not be considered sufficiently public to support a defamation claim.
4. **Legal Jurisdiction:** Laws regarding defamation vary between jurisdictions, and what is considered defamatory and the requirements for a successful claim can differ. Consulting with a lawyer familiar with defamation laws in your jurisdiction is crucial.
5. **Damages:** In many defamation cases, the plaintiff needs to show that they suffered some form of harm or damages as a result of the false statements.
Before pursuing legal action, it's advisable to consult with a lawyer who specializes in defamation or internet law. They can assess the specifics of your situation and provide guidance based on the laws applicable to your jurisdiction. Keep in mind that laws can change, so it's essential to seek advice from legal professionals to ensure accurate and up-to-date information.</t>
  </si>
  <si>
    <t>Maaari ko bang kasuhan ang isang tao para sa paninirang-puri kung nag-post sila ng maling impormasyon sa isang saradong online na grupo?</t>
  </si>
  <si>
    <t>What legal actions can I take if false information online has harmed my business?</t>
  </si>
  <si>
    <t>If false information online has harmed your business, you may consider taking various legal actions to address the situation. Here are some potential courses of action:
1. **Cease and Desist Letter:** A cease and desist letter, sent by your attorney, may be an initial step to request the individual or party spreading false information to stop the harmful activity.
2. **Defamation Lawsuit:** If the false information constitutes defamation (either libel or slander), you may have grounds to file a defamation lawsuit. To succeed in a defamation claim, you typically need to prove that the statements are false, damaging to your business reputation, and communicated to third parties.
3. **Injurious Falsehood or Trade Libel Lawsuit:** Depending on your jurisdiction, you might have legal grounds to pursue a claim for injurious falsehood or trade libel, which involves false statements that harm the economic interests of a business.
4. **Digital Millennium Copyright Act (DMCA) Takedown:** If the false information includes unauthorized use of your copyrighted material, you may use the DMCA to request the removal of the infringing content from online platforms.
5. **Online Platform Reporting:** Report the false information to the hosting platforms, social media networks, or websites where it is posted. Many platforms have policies against false information and may take action to remove or restrict access to the content.
6. **Online Reputation Management:** Work on building a positive online presence and addressing the false information through proactive reputation management strategies.
7. **Consumer Protection Laws:** Some jurisdictions have consumer protection laws that address false advertising or deceptive trade practices. Consult with legal professionals to determine if such laws apply in your situation.
Before taking any legal action, it is crucial to consult with an attorney experienced in defamation, intellectual property, or business law. They can assess the specifics of your case, provide guidance on the most appropriate legal actions, and help you navigate the legal process. Keep in mind that laws may vary between jurisdictions, so seeking legal advice tailored to your situation is essential.</t>
  </si>
  <si>
    <t>Anong mga legal na aksyon ang maaari kong gawin kung ang maling impormasyon sa online ay nakapinsala sa aking negosyo?</t>
  </si>
  <si>
    <t>Can I sue someone for using my name to spread false information online?</t>
  </si>
  <si>
    <t>Yes, you may have grounds to sue someone for using your name to spread false information online. This type of behavior could potentially involve defamation, identity theft, or other legal claims depending on the specifics of the situation and applicable laws in your jurisdiction. Here are a few potential legal avenues you might consider:
1. **Defamation:** If the false information harms your reputation, you may have a defamation claim. Defamation generally involves false statements that are communicated to third parties and harm the reputation of the person being targeted.
2. **Identity Theft or Impersonation:** Using your name to spread false information may constitute identity theft or impersonation. Laws regarding identity theft vary, but in many jurisdictions, it is a crime.
3. **Cease and Desist Letter:** Your attorney may send a cease and desist letter to the individual responsible, demanding that they stop using your name to spread false information. This letter can serve as a formal warning before pursuing legal action.
4. **Online Platform Reporting:** Report the false information to the relevant online platforms or social media networks. Many platforms have policies against impersonation or spreading false information.
5. **Injunctive Relief:** In addition to seeking damages, you may seek injunctive relief to stop the person from further spreading false information or using your name without permission.
To pursue legal action, it is crucial to consult with an attorney who specializes in defamation, identity theft, or internet law. They can provide advice based on the specific laws applicable to your jurisdiction and help you understand your rights and options. Collecting evidence, such as screenshots or records of the false information, will also be important in building your case.</t>
  </si>
  <si>
    <t>Maaari ba akong magdemanda ng isang tao para sa paggamit ng aking pangalan sa pagkalat ng maling impormasyon online?</t>
  </si>
  <si>
    <t>What are the legal implications if someone spreads false information about a medical condition online?</t>
  </si>
  <si>
    <t>Spreading false information about a medical condition online can have serious legal implications, and the affected individual may consider various legal avenues to address the situation. Here are some potential legal implications:
1. **Defamation:** If the false information harms the reputation of an individual by making false statements about their medical condition, it could be considered defamation. To pursue a defamation claim, the affected party generally needs to demonstrate that the false information was communicated to third parties, caused harm, and is not protected by any legal privileges.
2. **Privacy Invasion:** False information about a person's medical condition might violate their privacy rights, especially if the disclosed information is sensitive and not intended for public knowledge. Laws regarding privacy invasion can vary, but unauthorized disclosure of private medical information may be actionable.
3. **Intentional Infliction of Emotional Distress:** If the false information causes severe emotional distress to the affected individual, they may consider pursuing a claim for intentional infliction of emotional distress. This typically requires showing that the conduct was outrageous and caused significant emotional harm.
4. **Medical Malpractice:** In some cases, if the false information involves allegations of medical malpractice against a healthcare professional, the affected party may pursue legal action for defamation or related claims.
5. **Cease and Desist Letter:** Before pursuing legal action, the affected party or their legal representative may send a cease and desist letter to the person spreading false information, demanding that they stop the dissemination of inaccurate medical information.
6. **Regulatory Complaints:** In some jurisdictions, there may be regulatory bodies overseeing online content related to medical information. Filing a complaint with such a regulatory body could be another avenue to address false medical information.
To pursue any legal action, it is crucial to consult with an attorney who specializes in defamation, privacy law, or medical law. Laws can vary between jurisdictions, so seeking legal advice tailored to your situation is essential. Additionally, collecting evidence of the false information and its impact may be crucial in building a case.</t>
  </si>
  <si>
    <t>Ano ang mga legal na implikasyon kung may nagkakalat ng maling impormasyon tungkol sa isang medikal na kondisyon online?</t>
  </si>
  <si>
    <t>Can I sue someone for posting false information about my criminal record online?</t>
  </si>
  <si>
    <t>Yes, you may have grounds to sue someone for posting false information about your criminal record online. False statements about a person's criminal record can be defamatory, and you may be able to pursue legal action against the individual responsible. Here are some considerations:
1. **Defamation:** False statements that harm your reputation, including false information about your criminal record, can be considered defamation. To establish a defamation claim, you generally need to show that the false information was communicated to third parties, caused harm to your reputation, and is not protected by any legal privileges.
2. **Factual Inaccuracy:** It's important to demonstrate that the information posted online is factually inaccurate. If the information is true or substantially true, it may be more challenging to pursue a defamation claim.
3. **Private or Public Figures:** The legal standards for defamation may differ depending on whether you are considered a private or public figure. Public figures often need to prove that false statements were made with actual malice, meaning the person making the statements knew they were false or acted with reckless disregard for the truth.
4. **Cease and Desist Letter:** Before initiating legal proceedings, your attorney may send a cease and desist letter to the individual responsible, demanding that they remove the false information and refrain from making further defamatory statements.
5. **Damages:** In a defamation case, you may be entitled to damages to compensate for harm to your reputation. Damages can include both economic losses and non-economic losses such as emotional distress.
It's crucial to consult with an attorney who specializes in defamation law or internet law to discuss the specifics of your case and the laws applicable to your jurisdiction. Keep in mind that laws can vary, so seeking legal advice tailored to your situation is essential. Additionally, preserving evidence of the false statements and their impact will be crucial in building a strong case.</t>
  </si>
  <si>
    <t>Maaari ba akong magdemanda ng isang tao para sa pag-post ng maling impormasyon tungkol sa aking kriminal na rekord online?</t>
  </si>
  <si>
    <t>What are the first steps I should take if I discover false information about me online?</t>
  </si>
  <si>
    <t>Discovering false information about yourself online can be distressing, but there are steps you can take to address the situation. Here are some initial steps you can consider:
1. **Document the Information:**
- Take screenshots or gather evidence of the false information, including URLs, dates, and any relevant context. This documentation will be valuable if you decide to take legal action.
2. **Contact the Source:**
- If you know the source of the false information, consider reaching out to them to request correction or removal. In some cases, the person responsible may be willing to rectify the situation voluntarily.
3. **Report to Online Platforms:**
- If the false information is posted on social media, review platforms, or websites, report it to the respective platforms. Many platforms have reporting mechanisms for false information, harassment, or impersonation.
4. **Seek Legal Advice:**
- Consult with an attorney who specializes in defamation, internet law, or privacy law. They can provide guidance on your legal options and help you understand the best course of action based on the specifics of your situation.
5. **Send a Cease and Desist Letter:**
- If the false information is causing harm, your attorney may send a cease and desist letter to the person responsible. This letter can formally request that they stop spreading false information and may serve as a precursor to legal action.
6. **Build a Positive Online Presence:**
- Proactively create or update your online profiles to showcase accurate and positive information about yourself. This can help counteract the negative impact of false information.
7. **Consider Reputation Management Services:**
- Explore the possibility of hiring online reputation management services to help address and mitigate the impact of false information. These services can work to suppress or remove harmful content from search engine results.
8. **Monitor the Situation:**
- Regularly monitor online platforms for any new instances of false information. Staying vigilant allows you to address new occurrences promptly.
Remember that the specific steps you take may depend on the nature of the false information and the laws in your jurisdiction. Seeking professional legal advice is crucial to ensure that your actions align with the applicable legal framework.</t>
  </si>
  <si>
    <t>Maaari ba akong magdemand ng isang tao para sa pag-post ng maling impormasyon tungkol sa aking kriminal na rekord online?</t>
  </si>
  <si>
    <t>Can I sue someone for impersonating me online and spreading false information?</t>
  </si>
  <si>
    <t>Yes, you may have grounds to sue someone for impersonating you online and spreading false information. Impersonation and the dissemination of false information can lead to various legal claims, and you may consider the following actions:
1. **Defamation:** If the false information harms your reputation, it could be considered defamation. To establish a defamation claim, you generally need to show that the false information was communicated to third parties, caused harm to your reputation, and is not protected by any legal privileges.
2. **Identity Theft or Impersonation:** Creating fake online profiles or impersonating someone else online may constitute identity theft or impersonation. Laws regarding identity theft vary, but in many jurisdictions, it is a criminal offense and can also be the basis for civil legal action.
3. **Cease and Desist Letter:** Your attorney may send a cease and desist letter to the individual responsible, demanding that they stop impersonating you, remove the false information, and refrain from making further defamatory statements.
4. **Reporting to Online Platforms:** Report the impersonation and false information to the relevant online platforms, social media networks, or websites. Many platforms have policies against impersonation and may take action to remove or restrict access to the fake profiles.
5. **Damages:** In a legal action, you may be entitled to damages to compensate for harm to your reputation and any other losses you may have suffered as a result of the impersonation.
It's crucial to consult with an attorney who specializes in defamation, identity theft, or internet law to discuss the specifics of your case and the laws applicable to your jurisdiction. Keep in mind that laws can vary, so seeking legal advice tailored to your situation is essential. Additionally, preserving evidence of the impersonation and its impact will be crucial in building a strong case.</t>
  </si>
  <si>
    <t>Maaari ba akong magdemanda ng isang tao para sa pagpapanggap sa akin bilang online at pagkalat ng maling impormasyon?</t>
  </si>
  <si>
    <t>How do I handle false information about my professional qualifications posted online?</t>
  </si>
  <si>
    <t>Dealing with false information about your professional qualifications posted online can be challenging, but there are steps you can take to address the situation. Here's a suggested approach:
1. **Document the False Information:**
- Take screenshots or gather evidence of the false information, including URLs, dates, and any relevant context. This documentation will be important if you need to take legal action or report the issue.
2. **Contact the Source:**
- If you know the source of the false information, consider reaching out to them to request correction or removal. Be polite but firm in explaining the inaccuracies and provide evidence to support your claims.
3. **Report to Online Platforms:**
- If the false information is posted on social media, professional networking sites, or other online platforms, report it to the respective platforms. Many platforms have reporting mechanisms for false information or impersonation.
4. **Update Your Professional Profiles:**
- Proactively update your professional profiles, including your resume on job websites and LinkedIn, with accurate and up-to-date information. This helps counteract the false information and ensures that your professional qualifications are correctly represented.
5. **Seek Legal Advice:**
- Consult with an attorney who specializes in defamation, internet law, or professional liability. They can provide guidance on your legal options and help you understand the best course of action based on the specifics of your situation.
6. **Send a Cease and Desist Letter:**
- If the false information is causing harm and the responsible party is uncooperative, your attorney may send a cease and desist letter demanding correction or removal of the inaccurate information.
7. **Online Reputation Management Services:**
- Consider engaging online reputation management services to help mitigate the impact of false information. These services may work to suppress or remove harmful content from search engine results.
8. **Monitor and Respond:**
- Regularly monitor online platforms for any new instances of false information. Respond promptly and professionally to correct inaccuracies and address any concerns raised by others.
Remember that the specific steps you take may depend on the nature of the false information and the laws in your jurisdiction. Seeking professional legal advice is crucial to ensure that your actions align with the applicable legal framework.</t>
  </si>
  <si>
    <t>Paano ko hahawakan ang maling impormasyon tungkol sa aking mga propesyonal na kwalipikasyon na nai-post online?</t>
  </si>
  <si>
    <t>Can I sue a news website for publishing false information about me?</t>
  </si>
  <si>
    <t>Yes, you may have the option to sue a news website for publishing false information about you, especially if the false information has caused harm to your reputation. However, pursuing legal action against a news organization involves navigating complex legal considerations, and the outcome will depend on various factors. Here are some key points to consider:
1. **Defamation Lawsuit:**
- If the false information is defamatory, you may have grounds to file a defamation lawsuit. Defamation generally involves false statements that harm an individual's reputation and are communicated to third parties.
2. **Truth as a Defense:**
- News organizations often have defenses against defamation claims, particularly if they can demonstrate that the information published is true or substantially true. Proving the falsity of the information will be crucial to a successful defamation claim.
3. **Public Figure Status:**
- If you are considered a public figure, the legal standards for defamation may be higher. Public figures often need to prove that false statements were made with actual malice, meaning the publisher knew the information was false or acted with reckless disregard for the truth.
4. **Retraction or Correction:**
- Some jurisdictions have laws requiring news organizations to issue retractions or corrections for false information. You may explore this option as part of resolving the issue.
5. **Cease and Desist Letter:**
- Before pursuing legal action, your attorney may send a cease and desist letter to the news organization, demanding correction or removal of the false information. This letter can serve as a formal warning and may prompt the organization to address the issue without going to court.
6. **Consultation with an Attorney:**
- It is crucial to consult with an attorney who specializes in defamation or media law. They can assess the specifics of your case, guide you on the legal options available, and help you decide on the best course of action.
7. **Public Interest Consideration:**
- The legal landscape may vary based on whether the published information is considered a matter of public interest. Some jurisdictions provide more protection to news organizations when reporting on matters of public concern.
Remember that defamation laws vary between jurisdictions, and the specifics of your case will influence the legal options available to you. Consulting with an attorney early in the process is essential to understanding your rights and potential courses of action.</t>
  </si>
  <si>
    <t>Maaari ko bang idemanda ang isang website ng balita para sa pag-publish ng maling impormasyon tungkol sa akin?</t>
  </si>
  <si>
    <t>What evidence do I need to gather to support my case against false online information?</t>
  </si>
  <si>
    <t>Gathering strong evidence is crucial when building a case against false online information. The specific evidence needed may depend on the nature of the false information and the legal claims you are pursuing. Here are some types of evidence that may be helpful:
1. **Screenshots and URLs:**
- Take screenshots of the false information, including any relevant URLs, dates, and timestamps. This documentation can serve as concrete evidence of the content in question.
2. **Archived Versions:**
- Use web archiving tools to capture and preserve the false information in its original form. This can be particularly useful if the content is later edited or removed.
3. **Witness Statements:**
- If there were witnesses to the dissemination of false information or individuals who can attest to its impact on your reputation, gather statements from them. Witness testimony can strengthen your case.
4. **Expert Opinions:**
- In certain cases, expert opinions may be valuable. For example, an expert in the field related to the false information may provide testimony to debunk inaccuracies.
5. **Public Records:**
- If the false information concerns your professional qualifications or legal record, gather official documents or records that can prove the accuracy of the information.
6. **Communication Records:**
- Keep records of any communication with the individual or entity responsible for spreading false information. This may include emails, messages, or other correspondence.
7. **Impact on Reputation:**
- Document any tangible harm caused by the false information, such as loss of business, damage to professional reputation, or emotional distress. This may involve collecting evidence of financial losses or negative reviews.
8. **Cease and Desist Letter:**
- If you or your attorney sends a cease and desist letter to the responsible party, retain a copy of the letter and any response received. This documentation can be relevant in legal proceedings.
9. **Legal Consultation:**
- If you consult with an attorney, keep records of the legal advice provided, including any recommendations on evidence collection and the potential strength of your case.
It's essential to consult with an attorney who specializes in defamation, internet law, or the relevant legal area. They can guide you on the specific evidence needed for your case and help you understand how to present it effectively. Additionally, the admissibility of evidence may vary based on legal standards in your jurisdiction, so professional legal advice is crucial.</t>
  </si>
  <si>
    <t>Anong ebidensya ang kailangan kong makalap upang suportahan ang aking kaso laban sa maling online na impormasyon?</t>
  </si>
  <si>
    <t>Can I sue someone for hacking into my accounts and posting false information?</t>
  </si>
  <si>
    <t>Yes, you can take legal action against someone for hacking into your accounts and posting false information, and this may involve both criminal and civil proceedings in the Philippines. Here are some potential courses of action:
1. **Criminal Complaint:**
- Hacking is a criminal offense in the Philippines. You can file a criminal complaint with the National Bureau of Investigation (NBI) or the Philippine National Police (PNP) Cybercrime Division, providing evidence of the hacking incident.
2. **Anti-Cybercrime Law (Republic Act No. 10175):**
- The Philippines has laws specifically addressing cybercrimes, including the Cybercrime Prevention Act of 2012 (Republic Act No. 10175). This law criminalizes unauthorized access to computer systems, data interference, and other cybercrimes.
3. **Civil Lawsuit:**
- In addition to pursuing criminal charges, you can file a civil lawsuit against the hacker for damages. This may include compensation for harm to your reputation, emotional distress, or any financial losses incurred as a result of the false information.
4. **Cease and Desist Letter:**
- Before initiating legal proceedings, your lawyer may send a cease and desist letter to the individual responsible for the hacking and false information, demanding that they stop their actions immediately.
5. **Preservation of Evidence:**
- It is crucial to preserve all relevant evidence, including records of the hacking incident, IP addresses, and any communications related to the unauthorized access.
6. **Legal Representation:**
- Consult with an attorney who specializes in cybercrime and internet law to guide you through the legal process, assist with evidence gathering, and advise you on the most appropriate legal actions to take.
Remember that laws can evolve, and it's crucial to consult with a legal professional to ensure that you are aware of the latest legal provisions and procedures related to cybercrimes in the Philippines. Additionally, timely reporting of hacking incidents to law enforcement is important for a more effective response.</t>
  </si>
  <si>
    <t>Maaari ba akong magdemanda ng isang tao para sa pag-hack sa aking mga account at pag-post ng maling impormasyon?</t>
  </si>
  <si>
    <t>How do I deal with false information about my financial status posted online?</t>
  </si>
  <si>
    <t>Dealing with false information about your financial status posted online can be challenging, but there are steps you can take to address the situation. Here are some recommended steps:
1. **Document the False Information:**
- Take screenshots or gather evidence of the false information, including URLs, dates, and any relevant context. This documentation will be crucial if you decide to take legal action or report the issue.
2. **Contact the Source:**
- If you know the source of the false information, consider reaching out to them to request correction or removal. Be clear and provide evidence to support the accurate representation of your financial status.
3. **Report to Online Platforms:**
- If the false information is posted on social media, review platforms, or other websites, report it to the respective platforms. Many platforms have mechanisms for reporting false information, and they may take action to address the issue.
4. **Legal Action - Defamation or Libel:**
- If the false information is defamatory and has caused harm to your reputation, you may have grounds to pursue legal action for defamation or libel. Consult with an attorney who specializes in defamation or internet law to discuss the specifics of your case.
5. **Cease and Desist Letter:**
- Your attorney may send a cease and desist letter to the individual responsible, demanding correction or removal of the false financial information. This letter can serve as a formal warning and may prompt the individual to address the issue without going to court.
6. **Online Reputation Management:**
- Consider engaging online reputation management services to help mitigate the impact of false financial information. These services may work to suppress or remove harmful content from search engine results.
7. **Update Professional Profiles:**
- Proactively update your professional profiles, such as on LinkedIn or industry-specific websites, with accurate and up-to-date information about your financial status. This helps counteract false information with accurate details.
8. **Consultation with an Attorney:**
- Consult with an attorney who specializes in defamation, privacy law, or internet law. They can provide advice based on the legal options available to you and guide you through the process of addressing false financial information.
Keep in mind that the specific steps you take may depend on the nature of the false information and the laws in your jurisdiction. Seeking professional legal advice is essential to ensure that your actions align with the applicable legal framework.</t>
  </si>
  <si>
    <t>Paano ko haharapin ang maling impormasyon tungkol sa aking katayuan sa pananalapi na nai-post online?</t>
  </si>
  <si>
    <t>Can I sue someone for spreading false rumors about me on social media?</t>
  </si>
  <si>
    <t>Yes, in the Philippines, you can take legal action against someone for spreading false rumors about you on social media. The applicable legal avenues primarily involve defamation laws. Here are the key considerations:
1. **Defamation Laws:**
- The spreading of false rumors that harm a person's reputation may be considered defamation. In the Philippines, defamation is generally categorized into libel for written defamation and slander for spoken defamation.
2. **Republic Act No. 10175 (Cybercrime Prevention Act of 2012):**
- The Cybercrime Prevention Act of 2012 addresses certain online offenses, including libel. If the false rumors are spread through electronic means, such as social media, the provisions of this law may be relevant.
3. **Cease and Desist Letter:**
- Before initiating legal proceedings, your attorney may send a cease and desist letter to the individual spreading false rumors. This letter formally demands that they stop the defamatory statements and may serve as a precursor to legal action.
4. **Criminal and Civil Actions:**
- Defamation can be both a criminal and civil offense. You may consider filing a criminal complaint with law enforcement agencies, such as the National Bureau of Investigation (NBI), and simultaneously pursue a civil lawsuit for damages.
5. **Preservation of Evidence:**
- It is crucial to preserve evidence of the false rumors, such as screenshots, URLs, or any other relevant information that can support your case.
6. **Consult with an Attorney:**
- Consult with an attorney who specializes in defamation or internet law to discuss the specifics of your case. They can guide you on the legal options available and help you understand the best course of action.
7. **Public Figures and Private Individuals:**
- The legal standards for defamation may vary based on whether you are considered a public figure or a private individual. Public figures often need to prove that false statements were made with actual malice.
Remember that laws can evolve, and seeking legal advice is crucial to ensure that your actions align with the most current legal framework in the Philippines. An attorney can help you navigate the legal process and pursue the most appropriate course of action based on the specifics of your situation.</t>
  </si>
  <si>
    <t>Maaari ba akong magdemanda ng isang tao para sa pagkalat ng maling tsismis tungkol sa akin sa social media?</t>
  </si>
  <si>
    <t>What legal actions can I take if false information online has led to harassment or threats against me?</t>
  </si>
  <si>
    <t>If false information online has led to harassment or threats against you in the Philippines, you can take several legal actions to address the situation. Here are some steps you may consider:
1. **Document the Threats or Harassment:**
- Keep records of the threatening or harassing messages, posts, or any other evidence. This documentation will be crucial for establishing the nature and extent of the harm.
2. **Report to Law Enforcement:**
- Report the threats or harassment to the local police or the National Bureau of Investigation (NBI) Cybercrime Division. Cyberbullying and online harassment are offenses under the Cybercrime Prevention Act of 2012 (Republic Act No. 10175).
3. **Anti-Cybercrime Law (RA 10175):**
- Familiarize yourself with Republic Act No. 10175, which addresses various cybercrimes, including cyberbullying and online harassment. This law provides a legal framework for addressing offenses committed online.
4. **File a Complaint with Online Platforms:**
- Report the threatening or harassing content to the relevant online platforms, social media networks, or websites. Many platforms have mechanisms for reporting abusive behavior and may take action against the violator.
5. **Seek a Restraining Order or Protection Order:**
- Consult with a lawyer to explore the possibility of obtaining a restraining order or protection order against the individual responsible for the threats or harassment. Such orders are legal measures to restrict the perpetrator's actions.
6. **Cease and Desist Letter:**
- Your attorney may send a cease and desist letter to the person responsible for the false information, demanding that they stop their actions immediately. This letter can serve as a formal warning and may prompt the individual to address the issue without going to court.
7. **Criminal Charges:**
- Depending on the severity of the threats or harassment, consider pursuing criminal charges against the offender. Consult with law enforcement and legal professionals to explore the available options.
8. **Consult with an Attorney:**
- Consult with an attorney who specializes in cybercrime, harassment, or internet law. They can provide advice based on the specific circumstances of your case and guide you through the legal process.
Addressing online threats or harassment involves a combination of legal and practical measures. It's important to consult with legal professionals to understand your rights and options within the Philippine legal framework.</t>
  </si>
  <si>
    <t>Anong mga legal na aksyon ang maaari kong gawin kung ang maling impormasyon sa online ay humantong sa panliligalig o pagbabanta laban sa akin?</t>
  </si>
  <si>
    <t>Can I sue a blogger for posting false information about me?</t>
  </si>
  <si>
    <t>Yes, you may have the option to sue a blogger for posting false information about you, especially if the false information has caused harm to your reputation. In the Philippines, defamation laws provide a legal framework to address false and damaging statements made by individuals, including bloggers. Here are some key considerations:
1. **Defamation Laws:**
- False and defamatory statements, whether published in traditional media or online, may be subject to defamation laws. In the Philippines, both libel (for written or published defamation) and slander (for spoken defamation) are recognized under the Revised Penal Code.
2. **Republic Act No. 10175 (Cybercrime Prevention Act of 2012):**
- The Cybercrime Prevention Act of 2012 (RA 10175) addresses various online offenses, including online libel. If the false information was disseminated through electronic means, this law may be applicable.
3. **Cease and Desist Letter:**
- Before initiating legal proceedings, your attorney may send a cease and desist letter to the blogger, demanding correction or removal of the false information. This letter can serve as a formal warning and may prompt the blogger to address the issue without going to court.
4. **Criminal and Civil Actions:**
- Defamation can be both a criminal and civil offense. You may consider filing a criminal complaint with law enforcement agencies and simultaneously pursue a civil lawsuit for damages.
5. **Preservation of Evidence:**
- It is crucial to preserve evidence of the false information, such as screenshots, URLs, or any other relevant information that can support your case.
6. **Consultation with an Attorney:**
- Consult with an attorney who specializes in defamation, internet law, or media law to discuss the specifics of your case. They can guide you on the legal options available and help you understand the best course of action.
Remember that laws can evolve, and it's crucial to consult with a legal professional to ensure that your actions align with the most current legal framework in the Philippines. An attorney can help you navigate the legal process and pursue the most appropriate course of action based on the specifics of your situation.</t>
  </si>
  <si>
    <t>Maaari ko bang idemanda ang isang blogger para sa pag-post ng maling impormasyon tungkol sa akin?</t>
  </si>
  <si>
    <t>How do I request removal of false information from search engine results?</t>
  </si>
  <si>
    <t>If you want to request the removal of false information from search engine results, you can follow these general steps. Keep in mind that the effectiveness of these steps may vary, and some options are more applicable to specific situations. Additionally, this advice is based on general principles and might not cover every scenario.
1. **Contact the Website Hosting the False Information:**
- Identify the website hosting the false information and contact the site owner or administrator directly. Request that they remove or correct the inaccurate content. Provide evidence supporting the factual inaccuracies and explain why the information is false.
2. **Submit a Legal Takedown Request:**
- If the false information violates the law (e.g., defamation, copyright infringement), you may submit a legal takedown request to the hosting provider. Include relevant legal documentation, such as court orders or cease and desist letters, to support your case.
3. **Report to Search Engines:**
- Report the false information to the major search engines (Google, Bing, etc.) through their content removal policies. Each search engine has its own process for handling removal requests. Google, for example, provides a Removals Tool where you can request the removal of specific URLs from search results.
- For Google: Visit Google's Legal Removals page (https://support.google.com/legal/contact/lr_legalother?product=websearch) and follow the instructions to submit a legal removal request.
- For Bing: Visit Bing's Content Removal page (https://www.microsoft.com/en-us/concern/privacy) and follow the instructions to submit a request.
4. **Online Reputation Management Services:**
- Consider hiring online reputation management services. These professionals specialize in mitigating the impact of false or damaging information online. They may work to suppress negative content and promote positive, accurate information.
5. **Consult with Legal Professionals:**
- If the false information involves legal issues, consult with legal professionals. They can guide you on the best course of action, including the possibility of legal action against the individuals responsible for the false content.
Remember that the removal of content from search engine results is not guaranteed, and the process can take time. Additionally, search engines prioritize user privacy and free expression, so removal requests are typically evaluated based on legal and policy considerations. Always ensure that you have accurate and supporting documentation when making removal requests.</t>
  </si>
  <si>
    <t>Paano ako hihiling ng pag-alis ng maling impormasyon mula sa mga resulta ng search engine?</t>
  </si>
  <si>
    <t>Can I sue someone for posting false information about my family members online?</t>
  </si>
  <si>
    <t>Yes, you may have grounds to sue someone for posting false information about your family members online. The legal avenue to pursue such a case would likely involve defamation or other related claims, depending on the nature of the false information and the jurisdiction you are in.
Here are some steps to consider:
1. **Gather Evidence:**
- Collect evidence of the false information, including screenshots, URLs, or any other relevant documentation. This evidence will be crucial in establishing the nature and impact of the false statements.
2. **Consult with an Attorney:**
- Seek legal advice from an attorney who specializes in defamation or internet law. They can help you understand your rights, evaluate the strength of your case, and guide you through the legal process.
3. **Cease and Desist Letter:**
- Your attorney may send a cease and desist letter to the individual responsible for posting false information. This letter formally demands that they stop spreading false information about your family members and may serve as a precursor to legal action.
4. **Legal Action - Defamation Lawsuit:**
- If the false information is damaging to the reputation of your family members, you may consider filing a defamation lawsuit. Defamation generally involves false statements that harm the reputation of individuals and are communicated to third parties.
5. **Consider Privacy Laws:**
- Depending on the nature of the false information, you may explore privacy laws that protect individuals from the unauthorized disclosure of private facts. Consult with your attorney to determine if such laws apply to your case.
6. **Online Platform Reporting:**
- Report the false information to the relevant online platforms, social media networks, or websites. Many platforms have policies against the dissemination of false information or harassment.
7. **Seek Damages:**
- In a defamation lawsuit, you may seek damages to compensate for the harm caused to your family members' reputation. Damages can include both economic losses and non-economic losses such as emotional distress.
It's essential to note that defamation laws vary between jurisdictions, and the specifics of your case will influence the legal options available to you. Consulting with a legal professional is crucial to understanding the applicable laws and pursuing the most appropriate course of action.</t>
  </si>
  <si>
    <t>Maaari ba akong magdemanda ng isang tao para sa pag-post ng maling impormasyon tungkol sa mga miyembro ng aking pamilya online?</t>
  </si>
  <si>
    <t>What are the potential consequences for individuals or entities found guilty of spreading false information online?</t>
  </si>
  <si>
    <t>The potential consequences for individuals or entities found guilty of spreading false information online can vary depending on the jurisdiction and the specific laws violated. Here are some potential consequences:
1. **Civil Liability:**
- Individuals or entities found guilty of spreading false information may be subject to civil liability. This could result in legal action such as defamation lawsuits, where the aggrieved party seeks damages for harm to their reputation.
2. **Criminal Charges:**
- In some cases, spreading false information may be a criminal offense. Laws related to cybercrime, defamation, or false information may lead to criminal charges, potentially resulting in fines or imprisonment.
3. **Cease and Desist Orders:**
- Courts may issue cease and desist orders, requiring the individual or entity to stop spreading false information immediately. Violating such orders may lead to further legal consequences.
4. **Fines:**
- Courts may impose fines as a penalty for spreading false information. The amount of the fine can vary depending on the severity of the offense and the applicable laws.
5. **Removal of Content:**
- Courts or relevant authorities may order the removal of false information from online platforms or websites. Failure to comply with such orders may result in additional penalties.
6. **Community Service:**
- Some jurisdictions may impose community service as a form of punishment for individuals or entities found guilty of spreading false information. This could involve contributing to public education campaigns or other community-oriented activities.
7. **Publication of Corrections:**
- Courts may require the guilty party to publicly acknowledge the falsehood and publish corrections or retractions. This aims to mitigate the harm caused by the false information.
8. **Loss of Credibility and Reputation:**
- Being found guilty of spreading false information can lead to significant damage to the credibility and reputation of individuals or entities. This can have long-term consequences in various aspects of public and professional life.
It's important to note that the specific consequences will depend on the laws of the jurisdiction in question. In some cases, the consequences may involve a combination of civil and criminal penalties. Additionally, the legal process and potential consequences can vary based on whether the false information is considered defamation, fraud, or a violation of other specific laws governing online conduct. Consulting with legal professionals familiar with the relevant jurisdiction is essential to understanding the potential consequences in a specific context.</t>
  </si>
  <si>
    <t>Ano ang mga potensyal na kahihinatnan para sa mga indibidwal o entity na napatunayang nagkasala sa pagkalat ng maling impormasyon online?</t>
  </si>
  <si>
    <t>Can I sue someone for altering images or videos to spread false information about me?</t>
  </si>
  <si>
    <t>Yes, you may have grounds to sue someone for altering images or videos to spread false information about you. This type of action can involve various legal claims, and the specific legal avenues will depend on the jurisdiction and the nature of the false information. Here are some potential legal actions you could consider:
1. **Defamation:**
- If the altered images or videos contain false and damaging information about you, you may have a defamation claim. Defamation generally involves false statements that harm a person's reputation when communicated to third parties.
2. **False Light Invasion of Privacy:**
- Some jurisdictions recognize a cause of action known as "false light invasion of privacy." This claim arises when false information is presented in a way that places an individual in a false light, causing harm to their reputation.
3. **Intellectual Property Violations:**
- If the images or videos were altered without your consent, you may also have a claim related to intellectual property rights, such as copyright infringement.
4. **Fraud or Misrepresentation:**
- If the altered content is part of a deliberate effort to deceive and harm you, you may consider legal action based on fraud or misrepresentation.
5. **Defamation Per Se:**
- In some jurisdictions, certain false statements are considered defamation per se, meaning they are presumed to be harmful, and the plaintiff does not have to prove damages.
6. **Criminal Charges:**
- Depending on the severity of the alteration and the jurisdiction, there may be criminal charges related to fraud, forgery, or other offenses.
7. **Cease and Desist Letter:**
- Before initiating legal proceedings, your attorney may send a cease and desist letter to the individual responsible, demanding that they stop spreading false and altered content about you. This letter can serve as a formal warning and may prompt the individual to address the issue without going to court.
8. **Consult with an Attorney:**
- Consult with an attorney who specializes in defamation, privacy law, intellectual property, or internet law. They can provide guidance on the specific legal actions available to you based on the circumstances of your case.
It's crucial to act promptly and consult with legal professionals to assess the best course of action based on the laws applicable to your jurisdiction. Keep in mind that laws may vary, so seeking legal advice tailored to your situation is essential.</t>
  </si>
  <si>
    <t>Maaari ba akong magdemanda ng isang tao para sa pagbabago ng mga larawan o video upang magkalat ng maling impormasyon tungkol sa akin?</t>
  </si>
  <si>
    <t>How do I handle false reviews or testimonials posted about me or my business online?</t>
  </si>
  <si>
    <t>Dealing with false reviews or testimonials posted about you or your business online in the Philippines involves a combination of practical and legal strategies. Here are some steps you can consider:
1. **Document the False Reviews:**
- Take screenshots or gather evidence of the false reviews, including the content, usernames, dates, and any relevant context. This documentation will be valuable if you decide to take legal action.
2. **Respond Professionally:**
- Respond to the false reviews in a professional and measured manner. Address the concerns raised in a polite way, and provide accurate information to correct any misconceptions. This can demonstrate to other users that you take customer feedback seriously.
3. **Report to Online Platforms:**
- Report the false reviews to the relevant online review platforms, such as Google, Yelp, or other industry-specific websites. Many platforms have policies against fake reviews, and they may take action to investigate and remove the false content.
4. **Online Reputation Management Services:**
- Consider engaging online reputation management services. These professionals specialize in mitigating the impact of false or damaging information online. They may work to suppress negative content and promote positive, accurate information.
5. **Legal Action - Defamation Lawsuit:**
- If the false reviews are defamatory and have caused harm to your reputation or business, consult with an attorney to explore the possibility of filing a defamation lawsuit. Defamation involves false statements that harm the reputation of an individual or business.
6. **Cease and Desist Letter:**
- Your attorney may send a cease and desist letter to the individuals responsible for posting false reviews, demanding correction or removal of the inaccurate information. This letter can serve as a formal warning and may prompt the individuals to address the issue without going to court.
7. **Online Consumer Act (Republic Act No. 10654):**
- Familiarize yourself with the Consumer Act of the Philippines (Republic Act No. 10654). This law provides certain protections for consumers and may be relevant to false or misleading information posted online.
8. **Promote Positive Reviews:**
- Actively encourage satisfied customers to leave positive reviews. This can help counteract the impact of false reviews and contribute to an overall positive online reputation.
It's important to consult with an attorney who specializes in internet law, defamation, or business law in the Philippines. They can provide advice tailored to your situation and guide you through the legal process, if necessary. Keep in mind that laws may vary, so seeking professional legal advice is essential.</t>
  </si>
  <si>
    <t>Paano ko hahawakan ang mga maling review o testimonial na nai-post tungkol sa akin o sa aking negosyo online?</t>
  </si>
  <si>
    <t>Can I sue someone for spreading false information about my legal case online?</t>
  </si>
  <si>
    <t>Yes, you may have grounds to sue someone for spreading false information about your legal case online. The potential legal claims could include defamation, as false statements that harm your reputation may be subject to legal action. Here are some general steps to consider:
1. **Document the False Information:**
- Gather evidence of the false information, such as screenshots or links to the online posts containing inaccurate statements. Documentation is crucial for building a case.
2. **Consult with an Attorney:**
- Consult with an attorney who specializes in defamation or internet law. They can help you understand your rights, evaluate the strength of your case, and guide you through the legal process.
3. **Cease and Desist Letter:**
- Your attorney may send a cease and desist letter to the individual responsible for spreading false information about your legal case. This letter formally demands that they stop making false statements and may serve as a precursor to legal action.
4. **Online Platform Reporting:**
- Report the false information to the relevant online platforms, social media networks, or websites. Many platforms have policies against the dissemination of false information or harassment.
5. **Defamation Lawsuit:**
- If the false information has caused harm to your reputation, you may consider filing a defamation lawsuit. Defamation generally involves false statements that harm an individual's reputation when communicated to third parties.
6. **Correction or Retraction:**
- As part of your legal action, you may request the individual to issue a correction or retraction of the false statements. This can be part of a settlement agreement or a court order.
7. **Consultation with Legal Professionals:**
- Depending on the nature and context of the false information, other legal claims or defenses may be applicable. Consult with legal professionals to explore all available options.
Remember that laws can vary, and legal processes can be complex. It's important to consult with an attorney who can provide guidance specific to your jurisdiction and circumstances. Keep in mind that timely and appropriate action is crucial to mitigating the potential harm caused by false information.</t>
  </si>
  <si>
    <t>Maaari ba akong magdemanda ng isang tao para sa pagkalat ng maling impormasyon tungkol sa aking legal na kaso online?</t>
  </si>
  <si>
    <t>How do I navigate jurisdictional issues if the false information was posted from another country?</t>
  </si>
  <si>
    <t>Navigating jurisdictional issues when dealing with false information posted from another country can be complex. International legal matters often involve considerations of jurisdiction, applicable laws, and enforcement challenges. Here are some general steps to navigate these issues:
1. **Identify the Jurisdiction:**
- Determine the country from which the false information was posted. Understanding the jurisdiction is crucial because it dictates which legal system and laws may apply.
2. **Consult with Local Legal Professionals:**
- Seek the advice of legal professionals in the jurisdiction where the false information originated. Local lawyers can provide insights into the applicable laws, potential legal actions, and the feasibility of pursuing a case.
3. **International Legal Treaties:**
- Check for any international legal treaties or agreements between your country and the country where the false information originated. Some agreements may facilitate cooperation on legal matters, including the enforcement of judgments.
4. **Online Platform Reporting:**
- Report the false information to the relevant online platforms or social media networks. Many platforms have mechanisms for reporting content that violates their policies, regardless of the user's location.
5. **Contact Law Enforcement:**
- If the false information involves criminal activities, contact your local law enforcement agency and provide them with the relevant details. They may coordinate with international law enforcement agencies through established channels.
6. **Use Mutual Legal Assistance Treaties (MLATs):**
- Some countries have Mutual Legal Assistance Treaties (MLATs) that enable cooperation in criminal matters. MLATs can be used to request assistance from authorities in the country where the false information originated.
7. **Private International Law Considerations:**
- Consult with legal professionals knowledgeable in private international law. This area of law addresses legal issues involving multiple jurisdictions and may provide guidance on jurisdictional challenges.
8. **Consider the Impact on Reputation:**
- Assess the impact of pursuing legal action in another jurisdiction on your reputation, resources, and the likelihood of success. The legal landscape and cultural nuances may differ significantly.
9. **Online Reputation Management:**
- Engage online reputation management services to mitigate the impact of false information. While these services may not address legal issues directly, they can work on suppressing negative content and promoting positive information.
10. **Consult with Authorities:**
- Reach out to relevant authorities, such as the cybercrime units or similar agencies, in both your jurisdiction and the jurisdiction where the false information originated. Seek guidance on the steps that can be taken and whether cooperation is possible.
Navigating jurisdictional issues in international legal matters requires careful consideration of various factors. It is strongly recommended to consult with legal professionals who specialize in international law, cyber law, or defamation to receive tailored advice based on the specific details of your case.</t>
  </si>
  <si>
    <t>Paano ako mag-navigate sa mga isyu sa hurisdiksyon kung ang maling impormasyon ay nai-post mula sa ibang bansa?</t>
  </si>
  <si>
    <t>Can I sue someone for false information spread through email or messaging apps?</t>
  </si>
  <si>
    <t>Yes, in the Philippines, you can potentially take legal action against someone for spreading false information through email or messaging apps. The legal avenues you might pursue could include defamation, cyber libel, or other relevant laws. Here are some general steps to consider:
1. **Document the False Information:**
- Collect evidence of the false information spread through email or messaging apps. Screenshots, copies of messages, and any relevant details will be important for building your case.
2. **Consult with an Attorney:**
- Seek legal advice from an attorney who specializes in cybercrime, internet law, or defamation. They can help you understand your rights, evaluate the strength of your case, and guide you through the legal process.
3. **Cease and Desist Letter:**
- Your attorney may send a cease and desist letter to the individual responsible for spreading false information, demanding correction or removal of the inaccurate content. This letter can serve as a formal warning and may prompt the individual to address the issue without going to court.
4. **Anti-Cybercrime Law (RA 10175):**
- Familiarize yourself with Republic Act No. 10175, also known as the Cybercrime Prevention Act of 2012. This law addresses various cybercrimes, including libel, identity theft, and unauthorized access to computer systems.
5. **File a Complaint:**
- Depending on the nature of the false information, you may file a complaint with law enforcement agencies, such as the National Bureau of Investigation (NBI) Cybercrime Division. They may investigate and take appropriate action under cybercrime laws.
6. **Civil Lawsuit:**
- If the false information has caused harm to your reputation, you may consider filing a civil lawsuit for damages. Defamation laws in the Philippines can be applicable in cases where false statements harm an individual's reputation.
7. **Preservation of Evidence:**
- It is crucial to preserve all relevant evidence, including records of the false information, IP addresses, and any communications related to the spreading of false information.
8. **Public Figures and Private Individuals:**
- Be aware that the legal standards for defamation may vary based on whether you are considered a public figure or a private individual. Public figures often need to prove that false statements were made with actual malice.
Always consult with legal professionals to ensure that your actions align with the applicable legal framework in the Philippines. Laws can evolve, and legal advice tailored to your specific circumstances is essential.</t>
  </si>
  <si>
    <t>Maaari ba akong magdemanda ng isang tao para sa maling impormasyong kumakalat sa pamamagitan ng email o mga messaging app?</t>
  </si>
  <si>
    <t>How do I protect myself legally if I inadvertently shared false information online?</t>
  </si>
  <si>
    <t>If you have inadvertently shared false information online in the Philippines and are concerned about potential legal consequences, here are some steps you can take to protect yourself:
1. **Retract and Correct the Information:**
- If you realize that you shared false information, promptly retract and correct the content. Clearly state the correction, and provide accurate information to rectify any misconceptions.
2. **Apologize Publicly:**
- Consider issuing a public apology for the dissemination of false information. Acknowledge the error, express regret, and assure others that you are committed to sharing accurate information in the future.
3. **Delete or Amend the Content:**
- Remove or amend the false information from the online platform where it was shared. This can help mitigate the impact and prevent further dissemination of inaccurate details.
4. **Engage in Responsible Sharing:**
- Moving forward, be vigilant about fact-checking information before sharing it online. Verify the accuracy of content, especially if it involves sensitive or potentially harmful information.
5. **Learn from the Experience:**
- Use the incident as an opportunity to learn about responsible online behavior. Understand the importance of verifying information, being cautious about what you share, and considering the potential consequences of your online actions.
6. **Seek Legal Advice:**
- If you are concerned about potential legal consequences, consult with an attorney who specializes in internet law or defamation. They can provide guidance on your specific situation and advise you on the best course of action.
7. **Online Reputation Management:**
- Consider engaging online reputation management services to help mitigate the impact of the false information. These services may work to suppress negative content and promote positive, accurate information.
8. **Understand Cybercrime Laws:**
- Familiarize yourself with relevant cybercrime laws in the Philippines, such as Republic Act No. 10175 (Cybercrime Prevention Act of 2012). Understanding the legal framework can help you navigate potential consequences and take appropriate steps.
9. **Monitor and Respond to Feedback:**
- Stay engaged with the online community, monitor feedback, and respond to inquiries or concerns. Transparent communication can help rebuild trust and demonstrate your commitment to accuracy.
It's important to note that legal consequences may vary based on the nature and impact of the false information. Consulting with a legal professional is crucial to understanding the specific legal implications in your situation and taking appropriate steps to address them.</t>
  </si>
  <si>
    <t>Paano ko poprotektahan ang aking sarili nang legal kung hindi ko sinasadyang nagbahagi ng maling impormasyon online?</t>
  </si>
  <si>
    <t>Can I sue someone for false information that led to me losing a job opportunity?</t>
  </si>
  <si>
    <t>Yes, you may have grounds to sue someone for false information that led to you losing a job opportunity. The potential legal claims could include defamation, particularly if the false information harmed your reputation and resulted in tangible harm, such as the loss of a job opportunity. Here are some general steps to consider:
1. **Document the False Information:**
- Collect evidence of the false information, including any statements, communications, or actions that contributed to the loss of the job opportunity. Documentation is crucial for building a case.
2. **Consult with an Attorney:**
- Seek legal advice from an attorney who specializes in defamation or employment law. They can help you understand your rights, evaluate the strength of your case, and guide you through the legal process.
3. **Identify the False Statements:**
- Clearly identify the false statements that were made about you and led to the loss of the job opportunity. This is essential for establishing the basis of your legal claim.
4. **Establish Damages:**
- Demonstrate how the false information caused you harm, particularly in terms of the specific job opportunity you lost. Establishing damages is a key element in many legal claims.
5. **Cease and Desist Letter:**
- Your attorney may send a cease and desist letter to the individual responsible for spreading false information, demanding correction or removal of the inaccurate content. This letter can serve as a formal warning and may prompt the individual to address the issue without going to court.
6. **File a Defamation Lawsuit:**
- If the false information has caused significant harm to your reputation and resulted in the loss of a job opportunity, you may consider filing a defamation lawsuit. Defamation generally involves false statements that harm an individual's reputation when communicated to third parties.
7. **Consultation with Legal Professionals:**
- Depending on the circumstances, other legal claims or defenses may be applicable. Consult with legal professionals to explore all available options and determine the best course of action.
It's important to act promptly and consult with an attorney who can provide guidance specific to your jurisdiction and circumstances. Keep in mind that laws may vary, and legal processes can be complex. An attorney will help you navigate the legal landscape and pursue the most appropriate course of action based on the specifics of your situation.</t>
  </si>
  <si>
    <t>Maaari ko bang idemanda ang isang tao para sa maling impormasyon na nawala sa isang pagkakataon sa trabaho?</t>
  </si>
  <si>
    <t>How do I address false information about my academic credentials online?</t>
  </si>
  <si>
    <t>Addressing false information about your academic credentials online requires a combination of practical and legal strategies. Here are steps you can take to address the situation:
1. **Gather Evidence:**
- Collect evidence that supports the accuracy of your academic credentials. This may include transcripts, diplomas, certificates, or any other official documentation. Having a record of your actual credentials is crucial for refuting false information.
2. **Verify the Source:**
- Identify the source of the false information. Determine where the inaccurate details are being disseminated online, such as social media platforms, forums, or websites.
3. **Contact the Website or Platform:**
- Reach out to the administrators or content moderators of the website or platform hosting the false information. Many online platforms have reporting mechanisms for inaccurate or false content. Provide them with evidence of your correct academic credentials and request the removal or correction of the false information.
4. **Submit Legal Takedown Requests:**
- If the false information violates any laws or terms of service, consider submitting legal takedown requests to the hosting providers. This may involve notifying web hosting companies or domain registrars, especially if the false information is on a website.
5. **Online Reputation Management Services:**
- Engage online reputation management services to help suppress negative content and promote accurate information about your academic credentials. These services may use various strategies to improve your online reputation.
6. **Issue a Public Statement:**
- Consider issuing a public statement on your official website or social media platforms addressing the false information. Clearly state your actual academic credentials and provide evidence to support your statements.
7. **Cease and Desist Letter:**
- If the false information is causing significant harm to your reputation, consult with an attorney who specializes in defamation or internet law. They may send a cease and desist letter to the individual responsible, demanding correction or removal of the false details.
8. **Monitor and Respond:**
- Regularly monitor online platforms for any resurgence of false information. Respond promptly to correct inaccuracies and provide accurate information when necessary.
9. **Consult with Legal Professionals:**
- If the false information persists or has serious consequences, consult with legal professionals to explore potential legal actions. Depending on the nature of the false information, legal avenues such as defamation or injurious falsehood may be applicable.
Remember that laws and available remedies may vary depending on your jurisdiction. Consult with legal professionals to understand the specific legal options available to you and to determine the most effective strategy based on your circumstances.</t>
  </si>
  <si>
    <t>Paano ko tutugunan ang maling impormasyon tungkol sa aking mga kredensyal sa akademiko online?</t>
  </si>
  <si>
    <t>Can I sue someone for false information posted about my involvement in a community or organization?</t>
  </si>
  <si>
    <t>Yes, you may have grounds to sue someone for false information posted about your involvement in a community or organization. If the false information harms your reputation and causes tangible harm, legal actions such as defamation may be applicable. Here are general steps to consider:
1. **Document the False Information:**
- Gather evidence of the false information, including screenshots, links, or any other documentation that proves the inaccurate statements made about your involvement in the community or organization.
2. **Consult with an Attorney:**
- Seek legal advice from an attorney who specializes in defamation or internet law. They can help you understand your rights, evaluate the strength of your case, and guide you through the legal process.
3. **Cease and Desist Letter:**
- Your attorney may send a cease and desist letter to the individual responsible for spreading false information, demanding correction or removal of the inaccurate content. This letter can serve as a formal warning and may prompt the individual to address the issue without going to court.
4. **Online Platform Reporting:**
- Report the false information to the relevant online platforms, social media networks, or websites. Many platforms have policies against the dissemination of false information or harassment.
5. **Defamation Lawsuit:**
- If the false information has caused harm to your reputation and resulted in tangible harm, you may consider filing a defamation lawsuit. Defamation generally involves false statements that harm an individual's reputation when communicated to third parties.
6. **Private Figure or Public Figure:**
- Understand the legal standards for defamation, especially whether you are considered a private figure or a public figure. The standards may vary, and public figures often need to prove that false statements were made with actual malice.
7. **Preservation of Evidence:**
- It is crucial to preserve all relevant evidence, including records of the false information, any communications related to the spreading of false information, and evidence of harm suffered.
8. **Consider Alternative Dispute Resolution:**
- Explore alternative dispute resolution mechanisms, such as mediation, before resorting to litigation. This can sometimes lead to a resolution without the need for a court trial.
9. **Monitor and Respond to Feedback:**
- Stay engaged with the community or organization, monitor feedback, and respond to inquiries or concerns transparently. Communicating openly can help rebuild trust and demonstrate your commitment to accuracy.
Legal actions should be approached carefully, and it's important to consult with an attorney to assess the specifics of your case. Laws may vary, and legal processes can be complex, so professional legal guidance is crucial in understanding the options available to you.</t>
  </si>
  <si>
    <t>Maaari ba akong magdemanda ng isang tao para sa maling impormasyong nai-post tungkol sa aking pagkakasangkot sa isang komunidad o organisasyon?</t>
  </si>
  <si>
    <t>How do I deal with false information about my immigration status posted online?</t>
  </si>
  <si>
    <t>Dealing with false information about your immigration status posted online requires a careful and strategic approach. Here are steps you can consider:
1. **Document the False Information:**
- Collect evidence of the false information, including screenshots or links to the online content that contains inaccuracies about your immigration status. This documentation is crucial for building your case.
2. **Verify the Source:**
- Identify the source of the false information. Determine where the inaccurate details are being disseminated online, such as social media platforms, forums, or websites.
3. **Contact the Website or Platform:**
- Reach out to the administrators or content moderators of the website or platform hosting the false information. Many online platforms have reporting mechanisms for inaccurate or false content. Provide them with evidence of your correct immigration status and request the removal or correction of the false information.
4. **Submit Legal Takedown Requests:**
- If the false information violates any laws or terms of service, consider submitting legal takedown requests to the hosting providers. This may involve notifying web hosting companies or domain registrars, especially if the false information is on a website.
5. **Online Reputation Management Services:**
- Engage online reputation management services to help suppress negative content and promote accurate information about your immigration status. These services may use various strategies to improve your online reputation.
6. **Issue a Public Statement:**
- If necessary, consider issuing a public statement on your official website or social media platforms addressing the false information. Clearly state your actual immigration status and provide evidence to support your statements.
7. **Cease and Desist Letter:**
- If the false information is causing significant harm, consult with an attorney who specializes in defamation or internet law. They may send a cease and desist letter to the individual responsible, demanding correction or removal of the false details.
8. **Consult with Legal Professionals:**
- If the false information persists or has serious consequences, consult with legal professionals to explore potential legal actions. Depending on the nature of the false information, legal avenues such as defamation, libel, or injurious falsehood may be applicable.
9. **Monitor and Respond:**
- Regularly monitor online platforms for any resurgence of false information. Respond promptly to correct inaccuracies and provide accurate information when necessary.
It's crucial to act promptly and consult with legal professionals to understand the specific legal implications in your jurisdiction and take appropriate steps. Keep in mind that laws may vary, and legal processes can be complex. An attorney will help you navigate the legal landscape and pursue the most appropriate course of action based on the specifics of your situation.</t>
  </si>
  <si>
    <t>Paano ko haharapin ang maling impormasyon tungkol sa aking katayuan sa imigrasyon na nai-post online?</t>
  </si>
  <si>
    <t>Can I sue someone for false information about my involvement in a crime?</t>
  </si>
  <si>
    <t>Yes, you may have grounds to sue someone for false information about your involvement in a crime. False statements that harm your reputation can be legally addressed through defamation claims. Here are general steps to consider:
1. **Document the False Information:**
- Gather evidence of the false information, including screenshots, links, or any other documentation that proves the inaccurate statements made about your involvement in a crime.
2. **Consult with an Attorney:**
- Seek legal advice from an attorney who specializes in defamation or internet law. They can help you understand your rights, evaluate the strength of your case, and guide you through the legal process.
3. **Cease and Desist Letter:**
- Your attorney may send a cease and desist letter to the individual responsible for spreading false information, demanding correction or removal of the inaccurate content. This letter can serve as a formal warning and may prompt the individual to address the issue without going to court.
4. **Online Platform Reporting:**
- Report the false information to the relevant online platforms, social media networks, or websites. Many platforms have policies against the dissemination of false information or harassment.
5. **Defamation Lawsuit:**
- If the false information has caused harm to your reputation and resulted in tangible harm, you may consider filing a defamation lawsuit. Defamation generally involves false statements that harm an individual's reputation when communicated to third parties.
6. **Preservation of Evidence:**
- It is crucial to preserve all relevant evidence, including records of the false information, any communications related to the spreading of false information, and evidence of harm suffered.
7. **Consider Alternative Dispute Resolution:**
- Explore alternative dispute resolution mechanisms, such as mediation, before resorting to litigation. This can sometimes lead to a resolution without the need for a court trial.
8. **Monitor and Respond to Feedback:**
- Stay engaged with the community, monitor feedback, and respond to inquiries or concerns transparently. Communicating openly can help rebuild trust and demonstrate your commitment to accuracy.
Legal actions should be approached carefully, and it's important to consult with an attorney to assess the specifics of your case. Laws may vary, and legal processes can be complex, so professional legal guidance is crucial in understanding the options available to you.</t>
  </si>
  <si>
    <t>Maaari ba akong magdemanda ng isang tao para sa maling impormasyon tungkol sa aking pagkakasangkot sa isang krimen?</t>
  </si>
  <si>
    <t>How do I handle false information about my sexual orientation or gender identity online?</t>
  </si>
  <si>
    <t>Handling false information about your sexual orientation or gender identity online requires a thoughtful and strategic approach. Here are steps you can consider:
1. **Document the False Information:**
- Collect evidence of the false information, including screenshots, links, or any other documentation that proves the inaccurate statements made about your sexual orientation or gender identity.
2. **Verify the Source:**
- Identify the source of the false information. Determine where the inaccurate details are being disseminated online, such as social media platforms, forums, or websites.
3. **Contact the Website or Platform:**
- Reach out to the administrators or content moderators of the website or platform hosting the false information. Many online platforms have reporting mechanisms for inaccurate or false content. Provide them with evidence of the correct information and request the removal or correction of the false details.
4. **Submit Legal Takedown Requests:**
- If the false information violates any laws or terms of service, consider submitting legal takedown requests to the hosting providers. This may involve notifying web hosting companies or domain registrars, especially if the false information is on a website.
5. **Online Reputation Management Services:**
- Engage online reputation management services to help suppress negative content and promote accurate information about your sexual orientation or gender identity. These services may use various strategies to improve your online reputation.
6. **Issue a Public Statement:**
- If necessary, consider issuing a public statement on your official website or social media platforms addressing the false information. Clearly state your actual sexual orientation or gender identity and provide evidence to support your statements.
7. **Cease and Desist Letter:**
- If the false information is causing significant harm, consult with an attorney who specializes in defamation or internet law. They may send a cease and desist letter to the individual responsible, demanding correction or removal of the false details.
8. **Consult with Legal Professionals:**
- If the false information persists or has serious consequences, consult with legal professionals to explore potential legal actions. Depending on the nature of the false information, legal avenues such as defamation, libel, or injurious falsehood may be applicable.
9. **Monitor and Respond:**
- Regularly monitor online platforms for any resurgence of false information. Respond promptly to correct inaccuracies and provide accurate information when necessary.
It's crucial to act promptly and consult with legal professionals to understand the specific legal implications in your jurisdiction and take appropriate steps. Keep in mind that laws may vary, and legal processes can be complex. An attorney will help you navigate the legal landscape and pursue the most appropriate course of action based on the specifics of your situation.</t>
  </si>
  <si>
    <t>Paano ko hahawakan ang maling impormasyon tungkol sa aking sekswal na oryentasyon o pagkakakilanlan ng kasarian online?</t>
  </si>
  <si>
    <t>Can I sue someone for posting false information about my political affiliations online?</t>
  </si>
  <si>
    <t>Yes, you may have grounds to sue someone for posting false information about your political affiliations online. False statements that harm your reputation can be legally addressed through defamation claims. Here are general steps to consider:
1. **Document the False Information:**
- Gather evidence of the false information, including screenshots, links, or any other documentation that proves the inaccurate statements made about your political affiliations.
2. **Verify the Source:**
- Identify the source of the false information. Determine where the inaccurate details are being disseminated online, such as social media platforms, forums, or websites.
3. **Contact the Website or Platform:**
- Reach out to the administrators or content moderators of the website or platform hosting the false information. Many online platforms have reporting mechanisms for inaccurate or false content. Provide them with evidence of your correct political affiliations and request the removal or correction of the false details.
4. **Submit Legal Takedown Requests:**
- If the false information violates any laws or terms of service, consider submitting legal takedown requests to the hosting providers. This may involve notifying web hosting companies or domain registrars, especially if the false information is on a website.
5. **Online Reputation Management Services:**
- Engage online reputation management services to help suppress negative content and promote accurate information about your political affiliations. These services may use various strategies to improve your online reputation.
6. **Issue a Public Statement:**
- If necessary, consider issuing a public statement on your official website or social media platforms addressing the false information. Clearly state your actual political affiliations and provide evidence to support your statements.
7. **Cease and Desist Letter:**
- If the false information is causing significant harm, consult with an attorney who specializes in defamation or internet law. They may send a cease and desist letter to the individual responsible, demanding correction or removal of the false details.
8. **Consult with Legal Professionals:**
- If the false information persists or has serious consequences, consult with legal professionals to explore potential legal actions. Depending on the nature of the false information, legal avenues such as defamation, libel, or injurious falsehood may be applicable.
9. **Monitor and Respond:**
- Regularly monitor online platforms for any resurgence of false information. Respond promptly to correct inaccuracies and provide accurate information when necessary.
It's crucial to act promptly and consult with legal professionals to understand the specific legal implications in your jurisdiction and take appropriate steps. Keep in mind that laws may vary, and legal processes can be complex. An attorney will help you navigate the legal landscape and pursue the most appropriate course of action based on the specifics of your situation.</t>
  </si>
  <si>
    <t>Maaari ba akong magdemanda ng isang tao para sa pag-post ng maling impormasyon tungkol sa aking mga kaakibat sa pulitika online?</t>
  </si>
  <si>
    <t>How do I respond legally to false information posted by a competitor to discredit my business?</t>
  </si>
  <si>
    <t>Responding legally to false information posted by a competitor with the intent to discredit your business involves a careful and strategic approach. Here are steps you can consider:
1. **Document the False Information:**
- Gather evidence of the false information, including screenshots, links, or any other documentation that proves the inaccurate statements made by your competitor.
2. **Verify the Source:**
- Identify where the false information is being disseminated, such as on social media platforms, review websites, or other online forums.
3. **Contact the Platform:**
- Reach out to the administrators or content moderators of the platform hosting the false information. Many platforms have reporting mechanisms for inaccurate or false content. Provide them with evidence of the correct information and request the removal or correction of the false details.
4. **Online Reputation Management Services:**
- Engage online reputation management services to help suppress negative content and promote accurate information about your business. These services may use various strategies to improve your online reputation.
5. **Cease and Desist Letter:**
- Consult with an attorney who specializes in defamation or business law. If the false information is causing significant harm to your business, they may send a cease and desist letter to your competitor, demanding correction or removal of the false details.
6. **Defamation Lawsuit:**
- If the false information has caused substantial harm to your business and reputation, you may consider filing a defamation lawsuit. Consult with your attorney to determine the viability of legal action based on defamation laws.
7. **Investigate and Gather Evidence:**
- Work with your attorney to conduct a thorough investigation into the false statements. Gather evidence of the impact on your business, including any financial losses or damage to your reputation.
8. **Alternative Dispute Resolution:**
- Explore alternative dispute resolution mechanisms, such as mediation or arbitration, before resorting to litigation. These methods may provide a way to resolve the dispute without going through a lengthy court process.
9. **Counteract with Positive Information:**
- Publish accurate and positive information about your business to counteract the negative impact of the false information. This can include updates on your website, social media, and other online platforms.
10. **Monitor and Respond:**
- Regularly monitor online platforms for any resurgence of false information. Respond promptly to correct inaccuracies and provide accurate information when necessary.
It's crucial to act promptly and consult with legal professionals to understand the specific legal implications in your jurisdiction and take appropriate steps. Keep in mind that laws may vary, and legal processes can be complex. An attorney will help you navigate the legal landscape and pursue the most appropriate course of action based on the specifics of your situation.</t>
  </si>
  <si>
    <t>Paano ako ligal na tutugon sa maling impormasyon na nai-post ng isang kakumpitensya upang siraan ang aking negosyo?</t>
  </si>
  <si>
    <t>Can I sue someone for false information that has affected my relationships or personal life?</t>
  </si>
  <si>
    <t>Yes, you may have grounds to sue someone for spreading false information that has adversely affected your relationships or personal life. False statements that harm your reputation can be legally addressed through defamation claims. Here are general steps to consider:
1. **Document the False Information:**
- Gather evidence of the false information, including screenshots, links, or any other documentation that proves the inaccurate statements made about you.
2. **Verify the Source:**
- Identify where the false information is being disseminated, such as on social media platforms, online forums, or other websites.
3. **Contact the Platform:**
- Reach out to the administrators or content moderators of the platform hosting the false information. Many online platforms have reporting mechanisms for inaccurate or false content. Provide them with evidence of the correct information and request the removal or correction of the false details.
4. **Online Reputation Management Services:**
- Engage online reputation management services to help suppress negative content and promote accurate information about you. These services may use various strategies to improve your online reputation.
5. **Cease and Desist Letter:**
- Consult with an attorney who specializes in defamation or internet law. If the false information is causing significant harm to your relationships or personal life, they may send a cease and desist letter to the individual responsible, demanding correction or removal of the false details.
6. **Defamation Lawsuit:**
- If the false information has caused substantial harm to your personal life and reputation, you may consider filing a defamation lawsuit. Consult with your attorney to determine the viability of legal action based on defamation laws.
7. **Investigate and Gather Evidence:**
- Work with your attorney to conduct a thorough investigation into the false statements. Gather evidence of the impact on your personal life, including any emotional distress, damage to relationships, or other tangible harm.
8. **Alternative Dispute Resolution:**
- Explore alternative dispute resolution mechanisms, such as mediation or arbitration, before resorting to litigation. These methods may provide a way to resolve the dispute without going through a lengthy court process.
9. **Monitor and Respond:**
- Regularly monitor online platforms for any resurgence of false information. Respond promptly to correct inaccuracies and provide accurate information when necessary.
It's crucial to act promptly and consult with legal professionals to understand the specific legal implications in your jurisdiction and take appropriate steps. Keep in mind that laws may vary, and legal processes can be complex. An attorney will help you navigate the legal landscape and pursue the most appropriate course of action based on the specifics of your situation.</t>
  </si>
  <si>
    <t>Maaari ba akong magdemanda ng isang tao para sa maling impormasyon na nakaapekto sa aking mga relasyon o personal na buhay?</t>
  </si>
  <si>
    <t>How can I proactively monitor and address false information about me online to prevent future harm?</t>
  </si>
  <si>
    <t>Proactively monitoring and addressing false information about yourself online is essential to prevent future harm to your reputation. Here are some steps you can take:
1. **Set Up Google Alerts:**
- Create Google Alerts for your name and other relevant keywords. This tool will notify you when new content related to the specified keywords appears online, allowing you to stay informed in real-time.
2. **Regularly Check Search Engine Results:**
- Periodically search for your name on major search engines to see what information is currently available. Pay attention to the first few pages of search results, as these are often the most visible.
3. **Monitor Social Media:**
- Regularly check your social media accounts for any false or misleading information. Set privacy settings to control who can view and comment on your posts. Additionally, use platform features to report false content.
4. **Create and Maintain a Professional Online Presence:**
- Establish and maintain professional profiles on social media and professional networking sites. Ensure that your profiles accurately reflect your identity and achievements, providing a positive and accurate online image.
5. **Secure Your Personal Information:**
- Be cautious about the information you share online, both personally and professionally. Avoid disclosing sensitive details that could be used to spread false information.
6. **Build a Strong Online Reputation:**
- Actively contribute positive content about yourself. This can include publishing articles, blog posts, or other content showcasing your expertise and achievements. The more positive and accurate information available, the better it can counteract false information.
7. **Engage in Online Conversations:**
- Participate in online discussions and forums relevant to your field. Engaging in positive and constructive conversations can help build a positive online presence and counteract any false information that may arise.
8. **Address False Information Promptly:**
- If you come across false information, address it promptly. Reach out to the platform administrators or content moderators to report and request the removal or correction of the inaccurate content.
9. **Online Reputation Management Services:**
- Consider enlisting the help of online reputation management services. These services specialize in managing and improving online reputations, utilizing various strategies to suppress negative content and promote positive information.
10. **Legal Consultation:**
- Consult with legal professionals if false information persists or causes significant harm. They can advise you on potential legal actions and guide you through the process of addressing false information within the bounds of the law.
Remember that online information can spread quickly, so taking proactive measures to monitor and manage your online presence is crucial. Regularly updating and curating positive content about yourself can contribute to building a strong online reputation.</t>
  </si>
  <si>
    <t>Paano ko maagap na masusubaybayan at matutugunan ang maling impormasyon tungkol sa akin online upang maiwasan ang pinsala sa hinaharap?</t>
  </si>
  <si>
    <t>Can you explain what constitutes an online scam legally?</t>
  </si>
  <si>
    <t>In the Philippines, online scams are generally addressed under various laws and regulations that address fraud, cybercrime, and consumer protection. Here are key elements that may constitute an online scam legally in the Philippines:
1. **Republic Act No. 10175 - Cybercrime Prevention Act of 2012:**
- This law criminalizes various cybercrimes, including offenses related to illegal access, illegal interception, data interference, and system interference. Online scams that involve unauthorized access to computer systems, data theft, or any form of cyber fraud may be covered under this law.
2. **Republic Act No. 8792 - Electronic Commerce Act of 2000:**
- The Electronic Commerce Act governs electronic transactions and provides measures for the protection of consumers engaged in electronic commerce. Scams related to online transactions, such as fraudulent sales or misrepresentation of goods and services, may fall under this law.
3. **Republic Act No. 7394 - Consumer Act of the Philippines:**
- The Consumer Act prohibits deceptive, unfair, and unconscionable sales practices, which may include online scams that mislead or defraud consumers. This law protects consumers from false advertising, misrepresentation of products or services, and other fraudulent activities.
4. **Republic Act No. 11449 - Bayanihan to Heal as One Act:**
- Enacted in response to the COVID-19 pandemic, this law includes provisions against online scams related to the sale of counterfeit medical supplies, misrepresentation of health products, and other fraudulent activities exploiting the health crisis.
5. **Unauthorized Access or Use of Computer Systems:**
- Engaging in unauthorized access to computer systems, hacking, or any form of cyber intrusion to carry out scams is generally considered illegal under various cybercrime laws.
6. **Fraudulent Online Transactions:**
- Online scams that involve fraudulent transactions, fake websites, or misrepresentation of goods and services with the intent to deceive consumers may be considered illegal.
7. **Pyramiding or Ponzi Schemes:**
- Schemes that involve investment scams, particularly those using a pyramid or Ponzi structure, are likely to be illegal under securities regulations and anti-fraud laws.
8. **Online Impersonation and Identity Theft:**
- Acts of online impersonation or identity theft, where an individual's identity is falsely used to carry out scams or fraud, may be addressed under cybercrime laws.
9. **Anti-Cyber Squatting Act:**
- This law prohibits cyber squatting, where individuals register domain names with the intent to profit from the goodwill of someone else's trademark. Online scams that involve deceptive domain names may fall under this law.
It's important to note that the legal landscape may evolve, and specific cases may be subject to interpretation by legal authorities. Individuals who believe they have fallen victim to online scams or fraudulent activities are encouraged to report the incidents to the appropriate law enforcement agencies or consumer protection bodies in the Philippines. Additionally, seeking legal advice from professionals specializing in cyber law can provide guidance on specific situations.</t>
  </si>
  <si>
    <t>Maaari mo bang ipaliwanag kung ano ang legal na bumubuo sa online scam?</t>
  </si>
  <si>
    <t>What are the common types of online scams?</t>
  </si>
  <si>
    <t>In the context of Philippine laws, various types of online scams can occur. Common types include:
1. **Phishing Scams:**
- Attempts to obtain sensitive information, such as usernames, passwords, and financial details, by disguising as a trustworthy entity. This can happen through fake emails, websites, or messages.
2. **Online Fraud and Identity Theft:**
- Unauthorized use of someone's personal information to commit fraud, usually for financial gain. This can include credit card fraud, opening fake accounts, or making unauthorized transactions.
3. **Fake Online Selling and Auctions:**
- Setting up fraudulent online shops or auction sites to deceive buyers into paying for goods or services that don't exist. Victims may pay but never receive the promised items.
4. **Online Investment Scams:**
- Deceptive schemes that convince individuals to invest money in fake businesses, promising high returns. These scams often operate as Ponzi or pyramid schemes.
5. **Social Media Impersonation:**
- Creating fake social media accounts to impersonate individuals, organizations, or public figures, aiming to deceive or defraud others.
6. **Lottery or Prize Scams:**
- Informing individuals that they've won a lottery or prize but requiring them to pay fees upfront to claim their winnings. In reality, there are no winnings.
7. **Tech Support Scams:**
- Fraudulent attempts to trick individuals into believing their computers have issues, leading them to pay for unnecessary technical support services or download malware.
8. **Romance Scams:**
- Establishing romantic relationships online with the intention of defrauding victims emotionally and financially. Scammers often create fake personas and request money under various pretexts.
9. **Job Offer Scams:**
- Offering fake job opportunities that require payment upfront or involve money laundering activities. These scams often target job seekers seeking employment opportunities.
10. **Ransomware Attacks:**
- Malicious software that encrypts a user's files, demanding payment (usually in cryptocurrency) for their release. This type of attack can be detrimental to individuals and businesses.
11. **Online Libel and Defamation:**
- Spreading false and damaging information about individuals or entities online, often with the intent to harm their reputation.
It's important to note that the legal implications of these scams vary, and the Philippines has laws addressing cybercrime, fraud, and consumer protection. Victims of online scams in the Philippines are encouraged to report such incidents to relevant law enforcement agencies or consumer protection bodies. Additionally, seeking legal advice from professionals knowledgeable about Philippine laws can provide guidance on specific situations.</t>
  </si>
  <si>
    <t>Ano ang mga karaniwang uri ng online scam?</t>
  </si>
  <si>
    <t>How can I determine if I've been a victim of an online scam?</t>
  </si>
  <si>
    <t>Determining if you've been a victim of an online scam involves being vigilant about your online activities and looking for signs of fraudulent behavior. Here are some indicators that may suggest you've fallen victim to an online scam:
1. **Unsolicited Communication:**
- You receive unexpected emails, messages, or calls claiming you've won a prize, inherited money, or are eligible for a special offer without any prior engagement with the party.
2. **Requests for Personal Information:**
- The party asks for personal or financial information such as passwords, credit card details, or Social Security numbers through unsolicited emails or messages.
3. **Too Good to Be True Offers:**
- The offer or deal seems too good to be true, such as high returns on investments, guaranteed winnings, or unrealistically low prices for products or services.
4. **Pressure Tactics:**
- The party uses high-pressure tactics to get you to act quickly, often claiming that the offer is time-sensitive or that you'll miss out on a great opportunity.
5. **Fake Websites or Emails:**
- The communication directs you to a website or email that looks legitimate but has misspelled URLs, poor grammar, or other signs of being fake.
6. **Unexpected Charges:**
- You notice unexpected charges on your credit card or bank statement for services or products you didn't authorize or receive.
7. **Unusual Financial Transactions:**
- You discover unauthorized withdrawals or transfers from your bank account, especially if you didn't initiate or authorize these transactions.
8. **Unexpected Software Installations:**
- Your computer or device experiences unexpected software installations or changes, which may indicate malware or unauthorized access.
9. **Social Media Impersonation:**
- You come across fake profiles or accounts impersonating you or someone you know on social media, often used for fraudulent activities.
10. **Unexplained Declines or Issues:**
- You face difficulties with legitimate financial transactions, such as declined credit card transactions or issues with legitimate online services.
If you notice any of these signs, it's crucial to take immediate action:
1. **Stop Communication:**
- Cease communication with the suspected scammer and avoid providing any further personal or financial information.
2. **Verify Legitimacy:**
- Verify the legitimacy of the communication or offer through official channels or contacts. Do not use contact information provided in suspicious messages.
3. **Report to Authorities:**
- Report the incident to relevant authorities, such as the National Bureau of Investigation (NBI) Cybercrime Division or the Philippine National Police (PNP) Anti-Cybercrime Group.
4. **Contact Your Bank:**
- If financial transactions are involved, contact your bank or financial institution to report unauthorized transactions and take steps to secure your accounts.
5. **Update Security Measures:**
- Update your passwords, enable two-factor authentication where possible, and run antivirus or anti-malware scans on your devices.
6. **Educate Yourself:**
- Stay informed about common online scams and best practices for online safety to avoid falling victim to similar schemes in the future.
If you are uncertain or need assistance, consider consulting with legal professionals or cybercrime experts who can provide guidance tailored to your specific situation.</t>
  </si>
  <si>
    <t>Paano ko malalaman kung naging biktima ako ng online scam?</t>
  </si>
  <si>
    <t>What legal actions can I take if I've been scammed online?</t>
  </si>
  <si>
    <t>If you've been scammed online, you can take several legal actions to address the situation and seek recourse. Here are steps you can consider:
1. **Gather Evidence:**
- Collect and document all relevant evidence of the scam, including communication records, emails, messages, transaction details, and any other information that can support your case.
2. **Cease Communication:**
- Stop all communication with the scammer to avoid further harm or manipulation. Do not provide additional personal or financial information.
3. **Report to Authorities:**
- Report the online scam to the appropriate authorities in the Philippines. Key agencies include:
- National Bureau of Investigation (NBI) Cybercrime Division
- Philippine National Police (PNP) Anti-Cybercrime Group
4. **File a Complaint:**
- Lodge a formal complaint with the relevant law enforcement agency. Provide them with a detailed account of the scam, along with the evidence you've gathered.
5. **Contact Your Bank or Financial Institution:**
- If the scam involves unauthorized financial transactions, contact your bank or financial institution immediately. Report the incident, provide evidence, and work with them to secure your accounts.
6. **Check Consumer Protection Laws:**
- Explore consumer protection laws in the Philippines that may apply to your situation. Relevant laws include the Consumer Act of the Philippines (Republic Act No. 7394), which prohibits deceptive sales practices.
7. **Consult with Legal Professionals:**
- Seek advice from legal professionals who specialize in cybercrime or consumer protection laws. They can guide you on the specific legal actions you can take and provide assistance in pursuing legal remedies.
8. **File a Complaint with the Philippine SEC:**
- If the scam involves fraudulent investments or securities, consider filing a complaint with the Securities and Exchange Commission (SEC) in the Philippines.
9. **Online Platform Reporting:**
- Report the scam to the online platforms or websites involved. Many platforms have mechanisms for reporting fraudulent activities.
10. **Educate Others:**
- Share your experience to raise awareness and help others avoid falling victim to similar scams. Report the scam to online consumer protection forums or websites.
Remember that the legal actions available to you may vary based on the specifics of the scam and the laws applicable in your jurisdiction. Consulting with legal professionals is crucial to understanding your rights and pursuing the most appropriate course of action. Additionally, reporting the incident to relevant authorities helps contribute to efforts against online scams and protects others from falling victim to similar schemes.</t>
  </si>
  <si>
    <t>Anong mga legal na aksyon ang maaari kong gawin kung na-scam ako online?</t>
  </si>
  <si>
    <t>Is it possible to recover funds lost in an online scam?</t>
  </si>
  <si>
    <t>Recovering funds lost in an online scam can be challenging, but it is not impossible. The chances of recovery depend on various factors, including the nature of the scam, the jurisdiction, and the speed with which you take action. Here are some steps you can take to attempt recovery:
1. **Contact Your Bank or Financial Institution:**
- Immediately contact your bank or financial institution to report the unauthorized transactions. They may be able to help freeze or reverse the transactions, especially if reported promptly.
2. **File a Dispute:**
- If the scam involved a credit card transaction, file a dispute with your credit card company. Credit card companies often have fraud protection measures in place and may be able to reverse the charges.
3. **Report to Authorities:**
- Report the online scam to the relevant law enforcement agencies, such as the National Bureau of Investigation (NBI) Cybercrime Division or the Philippine National Police (PNP) Anti-Cybercrime Group. Provide them with all available evidence.
4. **File a Complaint with the Philippine SEC:**
- If the scam involved fraudulent investments or securities, file a complaint with the Securities and Exchange Commission (SEC) in the Philippines. They may investigate the matter and take appropriate action.
5. **Consult with Legal Professionals:**
- Seek advice from legal professionals who specialize in cybercrime or consumer protection laws. They can guide you on potential legal actions and help you understand your rights.
6. **Online Platform Reporting:**
- Report the scam to the online platforms or websites involved. Some platforms may have fraud protection measures and may take action against the scammer.
7. **Insurance Claims:**
- Check if you have any insurance coverage that may apply to the situation. Some insurance policies offer protection against online fraud.
8. **Be Cautious of Recovery Scams:**
- Be wary of individuals or companies claiming to help you recover your funds for a fee. Scammers may attempt to target victims a second time with false promises of recovery.
While these steps may increase your chances of recovering lost funds, it's essential to be realistic about the challenges involved. Online scammers often use sophisticated methods, and tracing the funds can be difficult. Acting quickly, providing detailed information to authorities, and seeking professional advice are critical steps to take.
Remember to stay vigilant and adopt best practices for online security to avoid falling victim to scams in the future.</t>
  </si>
  <si>
    <t>Posible bang mabawi ang mga pondong nawala sa isang online scam?</t>
  </si>
  <si>
    <t>What evidence should I gather if I suspect I've been scammed online?</t>
  </si>
  <si>
    <t>If you suspect you've been scammed online, gathering comprehensive evidence is crucial for reporting the incident to authorities and seeking potential legal remedies. Here are key types of evidence to collect:
1. **Communication Records:**
- Save all communications with the suspected scammer, including emails, messages, and any other correspondence. Take screenshots or download email threads to preserve the content.
2. **Transaction Details:**
- Document all transaction details related to the scam, including payment receipts, invoices, and records of financial transactions. Provide information about the amounts, dates, and methods of payment used.
3. **Website or Profile Information:**
- If the scam involves a website or online profile, gather information about the website URL, domain registration details, and any other relevant information about the online presence of the scammer.
4. **Screenshots or Photos:**
- Take screenshots or photos of relevant information, such as product listings, advertisements, or any false representations made by the scammer. These visuals can serve as important evidence.
5. **Social Media Links:**
- If the scam involved social media, collect links to the scammer's profiles or accounts. Capture screenshots of posts, messages, or interactions that demonstrate fraudulent activities.
6. **IP Addresses and Online IDs:**
- If possible, note the IP addresses associated with the scammer or any online IDs they may have used. This information can be valuable for tracking and reporting.
7. **Bank and Financial Statements:**
- Gather copies of your bank and financial statements that show any unauthorized transactions related to the scam. These documents can serve as evidence when reporting to your bank or law enforcement.
8. **Device Information:**
- Document details about the devices you used during the online interaction. This may include the device's make and model, operating system, and any relevant information about the software or applications used.
9. **Additional Victims:**
- If you discover other individuals who have fallen victim to the same scam, document their contact information. This may be useful for law enforcement and authorities investigating the case.
10. **Any Agreements or Contracts:**
- If you entered into any agreements or contracts with the scammer, save copies of these documents. Include any terms and conditions, agreements, or promises made by the scammer.
11. **Reports to Online Platforms:**
- If the scam occurred on a specific online platform, save copies of reports or complaints filed with the platform. Platforms may have their own procedures for addressing fraud.
Once you have gathered this evidence, promptly report the scam to the appropriate authorities, such as the National Bureau of Investigation (NBI) Cybercrime Division or the Philippine National Police (PNP) Anti-Cybercrime Group. Providing detailed and organized evidence enhances the chances of law enforcement taking action on your case.
Remember that preserving evidence and acting promptly are critical steps in seeking recourse and preventing further harm. Additionally, consulting with legal professionals for advice tailored to your situation is recommended.</t>
  </si>
  <si>
    <t>Anong ebidensya ang dapat kong ipunin kung pinaghihinalaan kong na-scam ako online?</t>
  </si>
  <si>
    <t>How can I report an online scam to the authorities?</t>
  </si>
  <si>
    <t>If you've fallen victim to an online scam in the Philippines, you can report the incident to the appropriate authorities. Here are steps to help you report an online scam:
1. **Contact the National Bureau of Investigation (NBI) Cybercrime Division:**
- The NBI Cybercrime Division is responsible for handling cybercrime cases in the Philippines. You can visit the NBI office in person or contact them through their official website or hotline to report the online scam.
- **NBI Website:** [NBI Cybercrime Division](https://www.nbi.gov.ph/nbi/index.php/office-divisions/cybercrime-division)
- **NBI Hotline:** (02) 8523-8231 to 38 local 3453
2. **Contact the Philippine National Police (PNP) Anti-Cybercrime Group:**
- The PNP Anti-Cybercrime Group is another key agency for reporting cybercrimes, including online scams. You can reach out to them through their official website or contact their hotline.
- **PNP Anti-Cybercrime Group Website:** [PNP Anti-Cybercrime Group](https://acg.pnp.gov.ph)
- **PNP Anti-Cybercrime Group Hotline:** (02) 8925-8417
3. **Submit a Detailed Report:**
- When reporting the online scam, provide a detailed report of the incident. Include information about the scammer, communication details, transaction records, and any evidence you've gathered. The more detailed your report, the better authorities can assess and investigate the case.
4. **Follow Official Procedures:**
- Follow the official reporting procedures outlined by the NBI or PNP. This may involve submitting a formal written complaint, filling out specific forms, or providing additional information as requested.
5. **Cooperate with Authorities:**
- Be prepared to cooperate with law enforcement authorities during their investigation. Provide any additional information they request and follow their guidance throughout the process.
6. **Keep Records of Your Report:**
- Keep records of your report, including any acknowledgment or reference numbers provided by the authorities. This can be useful for tracking the progress of the investigation.
7. **Contact Your Bank or Financial Institution:**
- If the scam involved unauthorized financial transactions, contact your bank or financial institution separately to report the fraud. They may have their own procedures for addressing such incidents.
8. **Report to Other Relevant Agencies:**
- Depending on the nature of the scam, consider reporting the incident to other relevant agencies, such as the Securities and Exchange Commission (SEC) if it involves fraudulent investments.
9. **Stay Informed:**
- Stay informed about the progress of the investigation. Follow up with the authorities if necessary and provide any additional information that may aid in resolving the case.
Remember to act promptly and provide as much detail as possible when reporting the online scam. Additionally, consulting with legal professionals can provide guidance tailored to your specific situation.</t>
  </si>
  <si>
    <t>Paano ako mag-uulat ng online scam sa mga awtoridad?</t>
  </si>
  <si>
    <t>Are there any specific laws that protect victims of online scams?</t>
  </si>
  <si>
    <t>In the Philippines, several laws and regulations aim to protect victims of online scams and address cybercrime. Here are some key laws relevant to the protection of individuals who have fallen victim to online scams:
1. **Republic Act No. 10175 - Cybercrime Prevention Act of 2012:**
- This law defines and penalizes various cybercrimes, including offenses related to unauthorized access to computer systems, illegal interception of data, and online fraud. It provides legal mechanisms for the investigation and prosecution of cybercrimes.
2. **Republic Act No. 8792 - Electronic Commerce Act of 2000:**
- The Electronic Commerce Act governs electronic transactions and sets out provisions for consumer protection in e-commerce. It establishes the legal recognition of electronic documents and signatures and includes measures for the protection of consumers engaged in electronic commerce.
3. **Republic Act No. 7394 - Consumer Act of the Philippines:**
- The Consumer Act provides protection to consumers against deceptive, unfair, and unconscionable sales practices. Victims of online scams that involve false advertising, misrepresentation of products or services, or other fraudulent activities may find protection under this law.
4. **Anti-Cyber Squatting Act (Republic Act No. 9160):**
- This law prohibits cyber squatting, which involves registering, trafficking in, or using a domain name with the intent to profit, mislead, or damage the reputation of others. Victims of online scams related to deceptive domain names may find recourse under this law.
5. **Republic Act No. 11449 - Bayanihan to Heal as One Act:**
- Enacted in response to the COVID-19 pandemic, this law includes provisions against online scams related to the sale of counterfeit medical supplies, misrepresentation of health products, and other fraudulent activities exploiting the health crisis.
6. **Securities Regulation Code (Republic Act No. 8799):**
- The Securities Regulation Code regulates the securities industry and aims to protect investors. If an online scam involves fraudulent investments or securities, victims may find protection under this law.
While these laws provide a framework for addressing cybercrimes and protecting consumers, it's essential to note that enforcement and legal processes may vary. Victims of online scams are encouraged to report incidents promptly to relevant authorities, such as the National Bureau of Investigation (NBI) Cybercrime Division or the Philippine National Police (PNP) Anti-Cybercrime Group.
Consulting with legal professionals who specialize in cybercrime or consumer protection laws can also provide victims with guidance on their rights and potential legal actions.</t>
  </si>
  <si>
    <t>Mayroon bang anumang partikular na batas na nagpoprotekta sa mga biktima ng online scam?</t>
  </si>
  <si>
    <t>Can I sue the platform where the scam took place?</t>
  </si>
  <si>
    <t>The ability to sue the platform where the scam took place depends on various factors, including the platform's terms of service, liability protections under applicable laws, and the specific circumstances of the scam. In the Philippines, as in many jurisdictions, online platforms typically have terms of service that users agree to when creating accounts or using the platform's services. These terms may include disclaimers of liability and limitations on the platform's responsibility for user-generated content.
Here are some considerations regarding the potential for suing the platform:
1. **Terms of Service:**
- Review the platform's terms of service to understand the obligations and limitations imposed on the platform. Terms of service often include disclaimers that limit the platform's liability for user-generated content or interactions.
2. **Legal Protections for Platforms:**
- Many jurisdictions, including the Philippines, have laws that provide certain legal protections to online platforms under the principle of intermediary liability. These laws aim to shield platforms from being held directly responsible for the actions of their users. However, platforms are expected to respond promptly to reports of illegal or harmful content.
3. **Report the Scam to the Platform:**
- Report the scam to the platform as soon as possible. Many platforms have mechanisms for reporting fraudulent or harmful activities. Follow the platform's reporting procedures, and provide detailed information about the scam.
4. **Platform's Responsiveness:**
- Assess the platform's responsiveness to your report. Platforms that take prompt action to address scams and fraudulent activities demonstrate a commitment to user safety and may be more cooperative in resolving issues.
5. **Consult with Legal Professionals:**
- Consult with legal professionals who specialize in cyber law or consumer protection to determine whether there are grounds for legal action against the platform. They can assess the specific circumstances of the case and provide guidance on potential courses of action.
6. **User Agreement and Jurisdiction:**
- Consider the terms of service's choice-of-law and jurisdiction provisions. The platform may specify the governing law and jurisdiction for disputes, which could affect your ability to bring a legal action.
While suing the platform may be challenging, reporting the scam to the platform is a crucial first step. Additionally, consulting with legal professionals can help you understand your rights and explore potential legal avenues.
Keep in mind that laws and legal interpretations may vary, and it's essential to seek advice from legal professionals familiar with the legal landscape in the Philippines.</t>
  </si>
  <si>
    <t>Maaari ko bang idemanda ang platform kung saan naganap ang scam?</t>
  </si>
  <si>
    <t>What steps should I take to protect myself from future online scams?</t>
  </si>
  <si>
    <t>Philippine law enforcement takes online scams seriously, but there's no single legal protection against them. Here are some steps you can take to minimize your risk based on common sense and best practices:
**Securing your online identity:**
* **Passwords:** Use strong and unique passwords for all your online accounts. Avoid using easily guessable information like birthdays or pet names. Consider a password manager to help you keep track.
* **Two-factor authentication (2FA):** Enable 2FA whenever possible. This adds an extra layer of security by requiring a code from your phone or email in addition to your password.
**Being cautious online:**
* **Don't share personal information readily:** Be wary of requests for personal information online, especially from unsolicited sources. This includes social media profiles, bank details, and home addresses.
* **Verify senders:** Don't click on links or attachments in emails or messages from unknown senders. Verify the sender's identity before responding, especially if they claim to be a legitimate entity (bank, government agency, etc.).
* **Be skeptical of "get rich quick" schemes:** If something seems too good to be true, it probably is. Avoid online offers promising fast and easy money.
* **Research online sellers:** Before buying anything online, research the seller's reputation. Check online reviews and see if they have a legitimate website and contact information.
**Securing your devices:**
* **Anti-virus software:** Keep your computer and mobile devices updated with the latest anti-virus and anti-malware software.
* **Phishing scams:** Be aware of phishing scams that try to trick you into revealing personal information or clicking on malicious links. Don't enter your details on suspicious websites. **Reporting scams:**
* **Philippine National Police Anti-Cybercrime Group (ACG):** If you encounter an online scam, you can report it to the Philippine National Police Anti-Cybercrime Group (ACG) through their website [https://acg.pnp.gov.ph/](https://acg.pnp.gov.ph/).
**Additional Resources:**
* The Department of Finance (DOF) also warns Filipinos about online scams using the names of public officials and business leaders [https://www.dof.gov.ph/anti-fraud/](https://www.dof.gov.ph/anti-fraud/). By following these steps and staying vigilant, you can significantly reduce your risk of falling victim to online scams in the Philippines. Remember, if something feels suspicious, it probably is. Trust your instincts and don't hesitate to report any scams you encounter.</t>
  </si>
  <si>
    <t>Anong mga hakbang ang dapat kong gawin upang maprotektahan ang aking sarili mula sa mga hinaharap na online scam?</t>
  </si>
  <si>
    <t>Is there a statute of limitations for reporting online scams?</t>
  </si>
  <si>
    <t>Philippine law doesn't have a specific statute of limitations for reporting online scams. This means there's no legal deadline by which you must report a scam to law enforcement.
Here's a breakdown of relevant legal concepts:
* **Revised Penal Code (RPC):** The RPC [Philippine Revised Penal Code] outlines various crimes and their corresponding penalties. While there's no specific crime for "online scams," some provisions might apply depending on the nature of the scam (e.g., estafa for fraudulent transactions, cybercrime for hacking).
* **Cybercrime Prevention Act (RA 10175):** This law addresses various cybercrimes, including online fraud. However, it doesn't mention a specific timeframe for reporting such offenses.
**What this means for reporting online scams:**
* You can report a scam to the authorities **anytime** after it occurs. * While there's no deadline, reporting sooner can be beneficial:
* **Evidence preservation:** The sooner you report, the easier it is for law enforcement to gather and preserve evidence. Delays might make it harder to track down perpetrators.
* **Timely investigation:** A prompt report allows authorities to investigate the case while leads are still fresh.
**Recommendations:**
* Report online scams to the Philippine National Police Anti-Cybercrime Group (ACG) as soon as possible through their website [https://acg.pnp.gov.ph/](https://acg.pnp.gov.ph/).
* Consider consulting a lawyer if you have questions about the specific details of your case. They can advise you on the best course of action based on Philippine laws.</t>
  </si>
  <si>
    <t>Mayroon bang batas ng mga limitasyon para sa pag-uulat ng mga online na scam?</t>
  </si>
  <si>
    <t>How can I verify the legitimacy of an online seller or business?</t>
  </si>
  <si>
    <t>Philippine law doesn't have a single, unified system for verifying online businesses. However, several resources and practices can help you assess an online seller's legitimacy:
**Checking for Business Registration:**
* **Department of Trade and Industry (DTI):** You can check if a business is registered with the DTI through their online verification portal [https://bnrs.dti.gov.ph/search](https://bnrs.dti.gov.ph/search). A registered business is more likely to be legitimate.
**Verifying Permits and Licenses:**
* Depending on the industry, specific government agencies might issue permits and licenses. For example, the Securities and Exchange Commission (SEC) regulates corporations [https://www.sec.gov.ph/](https://www.sec.gov.ph/), while the Food and Drug Administration (FDA) licenses food and drug products [https://www.fda.gov.ph/](https://www.fda.gov.ph/). Research the relevant agency for the seller's industry and check their verification process.
**Looking for Online Reviews and Information:**
* **Search online:** Search for the seller's name and see what information appears. Look for reviews on independent platforms, social media pages, and consumer forums. Be cautious of overly positive reviews or a complete lack of information.
**Checking Seller Contact Information:**
* **Legitimate businesses:** A legitimate business should have a clear and verifiable physical address, contact phone number, and email address. Be wary of sellers who only provide social media handles or anonymous communication methods. **Security Measures:**
* **Secure website:** A secure website uses HTTPS encryption, indicated by a lock symbol in the address bar. This helps protect your information during transactions.
**Payment Options:**
* **Cash on Delivery (COD):** Consider using COD if available. This allows you to inspect the product before payment, minimizing risk. **Remember:**
* **Be cautious of unrealistic deals:** If a product seems too good to be true, it probably is. Avoid sellers offering significantly lower prices than the market average.
**While these methods can't guarantee complete security, they can help you make informed decisions when dealing with online sellers in the Philippines.**</t>
  </si>
  <si>
    <t>Paano ko mabe-verify ang pagiging lehitimo ng isang online na nagbebenta o negosyo?</t>
  </si>
  <si>
    <t>What role does encryption play in protecting against online scams?</t>
  </si>
  <si>
    <t>Philippine law itself doesn't directly address encryption in the context of online scams. However, encryption can be a valuable tool for protecting yourself online, even though it can't eliminate scams entirely. Here's how:
* **Securing Data Transmission:** Encryption scrambles information during transmission, making it unreadable to anyone who doesn't possess the decryption key. This helps protect sensitive data like credit card numbers or login credentials from being intercepted by scammers when transmitted over the internet.
* **Safer Online Transactions:** When you use a secure website (indicated by HTTPS in the address bar), your communication with the website is encrypted. This helps prevent man-in-the-middle attacks where scammers try to steal your information by impersonating the website.
**While encryption is beneficial, it's important to remember:**
* **Encryption doesn't guarantee security:** Scammers might employ other methods to steal information, like phishing emails or malware that bypass encryption.
* **User vigilance remains crucial:** Encryption protects data in transit, but it's still important to be cautious about the websites you visit and the information you share online.
**Here's how Philippine law can be relevant to encryption in online scams:**
* **Cybercrime Prevention Act (RA 10175):** This law penalizes various cybercrimes, including unauthorized access to computer systems. Encryption can help prevent such unauthorized access by protecting user data.
**Overall, encryption is a technical security measure that complements other practices like online vigilance when it comes to protecting yourself from online scams in the Philippines.**</t>
  </si>
  <si>
    <t>Anong papel ang ginagampanan ng pag-encrypt sa pagprotekta laban sa mga online scam?</t>
  </si>
  <si>
    <t>Can I hold individuals accountable for perpetrating online scams?</t>
  </si>
  <si>
    <t>Yes, under Philippine law, you can hold individuals accountable for perpetrating online scams. Here's how:
* **Relevant Laws:** The Revised Penal Code (RPC) and the Cybercrime Prevention Act (RA 10175) are the key legal frameworks.
* **RPC:** This law covers traditional crimes that can be committed online. For instance:
* Estafa (Article 315): Applicable in cases of fraudulent transactions or any deceitful act to take money or property from another person.
* Falsification of commercial documents (Article 171): Covers forging documents used for online scams.
* **Cybercrime Prevention Act (RA 10175):** This act defines and penalizes specific cybercrimes, including:
* Cyber-swindling (Section 4): Deals with online scams that deceive people to gain money or property.
* Illegal access (Section 14): Covers unauthorized access to computer systems or data in order to perpetrate a scam.
**Holding Perpetrators Accountable:**
* To hold someone accountable, you'll need to report the scam to the authorities. The Philippine National Police Anti-Cybercrime Group (ACG) is a specialized unit that handles these cases [https://acg.pnp.gov.ph/](https://acg.pnp.gov.ph/).
* Law enforcement will investigate the complaint and gather evidence. This might involve collecting digital evidence and tracing online activity.
* If enough evidence exists, the authorities will file charges against the perpetrators. The specific charges will depend on the nature of the scam.
* The case will then proceed through the Philippine court system. If found guilty, the perpetrators could face imprisonment, fines, or both, depending on the severity of the crime.
**Important to Note:**
* Building a strong case can be challenging, especially for complex online scams. Evidence collection and investigation might take time.
* Consulting a lawyer can be helpful. They can advise you on the legal aspects of your case and the evidence needed to hold the perpetrators accountable.
**Overall, Philippine law provides avenues to hold individuals accountable for online scams. Reporting the crime, cooperating with law enforcement, and potentially seeking legal counsel can increase your chances of achieving justice.**</t>
  </si>
  <si>
    <t>Maaari ko bang panagutin ang mga indibidwal sa pagsasagawa ng mga online scam?</t>
  </si>
  <si>
    <t>What legal recourse do I have if I've shared personal information in an online scam?</t>
  </si>
  <si>
    <t>Philippine law doesn't provide a single, specific legal recourse for every situation where someone shared personal information in an online scam. However, depending on the nature of the information shared and how it was obtained, you might have options under the following Philippine laws:
* **Revised Penal Code (RPC):** * Illegal access (Article 290): This applies if the scammer hacked into your computer system to steal personal information.
* Unlawful disclosure of confidential information (Article 260): This can be relevant if the scammer reveals your sensitive data without your permission.
* **Cybercrime Prevention Act (RA 10175):**
* Illegal access (Section 14): Similar to the RPC provision, this applies if your data was stolen through hacking.
**Here's how you can protect yourself:**
* **Report the scam:** Regardless of the specific legal recourse, report the scam to the Philippine National Police Anti-Cybercrime Group (ACG) as soon as possible [https://acg.pnp.gov.ph/](https://acg.pnp.gov.ph/). They can investigate and potentially track down the perpetrators.
* **Secure your accounts:** Change the passwords for all your online accounts, especially those where you might have shared the compromised information. Enable two-factor authentication (2FA) for added security.
* **Monitor your accounts:** Be vigilant about your bank accounts and credit card statements for any suspicious activity. Report any unauthorized transactions immediately to your financial institution.
* **Consider identity theft protection:** Depending on the severity of the scam and the information shared, you might consider purchasing identity theft protection services. These services can monitor your credit report and alert you to suspicious activity.
**Consulting a lawyer is recommended:**
A lawyer can assess the specific details of your situation and advise you on the most appropriate legal course of action. They can also help you understand your rights and options under Philippine law.
**Remember:**
While legal recourse might be available depending on the circumstances, prevention is key. Be cautious about what personal information you share online, and report any scams you encounter to the authorities.</t>
  </si>
  <si>
    <t>Anong legal na paraan ang mayroon ako kung nagbahagi ako ng personal na impormasyon sa isang online na scam?</t>
  </si>
  <si>
    <t>Are there any international laws that apply to online scams?</t>
  </si>
  <si>
    <t>You're right. While there isn't a single international law directly enforced within the Philippines that solely targets online scams, the Philippines does participate in international efforts that indirectly address them. Here's a breakdown specific to the Philippines:
**International Agreements:**
* **The Philippines is a party to the Council of Europe Convention on Cybercrime (2001) through Act No. 11032 or the Act Strengthening the Philippine Law on Counterfeit Goods and Fake Documents.** This act highlights the Philippines' commitment to international cooperation in fighting cybercrime.
**How it helps:**
* The convention establishes a framework for cooperation between member states, including the Philippines, in investigating and prosecuting cybercrimes. This can be helpful in cases where online scams involve perpetrators or victims located outside the Philippines.
* The framework includes provisions on:
* Preserving electronic evidence
* Criminalizing specific cybercrime offenses (though specific definitions might differ between countries)
* Mutual legal assistance between member states
**Challenges Remain:**
* The convention doesn't create a single, universal law on cybercrime. Each member state interprets and implements the framework within its own legal system.
* Jurisdiction remains a complex issue. Determining which country's law applies and which law enforcement agency takes the lead in an online scam can be challenging, especially if the scam involves multiple countries.
**The Philippines and International Cooperation:**
* The Philippines actively participates in international efforts to combat cybercrime. The Philippine National Police (PNP) has a dedicated unit, the Anti-Cybercrime Group (ACG), that works with international law enforcement agencies on cybercrime investigations.
**In conclusion:**
While there's no single international law directly enforced in the Philippines for online scams, the Philippines' participation in international agreements like the Council of Europe Convention on Cybercrime facilitates cooperation with other countries in investigating and prosecuting these crimes. This cooperation is crucial in today's globalized world where online scams can easily transcend borders.</t>
  </si>
  <si>
    <t>Mayroon bang anumang mga internasyonal na batas na nalalapat sa mga online scam?</t>
  </si>
  <si>
    <t>How can I identify phishing attempts and avoid falling victim to them?</t>
  </si>
  <si>
    <t>Phishing attempts are a common threat in the Philippines and around the world. Here are some key ways to identify them and protect yourself:
**Red Flags to Watch Out For:**
* **Urgency and Pressure:** Phishing emails often create a sense of urgency or pressure to act immediately. They might threaten account closure, missed opportunities, or security risks if you don't respond right away.
* **Generic Greetings:** Phishing emails often use generic greetings like "Dear Customer" instead of your actual name.
* **Suspicious Sender Addresses:** Be cautious of emails from unknown senders or email addresses that don't match the legitimate organization they claim to represent. Look closely at the sender's email address for misspellings or unusual domains.
* **Poor Grammar and Spelling:** Phishing emails often contain grammatical errors, typos, or awkward phrasing.
* **Suspicious Links and Attachments:** Don't click on links or open attachments in emails from unknown senders. Hover your mouse over the link to see the actual URL before clicking. Legitimate links should lead to the organization's official website.
* **Unrealistic Offers:** Phishing scams might lure you with promises of free gifts, easy money, or prizes that seem too good to be true. Be skeptical of such offers.
**Here's what you can do to protect yourself:**
* **Don't Share Personal Information Through Email:** Legitimate institutions won't ask for sensitive information like passwords or account details via email.
* **Verify Information Directly:** If you receive an email about your account or a service you use, contact the organization directly through their official website or phone number to verify the information. Don't use phone numbers or links provided in the email itself.
* **Enable Two-factor Authentication (2FA):** 2FA adds an extra layer of security to your online accounts by requiring a code from your phone or email in addition to your password.
* **Keep Your Software Updated:** Use up-to-date anti-virus and anti-phishing software to help identify and block malicious emails.
* **Be Cautious on Social Media:** Phishing attempts can also happen through social media messages. Be wary of clicking on links or sharing personal information with unknown accounts.
**Remember:**
* **Trust Your Gut:** If something feels suspicious about an email, it probably is. Don't hesitate to delete it.
* **Report Phishing Attempts:** If you encounter a phishing attempt, report it to the organization being impersonated and consider reporting it to the Philippine National Police Anti-Cybercrime Group (ACG) [https://acg.pnp.gov.ph/](https://acg.pnp.gov.ph/).
By following these tips and being vigilant, you can significantly reduce your risk of falling victim to phishing scams in the Philippines.</t>
  </si>
  <si>
    <t>Paano ko matutukoy ang mga pagtatangka sa phishing at maiiwasang maging biktima ng mga ito?</t>
  </si>
  <si>
    <t>Can I request a chargeback from my bank if I've been scammed online?</t>
  </si>
  <si>
    <t>You might be able to request a chargeback from your bank if you've been scammed online in the Philippines. Here's what you need to know:
* **Dispute Resolution Process:** Philippine banks have dispute resolution processes in place to handle situations where you believe a charge on your account is unauthorized or fraudulent. This process typically involves filing a chargeback request with your bank.
* **Evidence is Crucial:** The success of your chargeback request depends on your ability to provide evidence that the transaction was fraudulent. This could include: * Copies of emails or communication with the scammer
* Police report related to the online scam (if filed)
* Any documentation from the seller or website that proves the product or service wasn't delivered as promised
* **Time Limits Apply:** Each bank might have specific timeframes for filing chargeback requests. It's important to act quickly and contact your bank as soon as you discover the fraudulent transaction.
**Here's what to do:**
1. **Gather Evidence:** Collect any documentation that supports your claim of a fraudulent transaction.
2. **Contact Your Bank:** Reach out to your bank's customer service department and inquire about their dispute resolution process for fraudulent charges. 3. **File a Chargeback Request:** Follow your bank's specific procedures for filing a chargeback request and provide all the evidence you've gathered.
4. **Wait for a Response:** The bank will investigate your claim and inform you of their decision. **Important to Note:**
* **Burden of Proof:** The burden of proof typically lies with you, the cardholder, to demonstrate that the transaction was unauthorized. * **Bank's Decision is Final:** The bank's decision on your chargeback request is final. However, you might have the right to appeal their decision depending on your bank's policies. **Recommendation:**
* Consulting with a lawyer specializing in consumer protection might be beneficial, especially for complex cases. They can advise you on your rights and the best course of action based on your specific situation.
While there's no guarantee that your bank will approve your chargeback request, following these steps increases your chances of getting your money back. Remember, acting quickly and providing strong evidence is crucial.</t>
  </si>
  <si>
    <t>Maaari ba akong humiling ng chargeback mula sa aking bangko kung na-scam ako online?</t>
  </si>
  <si>
    <t>What liability do social media platforms have for hosting scam content?</t>
  </si>
  <si>
    <t>The current legal landscape in the Philippines regarding social media platforms' liability for hosting scam content is evolving. Here's a breakdown of the key points:
* **Limited Liability under Section 230:** Similar to the US, Philippine law doesn't hold social media platforms strictly liable for content posted by their users. This is partly due to Section 230 of the Electronic Commerce Act (ECE Act of 2000). This section provides some immunity to social media platforms, allowing them to function as platforms for communication without being treated as the publisher of the content itself.
* **Nuances and Exceptions:** However, the immunity under Section 230 isn't absolute. Social media platforms can still be held liable in some cases, such as:
* **Copyright Infringement:** If a platform is aware of copyright infringement and takes no action to remove infringing content, they could be liable.
* **Defamation:** If a platform is demonstrably aware of defamatory content and doesn't remove it, they might be liable. The exact requirements for knowledge and intent are still being defined in Philippine legal cases.
* **Content Moderation Policies:** Social media platforms have terms of service and community guidelines that outline prohibited content, including scams. If a platform knowingly allows scam content to persist despite having the ability to remove it, their liability could be explored in court. * **The Future of Section 230:** Similar to discussions in the US, there are ongoing discussions in the Philippines about revising Section 230 to hold social media platforms more accountable for the content they host, especially harmful content like online scams.
**Here's what it means for you:**
* **Social media platforms aren't guaranteed immunity:** While they have some protection under Section 230, they can still be held liable under certain circumstances.
* **User vigilance remains important:** It's crucial to be critical of the information you encounter on social media and to report any suspected scams to the platform itself.
**Recommendations:**
* Report scam content to the social media platform where you encountered it. Most platforms have reporting mechanisms in place.
* Consider following reputable accounts and organizations on social media to get reliable information.
* Stay informed about developments regarding Section 230 and potential changes to social media platform liability in the Philippines.
The legal situation regarding social media platform liability is complex and evolving. While they might not be directly responsible for every scam posted on their platform, there could be cases where their actions or inaction lead to liability. By staying informed and reporting scams, you can help create a safer online environment in the Philippines.</t>
  </si>
  <si>
    <t>Anong pananagutan ang mayroon ang mga platform ng social media para sa pagho-host ng nilalaman ng scam?</t>
  </si>
  <si>
    <t>Is there a difference in legal action if the scam originated from another country?</t>
  </si>
  <si>
    <t>Yes, there can be a difference in legal action if the scam originated from another country compared to a scam happening entirely within the Philippines. Here's why:
**Jurisdictional Issues:**
* **Philippine Law Applies Within Philippine Borders:** Philippine law enforcement agencies can only investigate and prosecute crimes that occur within Philippine territory. This can make it more challenging to pursue legal action against scammers operating from another country.
* **International Cooperation:** The Philippines participates in international agreements like the Council of Europe Convention on Cybercrime. These agreements facilitate cooperation between member states in investigating and prosecuting cybercrime, including online scams. However, navigating international legal procedures can be complex and time-consuming.
**Challenges of Cross-Border Scams:**
* **Evidence Collection:** Gathering evidence across borders can be difficult and require cooperation between Philippine and foreign law enforcement agencies.
* **Extradition:** If the scammer is located in a different country, extraditing them to face trial in the Philippines might be a lengthy process, depending on extradition treaties between the two countries.
* **Differences in National Laws:** What constitutes a crime and the corresponding penalties can vary significantly between countries. This can make it challenging to build a strong case that meets the legal standards of both countries.
**What you can do:**
* **Report the scam to Philippine Authorities:** Regardless of the scammer's location, report the scam to the Philippine National Police Anti-Cybercrime Group (ACG) [https://acg.pnp.gov.ph/](https://acg.pnp.gov.ph/). They can initiate an investigation and potentially work with international law enforcement agencies if necessary.
* **Gather Evidence:** Collect any documentation related to the scam, such as emails, communication with the scammer, and any financial transactions. This evidence can be helpful for both Philippine authorities and potential legal action.
* **Consider Consulting a Lawyer:** A lawyer specializing in cybercrime or international law can advise you on your options and the complexities of pursuing legal action against a foreign scammer.
**Overall, while legal action is still possible for cross-border scams, it can be more challenging than pursuing a scam that occurred entirely within the Philippines. However, reporting the crime, gathering evidence, and seeking legal advice can increase your chances of holding the perpetrators accountable.**</t>
  </si>
  <si>
    <t>May pagkakaiba ba sa legal na aksyon kung ang scam ay nagmula sa ibang bansa?</t>
  </si>
  <si>
    <t>Can I pursue a class-action lawsuit for a widespread online scam?</t>
  </si>
  <si>
    <t>Yes, there is a possibility of pursuing a class-action lawsuit for a widespread online scam in the Philippines. While class actions are still relatively new in the Philippines, the legal framework exists to make them possible. Here's a breakdown of the key points:
**Class Action Law (Rule 19, Section 17 of the Rules of Civil Procedure):**
* This rule allows a group of people (the class) with similar legal claims against a single defendant to file a single lawsuit. This can be more efficient than individual lawsuits, especially for widespread scams.
**Requirements for a Class Action:**
* **Numerosity:** The class of people affected by the scam must be so numerous that it is impractical for all of them to join individual lawsuits.
* **Commonality:** The legal claims of all class members must share common questions of law or fact. * **Typicality:** The claims or defenses of the named representative (the person who files the lawsuit on behalf of the class) must be typical of the claims or defenses of the entire class.
* **Adequacy of Representation:** The named representative must be able to adequately represent the interests of the entire class.
**Challenges of Class Actions:**
* **Complexity:** Class action lawsuits can be complex and time-consuming. They often involve extensive discovery and motion practice.
* **Approval by the Court:** The court must certify the lawsuit as a class action before it can proceed. This involves a hearing where the court determines if the class action requirements are met.
**What you can do:**
* **Consult with a lawyer:** A lawyer specializing in class action lawsuits can assess the potential for a class action in your specific case. They can advise you on the requirements, challenges, and potential benefits involved.
* **Gather Information:** The more information you have about the scam, the number of people affected, and the potential damages, the stronger your case will be.
* **Find other Class Members:** Connecting with other victims of the scam can help build a stronger case and demonstrate the numerosity requirement.
**Examples of Class Action Lawsuits in the Philippines:**
While still uncommon, there have been successful class action lawsuits in the Philippines, including cases against banks and other financial institutions. These cases demonstrate the potential for class actions to hold companies accountable for widespread misconduct.
**Important to Note:**
* The success of a class-action lawsuit depends on various factors, and there's no guarantee of a positive outcome.
* Consulting with a lawyer is crucial to understand the legal process, potential benefits and risks, and to determine if a class action is the best course of action for your situation.
If you believe you've been a victim of a widespread online scam in the Philippines, exploring the possibility of a class-action lawsuit could be a way to seek compensation and hold the perpetrators accountable. However, remember that legal action can be complex, and seeking professional legal advice is highly recommended.</t>
  </si>
  <si>
    <t>Maaari ko bang ituloy ang isang class-action na demanda para sa isang malawakang online na scam?</t>
  </si>
  <si>
    <t>How does jurisdiction apply to online scam cases?</t>
  </si>
  <si>
    <t>Jurisdiction is a crucial aspect of online scam cases in the Philippines. It determines which court system has the authority to hear the case and enforce any judgments. Here's a breakdown of how jurisdiction applies:
**Territorial Jurisdiction:**
* Philippine courts generally have jurisdiction over crimes committed within Philippine territory. This applies to online scams where the scammer and the victim are both located in the Philippines.
**Extraterritorial Jurisdiction:**
* Things get trickier with cross-border scams. Philippine courts might still have jurisdiction if the scam had some effects within the Philippines, even if the scammer is located abroad. Here are some potential scenarios:
* **Server Location:** If the website or platform used for the scam is hosted in the Philippines, it might give Philippine courts jurisdiction. * **Financial Transactions:** If money was transferred from a Philippine bank account to the scammer's account (even if abroad), it could strengthen the case for Philippine jurisdiction.
* **Targeting Filipino Victims:** If the scam specifically targeted Filipino victims, even with a foreign scammer, Philippine courts might assert jurisdiction.
**Challenges of Extraterritorial Jurisdiction:**
* **Evidence Collection:** Gathering evidence located in another country can be difficult and require cooperation between Philippine and foreign law enforcement agencies.
* **International Law and Treaties:** International agreements like the Council of Europe Convention on Cybercrime can facilitate cooperation, but navigating these processes can be complex. **What you can do:**
* **Report the scam to Philippine Authorities:** Regardless of the scammer's location, report the scam to the Philippine National Police Anti-Cybercrime Group (ACG) [https://acg.pnp.gov.ph/](https://acg.pnp.gov.ph/). They can assess the jurisdictional aspects and potentially initiate an investigation.
* **Consult a Lawyer:** A lawyer specializing in cybercrime or international law can advise you on the specific jurisdictional challenges of your case and potential legal options.
**Remember:**
* Jurisdiction can be a complex issue, and there's no one-size-fits-all answer for online scam cases.
* Reporting the crime to Philippine authorities is the first step, and they can help determine the appropriate course of action based on jurisdictional factors.
In addition to territorial and extraterritorial jurisdiction, Philippine courts might also consider:
* **Forum Selection Clauses:** Some websites or online services have terms of service that include forum selection clauses specifying which court system has jurisdiction for disputes.
* **Cyberspace Jurisdiction:** The concept of cyberspace jurisdiction is still evolving, but courts might consider where the online scam had its most significant effects.
By understanding these jurisdictional aspects, you can be better prepared to pursue justice if you've been a victim of an online scam in the Philippines.</t>
  </si>
  <si>
    <t>Paano nalalapat ang hurisdiksyon sa mga kaso ng online scam?</t>
  </si>
  <si>
    <t>Are there any government agencies dedicated to combating online scams?</t>
  </si>
  <si>
    <t>The Philippines doesn't have a single, centralized government agency solely dedicated to combating online scams. However, several government entities work together to address this issue. Here's a breakdown of the key players:
* **Department of Information and Communications Technology (DICT):**
* The DICT plays a crucial role in developing and implementing policies related to cybersecurity.
* The Cybersecurity Bureau under DICT is responsible for overseeing cybersecurity efforts and promoting online safety.
* **Philippine National Police (PNP):**
* The PNP Anti-Cybercrime Group (ACG) is a specialized unit focused on investigating cybercrime, including online scams. They handle complaints, collect evidence, and work with other agencies to apprehend perpetrators. You can report online scams to the ACG through their website [https://acg.pnp.gov.ph/](https://acg.pnp.gov.ph/).
* **Department of Trade and Industry (DTI):**
* The DTI protects consumers from fraudulent business practices. They have an online verification portal where you can check if a business is registered with the DTI [https://bnrs.dti.gov.ph/search](https://bnrs.dti.gov.ph/search). * They also have consumer protection mechanisms for reporting scams related to online purchases.
* **Bangko Sentral ng Pilipinas (BSP):**
* The BSP, also known as the Central Bank of the Philippines, regulates banks and other financial institutions. They play a role in educating consumers about online financial scams and promoting secure online banking practices.
**Inter-Agency Collaboration:**
* The Cybercrime Investigation and Coordinating Center (CICC) is an attached agency of the DICT. It fosters inter-agency collaboration between the PNP, DTI, BSP, and other relevant agencies in investigating and prosecuting cybercrime cases.
* **I-ARC Hotline (1326):**
* This hotline is a joint initiative established by the government and private sector. It allows people to report scams and get assistance from participating government agencies.
By working together, these government agencies aim to create a more secure online environment for Filipinos and combat the growing threat of online scams.</t>
  </si>
  <si>
    <t>Mayroon bang anumang ahensya ng gobyerno na nakatuon sa paglaban sa mga online scam?</t>
  </si>
  <si>
    <t>Can I sue the scammer personally if their identity is known?</t>
  </si>
  <si>
    <t>Yes, you can potentially sue the scammer personally in the Philippines if their identity is known. Here's a breakdown of the possibilities:
* **Civil Lawsuit:** You could file a civil lawsuit against the scammer to recover damages caused by the scam. This could include financial losses, emotional distress, and other damages depending on the specifics of the case.
* **Requirements for a Civil Lawsuit:** To win a civil lawsuit, you'll need to prove:
* **Facts of the Scam:** You'll need to present evidence that the scam occurred and how the scammer was involved.
* **Causation:** You'll need to show that the scammer's actions directly caused your damages.
* **Damages:** You'll need to document the financial losses and other damages you suffered as a result of the scam.
* **Challenges of Suing Scammers:** Even if you know the scammer's identity, suing them can be challenging:
* **Locating the Scammer:** If the scammer is located abroad, serving them with a lawsuit and enforcing any judgment can be difficult.
* **Financial Recovery:** Scammers often operate without significant assets, making it difficult to collect any damages awarded by the court.
**Alternative Dispute Resolution (ADR):**
* In some cases, Alternative Dispute Resolution (ADR) mechanisms might be a faster and less expensive way to resolve the issue. The DTI offers consumer dispute resolution services that could be helpful depending on the nature of the scam.
**Consulting a Lawyer is Recommended:**
* A lawyer specializing in civil litigation or cybercrime can advise you on the best course of action based on the specific details of your case. They can assess the feasibility of a lawsuit, the potential challenges, and alternative options for seeking compensation.
**Here are some additional points to consider:**
* The Philippine court system can be slow-moving, and lawsuits can take time to resolve.
* Legal fees can be a factor, so weigh the potential costs against the anticipated benefits of suing the scammer.
Even if a lawsuit isn't the most viable option, reporting the scam to the authorities is crucial. This helps law enforcement track down scammers and prevent them from targeting others.</t>
  </si>
  <si>
    <t>Maaari ko bang idemanda nang personal ang scammer kung alam ang kanilang pagkakakilanlan?</t>
  </si>
  <si>
    <t>What role do consumer protection laws play in combating online scams?</t>
  </si>
  <si>
    <t>Consumer protection laws play a vital role in combating online scams in the Philippines by establishing a legal framework that:
* **Empowers Consumers:** These laws provide consumers with legal rights and recourse mechanisms when they fall victim to online scams.
* **Deters Scammers:** The laws act as a deterrent by outlining the potential legal consequences for those who engage in deceptive or fraudulent online practices. Here's a closer look at how specific consumer protection laws contribute to the fight against online scams:
* **Republic Act No. 7394 (Consumer Act of the Philippines):**
* This law prohibits deceptive and unfair acts and practices in the marketplace. This includes online scams that mislead or deceive consumers.
* **Cybercrime Prevention Act (RA 10175):**
* This act defines and penalizes specific cybercrimes, including cyber-swindling, which covers online scams.
* **Department of Trade and Industry (DTI) Regulations:**
* The DTI issues regulations related to online consumer protection. These regulations might require online businesses to disclose certain information and provide clear return and refund policies. **How Consumer Protection Laws are Enforced:**
* **Government Agencies:** The DTI, the PNP Anti-Cybercrime Group (ACG), and other government agencies play a role in enforcing consumer protection laws and investigating online scams.
* **Consumer Rights and Responsibilities:** Consumers have the right to report scams to these agencies and seek compensation for damages suffered. **Challenges and Limitations:**
* **Evolving Scams:** Scammers constantly develop new tactics, making it challenging for laws and regulations to keep pace.
* **Cross-Border Scams:** Enforcing consumer protection laws against scammers operating from other countries can be complex.
**The Importance of Consumer Awareness:**
* Consumer protection laws are most effective when consumers are aware of their rights and how to protect themselves online. **Here's what you can do as a consumer:**
* **Stay Informed:** Learn about common online scams and how to identify them.
* **Be Wary of Unsolicited Offers:** Don't share personal information or click on links in suspicious emails or messages.
* **Report Scams:** If you encounter an online scam, report it to the authorities and relevant consumer protection agencies.
By working together, consumer protection laws, law enforcement agencies, and informed consumers can create a safer online environment for everyone in the Philippines. Remember, while legal recourse is available, prevention is key. Staying vigilant and being cautious online is your first line of defense against online scams.</t>
  </si>
  <si>
    <t>Anong papel ang ginagampanan ng mga batas sa proteksyon ng consumer sa paglaban sa mga online scam?</t>
  </si>
  <si>
    <t>Can I recover damages beyond the amount I lost in an online scam?</t>
  </si>
  <si>
    <t>In the Philippines, recovering damages beyond the amount you directly lost in an online scam is possible, but it depends on several factors. Here's a breakdown of the potential scenarios:
**Recovering Direct Losses:**
* This is the most common scenario. You might be able to recover the exact amount of money you lost through the scam, depending on the circumstances. This could involve:
* **Chargeback from your bank:** If you used a credit or debit card for the fraudulent transaction, you might be able to request a chargeback from your bank.
* **Civil lawsuit against the scammer:** If you sue the scammer and win the case, the court could order them to repay the money you lost. (But collecting from them can be difficult, especially if they're outside the Philippines). **Recovering Additional Damages:**
* Philippine law allows you to recover more than just your direct financial loss under certain conditions. These additional damages are often referred to as "compensatory damages" or "moral damages."
* **Compensatory Damages:** These aim to compensate you for the inconvenience, mental stress, or other hardships caused by the scam. For example, if the scam caused you to lose significant sleep or experience emotional distress, you might be able to claim compensatory damages.
* **Moral Damages:** These are awarded in cases where the scammer's actions caused you emotional suffering, humiliation, or damage to your reputation. The amount awarded for moral damages is at the court's discretion.
**Key Factors for Recovering Additional Damages:**
* **Severity of the Scam:** The more severe the scam and the impact it had on your life, the stronger your case for recovering additional damages.
* **Evidence of Damages:** You'll need to provide evidence to support your claim for additional damages. This could include medical records for emotional distress, documentation of lost productivity, or witness testimonies. * **Intentional Misconduct by the Scammer:** The court will consider whether the scammer acted intentionally and with malicious intent. **Challenges of Recovering Additional Damages:**
* **Burden of Proof:** The burden of proof lies with you to demonstrate that the scam caused the additional damages you're claiming.
* **Complexity of Cases:** Cases involving additional damages can be complex and require legal expertise.
**Consulting a Lawyer:**
* A lawyer specializing in consumer protection or cybercrime can advise you on your specific situation and the potential for recovering additional damages. They can help you gather evidence, navigate the legal process, and determine if pursuing additional damages is a viable option for your case.
**Remember:**
* Recovering any damages from a scammer can be challenging, especially if they're located outside the Philippines. * While legal options exist, prevention is key. Staying vigilant and protecting yourself from online scams is the best way to avoid financial losses and emotional distress.</t>
  </si>
  <si>
    <t>Maaari ba akong mabawi ang mga pinsala na lampas sa halagang nawala sa isang online scam?</t>
  </si>
  <si>
    <t>How do I navigate the legal process if the scammer is operating anonymously?</t>
  </si>
  <si>
    <t>Navigating the legal process when the scammer operates anonymously presents significant challenges in the Philippines, but there are still steps you can take:
**1. Report the Scam:**
* Regardless of the scammer's identity, report the scam to the Philippine National Police Anti-Cybercrime Group (ACG) [https://acg.pnp.gov.ph/](https://acg.pnp.gov.ph/). They can initiate an investigation and might be able to track down the scammer through:
* **IP Address Tracking:** In some cases, the ACG might be able to work with internet service providers (ISPs) to identify the IP address used by the scammer. However, this information might not reveal the scammer's true identity.
* **Digital Forensics:** The ACG can analyze any digital evidence you provide, like emails, messages, or transaction records. This might help them identify patterns or connections to other scams.
**2. Gather Evidence (Even Without Knowing the Scammer's Identity):**
* Collect any documentation related to the scam, such as:
* Emails or messages exchanged with the scammer
* Screenshots of fake websites or social media profiles
* Bank statements or credit card records showing fraudulent transactions
* Any other documents that support your claim
**3. Explore Alternative Dispute Resolution (ADR):**
* If the scam involved a purchase or online service, consider Alternative Dispute Resolution (ADR) mechanisms offered by the Department of Trade and Industry (DTI). While ADR won't necessarily reveal the scammer's identity, it might help you recover some of your losses through mediation with the seller/service provider.
**4. Consider Legal Options with a Lawyer:**
* A lawyer specializing in cybercrime can advise you on the legal options available in your specific case. Even without knowing the scammer's identity, an attorney can help you:
* Analyze the evidence and determine the strength of your case.
* Explore potential legal avenues, such as suing an anonymous entity (if applicable). * Advise you on the risks and potential benefits of pursuing legal action.
**Challenges of Anonymity:**
* **Serving Legal Documents:** If you decide to sue, serving legal documents on an anonymous defendant is a significant hurdle.
* **Gathering Evidence:** Building a strong case is more difficult without knowing the scammer's identity and location.
* **Collecting Damages:** Even if you win a case against an anonymous defendant, collecting damages can be nearly impossible.
**Focus on Prevention:**
While legal options exist, pursuing them can be complex and time-consuming when dealing with anonymous scammers. The best approach is to be proactive and take steps to protect yourself online:
* **Be Wary of Unsolicited Offers:** Don't share personal information or click on links in suspicious emails or messages.
* **Verify Information:** Research companies or individuals before engaging in online transactions.
* **Use Strong Passwords:** Enable two-factor authentication whenever possible.
* **Report Suspicious Activity:** Report any online scams you encounter to the authorities.
By staying vigilant and taking preventative measures, you can significantly reduce your risk of falling victim to online scams in the Philippines. Remember, even if you can't recover your losses completely, reporting the scam helps authorities track down these criminals and protect others from becoming victims.</t>
  </si>
  <si>
    <t>Paano ako mag-navigate sa legal na proseso kung ang scammer ay tumatakbo nang hindi nagpapakilala?</t>
  </si>
  <si>
    <t>Can I request an injunction to prevent the scammer from continuing their activities?</t>
  </si>
  <si>
    <t>Yes, you might be able to request an injunction in the Philippines to prevent a scammer from continuing their activities, even if you don't know their identity. Here's a breakdown of the possibilities:
* **Injunctions in the Philippines:** Philippine law allows courts to issue injunctions to prevent a person or entity from committing a wrongful act. This can be applicable in some cases of online scams.
* **Types of Injunctions:** There are two main types of injunctions relevant to online scams:
* **Prohibitory Injunction:** This type of injunction orders the defendant to stop engaging in a specific activity. In the context of online scams, this could be used to prevent the scammer from continuing to operate their fraudulent website or soliciting victims through a particular platform.
* **Mandatory Injunction:** A mandatory injunction compels the defendant to take a specific action. This might be less applicable to anonymous online scammers, but in some cases, it could be used to order an internet service provider (ISP) to block access to a scammer's website.
* **Challenges of Anonymity:** Obtaining an injunction against an anonymous defendant presents hurdles:
* **Identifying the Defendant:** The court needs to be able to identify the person or entity being targeted by the injunction. This can be difficult if the scammer is operating anonymously.
* **Serving the Injunction:** Even if the defendant is identified, serving them with the injunction can be challenging, especially if they're located outside the Philippines.
* **Alternative Course of Action:**
* **Notice and Takedown:** If the scam involves a website or social media profile, you can request the platform to take down the content through a notice and takedown procedure. This doesn't require identifying the scammer but focuses on removing the fraudulent content.
* **Considering Legal Advice:**
* A lawyer specializing in cybercrime or intellectual property law can advise you on the feasibility of obtaining an injunction in your specific case. They can assess the challenges of anonymity and explore alternative options to disrupt the scammer's activities.
**Here are some additional points to consider:**
* Injunctions are generally used to prevent imminent harm. The court will weigh the potential harm you face if the scam continues against the potential harm to the anonymous defendant from being enjoined.
* Legal proceedings to obtain an injunction can be time-consuming and expensive.
**Remember:**
While obtaining an injunction against an anonymous scammer can be difficult, it's still an option worth exploring with a lawyer. Even if a traditional injunction isn't achievable, there might be alternative legal strategies or technical solutions to disrupt the scammer's activities and prevent them from harming others.</t>
  </si>
  <si>
    <t>Maaari ba akong humiling ng isang injunction upang pigilan ang scammer na magpatuloy sa kanilang mga aktibidad?</t>
  </si>
  <si>
    <t>How do I prove financial loss in an online scam case?</t>
  </si>
  <si>
    <t>Proving financial loss is crucial in an online scam case in the Philippines to recover the damages you suffered. Here's how you can strengthen your case:
**Gather Documentation:**
* Collect any documents that demonstrate the financial loss caused by the scam. This could include:
* **Bank statements:** Highlight bank statements showing the fraudulent transactions made by the scammer. * **Credit card statements:** If you used a credit card for the scam, obtain statements reflecting the unauthorized charges. * **Receipts or invoices:** Include any receipts or invoices you received from the scammer (though these might be fabricated).
* **Money transfer records:** If the scam involved money transfers, get documentation of the transferred amount and the recipient's information (if available). * **Transaction Details:** Pay close attention to details within these documents, such as:
* Dates and timestamps of transactions
* Amounts involved in each transaction
* Account numbers or reference codes
**Evidence of Communication:**
* Include any communication you had with the scammer, such as:
* Emails
* Text messages
* Chat logs
* Social media message exchanges
These exchanges might contain details about the promised service or product you never received, solidifying the fraudulent nature of the scam.
**Screenshots:**
* Take screenshots of relevant websites, social media profiles, or online listings used by the scammer. This can help establish the existence of the scam and potentially provide some information about the scammer's operation.
**Police Report:**
* If you filed a report with the Philippine National Police Anti-Cybercrime Group (ACG), include a copy of the report in your documentation. This demonstrates you reported the crime to the authorities.
**Building a Paper Trail:**
* The more documentation you have, the stronger your case will be. Organize your documents chronologically and logically to create a clear picture of the scam and the financial losses you incurred.
**When Financial Records are Unavailable:**
* If you cannot access traditional bank statements or receipts due to the nature of the scam (e.g., cryptocurrency transactions), consider alternative evidence:
* Witness testimonies: If someone else can corroborate your financial loss (e.g., someone you sent money to on the scammer's behalf), their testimony can be valuable.
* Account history: Even if you don't have official statements, request a transaction history from your bank or financial institution.
**Consulting a Lawyer:**
* A lawyer specializing in cybercrime or consumer protection can advise you on the best way to present evidence of your financial losses and build a strong case. They can help you determine the most relevant documents and ensure they are presented effectively.
**Remember:**
The burden of proof lies with you to demonstrate the financial loss caused by the scam. By gathering comprehensive documentation and potentially seeking legal advice, you can increase your chances of successfully proving your losses in an online scam case.</t>
  </si>
  <si>
    <t>Paano ko mapapatunayan ang pagkalugi sa pananalapi sa isang online na kaso ng scam?</t>
  </si>
  <si>
    <t>Are there any specific regulations for cryptocurrency-related scams?</t>
  </si>
  <si>
    <t>The Philippines currently lacks specific regulations solely focused on cryptocurrency-related scams. However, the existing legal framework can still be applied to address these scams to some extent. Here's a breakdown of the relevant regulations:
* **Securities Regulation Code (SRC):**
* The Philippine Securities and Exchange Commission (SEC) regulates the offering and sale of securities. If a cryptocurrency scam involves an Initial Coin Offering (ICO) or any investment scheme promising high returns with cryptocurrencies that function like securities, the SEC might have jurisdiction.
* **Consumer Act (RA No. 7394):**
* This law prohibits deceptive and unfair acts and practices in the marketplace. It can be applied to cryptocurrency scams that mislead or deceive consumers about investment opportunities or cryptocurrency services.
* **Cybercrime Prevention Act (RA 10175):**
* This act defines and penalizes specific cybercrimes, including cyber-swindling, which can encompass cryptocurrency scams. * **Anti-Money Laundering Act (AMLA):**
* The AMLA aims to combat money laundering and terrorist financing. While not directly targeting scams, it can be used to track and freeze cryptocurrency assets involved in fraudulent activities.
**Challenges of Cryptocurrency Scams:**
* **Anonymity:** Cryptocurrency transactions can be anonymous, making it difficult to identify scammers and trace stolen funds.
* **Evolving Landscape:** The cryptocurrency market is constantly evolving, making it challenging for regulations to keep pace with new scam tactics.
* **Cross-Border Activity:** Cryptocurrency scams often operate across borders, adding complexity to law enforcement efforts.
**The Philippine Response:**
* The Philippine government is aware of the growing problem of cryptocurrency scams. The Bangko Sentral ng Pilipinas (BSP), the central bank, has issued warnings about the risks of investing in unregulated cryptocurrencies.
* The SEC is also increasing its scrutiny of ICOs and other cryptocurrency-related activities.
**What you can do:**
* **Be Wary of Unsolicited Investment Offers:** Don't invest in cryptocurrencies based on promises of guaranteed returns or without thoroughly researching the project.
* **Only Deal with Reputable Platforms:** Use established cryptocurrency exchanges with strong security measures and consumer protection policies.
* **Report Scams:** If you encounter a cryptocurrency scam, report it to the SEC, the BSP, and the Philippine National Police Anti-Cybercrime Group (ACG).
**The Future of Cryptocurrency Regulation:**
* The Philippines is exploring ways to regulate the cryptocurrency industry more effectively. This could involve:
* Licensing cryptocurrency exchanges
* Establishing clearer guidelines for ICOs
* Implementing stricter KYC (Know Your Customer) requirements
By implementing these measures, the Philippines can create a more secure environment for legitimate cryptocurrency businesses and help prevent future scams.
**Remember:**
While specific regulations for cryptocurrency scams are still under development, existing laws can be used to address some aspects of these scams. Staying informed and exercising caution when dealing with cryptocurrencies is crucial for protecting yourself from financial losses.</t>
  </si>
  <si>
    <t>Mayroon bang anumang partikular na regulasyon para sa mga scam na nauugnay sa cryptocurrency?</t>
  </si>
  <si>
    <t>Can I hold payment processors liable for facilitating online scams?</t>
  </si>
  <si>
    <t>In the Philippines, holding payment processors liable for facilitating online scams is possible under certain circumstances. Here's a breakdown of the legal landscape:
* **Limited Liability under Section 230:** Similar to the US, Philippine law offers some protection to payment processors under Section 230 of the Electronic Commerce Act (ECE Act of 2000). This section provides immunity to payment processors, generally preventing them from being treated as the publisher of the content hosted on the platform they facilitate transactions for (i.e., the scam website).
* **Exceptions to Immunity:** However, this immunity isn't absolute. Processors can be held liable if they:
* **Knowingly Facilitate Illegal Activity:** If a payment processor knowingly allows its platform to be used for illegal activities, like online scams, they could potentially be held liable. Proving this knowledge can be challenging, but if the scam was widespread and the processor ignored red flags, it might strengthen your case.
* **Violate Know Your Customer (KYC) Rules:** Payment processors have KYC regulations that require them to verify the identity of their customers (businesses using their platform). If a processor fails to follow KYC rules and allows an anonymous entity to set up an account used for scams, they might be held liable.
* **Focus on Consumer Protection:** The Philippine government prioritizes consumer protection. While legal rulings are still evolving, there could be future cases where courts determine payment processors have a responsibility to implement stricter measures to prevent scams on their platforms.
**Challenges of Holding Payment Processors Liable:**
* **Burden of Proof:** The burden of proof lies with you to demonstrate the payment processor knew or should have known about the scam.
* **Complexities of Online Transactions:** Tracing the flow of funds in online scams can be difficult, especially across borders.
* **Costs of Litigation:** Suing a payment processor can be expensive and time-consuming.
**Alternative Options:**
* **Reporting the Scam:** Report the scam to the Philippine National Police Anti-Cybercrime Group (ACG) [https://acg.pnp.gov.ph/](https://acg.pnp.gov.ph/). They can investigate and potentially pursue the scammers.
* **Chargeback:** If you used a credit card for the fraudulent transaction, you might be able to request a chargeback from your bank.
**Consulting a Lawyer:**
* A lawyer specializing in cybercrime or consumer protection can advise you on the specific circumstances of your case and the potential for holding the payment processor liable. They can assess the challenges and explore alternative options for recovering your losses.
**Remember:**
Successfully holding a payment processor liable for an online scam is complex. While the legal framework is evolving to offer more consumer protection, the burden of proof remains high. Reporting the scam and pursuing alternative options might be more practical approaches in many situations.</t>
  </si>
  <si>
    <t>Maaari ko bang panagutan ang mga nagproseso ng pagbabayad para sa pagpapadali sa mga online scam?</t>
  </si>
  <si>
    <t>What should I do if I suspect an online scam but haven't lost any money yet?</t>
  </si>
  <si>
    <t>Here's what you can do if you suspect an online scam but haven't lost any money yet:
1. **Stop Engaging:** Don't respond to any further messages, emails, or calls from the potential scammer. Any response, even out of anger or to confront them, can be seen as engagement and might encourage them to keep targeting you. 2. **Report the Scam:** * **Philippine National Police Anti-Cybercrime Group (ACG):** Report the scam to the ACG [https://acg.pnp.gov.ph/](https://acg.pnp.gov.ph/) They can track scam attempts and investigate leads, even if no financial loss has occurred yet. * **Platform-Specific Reporting:** If the scam happened on a specific online platform (social media, marketplace, etc.), report the suspicious profile or activity to the platform's internal reporting mechanisms. This helps the platform identify and potentially remove scammers from their service.
3. **Block the Scammer:** Block the phone number, email address, or social media profile associated with the scammer to prevent further contact attempts.
4. **Spread Awareness:** Consider sharing your experience (without revealing personal details) on social media or with friends and family. This can help raise awareness about the specific scam tactic and potentially prevent others from falling victim.
5. **Educate Yourself:** Learn more about common online scams and how to identify them. Several resources can help you stay informed, such as:
* The Philippine National Police Anti-Cybercrime Group (ACG) website might have a section on consumer education.
* The Department of Trade and Industry (DTI) consumer protection resources [https://www.dti.gov.ph/konsyumer/consumer-education/](https://www.dti.gov.ph/konsyumer/consumer-education/)
By taking these steps, you can help prevent the scammer from targeting others and contribute to a safer online environment. Here are some additional tips:
* **Be Wary of Unsolicited Offers:** If something seems too good to be true, it probably is. Don't be lured in by promises of quick money or easy rewards.
* **Verify Information:** Always research companies or individuals before engaging in online transactions. Look for reviews, check their legitimacy, and avoid websites with poor security practices.
* **Use Strong Passwords:** Enable two-factor authentication whenever possible to add an extra layer of security to your online accounts.
* **Don't Share Personal Information:** Be cautious about sharing personal details like your address, social security number, or bank account information online. Remember, even if you haven't lost money yet, it's important to be proactive and take steps to protect yourself from online scams. By staying vigilant and informed, you can avoid becoming a victim.</t>
  </si>
  <si>
    <t>Ano ang dapat kong gawin kung pinaghihinalaan ko ang isang online scam ngunit hindi pa nawawala ang anumang pera?</t>
  </si>
  <si>
    <t>How do I distinguish between a legitimate investment opportunity and an investment scam online?</t>
  </si>
  <si>
    <t>Distinguishing between a legitimate investment opportunity and an online investment scam in the Philippines requires caution and awareness. Here are some key red flags to watch out for that can help you avoid scams:
**Unrealistic Promises:**
* **Guaranteed High Returns:** Beware of any investment promising guaranteed high returns with little to no risk. Legitimate investments involve some degree of risk, and returns are never guaranteed.
* **Get Rich Quick Schemes:** Investment opportunities that promise significant wealth accumulation in a short period are likely scams. Building wealth takes time and a well-defined strategy.
**Urgency and Pressure:**
* **Limited-Time Offers:** Scammers often create a sense of urgency by pressuring you to invest quickly before a limited-time offer expires. Legitimate investments allow you time to research and make informed decisions.
* **High-Pressure Sales Tactics:** If someone is pressuring you to invest or using scare tactics to make you feel like you'll miss out, it's a red flag.
**Lack of Transparency:**
* **Unclear or Complex Investment Strategies:** If you don't understand how the investment works or the risks involved, be cautious. Legitimate investments should be easy to understand and have clear documentation.
* **Unlicensed or Unregistered Companies:** Verify if the company offering the investment is licensed and registered with the Securities and Exchange Commission (SEC) of the Philippines. You can check the SEC's website for a list of registered companies [invalid URL removed].
**Suspicious Communication:**
* **Poor Grammar and Typos:** Professional communication from legitimate investment firms should be free of grammatical errors and typos.
* **Unsolicited Contact:** Be wary of unsolicited emails, calls, or messages promoting investment opportunities. Legitimate firms typically don't resort to unsolicited marketing.
**Additionally:**
* **Research the Investment and Company:** Before investing, thoroughly research the specific investment and the company offering it. Look for independent reviews, news articles, and information on the company's track record.
* **Consult a Financial Advisor:** Consider seeking advice from a reputable and licensed financial advisor who can help you evaluate the investment opportunity and align it with your financial goals.
* **Start Small (if unsure):** If you're unsure about an investment, consider investing a small amount initially to test the waters before committing a larger sum.
**Remember:**
* **If it sounds too good to be true, it probably is.** Don't let greed cloud your judgment.
* **Do your research, be cautious, and prioritize protecting your hard-earned money.**
Here are some resources that can help you with legitimate investment opportunities in the Philippines:
* **Securities and Exchange Commission (SEC):** [https://www.sec.gov.ph/](https://www.sec.gov.ph/) * **Philippine Stock Exchange (PSE):** [https://www.pse.com.ph/](https://www.pse.com.ph/)
* **Bangko Sentral ng Pilipinas (BSP):** [https://www.bsp.gov.ph/](https://www.bsp.gov.ph/)
By following these tips and utilizing available resources, you can increase your chances of spotting online investment scams and making informed investment decisions.</t>
  </si>
  <si>
    <t>Paano ko makikilala sa pagitan ng isang lehitimong pagkakataon sa pamumuhunan at isang scam sa pamumuhunan online?</t>
  </si>
  <si>
    <t>Can I pursue criminal charges against the perpetrator of an online scam?</t>
  </si>
  <si>
    <t>Yes, you can potentially pursue criminal charges against the perpetrator of an online scam in the Philippines, but there are challenges and considerations involved. Here's a breakdown of what to expect:
**Filing a Complaint:**
* You can file a complaint with the Philippine National Police Anti-Cybercrime Group (ACG) [https://acg.pnp.gov.ph/](https://acg.pnp.gov.ph/). They specialize in investigating cybercrimes, including online scams.
**Challenges of Pressing Charges:**
* **Identifying the Scammer:** Anonymity online makes it difficult to identify the scammer. The ACG might be able to track them down through IP address analysis or digital forensics, but success isn't guaranteed. * **Gathering Evidence:** Building a strong case requires evidence like emails, messages, transaction records, and proof of financial loss.
* **Jurisdiction:** If the scammer operates from outside the Philippines, pursuing charges becomes even more complex due to international law and cooperation between countries.
**Potential Outcomes:**
* **Investigation:** The ACG will investigate your complaint and gather evidence. If they identify a suspect, they can build a case for prosecution.
* **Charges:** Depending on the nature of the scam and the evidence collected, the ACG might file charges against the scammer under the Cybercrime Prevention Act (RA 10175) or other relevant laws.
* **Trial and Conviction:** If charges are filed, the case will go to court. A successful conviction could result in fines or imprisonment for the scammer. However, this process can be lengthy and the outcome is uncertain.
**Alternative Approaches:**
* **Civil Lawsuit:** Even if criminal charges are difficult, you could consider a civil lawsuit against the scammer to recover your financial losses. This might be a more realistic option in some cases.
* **Report to DTI:** For scams involving online purchases, you can report the issue to the Department of Trade and Industry (DTI) for consumer protection mechanisms.
**Consulting a Lawyer:**
* A lawyer specializing in cybercrime or consumer protection can advise you on the best course of action based on your specific case. They can assess the feasibility of pursuing criminal charges, explore alternative options, and help you navigate the legal process. **Remember:**
* Pursuing criminal charges against online scammers can be challenging. However, reporting the scam to the authorities is crucial to deter future crimes and potentially help them track down the perpetrators.
**Here are some additional things to consider:**
* The emotional toll of pursuing legal action.
* The time and financial resources required for a legal case.
* The possibility of not recovering your financial losses even if the scammer is convicted.
**While the path to criminal charges might be difficult, there are ways to seek justice and protect yourself and others from online scams.**</t>
  </si>
  <si>
    <t>Maaari ko bang ituloy ang mga kasong kriminal laban sa gumawa ng online scam?</t>
  </si>
  <si>
    <t>How do I protect my intellectual property from being used in online scams?</t>
  </si>
  <si>
    <t>Here are some steps you can take to protect your intellectual property (IP) from being used in online scams in the Philippines:
**Proactive Measures:**
* **Register Your IP:** Registering your trademarks, copyrights, or patents with the Intellectual Property Office of the Philippines (IPOPHL) strengthens your legal ownership and provides a basis for legal action against those who misuse your IP.
* **Monitor Online Activity:** Use online monitoring tools or services to track mentions of your brand name, logos, or copyrighted material. This can help you identify potential scams early on.
* **Implement Security Measures:** Secure your online presence by using strong passwords, two-factor authentication, and website security measures to prevent unauthorized access to your intellectual property.
* **Public Awareness Campaigns:** Consider educating consumers about how to identify scams that misuse your IP. This can help them avoid falling victim and potentially report such scams to you or the authorities.
**Responding to Online Scams:**
* **Issue Cease and Desist Letters:** If you find your IP being used in a scam, send a formal cease and desist letter demanding the scammer stop using your property. While not always effective, it demonstrates you're taking action and strengthens your legal case.
* **Report to Relevant Authorities:** Report the scam to the Philippine National Police Anti-Cybercrime Group (ACG) [https://acg.pnp.gov.ph/](https://acg.pnp.gov.ph/). They can investigate and potentially take action against the scammers.
* **Report to Online Platforms:** If the scam is happening on a specific online platform (social media, marketplace, etc.), report the offending profile or activity to the platform's internal reporting mechanisms. Platforms often have policies against intellectual property infringement and might take down the scam content.
**Legal Action:**
* **Civil Lawsuit:** You can sue the scammers in civil court to recover damages caused by the misuse of your IP. This can be a complex process, but a lawyer specializing in intellectual property law can advise you on the best course of action.
**Challenges and Considerations:**
* **Anonymity of Online Scammers:** Identifying and locating online scammers can be difficult due to their anonymity. * **Cross-Border Issues:** If the scam originates outside the Philippines, pursuing legal action becomes more complex due to international jurisdiction.
* **Costs of Legal Action:** Litigation can be expensive and time-consuming. Consider the potential costs and benefits before pursuing a lawsuit.
**Consulting a Lawyer:**
* An IP lawyer can advise you on the most effective strategies to protect your intellectual property from online scams and guide you through the legal process if necessary. Their expertise can be invaluable in navigating these complex situations.
**Remember:**
* Protecting your IP requires a proactive approach combined with the ability to respond effectively when scams emerge. By taking these steps, you can deter scammers from using your IP and minimize potential damage to your brand reputation.</t>
  </si>
  <si>
    <t>Paano ko mapoprotektahan ang aking intelektwal na ari-arian mula sa paggamit sa mga online scam?</t>
  </si>
  <si>
    <t>Can I recover legal fees if I win a case against an online scammer?</t>
  </si>
  <si>
    <t>In the Philippines, recovering legal fees from a winning case against an online scammer is possible, but not guaranteed. Here's a breakdown of what to expect:
**Philippine Law on Attorney's Fees:**
* The Philippines follows the "American Rule" regarding attorney's fees in civil cases. This means that, generally, each party bears their own legal expenses regardless of the case's outcome (who wins or loses).
**Exceptions for Recovering Legal Fees:**
There are, however, some exceptions where you might be able to recover your legal fees from the losing party (the scammer):
* **Stipulated Attorney's Fees:** If the contract you had with the scammer (if any) included a clause stipulating attorney's fees in case of a breach (the scam), you might be able to recover them if you win the lawsuit. * **Litigious Expenses Awarded by the Court:** Under certain circumstances, the court may award attorney's fees as part of the litigation expenses recoverable from the losing party. This might be granted if the court finds the scammer acted in bad faith or the case involved complex legal issues.
**Challenges of Recovering Legal Fees:**
* **Financial Capability of the Scammer:** Even if you win the case and the court awards attorney's fees, collecting them from the scammer can be difficult if they lack the financial resources.
* **Enforcing the Court Order:** Obtaining a court order for attorney's fees is one step, but enforcing it can involve additional legal procedures that take time and resources.
**Alternative Approaches:**
* **Consider Legal Fee Insurance:** Some insurance plans offer coverage for legal fees incurred during lawsuits. While not common in the Philippines yet, it might be an option to explore.
* **Negotiate Upfront:** When hiring a lawyer, discuss fee structures and explore options beyond just hourly rates. Some lawyers might consider a contingency fee arrangement, where their fees depend on a successful outcome and a percentage of the recovered damages.
**Consulting a Lawyer:**
* A lawyer specializing in your specific case (e.g., consumer protection, intellectual property) can advise you on the likelihood of recovering legal fees if you win against the scammer. They can also discuss alternative fee arrangements with you.
**Remember:**
* Recovering legal fees from a scammer is not always guaranteed. Weigh the potential benefits against the costs and time involved in pursuing legal action. * Consulting with a lawyer upfront can help you understand the legal landscape and make informed decisions regarding your case.</t>
  </si>
  <si>
    <t>Maaari ba akong mabawi ang mga legal na bayarin kung manalo ako sa isang kaso laban sa isang online scammer?</t>
  </si>
  <si>
    <t>What role do cybersecurity measures play in preventing online scams?</t>
  </si>
  <si>
    <t>Cybersecurity measures play a crucial role in preventing online scams by making it more difficult for scammers to gain access to your personal information, financial data, and devices. Here's how these measures can help:
**Protecting Personal Information:**
* **Strong Passwords &amp; Multi-Factor Authentication:** Using strong, unique passwords and enabling multi-factor authentication (MFA) on all your online accounts adds an extra layer of security that makes it harder for scammers to steal your login credentials.
* **Data Encryption:** Encryption scrambles your data, making it unreadable to anyone who doesn't have the decryption key. This protects your sensitive information even if it's intercepted by a scammer.
* **Beware of Phishing Attempts:** Phishing emails and messages try to trick you into revealing personal information or clicking on malicious links. Cybersecurity measures like spam filters and awareness training can help you identify and avoid these phishing attempts.
**Securing Devices and Networks:**
* **Antivirus and Anti-Malware Software:** Up-to-date antivirus and anti-malware software can detect and remove malicious software that scammers might use to steal your data or hijack your device.
* **Firewalls:** Firewalls act as a barrier between your device and the internet, filtering incoming and outgoing traffic to prevent unauthorized access.
* **Secure Wi-Fi Connections:** Avoid using public Wi-Fi networks for sensitive activities like online banking. If you must use public Wi-Fi, consider using a Virtual Private Network (VPN) to encrypt your connection.
* **Software Updates:** Keeping your operating system, web browsers, and other software updated with the latest security patches helps address vulnerabilities that scammers might exploit. **Overall Security Posture:**
* **Be Wary of Unsolicited Contact:** Don't click on links or attachments in emails or messages from unknown senders. Be cautious of unsolicited investment offers or anything that seems too good to be true.
* **Verify Information:** Always research companies or individuals before engaging in online transactions. Look for reviews, check their legitimacy, and avoid websites with poor security practices.
* **Regular Backups:** Backing up your data regularly ensures you have a copy of your important files in case your device is compromised by a scam.
**By implementing these cybersecurity measures, you can significantly reduce the risk of falling victim to online scams. Remember, even with robust security, staying vigilant and exercising caution online are essential.**</t>
  </si>
  <si>
    <t>Anong papel ang ginagampanan ng mga hakbang sa cybersecurity sa pagpigil sa mga online scam?</t>
  </si>
  <si>
    <t>Can I seek compensation for emotional distress caused by an online scam?</t>
  </si>
  <si>
    <t>In the Philippines, seeking compensation for emotional distress caused by an online scam is possible under certain conditions. Here's a breakdown of the legal landscape:
**Legal Basis for Compensation:**
* Philippine law allows you to recover moral damages in cases where the scammer's actions caused you emotional suffering, humiliation, or damage to your reputation.
* To claim moral damages, you'll need to demonstrate:
* **Intentional Wrongdoing by the Scammer:** The scammer must have acted intentionally and with malicious intent.
* **Emotional Distress:** You must provide evidence to support your claim of emotional distress caused by the scam. This could include medical records from a therapist or counselor, documentation of sleep disturbances, or witness testimonies about your behavior.
* **Causation:** You need to establish a clear link between the scammer's actions and the emotional distress you experienced.
**Challenges of Recovering Compensation:**
* **Burden of Proof:** The burden of proof lies with you to demonstrate the scammer's intentional wrongdoing, your emotional distress, and the causal link between the two.
* **Difficulty Quantifying Emotional Distress:** Assigning a monetary value to emotional suffering can be challenging.
* **Lengthy Legal Process:** Pursuing compensation through the court system can be time-consuming and expensive.
**Alternative Dispute Resolution (ADR):**
* Consider ADR options offered by the Department of Trade and Industry (DTI) for consumer complaints. While ADR might not award compensation for emotional distress, it could help resolve the case faster and potentially lead to a refund or other form of reparation.
**Consulting a Lawyer:**
* A lawyer specializing in consumer protection or cybercrime can advise you on the viability of claiming moral damages in your specific case. They can assess the evidence, navigate the legal process, and help you understand the potential challenges and costs involved.
**Here are some additional things to consider:**
* The severity of the emotional distress you experienced.
* The financial losses incurred due to the scam.
* The potential costs of pursuing legal action.
**Remember:**
Recovering compensation for emotional distress from online scams can be complex. While legal options exist, careful consideration of the challenges and potential benefits is crucial. Consulting with a lawyer can help you determine the best course of action for your situation.</t>
  </si>
  <si>
    <t>Maaari ba akong humingi ng kabayaran para sa emosyonal na pagkabalisa na dulot ng isang online scam?</t>
  </si>
  <si>
    <t>How do I deal with online scams that involve identity theft?</t>
  </si>
  <si>
    <t>Here's how to deal with online scams that involve identity theft in the Philippines:
**Immediate Steps:**
1. **Secure Your Accounts:** Change the passwords for all your online accounts, especially those that might have been compromised in the scam. Use strong, unique passwords and enable multi-factor authentication (MFA) wherever possible.
2. **Contact Financial Institutions:** Notify your banks, credit card companies, and any other financial institutions you use about the potential identity theft. They can monitor your accounts for fraudulent activity and help you place a freeze on your credit report.
3. **Report the Scam:** File a complaint with the Philippine National Police Anti-Cybercrime Group (ACG) [https://acg.pnp.gov.ph/](https://acg.pnp.gov.ph/). They specialize in investigating cybercrimes, including identity theft.
4. **Report to the Credit Bureau:** Contact the TransUnion Philippines [https://www.creditinfo.gov.ph/](https://www.creditinfo.gov.ph/) (formerly named CIBIL) to report the identity theft and request a fraud alert on your credit report. This will notify creditors of potential fraudulent activity and make it harder for someone to open new accounts in your name. 5. **Gather Evidence:** Keep copies of any documents related to the scam, such as emails, messages, or transaction records. This evidence might be helpful in proving the identity theft and filing a police report.
**Protecting Yourself Further:**
* **Monitor Your Credit Report:** Regularly review your credit report for any suspicious activity, such as new accounts you didn't open. You can request a free credit report from TransUnion Philippines once a year.
* **Beware of Phishing Attempts:** Scammers might try to contact you again posing as legitimate institutions (banks, credit bureaus) to obtain more information. Be cautious of unsolicited emails, calls, or messages.
* **Consider Identity Theft Protection Services:** Explore identity theft protection services offered by some financial institutions or security companies. These can monitor your credit reports and alert you to potential threats.
**Emotional Support:**
* Identity theft can be a stressful experience. Consider seeking emotional support from friends, family, or a therapist if needed.
**Remember:**
* Acting quickly and taking the necessary steps can minimize the damage caused by identity theft. Reporting the scam to the authorities is crucial to help them track down the perpetrators and prevent future crimes. * While recovering stolen funds or repairing your credit score might take time, staying vigilant and proactive can help you regain control of your financial situation.
**Additional Resources:**
* Securities and Exchange Commission (SEC): [https://www.sec.gov.ph/](https://www.sec.gov.ph/) * Bangko Sentral ng Pilipinas (BSP): [https://www.bsp.gov.ph/](https://www.bsp.gov.ph/)
By following these steps and utilizing available resources, you can take charge of the situation and deal with the aftermath of an online scam involving identity theft.</t>
  </si>
  <si>
    <t>Paano ko haharapin ang mga online scam na may kinalaman sa pagnanakaw ng pagkakakilanlan?</t>
  </si>
  <si>
    <t>Can I hold online marketplaces accountable for facilitating fraudulent transactions?</t>
  </si>
  <si>
    <t>In the Philippines, holding online marketplaces accountable for facilitating fraudulent transactions is possible under certain circumstances. Here's a breakdown of the legal landscape:
**Limited Liability under the ECE Act:**
Similar to many countries, the Philippine Electronic Commerce Act (ECE Act of 2000) offers some protection to online marketplaces. Section 230 provides immunity to these platforms, generally preventing them from being held liable for the content hosted on their sites (i.e., listings from fraudulent sellers).
**Exceptions to Marketplace Immunity:**
However, this immunity isn't absolute. Online marketplaces can be held accountable if they:
* **Knowingly Allow Illegal Activity:** If a marketplace deliberately allows its platform to be used for illegal activities, like large-scale scams, and fails to take action despite red flags, they could be held liable. Proving this knowledge can be challenging.
* **Ignore High Risk of Fraud:** If a marketplace ignores repeated complaints about a particular seller or a specific type of scam prevalent on their platform, and doesn't implement preventative measures, they might be seen as turning a blind eye to fraudulent activity.
* **Fail to Comply with KYC (Know Your Customer):** Marketplace regulations require them to verify the identity of their sellers (businesses using the platform) through KYC procedures. If a marketplace fails to follow these KYC rules and allows an anonymous seller to operate on their platform, they might be held more liable if that seller commits fraud.
**Consumer Protection Laws:**
The Philippines prioritizes consumer protection. While legal interpretations are still evolving, future court cases could establish more responsibility for online marketplaces regarding scams happening on their platforms.
**Challenges of Holding Marketplaces Liable:**
* **Burden of Proof:** The burden of proof lies with you to demonstrate the marketplace knew or should have known about the fraudulent activity.
* **Complexities of Online Transactions:** Tracing the flow of funds in online scams can be difficult, especially across borders.
* **Costs of Litigation:** Suing a large online marketplace can be expensive and time-consuming.
**Alternative Options:**
* **Report the Scam:** Report the scam to the platform itself and to the Philippine National Police Anti-Cybercrime Group (ACG) [https://acg.pnp.gov.ph/](https://acg.pnp.gov.ph/). Reporting helps the platform identify fraudulent sellers and the ACG investigate the crime.
* **Chargeback:** If you used a credit card for the fraudulent transaction, you might be able to request a chargeback from your bank.
* **Dispute Resolution:** Many online marketplaces have dispute resolution mechanisms. Utilize these options to file a claim against the seller. **Consulting a Lawyer:**
* A lawyer specializing in cybercrime or consumer protection can advise you on the specific circumstances of your case and the potential for holding the online marketplace liable. They can assess the challenges and explore alternative options for recovering your losses.
**Remember:**
Successfully holding an online marketplace accountable for a fraudulent transaction is complex. While the legal framework is evolving to offer more consumer protection, the burden of proof remains high. Reporting the scam and pursuing alternative options might be more practical approaches in many situations.</t>
  </si>
  <si>
    <t>Maaari ko bang panagutin ang mga online marketplace para sa pagpapadali sa mga mapanlinlang na transaksyon?</t>
  </si>
  <si>
    <t>How do I ensure that my evidence of an online scam is admissible in court?</t>
  </si>
  <si>
    <t>The admissibility of evidence in a court case involving an online scam in the Philippines depends on various factors. Here's what you can do to increase the chances of your evidence being accepted:
**Maintaining a Chain of Custody:**
* Create a record of how you obtained and stored each piece of evidence. This can be especially important for digital evidence like emails, messages, or transaction records. * Avoid altering or modifying the evidence in any way. **Documentation:**
* Clearly document the date and time you acquired each piece of evidence. * If possible, note down how you obtained the evidence (e.g., downloaded a screenshot, printed an email).
**Originals vs. Copies:**
* Generally, original documents are preferred as evidence. However, if originals are unavailable, clear and unaltered copies can sometimes be accepted.
**Witness Testimony:**
* If someone else has knowledge of the scam or can corroborate your experience, consider obtaining a written witness statement from them.
**Reporting the Scam:**
* Reporting the scam to the Philippine National Police Anti-Cybercrime Group (ACG) [https://acg.pnp.gov.ph/](https://acg.pnp.gov.ph/) strengthens your case. The ACG can properly collect and document evidence according to legal requirements. **Consulting a Lawyer:**
* A lawyer specializing in cybercrime or consumer protection can advise you on the best way to preserve and present your evidence in court. They can ensure your evidence collection methods meet legal standards and improve the admissibility of your documents.
**Here are some additional points to consider:**
* The specific requirements for evidence admissibility can vary depending on the nature of the scam and the type of court case.
* The rules of evidence can be complex. Don't hesitate to consult with a lawyer to ensure your evidence is handled appropriately.
**Remember:**
While you can take steps to strengthen the admissibility of your evidence, the ultimate decision lies with the judge. A lawyer can guide you through the legal process and navigate the court system effectively.</t>
  </si>
  <si>
    <t>Paano ko masisiguro na ang aking ebidensya ng isang online na scam ay tinatanggap sa korte?</t>
  </si>
  <si>
    <t>Can I pursue legal action against individuals who unknowingly aid scammers?</t>
  </si>
  <si>
    <t>In the Philippines, pursuing legal action against individuals who unknowingly aid scammers is generally unlikely to be successful. Here's why:
* **Lack of Intent:** For most civil and criminal cases, intent plays a crucial role. If someone unknowingly assisted a scammer, they wouldn't have the necessary malicious intent required for legal liability.
* **Difficulty Proving Knowledge:** Demonstrating that someone knew they were aiding a scam can be very challenging. They might have been misled by the scammer themselves.
* **Limited Legal Precedent:** There isn't a strong legal precedent in the Philippines for holding unknowing accomplices to online scams liable.
**However, there are some nuances to consider:**
* **Negligence:** In rare cases, if someone acts with extreme negligence that facilitates a scam, there might be a possibility of legal action based on negligence laws. However, proving such negligence would be a high bar.
* **Contractual Obligations:** If the unknowing individual had a contractual obligation to verify information or act with a certain level of due diligence (e.g., a money transfer service employee), and their failure to do so directly contributed to the scam, there could be potential contractual liability.
**Alternative Approaches:**
* **Report the Scam:** Report the incident to the Philippine National Police Anti-Cybercrime Group (ACG) [https://acg.pnp.gov.ph/](https://acg.pnp.gov.ph/). This can help them investigate the scam and potentially track down the main perpetrators.
* **Raise Awareness:** If the individual unknowingly aided the scam due to a lack of awareness, consider educating them about common scam tactics to prevent future involvement.
* **Focus on Recovering Losses:** Instead of pursuing legal action against the unknowing accomplice, focus your efforts on recovering your losses from the actual scammer or exploring alternative options like insurance claims or chargebacks (if applicable).
**Consulting a Lawyer:**
* While legal action against unknowing accomplices is unlikely to be successful, a lawyer specializing in cybercrime or consumer protection can advise you on your specific case and explore all potential options. **Remember:**
The focus should be on identifying and stopping the real scammers. Unless the unknowing individual acted with negligence or breached a contractual obligation, pursuing legal action against them is likely to be a difficult and potentially unsuccessful endeavor.</t>
  </si>
  <si>
    <t>Maaari ba akong magsagawa ng legal na aksyon laban sa mga indibidwal na hindi alam na tumutulong sa mga scammer?</t>
  </si>
  <si>
    <t>What precautions should I take when engaging in online transactions to avoid scams?</t>
  </si>
  <si>
    <t>Here are some key precautions you can take to avoid scams when engaging in online transactions in the Philippines:
**Before You Buy:**
* **Research the Seller/Platform:** Before making a purchase, research the seller or platform you're considering. Look for online reviews, check their legitimacy, and ensure they have a secure website with clear contact information. * **Beware of Unrealistic Deals:** If something seems too good to be true, it probably is. Be wary of offers with significantly lower prices than market value. * **Use Secure Payment Methods:** Whenever possible, use secure payment methods like credit cards with buyer protection or platforms with escrow services that hold the funds until you receive the product as described. Avoid direct bank transfers or cash payments unless dealing with someone you trust completely.
**During the Transaction:**
* **Verify Information:** Double-check product descriptions, pricing, and shipping details before finalizing the purchase. * **Beware of Phishing Links:** Don't click on suspicious links or attachments in emails or messages, especially if they purport to be from legitimate companies. * **Use Strong Passwords &amp; MFA:** Always use strong, unique passwords for your online accounts and enable multi-factor authentication (MFA) for added security. * **Secure Wi-Fi:** Avoid using public Wi-Fi networks for sensitive transactions like online shopping. If you must use public Wi-Fi, consider using a Virtual Private Network (VPN) to encrypt your connection.
**After the Purchase:**
* **Track Your Order:** Keep track of your order and expected delivery timeframe. * **Be Wary of Change Requests:** Don't agree to unexpected changes in payment methods or delivery addresses after placing an order.
* **Keep Records:** Maintain copies of receipts, order confirmations, and communication with the seller for future reference.
**Additional Tips:**
* **Beware of Pressure Tactics:** Scammers often try to create a sense of urgency to pressure you into making a quick decision. Take your time and don't be afraid to walk away from a deal that feels suspicious.
* **Trust Your Gut:** If something feels wrong about a transaction, it probably is. Don't hesitate to trust your instincts and avoid going through with it.
* **Report Suspicious Activity:** If you suspect a scam, report it to the platform where the transaction occurred and to the Philippine National Police Anti-Cybercrime Group (ACG) [https://acg.pnp.gov.ph/](https://acg.pnp.gov.ph/).
**Stay Informed:**
* Familiarize yourself with common online scam tactics. The Philippine National Police Anti-Cybercrime Group (ACG) website or the Department of Trade and Industry (DTI) consumer protection resources [https://www.dti.gov.ph/konsyumer/consumer-education/](https://www.dti.gov.ph/konsyumer/consumer-education/) might have information on current scams.
By following these precautions and staying informed, you can significantly reduce your risk of falling victim to online scams when engaging in online transactions in the Philippines. Remember, vigilance and a healthy dose of skepticism are key to protecting yourself online.</t>
  </si>
  <si>
    <t>Anong mga pag-iingat ang dapat kong gawin kapag nagsasagawa ng mga online na transaksyon upang maiwasan ang mga scam?</t>
  </si>
  <si>
    <t>Can I request a refund from a company that unknowingly sold me a scam product?</t>
  </si>
  <si>
    <t>Whether you can get a refund from a company in the Philippines that unknowingly sold you a scam product depends on a few factors:
**Nature of the Scam Product:**
* **Counterfeit Goods:** If the product is a counterfeit version of a legitimate brand, you might have grounds for a refund under intellectual property laws. * **Faulty or Defective Product:** If the product is simply faulty or defective, consumer protection laws in the Philippines could entitle you to a refund or replacement, even if the company was unaware it was a scam.
**Company's Return Policy:**
* Many companies, even legitimate ones, have return policies that outline specific conditions for getting a refund. Carefully review their return policy to understand their process and requirements.
**Negotiation and Communication:**
* Even if the company wasn't aware they were selling a scam product, explaining your situation and providing evidence (receipts, photos, etc.) might lead them to offer a refund as a gesture of goodwill, especially if they value customer satisfaction. **Here are some resources that can help:**
* **Department of Trade and Industry (DTI):** The DTI enforces consumer protection laws in the Philippines. Their website [invalid URL removed] provides information on your rights as a consumer and how to file a complaint.
* **Philippine Online Dispute Resolution Center (ODRC):** The ODRC offers an alternative dispute resolution mechanism for consumer complaints related to online transactions [https://podrs.dti.gov.ph/](https://podrs.dti.gov.ph/).
**Additional Considerations:**
* **Challenges of Recovering Funds:** Depending on the payment method and the seller's location, recovering funds can be complex and time-consuming.
* **Cost-Effectiveness:** If the product value is low, pursuing a refund through legal channels might not be worthwhile due to potential costs.
**Recommendation:**
* Start by contacting the company directly and explaining the situation. Provide evidence and request a refund based on the product being faulty or a counterfeit (if applicable). * If the company is unresponsive or unhelpful, explore options with the DTI or consider the ODRC for dispute resolution.
* If the product value is significant, consult a lawyer specializing in consumer protection to understand your legal options and weigh the potential benefits and costs of pursuing a formal complaint.
**Remember:**
Protecting yourself from online scams requires a combination of caution and knowledge. By understanding your consumer rights and taking necessary precautions, you can minimize the risk of getting scammed and increase your chances of getting a refund if such a situation arises.</t>
  </si>
  <si>
    <t>Maaari ba akong humiling ng refund mula sa isang kumpanya na hindi alam na nagbebenta sa akin ng isang produkto ng scam?</t>
  </si>
  <si>
    <t>How do I report online scams that target vulnerable populations?</t>
  </si>
  <si>
    <t>In the Philippines, reporting online scams that target vulnerable populations is crucial to help authorities track down perpetrators and protect others. Here's how you can report them:
**Philippine National Police Anti-Cybercrime Group (ACG):**
* **Primary Reporting Body:** The ACG specializes in investigating cybercrimes, including online scams. They have a website [https://acg.pnp.gov.ph/](https://acg.pnp.gov.ph/) where you can file an online complaint form. * **Information Needed:** When filing a complaint, provide as much detail as possible, including:
* Nature of the scam.
* Description of the scammer(s) (if known).
* Communication records (emails, messages).
* Financial transaction details (if applicable).
* Information about the targeted vulnerable population (e.g., elderly, students).
**Other Reporting Options:**
* **Department of Trade and Industry (DTI):** If the scam involves online purchases, you can report it to the DTI Consumer Protection Group. While they might not handle criminal investigations, they can help with consumer rights and potentially mediate disputes. You can find their online complaint form here: [invalid URL removed].
**Platform-Specific Reporting:**
* **Social Media Platforms:** Many social media platforms (Facebook, Twitter) have built-in reporting mechanisms for suspicious profiles or activity. Report the scammer's profile and any scam content you encounter.
* **Online Marketplaces:** If the scam occurred on an online marketplace (Lazada, Shopee), report the seller and the fraudulent activity to the platform's customer service or security team.
**Why Reporting Matters:**
* **Increased Awareness:** Reporting helps raise awareness about scams targeting vulnerable populations. This allows authorities to identify trends and target their efforts more effectively.
* **Potential Apprehension:** Your report can be a crucial piece of evidence for the ACG to investigate and potentially apprehend the scammers.
* **Deterrence:** Reporting discourages future scams by making it harder for perpetrators to operate freely.
**Additional Tips:**
* **Educate Others:** Share information about common online scams and how to avoid them, especially with vulnerable populations you know or interact with.
* **Stay Informed:** Keep yourself updated on the latest online scam tactics by following reputable sources like the DTI or the ACG.
**Remember:**
Reporting online scams helps protect yourself and others from becoming victims. While recovering your losses might be challenging, your report can contribute to stopping the scammers and preventing future harm.</t>
  </si>
  <si>
    <t>Paano ako mag-uulat ng mga online na scam na nagta-target ng mga mahihinang populasyon?</t>
  </si>
  <si>
    <t>Can I pursue civil action against the website hosting the scam content?</t>
  </si>
  <si>
    <t>Yes, you may be able to pursue civil action against the website hosting the scam content under Philippine law. Here's a general framework based on relevant legislation:
* **Republic Act No. 10175 or the Cybercrime Prevention Act of 2012 (CPA):** This act penalizes various cybercrimes, including online scams. Section 15 of the CPA covers "Content Takedown" which allows the aggrieved party to request the removal of unlawful content.
* **Article 19 of the 1987 Philippine Constitution:** This article guarantees the right to information and expression. However, it also recognizes the limitations on this right, including those concerning public safety and order. You can argue that the scam content violates these limitations.
* **Civil Code of the Philippines:** Articles 21 and 32 of the Civil Code provide for the concept of "fault or negligence" which can cause damage. You can argue that the website hosting the scam content was negligent in taking down the content upon notification.
Here are some additional points to consider:
* **The Communications Act of the Philippines (RA No. 7732):** This law covers the regulation of telecommunications and may be relevant depending on how the website is classified.
* **Case Law:** Court decisions interpreting these laws can also play a role. Consulting with a lawyer can help you understand how relevant case law applies to your situation.
**Remember:** This is a simplified overview, and the specific legal grounds for your case will depend on the details of the scam content and the website hosting it. It is highly recommended to consult with a lawyer experienced in cybercrime and telecommunications law to assess the viability of your case and the best course of action.</t>
  </si>
  <si>
    <t>Maaari ba akong magsagawa ng sibil na aksyon laban sa website na nagho-host ng nilalaman ng scam?</t>
  </si>
  <si>
    <t>How do I protect myself legally if I accidentally become involved in an online scam?</t>
  </si>
  <si>
    <t>Here are some steps you can take to protect yourself legally if you accidentally become involved in an online scam in the Philippines:
**1. Gather Evidence:**
* **Screenshots:** Take screenshots of all communication with the scammer, including website content, messages, and any financial transactions.
* **Records:** Save any emails, texts, or chat logs related to the scam. * **Financial Documents:** Keep copies of any financial transactions made related to the scam (if applicable). **2. Report the Scam:**
* **Authorities:** Report the scam to the Philippine National Police (PNP) Anti-Cybercrime Unit. They can be reached through their website ([https://acg.pnp.gov.ph/](https://acg.pnp.gov.ph/)) or by calling their hotline 1800-138-8888.
* **Website Platform:** Report the scam to the website platform where the scam content was found. Most platforms have reporting mechanisms for fraudulent activity.
**3. Consider Legal Action:**
* **Consult a Lawyer:** While the steps above can help protect yourself, consider consulting a lawyer specializing in cybercrime law. They can assess your situation, advise you on the legal grounds for a civil case against the website host (as discussed previously), and guide you through the legal process.
**4. Secure Yourself:**
* **Change Passwords:** Immediately change the passwords for any accounts that may have been compromised due to the scam. * **Report Identity Theft:** If you suspect identity theft, contact the relevant credit bureaus (TransUnion Philippines, Equifax Credit Information Services Philippines Inc., and Credit Bureau Asia) to place a fraud alert on your credit report.
**Philippine Laws and the Constitution:**
The following Philippine laws and the Constitution can be relevant in your situation:
* **Republic Act No. 10175 or the Cybercrime Prevention Act of 2012 (CPA):** This act penalizes online scams and allows content takedown requests. * **Article 19 of the 1987 Philippine Constitution:** This protects freedom of information but recognizes limitations for public safety. You can argue the scam content falls under these limitations.
**Remember:** This is for general information only. Consulting with a lawyer is essential to understand your specific situation and the best legal course of action.</t>
  </si>
  <si>
    <t>Paano ko mapoprotektahan ang aking sarili nang legal kung hindi ko sinasadyang masangkot sa isang online scam?</t>
  </si>
  <si>
    <t>Can I recover damages if I unknowingly participated in a scam scheme?</t>
  </si>
  <si>
    <t>Possibly, you may be able to recover damages if you unknowingly participated in a scam scheme under Philippine law. Here's a breakdown based on relevant legislation:
* **Republic Act No. 10175 or the Cybercrime Prevention Act of 2012 (CPA):** Section 15 of the CPA allows "Content Takedown" upon request. If you can prove the website was negligent in removing the scam content after notification, this could strengthen your case for damages.
* **Civil Code of the Philippines:** Articles 21 and 32 deal with "fault or negligence" causing damage. You could argue the website hosting the scam content was negligent and caused you financial harm.
However, recovering damages can be complex. Here are some factors to consider:
* **Level of Your Involvement:** Philippine courts might consider the extent of your participation. Unwitting involvement strengthens your case compared to unknowingly facilitating the scam.
* **Nature of Damages:** The type of damages you suffered (financial loss, emotional distress) will be relevant. * **Website's Responsibility:** The court will weigh the website's responsibility in hosting the scam content. Did they have knowledge or take reasonable steps to remove it upon notification?
**Recommendation:** Consulting with a lawyer experienced in cybercrime is crucial. They can analyze the details of your situation, including the scam, website, and the damages incurred. Based on this, they can advise you on the likelihood of recovering damages and the best legal strategy.
**Philippine Constitution:**
* **Article 19 of the 1987 Philippine Constitution:** While guaranteeing freedom of information, it recognizes limitations for public order and safety. You can argue the scam content falls under such limitations.
**Remember:** This is a simplified overview, and the success of recovering damages depends on your specific case. A lawyer can provide a more informed assessment and guide you through the legal process.</t>
  </si>
  <si>
    <t>Maaari ba akong mabawi ang mga pinsala kung hindi ko sinasadyang lumahok sa isang scam scheme?</t>
  </si>
  <si>
    <t>How do I legally recover assets if they've been transferred as part of an online scam?</t>
  </si>
  <si>
    <t>Recovering assets lost in an online scam in the Philippines can be challenging, but here are some steps you can take to try:
**1. Gather Evidence:**
* **Transaction Records:** Collect all documentation related to the transfer of assets, including bank statements, receipts, or online transaction details.
* **Communication:** Save all communication with the scammer, including emails, text messages, or chat logs. * **Scam Details:** Document the details of the scam itself, such as the website used, the type of scam, and any promises made.
**2. Report the Scam:**
* **Authorities:** File a report with the Philippine National Police (PNP) Anti-Cybercrime Unit. They can be reached through their website ([https://acg.pnp.gov.ph/](https://acg.pnp.gov.ph/)) or by calling their hotline 1800-138-8888.
* **Financial Institution:** If the transfer involved a bank or financial institution, report the scam to them immediately. They may be able to help you freeze the account where your assets were transferred (depending on the circumstances).
**3. Legal Options:**
* **Civil Case:** Consider a civil case against the scammer. This can be complex, especially if the scammer is located outside the Philippines. However, a lawyer can advise you on the feasibility based on the evidence and potential location of the scammer.
* **Asset Tracing:** In some cases, lawyers may recommend asset tracing to locate where the stolen funds were transferred. This can be expensive but might be worthwhile for significant losses.
**Here's how Philippine law can be relevant:**
* **Republic Act No. 10175 or the Cybercrime Prevention Act of 2012 (CPA):** While not directly related to asset recovery, the CPA can help establish the crime and strengthen your case.
* **Rule 131 of the Rules of Court of the Philippines:** This rule covers "Replevin," a legal remedy to recover possession of personal property (which could be applicable depending on the nature of the asset).
**Important Considerations:**
* **Time is Crucial:** The sooner you act, the better the chances of recovering your assets. Scammers often move money quickly.
* **Success Rate:** Unfortunately, recovering assets lost in online scams can be difficult, especially in international cases.
* **Legal Costs:** Consulting with a lawyer and pursuing legal action can be expensive. Weigh the potential recovery against the costs involved. **Recommendation:**
* Consult with a lawyer specializing in cybercrime and asset recovery. They can assess your case, advise on the best legal options, and guide you through the process considering the specific details of your situation.</t>
  </si>
  <si>
    <t>Paano ako legal na makakabawi ng mga asset kung nailipat ang mga ito bilang bahagi ng isang online na scam?</t>
  </si>
  <si>
    <t>Can I pursue legal action against online platforms that profit from hosting scam advertisements?</t>
  </si>
  <si>
    <t>Yes, there is a possibility you can pursue legal action against online platforms that profit from hosting scam advertisements in the Philippines. Here's why:
**Recent Developments:**
* **Republic Act No. 11967 or the Internet Transactions Act (ITA):** This 2018 law aims to regulate online transactions and hold platforms accountable for content they host. While still evolving, it provides a legal basis for potential action. * **Statements from Government Agencies:** The Cybercrime Investigation and Coordinating Center (CICC) has expressed the view that the ITA provides grounds to hold social media platforms accountable for not taking down scam content. **Legal Arguments:**
* **Content Takedown (RA 10175):** Section 15 of the Cybercrime Prevention Act (CPA) allows requesting the removal of unlawful content. You can argue the scam advertisements fall under this category.
* **Consumer Protection (ITA):** The ITA emphasizes consumer protection and platform accountability. You can argue the platform profited from misleading advertisements, causing you harm.
* **Civil Code (Articles 21 &amp; 32):** These articles address "fault or negligence" causing damage. You can argue the platform was negligent in not filtering out scam ads despite profiting from them.
**Important Considerations:**
* **Platform's Responsibility:** The platform's role will be crucial. Did they have knowledge of the scam or take reasonable steps to remove the ads upon notification?
* **Nature of the Scam:** The specifics of the scam advertisement and the resulting harm will influence your case.
* **Case Law:** Court decisions interpreting these laws are still developing. Consulting a lawyer can help you understand relevant case law.
**Recommendations:**
* **Gather Evidence:** Collect screenshots and document details of the scam advertisement and your interaction with the platform.
* **Report the Scam:** Report the scam to the platform and the PNP Anti-Cybercrime Unit.
* **Consult a Lawyer:** A lawyer experienced in cybercrime and consumer law can assess your case, advise on the best legal strategy, and navigate the complexities of suing a large online platform.
**Remember:** This is a developing area of law, and the success of your case depends on the specific details. Consulting with a lawyer is essential to understand the likelihood of success and the best course of action.</t>
  </si>
  <si>
    <t>Maaari ba akong magsagawa ng legal na aksyon laban sa mga online na platform na kumikita mula sa pagho-host ng mga advertisement ng scam?</t>
  </si>
  <si>
    <t>Criminal Cases</t>
  </si>
  <si>
    <t>What exactly constitutes money laundering under the law?</t>
  </si>
  <si>
    <t>In the Philippines, money laundering is defined and penalized under Republic Act No. 9160, also known as the Anti-Money Laundering Act (AMLA) of 2001. Here's a breakdown of what constitutes money laundering under this law:
**The Act focuses on four key actions involving illegally acquired funds:**
1. **Conversion or Transformation:** This involves changing the form or nature of the illegal funds to disguise their source. Examples include converting cash to traveler's checks, precious metals, or real estate.
2. **Transfer:** This involves moving the illegal funds from one location or person to another, domestically or internationally. This could involve bank transfers, wire transfers, or using shell companies.
3. **Acquisition:** This involves taking possession or control of the illegal funds, even if they haven't been physically moved. This could be done by placing them in a bank account or using them to purchase assets.
4. **Concealment or Disguising:** This involves hiding the true nature, source, location, ownership, or movement of the illegal funds. This can be done through complex financial transactions, creating false documentation, or using nominees.
**It's important to note that:**
* **Knowing the Illegality:** The offense requires knowledge that the funds originated from an unlawful activity. * **Underlying Crime:** Money laundering is not a crime on its own. It must be connected to another crime that generated the illegal funds. Examples of predicate crimes include drug trafficking, terrorism financing, fraud, and corruption.
* **Attempts:** The law also penalizes attempts to commit money laundering.
**Additional Resources:**
* **Anti-Money Laundering Council (AMLC Philippines):** [http://www.amlc.gov.ph/](http://www.amlc.gov.ph/)
* **Revised Implementing Rules and Regulations of RA 9160:** [https://www.pdic.gov.ph/files/ra9160irr.pdf](https://www.pdic.gov.ph/files/ra9160irr.pdf)
Remember, this is a simplified explanation, and the specific details of a case will determine if money laundering has occurred. If you have any further questions or suspect money laundering activity, it's recommended to consult with a lawyer or report it to the authorities.</t>
  </si>
  <si>
    <t>Ano nga ba ang bumubuo sa money laundering sa ilalim ng batas?</t>
  </si>
  <si>
    <t>Can you explain the different stages of the money laundering process?</t>
  </si>
  <si>
    <t>Money laundering is a process aimed at making illegally obtained funds appear legitimate. The Anti-Money Laundering Act (AMLA) of the Philippines focuses on three main stages:
1. **Placement:** This is the initial and often riskiest stage. The goal is to get the illegal funds into the financial system without attracting attention. Here are some common placement techniques:
* **Structuring:** Dividing large sums of cash into smaller deposits below reporting thresholds.
* **Smurfing:** Using multiple people to make small deposits on behalf of the criminal organization.
* **Cash-intensive businesses:** Laundering money through businesses that handle a lot of cash, making it difficult to track the source of funds (e.g., car washes, restaurants).
2. **Layering:** Once the funds are in the system, the money launderer aims to create a complex web of transactions to distance the illegal funds from their source. Layering techniques include:
* **Wire transfers:** Moving funds electronically between multiple accounts in different countries.
* **Shell companies:** Using fictitious companies to buy and sell assets, making the ownership of the funds unclear.
* **Casinos:** Converting cash into chips, gambling winnings back into cash, creating a schein of legitimacy.
3. **Integration:** This is the final stage where the laundered money is reintroduced into the economy as seemingly legitimate funds. Integration techniques include:
* **Investing in real estate or businesses:** These can provide a seemingly legitimate source of income and future profits. * **High-value purchases:** Using the laundered money to buy expensive goods like luxury cars or artwork.
**It's important to understand that these stages can overlap and can be quite complex.** Law enforcement agencies are trained to identify red flags associated with each stage.
Here are some additional points to consider:
* **The increasing use of technology:** Money launderers are constantly adapting their methods, using cryptocurrency or anonymizing online transactions.
* **The importance of international cooperation:** Money laundering is often a global crime, and international cooperation is crucial to track and disrupt money laundering activities.
Remember, this is a simplified overview. If you suspect money laundering activity, it's recommended to report it to the authorities.</t>
  </si>
  <si>
    <t>Maaari mo bang ipaliwanag ang iba't ibang yugto ng proseso ng money laundering?</t>
  </si>
  <si>
    <t>What are some common methods used for laundering money?</t>
  </si>
  <si>
    <t>The Philippines, like many countries, faces challenges with money laundering. Here are some common methods used by criminals to launder money, based on Philippine law and trends:
**Placement (Introducing Illegal Funds into the System):**
* **Smurfing:** This involves dividing large sums of cash into smaller deposits below the reporting threshold set by banks. Multiple people (smurfs) make these deposits across various branches, making it seem like legitimate transactions.
* **Cash-intensive businesses:** Criminals might invest in businesses that handle a lot of cash, like car washes, restaurants, or convenience stores. They can mix illegal funds with legitimate earnings, making it difficult to track the source.
**Layering (Distancing the Money from its Source):**
* **Shell Companies:** These are fictitious companies created to hide the ownership of assets. Criminals can use shell companies to buy and sell properties or other valuables, making the money trail harder to follow.
* **Trade-Based Laundering:** This involves manipulating invoices in international trade. For example, a good might be overpriced, and the difference between the real price and the inflated invoice represents laundered money. * **Casino Laundering:** Criminals may convert cash into casino chips, gamble a small amount, and then cash out the winnings. This creates a paper trail suggesting the money came from gambling rather than illegal activities.
**Integration (Making Laundered Money Appear Legitimate):**
* **Real Estate:** Investing in properties allows criminals to integrate the money into the economy as a seemingly legitimate asset with potential future returns. * **High-Value Purchases:** Luxury goods like cars or artwork can be bought with laundered money. These expensive items become a way to store and use the funds without raising suspicion.
**Emerging Trends:**
* **Technology:** Cryptocurrencies and anonymizing online transactions are increasingly used by money launderers to exploit weaknesses in digital financial systems.
**Remember:** These are just some examples, and money laundering methods can be very complex. If you suspect money laundering activity, it's recommended to report it to the authorities.</t>
  </si>
  <si>
    <t>Ano ang ilang karaniwang paraan na ginagamit para sa paglalaba ng pera?</t>
  </si>
  <si>
    <t>How does the law define "illicit funds" in the context of money laundering?</t>
  </si>
  <si>
    <t>Philippine law, under the Anti-Money Laundering Act (AMLA) of 2001 (RA 9160), doesn't have a single, specific definition of "illicit funds." Instead, the law focuses on the **origin** of the funds and whether they are connected to a **predicate crime**.
Here's a breakdown:
* **Predicate Crimes:** These are the crimes that generate the illegal funds laundered later. The AMLA lists various predicate crimes, including:
* Drug trafficking
* Terrorism financing
* Fraud
* Corruption
* Smuggling
* Securities fraud
* Syndicated gambling
* **Knowing the Illegality:** For money laundering to be a crime, the person involved must be aware (or have reasonable grounds to believe) that the funds originated from one of these predicate crimes. **In essence, any funds derived from these illegal activities are considered "illicit funds" in the context of money laundering under Philippine law.** Here's an example:
John gets money by selling illegal drugs. This money is considered "illicit funds" under AMLA. If John then tries to deposit this money in a bank or use it to buy property to hide its source, he could be charged with money laundering.
**It's important to note:**
* The AMLA also covers attempts to commit money laundering, even if the laundering itself is unsuccessful.
* The law applies to both domestic and international money laundering activities.
**Additional Resources:**
* Anti-Money Laundering Council (AMLC Philippines): [http://www.amlc.gov.ph/](http://www.amlc.gov.ph/)
If you have any further questions or suspect money laundering activity, it's recommended to consult with a lawyer or report it to the authorities.</t>
  </si>
  <si>
    <t>Paano tinutukoy ng batas ang "mga ipinagbabawal na pondo" sa konteksto ng money laundering?</t>
  </si>
  <si>
    <t>What are the penalties for being convicted of money laundering?</t>
  </si>
  <si>
    <t>The penalties for money laundering in the Philippines are outlined in Republic Act No. 9160, also known as the Anti-Money Laundering Act (AMLA) of 2001. Here's a breakdown of the penalties depending on the specific offense:
* **Section 4 (a):** This section covers the act of laundering money itself. The penalty is imprisonment ranging from **seven (7) to fourteen (14) years** and a fine of **not less than Three million Philippine pesos (Php3,000,000.00) but not more than twice the value of the monetary instrument or property involved in the offense**.
* **Section 4 (b):** This section deals with a covered person (like a bank or financial institution) or their personnel who knowingly participated in money laundering. The penalty is imprisonment ranging from **four (4) to seven (7) years** and a fine corresponding to **not more than two hundred percent (200%) of the value of the monetary instrument or property laundered**.
* **Section 4 (c):** This section covers a person who helps someone else commit money laundering through acts like providing an account, property, or a financial service. The penalty is imprisonment from **six (6) months to four (4) years** or a fine of **not less than One hundred thousand Philippine pesos (Php100,000.00) but not more than Five hundred thousand Philippine pesos (Php500,000.00)**, or both.
**Important to Note:**
* These are just the basic penalties. The court has some discretion in sentencing based on the specific circumstances of the case. * Other laws may also apply depending on the underlying predicate crime associated with the money laundering.
**Additional Resources:**
* Anti-Money Laundering Council (AMLC Philippines): [http://www.amlc.gov.ph/](http://www.amlc.gov.ph/)
* Republic Act No. 9160 - AMLC: [http://www.amlc.gov.ph/laws/money-laundering/2015-10-16-02-50-56/republic-act-9160](http://www.amlc.gov.ph/laws/money-laundering/2015-10-16-02-50-56/republic-act-9160)
Remember, this is for informational purposes only. If you are facing money laundering charges, it's crucial to consult with a lawyer experienced in criminal law.</t>
  </si>
  <si>
    <t>Ano ang mga parusa sa pagiging nahatulan ng money laundering?</t>
  </si>
  <si>
    <t>Are there any specific defenses against money laundering charges?</t>
  </si>
  <si>
    <t>Yes, there are some potential defenses against money laundering charges in the Philippines. Here's a breakdown based on Philippine law (RA 9160 - Anti-Money Laundering Act):
**Common Defenses:**
* **Lack of Knowledge:** A key element of money laundering is **knowing** the funds originated from a crime. If you can demonstrate you genuinely believed the funds were legitimate, it can be a strong defense. * **Mistaken Belief:** Even if you had some suspicion, if you can show a reasonable mistake about the source of the funds, it could weaken the prosecution's case.
* **Entrapment:** If law enforcement induced you to commit money laundering through tactics like coercion or undue pressure, you may have a defense.
**Other Potential Defenses:**
* **Procedural Violations:** If your rights were violated during the investigation or arrest, it could potentially impact the case. * **Technical Defenses:** Mistakes or inconsistencies in the prosecution's evidence might create reasonable doubt about your guilt.
**Important to Remember:**
* The burden of proof lies with the prosecution to establish your guilt beyond reasonable doubt.
* Defenses can be complex and depend on the specific circumstances of your case.
* Consulting with a qualified lawyer experienced in money laundering defense is crucial. They can analyze the details of your situation, advise you on the most suitable defense strategy, and represent you effectively in court. **Here are some additional points to consider:**
* **Cooperation:** In some cases, cooperating with law enforcement by providing information about the source of the funds or the criminals involved might be a possibility. However, this should only be done under the guidance of a lawyer.
* **Civil Asset Forfeiture:** Even if you're not convicted of money laundering, the government might try to seize assets they believe are derived from illegal activities. A lawyer can help you navigate this process.
**Remember:** This is a simplified overview, and the best course of action depends on your specific situation. Consulting with a lawyer is essential to understand your legal options and build a strong defense against money laundering charges.</t>
  </si>
  <si>
    <t>Mayroon bang anumang partikular na depensa laban sa mga singil sa money laundering?</t>
  </si>
  <si>
    <t>What role does intent play in money laundering cases?</t>
  </si>
  <si>
    <t>In the Philippines, intent plays a crucial role in money laundering cases under the Anti-Money Laundering Act (AMLA) of 2001 (RA 9160). Here's a breakdown of how intent is considered:
* **Knowing the Illegality:** To be found guilty of money laundering, the prosecution must prove you **knew or had reasonable grounds to believe** the funds originated from a criminal activity. * This means simply handling suspicious funds isn't enough. You must have some awareness of their illegal source.
* **Specific Knowledge Not Required:** The law doesn't require you to know the exact nature of the underlying crime (drug trafficking, fraud, etc.) It's sufficient if you knew the funds were generally derived from illegal activities.
* **Recklessness Can Suffice:** Even if you didn't have actual knowledge, recklessly disregarding the possibility that the funds were illegal can be enough for a conviction. This highlights the importance of conducting due diligence when handling large sums of money or engaging in financial transactions that seem unusual.
**Here's an example:**
John receives a large cash deposit from a stranger. He knows nothing about the person and suspects the money might be suspicious. However, John deposits the money in his account anyway without asking questions. John's actions could be considered reckless disregard for the source of the funds, potentially leading to a money laundering conviction.
**Additional Points:**
* **Intent to Layer or Place Funds:** The specific offense under AMLA (placement, layering, or integration) might also influence the level of intent required. However, generally, knowing or having reasonable grounds to believe the funds are illegal remains the core concept.
* **Defenses Based on Lack of Knowledge:** If you can demonstrate you genuinely believed the funds were legitimate, it can be a strong defense against money laundering charges.
**Remember:** This is a simplified explanation. The specific details of your case and the evidence presented will determine how intent is interpreted by the court. Consulting with a lawyer experienced in money laundering defense is vital to understand how intent applies to your situation and build a strong defense strategy.</t>
  </si>
  <si>
    <t>Ano ang papel na ginagampanan ng layunin sa mga kaso ng money laundering?</t>
  </si>
  <si>
    <t>Can you clarify the difference between legal and illegal financial transactions?</t>
  </si>
  <si>
    <t>In the Philippines, the difference between legal and illegal financial transactions boils down to the source and purpose of the funds, as well as how they are handled. Here's a breakdown to help you understand:
**Legal Financial Transactions:**
* **Source:** The funds come from legitimate activities like salaries, business profits, investments, or inheritance. * **Purpose:** The funds are used for legal purposes like buying goods and services, paying bills, investing, or saving.
* **Transparency:** The source and purpose of the funds are clear and verifiable through documentation like payslips, invoices, receipts, and bank statements.
* **Compliance:** Financial institutions typically have Know Your Customer (KYC) procedures to verify identities and prevent illegal activities. Transactions comply with regulations set by the Bangko Sentral ng Pilipinas (BSP) and other relevant agencies.
**Examples of Legal Transactions:**
* Depositing your salary into your bank account.
* Paying for groceries with a debit card.
* Transferring money to a friend to pay them back for a loan.
* Investing in stocks through a licensed broker.
**Illegal Financial Transactions (Red Flags):**
* **Source:** The funds come from criminal activities like drug trafficking, fraud, corruption, or tax evasion. * **Purpose:** The funds are used to launder money, finance illegal activities, or hide wealth.
* **Secrecy:** Efforts are made to conceal the source and purpose of the funds. Transactions may involve large amounts of cash, complex financial instruments, or shell companies.
* **Non-Compliance:** Transactions might avoid financial institutions or involve structuring deposits to stay below reporting thresholds.
**Examples of Illegal Transactions:**
* Depositing large amounts of cash without a clear source.
* Splitting large cash deposits into smaller transactions to avoid reporting requirements.
* Sending money overseas to anonymous accounts for unknown purposes.
* Using a fake passport or another person's identity to open a bank account.
**Here are some additional points to consider:**
* **Gray Areas:** Sometimes, the line between legal and illegal can be blurry. If a transaction seems suspicious, it's best to err on the side of caution and consult with a financial professional or lawyer.
* **Ignorance Isn't an Excuse:** Even if you're unaware that you're involved in an illegal transaction, you can still face legal consequences. It's important to be vigilant and ask questions if something seems unusual.
**Remember:** If you suspect illegal financial activity, report it to the authorities. You can contact the Anti-Money Laundering Council (AMLC) or the Philippine National Police (PNP) Anti-Cybercrime Unit.</t>
  </si>
  <si>
    <t>Maaari mo bang linawin ang pagkakaiba sa pagitan ng legal at ilegal na mga transaksyong pinansyal?</t>
  </si>
  <si>
    <t>How does international law affect money laundering cases involving multiple jurisdictions?</t>
  </si>
  <si>
    <t>International law plays a crucial role in money laundering cases involving multiple jurisdictions, because criminals often exploit differences in national laws and financial systems. Here's how international law helps combat this:
**International Treaties and Conventions:**
* The Philippines is a signatory to various international treaties and conventions against money laundering and terrorist financing. These agreements establish a framework for cooperation between countries, including:
* Sharing information about suspected money laundering activities.
* Providing mutual legal assistance in investigations and prosecutions.
* Seizing and freezing assets derived from crime.
* Key agreements include:
* The United Nations Convention against Transnational Organized Crime (UNTOC) and its Protocols.
* The Financial Action Task Force (FATF) Recommendations.
**Mechanisms for International Cooperation:**
* **Mutual Legal Assistance Treaties (MLATs):** These bilateral agreements between countries allow them to share evidence, witness testimony, and other information needed for investigations and prosecutions.
* **Joint Investigation Teams:** Law enforcement agencies from different countries can work together on complex money laundering cases that span multiple jurisdictions.
* **Extradition Treaties:** These agreements allow a country to request the extradition of a suspected criminal from another country for trial.
**Challenges and Complexities:**
* **Differing National Laws:** Varying definitions of money laundering offenses and evidentiary standards across countries can complicate investigations and prosecutions.
* **Bank Secrecy Laws:** Strict bank secrecy laws in some countries can make it difficult to obtain financial information needed for investigations.
* **Resource Constraints:** Some countries might lack the resources or capacity to effectively investigate and prosecute complex money laundering cases.
**The Role of International Organizations:**
* **FATF:** This inter-governmental body sets international standards for combating money laundering and terrorist financing. They evaluate and monitor countries' compliance with these standards.
* **Egmont Group:** This group of financial intelligence units (FIUs) from around the world facilitates the exchange of information to combat money laundering and terrorist financing.
**Impact on Philippine Cases:**
* International cooperation can be crucial for Philippine authorities to gather evidence located abroad, track laundered funds across borders, and pursue suspects who have fled the country.
* The Philippines has established mechanisms for international cooperation, including MLATs with various countries and membership in the FATF and Egmont Group.
**Remember:** International law is a complex and evolving field. If you are involved in a money laundering case with an international element, consulting with a lawyer experienced in international criminal law is crucial. They can advise you on your rights and navigate the legal complexities of such cases.</t>
  </si>
  <si>
    <t>Paano nakakaapekto ang internasyonal na batas sa mga kaso ng money laundering na kinasasangkutan ng maraming hurisdiksyon?</t>
  </si>
  <si>
    <t>What are the reporting requirements for financial institutions to prevent money laundering?</t>
  </si>
  <si>
    <t>In the Philippines, financial institutions are obligated by law to report suspicious activity and covered transactions to prevent money laundering. The Anti-Money Laundering Council (AMLC) is the government body responsible for implementing these regulations. Here's a breakdown of the key reporting requirements:
**Suspicious Activity Reports (SARs):**
* **Definition:** These are reports filed by financial institutions when they suspect a transaction involves money laundering or terrorist financing. * **Thresholds:** There's no minimum amount for an SAR. The focus is on the suspicious nature of the activity, not just the size of the transaction.
* **Red Flags:** Examples of suspicious activity include:
* Transactions that don't fit the customer's profile or usual activity.
* Large cash deposits or withdrawals without a clear source or purpose.
* Complex or unusual financial structures involving multiple accounts or jurisdictions.
* Transactions with known or suspected money launderers or terrorists.
**Covered Transactions:**
* **Definition:** These are transactions exceeding a specific amount that financial institutions are required to report to the AMLC, regardless of whether they seem suspicious. * **Current Threshold:** The current threshold for covered transactions is **Philippine Peso (Php) 500,000** (or its equivalent in foreign currency) within one banking day. This can be adjusted by the Bangko Senting ng Pilipinas (BSP) as needed.
**Reporting Timeframes:**
* **SARs:** These reports must be filed with the AMLC within **five (5) working days** from the occurrence of the suspicious activity. The Supervising Authority (BSP for banks, Insurance Commission for insurance companies, etc.) may prescribe a longer period, not exceeding ten (10) working days. * **Covered Transactions:** These transactions must be reported to the AMLC within **one (1) banking day** of their occurrence.
**Additional Requirements:**
* **Customer Due Diligence (CDD):** Financial institutions must identify and verify the identity of their customers, understand the nature of their business, and assess the risk they pose for money laundering.
* **Record Keeping:** Detailed records of all transactions must be maintained for a minimum of **five (5) years**. This allows authorities to investigate potential money laundering activities.
**Failure to Comply:**
* Financial institutions and their personnel can face significant penalties for non-compliance with reporting requirements. These can include fines, suspension of licenses, and even criminal charges.
**Resources:**
* Anti-Money Laundering Council (AMLC Philippines): [http://www.amlc.gov.ph/](http://www.amlc.gov.ph/) * AML Reporting in the Philippines: Trends and Future Prospects: [https://www.tookitaki.com/blog/tookitaki-revolutionizing-aml-philippines](https://www.tookitaki.com/blog/tookitaki-revolutionizing-aml-philippines)
**Important Note:** These are the general reporting requirements. Specific regulations may vary depending on the type of financial institution. It's recommended to consult the AMLC's website or relevant regulations for the latest information.</t>
  </si>
  <si>
    <t>Ano ang mga kinakailangan sa pag-uulat para sa mga institusyong pampinansyal upang maiwasan ang money laundering?</t>
  </si>
  <si>
    <t>Can someone be charged with money laundering even if they were unaware of the illegal source of funds?</t>
  </si>
  <si>
    <t>Yes, in the Philippines, someone can be charged with money laundering even if they were unaware of the illegal source of the funds, but it depends on the level of awareness and the specific circumstances. Here's a breakdown:
**Key Element: Knowing the Illegality**
The core principle of money laundering under the Anti-Money Laundering Act (AMLA) of 2001 (RA 9160) is that the person must be aware (or have reasonable grounds to believe) that the funds originated from a criminal activity.
**Levels of Awareness:**
* **Actual Knowledge:** This is the strongest case where the person clearly knows the funds come from illegal activities (e.g., directly participating in a crime that generates the money).
* **Reckless Disregard:** Even if they don't have actual knowledge, recklessly disregarding the possibility that the funds were illegal can be enough for a conviction. This means turning a blind eye to suspicious circumstances or failing to conduct basic due diligence when handling large sums of money or unusual transactions.
**Unwitting Actors (Money Mules):**
* People unknowingly used by criminals to transfer or launder money are sometimes referred to as "money mules." * While ignorance is a defense, it depends on how plausible their lack of knowledge is. * If the red flags were so obvious that any reasonable person would suspect something wrong, they might still be found guilty due to reckless disregard.
**Importance of Due Diligence:**
* To protect yourself, it's crucial to be vigilant and ask questions if a financial transaction seems suspicious. * Conduct basic due diligence, especially when dealing with large sums of money or unfamiliar individuals.
**Defenses Based on Lack of Knowledge:**
* If you can demonstrate you genuinely believed the funds were legitimate, it can be a strong defense. * Evidence supporting this belief, like contracts, invoices, or communication with the sender, can be helpful.
**Remember:**
* The burden of proof lies with the prosecution to establish your guilt beyond reasonable doubt.
* The specific details of your case and the evidence presented will determine how intent is interpreted by the court.
* Consulting with a lawyer experienced in money laundering defense is vital to understand how the concept of knowledge applies to your situation and build a strong defense strategy. Here are some resources for further information:
* Anti-Money Laundering Council (AMLC Philippines): [http://www.amlc.gov.ph/](http://www.amlc.gov.ph/)
* Three Elements That Must Be Proven in a Money Laundering Case: [https://sanctionscanner.com/](https://sanctionscanner.com/)</t>
  </si>
  <si>
    <t>Maaari bang kasuhan ang isang tao ng money laundering kahit na hindi nila alam ang ilegal na pinagmumulan ng pondo?</t>
  </si>
  <si>
    <t>What legal obligations do individuals have regarding money laundering prevention?</t>
  </si>
  <si>
    <t>In the Philippines, individuals don't have extensive legal obligations regarding money laundering prevention compared to financial institutions. However, there are still some important steps you can take to avoid unwittingly getting involved:
**Be Aware of Red Flags:**
* **Suspicious Transactions:** Watch out for situations where someone asks you to handle large cash deposits, receive funds from unknown sources, or split large transactions into smaller ones.
* **Unusually Generous Offers:** If someone offers you high returns on investments with little risk, or a chance to make easy money through money transfer services, be cautious. These could be scams involving money laundering.
* **Inconsistent Information:** Pay attention to inconsistencies in explanations about the source or purpose of funds.
**Protect Yourself:**
* **Know Your Business Partners:** Before engaging in financial transactions with individuals or businesses, try to verify their legitimacy. * **Ask Questions:** Don't be afraid to ask questions about the source and purpose of funds, especially if something seems unusual.
* **Report Suspicious Activity:** If you suspect someone is involved in money laundering, report it to the authorities. You can contact the Anti-Money Laundering Council (AMLC) or the Philippine National Police (PNP) Anti-Cybercrime Unit.
**Here's why these steps are important:**
* **Avoiding Legal Trouble:** By being aware and reporting suspicious activity, you can help prevent money laundering and protect yourself from potential legal consequences.
* **Protecting Yourself from Scams:** Money laundering is often linked to scams. Being cautious can help you avoid losing money.
* **Contributing to a Safer Financial System:** By reporting suspicious activity, you can help authorities fight money laundering and create a safer financial environment for everyone.
**Remember:**
* The focus is on **intent and awareness**. If you unknowingly receive or handle laundered money, you're unlikely to face legal consequences as long as you report it when you become suspicious.
* It's always better to err on the side of caution. If something seems wrong, it probably is.
**Additional Resources:**
* Anti-Money Laundering Council (AMLC Philippines): [http://www.amlc.gov.ph/](http://www.amlc.gov.ph/)
* AMLA Awareness Campaign: [invalid URL removed]</t>
  </si>
  <si>
    <t>Anong mga legal na obligasyon ang mayroon ang mga indibidwal tungkol sa pag-iwas sa money laundering?</t>
  </si>
  <si>
    <t>Can you explain the key elements of a successful money laundering defense strategy?</t>
  </si>
  <si>
    <t>In the Philippines, a successful money laundering defense strategy hinges on challenging the prosecution's case by addressing the core elements of the crime under the Anti-Money Laundering Act (AMLA) of 2001 (RA 9160). Here's a breakdown of the key elements and potential defense approaches:
**Core Elements of Money Laundering:**
* **Knowing the Illegality:** The prosecution must prove you knew, or had reasonable grounds to believe, the funds originated from a criminal activity. * **Specific Act:** They must demonstrate you committed one of the prohibited acts under AMLA, such as placement, layering, or integration of funds.
* **Amount Involved:** The amount of money laundered can be a factor, but even smaller amounts can be prosecuted if other elements are proven.
**Defense Strategies:**
* **Lack of Knowledge:** This is a common defense strategy. You can argue that you genuinely believed the funds were legitimate. * **Evidence:** Documents like contracts, invoices, or communication with the sender of the funds can support this claim.
* **Mistaken Belief:** Even if you had some suspicion, if you can show a reasonable mistake about the source, it weakens the prosecution's case.
* **Reckless Disregard:** The prosecution might argue you disregarded the possibility of illegal funds. Counter this by demonstrating due diligence. * **Proof of Due Diligence:** If you conducted reasonable inquiries about the source of funds or the legitimacy of a transaction, it strengthens your position.
* **Entrapment:** If law enforcement induced you to commit money laundering through tactics like coercion or undue pressure, you may have a defense. * **Evidence:** Proof of these tactics is crucial for a successful entrapment defense.
**Additional Considerations:**
* **Procedural Violations:** If your rights were violated during the investigation or arrest, it could potentially impact the case. * **Technical Defenses:** Mistakes or inconsistencies in the prosecution's evidence might create reasonable doubt about your guilt.
**Importance of Legal Counsel:**
* Money laundering cases can be complex. A qualified lawyer experienced in this area can analyze the details of your situation, identify the most suitable defense strategy, and represent you effectively in court.
* They can advise you on your options, including cooperating with law enforcement if appropriate, to potentially receive leniency.
**Remember:**
* The burden of proof lies with the prosecution to establish your guilt beyond reasonable doubt.
* The specific facts and evidence of your case will determine the most effective defense strategy.
* Consulting with a lawyer is essential to understand your legal options and build a strong defense against money laundering charges.
**Here are some additional resources:**
* Anti-Money Laundering Council (AMLC Philippines): [http://www.amlc.gov.ph/](http://www.amlc.gov.ph/)
* Three Elements That Must Be Proven in a Money Laundering Case: [https://sanctionscanner.com/](https://sanctionscanner.com/)
**Disclaimer:** This information is for general informational purposes only and should not be construed as legal advice.</t>
  </si>
  <si>
    <t>Maaari mo bang ipaliwanag ang mga pangunahing elemento ng isang matagumpay na diskarte sa pagtatanggol sa money laundering?</t>
  </si>
  <si>
    <t>What are the potential consequences of being involved in a money laundering scheme?</t>
  </si>
  <si>
    <t>Involvement in a money laundering scheme can have severe consequences in the Philippines, impacting you financially, legally, and potentially even your reputation. Here's a breakdown of the potential repercussions:
**Legal Penalties:**
* **Imprisonment:** Depending on the specific offense and the amount of money involved, you could face imprisonment ranging from **six months to fourteen years**.
* **Fines:** Significant fines can be imposed, corresponding to a percentage of the laundered funds or a fixed amount depending on the offense.
**Financial Repercussions:**
* **Seizure of Assets:** Law enforcement may seize assets derived from or used in money laundering activities. This could include cash, property, vehicles, or investments.
* **Difficulty Obtaining Loans or Financial Services:** A money laundering conviction can damage your creditworthiness and make it difficult to obtain loans, mortgages, or other financial services in the future.
**Reputational Damage:**
* **Public Scrutiny:** Money laundering cases often attract media attention, potentially leading to public shame and reputational damage.
* **Loss of Employment:** Depending on your profession and employer, a money laundering conviction could lead to job loss or difficulty finding future employment.
**Additional Consequences:**
* **Deportation (for Foreign Nationals):** Foreign nationals involved in money laundering activities may face deportation proceedings.
* **Difficulty Traveling:** A money laundering conviction could make it difficult to obtain visas or travel internationally in the future.
**Even if not Directly Charged:**
* **Association with Money Laundering:** Even if not directly charged with the crime, simply being associated with a money laundering investigation can have negative consequences. **Remember:**
* These are potential consequences, and the severity can vary depending on the specific circumstances of the case.
* It's crucial to avoid any involvement in money laundering activities to protect yourself from these risks.
**If you suspect money laundering:**
* Report it to the authorities. You can contact the Anti-Money Laundering Council (AMLC) or the Philippine National Police (PNP) Anti-Cybercrime Unit.
**Important Note:** This information is for general understanding only and should not be taken as legal advice. If you are facing money laundering charges, consult with a lawyer experienced in criminal law to understand the potential consequences and build a strong defense strategy.</t>
  </si>
  <si>
    <t>Ano ang mga potensyal na kahihinatnan ng pagiging kasangkot sa isang scheme ng money laundering?</t>
  </si>
  <si>
    <t>How can individuals ensure compliance with anti-money laundering regulations in their financial transactions?</t>
  </si>
  <si>
    <t>Here are some steps individuals in the Philippines can take to ensure compliance with anti-money laundering (AML) regulations in their financial transactions:
**Be Aware of Red Flags:**
* **Suspicious Transactions:** Watch out for situations that seem unusual, like:
* Large cash deposits or withdrawals without a clear source or purpose.
* Requests to handle money transfers for unknown people.
* Splitting large transactions into smaller ones to avoid reporting requirements.
* Unusually generous investment offers with little risk.
* **Inconsistent Information:** Pay attention to inconsistencies in explanations about the source or purpose of funds.
**Protect Yourself and Your Finances:**
* **Know Your Business Partners:** Before engaging in financial transactions with individuals or businesses, try to verify their legitimacy. * Research them online or ask for references.
* **Ask Questions:** Don't be afraid to ask questions about the source and purpose of funds, especially if something seems unusual.
* **Maintain Records:** Keep receipts, invoices, and other documentation related to your financial transactions for a reasonable period (at least 5 years in some cases). This can be helpful if you need to demonstrate the legitimacy of your activities.
**Be Vigilant:**
* **Report Suspicious Activity:** If you suspect someone is involved in money laundering, report it to the authorities. You can contact the Anti-Money Laundering Council (AMLC) or the Philippine National Police (PNP) Anti-Cybercrime Unit.
* **Stay Informed:** AML regulations can evolve. Keep yourself updated on the latest requirements and red flags by checking the AMLC website or consulting with a financial advisor.
**Additional Tips:**
* **Use Reputable Financial Institutions:** Conduct your financial transactions through licensed and regulated banks and other financial institutions. These institutions have AML compliance procedures in place to help prevent money laundering.
* **Beware of Online Scams:** Be cautious of online transactions or investment opportunities that seem too good to be true. Research any online platforms before using them.
* **Don't Lend Your Account to Others:** Avoid letting others use your bank account to conduct transactions, especially if you don't know the source of the funds.
**Remember:**
* By following these steps, you can help prevent yourself from unknowingly getting involved in money laundering activities.
* The focus is on intent and awareness. If you report suspicious activity or demonstrate you weren't aware of the illegal source of funds, you're unlikely to face legal consequences.
* It's always better to err on the side of caution. If something seems wrong, report it.
**Disclaimer:** This information is for general understanding only and should not be misconstrued as legal advice. If you have specific questions or concerns, consult with a financial advisor or lawyer.</t>
  </si>
  <si>
    <t>Paano matitiyak ng mga indibidwal ang pagsunod sa mga regulasyon laban sa money laundering sa kanilang mga transaksyong pinansyal?</t>
  </si>
  <si>
    <t>What are the primary red flags indicating potential money laundering activities?</t>
  </si>
  <si>
    <t>Here are some primary red flags that could indicate potential money laundering activities:
**Suspicious Transactions:**
* **Large Cash Deposits or Withdrawals:** Unexplained large deposits or withdrawals, particularly in cash, can be a red flag. This is because criminals often avoid traceable methods like checks or money orders to launder money.
* **Structuring:** This involves splitting large sums of money into smaller transactions below reporting thresholds to avoid triggering Suspicious Activity Reports (SARs) from financial institutions. * **Unusual Activity Compared to Past Transactions:** A sudden increase or significant change in a person's usual transaction patterns, especially involving large sums of money, could be suspicious.
* **Sending or Receiving Funds from High-Risk Countries:** Countries with weak AML regulations or known for money laundering activities might raise a red flag.
**Inconsistencies and Unexplained Activity:**
* **Inconsistent Explanations:** If someone gives unclear or contradictory explanations about the source or purpose of funds, it could be a sign they're trying to hide something.
* **Lack of Business Justification:** If a business transaction seems illogical or doesn't make economic sense, it's worth investigating further. * **Urgency and Pressure to Complete Transactions:** Criminals might try to rush through transactions to avoid scrutiny. Be wary of undue pressure to complete financial dealings quickly.
**Customer Due Diligence Issues:**
* **Reluctance to Provide Identification:** If someone hesitates to provide proper identification or gives false information when opening an account or conducting a transaction, it's a red flag.
* **Shell Companies:** Transactions involving companies with no apparent legitimate business purpose or anonymous ownership could be suspicious.
* **Politically Exposed Persons (PEPs):** Individuals holding prominent public functions or those close to them might pose a higher risk due to potential corruption. Transactions involving PEPs warrant additional scrutiny.
**Remember:**
* The presence of a single red flag doesn't necessarily mean money laundering is occurring. However, it's important to be aware of these warning signs and report any suspicions to the authorities.
* Financial institutions have a legal obligation to report suspicious activity. If you're unsure about a transaction, consult with your bank or financial advisor.
* By staying vigilant and reporting suspicious activity, you can help prevent money laundering and contribute to a safer financial system.</t>
  </si>
  <si>
    <t>Ano ang mga pangunahing pulang bandila na nagpapahiwatig ng mga potensyal na aktibidad ng money laundering?</t>
  </si>
  <si>
    <t>How can individuals identify if they inadvertently engaged in a transaction involving laundered money?</t>
  </si>
  <si>
    <t>Here's how individuals can identify if they might have inadvertently been involved in a transaction involving laundered money:
**Review Your Transactions:**
* **Look for Red Flags:** Review your recent bank statements or account activity for any transactions that seem suspicious based on the red flags discussed earlier (large unexplained deposits/withdrawals, structuring, unusual activity compared to your pattern, etc.).
* **Unfamiliar Senders/Recipients:** Check for transactions involving names you don't recognize, especially for significant sums or repeated interactions.
* **Unexplained Funds:** If you receive funds without a clear explanation for their source, especially from unknown senders, be cautious.
**Reconcile Accounts Regularly:**
* Regularly check your bank statements and account activity for any unauthorized transactions. * Promptly report any discrepancies to your financial institution. **Trust Your Gut:**
* If something about a transaction feels wrong, even if it doesn't perfectly fit the red flag criteria, it's best to err on the side of caution.
**Warning Signs Beyond Transactions:**
* **Pressure to Act Quickly:** Were you pressured to complete a transaction urgently, especially involving large sums or unusual methods (cash deposits, money transfers to high-risk countries)?
* **Secrecy Requests:** Did someone ask you to keep the transaction confidential or not ask questions about the source of funds?
* **Offers Seem Too Good to Be True:** Be wary of investment opportunities or deals that seem incredibly lucrative with little risk. These could be scams linked to money laundering.
**If You Suspect Involvement:**
* **Stop Engaging:** Don't participate in any further transactions with suspicious individuals or entities.
* **Report Your Concerns:** Contact your financial institution and report the suspicious activity. They are obligated to report such cases to the Anti-Money Laundering Council (AMLC).
* **Seek Legal Advice:** Consider consulting with a lawyer experienced in money laundering to understand your situation and potential next steps. **Important Points:**
* **Intent Matters:** Even if you unknowingly received or handled laundered money, you're unlikely to face legal consequences as long as you report it when you become suspicious. The focus is on knowledge and intent.
* **Cooperation is Key:** If you cooperate with authorities and demonstrate you were unaware of the illegal activity, it can help mitigate any potential issues.
* **Prevention is Best:** By following AML best practices (avoiding large cash transactions, knowing your business partners, reporting suspicious activity) you can significantly reduce the risk of inadvertent involvement. **Remember:** * Don't be afraid to report suspicious activity. It's better to be safe than sorry.
* Financial institutions and authorities are there to help. Reporting suspicious activity can help them investigate and prevent money laundering.
* If you're unsure about a situation, consult with a financial advisor or lawyer for guidance.</t>
  </si>
  <si>
    <t>Paano matutukoy ng mga indibidwal kung hindi nila sinasadyang nasangkot sa isang transaksyong kinasasangkutan ng nilabang pera?</t>
  </si>
  <si>
    <t>What steps should individuals take if they suspect they have been unknowingly involved in a money laundering scheme?</t>
  </si>
  <si>
    <t>If you suspect you've been unknowingly involved in a money laundering scheme, here are the steps you should take:
**1. Stop Engaging:**
* **Halt any further transactions:** Don't participate in any additional activities with the suspicious individuals or entities. This could involve money transfers, account management, or other financial dealings.
**2. Report the Suspicious Activity:**
* **Contact your financial institution:** Report your concerns to your bank or other financial service provider. They have a legal obligation to report suspicious activity to the Anti-Money Laundering Council (AMLC) in the Philippines.
* **File an AML report:** You can also directly file a Suspicious Activity Report (SAR) with the AMLC. Their website provides instructions and the necessary forms: [http://www.amlc.gov.ph/](http://www.amlc.gov.ph/)
**3. Gather Evidence (Optional, but helpful):**
* **Document everything:** Keep copies of any emails, receipts, contracts, or other documentation related to the suspicious transactions. This can be helpful for authorities and potentially your own defense if needed.
* **Record details:** Write down as much information as you can recall about the situation, including dates, names, amounts of money involved, and any specific red flags that raised your suspicion.
**4. Consider Legal Counsel:**
* **Consult with a lawyer:** An attorney experienced in money laundering can advise you on your legal rights and next steps. They can help you navigate the situation and potentially represent you if any legal issues arise.
**Important Points:**
* **Cooperation is Key:** By cooperating with authorities and demonstrating you were unaware of the illegal activity, it can significantly help your case.
* **Focus on Intent:** The key in money laundering is knowledge and intent. If you were genuinely unaware of the scheme, you're unlikely to face legal repercussions.
* **Better Safe Than Sorry:** Even if you're unsure but suspect something is wrong, report it. Reporting suspicious activity helps authorities investigate and prevent money laundering.
**Additional Resources:**
* Anti-Money Laundering Council (AMLC Philippines): [http://www.amlc.gov.ph/](http://www.amlc.gov.ph/)
* AMLA Awareness Campaign: [invalid URL removed]
**Remember:** This information is for general understanding only and shouldn't be a substitute for professional legal advice. If you have specific concerns, consult with a lawyer experienced in money laundering.</t>
  </si>
  <si>
    <t>Anong mga hakbang ang dapat gawin ng mga indibidwal kung pinaghihinalaan nilang nasangkot sila sa isang scheme ng money laundering?</t>
  </si>
  <si>
    <t>Can you clarify the differences between legal and illegal methods of money transfer to avoid money laundering accusations?</t>
  </si>
  <si>
    <t>Here's a breakdown of the key differences between legal and illegal methods of money transfer to avoid accusations of money laundering:
**Legal Money Transfers:**
* **Transparency:** The source and purpose of the funds are clear and verifiable. Documents like invoices, receipts, contracts, and employment records can support the legitimacy of the transfer.
* **Financial Institutions:** Transfers are conducted through licensed and regulated banks, money transfer services, or other financial institutions that have Know Your Customer (KYC) procedures in place to verify identities and prevent illegal activity. * **Reporting Requirements:** Large transfers (exceeding the Philippine peso equivalent of Php 500,000) are reported to authorities by financial institutions as per AML regulations.
**Examples of Legal Transfers:**
* Sending salary earned from your job overseas to your family in the Philippines.
* Paying a supplier for goods or services using a bank transfer.
* Splitting a restaurant bill with friends using a mobile payment app.
* Investing funds in the stock market through a licensed broker.
**Illegal Money Transfers (Red Flags):**
* **Secrecy:** Efforts are made to conceal the source and purpose of the funds. Senders or receivers might use fake names, anonymous accounts, or complex financial structures to avoid detection.
* **Large Cash Deposits:** Unexplained large deposits of cash, especially in multiple transactions below reporting thresholds (structuring), can raise suspicion.
* **Informal Channels:** Using informal money transfer services (money mules, underground banking) that lack AML regulations to avoid scrutiny.
* **Unexplained Urgency:** Pressure to complete the transfer quickly, without proper documentation or justification, can be a red flag.
**Suspicious Activities to Avoid:**
* Don't transfer money for someone you don't know or trust.
* Don't allow others to use your bank account to transfer funds.
* Be wary of investment opportunities that promise high returns with little risk.
* Don't split large sums of money into smaller transactions to avoid reporting requirements.
**Remember:**
* If something about a money transfer seems suspicious, don't be afraid to ask questions or report it to your financial institution.
* Financial institutions are trained to identify potential money laundering and will report suspicious activity to the authorities.
**Here are some additional tips:**
* **Maintain a Paper Trail:** Keep copies of receipts, invoices, and other documentation related to your money transfers for at least five years.
* **Use Reputable Services:** Only use licensed and regulated financial institutions for money transfers.
* **Stay Informed:** Familiarize yourself with Anti-Money Laundering (AML) regulations to understand your responsibilities and avoid unintentional involvement in suspicious activity.
By following these guidelines, you can ensure your money transfers are legal and transparent, reducing the risk of money laundering accusations.
**Disclaimer:** This information is for general understanding only and should not be considered legal advice. If you have specific questions or concerns, consult with a lawyer or financial advisor.</t>
  </si>
  <si>
    <t>Maaari mo bang linawin ang mga pagkakaiba sa pagitan ng legal at ilegal na paraan ng paglilipat ng pera upang maiwasan ang mga akusasyon sa money laundering?</t>
  </si>
  <si>
    <t>What role do financial institutions play in preventing and reporting suspicious transactions related to money laundering?</t>
  </si>
  <si>
    <t>Financial institutions play a critical role in preventing and reporting suspicious transactions related to money laundering. They act as the gatekeepers of the financial system and are subject to a number of regulations set by the Anti-Money Laundering Council (AMLC) in the Philippines. Here's a breakdown of their key functions:
**Customer Due Diligence (CDD):**
* Financial institutions are required to identify and verify the identity of their customers (individuals and businesses) before establishing a business relationship. This includes collecting basic information like name, address, and government-issued IDs.
* They also need to understand the nature and purpose of the customer's business activities and assess the risk they pose for money laundering. This might involve investigating the source of funds and expected transaction patterns.
**Transaction Monitoring:**
* Financial institutions monitor customer accounts for suspicious activity. This involves using technology and trained personnel to identify transactions that deviate from a customer's usual patterns or exceed reporting thresholds. * Red flags like large unexplained deposits/withdrawals, structuring (splitting large sums into smaller transactions), or frequent transfers to high-risk countries trigger further scrutiny.
**Suspicious Activity Reporting (SARs):**
* When a financial institution identifies a suspicious transaction, they are obligated to file a Suspicious Activity Report (SAR) with the Anti-Money Laundering Council (AMLC) within five working days. * The SAR details the suspicious activity, customer information, and any relevant documents. **Covered Transaction Reporting:**
* Regardless of whether a transaction seems suspicious, financial institutions must report all transactions exceeding a specific amount (currently Php 500,000 or equivalent) to the AMLC within one banking day. This helps authorities track large movements of funds.
**Record Keeping:**
* Financial institutions must maintain detailed records of all customer information and transactions for a minimum of five years. This allows authorities to investigate potential money laundering activities even after the fact.
**Benefits of Effective AML Programs:**
* By following these measures, financial institutions can help:
* Deter criminals from using their services for money laundering.
* Detect and report suspicious activity to authorities.
* Protect themselves from financial penalties and reputational damage associated with money laundering.
**Examples of How Financial Institutions Can Spot Red Flags:**
* A customer who deposits large amounts of cash regularly but has no apparent source of income.
* A business that makes frequent international transfers to high-risk countries with weak AML regulations.
* A sudden increase in account activity for a customer who typically has low transaction volumes.
**Remember:**
* Financial institutions have a legal obligation to comply with AML regulations. * They partner with authorities to prevent money laundering and maintain a safe financial system.
* If you suspect suspicious activity in your own account, report it to your financial institution immediately.</t>
  </si>
  <si>
    <t>Anong papel ang ginagampanan ng mga institusyong pampinansyal sa pagpigil at pag-uulat ng mga kahina-hinalang transaksyon na may kaugnayan sa money laundering?</t>
  </si>
  <si>
    <t>How can individuals protect themselves from being targeted by money launderers or becoming involved in their schemes?</t>
  </si>
  <si>
    <t>Here are some key steps individuals can take to protect themselves from being targeted by money launderers or unwittingly becoming involved in their schemes:
**Be Aware of Red Flags:**
* Familiarize yourself with common red flags of money laundering activities. These include:
* Unexplained large cash deposits or withdrawals.
* Requests to handle money transfers for unknown people.
* Offers for quick and easy ways to make money (often scams).
* Pressure to complete financial transactions quickly.
* Deals or investments that seem too good to be true.
**Protect Your Personal Information:**
* Be cautious about sharing your personal and financial information with others, especially online. Money launderers might try to steal your identity to open accounts or conduct transactions in your name.
* Use strong passwords and enable two-factor authentication for your online accounts.
**Be Wary of Unfamiliar Business Proposals:**
* Don't be tempted by unsolicited investment opportunities or business deals that promise high returns with little risk. These could be scams linked to money laundering.
* Research any company or individual before engaging in financial transactions with them.
**Maintain Secure Banking Practices:**
* Conduct your financial transactions through licensed and reputable banks and financial institutions. These institutions have AML compliance procedures in place to help prevent money laundering.
* Monitor your bank statements regularly for any unauthorized transactions and report them immediately.
* Avoid lending your bank account or financial instruments to others, especially if you don't know the source of the funds.
**Trust Your Gut:**
* If something about a financial transaction or business proposal feels wrong, even if it doesn't perfectly match the red flag criteria, it's best to err on the side of caution. Don't be afraid to walk away.
**Report Suspicious Activity:**
* If you suspect someone is involved in money laundering, report it to the authorities. You can contact the Anti-Money Laundering Council (AMLC) or the Philippine National Police (PNP) Anti-Cybercrime Unit.
**Here are some additional tips:**
* Stay informed about money laundering trends and scams. The AMLC website is a good resource: [http://www.amlc.gov.ph/](http://www.amlc.gov.ph/)
* Don't be afraid to ask questions. If something about a financial transaction seems unclear, ask for clarification before proceeding.
* Be skeptical of unsolicited offers or deals that seem too good to be true. By following these steps, you can significantly reduce the risk of being targeted by money launderers or becoming involved in their schemes. Remember, it's always better to be safe than sorry. If you suspect something suspicious, report it.</t>
  </si>
  <si>
    <t>Paano mapoprotektahan ng mga indibidwal ang kanilang sarili mula sa pagiging target ng mga money launderer o masangkot sa kanilang mga pakana?</t>
  </si>
  <si>
    <t>What are the penalties for failing to report suspected money laundering activities?</t>
  </si>
  <si>
    <t>In the Philippines, the penalties for failing to report suspected money laundering activities depend on whether you're an individual or a covered institution (financial institutions, casinos, etc.). Here's a breakdown:
**Individuals:**
* The Anti-Money Laundering Act (AMLA) of 2001 (RA 9160) doesn't explicitly state penalties for individuals who fail to report suspicious activity. * However, there could be potential consequences depending on the circumstances:
* **Accessory Charges:** If your failure to report leads to someone else being convicted of money laundering, you could potentially face accessory charges depending on the level of your knowledge and involvement.
* **Civil Liability:** You might be held civilly liable for any damages caused by your failure to report.
**Covered Institutions:**
* Covered institutions have a legal obligation to report suspicious transactions to the Anti-Money Laundering Council (AMLC). Failure to do so can result in significant penalties:
* **Fines:** The penalty for non-compliance with AML reporting requirements can be a fine of at least P100,000 (around $2,000 USD).
* **Suspension or Revocation of License:** In severe cases, the AMLC can suspend or revoke the license of a financial institution that repeatedly fails to comply with AML regulations.
**Importance of Reporting:**
* Even though there's no explicit penalty for individual failure to report, it's crucial to do so for several reasons:
* **Moral Obligation:** Reporting suspicious activity helps protect the financial system and fight crime.
* **Reduce Risk of Involvement:** By reporting, you avoid the potential legal and financial repercussions of being unwittingly involved in money laundering.
* **Authorities Can Investigate:** Your report can help authorities investigate potential money laundering and prevent further criminal activity.
**Reporting Suspicious Activity:**
* You can report suspicious activity to your bank or other financial institution. They are obligated to report it to the AMLC.
* You can also directly file a Suspicious Activity Report (SAR) with the AMLC: [http://www.amlc.gov.ph/](http://www.amlc.gov.ph/)
**Remember:**
* It's always better to err on the side of caution and report suspicious activity.
* Authorities rely on information from individuals to investigate and prevent money laundering.
* Reporting is confidential, and your identity will be protected.
**Disclaimer:** This information is for general understanding only and should not be a substitute for legal advice.</t>
  </si>
  <si>
    <t>Ano ang mga parusa sa hindi pag-uulat ng mga pinaghihinalaang aktibidad ng money laundering?</t>
  </si>
  <si>
    <t>What are the legal implications of being accused of money laundering?</t>
  </si>
  <si>
    <t>Being accused of money laundering in the Philippines carries serious legal implications. Here's a breakdown of what you might face:
**Potential Charges:**
* The Anti-Money Laundering Act (AMLA) of 2001 (RA 9160) outlines the offense of money laundering. * You could be charged with one or more of the following under AMLA:
* **Placement:** This involves introducing illegally obtained funds into the financial system. * **Layering:** This involves conducting transactions to conceal the source, nature, location, ownership, or control of the illegal funds. * **Integration:** This involves using the laundered funds to appear legitimate, often through investments or purchases.
**Severity of Charges:**
* The severity of the charges and potential penalties depend on the specific circumstances of the case, including:
* The amount of money involved
* Your level of knowledge and intent * Whether you're a repeat offender
* Cooperation with authorities
**Potential Penalties:**
* Conviction for money laundering can lead to significant penalties, including: * **Imprisonment:** Depending on the offense and the amount of money involved, you could face imprisonment ranging from **six months to fourteen years**.
* **Fines:** Significant fines can be imposed, corresponding to a percentage of the laundered funds or a fixed amount depending on the offense.
* **Additional Consequences:**
* **Seizure of Assets:** Law enforcement may seize assets derived from or used in money laundering activities. This could include cash, property, vehicles, or investments.
* **Difficulty Obtaining Loans or Financial Services:** A money laundering conviction can damage your creditworthiness and make it difficult to obtain loans, mortgages, or other financial services in the future.
* **Reputational Damage:** Money laundering cases often attract media attention, potentially leading to public shame and reputational damage.
**Defense Strategies:**
* A qualified lawyer experienced in money laundering defense can help you build a strong defense strategy. Here are some potential approaches:
* **Lack of Knowledge:** Demonstrate you genuinely believed the funds were legitimate. * **Reckless Disregard:** If the prosecution argues you disregarded the possibility of illegal funds, counter by showing due diligence in checking the source.
* **Entrapment:** If law enforcement pressured you into money laundering, this could be a defense.
**Importance of Legal Counsel:**
* Given the severity of the potential consequences, consulting with a lawyer experienced in money laundering defense is crucial. They can:
* Analyze your specific situation.
* Advise you on your legal options, including cooperating with law enforcement if appropriate.
* Develop a strong defense strategy to fight the charges.
**Remember:**
* The burden of proof lies with the prosecution to establish your guilt beyond reasonable doubt.
* Early intervention from a lawyer is critical to protect your rights and navigate the legal process effectively.
**Disclaimer:** This information is for general understanding only and should not be considered legal advice. If you are facing money laundering charges, consult with a lawyer experienced in criminal law for personalized guidance.</t>
  </si>
  <si>
    <t>Ano ang mga legal na implikasyon ng pagiging akusado ng money laundering?</t>
  </si>
  <si>
    <t>Can you explain the process of money laundering and how it pertains to my situation?</t>
  </si>
  <si>
    <t>I can't discuss the specifics of money laundering as it relates to your situation because I cannot provide legal advice or condone any illegal activity. However, I can explain the general money laundering process:
Money laundering is the process of trying to make money obtained from illegal activities appear legitimate. Criminals need a way to use this money without attracting attention from law enforcement. There are three main stages to money laundering:
* **Placement:** This stage involves getting the dirty money into the financial system. This can be done through a variety of methods, such as depositing large amounts of cash in small increments (smurfing), structuring transactions to avoid reporting thresholds, or buying things like casino chips or money orders and then cashing them out.
* **Layering:** This stage involves moving the money around through a series of complex financial transactions to make it difficult to trace the source of the funds. This might involve transferring funds between multiple bank accounts, converting them to foreign currency, or investing them in assets like real estate or precious metals.
* **Integration:** This stage involves putting the laundered money back into the legitimate economy. This could involve using the money to buy businesses or real estate, invest in stocks or bonds, or simply spend it on luxury goods.
It's important to understand that money laundering is a serious crime with severe penalties. If you are concerned about potential involvement in money laundering, it's important to consult with an attorney to understand your legal options. Here are some resources that can provide more general information about money laundering:
* The Anti-Money Laundering Council (AMLC Philippines): [http://www.amlc.gov.ph/](http://www.amlc.gov.ph/)
* U.S. Department of State: [https://home.treasury.gov/policy-issues/terrorism-and-illicit-finance/money-laundering](https://home.treasury.gov/policy-issues/terrorism-and-illicit-finance/money-laundering)
Remember, if you suspect you are involved in money laundering in any way, it's important to seek legal counsel immediately.</t>
  </si>
  <si>
    <t>Maaari mo bang ipaliwanag ang proseso ng money laundering at kung paano ito nauugnay sa aking sitwasyon?</t>
  </si>
  <si>
    <t>What are the potential penalties for being convicted of money laundering?</t>
  </si>
  <si>
    <t>The potential penalties for being convicted of money laundering in the Philippines are severe and depend on the specific circumstances of your case. Here's a breakdown of what you might face:
**Charges and Offenses:**
The Anti-Money Laundering Act (AMLA) of 2001 (RA 9160) outlines the offense of money laundering. You could be charged with one or more of the following under AMLA:
* **Placement:** This involves introducing illegally obtained funds into the financial system. * **Layering:** This involves conducting transactions to conceal the source, nature, location, ownership, or control of the illegal funds. * **Integration:** This involves using the laundered funds to appear legitimate, often through investments or purchases.
**Severity of Charges and Penalties:**
The severity of the charges and potential penalties depend on factors such as:
* **Amount of Money Laundered:** Larger sums generally lead to harsher penalties. * **Level of Knowledge and Intent:** Did you know the source of the funds was illegal, or were you unknowingly involved? * **Repeat Offender:** A history of money laundering carries heavier penalties.
* **Cooperation with Authorities:** Demonstrating cooperation can lead to leniency. **Potential Penalties:**
Here's a breakdown of potential penalties:
* **Imprisonment:** * The penalty can range from **six months to fourteen years** depending on the offense and the amount of money involved.
* **Fines:** Significant fines can be imposed:
* Corresponding to a percentage of the laundered funds (up to twice the value)
* A fixed amount depending on the offense (minimum Php 3 million)
**Additional Consequences:**
* **Seizure of Assets:** Law enforcement may seize assets derived from or used in money laundering activities. This could include cash, property, vehicles, or investments.
* **Difficulty Obtaining Financial Services:** A conviction can damage your creditworthiness and make it difficult to obtain loans, mortgages, etc.
* **Reputational Damage:** Money laundering cases attract media attention, potentially leading to public shame and reputational damage.
**Importance of Legal Counsel:**
Given the severity of the consequences, consulting with a lawyer experienced in money laundering defense is crucial. They can:
* Analyze your specific situation.
* Advise you on legal options, including cooperating with law enforcement if appropriate.
* Develop a strong defense strategy to fight the charges.
**Remember:**
* The burden of proof lies with the prosecution to establish your guilt beyond a reasonable doubt.
* Early intervention from a lawyer is critical to protect your rights and navigate the legal process effectively.
**Disclaimer:** This information is for general understanding only and should not be considered legal advice. If you are facing money laundering charges, consult with a lawyer experienced in criminal law for personalized guidance.</t>
  </si>
  <si>
    <t>Ano ang mga potensyal na parusa para sa pagiging nahatulan ng money laundering?</t>
  </si>
  <si>
    <t>How can I defend myself against allegations of money laundering?</t>
  </si>
  <si>
    <t>While I can't offer specific legal advice, here's a general overview of potential defense strategies for money laundering accusations:
**Knowledge and Intent:**
* **Lack of Knowledge:** Demonstrate you genuinely believed the funds were legitimate. This could involve providing evidence of due diligence in checking the source of the funds, like contracts or invoices.
* **Reckless Disregard:** If the prosecution argues you disregarded the possibility of illegal funds, counter by showing you took reasonable steps to verify the source (e.g., background checks on business partners). **Mistake of Fact:** * Demonstrate you were genuinely mistaken about the source of the funds. This might be relevant if you were misled by someone you trusted.
**Entrapment:**
* If law enforcement pressured you into money laundering activities, this could be a defense. However, entrapment is a complex legal concept with a high burden of proof.
**Cooperation:**
* Cooperating with authorities can be a valuable strategy. This could involve providing information or surrendering any remaining laundered funds. **Building a Strong Case:**
* A qualified lawyer can help you gather evidence to support your defense. This might include:
* Documentation proving the source of the funds.
* Witness testimonies supporting your lack of knowledge or intent.
* Business records or other evidence demonstrating legitimate financial activities.
**Remember:**
* The burden of proof lies with the prosecution to establish your guilt beyond a reasonable doubt. * Early intervention from a lawyer is crucial. They can analyze your situation, explore all your options, and build a robust defense strategy.
**Disclaimer:** This information is for general understanding only and should not be considered legal advice. If you are facing money laundering charges, consult with a lawyer experienced in criminal law for personalized guidance specific to your situation.</t>
  </si>
  <si>
    <t>Paano ko maipagtatanggol ang aking sarili laban sa mga paratang ng money laundering?</t>
  </si>
  <si>
    <t>Are there any specific laws or regulations related to money laundering that I should be aware of?</t>
  </si>
  <si>
    <t>In the Philippines, the primary law related to money laundering is the Anti-Money Laundering Act (AMLA) of 2001, Republic Act No. 9160 [http://www.amlc.gov.ph/laws/money-laundering/2015-10-16-02-50-56/republic-act-9160](http://www.amlc.gov.ph/laws/money-laundering/2015-10-16-02-50-56/republic-act-9160). This act establishes the legal framework for combating money laundering and terrorist financing in the country. Here are some key points of the AMLA to be aware of:
* **Money Laundering Offense:** The AMLA defines money laundering and outlines the three stages typically involved: placement, layering, and integration (discussed previously).
* **Covered Institutions:** The AMLA identifies institutions obligated to comply with AML regulations. These include banks, money transfer services, casinos, pawnshops, jewelers, real estate brokers, and others dealing with large cash transactions.
* **Customer Due Diligence (CDD):** Covered institutions must perform CDD on their customers to identify and verify their identities and understand the nature and purpose of their business activities. * **Suspicious Activity Reporting (SAR):** Financial institutions must report suspicious transactions to the Anti-Money Laundering Council (AMLC) within five working days. * **Covered Transaction Reporting:** Regardless of suspicion, institutions must report all transactions exceeding a specific amount (currently Php 500,000 or equivalent) to the AMLC within one banking day.
* **Record Keeping:** Covered institutions must maintain detailed records of customer information and transactions for a minimum of five years.
* **Penalties:** The AMLA prescribes penalties for non-compliance with AML regulations by covered institutions and individuals who knowingly aid or abet money laundering activities.
Here are some additional resources for your reference:
* Anti-Money Laundering Council (AMLC Philippines): [http://www.amlc.gov.ph/](http://www.amlc.gov.ph/) * AMLA Awareness Campaign: [http://www.amlc.gov.ph/covered-persons/bsp-covered-persons](http://www.amlc.gov.ph/covered-persons/bsp-covered-persons) (**Disclaimer:** This link may not be functional) By understanding the AMLA and its key provisions, you can be more aware of your responsibilities and avoid unintentional involvement in money laundering activities. Remember, if you suspect suspicious activity, report it to your financial institution or the AMLC directly.</t>
  </si>
  <si>
    <t>Mayroon bang anumang partikular na batas o regulasyon na nauugnay sa money laundering na dapat kong malaman?</t>
  </si>
  <si>
    <t>What evidence is typically used in cases of alleged money laundering?</t>
  </si>
  <si>
    <t>In money laundering cases, prosecutors rely on a combination of evidence to build their case. Here's a breakdown of some common types of evidence used:
**Financial Records:**
* **Bank Statements:** Transactions involving large unexplained deposits or withdrawals, frequent transfers between accounts, or activity inconsistent with your financial profile can raise suspicion.
* **Cash Transactions:** Frequent deposits of large amounts of cash, especially in broken down denominations (smurfing) to avoid reporting thresholds, can be a red flag.
* **Investment Records:** Suspicious investments with sudden large returns or investments that don't align with your risk tolerance could be evidence of laundering proceeds.
* **Loan Applications:** Applications for loans with false information or using laundered funds as collateral can be incriminating.
**Paperwork and Documentation:**
* **Fake Invoices or Contracts:** Documents used to justify the source or movement of illegal funds can be crucial evidence.
* **Shell Companies:** Creation or use of companies with no legitimate business purpose but used to move money can be indicative of laundering.
* **Wire Transfer Records:** International money transfers, especially to high-risk countries with weak AML regulations, can be suspicious.
**Surveillance and Communications:**
* **CCTV Footage:** Recordings from banks, casinos, or other locations where suspicious transactions occurred can be used as evidence.
* **Phone Records:** Call logs or intercepted communications discussing illegal activity or money movement can be incriminating.
* **Computer Data:** Analysis of computer hard drives or digital devices may reveal evidence of money laundering schemes or communication with accomplices.
**Expert Witness Testimony:**
* **Forensic Accountants:** These professionals can analyze complex financial transactions and identify patterns consistent with money laundering.
* **Law Enforcement Experts:** Officers experienced in money laundering investigations can provide insights into the methods used and interpret evidence.
**Other Evidence:**
* **Lifestyle Changes:** A sudden increase in wealth or unexplained expensive purchases without a legitimate source of income can be suspicious.
* **Seized Assets:** Cash, property, vehicles, or valuables obtained through money laundering may be seized and used as evidence.
* **Witness Testimony:** Individuals with knowledge of the defendant's involvement in money laundering activities may be called to testify.
**Important Points:**
* The specific evidence used will vary depending on the case's unique circumstances. * Prosecutors often rely on circumstantial evidence to build a strong case, demonstrating a pattern of activity consistent with money laundering.
* The burden of proof lies with the prosecution to establish guilt beyond a reasonable doubt. If you are facing money laundering charges, it's crucial to consult with a lawyer experienced in defending such cases. They can analyze the evidence against you and develop a strong defense strategy.</t>
  </si>
  <si>
    <t>Anong ebidensya ang karaniwang ginagamit sa mga kaso ng di-umano'y money laundering?</t>
  </si>
  <si>
    <t>How does the burden of proof apply in cases involving money laundering accusations?</t>
  </si>
  <si>
    <t>In the Philippines, the burden of proof in money laundering cases follows the principle of **proof beyond a reasonable doubt**. This means the prosecution has the responsibility to convince the judge or jury that the defendant is guilty with a level of certainty that leaves no room for reasonable doubt. Here's a breakdown of how the burden of proof applies in money laundering accusations:
**Presumption of Innocence:**
* The accused is presumed innocent until proven guilty. The prosecution must present sufficient evidence to overcome this presumption.
**Elements of Money Laundering:**
* The AMLA (Anti-Money Laundering Act) defines money laundering as a three-stage process: placement, layering, and integration. The prosecution must prove the defendant knowingly participated in at least one of these stages with illegal funds.
**Building the Case:**
* The prosecution will typically use various types of evidence (discussed previously) to demonstrate the defendant's involvement. This might include financial records, documents, witness testimonies, or expert analysis.
* The evidence must be strong enough to create a clear and convincing narrative that the defendant intentionally laundered money.
**Defense Strategies:**
* A skilled defense lawyer can challenge the evidence presented by the prosecution and raise reasonable doubt about the defendant's guilt. * This could involve questioning the interpretation of financial records, highlighting inconsistencies in witness testimonies, or demonstrating a lack of knowledge about the illegal origin of the funds.
**Reasonable Doubt:**
* If, after considering all the evidence presented by both sides, the judge or jury has significant doubts about the defendant's guilt, they must acquit the defendant.
**Remember:**
* The burden of proof never shifts to the defendant. * It's the prosecution's responsibility to prove the case beyond a reasonable doubt.
**Disclaimer:** This information is for general understanding only and should not be considered legal advice. If you are facing money laundering charges, consult with a lawyer experienced in criminal law for personalized guidance specific to your situation.</t>
  </si>
  <si>
    <t>Paano nalalapat ang burden of proof sa mga kaso na kinasasangkutan ng mga akusasyon sa money laundering?</t>
  </si>
  <si>
    <t>Can you provide examples of activities that might be misconstrued as money laundering?</t>
  </si>
  <si>
    <t>Certainly. Here are some activities in the Philippines that might be misconstrued as money laundering, based on RA 9160 or the Anti-Money Laundering Act of 2001:
* **Large Cash Transactions:** While not illegal in itself, depositing, withdrawing, or transferring very large sums of cash (pesos or foreign currency) could raise red flags. The Anti-Money Laundering Council (AMLC) requires covered institutions to report suspicious transactions, and large cash movements might trigger such reports.
* **Frequent Deposits of Small Amounts:** The opposite can also be suspicious. Structuring, which involves breaking down large sums into smaller deposits to avoid reporting thresholds, is a common money laundering technique.
* **Unusual Activity Compared to Past Transactions:** If your bank transactions suddenly show a significant increase or change in activity compared to your usual banking habits, it might warrant scrutiny.
* **Deposits not Corresponding to Income:** If your deposits significantly exceed your declared income, this could be a red flag. This is why it's important to properly file your income tax return.
* **Engaging in Multiple Accounts Across Different Banks:** While not illegal, having numerous bank accounts and constantly moving money between them could raise suspicion, especially if the source of the funds is unclear.
It's important to remember that these are just examples, and simply engaging in one of these activities doesn't automatically mean you're money laundering. However, it's best to avoid activities that might trigger suspicion.
If you have any legitimate reasons for conducting large cash transactions or changing your banking habits, it's always a good idea to discuss them with your bank beforehand. This can help avoid any misunderstandings.
For a more comprehensive understanding, you can refer to Republic Act No. 9160 itself [http://www.amlc.gov.ph/laws/money-laundering/2015-10-16-02-50-56/republic-act-9160](http://www.amlc.gov.ph/laws/money-laundering/2015-10-16-02-50-56/republic-act-9160).</t>
  </si>
  <si>
    <t>Maaari ka bang magbigay ng mga halimbawa ng mga aktibidad na maaaring maling kahulugan bilang money laundering?</t>
  </si>
  <si>
    <t>What are the differences between civil and criminal charges related to money laundering?</t>
  </si>
  <si>
    <t>Philippine law differentiates between civil and criminal charges related to money laundering. Here's a breakdown based on the Anti-Money Laundering Act (RA 9160) and the Constitution:
**Criminal Charges (RA 9160):**
* **Focus:** These charges aim to punish individuals who commit the crime of money laundering as defined in RA 9160. * **Definition of Money Laundering:** The act of concealing or disguising the nature, source, ownership, or movement of funds derived from an unlawful activity (predicate crime). * **Penalties:** These can range from imprisonment (7 to 14 years) to hefty fines (at least 3 million pesos, potentially double the value of the laundered money).
* **Burden of Proof:** The prosecution must prove beyond reasonable doubt that the accused committed money laundering.
**Civil Cases ( مرتبط [murabit], Art. 1161, Civil Code of the Philippines):**
* **Focus:** These cases aim to recover money or assets obtained through illegal activities, even if no criminal charges have been proven.
* **Definition:** The concept of money laundering itself isn't directly addressed in civil cases. However, the principle of "unjust enrichment" (unjust benefit) under Article 1161 of the Civil Code can be applied. * **Sanctions:** The court may order the forfeiture of ill-gotten wealth or properties acquired through money laundering activities.
* **Burden of Proof:** The burden of proof can be lower than in criminal cases. The court may order forfeiture if the preponderance of evidence (more likely than not) shows the property was obtained illegally.
Here's an analogy to illustrate the difference:
* Imagine a criminal trial is like a football game where the prosecution needs to score a touchdown (prove guilt beyond a doubt) to win.
* A civil case related to money laundering, on the other hand, might be like a basketball game where the plaintiff only needs to score more points (show a preponderance of evidence) to win. **Constitution (Article III, Section 2):**
* The Philippine Constitution guarantees the right to due process in both criminal and civil cases. This ensures fairness and protects individuals from wrongful accusations.
Remember, this is a simplified explanation. For intricate details and legal advice, consulting a qualified lawyer is always recommended.</t>
  </si>
  <si>
    <t>Ano ang mga pagkakaiba sa pagitan ng mga kasong sibil at kriminal na may kaugnayan sa money laundering?</t>
  </si>
  <si>
    <t>How can I differentiate between legitimate financial transactions and those that might be considered money laundering?</t>
  </si>
  <si>
    <t>Discerning between legitimate and suspicious transactions can be tricky, but Philippine law (RA 9160) and common sense can offer some guidance. Here's a breakdown to help you:
**Legitimate Transactions:**
* **Clear Source of Funds:** You can demonstrably explain where your money comes from, such as salary, business income, inheritance, or property sales.
* **Transactions Align with Banking History:** Deposits and withdrawals correspond with your usual banking activity and income level.
* **Transactions Match Business Activity:** If you run a business, your transactions reflect your buying and selling patterns. * **Tax Compliance:** You properly declare your income and pay taxes accordingly.
**Potentially Suspicious Transactions (RA 9160):**
* **Large Cash Transactions:** While not illegal, depositing, withdrawing, or transferring very large sums of cash (pesos or foreign currency) could raise red flags for the Anti-Money Laundering Council (AMLC).
* **Frequent Deposits of Small Amounts (Structuring):** Breaking down large sums into smaller deposits to avoid reporting thresholds is a common money laundering technique.
* **Unusual Activity:** Significant increases or changes in your transaction patterns compared to your usual banking habits.
* **Deposits Exceeding Income:** Deposits significantly exceeding your declared income might be suspicious.
* **Multiple Accounts with Frequent Transfers:** Having numerous bank accounts and constantly moving money between them, especially if the source of funds is unclear.
**Remember:**
* Engaging in one suspicious activity doesn't automatically mean money laundering.
* If you have legitimate reasons for these activities, discuss them with your bank beforehand to avoid misunderstandings.
* If you suspect someone else of money laundering, you can report it to the AMLC.
**RA 9160 focuses on:**
* **Concealing or disguising** the source, ownership, or movement of funds derived from an unlawful activity.
**When in doubt, err on the side of caution. If a transaction seems unusual or involves unexplained large sums, consult a professional or your bank.**</t>
  </si>
  <si>
    <t>Paano ko makikilala ang mga lehitimong transaksyon sa pananalapi at ang mga maaaring ituring na money laundering?</t>
  </si>
  <si>
    <t>Are there any defenses available if I unknowingly participated in a transaction involving laundered money?</t>
  </si>
  <si>
    <t>Yes, Philippine law (RA 9160) recognizes defenses for those who unknowingly participated in money laundering. Here's what can help your case:
* **Lack of Knowledge:** The key defense is demonstrating you genuinely **did not know** you were involved in laundering money. This means you couldn't have reasonably suspected the illegality of the transaction.
* **Evidence of Due Diligence:** If you took reasonable steps to verify the legitimacy of the transaction and the counterparty, this strengthens your defense. For instance, you could show you checked the other party's business registration or conducted background checks (within legal boundaries).
* **Cooperation with Authorities:** If you cooperate with law enforcement or the Anti-Money Laundering Council (AMLC) once you discover the suspicious nature of the transaction, it can show your good faith and willingness to help authorities.
**Here's how the law (RA 9160) considers these factors:**
* The prosecution has the burden of proving you **knowingly** participated in money laundering. * If you can demonstrate a lack of knowledge and due diligence, the charges might be dropped.
**Additional Points:**
* **Ignorance of the Law is not an Excuse:** While not knowing the specific law doesn't absolve you completely, courts consider the level of suspicion surrounding the transaction and your efforts to verify its legitimacy.
* **Seek Legal Counsel:** Navigating money laundering accusations can be complex. Consulting a lawyer experienced in such cases is crucial to build a strong defense strategy.
**Remember:**
* The success of your defense hinges on proving your lack of knowledge and any steps you took to ensure the transaction's legitimacy.
* Early cooperation with authorities can be beneficial.
**Disclaimer:** This is not a substitute for legal advice. For a comprehensive understanding and tailored guidance based on your specific situation, consulting a lawyer is highly recommended.</t>
  </si>
  <si>
    <t>Mayroon bang anumang mga panlaban na magagamit kung hindi ko sinasadyang lumahok sa isang transaksyon na may kinalaman sa laundered na pera?</t>
  </si>
  <si>
    <t>What role does intent play in cases involving allegations of money laundering?</t>
  </si>
  <si>
    <t>Intent plays a crucial role in money laundering cases under Philippine law, specifically Republic Act No. 9160 (Anti-Money Laundering Act or AMLA). Here's why:
* **Definition of Money Laundering:** The law defines money laundering as knowingly facilitating transactions involving funds derived from an unlawful activity **with the intent to conceal or disguise** their source, ownership, or movement. * **Three Elements to Prove:** For a money laundering conviction, the prosecution must prove three elements beyond reasonable doubt:
1. **Knowledge:** The accused knew the funds originated from an unlawful activity (predicate crime).
2. **Transaction:** The accused participated in a financial transaction involving the illegal funds.
3. **Intent:** The accused **intended** to conceal or disguise the source, ownership, or movement of the funds.
**Without Proof of Intent:**
* If the prosecution cannot establish that the accused **intended** to hide the illegal nature of the funds, a money laundering conviction becomes difficult.
**Examples of Intent:**
* Structuring large sums into smaller deposits to avoid reporting thresholds.
* Layering funds by moving them through multiple accounts or financial institutions.
* Integrating laundered money into legitimate businesses.
**Importance of Intent:**
* This requirement protects individuals who unknowingly participate in transactions involving illegal funds. * Someone who deposits a check from an acquaintance, unaware the funds are stolen, wouldn't be guilty of money laundering if they lacked the intent to conceal the source.
**Remember:**
* The burden of proof lies with the prosecution to establish **intentional** involvement in money laundering.
* If you suspect you've been involved in a suspicious transaction, seek legal counsel to understand your options.
**Disclaimer:** This explanation is for informational purposes only and shouldn't be considered legal advice. Consulting a lawyer for your specific situation is essential.</t>
  </si>
  <si>
    <t>Anong papel ang ginagampanan ng layunin sa mga kaso na kinasasangkutan ng mga paratang ng money laundering?</t>
  </si>
  <si>
    <t>How do international laws and treaties affect cases involving cross-border money laundering?</t>
  </si>
  <si>
    <t>International laws and treaties play a significant role in cases involving cross-border money laundering in the Philippines. Here's how:
**Enhanced Cooperation and Information Sharing:**
* The Philippines is a signatory to numerous international treaties like the United Nations Convention Against Transnational Organized Crime and its Protocols. These treaties promote cooperation between countries in investigating and prosecuting money laundering offenses.
* Countries share information about suspicious transactions, money laundering techniques, and criminal organizations involved. This allows Philippine authorities to trace the movement of illicit funds across borders and build stronger cases.
**Mutual Legal Assistance Treaties (MLATs):**
* The Philippines has MLATs with many countries. These treaties establish a legal framework for countries to assist each other in criminal investigations and prosecutions.
* For instance, an MLAT might allow Philippine authorities to request bank records or witness testimony from another country relevant to a money laundering case.
**Recovery of Laundered Assets:**
* International agreements also facilitate the recovery of assets stolen or laundered across borders. The Philippines can utilize these mechanisms to recover funds hidden in foreign bank accounts.
**Challenges and Limitations:**
* Despite these benefits, international cooperation can be complex due to differences in national laws and procedures. * Extradition of suspects or execution of foreign warrants can be lengthy processes.
**Overall Impact:**
* International laws and treaties strengthen Philippine efforts to combat cross-border money laundering by:
* Enhancing information sharing and investigation capabilities.
* Facilitating the recovery of stolen or laundered assets.
**Note:** This is a simplified explanation. Specific details and the effectiveness of these mechanisms depend on the treaties involved and the cooperating countries.</t>
  </si>
  <si>
    <t>Paano nakakaapekto ang mga internasyonal na batas at kasunduan sa mga kaso na kinasasangkutan ng cross-border money laundering?</t>
  </si>
  <si>
    <t>Can you explain the concept of "structuring" in the context of money laundering charges?</t>
  </si>
  <si>
    <t>In the Philippines, structuring refers to a tactic used by criminals to launder money through the Anti-Money Laundering Act (RA 9160). Here's a breakdown of the concept:
* **What is it?** Structuring involves deliberately breaking down large sums of money into smaller deposits or transactions below the reporting threshold set by the Anti-Money Laundering Council (AMLC). In the Philippines, this threshold is typically any cash transaction exceeding Php 50,000.
* **Why do criminals do it?** The goal of structuring is to evade detection by authorities. By splitting large amounts into smaller deposits, criminals aim to avoid triggering Suspicious Activity Reports (SARs) that financial institutions are required to file for transactions exceeding the threshold.
* **How is it illegal?** RA 9160 criminalizes not only money laundering itself but also any act intended to avoid reporting requirements. Structuring falls under this category because its purpose is to conceal the true source and amount of the funds.
* **Examples of Structuring:**
* A criminal breaks down Php 1 million into multiple deposits of Php 49,000 each over several days or weeks at different bank branches.
* Someone divides illegal drug profits into smaller amounts and has various associates deposit them into their accounts.
* **How to Avoid Unintentional Structuring:** If you have a legitimate reason to deposit a large sum of cash, such as selling a car or receiving an inheritance, it's best to explain this to your bank beforehand. This can help avoid any misunderstandings or suspicions.
**Important Reminders:**
* Structuring itself doesn't necessarily prove money laundering. However, it's a red flag that can trigger further investigation.
* If you suspect someone is involved in structuring or money laundering, you can report it to the AMLC.
**Disclaimer:** This explanation is for informational purposes only and shouldn't be considered legal advice. If you have any concerns about structuring or money laundering, consulting a lawyer is recommended.</t>
  </si>
  <si>
    <t>Maaari mo bang ipaliwanag ang konsepto ng "istruktura" sa konteksto ng mga singil sa money laundering?</t>
  </si>
  <si>
    <t>Are there any specific industries or sectors that are more closely scrutinized for potential money laundering activities?</t>
  </si>
  <si>
    <t>Yes, in the Philippines, there are certain industries and sectors considered high-risk for money laundering activities and are therefore more closely scrutinized by authorities under the Anti-Money Laundering Act (RA 9160). Here's a breakdown:
**High-Risk Sectors:**
* **Financial Institutions:** Banks, money remittance services, foreign exchange dealers, and casinos are all under strict regulations due to their role in handling large sums of money. They are required to report suspicious transactions and implement customer due diligence (CDD) measures to verify the identity and source of funds.
* **Remittance and Money Service Businesses:** These businesses handle a significant amount of money transfers, making them vulnerable to exploitation by criminals. They are required to register with the Bangko Sentral ng Pilipinas (BSP) and comply with AML/CFT (Anti-Money Laundering/Combating the Financing of Terrorism) regulations.
* **Dealers in Precious Metals and Stones:** Due to the high value and ease of transporting these items, they can be used to launder money. These businesses are required to register with the AMLC and report suspicious transactions.
* **Real Estate:** The real estate sector can be attractive for money laundering because of large cash transactions involved in property purchases. Real estate developers now fall under the AMLC's watch, and they are required to report suspicious transactions. * **Gaming Industry:** Casinos and online gambling platforms can be used to move large amounts of money quickly. The industry is subject to AML/CFT regulations, and casinos are required to report suspicious transactions exceeding Php 5 million.
**Additionally:**
* **Professionals:** Lawyers, accountants, and other professionals who deal with financial transactions may be subject to scrutiny if they are suspected of knowingly facilitating money laundering activities.
**Why Scrutiny is Important:**
* By closely monitoring these sectors, authorities can identify and disrupt money laundering schemes more effectively. * This helps to protect the integrity of the financial system and combat criminal activities.
**Remember:** This list is not exhaustive, and any business or individual involved in suspicious financial activities can be investigated.</t>
  </si>
  <si>
    <t>Mayroon bang anumang partikular na industriya o sektor na mas masusing sinusuri para sa mga potensyal na aktibidad ng money laundering?</t>
  </si>
  <si>
    <t>What are the reporting requirements for businesses to prevent money laundering?</t>
  </si>
  <si>
    <t>In the Philippines, the Anti-Money Laundering Act (RA 9160) and its implementing regulations set out reporting requirements for businesses to help prevent money laundering. Here's a breakdown of the key points:
* **Covered Institutions:** Businesses classified as "covered institutions" by the Bangko Sentral ng Pilipinas (BSP) or other regulating bodies are subject to these reporting requirements. This includes:
* Banks, quasi-banks, trust entities, pawnshops, and remittance service providers.
* Insurance companies and insurance brokers.
* Dealers in precious metals and stones. * Casinos and other gaming establishments.
* Real estate developers and brokers (as of 2013).
* Professionals like lawyers and accountants (in some cases).
* **Types of Reports:** Covered institutions must submit two main types of reports to the Anti-Money Laundering Council (AMLC):
1. **Covered Transactions:** These are transactions exceeding a certain amount in cash or its equivalent (currently Php 500,000 or more). The report must be filed within five working days from the transaction date.
2. **Suspicious Transactions:** These are transactions, regardless of amount, that raise red flags for potential money laundering activity. Examples include:
* Large cash transactions without a clear legitimate source.
* Structuring (breaking down large sums into smaller deposits).
* Unusual activity inconsistent with a customer's profile.
* **Customer Due Diligence (CDD):** Covered institutions are required to implement CDD measures to verify the identity and source of funds for their customers. This includes:
* **Customer Identification:** Obtaining and recording basic information like names, addresses, and identification documents for customers.
* **Risk Assessment:** Evaluating the customer's risk profile based on factors like business nature, transaction size and frequency, and geographical location.
* **Record Keeping:** Covered institutions must maintain comprehensive records of customer information, transactions, and CDD documentation for a specified period (usually five years).
* **Training:** Institutions are responsible for training their employees to recognize suspicious activity and understand their AML/CFT (Anti-Money Laundering/Combating the Financing of Terrorism) obligations.
**Importance of Reporting:**
* By promptly reporting suspicious activities and covered transactions, businesses play a crucial role in assisting authorities in detecting and preventing money laundering.
**Additional Resources:**
* Anti-Money Laundering Council (AMLC): [http://www.amlc.gov.ph/](http://www.amlc.gov.ph/)
* Bangko Sentral ng Pilipinas (BSP): [https://www.bsp.gov.ph/](https://www.bsp.gov.ph/)
**Disclaimer:** This is for informational purposes only and shouldn't be a substitute for professional guidance. For specific compliance requirements, consult with your designated regulating body or a lawyer specializing in AML/CFT.</t>
  </si>
  <si>
    <t>Ano ang mga kinakailangan sa pag-uulat para sa mga negosyo para maiwasan ang money laundering?</t>
  </si>
  <si>
    <t>How does the statute of limitations apply to cases involving money laundering?</t>
  </si>
  <si>
    <t>The Philippine legal system doesn't have a specific statute of limitations provision solely for money laundering under Republic Act No. 9160 (Anti-Money Laundering Act or AMLA). However, the statute of limitations for the underlying crime (the "predicate offense") from which the laundered money originated applies.
Here's a breakdown of how it works:
* **Money Laundering vs. Predicate Offense:** Money laundering involves concealing or disguising the source of funds derived from an illegal activity (predicate crime). * **Statute of Limitations and Predicate Crime:** Each crime in the Philippines has a specific statute of limitations outlined in the Revised Penal Code or special laws. This determines the timeframe within which charges must be filed.
For example:
* If the laundered money came from illegal drug trafficking (predicate offense), the applicable statute of limitations might be 20 years (depending on the specific drug offense). * In this case, authorities would have 20 years from the date of the drug trafficking offense to file charges for money laundering related to those funds. **Key Points:**
* The specific timeframe for filing money laundering charges depends on the underlying crime.
* There's no separate statute of limitations solely for money laundering itself.
**Additional Considerations:**
* **Complex Cases:** Money laundering cases can be complex, involving tracing the movement of funds and gathering evidence. This can extend the investigation period before charges are filed, even if within the statute of limitations.
* **Continuing Offense:** In some interpretations, money laundering can be considered a continuing offense. This means the statute of limitations might be reset if new evidence of laundering activity surfaces.
**Disclaimer:** This explanation is for informational purposes only and shouldn't be considered legal advice. For a comprehensive understanding of your specific situation, consulting a lawyer is highly recommended.</t>
  </si>
  <si>
    <t>Paano nalalapat ang batas ng mga limitasyon sa mga kaso na kinasasangkutan ng money laundering?</t>
  </si>
  <si>
    <t>What steps should I take if I suspect someone is engaging in money laundering?</t>
  </si>
  <si>
    <t>If you suspect someone is involved in money laundering in the Philippines, here are some steps you can take:
1. **Report it to the Authorities:** The primary action is to report your suspicions to the Anti-Money Laundering Council (AMLC). They are the lead agency in the Philippines for combating money laundering. You can file a report through their website [http://www.amlc.gov.ph/](http://www.amlc.gov.ph/) or their hotline at +632 886 5511.
2. **Gather Evidence (Optional):** While not required, having some evidence to support your suspicions can strengthen your report. This could include:
* Documents or records related to the suspicious activity (if obtainable legally and safely).
* Dates, times, and locations of transactions (if known).
* Any other details that might be helpful, like witness accounts (if applicable).
3. **Maintain Confidentiality:** It's best to keep your suspicions confidential to avoid jeopardizing the investigation.
4. **Protect Yourself:** If you fear retaliation for reporting, you can request confidentiality from the AMLC. They have mechanisms to protect the identity of informants.
**Alternative Channels:**
* You can also report suspicious activity to your bank or financial institution. They are obligated to report such activities to the AMLC.
**Important Reminders:**
* You are not required to have concrete proof of money laundering. Report any suspicions you have in good faith. * The AMLC will investigate the matter and determine if there's enough evidence to pursue a case.
* You are not liable if the accusations turn out to be unfounded, as long as you reported in good faith.
**Disclaimer:** This is for informational purposes only and shouldn't be a substitute for professional guidance. If you have further questions or need legal advice, consult a lawyer.</t>
  </si>
  <si>
    <t>Anong mga hakbang ang dapat kong gawin kung pinaghihinalaan kong may taong nakikibahagi sa money laundering?</t>
  </si>
  <si>
    <t>Can you explain how asset forfeiture laws might apply in cases of money laundering?</t>
  </si>
  <si>
    <t>In the Philippines, asset forfeiture laws are a powerful tool used to combat money laundering, as outlined in Republic Act No. 9160 (Anti-Money Laundering Act or AMLA) and related jurisprudence. Here's a breakdown of how it works:
**Concept of Asset Forfeiture:**
* In money laundering cases, asset forfeiture allows the government to seize and potentially take ownership of assets derived from, or used in connection with, unlawful activities.
* This applies not only to the laundered money itself but also to any properties or assets acquired through those funds.
**Types of Asset Forfeiture:**
* **Civil Forfeiture:** This is a civil case filed by the government against the asset itself, regardless of who owns it. The burden of proof lies with the government to show, by a preponderance of evidence (more likely than not), that the asset is connected to money laundering.
* **Criminal Forfeiture:** This is an accessory penalty imposed upon conviction for money laundering. The prosecution must prove beyond reasonable doubt that the assets were derived from or used in money laundering activities.
**Benefits of Asset Forfeiture:**
* Disrupts money laundering schemes by depriving criminals of the proceeds of their crimes.
* Deters future money laundering activities.
* Recovers funds that can be used for other purposes, such as funding law enforcement or victim restitution.
**Key Points to Consider:**
* **Innocent Third-Party Rights:** If a legitimate owner can demonstrate they acquired the asset in good faith and without knowledge of its connection to money laundering, they may be able to claim the asset.
* **Burden of Proof:** The burden of proof differs between civil and criminal forfeiture. Understanding this is crucial for the government and potential claimants.
* **Freezing Orders:** Authorities can freeze assets suspected to be linked to money laundering to prevent their disposal or transfer before a final forfeiture decision.
**Examples of Forfeited Assets:**
* Cash obtained from illegal activities.
* Properties purchased with laundered money.
* Luxury cars or other valuables acquired through illegal means.
**Disclaimer:** This explanation is for informational purposes only and shouldn't be considered legal advice. If you have any questions about asset forfeiture in your specific situation, consulting a lawyer is highly recommended.</t>
  </si>
  <si>
    <t>Maaari mo bang ipaliwanag kung paano maaaring ilapat ang mga batas sa pag-alis ng asset sa mga kaso ng money laundering?</t>
  </si>
  <si>
    <t>What role do financial institutions play in detecting and reporting potential instances of money laundering?</t>
  </si>
  <si>
    <t>Financial institutions in the Philippines play a crucial role in detecting and reporting potential money laundering activities, acting as the gatekeepers of the financial system under Republic Act No. 9160 (Anti-Money Laundering Act or AMLA). Here's how they contribute:
**Customer Due Diligence (CDD):**
* Banks and other covered institutions are required to implement CDD measures to verify the identity and source of funds for their customers. This includes:
* Obtaining and recording basic information like names, addresses, and identification documents.
* Assessing the customer's risk profile based on factors like business nature, transaction size and frequency, and geographical location. * By understanding their customers better, financial institutions can identify suspicious activity that might deviate from expected patterns.
**Transaction Monitoring:**
* Institutions are obligated to monitor customer transactions for any red flags that could indicate money laundering. This might involve:
* Large cash transactions without a clear legitimate source.
* Structuring (breaking down large sums into smaller deposits).
* Unusual activity inconsistent with a customer's profile (e.g., sudden surge in transactions for a low-income customer).
* Transactions involving high-risk countries or individuals.
**Suspicious Activity Reports (SARs):**
* If a financial institution detects a suspicious transaction, they are required to file a SAR with the Anti-Money Laundering Council (AMLC) within a specific timeframe (usually five working days). This report details the suspicious activity and provides relevant information to aid the AMLC's investigations.
**Compliance Programs:**
* Covered institutions must establish and maintain AML/CFT (Anti-Money Laundering/Combating the Financing of Terrorism) compliance programs. These programs include:
* Implementing policies and procedures to prevent money laundering.
* Training staff to recognize suspicious activity and understand their reporting obligations.
* Regularly reviewing and updating their AML/CFT program to adapt to evolving threats.
**Importance of Financial Institutions:**
* By effectively fulfilling these roles, financial institutions play a significant part in disrupting money laundering schemes and protecting the integrity of the financial system.
* Their cooperation with law enforcement is vital for investigating and prosecuting money laundering offenses.
**Additional Notes:**
* The Bangko Sentral ng Pilipinas (BSP) issues regulations and guidance for covered institutions on AML/CFT compliance.
* Failure to comply with these regulations can result in penalties for financial institutions.
**Disclaimer:** This explanation is for informational purposes only and shouldn't be a substitute for professional guidance. For specific details and legal requirements, consult with a lawyer or the BSP.</t>
  </si>
  <si>
    <t>Anong papel ang ginagampanan ng mga institusyong pampinansyal sa pagtukoy at pag-uulat ng mga potensyal na pagkakataon ng money laundering?</t>
  </si>
  <si>
    <t>How can I protect myself from inadvertently becoming involved in money laundering schemes?</t>
  </si>
  <si>
    <t>Here are some steps you can take to protect yourself from inadvertently becoming involved in money laundering schemes in the Philippines:
**Be Wary of Unusual Transactions:**
* **Large Cash Deposits or Withdrawals:** Avoid handling large sums of cash, especially if the source is unclear. Large cash transactions (pesos or foreign currency) can raise red flags for money laundering.
* **Unrealistic Investment Opportunities:** If someone offers high returns with little risk, be cautious. Money laundering schemes may use the promise of quick and easy money to lure people in.
* **Frequent Deposits of Small Amounts:** Structuring, which involves breaking down large sums into smaller deposits to avoid reporting thresholds, is a common tactic. Don't participate in such activities, even if requested by someone else. **Verify the Legitimacy of Businesses and Individuals:**
* **Research Companies or Individuals:** Before engaging in any financial transactions, especially with unfamiliar entities, do your research. Check their registration details and online reviews to get a sense of their reputation. **Maintain Transparency with your Bank:**
* **Explain Large Transactions:** If you have a legitimate reason for a large cash deposit or withdrawal, discuss it with your bank beforehand. This can help avoid misunderstandings or suspicions.
* **Report Suspicious Activity:** If you suspect someone is trying to involve you in money laundering, report it to your bank and the Anti-Money Laundering Council (AMLC).
**General Best Practices:**
* **Secure Your Personal Information:** Be careful about sharing your personal and financial information with others. This includes your bank account details, ID documents, and social security number.
* **Beware of Money Mules:** Money mules are people unknowingly used to transfer laundered money. Don't allow anyone to use your bank account to receive or send funds on their behalf. * **Use Reputable Financial Institutions:** Conduct your financial transactions through established and licensed banks or institutions. **Remember:**
* If something seems too good to be true, it probably is. * By being cautious and following these steps, you can significantly reduce the risk of getting involved in money laundering unknowingly.
**Disclaimer:** This explanation is for informational purposes only and shouldn't be considered legal advice. If you have any concerns or suspect money laundering activity, consulting a lawyer or reporting it to the AMLC is recommended.</t>
  </si>
  <si>
    <t>Paano ko mapoprotektahan ang aking sarili mula sa hindi sinasadyang pagkakasangkot sa mga scheme ng money laundering?</t>
  </si>
  <si>
    <t>Can you outline the process of conducting due diligence to prevent inadvertent involvement in money laundering?</t>
  </si>
  <si>
    <t>Here's a breakdown of how to conduct due diligence to minimize the risk of inadvertent involvement in money laundering activities in the Philippines:
**1. Understand the Red Flags:**
* Be familiar with common signs of money laundering. These include:
* Large cash transactions without a clear legitimate source.
* Frequent deposits of small amounts (structuring).
* Unrealistic investment opportunities with high returns and low risk.
* Requests to use your bank account to receive or send funds on someone else's behalf (money muling).
* Dealing with businesses or individuals with a poor reputation or unclear background.
**2. Gather Information:**
* **For Businesses:**
* Verify the business registration with the Securities and Exchange Commission (SEC) or Department of Trade and Industry (DTI). * Search online for reviews, news articles, and any relevant information about the company's reputation.
* **For Individuals:**
* If possible, verify their identity through government-issued IDs.
* Proceed with caution if they seem hesitant to provide basic information.
**3. Evaluate the Transaction:**
* **Purpose and Source of Funds:** Understand the purpose of the transaction and the source of the funds involved. * **Reasonableness:** Analyze if the transaction value aligns with the nature of the business or individual. * **Complexity:** Be wary of overly complex transactions or those involving multiple entities or jurisdictions.
**4. Document Everything:**
* Maintain a record of your due diligence efforts, including:
* Information obtained about the business or individual.
* Copies of any identification documents verified.
* Communication records related to the transaction.
**5. Maintain Transparency with your Bank:**
* If you're unsure about a transaction or have concerns, discuss them openly with your bank. * Explain the nature of the transaction and the counterparty involved.
**6. Report Suspicious Activity:**
* If you suspect money laundering is involved, report it to the Anti-Money Laundering Council (AMLC) through their website [http://www.amlc.gov.ph/](http://www.amlc.gov.ph/) or hotline (+632 886 5511).
**Additional Tips:**
* Use established and reputable financial institutions for your transactions.
* Avoid dealing with individuals or businesses that pressure you to rush into transactions or avoid standard procedures. * If something seems too good to be true, it probably is. Trust your gut instinct.
**Disclaimer:** This explanation is for informational purposes only and shouldn't be considered legal advice. For complex situations or if you have any doubts, consulting a lawyer is highly recommended.</t>
  </si>
  <si>
    <t>Maaari mo bang balangkasin ang proseso ng pagsasagawa ng angkop na pagsusumikap upang maiwasan ang hindi sinasadyang pagkakasangkot sa money laundering?</t>
  </si>
  <si>
    <t>How does the use of cryptocurrencies impact the detection and prosecution of money laundering cases?</t>
  </si>
  <si>
    <t>Cryptocurrencies introduce both challenges and opportunities in detecting and prosecuting money laundering cases in the Philippines. Here's a breakdown of both sides:
**Challenges of Cryptocurrencies for Money Laundering Detection:**
* **Pseudonymity:** Many cryptocurrencies offer a degree of anonymity. While transactions are recorded on a public ledger (blockchain), user identities are often masked by wallet addresses. This makes it harder to trace the movement of funds and identify the people involved.
* **Decentralization:** Cryptocurrencies operate on decentralized networks without a central authority. This makes it difficult for traditional financial regulations and AML/CFT (Anti-Money Laundering/Combating the Financing of Terrorism) controls to be directly applied.
* **Cross-border Transactions:** Crypto transactions can easily transcend borders, making it complex for national authorities to track and investigate suspicious activity, especially if cooperation between countries is limited.
* **Mixing Services:** Criminals can use cryptocurrency mixing services to further anonymize transactions by mingling laundered funds with legitimate ones, making them even harder to trace.
**Opportunities Cryptocurrencies Present for Money Laundering Detection:**
* **Transparency:** Blockchain technology provides a permanent and transparent record of all transactions. While user identities might be hidden, the movement of funds can still be tracked on the blockchain. Law enforcement agencies are developing tools to analyze blockchain data and identify suspicious patterns.
* **Immutability:** Transactions on the blockchain are irreversible, making it difficult for criminals to erase their tracks. This provides a valuable audit trail for investigators.
* **Regulation:** The Philippines, like many countries, is working on regulations for cryptocurrency exchanges and service providers. This can help identify and monitor suspicious activity within these platforms.
**Overall Impact:**
* Cryptocurrencies pose new challenges for detecting and prosecuting money laundering.
* However, law enforcement agencies are developing techniques to utilize the transparency and immutability of blockchain technology for investigations. * Effective regulation of cryptocurrency businesses is crucial in combating money laundering in this evolving space.
**Additional Notes:**
* The impact of cryptocurrencies on money laundering is still evolving.
* International cooperation between countries and law enforcement agencies is essential for effectively combating money laundering involving cryptocurrencies.
**Disclaimer:** This explanation is for informational purposes only and shouldn't be considered legal advice. If you have any concerns about money laundering or cryptocurrencies, consulting a lawyer is recommended.</t>
  </si>
  <si>
    <t>Paano nakakaapekto ang paggamit ng mga cryptocurrencies sa pagtuklas at pag-uusig sa mga kaso ng money laundering?</t>
  </si>
  <si>
    <t>Can you explain the concept of "layering" in the context of money laundering schemes?</t>
  </si>
  <si>
    <t>Layering is the second stage of money laundering, following placement. In this stage, criminals aim to obscure the origin of the illegal funds and make them appear legitimate. Here's a breakdown of how layering works:
* **Goal of Layering:** The main objective is to distance the laundered money from its criminal source. By moving the funds through a series of complex financial transactions, the illegal origins become difficult to detect.
* **Methods Used in Layering:** There are various methods criminals use to layer money, including:
* **Smurfing:** Breaking down large sums of cash into smaller deposits below reporting thresholds across multiple bank accounts.
* **Structuring:** Dividing large transactions into numerous smaller ones to avoid triggering Suspicious Activity Reports (SARs) required by financial institutions.
* **Shell Companies:** Utilizing fictitious businesses to create fake transactions and invoices that legitimize the movement of funds.
* **Casinos:** Converting illicit cash into casino chips, gambling winnings (even small wins), and then cashing out to appear legitimate.
* **Trade-Based Money Laundering:** Over or under-invoicing goods or services in international trade transactions to move money illegally.
* **Cryptocurrencies:** Using cryptocurrency exchanges or mixing services to anonymize transactions and hide the source of funds.
* **Impact of Layering:** Each layer adds complexity to the financial trail, making it more challenging for authorities to track the origin of the funds and connect them back to the underlying criminal activity.
* **Importance of Layering:** Layering is a crucial stage in money laundering schemes. Without effectively layering the funds, criminals risk detection and authorities can more easily link the money back to its illegal source. **Remember:**
* The more layers involved, the more challenging it becomes to trace the dirty money.
* Law enforcement agencies use sophisticated techniques to analyze financial transactions and identify layering activity. **Disclaimer:** This explanation is for informational purposes only and shouldn't be considered legal advice. If you suspect money laundering activity, report it to the proper authorities.</t>
  </si>
  <si>
    <t>Maaari mo bang ipaliwanag ang konsepto ng "layering" sa konteksto ng mga scheme ng money laundering?</t>
  </si>
  <si>
    <t>What is tax evasion, and how does it differ from tax avoidance?</t>
  </si>
  <si>
    <t>Tax evasion and tax avoidance are both strategies to reduce your tax burden, but they fall on opposite sides of the legal spectrum. Here's a breakdown of the key differences:
**Tax Evasion:**
* **Definition:** Tax evasion is the **illegal** act of deliberately concealing income or information from tax authorities to reduce your tax liability. It involves actively misleading the government about your finances. * **Methods:** Common methods of tax evasion include:
* Underreporting income (wages, interest, self-employment income, etc.)
* Failing to file tax returns altogether
* Creating fake deductions or credits
* Hiding assets or income in offshore accounts
* **Penalties:** Tax evasion is a serious crime with harsh consequences. If caught, you could face:
* Significant fines * Imprisonment
* Back taxes, interest, and penalties
**Tax Avoidance:**
* **Definition:** Tax avoidance is a **legal** strategy that uses permissible methods to minimize your tax liability. It involves taking advantage of tax breaks, deductions, and loopholes allowed by the tax code.
* **Methods:** Legitimate tax avoidance strategies include:
* Maximizing deductions for charitable contributions, mortgage interest, and other qualified expenses
* Contributing to retirement accounts like IRAs or 401(k)s where contributions grow tax-deferred
* Investing in tax-advantaged accounts
* Utilizing tax breaks for specific industries or business structures
* **Benefits:** Tax avoidance allows you to keep more of your hard-earned money. It's a smart financial strategy as long as you stay within the legal boundaries set by the tax code.
**Key Differences:**
The main distinction lies in **legality** and **intent**:
* **Legality:** Tax avoidance is legal, while tax evasion is a crime.
* **Intent:** Tax avoidance aims to minimize taxes legally, while tax evasion intentionally deceives authorities.
**The Line Between Avoidance and Evasion:**
* The line between avoidance and evasion can sometimes be blurry. * Aggressive tax avoidance schemes that exploit loopholes may trigger scrutiny from tax authorities. * It's crucial to consult with a tax professional to ensure your tax-saving strategies stay within legal boundaries.
**Remember:**
* There's nothing wrong with using tax avoidance strategies to reduce your tax burden. * However, it's essential to stay on the right side of the law and avoid crossing the line into illegal tax evasion.
**Disclaimer:** This explanation is for informational purposes only and shouldn't be considered tax advice. For specific tax strategies or questions, consult with a qualified tax professional.</t>
  </si>
  <si>
    <t>Ano ang pag-iwas sa buwis, at paano ito naiiba sa pag-iwas sa buwis?</t>
  </si>
  <si>
    <t>What are the potential consequences of being accused or convicted of tax evasion?</t>
  </si>
  <si>
    <t>The consequences of being accused or convicted of tax evasion in the Philippines can be severe, both financially and legally. Here's a breakdown of the potential repercussions:
**Financial Penalties:**
* **Back Taxes, Interest, and Penalties:** You'll be liable to pay the unpaid taxes you evaded, along with substantial interest and penalties that can accrue over time. These penalties can be significant and can easily double or triple the amount of the original tax owed.
* **Legal Fees:** Defending yourself against tax evasion charges can be expensive. Lawyer fees and court costs can add a significant financial burden.
**Legal Consequences:**
* **Imprisonment:** Depending on the severity of the offense, tax evasion can result in imprisonment. The potential jail time can range from a few months to several years. * **Criminal Record:** A conviction for tax evasion will leave a criminal record, which can have long-lasting consequences. It can affect your employment opportunities, professional licenses, and even your ability to travel to certain countries.
* **Reputational Damage:** A tax evasion charge or conviction can damage your reputation and public image.
**Additional Considerations:**
* **Civil Charges:** In some cases, the government may also pursue civil charges to recover the unpaid taxes and penalties.
* **Loss of Professional Licenses:** For professionals like lawyers, doctors, or accountants, tax evasion can lead to suspension or revocation of their licenses.
* **Difficulty Obtaining Loans or Credit:** A criminal record for tax evasion can make it difficult to obtain loans or credit in the future.
**The Severity of Consequences Depends on Several Factors:**
* **Amount of Unpaid Taxes:** The larger the amount of evaded taxes, the harsher the penalties are likely to be.
* **Intentionality:** If the tax evasion was deliberate and planned, the consequences will be more severe than if it was unintentional.
* **Cooperation with Authorities:** Showing cooperation and remorse by coming forward and disclosing tax evasion may lead to leniency from the authorities.
**Remember:**
Tax evasion is a serious offense with significant consequences. If you have any doubts about your tax filings or owe back taxes, it's crucial to consult with a tax professional immediately. They can help you develop a strategy to come clean and resolve the issue with the tax authorities to minimize the potential penalties.
**Disclaimer:** This explanation is for informational purposes only and shouldn't be considered legal advice. If you are facing tax evasion charges, consult with a lawyer specializing in tax law.</t>
  </si>
  <si>
    <t>Ano ang mga potensyal na kahihinatnan ng pagiging akusado o nahatulan ng pag-iwas sa buwis?</t>
  </si>
  <si>
    <t>Can you explain the legal implications of failing to report income accurately?</t>
  </si>
  <si>
    <t>In the Philippines, failing to report income accurately carries significant legal implications, ranging from penalties and additional taxes to potential criminal charges. Here's a breakdown of the consequences:
**Civil Penalties:**
* **Tax Deficiencies, Interest, and Surcharges:** The Bureau of Internal Revenue (BIR) will assess the unpaid taxes you should have declared. This includes income tax, penalties, and interest that accrues on the unpaid amount over time. These additional charges can significantly increase your tax burden.
**Possible Criminal Charges:**
* **Tax Evasion:** If the BIR determines you intentionally concealed income or misled them about your finances, you could face criminal charges for tax evasion. This is a serious offense punishable by:
* Imprisonment: Depending on the severity of the case, jail time can range from a few months to several years.
* Fines: Significant fines may be imposed on top of any back taxes owed.
**Factors Affecting Charges:**
The likelihood and severity of criminal charges depend on several factors, including:
* **Amount of Unreported Income:** The larger the amount of undeclared income, the higher the chance of facing criminal prosecution.
* **Intentionality:** Deliberate attempts to hide income will likely lead to harsher consequences than unintentional mistakes.
* **Cooperation with Authorities:** Coming forward voluntarily to disclose the unreported income and cooperating with the BIR investigation may result in leniency.
**Other Potential Repercussions:**
* **Reputational Damage:** A public accusation or conviction for tax-related offenses can damage your reputation and public image.
* **Difficulty Obtaining Loans or Credit:** A criminal record can make it challenging to secure loans or credit in the future.
* **Professional License Issues:** For professionals like accountants or lawyers, tax offenses might lead to suspension or revocation of their licenses.
**How to Avoid Issues:**
* **Accurate Recordkeeping:** Maintain clear and organized records of your income and expenses to ensure accurate tax filing.
* **Consult a Tax Professional:** If you have any doubts about your tax obligations or how to report your income, seek guidance from a qualified tax professional. They can advise you on the best course of action and help you stay compliant with tax regulations.
**Disclaimer:** This explanation is for informational purposes only and shouldn't be considered legal advice. If you have concerns about unreported income or face tax-related issues, consulting a lawyer specializing in tax law is highly recommended.</t>
  </si>
  <si>
    <t>Maaari mo bang ipaliwanag ang mga legal na implikasyon ng hindi pag-uulat ng kita nang tumpak?</t>
  </si>
  <si>
    <t>How can I determine if I'm at risk of committing tax evasion unintentionally?</t>
  </si>
  <si>
    <t>Here are some signs that you might be at risk of unintentionally committing tax evasion in the Philippines:
**Unfamiliarity with Tax Laws:**
* **Lack of Knowledge:** If you're new to filing taxes or unsure about the specific tax regulations that apply to your income sources, you might unintentionally miss reporting certain types of income.
* **Complexities in Tax Code:** The Philippine tax code can be complex, with various deductions, exemptions, and tax rates depending on your income type and situation. Unfamiliarity with these nuances can lead to errors.
**Poor Recordkeeping:**
* **Incomplete or Inaccurate Records:** Without clear and organized records of your income and expenses, it's difficult to ensure accurate tax filing. Missing receipts or neglecting to track income streams can lead to unintentional omissions.
* **Mixing Personal and Business Finances:** For self-employed individuals or those running small businesses, intermingling personal and business finances can make it challenging to separate taxable business income from personal expenses. **Changes in Your Financial Situation:**
* **New Income Sources:** Starting a new job, receiving freelance income, or having rental income for the first time may require adjusting your tax filing procedures. If you're unaware of the reporting requirements for these new income streams, you might miss filing the necessary tax forms.
* **Selling Assets:** Capital gains from selling properties, stocks, or other assets may be taxable depending on the situation. Not understanding the tax implications of such transactions can lead to unintentional underreporting.
**Common Mistakes:**
* **Failing to Report All Income:** This includes income from side hustles, freelance work, rental properties, or any earnings you receive.
* **Incorrect Classification of Income:** Misclassifying income (e.g., salary vs. business income) can lead to applying the wrong tax rates or missing out on deductions.
* **Claiming Incorrect Deductions or Credits:** Taking deductions or tax credits that you don't qualify for can trigger scrutiny from the Bureau of Internal Revenue (BIR).
**How to Minimize the Risk:**
* **Educate Yourself:** Learn the basics of tax filing in the Philippines. The BIR website offers resources and guides for taxpayers. * **Consult a Tax Professional:** If you have any doubts or complexities in your tax situation, consider seeking guidance from a qualified tax professional. They can ensure you're filing accurately and advise you on maximizing deductions and credits you qualify for.
* **Maintain Good Records:** Keep clear and organized records of all your income sources and relevant expenses throughout the year. This will make filing your taxes much easier and reduce the risk of errors.
* **File on Time:** Even if you owe taxes, it's crucial to file your tax return on time to avoid penalties for late filing.
**Remember:**
The Bureau of Internal Revenue (BIR) offers a voluntary disclosure program that allows taxpayers to disclose previously unreported income and pay any taxes owed with reduced penalties. This program can be a helpful option if you realize you've made unintentional mistakes in your past tax filings.
**Disclaimer:** This explanation is for informational purposes only and shouldn't be considered legal advice. If you have concerns about your tax situation or suspect you might have unreported income, consulting a lawyer specializing in tax law is highly recommended.</t>
  </si>
  <si>
    <t>Paano ko malalaman kung nasa panganib akong gumawa ng pag-iwas sa buwis nang hindi sinasadya?</t>
  </si>
  <si>
    <t>What are some common methods individuals inadvertently engage in tax evasion?</t>
  </si>
  <si>
    <t>Here are some common ways individuals unintentionally commit tax evasion in the Philippines:
**Unfamiliarity with Tax Laws:**
* **Missing Income Types:** People new to filing taxes or unaware of specific regulations might miss reporting certain income sources. This could include:
* Freelance income from online gigs or side hustles.
* Rental income from properties.
* Interest earned on savings accounts or investments.
* Stock dividends or capital gains from selling assets.
* **Incorrect Tax Brackets or Rates:** Not understanding the applicable tax brackets or rates for your income level can lead to miscalculations and underpayment of taxes.
**Poor Recordkeeping Practices:**
* **Incomplete or Missing Records:** Without proper documentation of income and expenses, it's difficult to ensure accurate tax filing. This can lead to:
* Missing receipts or invoices for deductible business expenses.
* Inaccurate tracking of income streams, especially for cash-based businesses.
* Difficulty separating personal and business finances for self-employed individuals.
* **Shoebox Method:** Simply collecting receipts and throwing them in a box makes it challenging to categorize and analyze them come tax season. **Neglecting to File Necessary Forms:**
* **Not Registering for Taxes:** Individuals starting a business or receiving freelance income might forget to register with the Bureau of Internal Revenue (BIR) and obtain the necessary tax identification numbers.
* **Missing Specific Forms:** Depending on your income sources, you might need to file additional forms beyond the standard income tax return (e.g., for fringe benefits, stock transactions, etc.).
**Claiming Incorrect Deductions or Credits:**
* **Unqualified Deductions:** Claiming deductions for expenses you're not eligible for can raise red flags with the BIR. * **Misinterpreting Deduction Rules:** Not understanding the specific requirements for claiming deductions (e.g., home office deductions, travel expenses) can lead to errors.
* **Exaggerating Expenses:** Inflating the amount of deductible expenses can be tempting, but it increases the risk of getting audited.
**Common Mistakes:**
* **Ignoring 13th Month Pay and Bonuses:** These are taxable income sources and need to be declared in your tax return.
* **Forgetting About Gifts and Donations:** While not all gifts are taxable, understanding the rules around receiving large gifts or donations is crucial.
* **Mixing Business and Personal Use of Assets:** Using a personal vehicle for business purposes requires proper recordkeeping to claim appropriate deductions.
**Remember:**
These are just some common examples. Intention is a key factor in tax evasion. If you unintentionally made mistakes, the BIR offers a voluntary disclosure program to rectify the situation with reduced penalties.
**Disclaimer:** This explanation is for informational purposes only and shouldn't be considered legal advice. If you have concerns about your tax situation or suspect you might have unreported income, consulting a lawyer specializing in tax law is highly recommended.</t>
  </si>
  <si>
    <t>Ano ang ilang karaniwang paraan na hindi sinasadya ng mga indibidwal sa pag-iwas sa buwis?</t>
  </si>
  <si>
    <t>How does the statute of limitations apply to tax evasion cases?</t>
  </si>
  <si>
    <t>The statute of limitations for tax evasion cases in the Philippines is defined by the Tax Code, specifically Republic Act No. 8424 (Tax Code of 1997). Here's a breakdown of the relevant sections:
* **General Rule (Section 203):** The Bureau of Internal Revenue (BIR) generally has **three (3) years** to assess internal revenue taxes. This period is counted from the last day prescribed by law for filing the tax return or from the day the return was filed, whichever is later (Section 203(2)).
* **Exception: Fraud or Failure to File (Section 222):** If the BIR discovers a **false or fraudulent return with intent to evade tax** or there is a complete **failure to file a return**, the assessment period is extended to **ten (10) years** after the discovery of the falsity, fraud, or omission (Section 222(a)).
* **Collection of Taxes (Section 222):** The BIR generally has **five (5) years** to collect taxes after the assessment is made or after the return is filed (Section 222(c)). There are provisions for extending this period through written agreements or court actions.
**In summary:**
* For regular tax assessments, the BIR has 3 years.
* For tax evasion through fraudulent returns or failure to file, the BIR has 10 years after discovery.
* The BIR generally has 5 years to collect taxes after assessment or filing.
Remember, this is a simplified explanation. For a complete understanding, it's always best to consult a lawyer specializing in Philippine tax law.</t>
  </si>
  <si>
    <t>Paano nalalapat ang batas ng mga limitasyon sa mga kaso ng pag-iwas sa buwis?</t>
  </si>
  <si>
    <t>What should I do if I suspect I've been underreporting income or assets?</t>
  </si>
  <si>
    <t>If you suspect you've underreported income or assets in the Philippines, here are some steps you can take under Philippine law:
1. **Voluntary Disclosure Program (VDP):** The BIR offers a VDP under Section 249 of the Tax Code. This program allows taxpayers to voluntarily disclose previously untaxed income or assets in exchange for reduced penalties and immunity from criminal prosecution. You can find details about the VDP on the BIR website [https://www.bir.gov.ph/](https://www.bir.gov.ph/).
2. **Consult a Tax Lawyer:** A qualified Philippine tax lawyer can advise you on the best course of action based on your specific situation. They can help you calculate the amount of tax owed, navigate the VDP process, or represent you in case of an audit. 3. **File Amended Tax Returns:** You can amend your previously filed tax returns to reflect the unreported income or assets. This demonstrates a good faith effort on your part to comply with tax laws.
**Important Note:** These are general steps, and the best course of action may vary depending on your situation. The earlier you address the issue, the better. Consulting with a tax lawyer can help you determine the most appropriate approach under Philippine law.</t>
  </si>
  <si>
    <t>Ano ang dapat kong gawin kung pinaghihinalaan kong kulang ako sa pag-uulat ng kita o mga asset?</t>
  </si>
  <si>
    <t>How can I legally minimize my tax liability without crossing into evasion territory?</t>
  </si>
  <si>
    <t>Philippine law allows for responsible tax planning to minimize your tax liability. Here are some strategies based on Philippine tax laws:
**Take Advantage of Deductions and Credits:**
* **PH Constitution, Article VI, Section 28(2):** The Constitution allows the levy of taxes "subject to such limitations, exemptions, and classifications as are provided by law." This means you can utilize legal deductions and credits offered by the Tax Code.
* **Tax Code (RA 8424):** The Tax Code outlines various deductible expenses for individuals and businesses, such as:
* Business-related expenses (e.g., rent, utilities, travel)
* Medical expenses
* Charitable donations (with limitations)
* **Tax Credits:** Certain tax credits can further reduce your tax liability. Research available credits based on your situation (e.g., for dependents, minimum wage earners).
**Maximize Tax-Exempt Income:**
* **Tax Code (RA 8424):** Certain types of income are exempt from taxation. Explore these exemptions to reduce your taxable income. Examples include:
* Some retirement benefits
* Interest income on certain government securities
* Gains on sale of principal residence (under specific conditions)
**Consider Legitimate Business Structures:**
* **Corporation Code (RA 11232):** Choosing the right business structure (sole proprietorship, partnership, corporation) can impact your tax liability. Consult a professional to understand the tax implications of each structure.
**Important Reminders:**
* **Always Maintain Proper Records:** Keep receipts, invoices, and other documentation to support your deductions and credits. This is crucial in case of an audit by the Bureau of Internal Revenue (BIR).
* **Seek Professional Advice:** Consulting a tax lawyer or accountant familiar with Philippine tax laws is highly recommended. They can guide you on strategies that comply with regulations and minimize your tax burden.
**Remember:** There's a clear distinction between tax avoidance (legal minimization) and tax evasion (illegal methods to escape taxes). Always prioritize ethical and legal methods when reducing your tax liability.</t>
  </si>
  <si>
    <t>Paano ko ligal na mababawasan ang aking pananagutan sa buwis nang hindi tumatawid sa teritoryo ng pag-iwas?</t>
  </si>
  <si>
    <t>What are the responsibilities of individuals regarding reporting foreign income or assets?</t>
  </si>
  <si>
    <t>Here's a breakdown of individual responsibilities regarding reporting foreign income or assets in the Philippines, based on Philippine law:
**Tax Code (RA 8424):**
* **Residency vs. Domicile:** The Philippines taxes residents and citizens on their **worldwide income**, regardless of the source (including foreign income). Residency is determined by physical presence, while domicile refers to one's permanent home.
* **Reporting Requirements:** Filipino residents, regardless of citizenship, and citizens with Philippine domicile are required to report all foreign income and assets in their tax return. This includes:
* Income earned abroad (e.g., salary, investment income)
* Foreign bank accounts
* Foreign investments (e.g., stocks, bonds)
* **Forms and Schedules:** The Bureau of Internal Revenue (BIR) requires specific forms and schedules for reporting foreign income and assets. These may include:
* BIR Form 1701 (Income Tax Return for Individuals) with Schedule D (for income derived from sources outside the Philippines)
* BIR Form 1706 (Statement of Assets and Liabilities) **Penalties for Non-Compliance:**
* **Failure to File or Report:** Penalties exist for failing to file a tax return or report foreign income and assets. These can include surcharges, interest on unpaid taxes, and even criminal prosecution.
**Additional Resources:**
* **BIR website:** The BIR website ([https://www.bir.gov.ph/](https://www.bir.gov.ph/)) provides information on tax forms, schedules, and specific requirements for reporting foreign income and assets.
* **Tax professionals:** Consulting a tax lawyer or accountant specializing in Philippine tax law is highly recommended. They can provide specific guidance based on your individual circumstances and ensure you comply with reporting requirements.
Remember, this is a general overview. Philippine tax laws can be complex, and the best course of action might vary depending on your situation. Consulting with a tax professional can ensure accurate reporting and avoid any potential penalties.</t>
  </si>
  <si>
    <t>Ano ang mga responsibilidad ng mga indibidwal tungkol sa pag-uulat ng dayuhang kita o mga ari-arian?</t>
  </si>
  <si>
    <t>How does the IRS or tax authority typically investigate potential cases of tax evasion?</t>
  </si>
  <si>
    <t>The Philippines has its own tax authority, the Bureau of Internal Revenue (BIR), which handles tax investigations. The IRS is the relevant agency in the United States, so I can't provide information specific to their procedures. Here's what you can expect from a BIR investigation in the Philippines:
**Initial Scrutiny:**
* **Discrepancies and Red Flags:** BIR may initiate an investigation based on red flags in your tax return. This could include inconsistencies, missing information, or significant deductions compared to your income.
* **Third-Party Information:** BIR can obtain information from third parties like banks, employers, and government agencies to verify your income and assets.
**Investigation Process:**
* **Document Requests:** BIR may request additional documentation to support your tax return entries, such as receipts, invoices, and bank statements.
* **Examinations and Audits:** BIR may conduct examinations or audits to delve deeper into your financial situation. This may involve interviews and analysis of your financial records.
* **Undercover Operations (In Rare Cases):** For complex cases, BIR's Criminal Investigation Division might use undercover operations to gather evidence.
**Possible Outcomes:**
* **Clean Bill:** If BIR finds your tax return compliant, the investigation is closed.
* **Tax Assessment:** If discrepancies are found, BIR may assess additional taxes, interest, and penalties.
* **Criminal Charges:** In severe cases of fraud or deliberate evasion, BIR may recommend criminal prosecution.
**Remember:**
* You have rights during an investigation. It's best to consult a tax lawyer who can advise you on responding to BIR inquiries and protecting your rights.
* Cooperation with BIR can lead to a more favorable outcome.
While I cannot disclose specific investigative techniques, this should give you a general idea of how the BIR might approach a potential tax evasion case in the Philippines.</t>
  </si>
  <si>
    <t>Paano karaniwang sinisiyasat ng IRS o awtoridad sa buwis ang mga potensyal na kaso ng pag-iwas sa buwis?</t>
  </si>
  <si>
    <t>Can tax evasion charges lead to criminal prosecution, and what are the associated penalties?</t>
  </si>
  <si>
    <t>Yes, tax evasion charges in the Philippines can definitely lead to criminal prosecution under the Tax Code (Republic Act No. 8424). Here's a breakdown of the relevant sections and potential penalties:
**Tax Evasion (Section 255):**
* This section defines tax evasion as willfully attempting to defeat or evade taxes through:
* False or fraudulent tax return
* Omission of income in the return
* Keeping a double set of books of accounts
* Destruction of accounting records
**Penalties (Section 256):**
* Imprisonment of **not less than two (2) years but not exceeding six (6) years** and a fine amounting to **not less than twice the amount of the tax evaded**
**Aggravated Tax Evasion (Section 256):**
* This applies when the tax evasion involves a large amount or is committed by a public official or employee. * Penalty: **Imprisonment of not less than six (6) years but not exceeding ten (10) years** and a fine amounting to **not less than four (4) times the amount of the tax evaded**
**Additional Considerations:**
* **Civil Liability:** On top of criminal penalties, the taxpayer will also be liable for the unpaid taxes, interest, and surcharges.
* **Pleas and Bargains:** The Philippine legal system allows for plea bargaining, where the accused may plead guilty to a lesser offense in exchange for a reduced sentence.
**Importance of Legal Counsel:**
Navigating tax evasion charges requires a skilled lawyer specializing in Philippine tax law. They can:
* Help you understand the charges and potential consequences
* Advise on the best course of action, including cooperation or defense strategies
* Represent you in court proceedings
Remember, this is a simplified explanation of a complex legal topic. The specific penalties and your legal options will depend on the details of your case. Consulting with a lawyer is crucial if you face tax evasion charges in the Philippines.</t>
  </si>
  <si>
    <t>Maaari bang humantong sa kriminal na pag-uusig ang mga singil sa pag-iwas sa buwis, at ano ang mga nauugnay na parusa?</t>
  </si>
  <si>
    <t>What role does intent play in determining whether an action constitutes tax evasion?</t>
  </si>
  <si>
    <t>Intent is a critical factor in determining tax evasion under Philippine law, specifically the Tax Code (Republic Act No. 8424). Here's why:
* **Section 253:** This section defines the crime of "Attempt to evade or defeat tax." It emphasizes **"willfully"** attempting to reduce tax liability through illegal means.
* **Wilful Act:** For an action to be considered tax evasion, it must be a **deliberate and intentional** act to evade taxes. Mere negligence or mistakes in filing tax returns wouldn't necessarily qualify as tax evasion.
* **Burden of Proof:** The BIR has the burden of proving that the taxpayer **willfully intended** to evade taxes. They need to establish evidence of deliberate actions to avoid tax obligations.
**Examples:**
* **Scenario 1 (Tax Evasion):** A businessman knowingly underreports his income by hiding a significant portion of his earnings in a secret bank account abroad. This act demonstrates deliberate intent to evade taxes.
* **Scenario 2 (Not Tax Evasion):** A new business owner makes a genuine mistake in calculating their tax deductions. This wouldn't necessarily be considered tax evasion if there's no evidence of intentional wrongdoing.
**Importance of Consulting a Lawyer:**
* Proving intent in tax evasion cases can be complex. A qualified Philippine tax lawyer can analyze your situation and determine if the BIR's accusations involve willful intent.
* **Disclosure and Cooperation:** In some cases, voluntary disclosure and cooperation with the BIR can help demonstrate a lack of willful intent and potentially lead to a more lenient outcome.
Remember, tax laws can be intricate, and the best course of action depends on the specifics of your situation. If you face potential tax evasion charges, consulting with a lawyer is essential to understand your rights and explore potential defenses.</t>
  </si>
  <si>
    <t>Anong papel ang ginagampanan ng layunin sa pagtukoy kung ang isang aksyon ay bumubuo ng pag-iwas sa buwis?</t>
  </si>
  <si>
    <t>Are there any specific industries or professions more prone to tax evasion scrutiny?</t>
  </si>
  <si>
    <t>Yes, the Bureau of Internal Revenue (BIR) in the Philippines may dedicate more scrutiny to certain industries and professions due to a higher risk of tax evasion. Here's why:
**Industries with Higher Cash Transactions:**
* **Section 231 of the Tax Code (RA 8424):** This section empowers the BIR to require withholding taxes on certain transactions to ensure tax collection. However, industries with a high volume of cash transactions can make it easier to underreport income.
* **Examples:** Retail (especially small businesses), transportation (e.g., jeepneys, taxis), construction
**Professions with High Earning Potential and Flexible Income:**
* Difficulty in Tracking Income: Professions where income comes from various sources or involves cash payments can be harder for the BIR to track.
* **Examples:** Professionals like doctors, lawyers, consultants, freelancers, artists, athletes
**Industries with Potential for Underreporting Inventory:**
* **Tax Code (RA 8424):** The Tax Code has provisions for taxing inventory. However, some industries might underreport inventory levels to reduce their tax burden.
* **Examples:** Manufacturing, wholesale trade
**Red Flags for the BIR:**
While these are some examples, the BIR looks for specific red flags that indicate potential tax evasion. These can include:
* Significant discrepancies between reported income and lifestyle
* Unexplained large deposits or withdrawals
* Lack of proper bookkeeping records
* Failure to file tax returns
**Remember:**
* Just belonging to a high-risk industry doesn't guarantee scrutiny. However, it means the BIR might be more vigilant in examining your tax returns and financial activities.
* Maintaining proper records, accurately reporting income, and complying with tax regulations can help avoid unnecessary scrutiny.
**It's important to consult with a tax professional** familiar with your specific industry or profession for a more personalized assessment. They can advise you on best practices for tax compliance and minimize the risk of BIR scrutiny.</t>
  </si>
  <si>
    <t>Mayroon bang anumang partikular na industriya o propesyon na mas madaling masuri sa pag-iwas sa buwis?</t>
  </si>
  <si>
    <t>How do tax evasion cases typically unfold from investigation to resolution?</t>
  </si>
  <si>
    <t>Here's a general breakdown of how tax evasion cases might unfold in the Philippines, based on Philippine law:
**Initial Investigation (By the Bureau of Internal Revenue - BIR):**
* **Red Flags and Discrepancies:** The BIR may initiate an investigation based on red flags in your tax return or information from third parties (banks, employers). * **Document Requests:** BIR might request additional documentation to support your income and deductions (receipts, invoices, bank statements).
* **Examinations and Audits:** The BIR may conduct a more in-depth examination of your financial records, potentially including interviews and analyses.
**Possible Outcomes of BIR Investigation:**
* **Clean Bill:** If the BIR finds your tax return compliant, the investigation is closed.
* **Tax Assessment:** If discrepancies are found, the BIR may assess additional taxes, interest, and penalties. You might have the opportunity to contest this assessment.
**If BIR Suspects Tax Evasion:**
* **Case Referral:** If the BIR believes you intentionally evaded taxes, they may refer the case to their legal department for potential criminal prosecution.
**Criminal Investigation and Prosecution:**
* **Charges and Penalties:** The BIR can file criminal charges under the Tax Code (RA 8424), with penalties ranging from imprisonment and fines depending on the severity (See previous answers on penalties). * **Legal Representation:** Consulting a tax lawyer is crucial at this stage. They can advise on defense strategies, plea bargains (if applicable), and represent you in court.
**Resolution Options:**
* **Trial:** If you plead not guilty, the case goes to court, where both sides present evidence.
* **Plea Bargain:** In some cases, you might negotiate a plea bargain with the prosecution for a reduced sentence. * **Settlement:** You might reach a settlement with the BIR before trial, potentially involving payment of back taxes, penalties, and cooperation with authorities.
**Important Considerations:**
* The entire process can take months or even years, depending on the complexity of the case. * Cooperation with the BIR at any stage can potentially lead to a more favorable outcome.
* This is a simplified overview, and the specific course of your case will depend on the details and your legal strategy.
**Remember:** Consulting with a qualified Philippine tax lawyer throughout the process is crucial. They can guide you through your rights, potential defenses, and navigate the legal complexities of a tax evasion case.</t>
  </si>
  <si>
    <t>Paano karaniwang lumalabas ang mga kaso ng pag-iwas sa buwis mula sa pagsisiyasat hanggang sa paglutas?</t>
  </si>
  <si>
    <t>Can tax evasion charges affect my professional licenses or certifications?</t>
  </si>
  <si>
    <t>Yes, tax evasion charges in the Philippines can potentially affect your professional licenses or certifications. Here's how:
**Impact Depends on the Regulatory Body:**
* Different professions have their own regulatory bodies that oversee licensing and professional conduct. Each body might have its own policies regarding criminal charges.
* Some regulatory bodies might have specific clauses about tax-related offenses that could lead to license suspension, revocation, or disciplinary action.
**Examples:**
* **Professional Regulation Commission (PRC):** The PRC governs various professions (doctors, lawyers, engineers, etc.). While they don't have a specific clause on tax evasion, they can take disciplinary action for any criminal offense that reflects on the fitness or morality of a professional.
* **Securities and Exchange Commission (SEC):** The SEC regulates corporations and broker-dealers. A criminal conviction for tax evasion could potentially impact their professional licenses.
**General Considerations:**
* Even if the regulatory body doesn't explicitly mention tax evasion, a criminal conviction can still damage your reputation and public trust, potentially impacting your ability to practice your profession.
* Losing your license can have severe consequences for your career.
**Importance of Legal Counsel:**
A qualified Philippine lawyer specializing in your profession can provide specific guidance on how tax evasion charges might affect your licenses or certifications. They can:
* Research the relevant regulations of your governing body
* Advise on potential consequences and risks
* Develop a legal strategy to minimize the impact on your professional standing
**Remember:** This is a general overview, and the specific consequences depend on your profession, the regulatory body, and the details of your case. Consulting with a lawyer is crucial to understand the potential risks and protect your professional licenses or certifications.</t>
  </si>
  <si>
    <t>Maaapektuhan ba ng mga singil sa pag-iwas sa buwis ang aking mga propesyonal na lisensya o mga sertipikasyon?</t>
  </si>
  <si>
    <t>What are the potential civil penalties for tax evasion, and how are they assessed?</t>
  </si>
  <si>
    <t>In the Philippines, while criminal prosecution exists for tax evasion, the primary focus for tax authorities is recovering unpaid taxes and associated penalties. Here's a breakdown of the civil penalties for tax evasion under Philippine law (Tax Code, Republic Act No. 8424):
**1. Assessment of Deficiency Taxes:**
* If the Bureau of Internal Revenue (BIR) discovers underreported income or omitted taxes, they will assess the deficiency tax amount. This represents the taxes you should have originally paid.
**2. Surcharges:**
* In addition to deficiency taxes, the BIR imposes surcharges for late payment. These are typically a percentage of the unpaid tax amount, calculated from the due date of the return or payment.
**3. Interest:**
* Interest accrues on unpaid taxes from the prescribed due date until the full amount is settled. The interest rate is set by the BIR and can be quite high (currently 20% per annum or a higher rate as prescribed by regulations).
**4. Compromise Penalties:**
* In some cases, the BIR may offer a compromise on penalties, particularly if you cooperate with the investigation and voluntarily disclose tax deficiencies. This can lead to a reduction in the total amount of penalties owed.
**Assessment Process:**
* The BIR will typically issue a Letter of Assessment notifying you of any deficiency taxes, surcharges, and interest owed.
* You have the right to contest the assessment by filing a protest with the BIR within a specific timeframe.
* If the protest is denied, you can further elevate the case to the Court of Tax Appeals (CTA) for review.
**Remember:**
* These civil penalties are intended to compensate the government for the lost tax revenue and discourage tax evasion.
* The specific amounts of penalties will vary depending on the severity of the case and the extent of underpayment.
**It's important to consult with a tax lawyer** if you face a tax assessment or potential tax evasion charges. They can:
* Analyze the assessment and advise on contesting it
* Negotiate with the BIR for a compromise on penalties
* Represent you in case of disputes with the BIR or appeals to the CTA</t>
  </si>
  <si>
    <t>Ano ang mga potensyal na parusang sibil para sa pag-iwas sa buwis, at paano tinatasa ang mga ito?</t>
  </si>
  <si>
    <t>Should I disclose past instances of tax evasion to the IRS or relevant tax authorities?</t>
  </si>
  <si>
    <t>I can't definitively tell you whether or not you should disclose past tax evasion to the Philippine authorities. This is a complex legal situation and the best course of action depends on the specifics of your situation. However, I can provide some general information about voluntary disclosure programs in the Philippines that might be helpful:
* **The Bureau of Internal Revenue (BIR) offers a Voluntary Disclosure Program (VDP) under Section 249 of the Tax Code (Republic Act No. 8424).** This program allows taxpayers to voluntarily disclose previously untaxed income or assets in exchange for reduced penalties and immunity from criminal prosecution.
Here are some benefits of considering the VDP:
* **Reduced Penalties:** The VDP offers significant reductions in penalties compared to what you might face if the BIR discovers the tax evasion on their own.
* **Immunity from Criminal Prosecution:** Voluntary disclosure can shield you from criminal charges associated with tax evasion.
* **Peace of Mind:** Disclosing past tax liabilities can alleviate the stress and anxiety of potentially being caught by the BIR later.
However, there are also some limitations to consider:
* **Time Limits:** The BIR may impose time limits for availing of the VDP.
* **Full Disclosure Requirement:** To qualify for the program, you must make a complete and truthful disclosure of all undisclosed income and assets.
* **Not Guaranteed:** Acceptance into the VDP is not guaranteed. The BIR has the discretion to reject applications in certain cases.
**Consulting with a Tax Lawyer:**
Given the complexities involved, consulting with a qualified Philippine tax lawyer specializing in tax evasion is highly recommended. They can:
* Analyze your specific situation and determine if the VDP is the best option for you.
* Help you calculate the potential tax liabilities and penalties you might face.
* Guide you through the VDP process, ensuring complete and accurate disclosure.
* Represent you in your dealings with the BIR.
**Remember:** This is just a general overview. Philippine tax laws can be intricate, and the best course of action depends on the details of your situation. Consulting with a tax lawyer is crucial to make an informed decision and potentially benefit from the Voluntary Disclosure Program.</t>
  </si>
  <si>
    <t>Dapat ko bang ibunyag ang mga nakaraang pagkakataon ng pag-iwas sa buwis sa IRS o mga kaugnay na awtoridad sa buwis?</t>
  </si>
  <si>
    <t>Can tax evasion allegations arise from simple errors or misunderstandings?</t>
  </si>
  <si>
    <t>Yes, tax evasion allegations can sometimes arise from simple errors or misunderstandings in the Philippines. Here's why:
**Distinction between Error and Evasion:** * **Tax Evasion (Section 255 of the Tax Code):** This involves deliberate and intentional acts to evade taxes through false returns, omitting income, keeping double sets of books, or destroying accounting records.
* **Simple Errors:** These are unintentional mistakes made while filing tax returns. Here are some examples:
* **Math Errors:** Miscalculations in income, deductions, or tax computations.
* **Misinterpretations:** Confusion about tax rules or regulations. * **Missing Documentation:** Failure to include necessary receipts or invoices due to oversight.
**When Errors Lead to Allegations:**
* Even unintentional errors can trigger scrutiny from the Bureau of Internal Revenue (BIR) if they raise red flags. These can include significant discrepancies between reported income and lifestyle or unexplained large deposits.
* The BIR will investigate to determine if the errors were genuine mistakes or attempts to conceal taxable income. **Factors Considered by the BIR:**
* **History of Compliance:** A history of accurate tax filing can suggest that the current error is unintentional.
* **Cooperation with the BIR:** Being open and cooperative during the investigation demonstrates good faith.
* **Severity of the Error:** Minor errors are less likely to raise suspicion compared to substantial discrepancies.
**Importance of Addressing Errors:**
* If you discover an error in your tax return, it's crucial to file amended returns as soon as possible. This shows the BIR you're willing to rectify the mistake.
* Consulting a tax professional can help you identify and correct errors in your tax filing.
**Seeking Legal Counsel:**
If you face tax evasion allegations due to what you believe are simple errors, consulting a tax lawyer is recommended. They can:
* Help you gather evidence to demonstrate the unintentional nature of the mistake.
* Negotiate with the BIR on your behalf to minimize penalties.
* Represent you if the case goes to court (rare in cases of genuine errors).
**Remember:** While honest mistakes can occur, the BIR takes tax evasion seriously. If you have any concerns about your tax situation, it's always best to consult with a qualified tax professional to ensure you're filing accurately and avoid potential scrutiny.</t>
  </si>
  <si>
    <t>Maaari bang magmumula ang mga paratang sa pag-iwas sa buwis mula sa mga simpleng pagkakamali o hindi pagkakaunawaan?</t>
  </si>
  <si>
    <t>How can I protect myself from inadvertently becoming involved in someone else's tax evasion scheme?</t>
  </si>
  <si>
    <t>Here are some steps you can take to protect yourself from unknowingly participating in someone else's tax evasion scheme in the Philippines:
**Be Wary of Unrealistic Offers:**
* **Promises of Significantly Reduced Taxes:** If someone offers ways to drastically reduce your tax liability through methods that seem too good to be true, they probably are. Legitimate tax strategies aim to minimize your tax burden within the legal framework.
* **Unconventional Business Practices:** Be cautious of businesses or individuals proposing unusual payment structures, excessive use of cash transactions, or requests to hide income or assets.
**Do Your Research:**
* **Verify Business Legitimacy:** Before engaging with a company or individual for tax services, research their reputation and ensure they are registered with the Bureau of Internal Revenue (BIR). You can check the BIR's website ([https://www.bir.gov.ph/](https://www.bir.gov.ph/)) for authorized tax professionals.
* **Understand Tax Laws:** Having a basic understanding of Philippine tax laws and common deductions can help you identify potential red flags in proposed tax strategies.
**Maintain Clear Documentation:**
* **Detailed Records:** Keep proper records of all income, expenses, and tax-related documents. This will be crucial if you face scrutiny from the BIR, even if unintentional.
* **Written Agreements:** For any tax-related services, obtain written agreements that clearly outline the scope of work, fees, and any potential risks involved.
**Seek Professional Advice:**
* **Consult a Tax Lawyer or Accountant:** A qualified tax professional can provide guidance on legitimate tax planning strategies and help you avoid involvement in any schemes.
**Report Suspicious Activity:**
* **BIR Hotline:** If you suspect someone is engaging in tax evasion, you can report it to the BIR anonymously through their hotline or online channels.
**Remember:** Protecting yourself is crucial. By being cautious, informed, and seeking professional advice, you can minimize the risk of unwittingly becoming involved in someone else's tax evasion scheme.</t>
  </si>
  <si>
    <t>Anong mga hakbang ang maaari kong gawin kung naniniwala akong hindi ako patas na tinatarget para sa pag-iwas sa buwis?</t>
  </si>
  <si>
    <t>What documentation should I maintain to ensure compliance with tax laws and regulations?</t>
  </si>
  <si>
    <t>Here's a breakdown of the documentation you should maintain for tax compliance in the Philippines:
**Income Documents:**
* **Salary and Wage Statements (Form 2316):** If you're employed, keep copies of your Form 2316, which shows your annual income and taxes withheld by your employer.
* **Business Income Records:** For self-employed individuals or business owners, maintain records of all income sources, including sales receipts, invoices, and contracts.
* **Investment Income Statements:** Keep documentation for investment income like interest earned on deposits, dividends from stocks, or rental income from properties.
**Expense Documentation:**
* **Receipts and Invoices:** Retain receipts and invoices for all deductible business expenses, such as rent, utilities, travel, supplies, and repairs.
* **Proof of Payments:** Maintain records of loan payments, interest payments, charitable donations, and other deductible personal expenses (with limitations).
**Tax-Related Documents:**
* **Tax Returns:** Keep copies of your filed Income Tax Returns (ITRs) for at least five years (BIR requirement). * **Tax Payments:** Maintain records of tax payments, including receipts or confirmations from the BIR.
* **Correspondence with the BIR:** Keep copies of any communication you have with the BIR, including assessment notices, audit reports, and resolution documents.
**Other Important Documents:**
* **Proof of Identity:** Maintain copies of your government-issued IDs like passport, driver's license, or UMID card.
* **Proof of Ownership:** Keep documents related to assets like property titles, vehicle registrations, or investment certificates.
**Maintaining Good Records:**
* **Organization:** Store your documents in a safe and organized manner, either physically or electronically. This allows for easy retrieval during tax filing or potential audits.
* **Retention Period:** The BIR generally requires keeping records for at least five years from the date of filing your ITR. However, it's advisable to keep crucial documents like property titles for a longer period.
**Additional Tips:**
* **Digitalization:** Consider digitalizing your receipts and invoices for easier storage and accessibility.
* **Accounting Software:** For businesses, using accounting software can streamline expense tracking and record-keeping.
* **Consult a Tax Professional:** A tax professional can advise on specific documentation requirements based on your individual circumstances. Remember, proper record-keeping is essential for accurate tax filing and protects you in case of audits. By maintaining these documents, you can demonstrate compliance with tax laws and regulations in the Philippines.</t>
  </si>
  <si>
    <t>Anong dokumentasyon ang dapat kong panatilihin upang matiyak ang pagsunod sa mga batas at regulasyon sa buwis?</t>
  </si>
  <si>
    <t>Are there any legal tax strategies that are often mistaken for tax evasion by authorities?</t>
  </si>
  <si>
    <t>In the Philippines, there can be some confusion between legitimate tax strategies and tax evasion. Here are some legal tax strategies that might raise eyebrows with the Bureau of Internal Revenue (BIR) but are perfectly acceptable:
**Claiming All Allowable Deductions:**
* The BIR allows deductions for various business and personal expenses. However, some taxpayers might be hesitant to claim all eligible deductions fearing they'll seem excessive.
* **Example:** A business owner might avoid claiming legitimate travel expenses for fear of scrutiny. **Taking Advantage of Tax Exemptions:**
* The Philippine tax code offers exemptions for certain types of income, such as retirement benefits or interest on specific government securities. Utilizing these exemptions can significantly reduce your taxable income.
* **Example:** An individual might be hesitant to claim an exemption for retirement income, fearing the BIR will question the source.
**Maximizing Tax-Efficient Investments:**
* Investing in instruments like PAG-IBIG or SSS contributions can offer tax benefits and deductions. However, the BIR might scrutinize frequent or large contributions.
* **Example:** An individual might be hesitant to maximize PAG-IBIG contributions due to potential inquiries about the source of funds.
**Using Legitimate Business Structures:**
* Choosing the right business structure (sole proprietorship, partnership, corporation) can impact your tax liability. The BIR might scrutinize frequent changes in business structures.
* **Example:** A business owner might be hesitant to switch to a corporation if they fear the BIR will suspect them of trying to avoid taxes.
**Why Might These Strategies Trigger Scrutiny?**
* **Inconsistency:** Significant fluctuations in claimed deductions or sudden use of exemptions can raise red flags for the BIR. They might suspect you're hiding income or manipulating records.
* **Lack of Documentation:** Not having proper documentation to support your deductions and exemptions can make it difficult for the BIR to verify their legitimacy.
**How to Avoid Confusion:**
* **Consult a Tax Professional:** A qualified tax lawyer or accountant can advise on legitimate tax strategies and ensure you have the proper documentation to support your claims.
* **Maintain Transparency:** Be prepared to explain your tax strategies and provide documentation if the BIR requests them. * **Gradual Implementation:** Consider implementing tax strategies gradually, especially if they involve significant changes in deductions or exemptions.
Remember, the key is to be transparent, maintain proper records, and seek professional guidance to ensure your tax strategies are legal and minimize the risk of unnecessary scrutiny from the BIR.</t>
  </si>
  <si>
    <t>Mayroon bang anumang mga legal na diskarte sa buwis na kadalasang napagkakamalang pag-iwas sa buwis ng mga awtoridad?</t>
  </si>
  <si>
    <t>How do state tax laws differ from federal laws regarding tax evasion?</t>
  </si>
  <si>
    <t>While both federal and state governments have the authority to tax residents, there are some key differences in how they handle tax evasion:
**Jurisdiction:**
* **Federal:** Federal tax evasion laws apply to all taxpayers in the United States and are enforced by the Internal Revenue Service (IRS).
* **State:** Each state has its own tax code and can define and prosecute tax evasion for income earned within that state. This means you could potentially face charges from both federal and state authorities for the same act of tax evasion.
**Tax Rates and Brackets:**
* **Federal:** The federal government has a progressive tax system with multiple tax brackets. The higher your income, the higher the percentage you pay in taxes.
* **State:** States have various tax structures. Some use a flat tax rate for all income levels, while others have progressive systems with their own brackets and rates. These differences can create situations where someone might be evading state taxes but complying with federal tax laws (or vice versa).
**Penalties:**
* **Federal:** Federal tax evasion charges are considered felonies and can result in significant fines and imprisonment (up to 5 years for willful evasion). The IRS can also impose civil penalties and back taxes with interest.
* **State:** Penalties for state tax evasion can vary depending on the state. They might include fines, imprisonment (typically shorter sentences than federal charges), and interest on unpaid taxes.
**Focus and Resources:**
* **Federal:** The IRS has a broader scope and more resources dedicated to investigating tax evasion. They can leverage federal law enforcement agencies for complex cases.
* **State:** State tax authorities typically have smaller budgets and may focus on smaller-scale tax evasion within their jurisdiction.
**Disclosure Programs:**
* **Both federal and state governments offer voluntary disclosure programs** that allow taxpayers to come clean about past tax evasion in exchange for reduced penalties or immunity from prosecution. The specifics of these programs will vary by jurisdiction. **Overall:**
Tax evasion is a serious offense with significant consequences at both the federal and state levels. The differences in jurisdiction, tax structures, and penalties highlight the importance of understanding and complying with both federal and state tax laws. Consulting with a tax professional familiar with your specific situation is crucial if you have any questions or concerns.</t>
  </si>
  <si>
    <t>Paano naiiba ang mga batas sa buwis ng estado sa mga pederal na batas tungkol sa pag-iwas sa buwis?</t>
  </si>
  <si>
    <t>Can tax evasion charges affect my immigration status or citizenship application?</t>
  </si>
  <si>
    <t>Yes, tax evasion charges can potentially affect your immigration status or citizenship application in the Philippines. Here's why:
**Moral Turpitude:**
* Philippine immigration law considers tax evasion a crime involving "moral turpitude." This is a legal term for crimes that are considered inherently dishonest or base.
* A conviction for a crime involving moral turpitude can be grounds for:
* Denial of a visa application
* Deportation of a legal permanent resident (green card holder)
* Denial of a path to citizenship
**Severity of the Offense:**
* The impact on your immigration status depends on the severity of the tax evasion charges.
* **Minor Offenses:** Minor tax evasion charges, especially if resolved with penalties and no criminal conviction, might have less severe consequences.
* **Felony Convictions:** Felony convictions for tax evasion are more likely to result in deportation or denial of immigration benefits.
**Burden of Proof:**
* The burden of proof lies with the government to demonstrate that the crime involved moral turpitude. However, a tax evasion conviction can significantly complicate your immigration case.
**Waiver Possibility:**
* In some limited cases, waivers might be available for certain immigration benefits despite a conviction involving moral turpitude. However, this is complex and requires legal expertise.
**Importance of Legal Counsel:**
If you face tax evasion charges and are concerned about your immigration status, consulting with a qualified immigration lawyer is crucial. They can:
* Analyze the specific charges and potential consequences for your immigration case.
* Advise on strategies to minimize the impact, such as seeking a plea bargain or dismissal of charges. * Represent you in immigration proceedings if necessary.
* Help explore the possibility of waivers (if applicable) for your specific situation.
**Remember:** Immigration law is intricate, and the impact of tax evasion charges depends on the specifics of your case. Consulting with an immigration lawyer familiar with Philippine law is essential to understand your options and protect your immigration status.</t>
  </si>
  <si>
    <t>Maaapektuhan ba ng mga singil sa pag-iwas sa buwis ang aking katayuan sa imigrasyon o aplikasyon ng pagkamamamayan?</t>
  </si>
  <si>
    <t>What steps can I take if I believe I'm being unfairly targeted for tax evasion?</t>
  </si>
  <si>
    <t>Here are some steps you can take if you believe you're being unfairly targeted for tax evasion by the Bureau of Internal Revenue (BIR) in the Philippines:
**Gather Documentation:**
* **Tax Returns and Records:** Compile copies of your filed tax returns, supporting documents like receipts, invoices, and proof of income. This demonstrates your efforts at accurate filing.
* **Communication with BIR:** Keep records of any communication you've had with the BIR, including assessment notices, audit reports, and correspondence.
**Seek Professional Help:**
* **Tax Lawyer or Accountant:** A qualified tax professional can analyze the BIR's allegations, assess your situation, and advise on the best course of action.
* **Legal Representation:** If you face formal accusations, having a lawyer experienced in tax disputes with the BIR is crucial.
**Respond to the BIR:**
* **Do Not Ignore:** Ignoring inquiries from the BIR can worsen the situation. Respond promptly and professionally through your tax professional or lawyer.
* **Provide Explanation:** Explain any discrepancies or red flags identified by the BIR. Present evidence to support your tax filings and address their concerns.
* **Request Clarification:** If the BIR's accusations seem unclear, seek clarification on the specific aspects of your tax filing they are questioning.
**Consider Mediation:**
* **Voluntary Disclosure Program (VDP):** If applicable, consider the BIR's VDP program. This allows disclosure of past tax liabilities with reduced penalties and potential immunity from prosecution (consult a lawyer to see if you qualify).
* **Informal Resolution:** Your tax professional or lawyer might explore the possibility of informal negotiations with the BIR to resolve the issue without escalating to formal disputes. **Formal Dispute Resolution:**
* **Protest:** If the BIR issues a deficiency tax assessment, you can file a formal protest within a specific timeframe, outlining your objections and supporting evidence. * **Court of Tax Appeals (CTA):** If the BIR denies your protest, you can appeal to the Court of Tax Appeals for a review of the case.
**Remember:**
* **Maintain Open Communication:** Staying transparent and cooperative with the BIR throughout the process can demonstrate your willingness to address any issues.
* **Document Everything:** Keep detailed records of all interactions with the BIR, legal advice, and steps taken to resolve the situation.
* **Be Patient:** Tax disputes can take time, and navigating legal processes requires patience. The best course of action depends on the specifics of your situation. Consulting with a qualified tax professional and potentially a lawyer experienced in tax disputes with the BIR is crucial to protect your rights and ensure a fair resolution.</t>
  </si>
  <si>
    <t>How do tax evasion cases involving cryptocurrency or digital assets differ from traditional cases?</t>
  </si>
  <si>
    <t>Tax evasion cases involving cryptocurrency or digital assets can differ from traditional cases in several ways due to the relatively new and evolving nature of these assets:
**Challenges with Tracking Transactions:**
* **Decentralized Nature:** Unlike traditional financial institutions, cryptocurrency transactions often occur on decentralized networks, making them harder for authorities to track.
* **Anonymity:** While not completely anonymous, some cryptocurrencies offer greater anonymity compared to traditional bank accounts, making it potentially easier to conceal transactions.
* **Mixing Services:** Some cryptocurrency users employ mixing services to further obfuscate the origin and destination of their digital assets.
**Evolving Regulations:**
* **Unclear Tax Rules:** Tax regulations for cryptocurrency and digital assets are still under development in many jurisdictions, including the Philippines. This can lead to confusion and uncertainty for taxpayers.
* **Lack of Standardized Reporting:** There's currently no standardized reporting system for cryptocurrency transactions across all exchanges and platforms. This creates challenges for tax authorities in gathering complete information.
**BIR's Focus and Capabilities:**
* **Increasing Scrutiny:** The BIR is becoming increasingly aware of cryptocurrency and its potential for tax evasion. They are actively developing strategies to track and investigate crypto-related transactions.
* **Investing in Expertise:** The BIR might be investing in technology and expertise to improve their ability to track and analyze cryptocurrency transactions for tax purposes.
**Impact on Investigations and Evidence:**
* **Gathering Transaction Data:** The BIR might need to rely on information from cryptocurrency exchanges or platforms, which can be challenging due to privacy concerns and international jurisdictions.
* **Securing Digital Evidence:** Ensuring the integrity and admissibility of digital evidence from blockchain transactions requires specific procedures compared to traditional paper-based evidence.
**Here's how these differences might play out in a case:**
* **Traditional Case:** The BIR might have easier access to bank statements and other financial records, making it simpler to track income and identify discrepancies.
* **Cryptocurrency Case:** The BIR might face difficulties in obtaining complete transaction data and securing digital evidence, potentially making the investigation more complex.
**Despite these challenges, tax evasion laws still apply to cryptocurrency and digital assets.** If you're using these assets, it's crucial to:
* **Maintain Accurate Records:** Keep detailed records of all your cryptocurrency transactions, including dates, amounts, wallet addresses, and purposes.
* **Understand Tax Laws:** Stay informed about the latest tax regulations related to cryptocurrency in the Philippines. Consult a tax professional to ensure you're filing accurately.
* **Report Income:** Report all income derived from cryptocurrency transactions, including capital gains, mining rewards, and staking income.
Remember, the best way to avoid tax evasion accusations involving cryptocurrency is to be transparent, maintain proper records, and consult with a qualified tax professional familiar with digital assets.</t>
  </si>
  <si>
    <t>Paano naiiba ang mga kaso ng pag-iwas sa buwis na kinasasangkutan ng cryptocurrency o mga digital na asset sa mga tradisyunal na kaso?</t>
  </si>
  <si>
    <t>Can tax evasion allegations arise from discrepancies in tax deductions or credits?</t>
  </si>
  <si>
    <t>Yes, under Philippine law, tax evasion allegations can arise from discrepancies in tax deductions or credits. The National Internal Revenue Code (NIRC) of the Philippines, specifically Section 248 of Republic Act No. 8424, defines tax evasion as any act or omission undertaken by a taxpayer for the purpose of evading or defeating the payment of the tax imposed by law.
Discrepancies in tax deductions or credits can be red flags for tax evasion if they are found to be:
* **Substantially exaggerated** - This means claiming deductions or credits for amounts that are significantly higher than what is actually allowed by law.
* **Unfounded or fictitious** - Claiming deductions or credits for expenses that never happened or are not legitimate business expenses.
* **Not supported by proper documentation** - The taxpayer cannot provide receipts, invoices, or other documents to justify the claimed deductions or credits.
Here are some relevant provisions of the Constitution and the NIRC:
* **Philippine Constitution, Article III, Section 14:** This section states that the دولت (Dáulat, Tagalog for "State") shall ensure the prompt and full payment of taxes.
* **National Internal Revenue Code (NIRC), Section 232:** This section outlines the different types of allowable deductions from gross income.
* **National Internal Revenue Code (NIRC), Section 234:** This section outlines the different types of tax credits that taxpayers may be entitled to.
If you are unsure about the legitimacy of a deduction or credit you are considering claiming, it is best to consult with a tax professional to avoid any potential allegations of tax evasion.</t>
  </si>
  <si>
    <t>Maaari bang magmumula ang mga paratang sa pag-iwas sa buwis mula sa mga pagkakaiba sa mga bawas sa buwis o mga kredito?</t>
  </si>
  <si>
    <t>How do changes in tax laws or regulations affect potential tax evasion cases?</t>
  </si>
  <si>
    <t>Changes in Philippine tax laws or regulations can affect potential tax evasion cases in a few ways:
**Creating New Loopholes:**
* New laws or regulations, while intended to improve tax collection, may unintentionally create new loopholes that can be exploited by tax evaders. This can make it more difficult for authorities to detect and prosecute tax evasion.
**Closing Existing Loopholes:**
* Conversely, changes in laws or regulations can also close existing loopholes that were previously used for tax evasion. This can make it more difficult for taxpayers to evade taxes and can lead to an increase in tax collection for the government.
**Increased Scrutiny on Specific Areas:**
* If the new laws or regulations target specific areas where tax evasion is common, it can lead to increased scrutiny by the Bureau of Internal Revenue (BIR) on those areas. This can make it more likely that tax evasion attempts in those areas will be detected.
**Impact on Penalties:**
* Changes in tax laws or regulations may also affect the penalties for tax evasion. Increased penalties can deter potential tax evaders and encourage compliance.
**Challenges in Implementation:**
* The effectiveness of new laws or regulations in reducing tax evasion also depends on the BIR's capacity to effectively implement them. This includes having sufficient resources for audits and investigations, as well as having clear guidelines for enforcing the new rules.
Here are some additional points to consider:
* The complexity of tax laws and regulations can itself be a risk factor for tax evasion. Frequent changes can add to this complexity and make it more difficult for taxpayers to comply.
* The public's awareness of tax laws and regulations also plays a role. If taxpayers are not aware of their obligations or the consequences of non-compliance, they may be more likely to unintentionally commit tax evasion.
Overall, changes in tax laws or regulations can have a mixed impact on potential tax evasion cases. While they can create new challenges for tax authorities, they can also be used to close loopholes and deter tax evasion. The effectiveness of these changes depends on various factors, including the specific provisions of the law, the BIR's capacity for implementation, and the overall tax environment in the Philippines.</t>
  </si>
  <si>
    <t>Paano nakakaapekto ang mga pagbabago sa mga batas o regulasyon sa buwis sa mga potensyal na kaso ng pag-iwas sa buwis?</t>
  </si>
  <si>
    <t>Are there any whistleblower protections for individuals reporting tax evasion?</t>
  </si>
  <si>
    <t>There isn't a specific law in the Philippines solely dedicated to whistleblower protections for tax evasion reporting. However, some existing legal provisions can offer some level of safeguard:
1. **The Constitution:**
* **Article III, Section 14:** This section mandates the State to ensure the "prompt and full payment of taxes." By reporting tax evasion, you're indirectly upholding this constitutional principle.
2. **Republic Act No. 6713 (Code of Conduct and Ethical Standards for Public Officials and Employees):**
* This law promotes ethical conduct and accountability within government agencies. While it doesn't directly address whistleblowing in tax evasion, it can be interpreted as supporting individuals who report wrongdoing within the tax system, especially if they are government employees. 3. **Bureau of Internal Revenue (BIR) Programs:**
* The BIR itself doesn't have a formal whistleblower protection program. However, they do have initiatives that encourage reporting tax violations, such as:
* **Run After Tax Evaders (RATE):** This program allows anonymous reporting of tax cheats through a hotline or online form. While anonymity can't be guaranteed throughout the entire process, it offers an initial layer of protection.
* **Tax Reward Program:** This program offers incentives (financial rewards) to individuals who provide information leading to the collection of additional taxes. However, it comes with specific requirements, and anonymity might not be possible. **Important Considerations:**
* While there's no comprehensive whistleblower protection law, reporting tax evasion can still be a courageous act. It's advisable to consult with a lawyer specializing in tax law to understand the potential risks and available options before reporting.
* Gather strong evidence to support your claims. This could include documents, receipts, or witness testimonies. * Consider reporting anonymously if possible, through the BIR's RATE program.
Remember, the legal landscape can be complex. While this information provides a general overview, seeking professional legal advice is crucial for navigating specific situations and maximizing your protection.</t>
  </si>
  <si>
    <t>Mayroon bang anumang mga proteksyon sa whistleblower para sa mga indibidwal na nag-uulat ng pag-iwas sa buwis?</t>
  </si>
  <si>
    <t>Can tax evasion charges be settled outside of court, and if so, how?</t>
  </si>
  <si>
    <t>Yes, tax evasion charges in the Philippines can be settled outside of court through a program called **Offer of Compromise (OC)** offered by the Bureau of Internal Revenue (BIR). This program allows taxpayers facing tax liabilities, including those with tax evasion charges, to settle their obligations with the government without going through a full court trial.
Here's how the Offer of Compromise works:
* **Initiation:** The taxpayer or their authorized representative submits a formal written request to the BIR expressing their intent to settle the tax case through an Offer of Compromise.
* **Evaluation:** The BIR evaluates the request, considering factors like the nature of the violation, the amount of tax deficiency, and the taxpayer's capacity to pay.
* **Negotiation:** If the BIR accepts the request, they will negotiate a compromise amount with the taxpayer. This amount will typically be lower than the total tax liability, including penalties and surcharges.
* **Acceptance and Settlement:** If an agreement is reached on the compromise amount, the taxpayer must pay the agreed-upon amount within the timeframe stipulated by the BIR. Once settled, the tax case is closed, and no further penalties or legal actions will be pursued.
**Here are some resources for further information:**
* Bureau of Internal Revenue (BIR): [https://www.bir.gov.ph/](https://www.bir.gov.ph/) - The BIR website may have the latest information on the Offer of Compromise program.
* Republic Act No. 8424 (Tax Code): This law outlines the legal framework for tax administration in the Philippines, including provisions on the Offer of Compromise (relevant sections may be found under Title IV on Assessment and Collection). You can find the law through various legal research databases. **Important points to remember:**
* Not all tax evasion cases qualify for an Offer of Compromise. The BIR has the discretion to accept or reject the request.
* Settling through an Offer of Compromise typically involves paying a significant amount of money. It's advisable to consult with a tax lawyer to understand the implications and ensure you're getting a fair settlement.
* Even if the BIR accepts your Offer of Compromise, the criminal aspect of tax evasion might still be pursued by the Department of Justice (DOJ) depending on the circumstances of the case.</t>
  </si>
  <si>
    <t>Maaari bang ayusin ang mga singil sa pag-iwas sa buwis sa labas ng korte, at kung gayon, paano?</t>
  </si>
  <si>
    <t>How does the burden of proof differ between civil and criminal tax evasion cases?</t>
  </si>
  <si>
    <t>In the Philippines, the burden of proof differs between civil and criminal tax evasion cases. Here's a breakdown:
**Civil Tax Evasion Case:**
* **Burden of Proof:** The burden of proof lies with the **government (Bureau of Internal Revenue - BIR)**. * **Standard of Proof:** The government must prove the tax deficiency by a **preponderance of evidence**. This means they must present evidence that is more likely true than not.
**Criminal Tax Evasion Case:**
* **Burden of Proof:** The burden of proof also lies with the **government (Department of Justice - DOJ)**. * **Standard of Proof:** However, the standard of proof is much stricter in a criminal case. The government must prove the taxpayer's guilt **beyond a reasonable doubt**. This is a much higher standard, requiring the government to leave the court with no doubt, after considering all the evidence, that the taxpayer committed the crime.
Here's a table summarizing the key differences:
| Feature | Civil Tax Evasion Case | Criminal Tax Evasion Case |
|--------------------------|------------------------|----------------------------|
| Burden of Proof | Government (BIR) | Government (DOJ) |
| Standard of Proof | Preponderance of Evidence | Beyond a Reasonable Doubt |
**Impact of the Different Burdens:**
* **Civil Case:** In a civil case, a lower standard of proof makes it easier for the government to win. They only need to convince the court that it's more likely than not that the taxpayer owes additional taxes. * **Criminal Case:** In a criminal case, the high standard of proof makes it more difficult for the government to secure a conviction. The evidence presented must be so strong that there's no other plausible explanation for the taxpayer's actions other than intentional tax evasion.
**Additional Notes:**
* Even if the government loses a criminal tax evasion case due to the high burden of proof, the taxpayer may still be liable for the tax deficiencies in a separate civil case with the lower burden of proof.
Remember, this is a general overview. For specific legal advice on your situation, it's always best to consult with a qualified tax lawyer in the Philippines.</t>
  </si>
  <si>
    <t>Paano naiiba ang pasanin ng patunay sa pagitan ng mga kaso ng sibil at kriminal na pag-iwas sa buwis?</t>
  </si>
  <si>
    <t>Can tax evasion allegations impact my ability to secure loans or financing?</t>
  </si>
  <si>
    <t>Yes, tax evasion allegations can significantly impact your ability to secure loans or financing in the Philippines. Here's why:
**Lender Risk Assessment:**
* Banks and other lending institutions conduct thorough risk assessments before approving loans or financing. Tax evasion allegations raise red flags for lenders as they indicate:
* **Financial Irresponsibility:** The allegation suggests you may not be responsible with your finances, potentially leading to difficulty repaying the loan.
* **Legal Issues:** An ongoing tax evasion case can create legal complications and uncertainty, making you a less attractive borrower.
* **Potential for Fraud:** Tax evasion can be linked to fraudulent activities, which lenders want to avoid.
**Information Sharing and Blacklisting:**
* The Philippines has a Credit Information System (CIS) where credit information, including defaults and negative reports, is shared among banks and lending institutions. Tax evasion allegations, especially if they involve unpaid tax liabilities, could be reported to the CIS, negatively impacting your credit score. * Additionally, the Bureau of Internal Revenue (BIR) may blacklist taxpayers with outstanding tax obligations, which can be flagged by lenders during their verification process.
**Impact on Loan Applications:**
* Even if the allegations haven't been proven, they can still cause delays or rejection of your loan application. Lenders may be hesitant to take on the additional risk associated with an ongoing case.
* You may be required to provide extensive documentation to address the allegations and demonstrate your financial stability. Here are some recommendations:
* **Be Upfront:** If you have tax evasion allegations against you, be transparent with the lender when applying for a loan. Explain the situation honestly and provide any relevant documentation that supports your case.
* **Resolve the Issue:** The best course of action is to resolve the tax evasion allegations as soon as possible. Work with a tax professional or lawyer to address the situation and clear your name.
* **Improve Your Credit Score:** While resolving the tax issue is crucial, focus on improving your overall credit score by maintaining a good payment history on existing debts.
**Remember:** This is general information. It's advisable to consult with a financial advisor or tax lawyer for specific advice on your situation and how to navigate the loan application process with tax evasion allegations.</t>
  </si>
  <si>
    <t>Maaapektuhan ba ng mga paratang sa pag-iwas sa buwis ang aking kakayahang makakuha ng mga pautang o financing?</t>
  </si>
  <si>
    <t>What should I do if I receive a notice from the IRS or tax authority regarding potential tax evasion?</t>
  </si>
  <si>
    <t>The **Bureau of Internal Revenue (BIR)** handles tax collection in the Philippines, not the IRS. Here's what you should do if you receive a notice from the BIR regarding potential tax evasion:
**1. Don't Panic:** Receiving a notice can be stressful, but stay calm and avoid ignoring it. Ignoring the notice can lead to further penalties and complications.
**2. Understand the Notice:** Carefully read the notice from the BIR. It should explain the reason for contact, the alleged discrepancies, and the amount of tax liability in question (if any).
**3. Gather Documents:** Start collecting relevant documents such as tax returns, receipts, invoices, and any other documentation that supports your tax filings.
**4. Seek Professional Help:** Tax laws can be complex. Consider consulting with a tax lawyer or a tax professional who specializes in Philippine tax law. They can review the notice, analyze your situation, and advise you on the best course of action.
**5. Respond to the BIR:** The notice will likely include instructions on how to respond to the BIR. This may involve submitting additional documents, attending a conference, or requesting a hearing. Follow the instructions carefully and meet any deadlines.
Here are some additional things to keep in mind:
* **Be Honest and Transparent:** During any communication with the BIR, be honest and truthful about your financial situation. Providing false information can worsen the situation and lead to criminal charges.
* **Consider an Offer of Compromise:** If you owe additional taxes, the BIR may offer a settlement through their Offer of Compromise (OC) program. This program allows you to pay a lesser amount to settle the tax liability. A tax professional can advise you on the feasibility of this option.
* **Cooperate with the BIR:** Cooperation with the BIR throughout the process can demonstrate your willingness to resolve the issue. However, your tax advisor can guide you on what information to disclose and how to protect your rights.
Remember, this is just a general guide. For specific legal and tax advice tailored to your situation, consulting with a qualified tax lawyer in the Philippines is highly recommended.</t>
  </si>
  <si>
    <t>Ano ang dapat kong gawin kung makatanggap ako ng paunawa mula sa IRS o awtoridad sa buwis tungkol sa potensyal na pag-iwas sa buwis?</t>
  </si>
  <si>
    <t>How does tax evasion differ for individuals versus businesses or corporations?</t>
  </si>
  <si>
    <t>Tax evasion strategies can differ between individuals and businesses/corporations in the Philippines due to the nature of their income sources and record-keeping practices. Here's a breakdown of some key differences:
**Individual Tax Evasion:**
* **Common Methods:** * Underreporting income: Individuals may hide income from freelance work, side businesses, or rental properties.
* Inflating deductions: Claiming personal expenses as business deductions or overstating legitimate deductions.
* Failing to file tax returns: Completely neglecting to file tax returns altogether.
* **Challenges for BIR:** * Difficulty tracking individual income sources, especially cash-based businesses.
* Reliance on self-reported income through tax returns.
**Business/Corporation Tax Evasion:**
* **Common Methods:**
* Creating shell companies: Setting up fake companies to funnel income and obscure ownership.
* False accounting: Manipulating financial records to understate profits and taxable income.
* Transfer pricing: Artificially inflating the cost of goods sold in transactions between related companies to shift profits to low-tax jurisdictions.
* Bribery and corruption: Offering bribes to tax officials to overlook discrepancies.
* **Challenges for BIR:** * Complex corporate structures can make it difficult to trace the flow of funds.
* Multinational corporations may exploit loopholes by shifting profits to countries with lower tax rates.
**Additional Considerations:**
* **Penalties:** Penalties for tax evasion can be severe for both individuals and businesses, including fines, imprisonment, and difficulty securing licenses or permits.
* **Detection Methods:** The BIR uses various methods to detect tax evasion, including data analytics, audits, and following up on leads and whistleblower reports.
**It's important to remember:**
* This is a general overview, and tax evasion methods can become more sophisticated.
* Both individuals and businesses/corporations should comply with Philippine tax laws to avoid legal repercussions and penalties.
If you suspect tax evasion is occurring, you can report it anonymously to the BIR through their Run After Tax Evaders (RATE) program. It's crucial to consult with a qualified tax professional for specific advice on tax filing and to ensure you are compliant with Philippine tax regulations.</t>
  </si>
  <si>
    <t>Paano naiiba ang pag-iwas sa buwis para sa mga indibidwal kumpara sa mga negosyo o korporasyon?</t>
  </si>
  <si>
    <t>Can tax evasion charges affect my ability to work in certain industries or sectors?</t>
  </si>
  <si>
    <t>The impact of tax evasion charges on your ability to work in certain industries or sectors in the Philippines can vary depending on several factors:
* **Severity of the Charges:** Minor tax evasion charges, especially if resolved quickly, may have minimal impact on your employment opportunities. However, serious charges with large amounts of unpaid taxes or criminal convictions could significantly hinder your job prospects.
* **Industry Regulations:** Certain industries in the Philippines, such as finance, accounting, or government sectors, may have stricter requirements for employee conduct and ethical behavior. Tax evasion charges could be seen as a red flag for these industries, potentially leading to disqualification during job applications or even disciplinary action for existing employees.
* **Employer Discretion:** Ultimately, private companies have the discretion to hire or fire employees based on their own policies and assessment of potential risks. Tax evasion charges, even if not proven, could raise concerns about an applicant's trustworthiness or financial responsibility, leading to rejection. * **Disclosure Requirements:** Some professional licenses or certifications may require disclosure of criminal charges, including tax evasion convictions. This could lead to suspension or revocation of the license.
Here are some additional points to consider:
* **Transparency:** If you have tax evasion charges against you, being upfront with potential employers during the interview process can demonstrate your willingness to address the situation.
* **Time:** As time passes and the charges are resolved (especially if settled without conviction), the impact on your employability may lessen.
* **Career Rehabilitation:** Depending on the severity of the case, consider seeking career rehabilitation programs to demonstrate your commitment to responsible financial practices. **It's important to note:**
* This information is for general guidance only. The specific consequences of tax evasion charges on your employment will depend on the unique circumstances of your case.
* Consulting with a legal professional can provide you with more specific advice based on your situation and the relevant industry regulations.
Here are some resources that you might find helpful:
* Bureau of Internal Revenue (BIR): [https://www.bir.gov.ph/](https://www.bir.gov.ph/) - The BIR website may have information on the impact of tax violations on specific professions or licenses. * Professional Regulation Commission (PRC): [https://www.prc.gov.ph/](https://www.prc.gov.ph/) - The PRC website may outline disclosure requirements for specific licenses related to tax evasion charges.</t>
  </si>
  <si>
    <t>Maaapektuhan ba ng mga singil sa pag-iwas sa buwis ang aking kakayahang magtrabaho sa ilang partikular na industriya o sektor?</t>
  </si>
  <si>
    <t>What role does legal counsel play during a tax evasion investigation or audit?</t>
  </si>
  <si>
    <t>During a tax evasion investigation or audit in the Philippines, legal counsel can play a crucial role in protecting your rights and navigating the complex legal landscape. Here's how:
**Understanding the Situation:**
* **Reviewing the Notice:** Your lawyer will carefully analyze the notice you received from the Bureau of Internal Revenue (BIR) to understand the nature of the investigation or audit and the alleged discrepancies.
**Protecting Your Rights:**
* **Right to Remain Silent:** Your lawyer can advise you on your right to remain silent and avoid making any incriminating statements during interactions with the BIR. * **Right to Representation:** You have the right to be represented by legal counsel throughout the process. Your lawyer can ensure your rights are upheld and navigate communication with the BIR on your behalf.
**Strategy and Representation:**
* **Developing a Defense:** Based on the specifics of your case, your lawyer can develop a defense strategy to address the BIR's concerns. This may involve gathering evidence to support your tax filings or negotiating a settlement.
* **Communication with the BIR:** Your lawyer can handle all communication with the BIR, ensuring your responses are accurate, complete, and protect your legal interests.
**Managing the Process:**
* **Audit Representation:** If it's an audit, your lawyer can represent you during meetings with BIR auditors, ensuring a fair and thorough review of your tax records. * **Investigation Representation:** For investigations, your lawyer can guide you through the process, advise on submitting documents, and ensure your rights are protected.
**Additional Considerations:**
* **Early Intervention:** Seeking legal counsel early, even upon receiving the initial notice, can be beneficial. Early intervention allows your lawyer to develop a proactive strategy and potentially avoid more serious consequences.
* **Open Communication:** Maintain open and honest communication with your lawyer throughout the process. This allows them to develop the best possible defense strategy based on all the facts.
* **Understanding Costs:** Legal representation comes with associated costs. Discuss fees with your lawyer upfront and ensure you understand the scope of their services.
**Remember:**
* This is a general overview. The specific role of your lawyer will depend on the details of your situation and the stage of the investigation or audit. * Consulting with a qualified tax lawyer in the Philippines is essential to receive tailored advice and ensure your legal rights are protected throughout the process.</t>
  </si>
  <si>
    <t>Anong papel ang ginagampanan ng legal na tagapayo sa panahon ng pagsisiyasat o pag-audit sa pag-iwas sa buwis?</t>
  </si>
  <si>
    <t>Can tax evasion charges be expunged from my record, and if so, under what circumstances?</t>
  </si>
  <si>
    <t>In the Philippines, expungement of criminal records, including those for tax evasion, is a complex process with limited possibilities. Here's a breakdown of the current situation:
* **Limited Expungement Provisions:** The Philippines currently does not have a general law allowing for the automatic expungement of criminal records after serving a sentence or following a certain period.
* **Exceptions: Expungement is possible under specific circumstances, but these are exceptions rather than the rule.** Here are two relevant scenarios:
* **First Offense and Non-Violent Crime:** Republic Act No. 11211, also known as the "New Probation Law," allows for the expungement of the criminal record for a first offense involving a non-violent crime after successfully completing probation. However, tax evasion can be a complex issue, and its classification as a "violent crime" depends on the specific details of the case.
* **Presidential Pardon:** The President of the Philippines holds the power to grant pardons, which can effectively erase the conviction from your record. However, pardons are rarely granted and are based on the President's discretion.
**Recommendations:**
* **Consult a Lawyer:** Given the limited scope of expungement in the Philippines, consulting with a qualified tax lawyer is crucial. They can assess your specific situation and determine if your case falls under the exceptions for expungement under the New Probation Law.
* **Alternative Approaches:** If expungement isn't an option, explore alternative approaches to mitigate the impact of tax evasion charges on your life. This might involve:
* **Settling the Case:** Reaching a settlement with the BIR (Offer of Compromise program) can demonstrate your willingness to resolve the issue and may lessen the severity of the charges on your record.
* **Career Rehabilitation Programs:** Participating in programs demonstrating your commitment to responsible financial practices can improve your prospects in certain industries.
**Remember:**
The legal landscape can be complex, and this is just a general overview. For specific advice on your situation and the possibility of expungement, consulting with a qualified tax lawyer in the Philippines is highly recommended.</t>
  </si>
  <si>
    <t>Maaari bang tanggalin ang mga singil sa pag-iwas sa buwis sa aking rekord, at kung gayon, sa ilalim ng anong mga pangyayari?</t>
  </si>
  <si>
    <t>How does tax evasion affect my eligibility for government benefits or programs?</t>
  </si>
  <si>
    <t>Tax evasion is a serious offense under Philippine law and can have legal consequences. However, its direct impact on eligibility for government benefits or programs may depend on the specific benefit or program in question. Generally, tax evasion is a criminal offense, and if convicted, it may lead to fines and imprisonment.
Some government benefits or programs may have eligibility criteria that consider an individual's legal standing, financial records, or compliance with tax obligations. In cases where the government benefit or program requires a clean legal record or compliance with tax laws, being convicted of tax evasion may affect eligibility negatively.
It's crucial to note that each government benefit or program may have its own set of eligibility requirements, and the impact of tax evasion on eligibility will depend on the specific rules and regulations governing that particular benefit or program. If you have concerns about a specific benefit or program, it is advisable to consult with legal professionals or relevant government authorities for accurate and up-to-date information.</t>
  </si>
  <si>
    <t>Paano nakakaapekto ang pag-iwas sa buwis sa aking pagiging karapat-dapat para sa mga benepisyo o programa ng pamahalaan?</t>
  </si>
  <si>
    <t>Can tax evasion allegations lead to asset forfeiture or seizure?</t>
  </si>
  <si>
    <t>Yes, tax evasion allegations in the Philippines can lead to asset forfeiture or seizure. The Bureau of Internal Revenue (BIR) has the authority to initiate legal actions against individuals or entities suspected of tax evasion. If a person is found guilty of tax evasion, the government may take legal steps to recover the unpaid taxes and penalties.
Asset forfeiture or seizure can be part of the legal process to enforce tax collection. The government may seek to seize assets, properties, or funds belonging to the individual or entity involved in tax evasion to satisfy the tax liabilities. The process typically involves legal proceedings, and the government must adhere to due process to ensure fairness.
It's important to note that asset forfeiture or seizure is a serious consequence of tax evasion and underscores the importance of complying with tax laws in the Philippines. Individuals or entities facing tax evasion allegations should seek legal advice and assistance to navigate the legal process and protect their rights.</t>
  </si>
  <si>
    <t>Maaari bang humantong ang mga paratang sa pag-iwas sa buwis sa pag-alis ng asset o pag-agaw?</t>
  </si>
  <si>
    <t>How can I ensure my tax filings are accurate to avoid potential accusations of tax evasion?</t>
  </si>
  <si>
    <t>Ensuring the accuracy of your tax filings is crucial to avoid potential accusations of tax evasion. Here are some steps you can take to help ensure accurate tax filings:
1. **Keep Detailed Records:**
Maintain organized and detailed records of all your financial transactions, income, expenses, and deductions. Proper documentation can serve as evidence of the accuracy of your tax filings.
2. **Understand Tax Laws:**
Stay informed about the latest tax laws, regulations, and updates in the Philippines. Seek professional advice if needed to understand how specific rules apply to your situation.
3. **Hire a Qualified Tax Professional:**
Consider hiring a certified public accountant (CPA) or a tax professional to assist you with your tax filings. They can provide guidance, ensure compliance, and help identify eligible deductions and credits.
4. **Use Reliable Accounting Software:**
Utilize reliable accounting software to keep track of your financial transactions. This can help minimize errors and ensure that your records are accurate.
5. **Review Your Filings Before Submission:**
Take the time to thoroughly review your tax returns before submitting them. Check for any discrepancies, errors, or missing information.
6. **Declare All Income:**
Report all sources of income, including wages, business income, investments, and other sources. Failure to declare income accurately may lead to accusations of tax evasion.
7. **Disclose Assets and Liabilities:**
If required, disclose assets and liabilities accurately. Concealing or providing false information about your financial situation can be considered a fraudulent act.
8. **Respond Promptly to BIR Inquiries:**
If you receive inquiries or audits from the Bureau of Internal Revenue (BIR), respond promptly and provide the necessary documentation. Cooperation with tax authorities can demonstrate your commitment to compliance.
9. **Seek Professional Assistance During Audits:**
If you face a tax audit, consider seeking professional assistance to guide you through the process and ensure that your rights are protected.
10. **Regularly Update Your Information:**
Keep your personal and financial information up-to-date with the BIR to receive any important communications and ensure compliance with tax regulations.
Remember that tax laws and regulations may change, so staying informed and seeking professional advice can contribute to accurate and compliant tax filings.</t>
  </si>
  <si>
    <t>Paano ko matitiyak na tumpak ang aking mga paghahain ng buwis upang maiwasan ang mga potensyal na akusasyon ng pag-iwas sa buwis?</t>
  </si>
  <si>
    <t>Can tax evasion allegations arise from inconsistencies between state and federal tax filings?</t>
  </si>
  <si>
    <t>The Philippines operates under a unitary system of government, so there's no concept of separate state and federal tax filings. Inconsistencies in tax filings would be between the taxpayer's return and the Bureau of Internal Revenue's (BIR) records.
Here's how Philippine law deals with tax filing inconsistencies:
* **Tax Code (RA 8424):** This law, particularly Title II on Income Taxation, outlines tax filing requirements and penalties for non-compliance. Sections like 253 and 255 discuss the consequences of fraudulent tax returns, which can include imprisonment and fines.
* **BIR Rules and Regulations:** The BIR issues regulations to implement the Tax Code. These regulations specify what constitutes a discrepancy and the corresponding course of action.
**So, yes, inconsistencies between a taxpayer's return and BIR records can trigger tax evasion allegations.** The BIR may investigate the discrepancies and pursue penalties if they find evidence of deliberate underreporting of income or overstatement of deductions.
For a more comprehensive understanding, it's advisable to consult a tax lawyer or refer directly to the BIR's website or inquire with their office.</t>
  </si>
  <si>
    <t>Maaari bang lumabas ang mga paratang sa pag-iwas sa buwis mula sa mga hindi pagkakapare-pareho sa pagitan ng paghahain ng buwis ng estado at pederal?</t>
  </si>
  <si>
    <t>What protections do I have during an IRS or tax authority audit related to potential tax evasion?</t>
  </si>
  <si>
    <t>The Philippines operates under a unitary system of government, so there's no IRS. Taxation is handled by the Bureau of Internal Revenue (BIR). Here's how Philippine law protects taxpayers during a BIR audit related to potential tax evasion:
**Philippine Constitution (1987):**
* **Section 1, Article III (Right to Self-Incrimination):** You have the right to remain silent and not be compelled to answer questions that might incriminate you.
* **Section 2, Article III (Right to Counsel):** You have the right to be assisted by legal counsel of your choice at all stages of the proceedings.
**Tax Code (RA 8424):**
* **Section 221:** This section grants taxpayers the right to be notified in writing of the assessment and to contest it within a specific period.
* **Section 222:** This section outlines the procedure for protesting an assessment. You can file a written protest with the BIR and request a reinvestigation.
**BIR Rules and Regulations:**
The BIR issues regulations detailing taxpayers' rights during audits. These include the right to:
* Access the audit records.
* Present evidence to refute the BIR's findings.
* Be accompanied by a lawyer or tax representative during the audit.
**Here are some additional points to remember:**
* **Cooperate with the BIR:** Provide all requested documents within a reasonable timeframe. Be polite and professional during interactions with BIR personnel.
* **Seek legal counsel:** A tax lawyer can advise you on your rights and represent you during the audit process.
**Important Resources:**
* Bureau of Internal Revenue (BIR): [https://www.bir.gov.ph/](https://www.bir.gov.ph/)
* Philippine Constitution: [https://lawphil.net/consti/cons1987.html](https://lawphil.net/consti/cons1987.html)
* Tax Code (RA 8424): [https://www.bir.gov.ph/index.php/tax-code.html](https://www.bir.gov.ph/index.php/tax-code.html)</t>
  </si>
  <si>
    <t>Anong mga proteksyon ang mayroon ako sa panahon ng pag-audit ng IRS o awtoridad sa buwis na nauugnay sa potensyal na pag-iwas sa buwis?</t>
  </si>
  <si>
    <t>Can tax evasion charges lead to civil lawsuits from affected parties?</t>
  </si>
  <si>
    <t>In the Philippines, tax evasion charges themselves are criminal cases filed by the state against the taxpayer. These typically result in penalties like fines or imprisonment. However, tax evasion can also have civil repercussions through separate lawsuits from affected parties. Here's how:
* **Indirect Damages:** If tax evasion by a company led to financial losses for another business due to unfair competition or other reasons, the affected company could file a civil lawsuit to recover damages. This would likely rely on provisions of the Civil Code on obligations and damages (Articles 1157 onwards).
* **Breach of Contract:** If a contract between two parties included a clause requiring accurate tax reporting, and tax evasion by one party resulted in a breach of that clause, the other party could sue for compensation. This would depend on the specific terms of the contract. **While the civil lawsuit wouldn't directly address the tax evasion itself, it could impose additional financial burdens on the taxpayer found guilty in the criminal case.**
Here are some resources for further exploration:
* **Civil Code of the Philippines:** [https://lawphil.net/statutes/repacts/ra1949/ra_386_1949.html](https://lawphil.net/statutes/repacts/ra1949/ra_386_1949.html)</t>
  </si>
  <si>
    <t>Maaari bang humantong sa mga kasong sibil ang mga singil sa pag-iwas sa buwis mula sa mga apektadong partido?</t>
  </si>
  <si>
    <t>How do tax evasion laws apply to income earned through illegal activities or under-the-table transactions?</t>
  </si>
  <si>
    <t>The Philippine tax code applies broadly to "all income derived from whatever source," as stated in the definition of gross income under Section 32 of the Tax Code (RA 8424). This captures income earned through illegal activities or under-the-table transactions. Here's a breakdown:
* **Taxation of Illegal Income:** Even if the activity itself is illegal, the income generated from it is still considered taxable under Philippine law. There's no exemption for the source of income.
* **Challenges of Reporting Illegal Income:** Obviously, it can be difficult to report income earned through illegal activities. However, failing to declare this income can lead to tax evasion charges.
* **BIR's Powers:** The Bureau of Internal Revenue (BIR) has the authority to investigate unexplained wealth or suspicious inconsistencies between a taxpayer's lifestyle and declared income. If the BIR suspects illegal income, they can use circumstantial evidence and other investigative measures to build a case.
* **Penalties for Tax Evasion:** Being caught for tax evasion on illegal income can lead to significant penalties, including imprisonment, fines, and surcharges. Here are some additional points to consider:
* **Under-the-Table Transactions:** Income received from under-the-table transactions, even if the activity itself is not illegal (e.g., odd jobs without proper receipts), should still be declared for tax purposes. Failing to do so can also be considered tax evasion.
* **Seeking Legal Advice:** If you have income from illegal activities or under-the-table transactions, consulting with a tax lawyer is highly recommended. They can advise you on the best course of action to comply with tax laws and minimize potential legal risks.
**Important Resources:**
* Bureau of Internal Revenue (BIR): [https://www.bir.gov.ph/](https://www.bir.gov.ph/)
* Tax Code (RA 8424): [https://www.bir.gov.ph/index.php/tax-code.html](https://www.bir.gov.ph/index.php/tax-code.html)</t>
  </si>
  <si>
    <t>Paano nalalapat ang mga batas sa pag-iwas sa buwis sa kita na nakuha sa pamamagitan ng mga ilegal na aktibidad o mga transaksyon sa ilalim ng mesa?</t>
  </si>
  <si>
    <t>Can tax evasion allegations affect my ability to travel internationally?</t>
  </si>
  <si>
    <t>Philippine law (Constitution and RAs) doesn't directly restrict travel based solely on tax evasion allegations. However, there are indirect ways it could impact your ability to travel internationally:
* **Exit Order:** If the BIR issues an "exit order" against you during a tax evasion investigation, it can temporarily restrict your departure from the Philippines. This order aims to prevent you from leaving the country and avoiding potential tax liabilities.
* **Warrants of Arrest:** If tax evasion charges are formally filed and a warrant of arrest is issued, you might be prevented from leaving the Philippines or even be arrested upon arrival in another country with which the Philippines has an extradition treaty.
* **Delays and Scrutiny:** Even without an exit order or warrant, tax evasion allegations can lead to delays and additional scrutiny at immigration checkpoints. Authorities might hold you for questioning or require additional documentation to verify your status.
**Here are some recommendations to minimize travel issues:**
* **Clear your tax liabilities:** Resolving any outstanding tax issues with the BIR before traveling is highly advisable.
* **Verify your status:** If you have any concerns, check with the BIR to confirm if there are any restrictions on your travel.
* **Seek legal counsel:** A lawyer can advise you on your specific situation and help navigate any potential challenges.
**Additional Resources:**
* Bureau of Internal Revenue (BIR): [https://www.bir.gov.ph/](https://www.bir.gov.ph/)</t>
  </si>
  <si>
    <t>Maaapektuhan ba ng mga paratang sa pag-iwas sa buwis ang aking kakayahang maglakbay sa ibang bansa?</t>
  </si>
  <si>
    <t>What are the potential long-term implications of being convicted of tax evasion?</t>
  </si>
  <si>
    <t>A conviction for tax evasion in the Philippines can have significant long-term consequences beyond the immediate penalties. Here's a breakdown of some potential implications:
**Financial Repercussions:**
* **Fines and Surcharges:** Tax evasion convictions typically result in hefty fines on top of any back taxes owed. These fines can be substantial and create a long-term financial burden.
* **Difficulty Obtaining Loans:** A criminal record for tax evasion can make it difficult to secure loans for businesses or personal needs. Banks and other lending institutions might be wary of individuals with a history of non-compliance with tax laws.
* **Reputational Damage:** A tax evasion conviction can damage your reputation in the business community and personal life. It can affect your professional standing and limit future business opportunities.
**Legal Restrictions:**
* **Loss of Professional Licenses:** Depending on your profession, a tax evasion conviction might lead to the suspension or revocation of your professional license. This could significantly impact your ability to earn a living.
* **Government Contracting:** Businesses convicted of tax evasion might be barred from participating in government contracts or bidding on public projects. * **Immigration Issues:** While Philippine law doesn't explicitly restrict travel, a tax evasion conviction could complicate future attempts to obtain visas or work permits in certain countries, especially those with extradition treaties with the Philippines.
**Social Stigma:**
* **Loss of Trust:** A tax evasion conviction can erode trust in your personal and professional relationships. People might be hesitant to do business with you or view you as untrustworthy.
* **Difficulty Finding Employment:** Having a criminal record for tax evasion could make it harder to find employment, particularly in sectors with strict compliance requirements.
**Rehabilitating Your Image:**
* **Full Payment of Liabilities:** Fully settling all outstanding tax obligations, fines, and surcharges demonstrates a commitment to rectifying the situation. * **Compliance Moving Forward:** Maintaining a clean tax record for an extended period after the conviction can help rebuild trust and demonstrate a change in behavior.
* **Legal Assistance:** Consulting with a lawyer can help you navigate the legal and financial implications of a conviction and explore options for mitigating the long-term damage.
Remember, this isn't an exhaustive list, and the specific consequences will vary depending on the severity of the offense and your individual circumstances. It's crucial to understand the potential long-term impact before making any decisions regarding tax compliance.</t>
  </si>
  <si>
    <t>Ano ang mga potensyal na pangmatagalang implikasyon ng pagiging nahatulan ng pag-iwas sa buwis?</t>
  </si>
  <si>
    <t>Can tax evasion charges be negotiated down to lesser offenses, and if so, how?</t>
  </si>
  <si>
    <t>Yes, in the Philippines, tax evasion charges *may* be negotiable under certain circumstances. Here's how it works:
**Factors for Negotiation:**
* **Severity of the Offense:** The extent of tax evasion (amount of undeclared income, presence of deliberate concealment) affects the likelihood of negotiating a plea bargain. Minor offenses might be more amenable to negotiation.
* **Cooperation with Authorities:** Showing cooperation with the Bureau of Internal Revenue (BIR) during the investigation, such as promptly providing requested documents or making an honest disclosure of your tax situation, can improve your chances of a favorable outcome.
* **Prior Criminal History:** A clean criminal record generally strengthens your negotiation position compared to someone with a history of tax offenses.
**Negotiation Process:**
* **Represented by a Lawyer:** Tax negotiation is complex and having a lawyer experienced in Philippine tax law is crucial. They can negotiate with the BIR on your behalf and advocate for a lesser offense or reduced penalty.
* **Pleas Bargain:** Negotiations often involve a plea bargain, where you plead guilty to a lesser offense in exchange for a lighter sentence. This could involve reduced fines, probation instead of jail time, or a combination of both.
* **Voluntary Disclosure:** The Philippine tax system incentivizes voluntary tax compliance through programs like the BIR's Voluntary Disclosure Program (VDP). Disclosing previously untaxed income before getting formally charged can lead to significantly reduced penalties.
**Important Resources:**
* Bureau of Internal Revenue (BIR): [https://www.bir.gov.ph/](https://www.bir.gov.ph/)
**Remember, negotiation is not guaranteed.** The BIR has the discretion to decide whether to pursue the full charges or accept a plea bargain. Consulting with a tax lawyer is essential to understand your options and develop a strong negotiation strategy.</t>
  </si>
  <si>
    <t>Maaari bang pag-usapan ang mga singil sa pag-iwas sa buwis hanggang sa mas mababang mga pagkakasala, at kung gayon, paano?</t>
  </si>
  <si>
    <t>How does tax evasion affect my eligibility for professional licenses or certifications?</t>
  </si>
  <si>
    <t>A tax evasion conviction in the Philippines can potentially affect your eligibility for professional licenses or certifications in a few ways:
* **Professional Regulatory Boards (PRBs):** Many professions in the Philippines are regulated by Professional Regulatory Boards (PRBs) under specific Republic Acts (RAs). These PRBs have the authority to discipline or revoke licenses for various reasons, including unethical conduct or a criminal record. * **Moral Turpitude:** Tax evasion can be considered a crime involving moral turpitude, which signifies a deliberate disregard for the ethical standards of the profession. Each PRB has its own code of ethics that defines moral turpitude, so the specific impact on your license will depend on the governing board and the severity of the offense.
Here are some potential consequences:
* **License Suspension or Revocation:** If the PRB finds your tax evasion conviction constitutes moral turpitude, they might suspend or revoke your professional license. This could significantly impact your ability to practice your profession.
* **Denial of Application:** Even if you haven't been convicted but have pending tax evasion charges, some PRBs might delay or deny your application for a professional license until the charges are resolved.
**It's important to note that the specific consequences will vary depending on the profession and the governing PRB.** Here's what you can do:
* **Verify with your PRB:** Contact the PRB that regulates your profession and inquire about their policies regarding tax evasion convictions. They can clarify if a conviction would automatically disqualify you or if there's room for consideration. * **Consult a Lawyer:** A lawyer specializing in your profession and administrative law can advise you on the potential consequences of a tax evasion conviction on your license and explore any available options.
Here are some resources to get you started:
* Professional Regulatory Commission (PRC): [https://www.prc.gov.ph/](https://www.prc.gov.ph/) (This website provides a directory of all PRBs in the Philippines)
* Philippine Bar Association: [https://www.ibp.ph/](https://www.ibp.ph/) (For lawyers) Remember, this information is for general guidance only. The specific laws and regulations regarding professional licenses and tax evasion can be complex. Consulting with a lawyer experienced in your profession is highly recommended to understand the potential repercussions and explore ways to protect your professional standing.</t>
  </si>
  <si>
    <t>Paano nakakaapekto ang pag-iwas sa buwis sa aking pagiging karapat-dapat para sa mga propesyonal na lisensya o sertipikasyon?</t>
  </si>
  <si>
    <t>Can tax evasion charges be filed retroactively for past tax years?</t>
  </si>
  <si>
    <t>In the Philippines, tax evasion charges can be filed retroactively for past tax years, but with limitations. Here's a breakdown based on Philippine law (Constitution and RAs):
* **General Rule:** The Tax Code (RA 8424) allows the BIR to assess and collect unpaid taxes for past years. There's no strict time limit for the BIR to discover and prosecute tax evasion, especially if they have reason to believe deliberate underreporting or fraudulent tax returns occurred.
* **Prescription Period:** However, there is a prescription period for criminal offenses, including tax evasion. This means there's a timeframe within which the government must file charges. The specific timeframe depends on the severity of the offense, as outlined in the Revised Penal Code (RPC).
* **Extending the Prescription Period:** Certain actions can extend the prescription period for tax evasion charges. Here are two main examples:
* **Voluntary Disclosure:** If a taxpayer voluntarily discloses previously untaxed income through the BIR's Voluntary Disclosure Program (VDP) *before* getting formally charged, it can extend the prescription period.
* **Overt Act:** If the taxpayer commits an overt act that conceals their tax liability (e.g., destroying accounting records), it can restart the prescription period, giving the BIR more time to file charges.
**Here are some resources for further exploration:**
* Bureau of Internal Revenue (BIR): [https://www.bir.gov.ph/](https://www.bir.gov.ph/)
* Tax Code (RA 8424): [https://www.bir.gov.ph/index.php/tax-code.html](https://www.bir.gov.ph/index.php/tax-code.html)
* Revised Penal Code: [https://quizlet.com/606246131/revised-penal-code-of-the-philippines-flash-cards/](https://quizlet.com/606246131/revised-penal-code-of-the-philippines-flash-cards/)
**Remember, this is a complex legal topic.** If you're facing tax evasion allegations for past tax years, consulting with a tax lawyer is crucial. They can analyze your specific situation, assess the likelihood of retroactive charges, and advise you on the best course of action.</t>
  </si>
  <si>
    <t>Maaari bang maisampa nang retroactive ang mga singil sa pag-iwas sa buwis para sa mga nakaraang taon ng buwis?</t>
  </si>
  <si>
    <t>How does tax evasion intersect with other financial crimes or fraudulent activities?</t>
  </si>
  <si>
    <t>Tax evasion often intertwines with other financial crimes and fraudulent activities in the Philippines. Here's how:
**Concealing Income for Tax Evasion:** Many financial crimes or fraudulent activities aim to generate income that gets hidden from authorities. This hidden income becomes the target for tax evasion. Here are some examples:
* **Money Laundering:** Criminals might use shell companies, fake invoices, or complex financial transactions to launder money derived from illegal activities like drug trafficking or embezzlement. This laundered money then needs to be "explained" for tax purposes, leading to tax evasion through underreporting income or creating false sources of income.
* **Falsifying Financial Statements:** Businesses engaged in fraudulent activities might manipulate their financial statements to understate profits and reduce their tax liabilities. This can involve inflating expenses, hiding assets, or suppressing revenue.
* **Investment Scams:** Ponzi schemes or other investment scams might involve diverting investor funds for personal gain. Perpetrators might then try to hide this income through tax evasion tactics.
**Tax Evasion as a Source of Funds:**
Tax evasion itself can be a source of funds for other financial crimes. The extra money saved by not paying taxes can be used to:
* **Finance Illegal Activities:** Tax evasion can generate funds for criminals to invest in illegal businesses, bribe officials, or fund other criminal activities.
* **Perpetuate Fraudulent Schemes:** The money saved from taxes can be used to support ongoing fraudulent schemes, like maintaining fake businesses or financing payouts to investors in a Ponzi scheme.
**Detection and Investigation:**
Tax evasion investigations often uncover other financial crimes. Here's why:
* **Inconsistencies:** Scrutinizing tax returns can reveal inconsistencies that might point to underlying fraudulent activities. For instance, a lavish lifestyle not supported by declared income can trigger investigations into unexplained wealth.
* **Paper Trail:** Following the financial trail of taxes not paid can lead to evidence of other illegal activities. For instance, the BIR might track unusual money transfers or identify suspicious business transactions linked to tax evasion.
**The Bureau of Internal Revenue (BIR) often collaborates with other law enforcement agencies** to investigate these interconnected financial crimes. They can share information, pool resources, and pursue charges for both tax evasion and the underlying criminal activity.
**Remember, this is not an exhaustive list.** The specific ways tax evasion intersects with other financial crimes depend on the nature of the crime and the methods used to conceal income. If you suspect tax evasion or other financial crimes are happening, it's recommended to report them to the proper authorities.</t>
  </si>
  <si>
    <t>Paano nakikipag-ugnay ang pag-iwas sa buwis sa iba pang mga krimen sa pananalapi o mapanlinlang na aktibidad?</t>
  </si>
  <si>
    <t>What steps should I take to protect my assets and legal rights if facing allegations of tax evasion?</t>
  </si>
  <si>
    <t>Here are some steps you can take to protect your assets and legal rights if facing allegations of tax evasion in the Philippines:
**1. Seek Legal Counsel Immediately:** This is the most crucial step. A tax lawyer experienced in Philippine law can advise you on your rights and navigate the legal process effectively. They can represent you during interactions with the Bureau of Internal Revenue (BIR) and in court, if necessary. **2. Do Not Discuss the Case with the BIR Without Your Lawyer:** The BIR might try to question you about the allegations. It's best to have your lawyer present during any interaction with them. Your lawyer can advise you on what to say and ensure your responses are within your legal rights.
**3. Gather Documentation:** Collect all relevant documents related to your tax filings, financial records, and any evidence that supports your position. This might include receipts, invoices, bank statements, and contracts. Your lawyer can guide you on what documentation is necessary.
**4. Be Cooperative, But Not Overly Forthcoming:** While cooperation with the BIR investigation is essential, it doesn't mean admitting guilt. Your lawyer can advise you on a balanced approach, ensuring you cooperate within legal boundaries and avoid accidentally incriminating yourself. **5. Explore Potential Resolutions:** Depending on the severity of the allegations, your lawyer can explore options like:
* **Voluntary Disclosure Program (VDP):** If you haven't been formally charged, the BIR's VDP allows disclosing previously untaxed income and paying penalties to potentially avoid criminal prosecution.
* **Negotiation:** Your lawyer might negotiate with the BIR for a reduced penalty or a lesser offense in exchange for your cooperation.
**6. Understand Potential Asset Protection Strategies:** While your lawyer will provide specific guidance based on your situation, here are some general considerations:
* **Transferring Assets:** Philippine law might restrict transferring assets to avoid creditors, including the BIR. Consulting with your lawyer is crucial before taking any steps.
* **Financial Disclosure:** You might be required to disclose your assets as part of the investigation. Transparency with your lawyer is key to navigating these requirements.
**Remember:** This information is for general guidance only. Every case is unique, and the specific steps will depend on the details of your situation. Consulting with a qualified tax lawyer is essential to protect your assets and legal rights effectively.</t>
  </si>
  <si>
    <t>Anong mga hakbang ang dapat kong gawin upang maprotektahan ang aking mga ari-arian at mga legal na karapatan kung nahaharap sa mga paratang ng pag-iwas sa buwis?</t>
  </si>
  <si>
    <t>What are my legal rights if I've been accused of kidnapping?</t>
  </si>
  <si>
    <t>Under Philippine law (Constitution and RAs), here are some of your legal rights if you've been accused of kidnapping:
**Right to Remain Silent (Section 1, Article III of the 1987 Constitution):** You have the right not to answer any questions that might incriminate you. You can politely decline to answer questions from the police or anyone else until you have spoken with a lawyer.
**Right to Counsel (Section 2, Article III of the 1987 Constitution):** You have the right to be assisted by legal counsel of your choice at all stages of the proceedings. This includes the initial investigation, detention, and court hearings. **Right to be Informed of Charges (Section 14, Article III of the 1987 Constitution):** You have the right to be informed of the nature and cause of the accusation against you. The arresting officer should inform you of the alleged crime you've committed.
**Right to a Speedy Trial (Section 14, Article III of the 1987 Constitution):** You have the right to a speedy trial without undue delay. This means your case should be heard by a court as soon as possible.
**Presumption of Innocence (Section 1, Article III of the 1987 Constitution):** You are presumed innocent until proven guilty beyond reasonable doubt. The burden of proof lies with the prosecution to establish your guilt.
Here are some additional points to consider:
* **Do Not Resist Arrest:** If you are being arrested, cooperate with the police. Resisting arrest can lead to additional charges. * **Request a Lawyer Immediately:** As soon as possible, request to speak with a lawyer. You can contact a lawyer yourself, or your family can do so on your behalf.
* **Understand the Details of the Accusation:** Once you have a lawyer, they can help you understand the specific charges against you and the evidence being used.
* **Cooperate with Your Lawyer:** Provide your lawyer with all the information you can about the situation. Be honest and transparent with them to ensure they can build the best possible defense.
**Important Resources:**
* Philippine Constitution: [https://lawphil.net/consti/cons1987.html](https://lawphil.net/consti/cons1987.html)
* Public Attorney's Office (PAO): The PAO provides free legal assistance to indigent Filipinos. You can contact your local PAO office for help finding a lawyer: [https://pao.gov.ph/](https://pao.gov.ph/)
**Disclaimer:** This information is for general knowledge only and does not constitute legal advice. The specific legal rights and procedures may vary depending on the circumstances of your case. Consulting with a qualified lawyer is crucial to understand your rights and navigate the legal process effectively.</t>
  </si>
  <si>
    <t>Ano ang aking mga legal na karapatan kung ako ay inakusahan ng pagkidnap?</t>
  </si>
  <si>
    <t>How serious is a kidnapping charge, and what potential penalties am I facing?</t>
  </si>
  <si>
    <t>In the Philippines, kidnapping is a serious crime with harsh penalties. Here's a breakdown of the severity and potential consequences:
**Severity:**
* **Violent Crime:** Kidnapping is considered a violent crime and is treated with severity by the justice system. It's a crime that instills fear and can have lasting psychological trauma on the victim.
* **Different Degrees:** Philippine law recognizes different degrees of kidnapping with varying penalties depending on the circumstances (presence of serious physical harm, ransom demands, etc.).
**Potential Penalties:**
The penalty for kidnapping depends on the specific type of kidnapping committed, as outlined in Article 267 of the Revised Penal Code (RA 18):
* **Kidnapping and Serious Illegal Detention:** This is the base offense and carries a penalty of reclusion perpetua (life imprisonment) to death. This applies in cases where the kidnapping lasts for more than five days, involves simulating public authority, or inflicts serious physical injuries on the victim.
* **Kidnapping with Ransom:** The penalty is death if the kidnapping was committed for the purpose of extorting ransom from the victim or any other person.
* **Kidnapping a Minor, Female, or Public Officer:** The penalty is reclusion perpetua even if none of the circumstances mentioned above were present. Kidnapping these vulnerable groups is seen as particularly heinous.
* **Slight Illegal Detention:** This is a lesser offense that applies in cases where none of the aggravating circumstances are present. The penalty is reclusion temporal (imprisonment for a maximum of 14 years and 8 months).
**Here are some resources for further exploration:**
* Revised Penal Code (Article 267): [https://lawphil.net/judjuris/juri2020/jan2020/gr_229086_2020.html](https://lawphil.net/judjuris/juri2020/jan2020/gr_229086_2020.html)
**Remember:** This information is for general knowledge only. The specific charges and penalties you might face will depend on the details of your case. Consulting with a lawyer is essential to understand the potential consequences and build a strong defense.</t>
  </si>
  <si>
    <t>Gaano kalubha ang singil sa pagkidnap, at anong mga potensyal na parusa ang kinakaharap ko?</t>
  </si>
  <si>
    <t>Can you explain the legal definition of kidnapping in our jurisdiction?</t>
  </si>
  <si>
    <t>The legal definition of kidnapping in the Philippines is found in Article 267 of the Revised Penal Code (RA 18). Here's a breakdown of the key elements:
**The Act:** The law focuses on the act of depriving another person of liberty "against their will." This can involve forcible transportation, abduction, or any other means of restricting someone's freedom of movement.
**Duration:** The Revised Penal Code doesn't specify a minimum duration for kidnapping to be considered a crime. However, the penalty becomes harsher if the deprivation of liberty lasts for more than five days.
**Aggravating Circumstances:** Certain circumstances significantly increase the penalty for kidnapping:
* **Serious Physical Injuries:** If the victim suffers serious physical harm during the kidnapping, the penalty is harsher.
* **Simulating Public Authority:** If the kidnappers pretend to be law enforcement or other officials to gain the victim's trust, the penalty is more severe.
* **Ransom Demand:** If the kidnapping is done with the intention of extorting ransom, the penalty is death.
**Special Cases:** The law considers kidnapping a minor, female, or public officer even more serious:
* **Minors and Females:** Kidnapping someone who is considered vulnerable due to age or gender carries a harsher penalty, even without the aggravating circumstances mentioned above.
* **Public Officers:** Kidnapping someone in a position of public authority is seen as a grave offense and carries a life sentence.
**Here are some resources for further exploration:**
* Revised Penal Code (Article 267): [https://lawphil.net/judjuris/juri1964/mar1964/gr_l-21991_1964.html](https://lawphil.net/judjuris/juri1964/mar1964/gr_l-21991_1964.html)
**Disclaimer:** This information is for general knowledge only and does not constitute legal advice. The specific details of a kidnapping case can significantly influence the charges and penalties involved. Consulting with a qualified lawyer is crucial to understand the legal intricacies of your situation.</t>
  </si>
  <si>
    <t>Maaari mo bang ipaliwanag ang legal na kahulugan ng kidnapping sa aming nasasakupan?</t>
  </si>
  <si>
    <t>What factors can affect the severity of a kidnapping charge?</t>
  </si>
  <si>
    <t>The severity of a kidnapping charge in the Philippines hinges on several factors outlined in Article 267 of the Revised Penal Code (RA 18). These factors determine the specific type of kidnapping offense and the corresponding penalty. Here's a breakdown of the key factors:
* **Duration of Captivity:** The base offense under Article 267 is "Kidnapping and Serious Illegal Detention." While the law doesn't specify a minimum duration, a longer captivity (more than five days) typically translates to a harsher penalty.
* **Presence of Violence or Threats:** If the kidnapping involved violence, threats, or caused serious physical injuries to the victim, the penalty becomes more severe. This reflects the increased trauma and danger inflicted on the victim.
* **Ransom Demands:** Kidnapping for ransom is considered the most serious offense under Article 267 and carries the highest penalty, which is death. The law recognizes the heightened fear and potential loss associated with ransom demands.
* **Victim's Identity:** The law considers kidnapping certain individuals even graver offenses:
* **Minors:** Kidnapping a minor is viewed as particularly reprehensible due to their vulnerability. Even without aggravating circumstances, it carries a life sentence (reclusion perpetua). * **Females:** Similar to minors, kidnapping a female is treated with greater severity due to potential exploitation and vulnerability. It attracts a life sentence without requiring aggravating factors.
* **Public Officers:** Kidnapping someone in a position of public authority is seen as a serious attack on public order and safety. It also carries a life sentence.
* **Impersonation of Authority:** If the kidnappers posed as law enforcement or other officials to gain the victim's trust, it's considered an aggravating circumstance and increases the penalty.
* **Extent of Planning:** While not explicitly mentioned in the law, a well-planned and organized kidnapping might be seen as a more serious offense compared to a spontaneous act.
**Remember, these are just some of the factors influencing the severity of a kidnapping charge.** The specific details of each case are crucial. Consulting with a lawyer is essential to understand how these factors apply to your situation and the potential consequences you might face.
Here are some resources for further exploration:
* Revised Penal Code (Article 267): [https://lawphil.net/judjuris/juri2020/jan2020/gr_229086_2020.html](https://lawphil.net/judjuris/juri2020/jan2020/gr_229086_2020.html)</t>
  </si>
  <si>
    <t>Anong mga salik ang maaaring makaapekto sa kalubhaan ng singil sa pagkidnap?</t>
  </si>
  <si>
    <t>How does the law differentiate between kidnapping and other related offenses like false imprisonment?</t>
  </si>
  <si>
    <t>Philippine law distinguishes between kidnapping and false imprisonment, even though both involve depriving someone of their liberty. Here's a breakdown of the key differences:
**Kidnapping (Article 267, Revised Penal Code):**
* **Focuses on Movement:** Kidnapping typically involves taking someone away from their usual place against their will. This movement, or asportation, is a crucial element.
* **Duration Unimportant (Base Offense):** The base offense of kidnapping and serious illegal detention doesn't specify a minimum duration. However, longer captivity often leads to harsher penalties.
* **Aggravating Circumstances:** The presence of violence, threats, ransom demands, or targeting specific victims (minors, females, public officers) significantly increases the penalty for kidnapping.
**False Imprisonment:**
* **No Movement Required:** False imprisonment involves restricting someone's freedom of movement within a confined space, even their own home. Movement is not a necessary element.
* **Focuses on Unlawful Confinement:** The key element is the unlawful confinement or restraint of the victim's liberty.
* **Lesser Penalty:** False imprisonment is generally considered a less serious offense compared to kidnapping and carries a lighter penalty (maximum of six months imprisonment).
Here's a table summarizing the key differences:
| Feature | Kidnapping | False Imprisonment |
|--------------------------|----------------------------------------------|--------------------------------|
| Movement | Required (asportation) | Not Required |
| Duration | Can be relevant to penalty (harsher for longer) | Not a key factor |
| Aggravating Circumstances | Increase penalty (violence, ransom, etc.) | Not Applicable |
| Victim Type | May affect penalty (minors, females, etc.) | Not Applicable |
| Penalty | More severe (including death) | Less severe (max 6 months) |
**Remember, the specific facts of a case are crucial.** Sometimes, the line between kidnapping and false imprisonment can be blurry. Here are some additional points to consider:
* **Intent:** In kidnapping, the intent is typically to move the victim to a different location. In false imprisonment, the intent is to restrict their freedom in a confined space. However, proving intent can be complex. * **Duration:** While not a defining factor in the base offense of kidnapping, a very short duration might be more indicative of false imprisonment.
* **Legal Representation:** If facing accusations of either offense, consulting with a lawyer is crucial. They can analyze the specific details of your case and determine the most appropriate defense strategy.
Here are some resources for further exploration:
* Revised Penal Code (Article 267): [https://lawphil.net/judjuris/juri2020/jan2020/gr_229086_2020.html](https://lawphil.net/judjuris/juri2020/jan2020/gr_229086_2020.html)</t>
  </si>
  <si>
    <t>Paano pinagkaiba ng batas ang pagkidnap at iba pang kaugnay na pagkakasala tulad ng maling pagkakulong?</t>
  </si>
  <si>
    <t>What should I do if I've been wrongfully accused of kidnapping?</t>
  </si>
  <si>
    <t>Here's what you should do if you've been wrongfully accused of kidnapping in the Philippines:
**1. Stay Calm and Don't Resist:** If approached by law enforcement, remain calm and cooperate. Resisting arrest can be seen as an admission of guilt and lead to additional charges.
**2. Request a Lawyer Immediately:** Your most crucial step is to request a lawyer as soon as possible. You have the right to legal counsel under the Philippine Constitution (Section 2, Article III). Don't answer any questions or make any statements until you have spoken with your lawyer.
**3. Avoid Making Statements to Anyone But Your Lawyer:** Anything you say can be used against you. Your lawyer can advise you on what to say and how to best cooperate with the investigation while protecting your rights.
**4. Gather Evidence of Your Innocence:** If you have any evidence that proves your whereabouts or alibi during the alleged kidnapping, provide it to your lawyer. This could include receipts, witness testimonies, CCTV footage, or phone records.
**5. Cooperate with Your Lawyer's Defense Strategy:** Be honest and transparent with your lawyer about all the details of your situation. The more information they have, the better they can build a strong defense strategy to prove your innocence.
**Here are some resources that can be helpful:**
* **Public Attorney's Office (PAO):** The PAO provides free legal assistance to indigent Filipinos. You can contact your local PAO office for help finding a lawyer: [https://pao.gov.ph/](https://pao.gov.ph/)
* **Philippine Constitution:** [https://lawphil.net/consti/cons1987.html](https://lawphil.net/consti/cons1987.html)
**Remember:** This information is for general knowledge only and does not constitute legal advice. Every case is unique, and the specific steps will depend on the details of your situation. Consulting with a qualified lawyer as soon as possible is essential to protect your rights and fight the charges effectively.</t>
  </si>
  <si>
    <t>Are there any possible defenses against a kidnapping charge?</t>
  </si>
  <si>
    <t>Yes, Philippine law recognizes several defenses against a kidnapping charge under the Revised Penal Code (RPC). Here are some possibilities:
* **Consent:** The alleged victim willingly went with the accused and was not restrained or threatened. * **Honest Mistake:** The accused genuinely believed they had the right to take the person (e.g., a parent mistakenly taking a child during a custody dispute).
* **Lack of Criminal Intent:** The accused did not intend to kidnap the person (e.g., accidentally driving away with someone in the car).
* **Entrapment:** The accused was induced or persuaded by law enforcement to commit the crime.
**Relevant Law:**
* Article 267 of the Revised Penal Code defines and penalizes kidnapping and illegal detention [https://www.icj.org/se-asia-security-law/revised-penal-code-1930/articles-267-268-the-revised-penal-code-an-act-revising-the-penal-code-and-other-penal-laws-no-3815-december-8-1930/](https://www.icj.org/se-asia-security-law/revised-penal-code-1930/articles-267-268-the-revised-penal-code-an-act-revising-the-penal-code-and-other-penal-laws-no-3815-december-8-1930/)
**Important to Note:**
* The burden of proof lies with the accused to establish a valid defense. * These are just general examples, and the specific defense will depend on the circumstances of the case.
For a more nuanced understanding of defenses against kidnapping charges, it's highly recommended to consult with a Philippine lawyer who can analyze the details of your situation.</t>
  </si>
  <si>
    <t>How does the law handle cases where the alleged victim willingly went with the accused?</t>
  </si>
  <si>
    <t>In Philippine law, the fact that the alleged victim willingly went with the accused is a significant factor in kidnapping cases, but it doesn't automatically negate the possibility of a crime. Here's a breakdown based on the Revised Penal Code (RPC):
**Article 267 of the RPC** defines and penalizes kidnapping and illegal detention [https://lawphil.net/statutes/repacts/ra1954/ra_1084_1954.html](https://lawphil.net/statutes/repacts/ra1954/ra_1084_1954.html). It differentiates between two situations:
1. **Kidnapping:** When the illegal detention lasts for more than three (3) days.
2. **Illegal Detention:** When the illegal detention lasts for less than three (3) days.
**Consent and the Defense:**
The alleged victim's consent is crucial, but it's evaluated within the context of the situation. Here's how the law might view it:
* **Genuine Consent:** If the alleged victim truly consented to going with the accused without any force, intimidation, or coercion, it can be a strong defense against kidnapping charges. * **Feigned Consent:** Consent obtained through threats, promises, or manipulation wouldn't be considered genuine. This can strengthen the kidnapping case.
* **Age of Consent:** Minors (below 18 years old) cannot legally give consent for situations that could put them at risk. Even if a minor willingly goes with someone, it might still be considered kidnapping.
**Burden of Proof:**
The prosecution has the burden to prove that the following elements were present:
* The accused illegally detained the victim.
* The detention lasted for the corresponding period (more than 3 days for kidnapping, less than 3 days for illegal detention).
**Case Analysis:**
Courts will analyze the totality of the circumstances to determine if the act constitutes kidnapping. Here are some factors they might consider:
* **Nature of the Relationship:** Was there a preexisting relationship between the accused and the alleged victim? * **Duration of Absence:** How long was the alleged victim detained?
* **Restrictions on Freedom:** Was the alleged victim's freedom of movement restricted? **Recommendation:**
If you're involved in a case where the alleged victim willingly went with you, it's crucial to consult with a Philippine lawyer. They can analyze the specific details and advise you on the appropriate legal strategy based on Philippine law and jurisprudence (court decisions).</t>
  </si>
  <si>
    <t>What role does intent play in a kidnapping case?</t>
  </si>
  <si>
    <t>Intent plays a crucial role in kidnapping cases under Philippine law, particularly the Revised Penal Code (RPC). Here's how:
**The Two Elements of Kidnapping:**
Article 267 of the RPC defines kidnapping and illegal detention [https://lawphil.net/judjuris/juri1964/mar1964/gr_l-21991_1964.html](https://lawphil.net/judjuris/juri1964/mar1964/gr_l-21991_1964.html). It outlines two key elements that the prosecution must prove for a conviction:
1. **Illegal Detention:** The accused deprived the victim of their liberty without legal justification.
2. **Duration:** The detention lasted for a specific period:
* **Kidnapping:** More than three (3) days.
* **Illegal Detention:** Less than three (3) days.
**Intent and Criminal Liability:**
Philippine law follows the principle of **actus reus** (guilty act) and **mens rea** (guilty mind). This means that for a crime to be committed, there must be both a wrongful act (actus reus) and a criminal intent (mens rea) on the part of the accused.
In kidnapping cases, intent can be categorized into two main types:
* **Specific Intent:** The accused had the deliberate intention to deprive the victim of their liberty for a specific purpose (e.g., ransom, revenge). This is the most common type of intent in kidnapping cases.
* **General Criminal Intent:** The accused knew their actions would likely result in the victim's illegal detention, even if it wasn't their primary goal. (e.g., forcefully taking someone away during a fight). **Examples of How Intent Affects Kidnapping Charges:**
* **Absence of Intent:** If the accused accidentally locked someone in a room without realizing it, and the person was freed shortly after, the lack of intent to detain might negate kidnapping charges. * **Mistaken Belief:** If a parent mistakenly took their child during a custody dispute, believing they had the legal right, the court might consider their intent and potentially reduce the charges.
**Mitigating Circumstances:**
The accused's intent can also influence the penalty if convicted. The presence of mitigating circumstances, like lack of intent to cause harm, could lead to a lighter sentence.
**Importance of Consulting a Lawyer:**
Understanding the role of intent in kidnapping cases is complex. If you're facing such charges or involved in a situation where the line between consent and kidnapping is blurred, consulting with a Philippine lawyer is crucial. They can analyze the specific facts, assess your intent, and advise on the appropriate legal defense strategy based on Philippine law and judicial interpretations.</t>
  </si>
  <si>
    <t>Can kidnapping charges be dropped if the alleged victim recants their statement?</t>
  </si>
  <si>
    <t>In Philippine law, a kidnapping charge might not be automatically dropped simply because the alleged victim recants their statement. Here's a breakdown:
* **Recantation's Impact:** While a recantation can weaken the prosecution's case, it doesn't guarantee dismissal. * **Prosecutorial Discretion:** The prosecutor ultimately decides whether to pursue the charges. They might consider:
* **Strength of Other Evidence:** If there's strong independent evidence (witness testimonies, CCTV footage, etc.) supporting the kidnapping, the case might proceed despite the recantation. * **Reasons for Recantation:** The prosecutor will likely investigate why the alleged victim recanted. Fear, intimidation, or pressure from the accused could cast doubt on the recantation's validity.
**Relevant Laws:**
* Philippine law doesn't have a specific provision addressing recantation in kidnapping cases. However, the principle of **"free will"** applies. The court considers whether the alleged victim's initial statement and recantation were made freely and voluntarily.
**Possible Outcomes:**
* **Dropped Charges:** If the recantation is deemed credible and there's minimal supporting evidence, the prosecutor might dismiss the case. * **Reduced Charges:** If the recantation weakens the case but doesn't completely negate it, the charges might be reduced (e.g., from kidnapping to illegal detention). * **Continued Prosecution:** Despite the recantation, the case might proceed based on other evidence.
**Risks of Recantation:**
* **Perjury Charges:** If the investigation reveals the alleged victim lied in their initial statement, they could face perjury charges.
* **Lack of Protection:** Recanting might expose the alleged victim to further threats or intimidation if the accused isn't truly remorseful.
**Recommendation:**
If you're involved in a kidnapping case where the alleged victim wants to recant, consulting a Philippine lawyer is crucial. They can:
* Advise on the legal implications of recantation.
* Help navigate the interaction with law enforcement and the court system.
* Represent the accused or the alleged victim, depending on the situation.
**Remember:** This information provides a general overview. For specific legal advice regarding your situation, consulting a qualified Philippine lawyer is highly recommended.</t>
  </si>
  <si>
    <t>How does jurisdiction affect kidnapping cases, especially if the incident occurred across state lines?</t>
  </si>
  <si>
    <t>In the Philippines, kidnapping is a national crime, so state lines wouldn't be a factor within the country. However, jurisdiction becomes relevant if the kidnapping involves crossing international borders. Here's a breakdown:
**National Crime:**
* Philippine law treats kidnapping as a national crime under the Revised Penal Code (RPC), specifically Article 267 [https://www.icj.org/se-asia-security-law/revised-penal-code-1930/articles-267-268-the-revised-penal-code-an-act-revising-the-penal-code-and-other-penal-laws-no-3815-december-8-1930/](https://www.icj.org/se-asia-security-law/revised-penal-code-1930/articles-267-268-the-revised-penal-code-an-act-revising-the-penal-code-and-other-penal-laws-no-3815-december-8-1930/). * This means any kidnapping case falls under the jurisdiction of Philippine courts, regardless of the location within the Philippines.
**International Kidnapping:**
* If the kidnapping involves taking the victim outside the Philippines, jurisdiction becomes more complex:
* **Treaties:** The Philippines might have existing treaties with the other country regarding international kidnapping. These treaties outline which country has jurisdiction to prosecute the crime.
* **International Law:** Principles of international law, like territorial jurisdiction and nationality jurisdiction, might also come into play.
**Challenges of International Cases:**
* International kidnapping cases can be intricate due to:
* **Conflicting Jurisdictions:** Both the Philippines and the other country might claim jurisdiction.
* **Extradition Processes:** Extradition involves one country formally surrendering a suspect to another for trial. This process can be lengthy and complex.
* **Gathering Evidence:** Collecting evidence across borders can be challenging.
**Recommendation:**
* If you're involved in an international kidnapping case, seeking help from a lawyer specializing in international law is crucial. They can navigate the complexities of jurisdiction, extradition, and evidence gathering.
**Additional Considerations:**
* Philippine law enforcement agencies might still be involved in international kidnapping cases, even if another country has jurisdiction. They can cooperate with foreign authorities in investigations and victim recovery.
* Families of kidnapping victims can also explore seeking justice through international organizations that advocate for victims of crime.
Remember, this is a simplified overview. For specific legal advice on international kidnapping cases, consulting with a qualified Philippine lawyer with expertise in international law is highly recommended.</t>
  </si>
  <si>
    <t>Is there a statute of limitations for kidnapping charges?</t>
  </si>
  <si>
    <t>In the Philippines, there is **no statute of limitations for kidnapping charges**. This means that authorities can prosecute a kidnapping case regardless of how much time has passed since the crime occurred.
Here's why:
* **Serious Crime:** Kidnapping is considered a heinous crime in the Philippines, causing immense physical and psychological harm to the victim. There's a strong public interest in holding perpetrators accountable, regardless of the time elapsed.
* **Gathering Evidence:** Complex kidnapping cases might take time to investigate and gather evidence. The absence of a statute of limitations allows for a thorough investigation to bring the accused to justice.
* **Continuing Harm:** The effects of kidnapping on the victim and their family can be long-lasting. This ongoing harm justifies the possibility of prosecution even after a significant time has passed.
**Source:**
While Philippine law doesn't have a specific code addressing the statute of limitations for kidnapping, numerous resources confirm this point. Here are some examples:
* Find the Kids - Can a Parent Be Charged with Kidnapping in the Philippines? [https://findthekids.org/2022/09/can-a-parent-be-charged-with-kidnapping-in-the-philippines/](https://findthekids.org/2022/09/can-a-parent-be-charged-with-kidnapping-in-the-philippines/) highlights the absence of a statute of limitations for kidnapping.
* Spodek Law Group - Kidnapping + Laws, Charges &amp; Statute of Limitations [https://www.federallawyers.com/criminal-defense/federal-statutes-of-limitations/](https://www.federallawyers.com/criminal-defense/federal-statutes-of-limitations/) discusses kidnapping as a crime with no statute of limitations, although this source is from a US law firm, the principle applies in the Philippines.
**Important Note:**
The absence of a statute of limitations applies to prosecuting the crime. However, there might be time limits for filing civil lawsuits related to the kidnapping, such as seeking compensation for damages. A Philippine lawyer can provide more specific guidance on this aspect.</t>
  </si>
  <si>
    <t>How does the law address parental kidnapping or custodial interference cases?</t>
  </si>
  <si>
    <t>Unlike some countries, Philippine law doesn't treat parental kidnapping or custodial interference as a separate criminal offense. Here's a breakdown of the relevant legal aspects:
* **Civil Dispute:** Philippine law considers parental kidnapping or custodial interference as a civil dispute regarding child custody. * **Custody Rights:** The focus lies on determining and enforcing existing custody rights established through:
* **Court Orders:** If a court has issued a custody order outlining visitation and residency arrangements, violating those orders could lead to contempt of court proceedings.
* **Separation Agreements:** If parents have a separation agreement with a custody arrangement, breaching it might be addressed through civil litigation.
**Recovering the Child:**
* **Writs:** The left-behind parent can file a petition with the court for a writ of habeas corpus. This writ compels the person holding the child to appear before the court and justify the detainment.
* **Law Enforcement Assistance:** Authorities can assist in locating and recovering the child, especially if there's a court order in place.
**International Parental Abduction:**
* If the child is taken outside the Philippines, the Philippines might invoke the Hague Convention on Child Abduction [https://www.hcch.net/en/instruments/conventions/specialised-sections/child-abduction](https://www.hcch.net/en/instruments/conventions/specialised-sections/child-abduction) This international treaty establishes a framework for the prompt return of abducted children.
**Challenges:**
* Lengthy Process: Resolving parental kidnapping cases through the court system can be lengthy and emotionally draining. * Lack of Criminal Charges: The absence of criminal charges specifically for parental kidnapping might be seen as a disadvantage for the left-behind parent.
**Importance of Legal Counsel:**
* Consulting a Philippine lawyer experienced in family law is crucial in these situations. They can advise on the most effective course of action to recover the child and enforce existing custody arrangements.
**Additional Considerations:**
* While Philippine law doesn't treat it as a crime, parental kidnapping can still have serious consequences. The left-behind parent might be awarded sole custody or restricted visitation rights for the parent who took the child.
* Philippine law is constantly evolving, and there might be ongoing legislative efforts to address parental kidnapping more directly. A lawyer can keep you updated on any legal developments. Remember, this is a simplified overview. For specific legal advice regarding parental kidnapping or custodial interference, consulting a qualified Philippine lawyer specializing in family law is highly recommended.</t>
  </si>
  <si>
    <t>What are the potential consequences if a child is involved in a kidnapping case?</t>
  </si>
  <si>
    <t>In the Philippines, a child's involvement in a kidnapping case can have severe consequences, both physically and emotionally. Here's a breakdown of the potential impacts:
**Physical Harm:**
* **Injuries:** During the kidnapping, the child might be subjected to violence or restraint, leading to physical injuries.
* **Neglect:** The child's basic needs for food, water, shelter, and medical care might not be met during their captivity, impacting their health.
**Emotional Trauma:**
* **Fear and Anxiety:** The experience of being kidnapped can be incredibly frightening and lead to long-lasting anxiety and fear.
* **Post-traumatic Stress Disorder (PTSD):** In severe cases, the child might develop PTSD, characterized by nightmares, flashbacks, and difficulty coping with everyday life.
* **Attachment Issues:** The child might have difficulty trusting adults or forming healthy attachments after a kidnapping experience.
**Social Impact:**
* **School Withdrawal:** The emotional trauma can affect the child's ability to concentrate and participate in school activities.
* **Social Isolation:** The child might withdraw from social interactions due to fear or difficulty trusting others.
* **Behavioral Problems:** The child might exhibit behavioral problems like aggression, acting out, or self-harm as a way to cope with the trauma.
**Protection and Support:**
Here are some resources available to help children who have been involved in kidnapping cases:
* **Government Agencies:** The Department of Social Welfare and Development (DSWD) [https://www.dswd.gov.ph/](https://www.dswd.gov.ph/) offers assistance to victims of crime, including children.
* **Non-Governmental Organizations (NGOs):** Numerous NGOs work with child victims of crime, providing counseling, rehabilitation, and support services. * **Trauma-Informed Therapists:** Seeking professional help from therapists specializing in trauma can significantly help the child process and heal from their experience.
**Importance of Intervention:**
Early intervention and access to support services are crucial for a child's recovery after a kidnapping. This can help them cope with the emotional trauma, minimize long-term consequences, and rebuild their lives.
**Disclaimer:** This information is intended for general knowledge and should not be taken as a substitute for professional medical or psychological advice. If a child has been involved in a kidnapping, seeking professional help from a therapist or counselor is highly recommended.</t>
  </si>
  <si>
    <t>How does the involvement of firearms or other weapons impact a kidnapping charge?</t>
  </si>
  <si>
    <t>In the Philippines, the involvement of firearms or other weapons in a kidnapping case can significantly increase the severity of the charges and potential penalties. Here's a breakdown of the impact:
**Increased Charge:**
* Simple Kidnapping vs. Qualified Kidnapping: The Revised Penal Code (RPC) differentiates between simple kidnapping and qualified kidnapping (Article 267) [https://lawphil.net/statutes/repacts/ra1954/ra_1084_1954.html](https://lawphil.net/statutes/repacts/ra1954/ra_1084_1954.html). Simple kidnapping carries a lesser penalty compared to qualified kidnapping.
* Using a firearm or other deadly weapon is considered a qualifying circumstance, automatically elevating the charge to qualified kidnapping. **Qualifying Circumstances:**
Here are some specific ways firearms or other weapons can elevate the kidnapping charge to qualified kidnapping:
* **Threat with a Weapon:** Even if the firearm isn't discharged, threatening the victim with a firearm or other dangerous weapon during the kidnapping qualifies it.
* **Use of a Weapon to Restrain:** Using a weapon to restrain or harm the victim during the kidnapping qualifies it.
**Harsher Penalties:**
Qualified kidnapping carries a much harsher penalty compared to simple kidnapping. The penalty for qualified kidnapping can range from reclusion perpetua (life imprisonment) to death, depending on the presence of additional qualifying circumstances.
**Examples of Increased Penalties:**
Here's a simplified comparison to illustrate the impact:
* **Simple Kidnapping:** Imprisonment for a minimum of 6 months and 1 day to 7 years (without serious physical harm)
* **Qualified Kidnapping:** Reclusion perpetua (life imprisonment) to death (with presence of additional qualifying circumstances)
**Important Notes:**
* The specific penalty will depend on the exact circumstances of the case and the judge's discretion. * Even if the kidnapping doesn't involve a firearm, other factors like causing serious physical harm to the victim can also elevate the charge to qualified kidnapping.
**Recommendation:**
If you're involved in a kidnapping case where firearms or other weapons were used, consulting a Philippine lawyer is crucial. They can analyze the specific details and advise you on the potential charges and legal strategies based on Philippine law and jurisprudence (court decisions).</t>
  </si>
  <si>
    <t>Can accomplices in a kidnapping case be charged differently?</t>
  </si>
  <si>
    <t>Yes, accomplices in a kidnapping case in the Philippines can be charged differently from the principal perpetrators, depending on their level of involvement and intent. Here's a breakdown based on Philippine law, specifically the Revised Penal Code (RPC):
**Principal vs. Accomplice:**
* **Principal:** The person who directly commits the crime of kidnapping or participates in its execution with the same level of criminal intent as the main perpetrator.
* **Accomplice:** Someone who, with knowledge of the criminal plan, cooperates in the execution of the kidnapping by providing assistance or encouragement, but to a lesser degree than the principal. **Degrees of Liability for Accomplices:**
The RPC recognizes different degrees of liability for accomplices (Article 18) [invalid URL removed]:
1. **Inducers:** Those who directly persuade, incite, or move another person to commit the crime.
2. **Accomplices by Cooperation:** Those who cooperate in the execution of the act by performing material acts without which the crime wouldn't have been accomplished. (e.g., driving the getaway car) 3. **Accomplices by Moral Aid:** Those who provide encouragement or moral support to the principal without directly participating in the physical act.
**Charging Accomplices:**
* **Same Crime:** In some cases, accomplices might be charged with the same crime as the principal (e.g., qualified kidnapping with a firearm) if their level of involvement and intent were significant.
* **Lesser Charge:** For accomplices with a lesser degree of involvement or intent, the charges might be reduced. (e.g., accessory to kidnapping)
**Factors Affecting Charges:**
Here are some factors that can influence the charges against accomplices:
* **Level of Participation:** The extent of the accomplice's assistance in planning or executing the kidnapping.
* **Knowledge and Intent:** Whether the accomplice knew about the plan and intended to facilitate the kidnapping.
* **Degree of Involvement:** How crucial was the accomplice's role in the success of the crime?
**Importance of Legal Counsel:**
If you're involved in a kidnapping case as an accomplice, consulting a Philippine lawyer is crucial. They can:
* Analyze the details of your involvement and assess the potential charges you might face.
* Explore possible defenses based on your level of knowledge and intent.
* Represent you in court and negotiate with prosecutors on your behalf. **Disclaimer:** This information provides a general overview. For specific legal advice regarding your situation as an accomplice in a kidnapping case, consulting a qualified Philippine lawyer is highly recommended.</t>
  </si>
  <si>
    <t>What should I do if I suspect my child has been kidnapped by their other parent?</t>
  </si>
  <si>
    <t>Here's what you should do if you suspect your child has been kidnapped by their other parent in the Philippines:
**Immediate Steps:**
1. **Contact the Authorities:** File a police report immediately. Provide all details about your child, the other parent, and any information you have about the potential kidnapping. 2. **Gather Evidence:** Collect any documents that might be helpful, such as custody agreements, passports, recent photos of your child, or proof of your relationship with the child.
**Legal Measures:**
1. **Consult a Lawyer:** A lawyer specializing in family law can advise you on your legal rights and options. They can help you file a petition for a writ of habeas corpus, which compels the other parent to appear before the court and justify detaining the child.
2. **Custody Agreement Enforcement:** If you have a court-ordered custody agreement and the other parent is violating it, your lawyer can help you enforce the agreement through the court system.
**Finding Your Child:**
1. **Work with Law Enforcement:** Cooperate fully with the police investigation. Provide any information you think might help locate your child.
2. **Contact NGOs:** Some Non-Governmental Organizations (NGOs) specialize in missing children's cases. They might offer resources and support in finding your child.
**Additional Tips:**
* **Don't Publicly Accuse the Other Parent:** This could potentially put your child at risk. * **Maintain Communication:** While communication with the other parent might be difficult, consider reaching out if you have any credible leads on their whereabouts. * **Take Care of Yourself:** This is a stressful situation. Seek emotional support from trusted friends, family, or a therapist.
**Important Note:**
The Philippines is not a signatory to the Hague Convention on Child Abduction [https://www.hcch.net/en/instruments/conventions/specialised-sections/child-abduction](https://www.hcch.net/en/instruments/conventions/specialised-sections/child-abduction). This international treaty streamlines the process of returning abducted children across borders. Since the other parent is within the Philippines, the Hague Convention wouldn't apply in this case. **Remember:** This is a critical situation, and taking immediate action is crucial. Consulting a lawyer specializing in family law is highly recommended. They can guide you through the legal process, protect your rights, and help you find your child.</t>
  </si>
  <si>
    <t>How does the law handle international kidnapping cases?</t>
  </si>
  <si>
    <t>International kidnapping cases, where a child is taken across international borders, involve a complex interplay of laws and jurisdictions. Here's a breakdown of how the law generally handles these situations:
**International Treaties:**
* **Hague Convention on the Civil Aspects of International Child Abduction:** This is the most important international treaty regarding child abduction. It establishes a framework for the prompt return of children wrongfully removed or retained in a country that's a signatory [https://www.hcch.net/en/instruments/conventions/specialised-sections/child-abduction](https://www.hcch.net/en/instruments/conventions/specialised-sections/child-abduction).
**Key Points of the Hague Convention:**
* **Central Authorities:** Each signatory country designates a Central Authority to handle requests for the return of abducted children. * **Prompt Return:** The focus is on the prompt return of the child to their country of habitual residence, where they were before the wrongful removal or retention.
* **Defenses:** The convention allows for some exceptions and defenses for not returning the child, such as if the child objects due to their maturity and age, or if there's a risk of harm in their home country.
**Other Relevant Laws:**
* **Domestic Laws:** The Philippines and the other country involved will have their own domestic laws regarding kidnapping and child custody. These laws might come into play alongside the Hague Convention.
* **International Law:** Principles of international law, such as territorial jurisdiction and nationality jurisdiction, could also be factors in complex cases.
**Challenges of International Cases:**
* **Jurisdictional Conflicts:** Both the Philippines and the other country might claim jurisdiction, leading to delays.
* **Extradition Processes:** If criminal charges are pursued against the abductor, extradition processes to bring them back to the Philippines for trial can be lengthy.
* **Gathering Evidence:** Collecting evidence across borders can be challenging and time-consuming.
**Seeking Help:**
* **Lawyer Specialized in International Law:** A lawyer with expertise in international law and child abduction cases is crucial. They can navigate the complexities of jurisdiction, extradition, and the Hague Convention process.
* **Government Agencies:** The Department of Social Welfare and Development (DSWD) in the Philippines can offer assistance and connect you with relevant resources.
**Additional Considerations:**
* **International Cooperation:** Law enforcement agencies in the Philippines and the other country might cooperate to locate the child. * **Non-Governmental Organizations (NGOs):** NGOs specializing in missing children's cases can provide support and resources for families involved in international abduction cases.
**Remember:** This is a simplified overview. Every case is unique. Consulting with a qualified lawyer specializing in international family law and child abduction is essential for navigating the legal complexities and increasing the chances of a safe and swift return of your child.</t>
  </si>
  <si>
    <t>Are there any specific protocols or legal procedures to follow in cases of suspected kidnapping?</t>
  </si>
  <si>
    <t>In the Philippines, there are specific protocols and legal procedures to follow if you suspect your child or someone else has been kidnapped. Here's a breakdown of the key steps:
**Immediate Action:**
1. **Contact Law Enforcement:** This is the most crucial step. Call the police emergency hotline (117) or proceed to the nearest police station to file a report. Provide all details about the victim, any potential suspects, and the circumstances surrounding the disappearance. 2. **Gather Information:** While waiting for the police, collect any information that might be helpful. This could include:
* Recent photos of the victim.
* Details about the victim's clothing and any identifying features.
* Information about the victim's daily routine and potential whereabouts.
* Any evidence of a struggle or suspicious activity.
**Legal Measures:**
1. **Work with the Police Investigator:** Cooperate fully with the police investigation. Provide any information you have and answer their questions truthfully. 2. **Consult a Lawyer:** A lawyer specializing in family law (if a child is involved) or criminal law can advise you on your legal rights and options. They can also help you navigate the legal processes involved in the case.
**Finding the Victim:**
1. **Search Efforts:** Depending on the circumstances, you might be involved in search efforts coordinated with the police. 2. **Media Outreach:** In some cases, with police approval, you might consider working with media outlets to share information about the missing person and raise public awareness.
**Additional Resources:**
* **Government Agencies:** The Department of Social Welfare and Development (DSWD) offers support and resources for families of missing persons. * **Non-Governmental Organizations (NGOs):** Several NGOs specialize in missing children's cases. They can offer support groups, counseling, and assistance in finding missing loved ones.
**Important Notes:**
* **Do Not Publicly Accuse Suspects:** This could potentially put the victim at risk. * **Maintain Communication:** While communication with the suspected kidnapper might be tough, if you receive any credible information about the victim's whereabouts, consider reaching out to the authorities.
* **Take Care of Yourself:** This is an incredibly stressful situation. Seek emotional support from trusted friends, family, or a therapist.
**Here are some additional points to remember:**
* **Preservation of Evidence:** Avoid disturbing potential crime scenes or altering evidence. Leave that to the police investigators.
* **False Reports:** Filing a false kidnapping report is a crime itself. Make sure you have a genuine reason to suspect a kidnapping before contacting the authorities.
* **Cooperation is Key:** Working collaboratively with law enforcement, legal counsel, and relevant resources is crucial for a successful investigation and the safe return of the victim.
By following these protocols and legal procedures, you can increase the chances of a positive outcome in a suspected kidnapping case. Remember, acting swiftly and providing accurate information to authorities is essential.</t>
  </si>
  <si>
    <t>How does the law address ransom demands in kidnapping cases?</t>
  </si>
  <si>
    <t>Philippine law treats kidnapping with ransom demands very seriously. The main law involved is the Revised Penal Code (RPC), specifically **Article 267**, entitled "Kidnapping and Serious Illegal Detention."
Here's a breakdown of how the law addresses ransom demands:
* **It increases the penalty:** Article 267 prescribes a range of penalties for kidnapping depending on the duration and circumstances. However, the **death penalty** is mandated **if the kidnapping is committed for the purpose of extorting ransom** from the victim or any other person (regardless of the duration).
* **It doesn't consider the ransom amount:** The severity of the crime isn't based on the amount of ransom demanded. The act of demanding ransom itself elevates the crime to a level punishable by death. **However, it's important to note:**
* **Death penalty is not automatic:** The Philippines currently observes a moratorium on executions, meaning the death penalty is not imposed in practice. In kidnapping with ransom cases, **reclusion perpetua** (life imprisonment) is the current maximum penalty.
Here are some additional resources you might find helpful:
* **Revised Penal Code (Article 267):** You can find the full text of Article 267 on the official website of the Supreme Court E-Library [https://elibrary.judiciary.gov.ph/thebookshelf/showdocs/21/51169](https://elibrary.judiciary.gov.ph/thebookshelf/showdocs/21/51169)
* **Death penalty in the Philippines:** While the death penalty remains part of the law, its current status can be found on reputable news sources.</t>
  </si>
  <si>
    <t>Can I be charged with kidnapping if I was unaware that the individual was being held against their will?</t>
  </si>
  <si>
    <t>Philippine law considers the mental state of the accused in kidnapping cases. Here's what the Revised Penal Code (RPC) states regarding the accused's knowledge of the victim's will:
* **Lack of knowledge can be a defense:** Article 267 of the RPC doesn't explicitly mention the accused's knowledge of the victim's will. However, Article 4 of the RPC covers criminal liability and states that **criminal intent (mens rea)** is a prerequisite for an act to be a crime. This means that **if you can demonstrably prove you were unaware the person was being held against their will, you might have a defense** against a kidnapping charge.
* **Knowledge can be implied:** However, the law can also **imply knowledge** based on the circumstances. For instance, if you were actively involved in restraining the person or keeping them confined, it would be difficult to argue you were unaware of their situation.
**In conclusion:**
* Unknowingly participating in kidnapping can be a defense, but it depends on the specific circumstances.
* The burden of proof lies with you to demonstrate a lack of knowledge.
**Recommendation:**
If you find yourself in a situation where you are unsure about someone's freedom or concerned about potential kidnapping, it's always best to **err on the side of caution**. Report the situation to the authorities immediately.</t>
  </si>
  <si>
    <t>How does the law define consent in kidnapping cases, especially when coercion or duress is involved?</t>
  </si>
  <si>
    <t>Philippine law doesn't provide a specific definition of consent in kidnapping cases within the Revised Penal Code (RPC). However, we can glean its meaning through relevant legal concepts:
* **Free will is essential:** As mentioned earlier, Article 4 of the RPC emphasizes **criminal intent (mens rea)**. In kidnapping, this translates to the **absence of the victim's free will**.
* **Coercion negates consent:** Coercion, which falls under the concept of **duress**, renders any consent invalid. Article 31 of the RPC defines duress as a threat that creates a "grave and imminent danger to the life, limb, or honor" of the victim or their loved ones, forcing them to act against their will. **If a victim submits to being taken due to coercion, it wouldn't be considered consent** in a kidnapping case.
Here's how this applies to kidnapping with coercion or duress:
* **Threats can invalidate consent:** Imagine a scenario where someone threatens violence if a person doesn't go with them. The victim, fearing for their safety, reluctantly agrees. In this case, the law would likely consider the victim's agreement as **coerced** and not true consent.
* **Severity of threat matters:** The gravity of the threat is important. For instance, if someone is pressured to go somewhere with a mild threat (like social embarrassment), it might not be enough to overcome their will. However, threats of serious harm would likely be considered duress. **Remember:**
* **The burden of proof lies with the accused.** If you're claiming the victim wasn't truly consenting due to coercion, you'd need to present evidence to support your claim.
**In conclusion:**
Philippine law protects individuals from being forced into situations against their will. Coercion or duress can negate any perceived consent in a kidnapping case. If you have any doubts about the situation, it's always best to avoid getting involved and report it to the authorities.</t>
  </si>
  <si>
    <t>Can kidnapping charges be reduced or dismissed through a plea bargain?</t>
  </si>
  <si>
    <t>The possibility of plea bargaining in kidnapping cases in the Philippines is complex. Here's a breakdown based on the Revised Penal Code (RPC) and current practices:
* **Plea bargaining is possible under certain conditions:** Republic Act No. 9484, also known as the "Speedy Trial Act of 2009", introduced plea bargaining agreements to Philippine law. However, **plea bargaining is not allowed for all crimes**, and kidnapping with ransom is one of the exceptions listed under the law.
* **Some exceptions might exist:** There is some debate among legal professionals on whether plea bargaining might be applicable in **special circumstances** related to kidnapping without ransom. The details and limitations would depend on the specific circumstances of the case. * **Court approval is mandatory:** Even when plea bargaining is an option, the judge has the final say on whether to accept the agreement. The court considers various factors such as the severity of the crime, the presence of coercion, and the potential for rehabilitation of the accused.
**In conclusion:**
* Plea bargaining for kidnapping with ransom is generally not allowed.
* There might be a possibility for plea bargaining in kidnapping without ransom depending on the specific circumstances, but it's subject to court approval.
**Recommendation:**
If you are facing kidnapping charges, it's crucial to consult with a qualified lawyer who can advise you on the specifics of your case and the possibility of plea bargaining considering the latest interpretations of the law.</t>
  </si>
  <si>
    <t>What should I expect during the legal process if I've been charged with kidnapping?</t>
  </si>
  <si>
    <t>The Philippine legal process for kidnapping charges can be complex and stressful. Here's a general overview of what to expect, based on the Revised Penal Code (RPC) and standard procedures:
**Initial Stages:**
1. **Arrest and Investigation:** If you're arrested for kidnapping, you have the right to remain silent and to request a lawyer. The police will conduct an investigation to gather evidence.
2. **Filing of Charges:** If the evidence suggests probable cause, the prosecutor will file a formal charge (information) with the court.
3. **Preliminary Investigation:** A judge will conduct a preliminary investigation to determine if there's enough evidence to proceed to trial. You or your lawyer can present counter-arguments at this stage. **Trial Process:**
* **Arraignment:** If the case moves forward, you'll be arraigned in court. This is where you formally enter a plea of guilty or not guilty.
* **Plea Bargaining:** As discussed previously, plea bargaining for kidnapping with ransom is unlikely. However, depending on the specific circumstances of your case without ransom, your lawyer might explore this option with the prosecutor and the court's approval.
* **Trial:** If there's no plea bargain, a trial will be held. The prosecution will present evidence to prove your guilt beyond reasonable doubt. You and your lawyer will have the opportunity to present a defense and challenge the prosecution's case.
* **Sentencing:** If found guilty, the court will impose a sentence based on the specific details of your case and the applicable provisions of the RPC (refer to previous discussions on penalties for kidnapping).
**Important Considerations:**
* **Right to Legal Counsel:** Throughout the process, you have the right to be represented by a lawyer. A qualified lawyer can advise you on your rights, represent you in court, and help navigate the complexities of the legal system.
* **Length of Process:** The legal process can take a significant amount of time, depending on the complexity of the case and court backlogs. * **Presumption of Innocence:** Remember, you are presumed innocent until proven guilty beyond reasonable doubt. **This is a general overview, and the specifics of your case might differ.** It's highly recommended to consult with a qualified lawyer who can provide specific guidance based on your situation.</t>
  </si>
  <si>
    <t>How do I go about obtaining legal representation for a kidnapping case?</t>
  </si>
  <si>
    <t>Here are some ways to obtain legal representation for a kidnapping case in the Philippines:
**1. Public Attorney's Office (PAO):**
* The PAO is a government agency that provides free legal assistance to indigent Filipinos facing criminal charges. This could be a good option if you cannot afford a private lawyer.
* You can find your nearest PAO office through their website [https://pao.gov.ph/](https://pao.gov.ph/) or by calling their hotline (02) 8529-5225.
**2. Integrated Bar of the Philippines (IBP):**
* The IBP is the national organization of lawyers in the Philippines. They offer a lawyer referral service that can connect you with a qualified lawyer who specializes in criminal defense.
* You can visit the IBP website [https://www.ibp.ph/](https://www.ibp.ph/) or call their Manila office at (02) 8890-1600 for more information.
**3. Law Schools:**
* Some law schools in the Philippines offer legal assistance programs to the public. These programs are often staffed by law students supervised by qualified lawyers.
* You can contact law schools in your area to inquire about their legal assistance programs.
**4. Private Lawyers:**
* If you can afford it, hiring a private lawyer experienced in handling kidnapping cases is recommended. A private lawyer can provide more personalized attention and may have a deeper understanding of the intricacies of such cases.
* You can ask friends, family, or other lawyers for recommendations on qualified criminal defense lawyers.
**Here are some additional tips for finding a lawyer:**
* **Interview several lawyers:** Before making a decision, meet with a few different lawyers to discuss your case and get a sense of their experience and approach.
* **Ask about fees:** Be sure to ask about the lawyer's fees upfront and how they will be structured.
* **Feel comfortable with your lawyer:** It's important to feel comfortable communicating openly and honestly with your lawyer. You should feel confident in their ability to represent you effectively.
Remember, obtaining legal representation is crucial when facing kidnapping charges. Don't hesitate to seek help and exercise your right to a fair defense.</t>
  </si>
  <si>
    <t>What role does evidence play in proving or disproving a kidnapping charge?</t>
  </si>
  <si>
    <t>Evidence plays a critical role in both proving and disproving kidnapping charges in the Philippines. Here's a breakdown based on the Revised Penal Code (RPC) and standard legal procedures:
**Prosecution's Case (Proving Kidnapping):**
* The prosecution must present evidence to convince the court beyond reasonable doubt that the accused committed kidnapping. This evidence can include:
* **Witness testimonies:** Statements from people who witnessed the alleged abduction or who can confirm the victim's restricted freedom.
* **Physical evidence:** Anything tangible linking the accused to the crime scene or the victim, such as clothing fibers, fingerprints, or CCTV footage.
* **Electronic evidence:** Text messages, call logs, or social media posts that can support the prosecution's narrative.
* **Expert testimonies:** If relevant, experts such as medical professionals (to document injuries) or forensic analysts (to examine physical evidence) might be called upon. **Defense Against Kidnapping Charges:**
* You or your lawyer can present evidence to cast doubt on the prosecution's case or introduce an alibi. Here are some examples:
* **Alibi witnesses:** Individuals who can verify your whereabouts at the time of the alleged kidnapping.
* **Evidence of mistaken identity:** Proof that you were not the person involved in the abduction.
* **Evidence of consent:** In limited circumstances, if you can demonstrate the victim willingly went with you and was not coerced, it could help your defense (consult a lawyer on the applicability in your case).
**Remember, the burden of proof lies with the prosecution.** They must convince the court of your guilt beyond reasonable doubt. Your lawyer can help develop a defense strategy to challenge the prosecution's evidence and raise reasonable doubt.
Here are some additional points to consider:
* **The type of kidnapping** (with ransom or without ransom) can influence the kind of evidence presented.
* **The specific circumstances** of the case will determine the most relevant evidence. **In conclusion:**
A thorough investigation and well-presented evidence are essential for both the prosecution and the defense in kidnapping cases. Consulting with a qualified lawyer is crucial to understand how evidence can be used in your specific case.</t>
  </si>
  <si>
    <t>How does the law address cases where the alleged victim's testimony is the primary evidence?</t>
  </si>
  <si>
    <t>Philippine law recognizes the importance of witness testimony, including the alleged victim's, but it doesn't solely rely on it for a conviction. Here's a breakdown of how the law approaches cases where the victim's testimony is primary evidence:
* **Victim's testimony can be valid evidence:** The Revised Rules on Evidence (RRE) **doesn't exclude** the victim's testimony as long as it's **credible, natural, convincing, and consistent with human nature and the normal course of things**. In other words, the court will assess the victim's testimony for its internal logic and consistency with common sense and human behavior.
* **Corroborating evidence strengthens the case:** While a victim's testimony can be compelling, courts generally prefer to have it **corroborated by other evidence**. This could include:
* **Witness testimonies:** Statements from other people who can support the victim's account.
* **Physical evidence:** Anything tangible that strengthens the victim's narrative, like CCTV footage, clothing fibers, or medical records (in cases of assault).
* **Electronic evidence:** Text messages, call logs, or social media posts that align with the victim's testimony.
**Here's how this works in kidnapping cases (using your example):**
* Imagine a case where the victim accuses you of kidnapping and their testimony is the primary evidence. For a conviction, the court would likely look for **corroborating evidence**. This could be witness accounts of the abduction, CCTV footage, or perhaps a ransom demand you sent.
**Here are some additional points to consider:**
* **Credibility of the victim:** The court will assess the **credibility** of the victim's testimony. Factors like the victim's demeanor, consistency in statements, and potential biases can be considered. * **Age and mental state of the victim:** The **age and mental state** of the victim, especially in cases involving children or individuals with mental limitations, might influence how much weight the court assigns to their testimony. * **Defense strategy:** Your lawyer can develop a defense strategy to **challenge the credibility** of the victim's testimony or **provide an alternative explanation** for the events. **In conclusion:**
The victim's testimony can be a powerful piece of evidence, but alone, it might not be enough for a conviction. The Philippine legal system emphasizes corroborating evidence and a thorough assessment of credibility before reaching a verdict. If you are facing charges where the victim's testimony is central, consulting with a lawyer is crucial to develop a comprehensive defense strategy.</t>
  </si>
  <si>
    <t>Can surveillance footage or other technological evidence be used in a kidnapping case?</t>
  </si>
  <si>
    <t>Absolutely, surveillance footage and other technological evidence can be very valuable in kidnapping cases within the Philippine legal system. Here's how:
* **Admissible Evidence:** The Revised Rules on Electronic Evidence (RREE) allows for the admission of electronic and technological evidence in court proceedings, including surveillance footage, cellphone data, and GPS tracking.
* **Strengthening the Case:** This type of evidence can significantly strengthen the prosecution's case or support the defense's arguments. * **Surveillance Footage:** CCTV footage or recordings from security cameras capturing the alleged abduction, the accused with the victim, or the victim being restrained can be highly persuasive evidence.
* **Cellphone Data:** Call logs, text messages, and location data retrieved from cellphones can help establish timelines, communication between parties, and potential movements of the accused or victim. * **GPS Tracking:** If a GPS tracking device was legally installed on a vehicle or phone involved in the case, its data can provide valuable location information.
**However, some important points to consider:**
* **Legality of Acquisition:** The **way the evidence was obtained** is crucial. Evidence collected through illegal means (e.g., hacking into a phone) might be excluded from court.
* **Authentication Required:** The authenticity of the technological evidence needs to be established. This could involve presenting expert witnesses who can verify the footage or data hasn't been tampered with.
* **Defense Challenges:** The defense lawyer can challenge the interpretation of the evidence or argue for its incompleteness. **Overall:**
Surveillance footage and other technological evidence can play a significant role in building a strong case in kidnapping trials. The admissibility and weight given to this evidence will depend on how it was obtained, how it's presented, and how well it's authenticated.
**Recommendation:**
If you are involved in a kidnapping case where surveillance footage or other technological evidence is present, consulting with a lawyer is crucial. They can advise you on the legal implications of such evidence and its potential impact on your case.</t>
  </si>
  <si>
    <t>How does mental illness or incapacity factor into kidnapping cases?</t>
  </si>
  <si>
    <t>Mental illness or incapacity can be a factor in kidnapping cases in the Philippines, but it affects criminal liability in a complex way. Here's a breakdown based on the Revised Penal Code (RPC) and relevant legal concepts:
**Understanding Criminal Liability:**
* **Mens rea (criminal intent) is essential:** Article 4 of the RPC emphasizes that **intent** is a prerequisite for an act to be considered a crime. This means the accused must have knowingly and willingly committed the act.
**Mental Illness and Criminal Capacity:**
* **Insanity Defense:** The RPC (Article 6) recognizes **insanity** as a ground for exempting a person from criminal liability. However, the definition of legal insanity is narrow and focuses on the **inability to understand the nature and consequences of the act**.
* **Mental Incapacity:** Beyond insanity, there can be **degrees of mental incapacity**. Someone might not be completely insane but their mental state could have **impaired their judgment or understanding** of the situation.
**Impact on Kidnapping Charges:**
* **Complete Insanity:** If a qualified medical professional determines the accused was completely insane at the time of the kidnapping, they would likely be exempt from criminal liability**. However, custody and treatment in a mental health facility might be court-ordered.
* **Partial Insanity/Diminished Capacity:** If the accused has a mental illness that **impaired their judgment** but didn't completely eliminate it, the court might consider it** as a mitigating factor**. This could lead to a lesser penalty**. **Here's how this works in practice:**
* Imagine a case where a person with schizophrenia kidnaps someone due to delusions**. A successful insanity defense might be possible here. * In another scenario, someone with severe depression might be pressured or manipulated into participating in a kidnapping. Diminished capacity due to mental illness could be argued to potentially lessen the penalty.
**Important Considerations:**
* **The burden of proof** for establishing insanity or diminished capacity **rests with the defense**. A qualified medical evaluation and expert testimony are crucial.
* **The court has discretion** in determining the impact of mental illness on the case. **Recommendation:**
If mental illness or incapacity is a potential factor in your kidnapping case, consulting with a lawyer experienced in criminal defense** is crucial. They can work with medical professionals to build a strong defense strategy considering your specific situation.</t>
  </si>
  <si>
    <t>What should I do if I believe my rights were violated during the investigation or arrest for kidnapping?</t>
  </si>
  <si>
    <t>If you believe your rights were violated during the investigation or arrest for kidnapping in the Philippines, here are some steps you can take:
1. **Remain Silent and Request a Lawyer:** This is your most important right. You have the right to remain silent and not answer any questions until you have spoken with a lawyer. You can politely state: "**Isang abogado po ang aking hinihiling (I am requesting a lawyer).**" Philippine law enforcement is obligated to inform you of this right. 2. **Note Down the Details:** If possible, try to document as many details as you can about the alleged violation. This might include:
* Date and time of the arrest/investigation.
* Names and badge numbers of the officers involved.
* Specific details of the alleged rights violation (e.g., pressured to confess, unreasonable search).
3. **Seek Legal Counsel:** Consulting with a lawyer experienced in criminal defense is crucial. They can advise you on the best course of action based on the specifics of your situation. Here are some resources to help you find a lawyer:
* Public Attorney's Office (PAO): [https://pao.gov.ph/](https://pao.gov.ph/) (free legal assistance for indigent Filipinos)
* Integrated Bar of the Philippines (IBP): [https://www.ibp.ph/about.html](https://www.ibp.ph/about.html) (lawyer referral service)
* Law Schools (legal assistance programs)
4. **File a Complaint:** You can file a formal complaint against the officers involved. * The **National Bureau of Investigation (NBI)** investigates complaints against law enforcement officers. You can find their website here: [https://www.nbi.gov.ph/](https://www.nbi.gov.ph/)
* The **Commission on Human Rights (CHR)** investigates human rights violations. You can find their website here: [https://chr.gov.ph/](https://chr.gov.ph/)
**Important Points to Remember:**
* **Evidence is crucial:** Having documented proof of the alleged rights violation can strengthen your case.
* **Time limits may apply:** There might be deadlines for filing complaints, so acting promptly is important.
* **Cooperate with your lawyer:** Provide your lawyer with all the details and information they need to represent you effectively.
**This is just general information, and the specifics of your situation might require a different approach. Consulting with a qualified lawyer is highly recommended to understand your rights and explore potential legal remedies.**</t>
  </si>
  <si>
    <t>How does the law treat cases where the alleged victim was harmed during the kidnapping?</t>
  </si>
  <si>
    <t>In the Philippines, the harm inflicted upon the victim during a kidnapping case **increases the severity of the crime and the potential penalty** imposed on the accused. Here's a breakdown based on the Revised Penal Code (RPC) and relevant legal principles:
* **Kidnapping is a serious crime:** Article 267 of the RPC already prescribes a **range of penalties** for kidnapping depending on the duration and circumstances. However, the presence of harm to the victim elevates the crime to a **graver offense**.
* **Different types of harm:** The specific type of harm can further influence the charges and penalties:
* **Slight physical injuries:** If the victim sustains minor injuries, the kidnapping charge might be **combined with an additional charge of physical assault**, resulting in a harsher sentence.
* **Serious physical injuries:** More severe injuries could elevate the kidnapping charge to **kidnapping with serious physical injuries**, which carries a **heavier penalty** under the RPC. * **Death:** In the tragic case where the victim dies due to the kidnapping or the inflicted harm, the charge would likely be **murder** in combination with kidnapping, resulting in the **most severe penalty** possible under Philippine law.
**Here's an example:**
Imagine a kidnapping case where the victim is held for a day without any physical harm. This would likely be considered a basic kidnapping under Article 267. However, if the victim is beaten during the kidnapping, the accused might face charges for both kidnapping **and** physical assault.
**Additional Considerations:**
* **Psychological harm:** While the RPC primarily focuses on physical injuries, psychological trauma** inflicted on the victim might be considered by the court as a worsening factor during sentencing.
* **Intent to harm:** The **intent of the accused** regarding the harm can also be relevant. If the harm was premeditated**, it could further aggravate the penalty.
**In conclusion:**
Philippine law takes the harm inflicted upon the victim during a kidnapping very seriously. The specific charges and penalties will depend on the severity of the harm and the circumstances of the case. If you are facing charges in a kidnapping case where the victim was harmed, consulting with a qualified lawyer is crucial to understand the potential consequences and explore your defense options.</t>
  </si>
  <si>
    <t>Can a kidnapping charge be upgraded to a more serious offense if certain circumstances are present?</t>
  </si>
  <si>
    <t>Yes, a kidnapping charge in the Philippines can be upgraded to a more serious offense depending on **certain aggravating circumstances** present during the crime. Here's how the law approaches this based on the Revised Penal Code (RPC) and relevant legal principles:
* **Article 267 of the RPC** outlines the base penalties for kidnapping. However, the article also mentions **specific circumstances** that can elevate the crime to a more serious offense with **harsher penalties**.
**Here are some circumstances that can lead to a more serious charge:**
* **Serious physical injuries:** If the victim sustains **grave** physical injuries during the kidnapping, the charge would likely be upgraded to **kidnapping with serious physical injuries**.
* **Death:** In the tragic scenario where the victim dies as a result of the kidnapping or inflicted harm, the charge would likely be **murder** in combination with kidnapping. This carries the **highest penalty** possible under Philippine law (depending on the presence of qualifying murder elements).
* **Ransom demand:** As discussed previously, **kidnapping with ransom** is a separate and more serious offense compared to kidnapping without ransom. The presence of a ransom demand **automatically** elevates the crime and carries the **death penalty** (though currently subject to moratorium).
* **Victim's vulnerability:** The **age** (children, elderly) or **mental state** (disabled individuals) of the victim can be considered aggravating circumstances. Crimes against **particularly vulnerable** individuals are often viewed more harshly by the court.
* **Publicity/Terror:** If the kidnapping is done with **widespread publicity** or **intended to create public terror**, it can be considered a more serious offense.
**Here's an example:**
Imagine a kidnapping case where the victim is a child who is held captive for a week and sustains serious injuries. In this scenario, the base kidnapping charge would likely be upgraded to **kidnapping with serious physical injuries** due to the harm inflicted and the **vulnerability of the victim** (child).
**Important to Remember:**
* The **presence of multiple aggravating circumstances** can further increase the severity of the offense and the potential penalty.
* The **court has discretion** in determining the weight given to each aggravating circumstance when imposing a sentence.
**Recommendation:**
If you are facing kidnapping charges, especially if aggravating circumstances are present, consulting with a qualified lawyer** is crucial. They can advise you on the potential consequences and explore defense strategies to potentially mitigate the charges.</t>
  </si>
  <si>
    <t>How does the law address cases where the kidnapped individual is a minor or incapacitated adult?</t>
  </si>
  <si>
    <t>Philippine law recognizes the **increased vulnerability** of minors (children) and incapacitated adults in kidnapping cases. Here's how the law addresses such situations based on the Revised Penal Code (RPC) and relevant legal concepts:
* **Focus on Protecting the Vulnerable:** The justice system prioritizes the **protection of children and incapacitated adults**. This is reflected in **harsher penalties** for kidnapping offenses involving these demographics.
* **Presumption of Aggravating Circumstance:** In kidnapping cases, the **age** of the victim (being a minor) or their **mental state** (being incapacitated) is often considered an **aggravating circumstance** by default. This means the penalty for the kidnapping will be **automatically** more severe compared to a case involving an adult victim.
* **Specific Penalties for Kidnapping Minors/Incapacitated Adults:** While Article 267 of the RPC outlines the general penalties for kidnapping, additional provisions address kidnapping involving vulnerable victims:
* **Article 268:** This article specifically deals with the **kidnapping or illegal detention** of a minor below 18 years old. The penalties are **significantly harsher** than those under Article 267.
* **Article 270:** This article addresses the **abduction** (taking a person away with their consent for an immoral purpose) of a woman. While not strictly kidnapping, it carries a **heavier penalty** if the woman is under 18.
* **Vulnerability and Intent:** The **degree of vulnerability** of the minor or incapacitated adult can also be considered. For instance, a very young child or someone with a severe mental disability might be seen as **more vulnerable** than an older teenager. Additionally, the **accused's intent** regarding the victim's vulnerability might be factored in. Preying on a known vulnerability could worsen the penalty.
**Here's an example:**
Imagine a kidnapping case where a stranger abducts a 5-year-old child. In this scenario, the base kidnapping charge would likely be **upgraded** due to the victim's age (minor) and the **presumed aggravating circumstance**. The penalties would be **more severe** than a kidnapping case involving an adult victim.
**Important Considerations:**
* **Mental Incapacity Definition:** The legal definition of **mental incapacity** in kidnapping cases is not explicitly defined in the RPC. Court rulings and expert evaluations would likely be used to determine mental fitness**.
* **Custody Rights:** If the kidnapping involves a minor, the issue of **custody rights** might be a separate legal concern. A qualified lawyer can advise on navigating these complexities.
**Recommendation:**
If you are facing charges for kidnapping a minor or incapacitated adult, consulting with a lawyer experienced in criminal defense** is crucial. They can explain the legal implications considering the victim's vulnerability and explore potential defense strategies.
**Remember:** Philippine law prioritizes protecting vulnerable individuals. Understanding these legal principles can be crucial if you are involved in a case involving the kidnapping of a minor or incapacitated adult.</t>
  </si>
  <si>
    <t>What should I do if I have information about a kidnapping but fear retaliation for coming forward?</t>
  </si>
  <si>
    <t>Here's what you can do if you have information about a kidnapping but fear retaliation for coming forward:
**Prioritize Safety:**
* Your safety is paramount. If you believe there's a high risk of retaliation, prioritize protecting yourself and avoid directly confronting the kidnappers. **Report the Information Anonymously:**
There are ways to report the information anonymously in the Philippines:
* **Call the National Bureau of Investigation (NBI) Hotline:** 02-8527-8163. You can request to remain anonymous during the call.
* **Report through the PNP Anti-Kidnapping Group (AKG) Website:** [https://akg.pnp.gov.ph/](https://akg.pnp.gov.ph/) This website offers an online reporting form where you can submit information anonymously.
* **Report through a Crime Reporting App:** Consider using **i-Witness** by the Department of the Interior and Local Government (DILG). This app allows for anonymous crime reporting.
**Provide as Much Detail as Possible:**
While remaining anonymous, try to provide as much **detailed information** as possible during your report. This can significantly increase the chances of a successful investigation and rescue:
* Description of the victim (if known)
* Any details about the kidnappers (appearance, vehicle used)
* Location information (where you saw the victim/suspects)
* Time and date of the observation **Seek Help from a Trusted Source:**
* **Confide in a trusted friend or family member:** If you feel comfortable, share the information with someone you trust who can help you navigate your options and provide emotional support.
* **Contact a Lawyer:** A lawyer can advise you on your legal rights and confidentiality options**. They can guide you on how to report the information while minimizing the risk of retaliation. You can find resources for obtaining legal assistance in previous answers of this conversation (refer to "How do I go about obtaining legal representation for a kidnapping case?").
**Remember:** * Any information you provide could be crucial for rescuing the victim.
* There are ways to report anonymously, reducing the risk of retaliation.
* Don't hesitate to seek help from trusted individuals or legal professionals.
**The safety of the victim and yourself is most important. By reporting the information responsibly, you can potentially make a significant difference in this critical situation.**</t>
  </si>
  <si>
    <t>Can a kidnapping charge affect my immigration status if I'm not a citizen of this country?</t>
  </si>
  <si>
    <t>Yes, a kidnapping charge can affect your immigration status in the Philippines even if you are not a citizen. Here's why:
* **Grounds for Deportation under Immigration Law** The Bureau of Immigration (BI) has the authority to deport foreign nationals based on various grounds under Philippine immigration laws and policies [https://immigration.gov.ph/](https://immigration.gov.ph/). One ground for deportation is if a foreign national is convicted of a crime involving moral turpitude.
* **Moral Turpitude** The term "moral turpitude" is not defined in Philippine law, but courts have interpreted it to include heinous crimes and those that show a bad character. Kidnapping is generally considered a crime involving moral turpitude [https://lawphil.net/judjuris/juri2009/apr2009/gr_180363_2009.html](https://lawphil.net/judjuris/juri2009/apr2009/gr_180363_2009.html).
* **Revised Penal Code** The Revised Penal Code of the Philippines (Act No. 3815) defines kidnapping and its penalties [https://lawlibrary.chanrobles.com/](https://lawlibrary.chanrobles.com/).
**Conclusion**
Therefore, a kidnapping charge can be a ground for deportation proceedings by the BI. It is advisable to consult with a lawyer to understand the specific details of your case and the potential immigration consequences. They can help you navigate the legal process and advise you on the best course of action.</t>
  </si>
  <si>
    <t>How does the law handle cases where the alleged victim willingly went with the accused initially but later wanted to leave?</t>
  </si>
  <si>
    <t>Philippine law considers the issue of consent throughout the entirety of the interaction between the accused and the alleged victim. Here's a breakdown of relevant legal concepts:
**Revised Penal Code on Illegal Detention (Article 267):**
* This article defines illegal detention as depriving a person of liberty without legal grounds. * There's no requirement that the detention be from the very beginning. Even if the alleged victim went willingly, if they were later restrained against their will, it can be considered illegal detention. **People vs. Hernandez (G.R. No. L-47394)**
* This Supreme Court case highlights that the essence of illegal detention is the **illegal deprivation or restriction of a person's liberty.** * The act of the accused in preventing the alleged victim from leaving, even if they initially went willingly, can be considered illegal detention.
**People vs. Manalo (G.R. No. 126024)**
* This case emphasizes that **consent can be withdrawn at any time.** * If the alleged victim expresses a desire to leave, and the accused prevents them, it can be considered illegal detention.
**Elements of Illegal Detention:**
* There's an unlawful deprivation or restriction of a person's liberty.
* The act of depriving liberty is intentional.
**Key Points:**
* **Consent is crucial**: The initial willingness of the alleged victim to go with the accused doesn't negate the possibility of illegal detention if their freedom of movement is restricted later.
* **Withdrawal of consent**: The alleged victim has the right to withdraw their consent at any point. * **Burden of proof**: The prosecution must prove the elements of illegal detention beyond reasonable doubt. **Additionally:**
* Philippine law also recognizes the crime of abduction (Article 349 of the Revised Penal Code) which involves taking a person away from their home without their consent. However, abduction focuses on the act of taking the person, while illegal detention focuses on the restriction of liberty.
**It's important to note that:**
These are general legal principles. The specific facts and circumstances of each case will determine how the law is applied. If you are facing allegations of illegal detention, or if you believe you have been a victim of illegal detention, it's important to consult with a lawyer to understand your rights and options.</t>
  </si>
  <si>
    <t>What should I do if I suspect someone I know is planning a kidnapping?</t>
  </si>
  <si>
    <t>Here's what you should do if you suspect someone you know is planning a kidnapping according to Philippine law:
1. **Report it to the Authorities:** * **Philippine National Police (PNP):** The PNP is the primary law enforcement agency in the Philippines. You can report the planned kidnapping to the nearest police station or call their hotline 117.
* **National Bureau of Investigation (NBI):** You can also report the crime to the NBI, which is an investigative agency under the Department of Justice (DOJ).
2. **Gather Evidence (if possible):** While not required, any evidence you can gather that supports your suspicion can be helpful. This could include:
* Overhearing conversations about the plan
* Witnessing suspicious activity
* Text messages or social media posts
**Important Note:** * **Do not attempt to confront the suspect yourself.** Kidnapping is a serious crime, and confronting the suspect could put you in danger. Leave the investigation to the authorities. * **Provide details to the authorities:** When reporting the crime, be as detailed as possible about your suspicions. Include the identity of the suspect (if known), the potential target (if known), and any information you have about the planned kidnapping.
**Additionally:**
* **Anonymous Tip:** If you are afraid to identify yourself, you can report the crime anonymously. * **Lawyer Consultation:** While not mandatory, consulting with a lawyer can be helpful, especially if you have concerns about your safety or the potential legal ramifications of your report. Here are some resources that can be helpful:
* Philippine National Police (PNP): [https://pnp.gov.ph/](https://pnp.gov.ph/)
* National Bureau of Investigation (NBI): [https://www.nbi.gov.ph/](https://www.nbi.gov.ph/)
* Philippine Department of Justice (DOJ): [https://www.doj.gov.ph/](https://www.doj.gov.ph/)
Remember, taking action to prevent a kidnapping can save a life. By reporting your suspicions to the authorities, you can help keep the community safe.</t>
  </si>
  <si>
    <t>How does the law address cases of virtual or online kidnapping threats?</t>
  </si>
  <si>
    <t>The Philippine legal system recognizes and addresses virtual or online kidnapping threats through several relevant laws:
* **Revised Penal Code (RPC) Provisions:**
* **Article 294 (Threatening to commit a crime):** This penalizes anyone who threatens another person with death or any other injury to their person. Online threats of kidnapping can fall under this provision.
* **Article 315 (Alarms and Scandals):** This covers any person who causes an alarm by spreading rumors of a fire or other danger. Intentionally spreading false information about a kidnapping online can be penalized under this article.
* **Republic Act No. 10175 (Cybercrime Prevention Act of 2012):** This law specifically addresses several cybercrimes, including:
* **Section 4(c)(4) - Cyber-bullying:** This covers acts that intend to annoy, abuse, or harass another person online. Online threats can be considered cyberbullying.
* **Section 5 - Threatening to inflict harm:** This directly penalizes those who transmit threats via the internet to cause anxiety or fear to the recipient.
**How the Law is Applied:**
* **Content and Context:** Courts will consider the content of the threat, the context in which it was delivered, and the intent behind it. A clear and present threat of violence will be taken more seriously than vague or playful language.
* **Investigation:** Law enforcement will investigate the online threat to determine its credibility and origin. This may involve tracing the source of the threat and analyzing the content.
* **Penalties:** The penalties for online kidnapping threats will vary depending on the specific law violated. Penalties can range from fines to imprisonment.
**Additionally:**
* **Preserving Evidence:** If you receive an online kidnapping threat, it's important to preserve the evidence. This may involve taking screenshots, saving the communication, and reporting it to the appropriate authorities.
**Resources:**
* Philippine National Police (PNP): [https://pnp.gov.ph/](https://pnp.gov.ph/)
* Department of Justice (DOJ): [https://www.doj.gov.ph/](https://www.doj.gov.ph/)
By reporting online threats, you can help ensure a safer online environment and hold those accountable for their actions.</t>
  </si>
  <si>
    <t>Can I be charged with kidnapping if I was an unwitting participant in the crime?</t>
  </si>
  <si>
    <t>Yes, Philippine law under the Revised Penal Code recognizes the possibility of charging someone with kidnapping even if their participation was unwitting (Article 344). This applies under certain circumstances:
* **Criminality by Inducement (Article 18):** A person can be liable for a crime if they induce another to commit the crime, even if they did not directly participate in the act itself. For example, if you were tricked into luring someone to a location for a kidnapping, you could be charged with kidnapping by inducement.
* **Reckless Imprudence (Article 365):** This applies if your actions, done with reckless imprudence, contribute to the kidnapping. An example could be driving a getaway car for someone you unknowingly kidnapped someone with.
**Defenses:**
* **Lack of Intent:** If you can demonstrate that you had no intention of participating in a kidnapping and were unaware of the criminal activity, you may have a defense.
* **Mistake of Fact:** If you were mistaken about the true nature of the situation and believed you were participating in a legal activity, this can be a defense.
**Importance of Consultation:**
The specific facts of your situation will determine whether you could be charged with kidnapping. If you believe you were unwittingly involved in a kidnapping, it's crucial to consult with a lawyer to understand your legal rights and potential defenses. They can analyze the details of your case and advise you on the best course of action.</t>
  </si>
  <si>
    <t>How does the law address cases of familial kidnapping or abduction by a family member?</t>
  </si>
  <si>
    <t>In the Philippines, familial kidnapping, also known as abduction by a family member, presents a complex legal situation. Here's a breakdown based on Philippine law:
* **No Specific Crime for Familial Kidnapping:** Unlike many countries, Philippine law doesn't have a specific crime for kidnapping by a family member.
* **Custody Disputes:** Familial kidnapping is often treated as a **custody dispute** governed by civil law. This means the courts would determine rightful custody through legal proceedings, not criminal charges.
* **Exception: Illegal Detention:** However, the law can still address situations where the child's freedom of movement is restricted. Philippine law recognizes **illegal detention (Article 267 of the Revised Penal Code)** which applies even within families. If a family member takes a child and restricts their liberty against their will, they can be charged with illegal detention.
**Key Points:**
* **Focus on Intent:** The focus is on the **intent** behind the family member's actions. If the child is not being restrained and their well-being is not at risk, it might not be considered a crime.
* **Child's Welfare:** Ultimately, the primary concern is the child's safety and well-being. Courts will prioritize ensuring the child is in a safe and secure environment.
**What to Do:**
* **Negotiation/Mediation:** In many cases, resolving the situation through negotiation or mediation might be the best course of action, especially if the child's safety is not at immediate risk.
* **Legal Action:** If the child's safety is at risk or the other family member is not cooperative, legal action might be necessary. This could involve filing a petition for custody or charges of illegal detention, depending on the circumstances.
**Seeking Legal Counsel:**
Due to the complexities of familial kidnapping, consulting with a lawyer experienced in family law is highly recommended. They can assess the specific situation, advise you on the best legal options, and represent you in court if necessary.
**Additional Considerations:**
* **Domestic Violence:** If there's a history of domestic violence, this could influence the court's decision regarding custody and child safety.
* **International Parental Child Abduction:** If the child is taken out of the Philippines, international legal agreements like the Hague Convention on Child Abduction might come into play.
Remember, this is a general overview, and the specific application of the law depends on the unique circumstances of each case. Consulting a lawyer can provide more specific guidance based on your situation.</t>
  </si>
  <si>
    <t>What should I do if I receive a ransom demand for the return of a kidnapped individual?</t>
  </si>
  <si>
    <t>Receiving a ransom demand for a kidnapped loved one is a terrifying experience. Here's what you should do according to Philippine law:
**Immediately:**
1. **Do Not Engage with the Kidnappers:** Avoid directly responding to the kidnappers' demands or engaging in negotiations. This can complicate the situation and potentially endanger the victim.
2. **Contact Law Enforcement:** The most crucial step is to report the kidnapping and ransom demand to the Philippine National Police (PNP) immediately. Dial 117 for the PNP emergency hotline or proceed to the nearest police station.
3. **Gather Evidence:** If possible, try to preserve any evidence related to the ransom demand. This could include:
* The ransom note itself (if there's a physical note)
* Recordings of phone calls (if any)
* Any messages or emails containing the demand
**Working with Law Enforcement:**
* **Provide Details:** Cooperate fully with the police and provide all the details you have about the kidnapping, the ransom demand, and any information about the kidnappers.
* **Follow Instructions:** The police will likely take the lead in handling the situation. Follow their instructions and guidance carefully. They are trained professionals with experience handling these situations.
**Additional Considerations:**
* **Do Not Pay Ransom Without Consultation:** Paying ransom is not guaranteed to ensure the victim's safe return. Law enforcement can advise on the risks and benefits of paying a ransom.
* **Seek Legal Counsel:** Consulting with a lawyer experienced in kidnapping cases can be extremely helpful. They can advise you on your legal rights and navigate the legal aspects of the situation.
* **Emotional Support:** Dealing with a kidnapping is emotionally draining. Consider seeking support from family, friends, or a crisis counselor.
Here are some resources that can be helpful:
* Philippine National Police (PNP): [https://pnp.gov.ph/](https://pnp.gov.ph/)
* Department of Justice (DOJ): [https://www.doj.gov.ph/](https://www.doj.gov.ph/)
Remember, prioritizing the victim's safety is paramount. Collaborate with law enforcement and prioritize their guidance throughout this ordeal.</t>
  </si>
  <si>
    <t>How does the law address cases where the alleged victim was transported across state or international borders?</t>
  </si>
  <si>
    <t>When an alleged kidnapping case involves the victim being transported across state lines within the Philippines or internationally, the legal considerations become more complex. Here's a breakdown based on Philippine law:
**Within the Philippines (Interstate Kidnapping):**
* **Philippine National Police (PNP):** The PNP has jurisdiction over the entire Philippines. They will likely take the lead in investigating the case, regardless of where the victim was taken.
* **Special Laws:** While there isn't a specific law solely for interstate kidnapping, other relevant laws might apply:
* **Revised Penal Code (RPC) Provisions:** Existing kidnapping provisions (e.g., Article 267 - Illegal Detention) can still be applied.
* **Special Penal Laws:** Depending on the circumstances, special penal laws like Anti-Trafficking in Persons Act (RA 9208) or Anti-Child Trafficking Act (RA 9842) might be considered if the kidnapping involved exploitation.
**Internationally (Transnational Kidnapping):**
* **International Cooperation:** Philippine law enforcement will likely work with authorities in the other country through international cooperation mechanisms like:
* **Mutual Legal Assistance Treaties (MLATs):** These treaties allow for information sharing and investigative assistance between countries.
* **Interpol:** The International Criminal Police Organization can facilitate communication and coordination between law enforcement agencies worldwide.
* **International Law:** International treaties like the Hague Convention on the Civil Aspects of International Child Abduction may be relevant in child abduction cases.
**Challenges and Considerations:**
* **Jurisdictional Issues:** Determining which country has jurisdiction to prosecute the crime can be complex, especially in international cases.
* **Extradition:** If the suspect is located in another country, extradition processes might be necessary to bring them to justice in the Philippines.
**Importance of Legal Counsel:**
Navigating the legal complexities of interstate or international kidnapping cases requires specialized knowledge. Consulting with a lawyer experienced in transnational crimes is highly recommended. Here are some resources that can be helpful:
* Philippine National Police (PNP): [https://pnp.gov.ph/](https://pnp.gov.ph/)
* Department of Justice (DOJ): [https://www.doj.gov.ph/](https://www.doj.gov.ph/)
Remember, these are general legal principles, and the specific application of the law depends on the unique circumstances of each case. Consulting with a lawyer can provide you with more specific guidance based on your situation.</t>
  </si>
  <si>
    <t>Can I be charged with kidnapping if I only assisted in planning or facilitating the crime?</t>
  </si>
  <si>
    <t>Yes, under Philippine law, you can be charged with kidnapping even if you only assisted in planning or facilitating the crime. Here's why:
* **Accessory before the Fact:** The Revised Penal Code (Article 18) recognizes the concept of an "accessory before the fact." This means someone who, although not directly participating in the crime itself, contributes to its execution through planning, providing means, or encouraging the principal offender. If your assistance in planning or facilitating the kidnapping was intentional, you can be charged as an accessory.
* **Conspiracy:** Another relevant concept is conspiracy (Article 88). This applies when two or more people agree to commit a crime and perform acts in furtherance of that agreement. If you participated in planning the kidnapping with the intention of it being carried out, you could be charged with conspiracy to commit kidnapping.
**Level of Involvement:**
The specific charges and penalties you might face will depend on the extent of your involvement. Someone who provided a getaway car might face different charges than someone who scouted the location for the kidnapping.
**Importance of Consulting a Lawyer:**
The specific facts of your situation are crucial in determining the potential charges you might face. Consulting with a lawyer experienced in criminal law is highly recommended. They can analyze the details of your involvement, assess the potential legal ramifications, and advise you on the best course of action.
Here are some additional points to consider:
* **Withdrawal:** Philippine law might acknowledge the possibility of withdrawal from a conspiracy. If you withdrew from the plan before the kidnapping occurred and took steps to prevent it, this could be a mitigating factor in your defense.
* **Knowledge of Intent:** The prosecution needs to prove that you knew the act you were assisting with was intended to be a kidnapping. Remember, this is a general overview, and the specific application of the law depends on your unique situation. Consulting with a lawyer can provide a more accurate assessment of potential charges based on the details of your involvement.</t>
  </si>
  <si>
    <t>How does the law address cases where the alleged victim's consent was obtained through fraud or deception?</t>
  </si>
  <si>
    <t>In the Philippines, the law treats cases of kidnapping where the alleged victim's consent was obtained through fraud or deception with a nuanced approach. Here's a breakdown based on relevant Philippine legal concepts:
* **Concept of Consent in Kidnapping:** Philippine law recognizes the importance of consent in kidnapping cases. However, consent obtained through fraud or deception is generally considered **invalid**.
* **Revised Penal Code (RPC) Provisions:**
* **Article 267 (Illegal Detention):** This article focuses on the illegal deprivation or restriction of a person's liberty. Even if the victim initially went willingly due to fraud or deception, if their freedom of movement is later restricted against their will, it can be considered illegal detention.
* **Case Law:** Supreme Court decisions like People vs. Hernandez (G.R. No. L-47394) and People vs. Manalo (G.R. No. 126024) emphasize that **the essence of illegal detention is the unlawful deprivation of a person's liberty**. If the deception caused the victim to believe they were free to leave but were later restrained, it can be considered illegal detention.
**Fraud or Deception:**
The key factor is the nature of the fraud or deception used. Here are some considerations:
* **Material Misrepresentation:** The deception must be significant enough to influence the victim's decision. For example, being tricked into believing you're going to a party but being held captive would be considered material misrepresentation.
* **Reasonable Reliance:** The victim's reliance on the deception must be reasonable. For example, if someone is lured with a fake job offer and then restrained, this could be considered reasonable reliance.
**Burden of Proof:**
The prosecution has the burden of proving that the accused:
* **Deprived the victim of their liberty**
* **Did so illegally**
* **Used fraud or deception to obtain the initial "consent"**
**Importance of Legal Counsel:**
The specific details of the case, the nature of the fraud, and the victim's actions will all play a role in determining the legal outcome. Consulting with a lawyer experienced in criminal law is crucial. They can analyze the situation, assess the validity of the alleged consent, and advise you on the best legal course of action.</t>
  </si>
  <si>
    <t>What should I do if I believe I'm being falsely accused of kidnapping for malicious reasons?</t>
  </si>
  <si>
    <t>Being falsely accused of kidnapping is a serious situation. Here's what you should do in the Philippines according to Philippine law:
**Maintain Your Right to Remain Silent:**
* **Do not answer questions** from the police without a lawyer present. You have the right to remain silent under the Philippine Constitution (Article III, Section 12). **Request a Lawyer:**
* **Immediately request a lawyer** to represent you throughout the legal process. A lawyer can advise you on your rights and navigate the legal system on your behalf.
**Cooperate with the Investigation (within reason):**
* **While you have the right to remain silent, you can cooperate with the investigation** by providing factual information that demonstrates your innocence. However, always do this with your lawyer present to ensure your statements are not misconstrued.
**Gather Evidence to Support Your Alibi:**
* **Work with your lawyer to gather evidence** that supports your alibi and contradicts the accusation. This could include witness statements, receipts, phone records, CCTV footage, or any documentation that proves your whereabouts at the time of the alleged kidnapping.
**Consider Filing a Countersuit:**
* **Depending on the circumstances,** you might want to consider filing a countersuit for wrongful accusation. Discuss this option with your lawyer to understand the legal grounds and potential outcomes.
**Resources:**
* **Public Attorney's Office (PAO):** The PAO provides free legal assistance to indigent individuals facing criminal charges. You can contact them through their website [https://pao.gov.ph/](https://pao.gov.ph/) or by calling their hotline (02) 8529-5244.
* **Integrated Bar of the Philippines (IBP):** The IBP offers a lawyer referral service to help you find a qualified lawyer in your area. You can contact them through their website [https://www.ibp.ph/](https://www.ibp.ph/).
**Remember:**
* **Do not panic**: Stay calm and collected throughout the process.
* **Do not speak to the accuser**: Let your lawyer handle all communication.
* **Document everything**: Keep copies of any documents or evidence related to the case.
By following these steps and seeking legal counsel, you can take proactive measures to defend yourself against a false kidnapping accusation.</t>
  </si>
  <si>
    <t>How does the law address cases where the alleged victim was kidnapped for ransom but later released unharmed?</t>
  </si>
  <si>
    <t>In the Philippines, kidnapping for ransom, even if the victim is released unharmed, is a serious crime with harsh penalties. Here's a breakdown of how the law addresses such cases:
* **Revised Penal Code (RPC) Article 267:** This article defines the crime of kidnapping and its penalties. Section 4 specifically addresses kidnapping for ransom:
&gt; "The penalty of reclusion perpetua to death shall be imposed upon any person who, ... kidnaps or seizes another, with the intent to exact ransom..."
**Key Points:**
* **Intent is Crucial:** The law focuses on the **intent** behind the kidnapping. Even if the victim is released unharmed, the intent to extort ransom fulfills the elements of the crime.
* **Severity of Penalty:** The penalty for kidnapping for ransom is **reclusion perpetua to death**, which is a very serious punishment.
* **Case Law:** Supreme Court decisions like People vs. Borja (G.R. No. 199710) highlight that a specific form of ransom isn't required. As long as something of value was intended as a bargaining chip for the victim's release, the crime is committed.
**What Doesn't Negate the Crime:**
* **Victim's Release:** The fact that the victim was eventually released unharmed doesn't negate the crime itself. * **Ransom Payment:** Whether a ransom is actually paid or not is irrelevant. The intent to extort ransom is sufficient for the crime to be committed.
**Possible Defenses:**
While challenging, there might be some potential defenses depending on the specific circumstances:
* **Mistake of Fact:** If the accused genuinely believed they were not participating in a kidnapping for ransom, this could be a defense. However, this would be difficult to prove.
* **Duress:** If the accused was forced to participate in the kidnapping under threat of violence, this could be a defense. However, they would need to demonstrate they had no other choice.
**Importance of Legal Counsel:**
If you are facing charges of kidnapping for ransom, even if the victim was released unharmed, consulting with a lawyer experienced in criminal law is crucial. They can analyze the details of your case, assess potential defenses, and represent you in court.
Here are some additional resources:
* Philippine National Police (PNP): [https://pnp.gov.ph/](https://pnp.gov.ph/)
* Department of Justice (DOJ): [https://www.doj.gov.ph/](https://www.doj.gov.ph/)
Remember, this is a general overview, and the specific application of the law depends on the unique circumstances of each case. Consulting with a lawyer can provide a more accurate assessment of the charges you might face and potential defenses.</t>
  </si>
  <si>
    <t>Can I be charged with kidnapping if I unknowingly transported someone who was being kidnapped?</t>
  </si>
  <si>
    <t>As previously discussed, yes, under Philippine law, you can be charged with kidnapping even if you unknowingly transported someone who was being kidnapped. Here's a refresher on the relevant points and additional considerations:
**Unwitting Involvement:**
The Revised Penal Code (Article 18) recognizes the concept of an **accessory before the fact**. This applies to someone who unintentionally contributes to a crime by:
* Planning (even if they don't participate directly)
* Providing means (e.g., driving a getaway car)
* Encouraging the principal offender
**Reckless Imprudence:**
Another relevant concept is **reckless imprudence (Article 365)**. This applies if your actions, done with reckless imprudence, contribute to the kidnapping. An example could be driving a getaway car for someone you unknowingly helped kidnap someone with. Here, "reckless imprudence" means acting with disregard for the consequences of your actions.
**Defenses:**
* **Lack of Intent:** If you can demonstrate that you had no intention of participating in a kidnapping and were unaware of the criminal activity, you might have a defense. * **Mistake of Fact:** If you were mistaken about the true nature of the situation and believed you were participating in a legal activity, this can be a defense. However, the mistake must be reasonable.
**Importance of Consultation:**
The specific facts of your situation will determine whether you could be charged with kidnapping. Here's why consulting with a lawyer is crucial:
* **Assessing Your Role:** A lawyer can analyze the details of your involvement, like how you were manipulated or misled, to determine the likelihood of charges and potential defenses.
* **Understanding the Law:** They can explain the legal principles of unwitting participation and the level of knowledge or intent required for a kidnapping charge.
* **Protecting Your Rights:** If you are questioned by law enforcement, a lawyer can ensure your rights are protected and advise you on how to respond.
**Mitigating Factors:**
If you were unknowingly involved but cooperated with law enforcement once you discovered the truth, this could be a mitigating factor in your case, potentially leading to lesser charges or a lighter sentence. **Remember:** This is a general overview. Consulting with a lawyer experienced in criminal law is highly recommended. They can provide a more specific assessment of your situation and potential legal consequences.</t>
  </si>
  <si>
    <t>How does the law address cases where the alleged victim was released unharmed shortly after being kidnapped?</t>
  </si>
  <si>
    <t>In the Philippines, the law takes a strict stance on kidnapping, even if the victim is released unharmed shortly after the abduction. Here's a breakdown of how the law addresses such cases:
**Intent Matters Most:**
* **Revised Penal Code (RPC) Article 267:** This core kidnapping provision, specifically Section 4, addresses kidnapping for ransom. The crucial element is the **intent** behind the act: "The penalty of reclusion perpetua to death shall be imposed upon any person who, ... kidnaps or seizes another, with the intent to exact ransom..."
* **Focus on Intent:** Philippine law focuses on the **intent to deprive someone of their liberty** and potentially extort something of value (ransom), regardless of the duration of the kidnapping or the victim's condition upon release.
**Cases and Precedents:**
* **Supreme Court Decisions:** Rulings like People vs. Borja (G.R. No. 199710) emphasize that the specific form of ransom isn't essential. The intent to extract something valuable, even if not money, fulfills the crime's elements.
**Release Doesn't Negate the Crime:**
* **Victim's Release:** The fact that the victim is eventually released unharmed doesn't erase the crime itself. The intent to kidnap and potentially extort ransom defines the offense.
* **Ransom Payment:** Whether ransom is actually paid is irrelevant. The **intent to extort** is sufficient for the crime to be committed.
**Potential Defenses (Though Challenging):**
* **Mistake of Fact:** If the accused genuinely believed they were not participating in a kidnapping for ransom, this could be a defense (but difficult to prove).
* **Duress:** If the accused was forced to participate under threat of violence, this could be a defense (but needs clear evidence of coercion).
**Importance of Legal Counsel:**
Consulting a lawyer experienced in criminal law is crucial if you face kidnapping charges, even if the victim was released unharmed. They can analyze your specific situation and explore potential defenses:
* **Assessing Intent:** They can help you determine if your actions truly reflected an intent to participate in a kidnapping.
* **Mitigating Factors:** They can explore if there were any mitigating factors in your case, like immediate cooperation with authorities upon realizing the situation. * **Legal Representation:** They can represent you in court and advocate for the best possible outcome. Here are some resources for further reference:
* Philippine National Police (PNP): [https://pnp.gov.ph/](https://pnp.gov.ph/)
* Department of Justice (DOJ): [https://www.doj.gov.ph/](https://www.doj.gov.ph/)
Remember, this is a general overview. While release is positive for the victim, it doesn't negate the seriousness of the crime in the eyes of the law. Consulting a lawyer can provide a more accurate assessment of your situation and potential legal consequences.</t>
  </si>
  <si>
    <t>Can a kidnapping charge be expunged from my record if I'm acquitted or the charges are dropped?</t>
  </si>
  <si>
    <t>The Philippines has a more limited expungement process compared to some other countries. Here's what you need to know about expunging a kidnapping charge in the Philippines:
* **Acquittal or Dropped Charges Don't Automatically Lead to Expungement:** Unfortunately, simply being acquitted of a kidnapping charge or having the charges dropped doesn't automatically erase it from your record. * **Acquittal with Finality:** However, an acquittal **with finality** (meaning all appeals have been exhausted or the deadline to appeal has passed) can be a basis for a petition for cancellation of the criminal record under Philippine law.
**Petition for Cancellation of Criminal Record:**
* **Requirements:** To file a petition for cancellation of your criminal record, you'll need to meet specific requirements:
* You must be a Filipino citizen.
* You must not have been convicted of any other crime (except for a very minor offense).
* You must have displayed good moral character since the acquittal.
* **Process:** The petition for cancellation is filed with the court that issued the acquittal decision. The process can be complex and time-consuming.
**Seeking Legal Counsel:**
Consulting with a lawyer experienced in expungement procedures is highly recommended. They can:
* **Assess Eligibility:** Evaluate your specific situation and determine if you meet the criteria for filing a petition for cancellation.
* **Navigate the Process:** Guide you through the legal procedures involved in filing the petition.
* **Increase Chances of Success:** Increase your chances of a successful outcome by ensuring the petition is properly prepared and filed.
**Alternative Solutions:**
If you are not eligible for cancellation due to other convictions on your record, a lawyer can explore alternative solutions like:
* **Securing a Certificate of Final Disposition:** This document shows the case was dismissed or you were acquitted. While not an expungement, it can be helpful in some situations.
**Important Note:**
The process and requirements for expungement or cancellation of criminal records can be subject to change. Consulting with a lawyer ensures you have the most up-to-date information and guidance based on current Philippine law.</t>
  </si>
  <si>
    <t>How does the law address cases where the alleged victim's testimony is unreliable or contradictory?</t>
  </si>
  <si>
    <t>In the Philippines, the law approaches cases where the alleged victim's testimony in a kidnapping case is unreliable or contradictory with caution. Here's a breakdown of how the courts might handle such situations:
* **Presumption of Innocence:** The Philippine justice system upholds the presumption of innocence (Article III, Section 14 of the Constitution). This means the burden of proof lies with the prosecution to establish the guilt of the accused beyond reasonable doubt.
* **Evaluating Victim Testimony:** While the victim's testimony is crucial, courts won't solely rely on it if inconsistencies or doubts exist. Judges will consider factors like:
* **Credibility of the Witness:** The victim's demeanor, age, and potential motives for providing inaccurate information are all evaluated.
* **Corroborating Evidence:** Physical evidence, witness testimonies, alibis, or CCTV footage can strengthen or weaken the victim's account.
* **Inconsistencies and Contradictions:** Minor inconsistencies might be attributed to memory lapses or the emotional trauma of the experience. However, significant contradictions or inconsistencies can raise doubts about the accuracy of the testimony.
* **Other Evidence is Crucial:** In cases with unreliable or contradictory victim testimony, a strong case with other types of evidence is essential for a conviction. This could include:
* Forensic evidence from the crime scene
* Witness testimonies from bystanders or people who saw the accused with the victim
* Phone records or electronic evidence placing the accused at the scene
**Role of the Defense:**
* **Highlighting Inconsistencies:** The defense lawyer will likely highlight any inconsistencies or contradictions in the victim's testimony to cast doubt on the prosecution's case.
* **Alternative Explanations:** The defense can offer alternative explanations for the events, potentially creating reasonable doubt about the kidnapping or the accused's involvement.
**Potential Outcomes:**
* **Conviction:** If, despite the inconsistencies, the prosecution can present a compelling case with other forms of evidence, a conviction is still possible. * **Acquittal:** If the inconsistencies in the victim's testimony, coupled with a lack of strong supporting evidence, create reasonable doubt, the accused could be acquitted.
**Importance of Legal Counsel:**
A lawyer experienced in criminal defense is crucial in such cases. They can:
* **Analyze the Victim's Testimony:** Critically evaluate the victim's statements and identify inconsistencies.
* **Gather Supporting Evidence:** Help gather evidence that strengthens the defense case and raises reasonable doubt.
* **Develop a Defense Strategy:** Craft a legal strategy that leverages the weaknesses in the prosecution's case and the unreliability of the victim's testimony.
**Remember:**
* Each case is unique. The specific weight given to the victim's testimony depends on the details of the situation and the presence of other evidence.
* A strong defense strategy that highlights inconsistencies and gathers supporting evidence can be crucial in such cases. Consulting with a lawyer is highly recommended to navigate the complexities of the legal process.</t>
  </si>
  <si>
    <t>What are my legal rights if I'm a victim of domestic violence?</t>
  </si>
  <si>
    <t>The Philippines has established legal protections for victims of domestic violence. Here's a breakdown of your rights under the Anti-Violence Against Women and their Children Act of 2004 (RA 9262):
**Protection Orders:**
* **Barangay Protection Order (BPO):** You can file a BPO with your barangay captain for immediate protection. It can order the abuser to leave the residence, stay away from you and your children, and prohibit further violence for up to 30 days.
* **Temporary Protection Order (TPO):** You can seek a TPO from the Family Court for a longer period (up to six months) with possible renewal. It offers similar protections as a BPO and can also restrict the abuser's communication with you and your children.
* **Permanent Protection Order (PPO):** In court, you can request a PPO for lasting protection. This order can include provisions like:
* Exclusion from the residence
* Prohibition on contacting you or your children
* Financial support for you and your children
**Right to File Criminal Charges:**
* You have the right to file criminal charges against your abuser for various acts of violence under RA 9262, such as physical, sexual, psychological abuse, or economic abuse. These can lead to penalties like imprisonment and fines.
**Right to Safe Accommodation:**
* You have the right to access safe shelters or crisis intervention centers run by the government or NGOs. These facilities provide temporary accommodation, counseling, and other support services.
**Right to Legal Assistance:**
* The government provides free legal assistance to victims of domestic violence through the Public Attorney's Office (PAO). You can also seek help from private lawyers specializing in family law or women's rights. **Additional Resources:**
* Department of Justice (DOJ) - VAWC Help Desk: [https://www.doj.gov.ph/](https://www.doj.gov.ph/) (Look for the VAWC Help Desk contact information)
* Philippine Commission on Women (PCW): [https://pcw.gov.ph/](https://pcw.gov.ph/) * PAO Website: [https://pao.gov.ph/](https://pao.gov.ph/)
**Remember:** * You are not alone. There are resources available to help you.
* You have the right to live a life free from violence. * Taking legal action can protect yourself and your children.
If you are experiencing domestic violence, it's important to seek help and support. Consider reaching out to a trusted friend, family member, or a crisis hotline for immediate assistance.</t>
  </si>
  <si>
    <t>How can I obtain a restraining order against my abuser?</t>
  </si>
  <si>
    <t>In the Philippines, to obtain a restraining order against your abuser, you can file for a **protection order** under the Anti-Violence Against Women and their Children Act of 2004 (RA 9262). Here's a breakdown of the process:
**Two Main Types of Protection Orders:**
* **Barangay Protection Order (BPO):**
* This is a quicker option, filed with your barangay captain (local community leader).
* It offers immediate protection for up to 30 days. * The order can direct the abuser to leave the residence, stay away from you and your children, and prohibit further violence.
* **Temporary Protection Order (TPO) and Permanent Protection Order (PPO):**
* These are filed with the Family Court and offer longer-lasting protection.
* A TPO is valid for up to six months with the possibility of renewal.
* A PPO provides more permanent protection.
* Both TPOs and PPOs can include provisions similar to a BPO, along with restrictions on communication and potential financial support.
**Steps to Obtain a Protection Order:**
1. **Gather Evidence:** Collect any evidence of abuse, such as medical records, police reports, photos of injuries, witness statements, or text messages containing threats.
2. **File a Petition:** You can file a petition for a protection order yourself or seek help from a lawyer or social worker. * For a BPO, approach your barangay captain and file the petition.
* For a TPO or PPO, you'll need to file a petition with the Family Court closest to your residence.
3. **Schedule of Hearing:** The court will schedule a hearing to hear your side of the story and the abuser's response (if they appear).
4. **Protection Order Decision:** The court will decide whether to grant the protection order based on the evidence presented. **Additional Considerations:**
* **Legal Assistance:** While you can file the petition yourself, consulting with a lawyer experienced in family law or women's rights can be extremely helpful. They can guide you through the legal process, ensure the petition is properly filed, and represent you in court.
* **Free Legal Aid:** The Public Attorney's Office (PAO) offers free legal assistance to victims of domestic violence. [https://pao.gov.ph/](https://pao.gov.ph/)
**Important Points:**
* You don't need to be married to your abuser to qualify for a protection order.
* These orders can apply to current or former intimate partners, people with whom you have a child, or relatives within a certain degree.
* There's no filing fee for a protection order petition.
**Resources for Support:**
* Department of Justice (DOJ) - VAWC Help Desk: [https://www.doj.gov.ph/](https://www.doj.gov.ph/) (Look for the VAWC Help Desk contact information)
* Philippine Commission on Women (PCW): [https://pcw.gov.ph/](https://pcw.gov.ph/)
Remember, you are not alone. There are resources and support available to help you through this difficult situation. Taking legal action can protect yourself and your children.</t>
  </si>
  <si>
    <t>What constitutes domestic violence under the law in our jurisdiction?</t>
  </si>
  <si>
    <t>The main law on domestic violence in the Philippines is Republic Act No. 9262, also known as the Anti-Violence Against Women and their Children Act (VAWC Act). This Act defines violence against women and their children (VAWC) under Section 3. Here's a breakdown of what it considers domestic violence:
* **Physical violence** - This includes any act that inflicts physical harm on the woman or her child, like hitting, kicking, slapping, pinching, or burning.
* **Sexual violence** - This covers any act that compels a woman or her child to have sexual relations or engage in any sexual activity that causes or threatens physical harm.
* **Psychological violence** - This involves any act or omission that causes or intends to cause mental or emotional suffering to the woman or her child. This includes threats, humiliation, and intimidation.
* **Economic abuse** - This refers to controlling the woman's finances and depriving her of her financial resources.
The law also recognizes stalking and depriving the woman of her liberty or right to movement as forms of violence.
It's important to note that VAWC can be committed by an intimate partner (husband, ex-husband, live-in partner, boyfriend/girlfriend, fiance) or someone with whom the woman has or had a sexual or dating relationship, or a person who has a common child with the woman.
For a more comprehensive understanding, you can review Republic Act No. 9262 itself or consult with a lawyer who specializes in family law.</t>
  </si>
  <si>
    <t>How can I protect myself and my children from further abuse?</t>
  </si>
  <si>
    <t>Here are some ways you can protect yourself and your children from further abuse under Philippine Law:
**1. File a Protection Order:**
* The VAWC Act (RA 9262) allows you to file a Petition for Protection Order (PPO) against the abuser. This order, if granted by the court, can:
* Direct the abuser to stay away from you and your children (distance varies depending on the order).
* Prohibit the abuser from contacting you or your children.
* Award custody of your children to you.
* Enforce financial support from the abuser.
**2. Report the Abuse to the Authorities:**
* You can report the abuse to the police or barangay officials. * The police are mandated by law (RA 9262) to receive your complaint and investigate the incident.
* Barangay officials can also assist you in filing a protection order and mediating with the abuser (if applicable).
**3. Seek Shelter:**
* You and your children can seek temporary shelter in a women's crisis center or a safe house operated by the Department of Social Welfare and Development (DSWD).
* These facilities can provide you with a safe place to stay, counseling, and other forms of assistance.
**4. Seek Legal Help:**
* A lawyer specializing in family law can advise you on your legal rights and options. * They can also represent you in court when filing a protection order or other legal proceedings.
**Here are some resources that can help:**
* Department of Social Welfare and Development (DSWD): [https://www.dswd.gov.ph/](https://www.dswd.gov.ph/)
* Philippine Commission on Women (PCW): [https://pcw.gov.ph/](https://pcw.gov.ph/)
* Public Attorney's Office (PAO): [https://pao.gov.ph/](https://pao.gov.ph/)
**Important Note:**
* Your safety and the safety of your children are paramount. * If you are in immediate danger, call the police hotline 117 or proceed to your nearest police station.
Remember, you are not alone. There are resources available to help you and your children overcome this situation.</t>
  </si>
  <si>
    <t>Can I press charges against my abuser even if I didn't report the incident immediately?</t>
  </si>
  <si>
    <t>Under the VAWC Act (RA 9262), you can still press charges against your abuser even if you report the incident late. There's no specific timeframe mandated in the law for filing a complaint. However, it's important to understand that a delayed report may affect the strength of your case. Here's why:
* **Evidence:** Fresh evidence like injuries or witness testimonies can be crucial in domestic violence cases. The longer the delay, the harder it might be to gather strong evidence. * **Statute of Limitations:** While there's no specific deadline for reporting under VAWC, some specific acts of violence may have separate statutes of limitations under the Revised Penal Code. These statutes limit the timeframe for filing criminal charges. Consulting with a lawyer can help you understand if the specific act falls under a statute of limitations.
Here's what can help even if there's a delay in reporting:
* **Document Everything:** If you have any evidence of the abuse, even if it happened some time ago, document it. This could include medical records, pictures of injuries, police reports (if any), or witness statements (if obtainable). * **Report Immediately Now:** Even if the incident occurred earlier, report it to the police as soon as possible. This establishes a record of the abuse and can help initiate an investigation. Your best course of action is to consult with a lawyer specializing in family law. They can assess your situation, advise you on the legal options available, and represent you in court if you decide to press charges.</t>
  </si>
  <si>
    <t>What evidence is necessary to prove domestic violence in court?</t>
  </si>
  <si>
    <t>The Philippine legal system doesn't require a specific type of evidence to prove domestic violence. However, to strengthen your case in court, several types of evidence can be helpful under the VAWC Act (RA 9262). Here's what you can consider:
* **Medical Records:** Medical documents showing injuries sustained from the abuse can be powerful evidence. This could include hospital records, doctor's reports, prescriptions, or photographs of injuries (if possible, taken soon after the incident).
* **Police Reports:** If you filed a police report when the incident happened or even later, presenting a copy of the report can document the abuse and the police investigation.
* **Witness testimonies:** Statements from people who witnessed the abuse can corroborate your account of events. This could be neighbors, family members, friends, or even your children (depending on their age).
* **Photos or Recordings (if available):** If you have photographs of injuries, damaged property, or recordings of threats, these can be presented as evidence. Remember, only present recordings acquired legally.
* **Journal Entries or Logs:** Keeping a record of the abuse, including dates, details of incidents, and witnesses present (if any), can be helpful. This can serve as a form of documentation to support your claims.
**Additional Considerations:**
* While not mandatory, a Barangay Protection Order (BPO) issued in your favor can be presented as supporting evidence.
* It's important to note that the absence of a particular type of evidence doesn't necessarily weaken your case. A lawyer can help you gather and present evidence in the most effective way possible.
Remember, the burden of proof lies with the prosecution in criminal cases. However, in cases involving VAWC, the law places the "burden of explanation" on the respondent (abuser) once you've presented "substantial evidence" of abuse. This means if you can show enough evidence to suggest abuse occurred, the abuser would need to explain their actions to potentially avoid liability. For the best outcome, consulting with a lawyer specializing in family law is highly recommended. They can guide you on gathering evidence, understand the legal intricacies of your case, and represent you in court.</t>
  </si>
  <si>
    <t>How does the law define emotional or psychological abuse in domestic violence cases?</t>
  </si>
  <si>
    <t>The Anti-Violence Against Women and their Children Act (RA 9262) defines emotional or psychological abuse broadly under Section 5 (i). Here's what it considers:
* **Acts or omissions causing mental or emotional suffering:** This covers a wide range of behaviors by the abuser intended to inflict emotional distress. Examples include constant humiliation, verbal threats, insults, intimidation, isolation, and stalking.
* **Causing mental or emotional anguish, public ridicule or humiliation:** This refers to actions that deliberately cause public shame or embarrassment. It can involve spreading rumors, controlling who you see or talk to, or making you feel worthless in front of others.
* **Repeated verbal and emotional abuse:** This covers a pattern of hurtful words, insults, yelling, or name-calling intended to control or belittle you.
* **Denial of financial support:** If your partner deliberately withholds financial resources to control you or make you dependent, it can be considered emotional abuse.
* **Denial of custody or access to minor children:** This can be considered emotional abuse if used as a tactic to manipulate or control you.
It's important to remember that the law doesn't require a single, specific act to constitute emotional abuse. A pattern of behavior that causes mental or emotional suffering can be considered abuse under RA 9262.
Here are some additional points to consider:
* The law recognizes that emotional or psychological abuse can have severe consequences like depression, anxiety, and post-traumatic stress disorder (PTSD).
* **Supreme Court Interpretation:** In 2023, the Supreme Court ruled that marital infidelity can be considered psychological violence under RA 9262 if it is used to control the woman's actions or decisions [SC: Marital Infidelity is Psychological Violence under VAWC - Supreme Court of the Philippines]. This highlights that the context and intent behind the abuser's actions are crucial in determining emotional or psychological abuse. If you are experiencing emotional or psychological abuse, remember you are not alone. There are resources available to help you. Consider seeking legal advice from a lawyer specializing in family law to understand your rights and options under the law.</t>
  </si>
  <si>
    <t>Can I file for divorce or seek custody of my children based on domestic violence?</t>
  </si>
  <si>
    <t>Yes, domestic violence can be grounds for both divorce and child custody decisions in the Philippines. Here's how the law applies:
* **Divorce:**
The Philippines doesn't have absolute divorce. However, under the Family Code (Executive Order No. 227), legal separation can be granted on the ground of repeated physical violence or grossly abusive conduct directed against you (the petitioner), a common child, or your child (Article 35(1) of the Family Code). If the court finds sufficient evidence of domestic violence, a legal separation can be granted. This allows you to live separately from your spouse and potentially be awarded custody of your children. * **Child Custody:**
The Anti-Violence Against Women and their Children Act (RA 9262) prioritizes the safety and well-being of children in cases of domestic violence. Here's what the law provides:
* **Section 28 of RA 9262:** This section gives priority to the woman in child custody decisions if she is the victim of violence. The children may be automatically awarded to you with the right to support, especially if they are below seven (7) years old or older with mental or physical disabilities.
* **Best Interests of the Child:** Ultimately, the court will decide custody based on the "best interests of the child" principle (Article 211 of the Family Code). This considers factors like the child's age, emotional well-being, relationship with each parent, and the ability of each parent to provide a safe and nurturing environment. Evidence of domestic violence can significantly impact this decision, as the court prioritizes the child's safety.
**Here's what to remember:**
* While domestic violence strengthens your case for custody, it's not an automatic guarantee. The court will consider all relevant factors.
* Having a lawyer experienced in family law is crucial. They can advise you on the legal process, gather evidence of domestic violence, and represent you in court effectively.
If you are considering divorce or seeking child custody, consulting with a lawyer specializing in family law is highly recommended. They can guide you through the legal process, understand your rights and options, and advocate for your best interests and the well-being of your children.</t>
  </si>
  <si>
    <t>What legal remedies are available to victims of domestic violence?</t>
  </si>
  <si>
    <t>The Philippine legal system offers various legal remedies for victims of domestic violence under the Anti-Violence Against Women and their Children Act (RA 9262) and the Family Code. Here's a breakdown of some key options:
**Protection Orders:**
* **Barangay Protection Order (BPO):** This can be obtained from your barangay captain and offers immediate protection from further violence. It can direct the abuser to stay away from you and your children (distance varies) and prohibit them from contacting you.
* **Temporary Protection Order (TPO):** Issued by the court, a TPO provides similar protection measures as a BPO but lasts for 15 days and can be extended for another 15 days upon petition.
* **Permanent Protection Order (PPO):** This court-ordered protection is more long-term and offers wider measures like awarding custody of your children, enforcing financial support from the abuser, and prohibiting them from coming near your workplace or school.
**Criminal Charges:**
You can press charges against your abuser for various acts of violence under RA 9262, such as physical violence, sexual violence, psychological violence, and economic abuse. Depending on the specific act and severity, penalties can range from imprisonment to fines and mandatory counseling. **Civil Damages:**
RA 9262 allows victims to seek civil damages from the abuser. This can include compensation for medical expenses, lost wages, moral damages (emotional suffering), and exemplary damages (to serve as a deterrent).
**Custody and Support:**
As mentioned earlier, domestic violence can be a strong factor in child custody decisions. Courts prioritize the child's safety and well-being, and evidence of abuse can significantly impact the outcome. Additionally, under RA 9262, financial support from the abuser can be enforced through a protection order. **Legal Separation:**
While the Philippines doesn't have absolute divorce, legal separation can be granted due to repeated physical violence or grossly abusive conduct directed against you. This allows you to live separately and potentially be awarded custody of your children. **Support Services:**
The government provides various support services for victims of domestic violence, including:
* Shelters in women's crisis centers and safe houses
* Legal assistance from the Public Attorney's Office (PAO)
* Counseling and psychological support
**Remember:**
* Consulting with a lawyer specializing in family law is crucial. They can advise you on the legal options most suitable for your situation, gather evidence, represent you in court, and ensure your rights are protected.
* You are not alone. There are resources available to help you overcome this situation. Reach out to the Philippine Commission on Women (PCW) or the Department of Social Welfare and Development (DSWD) for assistance.</t>
  </si>
  <si>
    <t>How does the law address financial abuse in domestic violence cases?</t>
  </si>
  <si>
    <t>The Anti-Violence Against Women and their Children Act (RA 9262) recognizes economic abuse as a form of domestic violence in the Philippines. Here's how the law addresses it:
**Definition of Economic Abuse:**
Section 3(e) of RA 9262 defines economic abuse as acts that control the woman's finances and deprive her of her financial resources. Here are some specific examples:
* **Preventing the woman from engaging in legitimate work or business:** This doesn't apply if the spouse objects for valid reasons defined under the Family Code.
* **Controlling the woman's own money or property:** This can involve taking her money or preventing her access to it, or controlling how she spends her own earnings.
* **Solely controlling the conjugal or common money/properties:** This refers to situations where the abuser takes complete control of all finances and assets, leaving the woman dependent on them.
* **Destroying household property:** While not directly related to financial control, it can be a tactic to exert economic pressure and deprive the woman of resources.
**It's important to understand:**
* Mere failure to financially support the family isn't automatically considered economic abuse under RA 9262. The Family Code mandates financial support between spouses and parents to children.
* However, if the denial of financial support is wilful and deliberate with the intention of causing mental or emotional suffering, it can be considered economic abuse under RA 9262. For instance, denying essential financial resources for the woman or children's needs could be considered abuse.
**Legal Remedies for Economic Abuse:**
* **Protection Orders:** A protection order obtained through a barangay captain or court can restrict the abuser's access to conjugal funds or property and mandate them to provide financial support.
* **Civil Damages:** Victims can sue the abuser for damages, including compensation for lost wages or lost earning opportunities due to economic abuse.
* **Property Rights:** The Family Code protects the woman's property rights. In cases of separation or annulment, the court can consider economic abuse when dividing marital assets.
**Challenges and Considerations:**
* Proving economic abuse can be challenging. However, keeping financial records, documenting instances of control or denial of resources, and witness testimonies can strengthen your case.
* Consulting a lawyer specializing in family law is crucial. They can advise you on the best course of action, gather evidence, and represent you in court if necessary.
Remember, economic abuse can have a significant impact on your well-being. The law provides avenues for protection and resources to help you regain financial independence. Don't hesitate to seek legal advice and support to address this form of domestic violence.</t>
  </si>
  <si>
    <t>Can I sue my abuser for damages in a civil court?</t>
  </si>
  <si>
    <t>Yes, you can sue your abuser for damages in a civil court in the Philippines under the Anti-Violence Against Women and their Children Act (RA 9262). Here's how the law allows you to seek compensation:
* **Civil Damages (Article 26 of RA 9262):** This provision allows you to file a civil case against your abuser to recover damages you suffered due to the violence. These damages can be categorized into three main types:
* **Actual damages:** This refers to quantifiable financial losses caused by the abuse. Examples include medical expenses, lost wages due to injuries or the need to flee the abuser, and repair costs for damaged property.
* **Moral damages:** This compensates for the mental or emotional suffering you endured due to the abuse. There's no fixed amount for moral damages, but the court considers the severity of the violence and its impact on you.
* **Exemplary damages:** These are intended to punish the abuser and deter similar acts in the future. The amount is determined by the court based on the gravity of the offense.
* **Burden of Proof:** It's important to understand that the burden of proof lies with you, the plaintiff. You need to present evidence that establishes the abuse occurred and how it caused the damages you claim. This can include medical records, police reports, witness testimonies, and photographs of injuries or damaged property.
**Benefits of Filing a Civil Case:**
* **Financial Compensation:** A successful civil lawsuit can provide financial resources to help cover expenses related to the abuse and rebuild your life.
* **Holding the Abuser Accountable:** Suing your abuser in civil court can be a way to seek justice and send a message that their actions have consequences.
**Challenges and Considerations:**
* **Legal Costs:** Filing a civil case involves legal fees and court costs. Consulting a lawyer specializing in family law is crucial to understand the financial implications. * **Time and Emotional Strain:** Civil lawsuits can take time to resolve and can be emotionally draining. Consider the emotional impact of revisiting the abuse during the legal process.
**Seeking Legal Help:**
* Consulting with a lawyer is highly recommended. They can assess your case, advise you on the strengths and weaknesses of your claim, gather evidence, and represent you in court. * You may be eligible for legal assistance from the Public Attorney's Office (PAO) if you meet their financial requirements.
Remember, you are not alone. There are resources available to help you navigate the legal process and seek compensation for the damages you've suffered.</t>
  </si>
  <si>
    <t>What should I do if I fear for my safety after leaving my abuser?</t>
  </si>
  <si>
    <t>It's completely understandable to fear for your safety after leaving an abusive relationship. Here are some steps you can take to increase your safety:
**Develop a Safety Plan:**
* **Safe Haven:** Identify a safe place to stay, like a friend's house, family member's place, or a women's shelter. * **Emergency Contact:** Have a trusted friend or family member you can contact immediately if you feel unsafe.
* **Change Routines:** Vary your daily routines to make it harder for your abuser to predict your movements. This can include changing your commute, shopping at different places, and picking different routes for walks.
* **Inform People:** Let close friends, family members, coworkers, and even neighbors know about the situation and your abuser. Having people aware can potentially deter your abuser and provide support if needed.
* **Restraining Order:** Consider filing for a protection order (Barangay Protection Order or court-issued Temporary/Permanent Protection Order) to legally restrict your abuser's contact with you. **Personal Safety Measures:**
* **Change Locks:** If you return home or need to stay there, consider changing the locks on doors and windows.
* **Block Communication:** Block your abuser's phone number, emails, and social media accounts.
* **Document Everything:** Keep a record of any further contact attempts or threats from your abuser. This can include screenshots, voicemails (if legal in your area), and written documentation with dates and details.
* **Be Aware of Surroundings:** Stay alert and aware of your surroundings, especially when entering or leaving your home, car, or workplace.
* **Self-Defense:** Consider taking a self-defense class to boost your confidence and basic self-defense skills if necessary.
**Seek Additional Support:**
* **Crisis Hotline:** Consider contacting a domestic violence hotline for immediate support and guidance.
* **Legal Help:** A lawyer specializing in family law can advise you on your legal rights and options, including protection orders and potentially suing your abuser. * **Counseling:** Therapy can help you deal with the emotional trauma of the abuse and develop coping mechanisms to move forward.
**Here are some resources in the Philippines that can help:**
* Philippine National Commission on the Role of Women (PCW): PCW website: [https://pcw.gov.ph/](https://pcw.gov.ph/) * Department of Social Welfare and Development (DSWD): DSWD website: [https://www.dswd.gov.ph/](https://www.dswd.gov.ph/)
* Women's Legal Resource Center (WLRC): WLRC website: [invalid URL removed]
Remember, your safety is paramount. Don't hesitate to reach out for help and utilize the resources available to protect yourself. You are not alone.</t>
  </si>
  <si>
    <t>How does the law handle cases where the abuser is a family member or spouse?</t>
  </si>
  <si>
    <t>Philippine law recognizes the vulnerability of victims when the abuser is a family member or spouse. Here's how the law approaches these situations:
* **Focus on Protecting Victims:** The Anti-Violence Against Women and their Children Act (RA 9262) prioritizes the protection of women and children from violence, regardless of the relationship to the abuser. * **Broader Definition of Abuser:** RA 9262 defines the abuser not only as a husband or live-in partner but also as someone with whom the woman has or had a sexual or dating relationship, or a person who has a common child with the woman. This can include fathers, sons, brothers, uncles, or even ex-boyfriends.
Here's a breakdown of how the law applies depending on the abuser's relation to the victim:
* **Spouse or Former Spouse:** If the abuser is your current or former spouse, legal remedies under RA 9262 and the Family Code are available. This includes filing for protection orders, pressing charges for specific acts of violence, and potentially seeking legal separation based on domestic violence grounds.
* **Family Member:** If the abuser is a family member (father, son, brother, uncle, etc.), protection orders under RA 9262 can still be obtained. However, pressing charges might depend on the specific act of violence committed. The Revised Penal Code defines various crimes like physical assault, sexual assault, or threats which can be used to prosecute the abuser, depending on the situation.
**Important Considerations:**
* **Evidence is Crucial:** Regardless of the relationship, gathering evidence of abuse is important to strengthen your case when seeking protection orders or pressing charges. This can include medical records, police reports, witness testimonies, and photographs of injuries or damaged property.
* **Emotional/Psychological Abuse:** Remember, RA 9262 recognizes emotional or psychological abuse as a form of domestic violence. This can be relevant even in cases where the abuser is a family member, not just a spouse or partner.
* **Custody and Support:** If you have children and are considering leaving the abusive situation, the court will prioritize the child's safety and best interests when deciding custody. Evidence of domestic violence can significantly impact this decision. **Seeking Legal Help:**
Consulting a lawyer specializing in family law is crucial. They can advise you on the legal options most suitable for your situation, considering the specific relationship between you and the abuser, gather evidence, represent you in court, and ensure your rights and safety are protected.
Remember, you are not alone. There are resources available to help you overcome domestic violence regardless of the abuser's relation to you. Reach out to the Philippine Commission on Women (PCW) or the Department of Social Welfare and Development (DSWD) for support.</t>
  </si>
  <si>
    <t>Can domestic violence charges be dropped if the victim recants their statement?</t>
  </si>
  <si>
    <t>In the Philippines, recanting a statement by the victim **does not automatically** lead to dropped domestic violence charges. Here's the relevant law:
* **Republic Act No. 9262** also known as the "Anti-Violence Against Women and their Children Act of 2004" [R.A. 9262]
This Act treats domestic violence as a crime against the state, not just a personal offense. This means the decision to pursue charges rests with the prosecutor, not solely with the victim.
Even with a recantation, the prosecutor **may still pursue the case** if there is **other evidence** such as:
* Medical records documenting injuries
* Police reports
* Witness testimonies
* Text messages or social media posts containing threats
**Additionally, recanting a statement may have legal consequences** for the victim. They could be charged with:
* Perajury (false testimony under oath)
* Obstruction of Justice
**Important Reminders:**
* This is not legal advice. If you are involved in a domestic violence case, consult with a lawyer who can give you specific guidance based on your situation.
* There are resources available to help victims of domestic violence. You can contact the Department of Social Welfare and Development (DSWD) or NGOs that provide support and assistance.</t>
  </si>
  <si>
    <t>How does the law protect victims who are afraid to testify against their abusers?</t>
  </si>
  <si>
    <t>Philippine law offers several layers of protection for victims who fear testifying against their abusers:
**1. Witness Protection, Security and Benefit Act (Republic Act No. 6981):**
This law establishes a Witness Protection Program to ensure the safety of witnesses, including victims, in criminal cases. The program offers:
* Relocation and safekeeping
* Financial assistance
* New identities (in extreme cases)
* Security measures
Victims can apply for inclusion in the program through the Department of Justice (DOJ).
**2. Anti-Violence Against Women and their Children Act (Republic Act No. 9262):**
* **Confidentiality:** Protects the identity and whereabouts of the victim and their children [R.A. 9262]. This minimizes the risk of the abuser retaliating.
* **Barangay Protection Orders (BPOs) and Protection Orders (POs):** These court orders mandate the abuser to stay away from the victim and their children. They can also prohibit the abuser from contacting the victim or entering their residence [R.A. 9262].
**3. Other Measures:**
* **Closed-circuit television (CCTV) testimony:** Allows victims to testify in a separate room away from the abuser (subject to court approval).
* **Psychological support:** Government agencies and NGOs offer counseling and other support services to help victims cope with the trauma and prepare for court proceedings.
**Important to Note:**
* These protections aim to empower victims to come forward and participate in the legal process.
* Even with a victim's recantation, the prosecutor may pursue the case based on other evidence [R.A. 9262]. If you are a victim of abuse and afraid to testify, reach out to the Department of Justice (DOJ) or NGOs that can provide legal assistance and connect you with the Witness Protection Program.</t>
  </si>
  <si>
    <t>Can I obtain legal aid or assistance if I can't afford a lawyer?</t>
  </si>
  <si>
    <t>Yes, the Philippines offers legal aid to those who cannot afford a private lawyer. Here are some resources:
* **Public Attorney's Office (PAO):** This government agency provides free legal assistance, counselling, and representation to indigent Filipinos in civil, criminal, and administrative cases Supreme Court Philippines: sc.judiciary.gov.ph. You can contact them through:
* Email: pao_executive@yahoo.com
* Phone:
* +63 2 8929-9436
* +63 2 8426-2075
* +63 2 8426-2801
* +63 2 8426-2450
* +63 2 8426-2987
* +63 2 8426-2683
* **Integrated Bar of the Philippines (IBP) Legal Aid Program:** The IBP, the official organization of all lawyers in the Philippines, has a legal aid program that offers free legal assistance to qualified individuals Supreme Court Philippines: sc.judiciary.gov.ph. You can contact them through:
* Email: ibplegalaid@gmail.com
* Phone:
* +63 2 8631-3016
* +63 2 8631-3017
* +63 2 8631-3018
**Additionally:**
* **Law school legal aid clinics:** Many law schools in the Philippines operate legal aid clinics staffed by law students supervised by lawyers. These clinics offer free legal services to indigent clients [invalid URL removed].
* **NGOs:** Some NGOs provide legal assistance to specific groups or for specific legal issues.
**Here's what you'll typically need to qualify for legal aid:**
* Proof of income demonstrating financial need
* Documents related to your legal case
**Remember:** This information is not a substitute for professional legal advice. I recommend contacting the PAO or IBP to discuss your specific situation and see if you qualify for their legal aid program.</t>
  </si>
  <si>
    <t>How does the law address cases of stalking or harassment as part of domestic violence?</t>
  </si>
  <si>
    <t>The Philippines recognizes stalking and harassment as forms of violence against women and their children under the **Republic Act No. 9262** also known as the "Anti-Violence Against Women and their Children Act of 2004" (VAWC Act) [R.A. 9262].
Here's how the VAWC Act addresses stalking and harassment:
* **Definition of Violence Against Women and Their Children:** The Act defines violence against women and their children to include "any act or a series of acts committed by an intimate partner... which includes causing mental or emotional suffering, public ridicule or humiliation to the woman or her child..." [R.A. 9262, Sec. 3(a)(5)(i)] Acts like repeated threats, monitoring movements, or unwanted communication can fall under this definition. * **Prohibited Acts:** The VAWC Act specifically prohibits a person from inflicting psychological violence on a woman or her child, including:
* Causing mental or emotional suffering
* Public ridicule or humiliation [R.A. 9262, Sec. 5(e)]
Stalking and harassment that cause mental or emotional suffering or public humiliation can be considered violations of this provision.
* **Penalties:** The VAWC Act prescribes penalties for those who commit violence against women and their children. The penalty will depend on the severity of the acts committed [R.A. 9262, Sec. 6].
**Additional Points:**
* **Evidence:** For stalking and harassment cases, evidence plays a crucial role. This may include:
* Witness testimonies
* Text messages or social media posts containing threats or harassing messages
* Police reports
* **Barangay Protection Orders (BPOs) and Protection Orders (POs):** Victims can seek protection orders through the barangay or courts. These orders can mandate the abuser to stay away from the victim and their children, and may also prohibit them from contacting the victim [R.A. 9262].
**It's important to note:**
* This is not legal advice. If you are experiencing stalking or harassment, consult with a lawyer to understand your rights and options under the law.
* You can contact the Department of Justice (DOJ) or NGOs that provide support and assistance to victims of domestic violence.</t>
  </si>
  <si>
    <t>What should I do if my abuser violates a restraining order?</t>
  </si>
  <si>
    <t>Here's what you should do if your abuser violates a restraining order in the Philippines:
**1. Ensure Your Safety:**
* **Call the Police Immediately (Dial 911):** If you feel you are in immediate danger, call the police and report the violation. They can arrest the abuser and remove them from the situation.
**2. Document the Violation:**
* **Keep a record:** If there is no immediate danger, document the violation as thoroughly as possible. This includes:
* Date and time of the violation
* Specific details of what happened (e.g., contact attempts, threats made)
* Any witnesses present
* If possible, keep evidence like screenshots of messages, voice recordings of threats, or photos of injuries.
**3. Report the Violation:**
* **Go to the Police Station:** Once you feel safe, proceed to the nearest police station and file a report about the violation. Bring your copy of the restraining order and any evidence you documented.
**4. Consider Legal Help:**
* **Consult a lawyer:** A lawyer can advise you on your legal rights and options. They can help you file a petition to have the abuser held in contempt of court for violating the restraining order. * **Seek Free Legal Aid:** If you cannot afford a lawyer, you can seek free legal assistance from the Public Attorney's Office (PAO) or the Integrated Bar of the Philippines (IBP) Legal Aid Program (See previous answer for contact details).
**Additional Resources:**
* **Department of Justice (DOJ):** The DOJ offers support and assistance to victims of violence against women. You can contact their hotline or visit their website for more information.
* **NGOs:** Several NGOs work to support victims of domestic violence. They can provide counseling, shelter, and legal assistance. **Important to Remember:**
* Your safety is the top priority. If you feel your abuser is a threat, prioritize getting help from the authorities.
* Do not try to confront your abuser yourself.
* There are resources available to help you. Don't hesitate to reach out for support.
This information is not a substitute for professional legal advice. If you have a specific situation or question, consult with a lawyer to understand your rights and options under Philippine law.</t>
  </si>
  <si>
    <t>How does the law address cases of domestic violence in same-sex relationships?</t>
  </si>
  <si>
    <t>In the Philippines, the law regarding domestic violence in same-sex relationships is based on a progressive interpretation of the **Republic Act No. 9262** or the "Anti-Violence Against Women and their Children Act of 2004" (VAWC Act) [R.A. 9262].
Here's a breakdown of how the law applies:
* **Supreme Court Ruling:** The Supreme Court has clarified that the VAWC Act protects women in same-sex relationships. In a landmark decision (SC: Anti-VAWC Act Applies to Lesbian Relationships), the court interpreted the Act's use of the gender-neutral term "person" to encompass lesbian partners [Supreme Court of the Philippines: sc.judiciary.gov.ph].
* **Definition of Violence:** The VAWC Act defines violence against women and their children broadly, including "any act or a series of acts committed by an intimate partner... which includes causing mental or emotional suffering..." [R.A. 9262, Sec. 3(a)(5)(i)]. This definition applies regardless of the genders of the partners involved.
* **Protection Orders:** Victims of domestic violence in same-sex relationships can apply for Barangay Protection Orders (BPOs) or Protection Orders (POs) through the barangay or courts. These orders offer protection from the abuser, including stay-away orders and limitations on contact [R.A. 9262].
**Important Points to Consider:**
* While the Supreme Court has recognized the application of VAWC to same-sex relationships, the Philippines does not have legal recognition of same-sex marriage. * Although the law provides protection, LGBTQ+ victims of domestic violence might face societal stigma and challenges in accessing support services.
* **Evidence:** Similar to opposite-sex relationships, strong evidence is crucial for domestic violence cases involving same-sex partners. This might include:
* Witness testimonies * Text messages or social media posts documenting threats or abuse
* Police reports
* Medical records (if applicable)
**If you are experiencing domestic violence in a same-sex relationship:**
* **Know your rights:** The VAWC Act protects you.
* **Seek help:** Contact the authorities if you feel unsafe. * **Consider legal aid:** The Public Attorney's Office (PAO) or the IBP Legal Aid Program can provide free legal assistance (See previous answer for contact details). * **Reach out to NGOs:** Several NGOs work to support LGBTQ+ victims of domestic violence and can offer counseling, shelter, and legal assistance.
This information is not a substitute for professional legal advice. If you require specific guidance, consult with a lawyer who can address your situation based on Philippine law.</t>
  </si>
  <si>
    <t>Can I seek compensation for medical expenses or therapy related to domestic violence?</t>
  </si>
  <si>
    <t>Yes, under Philippine law, you may be able to seek compensation for medical expenses or therapy related to domestic violence. Here's how:
* **Republic Act No. 9262** or the "Anti-Violence Against Women and their Children Act of 2004" (VAWC Act) [R.A. 9262] allows victims to claim damages for injuries sustained due to domestic violence. This can include:
* Medical expenses for treatment of physical injuries
* Psychological expenses for therapy or counseling
* **Civil Damages:** When filing a case against your abuser, you can include a claim for civil damages to recover the costs you incurred due to the violence. This would include documented medical bills and receipts for therapy sessions.
* **Support from the Government:** The government may offer some financial assistance for medical treatment and therapy to victims of domestic violence. You can inquire with the Department of Social Welfare and Development (DSWD) or NGOs that support victims of domestic violence about available programs.
**Here's what you'll typically need to claim compensation:**
* **Police Report:** A police report documenting the domestic violence incident.
* **Medical Records:** Documentation of your injuries and medical treatment received.
* **Therapy Records (if applicable):** Receipts and records from your therapy sessions. * **Evidence of Abuse:** This could include witness testimonies, photos of injuries, or threatening messages.
**Important Points to Note:**
* The process of claiming compensation can be complex. It's advisable to consult with a lawyer who specializes in domestic violence cases. They can guide you through the legal process and help you gather the necessary evidence.
* **Free Legal Aid:** The Public Attorney's Office (PAO) or the IBP Legal Aid Program can provide free legal assistance (See previous answer for contact details).
* **Success depends on evidence:** The stronger your evidence of abuse and the resulting medical expenses/therapy needs, the better your chances of claiming compensation.
Remember, this information is not a substitute for professional legal advice. If you have a specific situation, consult with a lawyer to understand your rights and options for seeking compensation under Philippine law.</t>
  </si>
  <si>
    <t>How does the law protect victims of domestic violence during child custody proceedings?</t>
  </si>
  <si>
    <t>Philippine law prioritizes the **best interests of the child** during child custody proceedings This includes protecting children from any harm, including exposure to domestic violence. Here's how the law protects victims of domestic violence in these situations:
* **Evidence of Domestic Violence:** A victim of domestic violence can present evidence in court to demonstrate how the abuser's behavior poses a threat to the child's safety and well-being. This evidence can include:
* Police reports of domestic violence incidents
* Medical records documenting injuries
* Witness testimonies
* Court orders of protection against the abuser
* Evidence of psychological abuse (e.g., therapist reports, if applicable)
* **Custody Arrangements:** Based on the evidence, the court may grant sole custody to the non-abusive parent**. In some cases, joint custody with restrictions may be awarded. These restrictions might limit the abuser's contact with the child or require supervised visitation.
* **Protection Orders:** A court-issued protection order can be used to limit the abuser's contact with the child and ensure the child's safety.
**Relevant Laws:**
* **Republic Act No. 9262** or the "Anti-Violence Against Women and their Children Act of 2004" (VAWC Act) [R.A. 9262] recognizes violence against women and their children as a crime.
* **Republic Act No. 8980** or the "Domestic Disruption Code of the Philippines" outlines factors considered in child custody decisions, including the moral fitness of parents.
**Here are some additional points to consider:**
* **Seek Legal Counsel:** A lawyer experienced in family law can advise you on presenting your case and ensure your rights are protected during child custody proceedings.
* **Support Services:** The Department of Social Welfare and Development (DSWD) and NGOs offer support services to victims of domestic violence, including counseling and legal assistance.
**Remember:**
* This is not legal advice. If you are involved in a child custody case and experiencing domestic violence, consult with a lawyer to understand your rights and options under Philippine law.
* Your safety and the safety of your child are the top priorities. Don't hesitate to seek help from the authorities or NGOs if you feel at risk.</t>
  </si>
  <si>
    <t>Can I still press charges if I didn't physically sustain injuries from the abuse?</t>
  </si>
  <si>
    <t>Yes, in the Philippines, you can still press charges for domestic violence even if you didn't sustain physical injuries from the abuse. Here's why:
* **R.A. 9262 Focuses on Wider Abuse:** The **Republic Act No. 9262** or the "Anti-Violence Against Women and their Children Act of 2004" (VAWC Act) [R.A. 9262] defines violence against women and their children broadly. It includes: * "causing mental or emotional suffering..." [R.A. 9262, Sec. 3(a)(5)(i)]
This means psychological abuse, threats, intimidation, and harassment can all be considered domestic violence under the VAWC Act.
* **Focus on Evidence:** Even without physical injuries, evidence can support your case. This might include:
* **Witness testimonies:** People who witnessed the abuse can provide accounts of what happened.
* **Medical records:** Documentation of mental health issues or treatment for anxiety or depression resulting from the abuse can be helpful.
* **Text messages, emails, or social media posts:** These can contain evidence of threats, insults, or controlling behavior.
* **Police reports:** Reporting the abuse to the police creates a record of the incident.
* **Case Depends on Evidence:** The strength of your case depends on the evidence you can gather to demonstrate the abusive behavior. **Here are some additional points to consider:**
* **Consult a Lawyer:** A lawyer experienced in domestic violence cases can advise you on how to build your case and navigate the legal process.
* **Free Legal Aid:** The Public Attorney's Office (PAO) or the IBP Legal Aid Program can provide free legal assistance (See previous answer for contact details).
* **Support Services:** The Department of Social Welfare and Development (DSWD) and NGOs offer support services to victims of domestic violence, including counseling and legal assistance.
**Remember:** * This is not legal advice. If you are experiencing domestic violence, don't hesitate to seek help. Your safety and well-being are important.
* You are not alone. There are resources available to help you.</t>
  </si>
  <si>
    <t>How does the law address cases where the abuser is also the primary caregiver for children?</t>
  </si>
  <si>
    <t>The situation where the abuser is the primary caregiver for children in the Philippines presents a complex challenge within domestic violence cases. While the law prioritizes the child's safety and well-being, it also recognizes the importance of a stable and nurturing caregiver. Here's how the law tries to balance these competing interests:
**Focus on Child's Best Interests:** Philippine law, particularly **Republic Act No. 8980** or the "Domestic Disruption Code of the Philippines," dictates that child custody decisions must prioritize the **best interests of the child**. This includes protecting them from any harm, including exposure to domestic violence.
**Evidence and Alternatives:**
* **Evidence of Abuse:** The victim can present evidence in court to demonstrate the abuser's behavior poses a threat to the child's safety. This evidence can include the same types mentioned previously (witnesses, medical records, police reports).
* **Assessing Alternatives:** The court will consider alternative caregivers**. This might involve the other parent, grandparents, or other relatives deemed fit to provide a safe and nurturing environment for the child.
**Custody Arrangements and Protection:**
* **Custody Decisions:** Based on the evidence and available options, the court may award sole custody to the non-abusive parent**. In some cases, joint custody with restrictions might be considered. These restrictions could limit the abuser's contact with the child or require supervised visitation. * **Protection Orders:** A court-issued protection order can be used to limit the abuser's contact with the child and ensure the child's safety, even if they remain in the same household. **Challenges and Considerations:**
* **Gathering Evidence:** Building a strong case of abuse without physical injuries can be challenging.
* **Limited Alternatives:** Finding suitable alternative caregivers may not always be easy, especially for young children.
* **Safety During Proceedings:** There's a risk of escalation of abuse during the legal process.
**Recommendations:**
* **Seek Legal Counsel:** A lawyer experienced in family law and domestic violence can advise you on presenting your case and ensure your and your child's rights are protected.
* **Support Services:** The Department of Social Welfare and Development (DSWD) and NGOs offer support services to victims of domestic violence, including counseling, shelter if needed, and legal assistance.
* **Safety Planning:** Work with a lawyer and social worker to develop a safety plan to protect yourself and your child during and after legal proceedings.
**Remember:** * This is not legal advice. If you are in this situation, consult with a lawyer to understand your specific rights and options under Philippine law. * There are resources available to help you and your child. Don't hesitate to seek help from the authorities, NGOs, or social services. The legal process can be complex, but prioritizing your safety and your child's well-being is crucial.</t>
  </si>
  <si>
    <t>Can I obtain emergency housing or financial assistance as a domestic violence victim?</t>
  </si>
  <si>
    <t>Yes, there are resources available in the Philippines to help domestic violence victims with emergency housing and financial assistance. Here's a breakdown of the options:
**Emergency Housing:**
* **Government Shelters:** The Department of Social Welfare and Development (DSWD) operates shelters that provide temporary accommodation and support services for victims of violence against women (VAW) including domestic violence. * **NGO Shelters:** Many NGOs offer shelter and support services specifically for victims of domestic violence. These shelters may cater to women with children or specific needs. You can search online for "domestic violence shelters Philippines" or contact NGOs that focus on women's rights or VAW services.
**Financial Assistance:**
* **Government Programs:** The DSWD may offer limited financial assistance to victims of VAW. This could include help with transportation, temporary livelihood assistance, or skills training programs.
* **Legal Assistance:** A lawyer can advise you on your rights to claim damages from your abuser under the VAWC Act. This could include compensation for medical expenses or therapy related to the domestic violence (see previous answer on claiming compensation).
* **NGO Support:** Some NGOs may offer financial aid or assistance with finding employment to help victims achieve financial independence.
**Here are some resources to get you started:**
* **Department of Social Welfare and Development (DSWD):** [https://www.dswd.gov.ph/](https://www.dswd.gov.ph/) - DSWD has a crisis hotline and regional offices that can provide information on shelters and assistance programs.
* **Philippine Commission on Women (PCW):** [https://pcw.gov.ph/](https://pcw.gov.ph/) - The PCW advocates for women's rights and may offer referrals to support services.
* **NGOs:** You can search online for NGOs working on VAW issues in your area. Some examples include:
* Gabriela Women's Network: [https://en.wikipedia.org/wiki/Gabriela_Women%27s_Party](https://en.wikipedia.org/wiki/Gabriela_Women%27s_Party)
* Lila Pilipina Foundation: [https://worldhistorycommons.org/lila-pilipina-brochure](https://worldhistorycommons.org/lila-pilipina-brochure)
* Ateneo Human Rights Center: [https://ahrc.org.ph/](https://ahrc.org.ph/) **Important Points to Remember:**
* Availability of resources may vary depending on your location.
* Emergency shelters often have limited capacity, so acting quickly is important.
* Documentation is usually required to access government assistance programs. This might include police reports, medical records, or barangay certifications.
* Seek legal advice to understand your rights and options for claiming compensation.
Remember, this information is not a substitute for professional legal advice. If you have specific questions, consult with a lawyer who specializes in domestic violence cases. If you are experiencing domestic violence, don't hesitate to reach out for help. There are people who care about your safety and well-being.</t>
  </si>
  <si>
    <t>How does the law handle cases where the abuser has a history of violence?</t>
  </si>
  <si>
    <t>In the Philippines, a history of violence by the abuser can be a significant factor in domestic violence cases. Here's how the law considers it:
* **Evidence of Propensity for Violence:** A history of violence strengthens the case against the abuser. It demonstrates a pattern of behavior and increases the likelihood that the abuse will continue.
* **Types of Evidence:** Evidence of the abuser's history of violence can include:
* Police reports of previous domestic violence incidents against you or others.
* Court records of convictions for violence-related offenses.
* Witness testimonies from people who have witnessed the abuser's violent behavior.
* Medical records documenting injuries sustained from past abuse.
* Protection orders issued against the abuser in the past.
* **Impact on Protection Orders and Custody Decisions:**
* **Protection Orders:** A history of violence may influence the court to grant a stricter protection order. This could include limitations on the abuser's ability to contact you or approach your residence or workplace. * **Child Custody:** If there are children involved, the court will prioritize their safety. A history of violence by the abuser may weigh against them in child custody decisions. The court may award sole custody to the non-abusive parent or limit the abuser's contact with the children. * **Increased Penalties:** Depending on the severity of the abuser's past violence and the current case, they may face harsher penalties if convicted. Here are some additional points to consider:
* **Gather Evidence:** If you have any documentation of the abuser's past violence, preserve it and present it to the police or your lawyer.
* **Safety Planning:** If you are still living with the abuser, a lawyer and social worker can help you develop a safety plan to protect yourself and your children.
* **Seek Legal Counsel:** A lawyer experienced in domestic violence cases can advise you on how to use the abuser's history of violence to strengthen your case and protect your rights.
**Important Reminders:**
* This is not legal advice. If you are experiencing domestic violence, consult with a lawyer to understand your specific situation and options under Philippine law.
* There are resources available to help you. Don't hesitate to reach out for help from the authorities, NGOs, or social services. Your safety and well-being are important. Remember, you are not alone.</t>
  </si>
  <si>
    <t>Can I obtain legal protection if I fear retaliation from my abuser for seeking help?</t>
  </si>
  <si>
    <t>Yes, Philippine law offers several layers of protection for victims who fear retaliation from their abusers for seeking help. Here's a breakdown of the options available:
**Protection Mechanisms:**
* **Witness Protection Program:** The Witness Protection, Security and Benefit Act (Republic Act No. 6981) establishes a program to ensure the safety of witnesses, including victims, in criminal cases. The program offers:
* Relocation and safekeeping
* Financial assistance
* New identities (in extreme cases)
* Security measures
Victims can apply for inclusion in the program through the Department of Justice (DOJ).
* **Protection Orders:** The Anti-Violence Against Women and their Children Act (Republic Act No. 9262) allows victims to seek protection orders through the barangay or courts. These orders mandate the abuser to stay away from the victim and their children. They can also prohibit the abuser from contacting the victim or entering their residence [R.A. 9262].
* **Confidentiality:** The VAWC Act protects the identity and whereabouts of the victim and their children [R.A. 9262]. This minimizes the risk of the abuser retaliating.
**Additional Measures:**
* **Closed-circuit television (CCTV) testimony:** This allows victims to testify in a separate room away from the abuser (subject to court approval). * **Legal Representation:** A lawyer can help navigate the legal process and advocate for your safety during court proceedings.
**Here's what you can do to increase your safety:**
* **Don't confront your abuser:** If you fear retaliation, avoid direct confrontation with the abuser.
* **Develop a safety plan:** Work with a lawyer, social worker, or NGO to create a safety plan that minimizes your risk of exposure to the abuser. * **Document the abuse:** Keep a record of any threats, harassment, or violence as evidence. * **Seek Support:** Reach out to NGOs or support groups for victims of domestic violence. They can provide emotional support, counseling, and sometimes even temporary shelter.
**Important Points to Remember:**
* Even if you enter the Witness Protection Program, cooperating with the prosecution is crucial for a successful case.
* Protection orders can be a deterrent but may not completely eliminate the risk of retaliation. * There are resources available to help you. Don't hesitate to seek help from the authorities, NGOs, or social services even if you fear retaliation.
**Remember:** This information is not a substitute for professional legal advice. If you are experiencing domestic violence, consult with a lawyer to understand your specific situation and options for obtaining legal protection under Philippine law.</t>
  </si>
  <si>
    <t>How does the law address cases where domestic violence occurs in a dating relationship?</t>
  </si>
  <si>
    <t>The Philippines recognizes dating relationships as grounds for protection under the law concerning domestic violence. Here's a breakdown of how the law applies:
* **Key Legislation:** The main legal framework is the **Republic Act No. 9262** or the "Anti-Violence Against Women and their Children Act of 2004" (VAWC Act) [R.A. 9262].
* **Definition of "Violence Against Women":** The VAWC Act broadly defines violence against women to include acts committed by an "intimate partner" which can encompass dating partners [R.A. 9262, Sec. 3(a)]. This includes:
* Physical violence
* Sexual violence
* Psychological violence
* Economic abuse
* Threats of such acts
* **Supreme Court Ruling:** The Supreme Court has further clarified the VAWC Act's application to same-sex dating relationships by interpreting the Act's use of the gender-neutral term "person" to encompass lesbian partners [Supreme Court of the Philippines: sc.judiciary.gov.ph]. This principle likely extends to heterosexual dating relationships as well. Therefore, if you are experiencing domestic violence in a dating relationship, you have the right to seek legal protection under the VAWC Act.
**Here's what you can do:**
* **Report the Abuse:** File a report with the police. This creates a record of the incident and can initiate legal proceedings against your abuser.
* **Seek Medical Attention:** If you have sustained injuries, get medical attention and document them. Medical records can be valuable evidence.
* **Apply for Protection Orders:** You can apply for a Barangay Protection Order (BPO) or a court-issued protection order. These orders can mandate the abuser to stay away from you and may also restrict their ability to contact you.
**Additional Points to Consider:**
* **Evidence:** Similar to other domestic violence cases, strong evidence strengthens your case. This might include:
* Witness testimonies
* Text messages or social media posts containing threats or abusive language
* Police reports
* Medical records (if applicable)
* **Legal Help:** A lawyer experienced in domestic violence cases can advise you on your rights and options and guide you through the legal process. Free legal aid may be available from the Public Attorney's Office (PAO) or the Integrated Bar of the Philippines (IBP) Legal Aid Program.
* **Support Services:** Several NGOs work to support victims of domestic violence in dating relationships. They can provide counseling, shelter (if needed), and legal assistance.
**Important to Remember:**
* This is not a substitute for legal advice. If you have a specific situation, consult with a lawyer to understand your rights and options under Philippine law.
* Your safety is the top priority. Don't hesitate to seek help from the authorities or NGOs if you feel unsafe.</t>
  </si>
  <si>
    <t>Can I obtain a protective order even if I'm not married to my abuser?</t>
  </si>
  <si>
    <t>Yes, in the Philippines, you can obtain a protective order even if you're not married to your abuser. The law protects victims of domestic violence in various relationships, including dating relationships.
Here's a breakdown of the relevant law and how it applies to obtaining a protective order:
* **Anti-Violence Against Women and their Children Act (VAWC Act):** Republic Act No. 9262 is the key legislation addressing domestic violence. The Act defines violence against women broadly to include acts committed by an "intimate partner" which can encompass dating partners [R.A. 9262, Sec. 3(a)].
* **Who can Apply for Protection Orders?** Under the VAWC Act, several parties can file for protection orders, including:
* **The offended party (victim):** This applies to you if you are experiencing domestic violence.
* **People with a relationship to the victim:** Parents, guardians, or those with a blood or marital relationship to the victim can also file on their behalf.
**Types of Protection Orders:**
* **Barangay Protection Order (BPO):** These orders are issued by the barangay captain (village chief) and offer temporary protection from the abuser. * **Protection Orders from the Court:** Courts can issue various protection orders depending on the situation. These orders can mandate the abuser to stay away from you and your residence and may also restrict their ability to contact you or own firearms.
**Important Points to Remember:**
* **Evidence is Crucial:** Building a strong case to obtain a protection order often relies on evidence. This might include:
* Witness testimonies * Text messages or social media posts documenting threats or abuse
* Police reports if you filed a report
* Medical records (if applicable)
* **Seek Legal Help:** A lawyer familiar with domestic violence cases can advise you on the best course of action and guide you through the process of obtaining a protection order. Free legal aid may be available from the Public Attorney's Office (PAO) or the Integrated Bar of the Philippines (IBP) Legal Aid Program.
**Here's what you can do to get started:**
* **Report the Abuse:** Filing a police report creates a record of the incident and may be helpful evidence. * **Gather Evidence:** Keep any documentation of the abuse, such as threatening messages or medical records.
* **Seek Legal Counsel or Contact NGOs:** A lawyer or NGO specializing in domestic violence can provide guidance and support throughout the process of obtaining a protection order.
**Remember:**
This information is not a substitute for professional legal advice. If you are experiencing domestic violence, consult with a lawyer to understand your specific situation and options for obtaining a protective order under Philippine law. Your safety is important. Don't hesitate to reach out for help.</t>
  </si>
  <si>
    <t>How does the law address cases where the abuser uses weapons or threatens with deadly force?</t>
  </si>
  <si>
    <t>Philippine law addresses abusers using weapons or threatening deadly force through a combination of the Constitution and Republic Acts:
**1. Right to Security of Person (Constitution):** Article III, Section 1 of the 1987 Constitution guarantees the right to security of person. This means the abuser's actions can be seen as a violation of your fundamental right to be safe.
**2. Republic Act No. 9262 (Anti-Violence Against Women and their Children Act):** This law is specifically designed to protect women and their children from violence. Here's how it applies:
* **Protection Orders:** Section 8 allows you to petition for a Temporary Protection Order (TPO) or a Permanent Protection Order (PPO). These orders can prohibit the abuser from contacting you, entering your home, and possessing any deadly weapons [Republic Act No. 9262].
* **Confiscation of Deadly Weapons:** Barangay officials or the court can confiscate any deadly weapons in the abuser's possession upon issuing a protection order [Republic Act No. 9262].
**3. Specific Crimes:** Depending on the specific situation, the abuser's actions might also be considered separate crimes:
* **Threats and Coercion (Revised Penal Code):** Article 282 of the Revised Penal Code penalizes threats to inflict death or serious physical harm [Revised Penal Code].
* **Illegal Possession of Firearms (Republic Act No. 8294):** If the abuser possesses a firearm without a license, they can be charged under Republic Act No. 8294.
**4. Self-Defense (Revised Penal Code):** The Revised Penal Code also recognizes the right to self-defense under Article 11 [Revised Penal Code]. This might apply if you are forced to use reasonable force to protect yourself from the abuser's immediate threat with a deadly weapon.
**Remember:** This is just a general overview. The specific charges and legal options will depend on the details of your situation. It's always best to consult with a lawyer who can advise you based on the specific facts of your case.</t>
  </si>
  <si>
    <t>Can I press charges against my abuser if I'm a minor or incapacitated adult?</t>
  </si>
  <si>
    <t>Yes, you can press charges against your abuser even if you are a minor or incapacitated adult in the Philippines. Here's how the law applies:
**Minors:**
* **Representation:** Minors cannot file charges on their own. However, a parent, legal guardian, or a designated representative can file a complaint on your behalf [Republic Act No. 9262].
* **Social Services:** Government social service agencies can also intervene and initiate the filing of charges to protect a minor [Republic Act No. 9262].
**Incapacitated Adults:**
* **Guardian's Role:** Similar to minors, a legal guardian can file a complaint on behalf of an incapacitated adult [Republic Act No. 9262]. * **Court Appointment:** If there's no legal guardian, the court can appoint a representative to act on the incapacitated adult's behalf [Rule 64, Section 2 of the Rules of Court].
**Republic Act No. 9262 (Anti-Violence Against Women and their Children Act):** This law specifically protects women and their children, including minors, from violence. It allows for the filing of protection orders and criminal charges against the abuser.
**Other Laws:** Depending on the nature of the abuse, other laws can also be used to press charges. These may include the Revised Penal Code for crimes like physical assault or threats.
**Recommendation:**
While you can't press charges yourself, it's important to seek help. Here are some resources:
* Report the abuse to a trusted adult, family member, teacher, or social worker.
* Contact the Department of Social Welfare and Development (DSWD) for assistance: DSWD National Hotline (NCR) - 1386 or DSWD Regional Offices [https://www.dswd.gov.ph/](https://www.dswd.gov.ph/)
* Call the Philippine National Police (PNP) Women and Children Protection Center (WCPC) hotline: 1853
Remember, you are not alone. There are people who can help you get the protection you deserve.</t>
  </si>
  <si>
    <t>How does the law address cases where the abuser denies the allegations of domestic violence?</t>
  </si>
  <si>
    <t>Philippine law addresses domestic violence cases where the abuser denies the allegations by placing the burden of proof on the complainant but also considering other forms of evidence:
* **Complainant's Burden of Proof:** Similar to most criminal cases, the Philippines adheres to the principle that the burden of proof lies with the complainant [Rules of Court, Rule 131, Section 3]. This means you, as the victim, have the responsibility to present evidence that the abuse occurred.
* **Standard of Proof:** However, domestic violence cases are typically decided based on the "preponderance of evidence" standard [People vs. Hernandez, G.R. No. 192440]. This means the court must be convinced that it's more likely than not that the abuse happened. This is a lower standard compared to the "proof beyond reasonable doubt" required in most criminal cases.
* **Considering Other Evidence:** Even if there's no physical evidence or witnesses, the court can consider other factors to support your claims. These can include:
* **Medical Records:** Documentation of injuries sustained during the abuse can be strong evidence. * **Police Reports:** If you reported the abuse to the police, the police report can be presented in court.
* **Witness Testimony:** Even if they didn't witness the actual abuse, friends, family members, or neighbors who can testify about your abuser's behavior can be helpful.
* **Patterns of Behavior:** The court may consider a history of controlling behavior, threats, or verbal abuse as evidence of a pattern of domestic violence.
* **Protection Orders:** **Republic Act No. 9262 (Anti-Violence Against Women and their Children Act)** allows you to petition for a protection order even if the case hasn't been decided yet. This can help keep you safe while the legal proceedings continue. **Here are some additional points to consider:**
* **Legal Representation:** A lawyer familiar with domestic violence cases can be invaluable in gathering evidence, presenting your case effectively, and navigating the legal process.
* **Support Services:** Government agencies and NGOs often offer support services to victims of domestic violence, including counseling and legal assistance. **Remember:** Denying the allegations is a common tactic used by abusers. The Philippine legal system recognizes this and allows for various forms of evidence to be considered. If you have experienced domestic violence, there are resources available to help you seek justice and protection.</t>
  </si>
  <si>
    <t>Can I still obtain legal protection if I've reconciled with my abuser but fear further violence?</t>
  </si>
  <si>
    <t>Yes, Philippine law may still offer you legal protection even if you've reconciled with your abuser but fear further violence. Here's how:
**Republic Act No. 9262 (Anti-Violence Against Women and their Children Act):**
This law is key in protecting victims of domestic violence, and **reconciliation doesn't necessarily bar you from seeking legal protection**. Here's why:
* **Focus on Safety:** The law prioritizes the safety of the victim and their children. If you have a genuine fear of future violence, you can still seek protection.
* **Protection Orders:** Even after reconciliation, you can petition for a **Temporary Protection Order (TPO)** or a **Permanent Protection Order (PPO)** under RA 9262 [Republic Act No. 9262]. These orders can:
* Prohibit the abuser from contacting you or your children.
* Restrict them from entering your home or workplace.
* Order them to surrender any firearms or deadly weapons.
**Evidence of Continued Fear:**
However, to convince the court to grant a protection order, you'll need to present evidence that you have a reasonable fear of future violence. This evidence might include:
* **History of Violence:** Past incidents of violence or threats documented in police reports or medical records.
* **Threats or Coercion:** Evidence of recent threats or attempts by the abuser to control you. * **Witness Testimony:** Statements from friends or family who can corroborate your fear.
**Seeking Legal Counsel:**
Consulting a lawyer experienced in domestic violence cases is highly recommended. They can guide you through the process of gathering evidence, filing for a protection order, and understanding your legal options. **Important Note:**
Reconciliation with an abuser can be a complex and potentially dangerous situation. **It's crucial to assess your safety honestly.** Consider these factors:
* **Has the abuser shown remorse and a willingness to change?**
* **Have they sought professional help to address their violent behavior?**
* **Do you feel truly safe in the relationship?**
If the answer to any of these is no, prioritizing your safety and seeking legal protection might be the best course of action.
**Remember:** There are resources available to help you. Consider reaching out to:
* **Department of Social Welfare and Development (DSWD):** DSWD National Hotline (NCR) - 1386 or DSWD Regional Offices [https://www.dswd.gov.ph/](https://www.dswd.gov.ph/)
* **Philippine National Police (PNP) Women and Children Protection Center (WCPC) hotline:** 1853
You are not alone. Don't hesitate to seek help if you are in danger.</t>
  </si>
  <si>
    <t>How does the law address cases where the abuser attempts to manipulate or control through financial means?</t>
  </si>
  <si>
    <t>Philippine law recognizes economic abuse as a form of domestic violence and offers legal recourse for victims whose abusers try to manipulate or control them financially. Here's how:
**Republic Act No. 9262 (Anti-Violence Against Women and their Children Act):**
This act specifically defines and addresses economic abuse:
* **Definition:** Section 3(a) of RA 9262 defines economic abuse as acts that make or attempt to make a woman financially dependent on her abuser. This includes, but is not limited to:
* Preventing the woman from engaging in any legitimate profession, business, or activity.
* Controlling the woman's own money or property.
* Solely controlling the conjugal or common money/properties.
**Legal Options:**
If your abuser is using financial means to control you, here are some legal options available:
* **Protection Orders:** RA 9262 allows you to petition for a protection order that can:
* Prohibit the abuser from controlling your bank accounts or other financial resources.
* Order them to provide financial support, if applicable (e.g., child support).
* **Property Rights:** You have the right to your own separate property acquired before or during the marriage/relationship. * **Family Code Provisions:** The Family Code [Family Code of the Philippines] also provides legal recourse for property disputes between spouses or partners.
**Evidence Gathering:**
Building a strong case requires evidence of the abuser's controlling behavior. Here's what can be helpful:
* **Bank Statements:** Records showing the abuser controlling your accounts or limiting your access.
* **Joint Financial Documents:** Proof of ownership of jointly acquired assets.
* **Witness Testimony:** Statements from individuals who can corroborate the abuser's controlling behavior regarding finances.
**Seeking Legal Counsel:**
A lawyer specializing in family law or domestic violence can provide invaluable guidance. They can help you:
* Navigate the legal process of filing for protection orders or pursuing claims related to property rights.
* Gather and present evidence effectively.
* Understand your rights and legal options.
**Remember:** Financial abuse can be a powerful tool for control. The Philippine legal system recognizes this and provides avenues for victims to seek protection and financial independence.
**Additional Resources:**
* You can also reach out to government agencies like the Department of Social Welfare and Development (DSWD) for support and assistance: DSWD National Hotline (NCR) - 1386 or DSWD Regional Offices [https://www.dswd.gov.ph/](https://www.dswd.gov.ph/).
**Disclaimer:** This information is for general awareness and shouldn't be considered legal advice. It's always best to consult with a qualified lawyer for specific legal matters.</t>
  </si>
  <si>
    <t>Can I obtain legal protection if I'm an immigrant and fear deportation if I report domestic violence?</t>
  </si>
  <si>
    <t>Yes, Philippine law offers some legal protection for immigrants who fear deportation if they report domestic violence. Here's what you need to know:
**Focus on Safety:** While immigration status can be a concern, the law prioritizes the safety of victims of domestic violence. There are resources available regardless of immigration status.
**Protection Orders:** You can still petition for a Temporary Protection Order (TPO) or Permanent Protection Order (PPO) under Republic Act No. 9262 (Anti-Violence Against Women and their Children Act) even if you're an immigrant [Republic Act No. 9262]. These orders can:
* Prohibit the abuser from contacting you or your children.
* Restrict them from entering your home or workplace.
* Order them to surrender any firearms or deadly weapons.
**Confidentiality:** Law enforcement and social service providers are generally required to maintain confidentiality regarding your immigration status when you report domestic violence.
**Immigration Options:**
There might be immigration options available to you depending on your situation. Here's a general overview:
* **VAWA (Violence Against Women Act):** If your abuser is a U.S. citizen or lawful permanent resident (green card holder), you may be eligible to self-petition for legal residency in the Philippines under the provisions of VAWA [https://www.americanimmigrationcouncil.org/sites/default/files/research/violence_against_women_act_provides_protections_for_noncitizen_women_and_victims_of_crime.pdf](https://www.americanimmigrationcouncil.org/sites/default/files/research/violence_against_women_act_provides_protections_for_noncitizen_women_and_victims_of_crime.pdf). **Important Note:** Immigration laws are complex and constantly evolving. It's crucial to consult with an immigration lawyer who specializes in domestic violence cases. They can assess your specific situation and advise you on potential immigration options.
**Here are some resources that can help:**
* **NGOs:** Several NGOs offer support and legal assistance to immigrant victims of domestic violence. You can search online for organizations in your area that specialize in such cases.
* **US Embassy (if applicable):** The US Embassy in the Philippines might offer resources and support to US citizens experiencing domestic violence.
**Remember:** You are not alone. There are people who can help you even if you fear deportation. It's important to prioritize your safety and well-being. Don't hesitate to reach out for help.
**Disclaimer:** This information is for general awareness and shouldn't be considered legal advice. It's always best to consult with a qualified lawyer and an immigration specialist for specific legal matters and immigration options.</t>
  </si>
  <si>
    <t>How does the law address cases where the victim of domestic violence is also charged with a crime in self-defense?</t>
  </si>
  <si>
    <t>The Philippine legal system recognizes self-defense as a justifying circumstance, potentially exempting a victim of domestic violence from criminal liability if they harm their abuser. Here's how the law applies:
**Revised Penal Code (Article 11):**
This article outlines the elements of self-defense that can be used as a defense in court:
* **Unlawful Aggression:** The abuser must be the initial aggressor, initiating a violent attack that puts you in reasonable fear of harm.
* **Reasonable Necessity of the Means Employed:** Your response to the aggression must be proportional to the threat. You can't use excessive force.
* **Lack of Provocation on Your Part:** You cannot have provoked the abuser's attack.
**Domestic Violence as a Context:**
While the legal elements remain the same, courts are more likely to consider self-defense claims in domestic violence situations. Here's why:
* **Pattern of Abuse:** Evidence of a history of domestic violence can be used to support your claim that you feared for your safety.
* **Power Imbalance:** The power imbalance inherent in domestic violence relationships can be considered when evaluating if your response was reasonable.
**Burden of Proof:**
It's important to remember that the burden of proof lies with you, the accused, to establish self-defense by a preponderance of evidence. This means you need to convince the court that it's more likely than not that you acted in self-defense. **Evidence for Self-Defense:**
Here's what can strengthen your self-defense claim:
* **Police Reports:** Reporting the abuse to the police and obtaining a report can be helpful.
* **Medical Records:** Documentation of injuries sustained during the incident can support your claim of fearing for your safety.
* **Witness Testimony:** Statements from individuals who witnessed the abuse or the immediate aftermath can corroborate your story.
* **History of Abuse:** Evidence of past incidents of violence or threats can demonstrate a pattern of aggression.
**Legal Representation:**
Having a lawyer experienced in domestic violence cases is highly recommended. They can guide you through the legal process, gather evidence to support your self-defense claim, and present your case effectively in court.
**Disclaimer:** This information is intended for general awareness and shouldn't be considered legal advice. The specific details of your situation will significantly impact how the law is applied. Consulting with a qualified lawyer is crucial for navigating a self-defense case arising from domestic violence.</t>
  </si>
  <si>
    <t>Can I obtain legal protection if I'm in a long-distance or online relationship with my abuser?</t>
  </si>
  <si>
    <t>Philippine law recognizes and offers protection for victims of domestic violence, but the legal landscape regarding long-distance or online relationships can be a bit complex. Here's what you need to understand:
**Current Laws:**
The primary legislation addressing domestic violence in the Philippines is Republic Act No. 9262 (Anti-Violence Against Women and their Children Act or RA 9262). This law is typically applied in situations where there's a cohabitation or a marital relationship. **Challenges with Long-Distance Relationships:**
The law traditionally focuses on physical proximity and the potential for physical harm. In long-distance or online relationships, proving physical harm or the immediate threat of physical harm might be more challenging. **Potential Avenues for Protection:**
However, there might still be ways to seek protection under RA 9262, depending on the specific circumstances:
* **Stalking:** If your abuser persistently harasses you online or through electronic communications, this might be considered stalking under Section 5 of RA 9262.
* **Psychological Abuse:** While the online nature of the abuse might make it difficult to prove, emotional or psychological abuse can also be a form of domestic violence under RA 9262. Evidence of online threats, intimidation, or controlling behavior could be relevant.
**Protection Orders:**
If the online abuse translates to a legitimate fear for your safety, you can still petition for a protection order under RA 9262. This could help restrict the abuser's ability to contact you online or through other means.
**Evolving Landscape:**
Technology and the nature of relationships are constantly evolving. While the current legal framework might not perfectly address every situation, there are ongoing discussions and potential legislative changes to consider online abuse within the domestic violence spectrum.
**Here are some recommendations:**
* **Gather Evidence:** Save screenshots, online messages, or any documentation of the abusive behavior.
* **Consult a Lawyer:** A lawyer specializing in domestic violence can assess your situation and advise you on the best course of action based on the specific facts and the potential applicability of RA 9262. * **Report to Authorities:** If the online abuse translates to real threats or harassment, consider reporting it to the police or relevant authorities.
**Remember:** Even if the legal path is less clear-cut in long-distance relationships, your safety is paramount. Don't hesitate to seek help and explore your options.</t>
  </si>
  <si>
    <t>How does the law address cases where the victim of domestic violence has a disability?</t>
  </si>
  <si>
    <t>Philippine law recognizes the vulnerability of disabled victims of domestic violence and offers them protection through various existing legislation:
**1. Republic Act No. 9262 (Anti-Violence Against Women and their Children Act or RA 9262):**
This primary law remains applicable in domestic violence cases involving victims with disabilities. RA 9262 defines and protects against various forms of violence, including physical, sexual, psychological, and economic abuse. **2. Magna Carta for Persons with Disability (Republic Act No. 7502):**
This law recognizes the rights and privileges of persons with disabilities (PWDs) and mandates their protection from all forms of exploitation, abuse, neglect, and violence. It also requires government agencies to provide accessible reporting mechanisms and support services for PWDs experiencing domestic violence.
**3. Accessibility Considerations:**
The legal system strives to be accessible for PWDs who are victims of domestic violence. Here's what to expect:
* **Assistance in Reporting:** Law enforcement agencies and social service providers should be able to provide assistance with reporting abuse, considering the specific needs of the PWD victim. This might include sign language interpreters for deaf individuals or alternative formats for reporting documents for those with visual impairments.
* **Accessible Court Proceedings:** Courts should make reasonable accommodations to ensure PWDs can participate effectively in legal proceedings. This could involve providing sign language interpreters, assistive listening devices, or Braille documents.
**4. Potential for Enhanced Penalties:**
While the specific penalties for domestic violence are outlined in RA 9262, there might be an argument for enhanced penalties in cases where the victim has a disability. This can be based on the vulnerability of the victim and the potential for increased harm.
**Challenges and Considerations:**
Despite these legal protections, there are still challenges for disabled victims:
* **Accessibility Barriers:** Physical or communication barriers might hinder reporting and accessing support services.
* **Dependence on Abuser:** Some PWDs may be dependent on their abuser for daily needs, making it difficult to leave the abusive situation.
**Here are some resources that can help:**
* **Department of Social Welfare and Development (DSWD):** DSWD National Hotline (NCR) - 1386 or DSWWD Regional Offices [https://www.dswd.gov.ph/](https://www.dswd.gov.ph/). They have programs specifically designed to assist PWDs and can connect you with resources in your area.
* **Philippine National Police (PNP) Women and Children Protection Center (WCPC) hotline:** 1853. * **NGOs:** Several NGOs focus on disability rights and can offer support and legal assistance to PWDs experiencing domestic violence.
**Remember:** You are not alone. The Philippine legal system offers protection, and there are resources available to help you.</t>
  </si>
  <si>
    <t>Can I obtain legal protection if I'm a victim of domestic violence but fear the involvement of child protective services?</t>
  </si>
  <si>
    <t>Philippine law prioritizes the safety and well-being of children. While your fear of child protective services (CPS) is understandable, there are ways to seek protection from domestic violence while minimizing the risk of unnecessary CPS involvement. Here's a breakdown:
**Domestic Violence and Child Safety:**
Domestic violence can have a detrimental impact on children's physical and emotional well-being, even if they are not directly abused. The law recognizes this and may involve CPS to assess the safety of children in the home.
**Alternative Solutions:**
However, there might be ways to address your concerns and still seek protection:
* **Focus on Safety Orders:** Your primary goal might be to stop the abuse and ensure your safety. You can petition for a Temporary Protection Order (TPO) or a Permanent Protection Order (PPO) under Republic Act No. 9262 (Anti-Violence Against Women and their Children Act or RA 9262) These orders can:
* Prohibit the abuser from contacting you or your children.
* Restrict them from entering your home.
* **Explain Your Situation:** If you are concerned about CPS involvement, explain your situation to the lawyer or social worker assisting you. * You can express your willingness to establish a safe environment for your children, potentially mitigating the need for CPS intervention.
* If there's a safety plan in place and the abuser is excluded from the home, CPS might be less likely to remove your children.
* **Support Services:** Utilize available support services designed to help families experiencing domestic violence. These can include:
* Counseling for you and your children.
* Parenting programs focused on creating a safe and healthy environment for children.
**Importance of Legal Advice:**
Consulting a lawyer experienced in domestic violence cases is crucial. They can guide you through the legal process, advise on strategies to minimize CPS involvement, and advocate for your safety and well-being.
**Here are some resources that can help:**
* **Department of Social Welfare and Development (DSWD):** DSWD National Hotline (NCR) - 1386 or DSWWD Regional Offices [https://www.dswd.gov.ph/](https://www.dswd.gov.ph/). They offer support services for families experiencing domestic violence.
* **NGOs:** Several NGOs provide support and legal assistance to victims of domestic violence. You can search online for organizations in your area that specialize in such cases.
**Remember:** Your safety and the safety of your children are paramount. There are resources available to help you navigate domestic violence and explore solutions that prioritize both your protection and well-being of your children.</t>
  </si>
  <si>
    <t>How does the law address cases where the victim of domestic violence is a senior citizen?</t>
  </si>
  <si>
    <t>Philippine law recognizes the vulnerability of senior citizens experiencing domestic violence and offers them protection through a combination of existing legislation:
**1. Republic Act No. 9262 (Anti-Violence Against Women and Their Children Act or RA 9262):**
While this law primarily focuses on violence against women and their children, it can still be applied in cases where a senior citizen is the victim. RA 9262 defines and protects against various forms of violence, including physical, sexual, psychological, and economic abuse.
**2. Expanded Anti-Trafficking in Persons Act (Republic Act No. 10364):**
This law, while generally focused on human trafficking, can also be relevant in some domestic violence cases involving senior citizens. For instance, if an abuser withholds an elderly person's medication or necessities, it could be considered a form of forced labor or servitude under certain circumstances.
**3. The Elderly Abuse Law (House Bill No. 7030 or Anti-Elder Abuse Act):**
This proposed bill, while not yet a law (as of October 27, 2023), offers a specific legal framework to address elder abuse. It defines elder abuse, outlines various forms of abuse (physical, psychological, emotional, financial, and neglect), and prescribes penalties for perpetrators.
**Existing Legal Protections:**
Even without a specific law solely focused on elder abuse, senior citizens can still seek protection under existing legislation:
* **Protection Orders:** Similar to victims under RA 9262, senior citizens can petition for Temporary Protection Orders (TPO) or Permanent Protection Orders (PPO) to restrict the abuser's contact or presence.
* **Increased Penalties:** Some existing laws, like the Revised Penal Code, might consider the age of the victim as an aggravating circumstance, potentially resulting in harsher penalties for the abuser. **Challenges and Considerations:**
Despite legal protections, senior citizens facing domestic violence might encounter challenges:
* **Financial Dependence:** Some seniors may be financially dependent on their abuser, making it difficult to leave the abusive situation.
* **Social Stigma:** There might be a social stigma associated with reporting elder abuse, preventing seniors from seeking help.
**Here are some resources that can help:**
* **Department of Social Welfare and Development (DSWD):** DSWD National Hotline (NCR) - 1386 or DSWWD Regional Offices [https://www.dswd.gov.ph/](https://www.dswd.gov.ph/). They offer support services for elder abuse victims.
* **NGOs:** Several NGOs focus on senior citizen rights and can provide support and legal assistance to victims of domestic violence.
* **Local Barangay Councils:** Barangays (the smallest administrative unit in the Philippines) can be a starting point for reporting abuse and seeking assistance.
**Remember:** Senior citizens deserve to live free from violence. Don't hesitate to reach out for help and explore your legal options. There are resources available to support you.</t>
  </si>
  <si>
    <t>Can I obtain legal protection if I'm in a polyamorous or non-traditional relationship?</t>
  </si>
  <si>
    <t>While the Philippines doesn't have specific laws directly addressing domestic violence in polyamorous or non-traditional relationships, there are ways to obtain legal protection in certain situations. Here's a breakdown:
**Current Legal Landscape:**
Philippine law primarily focuses on protecting traditional marriage and common-law partnerships. This can make it more challenging to obtain the same legal protections available to married couples in cases of domestic violence.
**Potential Avenues for Protection:**
However, there are still legal options you can explore:
* **General Laws Against Violence:** Even without a specific domestic violence law applying to your situation, you can still press charges against your abuser under general laws against violence, assault, or battery depending on the nature of the abuse.
* **Cohabitation Agreements:** While not legally binding in the Philippines, creating a cohabitation agreement with your partners can outline shared living arrangements, finances, and even potential dispute resolution mechanisms. * **Witness Testimony:** If you share living space with your partners or have other witnesses to the abuse, their testimonies can be crucial evidence in court.
**Focus on Safety:**
Regardless of the legal complexities, your safety is the top priority. Here are some steps you can take:
* **Document the Abuse:** Keep a record of incidents, including dates, details of the abuse, and any injuries sustained. * **Seek Medical Attention:** If you're injured, seek medical attention and document any injuries.
* **Report to the Police:** Report the abuse to the police, even if you're unsure about the legal outcome. * **Contact NGOs:** Several NGOs offer support and resources to victims of domestic violence, regardless of relationship status. You can search online for organizations in your area. **Legal Consultation:**
Consulting a lawyer experienced in family law is highly recommended. They can assess your specific situation and advise on the best course of action, considering the current legal framework and potential ways to seek protection.
**Looking Ahead:**
The Philippines is seeing growing discussions and legal initiatives regarding LGBTQIA+ rights and recognition of non-traditional families. While there's no guarantee of a swift change, these developments might pave the way for future legal protections encompassing domestic violence in polyamorous or non-traditional relationships.
**Remember:** You are not alone. There are resources available to help you, even if the legal path might be less clear-cut. Prioritize your safety and seek help from trusted individuals or organizations.</t>
  </si>
  <si>
    <t>How does the law address cases where the victim of domestic violence is a member of a marginalized community?</t>
  </si>
  <si>
    <t>The Philippine legal system recognizes domestic violence against marginalized communities, but there are challenges in addressing them. Here's a breakdown of the law and its limitations:
**Applicable Laws:**
* **Republic Act No. 9262 (Anti-Violence Against Women and their Children Act or RA 9262):** This primary law remains the cornerstone for addressing domestic violence, protecting women and their children from physical, sexual, psychological, and economic abuse.
* **Other Laws:** Depending on the specific circumstances, other laws like the Revised Penal Code (for assault, battery) or the Expanded Anti-Trafficking in Persons Act (for forced labor or servitude) might be applicable.
**Challenges for Marginalized Communities:**
While the laws exist, marginalized communities face additional hurdles:
* **Stereotypes and Bias:** Law enforcement and judicial systems might hold unconscious biases that can affect how seriously a victim's report is taken. * **Language Barriers:** Limited access to interpreters or culturally insensitive communication can create difficulties in reporting abuse and navigating the legal process. * **Economic Dependence:** Financial dependence on the abuser, common in some marginalized communities, can make it harder for victims to leave the abusive situation.
* **Fear of Deportation (for immigrants):** Immigrant victims might fear deportation if they report abuse by a citizen or legal resident.
**Importance of Cultural Sensitivity:**
For the law to be effective, cultural sensitivity is crucial:
* **Training:** Law enforcement and social workers should undergo training to recognize domestic violence within different cultural contexts and avoid bias.
* **Accessibility:** Support services and legal resources need to be accessible in various languages and cater to the specific needs of marginalized communities.
**What Can You Do:**
* **Document the Abuse:** Keep a record of incidents, including dates, details of the abuse, and any injuries sustained.
* **Seek Support:** Look for NGOs or organizations specializing in domestic violence within your community. They can provide culturally sensitive support and guidance. * **Legal Consultation:** A lawyer familiar with domestic violence cases and the challenges faced by marginalized communities can be invaluable. **Resources:**
* **Government Agencies:**
* Department of Social Welfare and Development (DSWD): DSWD National Hotline (NCR) - 1386 or DSWWD Regional Offices [https://www.dswd.gov.ph/](https://www.dswd.gov.ph/)
* Philippine National Police (PNP) Women and Children Protection Center (WCPC) hotline: 1853
* **NGOs:** Search online for organizations in your area that focus on domestic violence and support for marginalized communities.
**Remember:** There are people who understand the specific challenges you face and can help. Don't hesitate to reach out for support and explore your legal options. You are not alone.</t>
  </si>
  <si>
    <t>Can I obtain legal protection if I'm a victim of domestic violence but lack documentation or legal status?</t>
  </si>
  <si>
    <t>The Philippines recognizes the vulnerability of victims of domestic violence regardless of immigration status, and there are still ways to seek protection even if you lack documentation. Here's a breakdown of the situation:
**Challenges for Undocumented Victims:**
* **Fear of Deportation:** The primary concern for undocumented victims is often the fear of deportation if they report the abuse. * **Limited Access to Resources:** Without proper documentation, accessing government services or securing legal aid might be more difficult. **Focus on Safety:**
Despite the challenges, your safety is paramount. Here's what you can do:
* **Report the Abuse:** You can still report the abuse to the police, even if you're undocumented. They are mandated to take domestic violence reports seriously regardless of immigration status. * You can request to speak to a woman police officer if you feel more comfortable.
* **Seek Medical Attention:** If you're injured, seek medical attention and document any injuries. These records can serve as evidence.
* **NGOs:** Several NGOs offer support and assistance to victims of domestic violence, regardless of immigration status. They can provide:
* Safe havens or shelters
* Legal aid and advice
* Translation services if needed
**Confidentiality:**
Law enforcement and social service providers are generally required to maintain confidentiality regarding your immigration status when you report domestic violence.
**Potential Legal Options:**
While legal options might be limited due to your documentation status, here are some possibilities:
* **Protection Orders:** There have been cases where undocumented victims were granted protection orders under Republic Act No. 9262 (Anti-Violence Against Women and their Children Act or RA 9262) These orders can help restrict the abuser's contact or presence, promoting your safety.
* **Immigration Options (Consult a Lawyer):** Depending on the specific situation and the nature of your relationship with the abuser, there might be potential immigration options available in the future, such as VAWA (Violence Against Women Act) if the abuser is a US citizen or legal permanent resident [https://www.americanimmigrationcouncil.org/sites/default/files/research/violence_against_women_act_provides_protections_for_noncitizen_women_and_victims_of_crime.pdf](https://www.americanimmigrationcouncil.org/sites/default/files/research/violence_against_women_act_provides_protections_for_noncitizen_women_and_victims_of_crime.pdf). However, this is a complex area of law, and consulting with an immigration lawyer specializing in domestic violence cases is crucial.
**Finding Help:**
* **NGO Hotlines:** Many NGOs have hotlines specifically for victims of domestic violence. You can search online for organizations in your area that offer assistance in your language. * **US Embassy (if applicable):** The US Embassy in the Philippines might offer resources and support to US citizens experiencing domestic violence.
**Disclaimer:** This information is for general awareness and shouldn't be considered legal advice. The specific details of your situation will significantly impact the available options and legal pathways. Consulting with a lawyer experienced in domestic violence cases and immigration law is crucial for navigating your situation effectively.
**Remember:** Don't hesitate to seek help. There are people who can support you and fight for your safety despite the challenges of lacking documentation. You are not alone.</t>
  </si>
  <si>
    <t>How does the law address cases where the victim of domestic violence is a member of the military or law enforcement?</t>
  </si>
  <si>
    <t>The Philippine legal system addresses domestic violence involving military personnel and law enforcement officers through a combination of civilian and internal disciplinary mechanisms. Here's a breakdown:
**Civilian Legal Protections:**
* **Republic Act No. 9262 (Anti-Violence Against Women and their Children Act or RA 9262):** This primary law applies to domestic violence cases regardless of the victim's profession. It defines and protects against various forms of abuse, including physical, sexual, psychological, and economic abuse. Victims can petition for protection orders under RA 9262 to restrict the abuser's contact or presence and promote safety.
* **Reporting to Law Enforcement:** Domestic violence is a crime, and victims can report the abuse to the police regardless of the abuser's profession. Law enforcement is obligated to investigate domestic violence reports seriously.
**Internal Disciplinary Measures:**
* **Military:** The Armed Forces of the Philippines (AFP) has its own domestic violence guidelines and disciplinary procedures. These might involve administrative sanctions, reassignment, or even dismissal from service depending on the severity of the offense. Victims within the military can report abuse through their chain of command or directly to the Military Family Advocacy Program (MFAP).
* **Law Enforcement:** The Philippine National Police (PNP) also has internal regulations addressing domestic violence involving its officers. Similar to the AFP, these regulations can lead to disciplinary actions, including suspension or dismissal. Victims can report abuse to their superiors or through PNP Women and Children Protection Center (WCPC) hotlines.
**Considerations and Challenges:**
* **Chain of Command:** Reporting abuse through the chain of command might be intimidating for some victims within the military or law enforcement.
* **Confidentiality Concerns:** Balancing the need for confidentiality with internal investigations can be a challenge.
* **Potential for Bias:** There might be a concern about bias within the respective institutions when handling domestic violence cases involving their own personnel.
**Recommendations:**
* **Explore All Options:** Victims can consider reporting to civilian authorities alongside internal reporting mechanisms.
* **Seek Support:** Military Family Advocacy Program (MFAP) and PNP Women and Children Protection Center (WCPC) offer support services and can guide victims through the reporting process.
* **Legal Consultation:** Consulting a lawyer experienced in domestic violence cases can be crucial, especially if there are complexities or concerns about internal investigations.
**Remember:** Domestic violence is a serious crime, and victims deserve protection regardless of their profession. There are resources available to help, and you don't have to go through this alone.</t>
  </si>
  <si>
    <t>Can I obtain legal protection if I'm a victim of domestic violence but fear losing custody of my pets?</t>
  </si>
  <si>
    <t>Yes, you can obtain legal protection if you are a victim of domestic violence and still retain custody of your pets. Here's what Philippine law provides:
* **Republic Act No. 9262 or the Anti-Violence Against Women and their Children Act (RA 9262)** protects victims of domestic violence, including women and their children. This law also recognizes the emotional and psychological attachment between a person and their pets.
Here are some relevant provisions of RA 9262:
* **Section 3. Definition of Domestic Violence** considers causing psychological suffering or emotional distress to a person as domestic violence.
* **Section 5. Protection Orders** allows courts to issue protection orders that can direct the abuser to:
* leave the residence shared by the parties * stay away from the victim and the child within a specified distance
* **Section 15. Custody of Children** provides that courts shall consider the welfare of the child as a paramount concern in determining custody. While the law does not explicitly mention pets, the court can consider the emotional well-being of the child, which may include keeping pets in the home.
It is advisable to consult with a lawyer who specializes in RA 9262 to discuss your specific situation and explore your legal options. They can help you understand your rights and how to navigate the court process to obtain protection while ensuring the well-being of both yourself and your pets.</t>
  </si>
  <si>
    <t>How does the law address cases where the victim of domestic violence is pregnant or recently gave birth?</t>
  </si>
  <si>
    <t>Philippine law recognizes the heightened vulnerability of pregnant women and new mothers experiencing domestic violence. Here's what you need to know:
**Protection Under RA 9262:**
* **Reputable Act No. 9262 or the Anti-Violence Against Women and their Children Act (RA 9262)** offers comprehensive protection for victims of domestic violence, including pregnant women and new mothers.
**Relevant Provisions in RA 9262:**
* **Section 3. Definition of Domestic Violence:** considers causing physical harm, threats, or maltreatment towards a pregnant woman or a woman who has recently given birth as domestic violence.
* **Section 5. Protection Orders:** allows courts to issue protection orders with specific provisions for pregnant women and new mothers. These orders can include:
* Directing the abuser to leave the residence.
* Barring the abuser from contacting the victim or coming within a certain distance.
* Granting the victim exclusive occupancy of the residence.
* **Section 16. Battered Woman Syndrome:** recognizes the Battered Woman Syndrome as a defense in cases where the victim injures or kills the abuser in self-defense or defense of others.
**Additional Considerations:**
* While RA 9262 doesn't explicitly mention custody of unborn children, the court prioritizes the welfare of the child when determining custody arrangements (Section 15). This can be interpreted to consider the well-being of the fetus when a pregnant woman experiences domestic violence.
**Importance of Legal Counsel:**
Consulting a lawyer specializing in RA 9262 is crucial. They can:
* Advise you on obtaining protection orders tailored to your situation, ensuring the safety of yourself and your unborn child or newborn baby.
* Help you navigate the legal process to secure custody or visitation rights, considering the best interests of the child.
Remember, this is just a general overview. Philippine law can be complex, so seeking professional legal advice is essential for the strongest protection under RA 9262.</t>
  </si>
  <si>
    <t>Can I obtain legal protection if I'm a victim of domestic violence but fear being outed as LGBTQ+ if I report?</t>
  </si>
  <si>
    <t>Unfortunately, there is no current Philippine law that explicitly protects LGBTQ+ individuals from discrimination in domestic violence situations. However, there are ways to seek legal protection with some considerations:
* **Republic Act No. 9262 or the Anti-Violence Against Women and their Children Act (RA 9262)** is the primary law for domestic violence protection. While the law doesn't mention sexual orientation or gender identity, it focuses on the act of violence itself. Here's how you might approach using RA 9262:
* **Focus on the Abuse:** When seeking help, concentrate on the details of the domestic violence you've experienced. * **Seek Support from LGBTQ+ Organizations:** Several LGBTQ+ organizations in the Philippines offer support and guidance to victims of domestic violence within their community. These organizations can connect you with resources and potentially lawyers who are sensitive to LGBTQ+ issues.
**Challenges and Considerations:**
* **Potential for Discrimination:** There's a chance you might face discrimination from law enforcement or support services due to your sexual orientation or gender identity. * **Local Anti-Discrimination Ordinances:** While there's no national law, some local government units (LGUs) have passed anti-discrimination ordinances that might offer some protection. Here are some resources to find out if your area has such ordinances:
* Philippine Commission on Human Rights (CHR) [https://chr.gov.ph/](https://chr.gov.ph/)
* Rainbow Rights Philippines [https://www.defendingwomen-defendingrights.org/about/members/rainbow-rights-project-r-rights-inc/](https://www.defendingwomen-defendingrights.org/about/members/rainbow-rights-project-r-rights-inc/)
**Recommendations:**
* **Confidentiality:** When seeking help, prioritize your safety. You can request confidentiality from service providers whenever possible.
* **Documentation:** Keep a record of the abuse, including dates, details of incidents, and any injuries. * **Support System:** Build a support system of trusted friends, family members, or LGBTQ+ organizations who can advocate for you.
Remember, this is a complex situation. While legal protections are still evolving for LGBTQ+ individuals, there are resources available. Consider contacting an LGBTQ+ organization or a lawyer specializing in RA 9262 to discuss your specific situation and explore your options for obtaining legal protection.</t>
  </si>
  <si>
    <t>How does the law address cases where the victim of domestic violence has a history of mental illness or substance abuse?</t>
  </si>
  <si>
    <t>Philippine law protects victims of domestic violence regardless of their mental health or substance abuse history. Here's a breakdown of relevant legal aspects:
**Protection Under RA 9262:**
* **Republic Act No. 9262 or the Anti-Violence Against Women and their Children Act (RA 9262)** is the cornerstone legislation addressing domestic violence. It ensures protection for victims irrespective of mental illness or substance abuse background.
**Focus on the Abuse:**
* RA 9262 centers on the act of violence itself, not the victim's mental health or substance abuse. The law recognizes various forms of domestic violence, including:
* Physical harm
* Sexual violence
* Psychological or emotional abuse
* Economic abuse
* Threats of such acts
**Addressing Concerns:**
* **Misconceptions about Mental Illness:** Courts cannot deny protection orders based solely on a victim's mental health diagnosis. A history of mental illness does not diminish the reality of the domestic violence experienced. * **Substance Abuse and Credibility:** While substance abuse may raise concerns about a victim's testimony, courts must weigh the evidence fairly. Corroborating evidence like medical records or witness accounts can strengthen your case.
**Importance of Medical Documentation:**
* If your mental illness or substance abuse is related to the domestic violence, seek medical attention and document these visits. This documentation can be crucial evidence in court.
**Considerations and Additional Resources:**
* **Support Services:** There may be social services or mental health professionals who can provide support and resources tailored to your situation.
* **Legal Representation:** Consulting a lawyer specializing in RA 9262 is crucial. They can:
* Advise you on obtaining protection orders. * Help navigate the legal process while considering your mental health or substance abuse background.
**Remember:** * You are not alone. There are resources available to help. * You deserve to be safe from domestic violence.
**Philippine Legislations:**
* While there are no specific laws addressing domestic violence victims with mental illness or substance abuse, the following resources can provide further guidance:
* Department of Health (DOH): [https://doh.gov.ph/](https://doh.gov.ph/)
* Philippine Mental Health Association (PMHA): [https://pmha.org.ph/](https://pmha.org.ph/)
This information is not a substitute for professional legal advice. For specific legal guidance, consult with a lawyer specializing in RA 9262.</t>
  </si>
  <si>
    <t>Can I obtain legal protection if I'm a victim of domestic violence but have a criminal record?</t>
  </si>
  <si>
    <t>Yes, you can still obtain legal protection under Philippine law if you are a victim of domestic violence and have a criminal record. Here's why:
* **Focus of RA 9262:** The primary law for domestic violence protection, Republic Act No. 9262 or the Anti-Violence Against Women and their Children Act (RA 9262), prioritizes the act of violence itself. * **Protection Regardless of Background:** RA 9262 offers protection to victims irrespective of their criminal history. **Considerations with a Criminal Record:**
* **Potential for Scrutiny:** While the law protects you, your criminal record might be scrutinized by law enforcement or the court. * **Importance of Evidence:** Having strong evidence of the domestic violence is crucial. This evidence can include:
* Medical records documenting injuries
* Witness testimonies
* Police reports (if any)
* Photographic evidence
**Recommendations:**
* **Seek Legal Counsel:** Consulting a lawyer experienced in RA 9262 is vital. They can:
* Advise you on obtaining protection orders considering your criminal record.
* Help present your case effectively, highlighting the domestic violence and the evidence you have.
**Additional Resources:**
* **Support Organizations:** Organizations supporting victims of domestic violence can provide assistance and advocacy, regardless of your background. You can find them through the Philippine Commission on Women (PCW): [https://pcw.gov.ph/](https://pcw.gov.ph/)
**Remember:**
* Having a criminal record doesn't negate your right to be safe from domestic violence.
* There are resources available to help you.
**Disclaimer:** This information is for general awareness and shouldn't be considered a substitute for professional legal advice. For specific legal guidance considering your criminal record, consult a lawyer specializing in RA 9262.</t>
  </si>
  <si>
    <t>How does the law address cases where the victim of domestic violence is a minor who doesn't want to involve their parents?</t>
  </si>
  <si>
    <t>Philippine law recognizes the vulnerability of minor victims of domestic violence and offers them protection even if they hesitate to involve their parents. Here's a breakdown of relevant legal aspects:
**Protection Under RA 9262:**
* **Republic Act No. 9262 or the Anti-Violence Against Women and Their Children Act (RA 9262)** is the primary legislation addressing domestic violence. Section 10 of RA 9262 specifically mentions protection for children experiencing violence within the family.
**Addressing a Minor's Concerns:**
The law acknowledges that a minor might be hesitant to involve their parents. Here are some options:
* **Seeking Help from Other Adults:** The minor can approach other trusted adults, such as grandparents, aunts/uncles, teachers, or social workers, to report the abuse. * **Barangay Protection Orders (BPOs):** Minors can seek Barangay Protection Orders (BPOs) through their barangay captain. BPOs can direct the abuser to leave the residence or impose a distance between the abuser and the victim (Section 4 of RA 9262).
**Role of Social Services:**
* **Department of Social Welfare and Development (DSWD):** The DSWD plays a crucial role in protecting minors experiencing domestic violence. They can:
* Provide counseling and support services to the minor.
* File a petition for a protection order with the court on the minor's behalf (Section 15 of RA 9262).
**Considerations and Additional Resources:**
* **Court-Issued Protection Orders:** While a minor can initiate the process for a BPO, court-issued protection orders offer more comprehensive and long-term safeguards. A trusted adult or social worker can assist the minor in navigating the court process. * **Confidentiality:** When seeking help, minors can request confidentiality from service providers whenever possible.
**Importance of Legal Representation:**
Consulting a lawyer specializing in RA 9262 can be beneficial. The lawyer can:
* Advise the minor on the most suitable course of action based on their specific situation.
* Help navigate the legal process, considering the minor's preference for parental involvement.
**Remember:** * There are safe and legal ways for a minor to seek help without involving their parents if they choose not to.
* Minors have the right to be safe from domestic violence.
**Philippine Legislations:**
* Here are some resources for further guidance:
* Department of Social Welfare and Development (DSWD): [https://www.dswd.gov.ph/](https://www.dswd.gov.ph/)
* Philippine Commission on Women (PCW): [https://pcw.gov.ph/](https://pcw.gov.ph/)
**Disclaimer:** This information is not a substitute for professional legal advice. For specific legal guidance considering a minor's situation and preferences, consult a lawyer specializing in RA 9262.</t>
  </si>
  <si>
    <t>Can I obtain legal protection if I'm a victim of domestic violence but fear retaliation from my abuser's powerful connections or influence?</t>
  </si>
  <si>
    <t>Philippine law offers protection for victims of domestic violence regardless of the abuser's social standing or connections. However, your fear of retaliation is a valid concern. Here's how the law can help and some additional steps you can take:
**Protection Under RA 9262:**
* **Republic Act No. 9262 or the Anti-Violence Against Women and their Children Act (RA 9262)** is the cornerstone legislation addressing domestic violence. It ensures protection for victims irrespective of the abuser's background.
**Key Features of RA 9262:**
* **Protection Orders:** RA 9262 allows courts to issue protection orders that can direct the abuser to:
* Leave the residence you share.
* Stay away from you and your children within a specified distance (Section 5).
* **Confidentiality:** You can request confidentiality when seeking help from law enforcement or social service providers (Section 27).
**Addressing Fear of Retaliation:**
* **Barangay Protection Orders (BPOs):** Consider getting a Barangay Protection Order (BPO) first. While BPOs have a shorter duration than court-issued orders, they can offer immediate protection and may be obtained through your barangay captain without extensive court proceedings. (Section 4 of RA 9262)
* **Safe Reporting:** When reporting the abuse, seek a police station outside of the abuser's area of influence. * **Documentation:** Keep a record of the abuse, including dates, details of incidents, injuries (if any), and threats made. **Additional Measures for Safety:**
* **Support System:** Build a strong support system of trusted friends, family members, or organizations that can advocate for you.
* **Legal Counsel:** Consult a lawyer specializing in RA 9262. They can:
* Advise you on the most effective course of action considering your situation. * Help navigate the legal process while considering your fear of retaliation.
* Connect you with resources to ensure your safety, such as shelters or safe houses.
**Important Resources:**
* **Philippine Commission on Women (PCW):** [https://pcw.gov.ph/](https://pcw.gov.ph/) offers support services and can connect you with shelters or legal assistance. * **Department of Social Welfare and Development (DSWD):** [https://www.dswd.gov.ph/](https://www.dswd.gov.ph/) provides social services and may offer temporary shelters.
**Remember:** * You are not alone. * There are resources available to help you and ensure your safety.
* The law protects you from domestic violence regardless of the abuser's connections.
**Disclaimer:** This information is not a substitute for professional legal advice. For specific legal guidance considering your situation and fear of retaliation, consult a lawyer specializing in RA 9262.</t>
  </si>
  <si>
    <t>What are the potential consequences of being involved in illegal gambling activities?</t>
  </si>
  <si>
    <t>Engaging in illegal gambling activities in the Philippines can lead to a number of negative consequences, depending on the severity of the offense. Here's a breakdown of the potential repercussions:
**Fines and Penalties:**
* **Presidential Decree No. 1602 (PD 1602):** This is the main law against illegal gambling in the Philippines. It outlines various offenses and corresponding penalties, including:
* Operating an illegal gambling establishment (e.g., jueteng, cara y cruz): imprisonment of less than six (6) months to six (6) years and a fine of Ten Thousand Pesos (Php 10,000.00) to One Hundred Thousand Pesos (Php 100,000.00). * Participating in illegal gambling activities: imprisonment of not less than ten (10) days to three (3) months or a fine of One Thousand Pesos (Php 1,000.00) to Five Thousand Pesos (Php 5,000.00).
**Confiscation of Earnings and Equipment:**
* Law enforcement has the authority to seize any money or equipment used in illegal gambling operations.
**Criminal Record:**
* A conviction for illegal gambling can leave a criminal record, which can hinder future employment opportunities or visa applications.
**Reputational Damage:**
* Being involved in illegal gambling can damage your reputation in your community.
**Risk of Violence:**
* Illegal gambling operations are often associated with organized crime, which can increase your risk of violence or threats.
**Debt and Financial Strain:**
* Gambling can lead to addiction and financial problems.
**Social Problems:**
* Illegal gambling can contribute to social issues like family conflict, crime, and loss of productivity.
**Importance of Legal Counsel:**
If you are facing charges for illegal gambling, it is crucial to consult a lawyer specializing in criminal law. They can advise you on your legal options and help navigate the court process.
**Alternatives to Illegal Gambling:**
The Philippine government operates the Philippine Charity Sweepstakes Office (PCSO) which offers legal gambling activities like lotto and suertres. Consider these options if you enjoy gambling but want to avoid legal trouble.
Remember, the risks associated with illegal gambling far outweigh any potential gains. It's best to stay within the bounds of the law and avoid these negative consequences.</t>
  </si>
  <si>
    <t>How does the law define illegal gambling in our jurisdiction?</t>
  </si>
  <si>
    <t>In the Philippines, illegal gambling is defined by two main sources:
1. **Presidential Decree No. 1602 (PD 1602):** This is the primary legal document outlining illegal gambling activities and their corresponding penalties. It was enacted in 1978.
2. **Executive Order No. 13, Series of 2017 (EO 13):** This Executive Order, issued in 2017, further clarifies the definition of illegal gambling in the context of evolving technologies and game schemes.
Here's a breakdown of the legal definition based on these sources:
* **Focus on Games of Chance and Wagers:** Generally, any game or scheme where the outcome depends wholly or chiefly on chance, and involves wagers consisting of money, articles of value, or representative of value, is considered gambling.
* **Unauthorized or Unlicensed Activities:** The crucial aspect is that the game or scheme must not be authorized or licensed by the government agency empowered to do so. The Philippines has a government-run agency, the Philippine Charity Sweepstakes Office (PCSO), that regulates legal gambling activities.
* **Broad Scope:** The definition encompasses various traditional and modern gambling forms, including:
* Cockfighting (sabong)
* Jueteng
* Jai alai
* Horse racing
* Numbers games (e.g., kara y cruz)
* Card games (e.g., poker, blackjack)
* Dice games (e.g., pusoy dos)
* Slot machines
* Online gambling (when not licensed by the PCSO)
* **Location also Matters:** Even if a gambling activity is licensed, conducting it beyond the territorial jurisdiction of the licensing authority can be considered illegal.
**Importance of Legal Counsel:**
If you have any doubts about the legality of a specific game or gambling activity, it's advisable to consult a lawyer specializing in criminal law. They can provide specific guidance based on the latest interpretations and legal nuances.</t>
  </si>
  <si>
    <t>Can I be charged with illegal gambling if I participated unknowingly?</t>
  </si>
  <si>
    <t>The Revised Penal Code of the Philippines (Act No. 3815) under Article 167 defines and penalizes illegal gambling. There is no specific provision in the law that exempts a person from being charged if they unknowingly participated in illegal gambling. However, Philippine courts have recognized the principle of mistake of fact as a defense.
Article 36 of the Revised Penal Code states:
&gt; Mistake of fact.- Mistake of fact is a mistake in believing something to be true which is actually false. It may either be innocent, negligent or reckless.
Following this principle, if you can prove that you were not aware that the activity was illegal gambling, you may be able to use mistake of fact as a defense. The burden of proof lies with you to demonstrate that your mistake was innocent. This means you must show that you exercised due diligence and caution to avoid participation in illegal gambling.
Here are some factors a court might consider when evaluating your innocence:
* The nature of the gambling activity * Whether there were any obvious signs that the activity was illegal
* How you were invited to participate
* Whether you inquired about the legality of the activity If you believe you unknowingly participated in illegal gambling, it is important to consult with a lawyer to discuss the specifics of your situation and the possibility of using mistake of fact as a defense.</t>
  </si>
  <si>
    <t>What defenses are available to individuals accused of illegal gambling?</t>
  </si>
  <si>
    <t>Several defenses are available to individuals accused of illegal gambling under Philippine law, specifically Republic Act No. 9287, also known as the "An Act to Strengthen the Prohibition on Illegal Gambling and for Other Purposes," and the Revised Penal Code (Act No. 3815). Here's a breakdown based on these laws:
**1. Mistake of Fact (Article 36, Revised Penal Code):**
As mentioned previously, this defense applies if you can prove you were genuinely unaware you were participating in illegal gambling. You must demonstrate you acted with due diligence and caution. Factors like the nature of the activity, how you were invited, and if you inquired about legality can be considered by the court.
**2. Entrapment (Article 14, Revised Penal Code):**
This defense applies if law enforcement induced or persuaded you to commit the crime of illegal gambling when you had no prior intent. The burden lies with you to prove entrapment by showing the law enforcement officer's active role in instigating the crime.
**3. Illegal Seizure of Evidence (Section 12, Article III, Philippine Constitution):**
If the evidence used against you (gambling paraphernalia, money bets) was obtained through an unreasonable search or seizure violating your constitutional rights, you can contest its admissibility in court. This can potentially weaken the prosecution's case.
**4. Lack of Jurisdiction (Rule 110, Rules of Court):**
If the arresting officer or agency doesn't have the legal authority to operate within the area where you were apprehended, you can raise the issue of lack of jurisdiction.
**5. Alibi (Section 14, Rule 119, Rules of Court):**
If you have verifiable proof that you were somewhere else at the time of the alleged gambling activity, you can present an alibi defense.
**Important Notes:**
* The success of these defenses depends on the specific facts and circumstances of your case.
* Consulting a lawyer is highly recommended to determine the most appropriate defense strategy based on your situation. * These are just some possible defenses, and there may be others applicable depending on the circumstances.</t>
  </si>
  <si>
    <t>What are the penalties for running an illegal gambling operation?</t>
  </si>
  <si>
    <t>The penalties for running an illegal gambling operation in the Philippines are outlined in Republic Act No. 9287 (RA 9287) and the Revised Penal Code (Act No. 3815). Here's a breakdown of the penalties based on these laws:
**Republic Act No. 9287 (RA 9287):**
* **Imprisonment:** Depending on your role in the operation, you could face imprisonment ranging from:
* 30 days to 90 days (bettor)
* 6 years and 1 day to 8 years (personnel/staff)
* 12 years and 1 day to 20 years (financier/capitalist)
* **Fines:** The fines can range from P3,000,000.00 to P5,000,000.00 (Three to Five Million Pesos).
* **Perpetual Disqualification:** If you're a government employee or public official, you may face perpetual absolute disqualification from holding public office.
**Revised Penal Code (Act No. 3815):**
* **Prision correccional in its medium period with temporary absolute disqualification** or a fine of P6,000.00 (Six Thousand Pesos) for government officials who maintain, conduct, or bankroll illegal gambling schemes (Article 195).
**Factors Affecting Penalties:**
The severity of the penalty can be influenced by several factors, including:
* The specific type of illegal gambling operation
* The amount of money involved
* Whether you have a prior criminal record
* Whether you cooperate with authorities
**Important Notes:**
* This is not a substitute for legal advice. Consulting a lawyer is crucial to understand the specific charges you might face and the potential penalties.
* The penalties mentioned above are the general ones. There might be additional penalties depending on the circumstances of your case.</t>
  </si>
  <si>
    <t>How does the law distinguish between illegal gambling and legal forms of gaming?</t>
  </si>
  <si>
    <t>Philippine law distinguishes between illegal gambling and legal forms of gaming primarily through two factors: **authorization** and the role of the **Philippine Amusement and Gaming Corporation (PAGCOR)**. Here's a breakdown:
**Illegal Gambling:**
* **Generally Prohibited:** The Revised Penal Code (Act No. 3815), particularly Articles 195 to 199, presumes all forms of gambling are illegal. This includes activities like:
* Cara y cruz (coin toss)
* Card games (unless authorized)
* Dice games
* Jueteng (illegal lottery)
* Jai-alai (fronton betting, unless authorized)
* Cockfighting (except in licensed cockpits)
* Online gambling (unless licensed by PAGCOR)
**Legal Forms of Gaming:**
* **Authorization by Law:** Certain forms of gambling are exempted from the general prohibition and become legal when authorized by specific laws and regulations. These include:
* Casinos operated by PAGCOR or its licensees (Presidential Decree No. 1067)
* Government-sanctioned lotteries (Philippine Charity Sweepstakes Office [PCSO])
* Horse Races (Republic Act No. 3062) - with limitations
**Role of PAGCOR:**
* **Monopoly on Legal Gambling:** PAGCOR, established by Presidential Decree No. 1067, has the exclusive authority to license and regulate casinos and other forms of legal gaming in the Philippines. Activities not licensed by PAGCOR are considered illegal.
**Key Distinctions:**
* **Presence of License:** For gambling to be legal, it must be explicitly authorized by a specific law and have a valid license issued by PAGCOR.
* **Nature of the Activity:** While some traditional games like poker or mahjong can be social activities, operating them for profit or wagers without a license makes them illegal.
**Remember:**
* This is a simplified explanation. Philippine gambling laws can be complex. * If you're unsure about the legality of a specific gambling activity, it's best to consult a lawyer or inquire with PAGCOR directly.</t>
  </si>
  <si>
    <t>Can I be charged with illegal gambling if I'm only a patron of the establishment?</t>
  </si>
  <si>
    <t>The Philippine legal landscape regarding gambling and the role of patrons at illegal establishments is not entirely clear-cut. While the focus is typically on those running the operation, there is a possibility of charges for patrons under certain circumstances.
Here's a breakdown of the potential scenarios:
**Generally Less Likely:**
* **Simple Patronage:** If you are simply a patron participating in a game at an unlicensed establishment without any deeper involvement (organizing, profiting), being charged is less likely. However, authorities might detain you for questioning or disperse patrons from the location.
**Possible Charges:**
* **Active Involvement:** If you go beyond being a casual player and take a more active role, like recruiting players, holding bets, or profiting from the operation in any way, you could be charged with a crime.
* **Knowledge of Illegality:** While the law doesn't explicitly mention patron knowledge, courts might consider whether you knew or should have known the establishment was unlicensed. This could strengthen a case against you, especially if the operation is blatantly illegal (e.g., openly advertised gambling in a public space).
**Importance of Evidence:**
Ultimately, the decision to charge patrons depends on the specific facts and evidence gathered by law enforcement. Having clear proof you were just a casual player with no knowledge of illegality can strengthen your defense.
**Recommendation:**
* **Exercise Caution:** It's always best to err on the side of caution. If you're unsure about the legality of a gambling establishment, it's best to avoid participating.
* **Seek Legal Advice:** If you are concerned about potential charges due to patronizing an illegal gambling operation, consulting a lawyer is recommended. They can analyze your specific situation and advise you on the best course of action.</t>
  </si>
  <si>
    <t>What should I do if I've been arrested for illegal gambling?</t>
  </si>
  <si>
    <t>Here's what you should do if you've been arrested for illegal gambling in the Philippines:
**Remain Calm and Polite:** Don't resist arrest or argue with the officers. It's important to cooperate to avoid escalating the situation.
**Request a Lawyer:** You have the right to legal counsel under the Philippine Constitution. Politely request to speak with a lawyer as soon as possible. Ideally, you should have a lawyer familiar with gambling laws. **Avoid Making Statements:** Don't answer any questions beyond basic identification until you have spoken with a lawyer. You can politely state that you will answer questions with your lawyer present.
**Remember the Details:** If possible, try to remember details about the situation like the type of gambling activity, the location, and officers' names (if possible) This information can be helpful for your lawyer.
**Don't Discuss the Case with Others:** Avoid discussing the details of your arrest with anyone except your lawyer. This includes fellow detainees or family members until your lawyer advises otherwise.
**Follow Your Lawyer's Advice:** Once you have a lawyer, completely follow their instructions. They will guide you through the legal process and fight for your best interests.
**Here are some additional resources that might be helpful:**
* The Public Attorney's Office (PAO) offers free legal assistance to indigent Filipinos. You can find their contact information through a quick online search.
* Philippine Commission on Human Rights (CHR) - You can contact the CHR if you believe your rights were violated during the arrest.
**Important Disclaimer:**
This information is not a substitute for legal advice. The specific actions you should take will depend on the circumstances of your arrest. Consulting with a qualified lawyer as soon as possible is crucial to protect your rights and navigate the legal process effectively.</t>
  </si>
  <si>
    <t>Are there any alternatives to criminal prosecution for illegal gambling charges?</t>
  </si>
  <si>
    <t>In the Philippines, alternatives to criminal prosecution for illegal gambling charges are limited. However, there might be some possibilities depending on the specifics of your case and the discretion of the authorities. Here's a breakdown:
**Diversion Programs:**
* The Department of Justice (DOJ) offers diversion programs for certain offenses. These programs allow individuals to undergo rehabilitation or community service in exchange for dismissal of the case. However, participation in these programs is generally at the discretion of the DOJ and may not be readily available for illegal gambling charges.
**Plea Bargaining:**
* In some cases, you might be able to negotiate a plea bargain with the prosecutor. This could involve pleading guilty to a lesser offense in exchange for a lighter sentence. However, the prosecutor has the ultimate discretion to accept or reject a plea bargain offer.
**Cooperation with Authorities:**
* If you have minimal involvement in the illegal gambling operation and are willing to cooperate with authorities by providing information about the operation's organizers or key figures, you might be able to lessen the charges against you or even avoid prosecution altogether. However, this approach requires careful consideration and consultation with a lawyer to ensure your safety and legal rights. **Important Notes:**
* These are just potential alternatives, and their availability depends heavily on the specific circumstances of your case and the discretion of law enforcement and prosecutors.
* Consulting a lawyer is crucial. They can assess your situation, advise you on the most appropriate course of action, and explore any potential alternatives to criminal prosecution that might be available in your specific case.
**Remember:**
* Philippine law takes illegal gambling seriously. The best approach to avoid potential alternatives to prosecution is to steer clear of illegal gambling activities altogether.</t>
  </si>
  <si>
    <t>How does the law address online or digital forms of illegal gambling?</t>
  </si>
  <si>
    <t>Philippine law addresses online or digital forms of illegal gambling primarily through Republic Act No. 9287 (RA 9287), also known as the "An Act to Strengthen the Prohibition on Illegal Gambling and for Other Purposes."
Here's a breakdown of how the law applies:
* **General Prohibition:** RA 9287 expands the scope of illegal gambling activities to include those conducted online or digitally. This means any online platform, website, or application that facilitates gambling without a license from the Philippine Amusement and Gaming Corporation (PAGCOR) is considered illegal.
* **Focus on Operators:** The law primarily targets the operators of these online gambling platforms. Acts like setting up or running such platforms, or actively participating in their operation, can lead to penalties like imprisonment and fines as outlined in RA 9287.
* **PAGCOR's Role:** PAGCOR holds the exclusive authority to license and regulate online gambling in the Philippines. Only platforms with a valid PAGCOR license can operate legally. * **Blurred Lines: Offshore Platforms:** The law can face challenges with offshore online gambling platforms. While accessing these platforms might not be explicitly illegal, the line becomes blurry. Engaging in transactions or placing bets on such platforms can still be considered participating in illegal gambling activities.
**Important Considerations:**
* **Unlicensed Platforms:** Avoid online gambling platforms that don't possess a valid PAGCOR license. * **Potential Legal Issues:** Participating in unlicensed online gambling activities might still result in legal repercussions, depending on the specific circumstances and the authorities' actions.
* **Consult a Lawyer:** If you have questions about the legality of a specific online gambling platform or face legal issues related to online gambling, consulting a lawyer is recommended. They can provide specific guidance based on your situation.
**Remember:**
The Philippine government actively discourages participation in unlicensed online gambling. It's best to stick to platforms with valid PAGCOR licenses or avoid online gambling altogether to stay on the safe side of the law.</t>
  </si>
  <si>
    <t>Can I face federal charges for involvement in illegal gambling activities?</t>
  </si>
  <si>
    <t>In the Philippines, gambling laws are primarily enforced on a national level. Federal charges would typically refer to violations of national laws. Therefore, **yes, you can face charges under Philippine national law (Republic Acts and the Revised Penal Code) for involvement in illegal gambling activities.**
Here's a breakdown:
* **Focus on National Law:** The Philippines, unlike some federal countries, doesn't have separate federal and state legal systems. National laws govern most aspects, including gambling regulations.
* **Republic Act No. 9287 (RA 9287):** This is the primary national law strengthening the prohibition on illegal gambling. It outlines various offenses and corresponding penalties for both running and participating in illegal gambling activities.
* **Revised Penal Code (Act No. 3815):** This national code also contains provisions related to illegal gambling offenses, particularly regarding those running gambling operations.
**Local Government Enforcement:**
* While national laws govern gambling, local law enforcement agencies play a role in apprehending individuals involved in illegal gambling activities within their jurisdictions.
**Important Note:**
This information focuses on Philippine law. If you're concerned about potential charges related to gambling activities in another country, it's important to consult legal resources specific to that jurisdiction.</t>
  </si>
  <si>
    <t>How does the law treat organized crime involvement in illegal gambling operations?</t>
  </si>
  <si>
    <t>Philippine law views organized crime involvement in illegal gambling operations with significant seriousness. Here's how the law approaches this issue:
**Increased Penalties:**
* The involvement of organized crime in illegal gambling activities can lead to harsher penalties compared to individual offenses. This serves as a deterrent and reflects the greater threat posed by organized crime. * **Republic Act No. 9287 (RA 9287):** This law doesn't explicitly mention organized crime but provides broader penalties for large-scale, commercialized illegal gambling operations. These penalties are likely to apply when organized crime is involved.
* **Philippine Anti-Organized Crime Law (Republic Act No. 7916):** This law specifically targets organized crime syndicates. If authorities can prove a link between an illegal gambling operation and a syndicate, members could face charges under RA 7916 in addition to gambling offenses. These charges often carry even harsher penalties. **Focus on Disruption:**
* Law enforcement prioritizes disrupting organized crime involvement in illegal gambling. This can involve:
* Infiltrating and dismantling operations
* Seizing assets and resources obtained through illegal gambling activities
* Targeting key figures and leaders within the syndicates
**Challenges and Complexities:**
* Proving organized crime involvement can be challenging. Authorities need concrete evidence linking individuals or groups to a syndicate and their participation in the illegal gambling operation.
* Corruption can also be a factor. Law enforcement works to address this to ensure a strong response against organized crime in gambling.
**Overall, Philippine law aims to:**
* Discourage organized crime involvement in illegal gambling through increased penalties and disruption efforts.
* Protect society from the negative impacts of organized crime, including violence, corruption, and social destabilization.
**Important Note:**
This is a simplified explanation. Investigating and prosecuting organized crime involves complex legal matters. If you have information about organized crime involvement in illegal gambling, it's best to report it to the authorities.</t>
  </si>
  <si>
    <t>What are the potential consequences for landlords or property owners leasing to illegal gambling establishments?</t>
  </si>
  <si>
    <t>Philippine law doesn't explicitly outline consequences for landlords or property owners who unknowingly lease their property to illegal gambling establishments. However, there are potential repercussions depending on the situation:
**Civil Liability:**
* **Eviction of Tenants:** If authorities discover illegal gambling activity on the property, the lease agreement might be voided, and the tenant could face eviction. While the landlord isn't directly involved in the gambling, they might face the hassle and potential financial burden of evicting the tenant and finding a new lessee.
* **Damage to Property:** Illegal gambling activities can sometimes lead to damage to the property. The landlord might be responsible for repairs depending on the specific circumstances outlined in the lease agreement.
**Potential Criminal Charges (Unlikely but Possible):**
* **Aiding and Abetting:** In rare cases, if there's strong evidence the landlord knew or should have known about the illegal activity and still rented the property, they might face charges of aiding and abetting an illegal gambling operation. This scenario is uncommon and requires proof of the landlord's knowledge or deliberate disregard for the law.
**Protecting Yourself as a Landlord:**
* **Background Checks on Tenants:** Conducting thorough background checks on potential tenants can help identify any red flags that might suggest involvement in illegal activities.
* **Clear Lease Agreements:** The lease agreement should explicitly prohibit the use of the property for any illegal activity, including gambling. * **Regular Inspections (with Notice):** While respecting tenant privacy, conducting periodic inspections with proper notice can help identify any potential illegal activities on the property.
* **Reporting Suspicious Activity:** If a landlord suspects illegal gambling is happening on their property, it's crucial to report it to the authorities immediately.
**Importance of Legal Advice:**
If you're a landlord concerned about leasing to illegal gambling establishments, consulting a lawyer specializing in landlord-tenant law is recommended. They can provide specific guidance based on your situation and help draft a thorough lease agreement protecting your interests.</t>
  </si>
  <si>
    <t>How does the law handle cases where illegal gambling is conducted at private residences?</t>
  </si>
  <si>
    <t>The presence of illegal gambling in a private residence adds a layer of complexity to Philippine law enforcement. Here's a breakdown of how the law approaches such cases:
**Constitutional Protection:**
* **Right to Privacy:** The Philippine Constitution (Article III, Section 2) guarantees the right of the people to be secure in their persons, houses, papers, and effects against unreasonable searches and seizures. This protects individuals from unwarranted intrusion into their homes.
* **Search Warrants:** Law enforcement generally needs a valid search warrant to enter a private residence and gather evidence of illegal gambling. Obtaining a warrant requires presenting probable cause to a judge, convincing them that a crime is likely being committed at the residence.
**Exceptions to Warrant Requirement:**
* **Plain View Doctrine:** If officers lawfully come upon evidence of illegal gambling in plain view within the residence (e.g., seeing gambling paraphernalia through an open door), they might be able to seize it without a warrant.
* **Consent:** If the owner or resident of the house consents to a search, law enforcement can enter and gather evidence. However, such consent must be freely and voluntarily given, without coercion.
* **Hot Pursuit:** If officers are in hot pursuit of a suspect believed to be involved in illegal gambling and they flee into a private residence, the hot pursuit doctrine might allow warrantless entry to apprehend the suspect and prevent the destruction of evidence.
**Challenges and Considerations:**
* **Gathering Evidence:** Obtaining a warrant and conducting a lawful search can be time-consuming. By the time law enforcement secures a warrant, the gambling activity might have ceased.
* **Informants and Undercover Operations:** Authorities might utilize informants or undercover operations to gather evidence within the residence, supporting the issuance of a search warrant.
**Penalties for Residents:**
* Residents found participating in or running an illegal gambling operation within their private residence can still face penalties outlined in Republic Act No. 9287 (RA 9287) and the Revised Penal Code (Act No. 3815), depending on the nature and scale of the activity.
**Remember:** * The specific application of the law depends on the circumstances of each case.
* If you suspect illegal gambling activity is happening in a private residence, it's best to report it to the authorities. * Consulting a lawyer is recommended if you face accusations of running or participating in illegal gambling within your residence. They can advise you on your rights and potential defenses.</t>
  </si>
  <si>
    <t>Can I be charged with illegal gambling if the game involves no money but other valuable items?</t>
  </si>
  <si>
    <t>Yes, you can be charged with illegal gambling in the Philippines even if the game involves no money but other valuable items. Here's why:
* **Focus on Wagering:** Philippine law, particularly Republic Act No. 9287 (RA 9287), focuses on the act of wagering something of value. This means that even if you're not using money as the wager, gambling becomes illegal if you or other participants are risking something valuable on the outcome of a game of chance or skill.
* **Examples of Valuable Items:** The law doesn't specify what constitutes "valuable items." This can include things like:
* Jewelry
* Electronics
* Food or drinks
* Cigarettes
* Services
* **Court Precedent:** Philippine courts have recognized this principle. In cases where money wasn't used, but other valuables were wagered, the courts upheld charges of illegal gambling.
* **Focus on Intent:** The key factor is the intent to gamble. If you and others agree to risk something of value on the outcome of a game, the law considers it gambling regardless of whether the wager is monetary.
**Important Considerations:**
* **Value of the Items:** While the specific value of the items might be considered during sentencing (lesser value might lead to lighter penalties), it doesn't necessarily determine whether gambling occurred. Even small wagers of valuable items can be considered illegal gambling.
* **Strength of Evidence:** The prosecution needs to prove that gambling was indeed taking place and that something of value was wagered. The nature of the items and the way they were used become crucial evidence. **Consulting a Lawyer:**
If you're unsure whether a specific activity involving wagers of non-monetary valuables constitutes illegal gambling, consulting a lawyer is recommended. They can analyze the specific circumstances and provide legal advice on the potential risks involved.</t>
  </si>
  <si>
    <t>How does the law address cases where illegal gambling activities are conducted across state lines?</t>
  </si>
  <si>
    <t>The Philippines operates as a unitary state, meaning there are no separate states with their own legal jurisdictions. Therefore, the concept of illegal gambling activities conducted "across state lines" doesn't directly apply in the Philippines. However, Philippine law still addresses illegal gambling activities that involve crossing geographical boundaries within the country. Here's how:
* **National Laws Apply:** Republic Act No. 9287 (RA 9287) and the Revised Penal Code (Act No. 3815) are national laws that govern illegal gambling activities throughout the Philippines. This means the same laws and penalties apply regardless of the location within the country.
* **Focus on Jurisdiction:** Law enforcement agencies have jurisdiction within their designated areas. If an illegal gambling operation spans across multiple jurisdictions, authorities from each affected area might collaborate to investigate and apprehend those involved.
* **Complexity in Large-Scale Operations:** Large-scale illegal gambling operations that involve multiple locations might present logistical challenges for law enforcement. However, national law enforcement agencies like the Philippine National Police (PNP) have the authority to investigate and prosecute such offenses. Here's a comparison to a federal system to illustrate the difference:
* **Federal System (Example: USA):** In a federal system, each state has its own gambling laws. Illegal gambling across state lines might involve violating the laws of multiple states and potentially triggering federal intervention under certain circumstances.
* **Philippines (Unitary System):** Since the Philippines is a unitary state, there's just one set of national laws governing gambling throughout the country. The focus is on the specific location within the Philippines where the illegal activity occurs, and the corresponding law enforcement agencies work together if needed.
**Important Note:**
While the concept of "state lines" doesn't directly apply in the Philippines for gambling offenses, the law still addresses illegal activities that transcend geographical boundaries within the country. National laws and cooperating law enforcement agencies ensure that such offenses are investigated and prosecuted.</t>
  </si>
  <si>
    <t>Can I be charged with illegal gambling for participating in office pools or casual betting?</t>
  </si>
  <si>
    <t>The possibility of being charged with illegal gambling for participating in office pools or casual betting in the Philippines is complex and depends on several factors. Here's a breakdown of the situation:
**General Prohibition on Gambling:**
* Philippine law, particularly the Revised Penal Code (Act No. 3815) under Article 167, prohibits illegal gambling. However, the law doesn't explicitly mention exceptions for casual activities like office pools.
**Uncertain Application:**
* Courts haven't definitively established a clear line between social gambling and illegal gambling. Factors like the amount wagered, frequency, organization, and profit motive are considered when evaluating such activities.
**Potential Defenses:**
* **Minimal Wagers:** If the wagers in office pools or casual betting are minimal and not intended for profit, you might have a stronger defense against illegal gambling charges.
* **Social Activity:** The focus is often on gambling operations conducted for profit or with a high degree of organization. Purely social gatherings with small wagers might be viewed differently.
* **Mistake of Fact:** If you can demonstrate you genuinely believed the activity wasn't illegal gambling, you might be able to use mistake of fact as a defense (refer to previous explanation on defenses).
**Important Considerations:**
* **Unclear Legal Landscape:** The legal gray area surrounding office pools and casual betting means there's always a risk of authorities interpreting it as illegal gambling.
* **Company Policies:** Many companies have internal policies prohibiting employees from participating in gambling activities within the workplace. This could lead to disciplinary action even if not considered illegal gambling by law.
**Recommendations:**
* **Avoid Ambiguity:** To be on the safe side, it's best to avoid participating in office pools or casual betting where legal issues could arise.
* **Alternative Activities:** Consider alternative social activities that don't involve gambling for work gatherings or team building. * **Consult a Lawyer:** If you're unsure about the legality of a specific activity, consulting a lawyer familiar with gambling laws can provide specific guidance based on the circumstances.
**Remember:**
Philippine law enforcement prioritizes large-scale, commercialized illegal gambling operations. However, it's always best to err on the side of caution to avoid potential legal issues related to office pools or casual betting.</t>
  </si>
  <si>
    <t>How does the law handle cases where the gambling activity involves skill-based games rather than chance?</t>
  </si>
  <si>
    <t>The distinction between games of chance and skill plays a role in how Philippine law approaches gambling activities. Here's a breakdown of how the law handles skill-based games:
**General Prohibition with Exceptions:**
* The Revised Penal Code (Act No. 3815), particularly Articles 195 to 199, presumes all forms of gambling are illegal. * However, courts have recognized some exceptions for games where skill is a **significant determining factor** in the outcome. **Factors Considered by Courts:**
* **Predominance of Skill:** The key factor is whether skill plays a **greater role than chance** in determining the winner. Games that rely heavily on luck or random elements are more likely to be seen as illegal gambling.
* **Professional Expertise:** Activities requiring developed skills and training might be considered exempt from gambling laws. For example, professional chess tournaments wouldn't be considered illegal gambling.
* **Organization and Profit Motive:** Courts consider whether the activity is organized for profit or simply a casual social game. Games with high entry fees, professional organizations, and significant profit motives are more likely to be deemed illegal gambling even if some skill is involved.
**Examples of Potentially Legal Skill-Based Games:**
* **Poker (with limitations):** While some luck is involved, poker requires strategic thinking and skill to win consistently. However, games with high stakes, professional poker rooms, or organized tournaments might face legal scrutiny.
* **Chess Tournaments:** Skill and strategic planning are paramount in chess. Organized chess tournaments with entry fees are generally considered legal.
* **Esports Competitions:** These competitions involving professional gamers might be considered legal if the focus is on skill and organized under proper regulations. **Important Considerations:**
* **The legal landscape is evolving:** As new forms of skill-based games emerge, the courts might need to provide further clarification on their legality.
* **Focus on Specifics:** The specific circumstances of each case play a crucial role. Consulting a lawyer familiar with gambling laws is recommended to assess the legality of a particular skill-based game.
* **Alternatives with Clear Legality:** If unsure about the legality of a skill-based game, opting for activities with clear legal authorization (like PAGCOR-licensed games) is the safest approach.
**Remember:**
The burden of proof lies with the individual claiming a skill-based game exemption. It's always best to exercise caution and seek legal advice if there's any ambiguity regarding the legality of a game, especially if significant wagers are involved.</t>
  </si>
  <si>
    <t>Can I be charged with illegal gambling if the activity takes place in a jurisdiction where it's legal elsewhere?</t>
  </si>
  <si>
    <t>No, participating in gambling activity that's legal elsewhere **doesn't automatically shield you from charges in the Philippines** if it's considered illegal gambling there. Here's why:
* **Sovereignty and National Laws:** The Philippines has its own set of laws governing gambling activities within its territory. The legality of gambling depends on Philippine law, not the laws of other jurisdictions.
* **Focus on Philippine Jurisdiction:** If you participate in gambling within the Philippines, you're subject to Philippine laws regardless of the legality of that activity in another country.
**Example:**
* Online gambling platforms licensed and legal in another country might still be considered illegal in the Philippines if they don't possess a PAGCOR license. Engaging in such activities within the Philippines could lead to charges under Republic Act No. 9287 (RA 9287).
**Important Considerations:**
* **Always Research Local Laws:** Before participating in any gambling activity, especially online platforms, it's crucial to research and understand the local laws of the jurisdiction you're in.
* **Stick to Licensed Activities:** In the Philippines, the safest approach is to participate in gambling activities that are clearly licensed and regulated by PAGCOR to avoid legal issues.
**Additional Considerations:**
* **Travel with Caution:** If you're unsure about the legality of gambling activities in a specific jurisdiction you're traveling to, it's best to err on the side of caution and avoid them altogether.
* **Consult a Lawyer:** If you have any questions or concerns regarding the legality of gambling activities in the Philippines or elsewhere, consulting a lawyer familiar with gambling laws is recommended.
**Remember:**
Gambling laws can vary significantly from country to country. Always prioritize understanding the local regulations to avoid any potential legal repercussions when gambling outside your home jurisdiction.</t>
  </si>
  <si>
    <t>How does the law address cases where illegal gambling activities are conducted within tribal lands?</t>
  </si>
  <si>
    <t>The issue of illegal gambling activities on tribal lands in the Philippines is complex and involves the intersection of several legal considerations. Here's a breakdown of the key points:
* **Ancestral Domain and Indigenous Peoples' Rights Act (Republic Act No. 8371):** This law recognizes the rights of Indigenous Cultural Communities/Indigenous Peoples (ICCs/IPs) to their ancestral domains. It grants them certain rights to manage and regulate activities within these territories.
* **Limited Jurisdiction within Ancestral Domains:** The law doesn't grant ICCs/IPs complete autonomy. The national government still retains jurisdiction over certain matters, including **criminal activities** like illegal gambling.
* **Negotiated Agreements:** ICCs/IPs can negotiate agreements with the national government regarding the management of their ancestral domains. These agreements might outline specific provisions related to gambling activities within their territory.
**Challenges and Considerations:**
* **Clarifying Jurisdiction:** There can be ambiguities regarding the extent of ICC/IP authority to regulate gambling within their ancestral domains. This can lead to conflicts with national law enforcement.
* **Respecting Indigenous Practices:** Some traditional games or practices within ICC/IP communities might involve elements of chance or wagers. These might not necessarily be considered illegal gambling if they hold cultural significance.
* **Commercialized Illegal Gambling:** The national government has a strong interest in curbing commercialized illegal gambling operations within ancestral domains as they can have negative social and economic impacts.
**Potential Approaches:**
* **Consultation and Cooperation:** The national government and ICC/IPs can work together to clearly define acceptable gambling activities within ancestral domains and develop cooperative enforcement strategies against commercialized illegal gambling.
* **Respecting Cultural Practices:** The government should be mindful of respecting traditional games and practices with cultural significance within ICC/IP communities. * **Clear Regulations:** Developing clear and culturally sensitive regulations regarding gambling activities within ancestral domains can help address these challenges.
**Important Considerations:**
* The specific legal framework governing illegal gambling within ancestral domains can vary depending on the negotiated agreements between ICC/IPs and the national government.
* This is a complex legal area. Consulting a lawyer familiar with both gambling laws and ICC/IP rights is recommended for specific situations.
**Remember:**
The issue of illegal gambling within tribal lands is a sensitive one requiring balance between upholding national laws, respecting indigenous rights, and protecting communities from the negative impacts of commercialized illegal gambling.</t>
  </si>
  <si>
    <t>Can I be charged with illegal gambling if the activity is not explicitly prohibited by local laws?</t>
  </si>
  <si>
    <t>Maybe. Philippine law on illegal gambling is a bit پیچیده (pichachde, complex). Here's why:
* **Local vs National Laws:** Local laws (ordinances) can't supersede national laws. National laws like Republic Act (RA) 9287, the "An Act to Inhibit and Penalize Illegal Numbers Games," outlines specific illegal gambling activities.
* **Broader Scope:** RA 9287 prohibits not just activities listed, but also those "substantially similar or identical" to them. This means even if your local law doesn't mention a specific game, it can still be considered illegal gambling under RA 9287 if it's similar to those listed.
**Here's what you can do to get a clearer picture:**
* **Check RA 9287:** Review RA 9287 to see if your activity falls under its definition of illegal gambling ([https://lawlibrary.chanrobles.com/](https://lawlibrary.chanrobles.com/)).
* **Consult your local ordinance:** See if your local ordinance has any gambling regulations.
* **Talk to a lawyer:** A lawyer specializing in gambling laws can give you a more definitive answer based on the specifics of your situation.</t>
  </si>
  <si>
    <t>How does the law address cases where gambling activities are conducted for charitable purposes?</t>
  </si>
  <si>
    <t>Philippine law allows some forms of gambling for charitable purposes, but with limitations. Here's a breakdown:
* **Government-Run Entities:** The Philippine Charity Sweepstakes Office (PCSO) (created by Republic Act No. 1169) and the Philippine Amusement and Gaming Corporation (PAGCOR) (established by Presidential Decree No. 1067) have the exclusive authority to conduct sweepstakes, lotteries, and other forms of legalized gambling for charitable purposes. * **Limited Exceptions:** There are limited exceptions for specific activities:
* **Horse Races:** Civic associations can be authorized to hold horse races for fundraising, but these are strictly controlled (traceable back to Acts 4130 and 4240).
* **Cockfighting:** Presidential Decree No. 449 allows cockfighting for charitable purposes under specific conditions, like securing permission from the Office of the President and limitations on frequency and duration.
**Important Points:**
* **Strict Regulations:** Even for authorized activities, there are strict regulations regarding licensing, conduct, and allocation of proceeds to ensure charitable purposes are met.
* **Not a Blanket Permission:** These exceptions don't give a general right to conduct any gambling activity for charity. It's crucial to get proper authorization for any exceptions that might apply.
**Recommendations:**
* **Consult a Lawyer:** If you're unsure if your planned charitable gambling activity falls under an exception, consulting a lawyer specializing in gambling law is highly advisable.
* **PCSO or PAGCOR Involvement:** Consider partnering with PCSO or PAGCOR for your charitable event. This ensures compliance and allows you to leverage their expertise in conducting legal gambling activities.</t>
  </si>
  <si>
    <t>Can I be charged with illegal gambling if I'm only facilitating the game without participating?</t>
  </si>
  <si>
    <t>Yes, under Philippine law, you can be charged with illegal gambling even if you're not directly participating as a player. Here's why:
* **Republic Act 9287 (RA 9287):** This law, also known as the "An Act to Inhibit and Penalize Illegal Numbers Games," penalizes not only those who place bets but also those who **facilitate** illegal gambling activities.
* **Examples of Facilitation:** The law considers activities like:
* **Providing a venue:** Owning or leasing a location used for illegal gambling.
* **Furnishing materials:** Supplying equipment (cards, dice, etc.) used for illegal gambling.
* **Accepting bets:** Collecting wagers on behalf of the organizer.
* **Running the game:** Managing the flow of the illegal gambling activity.
* **Broad Scope:** The law also applies to those who **"bankroll"** or finance illegal gambling operations.
**Even if you're not directly placing bets,** facilitating the game in any way can lead to charges under RA 9287. **Remember:**
* The specific penalties for illegal gambling depend on the nature and scale of the operation.
* It's important to consult with a lawyer if you have any questions about the legality of a gambling activity, especially if you're considering any role in facilitating it.</t>
  </si>
  <si>
    <t>How does the law handle cases where the illegal gambling activity involves cryptocurrencies or other digital currencies?</t>
  </si>
  <si>
    <t>Philippine law is still catching up with the use of cryptocurrencies and other digital currencies in illegal gambling activities. Here's what we know:
* **Traditional Laws Apply:** RA 9287, the core law on illegal gambling, doesn't explicitly mention cryptocurrencies. However, the law applies to activities "substantially similar or identical" to those listed. If your cryptocurrency-based gambling operation functions similarly to illegal numbers games or other prohibited activities under RA 9287, you can still be charged.
* **Blurred Lines:** The challenge with cryptocurrencies is that they aren't regulated like traditional money. This can make it difficult to trace transactions and enforce gambling laws.
* **Evolving Landscape:** Philippine regulators are aware of this gap and are working on ways to address it. The Bangko Sentral ng Pilipinas (BSP), the central bank, has issued warnings about the risks of using cryptocurrencies in illegal activities. **What to expect:**
* **Increased Scrutiny:** Expect stricter regulations and enforcement efforts related to cryptocurrency use in the future.
* **Case-by-Case Basis:** For now, how the law handles these cases might be determined on a case-by-case basis, considering the specific nature of the gambling activity and how it uses cryptocurrency.
**Recommendations:**
* **Avoid the Risk:** If you're unsure about the legality of a cryptocurrency-based gambling activity, it's best to avoid it altogether.
* **Consult a Lawyer:** If you're involved in any such activity, consulting a lawyer specializing in both gambling law and cryptocurrency regulations is highly recommended.</t>
  </si>
  <si>
    <t>Can I face civil lawsuits from participants in illegal gambling activities?</t>
  </si>
  <si>
    <t>The possibility of facing civil lawsuits from participants in illegal gambling activities in the Philippines depends on the specific situation. Here's a breakdown based on Philippine law:
**General Rule:** **It's unlikely** participants in illegal gambling activities can successfully sue you for civil damages in most cases. Here's why:
* **Ex turpi causa principle:** This legal principle essentially states "no cause of action arises from an illegal act." Since participation in illegal gambling is itself a crime, courts might be hesitant to grant any claims based on such activity.
* **Unenforceable Agreements:** Any agreements or contracts related to illegal gambling might be deemed unenforceable by courts. **Exceptions: There might be some situations where a lawsuit could be possible:**
* **Fraud or Misrepresentation:** If you, as the facilitator, engaged in fraudulent activity or misrepresentation that induced participation, a lawsuit might be possible. For example, if you rigged the game or falsely promised winnings that never materialized.
* **Personal Injury:** If a participant suffered physical injury due to your negligence or violence associated with the illegal gambling activity, a personal injury lawsuit could be possible.
**Important Considerations:**
* The burden of proof lies with the participant to prove your wrongdoing and the resulting damages. * Even if a lawsuit is filed, the success rate is likely to be low due to the reasons mentioned earlier.
**Recommendations:**
* **Avoid Facilitating:** The best way to avoid any potential lawsuits is to simply not facilitate illegal gambling activities in the first place.
* **Consult a Lawyer:** If you're facing a lawsuit related to illegal gambling, consulting a lawyer specializing in civil litigation is crucial to understand your options and potential defenses.</t>
  </si>
  <si>
    <t>How does the law address cases where illegal gambling involves sports betting?</t>
  </si>
  <si>
    <t>In the Philippines, the legal landscape regarding sports betting can be a bit murky. Here's a breakdown based on existing laws:
* **No Specific Law on Sports Betting:** Unlike some countries, the Philippines doesn't have a specific law that explicitly prohibits or regulates sports betting.
* **Focus on Traditional Activities:** The primary law on illegal gambling, RA 9287, targets activities like jueteng, horse racing bookies, and similar number-based games.
* **Broader Interpretation:** However, RA 9287 also prohibits activities "substantially similar or identical" to those listed. This means that if your sports betting operation closely resembles these illegal number-based games, you could still be charged.
**The Current Situation:**
* **Gray Area:** Since sports betting isn't explicitly mentioned, it exists in a bit of a gray area. The legality might depend on the specific format and operation of the sports betting activity.
* **Stricter Regulations on the Horizon:** The Philippine government is aware of the growing popularity of sports betting and might introduce specific regulations in the future. **What to Consider:**
* **High Risk:** Engaging in illegal sports betting operations carries a high risk of getting caught and facing penalties under RA 9287 or other gambling laws.
* **Alternative Options:** Consider licensed PAGCOR online platforms that offer some forms of sports betting in a regulated environment.
**Recommendations:**
* **Avoid the Risk:** If you're unsure about the legality of your sports betting activity, it's best to avoid it altogether.
* **Consult a Lawyer:** If you're considering offering sports betting, consulting a lawyer specializing in gambling law is crucial to understand the potential risks and navigate the legal gray area.</t>
  </si>
  <si>
    <t>Can I be charged with illegal gambling if the activity takes place in a private club or organization?</t>
  </si>
  <si>
    <t>The location of the gambling activity, whether it's a private club or organization, **doesn't automatically shield you from being charged with illegal gambling in the Philippines**. Here's why:
* **Focus on the Activity:** Philippine law, particularly RA 9287, focuses on the nature of the gambling activity itself, not the location. If the activity falls under the definition of illegal gambling, the venue becomes secondary.
* **Examples of Illegal Activities:** Even within a private club, activities like:
* Running jueteng or similar number-based games
* Facilitating cockfighting or horse racing betting (without proper authorization)
* Operating casino-style games (without a PAGCOR license)
* Using cryptocurrencies for illegal gambling activities (depending on the specifics)
can all lead to charges under RA 9287.
**However, there are some nuances to consider:**
* **Private vs. Public:** The law might be more lenient towards social gambling activities among friends or club members with minimal stakes, compared to a large-scale, organized operation.
* **Exclusivity of the Club:** If the club is truly private and exclusive, with strict membership requirements and no open access to the public, it might be harder for authorities to prove the activity is accessible to anyone beyond the members.
**Important to Remember:**
* This is a complex area, and the specific details of the activity and the club's operation will determine the legal risk.
* Even in private clubs, there's always a chance of getting caught, especially if the activity involves large sums of money or attracts unwanted attention.
**Recommendations:**
* **Avoid Illegal Activities:** The safest approach is to avoid any gambling activities that could be considered illegal under RA 9287, regardless of the location.
* **Consult a Lawyer:** If you're unsure about the legality of a gambling activity within a private club, consulting a lawyer specializing in gambling law is highly recommended.</t>
  </si>
  <si>
    <t>How does the law handle cases where illegal gambling activities are disguised as legitimate businesses?</t>
  </si>
  <si>
    <t>Philippine law takes a strong stance against illegal gambling activities disguised as legitimate businesses. Here's how the law handles such cases:
* **Penalties under RA 9287:** The primary law on illegal gambling, Republic Act No. 9287 (RA 9287), applies even when the activity is disguised as a legitimate business. The law penalizes not only the act of gambling itself but also those who **facilitate** it. This means the owners, operators, and anyone knowingly involved in running the disguised business can be charged.
* **Piercing the Corporate Veil:** The legal concept of "piercing the corporate veil" allows authorities to look beyond the facade of a seemingly legitimate business. If evidence proves the business exists solely to conduct illegal gambling, the law can hold the individuals behind it personally liable, regardless of any corporate protections.
* **Money Laundering Charges:** Disguising illegal gambling proceeds as legitimate business income can also lead to money laundering charges. The Anti-Money Laundering Act (AMLA) of the Philippines (Republic Act No. 10365) criminalizes acts of transforming ill-gotten gains into seemingly legitimate funds. **Examples of How Law Enforcement Catches Disguised Businesses:**
* **Undercover Operations:** Authorities might use undercover agents to infiltrate and gather evidence of illegal gambling activities within the disguised business.
* **Financial Transactions:** Tracing financial transactions and identifying inconsistencies between the supposed business activity and the flow of money can raise red flags.
* **Complaints and Informants:** Information from concerned citizens or whistleblowers can be crucial in uncovering disguised illegal gambling operations.
**Recommendations:**
* **Don't Be Fooled:** If a business opportunity seems to offer easy money through gambling activities, be wary. It's likely a front for illegal gambling and carries significant legal risks.
* **Report Suspicious Activity:** If you suspect a business might be a front for illegal gambling, report it to the proper authorities.
* **Seek Legal Advice:** If you're unsure about the legality of a business model involving gambling, consult a lawyer specializing in gambling law to understand the potential risks and ensure compliance with the law.</t>
  </si>
  <si>
    <t>Can I be charged with illegal gambling if the activity involves social gambling among friends?</t>
  </si>
  <si>
    <t>The answer regarding social gambling among friends in the Philippines is a bit less clear-cut compared to other gambling scenarios. Here's what we know based on Philippine law:
* **RA 9287 Focuses on Organized Activities:** The main law on illegal gambling, Republic Act No. 9287 (RA 9287), targets organized gambling operations and activities "substantially similar or identical" to those listed (jueteng, etc.). * **Social Gambling Might Be an Exception:** There's a general understanding that social gambling among friends with minimal stakes might be considered an exception, existing outside the scope of RA 9287. However, there are some uncertainties and **it's not a definitive legal gray area**:
* **Lack of Clear Definition:** The law doesn't provide a clear definition of "social gambling" or specific criteria to differentiate it from illegal gambling.
* **Factors to Consider:** While the stakes involved are a significant factor, other elements like:
* Frequency of the activity
* If there's a house advantage (someone profiting from organizing the game)
* If the games go beyond friendly competition and become a serious source of income for some participants
can all influence how authorities might view the activity.
**Here's how to minimize the risk:**
* **Keep it Casual:** Maintain a truly social atmosphere with minimal stakes and focus on the fun aspect, not profit-making.
* **Avoid Public Places:** Conduct the activity in a private setting to minimize attracting unwanted attention. * **Don't Make it a Habit:** Occasional social gambling is less likely to raise red flags compared to a frequent occurrence.
**Important Disclaimer:**
This information shouldn't be taken as legal advice. The legality of social gambling can depend on the specific circumstances. For a definitive answer, consult a lawyer specializing in gambling law in the Philippines. They can assess your specific situation and provide more tailored guidance.</t>
  </si>
  <si>
    <t>How does the law address cases where illegal gambling activities are conducted on international waters or in international territories?</t>
  </si>
  <si>
    <t>Philippine law has limited reach when it comes to illegal gambling activities conducted outside its territory. Here's a breakdown:
* **Jurisdictional Limits:** Philippine law primarily applies to activities happening within Philippine territory, including its territorial waters (usually extending 12 nautical miles from the coastline).
* **International Law:** There's no universally recognized international law specifically addressing illegal gambling. However, some international agreements might exist between the Philippines and other countries regarding cooperation on criminal matters. **So, what happens in these cases?**
* **Depends on Location:** If the illegal gambling activity occurs on a ship registered in another country or in international waters, the laws of the flag state (country where the ship is registered) or international agreements might come into play.
* **Challenges of Enforcement:** Even if Philippine authorities suspect illegal gambling on a foreign ship or in international waters, investigating and prosecuting the offense can be very challenging due to jurisdictional limitations and the need for international cooperation.
**What about gambling in international territories?**
* **Similar to International Waters:** The same principle applies. The laws of the territory where the gambling takes place would hold jurisdiction. There might be specific regulations in some international territories regarding gambling activities.
**Important to Remember:**
* **Philippine Law Doesn't Apply:** Engaging in illegal gambling activities under Philippine law (like RA 9287) won't shield you from legal consequences if you're caught doing it outside Philippine territory.
* **Risk of Foreign Laws:** You could still be subject to arrest and prosecution under the laws of the country where the illegal gambling activity occurs. Penalties might even be more severe than in the Philippines.
**Recommendations:**
* **Avoid the Risk:** The safest approach is to simply avoid participating in illegal gambling activities altogether, regardless of location. * **Know the Laws:** If you're considering gambling in another country or territory, research their specific laws and regulations regarding gambling to avoid any legal trouble.</t>
  </si>
  <si>
    <t>Can I be charged with illegal gambling if the activity is conducted in a virtual reality or online gaming environment?</t>
  </si>
  <si>
    <t>The legality of gambling in virtual reality (VR) or online gaming environments in the Philippines is a developing area. Here's what we can glean from existing laws:
**Current Laws Focus on Traditional Activities:** The primary Philippine law on illegal gambling, Republic Act No. 9287 (RA 9287), targets specific activities like jueteng, horse racing bookies, and similar number-based games. It doesn't explicitly mention VR or online gaming.
**Potential Applicability:** However, RA 9287 also prohibits activities "substantially similar or identical" to those listed. If a VR or online game involves:
* **Wagering real money**
* **Elements of chance** (where winning depends partly on luck)
* **Prizes or rewards with monetary value**
There's a risk it could be considered illegal gambling under RA 9287, depending on the specifics.
**Virtual Items and Loot Boxes:** The legal status of virtual items and loot boxes in VR/online games is also unclear. These in-game items might have real-world monetary value through trading platforms, but Philippine law doesn't have specific regulations on them yet.
**Emerging Issues:** As VR and online gaming evolve, Philippine lawmakers might introduce new regulations to address potential gambling issues within these environments.
**Navigating the Uncertainty:**
* **Consider the Elements of Gambling:** Analyze the VR/online game in question. Does it involve real money wagers, chance, and prizes with monetary value? If so, the risk of being considered illegal gambling increases.
* **Check Game Terms and Conditions:** Most VR/online games have terms and conditions that might prohibit gambling activities within the platform. Following these guidelines reduces the risk.
* **Consult a Lawyer:** For a more definitive answer regarding the legality of a specific VR/online game with gambling aspects, consulting a lawyer specializing in gambling law is highly recommended.</t>
  </si>
  <si>
    <t>How does the law address cases where illegal gambling activities involve minors?</t>
  </si>
  <si>
    <t>The law in the Philippines takes a strong stance against involving minors in illegal gambling activities. Here's a breakdown of how Philippine law addresses such cases:
**Protection for Minors:**
* **Republic Act No. 9208 (Anti-Trafficking in Persons Act):** This law prohibits any act that exploits, abuses, or endangers children, including:
* Prostituting a child
* Using a child in illegal activities
* Selling or trafficking a child
Involving a minor in illegal gambling activities can be considered a violation of this Act, with serious penalties.
* **Special Protection of Children Against Abuse, Exploitation and Neglect Act (RA 7610):** This law protects children from all forms of abuse, neglect, cruelty, and exploitation, including involvement in illegal gambling.
**Penalties for Offenders:**
* **Imprisonment and Fines:** Those who involve minors in illegal gambling activities can face significant jail time and hefty fines under the aforementioned laws.
* **Parental Liability:** Parents or guardians who allow or encourage their children to participate in illegal gambling activities might also face legal consequences.
**Reporting Mechanisms:**
* **Reporting Obligation:** Anyone who suspects a minor is being involved in illegal gambling activities has a legal obligation to report it to the authorities. This can be done through the National Bureau of Investigation (NBI), Philippine National Police (PNP), or social welfare agencies.
**Important Considerations:**
* **Protecting Children:** The primary goal of the law is to protect children from the harmful consequences of gambling addiction and exploitation.
* **Severity of Penalties:** The penalties for involving minors in illegal gambling are severe, reflecting the seriousness of the offense.
**Recommendations:**
* **Do Not Involve Minors:** Never involve a minor in any form of illegal gambling activity. It's not only illegal but also harmful to the child's well-being.
* **Report Suspicious Activity:** If you see or suspect a minor being involved in illegal gambling, report it to the authorities immediately.
* **Seek Help:** If you or someone you know is struggling with gambling addiction, there are resources available to help. You can contact helplines or support groups specializing in gambling addiction.</t>
  </si>
  <si>
    <t>Can I be charged with illegal gambling if the activity involves betting on events or outcomes that are not sports-related?</t>
  </si>
  <si>
    <t>Yes, in the Philippines, you can be charged with illegal gambling even if the activity involves betting on events or outcomes that are not sports-related. Here's why:
* **Focus on the Nature of Activity:** Philippine law, particularly Republic Act No. 9287 (RA 9287), focuses on the nature of the gambling activity itself, not just the events being bet on. * **RA 9287 and Similar Activities:** RA 9287 primarily targets number-based games like jueteng, horse racing bookies (without proper authorization), and similar activities. However, the law also prohibits activities "substantially similar or identical" to those listed.
**So, what does this mean for non-sports betting?**
* **Depends on the Specifics:** If your non-sports betting activity involves elements similar to illegal number-based games, you could be charged under RA 9287. Here are some examples:
* **Betting on the outcome of reality TV shows or elections** (if done in a similar way to jueteng)
* **Card games or dice games** (if used for gambling and not just social entertainment)
* **Any game with chance as a major factor** (where winning depends more on luck than skill) and involves real money wagers and prizes.
**Important to Remember:**
* **Gray Area for New Activities:** As new forms of non-sports betting emerge, the legal landscape might need to adapt. There might be some uncertainty regarding the legality of specific activities until there are clearer rulings or regulations. **Recommendations:**
* **Avoid Illegal Activities:** It's best to avoid any form of gambling activity that could be considered illegal under RA 9287, regardless of whether it involves sports or not.
* **Consult a Lawyer:** If you're unsure about the legality of a particular non-sports betting activity, consulting a lawyer specializing in gambling law is crucial. They can provide more specific guidance based on the details of the activity and the current legal landscape.</t>
  </si>
  <si>
    <t>How does the law handle cases where illegal gambling activities are conducted in establishments that also offer legal gaming options?</t>
  </si>
  <si>
    <t>Philippine law takes a strict stance against illegal gambling activities, even within establishments that offer legal gaming options. Here's a breakdown of how the law handles such cases:
**Separation is Key:** The law expects clear separation between legal and illegal gambling activities within an establishment. Here's why:
* **Strict Licensing and Regulations:** Establishments offering legal gaming options like casinos (through PAGCOR licenses) or government-sanctioned lotteries operate under strict regulations. These regulations outline the specific permitted games, wagers, and conduct.
* **Zero Tolerance for Illegal Activities:** The presence of illegal gambling activities within a licensed establishment is a serious offense. It can lead to the revocation of the establishment's license and potential criminal charges for the owners, operators, and anyone involved.
**Examples of How Authorities Catch Illegal Activities:**
* **Undercover Operations:** Authorities might use undercover agents to infiltrate the establishment and gather evidence of illegal gambling activities happening alongside legal games.
* **Financial Transactions:** Tracking financial discrepancies between the reported income from legal games and the overall cash flow of the establishment can raise red flags.
* **Customer Complaints:** Reports from patrons who witness or suspect illegal gambling activities within the establishment can trigger investigations.
**Consequences for Mixing Legal and Illegal Gambling:**
* **License Revocation:** The most likely consequence is the **closure of the establishment** and the revocation of its license to operate any form of legal gaming.
* **Criminal Charges:** Owners, operators, and individuals involved in facilitating illegal activities within the establishment can face criminal charges under Republic Act No. 9287 (RA 9287) and potentially other penal laws.
* **Reputational Damage:** The establishment will likely suffer significant reputational damage, making it difficult to regain trust and potentially hindering future licensing attempts.
**Recommendations:**
* **Maintain Compliance:** Establishments offering legal gaming options must prioritize strict adherence to their licenses and regulations.
* **Report Suspicious Activity:** Employees who witness or suspect illegal activities should report them to their superiors or directly to the authorities.
* **Seek Legal Guidance:** If unsure about the legality of a particular activity within your establishment, consult a lawyer specializing in gambling law to avoid any legal complications.</t>
  </si>
  <si>
    <t>Can I be charged with illegal gambling if I was coerced or threatened into participation?</t>
  </si>
  <si>
    <t>Yes, in the Philippines, you **might still be charged with illegal gambling** even if you were coerced or threatened into participation. Here's why:
* **Focus on the Activity:** Philippine law, particularly Republic Act No. 9287 (RA 9287), primarily focuses on the **nature of the gambling activity itself** and who facilitates it, not necessarily the participant's motivation.
**However, there might be some hope:**
* **Duress Defense:** You can potentially use a duress defense in court. Duress means you were forced to participate in the illegal activity due to threats of violence or harm. **Here's what you need to prove for a successful duress defense:**
* **The threat:** You were faced with a credible threat of imminent harm to yourself or someone close to you.
* **No reasonable escape:** You had no reasonable way to escape the threat or avoid participating in the illegal activity.
* **Reluctant participation:** You participated only because of the threat and not out of your own free will.
**Important to Remember:**
* **Building a Strong Case:** Successfully arguing duress requires strong evidence to support your claims. Ideally, you'd have witness testimonies or documented proof of the threats.
* **Burden of Proof:** The burden of proof lies with you to convince the court that you were coerced.
* **Severity of Charges:** Even with a duress defense, you might still face some penalties depending on the specific circumstances and the severity of the illegal gambling activity. **Recommendations:**
* **Avoid Illegal Activities:** The best way to avoid any charges is to simply not participate in illegal gambling activities, even if pressured.
* **Seek Help:** If you're being coerced or threatened into participating in illegal gambling, seek help from authorities or trusted individuals. * **Consult a Lawyer:** If you've been charged with illegal gambling and believe you were coerced, consult a lawyer specializing in criminal defense to discuss your options and build a strong duress defense strategy.</t>
  </si>
  <si>
    <t>How does the law address cases where illegal gambling activities are conducted at fundraising events or charity functions?</t>
  </si>
  <si>
    <t>Philippine law restricts fundraising activities involving illegal gambling. Here's a breakdown of how the law handles such cases:
* **Prohibition on Illegal Gambling:** The primary law on illegal gambling, Republic Act No. 9287 (RA 9287), prohibits all forms of illegal gambling activities. This applies even at fundraising events or charity functions.
* **Limited Exceptions for Charitable Gambling:** There are limited exceptions for specific charitable gambling activities conducted by government-sanctioned entities like:
* Philippine Charity Sweepstakes Office (PCSO) (created by Republic Act No. 1169)
* Philippine Amusement and Gaming Corporation (PAGCOR) (established by Presidential Decree No. 1067)
These entities have the authority to conduct sweepstakes, lotteries, and other forms of legalized gambling for charitable purposes under strict regulations.
* **Exceptions for Specific Activities (Limited):** There are also limited exceptions for specific activities with proper authorization:
* **Horse Races:** Civic associations can be authorized to hold horse races for fundraising, but these are strictly controlled (traceable back to Acts 4130 and 4240).
* **Cockfighting:** Presidential Decree No. 449 allows cockfighting for charitable purposes under specific conditions, like securing permission from the Office of the President and limitations on frequency and duration.
**Important Points for Organizers:**
* **Avoid Illegal Activities:** It's crucial for organizers of fundraising events to avoid illegal gambling activities altogether. * **Alternatives for Fundraising:** There are many creative ways to raise funds for charitable causes without resorting to illegal gambling activities. Raffles, auctions, and soliciting donations are some lawful alternatives.
* **Partnership with PCSO/PAGCOR:** Consider partnering with PCSO or PAGCOR for your charitable event. This ensures compliance and allows you to leverage their expertise in conducting legal gambling activities for fundraising purposes.
**Consequences of Illegal Gambling at Fundraising Events:**
* **Organizers Held Liable:** Event organizers who allow illegal gambling activities can be held liable and face penalties under RA 9287.
* **Closure of Event:** Authorities might shut down the event if illegal gambling is discovered.
* **Reputational Damage:** The charity or organization behind the event can suffer reputational damage due to involvement in illegal activities.
**Recommendations:**
* **Consult a Lawyer:** If you're unsure about the legality of a fundraising activity involving gambling, consulting a lawyer specializing in gambling law is highly recommended.</t>
  </si>
  <si>
    <t>Can I be charged with illegal gambling if I was acting under the belief that the activity was legal?</t>
  </si>
  <si>
    <t>In the Philippines, generally, ignorance of the law **doesn't excuse you** from being charged with illegal gambling. Here's why:
* **Strict Liability Offense:** Republic Act No. 9287 (RA 9287), the primary law on illegal gambling, is considered a strict liability offense in some interpretations. This means that **intention or knowledge of wrongdoing isn't always a necessary element** for getting charged. * **Focus on the Activity:** The law focuses on the nature of the gambling activity itself and who facilitates it. If you participated in or facilitated an activity that falls under the definition of illegal gambling in RA 9287, you could be charged regardless of your belief in its legality.
**However, there might be some room for mitigation:**
* **Defense Arguments:** While ignorance isn't a complete defense, your lawyer might argue mitigation based on your good faith belief that the activity was legal. They can present evidence to support your claim, like:
* Public perception of the activity
* Lack of clear warnings or signage
* Reliance on information from a seemingly reliable source (although misplaced trust might not hold much weight)
* **Discretion of the Court:** Ultimately, the judge or court has some discretion in sentencing. If your lawyer can demonstrate your good faith belief, it might lead to a lighter sentence or even a dismissal of charges. **Important to Remember:**
* **Burden of Proof:** The burden of proof lies with you (or your lawyer) to convince the court of your good faith belief.
* **Strength of the Argument:** The success of this strategy depends on the specific circumstances and the strength of your evidence.
**Recommendations:**
* **Don't Participate in Doubtful Activities:** If you're unsure about the legality of a gambling activity, it's best to avoid participating altogether.
* **Consult a Lawyer:** If you've been charged with illegal gambling and believe you were acting under a good faith belief of legality, consult a lawyer specializing in criminal defense to discuss your options and build a strong defense strategy.</t>
  </si>
  <si>
    <t>How does the law handle cases where illegal gambling activities are conducted through online platforms hosted in foreign countries?</t>
  </si>
  <si>
    <t>The legal landscape gets trickier when illegal gambling activities involve online platforms hosted in foreign countries. Here's a breakdown of how Philippine law approaches such cases:
* **Limited Reach:** Philippine law primarily applies to activities happening within Philippine territory, including its territorial waters. It can be challenging to enforce Philippine laws on gambling activities hosted on foreign servers.
* **Focus on Philippine Users:** The law might target Filipino citizens or residents who participate in these illegal online gambling activities, regardless of the server location.
**Challenges in Enforcing Philippine Law:**
* **Jurisdictional Issues:** Philippine authorities might not have direct jurisdiction over foreign-based online gambling platforms.
* **International Cooperation:** Investigating and prosecuting these cases would likely require cooperation with the foreign country where the servers are located. The effectiveness depends on existing treaties or agreements between the Philippines and that country.
* **Difficulties in Gathering Evidence:** Obtaining evidence from foreign servers can be a complex and lengthy process.
**What can Philippine authorities do?**
* **Blocking Access:** Philippine authorities can attempt to block access to these foreign online gambling platforms within the Philippines through internet service providers (ISPs).
* **Targeting Financial Transactions:** Monitoring and potentially blocking financial transactions between Filipino users and these platforms is another strategy.
* **Public Awareness Campaigns:** Raising public awareness about the risks of illegal online gambling is crucial for prevention.
**Important Considerations:**
* **Risk of Prosecution:** Even if the servers are foreign, Filipino users participating in illegal online gambling activities still risk prosecution under Philippine laws like RA 9287.
* **Foreign Laws:** The user might also be subject to legal consequences based on the laws of the country where the online platform is hosted.
**Recommendations:**
* **Avoid Illegal Activities:** The safest approach is to avoid illegal online gambling activities altogether, regardless of the server location.
* **Use Legal Platforms:** If you want to gamble online, use platforms licensed and regulated by Philippine authorities (like PAGCOR) to ensure legality and safety.
* **Report Suspicious Platforms:** If you encounter suspicious online gambling platforms, report them to the authorities to help curb their reach.</t>
  </si>
  <si>
    <t>Can I face civil forfeiture of assets or property if involved in illegal gambling activities?</t>
  </si>
  <si>
    <t>In the Philippines, the legal landscape regarding civil forfeiture for illegal gambling activities is **not entirely clear-cut**. Here's why:
* **Focus on Criminal Charges:** The primary Philippine law on illegal gambling, Republic Act No. 9287 (RA 9287), primarily focuses on **criminal penalties** for those involved in organizing or facilitating such activities. * **Civil Forfeiture Laws Exist:** The Philippines does have civil forfeiture laws that allow authorities to seize assets obtained through illegal activities. However, the specific application to illegal gambling seems less established compared to drug trafficking or other serious crimes.
**Uncertainties and Considerations:**
* **Limited Precedents:** There might be limited legal precedents regarding civil forfeiture specifically for illegal gambling offenses in the Philippines. Existing case law might offer some insights, but the full scope remains unclear.
* **Proportionality Principle:** Philippine law generally upholds the principle of proportionality in penalties. Civil forfeiture of assets should be proportionate to the severity of the offense. For minor gambling cases, seizing assets might be deemed excessive. **Recommendations:**
* **Consult a Lawyer:** If you're facing charges for illegal gambling and concerned about potential civil forfeiture, consulting a lawyer specializing in criminal defense is crucial. They can analyze your specific situation and advise you on the likelihood of civil asset forfeiture based on current legal interpretations.
* **Focus on Avoiding Charges:** The best way to avoid civil forfeiture is to simply avoid involvement in illegal gambling activities altogether.
**Additional Points:**
* **Money Laundering Charges:** If your involvement in illegal gambling results in money laundering charges, civil forfeiture of assets obtained through those illegal activities becomes more likely. The Anti-Money Laundering Act (AMLA) of the Philippines (Republic Act No. 10365) strengthens the government's ability to seize assets linked to money laundering.
* **Cooperation with Authorities:** Cooperating with authorities during investigations might be seen favorably and potentially lessen the risk of civil forfeiture, although this isn't a guaranteed outcome.</t>
  </si>
  <si>
    <t>How does the law address cases where illegal gambling activities are conducted at temporary or pop-up establishments?</t>
  </si>
  <si>
    <t>Philippine law treats illegal gambling conducted at temporary or pop-up establishments the same way as any other illegal gambling operation. The Revised Penal Code (RPC) [Philippine Revised Penal Code], specifically Article 149, defines and penalizes illegal gambling:
&gt; "Any person who engages in the business of gambling without a license shall be punished..."
The article doesn't differentiate between permanent and temporary gambling establishments. The key factor is the absence of a valid license.
Here's how the law might be applied in such cases:
* **Law enforcement:** Authorities have the power to raid these temporary gambling operations and apprehend those involved. Evidence collected during the raid can be used to file charges.
* **Penalties:** Those convicted of illegal gambling face penalties ranging from imprisonment to fines, depending on the nature and scale of the operation (Article 149, RPC).
**Additionally, other laws might be applicable:**
* Local government ordinances: Many cities and municipalities have ordinances that specifically prohibit gambling within their jurisdictions. These ordinances might impose additional penalties on top of those outlined in the RPC.
* Business permits: Operating a business, even a temporary one, often requires permits. Failure to secure necessary permits can result in separate charges.
**It's important to note that:**
* This response provides a general overview. Specific laws and their enforcement might vary depending on the location.
If you have concerns about illegal gambling activities in your area, you can:
* Report them to the Philippine National Police (PNP).
* Contact your local government authorities.</t>
  </si>
  <si>
    <t>Can I be charged with illegal gambling if I've been accused based solely on circumstantial evidence?</t>
  </si>
  <si>
    <t>Under Philippine law, circumstantial evidence can be used to convict someone of a crime, including illegal gambling. This is provided for in Article 244 of the Revised Penal Code (RPC) [Philippine Revised Penal Code, Article 244], which states:
&gt; "Circumstantial evidence is sufficient for conviction if:
&gt;
&gt; 1. There is a concurrence of all the circumstances proved;
&gt; 2. The facts established by the evidence are consistent with the guilt of the accused, and inconsistent with any other rational conclusion;
&gt; 3. The circumstances proved produce, considered as a whole, a moral conviction in the mind of the court that the accused is guilty beyond reasonable doubt."
However, the same article emphasizes that the evidence must be strong enough to convince the court beyond reasonable doubt. Here's what this means for your situation:
* **Circumstantial evidence can be used:** The fact that you haven't been caught directly gambling doesn't automatically eliminate the possibility of charges. Law enforcement can build a case based on circumstantial evidence, such as:
* Large sums of money or gambling paraphernalia found in your possession.
* Witness testimonies about your involvement in gambling activities.
* Electronic records linking you to online gambling sites (if applicable).
* **Strength of the evidence matters:** The court will carefully evaluate the evidence presented. A weak case based on circumstantial evidence might not be enough to secure a conviction.
**Here's what you can't be certain about based on the information provided:**
* **The specific details of your case:** Without knowing the exact nature of the circumstantial evidence, it's impossible to say definitively whether charges would be filed or how strong the case might be.
**Recommendation:**
* If you've been accused of illegal gambling, it's important to consult with a lawyer specializing in criminal defense. They can analyze the specific details of your case and advise you on the best course of action.</t>
  </si>
  <si>
    <t>How does the law handle cases where illegal gambling activities are conducted through mobile applications or social media platforms?</t>
  </si>
  <si>
    <t>In the Philippines, the law addresses cases where illegal gambling activities are conducted through mobile applications or social media platforms. The primary legal framework for addressing such activities includes Republic Act No. 9287, which amended certain provisions of Presidential Decree No. 1602, and other relevant laws related to online gambling.
Here are key points to consider:
1. **Republic Act No. 9287:**
- Republic Act No. 9287 increased the penalties for illegal numbers games, including those conducted through various means, including mobile applications or social media platforms. The law imposes higher fines and penalties on both operators and participants involved in such illegal activities.
2. **Presidential Decree No. 1602:**
- Presidential Decree No. 1602 initially provided penalties for illegal gambling activities, including unauthorized betting games. This decree was later amended by Republic Act No. 9287 to address the changing landscape of illegal numbers games.
3. **Online Gambling Laws:**
- While Republic Act No. 9287 does not specifically mention online gambling, other laws and regulations, such as those related to online gambling licenses and operations, may apply. The Philippine Amusement and Gaming Corporation (PAGCOR) regulates and oversees online gambling activities, and operating without the necessary licenses may be considered illegal.
4. **Anti-Cybercrime Laws:**
- The Cybercrime Prevention Act of 2012 (Republic Act No. 10175) includes provisions related to cybercrimes, which may encompass illegal gambling activities conducted online. The law aims to address offenses committed using information and communication technologies, including those involving social media platforms or mobile applications.
5. **Coordination with Authorities:**
- Law enforcement agencies, such as the National Bureau of Investigation (NBI) Cybercrime Division and the Philippine National Police (PNP) Anti-Cybercrime Group, may take action against illegal gambling activities conducted through mobile applications or social media platforms. This includes conducting investigations and taking legal measures against offenders.
6. **PAGCOR Regulation:**
- PAGCOR is the regulatory body responsible for overseeing and regulating gaming and gambling activities in the Philippines. Online gambling operators are required to obtain the necessary licenses and comply with PAGCOR's regulations.
Individuals involved in or facilitating illegal gambling activities through mobile applications or social media platforms may face legal consequences, including fines and imprisonment. It's essential to adhere to relevant laws and regulations, report illegal activities to authorities, and seek legal advice if needed.
As laws and regulations may evolve, consulting with legal professionals familiar with Philippine gambling and cybercrime laws can provide updated and specific guidance based on the circumstances.</t>
  </si>
  <si>
    <t>Can I be charged with illegal gambling if I'm only an employee of the establishment?</t>
  </si>
  <si>
    <t>Whether you, as an employee of an establishment, can be charged with illegal gambling depends on your specific role, responsibilities, and level of involvement in the illegal gambling activities. In general, employees who are merely performing their job duties without direct involvement in the planning or execution of illegal gambling may be less likely to face criminal charges compared to those who actively participate in or facilitate illegal gambling.
Here are some key considerations:
1. **Direct Participation:**
- If your job involves actively participating in or facilitating illegal gambling activities, you may be at risk of facing charges related to illegal gambling. This could include roles such as managing or operating gambling tables, collecting bets, or directly facilitating the gambling operations.
2. **Knowledge and Awareness:**
- If you are aware of the illegal gambling activities taking place within the establishment but do not actively participate or report it, you may still face legal consequences. Failure to report illegal activities can be considered a form of complicity or aiding and abetting.
3. **Ordinary Employment:**
- If your job involves routine and ordinary employment tasks within the establishment, such as administrative or janitorial duties, and you are not directly involved in the gambling operations, the likelihood of facing charges may be lower.
4. **Legal Obligations:**
- Employees have a legal obligation to report illegal activities within their workplace. Failure to report illegal gambling may lead to legal consequences, even if direct involvement is not present.
5. **Corporate Liability:**
- Employers and business owners may face greater legal scrutiny and liability for illegal gambling activities conducted within their establishments. However, employees found to be actively involved may still be subject to charges.
It's crucial to note that legal interpretations may vary, and the specific circumstances of each case matter. If you find yourself in a situation where illegal gambling activities are occurring within your workplace, it is advisable to:
- Report the activities to law enforcement authorities.
- Seek legal advice to understand your rights and responsibilities.
- Cooperate with any investigations conducted by relevant authorities.
Consulting with legal professionals who specialize in Philippine gambling laws can provide guidance based on the specific details of your situation. Understanding and adhering to the law is important to avoid legal consequences associated with illegal gambling activities.</t>
  </si>
  <si>
    <t>How does the law address cases where illegal gambling activities are conducted through unlicensed or underground casinos?</t>
  </si>
  <si>
    <t>In the Philippines, the law addresses cases where illegal gambling activities are conducted through unlicensed or underground casinos primarily through Republic Act No. 9287. This law, also known as "An Act Increasing the Penalties for Illegal Numbers Games, Amending Certain Provisions of Presidential Decree No. 1602, and for Other Purposes," amended certain provisions of Presidential Decree No. 1602, which dealt with penalties for illegal gambling activities.
Key points to consider regarding illegal gambling activities conducted through unlicensed or underground casinos include:
1. **Presidential Decree No. 1602:**
- This decree initially provided penalties for various forms of illegal gambling, including unauthorized betting games such as jueteng and masiao. It was later amended by Republic Act No. 9287 to increase the penalties for illegal numbers games.
2. **Republic Act No. 9287:**
- Republic Act No. 9287 increased the penalties for illegal numbers games, including those conducted through unlicensed or underground casinos. The law imposes higher fines and penalties on both operators and participants engaged in such illegal activities.
3. **Prohibition on Unauthorized Gambling:**
- The legal framework in the Philippines prohibits unauthorized gambling activities. Unlicensed or underground casinos fall into this category, as they operate without the necessary permits or licenses from relevant regulatory authorities.
4. **Philippine Amusement and Gaming Corporation (PAGCOR):**
- PAGCOR is the regulatory body responsible for overseeing and regulating gaming and gambling activities in the Philippines. Licensed casinos and gaming establishments are subject to PAGCOR's regulations. Unlicensed operations are considered illegal.
5. **Enforcement by Law Enforcement Agencies:**
- Law enforcement agencies, such as the National Bureau of Investigation (NBI) and the Philippine National Police (PNP) Anti-Cybercrime Group, may take action against illegal gambling operations. Conducting raids and investigations, these agencies work to enforce laws against unauthorized gambling.
6. **Penalties for Violators:**
- Individuals caught engaging in or operating illegal gambling activities, including those in unlicensed or underground casinos, may face severe penalties. These penalties may include imprisonment and fines, as specified under Republic Act No. 9287.
It's essential to note that laws and regulations are subject to change, and enforcement practices may vary. If you have concerns or information about illegal gambling activities, it is advisable to report them to the relevant law enforcement agencies, such as the National Bureau of Investigation or the Philippine National Police.
Engaging in or supporting illegal gambling activities can result in legal consequences, and individuals should be aware of and comply with the applicable laws and regulations.</t>
  </si>
  <si>
    <t>Can I be charged with illegal gambling if the activity involves betting on non-traditional events like elections or reality TV shows?</t>
  </si>
  <si>
    <t>In the Philippines, the legality of gambling activities, including betting on non-traditional events like elections or reality TV shows, is primarily governed by existing gambling laws. The primary law related to illegal gambling is Republic Act No. 9287, which amended certain provisions of Presidential Decree No. 1602.
Here are key points to consider:
1. **Presidential Decree No. 1602:**
- Presidential Decree No. 1602 criminalizes illegal gambling activities, and it includes provisions related to unauthorized betting, such as jueteng and masiao. Violations of this decree are subject to penalties for both operators and participants.
2. **Republic Act No. 9287:**
- Republic Act No. 9287 increased the penalties for illegal numbers games, amending certain provisions of Presidential Decree No. 1602. It affirms the prohibition of unauthorized gambling activities and imposes higher fines and penalties on violators.
3. **Betting on Non-Traditional Events:**
- While the specific laws may not explicitly mention betting on non-traditional events like elections or reality TV shows, the broader prohibition on unauthorized gambling activities may encompass such bets.
4. **Regulatory Framework:**
- The regulation of gambling activities is subject to national and local laws. Some forms of gambling are regulated and permitted, such as those conducted by licensed casinos or authorized entities. Betting on non-traditional events outside of regulated channels may be considered illegal.
5. **Election Betting:**
- Betting on election outcomes may be subject to specific provisions of election laws, and engaging in such activities may have legal implications. The Omnibus Election Code (Batas Pambansa Blg. 881) includes provisions related to prohibited acts, and election-related gambling may fall under these prohibitions.
It's important to note that laws and regulations may evolve, and specific cases may be subject to interpretation by legal authorities. If you are uncertain about the legality of a particular gambling activity or bet, it is advisable to seek legal advice from professionals knowledgeable about Philippine gambling laws.
Engaging in unauthorized or illegal gambling activities may result in legal consequences, and individuals should be aware of and comply with relevant laws and regulations.</t>
  </si>
  <si>
    <t>How does the law handle cases where illegal gambling activities are conducted as part of religious or cultural ceremonies?</t>
  </si>
  <si>
    <t>In the Philippines, the law generally prohibits illegal gambling activities regardless of the context, including religious or cultural ceremonies. However, it's important to note that there are certain exemptions and considerations for traditional or cultural practices. The legal framework surrounding gambling is primarily governed by Republic Act No. 9287, also known as the "An Act Increasing the Penalties for Illegal Numbers Games, Amending Certain Provisions of Presidential Decree No. 1602, and for Other Purposes."
Here are key points to consider:
1. **Presidential Decree No. 1602:**
- Presidential Decree No. 1602 provides penalties for illegal gambling activities. It criminalizes unauthorized gambling operations, such as jueteng and masiao, and imposes penalties on both operators and participants.
2. **Republic Act No. 9287:**
- Republic Act No. 9287 amended certain provisions of Presidential Decree No. 1602 to increase the penalties for illegal numbers games. It affirms the prohibition of unauthorized gambling activities and sets higher fines and penalties for violators.
3. **Exemptions for Traditional Games:**
- While the law generally prohibits illegal gambling, there may be cultural or traditional games that are exempted from this prohibition. Traditional games that are considered part of cultural practices and are not associated with illicit activities may be allowed.
4. **Local Ordinances:**
- Some local government units (LGUs) may have ordinances that regulate or exempt specific traditional or cultural practices involving games of chance. Local authorities may provide permits or exemptions based on cultural or historical significance.
5. **Religious Practices:**
- The law does not explicitly provide exemptions for gambling activities conducted as part of religious ceremonies. However, religious practices are generally protected under the Constitution, and any legal considerations would need to balance the right to religious freedom with the prohibition of illegal gambling.
It's essential to consult with legal professionals or local authorities to understand specific regulations and exemptions that may apply to cultural or religious practices involving games of chance. Local cultural sensitivity, historical significance, and community traditions may influence how the law is interpreted and enforced in specific cases.
Overall, while there may be some consideration for cultural practices, engaging in illegal gambling activities remains subject to legal penalties, and individuals should adhere to applicable laws and regulations.</t>
  </si>
  <si>
    <t>Can I be charged with illegal gambling if the activity is conducted in a location where gambling is permitted but without proper licensing?</t>
  </si>
  <si>
    <t>In many jurisdictions, including the Philippines, engaging in gambling activities without the proper licensing or authorization is typically considered illegal, regardless of whether the location generally permits gambling. Licensing requirements are often in place to regulate and oversee the gambling industry, ensuring fairness, consumer protection, and preventing illegal activities.
In the Philippines, Republic Act No. 9287 amended Presidential Decree No. 1602 and deals with illegal gambling. It's important to note that participating in gambling activities without the required license or authorization could lead to legal consequences.
To avoid potential legal issues, it is crucial to comply with the specific licensing requirements and regulations in the jurisdiction where you are engaging in gambling activities. If you have concerns or questions about the legality of a particular gambling activity in a specific location, it is advisable to consult with legal professionals familiar with the local gambling laws and regulations. Laws can vary, and legal advice specific to the jurisdiction in question is essential.</t>
  </si>
  <si>
    <t>How does the law address cases where illegal gambling activities are conducted through cryptocurrency or blockchain technology?</t>
  </si>
  <si>
    <t>As of my last knowledge update in January 2022, the regulation of cryptocurrency and blockchain technology in the Philippines was evolving. The country has taken steps to regulate digital assets, including cryptocurrencies, through the Bangko Sentral ng Pilipinas (BSP) or the Central Bank of the Philippines.
While the primary focus has been on regulating the use of cryptocurrencies as a form of currency or medium of exchange, specific regulations regarding the use of cryptocurrency in the context of illegal gambling may vary.
If illegal gambling activities are conducted through cryptocurrency or blockchain technology, it's likely that existing gambling laws would apply, and the use of these technologies may be considered an additional factor in the investigation and prosecution of such activities. Law enforcement agencies and regulatory bodies would likely adapt their approaches to address emerging technologies.
For the most accurate and up-to-date information, it is recommended to check the latest developments in Philippine laws related to cryptocurrency, blockchain, and illegal gambling. Consulting legal professionals with expertise in both gambling and cryptocurrency laws in the Philippines would provide more specific guidance tailored to the current legal landscape.</t>
  </si>
  <si>
    <t>Can I be charged with illegal gambling if the activity is conducted in a jurisdiction where certain forms of gambling are legal but others are not?</t>
  </si>
  <si>
    <t>The legal status of gambling can vary from jurisdiction to jurisdiction. If you are participating in gambling activities in a jurisdiction where certain forms of gambling are legal but others are not, you could potentially face legal consequences if you engage in activities that are explicitly prohibited.
It's essential to be aware of and comply with the specific gambling laws of the jurisdiction in which you are participating. Even if some forms of gambling are legal, engaging in prohibited activities may lead to charges of illegal gambling. Jurisdictions may have complex and specific regulations regarding different types of gambling, and violating these regulations could result in legal consequences.
To ensure accurate and up-to-date information, it is advisable to consult legal professionals or authorities in the specific jurisdiction where you plan to engage in gambling activities. Additionally, laws may change over time, so staying informed about any updates or amendments to the relevant statutes is crucial.</t>
  </si>
  <si>
    <t>How does the law handle cases where illegal gambling activities involve betting on virtual or simulated events?</t>
  </si>
  <si>
    <t>As of my last knowledge update in January 2022, the laws in the Philippines primarily address gambling through Republic Act No. 9287, which amended Presidential Decree No. 1602. The law criminalizes illegal gambling activities, but it may not specifically mention virtual or simulated events as these technologies may evolve over time.
For more updated and detailed information on the legal stance regarding virtual or simulated events in gambling, it is recommended to check the latest amendments to existing laws or any new legislation that may have been enacted since my last update. Additionally, consulting with legal professionals familiar with the current legal landscape in the Philippines would provide more accurate and up-to-date information.</t>
  </si>
  <si>
    <t>Corruption Cases</t>
  </si>
  <si>
    <t>What legal recourse do I have if I suspect corruption within my business or organization?</t>
  </si>
  <si>
    <t>If you suspect corruption within your business or organization, taking appropriate legal recourse is crucial. Here are steps you can consider to address and report corruption:
### Internal Reporting:
1. **Whistleblower Policy:**
- Check if your organization has a whistleblower policy in place. Whistleblower protections may be outlined in company policies, and reporting procedures may already be established.
2. **Report to Internal Channels:**
- Use internal reporting channels, such as a designated whistleblower hotline or reporting system, to report your concerns to the appropriate department or individual within the organization.
3. **Document Your Concerns:**
- Keep detailed records of your concerns, including dates, individuals involved, and specific instances of suspected corruption. Document any evidence or information you have.
4. **Maintain Confidentiality:**
- If you're concerned about potential retaliation, ensure that your report is handled confidentially as much as possible. Follow the established procedures for reporting without unnecessarily disclosing your identity.
### External Reporting:
5. **Government Agencies:**
- In many jurisdictions, there are government agencies responsible for investigating and addressing corruption. Report your concerns to the relevant agency, such as an anti-corruption commission or ombudsman.
6. **File a Complaint with Law Enforcement:**
- If the corruption involves criminal activities, consider filing a complaint with law enforcement agencies. Provide them with the necessary information and evidence to support an investigation.
7. **Legal Counsel:**
- Consult with a lawyer specializing in whistleblower protection or employment law. They can provide advice on the legal protections available to you and guide you on the best course of action.
### Protection Measures:
8. **Whistleblower Protection Laws:**
- Familiarize yourself with whistleblower protection laws in your jurisdiction. These laws are designed to protect individuals who report misconduct from retaliation.
9. **Anonymous Reporting:**
- If possible, use mechanisms that allow for anonymous reporting. Some reporting systems may allow you to submit information without revealing your identity.
10. **Non-Governmental Organizations (NGOs):**
- Report your concerns to relevant NGOs or advocacy groups working on anti-corruption initiatives. They may provide support and additional channels for reporting.
### Legal Actions:
11. **Legal Remedies for Retaliation:**
- If you face retaliation for reporting corruption, explore legal remedies available to you. Whistleblower protection laws may provide avenues for seeking redress.
12. **Private Legal Action:**
- Consult with a lawyer to explore the possibility of private legal action against those involved in corruption, particularly if it has resulted in financial harm to the organization.
### Professional Ethics:
13. **Report to Professional Bodies:**
- If applicable, report corruption to relevant professional bodies or associations that oversee ethical standards within your industry.
Remember, the specific steps you take may depend on the laws and regulations of your jurisdiction, as well as the policies and procedures of your organization. Consulting with legal professionals and understanding the protections available to whistleblowers is crucial when addressing suspected corruption. Always prioritize your safety and follow legal channels when reporting such serious concerns.</t>
  </si>
  <si>
    <t>Can you explain the legal implications of engaging in corrupt practices within a business?</t>
  </si>
  <si>
    <t>Engaging in corrupt practices within a business can have severe legal consequences for both the company and the individuals involved. Here's a breakdown of the potential implications:
**Legal Penalties for Businesses:**
* **Fines:** Regulatory bodies can impose significant fines on companies found guilty of corruption offenses. The amount can vary depending on the severity of the offense and the specific laws violated. * **Debarment:** Businesses involved in corruption might be debarred from participating in future government contracts or tenders. This can significantly limit their business opportunities and growth potential.
* **Criminal Charges:** In some cases, depending on the nature of the corruption, the company or its representatives might face criminal charges. This could lead to imprisonment for those directly involved.
**Reputational Damage:**
* **Public Scrutiny:** Corruption scandals can lead to intense public scrutiny and negative media coverage. This can severely damage the company's reputation and erode consumer trust, potentially leading to boycotts. * **Loss of Business:** Customers and partners might choose to avoid doing business with a company tainted by corruption. This can lead to lost sales and contracts, impacting the company's bottom line.
* **Difficulty Attracting Talent:** Top talent might be hesitant to work for a company with a reputation for unethical practices, hindering recruitment efforts. **Other Consequences:**
* **Civil Lawsuits:** Companies involved in corruption might face civil lawsuits from parties harmed by their actions, leading to additional financial losses.
* **Remedial Measures:** Authorities might require the company to implement corrective measures like changing management, restructuring operations, or improving compliance programs to prevent future misconduct.
* **Difficulties in International Business:** Engaging in corrupt practices can make it difficult to operate in certain countries with stricter anti-corruption regulations.
**Impact on Investors and Shareholders:**
* **Loss of Investor Confidence:** Corruption scandals can lead to a decline in investor confidence, causing a drop in the company's stock price.
* **Shareholder Lawsuits:** Shareholders might file lawsuits against the company for financial losses caused by corruption.
**Individual Legal Implications:**
* **Fines and Imprisonment:** Individuals directly involved in corrupt activities can face significant fines or even imprisonment, depending on the severity of the offense.
* **Loss of Professional Licenses:** Professionals involved in corruption might lose their licenses to practice in their respective fields.
* **Difficulty Finding Future Employment:** A criminal record or reputation for corruption can make it difficult to find future employment.
**Importance of Compliance Programs:**
* **Reduces Risk:** Implementing a strong anti-corruption compliance program significantly reduces the risk of corrupt practices occurring within a business.
* **Protects Reputation:** A demonstrated commitment to ethical practices helps maintain a positive reputation and fosters trust with stakeholders.
* **Minimizes Legal Risks:** A robust compliance program can minimize legal consequences and potential fines in case of corruption allegations.
**Remember:**
The legal implications of corruption are significant and far-reaching. Businesses and individuals involved face serious consequences. By prioritizing ethical practices and implementing strong compliance programs, businesses can avoid these risks and operate with integrity.</t>
  </si>
  <si>
    <t>How can I protect myself legally if I uncover instances of corruption in my workplace?</t>
  </si>
  <si>
    <t>Here's a breakdown of steps you can take to protect yourself legally if you uncover corruption in your workplace:
**Gather Evidence (Safely):**
* **Document Everything:** Discreetly document details of the corrupt activity, including dates, times, names of people involved, and specific actions taken. Use physical notes or digital files stored outside company systems if possible.
* **Collect Supporting Materials:** If available, gather emails, invoices, recordings (be mindful of local recording consent laws), or other documents that substantiate the corruption.
**Choose Your Reporting Channel:**
* **Internal Reporting:** Many companies have internal hotlines or reporting mechanisms for employees to report wrongdoing. Consider using them anonymously if possible, following the company's guidelines.
* **Supervisors or Compliance Officers:** If you trust a supervisor or the company's compliance officer and feel comfortable with internal reporting, report the incident directly. Be prepared to provide details and evidence you've gathered.
**Consider External Reporting:**
Depending on the severity and nature of the corruption, external reporting might be necessary:
* **Government Agencies:** The Philippines has agencies like the Office of the Ombudsman or the Commission on Audit that investigate corruption. * **Securities and Exchange Commission (SEC):** If the corruption involves public companies or securities violations, consider reporting it to the SEC.
**Seek Legal Advice:**
Consulting a lawyer specializing in employment law and anti-corruption matters is crucial. A lawyer can:
* **Advise on the most appropriate reporting channel** based on the specific situation and your level of comfort with internal reporting.
* **Navigate the legalities of whistleblowing** and ensure you understand your rights under the Whistleblowers' Protection Act (RA 6713).
* **Prepare a strong case:** Your lawyer can assist in organizing evidence and presenting your report effectively.
**Protecting Yourself:**
* **Maintain Confidentiality:** Only share information about the corruption with those who absolutely need to know. * **Consider Your Safety:** If you fear retaliation, prioritize your safety. Seek advice from your lawyer on discreet reporting methods.
**Understanding the Whistleblowers' Protection Act:**
* **Know Your Rights:** The Act protects whistleblowers who report corruption in good faith from retaliation by their employers. This includes termination, demotion, harassment, or any form of discrimination.
* **Limitations:** While the Act exists, ensuring its full implementation can be challenging. * **Burden of Proof:** The whistleblower often carries the burden of proving both the corruption and the retaliation they faced for reporting it.
**Additional Tips:**
* **Don't Investigate Alone:** If possible, involve a trusted colleague in the reporting process for support and potential corroboration.
* **Keep Copies:** Maintain copies of all documentation and reports you submit, in case originals go missing.
* **Document Retaliation:** If you experience retaliation after reporting, keep a detailed record of the events, including dates, witnesses, and specific actions taken against you.
**Remember:**
* You have the right to refuse to participate in corrupt activities and to report them if you witness them.
* Reporting corruption can be a daunting task, but there are legal protections available and resources to help you navigate the process. * Consulting a lawyer specializing in employment and anti-corruption law is crucial for protecting yourself and ensuring a successful outcome.
By taking these steps, you can increase your chances of a successful report while minimizing the risk of retaliation.</t>
  </si>
  <si>
    <t>What are the potential consequences for a business found guilty of engaging in corrupt activities?</t>
  </si>
  <si>
    <t>The consequences for a business found guilty of engaging in corrupt activities in the Philippines can be severe and far-reaching. Here's a breakdown of some potential repercussions:
**Legal Penalties:**
* **Fines:** Regulatory bodies can impose significant fines on businesses convicted of corruption offenses. The amount can vary depending on the severity of the offense and the provisions violated.
* **Debarment:** Companies involved in corruption might be debarred from participating in future government contracts or tenders. This can significantly limit their business opportunities.
* **Criminal Charges:** In some cases, depending on the nature of the corruption, the company or its representatives might face criminal charges, potentially leading to imprisonment.
**Reputational Damage:**
* **Public Scrutiny:** Corruption scandals can lead to intense public scrutiny and negative media coverage. This can damage the company's reputation and erode consumer trust.
* **Loss of Business:** Customers and partners might choose to avoid doing business with a company tainted by corruption. This can lead to lost sales and contracts.
* **Difficulty Attracting Talent:** Top talent might be hesitant to work for a company with a reputation for unethical practices.
**Other Consequences:**
* **Civil Lawsuits:** Companies involved in corruption might face civil lawsuits from parties harmed by their actions.
* **Remedial Measures:** Authorities might require the company to implement corrective measures like changing management, restructuring operations, or improving compliance programs.
* **Difficulties in International Business:** Engaging in corrupt practices can make it difficult to operate in certain countries with stricter anti-corruption regulations.
**Impact on Investors and Shareholders:**
* **Loss of Investor Confidence:** Corruption scandals can lead to a decline in investor confidence, causing a drop in the company's stock price.
* **Shareholder Lawsuits:** Shareholders might file lawsuits against the company for financial losses caused by corruption.
**Remember:**
The consequences of corruption for a business can be devastating. It's crucial to prioritize ethical practices and implement strong anti-corruption compliance programs to prevent such situations.
**Additionally:**
* The severity of consequences can be influenced by factors like the extent of cooperation with authorities during investigations and the efforts taken to rectify the situation.
* Consulting with a lawyer specializing in business law and anti-corruption matters can help businesses navigate potential legal consequences and develop strategies to mitigate risks.
By understanding the potential repercussions, businesses can make informed decisions and prioritize building a culture of integrity and ethical conduct.</t>
  </si>
  <si>
    <t>Are there specific laws or regulations that govern corruption in the business sector?</t>
  </si>
  <si>
    <t>Yes, there are several key laws and regulations that govern corruption in the business sector in the Philippines. Here's a breakdown of some of the most important ones:
**National Laws:**
* **Anti-Graft and Corrupt Practices Act (RA 3019):** This is the cornerstone legislation against corruption in the Philippines. It outlines prohibited acts for public officials, including:
* Soliciting or accepting bribes
* Dishonest acquisition of wealth
* Using public office for private gain
* The law also holds corporations liable if they conspire with public officials or act as dummies for corrupt activities.
* **Revised Penal Code (RPC):** This code contains various provisions that address bribery and other corruption offenses. These can apply to both public officials and private individuals involved in corrupt practices within the business sector.
**International Agreements:**
* **The Philippines is a signatory to several international anti-corruption conventions:** * **The United Nations Convention against Corruption (UNCAC):** This convention establishes international standards for preventing and combating corruption. It requires member states to criminalize bribery, implement preventive measures, and cooperate in investigations and asset recovery.
* **The OECD Convention on Combating Bribery of Foreign Public Officials in International Business Transactions:** This convention focuses on bribery of foreign officials by companies headquartered in member countries.
These agreements put pressure on the Philippines to maintain a strong legal framework against corruption in the business sector.
**Beyond Legal Requirements:**
* **Securities and Exchange Commission (SEC) Rules:** The SEC has regulations on disclosure requirements for public companies. These can help prevent corruption by ensuring transparency in financial reporting and business dealings.
**Remember:** These are some of the key laws and regulations, but there might be additional industry-specific regulations or issuances from government agencies that apply to your particular business sector. Consulting with a lawyer specializing in corporate compliance and anti-corruption matters can ensure your business is aware of all relevant legal requirements.</t>
  </si>
  <si>
    <t>How can I ensure that my business practices are compliant with anti-corruption laws and regulations?</t>
  </si>
  <si>
    <t>Here are some key steps you can take to ensure your business practices are compliant with anti-corruption laws and regulations in the Philippines:
**Develop a Comprehensive Anti-Corruption Compliance Program:**
* **Code of Conduct:** Establish a clear and well-communicated Code of Conduct outlining your company's commitment to ethical practices and prohibiting any form of corruption, including bribery, facilitation payments, and conflicts of interest. * **Training and Awareness Programs:** Provide regular training for employees at all levels on anti-corruption laws, your company's Code of Conduct, and how to identify and report red flags of corruption. * **Due Diligence:** Implement a robust due diligence process for selecting business partners, vendors, and third-party agents. This might involve background checks, verifying financial records, and assessing their anti-corruption practices.
* **Internal Controls:** Establish strong internal controls over financial transactions, procurement processes, and record-keeping. This includes segregation of duties, regular audits, and clear approval procedures for contracts and payments.
* **Whistleblowing Mechanism:** Set up a confidential and secure whistleblowing hotline or reporting system where employees can report suspected corruption without fear of retaliation. **Continuous Monitoring and Improvement:**
* **Regular Risk Assessments:** Periodically assess your company's corruption risks based on your industry, geographic location, and business activities. Adapt your compliance program accordingly.
* **Management Oversight:** Ensure senior management demonstrates a strong commitment to anti-corruption compliance by actively promoting ethical behavior and holding employees accountable for breaches of the Code of Conduct.
* **Periodic Audits:** Conduct regular internal audits or engage external auditors to review your compliance program and identify potential weaknesses.
**Additional Considerations:**
* **Compliance with International Standards:** Familiarize yourself with international anti-corruption conventions like the UNCAC and the OECD Anti-Bribery Convention, even if not directly mandated by Philippine law. * **Industry-Specific Regulations:** Certain industries might have additional anti-corruption regulations you need to comply with. Research and adhere to any specific requirements for your sector.
* **Seek Legal Advice:** Consult with a lawyer specializing in corporate compliance and anti-corruption matters. They can advise on legal requirements, best practices, and how to tailor your program to your specific business needs.
**Benefits of a Strong Compliance Program:**
* **Reduces Risk of Corruption:** A well-designed compliance program significantly reduces the risk of corruption occurring within your business.
* **Protects Your Reputation:** A strong commitment to ethical practices fosters trust with stakeholders and helps avoid reputational damage from corruption scandals.
* **Minimizes Legal Risks:** A robust compliance program can minimize legal consequences and potential fines in case of corruption allegations.
* **Creates a Culture of Integrity:** By prioritizing ethics and transparency, you foster a positive work environment where employees feel empowered to report wrongdoing.
By implementing these measures, you can significantly increase your chances of operating a corruption-free business and demonstrate your commitment to ethical and responsible business practices.</t>
  </si>
  <si>
    <t>What steps should I take if I suspect that a competitor is engaging in corrupt practices to gain a competitive advantage?</t>
  </si>
  <si>
    <t>Here's what you can do if you suspect a competitor is engaging in corrupt practices:
**Gather Information:**
* **Document Your Concerns:** Record specific details that raise suspicion, including dates, events, and any evidence you might have (e.g., unusual contract awards, public statements by officials hinting at favoritism).
* **Investigate Publicly Available Information:** Look for news articles, government records, or NGO reports that mention your competitor and potential corruption. Industry publications or research firms might also offer insights.
**Focus on Legal and Ethical Actions:**
* **Report to Authorities:** If you have strong evidence of corruption involving government officials (bribery, fraud), report it to relevant authorities like the Office of the Ombudsman or the Commission on Audit. * **Report to Industry Associations:** Some industries have professional associations with ethics guidelines. If your competitor violates these codes, report them to the association.
**Avoid Unethical Counter-Practices:**
* **Don't Engage in Retaliatory Corruption:** Responding with corrupt practices of your own only weakens your position and risks legal trouble for your company.
* **Maintain a Clean Reputation:** Focus on building your business through ethical practices and offering superior products or services.
**Consider Indirect Actions:**
* **Publicly Advocate for Transparency:** Speak out about the importance of fair competition and ethical business practices within your industry. * **Highlight Your Own Ethical Practices:** Promote your commitment to compliance and transparency to differentiate yourself from the competitor. **Seek Legal Advice:**
* **Consult a Lawyer:** A lawyer specializing in business law and anti-corruption can advise on the best course of action based on the specific situation and the evidence available. They can also help you navigate legal complexities and avoid unintentionally putting yourself at risk.
**Important Considerations:**
* **Strength of Evidence:** Having concrete evidence strengthens your case and makes accusations more credible. However, focus on gathering information legally and ethically.
* **Potential Repercussions:** Reporting a competitor could lead to retaliation or legal battles. A lawyer can help you assess these risks.
* **Focus on Your Business:** While unethical competition is frustrating, don't let it distract from running your own business effectively.
**Remember:**
* Unfair competition can be damaging, but focus on ethical solutions. * Reporting suspected corruption to the appropriate authorities is the most responsible course of action. * Consulting with a lawyer is crucial to navigate the legalities and protect your business.
By following these steps, you can address your concerns about a competitor's potentially corrupt practices while maintaining your own ethical business practices.</t>
  </si>
  <si>
    <t>How can I report instances of corruption within my business while protecting myself from retaliation?</t>
  </si>
  <si>
    <t>Here's a roadmap to consider when reporting corruption within your business while protecting yourself from retaliation:
**Gather Evidence (Safely):**
* **Document Everything:** Discreetly document details of the corrupt activity, including dates, times, names of people involved, and any specific actions taken. Use physical notes or digital files stored outside of company systems if possible.
* **Collect Supporting Materials:** If available, gather emails, invoices, recordings (be mindful of local recording consent laws), or other documents that substantiate the corruption. **Choose Your Reporting Channel:**
* **Internal Reporting:** Many companies have internal hotlines or reporting mechanisms for employees to report wrongdoing. If your company has such a system, consider using it anonymously if possible. * **Supervisors or Compliance Officers:** If you trust a supervisor or the company's compliance officer, report the incident directly. Be prepared to provide details and evidence you've gathered.
**Consider External Reporting:**
Depending on the severity and nature of the corruption, external reporting might be necessary:
* **Government Agencies:** The Philippines has agencies like the Office of the Ombudsman or the Commission on Audit that investigate corruption. * **Securities and Exchange Commission (SEC):** If the corruption involves public companies or securities violations, consider reporting it to the SEC.
**Seek Legal Advice:**
Consulting a lawyer specializing in employment law and anti-corruption matters is crucial. A lawyer can:
* **Advise on the most appropriate reporting channel** based on the specific situation and your level of comfort with internal reporting.
* **Help navigate the legalities of whistleblowing** and understand your rights under the Whistleblowers' Protection Act.
* **Prepare a strong case:** Your lawyer can assist in organizing evidence and presenting your report effectively.
**Protecting Yourself:**
* **Maintain Confidentiality:** Only share information about the corruption with those who absolutely need to know. * **Consider Your Safety:** If you fear retaliation, prioritize your safety. Seek advice from your lawyer on discreet reporting methods.
**Understanding the Whistleblowers' Protection Act:**
* **Know Your Rights:** The Act protects whistleblowers who report corruption in good faith from retaliation by their employers. This includes termination, demotion, harassment, or any form of discrimination.
* **Limitations:** While the Act exists, ensuring its full implementation can be challenging. * **Burden of Proof:** The whistleblower often carries the burden of proving both the corruption and the retaliation they faced for reporting it.
**Additional Tips:**
* **Don't Investigate Alone:** If possible, involve a trusted colleague in the reporting process for support and potential corroboration.
* **Keep Copies:** Maintain copies of all documentation and reports you submit, in case originals go missing.
* **Document Retaliation:** If you experience retaliation after reporting, keep a detailed record of the events, including dates, witnesses, and specific actions taken against you.
**Remember:**
* You have the right to refuse to participate in corrupt activities and to report them if you witness them.
* Reporting corruption can be a daunting task, but there are legal protections available and resources to help you navigate the process. * Consulting a lawyer specializing in employment and anti-corruption law is crucial for protecting yourself and ensuring a successful outcome.
By taking these steps, you can increase your chances of a successful report while minimizing the risk of retaliation.</t>
  </si>
  <si>
    <t>Are there any whistleblower protections in place for employees who report corruption within their company?</t>
  </si>
  <si>
    <t>Yes, the Philippines has a law in place to protect whistleblowers who report corruption within their companies: **The Republic Act No. 6713, also known as the Whistleblowers' Protection Act of 2001.**
Here's a breakdown of the key aspects of this Act:
**Protections Offered:**
* **Prohibition of Retaliation:** Employers are strictly prohibited from retaliating against employees who report corruption in good faith. This includes actions like termination, demotion, harassment, or any form of discrimination.
* **Confidentiality:** The Act protects the identity of whistleblowers. Their anonymity should be maintained throughout the investigation process, unless the whistleblower waives confidentiality.
* **Security:** The Act provides for the security of whistleblowers and their families from potential threats or harm as a consequence of their reporting.
**Who is Considered a Whistleblower?**
The Act defines a whistleblower as any:
* **Employee:** This includes both public and private sector employees.
* **Officer:** This can encompass individuals with supervisory or management roles.
* **Any person with a direct or personal knowledge** of a violation of any law, rule, or regulation relating to corruption, including tax evasion, graft and corrupt practices, or abuse of authority.
**What Can be Reported?**
The Act protects whistleblowers who report a wide range of corrupt activities, including:
* Bribery
* Fraud
* Embezzlement
* Graft and corrupt practices
* Abuse of authority
* Violation of laws or regulations
**How to Report Corruption:**
The Act allows whistleblowers to report corruption through various channels:
* **Internal Reporting:** Employees can report to designated hotlines within their company or to their supervisors or compliance officers.
* **External Reporting:** The Act allows reporting to various government agencies like the Office of the Ombudsman, the Commission on Audit, or the Securities and Exchange Commission (SEC) depending on the nature of the corruption.
**Importance of Legal Advice:**
While the Act offers protections, consulting with a lawyer specializing in employment law and anti-corruption matters is crucial. A lawyer can advise on:
* **The most appropriate channel for reporting** based on the specific situation and the potential risks involved.
* **Understanding your rights** as a whistleblower and the available legal protections.
* **Building a strong case:** A lawyer can help you gather and present evidence to support your accusations.
**Challenges and Considerations:**
* **Enforcing Protections:** While the Act exists, ensuring its full implementation can be challenging. * **Fear of Retaliation:** Despite legal protections, some employees might still hesitate to report due to fear of retaliation.
* **Burden of Proof:** The whistleblower often carries the burden of proving both the corruption and the retaliation they faced for reporting it.
**Conclusion:**
The Whistleblowers' Protection Act is a significant step towards encouraging employees to report corruption within their companies. However, it's important to be aware of the challenges and seek legal guidance when considering whistleblowing. By understanding your rights and taking the necessary precautions, you can help expose corruption while protecting yourself.</t>
  </si>
  <si>
    <t>Can you advise on the best course of action if I have been asked to participate in corrupt activities by my employer?</t>
  </si>
  <si>
    <t>Being asked to participate in corrupt activities by your employer is a serious situation. Here's a recommended course of action to protect yourself and potentially expose the wrongdoing:
**Refusal and Documentation:**
* **Refuse Clearly:** Firmly and clearly refuse to participate in any activities you believe to be corrupt. * **Document Everything:** If possible, document the request in writing (email, text message) or try to record a conversation (with caution and following local laws on recording consent). This documentation can be crucial evidence later.
**Internal Reporting:**
* **Company Hotlines:** Many companies have internal hotlines or reporting mechanisms for employees to report suspected wrongdoing. If your company has such a system, consider using it to report the incident anonymously or confidentially, as allowed by the system.
* **Supervisors or Compliance Officers:** If you feel comfortable, report the incident to a supervisor you trust or the company's compliance officer. Explain the situation in detail and provide any documentation you have.
**External Reporting:**
* **Government Agencies:** The Philippines has various agencies responsible for investigating corruption, such as the Office of the Ombudsman or the Commission on Audit. You can file a complaint with these agencies. * **Securities and Exchange Commission (SEC):** If the corruption involves public companies or securities violations, you might consider reporting it to the SEC.
**Seeking Legal Advice:**
* **Consult a Lawyer:** Consulting a lawyer specializing in employment law and anti-corruption matters is crucial. A lawyer can advise you on your legal rights, the best course of action for reporting the incident, and potential legal protections available to whistleblowers.
**Protecting Yourself:**
* **Keep Records:** Maintain a detailed record of the events, including dates, times, and the names of anyone involved in the request or any potential witnesses.
* **Consider Your Safety:** If you fear retaliation from your employer, prioritize your safety. Seek advice from your lawyer on how to proceed while minimizing risks to yourself.
**The Philippines has a Whistleblowers' Protection Act:**
This Act protects employees who report corruption in good faith from retaliation by their employers. However, it's important to understand the specific provisions of the Act and seek legal advice to ensure you follow the proper channels for reporting.
**Remember:**
* You have the right to refuse to participate in corrupt activities.
* Reporting corruption can be a daunting task, but there are legal protections available for whistleblowers. * Consulting a lawyer specializing in employment and anti-corruption law is crucial for navigating this situation.
By following these steps, you can protect yourself and potentially help expose and prevent corruption within your workplace.</t>
  </si>
  <si>
    <t>What legal obligations do businesses have to prevent corruption in their operations?</t>
  </si>
  <si>
    <t>Businesses in the Philippines have legal obligations and strong incentives to prevent corruption in their operations. Here's a breakdown of the key aspects:
**National Laws:**
* **Anti-Graft and Corrupt Practices Act (RA 3019):** This law prohibits public officials from engaging in corrupt practices and holds corporations liable if they conspire with officials or act as dummies for corrupt activities.
* **Revised Penal Code (RPC):** Certain provisions of the RPC address bribery and other corruption offenses that can apply to businesses and their employees.
**International Agreements:**
* **The Philippines is a signatory to several international conventions** like the United Nations Convention against Corruption (UNCAC) and the OECD Convention on Combating Bribery of Foreign Public Officials in International Business Transactions. These agreements establish international standards for preventing and combating corruption, often requiring:
* **Criminalization of Bribery:** Member states must criminalize bribery of both domestic and foreign public officials.
* **Preventive Measures:** Implementing anti-corruption measures like transparency in public procurement, financial disclosure for public officials, and public awareness campaigns.
* **International Cooperation:** Facilitating cooperation between member states in investigations, extradition of fugitives, and recovery of stolen assets.
**Compliance with these agreements strengthens the Philippines' commitment to fighting corruption.**
**Beyond Legal Requirements:**
* **Reputational Damage:** Corruption scandals can severely damage a company's reputation, leading to lost business, investor flight, and public scrutiny.
* **Financial Penalties:** Regulatory bodies can impose significant fines on businesses found guilty of corruption offenses.
* **Debarment:** Companies involved in corruption might be debarred from participating in future government contracts or tenders.
**Fostering a Culture of Integrity:**
* **Implementing an Anti-Corruption Compliance Program:** A well-designed compliance program demonstrates a commitment to ethical business practices and includes elements like:
* **Code of Conduct:** A clear code outlining ethical expectations for employees and outlining consequences for corruption.
* **Training and Awareness Programs:** Educating employees on identifying and preventing corruption.
* **Due Diligence:** Proper vetting of business partners and vendors to mitigate corruption risks.
* **Internal Controls:** Implementing strong financial controls and internal audits to detect potential wrongdoing.
* **Whistleblowing Mechanism:** Providing a safe and confidential channel for employees to report suspected corruption.
**Benefits of a Proactive Approach:**
* **Reduces Risk:** A comprehensive anti-corruption program significantly reduces the risk of corruption occurring within the business.
* **Builds Trust:** Demonstrates a commitment to ethical practices, fostering trust with stakeholders and regulatory bodies.
* **Minimizes Legal Risks:** A strong compliance program can help minimize legal consequences in case of corruption allegations.
**Conclusion:**
Businesses in the Philippines have a legal and ethical obligation to prevent corruption. Implementing robust anti-corruption compliance programs helps businesses operate ethically, maintain a positive reputation, and avoid costly legal consequences.</t>
  </si>
  <si>
    <t>How can I identify red flags or warning signs of corruption within my business?</t>
  </si>
  <si>
    <t>Recognizing red flags of corruption within your business is crucial for preventing or mitigating its damaging effects. Here's a breakdown of some key areas to watch for:
**Red Flags in Procurement and Contracts:**
* **Unnecessary Secrecy:** Unusual secrecy surrounding the bidding process, selection of vendors, or contract terms could indicate attempts to favor certain parties.
* **Unqualified Vendors:** Awarding contracts to vendors who lack the necessary qualifications or experience might suggest favoritism or kickbacks.
* **Inflated Prices:** Prices significantly higher than market value for goods or services could be a sign of bribery or fraudulent practices.
* **Vague or Incomplete Contracts:** Contracts with unclear terms, missing details, or loopholes could be used to hide corrupt activities.
**Red Flags in Financial Transactions:**
* **Unexplained Cash Flow:** Large amounts of unexplained cash coming into or out of the business could be a sign of money laundering or bribes.
* **Suspicious Invoices:** Invoices with inflated charges, missing details, or payments to fictitious companies could signify attempts to divert funds illegally.
* **Off-the-Books Transactions:** Financial transactions not recorded in the company's official accounting system are a major red flag.
* **Excessive Travel and Entertainment Expenses:** Unusually high or poorly documented expenses for travel and entertainment could be a sign of bribes or kickbacks disguised as legitimate business activities.
**Red Flags in Internal Controls and Procedures:**
* **Weak Internal Controls:** Lack of adequate internal controls like segregation of duties, proper approvals, and surprise audits can create opportunities for corruption.
* **Conflicts of Interest:** Employees with a personal stake in a business transaction with the company could be susceptible to engaging in corrupt practices.
* **Lack of Transparency:** A culture of secrecy or resistance to inquiries about business decisions or financial records can be a warning sign.
* **Gifts and Hospitality:** Excessive or unusual gifts or lavish hospitality offered to employees, business partners, or government officials could be bribery attempts.
**Red Flags in Employee Behavior:**
* **Sudden Lifestyle Changes:** Employees experiencing an unexplained increase in wealth or living standards could be benefiting from corruption.
* **Unexplained Absences:** Frequent disappearances during work hours, particularly around the time of contract negotiations or project approvals, can be suspicious.
* **Fear of Reporting:** A culture where employees are afraid to report suspected corruption due to fear of retaliation is a major red flag.
**Importance of a Speak-Up Culture:**
* **Whistleblowing Mechanisms:** Implementing a confidential and secure whistleblowing mechanism allows employees to report suspected corruption without fear of retribution.
* **Open Communication:** Creating a culture where open communication and ethical behavior are encouraged helps deter corruption.
**Remember:**
A single red flag might not necessarily indicate corruption. However, the presence of multiple red flags, particularly across different areas of your business, warrants further investigation. By being vigilant and taking proactive measures to address these warning signs, you can significantly reduce the risk of corruption taking root within your business.</t>
  </si>
  <si>
    <t>What evidence is needed to pursue legal action against individuals or entities involved in corrupt activities?</t>
  </si>
  <si>
    <t>The type of evidence needed to pursue legal action against individuals or entities involved in corrupt activities in the Philippines will vary depending on the specific nature of the corruption offense. However, here's a breakdown of some key categories of evidence that can be helpful:
**Direct Evidence:**
* **Witness Testimony:** Statements from individuals who directly witnessed the corrupt act taking place can be very powerful evidence. This could include employees, business partners, or even bystanders. * **Documents:** Contracts, invoices, bank statements, emails, and other documents can provide a paper trail that connects the accused to the corruption. These documents might show unusual payments, inflated invoices, or communication related to the corrupt agreement.
* **Audio or Video Recordings:** Recordings of conversations where the corrupt act is discussed or planned can be very compelling evidence. However, the legality of recording conversations without consent can be complex, so consulting a lawyer is crucial in such situations.
**Circumstantial Evidence:**
* **Financial Records:** Unexplained cash flows, sudden wealth accumulation, or suspicious financial transactions can indirectly point towards corruption. * **Lifestyle Discrepancies:** A significant increase in an individual's standard of living that cannot be explained by legitimate income can raise red flags.
* **Asset Forfeiture:** If authorities can demonstrate that assets were acquired through corrupt means, they might be able to seize those assets, even if a direct link to the specific corrupt act cannot be established.
**Additional Considerations:**
* **Strength of Evidence:** The more evidence available and the stronger it is, the better the chances of a successful prosecution. A combination of different types of evidence is often more persuasive than relying solely on one type.
* **Admissibility of Evidence:** Evidence obtained illegally might not be admissible in court. Consulting a lawyer ensures evidence is collected and presented in a way that complies with legal requirements.
**Sources of Evidence:**
* **Internal Investigations:** If the corruption is discovered within a company, an internal investigation can help gather evidence like witness statements, documents, and recordings.
* **Law Enforcement:** Authorities can conduct investigations, gather evidence, and potentially use tools like surveillance or search warrants to obtain relevant information.
* **Whistleblowers:** Employees or others with firsthand knowledge of the corruption can come forward with information and evidence. The Philippines has a Whistleblowers' Protection Act that protects those who report corruption in good faith.
**Challenges of Gathering Evidence:**
* **Complexity of Corruption Schemes:** Corruption can be well-concealed, and gathering evidence can be challenging. * **Witness Intimidation:** Witnesses might be afraid to come forward for fear of retaliation. * **Access to Information:** Obtaining crucial documents or financial records, especially if held by the accused party or located abroad, can be difficult.
**Importance of Legal Expertise:**
Navigating the complexities of evidence collection and admissibility requires legal expertise. A lawyer specializing in anti-corruption matters can advise on the most effective strategies for gathering evidence, ensuring compliance with legal procedures, and building a strong case for prosecution.
By understanding the types of evidence needed and the potential challenges involved, individuals and authorities can be better equipped to pursue legal action against those involved in corrupt activities.</t>
  </si>
  <si>
    <t>Are there any legal defenses available for individuals accused of participating in corrupt practices within a business?</t>
  </si>
  <si>
    <t>Yes, there are some legal defenses available for individuals accused of participating in corrupt practices within a business in the Philippines. However, the success of these defenses will depend heavily on the specific circumstances of the case. Here's a breakdown of some potential defenses:
**Lack of Knowledge or Intent:**
* **Unwitting Participation:** An individual might argue they were unaware of the corrupt nature of the activity. This could be due to a lack of information, being misled by superiors, or having a limited role in the overall scheme. However, the burden of proof lies with the accused to demonstrate a genuine lack of knowledge.
* **Following Orders:** An employee might claim they were simply following orders from a superior and did not have the authority to refuse participating in the corrupt activity. However, this defense is generally weak and won't hold up if the order was clearly illegal.
**Mistake of Fact:**
* **Misunderstanding:** The accused might argue they made a genuine mistake about the facts surrounding the situation, leading them to believe their actions were lawful. For this defense to be successful, the mistake must be reasonable and based on a sincere belief.
**Entrapment:**
* **Police Inducement:** This defense is rarely successful in corruption cases. It applies if law enforcement officials pressured or induced the individual to commit a crime they wouldn't have otherwise participated in. The burden of proof for entrapment lies with the accused.
**Technical Defenses:**
* **Procedural Violations:** If law enforcement authorities violated the accused's rights during the investigation or arrest, the defense might argue for the evidence to be excluded from the case. This could potentially weaken the prosecution's case.
* **Statute of Limitations:** Corruption charges typically have a time limit for prosecution. If the alleged offense occurred outside the legal timeframe, the case might be dismissed.
**Cooperation and Plea Bargains:**
* **Cooperation with Authorities:** An individual might choose to cooperate with law enforcement by providing truthful information about the corruption and potentially identifying other involved parties. This cooperation can lead to leniency in sentencing or even dropped charges.
* **Plea Bargain:** The accused might negotiate a plea bargain with the prosecution, pleading guilty to a lesser charge in exchange for a reduced sentence.
**Importance of Legal Representation:**
The specific legal defenses available and their potential effectiveness will depend on the details of the case. Consulting with a lawyer specializing in criminal law and anti-corruption matters is crucial. A lawyer can analyze the evidence, advise on the most suitable defense strategy, and represent the accused throughout the legal process. **Remember:**
* These are just some potential defenses, and their success depends on the specific circumstances.
* The burden of proof typically lies with the prosecution to demonstrate the accused's guilt beyond a reasonable doubt.
* Consulting a lawyer is highly recommended for individuals facing corruption charges.</t>
  </si>
  <si>
    <t>Can you explain the concept of corporate liability for corruption offenses?</t>
  </si>
  <si>
    <t>Corporate liability for corruption offenses refers to the legal concept that holds a business entity accountable for corrupt actions committed by its employees, agents, or representatives acting on the company's behalf. This means the corporation itself can face legal consequences for corruption, even if individual employees were directly involved.
There are two main ways corporate liability for corruption can arise:
1. **Direct Action by the Corporation:** If the company itself, through its management or decision-making bodies, authorizes, condones, or benefits from corrupt activities, it can be held directly liable. This could involve situations where:
* Management approves bribes to be paid to secure contracts.
* The company has a culture that turns a blind eye to corrupt practices.
* The company implements policies or procedures that facilitate corruption.
2. **Actions by Employees or Agents:** A corporation can also be held liable for the corrupt actions of its employees or agents, if those actions were taken:
* **Within the Scope of Employment:** The employee's corrupt act must have been committed while they were performing their job duties or acting on behalf of the company.
* **For the Benefit of the Corporation:** There must be some demonstrable benefit to the company, even if indirect or long-term, from the employee's corrupt actions. **Why Does Corporate Liability Matter?**
Holding corporations liable for corruption serves several purposes:
* **Deterrence:** The threat of legal consequences can deter companies from engaging in or tolerating corrupt practices.
* **Promoting Ethical Business:** Corporate liability encourages companies to implement strong anti-corruption compliance programs and ethical business practices.
* **Accountability:** It ensures that not just individual employees but also the companies that benefit from corruption are held responsible.
* **Recovering Damages:** In some cases, corporations found guilty of corruption might be ordered to pay fines, disgorge ill-gotten gains, or compensate parties harmed by the corruption.
**Challenges of Corporate Liability:**
* **Piercing the Corporate Veil:** In some jurisdictions, proving corporate liability can be challenging. Prosecutors might need to demonstrate that the corrupt act wasn't an isolated incident but reflected the company's culture or management's knowledge.
* **International Complexity:** With businesses operating across borders, determining which jurisdiction's laws apply to a corruption case and enforcing penalties can be complex.
**The Philippines and Corporate Liability:**
The Philippines has several laws that address corporate liability for corruption offenses. These include:
* **Anti-Graft and Corrupt Practices Act (RA 3019):** This law can hold corporations liable if they conspire with public officials to commit corruption or act as dummies for corrupt practices.
* **Revised Penal Code (RPC):** Certain provisions of the RPC can apply to corporations involved in bribery or other corruption offenses.
**Conclusion:**
Corporate liability for corruption offenses plays a crucial role in combating corruption in business. By holding companies accountable, promoting ethical practices, and deterring future wrongdoing, corporate liability helps to create a more transparent and fair business environment.</t>
  </si>
  <si>
    <t>What role do internal investigations play in addressing allegations of corruption within a business?</t>
  </si>
  <si>
    <t>Internal investigations play a critical role in addressing allegations of corruption within a business. Here's a breakdown of their key functions and benefits:
**Uncovering the Truth:**
* **Fact-Finding:** Internal investigations aim to gather evidence, interview witnesses, and analyze documents to determine whether there is any truth to the allegations of corruption. * **Identifying Culprits:** If corruption is uncovered, the investigation can help identify the individuals involved and the extent of their wrongdoing.
**Protecting the Company:**
* **Mitigating Damage:** A swift and thorough internal investigation can help contain the damage caused by corruption. By identifying and addressing the issue promptly, the company can minimize reputational harm and potential legal consequences.
* **Preserving Evidence:** Internal investigations can help secure and preserve evidence that might be crucial for subsequent disciplinary actions, legal proceedings, or self-reporting to authorities.
**Promoting Transparency and Accountability:**
* **Demonstrating Commitment:** Conducting a proper internal investigation demonstrates the company's commitment to ethical business practices and a willingness to hold wrongdoers accountable. This can help rebuild trust with stakeholders and regulatory bodies.
* **Preventing Future Corruption:** The findings of an internal investigation can be used to identify weaknesses in the company's compliance program and internal controls. This allows for implementing corrective measures to prevent similar incidents from happening again.
**Benefits of a Well-Conducted Internal Investigation:**
* **Reduced Legal Risk:** A well-documented internal investigation can be helpful in negotiations with law enforcement agencies and potentially lead to more lenient penalties. It also demonstrates the company's efforts to address the issue internally.
* **Stronger Defense:** Findings from the investigation can be used to defend the company against potential lawsuits from shareholders, stakeholders, or even competitors harmed by the corruption.
* **Improved Compliance:** By identifying weaknesses in controls, the investigation can inform the development of a more robust anti-corruption compliance program overall.
**Important Considerations:**
* **Objectivity and Independence:** For credibility, the investigation should be conducted by an objective and independent party, either internal investigators with no conflict of interest or external investigators hired specifically for the case.
* **Confidentiality:** Maintaining confidentiality during the investigation is crucial to protect the rights of those involved and encourage witnesses to come forward with information.
* **Legal Considerations:** Consulting with legal counsel throughout the investigation process is essential to ensure compliance with relevant laws and regulations, and to protect the company's legal privileges.
**Internal investigations are not a substitute for law enforcement involvement in serious corruption cases.** However, they are a valuable tool for businesses to address allegations of corruption internally, promote accountability, and minimize potential legal and reputational damage.</t>
  </si>
  <si>
    <t>How can I ensure that my business partners and vendors are not engaging in corrupt activities?</t>
  </si>
  <si>
    <t>Minimizing the risk of corruption with business partners and vendors requires a proactive approach. Here are some strategies you can implement:
**Due Diligence:**
* **Background Checks:** Conduct thorough background checks on potential business partners and vendors. This can involve researching their history of compliance with anti-corruption laws, checking for past allegations of misconduct, and verifying ownership structures. * **Financial Analysis:** Scrutinize financial records to identify any red flags like unexplained cash flows, unusual transactions, or discrepancies that could indicate money laundering or bribery.
* **Contract Review:** Meticulously review contracts to ensure clear language, absence of clauses that favor one party excessively, and adherence to anti-corruption best practices.
**Building Trust and Transparency:**
* **Code of Conduct:** Establish a clear and well-communicated code of conduct outlining your company's commitment to ethical business practices and expectations regarding anti-corruption compliance from partners and vendors.
* **Third-Party Anti-Corruption Policy:** Implement a policy requiring potential partners and vendors to demonstrate their own anti-corruption compliance measures before entering into business agreements.
* **Open Communication:** Maintain open communication channels with your partners and vendors. Encourage them to raise any concerns about potential corrupt practices they might encounter during the business relationship.
**Red Flags and Risk Management:**
* **Identify Warning Signs:** Train your employees to recognize red flags that might indicate corruption, such as requests for facilitation payments, excessive gifts or hospitality, or reluctance to provide clear documentation.
* **Risk Assessment:** Conduct a risk assessment to identify areas of your business dealings most susceptible to corruption. Focus your due diligence and monitoring efforts on these high-risk areas.
* **Whistleblowing Mechanism:** Establish a whistleblowing mechanism that allows employees, partners, or vendors to report suspected corruption confidentially and without fear of retaliation.
**Third-Party Monitoring:**
* **Periodic Audits:** Consider conducting periodic audits of your partners and vendors, particularly for high-risk transactions. This can involve on-site visits or independent reviews of their financial records and compliance procedures.
* **Third-Party Monitoring Services:** Specialized companies offer third-party monitoring services to assess potential business partners' and vendors' anti-corruption risks.
**Additional Considerations:**
* **Local Regulations:** Be aware of anti-corruption laws and regulations in the countries where your business partners and vendors operate. Adapt your due diligence and compliance measures accordingly.
* **Industry Standards:** Certain industries might have established best practices for vetting partners and preventing corruption. Familiarize yourself with these standards and consider incorporating them into your own processes.
**Remember:**
* Implementing these measures doesn't guarantee complete protection from corruption, but it significantly reduces the risk and demonstrates your commitment to ethical business practices. * Seeking professional advice from lawyers specializing in anti-corruption compliance can further strengthen your approach and provide guidance on navigating complex legal and regulatory frameworks.
By prioritizing due diligence, building trust, and establishing strong risk management strategies, you can create a more secure and ethical business environment for your company and its partners.</t>
  </si>
  <si>
    <t>What are the potential civil liabilities for businesses found guilty of corruption?</t>
  </si>
  <si>
    <t>In the Philippines, businesses found guilty of corruption can face a range of civil liabilities, depending on the specific nature of the corrupt practices and the parties involved. Here's a breakdown of the key possibilities:
**Financial Penalties:**
* **Fines:** Government agencies, like the Securities and Exchange Commission (SEC) or the Department of Justice (DOJ), can impose significant fines on companies found guilty of corruption offenses. The amount of the fine will depend on the severity of the offense and the relevant laws violated.
* **Disgorgement of Ill-gotten Gains:** Courts might order companies to disgorge any profits or benefits obtained through corrupt practices. This aims to remove the financial incentive for corruption and return the ill-gotten gains to the rightful party.
* **Contract Termination:** If corruption is discovered during the bidding or awarding stage of a government contract, the contract might be declared null and void. This can lead to the company losing out on the potential benefits of the contract and facing potential legal challenges from the government agency.
* **Damages:** In some cases, lawsuits filed by shareholders, stakeholders, or even competitors who suffered losses due to the company's corruption could result in court-ordered damages awarded to the plaintiffs.
**Reputational Damage:**
* **Public Scrutiny:** Corruption scandals can lead to significant negative publicity, damaging the company's reputation and brand image. This can impact customer trust, investor confidence, and future business opportunities.
* **Loss of Business:** A damaged reputation due to corruption can lead to a decline in sales and market share. Customers might choose to do business with competitors with a better ethical reputation.
**Other Potential Consequences:**
* **Debarment:** Companies involved in corruption scandals might be debarred from participating in future government bids or tenders for a certain period. This can significantly hinder the company's ability to secure future business.
* **Loss of Licenses:** In severe cases, regulatory bodies might revoke or suspend the company's operating licenses, potentially forcing it to cease operations.
**Mitigating Factors:**
* **Self-Reporting and Cooperation:** Companies that voluntarily disclose corruption and cooperate with authorities during investigations might receive more lenient treatment compared to those caught concealing wrongdoing.
* **Compliance Programs:** Having a robust anti-corruption compliance program with clear policies, training for employees, and a whistleblowing mechanism can demonstrate a commitment to ethical business practices and potentially lead to reduced penalties.
**Importance of Legal Advice:**
The specific civil liabilities a business faces in a corruption case will depend on the specific circumstances. Consulting with a lawyer specializing in business law and anti-corruption matters can provide a more accurate assessment of the potential consequences and can guide the company through the legal process.</t>
  </si>
  <si>
    <t>Can you explain the process of recovering damages resulting from corruption within a business?</t>
  </si>
  <si>
    <t>Recovering damages resulting from corruption within a business in the Philippines can be a challenging process, but there are several potential avenues:
**1. Legal Action:**
* **Shareholder Lawsuits:** Shareholders who can demonstrate that the company's management engaged in corrupt practices that caused them financial losses might be able to file lawsuits under the Philippine Securities Regulation Code. This could involve claims for breach of fiduciary duty or negligent management. * **Civil Lawsuits:** Stakeholders who suffered harm due to the company's corruption (e.g., employees laid off due to corrupt practices) might file civil lawsuits to recover damages. The specific grounds for the lawsuit would depend on the nature of the harm suffered.
* **Securities and Exchange Commission (SEC):** Shareholders can file a complaint with the SEC if they believe management engaged in corrupt practices that violated securities laws. The SEC might investigate and potentially take enforcement action against the company.
**Challenges of Litigation:**
* **Burden of Proof:** The burden of proof lies with the plaintiff (shareholder or stakeholder) to demonstrate the company's corruption, the link to their damages, and the extent of those damages. This can be difficult.
* **Time and Cost:** Legal proceedings can be lengthy and expensive, requiring significant resources.
* **Corporate Veil:** In some cases, piercing the corporate veil might be necessary to hold individual shareholders or managers personally liable for the damages. However, this is also a complex legal process.
**2. Alternative Dispute Resolution (ADR):**
* **Mediation or Arbitration:** In some cases, mediation or arbitration might be an alternative to litigation. These options can be faster and less expensive, offering a chance to reach a settlement with the company outside of court.
**Factors Affecting Success:**
* **Strength of Evidence:** The success of any legal action or ADR process will depend heavily on the strength of evidence demonstrating the corruption and its connection to the claimed damages. * **Expertise:** Consulting with lawyers specializing in corporate law and anti-corruption matters can significantly improve the chances of a successful outcome.
**3. Whistleblower's Role:**
* **Reporting Corruption:** The Philippines has a Whistleblowers' Protection Act that protects employees and others who report corruption in good faith. Whistleblowers who expose corruption can play a crucial role in holding companies accountable and facilitating recovery of damages.
**4. Government Agencies:**
* **Law Enforcement:** Depending on the nature of the corruption, reporting the incident to law enforcement agencies like the National Bureau of Investigation (NBI) could lead to a criminal investigation and potentially disgorgement of ill-gotten gains by the company.
**Challenges and Considerations:**
* **Complexity:** The process of recovering damages can be complex and requires careful evaluation of the specific circumstances. Legal advice is highly recommended.
* **Time Frame:** Depending on the chosen path (litigation vs. ADR), recovering damages can take a significant amount of time.
**Remember:**
* Recovering damages from corruption is not guaranteed, but various legal and alternative strategies can be pursued.
* Evidence gathering and seeking legal expertise are crucial for a successful outcome.
* Whistleblowers play a vital role in exposing corruption and facilitating recovery of damages.
By understanding these avenues and the associated challenges, individuals and stakeholders can make informed decisions about pursuing recovery efforts in cases of corruption within a business.</t>
  </si>
  <si>
    <t>How does corruption within a business impact its shareholders and stakeholders from a legal perspective?</t>
  </si>
  <si>
    <t>Corruption within a business can have significant negative consequences for both shareholders and stakeholders from a legal perspective in the Philippines. Here's a breakdown of the potential impacts:
**Shareholders:**
* **Financial Losses:** Corruption can lead to financial losses for shareholders in several ways. * Diverted resources: Funds intended for legitimate business activities might be misused for bribes or other corrupt practices.
* Regulatory fines: The company might face hefty fines and penalties from government agencies for corruption offenses.
* Loss of business opportunities: A damaged reputation due to corruption can lead to lost contracts and decreased profitability.
* Lawsuits: Shareholders might file lawsuits against the company for mismanagement or breach of fiduciary duty if corruption is linked to decisions made by management.
* **Decreased Shareholder Value:** The financial losses and reputational damage associated with corruption can lead to a decline in the company's share price, impacting shareholder wealth.
* **Limited Information and Transparency:** Corruption often thrives in an environment of secrecy. Shareholders might have difficulty obtaining accurate information about the company's financial health and operations due to a lack of transparency. **Stakeholders:**
* **Employees:** Corrupt practices can negatively impact employees in various ways.
* Unfair Labor Practices: Corruption might lead to favoritism in hiring and promotions, creating an unfair work environment.
* Safety Concerns: Cutting corners due to corruption can compromise safety standards, putting employees at risk.
* Lack of Job Security: Corruption-related instability can lead to job losses or decreased investment in employee training and development.
* **Customers:** Corruption can harm customers as well.
* Higher Prices: Corruption might lead to inflated prices for goods and services as a result of bribes or inefficient resource allocation.
* Lower Quality Products/Services: Focus on short-term gains through corrupt practices can lead to a decline in product quality or service standards.
* Limited Choice: Corruption can stifle competition, leading to fewer choices and potentially lower quality products or services for customers.
* **Public:** Corruption within businesses erodes public trust in the private sector and hinders economic development. * Lost Tax Revenue: Corruption can lead to tax evasion, reducing government revenue needed for public services.
* Discourages Investment: A reputation for corruption can discourage foreign and domestic investment, hindering economic growth. **Legal Actions:**
* **Securities Regulation Code:** Shareholders might pursue legal action under the Philippine Securities Regulation Code if they can demonstrate that the company's management engaged in corrupt practices that caused them financial losses.
* **Civil Lawsuits:** Stakeholders who suffer harm due to a company's corruption might file civil lawsuits to recover damages.
**Importance of Whistleblower Protection:**
* **Reporting Corruption:** The Philippines has a Whistleblowers' Protection Act that encourages employees and others to report corruption without fear of retaliation. This allows stakeholders to expose wrongdoing and potentially hold companies accountable.
**Overall, corruption within a business is a complex issue with far-reaching legal and financial consequences for both shareholders and stakeholders. Strong corporate governance, transparency, and robust anti-corruption compliance programs are crucial to mitigate these risks and promote ethical business practices.**</t>
  </si>
  <si>
    <t>Are there any international laws or treaties that address corruption in business dealings?</t>
  </si>
  <si>
    <t>Yes, the Philippines is a signatory to several international conventions and agreements that address corruption in business dealings. Here are some key examples:
* **United Nations Convention against Corruption (UNCAC):** This is the most comprehensive international treaty addressing corruption. The Philippines ratified the UNCAC in 2003. The convention outlines a framework for preventing, detecting, and prosecuting corruption, promoting international cooperation, and recovering stolen assets.
* **Organisation for Economic Co-operation and Development (OECD) Convention on Combating Bribery of Foreign Public Officials in International Business Transactions:** This convention, also known as the OECD Anti-Bribery Convention, focuses on bribery of foreign public officials in international business transactions. The Philippines became a non-adhering member in 2013 and a full member in 2018. * **Association of Southeast Asian Nations (ASEAN) Convention on Counter Corruption (ACC):** This regional convention focuses on cooperation among ASEAN member states in preventing and combating corruption. The Philippines is a founding member of ASEAN and has ratified the ACC.
**How These Agreements Work:**
These international agreements establish common standards and expectations for member states to combat corruption. They often involve:
* **Criminalization of Bribery:** Member states are obligated to criminalize bribery of both domestic and foreign public officials.
* **Preventive Measures:** The agreements encourage member states to implement anti-corruption measures like transparency in public procurement, financial disclosure for public officials, and public awareness campaigns.
* **International Cooperation:** The agreements facilitate cooperation between member states in investigations, extradition of fugitives, and recovery of stolen assets.
**Impact on Philippine Businesses:**
These international agreements can impact Philippine businesses in a few ways:
* **Increased Scrutiny:** Companies engaging in international business transactions might face greater scrutiny from foreign partners and authorities to ensure they are complying with anti-bribery laws.
* **Level Playing Field:** The agreements promote a more level playing field by requiring all member states to implement measures to combat corruption. This can benefit companies operating internationally by minimizing the risk of encountering unfair competition due to corrupt practices.
* **Compliance Requirements:** Companies might need to adapt their internal compliance programs to meet the anti-corruption standards outlined in these international agreements.
**Finding More Information:**
* **United Nations Office on Drugs and Crime (UNODC):** [https://www.unodc.org/](https://www.unodc.org/) (UNCAC information)
* **OECD:** [https://www.oecd.org/corruption/oecdantibriberyconvention.htm](https://www.oecd.org/corruption/oecdantibriberyconvention.htm) (OECD Anti-Bribery Convention information)
* **ASEAN:** [https://www.state.gov/statements-of-interest-requests-for-proposals-and-notices-of-funding-opportunity/strengthening-anti-corruption-efforts-of-asean-and-asean-member-states/](https://www.state.gov/statements-of-interest-requests-for-proposals-and-notices-of-funding-opportunity/strengthening-anti-corruption-efforts-of-asean-and-asean-member-states/) (ASEAN Convention on Counter Corruption information)
By adhering to these international agreements and implementing robust anti-corruption compliance programs, the Philippines and its businesses can contribute to a more transparent and ethical global business environment.</t>
  </si>
  <si>
    <t>Can individuals be held personally liable for corruption offenses committed within a business they own or manage?</t>
  </si>
  <si>
    <t>Yes, in the Philippines, individuals can be held personally liable for corruption offenses committed within a business they own or manage, depending on the specific circumstances and their role in the wrongdoing. Here's a breakdown of the key factors:
**Legal Framework:**
* **Anti-Graft and Corrupt Practices Act (RA 3019):** This is the primary legislation addressing corruption involving public officials. However, Section 3(g) of RA 3019 can also be applied to private individuals who:
* **Conspire with a public official** to commit a graft or corrupt practice.
* **Offer, give, or promise a bribe** to a public official.
* **Act as a **dummy** or **agent** of a public official** in corrupt practices.
* **Revised Penal Code (RPC):** The RPC also covers various crimes related to bribery and corruption. Articles 210 to 214 of the RPC outline specific offenses like bribery, direct bribery, and indirect bribery. These provisions can apply to both public officials and private individuals who directly participate in these corrupt activities.
**Level of Involvement:**
The degree of an individual's involvement in the corruption within their business will significantly influence their potential liability. Here are some scenarios:
* **Direct Participation:** If an owner or manager directly offers bribes, participates in fraudulent schemes, or knowingly authorizes corrupt practices, they can face personal criminal charges. * **Turning a Blind Eye:** While not directly involved, owners or managers who deliberately ignore red flags or fail to implement adequate controls to prevent corruption within their business could be held liable for negligence or condonation of the offense.
**Importance of Intent:**
* **Knowingly or Recklessly:** To be held personally liable, prosecutors need to establish that the individual acted with knowledge or recklessness regarding the corruption. Simply being the owner or manager doesn't automatically translate to liability.
**Separate Legal Entity:**
* **Limited Liability Companies (LLCs):** In theory, a corporation is considered a separate legal entity from its owners (shareholders) and managers. This means the corporation itself might be held liable for the corruption offense, but the owners' personal assets might be shielded. However, piercing the corporate veil is possible in some cases if the court finds that the owners misused the corporation for illegal purposes.
**Mitigating Factors:**
* **Strong Compliance Programs:** Having a robust anti-corruption compliance program with clear policies, training for employees, and a whistleblowing mechanism can demonstrate an effort to prevent corruption and potentially lessen the severity of penalties for the owner or manager.
**Importance of Legal Advice:**
The specific circumstances of each case will determine the potential for personal liability. If you are concerned about potential corruption within your business or face allegations of involvement, consulting with a lawyer specializing in Philippine anti-corruption laws is crucial. They can analyze the specific situation, assess your potential legal exposure, and advise on the best course of action.</t>
  </si>
  <si>
    <t>How can due diligence processes help prevent corruption in business transactions?</t>
  </si>
  <si>
    <t>Due diligence processes play a vital role in preventing corruption within business transactions by acting as a proactive screening mechanism. Here's how:
**Identifying Red Flags:**
* **Background Checks:** Thorough background checks on potential business partners, vendors, and third-party agents can uncover red flags that might indicate a higher risk of corruption. This could involve checking for past corruption allegations, ownership structures, and connections to politically exposed persons (PEPs).
* **Financial Analysis:** Scrutinizing financial records can reveal unusual transactions, inconsistencies, or unexplained cash flows that could be linked to bribery or money laundering activities.
* **Contract Review:** Meticulous review of contracts can identify clauses that seem overly favorable to one party or contain loopholes that could be exploited for corrupt purposes.
**Mitigating Risks:**
* **Negotiation Leverage:** Information gathered through due diligence can be used to negotiate contracts that are more transparent and less susceptible to manipulation. * **Red Flags as Deal Breakers:** Identifying red flags can serve as a warning sign, potentially leading to the decision to walk away from a business transaction if the corruption risk seems too high.
* **Risk Management Strategies:** Based on the findings of due diligence, companies can implement specific risk management strategies to mitigate potential corruption. This could involve requiring additional transparency measures from the other party or conducting periodic audits.
**Promoting Transparency:**
* **Disclosure Requirements:** Strong due diligence processes often involve requiring potential business partners to disclose ownership structures, financial information, and any potential conflicts of interest. This transparency helps build trust and reduces opportunities for hidden corrupt practices.
* **Compliance Culture:** By prioritizing due diligence, companies demonstrate a commitment to ethical business practices and a culture of compliance with anti-corruption laws. This encourages employees to act with integrity and report any suspected wrongdoing.
**Examples of Due Diligence in Action:**
* **Identifying Shell Companies:** Due diligence can help uncover shell companies used to funnel bribes or obscure the true beneficiaries of a business transaction.
* **Avoiding Facilitation Payments:** By understanding the local business environment and establishing clear policies against facilitation payments, due diligence can help prevent companies from getting caught up in these seemingly small but illegal practices.
**Limitations of Due Diligence:**
* **Not Foolproof:** Due diligence cannot eliminate all risks of corruption. Sophisticated schemes might still manage to slip through the cracks.
* **Cost and Resources:** Conducting thorough due diligence can be time-consuming and resource-intensive, especially for complex transactions.
* **Reliance on Information Provided:** Due diligence is often limited by the information provided by the other party. Verifying the accuracy of this information can be challenging. **Overall, due diligence processes are a crucial line of defense against corruption in business transactions. By proactively investigating potential business partners and identifying red flags, companies can significantly reduce their exposure to corrupt practices and foster a more ethical business environment.**</t>
  </si>
  <si>
    <t>What legal protections are available for employees who refuse to participate in corrupt activities within their workplace?</t>
  </si>
  <si>
    <t>The Philippines has some legal protections available for employees who refuse to participate in corrupt activities within their workplace. Here's a breakdown of the key provisions and considerations:
**Whistleblowers' Protection Act (Republic Act No. 6713):**
This act is the primary legislation safeguarding whistleblowers in the Philippines. It offers protection to public and private sector employees who report violations of laws, including anti-corruption laws, by their employers or superiors.
**Protections Offered:**
* **Prohibition of Retaliation:** Employers are prohibited from retaliating against employees who make disclosures in good faith under the act. Retaliatory actions can include termination, demotion, harassment, or any other negative action taken against the employee due to the whistleblowing report.
* **Confidentiality:** The law protects the confidentiality of the whistleblower's identity to the extent possible. This encourages employees to report wrongdoing without fear of reprisal.
* **Access to Remedies:** Employees who suffer retaliation for whistleblowing can file a complaint with the Office of the Ombudsman or the Department of Labor and Employment (DOLE). These agencies can investigate the complaint and order appropriate remedies, including reinstatement and back pay.
**Limitations and Considerations:**
* **Good Faith Reporting:** The protections apply to disclosures made in good faith. Malicious or false reports don't qualify for protection.
* **Burden of Proof:** The burden of proof often falls on the employee to demonstrate that the negative action taken against them was due to whistleblowing. This can be challenging.
* **Limited Scope:** While the act offers protection, it might not be foolproof. Employees might still face challenges in proving retaliation or securing full remedies.
**Alternative Protections:**
* **Anti-Corruption Policy:** If your company has a well-drafted anti-corruption policy, it might have internal reporting mechanisms that offer some protection to employees who report wrongdoing.
* **Labor Code:** The Philippine Labor Code provides general protections against illegal dismissal and other unfair labor practices. This could offer some recourse if an employee is fired for refusing to participate in corruption.
**Recommendations:**
* **Gather Evidence:** If you are asked to participate in corrupt activities, document the incident to the best of your ability. This can include emails, recordings (if legal in your jurisdiction), or witness testimonies.
* **Internal Reporting:** If your company has a whistleblowing hotline or internal reporting mechanism, consider using those channels first to report the corruption.
* **Seek External Help:** If you're uncomfortable using internal channels or fear retaliation, consider reporting the corruption to the Office of the Ombudsman, the Securities and Exchange Commission (SEC) for publicly listed companies, or other relevant agencies.
* **Consult a Lawyer:** Consulting with a lawyer specializing in labor law or anti-corruption can provide more specific guidance on your rights and the best course of action in your situation.
**Remember:**
* While legal protections exist, whistleblowing can be a risky endeavor. Weigh the potential benefits and risks carefully before reporting corruption.
* Gathering evidence and seeking legal advice can strengthen your position and increase the chances of a successful outcome.
**The Philippines is actively working to improve its anti-corruption efforts, and whistleblowers play a crucial role in exposing corruption.** By understanding the available protections and taking appropriate steps, employees can help promote transparency and ethical business practices within their workplaces.</t>
  </si>
  <si>
    <t>Can you advise on the implications of engaging in bribery as a means to secure business contracts or deals?</t>
  </si>
  <si>
    <t>Engaging in bribery to secure business contracts or deals in the Philippines carries significant legal, financial, and reputational risks. Here's a breakdown of the potential consequences:
**Legal Repercussions:**
* **Criminal Charges:** Both the bribe giver and receiver can face criminal charges under the Anti-Graft and Corrupt Practices Act (RA 3019). These charges can lead to imprisonment and hefty fines.
* **Foreign Corrupt Practices Act (FCPA):** If the bribery involves companies or individuals from the United States, they might be subject to prosecution under the US Foreign Corrupt Practices Act (FCPA). The FCPA has extraterritorial reach and can be enforced against foreign companies and individuals who bribe US officials or companies seeking business in the US.
**Financial Penalties:**
* **Fines:** Companies convicted of bribery can face significant fines from Philippine authorities. * **Contract Termination:** If bribery is discovered, the business contract or deal obtained through corrupt practices might be declared null and void, leading to lost revenue and potential legal challenges.
* **Debarment:** Companies involved in bribery scandals might be debarred from participating in future government bids or tenders, hindering their ability to secure future business opportunities.
**Reputational Damage:**
* **Negative Publicity:** Bribery allegations can lead to damaging media coverage and public scrutiny. This can tarnish the company's reputation and erode customer trust.
* **Loss of Business:** Negative publicity and a damaged reputation can lead to a decline in sales and a loss of customer confidence. * **Difficulty Attracting Talent:** Top talent might be hesitant to work for a company with a reputation for unethical business practices.
**Alternative Strategies for Securing Business Deals:**
* **Focus on Ethical Practices:** Building a strong reputation for ethical conduct and fair business practices can significantly enhance a company's competitive edge in the long run.
* **Compliance Programs:** Implementing a robust anti-corruption compliance program with clear policies, training for employees, and a whistleblowing mechanism demonstrates a commitment to ethical business practices.
* **Competitive Advantage:** Focus on developing a competitive advantage based on factors like product quality, service excellence, and competitive pricing. This eliminates the need to resort to bribery to secure business.
**Remember:**
* **Corruption is a serious crime in the Philippines.** * **There are significant legal, financial, and reputational risks associated with bribery.**
* **Building a reputation for ethical business practices is a more sustainable and rewarding approach to long-term success.**</t>
  </si>
  <si>
    <t>What legal avenues are available for individuals who have suffered financial losses due to corrupt practices within a business?</t>
  </si>
  <si>
    <t>Individuals who have suffered financial losses due to corrupt practices within a business in the Philippines have several legal avenues available to them, depending on the specific nature of the corruption:
**Civil Lawsuits:**
* **Breach of Contract:** If a business entered into a contract with the individual and then engaged in corrupt practices that prevented them from fulfilling the contract, a lawsuit for breach of contract might be an option. This could lead to recovering financial losses incurred due to the breach.
* **Fraud or Deceit:** If the business engaged in fraudulent misrepresentation or concealment of material facts that caused the individual to suffer financial losses, a lawsuit for fraud or deceit could be pursued. This could also lead to recovery of losses and potentially punitive damages.
* **Unjust Enrichment:** If the business gained financially through corrupt practices at the expense of the individual, a lawsuit for unjust enrichment could be filed. This aims to recover the ill-gotten gains from the business.
**Reporting to Authorities:**
* **Securities and Exchange Commission (SEC):** If the corruption involves a publicly listed company, filing a complaint with the SEC could be an option. The SEC can investigate potential violations of securities laws and take appropriate action against the company.
* **Office of the Ombudsman:** For corruption involving public officials or government agencies, filing a complaint with the Office of the Ombudsman might be a suitable course of action. The Ombudsman investigates complaints of malfeasance and misconduct in public office.
* **Law Enforcement Agencies:** Depending on the nature of the corrupt practices, reporting the incident to law enforcement agencies like the National Bureau of Investigation (NBI) could lead to a criminal investigation and potential prosecution of individuals involved.
**Challenges and Considerations:**
* **Gathering Evidence:** Building a strong case requires gathering evidence to support the claims of financial loss and the underlying corrupt practices. This could involve contracts, financial records, witness testimonies, or any other relevant documentation.
* **Legal Costs:** Filing lawsuits can be expensive, and legal representation is often recommended. Carefully weigh the potential costs against the expected benefits of legal action.
* **Time Commitment:** Legal proceedings can be lengthy, so be prepared for the time commitment involved in pursuing a legal case.
**Alternative Dispute Resolution (ADR):**
* **Mediation or Arbitration:** In some cases, mediation or arbitration might be an alternative to litigation. These options can be faster and less expensive, offering a chance to reach a settlement with the business outside of court.
**Seeking Legal Advice:**
It is highly advisable to consult with a lawyer specializing in business law and anti-corruption to evaluate the specific circumstances of your case. They can advise on the most suitable legal avenue to pursue, assess the potential for success, and guide you through the legal process.
**Remember:** * Reporting corruption can be a difficult process, but it is crucial for promoting transparency and accountability within businesses.
* The Philippine government has various agencies dedicated to investigating and addressing corruption. Reporting these practices can contribute to a fairer business environment for everyone.</t>
  </si>
  <si>
    <t>How can I ensure that my business complies with anti-money laundering laws to prevent corruption-related activities?</t>
  </si>
  <si>
    <t>Here's how your Philippine business can ensure compliance with anti-money laundering (AML) laws and prevent corruption-related activities:
**Understanding AML Regulations:**
* **Republic Act No. 10164 (Anti-Money Laundering Act or AMLA):** Familiarize yourself with the main Philippine AML law, AMLA, and its implementing rules and regulations issued by the Anti-Money Laundering Council (AMLC). These regulations outline specific requirements for covered persons, including customer due diligence (CDD), suspicious transaction reporting (STR), and record-keeping.
* **Industry-Specific Regulations:** Certain industries, like banks and financial institutions, might have additional AML compliance requirements from their respective regulators (e.g., Bangko Sentral ng Pilipinas or BSP for financial institutions). **Implementing Key Measures:**
* **Customer Due Diligence (CDD):** Conduct thorough CDD on all new and existing customers. This involves verifying their identity and beneficial ownership structure, understanding the nature and purpose of their business relationship with your company, and assessing their money laundering risks.
* **Know Your Customer (KYC):** As part of CDD, implement a robust KYC process to understand the identity and background of your customers. This can help identify potential red flags associated with corruption or money laundering activities.
* **Suspicious Transaction Reporting (STR):** Establish clear procedures for detecting and reporting suspicious transactions to the AMLC. Train employees to identify red flags like large cash transactions, unusual activity patterns, or transactions inconsistent with customer profiles.
**Strengthening Internal Controls:**
* **Segregation of Duties:** Separate critical tasks like record-keeping, transaction processing, and compliance monitoring to minimize the risk of internal collusion for money laundering purposes.
* **Transaction Monitoring:** Implement an effective transaction monitoring system to identify suspicious activity patterns that could be linked to corruption or money laundering.
* **Internal Audit:** Conduct periodic internal audits to assess the effectiveness of your AML compliance program and identify any weaknesses that need improvement.
**Employee Training and Awareness:**
* **Regular Training:** Provide regular training for all employees, particularly those involved in customer onboarding, transaction processing, and compliance functions. Training should cover AML regulations, red flag identification, and reporting procedures.
* **Culture of Compliance:** Foster a culture of compliance within your company where employees understand the importance of AML regulations and feel comfortable reporting suspicious activity without fear of retaliation.
**Additional Considerations:**
* **Third-Party Relationships:** Conduct due diligence on potential business partners and vendors to understand their AML compliance practices and mitigate the risk of association with money laundering activities.
* **Risk-Based Approach:** Tailor your AML compliance program to your specific business activities and risk profile. High-risk businesses may need more stringent controls compared to low-risk businesses.
* **Staying Updated:** AML regulations and red flags can evolve over time. Stay updated on the latest developments and adapt your program accordingly.
**Benefits of Strong AML Compliance:**
By implementing these measures, your business can:
* **Mitigate the risk of money laundering and associated corruption activities.**
* **Avoid hefty fines and penalties for non-compliance with AML regulations.**
* **Protect your reputation and brand image.**
* **Demonstrate your commitment to ethical and transparent business practices.**
**Resources:**
* **Anti-Money Laundering Council (AMLC) Philippines:** [http://www.amlc.gov.ph/](http://www.amlc.gov.ph/) * **Bangko Sentral ng Pilipinas (BSP):** [https://www.bsp.gov.ph/](https://www.bsp.gov.ph/)
By adhering to these guidelines and seeking further guidance from legal or compliance professionals when needed, you can ensure your Philippine business operates within the legal framework and proactively combats corruption through strong AML compliance measures.</t>
  </si>
  <si>
    <t>Can you provide guidance on developing and implementing an effective anti-corruption compliance program for my business?</t>
  </si>
  <si>
    <t>## Developing and Implementing an Effective Anti-Corruption Compliance Program in the Philippines
An effective anti-corruption compliance program helps your Philippine business mitigate corruption risks, uphold ethical conduct, and demonstrate a commitment to good corporate governance. Here's a roadmap to guide you through the process:
**1. Establish Leadership Commitment:**
* **Management Buy-In:** Secure strong commitment from senior management to prioritize anti-corruption measures. This sets the tone for the entire organization and emphasizes the importance of ethical behavior.
* **Anti-Corruption Policy:** Develop a clear and comprehensive anti-corruption policy that outlines the company's stance on bribery, facilitation payments, and other corrupt practices. This policy should be accessible to all employees.
**2. Conduct Risk Assessment:**
* **Identify Vulnerabilities:** Conduct a thorough risk assessment to identify areas of your business most susceptible to corruption. Consider factors like industry practices, geographic locations, and types of transactions. * **Prioritize Risks:** Prioritize identified risks based on their likelihood of occurrence and potential impact on the business. Focus resources on mitigating high-risk areas.
**3. Implement Internal Controls:**
* **Segregation of Duties:** Separate critical tasks like procurement, approval, and record-keeping to minimize the risk of individuals exploiting conflicts of interest for personal gain.
* **Anti-Corruption Controls:** Implement specific controls to address identified corruption risks. This could involve gift-giving restrictions, due diligence on third-party partners, and proper financial record-keeping.
* **Whistleblowing Mechanism:** Establish a secure and confidential whistleblowing mechanism for employees to report suspected corruption without fear of retaliation. This is crucial for uncovering potential wrongdoing.
**4. Training and Awareness:**
* **Anti-Corruption Training:** Provide comprehensive anti-corruption training for all employees at all levels. Training should cover the company's anti-corruption policy, identification of red flags, and proper reporting procedures.
* **Regular Training:** Conduct regular refresher training to ensure employees remain knowledgeable about their obligations and keep the topic of anti-corruption at the forefront of their minds.
**5. Monitoring and Enforcement:**
* **Periodic Reviews:** Conduct periodic reviews of your anti-corruption program to assess its effectiveness and identify areas for improvement. This helps ensure the program remains relevant and adapts to changing circumstances.
* **Disciplinary Action:** Establish clear and well-publicized disciplinary procedures for violations of the anti-corruption policy. Consistent enforcement demonstrates the seriousness of the program.
**6. Continuous Improvement:**
* **Feedback Mechanisms:** Implement mechanisms to gather feedback from employees on the effectiveness of the anti-corruption program. This allows you to identify areas for improvement and address concerns.
* **Continuous Learning:** Stay updated on evolving anti-corruption laws and best practices. This ensures your program remains compliant and adapts to changing regulatory environments.
**Additional Considerations:**
* **Third-Party Due Diligence:** Conduct thorough due diligence on potential business partners and vendors. This helps mitigate the risk of association with corrupt practices.
* **Culture of Integrity:** Foster a culture of integrity within your company, where ethical conduct is valued and rewarded. This goes beyond written policies and requires ongoing efforts to promote ethical behavior.
**Resources:**
* **Securities and Exchange Commission (SEC) Philippines:** [https://www.sec.gov.ph/](https://www.sec.gov.ph/) * **Philippine Anti-Corruption Commission (PACC):** [https://pacc.gov.ph/](https://pacc.gov.ph/)
* **International Chamber of Commerce (ICC):** [https://iccwbo.org/global-insights/integrity-and-good-governance/anti-corruption/](https://iccwbo.org/global-insights/integrity-and-good-governance/anti-corruption/)
**By following these steps and continuously refining your program, you can create a robust anti-corruption compliance framework that safeguards your business, promotes ethical practices, and fosters a culture of transparency within your Philippine company.**</t>
  </si>
  <si>
    <t>What role do regulatory agencies play in investigating and prosecuting cases of corruption within the business sector?</t>
  </si>
  <si>
    <t>Regulatory agencies in the Philippines play a crucial role in investigating and prosecuting cases of corruption within the business sector. Here's a breakdown of their key functions:
**Investigation:**
* **Conducting Inquiries and Audits:** Regulatory agencies have the authority to conduct investigations, inquiries, and audits of businesses within their jurisdiction. These investigations can involve reviewing financial records, interviewing employees, and gathering evidence of potential corruption.
* **Collaboration with Other Agencies:** Regulatory agencies often collaborate with other investigative bodies, like the Office of the Ombudsman or the National Bureau of Investigation (NBI), to share information and resources for a more comprehensive investigation.
* **Following Due Process:** While conducting investigations, regulatory agencies are obligated to uphold due process rights of businesses under investigation. This includes providing them with the opportunity to respond to allegations and present their case.
**Administrative Actions:**
* **Imposing Fines and Penalties:** If a business is found to have engaged in corrupt practices, regulatory agencies can impose various administrative sanctions, including fines, license suspensions, or revocations.
* **Corrective Measures:** Regulatory agencies might require businesses to implement corrective measures to address identified weaknesses in their internal controls or compliance programs. This helps prevent future instances of corruption.
**Initiating Legal Proceedings:**
* **Gathering Evidence for Prosecution:** While regulatory agencies cannot directly prosecute corruption cases, they play a vital role in gathering evidence and building strong cases for prosecution by other entities like the Office of the Ombudsman or the Department of Justice (DOJ).
* **Referral to Prosecutors:** If an investigation uncovers sufficient evidence of criminal wrongdoing, the regulatory agency will typically refer the case to the appropriate prosecutorial body for further action.
**Examples of Regulatory Agencies:**
* **Securities and Exchange Commission (SEC):** Oversees publicly listed companies and investigates potential financial irregularities, including those involving bribery or accounting fraud.
* **Bangko Sentral ng Pilipinas (BSP):** Regulates the financial sector and investigates potential money laundering activities that might be linked to corruption.
* **Industry-Specific Regulators:** Several agencies oversee specific industries, such as the Philippine Competition Commission (PCC) or the Energy Regulatory Commission (ERC). They can investigate corruption within their respective sectors.
**Importance of Whistleblower Reports:**
* **Information Source:** Regulatory agencies heavily rely on information gathered through whistleblower reports to initiate investigations and uncover potential corruption within businesses. They offer protection mechanisms for whistleblowers to encourage reporting.
**Limitations:**
* **Focus on Administrative Actions:** Regulatory agencies primarily enforce their own regulations and impose administrative penalties. They may not have the authority to directly prosecute criminal offenses.
* **Resource Constraints:** Some regulatory agencies might face resource limitations that can hinder the scope and depth of their investigations.
**Overall, regulatory agencies act as a vital first line of defense in combating corruption within the Philippine business sector.** By conducting investigations, imposing sanctions, and collaborating with other entities, they contribute significantly to fostering a more transparent and ethical business environment.</t>
  </si>
  <si>
    <t>How do plea bargains and settlements typically work in cases involving allegations of corruption within a business?</t>
  </si>
  <si>
    <t>The Philippines has a relatively limited application of plea bargains in corruption cases, particularly those involving businesses. Here's a breakdown of what you can expect:
**Limited Use of Plea Bargains:**
* **Focus on Trial:** The Philippine legal system generally prioritizes a full trial process for corruption cases. This allows for a thorough investigation, presentation of evidence, and a definitive ruling.
* **Public Interest:** Corruption cases are often seen as crimes against the public, and there's a strong emphasis on holding all parties accountable through a public trial.
**Potential Scenarios for Settlements:**
While plea bargains are uncommon, there might be situations where settlements are reached between prosecutors and businesses accused of corruption:
* **Cooperation and Restitution:** If a business cooperates fully with the investigation, provides evidence against other parties involved, and offers to make restitution for damages caused, a settlement might be negotiated to avoid a lengthy trial.
* **Administrative Resolution:** In some cases, the case might be resolved through an administrative process with a government agency, resulting in fines or other penalties instead of criminal charges.
**Considerations for Businesses:**
* **Benefits of Cooperation:** Cooperating with authorities and offering full disclosure can potentially lead to a more lenient outcome compared to a contested trial with a potential conviction.
* **Limited Discretion:** Prosecutors have limited discretion in offering plea bargains, especially in high-profile corruption cases. Public pressure often pushes for a full trial to ensure accountability.
* **Reputational Damage:** Even if a settlement is reached, the negative publicity associated with corruption allegations can still damage the business's reputation.
**Alternatives to Plea Bargains:**
* **Strong Compliance Programs:** Having a robust anti-corruption compliance program with clear policies, training for employees, and a whistleblowing mechanism can demonstrate a commitment to ethical practices and potentially mitigate penalties in case of misconduct.
* **Internal Investigations:** Conducting thorough internal investigations can help identify wrongdoing within the company and show a proactive approach to addressing corruption.
**Remember:**
* Consulting with a lawyer specializing in Philippine anti-corruption laws is crucial for navigating any potential corruption case involving your business. They can advise on the best course of action, considering the specific circumstances and potential for settlements.
* While plea bargains might be a possibility in some limited scenarios, focusing on prevention through strong compliance programs and ethical business practices is a more effective strategy to avoid corruption allegations altogether.</t>
  </si>
  <si>
    <t>What are the statute of limitations for bringing legal action against individuals or businesses involved in corrupt activities?</t>
  </si>
  <si>
    <t>The statute of limitations for bringing legal action against individuals or businesses involved in corrupt activities in the Philippines depends on the specific offense:
* **Crimes under the Revised Penal Code (RPC):** This is the main criminal code of the Philippines. Article 90 of the RPC sets the general prescription period for most criminal offenses at **15 years** from the date the crime is committed.
* **Crimes under Republic Act No. 3019 (Anti-Graft and Corrupt Practices Act or RA 3019):** This law specifically addresses corruption involving public officials. Section 11 of RA 3019, as amended by Batas Pambansa Blg. 195, states the prescription period for offenses under this act is also **15 years**.
* **Exceptions and Extensions:** There are some exceptions and situations where the prescription period can be extended. For instance, the running of the prescription period may be suspended if the accused is a fugitive from justice. Article 91 of the RPC outlines these exceptions.
**Determining the Applicable Statute:**
The specific statute of limitations applicable to a corruption case depends on the nature of the offense. Here's a general breakdown:
* **Public Officials:** If the corruption involves a public official, both the RPC and RA 3019 might apply. Prosecutors will likely pursue charges under the law with the harsher penalty.
* **Private Individuals/Businesses:** If the corruption involves private individuals or businesses not considered public officials, the relevant statute would likely be the RPC. **Discovery and Filing:**
It's important to note that the statute of limitations starts to run from the day the crime is discovered by the offended party, the authorities, or their agents (Article 91 of the RPC). This means that even if the crime occurred 15 years ago, if it was only recently discovered, there might still be time to file legal action.
**Consulting a Lawyer:**
For a definitive answer on the statute of limitations applicable to a specific corruption case, it's highly advisable to consult with a lawyer specializing in Philippine anti-corruption laws. They can analyze the specific facts and circumstances and determine the relevant statute and any potential extensions to the filing period.</t>
  </si>
  <si>
    <t>Can you explain the concept of "facilitation payments" and their legality in the context of corruption within businesses?</t>
  </si>
  <si>
    <t>In the Philippines, facilitation payments are considered a form of corruption and are illegal. Here's a breakdown of the concept and its legal implications:
**What are Facilitation Payments?**
Facilitation payments are small, unofficial payments or benefits offered to expedite a routine or lawful action by a public official. These payments are often seen as a "grease payment" to avoid delays or bureaucratic hurdles.
**Examples of Facilitation Payments in the Philippines:**
* A business owner offering a cash gift to a building inspector to overlook minor code violations.
* A company paying a customs official to expedite the clearance of imported goods.
* Tipping a government clerk to process a business permit application faster.
**Why are Facilitation Payments Illegal?**
The Philippines has strict anti-corruption laws, primarily Republic Act No. 3019 (Anti-Graft and Corrupt Practices Act or RA 3019). This law prohibits public officials from soliciting or accepting gifts or gratuities in exchange for performing their duties. Even if the facilitation payment seems small and the action being expedited is routine, it creates an environment where corruption can flourish. It erodes trust in institutions and creates an uneven playing field for businesses.
**Legal Repercussions:**
Both the giver and receiver of a facilitation payment can face legal consequences:
* **Public Officials:** Public officials who accept facilitation payments can be subject to criminal charges, administrative sanctions, and dismissal from service.
* **Businesses:** Companies involved in offering facilitation payments could face fines, reputational damage, and difficulty securing government contracts in the future.
**Alternatives to Facilitation Payments:**
There are always legal and ethical alternatives to facilitation payments:
* **Proper Procedures:** Businesses should follow established procedures and timelines for obtaining permits, licenses, or clearances from government agencies.
* **Seek Clarification:** If there's any confusion regarding regulations or procedures, seek clarification from the concerned government agency through official channels.
* **Report Abuses:** If a public official demands a facilitation payment, report the incident to the proper authorities, such as the Office of the Ombudsman.
**Remember:**
* There are zero-tolerance policies towards facilitation payments in the Philippines. * Building a culture of integrity and ethical business practices is crucial for businesses operating in the Philippines.
* By following the law and established procedures, businesses can avoid the risks and legal consequences associated with facilitation payments.</t>
  </si>
  <si>
    <t>How can I navigate conflicts of interest within my business to ensure transparency and integrity?</t>
  </si>
  <si>
    <t>Navigating conflicts of interest within your business requires a multi-pronged approach that prioritizes transparency, integrity, and risk mitigation. Here's how you can achieve this:
**1. Establish Clear Policies and Procedures:**
* **Define Conflicts of Interest:** Develop a clear and comprehensive definition of what constitutes a conflict of interest within your company. This definition should encompass situations where personal interests of employees or management could potentially clash with the company's interests. Include examples to provide clarity.
* **Disclosure Policy:** Implement a mandatory disclosure policy requiring employees and key personnel to disclose any potential conflicts of interest. Outline the disclosure procedures and to whom conflicts should be reported (supervisor, compliance officer, etc.).
* **Management of Conflicts:** Establish a clear process for managing disclosed conflicts of interest. This may involve recusal from decision-making processes, divestiture of conflicting interests, or other appropriate measures to mitigate the risk. **2. Foster a Culture of Open Communication:**
* **Encourage Disclosure:** Create an environment where employees feel comfortable disclosing potential conflicts of interest without fear of retaliation. This can involve anonymous reporting mechanisms or training managers to be approachable and confidential.
* **Communication Channels:** Provide clear and accessible channels for employees to raise concerns or report suspected conflicts. This could be a hotline, online portal, or designated ethics officer.
**3. Implement Strong Internal Controls:**
* **Segregation of Duties:** Separate critical tasks like procurement, approval, and record-keeping to minimize the possibility of individuals exploiting conflicts of interest for personal gain.
* **Review Processes:** Establish review processes for key decisions to ensure objectivity and mitigate the risk of conflicts influencing outcomes unfairly.
* **Monitoring and Auditing:** Conduct periodic reviews of potential conflicts of interest and implement regular audits to identify and address any control weaknesses.
**4. Training and Awareness Programs:**
* **Regular Training:** Provide regular training for employees at all levels on conflict of interest identification, disclosure procedures, and company policies. This helps employees understand their obligations and recognize potential conflicts in their roles.
* **Management Awareness:** Management should be particularly aware of their increased susceptibility to conflicts of interest and the importance of upholding ethical standards.
**5. Transparency and Accountability:**
* **Disclosure of Conflicts:** Consider publicly disclosing conflicts of interest involving senior management or those that could significantly impact the company. This demonstrates transparency and accountability to stakeholders.
* **Disciplinary Actions:** Have clear disciplinary procedures for violations of conflict of interest policies. This reinforces the seriousness of the issue and deters misconduct.
**Additional Considerations:**
* **Third-Party Relationships:** Conduct due diligence on potential business partners and vendors to understand their background and potential conflicts of interest. Implement contractual clauses regarding ethical conduct and conflict of interest avoidance.
* **Gifts and Entertainment:** Establish clear policies around gifts and entertainment offered to or received by employees from business associates. This helps avoid the perception of undue influence.
By implementing these measures, you can navigate conflicts of interest effectively and build a stronger foundation of trust and ethical conduct within your business. Remember, a proactive approach is crucial to fostering a culture of transparency and mitigating the risks associated with conflicts of interest.</t>
  </si>
  <si>
    <t>Are there any industry-specific regulations or guidelines regarding corruption that my business needs to adhere to?</t>
  </si>
  <si>
    <t>Yes, there's a possibility that your business needs to adhere to industry-specific regulations or guidelines regarding corruption in the Philippines. Here's why:
**Beyond General Laws:**
While the Philippines has general anti-corruption laws like Republic Act No. 3019 (Anti-Graft and Corrupt Practices Act or RA 3019), some government agencies issue industry-specific regulations or guidelines that address corruption risks. These regulations might be more detailed and specific than general laws. **Examples of Industry-Specific Regulations:**
* **Securities and Exchange Commission (SEC):** The SEC governs publicly listed companies and has issued circulars addressing good corporate governance practices. These practices can help mitigate corruption risks. * **Bangko Sentral ng Pilipinas (BSP):** The BSP, the central bank of the Philippines, issues regulations for the financial sector that may address anti-money laundering (AML) and countering the financing of terrorism (CFT), which can overlap with anti-corruption efforts.
* **Professional Regulation Commissions (PRCs):** PRCs overseeing various professions (e.g., engineers, doctors, lawyers) might have ethical codes that indirectly address corruption risks within their respective sectors.
**Finding Industry-Specific Regulations:**
Here's how you can find industry-specific regulations or guidelines:
* **Government Agency Websites:** Visit the website of the government agency that regulates your industry. They might have a dedicated section for rules and regulations. * **Industry Associations:** Industry associations often keep their members informed about relevant regulations and best practices. They might be able to provide guidance on anti-corruption measures specific to your sector.
* **Consult a Lawyer:** A lawyer specializing in corporate governance or your specific industry can provide the most accurate and up-to-date information on relevant anti-corruption regulations and best practices.
**Remember:**
* Even if there aren't industry-specific anti-corruption regulations, it's always good practice to implement a strong anti-corruption compliance program to mitigate risks and promote ethical conduct within your business.
**Here are some resources to get you started:**
* **Securities and Exchange Commission (SEC) Philippines:** [https://www.sec.gov.ph/](https://www.sec.gov.ph/)
* **Bangko Sentral ng Pilipinas (BSP):** [https://www.bsp.gov.ph/](https://www.bsp.gov.ph/)
* **Professional Regulation Commissions (PRCs):** [https://www.prc.gov.ph/](https://www.prc.gov.ph/)</t>
  </si>
  <si>
    <t>Can you advise on the potential impact of corruption allegations on a business's reputation and brand image?</t>
  </si>
  <si>
    <t>Corruption allegations can have a devastating impact on a business's reputation and brand image in the Philippines. Here's a breakdown of the potential consequences:
**Damage to Public Trust:**
* **Negative Media Coverage:** Corruption allegations often attract negative media attention, which can damage public trust in the company. Sensationalized reporting can create a perception of guilt, even if the allegations haven't been proven.
* **Loss of Customer Confidence:** Consumers may be hesitant to do business with a company facing corruption allegations. This can lead to a decline in sales and market share.
* **Erosion of Employee Morale:** Employees may feel ashamed or disillusioned if their company is embroiled in a corruption scandal. This can impact morale, productivity, and employee loyalty.
**Financial Repercussions:**
* **Fines and Penalties:** If found guilty of corruption, businesses can face hefty fines and penalties from government authorities.
* **Contractual Issues:** Existing business contracts may be terminated if corruption allegations violate contractual terms. Potential new contracts may also be difficult to secure.
* **Investor Flight:** Corruption allegations can scare away investors, making it difficult for the company to raise capital and hindering growth prospects.
**Long-Term Damage:**
* **Brand Tarnish:** Even if the allegations are eventually proven false, the negative publicity can leave a lasting stain on the company's brand image. Rebuilding trust can be a long and arduous process.
* **Difficulty Attracting Talent:** Top talent may be hesitant to work for a company with a reputation for corruption. This can hinder the company's ability to attract and retain skilled employees.
* **Exclusion from Opportunities:** Companies involved in corruption scandals may be excluded from participating in government bids or tenders, limiting market access.
**Potential Mitigating Strategies:**
* **Swift and Transparent Response:** Addressing the allegations head-on through a public statement demonstrating a commitment to transparency and accountability can minimize damage. * **Cooperation with Authorities:** Fully cooperating with any investigations can show a willingness to address the issue and potentially lead to a quicker resolution.
* **Implementation of Reforms:** Taking concrete steps to strengthen anti-corruption compliance programs and internal controls demonstrates a commitment to preventing future issues.
* **Crisis Communication Strategy:** A well-crafted crisis communication plan can help manage negative publicity and rebuild public trust over time.
**Importance of Proactive Measures:**
The best way to manage the reputational risks of corruption allegations is to prevent them from happening in the first place. Here's what you can do:
* **Strong Anti-Corruption Compliance Program:** Implement a robust anti-corruption compliance program with clear policies, training for employees, and a culture of ethical conduct.
* **Third-Party Due Diligence:** Conduct thorough due diligence on potential business partners and suppliers to mitigate the risk of association with corrupt practices.
* **Whistleblower Protection:** Establish a safe and confidential system for employees to report suspected corruption without fear of retaliation.
By taking a proactive approach to preventing corruption, businesses can safeguard their reputation and brand image, ensuring long-term success.</t>
  </si>
  <si>
    <t>What legal protections exist for whistleblowers who report corruption within their business to external authorities?</t>
  </si>
  <si>
    <t>The Philippines has legal protections in place for whistleblowers who report corruption within their business to external authorities. Here's a breakdown of the key mechanisms:
* **The Witness Protection, Security and Benefit Act (Republic Act No. 6981):** This primary law safeguards whistleblowers who report various crimes, including corruption offenses under RA 3019 (Anti-Graft and Corrupt Practices Act). It offers protection measures like:
* Security arrangements, including relocation if necessary.
* Financial assistance.
* Confidentiality of identity (within legal limitations).
* Legal assistance.
* **The Rules of the Department of Justice (DOJ) on Witness Protection:** This DOJ issuance provides detailed guidelines for implementing the Witness Protection Program. It outlines the application process, eligibility criteria, and types of protection offered.
* **Securities and Exchange Commission (SEC) Rules:** The SEC encourages whistleblowing in publicly listed companies. They offer confidentiality protections and potential rewards for whistleblowers who report violations of securities laws, which can sometimes involve uncovering corruption.
**Important Considerations:**
* **Qualifying for Protection:** To be eligible for full protection under RA 6981, the information reported must be in good faith and involve a crime, offense, or irregularity of national significance or of a serious nature.
* **Confidentiality Limitations:** While confidentiality is a right, there might be situations where a court order compels the disclosure of a whistleblower's identity.
**Additional Protections:**
* **Anti-Retaliation Provisions:** Philippine labor laws and some anti-corruption laws (like RA 3019) prohibit retaliation against employees who report corruption in good faith. This discourages employers from taking punitive actions against whistleblowers.
**How to Report Corruption:**
Whistleblowers can report corruption to various external authorities depending on the nature of the offense:
* **Office of the Ombudsman:** Handles complaints against public officials.
* **Commission on Audit (COA):** Investigates irregularities in government spending.
* **Securities and Exchange Commission (SEC):** Oversees publicly listed companies.
* **Philippine National Police (PNP):** Investigates criminal offenses.
**Encouraging Whistleblower Reporting:**
Businesses can create a more supportive environment for whistleblowing by:
* **Developing a Clear Whistleblower Policy:** This policy should outline the reporting process, confidentiality measures, and protection mechanisms available to whistleblowers.
* **Providing Multiple Reporting Channels:** Offer various reporting avenues, including a hotline, online portal, or designated personnel, to make reporting accessible and convenient for employees.
* **Promoting a Culture of Integrity:** Foster a workplace culture that values ethical conduct and encourages employees to speak up about wrongdoing without fear of retaliation.
By understanding the legal protections available and creating a supportive environment, businesses can encourage whistleblowing and empower employees to play a crucial role in combating corruption.
**Disclaimer:** This information is for general guidance only and does not constitute legal advice. It's advisable to consult with a lawyer specializing in whistleblower protection laws for specific questions.</t>
  </si>
  <si>
    <t>How can I conduct effective internal audits to detect and prevent instances of corruption within my business?</t>
  </si>
  <si>
    <t>Here's how you can conduct effective internal audits to detect and prevent instances of corruption within your Philippine business:
**Planning and Preparation:**
* **Risk Assessment:** Conduct a thorough risk assessment to identify areas of your business most vulnerable to corruption. Consider factors like industry practices, geographic locations, and types of transactions. * **Audit Scope and Objectives:** Define the specific scope of your internal audit focusing on corruption risks. Clearly outline the objectives, such as evaluating the effectiveness of internal controls or identifying potential red flags.
* **Independence and Expertise:** Ensure your internal audit team is independent from the areas being audited and possesses the necessary expertise in anti-corruption measures and Philippine regulations (like RA 3019). Consider using a mix of internal and external auditors for a more comprehensive review.
**Performing the Internal Audit:**
* **Testing Internal Controls:** Evaluate the effectiveness of internal controls designed to prevent corruption, such as segregation of duties, proper authorization for transactions, and robust record-keeping. Identify any weaknesses that could be exploited for corrupt activities.
* **Data Analytics:** Leverage data analytics tools to analyze financial transactions, identify anomalies, and detect unusual patterns that might indicate corruption. This could include unexplained payments, inflated invoices, or transactions with high-risk partners.
* **Surprise Audits:** Conduct unannounced audits to catch potential corrupt activities in progress and deter employees from engaging in such practices.
* **Employee Interviews:** Conduct confidential interviews with employees across different levels to gather information about potential corruption within the company. Encourage them to report any red flags they observe.
**Reporting and Follow-Up:**
* **Detailed Findings Report:** Prepare a detailed report outlining the audit findings, identified weaknesses in controls, and any potential instances of corruption. * **Management Response:** Present the audit report to senior management and obtain a formal response outlining their plan to address identified weaknesses and potential corruption cases. This demonstrates a commitment to addressing the issues.
* **Remediation and Monitoring:** Implement corrective actions based on the audit findings. This could involve strengthening internal controls, disciplinary actions, or revising policies and procedures. Monitor the effectiveness of these actions through ongoing monitoring.
**Additional Considerations:**
* **Anti-Corruption Compliance Program:** Ensure your company has a well-defined anti-corruption compliance program in place. This should include clear policies, training for employees, and a confidential reporting mechanism for suspected corruption.
* **Whistleblower Protection:** Establish a robust whistleblower protection program that encourages employees to report corruption without fear of retaliation. This is crucial for uncovering potential wrongdoing.
* **Continuous Improvement:** Internal audits should be conducted regularly, not as a one-time exercise. This allows for ongoing monitoring of corruption risks and the effectiveness of anti-corruption measures.
By implementing these steps, you can conduct effective internal audits that not only detect potential corruption within your business but also strengthen your company's overall anti-corruption compliance program. Remember, a proactive and comprehensive approach is essential to fostering a culture of integrity and mitigating corruption risks.</t>
  </si>
  <si>
    <t>What role do the media and public perception play in addressing and combating corruption within businesses?</t>
  </si>
  <si>
    <t>The media and public perception play a crucial role in addressing and combating corruption within businesses in the Philippines. Here's a breakdown of their influence:
**The Media as a Watchdog:**
* **Investigative Journalism:** Investigative journalists can expose corrupt practices within businesses, bringing them to public attention and holding companies accountable. This can pressure businesses to reform their practices and deter future corruption.
* **Raising Public Awareness:** Media reports on corruption can educate the public about the negative consequences of these practices. This can foster a culture of intolerance towards corruption and encourage people to speak up if they suspect wrongdoing.
* **Scrutiny of Government Efforts:** The media can scrutinize the government's efforts to combat corruption, ensuring proper enforcement of anti-corruption laws and holding authorities accountable for inaction.
**The Power of Public Perception:**
* **Reputation Management:** Negative media coverage about corruption can severely damage a company's reputation, leading to loss of consumer trust, potential boycotts, and difficulty attracting investors. This incentivizes businesses to prioritize ethical conduct.
* **Public Pressure:** Public outrage over corruption can lead to calls for reform from civil society organizations and citizen movements. This pressure can influence government policies and business practices.
* **Empowering Whistleblowers:** Public awareness about corruption can empower employees to speak up about wrongdoing within their companies. Knowing the public supports whistleblowers can encourage them to report corruption.
**Challenges and Limitations:**
* **Media Freedom:** Threats to media freedom in the Philippines can limit investigative journalism and critical reporting on corruption.
* **Selective Reporting:** Media coverage might be influenced by political or economic interests, potentially overlooking corruption in certain sectors.
* **Public Apathy:** In some cases, the public might be desensitized to corruption or perceive it as inevitable. This hinders public pressure for reform.
**Enhancing the Impact:**
* **Supporting Investigative Journalism:** Civil society initiatives that support investigative journalism can be crucial in exposing corruption.
* **Promoting Media Literacy:** Educating the public on media literacy helps them discern credible information and hold media outlets accountable for unbiased reporting. * **Engaging with the Public:** Businesses engaging in open communication and demonstrating a commitment to anti-corruption can rebuild public trust.
By working together, the media and the public can create a powerful force against corruption within businesses in the Philippines. Increased transparency, public awareness, and pressure for accountability can encourage ethical business practices and a more just society.</t>
  </si>
  <si>
    <t>Can you explain the extraterritorial reach of anti-corruption laws and how they may apply to my business's international operations?</t>
  </si>
  <si>
    <t>The extraterritorial reach of anti-corruption laws in the Philippines is generally considered limited. Here's a breakdown of what that means for your international business operations:
**Limited Reach of Philippine Laws:**
* **Focus on Domestic Acts:** Philippine anti-corruption laws, like the Republic Act No. 3019 (Anti-Graft and Corrupt Practices Act or RA 3019), primarily focus on acts of corruption committed within the Philippines. * **Public Officials Primarily Targeted:** RA 3019 mainly applies to public officials and employees. There's no explicit provision addressing the bribery of foreign public officials by Philippine companies or their agents abroad.
**Exceptions and Considerations:**
* **Article 2(4) of the Revised Penal Code (RPC):** This provision allows the prosecution of a Philippine public official who accepts a bribe abroad. However, there's no corresponding provision for prosecuting those who bribe a Philippine official while overseas.
* **International Agreements:** The Philippines is a signatory to international conventions like the OECD Convention on Combating Bribery of Foreign Public Officials in International Business Transactions. These conventions encourage cooperation between member countries in investigating and prosecuting foreign bribery. However, enforcement primarily relies on the laws of the country where the bribe occurred.
**Implications for Your Business:**
* **Focus on Host Country Laws:** When operating internationally, your business should primarily comply with the anti-corruption laws of the countries you operate in. These laws may have stricter extraterritorial reach and could apply to the bribery of foreign public officials.
* **Maintain a Robust Compliance Program:** Implement a strong anti-corruption compliance program across your entire organization, regardless of location. This should include clear policies, training for employees, and due diligence procedures for third-party partners.
* **Seek Legal Advice:** Consulting with lawyers specializing in international anti-corruption law is crucial. They can advise on the specific legal landscape in the countries you operate in and help ensure your business complies with relevant regulations.
**Important Disclaimer:** This information is for general guidance only and does not constitute legal advice. It's advisable to consult with a qualified lawyer for specific questions about your business's international operations and how they might be impacted by anti-corruption laws.</t>
  </si>
  <si>
    <t>What are the limitations of legal enforcement in combating corruption within the business sector?</t>
  </si>
  <si>
    <t>While legal frameworks play a vital role in combating corruption, legal enforcement in the Philippines faces several limitations:
**Resource Constraints:**
* **Limited Manpower:** Law enforcement agencies like the Office of the Ombudsman may be understaffed, hindering their ability to investigate complex corruption cases thoroughly.
* **Inadequate Funding:** Limited budgets can restrict resources for forensic investigations, witness protection programs, and training for investigators and prosecutors.
**Procedural Challenges:**
* **Lengthy Court Processes:** The Philippine justice system can be slow, with corruption cases taking years to reach resolution. This delays penalties and discourages potential whistleblowers.
* **Technical Difficulties:** Gathering and analyzing complex financial data and electronic evidence can be challenging, requiring specialized skills and technology.
**Political Interference:**
* **Perceived Selective Justice:** Public perception of a lack of fairness in prosecutions can erode trust in the legal system. Investigations and prosecutions may be perceived as politically motivated, discouraging reporting of corruption.
* **Influence of Powerful Individuals:** Powerful individuals or businesses involved in corruption might exert influence to impede investigations or prosecutions, hindering accountability.
**Other Challenges:**
* **Complexity of Corruption Schemes:** Corruption can involve intricate networks of individuals and businesses, making it difficult to identify all perpetrators and trace the flow of illicit funds.
* **Cross-Border Corruption:** Corruption cases often involve foreign companies or individuals, requiring complex international cooperation for effective investigation and prosecution.
* **Public Apathy:** Social tolerance of corruption can hinder efforts to combat it. Building public awareness and encouraging a culture of integrity is crucial.
**The Way Forward:**
Despite these limitations, there are ongoing efforts to strengthen legal enforcement in the Philippines:
* **Strengthening Anti-Corruption Agencies:** Building capacity within agencies like the Ombudsman's Office through increased funding, training, and technological advancements.
* **Promoting Inter-Agency Cooperation:** Enhancing collaboration between different government agencies involved in anti-corruption efforts.
* **Whistleblower Protection:** Strengthening whistleblower protection programs to encourage more individuals to report corruption without fear of retaliation.
* **Public Education and Awareness:** Raising public awareness about the negative consequences of corruption and encouraging a culture of ethical business practices.
By addressing these limitations and continuously improving enforcement mechanisms, the Philippines can create a stronger legal framework for combating corruption within the business sector.</t>
  </si>
  <si>
    <t>Can you provide examples of successful legal strategies used to prosecute cases of corruption within businesses?</t>
  </si>
  <si>
    <t>Due to privacy concerns and the ongoing nature of some legal proceedings, it's difficult to provide specific details about successful prosecutions in the Philippines. However, I can offer some general examples of legal strategies used in prosecuting corruption within businesses:
**1. Utilizing Whistleblower Testimony:**
* Whistleblowers who report corruption within their companies can be crucial witnesses in legal cases. Their firsthand accounts of corrupt practices can provide strong evidence. * The Philippines has a Witness Protection Program that safeguards whistleblowers from retaliation. This encourages them to come forward with information.
**2. Following the Paper Trail:**
* Anti-corruption investigations often involve meticulous examination of financial records, emails, and other documents. * Unexplained payments, inflated invoices, or unusual transactions with high-risk partners can be red flags and lead to uncovering corrupt activities.
**3. Cooperation Between Agencies:**
* Complex corruption cases may involve multiple government agencies, like the Office of the Ombudsman, the Securities and Exchange Commission (SEC), and the Philippine National Police (PNP). * Effective collaboration and information sharing between these agencies can strengthen prosecutions.
**4. Utilizing International Cooperation Mechanisms:**
* Corruption cases may involve foreign companies or individuals. The Philippines can utilize international cooperation mechanisms like Mutual Legal Assistance Treaties (MLATs) to gather evidence from other countries.
**5. Utilizing Plea Bargain Agreements:**
* In some cases, prosecutors may offer plea bargains to lower-level participants in a corruption scheme in exchange for their cooperation and testimony against higher-ranking individuals. This can help unravel complex corruption networks.
**6. Civil Litigation Alongside Criminal Charges:**
* In addition to criminal prosecution, businesses involved in corruption may face civil lawsuits from entities they harmed. * This can include government agencies seeking recovery of stolen funds or private companies that suffered losses due to corrupt practices.
**Important Caveats:**
* These are just general examples, and the specific strategies used will vary depending on the facts and circumstances of each case.
* Corruption cases can be complex and lengthy. Successful prosecution requires strong evidence and a well-coordinated effort from law enforcement agencies.</t>
  </si>
  <si>
    <t>How can I assess the effectiveness of my business's anti-corruption compliance efforts?</t>
  </si>
  <si>
    <t>Assessing the effectiveness of your business's anti-corruption compliance efforts in the Philippines requires a multi-pronged approach. Here's a framework to get you started:
**1. Evaluate Program Design and Implementation:**
* **Policy Review:** Review your anti-corruption policies and procedures to ensure they are clear, comprehensive, and up-to-date with Philippine laws like RA 3019 (Anti-Graft and Corrupt Practices Act). * **Training Effectiveness:** Assess the effectiveness of your anti-corruption training programs. Do employees understand the policies, red flags of corruption, and proper reporting mechanisms? * **Internal Controls:** Evaluate the strength of your internal controls over financial transactions, procurement, and other areas vulnerable to corruption. Are there appropriate checks and balances in place?
**2. Monitor Risk Management:**
* **Risk Assessment:** Regularly review your corruption risk assessments. Have the risks associated with your industry, geographic locations, and business partners changed? * **Incident Reporting:** Analyze the volume and nature of reported corruption incidents within your company. Are there any trends or areas of concern? * **Third-Party Due Diligence:** Review your due diligence procedures for third-party agents and partners. Are they still adequate in mitigating corruption risks?
**3. Conduct Internal Audits and Investigations:**
* **Independent Audits:** Consider periodic independent audits of your anti-corruption compliance program. This provides an objective assessment of its effectiveness.
* **Investigative Procedures:** Test the effectiveness of your procedures for investigating suspected corruption. Are they fair, transparent, and timely?
**4. Measure Employee Perception:**
* **Employee Surveys:** Conduct anonymous employee surveys to gauge their perception of the company's commitment to anti-corruption and the effectiveness of the compliance program. This can reveal areas for improvement.
* **Speak-Up Culture:** Assess whether your company fosters a culture where employees feel comfortable speaking up about potential corruption without fear of retaliation. **5. Benchmarking and External Reviews:**
* **Industry Standards:** Compare your anti-corruption program against industry best practices and relevant international frameworks like the OECD Convention on Combating Bribery.
* **External Review Boards:** Consider establishing an external review board composed of independent experts to periodically assess your anti-corruption efforts.
**Remember:** * There's no single metric to assess effectiveness. It's a continuous process requiring ongoing evaluation and improvement.
* A well-designed program that is poorly implemented will not be effective. Focus on both design and consistent implementation.
* Seek legal advice from lawyers specializing in Philippine anti-corruption laws to ensure your program aligns with legal requirements.
By implementing this framework and taking a proactive approach, you can gain valuable insights into the effectiveness of your anti-corruption compliance efforts, allowing you to continuously strengthen your program and create a culture of integrity within your business.</t>
  </si>
  <si>
    <t>What measures can I take to mitigate the risk of corruption when engaging in joint ventures or partnerships with other businesses?</t>
  </si>
  <si>
    <t>Here are some measures you can take to mitigate the risk of corruption when engaging in joint ventures or partnerships with other businesses in the Philippines:
**Pre-Partnership Due Diligence:**
* **Scrutinize Potential Partners:** Conduct thorough due diligence on potential partners. Investigate their background, reputation within the industry, and any history of corruption allegations. Check if they have been involved in legal disputes or investigations.
* **Review Ownership Structures:** Uncover the ultimate beneficial owners of the company you're partnering with. Complex ownership structures can be red flags for potential corruption.
* **Compliance Programs:** Assess whether your potential partner has a robust anti-corruption compliance program in place. This demonstrates their commitment to ethical business practices.
**Crafting a Watertight Joint Venture Agreement:**
* **Anti-Corruption Clauses:** Include clear and specific anti-corruption clauses in the joint venture agreement. These clauses should prohibit bribery, extortion, and other corrupt practices by both parties and their representatives. * **Compliance Procedures:** Outline clear procedures for reporting suspected corruption within the joint venture. This could involve establishing a confidential reporting hotline or whistleblower mechanism.
* **Dispute Resolution Mechanisms:** Include clear dispute resolution mechanisms in the agreement. This ensures a fair and transparent process for addressing any allegations of corruption within the joint venture.
**Ongoing Monitoring and Controls:**
* **Internal Controls:** Implement strong internal controls within the joint venture to monitor financial transactions and prevent improper payments. This could include segregation of duties, regular audits, and controls over procurement processes.
* **Information Sharing:** Establish clear channels for communication and information sharing between your company and your partner. This allows for early detection of any potential corruption risks.
* **Periodic Reviews:** Conduct periodic reviews of the joint venture's anti-corruption compliance program and internal controls. This ensures they remain effective in light of changing circumstances.
**Additional Considerations:**
* **Third-Party Agents:** If you plan to use third-party agents (consultants, distributors) in the Philippines, conduct due diligence on them as well and ensure they have anti-corruption policies in place.
* **Cultural Awareness:** Be mindful of cultural norms around gift-giving and entertainment in the Philippines. While a token of appreciation might be customary, avoid excessive spending or gifts that could be perceived as bribes (refer to previous discussion on RA 3019 and PD 46).
* **Seek Legal Advice:** Throughout the process, consult with a lawyer specializing in Philippine anti-corruption laws and joint ventures. They can advise on specific legal requirements and help draft a watertight agreement.
By implementing these measures, you can significantly reduce the risk of corruption when engaging in joint ventures or partnerships with other businesses in the Philippines. Remember, an ounce of prevention is worth a pound of cure.</t>
  </si>
  <si>
    <t>Can you advise on the legal implications of offering or receiving gifts and entertainment in a business context to prevent corrupt practices?</t>
  </si>
  <si>
    <t>Offering or receiving gifts and entertainment in a business context in the Philippines is a delicate area with potential legal implications. Here's a breakdown based on Philippine RAs (Republic Acts):
**Anti-Gift Giving Provisions:**
* **RA 3019 (Anti-Graft and Corrupt Practices Act):** This law prohibits public officials and employees from soliciting or accepting gifts in connection with their official duties. While it primarily applies to government officials, it sets a precedent for ethical conduct in the private sector.
* **PD 46 (Presidential Decree No. 46): **This decree prohibits public officials from receiving gifts on any occasion, including Christmas, when given "by reason of the public officer or employee's position." This highlights the importance of avoiding gifts that could be perceived as influencing decisions. **Exceptions and Considerations:**
* **Gifts of "Small or Insignificant Value":** Both RA 3019 and PD 46 allow exceptions for unsolicited gifts of "small or insignificant value" under certain circumstances. However, the exact value threshold is unclear and depends on factors like the recipient's salary and the frequency of gifting. * **Intent Matters:** Entscheidungsfreiheit (decision-making freedom) is a principle in Philippine law. If a gift is offered with no expectation of influencing a decision or receiving a favor in return, it might be less problematic. However, proving intent can be difficult.
**Navigating the Gray Area:**
To minimize legal risks and prevent corrupt practices, it's best to exercise caution when offering or receiving gifts and entertainment:
* **Develop a Clear Policy:** Create a company policy outlining acceptable business practices regarding gifts and entertainment. This should set clear limits on value, frequency, and circumstances for gift-giving.
* **Focus on Relationship Building:** Focus on building genuine business relationships through professional interactions and hospitality within reasonable limits. Lavish entertainment or gifts might raise red flags. * **Transparency and Documentation:** Maintain clear records of any gifts or entertainment exchanged, including the value, purpose, and parties involved. Transparency helps demonstrate the absence of corrupt intent.
* **Seek Legal Advice:** For high-value transactions or situations involving government officials, consult with a lawyer specializing in anti-corruption laws to ensure compliance.
**Remember:** * It's always better to err on the side of caution. * Building trust and ethical business relationships is more sustainable in the long run than relying on gifts or lavish entertainment.</t>
  </si>
  <si>
    <t>How do conflicts of interest policies contribute to preventing corruption within businesses, and what are the best practices for implementing them?</t>
  </si>
  <si>
    <t>While Philippine RAs (Republic Acts) and the Constitution don't explicitly mandate conflicts of interest policies, these policies can be powerful tools to prevent corruption within businesses. Here's how they contribute:
**Preventing Improper Influence:**
* **Identifying Risks:** A well-defined conflicts of interest policy outlines situations where an employee's personal interests could conflict with their professional duties. This helps employees identify and avoid situations where their judgment might be compromised. * **Disclosure Requirements:** The policy should mandate disclosure of potential conflicts, allowing companies to take appropriate mitigating actions, such as recusal from decision-making or assignment changes. This reduces opportunities for employees to leverage their positions for personal gain.
**Promoting Transparency and Accountability**
* **Clear Standards:** A clear and comprehensive policy sets expectations for ethical conduct and discourages employees from engaging in activities that might lead to corruption. This transparency fosters a culture of accountability within the organization.
* **Public Trust:** Strong conflicts of interest policies demonstrate a company's commitment to ethical practices, enhancing public trust and potentially attracting investors who value good governance.
**Best Practices for Implementation:**
* **Tailored to Business:** The policy should be tailored to the specific industry, size, and risk profile of the business. A one-size-fits-all approach might not be effective.
* **Clear Definitions:** The policy should clearly define conflicts of interest and provide specific examples to avoid ambiguity. * **Disclosure Procedures:** The policy should establish clear and accessible procedures for employees to disclose potential conflicts. This should include a confidential mechanism to encourage open reporting.
* **Management Commitment:** Senior management must demonstrate strong commitment to the policy by following its provisions and enforcing them fairly. * **Periodic Review and Updates:** The policy should be periodically reviewed and updated to reflect changes in business operations or legal requirements.
**Alignment with RA 3019 (Anti-Graft and Corrupt Practices Act):**
While not directly mandated by law, conflicts of interest policies can complement RA 3019 by preventing situations that could lead to violations like receiving gifts or improper use of position.
**Remember:** An effective conflicts of interest policy is just one piece of the puzzle. It should be combined with other anti-corruption measures like training programs, strong internal controls, and a culture of ethical conduct.
**Additional Resources:**
* **Securities and Exchange Commission (SEC) Philippines:** [https://www.sec.gov.ph/](https://www.sec.gov.ph/) (The SEC encourages good corporate governance practices which can include conflicts of interest policies)</t>
  </si>
  <si>
    <t>Can you explain the concept of corporate social responsibility in the context of combating corruption within businesses?</t>
  </si>
  <si>
    <t>In the Philippines, Corporate Social Responsibility (CSR) can be a powerful tool to combat corruption within businesses. Here's how:
**Transparency and Accountability:**
* **Disclosure Practices:** Strong CSR initiatives promote transparency by encouraging companies to disclose their anti-corruption policies, procedures, and performance metrics. This openness allows stakeholders to hold companies accountable.
* **Whistleblower Protection:** Effective CSR programs include robust whistleblower protection mechanisms. This empowers employees to report suspected corruption without fear of retaliation, fostering an environment of accountability.
**Ethical Business Conduct:**
* **Supplier Selection:** CSR principles encourage companies to conduct thorough due diligence on potential suppliers and business partners, selecting those with strong anti-corruption practices. This reduces the risk of getting entangled in corrupt activities.
* **Stakeholder Engagement:** Engaging with stakeholders like communities and NGOs allows companies to understand corruption risks better and develop strategies to mitigate them. This collaborative approach strengthens ethical business practices.
**Focus on Long-Term Sustainability:**
* **Community Investment:** When companies invest in their communities through ethical CSR initiatives like education and infrastructure projects, it strengthens trust and reduces the incentive for resorting to corruption. * **Sustainable Business Practices:** By focusing on environmental and social responsibility alongside anti-corruption efforts, companies create a more sustainable business model, reducing the risk of engaging in corrupt practices to secure short-term gains.
**Challenges and Limitations:**
* **Greenwashing:** Some companies may engage in "greenwashing" – promoting a facade of CSR without genuine commitment. This undermines the effectiveness of CSR in combating corruption.
* **Lack of Enforcement Mechanisms:** While there's no single law mandating CSR in the Philippines, some regulations encourage it. However, a lack of strong enforcement mechanisms can limit its effectiveness in some cases.
**The Philippine Context:**
While not mandatory, CSR is increasingly seen as good business practice in the Philippines. The Securities and Exchange Commission (SEC) encourages publicly listed companies to adopt and integrate CSR principles in their business operations. **Overall, a well-designed and implemented CSR program, combined with robust anti-corruption compliance efforts, can significantly reduce corruption risks within Philippine businesses.**</t>
  </si>
  <si>
    <t>What role do professional associations and industry groups play in promoting ethical business practices and preventing corruption?</t>
  </si>
  <si>
    <t>Professional associations and industry groups in the Philippines can play a significant role in promoting ethical business practices and preventing corruption through several key mechanisms:
**1. Developing Codes of Conduct and Standards:**
* **Industry-Specific Guidelines:** These associations can establish industry-specific codes of conduct that go beyond the baseline set by Philippine laws like RA 3019. These codes can provide clearer ethical guidelines for specific business practices within the industry.
* **Certification Programs:** Some associations may offer certification programs that recognize companies that adhere to their anti-corruption standards. This can incentivize ethical behavior and promote a culture of compliance.
**2. Advocacy and Education:**
* **Training and Workshops:** Associations can conduct training programs and workshops for members on anti-corruption best practices, helping them understand Philippine laws (RA 3019) and navigate complex situations.
* **Public Awareness Campaigns:** They can launch public awareness campaigns to raise awareness about the negative consequences of corruption and the importance of ethical conduct.
* **Lobbying for Stronger Laws:** Industry groups can lobby for reforms and advocate for strengthening anti-corruption legislation in the Philippines.
**3. Fostering a Community of Integrity:**
* **Information Sharing:** Associations can create platforms for members to share information about potential corruption risks within the industry and discuss best practices for mitigating them. * **Disciplinary Measures:** Some associations may have disciplinary procedures for members who violate their ethical codes, promoting accountability within the industry.
**Challenges and Limitations:**
* **Enforcement Power:** Professional associations and industry groups typically lack the legal authority to enforce their codes of conduct. However, they can still exert significant influence through peer pressure and reputational damage.
* **Capture Risk:** There's a risk that some associations might be unduly influenced by powerful members who prioritize profit over ethical practices.
**Overall, professional associations and industry groups can be valuable partners in the fight against corruption in the Philippines by promoting ethical conduct, educating members, and advocating for stronger legal frameworks.** v</t>
  </si>
  <si>
    <t>Can you provide guidance on navigating the complexities of international business transactions while ensuring compliance with anti-corruption laws?</t>
  </si>
  <si>
    <t>Here's some guidance on navigating international business transactions while complying with anti-corruption laws, focusing on Philippine regulations but acknowledging international considerations:
**1. Proactive Due Diligence:**
* **Business Partners:** Conduct thorough due diligence on potential business partners, including background checks, reputation within the industry, and any history of corruption allegations. * **Third-Party Agents:** Investigate any third-party agents (consultants, distributors) you plan to use, ensuring they have anti-corruption policies in place.
* **Market Research:** Research the anti-corruption environment in countries you plan to do business with. The US Department of State publishes reports on corruption risks by country [https://www.transparency.org/en/cpi/2022](https://www.transparency.org/en/cpi/2022). **2. Implement a Robust Anti-Corruption Compliance Program:**
* **Code of Conduct:** Develop a clear and comprehensive Code of Conduct outlining prohibited behavior related to bribery and corruption. This should be translated into relevant languages for all employees.
* **Training Programs:** Provide regular training for employees on anti-corruption policies and procedures, highlighting red flags and proper reporting mechanisms.
* **Internal Controls:** Implement internal controls to monitor financial transactions, gifts, and hospitality offered or received. * **Reporting Mechanism:** Establish a confidential and secure reporting system for employees to report suspected corruption without fear of retaliation.
**3. Uphold Transparency:**
* **Maintain Accurate Records:** Keep meticulous records of all business transactions, including justifications for payments made to third parties.
* **Clear Communication:** Ensure clear communication channels exist between employees and management to facilitate reporting concerns. **4. Seek Legal Advice:**
* **Consult with Lawyers:** For complex transactions, especially in high-risk jurisdictions, consult with qualified lawyers with expertise in anti-corruption laws in both the Philippines and the relevant foreign country. They can advise on specific legal requirements and potential risks.
**5. Stay Informed:**
* **Updates on Philippine Laws:** Stay updated on changes to Philippine anti-corruption laws, like RA 3019, and relevant issuances from government agencies like the Office of the Ombudsman. * **International Developments:** Keep abreast of developments in international anti-corruption frameworks, such as the OECD Convention on Combating Bribery of Foreign Public Officials in International Business Transactions.
**Remember:** * This is general guidance, and specific legal requirements may vary depending on the transaction and jurisdiction. * A strong anti-corruption compliance program demonstrates your company's commitment to ethical business practices and can potentially mitigate penalties in case of unforeseen violations.</t>
  </si>
  <si>
    <t>How do legal frameworks differ between jurisdictions regarding the prosecution of corruption within businesses, and what challenges does this present?</t>
  </si>
  <si>
    <t>The prosecution of corruption within businesses varies significantly between jurisdictions due to several factors:
**Focus of Anti-Corruption Laws:**
* **Criminal vs. Civil:** Some countries, like the Philippines, primarily focus on criminal prosecution under the Anti-Graft and Corrupt Practices Act (RA 3019). Others, like the US, have a mix of criminal statutes (Foreign Corrupt Practices Act - FCPA) and civil penalties enforced by agencies like the Securities and Exchange Commission (SEC).
* **Public vs. Private Sector:** Some jurisdictions differentiate between corruption involving public officials (bribery) and private sector corruption (commercial bribery). The Philippines covers both under RA 3019, while the US FCPA mainly targets foreign public official bribery.
**Corporate Liability:**
* **Direct vs. Indirect:** Some countries hold companies directly liable for corruption committed by their employees or agents (vicarious liability). The Philippines leans towards this under RA 3019. Others require proof of a company's knowledge or willful blindness (intent) for prosecution, like the US under the FCPA.
* **Compliance Programs:** Some jurisdictions consider a company's anti-corruption compliance program as a mitigating factor during prosecution. The Philippines doesn't have a specific provision, but efforts to prevent corruption can be seen positively. The US, under the FCPA, offers incentives for robust compliance programs.
**Challenges of Jurisdictional Differences:**
* **Uneven Playing Field:** Companies operating in multiple jurisdictions face an uneven playing field. Compliance costs may be higher due to the need to adapt to different legal frameworks.
* **Difficulties in Cross-Border Investigations:** Differences in legal procedures and levels of cooperation between countries can complicate investigations and prosecutions involving multiple jurisdictions.
* **Challenges in Enforcement:** Varying levels of enforcement stringency across jurisdictions can create a perception that some countries are "corruption havens."
**The Philippines in Context:**
The Philippines has a strong legal framework against corruption, including RA 3019. However, challenges remain, such as a backlog in court cases and potential for political influence. **Important Note:** This is a simplified overview, and specific laws and their interpretations can be complex.</t>
  </si>
  <si>
    <t>Can you advise on establishing a whistleblower hotline or reporting mechanism within my business to facilitate the reporting of corruption?</t>
  </si>
  <si>
    <t>## Establishing a Whistleblower Hotline in Your Philippine Business (Based on Philippine Law)
While there's no single law mandating whistleblowing hotlines in the Philippines, here's how you can establish one within your business to comply with existing anti-corruption legislation and best practices:
**Legal Framework:**
* **Republic Act No. 6713 (An Act Establishing a Witness Protection, Security and Benefits Program, and Providing for Other Purposes):** This law encourages whistleblowing by offering protection and benefits to individuals who report corruption. Your whistleblower program should be designed to comply with its provisions regarding confidentiality and protection of whistleblower identity. * **Republic Act No. 3019 (Anti-Gift Graft and Corrupt Practices Act):** This law defines and penalizes various corrupt practices. A well-designed whistleblower program can help deter such practices within your company. **Designing Your Whistleblower Program:**
* **Confidentiality:** Guarantee whistleblower anonymity throughout the reporting process. * **Accessibility:** Provide multiple reporting channels, including a toll-free hotline, online portal, or secure mailbox for written reports. * **Clear Procedures:** Establish clear and well-defined procedures for reporting suspected wrongdoing. This should include:
* How to report (channels, format)
* What types of violations can be reported (align with RA 3019)
* What happens after a report is submitted (investigation process, feedback)
* **Anti-Retaliation Policy:** Prohibit retaliation against employees who report corruption in good faith. * **Training:** Train employees on the whistleblower program, its importance, and how to use it effectively.
* **Independent Investigation:** Ensure a fair and impartial investigation process for reported incidents. Consider involving a third-party investigator for sensitive cases.
**Additional Considerations:**
* **Record Keeping:** Maintain detailed records of whistleblower reports while protecting whistleblower identities. * **Communication:** Regularly communicate the existence and importance of the whistleblower program to employees.
* **Continuous Improvement:** Periodically review and improve your whistleblower program based on usage and best practices.
**Resources:**
* **Office of the Ombudsman:** [https://en.wikipedia.org/wiki/Ombudsman_of_the_Philippines](https://en.wikipedia.org/wiki/Ombudsman_of_the_Philippines) * **Transparency International - Philippines:** [https://www.transparency.org/en/countries/philippines](https://www.transparency.org/en/countries/philippines)
By establishing a whistleblower program that adheres to these legal principles and best practices, you can create a more ethical and transparent work environment within your business. It's important to consult with a lawyer specializing in labor law or anti-corruption to ensure your program fully complies with Philippine legislation.</t>
  </si>
  <si>
    <t>What legal actions can individuals take if they suspect political corruption within their local government?</t>
  </si>
  <si>
    <t>Here are some legal actions individuals in the Philippines can take if they suspect political corruption within their local government:
**Reporting Corruption:**
* **File a complaint with the Office of the Ombudsman:** This independent body has the authority to investigate and prosecute cases of corruption involving public officials (including local government officials). You can file a complaint online with anonymity options [https://en.wikipedia.org/wiki/Ombudsman_of_the_Philippines](https://en.wikipedia.org/wiki/Ombudsman_of_the_Philippines) or call their hotline (1-800-1-GO-OMB [1-800-1-46-62]).
* **Report to the Commission on Audit (COA):** If the suspected corruption involves misuse of public funds, you can report it to the COA. They can audit the local government and identify irregularities, which can be used as evidence by the Ombudsman.
* **Report to Special Hotlines:** Some local government units or agencies may have anti-corruption hotlines. Check their websites for details.
**Supporting Investigations:**
* **Gather Evidence (within legal boundaries):** If possible, collect documented proof of the alleged corruption, such as:
* Public documents (contracts, budgets, permits) with irregularities.
* Witness testimonies (be cautious about putting yourself at risk).
* **Cooperate with Investigators:** If contacted by the Ombudsman or other investigating agencies, be truthful and provide all relevant information you have.
**Promoting Transparency and Accountability:**
* **Demand Transparency:** Request copies of public documents related to local government projects and budgets. * **Engage with Civil Society Organizations (CSOs):** Partner with NGOs or groups focused on good governance and anti-corruption to raise awareness and pressure for action.
* **Use Right to Information (FOI) Requests (Executive Order No. 2):** If applicable, file FOI requests to access government information and hold authorities accountable.
**Important Considerations:**
* **Focus on Specific Examples:** Providing concrete evidence of wrongdoing will strengthen your case.
* **Seek Legal Advice:** A lawyer experienced in anti-corruption law can advise you on the best course of action and ensure your rights are protected.
* **Consider Witness Protection:** If you fear retaliation for reporting, remember the Whistleblower Protection Program (Republic Act No. 6713) offers safeguards.
**Additional Options:**
* **Participate in Public Hearings:** If local government holds public hearings regarding projects or budgets, attend and raise your concerns.
* **Vote Wisely:** Hold elected officials accountable by participating in elections and voting for candidates with a clean track record and commitment to good governance.
Remember, tackling political corruption requires collective action. By reporting suspected wrongdoing, promoting transparency, and engaging with relevant institutions, citizens can help create a more accountable local government.</t>
  </si>
  <si>
    <t>How can citizens hold elected officials accountable for allegations of political corruption?</t>
  </si>
  <si>
    <t>Citizens play a crucial role in holding elected officials accountable for allegations of political corruption. Here are several ways in which citizens can actively contribute to accountability:
1. **Reporting to Anti-Corruption Agencies:**
- Citizens can report allegations of political corruption to anti-corruption agencies, such as the Office of the Ombudsman in the Philippines. These agencies are responsible for investigating and prosecuting government officials involved in corrupt practices.
2. **Filing Complaints with the Commission on Elections (COMELEC):**
- If the alleged corruption is related to election offenses, citizens can file complaints with the Commission on Elections (COMELEC). The COMELEC has the authority to investigate and take appropriate action against individuals violating election laws.
3. **Engaging in Whistleblower Protection Programs:**
- Whistleblowers who have credible information about corruption can avail themselves of whistleblower protection programs. Reporting through official channels and utilizing legal protections can safeguard whistleblowers from retaliation.
4. **Participating in Civil Society Initiatives:**
- Citizens can join or support civil society organizations that focus on promoting transparency, accountability, and good governance. These organizations often work to expose corruption, advocate for legal reforms, and engage with the public to raise awareness.
5. **Filing Public Interest Lawsuits:**
- Citizens may explore the option of filing public interest lawsuits challenging actions that are alleged to be corrupt. Legal actions, such as filing for a writ of mandamus or filing complaints before the proper tribunals, can seek remedies and accountability.
6. **Utilizing Social Media and Public Advocacy:**
- Social media and public advocacy can be powerful tools for raising awareness about allegations of political corruption. Citizens can use these platforms to disseminate information, mobilize public opinion, and put pressure on officials to address the allegations.
7. **Voting and Supporting Reforms:**
- During elections, citizens can make informed choices by voting for candidates with a commitment to transparency and accountability. Additionally, supporting electoral and governance reforms that enhance accountability mechanisms can contribute to systemic change.
8. **Engaging with Local Media:**
- Engaging with local media outlets and investigative journalists can help bring attention to allegations of corruption. Media plays a vital role in informing the public and putting pressure on authorities to address corruption issues.
9. **Participating in Public Consultations:**
- Citizens can actively participate in public consultations and town hall meetings to voice concerns about corruption. Engaging in the democratic process and making officials aware of public sentiments can influence decision-making.
It's important for citizens to be well-informed, engaged, and proactive in holding elected officials accountable. By participating in various channels and utilizing legal mechanisms, citizens can contribute to fostering a culture of accountability and integrity in governance.</t>
  </si>
  <si>
    <t>Are there specific laws or regulations that address political corruption at the local, state, or federal level?</t>
  </si>
  <si>
    <t>In the Philippines, the legal framework for addressing political corruption encompasses laws and regulations at various levels—local, state (referring to the national level in the context of the Philippines), and federal (referring to the national level). Here are key laws and regulations addressing political corruption:
1. **Anti-Graft and Corrupt Practices Act (Republic Act No. 3019):**
- This law applies at the national level and establishes offenses and penalties for corrupt practices committed by public officials. It covers acts such as bribery, graft, and corrupt transactions. Violations may result in criminal and administrative liability.
2. **Code of Conduct and Ethical Standards for Public Officials and Employees (Republic Act No. 6713):**
- RA 6713 sets ethical standards for public officials and employees, promoting transparency, accountability, and integrity in public service. Violations of this code may lead to administrative and civil liability.
3. **Ombudsman Act of 1989 (Republic Act No. 6770):**
- The Ombudsman Act establishes the Office of the Ombudsman, an independent body tasked with investigating and prosecuting government officials for acts of corruption, including those at the national and local levels.
4. **Local Government Code of 1991 (Republic Act No. 7160):**
- At the local level, the Local Government Code provides guidelines for local government officials' conduct and ethical standards. It outlines the responsibilities of local officials and establishes mechanisms for addressing misconduct.
5. **Election-related Laws:**
- Various election-related laws address corrupt practices in the context of elections. These include the Omnibus Election Code, which covers offenses related to campaign finance, bribery, and other election-related corruption.
6. **Whistleblower Protection Laws:**
- While not specific to corruption, laws such as RA 6713 and RA 3019 provide protection for whistleblowers who expose corrupt practices. These protections are applicable at all levels of government.
It's important to note that the Philippines does not have a federal system, and the term "federal" is not used to describe the national level of government. Instead, the national level is often referred to as the "national" or "state" level in the context of the Philippines.
The effectiveness of these laws depends on their proper implementation and enforcement. Additionally, citizens and organizations concerned about political corruption should be aware of and engage with relevant legal mechanisms, such as filing complaints with the Ombudsman or the Commission on Elections (COMELEC), to address allegations of corruption at different levels of government.</t>
  </si>
  <si>
    <t>Can you explain the legal definitions of bribery, extortion, and other forms of political corruption?</t>
  </si>
  <si>
    <t>Here's a breakdown of the legal definitions of bribery, extortion, and other forms of political corruption in the Philippines based on the Revised Penal Code and Republic Act No. 3019 (Anti-Gift Graft and Corrupt Practices Act):
**Bribery (Article 211 of the Revised Penal Code):**
* **Direct Bribery:** A public officer who accepts an offer or promise or receives a gift or present, by himself or through another, with a view to:
* Committing a crime.
* Executing an act that is not a crime but is unjust.
* Refraining from doing something that is his official duty to do.
* **Indirect Bribery:** A public officer who accepts a gift offered to him by reason of his office. * **Qualified Bribery:** A public officer entrusted with law enforcement who refrains from arresting or prosecuting an offender (who committed a serious crime) in consideration of any offer, promise, gift or present.
* **Corruption of a Public Official:** The crime committed by the private person who shall have made the offers or promises or given the gifts or presents to the public officers, as described above. **Extortion (Article 294 of the Revised Penal Code):**
* **Threatening to inflict unlawful injury:** This includes threats of violence, harm to reputation, or other forms of intimidation to compel a person to give money, property, or execute a document.
* **Public Officer:** If the crime is committed by a public officer or employee, the penalty is more severe. **Other Forms of Political Corruption:**
* **Malversation of Public Funds or Property (Article 212 of the Revised Penal Code):** A public officer who misappropriates, diverts, or allows someone else to misappropriate public funds or property entrusted to him.
* **Nepotism (Section 2(c) of Republic Act No. 3019):** A public officer who appoints a relative (up to the third degree of consanguinity or affinity) to a position in the government agency where he has influence.
* **Graft and Corrupt Practices (Republic Act No. 3019):** This law defines and penalizes a wider range of corrupt practices by public officials, including:
* Soliciting or receiving gifts in exchange for favorable action.
* Causing undue injury to any party through manifest partiality, evident bad faith, or gross inexcusable negligence.
* Entering into a contract with a government agency knowing that the contracting party is related to him within the third degree of consanguinity or affinity.
**Important Considerations:**
* These are just some of the most common forms of political corruption. * The specific legal definitions and penalties may vary depending on the circumstances of the case. * For more detailed information, it's recommended to consult the Revised Penal Code and Republic Act No. 3019 directly.
By understanding these legal definitions, citizens and government officials can be better informed about what constitutes corruption and the potential consequences for engaging in such activities.</t>
  </si>
  <si>
    <t>What role do investigative agencies and law enforcement play in prosecuting cases of political corruption?</t>
  </si>
  <si>
    <t>Investigative agencies and law enforcement play a crucial role in prosecuting cases of political corruption in the Philippines. Here's a breakdown of their functions:
**Investigative Agencies:**
* **Office of the Ombudsman:** This independent body (created by Republic Act No. 6770) has the authority to investigate and prosecute cases of corruption involving public officials. They conduct inquiries, gather evidence, and file cases with the Sandiganbayan (anti-graft court).
* **Commission on Audit (COA):** Audits government agencies and identifies irregularities or potential misuse of public funds. COA reports can be crucial evidence in corruption cases pursued by the Ombudsman or other agencies.
* **National Bureau of Investigation (NBI):** This investigative arm of the Department of Justice (DOJ) can be called upon to assist in gathering evidence for complex corruption cases, especially those involving financial crimes.
**Law Enforcement:**
* **Philippine National Police (PNP):** While not directly involved in prosecution, the PNP may be tasked with:
* Executing search warrants for evidence collection authorized by the courts.
* Apprehending individuals with arrest warrants issued by the courts in corruption cases.
**Collaboration and Coordination:**
* These agencies often work together to investigate corruption. The Ombudsman may request assistance from the NBI for financial investigations, while the PNP may be involved in gathering physical evidence. * The Department of Justice (DOJ) plays a key role in coordinating these efforts and may provide legal advice or resources during investigations.
**Limitations and Challenges:**
* **Lack of Resources:** Investigative agencies might face limitations due to insufficient manpower or budget constraints.
* **Political Pressure:** In some cases, political influence may hinder thorough investigations or prosecution of high-ranking officials.
**Importance of Investigative Agencies and Law Enforcement:**
* Their work is essential for gathering evidence, building strong cases, and holding corrupt officials accountable.
* By diligently pursuing investigations, they deter future corruption and promote transparency in government.</t>
  </si>
  <si>
    <t>How can individuals protect themselves legally if they witness or are asked to participate in corrupt political activities?</t>
  </si>
  <si>
    <t>Here's how individuals in the Philippines can protect themselves legally if they witness or are asked to participate in corrupt political activities:
**Refusal and Documentation:**
* **Refuse to Participate:** You have the right to refuse to participate in any corrupt activity. * **Document Everything:** If possible, document the details of the situation. This could include:
* Dates, times, and locations of the incident.
* Names and titles of those involved (if known).
* Notes on what was witnessed or requested (be as specific as possible without putting yourself at risk).
**Reporting Channels:**
* **Office of the Ombudsman:**
* File a complaint with the Ombudsman online [https://en.wikipedia.org/wiki/Ombudsman_of_the_Philippines](https://en.wikipedia.org/wiki/Ombudsman_of_the_Philippines) with anonymity options. * Call their hotline (1-800-1-GO-OMB [1-800-1-46-62]) and request anonymity.
* **Special Hotlines:** * Government agencies may have anti-corruption hotlines with anonymity options. Check the website of the relevant agency for details. * **Third-Party Organizations:** * Some NGOs or media outlets may accept anonymous reports of corruption. Research reputable organizations with a history of protecting whistleblowers.
**Whistleblower Protections:**
* **Republic Act No. 6713:** This law protects whistleblowers who report corruption by offering:
* Security measures to protect your identity and safety.
* Legal assistance during investigations and court proceedings.
* Financial assistance and benefits in some cases.
**Seeking Legal Advice:**
* **Consult a Lawyer:** A lawyer specializing in whistleblower protection can advise you on the best course of action for your specific situation. They can help you navigate the legalities of reporting and ensure you receive the appropriate protection under the law.
**Additional Considerations:**
* **Maintain Anonymity:** When possible, avoid revealing your identity to those involved in the corrupt activity.
* **Be Cautious with Communication:** Don't discuss the situation with people who might reveal your identity. * **Gather Evidence:** If safe to do so, try to gather documented proof of the corrupt activity (within legal boundaries) to strengthen your report.
**Important to Remember:**
* Reporting corruption can be risky, but the Whistleblower Protection Program offers significant safeguards. * Weigh the potential risks against the importance of exposing corruption. * Seek legal guidance to understand your rights and available legal protections.</t>
  </si>
  <si>
    <t>Can citizens file civil lawsuits against politicians or government officials accused of engaging in corrupt practices?</t>
  </si>
  <si>
    <t>Yes, citizens in the Philippines can file civil lawsuits against politicians or government officials accused of engaging in corrupt practices. The legal framework for such lawsuits includes various laws and principles aimed at promoting accountability and preventing corruption. Here are some key points:
1. **Republic Act No. 3019 (Anti-Graft and Corrupt Practices Act):**
- This law defines and penalizes corrupt practices committed by public officials. Section 4 of RA 3019 provides for civil liability, allowing any person who has suffered any damage as a result of the corrupt act to file a civil action for recovery of damages.
2. **Republic Act No. 6713 (Code of Conduct and Ethical Standards for Public Officials and Employees):**
- RA 6713 establishes a Code of Conduct for public officials and employees, outlining ethical standards and principles. Violations of this code may lead to administrative and civil liability. Individuals who can show that they suffered damages due to a public official's violation of ethical standards may file civil lawsuits for recovery of damages.
3. **Tort Claims Against Public Officials:**
- Citizens may file civil lawsuits based on tort claims, such as negligence, abuse of authority, or violation of constitutional rights, against public officials accused of corrupt practices. These lawsuits seek compensation for damages resulting from the wrongful actions of government officials.
4. **Qui Tam Actions:**
- Qui tam actions, also known as whistleblower lawsuits, allow private individuals to file lawsuits on behalf of the government against those engaged in fraud or corruption. If successful, the whistleblower may be entitled to a portion of the recovered damages.
5. **Class Action Lawsuits:**
- In certain cases where multiple individuals have been affected by the same corrupt practices, citizens may explore the possibility of filing class action lawsuits. This allows a group of plaintiffs to collectively seek legal remedies.
It's important for individuals considering civil lawsuits to consult with legal professionals to assess the viability of their case, gather evidence, and navigate the legal process. Civil lawsuits can complement criminal proceedings or administrative actions, providing a means for citizens to seek redress for damages resulting from corrupt practices. Additionally, the success of such lawsuits depends on the strength of the evidence and adherence to legal procedures.</t>
  </si>
  <si>
    <t>What legal recourse do citizens have if they believe their vote has been influenced by political corruption?</t>
  </si>
  <si>
    <t>If citizens believe that their votes have been influenced by political corruption, they may have legal recourse to address the situation. Key legal avenues for citizens concerned about the integrity of the electoral process include:
1. **Election Contests:**
- Citizens can file election contests before the proper tribunals to challenge the results of an election. Election contests typically involve allegations of irregularities, fraud, or corruption that may have affected the outcome. The electoral tribunals, such as the Presidential Electoral Tribunal (PET) for national positions or local canvassing boards for local positions, have the authority to investigate and adjudicate election disputes.
2. **Petitions for Annulment or Declaration of Nullity:**
- In some cases, citizens may seek the annulment or declaration of nullity of an election if they can provide substantial evidence of corruption or irregularities that significantly impacted the results. This legal action is usually based on specific grounds outlined in election laws.
3. **Complaints to the Commission on Elections (COMELEC):**
- The COMELEC is the body responsible for overseeing and administering elections in the Philippines. Citizens can file complaints with the COMELEC, providing evidence of irregularities, corruption, or violations of election laws. The COMELEC has the authority to investigate and take appropriate action.
4. **Anti-Corruption Laws:**
- Allegations of corruption in the electoral process may also be addressed under anti-corruption laws, such as the Anti-Graft and Corrupt Practices Act (Republic Act No. 3019). Individuals found guilty of corrupt practices in connection with elections may face criminal charges and penalties.
5. **Ombudsman Complaints:**
- Citizens can file complaints with the Office of the Ombudsman, an independent body tasked with investigating and prosecuting government officials for acts of corruption, including those related to elections.
It's crucial for citizens who believe their votes have been influenced by political corruption to gather evidence and seek legal advice promptly. The specific legal processes and remedies may vary depending on the nature of the allegations and the level of the election (national or local). Legal professionals can provide guidance on the appropriate legal actions and the procedures to follow to address concerns about electoral integrity.</t>
  </si>
  <si>
    <t>Are there whistleblower protections in place for individuals who report instances of political corruption?</t>
  </si>
  <si>
    <t>Yes, the Philippines has whistleblower protection laws that aim to encourage individuals to report instances of corruption and malfeasance without fear of reprisal. One key legislative instrument providing whistleblower protection is Republic Act No. 6713, also known as the "Code of Conduct and Ethical Standards for Public Officials and Employees." While the primary focus of RA 6713 is on the conduct of public officials, it includes provisions protecting whistleblowers.
Here are key points regarding whistleblower protections in the Philippines:
1. **Protection Against Retaliation:**
- Section 4 of RA 6713 explicitly provides protection for government employees who disclose information on illegal activities, including corruption. Whistleblowers are protected from any form of reprisal or retaliatory action by their superiors or colleagues.
2. **Confidentiality of Identity:**
- The law recognizes the importance of maintaining the confidentiality of the whistleblower's identity. It prohibits the disclosure of the whistleblower's identity without their consent, except when ordered by a court or in the course of an investigation.
3. **Access to Disciplinary Action:**
- Whistleblowers who disclose information in good faith are protected even if the disclosed information turns out to be incorrect. The law recognizes the importance of encouraging individuals to report without fear of unwarranted disciplinary actions.
4. **Criminal Liability for Retaliation:**
- Any public official or employee found guilty of violating the provisions of RA 6713, including retaliating against a whistleblower, may face criminal liability.
5. **Anti-Graft and Corruption Laws:**
- In addition to RA 6713, Republic Act No. 3019 (Anti-Graft and Corrupt Practices Act) also addresses corrupt practices, and whistleblowers providing information related to corrupt activities are generally protected.
It's important to note that while there are legal protections for whistleblowers, the effectiveness of these protections may depend on various factors, including the proper implementation and enforcement of the laws. Individuals considering blowing the whistle on political corruption should also be aware of the specific procedures and channels established by relevant agencies for reporting such information. Seeking legal advice before taking any steps is advisable to ensure proper protection and adherence to the law.</t>
  </si>
  <si>
    <t>How can individuals report suspected cases of political corruption while maintaining their anonymity and protection from retaliation?</t>
  </si>
  <si>
    <t>Here are some ways individuals in the Philippines can report suspected political corruption while maintaining anonymity and protection from retaliation:
**Reporting Channels with Anonymity Options:**
* **Office of the Ombudsman:** * The Ombudsman website [https://en.wikipedia.org/wiki/Ombudsman_of_the_Philippines](https://en.wikipedia.org/wiki/Ombudsman_of_the_Philippines) offers online reporting with an option to submit complaints anonymously. * You can also call their hotline (1-800-1-GO-OMB [1-800-1-46-62]) and request anonymity. * **Special Hotlines:** * Government agencies may have anti-corruption hotlines with anonymity options. Check the website of the relevant agency for details. * **Third-Party Organizations:** * Some NGOs or media outlets may accept anonymous reports of corruption. Research reputable organizations with a history of protecting whistleblowers.
**Maintaining Anonymity While Reporting:**
* **Avoid including personally identifiable information:** When submitting online complaints, don't include your name, address, or contact details.
* **Use a secure connection:** If accessing reporting websites, ensure a secure internet connection to minimize the risk of someone tracing your activity.
* **Be cautious with communication:** Avoid discussing the report with people who might reveal your identity.
**Protection from Retaliation:**
* **Whistleblower Protection Program:** Republic Act No. 6713 offers protection and benefits to whistleblowers who report corruption. * **Carefully Document Evidence:** Gather and maintain documented proof of the alleged corruption (within legal boundaries) to strengthen your report and protect yourself in case of retaliation attempts.
* **Consult a Lawyer:** A lawyer specializing in whistleblower protection can advise you on the best course of action for your specific situation.
**Important Considerations:**
* **Anonymised reports may require stronger evidence:** Since investigators can't interview you directly, providing detailed and verifiable evidence is crucial. * **False accusations can have consequences:** Ensure your report is based on good faith and avoid making unsubstantiated claims.
**Remember:** While anonymity can offer some protection, it's not foolproof. Consider the potential risks and weigh them against the importance of reporting the corruption.</t>
  </si>
  <si>
    <t>Can you explain the process of conducting a thorough investigation into allegations of political corruption?</t>
  </si>
  <si>
    <t>Here's a breakdown of the process for conducting a thorough investigation into allegations of political corruption in the Philippines:
**1. Initial Complaint and Evidence Gathering:**
* **Filing the Complaint:** The process can be initiated by the Office of the Ombudsman, upon receiving a complaint from a citizen or another government agency. * **Evidence Collection:** Investigators will gather evidence to determine if the allegations have merit. This may involve collecting documents like:
* Government contracts, audit reports (by COA), financial statements, bank records.
* Whistleblower testimonies with supporting documents (emails, memos, recordings obtained legally).
* **Witness Interviews:** Investigators will interview:
* The complainant(s) to understand the details of the allegations.
* Potential witnesses with firsthand knowledge, including whistleblowers or victims of the corruption.
* The accused politician or official, giving them the opportunity to explain their actions.
**2. Assessment and Verification:**
* **Evaluating Evidence:** Investigators will assess the collected evidence for authenticity, relevance, and sufficiency to establish probable cause.
* **Verification and Corroboration:** Information from witnesses and documents will be cross-checked and verified with other sources to ensure accuracy.
**3. In-Depth Investigation (if warranted):**
* **Following the Money Trail:** Anti-money laundering laws (Republic Act No. 10365) can be used to track suspicious financial transactions of the accused. * **Surveillance (with proper warrants):** In some cases, legal surveillance may be authorized to gather additional evidence.
* **Cooperation with Other Agencies:** Depending on the complexity of the case, the Ombudsman may collaborate with the Philippine National Police (PNP), Commission on Audit (COA), or other relevant agencies for expertise and resources.
**4. Case Building and Potential Charges:**
* **Building a Strong Case:** The focus may shift to specific offenses with the strongest evidence, like bribery (Article 211 of the Revised Penal Code) or malversation of public funds (Article 212). * **Preparing Charges:** If sufficient evidence exists, the Ombudsman will prepare charges against the accused politician or official.
**5. Prosecution or Dismissal:**
* **Filing the Case:** The Ombudsman files the case with the Sandiganbayan (anti-graft court) for prosecution.
* **Dismissal:** If the evidence is insufficient or fails to establish probable cause, the case may be dismissed. **Additional Considerations:**
* **Witness Protection:** Republic Act No. 6713 protects whistleblowers who come forward with evidence.
* **Due Process:** The accused politician or official has the right to legal representation and a fair trial. * **Lengthy Process:** Investigations and prosecutions can take time, requiring patience and perseverance.
**Important to Note:**
This is a general overview. The specific steps and timelines may vary depending on the nature of the allegations and the complexity of the case.</t>
  </si>
  <si>
    <t>What evidence is required to pursue legal action against politicians or government officials accused of corruption?</t>
  </si>
  <si>
    <t>The evidence required to pursue legal action against politicians or government officials accused of corruption in the Philippines will depend on the specific offense, but here's a general breakdown:
**Types of Evidence:**
* **Documentary Evidence:** * Public documents like government contracts, audit reports (by the Commission on Audit or COA) [https://www.coa.gov.ph/](https://www.coa.gov.ph/), financial statements, and bank records can be crucial.
* Whistleblower testimonies supported by documents like emails, memos, or recordings (following legal interception procedures under Republic Act No. 9994) can be powerful evidence.
* **Testimonial Evidence:** * Witness accounts from individuals with firsthand knowledge of the alleged corruption can be valuable. This could include whistleblowers, co-conspirators who turn state's witness (plea bargain agreements), or even victims of the corrupt practices.
**Strength of Evidence:**
The evidence must be strong enough to establish probable cause, meaning it's more likely than not that a crime occurred and the accused committed it. Here's how evidence strength plays a role:
* **Direct Evidence:** Directly links the politician to the corrupt act, like video recordings or signed documents. * **Circumstantial Evidence:** While not directly linking the politician, it creates a strong inference of guilt through a series of connected events. **Who Can File:**
* **The Ombudsman:** Empowered by Republic Act No. 6770, the Ombudsman can investigate and prosecute corruption cases. They may gather evidence through various means, including witness testimonies and document requests from government agencies.
* **Private Individuals:** Citizens can file complaints with the Ombudsman or other relevant agencies if they have evidence of corruption. While individuals can't directly prosecute, their complaints can trigger investigations.
**Additional Considerations:**
* **Antidote Rule:** Republic Act No. 3019 (Anti-Graft and Corrupt Practices Act) contains the "antidote rule." This allows public officials to explain seemingly unexplained wealth through legitimate means. The burden then shifts to the prosecution to disprove the official's explanation.
* **Technicalities:** Improperly gathered evidence or failure to follow legal procedures might lead to its exclusion from court.
**Recommendations:**
* **Consult a Lawyer:** A lawyer experienced in anti-corruption cases can advise on the specific evidence needed and the best course of action.
* **Focus on Specific Offenses:** Building a strong case on a single offense with clear evidence is often more effective than pursuing broader accusations with less concrete proof.
Remember, the Philippine legal system can be complex. While this provides an overview, seeking professional legal advice is crucial when pursuing legal action against corrupt officials.</t>
  </si>
  <si>
    <t>Can individuals file Freedom of Information Act (FOIA) requests to obtain information related to suspected political corruption?</t>
  </si>
  <si>
    <t>As of my knowledge cutoff date in January 2022, the Philippines does not have a comprehensive federal-level Freedom of Information Act (FOIA) similar to those in some other countries. However, there are initiatives and executive orders that promote transparency and access to information. Specifically, there is the Executive Order No. 2, series of 2016, which is known as the "Freedom of Information (FOI) Program."
Under Executive Order No. 2, government agencies are directed to adopt and implement an FOI program that allows the public to request information held by government offices. This order aims to promote transparency and accountability in government transactions and activities.
Here are key points related to FOI requests in the Philippines:
1. **FOI Program Implementation:**
- Government agencies are required to establish and maintain an FOI program, which includes mechanisms for receiving and processing FOI requests.
2. **Scope of Information:**
- The FOI program generally covers information related to government transactions, official acts, or decisions, as well as any document, paper, data, or information that is part of the agency's records.
3. **Exceptions and Limitations:**
- While the FOI program promotes transparency, there are exceptions to the release of certain information, such as matters related to national security, defense, and other sensitive areas. Agencies are allowed to withhold information falling under these exceptions.
4. **FOI Request Process:**
- Individuals can file FOI requests to obtain information from government agencies. The process typically involves submitting a written request to the concerned agency. The agency is then obligated to respond to the request within a specified period.
5. **Access to Information on Suspected Political Corruption:**
- FOI requests can be used to seek information related to suspected political corruption, as long as the requested information falls within the scope of the FOI program and is not subject to any exceptions.
It's important to check for any updates or changes to the FOI program, as the legal and regulatory landscape may evolve over time. Additionally, individuals interested in filing FOI requests should refer to the specific guidelines and procedures established by the relevant government agencies.</t>
  </si>
  <si>
    <t>What are the potential consequences for politicians found guilty of engaging in corrupt activities?</t>
  </si>
  <si>
    <t>Politicians found guilty of corruption in the Philippines face a range of potential consequences, depending on the specific offense and the court's decision. Here's a breakdown based on Philippine law:
**Criminal Penalties:**
* **Imprisonment:** Penalties vary depending on the offense. For example, bribery under Article 211 of the Revised Penal Code carries a penalty of prision mayor (6 years and 1 day to 12 years imprisonment) or reclusion temporal minimum (12 years and 1 day to 14 years and 8 months imprisonment). * **Fines:** Courts may impose significant fines alongside imprisonment.
* **Perpetual Disqualification:** Those convicted of certain corruption offenses are permanently barred from holding public office (Article X-B, Section 3(1) of the Constitution).
**Civil Penalties:**
* **Forfeiture:** The court may order the forfeiture of ill-gotten wealth acquired through corruption (Republic Act No. 13021 or the Anti-Money Laundering Act).
* **Disqualification to hold office:** Similar to the criminal penalty, some civil penalties can disqualify them from holding public office.
**Additional Consequences:**
* **Loss of Reputation:** A corruption conviction can severely damage a politician's reputation and public standing.
* **Difficulty Obtaining Employment:** Depending on the severity of the offense, finding future employment, especially in government or public service, may be challenging.
* **Ineligibility for Bail:** Certain corruption offenses may not allow bail, forcing the politician to remain detained throughout the trial.
**Important Considerations:**
* The actual consequences imposed will depend on the specific circumstances of the case and the judge's discretion.
* Conviction through the court system can be a lengthy process. * The Office of the Ombudsman may also impose administrative penalties, such as suspension or dismissal from service.
Remember, these are just some of the potential consequences. The ultimate goal is to deter corrupt practices, recover stolen funds, and hold public officials accountable.</t>
  </si>
  <si>
    <t>How does political corruption impact the integrity of democratic processes, and what legal measures can be taken to address it?</t>
  </si>
  <si>
    <t>Political corruption has a severe negative impact on the integrity of democratic processes in the Philippines, as outlined in the 1987 Philippine Constitution (Article II, Section 1). Here's a breakdown of the impact and legal measures to address it:
**Impact of Political Corruption:**
* **Undermines Public Trust:** Corruption erodes citizens' faith in government institutions and elected officials. This apathy can lead to lower voter turnout and decreased public participation, weakening the democratic process (Article XIII, Section 15).
* **Unfair Advantage for Wealthy Candidates:** Corruption can create an uneven playing field in elections. Politicians who engage in corrupt practices may have access to more resources for campaigning, giving them an unfair advantage over honest candidates (Article IX-C, Section 1).
* **Distortion of Policymaking:** Corrupt officials may prioritize personal gain over the public good when making decisions. This can lead to policies that benefit special interests rather than the entire population (Article II, Section 16).
* **Weakens Rule of Law:** If laws are not enforced fairly and consistently, it undermines the rule of law, a cornerstone of democracy (Article III, Section 1).
**Legal Measures to Address Corruption:**
* **The Constitution (Article XI):** The Constitution mandates the State to adopt an independent and honest public policy and fight graft and corruption. * **Republic Act No. 6713 (An Act Establishing a Witness Protection, Security and Benefits Program, and Providing for Other Purposes):** This law encourages whistleblowers to come forward with evidence of corruption by offering them protection and benefits.
* **Republic Act No. 3019 (Anti-Graft and Corrupt Practices Act):** This law defines and penalizes various corrupt practices by public officials, including bribery, malversation of public funds, and nepotism.
* **Republic Act No. 6770 (Ombudsman Act of 1988):** This law creates the Office of the Ombudsman, an independent body with the power to investigate and prosecute cases of corruption involving public officials.
* **Republic Act No. 9994 (The Expanded Anti-Wire Tapping Act):** This law allows for the legal interception of communications as evidence in corruption cases, following proper procedures (Article III, Section 2).
**Additional Measures:**
* **Freedom of Information (FOI) Act (Executive Order No. 2):** Increased transparency through access to government information can help deter corruption.
* **Strengthening Anti-Corruption Agencies:** Ensuring these agencies have adequate resources and independence is crucial for effective prosecution.
* **Public Education:** Raising public awareness about corruption and its consequences can empower citizens to hold officials accountable.
By implementing these legal measures and fostering a culture of integrity, the Philippines can work towards a more robust and corruption-free democracy.</t>
  </si>
  <si>
    <t>Can you provide examples of successful legal strategies used to prosecute cases of political corruption?</t>
  </si>
  <si>
    <t>Due to privacy concerns and the ongoing nature of some cases, specific details may not be publicly available. However, here are some general legal strategies that have been successful in prosecuting political corruption in the Philippines:
**Following the Money Trail:**
* Anti-money laundering laws (Republic Act No. 10365) can be used to track suspicious financial transactions. * Prosecutors can build a case by demonstrating a pattern of unexplained wealth accumulation by a public official, especially when compared to their legitimate income.
**Utilizing Whistleblower Protections:**
* Republic Act No. 6713 (An Act Establishing a Witness Protection, Security and Benefits Program, and Providing for Other Purposes) encourages whistleblowers to come forward with evidence of corruption by offering them protection and benefits.
* Insider information from whistleblowers can be crucial in uncovering corruption schemes and identifying key players.
**Collaboration Between Agencies:**
* The Office of the Ombudsman, Commission on Audit (COA), and Philippine National Police (PNP) can combine resources to investigate complex corruption cases. * Each agency brings its specific expertise to the table, leading to a more comprehensive investigation.
**Focus on Specific Crimes:**
* Corruption often involves a combination of offenses. Prosecutors may focus on specific crimes with strong evidence, such as bribery (Article 211 of the Revised Penal Code) or malversation of public funds (Article 212 of the Revised Penal Code). * Building a strong case on a single charge can be more effective than pursuing a wider range of accusations with less evidence.
**Utilizing Plea Bargain Agreements:**
* In some cases, prosecutors may offer plea bargains to lower-level individuals involved in corruption. * In exchange for a lighter sentence, these individuals can provide valuable testimony against higher-ranking officials.
**Public Pressure and Media Scrutiny:**
* Public awareness and media attention can put pressure on authorities to investigate and prosecute corruption cases thoroughly.
It's important to note that prosecuting political corruption is often complex and time-consuming. The strategies mentioned above are just a few examples, and the most effective approach will depend on the specific circumstances of each case.
For further information, you can explore the websites of the following agencies:
* Office of the Ombudsman: [https://en.wikipedia.org/wiki/Ombudsman_of_the_Philippines](https://en.wikipedia.org/wiki/Ombudsman_of_the_Philippines)
* Commission on Audit: [https://www.coa.gov.ph/](https://www.coa.gov.ph/)</t>
  </si>
  <si>
    <t>Are there any limitations on the types of political donations or contributions that are considered legal versus corrupt?</t>
  </si>
  <si>
    <t>In the Philippines, there are legal provisions that regulate political donations and contributions to ensure transparency and prevent corrupt practices. Some key points regarding political donations and contributions include:
1. **Laws and Regulations:**
- The Omnibus Election Code and Republic Act No. 7166 govern campaign finance and political contributions during elections. Additionally, the Commission on Elections (COMELEC) issues rules and regulations to implement and enforce these laws.
2. **Source of Contributions:**
- Contributions to political parties and candidates are generally allowed, but there are restrictions on the sources of these contributions. Contributions must come from individuals, Filipino citizens, and entities that are not prohibited by law.
3. **Limits on Contributions:**
- There are limits on the amount that individuals and entities can contribute to political parties or candidates. These limits are set by law and may vary depending on the position being sought. Exceeding these limits can lead to legal consequences.
4. **Prohibited Contributions:**
- Certain individuals and entities are prohibited from making political contributions. This includes foreign entities, government contractors, and public officials who are candidates. Accepting contributions from prohibited sources can result in legal consequences.
5. **Disclosure Requirements:**
- Political parties and candidates are required to disclose their contributions and expenditures during the campaign period. This transparency is intended to prevent corruption and ensure that the public is informed about the funding sources of political campaigns.
6. **Corruption and Bribery:**
- Offering or accepting bribes, kickbacks, or other corrupt practices in connection with political donations is strictly prohibited. Such activities can be subject to criminal charges under anti-corruption laws.
It's important for political parties, candidates, and contributors to be aware of and comply with these legal provisions to avoid legal complications. The Commission on Elections (COMELEC) plays a crucial role in overseeing and regulating campaign finance activities to ensure fairness and transparency in the electoral process. Violations of campaign finance laws can result in penalties, including fines and disqualification from running for public office. Individuals and entities involved in political contributions should seek legal advice to ensure compliance with applicable laws and regulations.</t>
  </si>
  <si>
    <t>Can individuals sue political parties or organizations that are implicated in cases of political corruption?</t>
  </si>
  <si>
    <t>Individuals may have legal avenues to pursue against political parties or organizations implicated in cases of political corruption. Here are some potential actions or legal mechanisms:
1. **Civil Lawsuits:**
- Individuals may file civil lawsuits against political parties or organizations involved in corruption. They can seek damages or other remedies for any harm or losses suffered as a result of corrupt practices.
2. **Anti-Graft and Corruption Laws:**
- The Philippines has anti-graft and corruption laws that can be used to hold individuals and entities accountable. Republic Act No. 3019, also known as the Anti-Graft and Corrupt Practices Act, criminalizes corrupt practices by public officials, including those within political parties. Private individuals who conspire with public officials in corrupt activities may also be held liable.
3. **Election Laws:**
- Violations of election laws, such as those related to campaign financing or electoral fraud, may provide grounds for legal action against political parties. The Omnibus Election Code and other relevant statutes govern election-related offenses.
4. **Whistleblower Protection Laws:**
- Whistleblowers who expose corruption within political parties or organizations may be protected under laws such as Republic Act No. 6713 (Code of Conduct and Ethical Standards for Public Officials and Employees). Whistleblower protection laws generally shield individuals from retaliation for reporting corrupt practices.
5. **People's Initiative or Referendum:**
- In some cases, citizens may have the right to initiate legal processes through a people's initiative or referendum. This allows voters to propose and enact laws or amendments directly, bypassing the legislative process.
It's important to note that the success of legal actions depends on various factors, including the availability of evidence, the specific legal provisions applicable to the case, and the judicial process. Individuals seeking to take legal action against political parties or organizations implicated in corruption should consult with legal professionals to assess the viability of their case and determine the most appropriate legal mechanisms to pursue.</t>
  </si>
  <si>
    <t>What legal protections exist for journalists or whistleblowers who expose instances of political corruption?</t>
  </si>
  <si>
    <t>In the Philippines, legal protections for journalists and whistleblowers who expose instances of political corruption are outlined in various laws. Some key legal provisions include:
1. **Freedom of the Press:**
- Article III, Section 4 of the 1987 Constitution of the Philippines guarantees the freedom of speech, of expression, and of the press. This constitutional provision serves as a fundamental protection for journalists to report on matters of public interest, including political corruption.
2. **Republic Act No. 53 (Seditious Libel Law):**
- While this law has been repealed, its repeal signifies a move towards the protection of free speech and press freedom. The removal of laws criminalizing libel has contributed to a more favorable environment for journalists to report on corruption without fear of legal repercussions.
3. **Republic Act No. 6713 (Code of Conduct and Ethical Standards for Public Officials and Employees):**
- This law establishes ethical standards for public officials and employees. It encourages the reporting of wrongdoing and protects whistleblowers from retaliation. Section 4 of RA 6713 provides for the right of government employees to be protected against acts of reprisal when disclosing acts of corruption.
4. **Republic Act No. 10173 (Data Privacy Act of 2012):**
- While primarily focused on data privacy, this law also contains provisions protecting individuals who report unlawful activities, including corruption. Whistleblowers who disclose information about corrupt practices are generally protected from any form of retaliation.
5. **Witness Protection, Security and Benefit Act (Republic Act No. 6981):**
- This law provides protection to witnesses, including whistleblowers, who testify or provide information in investigations, particularly against those involved in corrupt activities. It includes measures to ensure the safety and security of witnesses.
It's important to note that while these legal provisions exist, the actual implementation and effectiveness of these protections can vary. Journalists and whistleblowers may still face challenges, and advocacy for the protection of press freedom and whistleblowers' rights continues to be important in promoting transparency and accountability in the Philippines.</t>
  </si>
  <si>
    <t>Can individuals file complaints with ethics commissions or regulatory bodies to investigate allegations of political corruption?</t>
  </si>
  <si>
    <t>Yes, individuals can often file complaints with ethics commissions or regulatory bodies to investigate allegations of political corruption. Many countries have established specialized entities responsible for overseeing ethical conduct, investigating complaints, and taking appropriate action against public officials engaged in corrupt practices. The specific names and structures of these bodies may vary by jurisdiction, but they generally serve as mechanisms for promoting transparency and accountability in government. Some key considerations include:
1. **Ethics Commissions:**
- Ethics commissions are independent bodies tasked with promoting ethical behavior and integrity in government. They often have the authority to receive and investigate complaints related to ethical violations, including political corruption.
2. **Anti-Corruption Agencies:**
- In some countries, specialized anti-corruption agencies are responsible for investigating and addressing corruption, including allegations involving politicians or government officials. These agencies may have dedicated units focused on ethics and integrity.
3. **Ombudsman Offices:**
- Ombudsman offices, such as the Office of the Ombudsman in the Philippines, play a significant role in receiving and investigating complaints against public officials. They are tasked with addressing grievances related to official acts or omissions, including corruption.
4. **Complaint Procedures:**
- Each ethics commission or regulatory body typically has established procedures for filing complaints. These procedures may include specific forms or formats for submitting complaints, guidelines for providing evidence, and information on the types of allegations they can investigate.
5. **Confidentiality and Protection of Whistleblowers:**
- Many jurisdictions prioritize the protection of whistleblowers who come forward with information about corruption. Complaint procedures often include measures to ensure the confidentiality of complainants and protect them from retaliation.
6. **Investigation Process:**
- Once a complaint is filed, the ethics commission or regulatory body initiates an investigation. This process may involve gathering evidence, interviewing witnesses, and assessing the veracity of the allegations.
7. **Recommendations and Actions:**
- Following the investigation, the ethics commission or regulatory body may make recommendations or take actions based on their findings. This can include referring cases for prosecution, recommending disciplinary measures, or suggesting policy changes to prevent future corruption.
8. **Public Reporting:**
- In some cases, ethics commissions may issue public reports on their investigations, contributing to transparency and public awareness. The level of detail disclosed in such reports may vary depending on legal and privacy considerations.
It's important for individuals filing complaints to familiarize themselves with the specific procedures and requirements of the relevant ethics commission or regulatory body in their jurisdiction. Consulting with legal professionals or advocacy organizations specializing in anti-corruption efforts can provide guidance on the most effective and appropriate steps to take in addressing allegations of political corruption.</t>
  </si>
  <si>
    <t>How do conflicts of interest laws apply to politicians and government officials, and how are they enforced?</t>
  </si>
  <si>
    <t>In the Philippines, conflicts of interest for politicians and government officials are primarily addressed by two key pieces of legislation:
**1. Republic Act No. 6713 (The Code of Conduct and Ethical Standards for Public Officials and Employees):**
This law defines conflict of interest as a situation where a public official or employee has a financial or personal interest that is **opposed to or affected by the faithful performance of official duty**. This could include:
* Being a member of the board, officer, or substantial stockholder of a private corporation that has dealings with the government agency.
* Owning or having a substantial interest in a business that could benefit from government decisions made by the official.
* Having close relatives (up to first cousins) employed in a position that could be substantially affected by the official's actions.
**How it's enforced:**
* **Disclosure and Divestiture:** Officials are required to disclose their financial interests and potentially divest themselves of holdings that create a conflict of interest within a specified timeframe (usually 30-60 days).
* **Sanctions:** Failure to comply with disclosure requirements or engaging in acts constituting a conflict of interest can lead to administrative sanctions, including suspension or dismissal from service.
**2. Local Government Code (Section 46):**
This law applies specifically to local government officials and echoes similar principles as RA 6713. It prohibits officials from entering into contracts with the government or any subdivision where they have a conflict of interest.
**Enforcement Mechanisms:**
* **Ombudsman:** The Office of the Ombudsman is the primary agency responsible for investigating and prosecuting violations of RA 6713. Individuals can file complaints with the Ombudsman if they suspect a conflict of interest exists.
* **Civil Society Organizations (CSOs):** CSOs can play a crucial role in monitoring government actions and exposing potential conflicts of interest.
* **Media:** Investigative journalism can uncover conflicts of interest and bring them to public attention.
**Limitations:**
* **Self-Regulation:** The enforcement of these laws relies heavily on officials self-reporting conflicts of interest. * **Loopholes and Weaknesses:** The laws might not cover all potential scenarios, and some loopholes might exist.
* **Burden of Proof:** The burden of proving a conflict of interest often falls on the complainant, which can be challenging.
**Conclusion:**
While the Philippines has legal frameworks in place to address conflicts of interest, effective enforcement and a strong culture of ethical conduct are essential to truly ensure public officials prioritize the public good over personal gain.</t>
  </si>
  <si>
    <t>Can individuals file lawsuits against companies or organizations that engage in corrupt practices to influence political decisions?</t>
  </si>
  <si>
    <t>In the Philippines, the ability for individuals to directly sue companies or organizations for corrupt practices influencing political decisions is **limited**, but there are alternative avenues to pursue accountability. Here's a breakdown:
**Challenges to Direct Lawsuits:**
* **Indirect Causation:** It can be difficult to prove direct causation between a company's corrupt act and a specific political decision. * **Standing:** An individual might need to demonstrate a specific personal harm resulting from the corruption to have legal standing to sue.
**Alternative Approaches:**
* **Securities and Exchange Commission (SEC):** Individuals can file complaints with the SEC if the corrupt practices involve publicly listed companies manipulating the stock market to influence political decisions.
* **Office of the Ombudsman:** The Office of the Ombudsman has jurisdiction over investigating and prosecuting public officials involved in corruption. Individuals can file complaints with the Ombudsman if they suspect a company is bribing government officials to influence a decision.
* **Sandiganbayan:** The Sandiganbayan is a special anti-graft court that handles cases against government officials accused of corruption. Individuals can submit evidence of a company's involvement in corrupting officials to the Sandiganbayan.
* **Public Pressure and Advocacy:** Raising public awareness through media campaigns and protests can put pressure on companies and government officials to address the corruption.
**Potential Legal Options (Limited):**
* **Civil Lawsuits (Under Specific Circumstances):** In some limited cases, individuals might be able to file civil lawsuits against companies for fraud or breach of fiduciary duty if the corrupt practices caused them financial harm. This would require a strong legal case with clear evidence.
**Important Considerations:**
* **Legal Expertise:** Navigating legal options related to corporate corruption is complex. Consulting a lawyer experienced in such cases is crucial.
* **Costs and Burdens:** Even if legal avenues exist, pursuing lawsuits can be lengthy, expensive, and have uncertain outcomes.
**Conclusion:**
While directly suing companies for influencing political decisions through corruption might be challenging, several alternative options can be explored to achieve accountability. These involve filing complaints with relevant government agencies, raising public awareness, or pursuing specific civil lawsuits under limited circumstances. Consulting a lawyer can help you determine the most suitable approach for your situation.</t>
  </si>
  <si>
    <t>What role do grand juries play in investigating and indicting politicians or government officials for political corruption?</t>
  </si>
  <si>
    <t>As of my last knowledge update in January 2022, grand juries are not commonly used in the Philippines for investigating and indicting politicians or government officials for political corruption. The grand jury system is a legal feature more commonly associated with the United States legal system.
In the Philippines, investigations and indictments for political corruption typically follow a different process. Some key features of the Philippine legal system in this context include:
1. **Ombudsman Investigation:**
- The Office of the Ombudsman in the Philippines plays a crucial role in investigating and prosecuting cases of corruption involving government officials. The Ombudsman is an independent constitutional body tasked with addressing and redressing grievances related to official acts or omissions.
2. **Sandiganbayan:**
- The Sandiganbayan is a special appellate collegial court in the Philippines with jurisdiction over cases involving public officials accused of graft and corruption, among other offenses. Cases related to political corruption are often filed with the Sandiganbayan.
3. **Complaints and Information:**
- The process typically begins with the filing of a complaint or information alleging corruption against a government official. The Ombudsman conducts an investigation to determine the merits of the complaint.
4. **Preliminary Investigation:**
- During the preliminary investigation, the Ombudsman gathers evidence, interviews witnesses, and assesses the case's viability. If there is sufficient evidence, the Ombudsman may file formal charges.
5. **Sandiganbayan Trial:**
- Cases filed with the Sandiganbayan undergo trial proceedings. The court hears the evidence presented by both the prosecution and the defense. If the accused is found guilty, the Sandiganbayan can impose penalties, including imprisonment and fines.
It's important to note that legal processes and institutions can evolve, and new developments may occur after my last update. If there have been changes or reforms in the legal system since then, it's advisable to consult the most recent legal sources or seek guidance from legal professionals familiar with the current legal landscape in the Philippines.
While grand juries are not a feature of the Philippine legal system, the investigative and prosecutorial roles carried out by institutions like the Ombudsman and the Sandiganbayan are crucial in addressing corruption cases involving politicians or government officials.</t>
  </si>
  <si>
    <t>Can individuals challenge the results of elections if there is evidence of widespread political corruption?</t>
  </si>
  <si>
    <t>Yes, individuals can challenge the results of elections if there is evidence of widespread political corruption. The specific procedures and mechanisms for challenging election results vary by country, and they are typically governed by election laws, electoral codes, and constitutional provisions. In many democracies, there are legal avenues for contesting election outcomes based on various grounds, including corruption. Here are common steps individuals might take:
1. **Election Petitions:**
- In many countries, individuals may file election petitions to challenge the results of an election. Election petitions are formal legal documents that outline the grounds for contesting the election, including allegations of corruption. These petitions are often submitted to specialized electoral tribunals or courts.
2. **Grounds for Election Petitions:**
- Election petitions may be based on various grounds, such as fraud, bribery, intimidation, or any other irregularities that may have affected the outcome of the election. If there is evidence of widespread political corruption, this can be a significant ground for filing an election petition.
3. **Burden of Proof:**
- Individuals challenging election results typically bear the burden of proof. This means that they must provide sufficient evidence to support their claims of corruption and demonstrate how it affected the integrity of the electoral process.
4. **Legal Representation:**
- Individuals challenging election results often seek legal representation to guide them through the complex legal procedures involved in filing and arguing election petitions. Legal professionals can help gather evidence, build a case, and present arguments before the appropriate legal forums.
5. **Time Limits for Filing:**
- Election laws usually set specific time limits for filing election petitions. It is essential for individuals to be aware of and adhere to these deadlines to ensure their challenges are considered.
6. **Investigations and Hearings:**
- Election tribunals or courts may conduct investigations and hearings to assess the evidence presented in the election petition. This process may involve examining witnesses, reviewing documents, and considering legal arguments from both sides.
7. **Legal Remedies:**
- If the election tribunal or court finds merit in the election petition and determines that corruption or other irregularities affected the results, it may provide legal remedies. Remedies can include ordering a recount, nullifying specific election results, or even ordering a new election.
8. **Appeals Process:**
- Decisions of election tribunals or courts may be subject to an appeals process, allowing parties dissatisfied with the outcome to seek review by a higher court.
It's important to note that the specifics of election challenges vary widely, and individuals contemplating such challenges should carefully review the election laws and regulations in their jurisdiction. Consulting with legal professionals who specialize in election law can provide valuable guidance on the appropriate steps to take based on the evidence of political corruption.</t>
  </si>
  <si>
    <t>How does political corruption impact public trust in government institutions, and what legal measures can be taken to restore trust?</t>
  </si>
  <si>
    <t>Political corruption has a severe and corrosive impact on public trust in government institutions. Here's a breakdown of the consequences and potential legal measures to rebuild trust:
**Impact of Political Corruption on Public Trust:**
* **Erosion of Legitimacy:** When citizens perceive government officials lining their pockets or abusing power for personal gain, they question the legitimacy of the entire system. This can lead to cynicism, apathy, and decreased participation in civic life.
* **Undermining Service Delivery:** Corruption often diverts resources away from essential public services like healthcare, education, and infrastructure. This leaves citizens feeling neglected and frustrated, further eroding trust.
* **Breach of Social Contract:** Citizens entrust their representatives with power in exchange for good governance and the protection of public well-being. Corruption breaks this social contract, fostering a sense of betrayal and disillusionment.
* **Public Cynicism and Apathy:** When corruption seems widespread, citizens may believe that nothing can change. This can lead to a decrease in voter turnout and a lack of engagement with the political process, weakening democracy.
**Legal Measures to Restore Trust:**
* **Strengthening Anti-Corruption Laws:** Closing loopholes in campaign finance regulations, enacting stricter conflict-of-interest rules, and increasing transparency in government procurement processes are crucial steps. * **Effective Law Enforcement:** Having strong anti-corruption agencies with sufficient resources and independence to investigate and prosecute corruption cases, regardless of the person's political affiliation, is vital. * **Whistleblower Protection:** Enacting and upholding laws that protect whistleblowers who report corruption within government agencies sends a message that wrongdoing will be exposed. * **Transparency and Public Disclosure:** Making government decision-making processes more transparent, publicly disclosing campaign finances, and ensuring easy access to public information can help rebuild trust.
* **Independent Judiciary:** A strong and independent judiciary that upholds the rule of law and delivers impartial justice is essential for holding corrupt officials accountable.
**Additional Considerations:**
* **Public Education and Awareness:** Educating citizens about their rights, how to identify corruption, and the mechanisms for reporting it empowers them to participate in the fight against corruption.
* **Civil Society Engagement:** Supporting and strengthening civil society organizations that advocate for transparency and good governance is crucial for holding government accountable.
* **Media Freedom:** A free and independent press that can investigate and report on corruption cases plays a vital role in exposing wrongdoing and holding those in power accountable. **Conclusion:**
Combating political corruption requires a multi-pronged approach that combines strong legal frameworks, effective enforcement, and a commitment to transparency and accountability. By implementing these measures and fostering a culture of integrity within government institutions, public trust can gradually be restored.</t>
  </si>
  <si>
    <t>Can individuals request investigations into suspected instances of political corruption through their representatives or elected officials?</t>
  </si>
  <si>
    <t>Yes, individuals can request investigations into suspected instances of political corruption through their representatives or elected officials. In many democratic systems, citizens have the right to voice their concerns and seek action against corruption. Here's how individuals can typically initiate such requests:
1. **Contacting Elected Representatives:**
- Individuals can reach out to their elected representatives, such as members of the legislative branch (Senators or Congresspersons), and inform them about the suspected instances of political corruption. This can be done through letters, emails, phone calls, or in-person meetings.
2. **Filing Complaints with Oversight Agencies:**
- In some countries, there are oversight agencies or bodies responsible for investigating allegations of corruption. Individuals can file formal complaints with these agencies, providing details and evidence of the suspected corruption. Examples of such agencies include anti-corruption commissions or ombudsman offices.
3. **Engaging with Local Government Officials:**
- If the suspected corruption involves local government officials, individuals can contact local government representatives or officials to raise their concerns. Local government units may have mechanisms for investigating and addressing corruption allegations.
4. **Utilizing Whistleblower Protection Laws:**
- Some countries have whistleblower protection laws that safeguard individuals who come forward with information about corruption. These laws may provide legal protection to whistleblowers and encourage them to report corruption without fear of retaliation.
5. **Petitioning for Investigations:**
- Individuals may organize and submit petitions to their elected representatives or relevant authorities, requesting investigations into suspected instances of political corruption. Petitions can demonstrate community support for transparency and accountability.
6. **Engaging Civil Society Organizations:**
- Civil society organizations, including anti-corruption groups, may assist individuals in navigating the process of reporting corruption. These organizations may provide guidance, resources, and support for individuals seeking investigations.
7. **Publicly Raising Concerns:**
- Individuals can raise awareness about suspected corruption through public channels, such as media outlets or social media. Drawing attention to the issue may prompt elected officials or authorities to take action.
8. **Attending Public Meetings:**
- Public hearings, town hall meetings, or committee sessions may provide opportunities for individuals to voice their concerns directly to elected representatives. Some legislative bodies allow public participation during such events.
It's important to note that the specific mechanisms for reporting corruption and initiating investigations can vary from country to country and even within different regions or local jurisdictions. Additionally, the effectiveness of these channels may depend on the legal and institutional framework in place.
Individuals seeking to report corruption should familiarize themselves with the relevant laws, procedures, and agencies in their jurisdiction. Consulting with legal professionals or advocacy organizations specializing in anti-corruption efforts can provide additional guidance on the best course of action.</t>
  </si>
  <si>
    <t>What are the legal implications of using public funds for personal or political gain by government officials?</t>
  </si>
  <si>
    <t>Using public funds for personal or political gain by government officials is a serious offense with significant legal repercussions in the Philippines. Here's a breakdown of the potential consequences:
**Criminal Charges:**
* **Malversation of Public Funds (Article 217 of the Revised Penal Code):** This law penalizes public officials who misappropriate, convert, or divert public funds for personal use or benefit. Penalties can range from imprisonment to perpetual disqualification from holding public office.
* **Plunder (Republic Act No. 7659):** This law applies to government officials who amass unexplained wealth significantly exceeding their legitimate income. It carries a penalty of life imprisonment and forfeiture of ill-gotten wealth.
**Civil Charges:**
* **Recovery of Ill-gotten Wealth:** The government can file a civil case to recover any public funds misappropriated by corrupt officials.
* **Disqualification from Public Office:** A conviction under these laws can lead to permanent disqualification from holding any government position.
**Administrative Sanctions:**
* **Dismissal from Service:** Government agencies have the authority to dismiss employees found guilty of corruption offenses.
* **Blacklisting:** Individuals convicted of corruption might be blacklisted from future government employment or contracts.
**Additional Consequences:**
* **Damage to Reputation:** Being caught in a corruption scandal can severely damage the official's reputation and career.
* **Public Outcry and Loss of Trust:** Corruption cases can erode public trust in government institutions, leading to social unrest and calls for reform.
**Importance of Whistleblower Protection:**
* **Republic Act No. 6713 (The Code of Conduct and Ethical Standards for Public Officials and Employees):** This law encourages whistleblowing by protecting government employees who report corruption within their agencies.
**Conclusion:**
The Philippines has strict laws and mechanisms in place to deter and punish the misuse of public funds. Officials who engage in such activities face serious legal consequences, both criminal and administrative, along with significant reputational damage and loss of public trust.</t>
  </si>
  <si>
    <t>How do campaign finance laws regulate political contributions and spending to prevent corruption?</t>
  </si>
  <si>
    <t>As of my last knowledge update in January 2022, campaign finance laws in the Philippines regulate political contributions and spending to prevent corruption. It's important to note that laws and regulations may evolve, and it's recommended to check the latest legal sources for any updates. Here are general principles and measures that are typically included in campaign finance laws to prevent corruption:
1. **Contribution Limits:**
- Campaign finance laws often impose limits on the amount of money individuals, corporations, or organizations can contribute to political candidates or parties. These limits aim to prevent undue influence and reduce the risk of corruption associated with large contributions.
2. **Disclosure Requirements:**
- Transparency is a key component of campaign finance regulation. Laws typically require candidates, political parties, and contributors to disclose detailed information about campaign contributions, including the names of donors and the amounts contributed. This information is made available to the public to ensure accountability.
3. **Prohibition of Anonymous Contributions:**
- Many jurisdictions prohibit anonymous contributions to political campaigns. This measure helps prevent potential corruption by ensuring that the sources of campaign funds are known and can be scrutinized.
4. **Public Funding Mechanisms:**
- Some campaign finance laws provide mechanisms for public funding of political campaigns. Public financing aims to reduce the reliance on private contributions, minimizing the risk of corruption associated with undue influence from wealthy donors.
5. **Restrictions on Corporate and Foreign Contributions:**
- Laws often restrict contributions from corporations and foreign entities to prevent the undue influence of non-individual entities on political processes. These restrictions help maintain the integrity of the electoral system.
6. **Limits on Candidate Self-Financing:**
- To prevent candidates from gaining an unfair advantage through excessive self-financing, campaign finance laws may impose limits on the amount candidates can contribute to their own campaigns.
7. **Independent Expenditure Regulations:**
- Laws may regulate independent expenditures made by individuals or groups not directly affiliated with a candidate or political party. These regulations aim to prevent circumvention of contribution limits and enhance transparency.
8. **Regulation of Political Action Committees (PACs):**
- Laws often govern the activities of Political Action Committees, which are organizations that collect and distribute contributions to support or oppose political candidates. Regulations may include contribution limits and disclosure requirements for PACs.
9. **Enforcement Mechanisms and Penalties:**
- Effective campaign finance laws include enforcement mechanisms and penalties for violations. These may include fines, sanctions, or other legal consequences for candidates, contributors, or entities found in violation of campaign finance regulations.
10. **Monitoring and Oversight:**
- Regulatory bodies are typically designated to monitor and oversee compliance with campaign finance laws. These bodies may conduct audits, investigations, and reviews to ensure adherence to regulations and uncover potential violations.
11. **Post-Election Audits:**
- Some jurisdictions conduct post-election audits to review campaign finance reports and verify compliance with contribution limits and disclosure requirements after the election has concluded.
It's essential for these measures to be implemented and enforced effectively to achieve the intended goals of preventing corruption and promoting transparency in political financing. Individuals and entities involved in political campaigns should be aware of and comply with campaign finance laws to uphold the integrity of the electoral process.</t>
  </si>
  <si>
    <t>Can individuals take legal action against media outlets or individuals spreading false information about political corruption?</t>
  </si>
  <si>
    <t>In the Philippines, individuals have legal avenues to take action against media outlets or individuals spreading false information about political corruption. Several laws and legal principles may be relevant in addressing false information, defamation, and related offenses. Here are some considerations:
1. **Libel and Defamation Laws:**
- Individuals who believe they have been defamed by false information can file a libel complaint against the responsible parties. Libel laws in the Philippines criminalize the publication of false statements that harm the reputation of a person.
2. **Cybercrime Prevention Act of 2012 (Republic Act No. 10175):**
- The Cybercrime Prevention Act includes provisions related to online libel and cyber defamation. If false information is spread through online platforms, individuals may use this law to address the issue.
3. **False News and Other Similar Offenses:**
- There are legal provisions that may be invoked when false information is spread, especially if it relates to political corruption. The Revised Penal Code, for example, includes offenses related to false news and other acts that may disturb the public order.
4. **Right to Privacy:**
- Individuals also have the right to privacy, and false information that invades their privacy may be subject to legal action. The Data Privacy Act of 2012 (Republic Act No. 10173) protects individuals from the unauthorized processing of personal information.
5. **Civil Actions for Damages:**
- In addition to criminal charges, individuals who are harmed by false information may file civil actions for damages. This allows them to seek compensation for the harm caused to their reputation.
6. **Professional Codes of Ethics:**
- Journalists and media practitioners are expected to adhere to professional codes of ethics. If false information is disseminated by media outlets, individuals may raise complaints with the concerned media organizations or regulatory bodies, seeking corrective actions.
7. **Ombudsman Act (Republic Act No. 6770):**
- The Ombudsman has the authority to investigate and prosecute acts of corruption by public officials. Individuals can file complaints with the Office of the Ombudsman if they believe that false information is being spread as part of a corrupt practice.
8. **Election Offenses:**
- If false information is spread in the context of an election, individuals may explore legal actions under election laws. The Omnibus Election Code contains provisions addressing election offenses, including false information that may affect the electoral process.
It's important to note that legal actions should be pursued in accordance with existing laws and procedures. Consulting with legal professionals and authorities is advisable to determine the most appropriate course of action based on the specific circumstances and legal context. Additionally, the legal landscape may evolve, so it's essential to check for any updates or changes in relevant laws.</t>
  </si>
  <si>
    <t>How can individuals advocate for legislative reforms to strengthen anti-corruption measures in government?</t>
  </si>
  <si>
    <t>Here are some ways individuals can advocate for legislative reforms to strengthen anti-corruption measures in government:
**Raising Awareness and Public Support:**
* **Educate Yourself and Others:** Familiarize yourself with existing anti-corruption laws and identify areas where they can be strengthened. Share this information with others through social media, community forums, or educational workshops.
* **Organize Public Events:** Hold rallies, protests, or public discussions to raise awareness about the issue of corruption and garner public support for reform. * **Engage with Media:** Contact local media outlets and share your perspective on the need for legislative change. This can help generate public discussions and put pressure on policymakers.
**Lobbying and Advocacy:**
* **Identify Key Decision-Makers:** Research and identify the legislators who hold power in committees dealing with anti-corruption measures. These could be members of relevant committees or party leaders. * **Draft a Policy Proposal:** Outline specific legislative reforms you advocate for. This could involve increased transparency measures, stricter campaign finance regulations, or enhanced whistleblower protections.
* **Meet with Legislators:** Schedule meetings with your representatives or senators to present your policy proposal and explain its importance. Come prepared with data, research, and personal stories to illustrate the impact of corruption.
* **Mobilize Supporters:** Encourage friends, family, and community members to contact their legislators and express their support for the proposed reforms. This can demonstrate the public's demand for change.
**Building Coalitions and Collaborations:**
* **Partner with NGOs:** Anti-corruption advocacy groups and NGOs might have existing networks and resources that can amplify your voice. Partner with them to strategize and coordinate efforts.
* **Connect with Businesses:** Businesses can also be affected by corruption. Partner with business associations or chambers of commerce who might be interested in supporting reforms that create a fairer and more transparent business environment.
**Utilizing Technology and Online Platforms:**
* **Start an Online Petition:** Create an online petition outlining your demands for legislative reform and share it through social media and email campaigns. This can be a quick and effective way to gather signatures and demonstrate public support.
* **Utilize Social Media:** Use social media platforms to raise awareness, share information about corruption cases, and promote your advocacy efforts. Encourage others to share and use relevant hashtags.
**Staying Informed and Engaged:**
* **Follow Relevant Legislation:** Track legislative proposals related to anti-corruption and stay informed about their progress.
* **Monitor Campaign Finances:** Research campaign finance contributions and potential conflicts of interest among legislators who might be voting on such reforms.
* **Hold Officials Accountable:** Keep track of your elected officials' voting records on anti-corruption measures. If they don't support relevant reforms, communicate your disappointment and hold them accountable through your vote in the next election.
**Remember:**
* **Effective Advocacy Requires Persistence:** Legislative change can be a slow process. Be prepared for setbacks and remain persistent in your efforts.
* **Focus on Solutions, Not Just Criticism:** While highlighting the problem of corruption is important, focus on proposing concrete solutions and reforms. This demonstrates a constructive approach.
* **Stay Positive and Motivated:** Surround yourself with like-minded individuals who share your passion for fighting corruption. Celebrating small victories can help maintain motivation throughout the advocacy journey.
By following these steps and engaging in these activities, individuals can play a crucial role in advocating for legislative reforms to strengthen anti-corruption measures in government.</t>
  </si>
  <si>
    <t>Can individuals sue government agencies or departments for failing to prevent or address instances of political corruption?</t>
  </si>
  <si>
    <t>The ability of individuals to sue government agencies for failing to prevent or address political corruption depends on several factors, including the specific laws of the country and the nature of the lawsuit. Here's a breakdown of the possibilities:
**Challenges to Suing Government Agencies:**
* **Sovereign Immunity:** In many countries, the government enjoys a degree of sovereign immunity, which shields it from lawsuits except under specific circumstances. This doctrine protects the government from frivolous lawsuits and allows it to function effectively.
**Potential Avenues (Limited):**
* **Specific Laws Granting Right to Sue:** Some countries might have laws that allow lawsuits against the government for negligence or inaction in certain situations. These laws might be related to specific areas like environmental protection or public safety. However, such laws are not universally applicable to political corruption.
* **Constitutional Rights Violations:** If a government agency's failure to address corruption demonstrably violates an individual's constitutional rights (e.g., right to property, due process), there might be grounds for a lawsuit. However, proving such a clear violation can be difficult.
**Alternative Approaches:**
* **Public Interest Litigation (PIL):** In some jurisdictions, individuals or organizations can file Public Interest Litigation (PIL) to compel the government to take action on issues like corruption. PIL suits can raise awareness and put pressure on authorities to act.
* **Freedom of Information Requests:** Individuals can use Freedom of Information (FOI) laws to request access to government documents related to corruption investigations or prevention efforts. This can help expose wrongdoing and hold agencies accountable for inaction.
* **Lobbying and Advocacy:** Citizens can lobby for stronger anti-corruption legislation and stricter enforcement mechanisms. This can put pressure on the government to address the issue more effectively.
**Important Considerations:**
* **Legal Expertise:** Navigating lawsuits against government agencies is complex and requires specialized legal knowledge. Consulting a lawyer with experience in such cases is crucial.
* **Costs and Burdens:** Even if legal avenues exist, pursuing lawsuits against government agencies can be lengthy, expensive, and have uncertain outcomes.
**Conclusion:**
While directly suing government agencies for failing to prevent corruption might be difficult, alternative approaches can be effective in pressuring them to take action. These might involve PIL suits, FOI requests, or advocacy for legislative change.</t>
  </si>
  <si>
    <t>What role do plea bargains and immunity agreements play in prosecuting cases of political corruption?</t>
  </si>
  <si>
    <t>Plea bargains and immunity agreements can be powerful tools in prosecuting cases of political corruption, but they also come with potential drawbacks. Here's a breakdown of their roles and the considerations involved:
**Plea Bargains:**
* **Benefits:**
* **Faster Resolutions:** By pleading guilty to a lesser charge, defendants can avoid lengthy and expensive trials. This allows prosecutors to resolve cases more quickly and frees up resources for further investigations.
* **Cooperation:** Plea bargains can incentivize defendants to cooperate with prosecutors by providing information about higher-level officials involved in the corruption scheme. This can lead to uncovering a wider web of corruption and bringing down more powerful figures.
* **Confessions and Evidence:** A guilty plea can provide a public confession of wrongdoing, which can be damaging to the defendant's reputation and career. Additionally, plea bargains might involve the defendant surrendering evidence that strengthens the prosecution's case against themselves or others.
* **Drawbacks:**
* **Leniency for Powerful Individuals:** Critics argue that plea bargains can sometimes lead to lighter sentences for high-profile defendants, which can be seen as a slap on the wrist and fail to deliver true justice. * **Public Perception of Corruption:** The public might lose faith in the justice system if they perceive that corrupt officials are getting away with lenient punishments through plea bargains.
**Immunity Agreements:**
* **Benefits:**
* **Uncovering Masterminds:** Immunity from prosecution can be offered to lower-level participants in a corrupt scheme in exchange for their full cooperation. This can help prosecutors reach the higher-level individuals who orchestrated the corruption.
* **Obtaining Evidence:** Immunity agreements can incentivize witnesses to provide crucial testimony and evidence that would otherwise be unavailable, especially if they were also involved in the wrongdoing.
* **Drawbacks:**
* **Public Outrage:** The public might feel outraged if individuals who participated in corruption receive immunity, particularly if they don't face any consequences for their actions.
* **Protecting Key Players:** Critics argue that immunity agreements can sometimes shield the most important figures behind the corruption from ever being held accountable.
**Overall Considerations:**
* **Balancing Justice and Efficiency:** Prosecutors must carefully weigh the benefits of plea bargains and immunity agreements against the potential for leniency and public outrage.
* **Transparency in Negotiations:** Transparency in the negotiation process and the rationale behind plea bargains and immunity agreements can help address public concerns about fairness.
* **Severity of Corruption:** The severity of the corruption case should also be considered. Plea bargains and immunity agreements might be more justifiable in complex cases involving a web of corruption or when uncovering high-level figures is crucial.
**Conclusion:**
Plea bargains and immunity agreements can be valuable tools for dismantling political corruption, but they should be used strategically and with careful consideration for their potential downsides.</t>
  </si>
  <si>
    <t>Can individuals file lawsuits against foreign entities or governments involved in corrupt activities that impact domestic politics?</t>
  </si>
  <si>
    <t>The ability for individuals to sue foreign entities or governments for corrupt activities that impact domestic politics is complex and depends on several factors. Here's a breakdown:
**Generally Difficult:**
* **Sovereign Immunity:** Foreign governments enjoy sovereign immunity, which makes it difficult to sue them directly in most countries. This principle recognizes a nation's independence and prevents other countries from interfering in their internal affairs.
**Potential Avenues (Limited):**
* **Alien Tort Claims Act (ATCA) in the US:** This US law allows lawsuits against foreign entities for certain human rights violations, torture, or extrajudicial killings, even if they occur outside the US. However, it's a complex law with limitations and requires proving a specific connection to the US.
* **International Law:** International courts like the International Criminal Court (ICC) can hold individuals accountable for crimes against humanity, war crimes, and genocide. However, these courts have limited jurisdiction and don't typically handle everyday corruption cases.
* **Domestic Laws Addressing Foreign Corruption:** Some countries have laws targeting foreign bribery of their officials. These laws might allow individuals harmed by such corruption to take legal action, but the specific provisions and limitations vary by country.
**Alternative Approaches:**
* **Lobbying for Legislation:** Individuals and advocacy groups can lobby for stricter anti-corruption laws and enforcement mechanisms in their own countries. This can help deter foreign corrupt activities and hold domestic actors accountable for collaborating with foreign entities.
* **Public Pressure:** Raising public awareness through media campaigns and protests can put pressure on foreign governments and domestic officials to address corruption.
**Important Considerations:**
* **Legal Expertise:** Navigating lawsuits against foreign entities is complex and requires specialized legal expertise in international law. * **Costs and Challenges:** Even if legal avenues exist, pursuing lawsuits against foreign entities can be lengthy, expensive, and have uncertain outcomes.
**Conclusion:**
While directly suing foreign governments for corrupt activities is generally difficult, other avenues can be explored to address the issue. These might involve legal action against specific individuals involved, lobbying for legislative changes, or raising public awareness.</t>
  </si>
  <si>
    <t>How do lobbying disclosure laws help prevent undue influence and corruption in political decision-making?</t>
  </si>
  <si>
    <t>In January 2022, the Philippines does not have specific federal laws governing lobbying disclosure at the national level. However, it's essential to note that lobbying and related activities may be regulated through various laws, such as the Anti-Graft and Corrupt Practices Act (Republic Act No. 3019), Code of Conduct and Ethical Standards for Public Officials and Employees (Republic Act No. 6713), and other anti-corruption laws.
If there have been developments or new laws enacted since my last update, I recommend checking the most recent and authoritative legal sources for the latest information on lobbying disclosure laws in the Philippines.
That being said, I can provide a general perspective on how lobbying disclosure laws, when implemented effectively, can help prevent undue influence and corruption in political decision-making based on international best practices:
1. **Transparency and Accountability:**
- Lobbying disclosure laws require individuals or entities engaged in lobbying activities to publicly disclose their efforts. This transparency allows the public to understand who is attempting to influence government decisions and to what extent.
2. **Identifying Potential Conflicts of Interest:**
- Disclosures under lobbying laws can help identify potential conflicts of interest between lobbyists, public officials, and decision-makers. This transparency allows for scrutiny of relationships that could compromise the integrity of political decision-making.
3. **Monitoring and Oversight:**
- Lobbying disclosure laws usually establish mechanisms for monitoring and oversight. Regulatory bodies or government agencies can enforce compliance, investigate potential violations, and take corrective actions when necessary.
4. **Enhanced Public Trust:**
- By providing information about lobbying activities, disclosure laws contribute to building public trust in the political process. When citizens are aware of who is influencing decision-makers, they can better evaluate the legitimacy of those influences and hold public officials accountable.
5. **Preventing Hidden Influence:**
- Disclosure requirements prevent hidden or undisclosed lobbying activities that may lead to undue influence. By shedding light on these activities, lobbying disclosure laws help maintain the openness and fairness of the decision-making process.
6. **Regulating Financial Contributions:**
- Some lobbying disclosure laws include provisions related to financial contributions made by lobbyists or interest groups. Regulating such contributions helps prevent the use of financial incentives to gain favorable decisions.
7. **Informed Policy Debates:**
- Disclosure of lobbying activities allows policymakers, the media, and the public to have a more informed understanding of the various perspectives and interests involved in policy debates. This can lead to more balanced and well-informed decision-making.
It's crucial to tailor any analysis to the specific legal context of the Philippines and to consult the latest legal sources for the most accurate and up-to-date information on lobbying disclosure laws in the country.</t>
  </si>
  <si>
    <t>Can individuals file lawsuits against political action committees (PACs) or special interest groups that engage in corrupt practices?</t>
  </si>
  <si>
    <t>Yes, individuals can potentially file lawsuits against political action committees (PACs) or special interest groups that engage in corrupt practices. Legal avenues for such lawsuits may include various laws and regulations governing campaign finance, political activities, and corruption. In the Philippines, individuals may consider the following options:
1. **Violations of Campaign Finance Laws:**
- Laws governing campaign finance, such as the Omnibus Election Code, regulate contributions and expenditures during elections. If a PAC or special interest group is found to be involved in corrupt practices related to campaign finance, individuals may file complaints with the Commission on Elections (COMELEC).
2. **Anti-Graft and Corrupt Practices Act:**
- The Anti-Graft and Corrupt Practices Act (Republic Act No. 3019) addresses corruption in government and includes provisions that may be applicable to individuals or groups engaging in corrupt practices, including those associated with PACs or special interest groups.
3. **Whistleblower Protection:**
- The Whistleblower Protection Act (Republic Act No. 10660) provides protection to individuals who expose corruption or illegal activities. Whistleblowers can report corrupt practices associated with PACs or special interest groups, and they may be protected from retaliation under this law.
4. **Consumer Protection Laws:**
- Depending on the nature of the corrupt practices and their impact on individuals, consumer protection laws may be relevant. If individuals are harmed or misled by deceptive practices of PACs or special interest groups, they may explore legal remedies under consumer protection laws.
5. **Violation of Election Laws:**
- Apart from campaign finance laws, other election-related laws, such as the Fair Elections Act, may have provisions addressing corrupt practices during elections. Individuals may file complaints with relevant election authorities if there is evidence of violations by PACs or special interest groups.
6. **Judicial Review of Administrative Actions:**
- Individuals may explore seeking judicial review of administrative actions by filing cases before the courts, particularly the Supreme Court, to challenge decisions or actions by regulatory bodies such as the COMELEC.
It's essential for individuals considering legal action against PACs or special interest groups to consult with legal professionals to determine the most appropriate legal avenues and strategies. The success of such lawsuits would depend on the specific circumstances of the case, the evidence presented, and the applicable laws and regulations. Legal advice can help individuals navigate the complexities of the legal system and ensure that their claims are properly addressed.</t>
  </si>
  <si>
    <t>How do transparency and accountability measures in government help prevent political corruption?</t>
  </si>
  <si>
    <t>Transparency and accountability measures in government are fundamental tools in preventing political corruption. Here's how they work:
**Transparency:**
* **Reduces Secrecy:** By making government activities and decision-making processes more transparent, there's less opportunity for corrupt practices to occur in the shadows. Citizens and watchdogs can monitor government actions and identify potential red flags.
* **Public Scrutiny:** Transparency allows for public scrutiny of government spending, contracts, and policies. This discourages officials from engaging in corrupt activities, knowing they'll be subject to public oversight and potential exposure.
* **Informed Public:** An informed public can hold government officials accountable if they suspect corruption. Transparency empowers citizens to participate in the democratic process and advocate for good governance.
**Examples of Transparency Measures:**
* **Open Data Initiatives:** Making government data like budgets, contracts, and legislative proceedings readily available online allows for easier public access and analysis.
* **Freedom of Information Laws:** Laws granting citizens the right to access government information empower them to seek details about government operations and hold officials accountable.
* **Public Hearings and Disclosures:** Holding public hearings for matters like budgeting or awarding contracts allows for public participation and scrutiny, reducing the risk of backroom deals.
**Accountability:**
* **Enforcement Mechanisms:** Strong enforcement mechanisms are crucial. This includes having independent anti-corruption agencies with the power to investigate allegations and impose sanctions on corrupt officials.
* **Whistleblower Protection:** Robust whistleblower protection programs encourage individuals with knowledge of corruption to come forward without fear of retribution. This allows for early detection and investigation of corrupt activities.
* **Independent Judiciary:** An independent judiciary free from political influence is essential for holding corrupt officials accountable through fair trials and appropriate punishments.
**Combined Impact:**
Transparency and accountability work together to create a system where corruption is less likely to occur and easier to detect. When citizens and institutions can hold government officials accountable for their actions, the incentive to engage in corrupt practices is significantly reduced.
**Additional Points:**
* **Civil Society Participation:** An active and engaged civil society plays a crucial role in promoting transparency and accountability. Grassroots organizations, media watchdogs, and citizen-led initiatives can contribute to exposing corruption and advocating for reforms.
* **Education and Public Awareness:** Raising public awareness about corruption and its consequences is essential. Educating citizens about transparency and accountability measures empowers them to participate in the fight against corruption.
**Overall, transparency and accountability measures are not a guaranteed solution, but they are powerful tools for deterring, detecting, and combating political corruption. By creating an environment of openness and holding officials accountable, these measures can help ensure a more ethical and efficient government.**</t>
  </si>
  <si>
    <t>Can individuals challenge the constitutionality of laws or regulations that facilitate political corruption?</t>
  </si>
  <si>
    <t>Yes, individuals in the Philippines can challenge the constitutionality of laws or regulations that facilitate political corruption. The right to question the constitutionality of laws is a fundamental aspect of the legal system, and individuals can seek redress through the judicial process. The Philippines follows the principle of judicial review, which allows the courts, particularly the Supreme Court, to review and declare laws or regulations unconstitutional.
Here are key points related to challenging the constitutionality of laws or regulations that facilitate political corruption:
1. **Judicial Review:**
- The power of judicial review is embedded in the Philippine Constitution. Article VIII, Section 1 of the Constitution grants the judiciary the authority to review the constitutionality of laws and government actions. Courts can declare a law or regulation unconstitutional if it violates the provisions of the Constitution.
2. **Petition for Certiorari, Prohibition, or Mandamus:**
- Individuals challenging the constitutionality of laws or regulations may file a petition for certiorari, prohibition, or mandamus before the Supreme Court, depending on the circumstances. These legal remedies enable individuals to question the validity of laws that may facilitate political corruption.
3. **Constitutional Rights and Principles:**
- Individuals challenging the constitutionality of laws may base their arguments on specific constitutional rights and principles, such as the right to equal protection, due process, and the principles of accountability and transparency in government.
4. **Public Interest Standing:**
- The Supreme Court recognizes the concept of "public interest standing," allowing individuals or groups to challenge laws or government actions that affect the public interest. This means that concerned citizens can initiate legal actions to protect the welfare of the general public.
5. **Prohibition of Special Laws Favoring Political Dynasties:**
- The Philippine Constitution also prohibits the enactment of any law that establishes political dynasties, as stated in Article II, Section 26. Individuals may challenge laws that appear to perpetuate political dynasties, which can be associated with corruption concerns.
6. **Presumption of Constitutionality:**
- It's important to note that there is a presumption of constitutionality for laws and regulations. The burden is on the individual challenging the law to demonstrate its unconstitutionality. This requires a careful legal argument supported by relevant constitutional provisions and jurisprudence.
Individuals seeking to challenge the constitutionality of laws or regulations that facilitate political corruption should seek legal advice from qualified attorneys. Legal professionals can provide guidance on the specific legal avenues, arguments, and procedures necessary for a successful constitutional challenge.</t>
  </si>
  <si>
    <t>What role do judicial oversight and review play in ensuring accountability for cases of political corruption?</t>
  </si>
  <si>
    <t>Judicial oversight and review play a vital role in ensuring accountability for cases of political corruption in the Philippines. Here's how:
* **Impartial Review of Actions:** The judiciary acts as an independent check on the power of government officials. Courts can review the legality of actions taken by government officials, including those suspected of being corrupt. * If an official's actions are found to be illegal or constitute an abuse of power, the court can overturn the decision or impose penalties. This deters corruption and reinforces the rule of law.
* **Upholding Anti-Corruption Laws:** Courts play a crucial role in interpreting and enforcing anti-corruption laws like Republic Act No. 3019 (Anti-Graft and Corrupt Practices Act). Clear and consistent rulings by the courts strengthen the legal framework for combating corruption.
* **Sanctioning Corrupt Officials:** Through criminal prosecution, courts can convict government officials found guilty of corruption offenses. This can lead to imprisonment, fines, and disqualification from holding public office. This serves as a punishment for corruption and discourages similar acts by others.
* **Protecting Whistleblowers:** The Philippines has a Witness Protection Program. Courts can grant whistleblowers who expose corruption protection from retaliation, encouraging them to come forward with evidence.
* **Mandating Transparency:** Courts can order government agencies to disclose information related to alleged corruption cases. This transparency strengthens public scrutiny and deters corrupt practices.
**Challenges and Limitations:**
* **Judicial Independence:** An effective judicial system requires strong judicial independence, free from undue influence or pressure from other branches of government.
* **Case Backlog:** The Philippine court system faces a backlog of cases, which can lead to delays in resolving corruption cases.
* **Complexity of Corruption Cases:** Corruption cases can be intricate, requiring specialized skills and resources for investigation and prosecution.
**Overall Significance:**
Despite the challenges, judicial oversight and review remain a critical pillar in the fight against corruption. A strong and independent judiciary holds government officials accountable, deters corrupt practices, and upholds the rule of law in the Philippines.</t>
  </si>
  <si>
    <t>Can individuals take legal action against government officials who abuse their power for personal or political gain?</t>
  </si>
  <si>
    <t>Yes, individuals in the Philippines can take legal action against government officials who abuse their power for personal or political gain. Here are several avenues available under Philippine law:
**1. Filing Criminal Charges:**
* **Specific Anti-Corruption Laws:** The Philippines has several laws that penalize specific acts of corruption by public officials. * **Republic Act No. 3019 (Anti-Graft and Corrupt Practices Act):** This is the main law that defines and penalizes various corrupt practices by government officials, including bribery, misuse of public funds, and causing undue injury to any party through manifest partiality or evident bad faith.
* **Other Laws:** Depending on the nature of the abuse of power, other laws like the Code of Conduct and Ethical Standards for Public Officials and Employees (RA No. 6713) may also be applicable. * **Filing a Complaint:** Individuals can file a criminal complaint with the appropriate authorities, such as the Office of the Ombudsman or the National Bureau of Investigation (NBI). Evidence to support the allegations is crucial.
**2. Filing an Administrative Case:**
* **Disciplinary Action:** Individuals can file an administrative case against the government official with their agency or the Civil Service Commission (CSC). This can lead to disciplinary actions like suspension, dismissal, or forfeiture of retirement benefits.
**3. Civil Lawsuit:**
* **Damages:** If the abuse of power resulted in direct harm, individuals can file a civil lawsuit against the government official for damages. For example, if a business permit was wrongfully denied due to corruption, the business owner could sue for lost profits. **4. Public Interest Litigation (PIL):**
* **Protecting Public Interest:** In some cases, public interest litigation might be an option. This allows citizens to sue to protect environmental or other public interests, even if they haven't suffered direct harm themselves. (Rule 65, Rules of Court) This could be applicable for widespread corruption that harms the public good.
**Important Considerations:**
* **Gathering Evidence:** Building a strong case requires presenting evidence of the abuse of power. This can be challenging and may involve witness testimonies or documentary proof.
* **Legal Representation:** Corruption cases can be complex. Consulting a lawyer experienced in anti-corruption law is highly recommended. They can advise on the most suitable course of legal action.
* **Potential Challenges:** Taking legal action against powerful individuals can be lengthy and challenging. Persistence and a strong case are crucial.
**Conclusion:**
While taking legal action against corrupt government officials isn't easy, Philippine law provides avenues for individuals to hold them accountable. By pursuing these options, citizens can help combat corruption and promote good governance.</t>
  </si>
  <si>
    <t>How do anti-corruption treaties and international agreements impact efforts to combat political corruption?</t>
  </si>
  <si>
    <t>Anti-corruption treaties and international agreements play a significant role in combating political corruption by establishing a global framework for cooperation and enforcement. Here's how they contribute to the fight against corruption:
* **Setting Standards and Benchmarks:** These agreements establish international standards and benchmarks for what constitutes corruption and how countries should address it. This creates a common understanding and strengthens national anti-corruption efforts. (e.g., United Nations Convention Against Corruption [UNCAC])
* **Promoting Transparency and Accountability:** Treaties often require member states to implement measures that promote transparency in government budgeting, procurement, and campaign financing. This reduces opportunities for corrupt practices. * **Enhancing International Cooperation:** Agreements facilitate cooperation between countries in investigations, asset recovery, and extradition of corrupt officials. This makes it harder for corrupt actors to hide stolen assets or escape prosecution.
* **Peer Review Mechanism:** Some treaties include mechanisms for reviewing a country's anti-corruption efforts. This peer pressure encourages continuous improvement in legal frameworks and enforcement practices.
* **Civil Society Participation:** Certain agreements recognize the crucial role of civil society in fighting corruption. They might encourage measures to protect whistleblowers and promote public participation in anti-corruption initiatives. **Limitations of Treaties:**
* **Enforcement Challenges:** International agreements often rely on member states to enforce the provisions within their own legal systems. This can be challenging due to varying levels of political will and enforcement capacity across countries.
* **Lack of Universal Participation:** While many countries have signed anti-corruption treaties, not all nations participate. This limits the overall effectiveness in creating a truly global response to corruption.
**Examples of Anti-Corruption Treaties:**
* **United Nations Convention Against Corruption (UNCAC):** The most comprehensive global anti-corruption treaty, ratified by over 180 countries, including the Philippines. It covers a wide range of corruption offenses and promotes international cooperation.
* **Organization of American States Inter-American Convention Against Corruption (OAS IACAC):** A regional agreement focusing on cooperation and mutual legal assistance among member states in the Americas.
**Overall Impact:**
Anti-corruption treaties and international agreements are valuable tools for combating political corruption. They establish a global framework for cooperation, promote transparency and accountability, and create pressure on countries to strengthen their anti-corruption efforts. However, their effectiveness depends on strong national implementation, enforcement mechanisms, and broader participation from all nations.</t>
  </si>
  <si>
    <t>Can individuals sue government contractors or vendors involved in corrupt activities that harm the public interest?</t>
  </si>
  <si>
    <t>Yes, individuals in the Philippines may be able to sue government contractors or vendors involved in corrupt activities that harm the public interest. Here's how Philippine law might provide avenues for such a lawsuit:
* **Civil Klage (Civil Lawsuit):**
* Individuals who have suffered harm due to the corrupt activity can file a civil lawsuit against the government contractor/vendor for damages. This applies if the corrupt act directly caused them financial loss or other damages. (Civil Code, Article 20)
* **Public Interest Litigation:**
* Philippine law allows public interest litigation, where citizens can sue to protect environmental or other public interests, even if they haven't suffered direct harm themselves. (Rule 65, Rules of Court) This could potentially apply to suing a contractor/vendor whose corrupt actions resulted in public harm.
* **Taxpayer's Suit:**
* As a taxpayer, you might have the right to file a lawsuit (taxpayer's suit) if you believe government funds were misused due to the contractor/vendor's corrupt activities. (See jurisprudence on taxpayer's suits)
**Challenges and Considerations:**
* **Gathering Evidence:** Successfully suing for corruption requires presenting strong evidence of the wrongdoing. This can be challenging.
* **Legal Representation:** Corruption cases can be complex. Consulting a lawyer experienced in public interest litigation or anti-corruption law is highly recommended.
**Alternative Actions:**
* **Reporting Corruption:** Individuals can report suspected corruption to government agencies like the Office of the Ombudsman or the Commission on Audit.
**Disclaimer:**
This is not legal advice. The specific legal options available will depend on the exact circumstances of the corruption case. Consulting with a qualified lawyer is crucial to understand the best course of action.</t>
  </si>
  <si>
    <t>How do defamation laws protect individuals who report instances of political corruption from retaliation?</t>
  </si>
  <si>
    <t>Defamation laws can play a role in protecting individuals who report instances of political corruption from retaliation, but the application of these laws may vary depending on the circumstances. In the Philippines, defamation laws can be invoked to protect individuals who make truthful and fair reports about political corruption. Here are some key points related to defamation laws and protection against retaliation:
1. **Truth as a Defense:**
- In the Philippines, truth is generally considered a defense against defamation claims. If an individual reports instances of political corruption and the statements made are true, this can serve as a strong defense in the event of a defamation lawsuit. However, it's important that the statements are accurate and can be substantiated with evidence.
2. **Qualified Privilege:**
- Qualified privilege may also provide protection in certain situations where individuals report political corruption. Qualified privilege recognizes the right of individuals to make statements in the public interest or for the common good, even if those statements turn out to be false, as long as they were made without malice. This privilege is subject to certain conditions and limitations.
3. **Anti-SLAPP Laws:**
- Anti-SLAPP (Strategic Lawsuit Against Public Participation) laws are designed to protect individuals from lawsuits that aim to intimidate or silence them for engaging in public participation, including reporting on matters of public concern. While the Philippines does not have a specific federal anti-SLAPP law, local ordinances or judicial decisions may offer similar protections.
4. **Whistleblower Protection:**
- Whistleblower protection laws, such as Republic Act No. 10660 (Whistleblower Protection Act), can shield individuals from retaliation when reporting corruption. These laws provide immunity from civil, criminal, or administrative liability for whistleblowers, as long as the information disclosed is not knowingly false.
5. **Public Interest Considerations:**
- Defamation laws often take into account the public interest in allowing individuals to report on matters of public concern, including political corruption. Courts may weigh the importance of the information being shared against potential harm to reputation when assessing defamation claims.
6. **Fair Comment and Criticism:**
- Defamation laws may recognize the right to fair comment and criticism, particularly when individuals express opinions or make statements based on honest belief or reasonable grounds. This protection applies when commenting on matters of public interest, such as political corruption.
It's essential for individuals to exercise caution and responsibility when reporting instances of political corruption to ensure that their statements are truthful and made in good faith. Consulting with legal professionals can provide guidance on how to navigate defamation laws and potential defenses in the context of reporting on matters of public concern.</t>
  </si>
  <si>
    <t>Can individuals file lawsuits against social media platforms or technology companies that facilitate political corruption through misinformation or manipulation?</t>
  </si>
  <si>
    <t>As of my last knowledge update in January 2022, individuals in the Philippines can take legal action against social media platforms or technology companies that facilitate political corruption through misinformation or manipulation, although the specific legal avenues may vary. Below are some potential grounds for legal action:
1. **Anti-Cybercrime Laws:**
- The Cybercrime Prevention Act of 2012 (Republic Act No. 10175) criminalizes various online activities, including offenses related to the illegal access to computer systems, data interference, and computer-related fraud. If misinformation or manipulation occurs through cybercrime activities, individuals may consider filing complaints under this law.
2. **Civil Liability for Online Libel:**
- The Philippines has laws addressing online libel, including the Revised Penal Code and the Cybercrime Prevention Act. If false and damaging information is spread on social media platforms, affected individuals may explore the possibility of filing libel cases against the parties responsible.
3. **Data Privacy Act:**
- The Data Privacy Act of 2012 (Republic Act No. 10173) regulates the processing of personal information. If the dissemination of misinformation involves the unauthorized use or disclosure of personal data, individuals may consider legal action under this law.
4. **Election-related Laws:**
- Depending on the nature of the misinformation or manipulation and its impact on elections, individuals may also explore legal options under election-related laws, such as the Omnibus Election Code.
5. **Consumer Protection Laws:**
- Consumer protection laws may come into play if individuals can demonstrate that they were misled or harmed by false information disseminated through social media platforms. The Consumer Act of the Philippines (Republic Act No. 7394) provides some legal avenues for protection against deceptive acts or practices.
6. **Class Action Lawsuits:**
- In some cases, affected individuals may consider pursuing class action lawsuits against social media platforms or technology companies, seeking remedies for a group of people who have suffered similar harm.
It's important to note that legal action against social media platforms and technology companies may face challenges, including issues related to jurisdiction, the identification of responsible parties, and the interpretation of existing laws. Additionally, laws and regulations may evolve, and new developments may occur after my last update.
Individuals seeking to file lawsuits should consult with legal professionals who can provide guidance based on the most current legal landscape in the Philippines. Legal advice can help individuals understand the specific elements needed for a successful case and navigate the complexities of the legal system.</t>
  </si>
  <si>
    <t>How do ethics codes and standards of conduct for public officials help prevent political corruption?</t>
  </si>
  <si>
    <t>The Philippines has a well-established framework of ethics codes and standards of conduct for public officials that play a significant role in preventing political corruption. Here's how they work:
**Setting Clear Expectations:**
* **The Constitution:** The 1987 Philippine Constitution enshrines public accountability and mandates the state to promote a just and honest society [https://www.officialgazette.gov.ph/constitutions/1987-constitution/](https://www.officialgazette.gov.ph/constitutions/1987-constitution/).
* **Republic Acts (RAs):** Several RAs establish ethical guidelines for public officials. A key one is RA No. 6713, also known as the "Code of Conduct and Ethical Standards for Public Officials and Employees." This law outlines principles like integrity, patriotism, and selflessness, and prohibits acts like nepotism, conflict of interest, and receiving gifts. **Promoting Transparency and Accountability:**
* **Disclosure Requirements:** Officials are required to disclose their financial interests and submit Statements of Assets, Liabilities, and Net Worth (SALNs) to promote transparency and deter conflicts of interest.
* **Ombudsman and Commissions:** The Office of the Ombudsman investigates complaints against public officials for violations of the Code of Conduct. Other commissions, like the Commission on Audit (COA), oversee government spending and identify potential irregularities.
**Deterring Wrongdoing:**
* **Disciplinary Actions:** Violations of the Code can lead to disciplinary actions, ranging from reprimands to dismissal from service.
* **Public Scrutiny:** The existence of a well-defined code and potential consequences raise public awareness and make officials more cautious about engaging in corrupt practices.
**Limitations to Consider:**
* **Enforcement:** Effective enforcement relies on well-resourced institutions like the Ombudsman's office. Delays or a lack of strong penalties can weaken the system.
* **Cultural Factors:** "Palabra" system (reliance on personal connections) and a culture of non-confrontation can make whistleblowing and holding officials accountable more challenging. **Overall, despite limitations, ethics codes and standards of conduct are a crucial line of defense against political corruption in the Philippines. They set clear expectations, promote transparency, and deter wrongdoing by public officials.**</t>
  </si>
  <si>
    <t>Can individuals challenge the constitutionality of laws or regulations that limit transparency and accountability in government?</t>
  </si>
  <si>
    <t>Yes, individuals in the Philippines can challenge the constitutionality of laws or regulations that limit transparency and accountability in government. The right to question the constitutionality of laws is anchored in the principle of judicial review, which allows the courts to examine and strike down laws that are deemed unconstitutional.
The primary legal mechanism for challenging the constitutionality of laws in the Philippines is the filing of a petition for judicial review before the Supreme Court. The Supreme Court has the authority to declare a law or regulation unconstitutional and, in doing so, nullify its effect. Here are key points related to challenging the constitutionality of laws:
1. **Judicial Review:**
- The power of judicial review is vested in the judiciary, particularly the Supreme Court, by the Philippine Constitution. Article VIII, Section 1 provides that judicial power includes the duty to determine whether there has been a grave abuse of discretion amounting to lack or excess of jurisdiction on the part of any branch or instrumentality of the government.
2. **Writ of Certiorari, Prohibition, and Mandamus:**
- Individuals or groups challenging the constitutionality of laws may file a petition for certiorari, prohibition, or mandamus, depending on the circumstances. These legal remedies allow individuals to question the validity of laws or regulations that may impede transparency and accountability.
3. **Constitutional Rights and Protections:**
- Individuals may base their challenge on specific constitutional rights and protections, such as the right to information (Article III, Section 7), the right to due process, and the principle of accountability in public service.
4. **Public Interest Standing:**
- The Supreme Court recognizes the concept of "public interest standing," allowing individuals or groups to challenge laws or government actions that affect the public interest. This means that concerned citizens can initiate legal actions to protect the welfare of the general public.
5. **Role of Advocacy Groups and Civil Society:**
- Advocacy groups and civil society organizations often play a significant role in initiating legal challenges against laws or regulations that may hinder transparency and accountability. They can act as petitioners in cases before the courts.
It's important to note that the success of a constitutional challenge depends on various factors, including the legal arguments presented, the specific constitutional provisions invoked, and the circumstances of the case. Seeking legal advice from a qualified attorney is crucial when considering a constitutional challenge to ensure that the legal process is navigated effectively.</t>
  </si>
  <si>
    <t>What legal protections exist for government whistleblowers who expose instances of political corruption?</t>
  </si>
  <si>
    <t>In the Philippines, legal protections for government whistleblowers who expose instances of political corruption are provided under the "Whistleblower Protection Act" or Republic Act No. 10660. This law was enacted to encourage individuals to report corruption, wrongdoing, and other illegal activities within the government. Here are key provisions related to the legal protections for whistleblowers:
1. **Confidentiality of Identity:**
- The Whistleblower Protection Act ensures the confidentiality of the whistleblower's identity. The law prohibits the disclosure of the whistleblower's identity without their consent, except in certain circumstances as provided by law.
2. **Immunity from Prosecution:**
- Whistleblowers are granted immunity from civil, criminal, or administrative liability for their disclosures, provided that the information disclosed is not knowingly false.
3. **Protection from Retaliation:**
- The law prohibits any form of retaliation, reprisal, or harassment against the whistleblower. This includes protection against dismissal, suspension, demotion, harassment, or any discriminatory action by their employers or colleagues in response to their whistleblowing activities.
4. **Compensation and Rehabilitation:**
- Whistleblowers who suffer harassment or retaliation are entitled to compensation for damages. The law also mandates the rehabilitation of the whistleblower, which may include reinstatement, payment of back wages, and other appropriate measures.
5. **Establishment of Whistleblower Protection Office (WPO):**
- The Whistleblower Protection Act establishes the Whistleblower Protection Office (WPO) under the Office of the Ombudsman. The WPO is responsible for receiving and evaluating complaints, ensuring the protection of whistleblowers, and coordinating with other relevant agencies.
6. **Procedures for Disclosures:**
- The law outlines procedures for making disclosures and ensures that whistleblowers have access to appropriate channels for reporting corruption. Whistleblowers are encouraged to follow established procedures to ensure the proper handling of their disclosures.
It's important to note that the Whistleblower Protection Act is a significant legal framework that provides comprehensive protection for individuals who expose instances of political corruption within the government. Whistleblowers can play a crucial role in promoting transparency and accountability, and these legal protections aim to encourage their participation without fear of reprisals.</t>
  </si>
  <si>
    <t>How do campaign finance disclosure requirements help prevent undisclosed or illegal contributions that could lead to political corruption?</t>
  </si>
  <si>
    <t>Campaign finance disclosure requirements in the Philippines play a crucial role in promoting transparency, accountability, and preventing undisclosed or illegal contributions that may lead to political corruption. The key mechanisms by which these requirements help prevent such issues are outlined below, based on Philippine laws, regulations, and the constitution:
1. **Transparency and Accountability:**
- **Republic Act No. 7166 (Synchronized National and Local Elections Law):** This law mandates candidates, political parties, and party-list groups to submit a full, true, and itemized statement of their contributions and expenditures during the campaign period. This includes details of donors and the amounts contributed.
- **COMELEC Resolution No. 10429 (Guidelines for the Filing of Campaign Finance Statements and Reports):** The Commission on Elections (COMELEC) issues guidelines for the filing of campaign finance statements, specifying the information candidates must disclose. This ensures transparency and enables the public to scrutinize the financial activities of political entities.
2. **Monitoring and Enforcement:**
- **COMELEC Oversight:** The COMELEC monitors and oversees the compliance of candidates and political parties with campaign finance disclosure requirements. By regularly checking the submitted reports, the COMELEC can identify any irregularities or discrepancies that may indicate undisclosed or illegal contributions.
- **Penalties for Non-Compliance:** Failure to comply with campaign finance disclosure requirements may result in penalties, fines, or disqualification from holding public office. The threat of these consequences serves as a deterrent against engaging in illegal or undisclosed financial activities.
3. **Prevention of Unlawful Contributions:**
- **Prohibition on Certain Contributions:** Philippine laws, such as the Omnibus Election Code, prohibit certain contributions, including those from foreign sources and government entities. Campaign finance disclosure requirements help identify and prevent such unlawful contributions by requiring detailed reporting and verification.
- **Source of Funds Verification:** Disclosing the sources of campaign funds allows authorities to verify the legality of contributions. If undisclosed or illegal contributions are suspected, the authorities can investigate and take appropriate legal action.
4. **Public Awareness and Scrutiny:**
- **Access to Information:** By making campaign finance reports publicly available, citizens, media, and watchdog organizations can scrutinize the financial activities of candidates and political parties. This public awareness acts as a deterrent to corrupt practices and promotes a more informed electorate.
- **Media Oversight:** Media outlets often play a role in reporting on campaign finance disclosures, bringing attention to any discrepancies or potential violations. This additional layer of scrutiny contributes to the prevention of illegal contributions and corruption.
In summary, campaign finance disclosure requirements in the Philippines serve as a multifaceted tool to prevent undisclosed or illegal contributions that could lead to political corruption. By fostering transparency, enabling monitoring and enforcement, and promoting public awareness, these requirements contribute to the integrity of the electoral process.</t>
  </si>
  <si>
    <t>Can individuals file lawsuits against government officials who engage in nepotism or cronyism to benefit themselves or their associates?</t>
  </si>
  <si>
    <t>The answer to whether individuals can sue government officials for nepotism or cronyism depends on a few factors:
* **Specifics of the case:** There needs to be evidence of harm caused by the official's actions. For nepotism or cronyism alone, without resulting damages, a lawsuit might be difficult. * **Laws and regulations:** Many countries and localities have ethics codes or anti-corruption laws that prohibit government officials from giving preferential treatment to relatives or close associates. A lawsuit could be based on a violation of these codes.
* **Standing to sue:** The individual suing needs to demonstrate they have been personally harmed by the official's actions. For instance, if a qualified candidate was passed over for a job in favor of a relative of the official, they might have a stronger case.
Here are some ways individuals might challenge nepotism or cronyism:
* **Filing a complaint with an ethics commission or oversight body:** These bodies can investigate the allegations and potentially impose sanctions on the official.
* **Seeking injunctive relief:** A court order could be sought to prevent the official from taking a specific action, such as awarding a contract to a friend.
**Overall, while directly suing for nepotism or cronyism might be challenging, there are avenues for individuals to address such behavior.** Consulting with a lawyer specializing in government ethics or administrative law would be the best course of action to determine the most effective way to proceed in a specific situation.</t>
  </si>
  <si>
    <t>How do independent ethics commissions or oversight bodies contribute to detecting and preventing political corruption?</t>
  </si>
  <si>
    <t>Independent ethics commissions or oversight bodies act as watchdogs, playing a crucial role in maintaining ethical conduct and preventing political corruption. Here's how:
* **Enforcement:** They enforce ethics codes and laws. This can involve investigating complaints, issuing rulings on violations, and recommending or even imposing sanctions. * **Transparency:** Commissions promote transparency by requiring financial disclosures from public officials, making ethics codes public, and holding open hearings on complaints. This public scrutiny deters potential wrongdoing.
* **Education and Guidance:** They can provide educational resources and guidance to government officials on ethical conduct, helping them avoid conflicts of interest and other ethical lapses.
* **Public Trust:** By demonstrating a commitment to accountability, ethics commissions can help rebuild public trust in government. When citizens see that wrongdoing is investigated and addressed, they are more likely to believe that their government is acting in their best interests.
* **Prevention:** The very existence of an independent oversight body discourages unethical behavior. Officials are less likely to engage in corrupt practices if they know they could be caught and held accountable.
Here are some limitations to consider:
* **Effectiveness depends on design and resources.** A commission needs sufficient power and resources to conduct thorough investigations and enforce its rulings.
* **Political influence.** The appointment process and composition of the commission can be crucial. If it's susceptible to political influence, its effectiveness can be hampered.
Overall, independent ethics commissions are a key part of a comprehensive strategy to combat political corruption. They can help to deter wrongdoing, promote transparency, and rebuild public trust in government.</t>
  </si>
  <si>
    <t>Can individuals take legal action against political parties or candidates for engaging in voter suppression or election fraud as a form of political corruption?</t>
  </si>
  <si>
    <t>As of my last knowledge update in January 2022, the information provided is based on Philippine laws, regulations, and the constitution available up to that date. Please note that there may have been changes or developments since then, so it's always a good idea to consult with a legal professional or check the latest legal sources for the most current information.
In the Philippines, individuals can take legal action against political parties or candidates for engaging in voter suppression or election fraud. Various laws and regulations govern elections in the Philippines, and several legal mechanisms are in place to address electoral offenses and political corruption. Some relevant legal provisions include:
1. **Republic Act No. 9369 (Automated Elections Law):** This law provides for the use of an automated election system and outlines offenses related to automated elections, including tampering with the automated election system, unauthorized access, and related offenses.
2. **Republic Act No. 10175 (Cybercrime Prevention Act of 2012):** This law includes provisions related to offenses committed using information and communication technologies, which may be applicable to election-related crimes committed through digital means.
3. **Republic Act No. 8436 (The Automated Election System Law):** This law establishes the legal framework for the automated election system in the Philippines.
4. **Omnibus Election Code (Batas Pambansa Blg. 881):** This law covers various election offenses, including vote-buying, coercion, and other fraudulent activities during elections.
5. **Anti-Graft and Corrupt Practices Act (Republic Act No. 3019):** This law addresses corruption in government and may be invoked if there is evidence of corruption related to electoral processes.
Individuals who believe they have witnessed voter suppression or election fraud can file complaints with relevant authorities such as the Commission on Elections (COMELEC) or the Department of Justice (DOJ). It's advisable for individuals to consult with legal professionals to determine the specific legal avenues and procedures for pursuing such cases.
Keep in mind that legal processes and provisions may have evolved since my last update, so it's crucial to verify the latest information from authoritative legal sources.</t>
  </si>
  <si>
    <t>What legal avenues are available for individuals to address corruption within government agencies or departments?</t>
  </si>
  <si>
    <t>While the Philippines legal framework focuses on prosecuting corrupt officials and preventing corruption, direct legal avenues for individuals harmed by government corruption are limited. Here's a breakdown of the options available:
**Limited Direct Lawsuits:**
* Philippine law generally prioritizes criminal and administrative sanctions for corrupt practices rather than private lawsuits by individuals (RA 3019, RA 6770). This means the government, not necessarily the individual, prosecutes the offense.
* **Exception (limited applicability):** There might be a possibility for a lawsuit if the corrupt practices directly caused the individual **harm beyond** the general public harm. However, legal precedent for such cases is not well-established, making it a challenging path.
**Alternative Avenues for Individuals:**
* **Reporting Corruption:** Individuals can still play a crucial role by reporting suspected corruption to relevant authorities. This empowers them to initiate investigations that might lead to prosecution and ultimately reduce future harm. Reporting can be done with:
* The Office of the Ombudsman (RA 6770)
* The agency in charge of the specific government contract or service
* **Citizen Suits (Limited Applications):** In specific scenarios, laws like the Philippine Environmental Impact Statement System (RA 1658) allow lawsuits against government agencies for environmental violations. This could **potentially** apply if corruption led to specific environmental damage harming an individual beyond the general public harm.
* **Seeking Compensation Through Government Agencies:** In some instances, government agencies may have mechanisms for compensating individuals who have suffered losses due to administrative errors or negligence (not necessarily corruption). It's important to inquire with the relevant agency about such possibilities.
**Focus on Holding Government Accountable:**
The Philippine legal framework emphasizes holding government officials accountable for preventing and addressing corruption. This can benefit individuals indirectly by:
* **Sanctions for Corrupt Officials:** Laws like RA 3019 (Anti-Graft and Corrupt Practices Act) penalize government officials who engage in corrupt practices. This deters corruption and discourages future harm to individuals.
* **Improved Public Services:** By combating corruption, the government can allocate resources more efficiently, potentially leading to better quality public services like healthcare, education, and infrastructure. This can indirectly benefit individuals by improving their overall well-being.
**Conclusion:**
While directly suing for damages from government corruption might be difficult, individuals can still play a role in seeking remedies by reporting corruption and holding government accountable. The legal framework focuses on deterring corrupt practices and improving governance, which can indirectly benefit Filipinos by ensuring a more efficient and ethical government.</t>
  </si>
  <si>
    <t>Can you explain the specific laws or regulations that govern corruption within government institutions?</t>
  </si>
  <si>
    <t>The Philippines has a framework of laws and regulations aimed at preventing and prosecuting corruption within government institutions. Here's a breakdown of the key ones:
**Main Anti-Corruption Law:**
* **Republic Act No. 3019 (Anti-Graft and Corrupt Practices Act):** This is the cornerstone legislation defining and penalizing various corrupt practices by government officials and employees. It covers acts like:
* Direct or indirect bribery
* Soliciting or accepting gifts in relation to official duties
* Causing undue injury to any party through manifest partiality or bad faith
* Nepotism in the public service (appointing unqualified relatives)
* Unlawful acquisition of wealth
**Other Relevant Laws:**
* **Republic Act No. 6713 (Code of Conduct and Ethical Standards for Public Officials and Employees):** This law establishes ethical standards for government officials, including:
* Prohibition on conflicts of interest (financial or business interests that clash with official duties)
* Disclosure of financial interests
* Prohibition on engaging in outside employment in conflict with official duties
* **Republic Act No. 6770 (Ombudsman Act of 1988):** This law empowers the Office of the Ombudsman to investigate and prosecute complaints against government officials for violations like corruption.
* **Revised Penal Code (Articles 210-214):** This code defines and penalizes bribery and related offenses.
**Additional Regulations:**
* **Civil Service Commission Rules:** These rules issued by the Civil Service Commission provide more specific guidelines on ethical conduct and sanctions for violations by government employees.
* **Executive Orders:** The President may issue executive orders related to government procurement, transparency, and anti-corruption measures.
**How These Laws Work Together:**
These laws and regulations work together to create a comprehensive framework for combating corruption. Here's a simplified example:
* RA 3019 defines bribery as a corrupt practice.
* RA 6713 prohibits government officials from soliciting bribes, which falls under the definition in RA 3019.
* An official who solicits a bribe can be investigated by the Ombudsman (RA 6770) and potentially face criminal charges under RA 3019 or the Revised Penal Code.
**Importance of Enforcement:**
While the legal framework exists, effective enforcement is crucial to deterring and prosecuting corruption. This involves:
* **Strong and independent investigative agencies:** The Ombudsman, NBI, and PNP need sufficient resources and autonomy to conduct thorough investigations.
* **Accountability for corrupt officials:** The legal system needs to ensure that those found guilty of corruption face appropriate consequences.
* **Public awareness and participation:** Citizens need to be aware of their rights and encouraged to report suspected corruption.
**Conclusion:**
The Philippines has a legal framework to address government corruption. By strengthening enforcement mechanisms and promoting public participation, the Philippines can work towards a more transparent and accountable government.</t>
  </si>
  <si>
    <t>How can individuals report suspected instances of corruption within government to the appropriate authorities?</t>
  </si>
  <si>
    <t>The Philippines offers several avenues for individuals to report suspected corruption within government. Here's an overview of the key channels:
**Reporting to Investigative Agencies:**
* **Office of the Ombudsman (RA 6770):** This is a primary agency for investigating complaints against government officials, including corruption (Website: [https://en.wikipedia.org/wiki/Ombudsman_of_the_Philippines](https://en.wikipedia.org/wiki/Ombudsman_of_the_Philippines)). Complaints can be filed online, through mail, or in person.
* **Philippine National Police (PNP):** The PNP has an Anti-Corruption and Fraud Control Group that investigates corruption within the police force and other government agencies. Complaints can be filed at any police station or through their online reporting system (if available).
* **National Bureau of Investigation (NBI):** The NBI can investigate corruption cases upon endorsement or complaint. Complaints can be filed in person at their headquarters or regional offices.
**Reporting Through Government Websites:**
* Many government agencies have established online mechanisms for reporting corruption within their own departments. Look for designated sections on agency websites labeled "Report Corruption" or similar phrases.
**Reporting Through Public Service Hotlines:**
* **8888 Citizens' Complaint Center:** This hotline, established by the Office of the President, allows reporting of corruption and other government service concerns (dial 8888 from Globe or Smart phones).
**Considerations When Reporting:**
* **Gather Evidence (if possible):** While not always mandatory, providing documents, witness testimonies, or recordings can strengthen your report.
* **Be Specific:** Clearly state the alleged corrupt act, who is involved, and when and where it occurred. The more details you provide, the easier it is to investigate.
* **Maintain Confidentiality:** You may be entitled to confidentiality depending on the reporting channel. * **Follow Up:** It's advisable to inquire about the status of your report after a reasonable timeframe.
**Additional Resources:**
* **LawPhil Project:** This website provides free access to Philippine laws, including those related to anti-corruption (Website: [https://lawphil.net/](https://lawphil.net/)).
* **Transparency International - Philippines:** This organization provides resources and information on fighting corruption in the Philippines (Website: [https://www.transparency.org/en/countries/philippines](https://www.transparency.org/en/countries/philippines)).
**Remember:** Reporting corruption takes courage, but it's a crucial step in promoting transparency and accountability in the Philippines. By utilizing these reporting channels, individuals can play a vital role in combating corruption.</t>
  </si>
  <si>
    <t>What protections are in place for whistleblowers who expose corruption within government?</t>
  </si>
  <si>
    <t>You've provided an excellent explanation of the protections in place for whistleblowers in the Philippines! Here's a breakdown for clarity:
**Legal Safeguards for Whistleblowers:**
* **Republic Act No. 6713 (Code of Conduct and Ethical Standards for Public Officials and Employees):**
* Mandates government agencies to establish mechanisms for receiving and investigating reports of wrongdoing, including corruption (Section 37). This ensures whistleblowers have a designated channel to report their concerns.
* **Republic Act No. 6770 (Ombudsman Act of 1988):**
* Provides protection from retaliation for whistleblowers who report corruption or other wrongdoing involving government officials (Section 16). This discourages government agencies from taking punitive actions against whistleblowers for speaking up.
* **Republic Act No. 6981 (Witness Protection, Security and Benefit Program):**
* Offers a broader program for protecting witnesses, which can include whistleblowers in corruption cases. This program provides:
* Security measures (e.g., relocation)
* Financial benefits
* Potential legal assistance (depending on the agency)
* While not exclusive to whistleblowers, it offers comprehensive support for those who cooperate with investigations and prosecutions.
**Additional Protections:**
* **Confidentiality:** Whistleblowers may be entitled to confidentiality, meaning their identities can be kept hidden from the public and the accused (subject to limitations based on the specific law or agency procedures). This reduces the fear of being publicly identified.
**Challenges and Considerations:**
* **Fear of Retaliation:** Despite legal protections, whistleblowers may still feel apprehensive about retaliation. Fostering a culture of transparency and strong enforcement mechanisms can help address this concern.
* **Lengthy Investigations:** Investigations into corruption can be time-consuming, creating anxiety and uncertainty for whistleblowers. Streamlining investigative procedures can help alleviate this issue.
**Importance of Whistleblower Protection:**
* **Effective Deterrence:** Strong whistleblower protections encourage individuals to come forward and report corruption, which is crucial for uncovering and prosecuting these offenses.
* **Promotes Accountability:** By protecting whistleblowers, the government demonstrates its commitment to transparency and holding officials accountable. This strengthens democratic institutions and public trust.
**Conclusion:**
The Philippines recognizes the importance of whistleblowers in combating corruption. While challenges exist, the legal framework offers protections to empower individuals to report wrongdoing without fear of reprisal. This is essential for a more transparent and accountable government.</t>
  </si>
  <si>
    <t>Can individuals file lawsuits against government officials or employees accused of engaging in corrupt activities?</t>
  </si>
  <si>
    <t>In the Philippines, the ability for individuals to directly sue government officials or employees for corruption is **limited**. Here's a breakdown based on Philippine law:
**Focus on Criminal and Administrative Actions:**
* The Philippine legal framework generally prioritizes pursuing criminal and administrative sanctions against corrupt officials rather than private lawsuits by individuals harmed. This means the government, not necessarily the individual, prosecutes the offense (RA 3019, RA 6770).
**Limited Private Right of Action:**
* While there isn't a well-established legal path for individuals to directly sue for damages caused by corruption, there might be a possibility in specific situations. * If the corrupt practices resulted in **direct and specific harm** to an individual **beyond** the general public harm, there might be grounds for a lawsuit. However, legal precedent for such cases is not extensive, making it a challenging course of action.
**Alternative Avenues for Individuals:**
Here are some alternative ways individuals can be involved in addressing corruption:
* **Reporting Corruption:** Individuals can play a crucial role by reporting suspected corruption to relevant authorities. This empowers them to initiate investigations that might lead to prosecution (RA 6770).
* **Citizen Suits (Limited Applications):** In specific cases, laws like the Philippine Environmental Impact Statement System (RA 1658) allow lawsuits against government agencies for environmental violations. This could potentially apply if corruption led to specific environmental damage harming an individual beyond the general public harm.
* **Seeking Compensation Through Government Agencies:** In some instances, government agencies may have mechanisms for compensating individuals who have suffered losses due to administrative errors or negligence (not necessarily corruption). It's important to inquire with the relevant agency about such possibilities.
**Importance of Holding Government Accountable:**
The Philippine legal framework emphasizes holding government officials accountable for preventing and addressing corruption. This can benefit individuals indirectly by:
* **Sanctions for Corrupt Officials:** Laws like RA 3019 (Anti-Graft and Corrupt Practices Act) penalize government officials who engage in corrupt practices. This deters corruption and discourages future harm to individuals.
* **Improved Public Services:** By combating corruption, the government can allocate resources more efficiently, potentially leading to better quality public services like healthcare, education, and infrastructure. This can indirectly benefit individuals by improving their overall well-being.
**Conclusion:**
While directly suing for damages from government corruption might be difficult, individuals can still play a role in seeking remedies by reporting corruption and holding government accountable. The legal framework focuses on deterring corrupt practices and improving governance, which can indirectly benefit Filipinos by ensuring a more efficient and ethical government.</t>
  </si>
  <si>
    <t>What role do investigative agencies and law enforcement play in prosecuting cases of corruption within government?</t>
  </si>
  <si>
    <t>Investigative agencies and law enforcement play a critical role in prosecuting cases of corruption within the Philippine government. Here's a breakdown of their functions based on relevant laws:
**Investigating Corruption:**
* **Gathering Evidence:** These agencies are responsible for gathering evidence of corruption, which may include witness testimonies, financial records, and electronic data. They have the authority to conduct interviews, searches, and seizures under proper legal warrants.
* **Building Cases:** Investigators analyze evidence to build strong cases against suspected corrupt officials. This ensures a higher chance of successful prosecution in court.
* **Collaboration:** Investigative agencies often collaborate with each other and with oversight bodies like the Office of the Ombudsman (RA 6770) to share information and expertise.
**Key Investigative Agencies:**
* **Philippine National Police (PNP):** The PNP has an Anti-Corruption and Fraud Control Group tasked with investigating corruption within the police force and other government agencies.
* **National Bureau of Investigation (NBI):** The NBI is an investigative agency under the Department of Justice that can investigate corruption cases upon endorsement or complaint.
* **Office of the Ombudsman:** While not strictly a law enforcement agency, the Ombudsman has its own investigative body that probes complaints against government officials for violations like corruption (RA 6770). **Prosecution of Cases:**
* **Filing Charges:** Once investigators gather sufficient evidence, they prepare and file charges against suspected corrupt officials with the proper court (e.g., Sandiganbayan for certain offenses).
* **Supporting Prosecution:** Law enforcement agencies may assist prosecutors by providing expert testimony, presenting evidence in court, and participating in other legal proceedings.
**Challenges and Considerations:**
* **Complexity of Corruption Cases:** Investigating and prosecuting corruption can be complex, often involving intricate financial transactions and powerful individuals.
* **Witness Intimidation:** There can be a risk of witness intimidation in corruption cases. Law enforcement plays a role in protecting witnesses to ensure they can provide testimony freely.
* **Need for Public Cooperation:** Investigative agencies rely on public cooperation and tip-offs to uncover corruption. Whistleblowers who report corruption are protected by law (RA 6713).
**Overall, investigative agencies and law enforcement are essential partners in the fight against government corruption in the Philippines. Their work is crucial in holding corrupt officials accountable and deterring future corruption.**</t>
  </si>
  <si>
    <t>Are there specific legal remedies available for individuals who have been adversely affected by government corruption?</t>
  </si>
  <si>
    <t>While the Philippine legal framework focuses on prosecuting corrupt officials and preventing corruption, there are limited legal remedies available for individuals directly harmed by government corruption. Here's a breakdown:
**Limited Direct Lawsuits:**
* Philippine law generally prioritizes criminal and administrative sanctions for corruption rather than private lawsuits. This means the government prosecutes the offense, not necessarily the individual harmed. * **Exception:** There might be a possibility for a lawsuit if the corrupt practices directly caused the individual **harm beyond** the general public harm. However, legal precedent for such cases is not well-established, making it a challenging path.
**Alternative Avenues for Individuals:**
* **Reporting Corruption:** Individuals can still play a crucial role by reporting suspected corruption to relevant authorities. This empowers them to initiate investigations that might lead to prosecution and ultimately reduce future harm. Reporting can be done with:
* The Office of the Ombudsman (RA 6770)
* The agency in charge of the specific government contract or service
* **Citizen Suits (Limited Applications):** In specific cases, laws like the Philippine Environmental Impact Statement System (RA 1658) allow lawsuits against government agencies for environmental violations. This could potentially apply if corruption led to specific environmental damage harming an individual beyond the general public harm.
* **Seeking Compensation Through Government Agencies:** In some instances, government agencies may have mechanisms for compensating individuals who have suffered losses due to administrative errors or negligence (not necessarily corruption). It's important to inquire with the relevant agency about such possibilities.
**Focus on Holding Government Accountable:**
The Philippine legal framework emphasizes holding government officials accountable for preventing and addressing corruption. This can benefit individuals indirectly by:
* **Sanctions for Corrupt Officials:** Laws like RA 3019 (Anti-Graft and Corrupt Practices Act) penalize government officials who engage in corrupt practices. This deters corruption and discourages future harm to individuals.
* **Improved Public Services:** By combating corruption, the government can allocate resources more efficiently, potentially leading to better quality public services like healthcare, education, and infrastructure. This can indirectly benefit individuals by improving their overall well-being.
**Conclusion:**
While directly suing for damages from government corruption might be difficult, individuals can still play a role in seeking remedies by reporting corruption and holding government accountable. The legal framework focuses on deterring corrupt practices and improving governance, which can indirectly benefit Filipinos by ensuring a more efficient and ethical government.</t>
  </si>
  <si>
    <t>How does corruption within government impact public trust in democratic institutions, and what legal measures can be taken to address it?</t>
  </si>
  <si>
    <t>## Impact of Corruption on Public Trust in the Philippines
Corruption within the Philippine government erodes public trust in democratic institutions in several ways:
* **Undermines Legitimacy:** When citizens perceive widespread corruption, they question the legitimacy of the government and its ability to represent their interests. This can lead to apathy, cynicism, and a feeling of powerlessness.
* **Breaks Down Rule of Law:** Corruption weakens the rule of law by suggesting that those in power are above the law. This discourages citizens from complying with laws if they see others getting away with breaking them.
* **Reduces Public Service:** When resources are diverted due to corruption, it reduces the quality and availability of public services like healthcare, education, and infrastructure. This directly impacts citizens' lives and fuels resentment towards the government.
* **Discourages Participation:** If citizens believe their vote or voice won't make a difference due to corruption, they are less likely to participate in democratic processes like elections or public consultations.
## Legal Measures to Address Corruption The Philippines has a legal framework to address corruption, but effective implementation is crucial. Here are some key measures:
* **Enforcement of Existing Laws:** Stringent enforcement of laws like the Anti-Graft and Corrupt Practices Act (RA 3019) and the Code of Conduct and Ethical Standards for Public Officials (RA 6713) deters corrupt practices and holds perpetrators accountable.
* **Strengthening Oversight Bodies:** Empowering independent bodies like the Office of the Ombudsman to effectively investigate complaints and prosecute corruption cases is essential.
* **Transparency and Right to Information:** Ensuring transparency in government processes through measures like the Freedom of Information Act (RA 6713) allows public scrutiny and reduces opportunities for corruption.
* **Whistleblower Protection:** Strengthening whistleblower protection mechanisms encourages individuals to report corruption without fear of reprisal.
* **Public Education:** Promoting public awareness about corruption, citizens' rights, and avenues to report wrongdoing empowers citizens to hold government accountable.
* **Civil Society Participation:** A vibrant civil society can play a crucial role in monitoring government activities, advocating for reforms, and promoting transparency. ## Additional Considerations:
* **Streamlining Bureaucracy:** Complex bureaucratic procedures can create opportunities for corruption. Simplifying processes reduces discretion and potential loopholes for manipulation.
* **Focus on Preventive Measures:** While prosecution is important, a focus on preventive measures like ethical training for government officials and robust procurement procedures can help prevent corruption before it occurs.
* **Technological Solutions:** Utilizing technology for e-governance initiatives can minimize human intervention and reduce opportunities for corruption in areas like permit processing or revenue collection.
By effectively implementing these legal measures and fostering a culture of integrity, the Philippines can rebuild public trust in its democratic institutions and create a more just and equitable society.</t>
  </si>
  <si>
    <t>Can individuals sue government contractors or vendors involved in corrupt practices that harm public interests?</t>
  </si>
  <si>
    <t>The ability for individuals to directly sue government contractors or vendors for corrupt practices in the Philippines is not entirely clear-cut under Philippine law. Here's a breakdown based on relevant legislation:
**Limited Private Right of Action:**
* Philippine laws generally focus on criminal and administrative sanctions for corruption rather than private lawsuits. This means the government, not necessarily an individual, prosecutes such offenses.
* **Exception:** There might be a possibility for a lawsuit if the corrupt practices directly caused the individual harm beyond the general public harm. However, this legal path is less established.
**Alternative Actions:**
* **Reporting Corruption:** Individuals can still play a role by reporting suspected corruption to relevant authorities. This could include the Office of the Ombudsman (RA 6770) or the agency in charge of the specific government contract.
* **Citizen Suits:** In some instances, laws like the Philippine Environmental Impact Statement System (RA 1658) allow citizens to file lawsuits against government agencies for violations that harm the environment. This could potentially be applicable in specific cases of corrupt practices related to environmental damage.
**Focus on Government Accountability:**
* The Philippine legal framework emphasizes holding government officials accountable for ensuring ethical procurement practices. This can be achieved through:
* **Sanctions for Government Officials:** Laws like RA 3019 (Anti-Graft and Corrupt Practices Act) penalize government officials who engage in corrupt practices related to awarding contracts.
* **Holding Contractors Accountable:** While direct lawsuits by individuals might be limited, government agencies can take legal action against contractors who engage in corrupt practices. This could involve:
* **Blacklisting:** The government can prevent such contractors from participating in future government bids.
* **Contract Termination:** The government can terminate existing contracts if corruption is proven.
**Conclusion:**
While directly suing government contractors for corruption might be challenging in the Philippines, individuals can still play a role in combating corruption through reporting and holding government officials accountable. The legal framework focuses on deterring corrupt practices through sanctions and ensuring ethical conduct by government officials during the procurement process.</t>
  </si>
  <si>
    <t>How do conflicts of interest laws apply to government officials, and what legal actions can be taken if these laws are violated?</t>
  </si>
  <si>
    <t>Conflicts of interest laws in the Philippines apply to government officials to prevent them from using their public positions for personal gain. Here's a breakdown based on Philippine law:
**Key Law:**
* **Republic Act No. 6713 (Code of Conduct and Ethical Standards for Public Officials and Employees):** This is the primary law that defines conflict of interest and sets out standards of ethical conduct for government officials.
**How it Applies:**
* **Financial Interest:** Officials cannot have financial or material interest in transactions requiring their office's approval (Section 7(a)). This prevents them from using their position to steer contracts or benefits towards themselves, family, or businesses they have a stake in.
* **Outside Employment:** Officials are generally restricted from holding outside employment during their incumbency, especially if it could create a conflict with their official duties (Section 7(b)).
* **Disclosure:** Officials are required to disclose their financial interests and business affiliations to prevent potential conflicts (Rule 4 of the Implementing Rules).
**Legal Actions for Violations:**
* **Administrative Sanctions:** These can include suspension, dismissal, or forfeiture of retirement benefits depending on the gravity of the offense (RA 6713 and Civil Service Commission Rules).
* **Criminal Charges:** Violations can also constitute criminal offenses like bribery or graft and corrupt practices under RA 3019 (Anti-Graft and Corrupt Practices Act). * **Ombudsman Investigation:** The Office of the Ombudsman has the power to investigate complaints against government officials for violations of RA 6713 (RA 6770).
**Additional Points:**
* The law recognizes that some officials may have existing private business interests. In such cases, they may be required to divest themselves of these interests within a specific timeframe (RA 6713, Section 9).
* **Penalties can also extend to family members** who engage in transactions prohibited by the law for the benefit of the government official (RA 6713).
By enforcing these conflicts of interest laws, the Philippines aims to uphold ethical conduct and prevent government officials from abusing their power for personal gain.</t>
  </si>
  <si>
    <t>Can individuals challenge the constitutionality of laws or regulations that facilitate or enable government corruption?</t>
  </si>
  <si>
    <t>Yes, individuals in the Philippines can challenge the constitutionality of laws or regulations that facilitate or enable government corruption through a legal process called **judicial review**. Here's how it works:
* **Philippine Constitution:** Article VIII, Section 1 of the 1987 Philippine Constitution empowers the Supreme Court to review all laws and decide whether they are consistent with the Constitution. This includes the power to declare laws unconstitutional if they violate fundamental principles or specific provisions of the Constitution.
* **Locus Standi:** To challenge a law, an individual must have **locus standi**, which means they must have a personal and substantial interest in the case. In the context of corruption, this could involve a law or regulation that directly affects the individual's rights or ability to hold government accountable. For example, a law that restricts access to government information could be challenged by someone who needs that information to expose corruption.
* **Petitions:** An individual or group can file a petition for certiorari or a petition for prohibition with the Supreme Court. These petitions ask the Court to review the law or regulation and determine its constitutionality.
**Challenges and Considerations:**
* **Cost and complexity:** Litigating a case before the Supreme Court can be expensive and time-consuming. Individuals or groups may need to secure legal representation and navigate complex legal procedures.
* **Success rate:** Not all challenges to the constitutionality of laws are successful. The Supreme Court has a high bar for finding a law unconstitutional. * **Alternative avenues:** In some cases, individuals might consider lobbying lawmakers to amend the law or regulation in question. They could also seek to raise public awareness about the issue to pressure for change.
**Examples:**
The Supreme Court has used its power of judicial review to strike down laws and regulations that it deemed unconstitutional. While there are no recent high-profile cases directly related to challenging corruption-facilitating laws, here are some broader examples:
* The Court has struck down laws that it found to violate due process rights or equal protection guarantees. These principles are enshrined in the Constitution and can be relevant in cases where laws or regulations create loopholes for corrupt practices.
**Overall, while challenging the constitutionality of laws is a complex process, it remains a powerful tool for individuals to fight against government corruption in the Philippines.** This option should be considered alongside other strategies for promoting transparency and accountability.</t>
  </si>
  <si>
    <t>How do transparency and accountability measures within government help prevent corruption, and what legal mechanisms exist to enforce these measures?</t>
  </si>
  <si>
    <t>Transparency and accountability measures are vital tools in preventing corruption within the Philippine government. Here's how they work and the legal mechanisms enforcing them:
**Transparency:**
* **Prevents Secrecy:** When government decisions and processes are open to public scrutiny, it becomes more difficult for corrupt activities to occur in the shadows. Citizens can monitor resource allocation, contracts awarded, and official conduct. This discourages officials from abusing their power for personal gain.
**Accountability:**
* **Fosters Responsibility:** Knowing they are answerable to the public and the law motivates government officials to act ethically and efficiently. The fear of exposure and punishment serves as a deterrent against corruption.
* **Empowers Citizens:** Transparency allows citizens to hold officials accountable. They can raise concerns, file complaints, and participate in public discourse to ensure government actions align with the public interest. **Legal Mechanisms for Transparency and Accountability:**
* **Constitution:** The 1987 Philippine Constitution guarantees the right to information (Article III, Section 7) and mandates public accountability (Article I, Section 1).
* **Freedom of Information Act (RA 6713):** This law ensures people's right to access government information, promoting transparency in decision-making and resource allocation.
* **Right to Know, Right to Participate and Right to Develop (RA 6734):** This law encourages citizen participation in government processes, further strengthening accountability.
* **Open Government Partnership (OGP Philippines):** This is a voluntary multi-stakeholder initiative that promotes transparency, participation, and accountability in government. * **Commission on Audit (COA):** This independent body audits government agencies to ensure proper use of public funds and identify potential irregularities.
* **Ombudsman (RA 6770):** As mentioned earlier, the Office of the Ombudsman investigates complaints against government officials, promoting accountability and deterring corruption.
**The success of these measures relies on active citizen participation.** By demanding transparency, filing complaints, and holding officials accountable, Filipinos play a crucial role in combating corruption.</t>
  </si>
  <si>
    <t>What role do independent oversight bodies or ethics commissions play in detecting and preventing corruption within government?</t>
  </si>
  <si>
    <t>Independent oversight bodies and ethics commissions play a crucial role in detecting and preventing corruption within the Philippine government according to various laws and the Constitution. Here's a breakdown of their functions:
**Detection:**
* **Investigations:** These bodies, like the Office of the Ombudsman, have the power to investigate complaints filed by individuals against government officials suspected of corruption (RA 6770, Section 13). This includes gathering evidence, interviewing witnesses, and conducting audits.
* **Exposure:** By investigating and uncovering corrupt practices, these commissions bring such acts to light and hold perpetrators accountable. This deters future corruption and promotes transparency.
* **Whistleblower protection:** Some oversight bodies, like the Office of the Ombudsman, have mechanisms to protect whistleblowers who report corruption (RA 6770). This encourages individuals to come forward with information.
**Prevention:**
* **Ethical guidelines:** Ethics commissions may establish and enforce ethical codes of conduct for government officials. These codes outline expected behavior and help prevent conflicts of interest, bribery, and other corrupt practices. * **Transparency:** By promoting transparency in government processes, oversight bodies make it more difficult for corruption to occur. This can involve ensuring public access to information and fostering a culture of accountability. * **Public education:** These commissions can educate the public about their rights and how to report corruption. This empowers citizens to participate in the fight against corruption.
**The Philippine Constitution (Article XI) also emphasizes the role of an independent civil service** in promoting a bureaucracy free from political patronage and vested interests. This indirectly contributes to preventing corruption by ensuring a meritocratic system for government employment.
**In summary, independent oversight bodies and ethics commissions act as watchdogs, deterrents, and educators in the fight against government corruption.** Their combined efforts with a strong legal framework and an empowered citizenry can significantly reduce corrupt practices.</t>
  </si>
  <si>
    <t>Can individuals file complaints with regulatory agencies or ethics commissions to investigate allegations of government corruption?</t>
  </si>
  <si>
    <t>Yes, individuals can file complaints with regulatory agencies or ethics commissions to investigate allegations of government corruption in the Philippines. Here's what the law says:
* **The Constitution:** The 1987 Philippine Constitution guarantees the right of the people to information and the right to participate in the process of government decision-making (Article III, Sections 7 and 1). This can be interpreted as giving citizens the right to report suspected government corruption.
* **Republic Act No. 6770 (Ombudsman Act of 1988):** This law creates the Office of the Ombudsman, an independent body that investigates complaints against government officials, including allegations of corruption. Any person can file a complaint with the Ombudsman under Section 13 of the law.
* **Republic Act No. 3019 (Anti-Graft and Corrupt Practices Act):** This law defines and penalizes various corrupt practices by government officials. It also establishes the Sandiganbayan, a special court that tries cases involving these offenses. * **Other agencies:** Aside from the Ombudsman, some government agencies have their own internal mechanisms for receiving and investigating complaints against their personnel. These might include ethics committees or grievance procedures.
Here are some additional points to consider:
* **Evidence:** When filing a complaint, it's helpful to provide evidence to support your allegations. This could include documents, witness testimonies, or recordings.
* **Anonymity:** While the Ombudsman generally requires the complainant's identity, there may be procedures for filing anonymous complaints in certain cases.
For more information, you can refer to the following resources:
* Office of the Ombudsman website: [https://en.wikipedia.org/wiki/Ombudsman_of_the_Philippines](https://en.wikipedia.org/wiki/Ombudsman_of_the_Philippines)
* The LawPhil Project website, which provides free access to Philippine laws: [https://lawphil.net/](https://lawphil.net/)</t>
  </si>
  <si>
    <t>How do campaign finance laws regulate political contributions and spending to prevent corruption within government?</t>
  </si>
  <si>
    <t>The Philippines has several laws and regulations aimed at regulating campaign finance and preventing corruption within government. Here's a breakdown of key aspects:
**Constitutional Provision:**
* **Article IX-B, Section 14 of the Constitution:** Mandates that the State shall **regulate the sources of financing and expenditures of political parties and candidates**.
**Key Legislation:**
* **The Omnibus Election Code (Comelec Code) - Republic Act No. 9040:**
* **Campaign finance regulations:**
* **Contribution limits:** Sets **limits on the amount of money individuals, corporations, and other entities can donate** to candidates and political parties.
* **Contribution disclosure:** Requires candidates and political parties to **disclose the source and amount of all contributions received**.
* **Spending limits:** Establishes **spending limits** for candidates, based on factors like the position being contested and the number of registered voters.
* **Prohibited contributions:** Bans contributions from certain sources, such as government agencies, foreign entities, and anonymous donors.
* **The Anti-Money Laundering Act (AMLA) - Republic Act No. 10365:**
* **Combats money laundering:** This law helps **identify and prevent the use of illegal funds** in campaign financing.
**Enforcement Mechanisms:**
* **The Commission on Elections (Comelec):** Responsible for **enforcing campaign finance regulations** and investigating violations.
* **Sanctions:** Violations of campaign finance laws can result in various penalties, including **disqualification from office, fines, and imprisonment**.
**Limitations and Challenges:**
* **Limited enforcement capacity:** Comelec faces challenges in effectively monitoring and enforcing campaign finance regulations due to resource constraints and complex investigation processes.
* **Loopholes and circumvention:** Finding ways to circumvent contribution limits and disclosure requirements remains a concern, such as through **undocumented cash donations or funneling funds through third parties**.
* **Public awareness:** Insufficient public awareness about campaign finance regulations and the importance of holding candidates accountable for their funding sources can hinder effective enforcement.
**Overall:**
While campaign finance laws in the Philippines aim to regulate political contributions and spending to prevent corruption, **challenges remain** in ensuring their effective implementation and addressing potential loopholes. Continued efforts towards strengthening enforcement mechanisms, promoting transparency, and raising public awareness are crucial for creating a more level playing field and reducing the influence of money in Philippine elections.</t>
  </si>
  <si>
    <t>Can individuals take legal action against government officials who abuse their power for personal gain or engage in nepotism?</t>
  </si>
  <si>
    <t>In the Philippines, individuals **can potentially** take legal action against government officials who abuse their power for personal gain or engage in nepotism. Here's a breakdown of the available avenues:
**Legal Grounds:**
* **Anti-Graft and Corrupt Practices Act (RA 3019):** This law prohibits various corrupt practices by public officials, including:
* ****Direct bribery:** Offering, giving, soliciting, or accepting money, gifts, or other advantage in exchange for a favorable action.
* ****Indirect bribery:** Offering, giving, soliciting, or accepting money, gifts, or other advantage to influence the official action of another person.
* ****Malversation of public funds:** Misappropriating or converting public funds or property for personal gain.
* ****Graft:** Causing undue injury to the government or giving unwarranted benefit to a private party through a manifestly partial, unjust, oppressive, or grossly excessive exercise of power.
* **Code of Conduct and Ethical Standards for Public Officials and Employees (RA 6713):** This law outlines ethical standards expected of public officials, including prohibiting nepotism, defined as appointing, promoting, or giving unwarranted benefits to relatives in the government service.
**Taking Legal Action:**
* **Filing a complaint:** Individuals can file a **complaint** with the **Office of the Ombudsman**, an independent constitutional body with the authority to investigate and prosecute public officials for violations of these laws.
* **Evidence gathering:** Providing **credible evidence** to support the allegations, such as documents, recordings, or witness testimonies, is crucial for a successful complaint.
* **Legal representation:** Consulting with a lawyer specializing in anti-corruption law is highly recommended for navigating the legal process effectively.
**Challenges and Considerations:**
* **Burden of proof:** The burden of proving the official's wrongdoing lies with the individual filing the complaint.
* **Complex legal process:** Pursuing legal action can be **time-consuming and complex**, requiring patience and perseverance.
* **Potential retaliation:** Individuals might face **retaliation** from the accused official or their associates.
**Alternative Approaches:**
* **Reporting to other oversight bodies:** Depending on the specific case, individuals might also consider reporting the alleged corruption to other relevant agencies like the Commission on Audit (COA) or the Civil Service Commission (CSC).
* **Public awareness:** Raising public awareness about the issue through media or advocacy groups can put pressure on authorities to take action.
**Conclusion:**
While legal avenues exist for individuals to challenge government officials engaging in corrupt practices or nepotism, the process can be challenging. Consulting with a lawyer, gathering evidence, and understanding the potential complexities are crucial before pursuing legal action. Additionally, exploring alternative avenues like reporting to oversight bodies or raising public awareness can also contribute to holding officials accountable and combating corruption.</t>
  </si>
  <si>
    <t>What legal protections exist for individuals who challenge government corruption through activism or advocacy?</t>
  </si>
  <si>
    <t>In the Philippines, the legal protections for individuals who challenge government corruption through activism or advocacy are **limited but evolving**. Here's a breakdown of the current landscape:
**Existing Protections:**
* **Freedom of speech and assembly:** The Philippine Constitution guarantees the right to freedom of speech and assembly (Article III, Sections 4 and 5). This provides a **fundamental legal basis** for individuals to engage in peaceful protests, express dissent, and criticize government policies or actions, including those related to corruption.
* **Right to information:** The Right to Information (RTI) Law (Republic Act No. 11201) grants citizens the right to access information held by government agencies. This empowers individuals to **gather information** about government activities, budgets, and contracts, which can be crucial for exposing corruption and holding authorities accountable.
* **Whistleblower protection laws:** The Witness Protection, Security and Benefits Act (Republic Act No. 6986) and the Anti-Red Tape Act (Republic Act No. 8771) offer **some protection** for individuals who report corruption or wrongdoing within government agencies. However, these protections can be **limited** and challenging to access in practice.
**Challenges and Limitations:**
* **Limited enforcement:** While legal protections exist, their **effective enforcement can be inconsistent**. Individuals facing harassment, intimidation, or even violence for their activism are not uncommon.
* **Red tape and bureaucratic hurdles:** Accessing information through the RTI Law or seeking protection under whistleblower laws can involve **complex procedures and bureaucratic delays**, making it difficult for individuals to exercise their rights effectively.
* **Lack of specific legislation:** The Philippines currently lacks **comprehensive legislation** specifically protecting individuals engaged in anti-corruption activism or advocacy. This leaves them vulnerable to various forms of harassment, intimidation, or even legal charges in some instances.
**Positive Developments:**
* **Growing awareness:** There is increasing **public awareness and support** for protecting individuals who speak out against corruption.
* **Legislative initiatives:** Proposals for **strengthening whistleblower protection** and enacting specific legislation to safeguard the rights of anti-corruption advocates are under discussion.
**Recommendations:**
* **Documenting abuses:** Individuals engaged in anti-corruption activism should **document any instances of harassment, intimidation, or threats** they face. This documentation can be crucial for seeking legal recourse or advocating for stronger protections.
* **Seeking legal support:** Consulting with **lawyers specializing in human rights and public interest litigation** can be crucial for understanding legal rights, navigating potential challenges, and seeking legal remedies if necessary.
* **Engaging with civil society organizations:** Collaborating with **civil society organizations** working on anti-corruption and human rights issues can provide support, resources, and opportunities for collective action.
**Conclusion:**
While the legal protections for individuals challenging government corruption in the Philippines are **limited and evolving**, various initiatives and growing awareness are paving the way for a more enabling environment for anti-corruption activism and advocacy. However, **vigilance, documentation, and seeking support** remain crucial for individuals engaged in this critical work.</t>
  </si>
  <si>
    <t>Can individuals sue government entities for failing to prevent or address instances of corruption within their jurisdiction?</t>
  </si>
  <si>
    <t>In the Philippines, the ability of individuals to sue government entities for failing to prevent or address instances of corruption within their jurisdiction is **limited and complex**. Here's a breakdown of the relevant factors:
**Limited Grounds for Lawsuit:**
* **Sovereign immunity:** Generally, government entities in the Philippines enjoy **sovereign immunity**, which shields them from lawsuits for their actions, except in specific circumstances outlined by law.
* **Mandate-based lawsuits:** Individuals can typically only sue government entities when their **specific legal rights have been violated** due to the entity's failure to fulfill its mandated duties.
**Potential Avenues:**
* **Mandamus:** Individuals can potentially file a **writ of mandamus** to compel a government entity to perform a **legally mandated duty**. However, demonstrating a clear legal duty to prevent or address corruption and a direct violation of that duty by the entity can be challenging.
* **Tort claims:** In specific instances, individuals might be able to file tort claims against government entities for **negligence or breach of duty** that resulted in harm. However, proving such claims in the context of corruption prevention or response is often complex and requires demonstrating a clear causal link between the entity's actions and the harm suffered by the individual.
**Challenges and Considerations:**
* **Burden of proof:** The burden of proving that the government entity failed to fulfill its mandated duty and that this failure directly caused harm to the individual lies with the individual filing the lawsuit.
* **Complexities of corruption:** Attributing responsibility and proving causation in cases involving widespread or systemic corruption can be extremely challenging.
* **Limited precedent:** There is limited legal precedent in the Philippines regarding individual lawsuits against government entities specifically for failing to prevent or address corruption.
**Alternative Approaches:**
* **Filing complaints with relevant oversight bodies:** Individuals can file complaints with agencies like the Office of the Ombudsman or the Commission on Audit, which have the authority to investigate allegations of corruption and hold government officials accountable.
* **Advocacy and public pressure:** Engaging in advocacy efforts and raising public awareness about corruption issues can put pressure on government entities to take action.
* **Supporting legislative reforms:** Advocating for legislative reforms that strengthen anti-corruption measures and promote greater transparency and accountability within government entities can contribute to a more proactive approach to combating corruption.
**Conclusion:**
While suing government entities directly for failing to prevent or address corruption might be challenging in the Philippines, individuals have **alternative avenues** to hold authorities accountable and contribute to broader efforts to combat corruption. Consulting with a lawyer specializing in administrative law and public interest litigation can provide further guidance on the specific options and limitations applicable to each case.
It's important to note that this information is for general informational purposes only and should not be construed as legal advice. The specific legal landscape and potential avenues for individuals in such situations can vary depending on the circumstances and applicable laws.</t>
  </si>
  <si>
    <t>How do plea bargains and immunity agreements factor into prosecuting cases of corruption within government?</t>
  </si>
  <si>
    <t>Plea bargains and immunity agreements can play a complex and **controversial role** in prosecuting cases of corruption within government. Here's a breakdown of their potential benefits and drawbacks:
**Plea Bargains:**
**Benefits:**
* **Securing convictions:** Plea bargains can help secure convictions, especially in complex cases where obtaining enough evidence for a successful trial might be challenging.
* **Expedited resolution:** They can expedite the resolution of cases, saving time and resources compared to lengthy trials.
* **Obtaining cooperation:** In exchange for leniency, defendants might agree to cooperate with investigators and prosecutors, providing valuable information about other individuals involved in the corruption or broader schemes.
**Drawbacks:**
* **Leniency for wrongdoing:** Critics argue that plea bargains can offer leniency to corrupt officials, potentially undermining public trust in the justice system.
* **Limited accountability:** The full extent of the corruption and the involvement of other individuals might not be fully revealed if the defendant pleads guilty to lesser charges.
* **Public perception:** Public perception of plea bargains in corruption cases can be negative, raising concerns about fairness and leniency towards powerful individuals.
**Immunity Agreements:**
**Benefits:**
* **Uncovering broader schemes:** Offering immunity to a lower-level official can incentivize them to cooperate and provide crucial information about the mastermind or broader corrupt activities within the government.
* **Gathering evidence:** Immunity agreements can be instrumental in gathering evidence that might be difficult to obtain otherwise, leading to the prosecution of more senior officials involved in the corruption.
* **Disrupting ongoing activities:** Exposing and dismantling corrupt networks can be achieved by leveraging information obtained through immunity agreements.
**Drawbacks:**
* **Public perception:** Similar to plea bargains, immunity agreements can raise concerns about granting leniency to individuals who might have participated in wrongdoing.
* **Potential abuse:** Concerns exist about the potential abuse of immunity agreements, where individuals might be offered immunity in exchange for protecting powerful figures or manipulating investigations.
* **Moral concerns:** Granting immunity to individuals who engaged in illegal activities can raise ethical concerns about balancing the pursuit of justice with the need to obtain information and dismantle corrupt networks.
**Overall:**
The use of plea bargains and immunity agreements in prosecuting government corruption cases is a **complex issue with both potential benefits and drawbacks**. Deciding whether to utilize these tools requires careful consideration of the specific circumstances, the potential consequences, and the need to balance achieving justice with effectively dismantling corrupt networks.
**Additional Considerations:**
* **Transparency and oversight:** Implementing safeguards like clear guidelines, independent oversight, and public disclosure of the rationale behind plea bargains and immunity agreements can help address concerns about fairness and potential abuse.
* **Alternative approaches:** Exploring alternative approaches alongside plea bargains and immunity agreements, such as strengthening whistleblower protections and witness protection programs, can be crucial for comprehensive anti-corruption strategies.
Ultimately, the decision to utilize plea bargains and immunity agreements in government corruption cases should be made on a **case-by-case basis**, taking into account the specific circumstances, potential benefits and drawbacks, and the overarching goal of achieving justice and combating corruption effectively.</t>
  </si>
  <si>
    <t>Can individuals file lawsuits against foreign entities or governments involved in corrupt activities that affect domestic government operations?</t>
  </si>
  <si>
    <t>The ability of individuals to file lawsuits against foreign entities or governments involved in corrupt activities that affect domestic government operations is **complex and depends on several factors**, including:
**1. Jurisdiction:**
* **Sovereign immunity:** Generally, foreign governments enjoy sovereign immunity, which shields them from lawsuits in the courts of other countries. This principle is based on the concept of respect for the sovereignty of nations and prevents one country from interfering in the internal affairs of another.
* **Exceptions to sovereign immunity:** Exceptions to sovereign immunity exist under specific circumstances, such as:
* **Commercial activity:** If the foreign government engages in commercial activities within the jurisdiction, it might lose its immunity for those specific activities.
* **Human rights violations:** Certain human rights violations committed by foreign governments might be subject to lawsuits under specific laws or international treaties.
* **Specific statutory exceptions:** Some countries, including the United States, have enacted laws creating specific exceptions to sovereign immunity for certain types of cases.
**2. Causation and Standing:**
* **Demonstrating harm:** Even if an exception to sovereign immunity applies, the individual must demonstrate that they suffered a **concrete and particularized injury** as a direct result of the alleged corrupt activity.
* **Standing to sue:** The individual must also have **standing to sue**, meaning they have a personal stake in the outcome of the case and are not simply bringing the lawsuit on behalf of someone else.
**3. Legal Framework:**
* **National laws:** Each country has its own laws regarding sovereign immunity and the ability to sue foreign entities or governments.
* **International law:** International law also plays a role, with treaties and customary international law influencing the interpretation of sovereign immunity and the potential for lawsuits against foreign governments.
**Overall:**
While **individuals might have limited options** to directly sue foreign governments for corrupt activities impacting their domestic government, other avenues might be available depending on the specific circumstances. These could include:
* **Lobbying their own government:** Individuals can advocate for their government to take diplomatic or legal action against the foreign government.
* **Supporting international organizations:** Engaging with international organizations working to combat corruption and hold governments accountable.
* **Seeking legal action against domestic actors:** If individuals can demonstrate that domestic actors within their own country were complicit in the foreign government's corrupt activities, they might have grounds to pursue legal action against those domestic actors.
**It is crucial to consult with a lawyer specializing in international law and sovereign immunity** to assess the specific circumstances and potential legal options available in each case. They can provide guidance on the relevant laws, exceptions, and potential challenges involved in pursuing legal action against foreign entities or governments.</t>
  </si>
  <si>
    <t>What role do grand juries play in investigating and indicting government officials for corruption offenses?</t>
  </si>
  <si>
    <t>In the Philippines, **grand juries do not play a role in investigating and indicting government officials for corruption offenses**. The Philippines, unlike the United States, does not have a grand jury system.
Here's an explanation of the different investigative and prosecutorial processes for government corruption cases in the Philippines:
**Investigative Bodies:**
* **Office of the Ombudsman:** This independent constitutional body is responsible for investigating and prosecuting public officials for various offenses, including corruption. It has the power to conduct investigations, gather evidence, and file cases with the appropriate courts.
* **Sandiganbayan:** This special anti-graft court has exclusive jurisdiction over criminal and civil cases involving government officials accused of corruption.
* **Other investigative agencies:** Depending on the specific case, other government agencies like the Commission on Audit (COA) or the Philippine National Police (PNP) might also be involved in investigations related to corruption.
**Prosecution Process:**
* **Investigation:** The aforementioned investigative bodies conduct inquiries, gather evidence, and build cases against suspected officials.
* **Filing of Information:** Once sufficient evidence is gathered, the investigating body files an information (formal charge) with the Sandiganbayan.
* **Trial:** If the Sandiganbayan finds probable cause, a trial is conducted where both the prosecution and the defense present their arguments and evidence.
* **Judgment:** The Sandiganbayan issues a judgment, acquitting or convicting the accused official.
**Key Points:**
* The Philippines relies on investigative bodies like the Office of the Ombudsman and prosecutorial bodies like the Sandiganbayan to handle corruption cases involving government officials.
* There is no grand jury system in the Philippines to screen and approve charges before trial.
It's important to note that this is a simplified overview, and the specific procedures involved in investigating and prosecuting government corruption cases can vary depending on the circumstances and applicable laws.</t>
  </si>
  <si>
    <t>Can individuals challenge the results of elections if there is evidence of widespread government corruption impacting the outcome?</t>
  </si>
  <si>
    <t>## Challenging Election Results in the Philippines due to Alleged Government Corruption
In the Philippines, individuals can **potentially challenge the results of elections** if they have evidence of widespread government corruption **impacting the outcome**. Here's a framework based on relevant Philippine laws and the Constitution:
**Legal Avenues:**
1. **Election Protest:**
* **Filing:** An aggrieved party can file an election protest with the appropriate tribunal (e.g., House of Representatives Electoral Tribunal or Senate Electoral Tribunal) within the prescribed period after the proclamation of the winning candidate.
* **Grounds for protest:** The protest must be based on a **lawful ground**, which can include:
* **Vote buying or selling:** Offering, giving, accepting, or promising money or other considerations in exchange for votes.
* **Coercion:** Intimidating, threatening, or otherwise compelling voters to cast their ballots for a particular candidate.
* **Massive vote padding or shaving:** Deliberately inflating or reducing the number of votes cast for a particular candidate.
* **Evidence of corruption:** The protester must present **credible evidence** to substantiate their claims of widespread government corruption that demonstrably impacted the outcome of the election. This evidence could include:
* **Documented instances of vote buying or coercion:** This might involve witness testimonies, recordings, or other verifiable proof.
* **Statistical anomalies:** Significant discrepancies between expected voting patterns and actual results in specific areas could raise suspicion.
2. **Petitio for Certiorari:**
* **Supreme Court:** In specific cases, individuals can file a petition for certiorari with the Supreme Court under its power of judicial review.
* **Grounds for petition:** The petition must argue that the lower tribunal committed **grave abuse of discretion** in its decision on the election protest. This could involve demonstrating that the tribunal:
* **Ignored or misinterpreted relevant laws and evidence.**
* **Acted with evident bias or partiality.**
**Challenges and Considerations:**
* **Burden of proof:** The burden of proving widespread government corruption and its decisive impact on the election results lies with the petitioner. This can be a **significant challenge**, especially if the evidence is limited or contested.
* **Complex legal process:** Election contests and petitions can be lengthy and complex legal processes requiring specialized knowledge and legal representation.
* **Political considerations:** Challenging election results, especially against powerful candidates or political parties, can involve navigating complex political landscapes and potential resistance.
**Importance of Legal Counsel:**
Due to the complexities involved, consulting with a lawyer specializing in election law is crucial. They can:
* Advise on the feasibility of challenging the election results based on the specific circumstances and available evidence.
* Guide you through the legal process, including filing the necessary petitions and presenting evidence in court.
* Represent your interests effectively throughout the legal proceedings.
**Conclusion:**
While legal avenues exist for challenging election results based on alleged government corruption, the process is complex and success is not guaranteed. Careful consideration of the evidence, potential challenges, and seeking guidance from qualified legal counsel are crucial before pursuing such an action.</t>
  </si>
  <si>
    <t>How does government corruption impact public services and welfare, and what legal actions can be taken to mitigate these impacts?</t>
  </si>
  <si>
    <t>## Impact of Government Corruption on Public Services and Welfare
Government corruption has a **detrimental impact** on public services and welfare in several ways:
**1. Misallocation of Resources:**
* **Corruption diverts resources** away from essential public services like healthcare, education, and infrastructure development. Funds meant for these services are misused for personal gain by corrupt officials, leading to:
* **Inadequate funding:** Public services suffer from a lack of resources, leading to:
* **Shortages of qualified personnel:** Insufficient funding hinders hiring and retaining qualified professionals like doctors, teachers, and engineers.
* **Poor infrastructure:** Essential infrastructure projects like roads, bridges, and sanitation systems remain underdeveloped or poorly maintained.
* **Limited access to essential services:** Citizens struggle to access quality healthcare, education, and other essential services due to inadequate resources and infrastructure.
**2. Lower Quality of Services:**
* **Corruption incentivizes cutting corners** and using low-quality materials or unqualified personnel in public projects. This results in:
* **Inefficient and unreliable services:** Public services become unreliable and inefficient, failing to meet the needs of the population.
* **Safety hazards:** Poorly constructed infrastructure poses safety risks to citizens.
* **Limited effectiveness:** Healthcare and education programs might become ineffective due to inadequate resources and unqualified personnel.
**3. Reduced Public Trust:**
* **Corruption erodes public trust** in government institutions and officials. This leads to:
* **Reduced cooperation:** Citizens become less willing to cooperate with authorities or participate in civic activities, hindering efforts to improve governance and service delivery.
* **Social unrest:** Public frustration with corruption can lead to social unrest and protests.
**4. Increased Inequality:**
* **Corruption disproportionately impacts the poor and vulnerable.** They often lack the resources or connections to navigate corrupt systems, leading to:
* **Limited access to essential services:** The poor are often the most affected by the lack of quality public services due to limited resources and infrastructure.
* **Increased vulnerability:** Corruption can exacerbate existing inequalities and make it harder for the poor to improve their livelihoods.
## Legal Actions to Mitigate the Impact of Corruption
Several legal actions can be taken to **mitigate the impact of corruption** and improve public services and welfare:
**1. Strengthening Anti-Corruption Laws and Enforcement:**
* **Enact and enforce comprehensive anti-corruption legislation:** This includes laws addressing bribery, embezzlement, abuse of power, and other corrupt practices.
* **Establish independent anti-corruption agencies:** These agencies should have the power to investigate and prosecute corruption cases effectively, free from political interference.
* **Increase transparency and accountability:** Implement measures like public disclosure of government budgets, spending, and asset declarations of officials to increase transparency and hold officials accountable.
**2. Empowering Citizens and Civil Society:**
* **Promote freedom of speech and assembly:** This allows citizens to expose corruption and hold authorities accountable.
* **Support civil society organizations:** These organizations play a crucial role in monitoring government activities, advocating for transparency, and educating the public about their rights.
* **Encourage citizen participation:** Foster citizen engagement in public decision-making processes to ensure their voices are heard and their needs are addressed.
**3. International Cooperation:**
* **Promote international cooperation:** Collaborate with other countries to develop and implement effective anti-corruption measures, share best practices, and combat cross-border corruption.
* **Ratify and implement international anti-corruption conventions:** These conventions provide a framework for international cooperation and establish standards for combating corruption.
**4. Public Education and Awareness:**
* **Raise public awareness about the negative impacts of corruption:** Educate citizens about their rights and responsibilities in combating corruption.
* **Promote ethical values and integrity:** Encourage ethical conduct and integrity in public service and society as a whole.
**It's important to note** that addressing government corruption is a complex and ongoing challenge. Implementing a combination of these legal and social measures can contribute to creating a more transparent, accountable, and efficient government that delivers quality public services and promotes the well-being of all citizens.</t>
  </si>
  <si>
    <t>Can individuals take legal action against media outlets or individuals spreading false information about government corruption?</t>
  </si>
  <si>
    <t>In the Philippines, individuals can potentially take legal action against media outlets or individuals spreading false information about government corruption, but navigating this area requires careful consideration of various legal aspects and potential limitations. Here's a breakdown of relevant Philippine laws and considerations:
**Potential Legal Avenues:**
1. **Libel:** Under Article 355 of the Revised Penal Code (RPC), individuals can file a libel case if the false information:
* **Imputes a crime, vice, defect, dishonor, or corruption to another.**
* **Tends to blacken the memory of one who is dead.**
* **Exposes the private life of a person to public ridicule.**
2. **Cybercrime Law (RA 10175):**
* **Section 4(c)(4):** Punishes the online publication of false information that causes undue injury to any person.
* **Section 15:** Penalizes the creation, possession, or distribution of libelous content online.
3. **Right to Reply:** The Constitution (Article 19, Section 2) grants individuals the right to reply to information published about them. This allows individuals to present their side of the story and potentially mitigate the damage caused by false information.
**Challenges and Limitations:**
* **Burden of proof:** The burden of proving that the information is false lies with the plaintiff (the individual filing the case). This can be challenging, especially if the information is presented as opinion or lacks clear evidence of falsity.
* **Defense of truth:** The defendant (media outlet or individual) can raise the defense of truth, meaning they can argue that the information they published is substantially true.
* **Public interest:** The defense of public interest might be applicable if the information, even if not entirely accurate, serves a legitimate public interest, such as exposing genuine corruption.
* **Chilling effect:** Legal actions against media outlets, even if unsuccessful, can have a chilling effect on freedom of speech and press.
**Recommendations:**
* **Consult a lawyer:** Navigating legal complexities and choosing the most appropriate course of action requires seeking guidance from a lawyer specializing in media law and defamation.
* **Consider alternative solutions:** Depending on the specific situation, pursuing alternative solutions like issuing a public statement refuting the false information or engaging with the media outlet to seek a correction might be more effective and less resource-intensive than legal action.
**Important Note:**
This information provides a general overview and should not be considered as legal advice. The specific legal options available and their likelihood of success depend on the individual circumstances, the content of the information published, and the applicable legal interpretations. Consulting with a qualified lawyer is crucial to assess the specific situation, understand the potential risks and limitations, and make informed decisions regarding pursuing legal action or exploring alternative solutions.</t>
  </si>
  <si>
    <t>How do international anti-corruption treaties and agreements influence efforts to combat government corruption?</t>
  </si>
  <si>
    <t>International anti-corruption treaties and agreements play a significant role in influencing efforts to combat government corruption by:
**1. Establishing Norms and Standards:**
* **Defining Corruption:** These agreements provide a **common understanding and definition** of corruption offenses, fostering international cooperation and facilitating coordinated action against these crimes.
* **Setting Standards:** They establish **minimum standards** for member states to implement in their domestic legislation and practices, including:
* **Criminalization of key corruption offenses:** This includes bribery, embezzlement, and abuse of power for private gain.
* **Preventive measures:** These measures aim to address the root causes of corruption, such as promoting transparency, accountability, and integrity in public institutions.
* **Enforcement mechanisms:** The agreements outline expectations for establishing effective law enforcement, prosecution, and asset recovery mechanisms to combat corruption.
**2. Promoting Cooperation and Information Sharing:**
* **Mutual Legal Assistance:** The agreements facilitate **cooperation between countries** in investigations, prosecutions, and asset recovery related to corruption offenses. This allows for sharing of evidence, witness testimony, and other critical information across borders.
* **Exchange of Best Practices:** Member states can **learn from each other's experiences** and share successful strategies for preventing, detecting, and investigating corruption.
**3. Monitoring and Review:**
* **Review Mechanisms:** Many agreements establish **review mechanisms** where member states are periodically evaluated by other parties on their progress in implementing the agreed-upon standards and addressing identified shortcomings. This process can encourage continuous improvement and hold countries accountable for their commitments.
**4. Legitimizing Anti-Corruption Efforts:**
* **International Pressure:** Ratification of these agreements demonstrates a country's **commitment to fighting corruption** and can create international pressure to uphold these commitments. This can strengthen the resolve of domestic actors advocating for anti-corruption reforms.
**Limitations and Challenges:**
* **Voluntary Implementation:** While these agreements set standards, their **implementation relies on the commitment of individual countries**. This can vary depending on political will, institutional capacity, and resource constraints.
* **Enforcement Challenges:** Enforcing the provisions of these agreements can be complex, especially when dealing with powerful individuals or entities involved in corruption.
* **Focus on State Actors:** Some agreements primarily focus on **corruption involving state officials**, potentially neglecting other forms of corruption like private sector bribery.
**Overall, international anti-corruption treaties and agreements, despite their limitations, play a crucial role in:**
* **Raising global awareness** of the detrimental effects of corruption.
* **Promoting international cooperation** in combating this transnational crime.
* **Encouraging countries to adopt and implement** effective anti-corruption measures.
* **Holding governments accountable** for their commitments to fight corruption.
These agreements, combined with national efforts, civil society engagement, and robust enforcement mechanisms, can contribute significantly to creating a global environment less conducive to corruption and fostering more transparent and accountable governance.</t>
  </si>
  <si>
    <t>Can individuals file lawsuits against government agencies or departments for failing to comply with transparency and accountability requirements?</t>
  </si>
  <si>
    <t>In the Philippines, whether individuals can successfully file lawsuits against government agencies or departments for failing to comply with transparency and accountability requirements depends on several factors:
**Limited Direct Lawsuits:**
* **Philippine legal framework:** While various laws and regulations promote transparency and accountability in government, they don't explicitly grant individuals a **direct right to sue** government entities solely for non-compliance.
**Alternative Avenues:**
* **Mandamus Petitions:** Individuals can file **mandamus petitions** with the courts, compelling government agencies to fulfill their **mandatory duties** under the law, including those related to transparency and accountability. This could involve:
* **Providing requested information:** If a government agency fails to respond to a legitimate request for information under the **Freedom of Information (FOI) Act**, a mandamus petition could compel them to do so.
* **Following proper procedures:** If an agency fails to comply with mandated procedures for decision-making or public participation, a mandamus petition could ensure they follow these procedures.
* **Complaints with Oversight Bodies:** Individuals can file complaints with relevant oversight bodies like the **Ombudsman** or the **Commission on Audit (COA)**, alleging violations of transparency and accountability requirements by government agencies. These bodies can investigate the complaints and potentially recommend corrective measures or sanctions.
**Challenges and Considerations:**
* **Burden of Proof:** Individuals filing mandamus petitions or complaints face the burden of proving:
* **Clear legal duty:** The government agency has a clear legal duty to comply with transparency and accountability requirements under specific laws or regulations.
* **Failure to fulfill the duty:** The agency demonstrably failed to fulfill this duty in a specific instance.
* **Personal harm:** The individual filing the case has suffered harm due to the agency's non-compliance.
* **Lengthy Processes:** Legal proceedings can be time-consuming and expensive, requiring significant resources and perseverance.
* **Limited Scope:** These avenues might not address all aspects of non-compliance, and success can depend on the specific circumstances of each case.
**Importance of Legal Guidance:**
Consulting with lawyers specializing in **administrative law, public interest litigation, or access to information** is crucial before pursuing any legal action. They can:
* **Assess the viability of the case:** Evaluate the specific situation, applicable laws, and the likelihood of success considering the legal complexities.
* **Advise on the most appropriate avenue:** Determine whether mandamus petitions, complaints, or alternative strategies offer the best course of action.
* **Navigate the legal process:** Provide guidance on gathering evidence, filing petitions or complaints, and representing your interests in court or before oversight bodies.
**Conclusion:**
While directly suing government agencies for non-compliance with transparency and accountability requirements might not be the most straightforward option, individuals have alternative avenues to seek redress and hold these entities accountable. Understanding the legal landscape, exploring available options, and seeking professional guidance can be crucial in navigating these situations and promoting greater transparency and accountability in governance.</t>
  </si>
  <si>
    <t>What role do judicial oversight and review play in ensuring accountability for cases of government corruption?</t>
  </si>
  <si>
    <t>Judicial oversight and review play a crucial role in ensuring accountability for cases of government corruption in several ways:
**1. Identifying and Addressing Abuse of Power:**
* **Reviewing Legality of Actions:** Courts have the authority to review the legality of government actions, including laws, policies, and decisions. This allows them to identify instances where these actions violate the law, exceed authority, or are influenced by improper motives like corruption.
* **Striking Down Unlawful Acts:** If the court finds government actions to be unlawful or unconstitutional, it can issue rulings that declare them null and void, effectively stopping their implementation and potentially requiring corrective measures.
**2. Holding Officials Accountable:**
* **Investigating Allegations:** Courts can play a role in investigating allegations of corruption through judicial inquiries or empowering relevant authorities to conduct thorough investigations.
* **Imposing Sanctions:** Depending on the specific case and legal framework, courts can impose sanctions on government officials found guilty of corruption, including removal from office, fines, or even imprisonment.
**3. Deterring Future Corruption:**
* **Setting Precedents:** Court rulings establish legal precedents that guide future actions and decisions by government officials. By setting clear expectations and demonstrating consequences for corruption, these precedents can deter similar offenses in the future.
* **Promoting Transparency and Public Trust:** Effective judicial oversight fosters transparency and public trust in government institutions by demonstrating that no individual or entity is above the law and that there are mechanisms in place to hold them accountable for wrongdoing.
**Limitations and Challenges:**
* **Access to Justice:** Individuals or entities seeking to challenge government actions through the courts might face challenges related to:
* **Cost:** Legal proceedings can be expensive, potentially limiting access to justice for individuals or smaller organizations.
* **Complexity:** Navigating the legal system and presenting evidence effectively can be complex, requiring legal expertise.
* **Bureaucracy:** Judicial processes can be lengthy and bureaucratic, delaying the resolution of cases.
* **Judicial Independence:** The effectiveness of judicial oversight relies heavily on the **independence and impartiality** of the judiciary. If the judiciary is susceptible to external pressures or influence, its ability to hold government actors accountable for corruption might be compromised.
**Despite these challenges, judicial oversight and review remain essential safeguards against government corruption. By providing a mechanism for identifying and addressing abuses of power, holding officials accountable, and deterring future offenses, a strong and independent judiciary plays a vital role in promoting transparency, accountability, and good governance.**
**Additionally, it's important to note that judicial oversight and review are just one part of a comprehensive anti-corruption strategy. Other crucial elements include:**
* **Strong anti-corruption legislation and enforcement mechanisms.**
* **Effective investigative bodies with adequate resources and independence.**
* **A culture of integrity and ethical conduct within government institutions.**
* **Active participation of civil society in monitoring government activities and advocating for reforms.**
By working together, these various elements can create a robust system for combating corruption and promoting a more just and equitable society.</t>
  </si>
  <si>
    <t>Can individuals challenge government policies or decisions that are influenced by corrupt practices or conflicts of interest?</t>
  </si>
  <si>
    <t>Individuals in the Philippines **have avenues to challenge government policies or decisions** suspected to be influenced by corrupt practices or conflicts of interest. While the process can be complex and challenging, various legal and non-legal mechanisms exist to hold authorities accountable and seek redress:
**Legal Challenges:**
* **Filing Petitions:** Individuals can file petitions with relevant courts, such as the **Supreme Court**, challenging the legality of government policies or decisions on various grounds, including:
* **Violation of the Constitution:** If the policy or decision violates fundamental rights enshrined in the Constitution, such as due process, equal protection, or the right to information, individuals can petition for judicial review.
* **Exceeding Authority:** If the government agency issuing the policy or making the decision exceeded its legal authority, individuals can challenge its validity through legal action.
* **Procedural Irregularities:** If the process of formulating or implementing the policy or decision was flawed, individuals can challenge it based on procedural violations.
* **Administrative Complaints:** Individuals can file complaints with relevant **government agencies** like the **Ombudsman** or the **Civil Service Commission**, alleging irregularities, abuse of authority, or violations of ethical codes by government officials involved in the policy or decision-making process. These agencies can investigate the complaints and potentially recommend corrective measures or sanctions.
**Non-Legal Approaches:**
* **Public Advocacy and Awareness:** Raising public awareness about the suspected corruption or conflict of interest through campaigns, petitions, and public discourse can put pressure on authorities to reconsider the policy or decision and promote transparency.
* **Engaging with Civil Society Organizations:** Collaborating with NGOs and advocacy groups working on good governance and anti-corruption can leverage their expertise and resources to challenge problematic policies and advocate for reforms.
* **Seeking Media Attention:** Bringing the issue to the attention of media outlets can generate public scrutiny and hold authorities accountable for their actions.
**Challenges and Considerations:**
* **Burden of Proof:** Individuals challenging government policies or decisions often face the burden of proving the existence of corrupt practices or conflicts of interest, which can be challenging due to limited access to information and potential resistance from powerful entities.
* **Lengthy Processes:** Legal challenges and administrative procedures can be time-consuming and expensive, requiring significant resources and perseverance.
* **Limited Success Rates:** Not all challenges are successful, and individuals might face setbacks or delays in seeking redress.
**Overall, while challenging government policies or decisions influenced by corruption or conflicts of interest is not without its complexities, various avenues exist for individuals to hold authorities accountable and advocate for good governance. Seeking legal guidance, exploring available mechanisms, and collaborating with others can increase the chances of success in promoting transparency, accountability, and ethical decision-making in the Philippines.**</t>
  </si>
  <si>
    <t>How do defamation laws protect individuals who expose instances of government corruption from retaliation?</t>
  </si>
  <si>
    <t>Defamation laws in the Philippines offer **limited protection** for individuals who expose instances of government corruption from retaliation, primarily due to the **burden of proof** and the **potential for abuse** by those in power. Here's a breakdown of the key points:
**Limited Protection:**
* **Burden of Proof:** In defamation cases, the burden of proof lies with the plaintiff, the individual who claims they were defamed, to demonstrate that the statement made about them was:
* **False:** The statement must be demonstrably untrue.
* **Defamatory:** The statement must damage their reputation in the eyes of the right-thinking members of society.
* **Published:** The statement must have been communicated to a third party.
* **Potential for Abuse:** Powerful individuals or institutions, including government officials, might misuse defamation laws to silence critics and stifle legitimate exposure of corruption. This can have a chilling effect on freedom of speech and investigative journalism.
**Alternative Avenues for Protection:**
* **Truth as a Defense:** Individuals can defend themselves against defamation claims by proving that the statement made about them was **substantially true**. This defense can be challenging, requiring evidence to support the truthfulness of the claims made about corruption.
* **Public Interest Defense:** In some cases, individuals might be able to invoke the **public interest defense**, arguing that the information they disclosed, even if defamatory, was in the public interest and outweighed the harm to the individual's reputation. However, successfully establishing this defense can be complex and requires legal expertise.
* **Whistleblower Protection Laws:** The Philippines has **whistleblower protection laws** like Republic Act No. 6735, which offer some safeguards against retaliation for individuals who report violations of laws, rules, or regulations, including corruption offenses.
**Importance of Legal Expertise:**
Navigating defamation cases and utilizing potential defenses can be complex and requires the assistance of lawyers specializing in **media law, defamation law, and potentially public interest litigation**. They can:
* **Assess the legal risks and potential defenses:** Evaluate the specific circumstances, the likelihood of a defamation claim succeeding, and the possibility of invoking relevant defenses like truth or public interest.
* **Advise on alternative strategies:** Explore other avenues like whistleblower protection mechanisms or administrative complaints to expose corruption and minimize legal risks.
* **Navigate the legal process:** Provide guidance on gathering evidence, building a defense, and representing your interests in court if necessary.
**Conclusion:**
While defamation laws offer limited protection for individuals exposing corruption, alternative avenues and legal strategies exist to navigate these situations. However, it's crucial to understand the complexities involved, seek professional legal guidance, and weigh the potential risks and benefits before taking any action.</t>
  </si>
  <si>
    <t>Can individuals sue government officials or agencies for engaging in discriminatory practices as a form of corruption?</t>
  </si>
  <si>
    <t>In the Philippines, suing government officials or agencies for engaging in discriminatory practices as a form of corruption **presents complexities and limitations**, but **avenues exist** to challenge such actions and hold perpetrators accountable. Here's a breakdown of the key considerations:
**Challenges and Limitations:**
* **Defining "Corruption":** Philippine law **doesn't explicitly categorize** discriminatory practices as a form of corruption. While these practices can be unethical and harmful, they might not fall under the legal definition of corruption in all cases.
* **Burden of Proof:** Individuals suing government entities face the **burden of proving** both the occurrence of **discriminatory practices** and the resulting **harm** they suffered due to these actions. This can be challenging, requiring evidence and legal expertise.
* **Sovereign Immunity:** Government entities generally enjoy **sovereign immunity**, which shields them from certain types of lawsuits. However, there are **exceptions** and specific legal procedures that might allow individuals to sue the government under certain circumstances, often requiring legal expertise to navigate.
* **Lengthy Processes and Resource Constraints:** Legal proceedings can be **time-consuming and expensive**, posing significant challenges for individuals pursuing such cases.
**Potential Avenues:**
* **Filing Administrative Complaints:** Individuals can file **complaints with relevant government agencies** like the Commission on Human Rights (CHR) or the Civil Service Commission (CSC) alleging discrimination by government officials. These agencies can investigate the complaints and potentially recommend corrective measures or sanctions.
* **Seeking Legal Action:** In specific instances, individuals might be able to **file lawsuits** against government entities or officials for **violations of specific laws** prohibiting discrimination. These laws might include:
* **The Philippine Constitution:** The Constitution guarantees **equal protection** under the law (Article III, Section 1) and prohibits discrimination based on various factors like race, religion, and gender.
* **Anti-Discrimination Laws:** Laws like Republic Act No. 9262 (Anti-Violence Against Women and their Children Act) and Republic Act No. 10354 (Anti-Discrimination Act) prohibit specific forms of discrimination and outline potential remedies for victims.
* **Advocacy and Public Engagement:** Raising public awareness about discriminatory practices through campaigns, petitions, and public discourse can put pressure on authorities to address the issue and promote reforms.
* **Supporting Civil Society Organizations:** Collaborating with NGOs and advocacy groups working on anti-discrimination and good governance can amplify efforts to challenge discriminatory practices and hold perpetrators accountable.
**Importance of Legal Guidance:**
Consulting with lawyers specializing in **administrative law, anti-discrimination laws, or civil litigation** is crucial before pursuing any legal action. They can:
* **Assess the viability of the case:** Evaluate the specific circumstances, potential legal grounds, and the likelihood of success considering the complex legal landscape.
* **Advise on the most appropriate avenues:** Determine whether administrative complaints, lawsuits, or alternative strategies offer the best course of action.
* **Navigate the legal process:** Provide guidance on gathering evidence, filing complaints, and representing your interests in administrative proceedings or court.
**Conclusion:**
While suing government entities for discriminatory practices as a form of corruption faces challenges, individuals have options to seek redress and hold perpetrators accountable. Understanding the legal landscape, exploring available avenues, and seeking professional guidance can be crucial in navigating these complex situations and promoting equal treatment and good governance in the Philippines.</t>
  </si>
  <si>
    <t>How do government ethics codes and standards of conduct help prevent corruption, and what legal recourse exists for violations of these codes?</t>
  </si>
  <si>
    <t>## Government Ethics Codes and Standards of Conduct: Preventing Corruption and Addressing Violations
**1. Preventing Corruption:**
Government ethics codes and standards of conduct play a crucial role in **preventing corruption** by:
* **Promoting ethical behavior:** These codes outline expected ethical conduct for government officials, including principles like integrity, impartiality, accountability, and transparency. This helps guide decision-making and discourages unethical practices that could lead to corruption.
* **Raising awareness:** By clearly defining ethical expectations, these codes raise awareness of potential conflicts of interest, improper use of public resources, and other corrupt behavior. This can help officials identify and avoid situations that could compromise their integrity.
* **Building public trust:** Adherence to ethical standards fosters public trust in government institutions, as citizens perceive officials as acting in the public interest and upholding ethical principles.
* **Deterring misconduct:** The potential consequences of violating the code, such as disciplinary action or reputational damage, can serve as a deterrent for unethical behavior.
**2. Addressing Violations:**
While not directly enforceable through the legal system in most cases, violations of ethics codes can lead to various consequences:
* **Disciplinary Action:** Government agencies often have internal disciplinary procedures for addressing violations of their ethics codes. These may involve measures like reprimands, suspension, or even dismissal, depending on the severity of the offense.
* **Public Scrutiny and Reputational Damage:** Media coverage and public awareness of ethical violations can damage the reputation of the official involved and potentially the government institution as a whole.
* **Loss of Public Trust:** Violations can erode public trust in government and its officials, potentially leading to decreased cooperation and legitimacy.
* **Potential Criminal Charges:** In some cases, serious violations of the ethics code that also constitute criminal offenses, like bribery or abuse of power, might lead to criminal investigations and prosecution.
**It's important to note that:**
* The specific enforcement mechanisms for ethics codes can vary depending on the government agency and jurisdiction.
* While not directly leading to criminal charges in most cases, violations can still have significant consequences for individuals and institutions.
**Overall, government ethics codes and standards of conduct, while not a foolproof solution, are essential tools in promoting ethical conduct, deterring corruption, and fostering public trust in government.**</t>
  </si>
  <si>
    <t>Can individuals file lawsuits against social media platforms or technology companies that facilitate government corruption through misinformation or manipulation?</t>
  </si>
  <si>
    <t>Whether individuals can successfully file lawsuits against social media platforms or technology companies for facilitating government corruption through misinformation or manipulation is a complex issue with **uncertain outcomes** due to several factors:
**Challenges and Limitations:**
* **Indirect Causation:** Establishing a **direct causal link** between the platform's actions and specific instances of government corruption can be challenging. Platforms often argue they are merely neutral hosts and not responsible for the content users post.
* **Content Moderation Challenges:** Balancing **freedom of expression** with **content moderation** responsibilities is a complex issue. Platforms might argue they are protected by laws like Section 230 of the Communications Decency Act in the US, which shields them from liability for most user-generated content.
* **Complexity of Misinformation and Manipulation:** Attributing the spread of misinformation or manipulation solely to the platform can be difficult, as various factors like user behavior, political agendas, and media literacy also play a role.
* **Jurisdictional Issues:** Determining the appropriate jurisdiction and applicable laws for lawsuits involving international platforms operating across borders can be complex.
**Potential Avenues:**
* **Negligence Claims:** In limited cases, individuals might attempt to argue that the platform **failed to take reasonable steps** to prevent the spread of demonstrably false information known to be used for corrupt purposes, potentially leading to negligence claims. However, the success of such claims would depend on establishing a strong causal link and proving the platform's knowledge and intent.
* **Civil Rights Claims:** In specific situations, individuals who suffer harm due to discriminatory or hateful content facilitated by the platform might explore potential civil rights claims based on applicable laws and regulations.
* **Regulatory Action:** Individuals can urge **regulatory bodies** to hold platforms accountable for harmful content practices through complaints and advocacy efforts.
**Importance of Legal Expertise:**
Consulting with lawyers specializing in **media law, technology law, and potentially international law** is crucial before pursuing any legal action. They can:
* **Assess the viability of the case:** Evaluate the specific circumstances, potential legal grounds, and the likelihood of success considering the complex legal landscape.
* **Navigate legal complexities:** Advise on navigating jurisdictional issues, applicable laws, and the challenges of establishing causation and platform liability.
* **Explore alternative avenues:** Discuss potential options beyond lawsuits, such as engaging with the platform directly, advocating for legislative reforms, or pursuing regulatory action.
**Conclusion:**
While legal challenges exist against social media platforms for their role in facilitating government corruption, the success of such lawsuits remains uncertain due to complex legal issues and the difficulty of establishing direct causation. However, individuals can explore various avenues, including seeking legal guidance, advocating for regulatory action, and supporting broader efforts to address online misinformation and manipulation.</t>
  </si>
  <si>
    <t>What legal protections exist for government whistleblowers who expose instances of corruption within their agencies or departments?</t>
  </si>
  <si>
    <t>In the Philippines, several legal protections exist for government whistleblowers who expose corruption within their agencies or departments:
**1. Republic Act No. 6713: The Code of Conduct and Ethical Standards for Public Officials and Employees:**
* **Section 34:** This section mandates government agencies to establish mechanisms for receiving and investigating complaints against public officials and employees, including those related to retaliation against whistleblowers.
**2. Republic Act No. 6735: The Whistleblower Protection Act:**
* **Prohibition on Retaliation:** This act specifically prohibits **retaliatory actions** against whistleblowers in the public and private sectors who report violations of laws, rules, or regulations, including corruption offenses. It outlines potential legal remedies for individuals who experience retaliation.
* **Retaliatory actions** can include termination, demotion, harassment, threats, or any other act intended to discourage or punish individuals for whistleblowing.
* **Protected Disclosures:** The act defines **protected disclosures** as reports made in good faith regarding violations of laws, rules, or regulations, including:
* Misuse of public funds or property
* Abuses of authority
* Dangers to public health or safety
* Gross negligence or inefficiency
**3. Witness Protection, Security and Benefit Act (Republic Act No. 6981):**
* **In exceptional cases:** Whistleblowers who expose **major corruption offenses** and whose safety is deemed at risk might be eligible for protection under this act, which provides:
* Witness relocation and security measures
* Financial assistance
* Other benefits
**4. Additional Protections:**
* **The Constitution:** The Philippine Constitution guarantees the **right to information** (Article III, Section 7) and the **right to petition the government for redress of grievances** (Article III, Section 16). These rights can be invoked by whistleblowers to support their actions and challenge retaliation.
* **Comelec Resolution No. 9615:** This resolution provides specific guidelines for protecting whistleblowers who report election-related offenses.
**Challenges and Limitations:**
* **Burden of Proof:** The burden of proof lies with the whistleblower to demonstrate:
* **Occurrence of whistleblowing:** They must prove they engaged in protected disclosures in good faith.
* **Retaliatory action:** They must demonstrate they suffered negative consequences due to their whistleblowing activities.
* **Connection between the two:** They must establish a clear link between their whistleblowing and the retaliatory action taken against them. This can be challenging, especially if the retaliation is subtle or indirect.
* **Sovereign Immunity:** Government entities generally enjoy **sovereign immunity**, which shields them from certain types of lawsuits. However, there are **exceptions** and specific legal procedures that might allow individuals to sue the government under certain circumstances, often requiring legal expertise to navigate.
* **Lengthy Processes and Resource Constraints:** Legal proceedings can be **time-consuming and expensive**, posing significant challenges for individuals pursuing such cases.
**Despite these challenges, the legal framework in the Philippines offers various protections for government whistleblowers. However, it's crucial for individuals to understand their rights, seek legal guidance when necessary, and explore available support mechanisms to navigate the process effectively.**</t>
  </si>
  <si>
    <t>Can individuals take legal action against government entities or officials for engaging in voter suppression or election fraud as a form of corruption?</t>
  </si>
  <si>
    <t>## Legal avenues in the Philippines to address voter suppression and election fraud:
While **not explicitly categorized as corruption under Philippine law**, **voter suppression and election fraud** can be challenged through various legal mechanisms:
**1. Filing Criminal Complaints:**
* **Relevant Laws:** Individuals can file criminal complaints against government entities or officials suspected of engaging in voter suppression or election fraud under various laws, including:
* **Revised Penal Code (RPC):** Provisions like нарушения ng mga karapatan sa pagboto (violations of voting rights - Article 139), pagdaraya sa halalan (election fraud - Article 140), and coercion (Article 148) might be applicable depending on the specific acts of suppression or fraud.
* **The Omnibus Election Code (OEC):** This code outlines various election offenses, including vote buying, disenfranchisement, and tampering with ballots. Specific provisions like vote-buying (Section 261) and нарушение ng mga patakaran sa pagboto (violations of voting rules - Section 263) might be relevant.
* **Process:** Complaints can be filed with the **Philippine National Police (PNP)**, **National Bureau of Investigation (NBI)**, or the **Comelec Law Department**. These agencies will investigate the allegations and potentially file charges with the appropriate court.
**2. Filing Civil Suits:**
* **Grounds:** Individuals who have suffered harm due to voter suppression or election fraud might be able to file civil lawsuits against the perpetrators, seeking:
* **Damages:** Compensation for financial losses or other harm suffered.
* **Injunctive relief:** Court orders to prevent future acts of suppression or fraud.
* **Challenges:** Successfully pursuing civil suits can be complex and require legal expertise to navigate the legal nuances and demonstrate causation between the actions and the harm suffered.
**3. Petitions with the Commission on Elections (Comelec):**
* **Election Protests:** Individuals can file petitions with Comelec contesting the results of an election if they have evidence of widespread voter suppression or fraud that significantly affected the outcome.
* **Administrative Complaints:** Complaints can be filed with Comelec against poll officials suspected of misconduct or нарушения ng mga patakaran sa halalan (violations of election rules).
**4. Petitions for Certiorari:**
* **Challenging Comelec Decisions:** Individuals can petition the Supreme Court to review and potentially overturn decisions made by Comelec if they believe they are illegal or violate their constitutional rights.
**Important Considerations:**
* **Gathering Evidence:** Strong evidence is crucial for any legal action, requiring individuals to document and preserve evidence of voter suppression or election fraud.
* **Legal Expertise:** Navigating the complexities of the legal system and effectively presenting evidence often requires the assistance of lawyers specializing in election law and litigation.
* **Lengthy Processes:** Legal proceedings can be time-consuming and expensive, posing challenges for individuals with limited resources.
**Conclusion:**
While there's no single legal provision explicitly addressing voter suppression and election fraud as "corruption" in the Philippines, various legal avenues exist to challenge these practices and hold perpetrators accountable. However, pursuing these avenues can be complex and require careful consideration of the specific circumstances, evidence available, and potential challenges involved.</t>
  </si>
  <si>
    <t>How do lobbying disclosure laws help prevent undue influence and corruption in government decision-making?</t>
  </si>
  <si>
    <t>Lobbying disclosure laws play a crucial role in **mitigating undue influence and corruption** in government decision-making by:
**1. Increasing Transparency:**
* **Disclosure of Lobbying Activities:** These laws require lobbyists to register with relevant authorities and disclose information about their clients, activities, and expenditures. This transparency allows the public and policymakers to:
* **Identify potential conflicts of interest:** By knowing who is lobbying and on behalf of whom, policymakers can be more aware of potential biases and conflicts of interest that might influence their decisions.
* **Track lobbying efforts:** Public disclosure allows for monitoring the extent and nature of lobbying activities, fostering greater public scrutiny and holding lobbyists accountable for their actions.
**2. Promoting Accountability:**
* **Public Scrutiny:** By making lobbying activities transparent, the public can hold policymakers and lobbyists accountable for their interactions. This scrutiny can deter unethical practices and encourage more responsible lobbying behavior.
* **Monitoring Compliance:** Disclosure requirements allow authorities to monitor compliance with lobbying laws and regulations, identifying and addressing potential violations that could lead to undue influence or corruption.
**3. Enabling Informed Decision-Making:**
* **Access to Information:** Disclosure of lobbying activities provides policymakers with valuable information about the interests and arguments presented by different stakeholders. This broader perspective can help them make more informed and balanced decisions based on a wider range of viewpoints.
* **Identifying Potential Bias:** Knowing who is lobbying on a particular issue can help policymakers identify potential biases and consider the full range of perspectives before making decisions.
**Limitations and Challenges:**
* **Limited Scope:** Disclosure laws might not capture all forms of lobbying activity, such as informal contacts or grassroots lobbying efforts, potentially leaving some influence channels unchecked.
* **Focus on Disclosure, not Regulation:** Disclosure laws primarily focus on making information public, not necessarily regulating the content or methods of lobbying. Additional measures might be needed to address unethical practices.
* **Enforcement Challenges:** Effectively enforcing lobbying disclosure laws requires adequate resources and commitment from relevant authorities, which can be challenging in some contexts.
**Overall, while lobbying disclosure laws are not a foolproof solution to preventing undue influence and corruption, they play a vital role in promoting transparency, accountability, and informed decision-making in the government. By shedding light on lobbying activities, these laws empower the public to hold policymakers and lobbyists accountable, ultimately contributing to a more ethical and democratic political process.**</t>
  </si>
  <si>
    <t>Can individuals challenge the constitutionality of laws or regulations that limit transparency and accountability in government operations?</t>
  </si>
  <si>
    <t>In the Philippines, individuals **can potentially challenge the constitutionality of laws or regulations that limit transparency and accountability in government operations** through a legal process called **judicial review**. However, it's important to understand the complexities and limitations involved:
**Grounds for Challenging Laws:**
* **Violation of the Constitution:** Individuals can challenge laws or regulations if they believe they violate specific provisions of the Philippine Constitution, such as:
* **Right to information:** The Constitution guarantees the right of the people to information on matters of public concern (Article III, Section 7).
* **Transparency and accountability:** The Constitution mandates the government to be accountable to the people and to provide mechanisms for transparency in its operations (Article II, Section 1).
* **Due process:** The Constitution guarantees due process rights, which can be violated if laws or regulations create unfair or unreasonable limitations on transparency and accountability.
**Process of Judicial Review:**
* **Filing a Petition:** Individuals can file a **petition for certiorari** with the Supreme Court, arguing that the law or regulation in question is unconstitutional. This petition must be based on sound legal arguments and supported by relevant evidence.
* **Court Proceedings:** The Supreme Court will then hear arguments from both sides and deliberate on the case. This process can be lengthy and complex, involving legal experts and potentially requiring significant resources.
* **Court Decision:** The Supreme Court has the final say on the constitutionality of the law or regulation. If the Court finds the law or regulation unconstitutional, it may declare it **null and void**, effectively striking it down.
**Challenges and Limitations:**
* **Burden of Proof:** The burden of proof lies with the individual challenging the law to demonstrate that it is **unconstitutional beyond reasonable doubt**. This requires strong legal arguments and evidence.
* **Legal Expertise:** Successfully navigating the complexities of judicial review typically requires the assistance of experienced lawyers specializing in constitutional law.
* **Lengthy Process and Costs:** Legal challenges can be time-consuming and expensive, posing significant obstacles for individuals with limited resources.
* **Limited Grounds for Success:** Not all limitations on transparency and accountability will be deemed unconstitutional. The Court will weigh the government's justifications for the limitations against the potential harm to transparency and accountability.
**Alternative Approaches:**
* **Advocacy and Public Engagement:** Raising public awareness about the negative impacts of limitations on transparency and accountability through campaigns, petitions, and public discourse can put pressure on lawmakers to consider reforms.
* **Supporting Civil Society Organizations:** Collaborating with NGOs and advocacy groups working on government transparency and accountability can amplify efforts to challenge problematic laws and regulations.
* **Promoting Legislative Reforms:** Engaging with legislators and policymakers to advocate for changes to existing laws or regulations that hinder transparency and accountability can lead to positive reforms through the legislative process.
**It's important to remember that challenging the constitutionality of laws is a complex legal process with uncertain outcomes. However, by understanding the potential avenues, seeking professional guidance, and exploring alternative approaches, individuals can contribute to promoting transparency, accountability, and good governance in the Philippines.**</t>
  </si>
  <si>
    <t>What role do citizen watchdog groups or civil society organizations play in detecting and exposing government corruption?</t>
  </si>
  <si>
    <t>Citizen watchdog groups and civil society organizations (CSOs) play a crucial role in **detecting and exposing government corruption** in several ways:
**Monitoring and Investigation:**
* **Monitoring Government Activities:** These groups monitor government activities through various means, including attending public meetings, reviewing public documents, and analyzing government data. This allows them to identify potential irregularities or red flags that might indicate corruption.
* **Investigative Reporting:** They conduct investigative reporting by gathering evidence, interviewing whistleblowers and witnesses, and analyzing data to uncover potential corruption schemes and expose them to the public and relevant authorities.
* **Public Awareness Campaigns:** By raising public awareness about suspected corruption through reports, press releases, and social media campaigns, these organizations can put pressure on authorities to investigate and hold those involved accountable.
**Promoting Transparency and Public Participation:**
* **Lobbying for Reform:** They advocate for reforms that promote transparency and accountability in government, such as stronger anti-corruption laws, improved public access to information, and citizen participation mechanisms in decision-making processes.
* **Supporting Whistleblowers:** These organizations provide support and assistance to whistleblowers who come forward to expose corruption, helping them navigate the reporting process and protecting them from potential Compileretaliation.
* **Legal Aid and Representation:** In some cases, CSOs offer legal aid and representation to individuals or communities who have been affected by corruption, helping them seek justice and hold perpetrators accountable.
**Building Public Trust and Capacity:**
* **Education and Awareness Programs:** They educate the public about their rights and responsibilities in combating corruption, empowering citizens to identify and report suspicious activities.
* **Capacity Building:** CSOs can build the capacity of communities and local organizations to monitor government activities, hold them accountable, and advocate for good governance practices.
* **Collaboration and Networking:** These organizations collaborate with each other, government agencies, media outlets, and international actors to share information, coordinate efforts, and amplify their impact in the fight against corruption.
**Challenges and Limitations:**
* **Limited Resources:** CSOs often operate with limited resources, making it challenging to conduct extensive investigations, maintain a wide reach, and compete with powerful individuals or entities involved in corruption.
* **Limited Access to Information:** Accessing government information can be difficult due to limited transparency or restrictive laws, hindering their ability to effectively monitor and investigate suspected corruption.
* **Intimidation and Harassment:** CSOs working on sensitive issues can face intimidation, harassment, and even violence from those who benefit from corruption, hindering their activities and putting their members at risk.
**Despite these challenges, citizen watchdog groups and CSOs play a vital role in holding governments accountable, promoting transparency, and deterring corruption. Their dedication and efforts contribute to a more just and equitable society by empowering citizens and advocating for good governance practices. **</t>
  </si>
  <si>
    <t>Can individuals sue government officials who engage in favoritism or cronyism to benefit themselves or their associates?</t>
  </si>
  <si>
    <t>In the Philippines, suing government officials for **favoritism or cronyism** that benefits themselves or their associates is **possible but complex**, with **uncertain outcomes**. Here's a breakdown of the key factors to consider:
**Potential Grounds for Lawsuit:**
* **Violation of Specific Laws:** Individuals might have grounds for legal action if the government officials' actions violated specific laws, such as:
* **Anti-Graft and Corrupt Practices Act (Republic Act No. 3019):** This law prohibits various corrupt practices, and using one's position for personal gain or to favor relatives or associates could be considered an offense.
* **Code of Conduct and Ethical Standards for Public Officials and Employees (Republic Act No. 6713):** This law outlines ethical standards expected of public officials, and engaging in favoritism or cronyism could be considered a breach of these standards.
**Challenges and Limitations:**
* **Difficulty in Proving Intent:** Demonstrating **concrete evidence** of the **intent to gain personal benefit** or favor specific individuals through one's official position can be challenging.
* **Burden of Proof:** The burden of proof lies with the individual filing the lawsuit to demonstrate both the **occurrence of favoritism or cronyism** and the resulting **harm** they suffered due to these actions.
* **Sovereign Immunity:** Government entities generally enjoy **sovereign immunity**, which shields them from certain types of lawsuits. However, there are **exceptions** and specific legal procedures that might allow individuals to sue the government under certain circumstances.
* **Lengthy Processes and Resource Constraints:** Legal proceedings can be **time-consuming and expensive**, posing significant challenges for individuals pursuing such lawsuits.
**Potential Avenues:**
* **Administrative Complaints:** Individuals can file **complaints with relevant government agencies** like the Office of the Ombudsman, which has the authority to investigate allegations of misconduct by government officials, including favoritism and cronyism.
* **Civil Lawsuits:** In some limited instances, individuals might be able to file **civil lawsuits** against government entities or officials for **damages** incurred due to their actions, although navigating sovereign immunity can be complex.
**Importance of Legal Guidance:**
Consulting with lawyers specializing in **administrative law, anti-corruption matters, or civil litigation** is crucial before pursuing any legal action. They can:
* **Assess the viability of the case:** Evaluate the evidence, legal grounds, and potential challenges involved.
* **Advise on the most appropriate legal avenues:** Determine whether administrative complaints, civil lawsuits, or alternative strategies offer the best course of action.
* **Navigate the legal process:** Provide guidance on gathering evidence, filing complaints, and representing your interests in court or administrative proceedings.
**Alternative Approaches:**
* **Public Advocacy and Engagement:** Raising public awareness about **favoritism and cronyism** within the government through media campaigns, petitions, and community organizing can put pressure on authorities to investigate and hold officials accountable.
* **Supporting Civil Society Organizations:** Supporting NGOs and advocacy groups working on government accountability and anti-corruption can amplify efforts to combat such practices.
* **Promoting Transparency and Reform:** Advocating for **stronger legal frameworks** to address favoritism and cronyism, **greater transparency** in decision-making processes, and **effective mechanisms** for holding officials accountable can help prevent similar issues in the future.
**Remember, taking legal action against government entities can be complex and challenging. However, by understanding your options, seeking professional guidance, and engaging in broader efforts to promote accountability and transparency, individuals can contribute to combating favoritism and cronyism within the government.**</t>
  </si>
  <si>
    <t>How do anti-corruption measures in government procurement processes help prevent corrupt practices?</t>
  </si>
  <si>
    <t>Anti-corruption measures implemented in government procurement processes play a crucial role in **deterring, detecting, and preventing** corrupt practices by:
**1. Promoting Transparency and Competition:**
* **Open Bidding Processes:** Open and competitive bidding processes ensure that **all qualified vendors have a fair chance** to compete for contracts, reducing opportunities for favoritism and collusion.
* **Public Disclosure of Information:** Making bidding documents, contract details, and awarded contracts publicly accessible **increases transparency** and allows for public scrutiny, discouraging manipulation and hidden agendas.
* **E-Procurement Systems:** Utilizing **electronic procurement systems** can streamline processes, minimize human intervention, and enhance transparency by creating auditable records of transactions.
**2. Strengthening Accountability and Oversight:**
* **Clear &amp; Defined Procedures:** Establishing **clear and well-defined procedures** for every stage of the procurement process, from needs assessment to contract award, minimizes ambiguity and reduces the risk of manipulation.
* **Independent Oversight Bodies:** Establishing **independent oversight bodies** with the authority to review and audit procurement processes helps detect irregularities and hold accountable those who engage in corrupt practices.
* **Complaint Mechanisms:** Implementing **effective complaint mechanisms** allows individuals and entities to report suspected corruption without fear of retaliation, facilitating investigations and corrective actions.
**3. Mitigating Conflicts of Interest:**
* **Conflict of Interest Disclosures:** Requiring all involved parties to **declare any potential conflicts of interest** helps identify situations where personal gain might influence decision-making and allows for appropriate mitigation strategies.
* **Code of Conduct for Officials:** Establishing and enforcing a **code of conduct** for government officials involved in procurement processes outlines ethical standards and discourages actions that could compromise integrity.
* **Rotation of Personnel:** Regularly rotating personnel involved in key procurement decisions can minimize the risk of individuals forming improper relationships with vendors or developing vested interests in specific outcomes.
**4. Enhancing Integrity and Capacity:**
* **Training and Capacity Building:** Providing **training programs** for government officials involved in procurement on anti-corruption measures, ethical conduct, and best practices strengthens their ability to identify and resist corrupt activities.
* **Public Awareness Campaigns:** Raising public awareness about the importance of **ethical procurement practices** and encouraging citizen participation in monitoring processes can foster a culture of integrity and accountability.
* **Collaboration with Civil Society:** Collaborating with **civil society organizations** can leverage their expertise and resources to monitor procurement processes, identify potential risks, and advocate for transparency and good governance.
**It's important to note that** implementing these measures is not a guarantee of complete eradication of corruption. However, a **comprehensive approach** combining various anti-corruption measures within the procurement process can significantly **reduce opportunities for wrongdoing, increase transparency, and promote accountability**, ultimately fostering a more ethical and efficient procurement system.</t>
  </si>
  <si>
    <t>Can individuals file lawsuits against government officials or agencies for engaging in retaliatory actions against whistleblowers or activists who expose corruption?</t>
  </si>
  <si>
    <t>Whether individuals can successfully file lawsuits against government officials or agencies for **retaliatory actions against whistleblowers or activists** who expose corruption depends on several factors:
**Legal Frameworks:**
The Philippines has legal frameworks in place to protect whistleblowers and potentially allow lawsuits against retaliation:
* **Republic Act No. 6713 (The Code of Conduct and Ethical Standards for Public Officials and Employees):** This law mandates government agencies to establish mechanisms for receiving and investigating complaints against public officials and employees, including those related to retaliation against whistleblowers.
* **Republic Act No. 6735 (The Whistleblower Protection Act):** This act specifically prohibits **retaliation** against whistleblowers in the public and private sectors who report violations of laws, rules, or regulations, including corruption offenses. It outlines potential legal remedies for individuals who experience retaliation.
**Challenges and Limitations:**
* **Burden of Proof:** The burden of proof lies with the individual filing the lawsuit to demonstrate:
* **Occurrence of whistleblowing:** They must prove they engaged in protected whistleblowing activities by reporting suspected corruption in good faith.
* **Retaliatory action:** They must demonstrate they suffered negative consequences (e.g., termination, harassment) due to their whistleblowing activities.
* **Connection between the two:** They must establish a clear link between their whistleblowing and the retaliatory action taken against them. This can be challenging, especially if the retaliation is subtle or indirect.
* **Sovereign Immunity:** Government entities generally enjoy **sovereign immunity**, which shields them from certain types of lawsuits. However, there are **exceptions** and specific legal procedures that might allow individuals to sue the government under certain circumstances, often requiring legal expertise to navigate.
* **Lengthy Processes and Resource Constraints:** Legal proceedings can be **time-consuming and expensive**, posing significant challenges for individuals pursuing such lawsuits.
**Potential Avenues:**
* **Administrative Complaints:** Individuals can file **complaints with relevant government agencies** like the Office of the Ombudsman, which has the authority to investigate allegations of misconduct by government officials, including retaliation against whistleblowers.
* **Civil Lawsuits:** In some limited instances, individuals might be able to file **civil lawsuits** against government entities or officials for **damages** incurred due to retaliatory actions, although navigating sovereign immunity can be complex.
**Importance of Legal Guidance:**
Consulting with lawyers specializing in **whistleblower protection, administrative law, or anti-corruption matters** is crucial before pursuing any legal action. They can:
* **Assess the viability of the case:** Evaluate the evidence, legal grounds, and potential challenges involved.
* **Advise on the most appropriate legal avenues:** Determine whether administrative complaints, civil lawsuits, or alternative strategies offer the best course of action.
* **Navigate the legal process:** Provide guidance on gathering evidence, filing complaints, and representing your interests in court or administrative proceedings.
**Beyond Legal Measures:**
* **Public Advocacy and Engagement:** Raising public awareness about **retaliation against whistleblowers** through media campaigns, petitions, and community organizing can put pressure on authorities to investigate and hold officials accountable.
* **Supporting Civil Society Organizations:** Supporting NGOs and advocacy groups working on whistleblower protection and anti-corruption can amplify efforts to combat such practices.
* **Promoting Transparency and Reform:** Advocating for **stronger legal frameworks** to protect whistleblowers, **independent investigative bodies**, and **effective accountability mechanisms** within the government can help prevent similar issues in the future.
**Remember, taking legal action against government entities can be complex and challenging. However, by understanding your options, seeking professional guidance, and engaging in broader efforts to promote accountability, individuals can contribute to protecting whistleblowers, combating retaliation, and fostering a culture of transparency and good governance.**</t>
  </si>
  <si>
    <t>How does government corruption impact economic development and investor confidence, and what legal measures can be taken to address these impacts?</t>
  </si>
  <si>
    <t>## Impact of Government Corruption on Economic Development and Investor Confidence:
Government corruption can significantly hinder economic development and investor confidence in several ways:
**1. Deterrence of Investment:**
* **Increased Risk and Uncertainty:** Corruption creates an unpredictable and risky environment for businesses, discouraging both domestic and foreign investors from entering the market.
* **Unfair Competition:** Corrupt practices can allow businesses with political connections to gain unfair advantages, hindering competition and discouraging investment from companies relying solely on merit.
* **Inefficient Resource Allocation:** Corruption can lead to the misallocation of public resources, diverting funds away from productive investments in infrastructure, education, and healthcare.
**2. Reduced Economic Efficiency:**
* **Misallocation of Resources:** Corrupt practices can lead to investments in projects that are not economically viable or do not benefit the broader population, resulting in wasted resources and missed opportunities for growth.
* **Discourages Innovation and Entrepreneurship:** A corrupt environment discourages innovation and entrepreneurship as businesses hesitate to invest in new ideas or compete with established players who might benefit from unfair practices.
* **Hinders Long-Term Growth:** By undermining efficient resource allocation, innovation, and fair competition, corruption can hinder long-term economic growth and development.
**3. Erodes Investor Confidence:**
* **Negative Reputation:** A reputation for corruption can damage a country's image and deter potential investors who perceive the market as risky and unreliable.
* **Lack of Transparency and Predictability:** Corruption creates an opaque and unpredictable business environment, making it difficult for investors to assess risks and make informed investment decisions.
* **Weak Rule of Law:** When the rule of law is undermined by corruption, investors lose trust in the legal system and its ability to protect their investments and enforce contracts.
## Legal Measures to Address the Impact of Corruption:
Several legal measures can be implemented to address the negative impacts of corruption on economic development and investor confidence:
* **Strengthening Anti-Corruption Laws and Enforcement:**
* Enacting and enforcing comprehensive anti-corruption legislation that criminalizes bribery, extortion, and other corrupt practices.
* Establishing independent anti-corruption agencies with adequate resources and investigative powers.
* Increasing transparency and accountability in government procurement processes.
* **Promoting Transparency and Openness:**
* Implementing freedom of information laws that guarantee public access to government data and decision-making processes.
* Establishing whistleblower protection mechanisms to encourage individuals to report corruption without fear of retaliation.
* Promoting public participation in government decision-making and oversight mechanisms.
* **Strengthening the Rule of Law and Judicial System:**
* Ensuring the independence and impartiality of the judiciary to effectively investigate and prosecute corruption cases.
* Implementing judicial reforms to improve efficiency, transparency, and accountability within the legal system.
* Combating impunity by holding corrupt officials accountable regardless of their position or influence.
* **International Cooperation:**
* Ratifying and implementing international anti-corruption conventions like the UN Convention Against Corruption.
* Collaborating with other countries to share best practices, enhance cross-border cooperation in investigating and prosecuting corruption, and recover stolen assets.
**It's important to note that addressing corruption requires a comprehensive and multi-pronged approach, combining legal measures with broader reforms to promote ethical conduct, strengthen institutions, and foster a culture of transparency and accountability.**</t>
  </si>
  <si>
    <t>Can individuals challenge government contracts or agreements that are awarded through corrupt practices?</t>
  </si>
  <si>
    <t>In the Philippines, individuals **can attempt** to challenge government contracts or agreements suspected to be awarded through corrupt practices, but it's a **complex and challenging process** with **uncertain outcomes**. Here's a breakdown of the potential avenues and limitations:
**Grounds for Challenging Contracts:**
* **Violation of Procurement Laws:** Contracts awarded through **irregular or non-transparent procedures** that violate the **Government Procurement Reform Act (RA 9184)** or its implementing rules and regulations can be challenged. This includes bypassing competitive bidding processes, favoring specific companies through unfair practices, or manipulating contract terms.
* **Evidence of Corruption:** Demonstrating **concrete evidence** of **bribery, collusion, fraud, or other corrupt practices** influencing the awarding of the contract is crucial. This could involve:
* **Documents:** Internal communications, financial records, or leaked information suggesting improper influence in the procurement process.
* **Witness testimonies:** Statements from individuals with firsthand knowledge of corrupt activities related to the contract award.
* **Expert analysis:** Analyses by legal or procurement experts demonstrating irregularities or violations in the procurement process.
**Legal Avenues:**
* **Filing Protests with Government Agencies:** Individuals can file **protests with the procuring entity** or the **Government Procurement Policy Board (GPPB)**, highlighting concerns about irregularities and potential corruption in the contract award process.
* **Seeking Relief from the Courts:** Individuals can petition courts to **nullify or declare void** the contract if they can demonstrate that it was awarded through **illegal or fraudulent means**. This typically requires legal representation and can be a lengthy and expensive process.
* **Engaging in Public Advocacy:** Raising public awareness through **media campaigns, petitions, and community organizing** can pressure authorities to investigate the contract award and potentially reconsider its validity.
**Challenges and Limitations:**
* **Burden of Proof:** The burden of proof lies with the individuals challenging the contract to demonstrate both the **irregularities in the procurement process** and the **connection to corrupt practices**. This can be difficult and require substantial evidence.
* **Technical Complexities:** Navigating procurement laws, regulations, and legal procedures can be **complex** and requires **legal expertise**.
* **Limited Standing:** Not everyone may have the legal standing to challenge a government contract. Courts might consider factors like whether the individual has suffered **direct harm** due to the allegedly corrupt contract award.
* **Political Influence:** Powerful entities benefiting from the contract might exert **political pressure** to hinder efforts to challenge its validity.
**Importance of Seeking Guidance:**
Consulting with lawyers specializing in **administrative law, government procurement, or anti-corruption matters** is crucial before taking any action. They can:
* **Assess the viability of the case:** Evaluate the evidence, legal grounds, and potential challenges involved.
* **Advise on the most appropriate legal avenues:** Determine whether filing protests with government agencies, seeking judicial review, or alternative strategies offer the best course of action.
* **Navigate the legal process:** Provide guidance on gathering evidence, filing complaints, and representing your interests in court.
**Alternative Approaches:**
* **Supporting Civil Society Organizations:** Collaborating with NGOs and advocacy groups working on government accountability and anti-corruption can amplify efforts to challenge suspicious contracts.
* **Promoting Transparency and Reform:** Advocating for **stronger legal frameworks** for government procurement, **greater transparency** in the bidding process, and **effective mechanisms** to address corruption within the system can help prevent similar issues in the future.
**Remember, challenging government contracts awarded through corrupt practices is a complex endeavor with uncertain outcomes. However, by understanding your options, seeking professional guidance, and collaborating with others, individuals can contribute to promoting accountability, fostering transparency in public procurement, and combating corruption.**</t>
  </si>
  <si>
    <t>What legal protections exist for individuals who file complaints or reports of government corruption in good faith?</t>
  </si>
  <si>
    <t>In the Philippines, several legal protections exist for individuals who file complaints or reports of government corruption in good faith, commonly referred to as **whistleblowers**. These protections aim to encourage individuals to come forward with information about wrongdoing without fear of retaliation.
**Key Legal Frameworks:**
* **Republic Act No. 6713 (The Code of Conduct and Ethical Standards for Public Officials and Employees):** This law mandates government agencies to establish **mechanisms for receiving and investigating complaints** against public officials and employees, including those related to corruption.
* **Republic Act No. 6735 (The Whistleblower Protection Act):** This act specifically provides **protection for whistleblowers** in the public and private sectors who report violations of laws, rules, or regulations, including corruption offenses. It outlines the following key protections:
* **Confidentiality:** Whistleblowers have the right to **confidentiality** regarding their identity, unless they waive this right or disclosure is compelled by a court order.
* **Prohibition of Retaliation:** The law prohibits **any form of retaliation** against whistleblowers, including dismissal, demotion, harassment, or threats. Individuals who experience retaliation can seek legal remedies and potentially receive compensation.
* **Rewards:** The law incentivizes whistleblowers by offering **rewards** if their information leads to the successful prosecution of corruption cases.
**Additional Protections:**
* **Witness Protection Program:** The **Department of Justice's Witness Protection Program** can offer **security measures and relocation** for whistleblowers facing significant threats due to their reports.
* **Anti-Discrimination Laws:** Existing anti-discrimination laws might also offer protection against retaliation based on whistleblowing activities, depending on the specific circumstances.
**Challenges and Limitations:**
* **Effective Implementation:** While legal frameworks exist, **consistent and effective implementation** of these protections remains a challenge. Whistleblowers might still face **difficulties in accessing protection mechanisms** or encounter **retaliatory actions** despite legal safeguards.
* **Burden of Proof:** The burden of proof often lies with the whistleblower to **demonstrate the occurrence of retaliation** and its **connection to their whistleblowing activities**. This can be challenging, especially if the retaliation is subtle or indirect.
**Importance of Seeking Guidance:**
Consulting with lawyers specializing in **whistleblower protection or anti-corruption matters** is crucial before filing a complaint or report. They can:
* **Advise on the appropriate reporting channels:** Guide you on the most suitable agency or mechanism to file your complaint based on the nature of the alleged corruption.
* **Navigate the legal process:** Assist you in understanding your rights and responsibilities, gathering evidence, and potentially filing legal complaints if you experience retaliation.
* **Connect with relevant support organizations:** Help you connect with NGOs or government agencies that offer support and assistance to whistleblowers.
**Remember, whistleblowers play a vital role in exposing corruption and promoting accountability. While challenges exist, understanding the legal protections available and seeking guidance can empower individuals to come forward and contribute to a more transparent and accountable society.**</t>
  </si>
  <si>
    <t>Can individuals sue government officials or agencies for engaging in obstruction of justice or tampering with evidence related to corruption investigations?</t>
  </si>
  <si>
    <t>In the Philippines, suing government officials or agencies for **obstruction of justice or tampering with evidence related to corruption investigations** is possible but **complex and challenging**. Here's an overview of the potential avenues and limitations:
**Potential Grounds for Lawsuit:**
* **Violation of Specific Laws:** Individuals might have grounds for legal action if the government officials or agencies engaged in acts that violate specific laws, such as:
* **Revised Penal Code:** This code outlines various criminal offenses, including obstruction of justice, tampering with evidence, and abuse of authority.
* **Anti-Graft and Corrupt Practices Act (Republic Act No. 3019):** This law prohibits various corrupt practices, and obstructing investigations related to corruption could be considered an offense under this act.
* **Direct Harm:** Individuals might also pursue legal action if they can demonstrate **direct harm** suffered due to the obstruction of justice or tampering with evidence, such as:
* **Unjust prosecution:** If the individual was wrongfully accused or convicted due to tampered evidence.
* **Loss of rights or opportunities:** If the individual's ability to seek justice or participate in the investigation was hindered.
**Challenges and Limitations:**
* **Burden of Proof:** The burden of proof lies with the individual to demonstrate both the **occurrence of the offense** (obstruction or tampering) and its **direct connection to their specific harm**. This can be difficult, especially if the acts were covert or involved complex legal issues.
* **Sovereign Immunity:** Government entities generally enjoy **sovereign immunity**, which shields them from certain types of lawsuits. However, there are **exceptions** and specific legal procedures that might allow individuals to sue the government under certain circumstances.
* **Lengthy Processes and Resource Constraints:** Legal proceedings can be **time-consuming and expensive**, posing significant challenges for individuals pursuing such lawsuits.
**Potential Avenues:**
* **Criminal Complaints:** Individuals can file **criminal complaints** with law enforcement agencies against government officials suspected of obstruction of justice or tampering with evidence.
* **Civil Lawsuits:** In some limited instances, individuals might be able to file **civil lawsuits** against government entities or officials for **damages** incurred due to their actions.
* **Administrative Complaints:** Individuals can file **complaints with relevant government agencies** like the Office of the Ombudsman, which has the authority to investigate allegations of misconduct by government officials and potentially impose sanctions.
**Importance of Legal Guidance:**
Consulting with lawyers specializing in **criminal law, administrative law, or anti-corruption matters** is crucial before pursuing any legal action. They can:
* **Assess the viability of the case:** Evaluate the evidence, legal grounds, and potential challenges involved.
* **Advise on the most appropriate legal avenues:** Determine whether criminal complaints, civil lawsuits, or administrative complaints offer the best course of action.
* **Navigate the legal process:** Provide guidance on gathering evidence, filing complaints, and representing your interests in court.
**Beyond Legal Measures:**
* **Public Advocacy and Engagement:** Raising public awareness about alleged obstruction of justice or tampering with evidence through **media campaigns, petitions, and community organizing** can put pressure on authorities to investigate and hold officials accountable.
* **Supporting Civil Society Organizations:** Supporting NGOs and advocacy groups working on government accountability and anti-corruption can amplify efforts to combat such practices.
* **Promoting Transparency and Reform:** Advocating for **stronger legal frameworks** to protect whistleblowers, ensure the independence of investigative bodies, and enhance accountability mechanisms within the government can help prevent similar issues in the future.
**Remember, taking legal action against government entities can be complex and challenging. However, by understanding your options, seeking professional guidance, and engaging in broader efforts to promote accountability, individuals can contribute to upholding the rule of law, protecting the integrity of investigations, and combating corruption.**</t>
  </si>
  <si>
    <t>How do government transparency initiatives, such as open data policies, contribute to combating corruption, and what legal mechanisms support these initiatives?</t>
  </si>
  <si>
    <t>Government transparency initiatives, such as **open data policies**, play a crucial role in **combating corruption** by:
**1. Promoting Accountability:**
* **Public Scrutiny:** By making government data **publicly accessible** in an open and user-friendly format, these initiatives enable citizens and civil society organizations to **scrutinize government activities** and hold officials accountable for their decisions and resource allocation.
* **Empowering Citizens:** Open data empowers citizens to **participate more actively** in governance by allowing them to:
* **Analyze government spending and resource allocation.**
* **Identify potential irregularities or inefficiencies.**
* **Hold officials accountable for their performance.**
**2. Deterring Corruption:**
* **Increased Risk of Detection:** The knowledge that their activities are **open to public scrutiny** discourages government officials from engaging in corrupt practices in the first place. The **fear of being exposed** serves as a deterrent.
* **Facilitating Investigations:** Open data can provide **valuable resources for journalists, investigators, and watchdog organizations** to **uncover potential corruption**. They can analyze spending patterns, identify inconsistencies, and investigate suspicious activities.
**3. Enhancing Public Trust:**
* **Transparency and Openness:** By making government data readily available, these initiatives foster **greater transparency and openness** in government operations. This **builds public trust** and strengthens the relationship between citizens and their government.
* **Improved Decision-Making:** Open data can **inform public discourse** and **improve decision-making** by providing citizens with the information they need to understand government policies, programs, and resource allocation.
**Legal Mechanisms Supporting Open Data:**
* **Freedom of Information Laws:** Many countries, including the Philippines, have **Freedom of Information (FOI) laws** that guarantee the **right of citizens to access government information**, including data related to budgets, spending, contracts, and other public activities. These laws provide a **legal framework** for open data initiatives.
* **Specific Open Data Legislation:** Some countries have enacted **specific laws** mandating the **publication of government data** in open and machine-readable formats. These laws establish clear **standards and requirements** for open data initiatives.
* **Executive Orders and Policies:** Governments can issue **executive orders or policies** to promote open data practices within their agencies. These policies can **guide the implementation** of open data initiatives and ensure data accessibility.
**Challenges and Limitations:**
* **Incomplete or Inaccessible Data:** Open data initiatives are only effective if the **data is comprehensive, accurate, and accessible** in user-friendly formats. Incomplete or poorly presented data can hinder its usefulness in combating corruption.
* **Lack of Capacity and Resources:** Implementing and maintaining effective open data initiatives requires **investment in technology, infrastructure, and personnel** with the necessary skills to manage and disseminate data effectively.
* **Digital Divide:** Ensuring **equitable access** to technology and digital literacy skills is crucial for maximizing the benefits of open data initiatives and ensuring all citizens can participate in holding their government accountable.
**Overall, government transparency initiatives like open data policies are powerful tools in the fight against corruption. By promoting accountability, deterring wrongdoing, and fostering public trust, they contribute to a more transparent, efficient, and accountable government.**</t>
  </si>
  <si>
    <t>Can individuals file lawsuits against government entities or officials for engaging in fraudulent activities that result in financial losses to taxpayers?</t>
  </si>
  <si>
    <t>In the Philippines, individuals **may** have the ability to file lawsuits against government entities or officials for engaging in fraudulent activities that result in financial losses to taxpayers, but it's a **complex and challenging process** with **uncertain outcomes**. Here's a breakdown of the key factors to consider:
**Potential Grounds for Lawsuit:**
* **Direct Harm:** Individuals must demonstrate that the **fraudulent activities directly caused them harm**, such as:
* **Increased taxes:** If the fraudulent activities led to higher taxes imposed on individuals to compensate for financial losses incurred by the government.
* **Reduced public services:** If the fraudulent activities resulted in a decrease in the quality or availability of public services that individuals rely on.
**Challenges and Limitations:**
* **Burden of Proof:** The burden of proof lies with the individual to demonstrate both the **occurrence of fraud** and its **direct connection to their specific harm**. This can be difficult, especially if the fraudulent activities are complex or involve intricate financial transactions.
* **Sovereign Immunity:** Government entities generally enjoy **sovereign immunity**, which shields them from certain types of lawsuits. However, there are exceptions and specific legal procedures that might allow individuals to sue the government under certain circumstances.
* **Lengthy Processes and Resource Constraints:** Legal proceedings can be **time-consuming and expensive**, posing significant challenges for individuals pursuing such lawsuits.
**Potential Avenues:**
* **Taxpayer Suits:** In some limited instances, Philippine law allows **taxpayers** to file lawsuits against government officials for acts that **violate their rights or cause prejudice to the government**. However, these cases are complex and require specific legal expertise to navigate.
* **Mandamus Petitions:** Individuals can file **petitions for mandamus** to compel government officials to fulfill their **mandatory duties** to act honestly and efficiently in managing public funds.
* **Administrative Complaints:** Individuals can file **complaints with relevant government agencies** like the Commission on Audit (COA) or the Office of the Ombudsman, which have the authority to investigate allegations of fraud and potentially impose sanctions on erring officials.
**Importance of Legal Guidance:**
Consulting with lawyers specializing in **administrative law, government accountability, or anti-corruption matters** is crucial before pursuing any legal action. They can:
* **Assess the viability of the case:** Evaluate the evidence, legal grounds, and potential challenges involved.
* **Advise on the most appropriate legal avenues:** Determine whether taxpayer suits, mandamus petitions, administrative complaints, or alternative strategies offer the best course of action.
* **Navigate the legal process:** Provide guidance on gathering evidence, filing complaints, and representing your interests in court.
**Beyond Legal Measures:**
* **Public Advocacy and Engagement:** Raising public awareness about alleged fraudulent activities through **media campaigns, petitions, and community organizing** can put pressure on authorities to investigate and hold officials accountable.
* **Supporting Civil Society Organizations:** Supporting NGOs and advocacy groups working on government accountability and anti-corruption can amplify efforts to combat such practices.
* **Promoting Transparency and Reform:** Advocating for **greater transparency** in government budgeting, spending, and decision-making processes can help prevent similar issues in the future.
**Remember, taking legal action against government entities can be complex and challenging. However, by understanding your options, seeking professional guidance, and engaging in broader efforts to promote accountability, individuals can contribute to combating fraudulent activities, protecting public resources, and fostering a more transparent and responsible government.**</t>
  </si>
  <si>
    <t>How do oversight mechanisms, such as audits and inspections, help prevent and detect corruption within government operations?</t>
  </si>
  <si>
    <t>Oversight mechanisms, like audits and inspections, play a crucial role in **preventing and detecting corruption** within government operations by:
**1. Deterrence:**
* **Increased Scrutiny:** The knowledge that their activities are subject to regular audits and inspections can **discourage government officials from engaging in corrupt practices** in the first place. The fear of being caught and held accountable serves as a deterrent.
* **Transparency and Accountability:** Regular audits and inspections promote **greater transparency** in government operations, making it more difficult for officials to conceal corrupt activities. This fosters a culture of **accountability** where officials are held responsible for their actions.
**2. Detection and Investigation:**
* **Identifying Irregularities:** Audits and inspections can **uncover financial discrepancies, mismanagement of resources, and potential violations of regulations**. This can raise red flags that warrant further investigation into potential corruption.
* **Gathering Evidence:** These mechanisms can provide **concrete evidence** of corrupt practices, such as missing funds, unauthorized expenditures, or conflicts of interest. This evidence can be crucial for prosecuting individuals involved in corruption.
**3. Recommendations and Improvements:**
* **Identifying Systemic Weaknesses:** Audits and inspections can **identify weaknesses** in internal controls, procedures, and governance structures that might be susceptible to exploitation for corrupt purposes.
* **Promoting Reform:** Based on their findings, these mechanisms can recommend **improvements** to strengthen internal controls, enhance transparency, and address vulnerabilities that facilitate corruption.
**Types of Oversight Mechanisms:**
* **Financial Audits:** These audits assess the **accuracy and legality of financial statements**, identifying potential misuse of funds, unauthorized expenditures, or fraudulent activities.
* **Performance Audits:** These audits evaluate the **efficiency, effectiveness, and compliance** of government programs and activities, uncovering potential mismanagement or wasteful practices that could create opportunities for corruption.
* **Inspections:** These involve **on-site visits** to government agencies, offices, or projects to assess adherence to regulations, identify irregularities in operations, and verify the proper use of resources.
**Effectiveness and Limitations:**
* **Effective oversight mechanisms** require **independence, qualified personnel, and adequate resources** to conduct thorough and unbiased reviews.
* **Oversight alone cannot eradicate corruption**. It needs to be **combined with other measures** like strong legal frameworks, ethical codes of conduct, and public participation to create a comprehensive anti-corruption strategy.
**Overall, oversight mechanisms like audits and inspections are essential tools in the fight against corruption. By deterring wrongdoing, uncovering irregularities, and promoting reforms, they contribute to ensuring the responsible and ethical use of public resources and fostering a more transparent and accountable government.**</t>
  </si>
  <si>
    <t>Can individuals challenge government policies or regulations that disproportionately benefit certain groups due to corrupt influences?</t>
  </si>
  <si>
    <t>Whether individuals can **successfully challenge government policies or regulations** suspected to be influenced by corruption and disproportionately benefiting certain groups depends on several factors:
**1. Nature of the Policy/Regulation:**
* **Legality:** The first step is to **evaluate the legality** of the policy or regulation itself. Even if influenced by corruption, if the policy adheres to existing legal frameworks and procedures, challenging it might be difficult.
* **Discriminatory Impact:** It's crucial to demonstrate that the policy or regulation has a **disproportionate and discriminatory impact** on specific groups, violating their fundamental rights or creating unfair advantages for others.
**2. Evidence of Corruption:**
* **Gathering evidence** linking the policy/regulation to **corrupt practices** is crucial. This could involve:
* **Documents:** Internal communications, financial records, or leaked information suggesting improper influence in the policymaking process.
* **Witness testimonies:** Statements from individuals with firsthand knowledge of corrupt activities related to the policy.
* **Expert analysis:** Analyses by legal or economic experts demonstrating the discriminatory or unfair consequences of the policy.
**3. Legal Avenues:**
* **Administrative Complaints:** Individuals can file **complaints with relevant government agencies** responsible for overseeing the policy or regulation, highlighting concerns about its discriminatory impact and potential corruption.
* **Judicial Review:** Individuals can petition courts to **review the legality and constitutionality** of the policy/regulation, arguing that it violates their rights or was enacted through corrupt practices. This approach typically requires legal representation and can be a lengthy process.
* **Public Advocacy and Mobilization:** Raising public awareness through **media campaigns, protests, and petitions** can pressure authorities to reconsider the policy and address concerns about corruption.
**Challenges and Limitations:**
* **Burden of Proof:** The burden of proof lies with the individuals challenging the policy, requiring them to demonstrate its discriminatory impact and link it to corruption. This can be **difficult and resource-intensive**.
* **Legal Complexities:** Navigating legal procedures and presenting compelling evidence in court can be **challenging** and requires **legal expertise**.
* **Political Influence:** Powerful groups potentially benefiting from the policy might exert **political pressure** to hinder efforts to challenge it.
**Importance of Seeking Guidance:**
Consulting with **lawyers specializing in administrative law, constitutional law, or anti-corruption matters** is crucial before taking any legal action. They can:
* **Assess the viability of the case:** Evaluate the evidence, legal grounds, and potential challenges involved.
* **Advise on the most appropriate legal avenues:** Determine whether administrative complaints, judicial review, or alternative strategies offer the best course of action.
* **Navigate the legal process:** Provide guidance on gathering evidence, filing complaints, and representing your interests in court.
**Beyond Legal Measures:**
* **Engaging with Civil Society:** Collaborating with **NGOs, advocacy groups, and community organizations** working on issues of corruption and social justice can amplify efforts and provide valuable support.
* **Promoting Transparency and Accountability:** Advocating for **greater transparency** in government decision-making processes and holding officials accountable for their actions can help prevent similar issues in the future.
**Remember, challenging government policies influenced by corruption can be a complex and challenging endeavor. However, by understanding your options, seeking professional guidance, and collaborating with others, individuals can contribute to promoting fairer policies, combating corruption, and advocating for a more just and equitable society.**</t>
  </si>
  <si>
    <t>How do international organizations and foreign governments assist in combating government corruption, and what legal avenues exist for cooperation in anti-corruption efforts?</t>
  </si>
  <si>
    <t>International organizations and foreign governments play a crucial role in **supporting and facilitating** efforts to combat government corruption around the world. Here's an overview of their **approaches and the legal frameworks** enabling cooperation:
**Strategies and Tools:**
* **Promoting International Norms and Standards:** Organizations like the **United Nations (UN)** and the **Organization for Economic Co-operation and Development (OECD)** develop and promote **international conventions and best practices** for good governance, transparency, and anti-corruption measures. These standards provide a **common framework** for countries to follow in their fight against corruption.
* **Technical Assistance and Capacity Building:** International organizations and donor countries offer **technical assistance** to national governments in various forms:
* **Providing expertise and training** to strengthen anti-corruption institutions, such as law enforcement agencies and audit bodies.
* **Supporting the development of legal frameworks** and policies that promote transparency and accountability.
* **Funding public awareness campaigns** to educate citizens about their rights and responsibilities in combating corruption.
* **Financial Aid and Incentives:** Conditional **financial aid and grants** can be linked to **demonstrable progress** in implementing anti-corruption reforms. This approach incentivizes governments to prioritize anti-corruption efforts and utilize resources effectively.
* **Multilateral Cooperation and Information Sharing:** International organizations facilitate **information sharing and cooperation** between countries on issues like asset recovery, investigations into cross-border corruption, and identifying and prosecuting corrupt officials.
**Legal Frameworks for Cooperation:**
* **International Treaties and Conventions:** Several key international treaties establish legal frameworks for cooperation in anti-corruption efforts, including:
* **United Nations Convention against Corruption (UNCAC):** This is the **most comprehensive international treaty** addressing corruption, outlining various measures for prevention, investigation, and prosecution of corruption offenses, as well as international cooperation mechanisms.
* **OECD Convention on Combating Bribery of Foreign Public Officials in International Business Transactions:** This convention focuses on **criminalizing bribery** of foreign officials in international business transactions.
* **Inter-American Convention Against Corruption (OAS Convention):** This convention addresses various aspects of corruption within the Americas, including prevention, investigation, and mutual legal assistance.
* **Bilateral Agreements:** Many countries enter into **bilateral agreements** with each other to facilitate cooperation on specific anti-corruption initiatives, such as asset recovery or extradition of fugitives.
**Challenges and Limitations:**
* **Political Will and National Sovereignty:** The effectiveness of international cooperation relies heavily on the **political will** of national governments to implement reforms and cooperate with international efforts. Concerns about national sovereignty can sometimes hinder cooperation.
* **Resource Constraints:** Providing adequate financial and technical assistance to support anti-corruption efforts in developing countries can be challenging due to limited resources.
* **Monitoring and Enforcement:** Ensuring effective **monitoring and enforcement** of international anti-corruption commitments remains an ongoing challenge.
**Overall, international cooperation plays a significant role in** supplementing national efforts, **promoting global norms and standards**, and **facilitating collaboration** in the fight against government corruption. While challenges exist, the **legal frameworks** established through international treaties and agreements provide a foundation for **collective action** and **progress towards a more transparent and accountable global environment.**</t>
  </si>
  <si>
    <t>Can individuals take legal action against government officials or agencies for engaging in environmental or public health violations as a form of corruption?</t>
  </si>
  <si>
    <t>In the Philippines, individuals **can potentially take legal action against government officials or agencies** for engaging in environmental or public health violations **that constitute corruption**. However, it's important to understand the **complexities involved** and the **limitations** associated with such cases.
**Potential Grounds for Legal Action:**
* **Violation of Environmental Laws:** If government officials or agencies engage in actions that **contravene environmental laws and regulations**, such as issuing permits for environmentally harmful projects without proper safeguards, or failing to enforce existing environmental regulations, it could be considered a form of **environmental corruption**.
* **Violation of Public Health Laws:** Similarly, if government officials or agencies **neglect their duties** to protect public health, such as by failing to address pollution issues, allowing the sale of harmful products, or inadequately responding to public health emergencies, it could be seen as a form of **public health corruption**.
* **Abuse of Power and Misconduct:** When government officials or agencies **misuse their authority** for personal gain or engage in **conduct that violates the public trust**, it can be considered corruption, even if not explicitly defined as environmental or public health violations.
**Legal Avenues:**
* **Administrative Complaints:** Individuals can file **complaints with relevant government agencies**, such as the Department of Environment and Natural Resources (DENR) for environmental issues or the Department of Health (DOH) for public health concerns. These agencies have the authority to investigate and potentially impose **administrative sanctions** on erring officials or agencies.
* **Civil Lawsuits:** Individuals who have **directly suffered harm** due to the government's environmental or public health violations might have grounds to file **civil lawsuits** seeking:
* **Financial compensation** for damages incurred, such as health problems caused by pollution or loss of property due to environmental degradation.
* **Court orders** requiring the government to take corrective actions, such as addressing the source of pollution or implementing proper public health measures.
* **Mandamus Petitions:** Individuals can file **petitions for mandamus** to compel government officials or agencies to fulfill their **mandatory duties** under environmental or public health laws.
**Challenges and Limitations:**
* **Burden of Proof:** The burden of proof lies with the individuals taking legal action, requiring them to demonstrate the **occurrence of the violation**, the **official's or agency's culpability**, and the **direct harm** they suffered.
* **Complexities of Environmental and Public Health Issues:** Establishing the connection between specific actions and environmental or public health consequences can be **complex and require scientific expertise**.
* **Lengthy Processes:** Legal proceedings can be **time-consuming and expensive**, posing challenges for individuals pursuing such actions.
**Importance of Legal Guidance:**
Consulting with lawyers specializing in **environmental law, public health law, or anti-corruption matters** is crucial before taking legal action. They can:
* **Assess the viability of the case:** Evaluate the evidence, legal grounds, and potential challenges involved.
* **Advise on the most appropriate legal avenues:** Determine whether administrative complaints, civil lawsuits, or mandamus petitions offer the best course of action.
* **Navigate the legal process:** Provide guidance on gathering evidence, filing complaints, and representing your interests in court.
**Beyond Legal Measures:**
Addressing environmental and public health violations often requires a **multifaceted approach** that goes beyond solely relying on legal action. This includes:
* **Citizen Participation and Advocacy:** Engaging in **collective action**, raising public awareness, and advocating for stronger environmental and public health policies can put pressure on the government to act responsibly.
* **Supporting Civil Society Organizations:** Supporting NGOs and advocacy groups working on environmental and public health issues can amplify efforts to hold government accountable.
* **Promoting Transparency and Accountability:** Pushing for **greater transparency** in government decision-making processes and holding officials accountable for their actions can help prevent future violations.
**Remember, taking legal action against government entities can be complex and challenging. However, by understanding your options, seeking professional guidance, and engaging in broader efforts to promote accountability, individuals can contribute to protecting the environment, safeguarding public health, and combating corruption in these critical sectors.**</t>
  </si>
  <si>
    <t>What legal measures can be taken against educational institutions involved in corruption?</t>
  </si>
  <si>
    <t>Addressing corruption within educational institutions in the Philippines involves a **multifaceted approach** combining **legal measures, internal mechanisms, and broader advocacy efforts**. Here's an overview of the potential legal avenues:
**1. Administrative Sanctions:**
* **Government Agencies:** Relevant government agencies like the **Commission on Higher Education (CHED)** for higher education institutions and the **Department of Education (DepEd)** for basic education institutions have the authority to investigate allegations of corruption and impose **administrative sanctions** against institutions found to be involved in wrongdoing. These sanctions can include:
* **Issuing warnings or reprimands.**
* **Imposing fines or penalties.**
* **Ordering corrective actions, such as policy reforms or financial audits.**
* **In extreme cases, revoking the institution's license to operate.**
**2. Civil Lawsuits:**
* **Individuals who directly suffered harm** due to the educational institution's corrupt practices might have grounds to file **civil lawsuits** seeking:
* **Financial compensation** for damages incurred, such as lost educational opportunities or additional expenses.
* **Court orders** requiring the institution to take corrective actions.
**3. Criminal Charges:**
* Depending on the **specific nature and severity** of the corrupt activities, individuals involved might face **criminal charges** under various laws, including:
* **Republic Act No. 3019 (Anti-Graft and Corrupt Practices Act):** This law penalizes various corrupt practices like bribery, embezzlement, and misuse of public funds.
* **Revised Penal Code:** This code outlines various criminal offenses, some of which might be applicable depending on the nature of the corrupt activity, such as forgery, falsification of documents, or fraud.
**Challenges and Limitations:**
* **Gathering evidence:** Proving corruption in court can be **challenging** due to the often secretive nature of such activities.
* **Burden of proof:** The burden of proof lies with the individuals pursuing legal action, requiring them to demonstrate the occurrence of corruption and its direct link to the harm they suffered.
* **Lengthy processes:** Legal proceedings can be **time-consuming and expensive**, posing resource constraints for individuals pursuing such actions.
**Importance of Seeking Guidance:**
Consulting with lawyers specializing in **education law** or **anti-corruption matters** is crucial before pursuing any legal action. They can:
* **Assess the viability of the case:** Evaluate the evidence, legal grounds, and potential challenges involved.
* **Advise on the most appropriate legal avenues:** Determine whether administrative complaints, civil lawsuits, or criminal charges offer the best course of action.
* **Navigate the legal process:** Provide guidance on gathering evidence, filing complaints, and representing your interests in court.
**Beyond Legal Measures:**
Addressing corruption effectively requires a **comprehensive approach** that goes beyond solely relying on legal measures. This includes:
* **Strengthening internal mechanisms:** Educational institutions should establish robust **whistleblower protection policies**, transparent reporting channels, and effective internal controls to prevent and detect corruption.
* **Promoting ethical conduct:** Fostering a culture of integrity and ethical behavior within the education system through awareness campaigns, training programs, and clear ethical guidelines for educators and administrators.
* **Advocacy and public engagement:** Civil society organizations, student groups, and concerned individuals can play a crucial role in raising awareness about corruption in education, advocating for reforms, and holding institutions accountable.
By combining legal measures with **preventive efforts and broader societal engagement**, a more **effective and sustainable approach** can be achieved in combating corruption within the education sector and ensuring a fair and ethical learning environment for all.</t>
  </si>
  <si>
    <t>How can I identify if a particular educational institution is engaging in corrupt practices?</t>
  </si>
  <si>
    <t>Identifying potential corruption within an educational institution can be challenging, as **corrupt practices often involve concealment and manipulation**. However, here are some **red flags** that might raise concerns:
**Admissions and Enrollment:**
* **Unclear or opaque admissions criteria:** If the institution lacks clear and transparent guidelines for admissions, or if the selection process appears arbitrary or subjective, it might raise concerns about potential favoritism or nepotism.
* **Unfair or discriminatory practices:** If there are reports of students being denied admission based on factors unrelated to their academic qualifications, such as their social background, wealth, or connections, it could indicate discriminatory practices.
* **Unexplained changes in admissions policies:** Frequent or sudden changes in admissions policies, particularly if they benefit specific groups or individuals, can be a cause for concern.
**Academic Integrity:**
* **Unethical grading practices:** If students consistently report instances of unfair grading, bias, or manipulation of grades by faculty members, it could suggest potential corruption.
* **Availability of "ghostwriting" or plagiarism services:** The existence of services offering to complete assignments or exams for students in exchange for payment can indicate a lack of academic integrity within the institution.
* **Lax enforcement of academic dishonesty:** If the institution fails to adequately address cases of plagiarism, cheating, or other forms of academic dishonesty, it might raise concerns about a tolerance for unethical behavior.
**Financial Management:**
* **Lack of transparency in financial reporting:** If the institution lacks clear and accessible information about its budget, financial expenditures, and resource allocation, it can be a red flag for potential misuse of funds.
* **Unexplained discrepancies in financial records:** Inconsistencies or irregularities in financial statements, missing documentation, or unexplained expenditures can raise concerns about misappropriation of funds.
* **Excessive spending on non-essential items:** If the institution allocates significant resources to unnecessary or luxurious expenses while neglecting essential needs like infrastructure, learning materials, or faculty development, it could indicate misprioritization of resources.
**Governance and Administration:**
* **Lack of accountability mechanisms:** If the institution lacks effective mechanisms for students and staff to report concerns about misconduct or irregularities, it can create an environment conducive to corruption.
* **Conflicts of interest among administrators:** If individuals in leadership positions have personal or financial ties to companies or individuals doing business with the institution, it raises concerns about potential conflicts of interest and unfair practices.
* **Authoritarian leadership style:** A leadership style characterized by a lack of transparency, limited participation in decision-making, and suppression of dissent can create an environment where corruption thrives.
**It's important to remember that these are just potential indicators, and not all institutions exhibiting some of these red flags are necessarily engaged in corruption.** However, if you encounter multiple concerns or suspect specific instances of wrongdoing, it's crucial to:
* **Gather evidence:** Document any observations, communications, or reports that support your suspicions.
* **Seek support:** Discuss your concerns with trusted individuals, student organizations, or advocacy groups.
* **Report suspected corruption:** Utilize established channels within the institution for reporting misconduct, or consider reporting to relevant external authorities like the Commission on Higher Education (CHED) or the Department of Education (DepEd).
**Additionally, staying informed about news and reports regarding educational institutions, and engaging in collective action with other students and stakeholders, can contribute to promoting transparency, accountability, and ethical practices within the education system.**</t>
  </si>
  <si>
    <t>What recourse do students have if they believe their grades or admissions were influenced by corruption?</t>
  </si>
  <si>
    <t>If students believe their grades or admissions were influenced by corruption within their educational institution, several **potential recourse options** exist, each with its own advantages and limitations:
**1. Internal Complaint Mechanisms:**
* Many educational institutions have established **internal grievance procedures** for students to address concerns regarding academic matters, including potential grading irregularities or unfair admissions practices.
* Students should **consult their institution's student handbook or website** to understand the specific procedures for filing internal complaints. These procedures might involve:
* Submitting a written complaint to designated officials within the institution.
* Appealing the initial decision if the student is not satisfied with the outcome.
**Advantages:**
* Often the **quickest and most accessible** option for students.
* Allows them to address the issue directly within the institution.
**Limitations:**
* Effectiveness can vary depending on the institution's commitment to fair and transparent procedures.
* Students might face **bias or pressure** from individuals involved in the alleged corruption.
**2. Reporting to External Authorities:**
* Students can report their concerns to **external authorities** such as:
* The **Commission on Higher Education (CHED)** for higher education institutions.
* The **Department of Education (DepEd)** for basic education institutions.
* **Law enforcement agencies** if they suspect criminal activity.
**Advantages:**
* Provides an **independent review** of the allegations by a neutral body.
* Can potentially lead to **disciplinary action** against individuals involved in corruption and systemic reforms within the institution.
**Limitations:**
* Investigation and resolution processes can be **slow and complex**.
* Gathering **strong evidence** to support the allegations is crucial for a successful outcome.
**3. Seeking Legal Action:**
* In some cases, students might consider **pursuing legal action** against the educational institution. However, this is a **complex and challenging option** with **uncertain outcomes**.
* Students would need to demonstrate:
* **Occurrence of corruption:** Evidence proving unfair grading practices, manipulation of admissions processes, etc.
* **Direct harm:** A clear link between the corruption and their specific denial of admission or unfair grading.
**Advantages:**
* Can potentially lead to **compensation for damages** incurred due to the corruption.
* Raises public awareness about the issue and puts pressure on institutions to address systemic problems.
**Limitations:**
* Requires **significant financial resources** and legal expertise.
* The burden of proof lies with the student, making it difficult to succeed in court.
**4. Advocacy and Public Engagement:**
* Students can **raise awareness** about the issue through various means, such as:
* Engaging with student organizations and advocacy groups.
* Sharing their experiences on social media platforms.
* Working with media outlets to expose potential corruption.
**Advantages:**
* Can **mobilize public support** for addressing corruption within the education system.
* Creates pressure on institutions to be more transparent and accountable.
**Limitations:**
* May not directly address the specific issue faced by the individual student.
* Relies on broader systemic changes to achieve lasting impact.
**Choosing the most appropriate recourse** depends on the specific circumstances of each case, the severity of the alleged corruption, and the student's individual goals. **Consulting with a lawyer specializing in education law** can provide valuable guidance on navigating these options and understanding the potential risks and benefits involved.
**Additionally, it's crucial to remember that:**
* **Gathering evidence** to support claims of corruption is essential for any potential recourse option.
* **Seeking support from trusted individuals** like peers, student organizations, or advocacy groups can be helpful throughout the process.
* **Prioritizing safety and well-being** is paramount, and students should avoid putting themselves at risk when addressing potential corruption.
By understanding their options, seeking guidance, and taking action collectively, students can contribute to creating a fairer and more ethical education system for all.</t>
  </si>
  <si>
    <t>Can individuals sue educational institutions for engaging in corrupt practices?</t>
  </si>
  <si>
    <t>In the Philippines, individuals **can potentially sue educational institutions for engaging in corrupt practices**, but it's a **complex and challenging process** with **uncertain outcomes**. Here's a breakdown of the key factors to consider:
**Potential Grounds for Lawsuit:**
* **Direct Harm:** Individuals must demonstrate that the **corrupt practices directly caused them harm**, such as:
* Denial of admission or scholarship due to unfair practices like bribery or nepotism.
* Financial losses incurred due to misappropriation of funds impacting essential resources or facilities.
* Emotional distress resulting from discriminatory practices or unethical conduct within the institution.
* **Causation:** Establishing a **clear causal link** between the corrupt practices and the specific harm suffered is crucial. This requires **strong evidence** demonstrating that the institution's actions directly led to the negative consequences experienced by the individual.
**Challenges and Limitations:**
* **Burden of Proof:** The burden of proof lies with the individual to demonstrate both the **occurrence of corruption** and its **direct connection to their specific harm**. This can be difficult, especially if the institution has established procedures that might appear legitimate on the surface.
* **Complexity of Corruption Cases:** Investigating and presenting evidence of corruption can be **complex and time-consuming**. Legal expertise is often necessary to navigate the intricacies of such cases.
* **Limited Resources:** Individuals might face **financial constraints** in pursuing lengthy legal battles against well-resourced institutions.
**Potential Avenues:**
* **Individual Lawsuits:** If individuals can meet the legal requirements and successfully demonstrate their case, they might be awarded remedies such as:
* **Admission to the program they were denied entry to.**
* **Granting of the scholarship they were denied.**
* **Financial compensation for damages incurred due to the corruption (e.g., lost educational opportunities, additional expenses).
* **Administrative Complaints:** Individuals can file **complaints with relevant government agencies** like the Commission on Higher Education (CHED) or the Department of Education (DepEd) that oversee educational institutions. These agencies might investigate the allegations and potentially impose sanctions on the institution if wrongdoing is found.
**Importance of Legal Guidance:**
Consulting with a lawyer specializing in education law and administrative litigation is crucial before pursuing legal action. They can:
* **Assess the viability of the case:** Evaluate the evidence, legal grounds, and potential challenges involved.
* **Advise on alternative options:** Explore avenues like administrative complaints or seeking support from student organizations or NGOs advocating for educational fairness.
* **Navigate the legal process:** Provide guidance on filing lawsuits, gathering evidence, and representing your interests in court.
**Remember:** Pursuing legal action against educational institutions for alleged corruption is complex and requires careful consideration of the challenges involved. Seeking professional legal guidance and exploring all available options can help individuals make informed decisions and maximize their chances of achieving a positive outcome.
**Additionally, advocating for stronger transparency and accountability measures within educational institutions, and supporting initiatives to combat corruption, can contribute to creating a fairer and more equitable education system for all.**</t>
  </si>
  <si>
    <t>What laws specifically address corruption within the education sector?</t>
  </si>
  <si>
    <t>While the Philippines **lacks a single law solely dedicated to addressing corruption within the education sector**, several existing laws and regulations act as frameworks to combat such practices. These laws can be broadly categorized into two main areas:
**1. Anti-Corruption Laws:**
* **Republic Act No. 3019 (Anti-Graft and Corrupt Practices Act):** This is the **main anti-corruption law** in the Philippines, outlining various offenses considered corrupt practices, including:
* Bribery
* Graft
* Misconduct in office
* Evasion of taxes
* Malversation of public funds
This law applies to **all public officials and employees**, including those working in public educational institutions. Individuals found guilty of violating this law can face **administrative sanctions, criminal charges, and civil liabilities**.
* **Revised Penal Code:** This code defines various **criminal offenses**, some of which can be relevant to corruption in education, such as:
* Forgery
* Falsification of documents
* Embezzlement
* Fraud
These offenses can apply to educators, administrators, or individuals involved in corrupt activities within educational institutions.
**2. Education-Specific Regulations:**
* **Republic Act No. 9155 (Governance of Basic Education Act):** This law outlines **governance principles and standards** for public elementary and secondary schools, including provisions aimed at promoting transparency and accountability. It emphasizes the need for:
* **Ethical conduct** among school personnel
* **Proper financial management**
* **Regular audits and accountability mechanisms**
* **Commission on Higher Education (CHED) Memoranda:** CHED, the government agency overseeing higher education, issues various memoranda outlining **policies and guidelines** related to ethical conduct, good governance, and financial management in higher education institutions. These regulations aim to **prevent and address potential corruption** within these institutions.
**3. Whistleblower Protection:**
* **Republic Act No. 6713 (Code of Conduct and Ethical Standards for Public Officials and Employees):** This law, while not specific to education, encourages **reporting of corruption** by public officials and employees, including those in public educational institutions. It allows for **anonymous reporting** through various channels.
**It's important to note** that these laws and regulations provide a **general framework** for addressing corruption in education, and their **effectiveness depends on various factors**, including:
* **Enforcement mechanisms:** The capacity and commitment of relevant authorities to investigate and prosecute corruption cases effectively.
* **Transparency and accountability:** The existence of robust mechanisms within educational institutions to prevent and detect corruption.
* **Public awareness and participation:** The willingness of individuals to report corruption and hold institutions accountable.
**While the legal landscape might not offer a single comprehensive solution, understanding these existing laws and regulations empowers individuals and stakeholders to identify potential instances of corruption, report them through appropriate channels, and advocate for stronger measures to ensure a more ethical and transparent education system.**</t>
  </si>
  <si>
    <t>Are there specific whistleblower protections for individuals reporting corruption in education?</t>
  </si>
  <si>
    <t>While the Philippines lacks a **comprehensive legal framework** specifically dedicated to protecting **whistleblowers in education**, there are **fragmented provisions and mechanisms** offering **limited safeguards**:
**1. Republic Act No. 6713 (Code of Conduct and Ethical Standards for Public Officials and Employees):**
* **Section 32:** This section encourages reporting of graft and corrupt practices by public officials and employees, including those working in **public educational institutions**. It allows for **anonymous reporting** through various channels, including:
* **Offices of the Ombudsman**
* **Special prosecutors**
* **Heads of agencies**
* **Law enforcement agencies**
**However, limitations exist:**
* **Limited Scope:** This law primarily applies to **public educational institutions**, not private ones.
* **Confidentiality Concerns:** While anonymity is encouraged, there's no guarantee of complete confidentiality throughout the investigation process. Authorities might need to disclose the reporter's identity in certain situations, potentially jeopardizing their anonymity.
**2. Internal Reporting Mechanisms:**
* Some educational institutions, particularly **public schools and universities**, might have established **internal reporting channels** for students and staff to report wrongdoing anonymously or confidentially. These mechanisms can vary in their effectiveness and level of protection offered.
**3. Whistleblower Protection Programs:**
* While not specifically designed for education, some government agencies like the **Civil Service Commission (CSC)** offer **whistleblower protection programs** that might apply to individuals reporting corruption involving public officials within their educational institutions. These programs offer some **limited safeguards**, but their effectiveness can vary depending on the specific circumstances.
**4. Right to Education:**
* The **Philippine Constitution** guarantees the right to education. Students and educators can potentially invoke this right to challenge practices within the educational system that impede their access to quality education due to corruption.
**Challenges and Considerations:**
* **Limited Scope and Effectiveness:** Existing protections are often **fragmented and offer limited guarantees** for whistleblower safety and anonymity when reporting corruption.
* **Potential Retaliation:** There's always a **risk of retaliation** from individuals or entities implicated in the reported corruption, even with anonymous reporting.
* **Importance of Evidence:** Gathering **strong evidence** to support allegations of corruption can be crucial for any potential investigation or legal action.
**Recommendations:**
* **Advocacy for Stronger Protections:** Advocating for the development and implementation of **comprehensive legal frameworks** specifically designed to protect whistleblowers in education is crucial for creating a safer environment for reporting corruption.
* **Seeking Guidance and Support:** Consulting with **lawyers specializing in education law or whistleblower protection**, student organizations, or NGOs working on education advocacy can provide valuable guidance, support, and resources for individuals considering reporting corruption.
**Remember:** While navigating the complexities of reporting corruption can be challenging, **whistleblowers play a vital role in exposing wrongdoing and holding institutions accountable**. By understanding the existing limitations and exploring available options, individuals can contribute to building a more transparent and accountable education system.</t>
  </si>
  <si>
    <t>How can I gather evidence to support a claim of corruption in education?</t>
  </si>
  <si>
    <t>Gathering evidence to support a claim of corruption in education requires **caution, meticulousness, and a strong understanding of the potential risks involved**. It's crucial to **prioritize your safety and well-being** throughout the process. Here are some steps you can consider, **emphasizing the importance of seeking professional guidance**:
**1. Define the Scope of the Alleged Corruption:**
* Clearly identify the **specific issue** you suspect is corrupt, such as bribery in admissions, grade manipulation, misappropriation of funds, etc.
* **Focus on specific instances** where you have observed or experienced potential wrongdoing, rather than making general accusations.
**2. Document Gathering:**
* Collect any **relevant documents** that might support your claims, such as:
* **Official communications:** Emails, letters, or notices from the institution related to the alleged corruption.
* **Financial records:** Receipts, invoices, or any documents indicating potential misuse of funds.
* **Internal policies and procedures:** Relevant guidelines or regulations that might have been violated.
**3. Witness Testimonies:**
* If others have witnessed or experienced similar issues, **encourage them to provide written statements** detailing their observations, **with their consent and understanding of the potential risks involved**.
* **Maintain confidentiality** and avoid pressuring individuals to come forward if they feel uncomfortable.
**4. Anonymous Reporting:**
* Consider **reporting your concerns anonymously** through established channels within the institution, if available.
* While anonymity might not guarantee complete protection, it can be an option if you fear retaliation.
**5. Seek Professional Guidance:**
* Consulting with a lawyer specializing in education law or anti-corruption matters is **crucial** for understanding the legal landscape, potential risks involved in evidence gathering, and navigating the process safely and effectively.
* They can advise on the **legality and ethical considerations** of collecting evidence, suggest appropriate methods to protect your identity, and guide you on the most effective ways to present your findings to relevant authorities.
**Important Cautions:**
* **Avoid illegal activities:** Never engage in any actions that violate the law or put yourself or others at risk while gathering evidence.
* **Maintain ethical conduct:** Ensure your methods of obtaining evidence are ethical and legal to avoid jeopardizing the validity of your claims.
* **Prioritize your safety:** Be mindful of potential retaliation and prioritize your safety and well-being throughout the process.
**Remember:** Gathering evidence for corruption claims can be complex and pose potential risks. **Consulting with a lawyer** and **prioritizing your safety** are crucial steps before taking any action. They can guide you through the process ethically and effectively, maximizing the impact of your efforts in addressing potential corruption within the education system.</t>
  </si>
  <si>
    <t>Are there any precedents or case studies of successful legal actions against corrupt educational institutions?</t>
  </si>
  <si>
    <t>Due to the complex and sensitive nature of corruption cases, **finding readily available and detailed information about successful legal actions against corrupt educational institutions in the Philippines can be challenging**. However, here are some resources and insights that might be helpful:
**Limited Public Availability:**
* **Privacy Concerns:** Information about ongoing legal cases, especially those involving individuals, might be restricted due to privacy concerns.
* **Confidentiality Agreements:** Settlements reached between parties involved in legal disputes often include confidentiality clauses, limiting public access to details of the case.
**Alternative Sources of Information:**
* **News Articles:** Searching for news articles or investigative reports mentioning legal actions against educational institutions might provide some insights, although specific details regarding the cases might be limited.
* **Government Agencies:** Reaching out to relevant government agencies like the Commission on Higher Education (CHED) or the Office of the Ombudsman might offer some information about their efforts in addressing corruption within educational institutions, potentially including successful cases.
* **Legal Research:** Consulting with a lawyer specializing in education law or anti-corruption matters can provide access to legal databases and case studies that might offer relevant precedents, even if specific details are not publicly available.
**Importance of Context:**
* **Limited Scope:** While successful legal actions against corrupt educational institutions might exist, they likely represent a **small fraction of the actual cases** due to the aforementioned challenges and complexities involved in pursuing such legal battles.
* **Focus on Specific Issues:** Successful cases might focus on **specific aspects of corruption**, such as bribery in admissions or financial irregularities, rather than broad systemic issues within the institution.
**Overall, while readily available information about successful legal actions against corrupt educational institutions in the Philippines might be limited, it's important to acknowledge that such cases do exist.** These cases, along with ongoing efforts by government agencies and civil society organizations, contribute to combating corruption within the education sector.
**Additionally, seeking professional legal guidance and staying informed about developments related to anti-corruption initiatives in education can empower individuals and communities to hold institutions accountable and advocate for a more ethical and transparent education system.**</t>
  </si>
  <si>
    <t>What are the potential consequences for educators found guilty of participating in corrupt activities?</t>
  </si>
  <si>
    <t>Educators found guilty of participating in corrupt activities in the Philippines face a range of potential consequences, depending on the severity and nature of the offense. These consequences can be broadly categorized into three main areas:
**1. Administrative Sanctions:**
* **Disciplinary actions:** Educational institutions have the authority to impose disciplinary actions against educators involved in corruption, ranging from **warnings and reprimands** to **suspension or termination of employment**. The specific sanctions will be determined by the institution's internal policies and procedures, the gravity of the offense, and the educator's past record.
* **Loss of professional licenses:** Depending on the nature of the offense, educators might face **suspension or revocation of their professional licenses** issued by government agencies like the Professional Regulation Commission (PRC). This can significantly impact their ability to practice their profession.
* **Blacklisting:** Educational institutions and government agencies might **blacklist** educators found guilty of corruption, making it difficult for them to secure future employment within the education sector.
**2. Civil Liabilities:**
* **Civil lawsuits:** Individuals who suffered harm due to the educator's corrupt activities might file **civil lawsuits** seeking **financial compensation** for damages incurred. This could include lost opportunities, financial losses, or emotional distress.
* **Reputational damage:** Engaging in corrupt practices can severely **damage the educator's reputation** within the professional community and broader society, impacting their future career prospects and standing.
**3. Criminal Charges:**
* **Depending on the specific offense**, educators involved in corruption might face **criminal charges** under various laws, including:
* **Republic Act No. 3019 (Anti-Graft and Corrupt Practices Act):** This law penalizes various corrupt practices like bribery, embezzlement, and misuse of public funds.
* **Revised Penal Code:** This code outlines various criminal offenses, some of which might be applicable depending on the nature of the corrupt activity, such as forgery, falsification of documents, or fraud.
* **Conviction in criminal cases** can result in **imprisonment, fines, and other penalties**. Additionally, they might face **forfeiture of ill-gotten wealth** acquired through corrupt practices.
**It's important to note that the specific consequences for educators involved in corruption will vary depending on the specific circumstances of each case, the applicable laws, and the decisions made by relevant authorities.** Consulting with a lawyer specializing in education law or anti-corruption matters can provide more specific guidance on the potential consequences in individual situations.
**Furthermore, it's crucial to emphasize that engaging in any form of corruption is unethical and illegal.** Educators have a responsibility to uphold the highest standards of integrity and professionalism, and those who violate these principles face significant consequences that can impact their careers, finances, and reputations.</t>
  </si>
  <si>
    <t>Can individuals pursue legal action if they were denied admission or scholarships due to corruption within an educational institution?</t>
  </si>
  <si>
    <t>While pursuing legal action against educational institutions for **denied admission or scholarships allegedly due to corruption** in the Philippines is **possible**, it can be a **challenging and complex process** with **uncertain outcomes**. Here's a breakdown of the key factors to consider:
**Establishing Causation and Evidence:**
* To succeed in a lawsuit, individuals must demonstrate that:
* **Corruption occurred within the admissions or scholarship process.** This could involve proving bribery, nepotism, manipulation of selection criteria, or other unfair practices.
* **The corruption directly led to their denial of admission or scholarship.** This requires establishing that they met the **objective criteria** for admission or scholarship and were unfairly denied due to corrupt practices.
* Gathering **strong evidence** to support these claims, such as:
* Documentation of their qualifications and application materials.
* Evidence of irregularities in the selection process, if available (witness testimonies, leaked documents, etc.).
* Proof of attempts to raise concerns about potential corruption within the institution.
**Challenges and Limitations:**
* **Burden of Proof:** The burden of proof lies with the individual to demonstrate **both the occurrence of corruption and its direct link** to their specific denial. This can be difficult, especially if the institution has established procedures in place that might appear legitimate on the surface.
* **Complexity of Corruption Cases:** Investigating and presenting evidence of corruption can be **complex and time-consuming**.
* **Limited Resources:** Individuals might face **financial constraints** in pursuing lengthy legal battles against well-resourced institutions.
**Potential Avenues:**
* **Individual Lawsuits:** If individuals can meet the legal requirements and successfully demonstrate their case, they might be awarded remedies such as:
* **Admission to the program they were denied entry to.**
* **Granting of the scholarship they were denied.**
* **Financial compensation for damages incurred due to the denial (e.g., lost educational opportunities, additional expenses).
* **Administrative Complaints:** Individuals can file **complaints with relevant government agencies** like the Commission on Higher Education (CHED) or the Department of Education (DepEd) that oversee educational institutions. These agencies might investigate the allegations and potentially impose sanctions on the institution if wrongdoing is found.
**Importance of Legal Guidance:**
Consulting with a lawyer specializing in education law and administrative litigation is crucial before pursuing legal action. They can:
* **Assess the viability of the case:** Evaluate the evidence, legal grounds, and potential challenges involved.
* **Advise on alternative options:** Explore avenues like administrative complaints or seeking support from student organizations or NGOs advocating for educational fairness.
* **Navigate the legal process:** Provide guidance on filing lawsuits, gathering evidence, and representing your interests in court.
**Remember:** Pursuing legal action against educational institutions for alleged corruption-related denials is complex and requires careful consideration of the challenges involved. Seeking professional legal guidance and exploring all available options can help individuals make informed decisions and maximize their chances of achieving a positive outcome.
**Additionally, advocating for stronger transparency and accountability measures within educational institutions, and supporting initiatives to combat corruption, can contribute to creating a fairer and more equitable admissions and scholarship process for all.**</t>
  </si>
  <si>
    <t>How does corruption in education affect the legal rights of students and educators?</t>
  </si>
  <si>
    <t>Corruption in education can have a significant **negative impact** on the legal rights of both **students and educators** in several ways:
**Impact on Students' Rights:**
* **Right to Education:** Corruption can impede students' **right to access quality education** by:
* **Diverting resources:** Funds meant for educational materials, infrastructure, and qualified teachers might be misappropriated, leading to a shortage of resources and compromised learning environments.
* **Lowering educational standards:** Corruption can lead to the hiring of unqualified teachers, manipulation of admission processes, and unfair grading practices, ultimately hindering students' ability to acquire the knowledge and skills they deserve.
* **Limiting access to opportunities:** Corruption might create barriers to accessing higher education or scholarships due to unfair practices like bribery or nepotism, impacting students' future prospects.
* **Right to Equality:** Corrupt practices can lead to **discrimination and unequal treatment** of students based on factors like social status, wealth, or connections, violating their right to equal access to educational opportunities.
* **Right to Safety and Security:** In extreme cases, corruption might create unsafe learning environments for students, such as through the presence of unqualified personnel or inadequate facilities due to misappropriated funds.
**Impact on Educators' Rights:**
* **Fair Labor Practices:** Corruption can lead to **violations of educators' rights** related to:
* **Fair wages and benefits:** Educators might be subjected to unfair pay practices, delayed salaries, or lack of essential benefits due to misappropriation of funds.
* **Safe and healthy working conditions:** Corruption might compromise the working environment for educators, impacting their ability to effectively perform their duties.
* **Academic freedom:** In some cases, corrupt practices might lead to pressure on educators to manipulate grades, curriculum, or research findings, violating their academic freedom and professional integrity.
* **Due Process:** Educators might face **unfair disciplinary actions or dismissal** based on false accusations or politically motivated decisions due to their stance against corruption within the institution.
**Overall, corruption in education creates a system where the legal rights of both students and educators are vulnerable.** Students face challenges in accessing quality education, experiencing discrimination, and having their safety compromised. Educators might be subjected to unfair labor practices, lack of academic freedom, and even face unjust disciplinary actions.
**Addressing corruption in education** is crucial to ensure that both students and educators can enjoy their **fundamental legal rights** and contribute to a fair and equitable learning environment. This requires **stronger legal frameworks, effective whistleblower protection mechanisms, and robust accountability measures** to hold individuals and institutions accountable for corrupt practices.</t>
  </si>
  <si>
    <t>What legal protections exist for students who report instances of corruption within their educational institution?</t>
  </si>
  <si>
    <t>While the Philippines **lacks a comprehensive legal framework** specifically dedicated to protecting students who report corruption within their educational institutions, there are several existing provisions and mechanisms that offer **limited safeguards**:
**1. Republic Act No. 6713 (Code of Conduct and Ethical Standards for Public Officials and Employees):**
* **Section 32:** This section encourages reporting of graft and corrupt practices by public officials and employees, including those working in **public educational institutions**. It allows for **anonymous reporting** through various channels, including:
* **Offices of the Ombudsman**
* **Special prosecutors**
* **Heads of agencies**
* **Law enforcement agencies**
**However, limitations exist:**
* **Limited Scope:** This law primarily applies to **public educational institutions**, not private ones.
* **Confidentiality Concerns:** While anonymity is encouraged, there's no guarantee of complete confidentiality throughout the investigation process. Authorities might need to disclose the reporter's identity in certain situations, potentially jeopardizing their anonymity.
**2. Internal Reporting Mechanisms:**
* Some educational institutions, particularly **public schools and universities**, might have established **internal reporting channels** for students to report wrongdoing anonymously or confidentially. These mechanisms can vary in their effectiveness and level of protection offered.
**3. Whistleblower Protection Programs:**
* While not specifically designed for educational institutions, some government agencies like the **Civil Service Commission (CSC)** offer **whistleblower protection programs** that might apply to students reporting corruption involving public officials within their educational institutions. These programs offer some **limited safeguards**, but their effectiveness can vary depending on the specific circumstances.
**4. Right to Education:**
* The **Philippine Constitution** guarantees the right to education. Students can potentially invoke this right to challenge practices within the educational system that impede their access to quality education due to corruption.
**Challenges and Considerations:**
* **Limited Scope and Effectiveness:** Existing protections are often **fragmented and offer limited guarantees** for student safety and anonymity when reporting corruption.
* **Potential Retaliation:** There's always a **risk of retaliation** from individuals or entities implicated in the reported corruption, even with anonymous reporting.
* **Importance of Evidence:** Gathering **strong evidence** to support allegations of corruption can be crucial for any potential investigation or legal action.
**Recommendations:**
* **Advocacy for Stronger Protections:** Advocating for the development and implementation of **comprehensive legal frameworks** specifically designed to protect students who report corruption within educational institutions is crucial for creating a safer environment for whistleblowers.
* **Seeking Guidance and Support:** Consulting with **lawyers specializing in education law or whistleblower protection**, student organizations, or NGOs working on education advocacy can provide valuable guidance, support, and resources for students considering reporting corruption.
**Remember:** While navigating the complexities of reporting corruption can be challenging, **students play a vital role in exposing wrongdoing and holding institutions accountable**. By understanding the existing limitations and exploring available options, students can contribute to building a more transparent and accountable education system.</t>
  </si>
  <si>
    <t>Can individuals take legal action against third-party entities that facilitate corruption in education, such as private tutoring centers or admissions consultants?</t>
  </si>
  <si>
    <t>The possibility of individuals taking legal action against **third-party entities** that facilitate corruption in education, like **private tutoring centers or admissions consultants**, in the Philippines depends on several factors and the specific circumstances of each case. Here's an overview of the key considerations:
**Potential Grounds for Legal Action:**
* **Direct Involvement in Corruption:** If individuals can demonstrate that the third-party entity **actively participated** in corrupt practices within the educational institution, such as bribing officials, manipulating admissions processes, or offering unfair advantages, they might have grounds for legal action. This could involve:
* **Civil lawsuits:** Seeking compensation for damages incurred due to the corrupt practices facilitated by the third party.
* **Criminal complaints:** Reporting the entity's involvement to law enforcement agencies for investigation and potential prosecution.
* **Aiding and Abetting Corruption:** Even if not directly involved in the core corrupt act, the third party might be held liable for **aiding and abetting** the corruption if they knowingly provided assistance or resources that facilitated the wrongdoing.
**Challenges and Limitations:**
* **Establishing Evidence:** Proving the **direct involvement** or **knowing participation** of the third party in the corrupt practices can be challenging, especially if the entity attempts to distance itself from the wrongdoing.
* **Causation:** Demonstrating a **clear causal link** between the actions of the third party and the specific harm suffered by the individual can be complex.
* **Limited Legal Precedents:** There might be **limited legal precedents** regarding holding third-party entities accountable for facilitating corruption in education, making the legal landscape somewhat uncertain.
**Alternative Options:**
* **Reporting to Regulatory Bodies:** Individuals can report the activities of the third-party entity to relevant **regulatory agencies** like the Department of Education (DepEd) or the Commission on Higher Education (CHED) for investigation and potential sanctions against the entity.
* **Advocacy and Public Awareness:** Raising awareness about the issue through **public advocacy efforts** can put pressure on educational institutions and authorities to address the role of third parties in facilitating corruption.
**Importance of Legal Guidance:**
Consulting with a lawyer specializing in education law or anti-corruption matters is crucial to understand the legal landscape, assess the viability of taking legal action against the specific third-party entity, and explore all available options. They can advise on:
* **Gathering evidence:** Securing documentation, witness testimonies, or other relevant proof to support claims.
* **Navigating legal procedures:** Understanding the applicable laws, filing requirements, and potential challenges involved in pursuing legal action.
* **Exploring alternative options:** Identifying other avenues for addressing the issue and holding accountable those involved in facilitating corruption.
**Remember:** Taking legal action against third-party entities in such cases can be complex and challenging. However, seeking professional legal guidance and exploring all available options can empower individuals to address the issue and contribute to combating corruption within the education system.</t>
  </si>
  <si>
    <t>Are there specific statutes of limitations for bringing legal claims related to corruption in education?</t>
  </si>
  <si>
    <t>In the Philippines, **the specific statute of limitations for bringing legal claims related to corruption in education depends on the nature of the claim and the type of legal action pursued**. Here's a breakdown of the relevant points:
**Civil Lawsuits:**
* **General Rule:** The Philippines follows a **prescriptive period** system, which establishes time limits for filing certain types of lawsuits. The most commonly applicable prescriptive period for **civil lawsuits** related to breach of contract, obligations, or causing harm is **four (4) years** from the time the right of action accrues (usually when the harm is discovered).
* **Potential Variations:** Depending on the specific nature of the corruption and the legal basis for the claim, other prescriptive periods might apply. Consulting with a lawyer specializing in civil litigation is recommended to determine the exact applicable timeframe.
**Criminal Cases:**
* **Specific Offenses:** The Revised Penal Code of the Philippines outlines **specific statutes of limitations** for various criminal offenses, including those related to graft and corruption.
* **Forgery and falsification:** Generally, ten (10) years from the date the crime is committed.
* **Bribery:** Eight (8) years from the date the crime is committed.
* **Embezzlement:** Ten (10) years from the date the crime is discovered.
**Whistleblower Complaints:**
* **Republic Act No. 6713:** This law, also known as the Code of Conduct and Ethical Standards for Public Officials and Employees, encourages reporting corruption and offers **protection to whistleblowers**. While it doesn't specify a strict deadline for filing complaints, **prompt reporting** is generally encouraged to facilitate timely investigations.
**Administrative Complaints:**
* **Varies Depending on the Agency:** Each government agency responsible for investigating corruption in education (CHED, DepEd, etc.) might have **specific regulations or guidelines** regarding timeframes for filing administrative complaints. It's crucial to consult the relevant agency's guidelines or seek legal advice to understand the applicable deadlines.
**Importance of Seeking Legal Guidance:**
Due to the complexities involved, **consulting with a lawyer specializing in education law or anti-corruption matters** is highly recommended. They can:
* **Advise on the applicable statute of limitations** based on the specific circumstances of your case and the type of legal action you intend to pursue.
* **Assess the viability of your claim** within the given timeframe.
* **Guide you on the appropriate course of action** to ensure you meet any deadlines and effectively pursue your legal rights.
**Remember:** Even if the specific statute of limitations hasn't expired, **delays in filing a claim** can negatively impact the evidence gathering process, witness recollection, and overall effectiveness of pursuing legal action. Consulting with a lawyer promptly after discovering potential corruption is crucial to maximize your chances of success.</t>
  </si>
  <si>
    <t>What role do government regulatory bodies play in investigating and prosecuting corruption within educational institutions?</t>
  </si>
  <si>
    <t>In the Philippines, several government regulatory bodies play a crucial role in investigating and prosecuting corruption within educational institutions, each with distinct responsibilities and authorities:
**1. Commission on Higher Education (CHED):**
* **Focus:** Primarily responsible for **public and private higher education institutions**.
* **Functions:**
* Develops and implements policies and standards for higher education, including those related to **ethical conduct and good governance**.
* Conducts **investigations** into alleged violations of these policies and standards, including corruption within institutions.
* Imposes **administrative sanctions** against institutions found to be engaged in corrupt practices, such as suspension of accreditation, revocation of permits, or fines.
* Refers **criminal cases** to appropriate law enforcement agencies for prosecution.
**2. Department of Education (DepEd):**
* **Focus:** Primarily responsible for **public elementary and secondary schools**.
* **Functions:**
* Similar to CHED, DepEd sets **policies and standards** for ethical conduct and good governance within schools.
* Conducts **investigations** into alleged violations, including corruption cases.
* Imposes **administrative sanctions** against schools found to be involved in corrupt practices.
* Refers **criminal cases** to relevant law enforcement agencies.
**3. Office of the Ombudsman:**
* **Focus:** Serves as the **primary anti-graft and corruption agency** in the Philippines, with jurisdiction over **all public officials and employees**, including those working in public educational institutions.
* **Functions:**
* Conducts **investigations** into allegations of corruption involving public officials, including educators and administrators.
* Files **criminal complaints** against individuals found to be involved in corrupt practices before the **Sandiganbayan**, a special court for graft and corruption cases.
**4. Commission on Audit (COA):**
* **Focus:** Conducts **audits** of government agencies and institutions, including educational institutions, to ensure **proper use of public funds** and identify potential financial irregularities.
* **Functions:**
* Identifies and reports **instances of misuse or misappropriation of public funds** within educational institutions.
* May refer **suspected cases of corruption** to law enforcement agencies for further investigation.
**5. Other Law Enforcement Agencies:**
* **Philippine National Police (PNP) and National Bureau of Investigation (NBI):** These agencies have the authority to **conduct investigations** into criminal aspects of corruption cases within educational institutions, following proper legal procedures and obtaining necessary warrants.
**Collaboration and Coordination:**
These government bodies often **collaborate and coordinate** efforts to effectively investigate and address corruption in education. They might share information, conduct joint investigations, and refer cases to each other based on their respective jurisdictions and expertise.
**Limitations and Challenges:**
* **Resource Constraints:** Government agencies might face limitations in terms of **personnel, budget, and investigative resources**, impacting their capacity to handle all cases effectively.
* **Lengthy Processes:** Investigations and prosecutions can be **time-consuming**, and holding individuals accountable can take significant time.
* **Public Scrutiny and Pressure:** Addressing corruption effectively often requires **sustained public pressure and advocacy** to ensure proper investigations and hold institutions and individuals accountable.
**Overall, while government regulatory bodies play a crucial role in investigating and prosecuting corruption within educational institutions, their effectiveness depends on various factors, including adequate resources, efficient collaboration, and strong public support for holding institutions accountable.**</t>
  </si>
  <si>
    <t>Can individuals pursue civil litigation against educational institutions for damages resulting from corruption?</t>
  </si>
  <si>
    <t>While pursuing civil litigation against educational institutions for damages resulting from corruption in the Philippines is **possible**, it can be a **challenging and complex process** with **uncertain outcomes**. Here's a breakdown of the key factors to consider:
**Establishing Liability:**
* To succeed in a civil lawsuit, individuals must demonstrate that the educational institution **engaged in corrupt practices** that directly caused them **harm and financial losses**.
* Proving **causation** and quantifying **damages** can be difficult, especially in cases involving widespread corruption or systemic issues within the institution.
**Types of Damages:**
* Depending on the specific circumstances, individuals might seek compensation for various types of damages, such as:
* **Financial losses:** Tuition fees, additional expenses incurred due to the corruption, lost opportunities, etc.
* **Non-economic damages:** Emotional distress, reputational harm, etc.
**Challenges and Limitations:**
* **Burden of Proof:** The burden of proof lies with the individual to demonstrate the institution's wrongdoing and its direct link to their specific damages.
* **Complexity of Corruption Cases:** Investigating and presenting evidence of corruption in educational institutions can be complex and time-consuming.
* **Limited Resources:** Individuals might face **financial constraints** in pursuing lengthy legal battles against well-resourced institutions.
* **Alternative Dispute Resolution:** Exploring **mediation or arbitration** might offer a more efficient and cost-effective alternative to resolve disputes in some cases.
**Potential Avenues:**
* **Individual Lawsuits:** If individuals can meet the legal requirements and successfully demonstrate their case, they might be awarded compensation for damages through the court system.
* **Class-Action Lawsuits (Potential):** While the Philippines **doesn't have a specific law for class-action lawsuits**, **Rule 19 of the Rules of Court** allows for joinder of multiple plaintiffs with similar claims. This might be an option in **widespread corruption cases** if it meets specific requirements like numerous plaintiffs, common questions of law and fact, and adequate representation. However, this option faces significant legal hurdles.
**Importance of Legal Guidance:**
Consulting with a lawyer specializing in education law and civil litigation is crucial before pursuing legal action. They can:
* **Assess the viability of the case:** Evaluate the evidence, legal grounds, and potential challenges involved.
* **Advise on alternative options:** Explore other avenues like administrative complaints or whistleblower mechanisms, depending on the specific situation.
* **Navigate the legal process:** Provide guidance on filing lawsuits, gathering evidence, and representing your interests in court.
**Remember:** Pursuing civil litigation against educational institutions for corruption is a complex undertaking with **uncertain outcomes**. It's crucial to carefully weigh the potential benefits, costs, and challenges involved, and seek professional legal guidance to make informed decisions and maximize your chances of success.</t>
  </si>
  <si>
    <t>How do defamation laws apply to allegations of corruption made against educational institutions or personnel?</t>
  </si>
  <si>
    <t>Defamation laws can be a complex issue when applied to allegations of corruption made against educational institutions or personnel in the Philippines. Here's a breakdown of key points to consider:
**Understanding Defamation:**
* **Definition:** Defamation involves any **false and damaging statement** that is communicated to a third party and harms the reputation of an individual or entity.
* **Elements:** To establish defamation, the plaintiff (institution or personnel) must prove:
* **False statement:** The statement must be demonstrably untrue.
* **Publication:** The statement must be communicated to a third party.
* **Harm to reputation:** The statement must cause damage to the plaintiff's reputation.
**Applying Defamation Laws to Educational Institutions:**
* **Limited Application:** Educational institutions, as **public institutions**, generally enjoy **limited protection** under defamation laws compared to individuals. They might face difficulty establishing harm to their reputation solely based on allegations.
* **Focus on Individuals:** Defamation lawsuits against educational institutions are often **directed towards specific individuals** within the institution, such as administrators or faculty members, who are alleged to be personally responsible for the corrupt practices.
**Defenses for Allegations of Corruption:**
* **Truth:** The most robust defense is proving the **truth** of the alleged corruption. If the allegations can be demonstrably substantiated with evidence, the defense against defamation claims becomes stronger.
* **Fair Comment:** Honest opinions or comments based on facts, even if critical, are generally protected under **fair comment** defense. However, the comment should not be malicious or contain demonstrably false statements.
* **Public Interest:** Raising concerns about potential corruption, even if it damages the reputation of the institution or individuals involved, can be protected under the **public interest** defense if done in good faith and based on reasonable belief in the truth of the allegations.
**Importance of Seeking Legal Guidance:**
* **Navigating Complexities:** Defamation laws and their application in specific cases involving educational institutions can be complex. Consulting with a lawyer specializing in media and communications law is crucial to understand the legal landscape, assess the potential risks and defenses involved, and advise on the most appropriate course of action.
* **Balancing Rights:** It's essential to strike a balance between protecting the **freedom of expression** and the right to **reputation**. Individuals making allegations of corruption should act responsibly and ensure they have reasonable grounds for their claims, while educational institutions should avoid using defamation laws to suppress legitimate concerns about potential wrongdoing.
**Remember:** Defamation laws are not a shield against genuine attempts to expose corruption. However, understanding the legal framework and seeking professional guidance can help individuals and educational institutions navigate these complex situations effectively while upholding the principles of accountability and freedom of expression.</t>
  </si>
  <si>
    <t>Are there any international legal mechanisms for addressing corruption in education across borders?</t>
  </si>
  <si>
    <t>Yes, there are several **international legal mechanisms** available for addressing corruption in education across borders, although their effectiveness can vary depending on the specific circumstances and the countries involved. Here's an overview of some key mechanisms:
**1. The United Nations Convention against Corruption (UNCAC):**
* This is the **most comprehensive international legal instrument** addressing corruption, including bribery, embezzlement, and abuse of power. It requires signatory countries to criminalize certain corrupt practices, establish preventive measures, and promote international cooperation in investigations and prosecutions.
* While the UNCAC doesn't have a specific focus on education, its **broader framework** can be applied to address instances of cross-border corruption involving educational institutions or individuals.
**2. The OECD Convention on Combating Bribery of Foreign Public Officials in International Business Transactions:**
* This convention focuses specifically on **bribery of foreign public officials** in international business transactions, which could be relevant in cases involving cross-border corruption related to educational services or funding.
* Similar to the UNCAC, it requires signatory countries to criminalize bribery offenses and cooperate in investigations and prosecutions.
**3. Regional Agreements:**
* Several regional agreements, such as the **Inter-American Convention against Corruption** and the **African Union Convention on Preventing and Combating Corruption**, also address corruption and can be relevant depending on the geographical scope of the specific case.
* These agreements often establish mechanisms for cooperation and information sharing among member states, which can be helpful in investigating and addressing cross-border corruption.
**4. Mutual Legal Assistance Treaties (MLATs):**
* These bilateral treaties allow countries to **formally cooperate** in criminal investigations and prosecutions, including those related to corruption.
* MLATs can be crucial for obtaining evidence, interviewing witnesses, and executing arrest warrants across borders, which is often necessary in complex cross-border corruption cases.
**Challenges and Considerations:**
* **Enforcement:** The effectiveness of these international mechanisms depends heavily on the **commitment and capacity of individual countries** to implement their provisions and cooperate in investigations.
* **Lengthy Processes:** Utilizing these mechanisms can involve **complex legal procedures and lengthy investigations**, making them less suitable for immediate solutions.
* **Limited Scope:** Not all countries are signatories to these conventions or agreements, and their specific provisions might not always directly address the nuances of corruption in education.
**Overall, while international legal mechanisms offer a framework for addressing cross-border corruption in education, their effectiveness is often limited by various challenges.** However, these mechanisms can still play a role in **raising awareness, promoting international cooperation, and holding individuals and institutions accountable** for corrupt practices that transcend national borders.
**Additionally, advocating for stronger international cooperation and the development of specific legal instruments focused on addressing corruption in education can contribute to building a more robust global framework for combating this issue.**</t>
  </si>
  <si>
    <t>What legal protections exist for individuals who wish to remain anonymous while reporting corruption in education?</t>
  </si>
  <si>
    <t>While the Philippines **does not have a comprehensive whistleblower protection law specifically for the education sector**, there are existing legal provisions that offer **limited** protections for individuals who report corruption in educational institutions while remaining anonymous. Here's an overview:
**Republic Act No. 6713 (Code of Conduct and Ethical Standards for Public Officials and Employees):**
* **Section 32:** This section encourages the reporting of graft and corrupt practices by public officials and employees, including those working in **public educational institutions**. It allows for **anonymous reporting** through various channels, including:
* **Offices of the Ombudsman**
* **Special prosecutors**
* **Heads of agencies**
* **Law enforcement agencies**
**However, limitations exist:**
* **Limited Scope:** This law primarily applies to **public educational institutions**, not private ones.
* **Confidentiality Concerns:** While anonymity is encouraged, there's no guarantee of complete confidentiality throughout the investigation process. Authorities might need to disclose the reporter's identity in certain situations, potentially jeopardizing their anonymity.
**Other Potential Avenues:**
* **Internal Reporting Mechanisms:** Some educational institutions might have established **internal reporting channels** that allow for anonymous reporting of wrongdoing. However, the effectiveness and level of protection offered by these internal mechanisms can vary significantly.
* **Media Outlets:** Individuals might choose to report corruption anonymously to **media organizations** that can investigate and expose the issue. However, this approach carries inherent risks and might not always lead to concrete action against the perpetrators.
**Challenges and Considerations:**
* **Limited Legal Safeguards:** The current legal framework in the Philippines offers **limited and fragmented** protection for anonymous whistleblowers in the education sector.
* **Potential Retaliation:** There's always a **risk of retaliation** from individuals or entities implicated in the reported corruption, even with anonymous reporting.
* **Seeking Guidance:** Consulting with a lawyer specializing in whistleblower protection or education law is crucial to understand the **risks and limitations** involved in anonymous reporting and explore alternative options for addressing corruption while minimizing personal risks.
**It's important to remember that anonymous reporting of corruption in education comes with inherent challenges and limitations.** While legal protections exist to some extent, they are not absolute. Individuals considering anonymous reporting should carefully weigh the risks and benefits, seek professional guidance, and explore all available options to ensure their safety and the effectiveness of their actions.
**Additionally, advocating for stronger whistleblower protection laws specifically for the education sector can contribute to creating a safer environment for individuals to report corruption and hold educational institutions accountable.**</t>
  </si>
  <si>
    <t>Can individuals seek compensation for financial losses incurred as a result of corruption in education?</t>
  </si>
  <si>
    <t>In the Philippines, the possibility of individuals seeking compensation for financial losses incurred as a result of corruption in education depends on several factors and the specific circumstances of each case. Here's a breakdown of the key considerations:
**Challenges in Obtaining Compensation:**
* **Direct Causation:** Proving a **clear and direct causal link** between the alleged corruption and the specific financial losses suffered by an individual can be challenging.
* **Individualized Harm:** Demonstrating that the harm was **unique to the individual** and not something experienced by all students in the same program or situation can be difficult.
* **Complexity of Corruption:** Establishing the nature and extent of the corruption, and how it directly led to financial losses, can involve complex investigations and evidence gathering.
**Potential Avenues for Compensation:**
While there's no guaranteed path to compensation, individuals might explore certain options depending on the specific situation:
* **Civil Lawsuits:** If individuals can demonstrate **individualized harm** caused by the corruption and establish a **clear causal link** to their financial losses, they could consider filing **civil lawsuits** against the educational institution or involved individuals. However, the success of such lawsuits depends on meeting legal requirements and presenting compelling evidence.
* **Administrative Complaints:** Individuals can file **complaints with relevant government agencies** like the Commission on Higher Education (CHED) or the Department of Education (DepEd) against the educational institution. These agencies might have **administrative mechanisms** to address grievances and potentially impose sanctions, but they might not directly award financial compensation to individuals.
* **Whistleblower Protection:** If individuals possess **evidence of corruption** and report it to authorities under the **whistleblower protection mechanisms** established by Republic Act No. 6713, they might be eligible for **certain benefits and protections**, but not necessarily direct financial compensation for personal losses.
**Importance of Legal Guidance:**
Consulting with a lawyer specializing in education law is crucial to understand the legal landscape, assess the viability of pursuing compensation, and explore the most appropriate course of action based on the specific circumstances of the case. They can advise on:
* **Gathering evidence:** Securing documentation, witness testimonies, or other relevant proof to support claims.
* **Navigating legal procedures:** Understanding the applicable laws, filing requirements, and potential challenges involved in pursuing compensation.
* **Exploring alternative options:** Identifying other avenues for addressing the issue, such as seeking administrative remedies or advocating for systemic reforms.
**Remember:** Obtaining compensation for financial losses due to educational corruption is complex and **not guaranteed**. However, by seeking professional legal guidance and understanding the available options, individuals can make informed decisions and explore potential avenues to address the harm they have suffered.</t>
  </si>
  <si>
    <t>How can legal action against corrupt educational institutions impact the academic credentials of students who attended or graduated from those institutions?</t>
  </si>
  <si>
    <t>While legal action against corrupt educational institutions can have various implications, it's **important to understand that it generally does not directly impact the **validity or legitimacy** of academic credentials awarded to students by those institutions. Here's a breakdown of the key points:
**Separation of Issues:**
* **Academic Credentials:** These documents, such as diplomas or transcripts, certify the completion of a specific program of study and the attainment of a particular qualification. They are typically issued based on the **fulfillment of established academic requirements** by the student, regardless of any potential corruption within the institution.
* **Legal Action:** This focuses on addressing the alleged **corrupt practices** of the educational institution, not on the individual academic achievements of students who have already completed their studies and received their credentials.
**Potential Indirect Impacts:**
However, legal action against an institution can have some **indirect consequences** for student credentials in certain situations:
* **Loss of Accreditation:** If the legal proceedings expose **severe breaches of academic integrity or accreditation standards**, the institution might face **loss of accreditation** from relevant authorities. In such cases, **future degrees** awarded by the institution might lose their recognized value. However, previously issued credentials typically **remain valid**.
* **Public Scrutiny and Reputation:** Negative publicity surrounding the legal case could **damage the institution's reputation**, potentially leading to **reduced recognition** of its academic credentials by employers or other institutions. However, this wouldn't necessarily invalidate the credentials themselves.
**Student Protection Measures:**
* **Verification of Credentials:** Students can **independently verify the authenticity** of their academic credentials through official channels like the institution's registrar or relevant government agencies responsible for accreditation and record-keeping.
* **Alternative Credentials:** If concerns arise about the validity of credentials due to institutional corruption, students might explore **alternative ways to demonstrate their qualifications**, such as through **portfolio assessments, standardized tests, or transferring credits to another accredited institution**.
**Seeking Guidance:**
If you're concerned about the potential impact of legal action on your academic credentials, it's highly recommended to consult with a **qualified lawyer specializing in education law**. They can assess the specific situation, advise on potential risks and options for verification, and help you navigate any challenges related to your academic qualifications.
**Remember:** Legal action against educational institutions is primarily aimed at addressing systemic corruption and protecting future students. While it might not directly invalidate previously issued credentials, it's crucial to stay informed and seek professional guidance if concerns arise regarding the recognition or validity of your academic qualifications.</t>
  </si>
  <si>
    <t>Are there any specific legal remedies available to students who have been victims of corruption in education?</t>
  </si>
  <si>
    <t>While there's no single legal remedy specifically designed for students who have been victims of corruption in education in the Philippines, several options can be explored depending on the nature of the corruption and the harm suffered:
**1. Administrative Remedies:**
* **Complaints within the Institution:** Students can file **complaints** with the institution's grievance mechanisms, following established procedures to seek redress within the educational system.
* **Complaints with Regulatory Agencies:** Depending on the specific issue, students might be able to lodge complaints with relevant **regulatory agencies** like the Commission on Higher Education (CHED) or the Department of Education (DepEd) against the educational institution.
**2. Civil Litigation:**
* **Individual Lawsuits:** If students can demonstrate **individualized harm** caused by the alleged corruption, they might consider filing **individual lawsuits** against the educational institution or involved individuals, seeking compensation for damages.
* **Class-Action Lawsuit (Potential):** As mentioned earlier, the Philippines **doesn't have a specific law for class-action lawsuits**, but **Rule 19 of the Rules of Court** allows for joinder of multiple plaintiffs with similar claims. This might be an option in **widespread corruption cases** if it meets specific requirements like numerous plaintiffs, common questions of law and fact, and adequate representation.
**3. Alternative Dispute Resolution (ADR):**
In some cases, exploring **mediation or arbitration** through accredited ADR institutions might offer a more **efficient and cost-effective** means of resolving disputes between students and the educational institution.
**4. Whistleblower Protection:**
If students possess **evidence of corruption** within the educational institution, they can consider reporting it to relevant authorities under the **whistleblower protection mechanisms** established by Republic Act No. 6713 (Code of Conduct and Ethical Standards for Public Officials and Employees).
**Choosing the Right Approach:**
The most appropriate legal remedy depends on various factors, including the **specific nature of the corruption**, the **evidence available**, the **desired outcome**, and the **resources available** to the students. Consulting with a lawyer specializing in education law is crucial to understand the legal options, assess the viability of each approach, and choose the most effective course of action based on the specific circumstances.
**Additional Considerations:**
* **Gathering Evidence:** Securing **documentary evidence, witness testimonies, or recordings** (if legal) can strengthen any claim or complaint.
* **Seeking Support:** Students may benefit from seeking **support from student organizations, advocacy groups, or legal aid clinics** specializing in education issues.
* **Legal Costs:** Pursuing legal action can involve **financial costs**, and students should carefully consider the potential expenses associated with different options.
Remember, navigating legal complexities requires **professional guidance**. Consulting a qualified lawyer can provide students with the necessary support and expertise to understand their rights, explore available remedies, and pursue appropriate action against educational corruption.</t>
  </si>
  <si>
    <t>What obligations do educational institutions have to prevent and address corruption under the law?</t>
  </si>
  <si>
    <t>While the Philippines does not have a specific law solely dedicated to preventing and addressing corruption in educational institutions, there are several existing legal frameworks and regulations that impose obligations on these institutions to uphold ethical conduct and combat corrupt practices. Here's an overview of relevant legal sources:
**1. The Constitution:**
* **Article II, Section 1:** Guarantees the right to education and mandates the State to "protect and promote the right of all citizens to quality education at all levels." This implies a duty for educational institutions to uphold ethical standards and prevent practices that undermine the quality of education.
* **Article XIII, Section 2:** Emphasizes the State's responsibility to "maintain honesty and integrity in the public service." This principle extends to educational institutions receiving government funding or operating under public mandate.
**2. Republic Act No. 6713 (Code of Conduct and Ethical Standards for Public Officials and Employees):**
While primarily applicable to government officials, this law establishes core ethical principles like **honesty, integrity, accountability, and service to the public** that can be considered guiding principles for educational institutions, especially those receiving public funds.
**3. Commission on Higher Education (CHED) Memorandum Orders:**
* **CHED Memorandum Order No. 12, series of 2018 (Revised Guidelines on the Conduct of Bidding for Goods and Services in Higher Education Institutions):** Establishes specific guidelines for transparent and accountable procurement processes, aiming to prevent corruption in resource allocation.
* **CHED Memorandum Order No. 1, series of 2018 (Policy Standards and Guidelines on the Institutionalization of Integrity and Ethics Programs in Higher Education Institutions):** Encourages HEIs to develop and implement integrity and ethics programs to promote ethical conduct and prevent corruption within the institution.
**4. Department of Education (DepEd) Orders:**
* **DepEd Order No. 43, series of 2012 (Policy and Guidelines on the Implementation of the National School Board Election Code):** Establishes regulations for transparent and accountable school board elections, aiming to prevent undue influence and potential corruption in school governance.
* **DepEd Order No. 78, series of 2013 (Implementing Guidelines on the National Policy on Transparency in Public Procurement for Goods and Services):** Similar to CHED's guidelines, this DepEd order promotes transparency and accountability in public procurement processes within schools.
**Overall, while there's no single comprehensive law solely focused on educational corruption, various legal provisions and regulations establish obligations for educational institutions to:**
* Uphold ethical conduct and integrity.
* Promote transparency and accountability in their operations.
* Implement mechanisms to prevent and address corrupt practices.
* Ensure the proper use of public resources allocated for education.
It's important to note that these are just general principles, and the specific legal obligations and enforcement mechanisms may vary depending on the type of educational institution (public, private), its funding source, and the specific nature of the alleged corruption. Consulting with a lawyer specializing in education law can provide more specific guidance on the legal framework applicable to a particular situation.</t>
  </si>
  <si>
    <t>Can individuals file a class-action lawsuit against an educational institution for widespread corruption affecting multiple students?</t>
  </si>
  <si>
    <t>In the Philippines, the possibility of filing a class-action lawsuit against an educational institution for widespread corruption affecting multiple students depends on several factors and legal considerations:
**Class Action Lawsuit Requirements:**
The Philippines currently **does not have a specific law governing class-action lawsuits**. However, **Rule 19 of the Rules of Court** allows for the joinder of multiple plaintiffs with similar claims against a single defendant, potentially achieving some of the objectives of a class action.
**Key Requirements for Joinder:**
* **Numerous plaintiffs:** There must be a significant number of individuals with similar claims against the educational institution.
* **Common questions of law and fact:** The claims must share common legal issues and factual circumstances, making a single trial efficient and fair.
* **Adequate representation:** A named representative plaintiff must be able to fairly and adequately represent the interests of all other class members.
**Challenges in Educational Corruption Cases:**
* **Individualized harm:** Proving individual harm suffered by each student due to the alleged corruption can be challenging, especially in widespread cases.
* **Varying circumstances:** Students might have different experiences and claims, potentially impacting the "commonality" requirement.
* **Complexity of corruption:** Demonstrating a clear causal link between the alleged corrupt practices and specific harm to students can be complex.
**Alternative Dispute Resolution:**
In some cases, exploring alternative dispute resolution (ADR) mechanisms like mediation or arbitration might be a more practical and efficient approach to resolving conflicts between students and the educational institution.
**Seeking Legal Guidance:**
Consulting with a lawyer specializing in education law and civil litigation is crucial to assess the feasibility of filing a lawsuit, understand the legal complexities involved, and explore alternative options for addressing the alleged corruption.
**Remember, this is a complex legal matter, and the information provided here is not a substitute for professional legal advice.** A qualified lawyer can evaluate the specific circumstances of the case and provide guidance on the most appropriate course of action.</t>
  </si>
  <si>
    <t>How can legal action against corrupt educational institutions contribute to broader systemic changes within the education sector?</t>
  </si>
  <si>
    <t>While legal action against corrupt educational institutions cannot guarantee broader systemic changes within the education sector, it can be a **catalyst** for positive developments in several ways:
**1. Deterrence and Accountability:**
* Successful legal action can **deter** other institutions from engaging in similar corrupt practices by setting a precedent and demonstrating consequences for wrongdoing.
* It can also hold **individuals accountable** for their actions, potentially leading to their removal from positions of power and preventing them from causing further harm to the education system.
**2. Increased Scrutiny and Transparency:**
* Legal proceedings often involve **public disclosure of evidence** and expose the nature and extent of corrupt practices within the institution. This can raise public awareness and **scrutiny**, putting pressure on authorities and stakeholders to address systemic issues.
* Legal action can also pave the way for **greater transparency** within the education sector, prompting institutions to implement stricter regulations and improve accountability mechanisms.
**3. Public Discourse and Policy Reforms:**
* High-profile legal cases can spark **public discourse** about corruption in education, raising awareness of the problem and its negative impacts. This can lead to increased public pressure for **policy reforms** aimed at addressing systemic weaknesses and strengthening safeguards against corruption.
* Legal action can also inform **policymakers** by providing concrete evidence of the specific challenges and areas requiring intervention within the education system.
**4. Empowering Stakeholders and Building Momentum:**
* Successful legal action can **empower** other stakeholders, such as students, parents, and educators, to speak up against corruption and advocate for change within the education system.
* It can also **build momentum** for broader reform efforts by demonstrating the effectiveness of holding institutions accountable and the potential for positive change.
**However, it's important to acknowledge limitations:**
* Legal action is a **complex and lengthy process** that may not always be successful, and its impact on systemic change can be **indirect and gradual**.
* Addressing systemic corruption requires a **multifaceted approach** that goes beyond individual legal cases and involves collaboration between various stakeholders, including government agencies, civil society organizations, and educational institutions themselves.
**Overall, while legal action alone cannot ensure systemic change, it can be a valuable tool in the fight against corruption in education by raising awareness, deterring future misconduct, and contributing to a broader movement for reform.**</t>
  </si>
  <si>
    <t>What legal protections exist for educators who refuse to participate in or report instances of corruption within their institution?</t>
  </si>
  <si>
    <t>While there are no **explicit legal protections solely for educators** who refuse to participate in or report corruption within their institutions in the Philippines, several legal provisions and principles might offer some degree of protection depending on the specific circumstances:
**1. Whistleblower Protection:**
* **Expanded Anti-Red Tape Act (RA 11032):** This Act offers **limited protection for whistleblowers** who report illegal, irregular, or unethical conduct within public agencies. While educators in public schools might benefit from these provisions, the Act's scope and effectiveness in protecting whistleblowers from retaliation remain under debate.
* **DepEd and CHED policies:** Both the Department of Education (DepEd) and Commission on Higher Education (CHED) have established **internal mechanisms and policies** for reporting misconduct and unethical behavior within educational institutions. These policies might offer some level of protection for educators who report corruption through established channels.
**2. Constitutional Rights:**
* **Freedom of Speech and Expression (Article III, Section 1):** This right protects educators' ability to speak out against corruption without fear of reprisal. However, it might not offer absolute protection against potential consequences depending on the specific situation and the employer's actions.
* **Right to Due Process (Article III, Section 14):** This right protects educators from arbitrary dismissal or disciplinary actions without following proper procedures. If an educator faces retaliation for reporting corruption, they can potentially challenge unfair treatment through legal means.
**3. Labor Law Protections:**
* **Illegal Dismissal:** If an educator is **unjustly dismissed** for refusing to participate in corruption or reporting it, they might seek legal redress under labor laws. However, proving the dismissal was solely due to whistleblowing and not other legitimate reasons can be challenging.
* **Unfair Labor Practices:** Educators facing **discrimination, harassment, or other unfair treatment** due to their refusal to engage in corruption or reporting it might have recourse under unfair labor practice provisions of relevant laws.
**Important Considerations:**
* **Limited scope and challenges:** Existing legal protections for whistleblowers and educators facing retaliation for reporting corruption are **limited in scope and effectiveness**. Navigating these legal avenues often requires specialized legal expertise and careful consideration of the specific circumstances and potential risks involved.
* **Importance of evidence:** Gathering **concrete evidence** linking the retaliation to the educator's refusal to participate in corruption or reporting it is crucial for pursuing any legal claims effectively.
* **Alternative approaches:** While legal options exist, they might not always be the most viable or effective solution. Reporting corruption through established channels, seeking support from unions or professional organizations, and advocating for stronger whistleblower protections can be crucial strategies alongside exploring legal avenues.
**Disclaimer:** This information is for general understanding and does not constitute legal advice. Consulting a lawyer specializing in labor law, education law, or public interest litigation is crucial for specific situations and a detailed assessment of the applicable legal protections, potential legal options, and the risks and challenges involved in navigating these complex situations. Remember, navigating such situations can be complex, and seeking professional legal guidance is highly recommended.</t>
  </si>
  <si>
    <t>Can individuals seek injunctions to prevent ongoing corrupt practices within an educational institution?</t>
  </si>
  <si>
    <t>In the Philippines, individuals **might** be able to seek injunctions to prevent ongoing corrupt practices within an educational institution, **but the success depends heavily on the specific circumstances and meeting the legal requirements for obtaining an injunction.** Here's a breakdown of the relevant considerations:
**Potential Grounds for Injunction:**
* **Clear and present danger:** You need to demonstrate that the ongoing corrupt practice poses a **clear and immediate threat** to your rights or interests, or those of a group you represent. This could involve:
* **Direct harm:** Potential expulsion, loss of scholarship, or manipulation of grades due to the corrupt practice.
* **Irreparable damage:** Demonstrating that the harm caused by the practice cannot be adequately compensated through other legal means after it occurs.
* **Likelihood of success:** You need to show a **reasonable likelihood of success** in proving the alleged corruption in court through evidence and legal arguments.
* **Balance of equities:** The court will weigh the potential harm you might suffer if the injunction is not granted against the potential harm it might cause to the institution if it is granted.
**Challenges and Considerations:**
* **Meeting the requirements:** Obtaining an injunction is a **high bar** and requires meeting all the legal requirements mentioned above. Consulting a lawyer specializing in education law and injunctions is crucial for assessing the feasibility and building a strong case.
* **Evidence gathering:** Providing **concrete evidence** linking the practice to corruption and its potential harm to your rights or interests is essential.
* **Time-sensitive nature:** Injunctions are typically sought to **prevent imminent harm**, so acting promptly is crucial.
* **Alternative remedies:** Exploring other avenues like reporting the corruption to relevant authorities or pursuing internal grievance procedures might be more appropriate depending on the specific situation.
**Important Points:**
* **Limited application:** Injunctions are typically used to **prevent specific actions** or **maintain the status quo** rather than addressing broader systemic corruption.
* **Focus on individual rights:** While injunctions can be used to protect individual rights, addressing broader systemic corruption often requires collective action, advocacy efforts, and potential legislative reforms.
**Disclaimer:** This information is for general understanding and does not constitute legal advice. Consulting a lawyer specializing in education law and injunctions is crucial for specific situations and a detailed assessment of the feasibility of pursuing an injunction, the likelihood of success, and alternative legal options for addressing ongoing corrupt practices within an educational institution.</t>
  </si>
  <si>
    <t>How do anti-corruption laws apply differently to public and private educational institutions?</t>
  </si>
  <si>
    <t>## Anti-Corruption Laws in Public vs. Private Educational Institutions (PH Law)
While both public and private educational institutions aim to provide education, the application of anti-corruption laws differs to some extent due to their distinct legal frameworks:
**Public Educational Institutions:**
* **Stricter Scrutiny:** Public institutions are subject to stricter scrutiny and accountability under various laws, including:
* **The Constitution:** Article III, Section 14 guarantees the right to education, implying a duty on the state to ensure its delivery is free from corruption.
* **Republic Act No. 3019 (Anti-Graft and Corrupt Practices Act):** This law applies to all public officials and employees, including those working in public schools and universities. It defines various acts of corruption and prescribes corresponding penalties.
* **Other laws:** Public institutions are also subject to laws like the Code of Conduct and Ethical Standards for Public Officials and Employees (RA 6713) and the Government Procurement Reform Act (RA 9184), which further strengthen anti-corruption measures.
**Private Educational Institutions:**
* **Limited Scope of Public Laws:** Laws like the Anti-Graft and Corrupt Practices Act primarily apply to public officials and employees. Therefore, their direct application to private institutions and their personnel might be limited.
* **Focus on Specific Offenses:** Anti-corruption efforts in private institutions often focus on addressing specific offenses like:
* **Fraudulent practices:** Misrepresentation of qualifications, plagiarism, or manipulating academic records.
* **Embezzlement of funds:** Misusing tuition fees, donations, or other financial resources for personal gain.
* **Bribery:** Offering or accepting bribes for admission, scholarships, or influencing academic outcomes.
* **Regulation and Self-Governance:** Private institutions are primarily governed by their own charters and regulations, which might include provisions addressing ethical conduct and preventing corruption.
* **DepEd/CHED Oversight:** DepEd and CHED, the respective regulatory agencies for different educational levels, have oversight functions over private institutions and can impose sanctions for violations of their regulations, including those related to ethical conduct and potential corruption.
**Important Considerations:**
* **Overlapping Jurisdiction:** Certain offenses like bribery or fraud might still fall under the purview of general criminal laws applicable to both public and private individuals, regardless of the institution's type.
* **Civil Lawsuits:** Individuals harmed by corruption in private institutions might explore civil lawsuits for damages, though the legal basis and success rate can vary depending on the specific circumstances.
* **Advocacy and Public Awareness:** Raising awareness about corruption in both public and private institutions and advocating for stronger regulations and ethical practices can contribute to a broader movement for a more ethical education system.
**Disclaimer:** This information is for general understanding and does not constitute legal advice. Consulting a lawyer specializing in education law or public interest litigation is crucial for specific situations and a detailed assessment of the applicable anti-corruption laws, relevant regulations, and potential legal options in addressing corruption within either public or private educational institutions.</t>
  </si>
  <si>
    <t>Can individuals pursue criminal charges against individuals involved in corrupt practices within an educational institution?</t>
  </si>
  <si>
    <t>## Pursuing Criminal Charges for Corruption in Philippine Education (RA &amp; Constitution)
In the Philippines, individuals **can potentially** pursue criminal charges against individuals involved in corrupt practices within an educational institution, **depending on the specific nature of the alleged offense**. Here's a breakdown of relevant considerations:
**Potential Criminal Offenses:**
* **Bribery:** Offering, soliciting, or accepting bribes for various purposes like securing admission, influencing grades, obtaining employment, or manipulating contracts can be prosecuted under the Anti-Graft and Corrupt Practices Act (Republic Act No. 3019).
* **Embezzlement:** Misusing public funds or resources entrusted to individuals within the educational institution for personal gain can be prosecuted under the Revised Penal Code (Article 217).
* **Falsification of public documents:** Forging or altering official documents like diplomas, transcripts, or financial records can be prosecuted under the Revised Penal Code (Article 171).
* **Extortion:** Threatening or coercing individuals to obtain money or property through corrupt practices can be prosecuted under the Revised Penal Code (Article 294).
* **Other offenses:** Depending on the specific act of corruption, other criminal offenses like fraud, malversation of public funds, or violations of specific laws related to educational institutions might be applicable.
**Important Considerations:**
* **Evidence gathering:** Building a strong case with concrete evidence linking the individuals to the specific criminal offense is crucial for successful prosecution. This may involve witness testimonies, documentary evidence, or recordings.
* **Filing complaints:** Individuals can file criminal complaints with the Philippine National Police (PNP), National Bureau of Investigation (NBI), or the Office of the Ombudsman, depending on the nature and complexity of the case.
* **Legal representation:** Consulting a lawyer specializing in criminal law or public interest litigation is crucial for navigating the legal process effectively and understanding the specific charges applicable to the situation.
* **Burden of proof:** The burden of proof lies with the individual pursuing the charges to demonstrate the guilt of the accused beyond reasonable doubt.
**Limitations and Challenges:**
* **Complexity of investigations:** Investigating and prosecuting corruption cases can be complex and time-consuming, requiring expertise and resources.
* **Potential retaliation:** Individuals pursuing charges might face potential retaliation from those involved in the corruption. Seeking legal guidance and support systems is crucial.
* **Success rate:** The success rate of criminal prosecutions can vary depending on the strength of the evidence and the effectiveness of the investigation and prosecution process.
**Alternative Approaches:**
* **Reporting corruption:** While criminal prosecution might not always be feasible or successful, reporting the corruption to relevant authorities like DepEd, CHED, or the Office of the Ombudsman can trigger investigations and potentially lead to administrative sanctions against individuals involved.
* **Civil lawsuits:** In certain cases, individuals might explore civil lawsuits for damages caused by the corruption, but this requires specific legal grounds and proving harm.
**Disclaimer:** This information is for general understanding and does not constitute legal advice. Consulting a lawyer specializing in criminal law, education law, or public interest litigation is crucial for specific situations and a detailed assessment of the potential criminal offenses involved, the likelihood of successful prosecution, and alternative approaches for addressing corruption within an educational institution.</t>
  </si>
  <si>
    <t>How does corruption in education intersect with other areas of law, such as employment law or contract law?</t>
  </si>
  <si>
    <t>Corruption in education can intersect with various areas of law in the Philippines, including:
**Employment Law:**
* **Unfair hiring practices:** Offering jobs or promotions based on bribes or nepotism instead of merit violates employment laws prohibiting discrimination and unfair labor practices.
* **Exploitation of employees:** Forced labor, unfair wages, or unsafe working conditions for employees within educational institutions due to corrupt practices can be addressed through labor laws.
**Contract Law:**
* **Breach of contract:** If individuals enter into agreements with educational institutions for services like education or research, and the institution fails to deliver due to corruption (e.g., providing false qualifications or engaging in fraudulent research), they could potentially sue for breach of contract.
* **Unfair contract terms:** Contracts containing hidden fees, misleading information, or clauses exploiting students' vulnerabilities due to corrupt practices could be challenged under contract law principles.
**Other Legal Areas:**
* **Intellectual property law:** Copyright infringement or plagiarism due to corruption in research or academic publications can be addressed through intellectual property laws.
* **Tax law:** Misuse of public funds or tax evasion related to educational institutions can be investigated and prosecuted under relevant tax laws.
* **Constitutional law:** Corruption that violates fundamental rights enshrined in the Constitution, such as the right to education or equal protection, could potentially be challenged through legal avenues related to constitutional violations.
**Examples of Intersection:**
* **Teacher recruitment:** Offering teaching positions based on bribes instead of qualifications violates both anti-corruption laws and employment law principles of meritocracy and non-discrimination.
* **Fake diplomas:** Issuing fake diplomas or manipulating grades due to corruption constitutes fraud, violating contract law with students and potentially impacting their employment prospects, raising concerns under both contract and labor laws.
**Important Considerations:**
* **Specific circumstances:** The specific legal intersection depends on the nature of the corruption and its impact on individuals or entities involved.
* **Complexity of cases:** Navigating legal intersections often requires expertise in multiple areas of law, and consulting lawyers specializing in relevant fields is crucial for effective legal action.
* **Evidence gathering:** Building a strong case with evidence linking the corruption to specific legal violations is essential for pursuing legal remedies in any intersecting legal area.
**Disclaimer:** This information is for general understanding and does not constitute legal advice. Consulting a lawyer specializing in education law, employment law, contract law, or other relevant legal areas is crucial for specific situations and a detailed assessment of the legal intersections at play and potential legal options. Remember, the success of any legal action depends heavily on the specific facts, evidence, and applicable laws.</t>
  </si>
  <si>
    <t>What role do law enforcement agencies play in investigating and prosecuting corruption within educational institutions?</t>
  </si>
  <si>
    <t>Law enforcement agencies in the Philippines play a **crucial role** in investigating and prosecuting corruption within educational institutions, but their specific involvement can vary depending on the nature and severity of the alleged offense. Here's a breakdown of their roles:
**Philippine National Police (PNP):**
* **Initial investigation:** The PNP often conducts initial investigations into reports of corruption within educational institutions, especially if they involve criminal acts like bribery, extortion, or falsification of documents.
* **Gathering evidence:** PNP officers collect evidence, interview witnesses, and prepare case files for potential filing of criminal charges.
* **Collaboration:** The PNP may collaborate with other agencies like DepEd, CHED, or the Office of the Ombudsman during investigations, depending on the specific case and expertise required.
**National Bureau of Investigation (NBI):**
* **Complex investigations:** The NBI handles more complex corruption cases within educational institutions, often involving high-ranking officials or intricate schemes requiring specialized investigative techniques.
* **Financial crimes:** The NBI possesses expertise in investigating financial crimes like embezzlement or misuse of public funds, which can be relevant in certain corruption cases within educational institutions.
**Other Law Enforcement Agencies:**
* **Specialized agencies:** Depending on the specific nature of the corruption case, other law enforcement agencies like the Anti-Money Laundering Council (AMLC) or the Commission on Audit (COA) might be involved in investigations related to money laundering or misuse of public funds.
**Limitations and Considerations:**
* **Dependence on complaints:** Law enforcement agencies typically rely on formal complaints being filed before initiating investigations. This highlights the importance of individuals reporting suspected corruption.
* **Jurisdictional boundaries:** The specific law enforcement agency involved might depend on the jurisdiction where the educational institution is located and the nature of the alleged offense.
* **Collaboration and coordination:** Effective investigation and prosecution of complex corruption cases often require collaboration and coordination between different law enforcement agencies and other relevant government bodies.
**Additional Points:**
* **Office of the Ombudsman:** While not strictly a law enforcement agency, the Office of the Ombudsman investigates and prosecutes cases involving public officials, including those employed by educational institutions. Their role can be crucial in addressing corruption involving administrative personnel.
* **DepEd/CHED:** These agencies have their own internal investigation and administrative sanctioning mechanisms for addressing corruption within their respective jurisdictions, but they might also collaborate with law enforcement agencies for criminal investigations.
**Remember:** Law enforcement agencies play a significant role in investigating and prosecuting corruption within educational institutions, but their involvement is often triggered by **formal complaints and requires collaboration with other stakeholders**. Reporting suspected corruption and seeking guidance from relevant agencies are crucial steps in holding individuals and institutions accountable and fostering a more ethical educational environment.
**Disclaimer:** This information is for general understanding and does not constitute legal advice. Consulting a lawyer specializing in criminal law or public interest litigation is crucial for specific situations and a detailed assessment of the appropriate course of action for reporting and addressing corruption within educational institutions.</t>
  </si>
  <si>
    <t>Can individuals seek legal recourse if they believe their academic qualifications have been devalued due to widespread corruption within their institution?</t>
  </si>
  <si>
    <t>In the Philippines, seeking **direct legal compensation solely for the devaluation of academic qualifications** due to widespread corruption within an educational institution can be challenging. However, several legal avenues and considerations might be relevant depending on the specific circumstances:
**Challenges:**
* **Difficulty attributing harm:** Establishing a clear and direct link between the institution's corruption and the specific devaluation of your qualifications can be complex.
* **Limited legal recognition:** Philippine law primarily focuses on compensating for concrete and quantifiable damages like financial losses or physical harm. Devaluing academic qualifications, though potentially damaging to career prospects and reputation, might not be easily translated into compensable damages under current legal frameworks.
**Potential Avenues:**
* **Indirect legal remedies:** While direct compensation for reputational damage might be difficult, exploring other legal options could be relevant depending on the specific situation:
* **Breach of contract or fiduciary duty:** If the corruption demonstrably caused harm by violating specific agreements or duties owed to you (e.g., scholarship agreement or providing a quality education), you might pursue legal action for breach.
* **Tort claims:** If the corruption led to specific instances of discrimination, harassment, or other intentional acts causing harm to your reputation or career prospects, exploring tort claims like intentional infliction of emotional distress might be possible, but proving these elements can be challenging.
**Important Considerations:**
* **Evidence gathering:** Building a strong case with evidence linking the corruption to the devaluation of your qualifications and any resulting harm is crucial for any legal avenue.
* **Burden of proof:** The burden of proof lies with you to demonstrate the corruption, its impact on your qualifications, and the resulting harm to your career or reputation.
* **Complexity and costs:** Legal action can be time-consuming, expensive, and requires specialized legal expertise in education law and civil litigation.
**Alternative Approaches:**
* **Reporting corruption:** Reporting the corruption to DepEd/CHED, relevant agencies like the Office of the Ombudsman, or whistleblowing mechanisms can trigger investigations and potentially lead to accountability for the institution, potentially benefiting future students and protecting the value of their qualifications.
* **Advocacy efforts:** Engaging in advocacy efforts to raise awareness about educational corruption and push for reforms can contribute to systemic changes that prevent similar devaluation of qualifications in the future.
**Disclaimer:** This information is for general understanding and does not constitute legal advice. Consulting a lawyer specializing in education law or public interest litigation is crucial for a detailed assessment of your specific situation, potential legal options, and the likelihood of success in any legal action based on your unique circumstances and applicable laws. Remember, the success of any legal claim depends heavily on the specific facts and evidence supporting your case.</t>
  </si>
  <si>
    <t>How can individuals protect themselves legally if they are being pressured to engage in corrupt activities within an educational institution?</t>
  </si>
  <si>
    <t>## Protecting Yourself from Pressure to Engage in Corruption in Philippine Education (PH Law)
While facing pressure to engage in corrupt activities within an educational institution can be a difficult situation, several legal and non-legal measures can help protect yourself in the Philippines:
**1. Refuse to Participate:**
* **Assert your right to refuse:** You have the legal and ethical right to refuse to participate in any activity you believe to be corrupt, fraudulent, or unethical. * **Document the pressure:** Keep records of any instances where you are pressured, including dates, times, witnesses, and any specific instructions or requests made. This can be crucial for future evidence if needed.
**2. Report the Pressure:**
* **Internal reporting mechanisms:** Utilize the institution's established channels for reporting misconduct or unethical behavior. Look for hotlines, complaint forms, or designated officials to report the pressure you are facing.
* **External reporting agencies:** Report the pressure to relevant external agencies depending on the nature of the corruption. This may include:
* **DepEd or CHED:** Depending on the educational level, reporting to the relevant agency can trigger investigations and potential sanctions against individuals involved in pressuring you.
* **Civil Service Commission (CSC):** If the pressure involves public officials or employees, you can file a complaint with the CSC for investigation and possible disciplinary action.
* **Ombudsman's Office:** If the corruption involves high-ranking officials or complex schemes, consider filing a complaint with the Office of the Ombudsman.
**3. Seek legal assistance:**
* **Consult a lawyer:** Consulting a lawyer specializing in education law or public interest litigation can provide valuable guidance on your rights, legal options, and navigating the reporting process effectively.
**4. Consider non-legal measures:**
* **Gather support:** Seek support from trusted individuals like family, friends, or student organizations who can offer emotional support and potentially act as witnesses if needed.
* **Public awareness:** In extreme cases, consider raising awareness through anonymous online platforms or media outlets, but exercise caution and ensure the information is accurate and verifiable.
**5. Utilize legal protections:**
* **Whistleblower protection:** Philippine laws, like the Expanded Anti-Red Tape Act (RA 11032), offer some protection for whistleblowers who report illegal or unethical conduct. However, understanding the specific limitations and procedures for claiming these protections is crucial.
**Important Considerations:**
* **Evidence gathering:** Maintaining detailed records of the pressure you face, including dates, times, witnesses, and any specific requests or instructions, is crucial for any future actions or legal proceedings.
* **Confidentiality:** Balancing the need to report the pressure with protecting your own safety and anonymity can be challenging. Seek guidance from a lawyer or trusted individuals on navigating this aspect effectively.
* **Potential consequences:** Reporting corruption might lead to retaliation from those involved. Be prepared to utilize available legal protections and seek support systems to address any potential repercussions.
**Disclaimer:** This information is for general understanding and does not constitute legal advice. Consulting a lawyer specializing in education law or public interest litigation is crucial for specific situations and a detailed assessment of your legal options and the most effective course of action to protect yourself while upholding ethical conduct within the educational institution. Remember, navigating such situations can be complex, and seeking professional legal guidance is highly recommended.</t>
  </si>
  <si>
    <t>Are there any legal protections for students who face retaliation for reporting instances of corruption within their educational institution?</t>
  </si>
  <si>
    <t>Yes, there are **legal protections available in Philippine law for students who face retaliation for reporting instances of corruption within their educational institutions.** These protections come from various sources, including:
**Constitution:**
* **Article III, Section 1:** Guarantees the right to freedom of speech and expression, which protects students' right to report corruption without fear of reprisal.
* **Article III, Section 14:** Guarantees the right to education, which includes the right to a safe and healthy learning environment free from threats or retaliation for speaking up against wrongdoing.
**Republic Act No. 6735 (The Philippine Public Libraries Act):**
* While primarily focused on libraries, this Act emphasizes the **right to access information** and encourages reporting of irregularities or wrongdoing within government institutions, including educational institutions.
**Republic Act No. 9285 (The Anti-Discrimination Act of 1995):**
* Prohibits discrimination on various grounds, including "political or religious beliefs" and "whistle-blowing activities." This could potentially be applied to protect students facing retaliation for reporting corruption, though the specific interpretation might require legal guidance.
**Republic Act No. 11032 (Expanded Anti-Red Tape Act of 2018):**
* Section 14 protects whistleblowers, including public officials and employees, from retaliation for reporting illegal, irregular, or unethical conduct. While students might not fall under the exact definitions, this Act sets a broader precedent for protecting whistleblowers.
**Department of Education (DepEd) and Commission on Higher Education (CHED) Policies:**
* Both DepEd and CHED have policies and guidelines promoting ethical conduct and protecting individuals who report violations or wrongdoing within educational institutions. These policies outline complaint mechanisms and procedures for addressing retaliation complaints.
**Important Considerations:**
* **Gathering evidence:** Documenting the instances of retaliation, such as witness testimonies, emails, or recordings, is crucial for building a strong case.
* **Proper channels:** Reporting the retaliation through established channels within the institution or relevant government agencies is crucial for triggering investigations and potential disciplinary actions against those responsible.
* **Legal assistance:** Consulting a lawyer specializing in education law or public interest litigation can provide valuable guidance on navigating specific legal protections, filing complaints, and seeking redressal for retaliation.
**Disclaimer:** This information is for general understanding and does not constitute legal advice. The specific legal protections and their applicability to individual situations can vary depending on the circumstances and require detailed legal assessment. Consulting a lawyer is crucial for specific situations and effective utilization of legal protections against retaliation.</t>
  </si>
  <si>
    <t>Can individuals file complaints with accreditation bodies or professional associations regarding corruption in education?</t>
  </si>
  <si>
    <t>Yes, individuals **can potentially file complaints with accreditation bodies or professional associations** regarding corruption in education in the Philippines, based on relevant regulations and procedures. However, the specific avenues and success of such complaints depend on several factors:
**Accreditation Bodies:**
* **Accreditation Process:** Most accreditation bodies have established procedures for receiving and addressing complaints about institutions seeking or holding accreditation. These procedures usually involve presenting evidence of the alleged corruption and how it impacted the accreditation process or educational quality.
* **Relevance of Complaint:** The complaint should be directly related to the accreditation standards and processes of the specific body. For example, offering bribes to obtain accreditation or falsifying data would be relevant concerns, while issues like internal financial mismanagement might not directly fall under their purview.
* **Specific Bodies:** Each accreditation body has its own set of regulations and complaint procedures. Some prominent bodies include:
* **PAASCU:** Philippine Association of Colleges and Universities Commission on Accreditation
* **PACUCOA:** Philippine Accrediting Committee on Colleges and Universities for Overseas Filipinos
* **CHED:** Commission on Higher Education (has its own accreditation processes)
* **Potential Outcomes:** Depending on the investigation's outcome, the accreditation body might take various actions, including:
* Warning or reprimanding the institution.
* Imposing probationary status or suspending accreditation.
* Refusing to grant or revoking accreditation.
**Professional Associations:**
* **Code of Ethics:** Most professional associations have established codes of ethics for their members, which may address issues like unethical conduct or misconduct within their profession.
* **Relevance of Complaint:** The complaint should be directly related to the ethical code and how the alleged corruption violates it. For example, a teacher offering grades in exchange for favors would violate ethical codes, while issues unrelated to the profession might not be addressed.
* **Specific Associations:** Each association has its own code of ethics and complaint procedures. Consult the relevant association's website or contact them directly for specific information.
* **Potential Outcomes:** Depending on the investigation's outcome, the association might take various actions, including:
* Issuing a reprimand or censure.
* Suspending or expelling the member from the association.
* Reporting the misconduct to relevant authorities.
**Important Considerations:**
* **Evidence Gathering:** Strong evidence supporting your complaint, including documents, recordings, or witness testimonies, is crucial for its success.
* **Procedure and Timeline:** Follow the specific complaint procedures and timelines outlined by the chosen body or association.
* **Limited Scope:** These avenues might not address all forms of corruption or provide direct compensation for damages. They primarily focus on holding individuals or institutions accountable within the specific contexts of accreditation or professional conduct.
**Disclaimer:** This information is for general understanding and does not constitute legal advice. Consulting a lawyer specializing in education law or public interest litigation is crucial for specific situations and a detailed assessment of the most effective avenues for filing a complaint and its potential outcomes. Remember, the success of any complaint depends heavily on the specific facts, evidence, and procedures of the chosen body or association.</t>
  </si>
  <si>
    <t>How does corruption in education impact the integrity of academic research and publications, and are there legal remedies for affected parties?</t>
  </si>
  <si>
    <t>## Corruption's Impact on Research Integrity and Legal Remedies in PH
**Corruption in education can significantly impact the integrity of academic research and publications in the Philippines.** Here's how, and potential legal remedies:
**Impact of Corruption:**
* **Fabrication and plagiarism:** Bribery or pressure on researchers can lead to fabrication of data, plagiarism, or ghostwriting, compromising the quality and reliability of research.
* **Biased research:** Unethical funding or manipulation of research processes can create biased outcomes, hindering the pursuit of truth and knowledge.
* **Erosion of trust:** Public distrust in research findings can weaken the value of academic work and limit its impact on society.
* **Reduced funding:** Concerns about research integrity can lead to reduced funding for research, stifling innovation and progress.
**Legal Remedies:**
* **Contractual breaches:** If research agreements or collaborations are violated due to corrupt practices, legal action for breach of contract might be possible, requiring specific terms and demonstrable harm.
* **Intellectual property violations:** Plagiarism or copyright infringement can be pursued through intellectual property laws, but proving intentional and harmful actions might be complex.
* **Whistleblower protection:** Whistleblower laws offer protection for individuals reporting corrupt practices within research institutions, but navigating these procedures requires legal guidance.
* **Administrative complaints:** Complaints to DepEd, CHED, or other relevant agencies can trigger investigations and potential sanctions against institutions involved in corrupt practices.
* **Civil lawsuits:** In extreme cases, individuals directly harmed by fraudulent research (e.g., investors misled by fabricated data) might explore civil lawsuits, but proving causation and damages can be challenging.
**Challenges and Considerations:**
* **Proving corruption:** Gathering evidence and demonstrating the specific corrupt act and its connection to the research misconduct is crucial for any legal action.
* **Limited legal framework:** While laws exist, their application to specific cases can be complex, and specific legal remedies for research integrity breaches might be limited.
* **Costs and complexity:** Legal action can be expensive and time-consuming, requiring specialized legal expertise in intellectual property, research ethics, and civil litigation.
**Additional Options:**
* **Professional misconduct complaints:** Reporting research misconduct to relevant professional associations or ethics committees can lead to sanctions against researchers involved, impacting their careers and reputations.
* **Public advocacy:** Raising awareness through media or online platforms can pressure institutions to address research integrity issues and promote ethical practices.
* **Strengthening research ethics:** Supporting initiatives to strengthen research ethics education, promote transparency, and develop robust oversight mechanisms can contribute to long-term solutions.
**Disclaimer:** This information is for general understanding and does not constitute legal advice. Consulting a lawyer specializing in education law, intellectual property, or research ethics is crucial for specific situations and a detailed assessment of potential legal options and their limitations. Remember, the success of any legal action depends heavily on the specific facts and evidence supporting your case.</t>
  </si>
  <si>
    <t>Can individuals take legal action against educational institutions for fraudulent misrepresentation or false advertising related to their programs or services?</t>
  </si>
  <si>
    <t>Yes, individuals can potentially take legal action against educational institutions for fraudulent misrepresentation or false advertising related to their programs or services in the Philippines, based on various legal frameworks and considerations. Here's a breakdown:
**Potential Causes of Action:**
* **Breach of Contract:** If an individual enrolled based on promises made by the institution through advertising or program descriptions, and those promises were demonstrably false or misleading, they could argue a breach of contract. This requires a clear contract or agreement outlining the promised services and evidence of how the institution failed to deliver on those promises.
* **Deceptive Practices:** The Consumer Protection Act (Republic Act No. 7394) prohibits deceptive and unfair practices in trade and commerce, potentially applicable to misleading advertising by educational institutions. This could include false claims about accreditation, faculty expertise, or program outcomes.
* **Fraud:** If the institution intentionally deceived the individual with false information to induce enrollment, they could potentially argue fraud. This requires a higher burden of proof, demonstrating the institution's knowledge of the falsity, intent to deceive, and reliance on the misrepresentation by the individual leading to harm.
**Challenges and Considerations:**
* **Proving Deception:** Demonstrating that advertising was intentionally misleading or false, and that the individual relied on it to their detriment, can be challenging.
* **Causation:** Linking the false advertising to specific harm, such as financial loss or missed opportunities, is crucial for a successful claim.
* **Standing:** Establishing legal standing to sue, meaning you directly suffered harm due to the misrepresentation, might be necessary depending on the specific circumstances.
* **Costs and Complexity:** Legal action can be time-consuming, expensive, and requires expertise in education law and civil litigation.
**Additional Options:**
* **Internal Grievance Procedures:** Utilizing the institution's internal complaint mechanisms can be a starting point for seeking redressal and potentially avoiding legal action.
* **Reporting to DepEd/CHED:** Depending on the educational level, reporting concerns to DepEd or CHED can trigger investigations and potential sanctions against the institution if violations are found.
* **Alternative Dispute Resolution (ADR):** Exploring mediation or arbitration can offer faster and potentially less expensive resolutions compared to formal legal proceedings.
**Disclaimer:** This information is for general understanding and does not constitute legal advice. Consulting a lawyer specializing in education law is crucial for a detailed assessment of your specific situation, potential legal options, and the likelihood of success in any legal action based on your unique circumstances and applicable laws. Remember, the success of any legal claim depends heavily on the specific facts and evidence supporting your case.</t>
  </si>
  <si>
    <t>What legal avenues exist for students who believe they were unfairly disciplined or penalized as a result of corruption within their educational institution?</t>
  </si>
  <si>
    <t>## Legal Avenues for Students Unfairly Disciplined due to Corruption (PH Law)
If you believe you were unfairly disciplined or penalized due to corruption within your educational institution, several legal avenues exist in Philippine law, RA, and Constitutions to seek redress. While the specific course of action depends on the circumstances, here's an overview:
**1. Internal Grievance Procedures:**
* **Utilize the institution's internal grievance mechanisms:** This is often the first step, allowing you to present your case within the institution and potentially resolve the issue through internal processes. Consult the institution's student handbook or inquire about their grievance procedures.
**2. DepEd/CHED Complaints:**
* **File a complaint with DepEd or CHED:** Depending on your educational level (basic or higher), you can file a complaint with the Department of Education (DepEd) or the Commission on Higher Education (CHED). They have mechanisms to investigate complaints of unfair treatment, discrimination, or violations of due process within educational institutions.
**3. Legal Action:**
* **Consider legal action:** If internal mechanisms fail or you believe legal action is necessary, you can explore various options, including:
* **Civil lawsuit:** If corruption demonstrably caused harm (e.g., expulsion, missed scholarship), you might sue the institution or individuals involved for breach of contract, negligence, or intentional harm, depending on the specific circumstances. This requires strong evidence and legal expertise.
* **Writ of certiorari:** If the disciplinary action was based on a flawed process or violated your right to due process, you could file a writ of certiorari to challenge the decision. This requires legal expertise and navigation of court procedures.
* **Administrative complaint with the Ombudsman:** If the corruption involves public officials or employees, you can file a complaint with the Office of the Ombudsman for investigation and potential disciplinary action.
**Important Considerations:**
* **Evidence gathering:** Building a strong case with evidence linking the corruption to your unfair treatment is crucial for any legal avenue.
* **Burden of proof:** The burden of proof lies with you to demonstrate the corruption, its impact on your situation, and the resulting harm to you.
* **Complexity and costs:** Legal action can be time-consuming, expensive, and requires specialized legal expertise in education law and civil litigation.
* **Alternative dispute resolution (ADR):** Consider ADR mechanisms like mediation or arbitration, which can offer faster and potentially less expensive resolutions.
**Additional Tips:**
* **Seek legal assistance:** Consulting a lawyer specializing in education law is crucial for specific guidance and navigating the most effective legal options for your situation.
* **Support networks and advocacy groups:** Joining student organizations, parent associations, or NGOs working on educational equity can offer support and guidance.
* **Public awareness:** Raising awareness through media or online platforms can pressure the institution to address the issue and potentially encourage others to come forward.
**Remember:** While pursuing legal action can be complex, understanding your rights and exploring various avenues for redressal can empower you to seek justice and hold institutions accountable for unethical practices.
**Disclaimer:** This information is for general understanding and does not constitute legal advice. Consulting a lawyer specializing in education law is crucial for specific situations and a detailed assessment of your legal options.</t>
  </si>
  <si>
    <t>How do conflicts of interest laws apply to individuals serving in administrative or decision-making roles within educational institutions?</t>
  </si>
  <si>
    <t>Conflicts of interest regulations for individuals serving in administrative or decision-making roles within educational institutions in the Philippines are primarily addressed through a combination of:
**1. Executive Order No. 2, s. 2016:** This Executive Order establishes the **Freedom of Information (FOI) Program** and the **Code of Conduct for Public Officials** applicable to government agencies under the Executive Branch, including DepEd and CHED. The Code of Conduct mandates public officials to **avoid conflicts of interest** and disclose any potential conflicts that could arise due to their personal interests.
**2. Republic Act No. 6735 (The Philippine Public Libraries Act):** While primarily focused on libraries, this Act emphasizes the **right to access information** and mandates transparency in government institutions. This can be used to identify potential conflicts of interest based on public records and request further information through FOI requests.
**3. Republic Act No. 8791 (The Philippine Government Procurement Reform Act):** This Act outlines **ethical procurement practices** and prohibits officials from participating in transactions where they have a conflict of interest. While not directly applicable to all decision-making within institutions, it sets a precedent for ethical conduct in resource allocation and decision-making.
**4. Ethical Standards for Public Officials and Employees:** These are non-binding guidelines issued by the Civil Service Commission (CSC) that provide further guidance on ethical conduct and avoiding conflicts of interest. While not legally enforceable, they serve as a reference point for ethical decision-making.
**5. Internal Policies of Educational Institutions:** Many institutions have their own **internal policies and codes of conduct** that outline specific conflict of interest regulations and procedures for reporting and managing them. These policies should be consulted for their specific requirements and consequences of violating conflict of interest rules.
**Important Considerations:**
* **Defining Conflicts of Interest:** The specific definition of a conflict of interest can vary depending on the context and applicable guidelines. Generally, it refers to any situation where an individual's personal interests could influence their professional judgment or decision-making in a way that could benefit themselves or others unfairly and potentially harm the institution.
* **Disclosure and Management:** Public officials are required to disclose potential conflicts of interest to avoid engaging in them. Depending on the specific situation, these conflicts might be managed through recusal from certain decisions, divesting of conflicting interests, or seeking official guidance from superiors or relevant ethics committees.
* **Enforcement and Consequences:** Violations of conflict of interest regulations can have disciplinary consequences, ranging from reprimands to dismissal from employment, depending on the severity of the violation and the applicable regulations.
**Disclaimer:** This information is for general understanding and does not constitute legal advice. Consulting with a lawyer specializing in education law or public interest litigation is crucial for specific situations and guidance on interpreting and applying conflict of interest regulations effectively.</t>
  </si>
  <si>
    <t>Can individuals request public records or information related to investigations into corruption within educational institutions under freedom of information laws?</t>
  </si>
  <si>
    <t>## Yes, individuals can potentially request public records or information related to investigations into corruption within educational institutions under Philippine freedom of information laws, specifically:
**Executive Order No. 2, s. 2016:** This Executive Order establishes the Freedom of Information (FOI) Program covering all government offices under the Executive Branch, including DepEd and CHED. It mandates the disclosure of public records, including those related to investigations into corruption, **except for matters affecting national security and other information that falls under the inventory of exceptions**.
**Republic Act No. 9876 (The Official Secrets Act):** While this Act restricts access to certain classified information, Section 30 exempts from the secrecy provisions "investigations and inquiries conducted by the Ombudsman, the Commission on Audit, and other constitutionally created independent bodies." This means **information related to investigations by these agencies into educational institutions is generally accessible through FOI requests**.
**Republic Act No. 6735 (The Philippine Public Libraries Act):** This Act emphasizes the right of access to information and mandates government libraries to provide access to public records, which may include relevant reports on investigations related to educational institutions.
**Important Considerations:**
* **Procedure:** While FOI requests are encouraged, the specific procedure for requesting information from institutions might vary. Consulting the DepEd or CHED FOI manuals for proper procedures is advisable.
* **Exemptions:** Certain information related to ongoing investigations, personal data of individuals involved, and classified information might be exempt from disclosure under the FOI program or other laws.
* **Appeals process:** Individuals have the right to appeal if their FOI request is denied. The specific appeals process depends on the agency involved and relevant regulations.
**Additional Tips:**
* **Clearly identify the information you seek:** Be specific about the investigation or records you are requesting and the educational institution involved.
* **Cite relevant laws:** Mentioning the FOI program, relevant executive orders, and specific exemptions you believe may apply can strengthen your request.
* **Seek legal assistance:** If you encounter challenges or require further guidance, consulting a lawyer specializing in FOI or education law can be beneficial.
**Remember:** By actively utilizing FOI laws and pursuing transparency, individuals can contribute to holding educational institutions accountable and promoting a more ethical and equitable educational system in the Philippines.
**Disclaimer:** This information is for general understanding and does not constitute legal advice. Consulting a lawyer specializing in freedom of information law or education law is crucial for specific situations and guidance on navigating the FOI request process effectively.</t>
  </si>
  <si>
    <t>How can individuals advocate for legislative or policy changes to address systemic corruption within the education sector?</t>
  </si>
  <si>
    <t>Individuals can play a crucial role in advocating for legislative and policy changes to address systemic corruption within the Philippine education sector. Here are some ways they can do so, based solely on Philippine law, RA, and Constitutions:
**Individual Actions:**
* **Educate yourself:** Stay informed about the specific issues and forms of corruption within the education sector through research, reports, and news articles.
* **Raise awareness:** Discuss the issue with friends, family, and communities, highlighting the negative impacts of corruption on students and educational quality.
* **Engage with government representatives:** Contact your local representatives, senators, and other relevant officials to express your concerns and urge them to support anti-corruption legislation and policies.
* **Organize and participate in demonstrations and rallies:** Collective action can draw attention to the issue and pressure policymakers to take action.
* **Utilize social media and online platforms:** Share information, engage in discussions, and mobilize support for anti-corruption initiatives through social media and online communities.
**Collaborative Efforts:**
* **Join or support advocacy groups:** Several NGOs and civil society organizations work on education reform and anti-corruption. Joining or supporting their efforts can amplify your voice and contribute to their initiatives.
* **Petition campaigns:** Organize or participate in online or offline petition campaigns demanding legislative changes or policy reforms to address specific aspects of educational corruption.
* **Public forums and dialogues:** Organize or participate in public forums and dialogues with policymakers, educators, and other stakeholders to discuss solutions and advocate for change.
* **Submit proposals and recommendations:** Prepare and submit well-researched proposals and recommendations to relevant government agencies, legislative committees, or education reform commissions.
**Legal Framework:**
* **Philippine Constitution:** Article III, Section 14 guarantees the right to education and mandates the State to promote quality education accessible to all. This provides a legal basis for advocating for legislative and policy changes aimed at eliminating corruption that hinders these rights.
* **Republic Act No. 9155 (Governance of Basic Education Act):** Establishes mechanisms for accountability and transparency in basic education institutions, but further reforms might be needed to address systemic issues.
* **Republic Act No. 7722 (Technical Education and Skills Development Act of 1994):** Similar provisions for higher education institutions.
**Additional Tips:**
* **Focus on specific issues:** Choose specific aspects of educational corruption to focus on, such as fraudulent admissions practices, ghost teachers, or misappropriation of funds. This makes your advocacy more targeted and impactful.
* **Highlight positive solutions:** Alongside criticizing the problems, propose concrete solutions and policy recommendations backed by evidence and research.
* **Build partnerships:** Collaborate with other stakeholders, such as student organizations, parent associations, and education professionals, to create a broader movement for change.
* **Be persistent and patient:** Change takes time and effort. Remain persistent in your advocacy and celebrate small victories along the way.
**Remember:** By actively engaging in advocacy efforts and utilizing the legal framework, individuals can contribute to creating a more ethical and transparent educational system in the Philippines.
**Disclaimer:** This information is for general understanding and does not constitute legal advice. Consulting with relevant organizations or lawyers specializing in education law or public interest litigation is crucial for specific guidance and effective advocacy strategies.</t>
  </si>
  <si>
    <t>What legal protections exist for students who have suffered emotional or psychological harm due to corruption within their educational institution?</t>
  </si>
  <si>
    <t>## Legal Protections for Students Harmed by Corruption in Philippine Educational Institutions
While **obtaining direct legal compensation for emotional or psychological harm** solely due to educational institution corruption can be challenging, several legal frameworks and avenues offer potential protection for students in the Philippines. Here's an overview based solely on Philippine law, RA, and Constitutions:
**Direct Legal Remedies:**
* **Limited applicability:** As mentioned previously, Philippine law primarily focuses on compensating for concrete and quantifiable damages like financial losses or physical harm. Emotional or psychological harm, though real, can be difficult to translate into compensable damages.
* **Exceptions and potential approaches:** Exploring options like:
* **Breach of contract or fiduciary duty:** If the corruption demonstrably caused emotional harm by violating specific agreements or duties owed to you (e.g., scholarship agreement or safe learning environment), you might pursue legal action for breach.
* **Tort claims:** If the corruption led to specific instances of harassment, discrimination, or other intentional acts causing harm, exploring tort claims like intentional infliction of emotional distress might be possible.
**Remember:** These options require strong evidence linking the corruption to the specific harm you suffered and demonstrating the severity of the impact. Consulting a lawyer specializing in education law is crucial to assess the feasibility of these approaches.
**Indirect Protections and Support:**
* **Reporting mechanisms:** Utilize existing reporting mechanisms within the institution, DepEd/CHED, or relevant agencies like the Office of the Ombudsman to report the corruption and seek accountability.
* **Access to mental health support:** Explore options like school counseling services, government mental health programs, or private therapy to address the emotional/psychological harm caused.
* **Advocacy groups and support networks:** Several NGOs and advocacy groups work on educational equity and anti-corruption. They can provide support, guidance, and potential legal assistance in specific cases.
**Relevant Legal Frameworks:**
* **Constitution of the Philippines:**
* Article III, Section 1 guarantees the right to life, liberty, and security, potentially violated by harmful practices arising from corruption.
* Article III, Section 14 guarantees the right to education, which includes the right to a safe and healthy learning environment.
* **Republic Act No. 9155 (Governance of Basic Education Act):** Establishes mechanisms for safe and inclusive learning environments in basic education.
* **Republic Act No. 7722 (Technical Education and Skills Development Act of 1994):** Similar provisions for higher education institutions.
* **Republic Act No. 11036 (Mental Health Act):** Guarantees basic rights for individuals needing mental health services, potentially relevant for students seeking support due to emotional or psychological harm.
**Important Note:**
* **Addressing the root cause:** While seeking legal remedies or support is important, focusing on addressing the root cause of the corruption is crucial for long-term protection and systemic change. Joining advocacy efforts, holding institutions accountable, and pushing for reforms can contribute to a safer and more ethical educational environment for all.
**Disclaimer:** This information is for general understanding and does not constitute legal advice. Consulting a lawyer specializing in education law or mental health law is vital for specific situations and legal options. They can provide tailored advice based on your specific circumstances and relevant legal frameworks.</t>
  </si>
  <si>
    <t>Can individuals seek compensation for reputational damage resulting from their association with a corrupt educational institution?</t>
  </si>
  <si>
    <t>Unfortunately, **seeking compensation solely for reputational damage resulting from association with a corrupt educational institution is challenging under current Philippine law, RAs, and Constitutions.** While emotional distress or damage to reputation can be real in such situations, obtaining legal compensation solely on those grounds presents significant hurdles.
Here's why:
**Challenges:**
* **Difficulty attributing harm:** Establishing a clear and direct link between the institution's corruption and your specific reputational damage is crucial. You need demonstrable evidence that the specific corruption led to a negative impact on your reputation, distinct from other factors.
* **Limited legal recognition:** Philippine laws primarily focus on compensating for concrete and quantifiable damages, such as financial losses or physical harm. Intangible harm like reputational damage is generally less recognized for compensation, making it difficult to build a strong case.
* **Burden of proof:** The burden rests on you to prove both the corruption and the resulting damage to your reputation. This can be challenging, requiring substantial evidence and legal expertise.
* **Alternative avenues:** While direct compensation for reputational damage might be difficult, exploring other legal avenues could be more feasible depending on the specific circumstances. These include:
* **Seeking legal action against the institution for breach of contract or fiduciary duty, if demonstrably linked to the corruption and causing you harm.**
* **Reporting the corruption to relevant authorities and pursuing disciplinary action against individuals involved, potentially leading to accountability and deterrence.**
* **Engaging in public advocacy to raise awareness about the issue and pressure the institution for reform, which might indirectly improve your reputation.**
**Crucial Note:**
* **Consulting a lawyer specializing in education law or civil litigation is crucial for a thorough assessment of your situation and potential legal options.** They can advise you on the feasibility of pursuing compensation and the most effective strategies for addressing your concerns within the legal framework.
Remember, while obtaining compensation for solely reputational damage might be challenging, exploring alternative legal avenues and pursuing accountability for the corrupt practices can pave the way for positive change and protect others from similar experiences.</t>
  </si>
  <si>
    <t>How do international treaties or agreements address cross-border corruption in education, and what legal mechanisms are available for enforcement?</t>
  </si>
  <si>
    <t>## International Treaties and Mechanisms for Cross-Border Education Corruption (PH Perspective)
While Philippine law, RA, and Constitutions primarily govern domestic legal mechanisms, several international treaties and agreements address cross-border corruption in education, offering potential avenues for addressing such issues. However, it's crucial to remember that **enforcement can be complex and involves navigating international legal frameworks.**
**Relevant International Agreements:**
* **United Nations Convention against Corruption (UNCAC):**
* This widely ratified convention criminalizes various corrupt acts, including bribery, embezzlement, and trading in influence, applicable to cross-border educational activities.
* It requires states to establish mechanisms for international cooperation, including information exchange, mutual legal assistance, and extradition.
* The Philippines is a signatory to the UNCAC and has implemented relevant provisions through domestic legislation like Republic Act No. 9579 (Anti-Money Laundering Act).
* **UNESCO Convention against Discrimination in Education:**
* This convention promotes equal access to education and prohibits discrimination, including on grounds related to corruption.
* It encourages international cooperation in combating educational discrimination through information exchange and technical assistance.
* The Philippines is also a signatory to this convention, further solidifying its commitment to fair educational opportunities.
* **OECD Guidelines for Quality Provision in Cross-Border Higher Education:**
* These non-binding guidelines set standards for quality assurance and transparency in cross-border higher education, aiming to prevent fraudulent practices and promote ethical conduct.
* While not legally binding, they offer a framework for assessing and addressing quality concerns potentially linked to corruption.
**Enforcement Mechanisms:**
* **State-to-State Cooperation:** Countries can utilize the UNCAC's framework for international cooperation to investigate and prosecute cross-border corruption in education. This might involve information exchange, joint investigations, or extradition requests depending on the specific case and applicable treaties.
* **Civil Society Organizations (CSOs):** NGOs and advocacy groups can play a crucial role in monitoring, exposing, and advocating against cross-border educational corruption. They can utilize international reporting mechanisms offered by the UNCAC and other relevant bodies.
* **Individual Legal Action:** While less common, individuals potentially affected by cross-border educational corruption might explore legal options in the relevant foreign jurisdiction with the assistance of international lawyers and legal aid organizations.
**Challenges and Considerations:**
* **Complexity of international legal systems:** Navigating different jurisdictions and legal frameworks can be challenging, requiring specialized expertise.
* **Limited enforcement mechanisms:** While treaties may encourage cooperation, effective enforcement often relies on political will and cooperation between states, which can be complex.
* **Limited individual access:** Individuals might face difficulties accessing legal remedies in foreign jurisdictions and navigating complex international legal procedures.
**Conclusion:**
International treaties and agreements provide a framework for addressing cross-border educational corruption, but enforcement can be complex and requires strategic navigation of international legal systems. While domestic legal options within the Philippines are crucial, understanding these international instruments and mechanisms can contribute to a more comprehensive approach to combating such practices.
**Disclaimer:** This information is for general understanding and does not constitute legal advice. Consulting with lawyers specializing in international law or education law is crucial for specific situations and potential legal actions.</t>
  </si>
  <si>
    <t>Can individuals pursue legal action against educational institutions for breach of contract or breach of fiduciary duty related to corruption?</t>
  </si>
  <si>
    <t>## Potential Legal Options for Breach of Contract or Fiduciary Duty in Education Corruption (PH Law)
**Individuals may have potential legal grounds to pursue action against educational institutions for breach of contract or breach of fiduciary duty related to corruption in the Philippines**, based solely on Philippine law, RA, and Constitutions. However, the success depends heavily on the specific circumstances, proving the claims, and navigating the legal landscape strategically.
**Potential Avenues:**
* **Breach of Contract:** You could argue a breach of contract if the institution failed to deliver the promised education due to corruption, violating any contractual terms related to:
* **Admission agreements:** If the institution engaged in corrupt practices during admissions, denying you a promised place despite fulfilling requirements.
* **Scholarship agreements:** If scholarships were awarded unfairly due to corruption, breaching the terms of the scholarship agreement you qualified for.
* **Student handbooks or policies:** If the institution's policies regarding academic integrity or fair treatment were violated due to corrupt practices.
* **Breach of Fiduciary Duty:** If the institution holds a fiduciary duty towards you (e.g., a scholarship grantor), you could argue a breach if they acted in their own interest or for the benefit of others through corrupt practices, causing harm to your educational opportunities.
**Challenges:**
* **Proving causation:** Demonstrating a clear link between the specific corrupt act and the breach of contract or fiduciary duty is crucial. You need strong evidence connecting the corruption to your situation.
* **Specific terms of agreements:** The success of contract claims depends on the specific wording and terms of any agreements you have with the institution.
* **Burden of proof:** The burden of proof lies with you to demonstrate all elements of your claim, including the corruption, its impact on the contract/fiduciary duty, and the resulting harm to you.
* **Complexity and costs:** Legal action can be time-consuming, expensive, and requires specialized legal expertise in education law and civil litigation.
**Additional Considerations:**
* **Internal grievance procedures:** Before pursuing legal action, consider utilizing the institution's internal grievance procedures to exhaust all internal remedies.
* **Alternative dispute resolution (ADR):** Consider ADR mechanisms like mediation or arbitration, which can offer faster and potentially less expensive resolutions.
* **Public advocacy:** Raising awareness through media or online platforms can pressure the institution to address the issue and potentially encourage others to come forward.
**Legal Framework:**
* **Constitution of the Philippines:** Article III, Section 14 guarantees the right to education and Article III, Section 7 guarantees the right to due process, potentially violated by unfair practices due to corruption.
* **Civil Code of the Philippines:** Offers provisions for breach of contract, damages, and breach of fiduciary duty, which might be relevant depending on the specific circumstances.
* **Republic Act No. 9155 (Governance of Basic Education Act):** Establishes mechanisms for accountability and transparency in basic education institutions.
* **Republic Act No. 7722 (Technical Education and Skills Development Act of 1994):** Provides similar provisions for higher education institutions.
**Disclaimer:** This information is for general understanding and should not be considered legal advice. Consulting a lawyer specializing in education law is crucial for a detailed assessment of your specific situation, potential legal options, and the likelihood of success. They can advise you on the best approach based on the evidence and applicable laws and regulations.
Remember, pursuing legal action is a complex decision, and seeking professional legal guidance is vital before proceeding.</t>
  </si>
  <si>
    <t>How do civil rights laws intersect with cases involving corruption in education, particularly regarding issues of discrimination or unequal access to educational opportunities?</t>
  </si>
  <si>
    <t>In the Philippines, civil rights laws significantly intersect with cases involving corruption in education, particularly regarding issues of discrimination and unequal access to educational opportunities. Here's how, based solely on Philippine law, RA, and Constitutions:
**Key Civil Rights Laws:**
* **Constitution of the Philippines:**
* **Article III, Section 1:** Guarantees equal protection of the law, prohibiting discrimination based on any arbitrary ground.
* **Article XIV, Section 1:** Recognizes the right to education and mandates the State to promote quality education accessible to all.
* **Article XIV, Section 2:** Prohibits any form of discrimination in educational institutions.
* **Republic Act No. 9155 (Governance of Basic Education Act):** Upholds the right to inclusive education and prohibits discrimination in basic education institutions.
* **Republic Act No. 7877 (Anti-Discrimination Act):** Prohibits discrimination on various grounds, including in access to education.
**Intersection with Corruption:**
* **Corruption can create discriminatory practices:** For example, bribes or favoritism in admissions processes can disadvantage qualified students from disadvantaged backgrounds, violating their equal protection rights.
* **Misallocation of funds due to corruption can lead to unequal access:** If resources are diverted through corrupt practices, schools in marginalized areas might lack facilities or qualified teachers, perpetuating unequal opportunities.
* **False grades or manipulated records due to corruption can unfairly disadvantage students:** This directly affects their academic standing and access to higher education or scholarships, violating their right to fair treatment and equal opportunity.
**Filing Complaints:**
* **Individuals can file complaints with various bodies:**
* **Commission on Human Rights (CHR):** Investigates complaints of discrimination based on the Anti-Discrimination Act.
* **Department of Education (DepEd) or Commission on Higher Education (CHED):** Handle complaints related to access and inclusivity in their respective sectors.
* **Office of the Ombudsman:** Investigates complaints of misconduct by public officials, including those involved in educational institutions.
**Challenges and Considerations:**
* **Proving discrimination:** Demonstrating a direct link between the corrupt practice and discriminatory outcomes can be challenging.
* **Complex legal processes:** Pursuing legal remedies might be time-consuming and require legal expertise.
* **Need for evidence:** Strong evidence, such as documents, witnesses, or data, is crucial to support your claims.
**Importance of Advocacy:**
* **Raising awareness:** Public awareness campaigns can pressure authorities to address corruption and uphold equal access to education.
* **Supporting advocacy groups:** Joining or supporting NGOs working on educational equity and anti-corruption can amplify your voice and efforts.
**Remember:**
* Civil rights laws offer legal avenues to challenge discriminatory practices in education linked to corruption.
* Gathering evidence, seeking legal guidance, and collaborating with advocacy groups can strengthen your case.
* By holding institutions accountable and advocating for transparency, individuals can contribute to creating a more equitable and just educational system in the Philippines.
**Disclaimer:** This information is for general understanding and does not constitute legal advice. Consulting a lawyer specializing in education law, human rights, or anti-discrimination is crucial for specific guidance and legal action in your case.</t>
  </si>
  <si>
    <t>Can individuals file complaints with professional licensing boards against educators or administrators involved in corrupt practices?</t>
  </si>
  <si>
    <t>Yes, in the Philippines, individuals can potentially file complaints with professional licensing boards against educators or administrators involved in corrupt practices, based solely on Philippine law, RA, and Constitutions. However, the specific process and likelihood of success depend on the nature of the corrupt practice and the applicable licensing board.
**Eligibility for Filing Complaints:**
* **Licensing Board Jurisdiction:** The educator or administrator must be licensed under a specific board with jurisdiction over their profession. Examples include:
* **Professional Regulation Commission (PRC):** Covers teachers, school administrators, and other education professionals.
* **Board of Nursing:** Governs nurses and midwives.
* **Professional Regulatory Board of Medicine:** Oversees doctors and other medical professionals.
* **Complaint Grounds:** The corrupt practice must fall under the board's grounds for disciplinary action, which commonly include:
* **Dishonesty, fraud, or deceit.**
* **Unethical conduct or professional misconduct.**
* **Gross negligence or incompetence.**
* **Violation of relevant laws or regulations.**
**Filing Process:**
Each licensing board has its own specific procedures for filing complaints. Generally, you'll need to submit a written complaint with supporting evidence, such as:
* Detailed description of the alleged misconduct.
* Witness testimonies (if applicable).
* Documents or recordings corroborating the allegations.
**Important Considerations:**
* **Evidence Gathering:** Building a strong case with concrete evidence is crucial for the board to investigate your complaint seriously.
* **Legal Assistance:** Consulting a lawyer specializing in administrative law or the specific profession involved might be helpful to navigate the process and maximize your chances of success.
* **Confidentiality:** Boards typically maintain confidentiality during investigations, but individual details might be revealed during hearings or disciplinary proceedings.
* **Alternative Avenues:** Depending on the situation, you might also consider reporting the issue to the institution's internal governance bodies or relevant government agencies like the Department of Education (DepEd) or Commission on Higher Education (CHED).
**Legal Framework:**
* **Constitution of the Philippines:** Article III, Section 1 guarantees the right to due process, which applies to investigations and disciplinary proceedings by licensing boards.
* **Republic Act No. 8423 (Professional Regulation Commission Act):** Establishes the PRC and its authority over various professions, outlining disciplinary procedures.
* **Republic Act No. 7722 (Technical Education and Skills Development Act of 1994):** Grants similar powers to the CHED regarding higher education professionals.
* **Republic Act No. 9155 (Governance of Basic Education Act):** Sets standards for accountability and transparency in basic education institutions.
**Disclaimer:** This information is for general understanding and should not be considered legal advice. Consulting a lawyer with expertise in administrative law or the specific profession involved is crucial for a detailed assessment of your situation and the most effective course of action.</t>
  </si>
  <si>
    <t>How can individuals advocate for transparency and accountability within educational institutions to prevent future instances of corruption?</t>
  </si>
  <si>
    <t>Individuals can play a crucial role in promoting transparency and accountability within educational institutions in the Philippines, based solely on Philippine law, RA, and Constitutions. Here are some ways they can advocate for change:
**Individual Actions:**
* **Request information:** Utilize your right to access information guaranteed by the Constitution (Article III, Section 7) to request data on budgets, procurement processes, faculty qualifications, and student performance.
* **Participate in school governance:** Actively engage in school governance bodies like student councils, parent associations, or academic committees, raising concerns and demanding transparency in decision-making processes.
* **Report suspected corruption:** File complaints with relevant authorities like the Department of Education (DepEd), Commission on Higher Education (CHED), or Office of the Ombudsman if you suspect corrupt practices. 
* **Utilize grievance mechanisms:** Effectively utilize the institution's internal grievance procedures to address concerns and seek redressal for unfair practices.
* **Stay informed:** Follow news and reports on education-related corruption, raising awareness through discussions with peers, family, and communities.
**Collective Actions:**
* **Join advocacy groups:** Partner with student organizations, parent associations, alumni networks, or NGOs working for transparency and accountability in education.
* **Organize campaigns and petitions:** Collectively advocate for policy changes that promote transparency, such as public disclosure of financial reports, faculty selection processes, and student performance data.
* **Use social media and online platforms:** Share information, raise awareness, and mobilize public support for anti-corruption initiatives in education.
* **Hold institutions accountable:** Monitor the responses of authorities to complaints and hold them accountable for taking effective action against corruption.
**Legal Resources:**
* **Freedom of Information (FOI) requests:** Utilize the FOI portal or submit requests directly to institutions to access relevant information.
* **DepEd and CHED hotlines and complaint mechanisms:** Report concerns and file complaints through established channels within these government agencies.
* **Legal assistance from NGOs:** Some NGOs offer legal aid or guidance to individuals facing issues related to educational corruption.
**Important Notes:**
* Advocating for change can be challenging, but collective action and perseverance are crucial.
* Always document your actions and communications, keeping records of requests, complaints, and responses from authorities.
* Be aware of potential risks and seek support from others if needed.
* Consider consulting with lawyers specializing in education law or public interest litigation for specific guidance.
**Remember:** By actively advocating for transparency and accountability, individuals can contribute to creating a more ethical and fair educational environment in the Philippines.
**Disclaimer:** This information is for general understanding and does not constitute legal advice. It is crucial to consult with relevant authorities or seek professional guidance for specific situations and legal actions.</t>
  </si>
  <si>
    <t>Can individuals seek legal remedies if they believe their academic achievements were unfairly diminished due to corruption within their educational institution?</t>
  </si>
  <si>
    <t>## Potential Legal Remedies for Unfairly Diminished Academic Achievements due to Corruption (PH Law)
**Yes, individuals may potentially pursue legal remedies if they believe their academic achievements were unfairly diminished due to corruption within their educational institution**, based solely on Philippine law, RA, and Constitutions. However, the success depends heavily on proving all elements of your claim and navigating the legal landscape strategically.
**Potential Avenues:**
* **Administrative complaint:**
* File a complaint with the Department of Education (DepEd) or the Commission on Higher Education (CHED), depending on your educational level. They have the authority to investigate and impose sanctions, including revoking accreditation or disciplining individuals involved in corruption.
* You may also consider filing a complaint with the Office of the Ombudsman if the corruption involves public officials or employees.
* **Civil lawsuit:**
* If you can demonstrate that the corruption directly caused you harm (e.g., failed grades, missed scholarship opportunities), you might sue the institution or individuals involved, alleging:
* Breach of contract: If the institution failed to provide the promised education due to corruption.
* Negligence or intentional harm: If the corruption demonstrably led to unfair treatment or diminished your academic achievements.
* Unjust enrichment: If the institution or individuals profited from the corruption at your expense.
**Challenges:**
* **Proving causation:** Demonstrating a clear connection between the specific corrupt act and your diminished achievements is crucial. You need strong evidence linking the corruption to your situation.
* **Evidence gathering:** Gathering evidence of both the corruption and its impact on your achievements is essential. This might involve academic records, communication with the institution, expert opinions, and documentation of your potential losses.
* **Burden of proof:** The burden of proof lies with you to demonstrate all elements of your claim, including the corruption, its impact, and the resulting harm to you.
* **Complexity and costs:** Legal action can be time-consuming, expensive, and require specialized legal expertise in education law and civil litigation.
**Additional Considerations:**
* **Internal grievance procedures:** Before pursuing legal action, consider utilizing the institution's internal grievance procedures to exhaust all internal remedies.
* **Alternative dispute resolution (ADR):** Consider ADR mechanisms like mediation or arbitration, which can offer faster and potentially less expensive resolutions.
* **Public advocacy:** Raising awareness through media or online platforms can pressure the institution to address the issue and potentially encourage others to come forward.
**Legal Framework:**
* **Constitution of the Philippines:** Article III, Section 14 guarantees the right to education, potentially violated by unfair practices due to corruption.
* **Republic Act No. 9155 (Governance of Basic Education Act):** Establishes mechanisms for accountability and transparency in basic education institutions.
* **Republic Act No. 7722 (Technical Education and Skills Development Act of 1994):** Provides similar provisions for higher education institutions.
* **Civil Code of the Philippines:** Offers provisions for breach of contract, damages, and unjust enrichment, which might be relevant depending on the specific circumstances.
**Disclaimer:** This information is for general understanding and should not be considered legal advice. Consulting a lawyer specializing in education law is crucial for a detailed assessment of your specific situation and potential legal options. They can advise you on the best approach based on the evidence and the applicable laws and regulations.</t>
  </si>
  <si>
    <t>What role do non-governmental organizations or advocacy groups play in supporting individuals affected by corruption in education, and are there legal resources available through these organizations?</t>
  </si>
  <si>
    <t>In the Philippines, non-governmental organizations (NGOs) and advocacy groups play a crucial role in supporting individuals affected by corruption in education, based solely on Philippine law, RA, and Constitutions. Here's how they can help:
**Roles of NGOs and Advocacy Groups:**
* **Providing legal aid and assistance:** Some NGOs offer legal assistance to individuals facing educational corruption, connecting them with lawyers or providing legal guidance within their expertise.
* **Gathering evidence and reporting corruption:** They can help individuals gather evidence of corruption and file complaints with relevant authorities, such as the Department of Education (DepEd) or the Office of the Ombudsman.
* **Raising awareness and advocating for reform:** These organizations raise public awareness about corruption in education through campaigns, media outreach, and policy advocacy, putting pressure on government institutions to address the issue.
* **Empowering communities and individuals:** NGOs and advocacy groups provide educational resources and training to empower communities and individuals to understand their rights and fight against corruption effectively.
**Legal Resources Offered:**
* **Legal hotlines and consultations:** Some NGOs offer hotlines or consultation services where individuals can discuss their concerns and receive legal advice or guidance on appropriate actions.
* **Pro bono legal assistance:** Certain organizations partner with lawyers who provide pro bono legal services to individuals facing specific education-related corruption cases.
* **Litigation support and representation:** In complex cases, some NGOs might offer litigation support or even representation in court proceedings related to educational corruption.
* **Information and resource materials:** Many organizations provide educational materials on Philippine laws and regulations related to education, anti-corruption measures, and available legal remedies.
**Examples of NGOs and Advocacy Groups:**
* Philippine Network for Education (PhilNet)
* Philippine Action for Teachers’ Rights (PATR)
* Transparency International - Philippines (TI-PH)
* Basic Education Coalition (BEC)
* Philippine Alliance of Human Rights Advocates (PAHRA)
**Important Notes:**
* The availability of legal resources and the level of support offered by different NGOs vary. It's crucial to research and contact specific organizations to understand their services and eligibility criteria.
* While some NGOs offer legal assistance, it's not guaranteed in every case. Consulting a lawyer specializing in education law or administrative law is recommended for tailored advice and navigating specific legal complexities.
* Engaging with NGOs and advocacy groups can be a valuable starting point for individuals facing educational corruption, providing support, information, and potential legal avenues for seeking justice.
**Disclaimer:** This information is for general understanding and does not constitute legal advice. It's crucial to consult with a lawyer or relevant NGO for specific situations and legal resources.</t>
  </si>
  <si>
    <t>What legal actions can individuals take if they suspect corruption within the healthcare system is affecting their treatment?</t>
  </si>
  <si>
    <t>While you **cannot directly sue for "suspected corruption"**, several legal avenues exist in the Philippines to address potential corruption within the healthcare system affecting your treatment, based solely on Philippine law, RA, and Constitutions:
**1. Reporting to Regulatory Agencies:**
* **Department of Health (DOH):** File a complaint through their online portal or regional offices, detailing the specific concerns and suspected corruption.
* **Professional Regulation Commission (PRC):** If the suspected corruption involves a specific healthcare professional, file a complaint with the PRC against their license.
* **Office of the Ombudsman:** Investigate complaints against public officials and employees suspected of corruption, including within public healthcare institutions.
**2. Seeking Legal Action:**
* **Civil lawsuit:** If you experience **harm or inadequate care demonstrably linked to the suspected corruption**, you might consider a civil lawsuit against the healthcare institution or individuals involved. This requires strong evidence and legal expertise.
* **Administrative complaint:** While not direct legal action, filing an administrative complaint with the DOH, PRC, or other relevant bodies can initiate investigations and potential sanctions, holding them accountable even without direct financial compensation for you.
**3. Public Advocacy:**
* **Media exposure:** Share your story through media outlets or online platforms to raise awareness about the suspected corruption, potentially pressuring authorities for action and influencing policy changes.
* **Support groups or NGOs:** Connect with organizations advocating for healthcare transparency and accountability. They can offer guidance, support, and collective action opportunities.
**4. Evidence Gathering:**
* **Collect documentation:** Keep copies of medical records, bills, communication with the institution, and any evidence supporting your concerns about potential corruption.
* **Seek witness testimonies:** If anyone witnessed suspicious behavior or interactions, document their testimonies and contact information.
* **Expert opinions:** Depending on the situation, consider seeking opinions from medical professionals or legal experts to interpret your records or support your claims.
**Remember:**
* **Focus on facts and evidence:** Avoid speculation or emotional outbursts in your reports or advocacy efforts. Stick to factual observations and concrete evidence.
* **Choose the most appropriate avenue:** Consider the specific circumstances and potential outcomes before pursuing an option.
* **Seek legal advice:** Consulting a lawyer specializing in healthcare law or administrative law is crucial for understanding your rights, navigating the legal processes, and maximizing your chances of success.
**Disclaimer:** This information is for general understanding and should not be considered legal advice. Consulting a lawyer for your specific situation is crucial.</t>
  </si>
  <si>
    <t>Are there specific laws or regulations that address corruption within the healthcare industry?</t>
  </si>
  <si>
    <t>While individuals cannot directly sue for "suspect" corruption, various legal actions can be taken in the Philippines if you believe corrupt practices are affecting your healthcare treatment, based solely on Philippine law, RA, and Constitutions:
**1. Reporting Suspected Corruption:**
* **File complaints with regulatory bodies:**
* **Department of Health (DOH):** Report suspected corruption related to hospitals, clinics, and healthcare professionals under their jurisdiction.
* **Professional Regulation Commission (PRC):** If you suspect unethical conduct by a licensed healthcare professional linked to potential corruption, file a complaint.
* **Office of the Ombudsman:** Report suspected corruption involving public healthcare institutions or officials.
* **Report anonymously:** Some agencies, like the DOH, offer anonymous reporting options.
**2. Seeking Information and Clarification:**
* **Request medical records:** Access your complete medical records to understand the diagnosis, treatment plan, and any potential inconsistencies.
* **Seek clarification from healthcare providers:** Ask questions about your treatment options, costs, and any concerns you have regarding potential irregularities.
**3. Pursuing Legal Action (if applicable):**
* **Civil lawsuit for harm:** If you can prove the suspected corruption directly caused harm or inadequate care, consider a civil lawsuit against the healthcare provider or institution. This requires strong evidence and legal expertise.
* **Administrative complaints:** Even without concrete proof of harm, filing administrative complaints can trigger investigations and hold institutions accountable.
**4. Public Advocacy and Awareness:**
* **Share your story:** Raise awareness by sharing your experience through media or online platforms to put pressure on authorities and encourage others to come forward.
* **Support advocacy groups:** Join or contribute to organizations working against healthcare corruption to advocate for policy changes and systemic reforms.
**Important Points:**
* Gathering evidence like medical records, communication records, and witness testimonies is crucial for any legal action.
* Consulting a lawyer specializing in healthcare law is highly recommended for legal advice and navigating the complexities of specific cases.
* Remember, legal action can be lengthy and expensive, so assess the potential benefits and risks before proceeding.
**Remember:** This information is for general understanding and should not be considered legal advice. Consult a lawyer for personalized guidance and understanding your specific situation and legal options.</t>
  </si>
  <si>
    <t>Can individuals sue healthcare providers or institutions for engaging in corrupt practices that resulted in harm or inadequate care?</t>
  </si>
  <si>
    <t>## Legal Options for Harm from Corrupt Healthcare Practices in the Philippines (RA, Constitutions)
**Individuals can potentially sue healthcare providers or institutions for engaging in corrupt practices that resulted in harm or inadequate care in the Philippines**, based solely on Philippine law, RA, and Constitutions. However, the success depends heavily on several factors and navigating the legal landscape strategically.
**Potential Avenues:**
* **Civil lawsuit:** You could file a civil lawsuit against the healthcare institution or individuals involved in the corruption, alleging:
* **Violation of constitutional rights:** Article III, Section 15 guarantees the right to health, potentially violated due to inadequate care caused by corruption.
* **Breach of contract:** If the institution was obligated to provide specific services and failed to do so due to corruption, you might have grounds for a breach of contract claim.
* **Negligence or intentional harm:** Depending on the specific situation, you could argue negligence or intentional harm on the part of the healthcare provider or individuals involved in the corruption, leading to your harm.
**Challenges:**
* **Proving causation:** Demonstrating a clear connection between the corrupt practices and your harm is crucial. You need to show the corruption directly caused the inadequate care or harm, not other factors like your pre-existing condition or treatment complexities.
* **Evidence gathering:** Gathering strong evidence of both the corrupt practices and the resulting harm to your health is essential. This might involve medical records, communication with the institution, expert opinions on the connection between the corruption and your harm, and documentation of your actual damages.
* **Burden of proof:** The burden of proof lies with you to demonstrate all elements of your claim, including the corruption, its impact on your case, and the resulting harm to you.
* **Complexity and costs:** Pursuing legal action can be time-consuming, expensive, and require specialized legal expertise in healthcare law and civil litigation.
**Alternative Avenues:**
* **Administrative complaints:** Filing complaints with the Department of Health (DOH), Professional Regulation Commission (PRC), or other relevant regulatory bodies can trigger investigations and potential sanctions against the healthcare institution or individuals involved. This might not directly lead to financial compensation but could contribute to holding them accountable.
* **Public advocacy:** Raising awareness through media or online platforms about your case and the broader issue of corruption in healthcare can pressure authorities to take action and potentially lead to policy changes.
**Legal Framework:**
* **Constitution of the Philippines:** Article III, Section 15 guarantees the right to health, and Section 7 guarantees the right to information, both potentially violated by corrupt practices in healthcare.
* **Civil Code of the Philippines:** Provides provisions for breach of contract, damages, and unjust enrichment, which might be relevant depending on the specific circumstances.
* **Patient's Bill of Rights (RA 9759):** While not directly addressing corruption, it emphasizes the right to informed consent and quality healthcare, potentially violated by corruption.
**Important Notes:**
* This information is for general understanding and should not be considered legal advice. Consulting a lawyer with expertise in healthcare law is crucial for a detailed assessment of your specific situation and potential legal options.
* The success of any legal action depends heavily on proving the specific details of your case and the direct link between the corruption and your harm.
* While legal avenues exist, the process can be challenging and requires careful consideration of your resources and the potential complexities involved.
I hope this information, based solely on Philippine law, RA, and Constitutions, is helpful. Please let me know if you have any other questions.</t>
  </si>
  <si>
    <t>How can patients gather evidence to support claims of corruption in their healthcare experiences?</t>
  </si>
  <si>
    <t>Gathering evidence to support claims of corruption in your healthcare experiences is crucial in the Philippines, based solely on Philippine law, RA, and Constitutions. However, it's important to remember that **evidence gathering can be complex and requires careful consideration of your specific situation.** Here are some key points and tips to keep in mind:
**Types of Evidence:**
* **Medical records:** Request copies of all relevant medical records, including prescriptions, diagnostic reports, billing statements, and discharge summaries. Check for inconsistencies, missing information, or unusual entries.
* **Receipts and invoices:** Keep copies of all receipts and invoices related to your healthcare expenses.
* **Communication records:** Save emails, texts, or other communication with healthcare providers or institutions regarding your concerns about potential corruption.
* **Witness testimonies:** If anyone witnessed suspicious behavior or interactions, document their testimonies and contact information.
* **Expert opinions:** Depending on the specific situation, consider seeking opinions from medical professionals or legal experts to interpret your records or support your claims.
**Gathering Strategies:**
* **Start early:** The sooner you start gathering evidence, the better. Memories fade, and records can be lost or altered.
* **Be discreet:** Avoid raising suspicion by being overly confrontational. Collect evidence discreetly and document your actions.
* **Know your rights:** Familiarize yourself with the Patient's Bill of Rights (RA 9759) and other relevant laws regarding access to information and medical records.
* **Seek support:** Consider seeking legal advice or guidance from organizations specializing in healthcare advocacy or whistleblowing.
**Important Cautions:**
* **Do not tamper with evidence:** Alteration or fabrication of evidence can undermine your credibility and lead to legal repercussions.
* **Focus on facts:** Avoid speculation or emotional outbursts in your documentation. Stick to factual observations and concrete evidence.
* **Be aware of limitations:** Evidence gathering may not always be straightforward, and obtaining certain records or information might require legal assistance.
**Legal Framework:**
* **Constitution of the Philippines:** Article III, Section 7 guarantees the right to information, crucial for accessing your medical records and understanding potential corruption.
* **Patient's Bill of Rights (RA 9759):** Empowers patients with the right to access information, informed consent, and quality healthcare, potentially violated by corruption.
* **Data Privacy Act (RA 10173):** Protects your personal information within medical records, ensuring proper access and handling.
**Remember:** This information is for general understanding and should not be considered legal advice. Consulting a lawyer specializing in healthcare law or data privacy is crucial for specific guidance and understanding the legal nuances involved in your case. They can advise you on the best approach to evidence gathering based on your unique situation and potential legal actions.
I hope this information, based solely on Philippine law, RA, and Constitutions, is helpful. Please let me know if you have any other questions.</t>
  </si>
  <si>
    <t>Are there legal protections for whistleblowers who report instances of corruption within the healthcare system?</t>
  </si>
  <si>
    <t>Yes, there are **legal protections for whistleblowers who report instances of corruption within the healthcare system in the Philippines**, based solely on Philippine law, RA, and Constitutions. However, the specific protections and their effectiveness vary depending on the situation.
**Key Laws:**
* **Republic Act No. 6735 (Code of Conduct and Ethical Standards for Public Officials and Employees):** Protects public officials and employees who report violations of the law, including corruption, by their superiors or colleagues.
* **Republic Act No. 11032 (Expanded Anti-Red Tape Act):** Provides broader whistleblower protection in government agencies, including healthcare institutions receiving public funds.
* **Republic Act No. 9285 (Securities Regulation Code):** Offers protection to whistleblowers reporting securities-related violations, which could be relevant in some healthcare-related financial misconduct cases.
* **Revised Penal Code:** Grants immunity from prosecution to individuals who report certain crimes, like bribery and fraud, as long as their reports are made in good faith.
**Protection Scope:**
* These laws prohibit retaliation against whistleblowers in various forms, including termination, demotion, harassment, and discrimination.
* They require government agencies to establish mechanisms for receiving and investigating whistleblower reports confidentially.
**Limitations:**
* The effectiveness of these laws can vary depending on the agency's commitment to upholding whistleblower protections.
* Proving retaliation can be challenging, and legal proceedings might be lengthy and expensive.
* Some loopholes and limitations exist in the specific laws, leaving room for potential abuse or lack of full protection.
**Additional Resources:**
* **Office of the Ombudsman:** Investigates complaints of retaliation against whistleblowers in government agencies.
* **Public Attorney's Office:** Provides legal assistance to whistleblowers in certain cases.
* **Non-Government Organizations (NGOs):** Some NGOs offer support and guidance to whistleblowers.
**Important Notes:**
* This information is for general understanding and should not be considered legal advice. Consulting a lawyer specializing in whistleblower protection is crucial for detailed guidance and understanding your specific situation.
* Carefully document your reports and any potential retaliation to strengthen your case.
* Consider reporting to multiple agencies or seeking support from NGOs for broader protection and advocacy.
I hope this information, based solely on Philippine law, RA, and Constitutions, is helpful. Please let me know if you have any other questions.</t>
  </si>
  <si>
    <t>What legal recourse do patients have if they believe their medical records were altered due to corruption?</t>
  </si>
  <si>
    <t>## Legal Recourse for Altered Medical Records Due to Corruption in the Philippines (RA, Constitutions)
**Patients in the Philippines have potential legal recourse if they believe their medical records were altered due to corruption**, based solely on Philippine law, RA, and Constitutions. However, the specific options and success depend on the details of the case and navigating the legal landscape strategically.
**Potential Avenues:**
* **Civil lawsuit:** You could file a civil lawsuit against the healthcare institution or individuals involved in the corruption, alleging:
* **Violation of privacy:** Medical records are considered personal information protected by the right to privacy under the Constitution (Article III, Section 7).
* **Negligence or intentional harm:** Altering records could be considered negligence or intentional harm if it leads to misdiagnosis, incorrect treatment, or other negative consequences for your health.
* **Fraud or misrepresentation:** If the altered records were used to deceive you or others, you might have grounds for a fraud or misrepresentation claim.
**Challenges:**
* **Proving alteration:** Demonstrating that your records were deliberately altered due to corruption can be challenging. You need concrete evidence, like inconsistencies in dates, handwriting, or entries, and potentially expert opinions to establish the alteration and its intent.
* **Proving harm:** You need to show that the altered records caused you actual harm, such as financial losses, emotional distress, or negative health outcomes.
* **Burden of proof:** The burden of proof lies with you to demonstrate all elements of your claim, including the alteration, its corrupt motive, and the resulting harm to you.
* **Complexity and costs:** Pursuing legal action can be time-consuming, expensive, and require specialized legal expertise in healthcare law and civil litigation.
**Alternative Avenues:**
* **Report to regulatory agencies:** File complaints with the Department of Health (DOH), Professional Regulation Commission (PRC), or other relevant regulatory bodies. They can investigate the allegations and potentially impose sanctions on the healthcare institution or individuals involved.
* **Public advocacy:** Raising awareness through media or online platforms about the issue can pressure institutions to address the problem and encourage others to come forward.
**Legal Framework:**
* **Constitution of the Philippines:** Article III, Section 7 guarantees the right to privacy, encompassing the protection of personal information like medical records.
* **Data Privacy Act (RA 10173):** Establishes regulations for protecting personal data, potentially applicable to medical records.
* **Patient's Bill of Rights (RA 9759):** Grants patients the right to access and request corrections to their medical records.
* **Revised Penal Code:** Depending on the specific act of alteration, offenses like falsification of documents or fraud might be applicable.
**Important Notes:**
* This information is for general understanding and should not be considered legal advice. Consulting a lawyer with expertise in healthcare law or data privacy is crucial for a detailed assessment of your specific situation and potential legal options.
* The success of any legal action relies heavily on gathering strong evidence and proving the specific details of your case, including the corrupt motive behind the alteration and its impact on you.
* While legal avenues exist, the process can be challenging and requires careful consideration of your resources and the potential complexities involved.
I hope this information, based solely on Philippine law, RA, and Constitutions, is helpful. Please let me know if you have any other questions.</t>
  </si>
  <si>
    <t>Can individuals take legal action against pharmaceutical companies for engaging in corrupt practices, such as bribery or fraud?</t>
  </si>
  <si>
    <t>Yes, individuals **can potentially take legal action against pharmaceutical companies for engaging in corrupt practices, such as bribery or fraud, in the Philippines**, based solely on Philippine law, RA, and Constitutions. However, the success depends heavily on the specific circumstances and navigating the legal landscape strategically.
**Potential Avenues:**
* **Civil lawsuit:** You could file a civil lawsuit against the pharmaceutical company, alleging:
* **Product liability:** If the corrupt practice directly led to a defective or unsafe product causing you harm, you might have grounds for a product liability claim.
* **Misrepresentation or fraud:** If the company engaged in false or misleading marketing or pricing practices that harmed you financially, you could potentially sue for fraud or misrepresentation.
* **Unjust enrichment:** If the company profited unfairly from their corrupt practices at your expense, you could pursue claims for unjust enrichment.
**Challenges:**
* **Proving causation:** Demonstrating a clear connection between the specific corrupt practice and your harm is crucial. You need to show the practice directly caused your losses, not other factors like your pre-existing health condition or general market trends.
* **Evidence gathering:** Gathering strong evidence of both the corrupt practice and the resulting harm to you is essential. This might involve medical records, communication with the company, expert opinions on the connection between the practice and your harm, and documentation of your actual financial expenses.
* **Burden of proof:** The burden of proof lies with you to demonstrate all elements of your claim, including the corrupt practice, its impact on your case, and the resulting harm to you.
* **Complexity and costs:** Pursuing legal action can be time-consuming, expensive, and require specialized legal expertise in pharmaceutical law and civil litigation.
**Alternative Avenues:**
* **Report the company to regulatory agencies:** The Food and Drug Administration (FDA) and the Department of Health (DOH) can investigate complaints of corrupt practices by pharmaceutical companies and potentially impose sanctions.
* **Public advocacy:** Raising awareness through media or online platforms about the company's practices can pressure them to change and potentially encourage others to take action.
**Legal Framework:**
* **Consumer Act of the Philippines (RA 7394):** Protects consumers from deceptive or unfair marketing practices, potentially applicable to some corrupt practices by pharmaceutical companies.
* **Revised Penal Code:** Outlines criminal offenses like bribery and fraud, which could be relevant depending on the specific corrupt practice.
* **Civil Code of the Philippines:** Provides provisions for product liability, misrepresentation, and unjust enrichment, which might be relevant depending on the specific circumstances.
**Important Notes:**
* This information is for general understanding and should not be considered legal advice. Consulting a lawyer with expertise in pharmaceutical law or civil litigation is crucial for a detailed assessment of your specific situation and potential legal options.
* The success of any legal action relies heavily on proving the specific details of your case and the direct link between the corrupt practice and your harm.
* While legal avenues exist, the process can be challenging and requires careful consideration of your resources and the potential complexities involved.
I hope this information, based solely on Philippine law, RA, and Constitutions, is helpful. Please let me know if you have any other questions.</t>
  </si>
  <si>
    <t>How do conflicts of interest laws apply to healthcare professionals involved in corrupt activities?</t>
  </si>
  <si>
    <t>## Applying Conflicts of Interest Laws to Corrupt Healthcare Practices in the Philippines (RA, Constitutions):
Conflicts of interest (COI) laws play a crucial role in preventing and addressing corruption in the healthcare system, based solely on Philippine law, RA, and Constitutions. Here's how they apply to corrupt activities:
**Relevant Laws:**
* **Republic Act No. 6735 (Code of Conduct and Ethical Standards for Public Officials and Employees):** Applies to public healthcare professionals, requiring disclosure of potential COIs and prohibiting actions that compromise their independence and integrity.
* **Republic Act No. 9184 (Government Procurement Reform Act):** Sets standards for transparency and fairness in government procurement, aiming to prevent corrupt practices involving kickbacks, bid-rigging, and unnecessary middlemen in healthcare supplies and equipment purchases.
* **Professional Codes of Ethics:** Each healthcare profession (e.g., doctors, nurses, pharmacists) has its own code of ethics outlining ethical conduct and prohibiting specific COIs that could lead to corrupt practices.
* **Revised Penal Code:** Certain provisions like bribery, extortion, and malversation of public funds can be applied to healthcare professionals engaging in corrupt activities, regardless of their employment status.
**Application to Corrupt Practices:**
* **COI Disclosure:** Healthcare professionals involved in corrupt activities often violate disclosure requirements by failing to report financial ties to pharmaceutical companies, medical equipment suppliers, or other entities that could influence their decisions.
* **Unfair Procurement:** Corrupt practices like accepting kickbacks or manipulating procurement processes to favor certain companies violate the transparency and ethical standards mandated by the Government Procurement Reform Act.
* **Unethical Conduct:** Engaging in activities like unnecessary prescriptions, referrals to specific facilities for personal gain, or participating in ghost billing schemes directly contradicts the ethical principles outlined in professional codes and potentially violates the Code of Conduct for public officials.
**Consequences of Violations:**
* **Administrative sanctions:** Regulatory bodies like the DOH or PRC can impose sanctions like license suspensions or revocations for COI violations and unethical conduct.
* **Criminal charges:** Depending on the specific offense, individuals might face criminal charges under the Revised Penal Code, potentially leading to imprisonment and fines.
* **Civil liabilities:** Patients harmed by corrupt practices could file civil lawsuits against the healthcare professional for damages.
* **Reputational damage:** Public exposure and media coverage can negatively impact the professional's reputation and career.
**Challenges and Limitations:**
* **Difficulties in proving intent:** Demonstrating a clear connection between the COI and the corrupt activity can be challenging, requiring strong evidence.
* **Complex legal processes:** Pursuing legal action or navigating administrative sanctions can be time-consuming and require legal expertise.
* **Enforcement challenges:** Resource constraints or lack of clear guidelines can sometimes hinder effective enforcement of COI regulations.
**Remember:** This information is based solely on Philippine law, RA, and Constitutions. It does not constitute legal advice, and consulting a lawyer specializing in healthcare law or administrative law is recommended for specific situations and detailed understanding of the applicable laws and their interpretation in specific cases.
I hope this information is helpful. Please let me know if you have any other questions.</t>
  </si>
  <si>
    <t>What role do government regulatory agencies play in investigating and prosecuting corruption within the healthcare system?</t>
  </si>
  <si>
    <t>In the Philippines, several government regulatory agencies play crucial roles in investigating and prosecuting corruption within the healthcare system, based solely on Philippine law, RA, and Constitutions:
**Primary Agencies:**
* **Department of Health (DOH):**
* Conducts investigations into corruption allegations in healthcare facilities and personnel under their jurisdiction.
* Has the power to impose administrative sanctions, including license suspensions or revocations.
* Coordinates with other agencies for criminal prosecution and holds regular public hearings on corruption cases in the healthcare sector.
* **Professional Regulation Commission (PRC):**
* Investigates complaints of ethical violations and professional misconduct by licensed healthcare professionals, which could be linked to corrupt practices.
* Imposes disciplinary sanctions like suspensions or revocations of licenses based on their findings.
* **Office of the Ombudsman:**
* Investigates and prosecutes complaints against public officials and employees involved in corruption, including those within government-owned or affiliated healthcare institutions.
* Has the power to file criminal charges in court and seek civil penalties.
**Additional Agencies:**
* **National Bureau of Investigation (NBI):** Assists the DOH, PRC, and Ombudsman in conducting investigations and gathering evidence related to corruption cases.
* **Philippine National Police (PNP):** May participate in investigations and arrests related to criminal offenses linked to healthcare corruption.
* **Commission on Audit (COA):** Audits government healthcare institutions and identifies potential misuse of public funds or irregularities that could indicate corruption.
* **Sandiganbayan:** Special court with jurisdiction over criminal cases involving public officials and employees, including those accused of corruption in the healthcare sector.
**Key Points:**
* Each agency has specific mandates and responsibilities, often collaborating for comprehensive investigations and prosecutions.
* Whistleblower protection laws encourage individuals to report suspected corruption to these agencies.
* The public can access information on ongoing investigations and disciplinary actions taken by the agencies through their websites or official reports.
**Limitations:**
* Resource constraints and complex legal procedures can hinder the speed and effectiveness of investigations and prosecutions.
* Political interference or pressure might sometimes obstruct thorough investigations.
* Public awareness and cooperation are crucial for effective action against healthcare corruption.
**Remember:** This information is based solely on Philippine law, RA, and Constitutions. It does not constitute legal advice, and consulting a lawyer specializing in healthcare law or administrative law is recommended for specific inquiries or understanding the nuances of individual cases.
I hope this information is helpful. Please let me know if you have any other questions.</t>
  </si>
  <si>
    <t>Can individuals pursue compensation for financial losses incurred as a result of corruption in their healthcare treatment?</t>
  </si>
  <si>
    <t>Yes, individuals **can potentially pursue compensation for financial losses incurred as a result of corruption in their healthcare treatment in the Philippines**, based solely on Philippine law, RA, and Constitutions. However, the **success depends heavily on proving all elements of your claim and navigating the legal process carefully**.
**Potential Avenues:**
* **Civil lawsuit:** You could file a civil lawsuit against the healthcare institution or individuals involved in the corruption, alleging:
* **Breach of contract:** If the institution was obligated to provide you with specific services and failed to do so due to corruption, you might have grounds for a breach of contract claim.
* **Negligence or intentional harm:** If the corrupt practices directly caused you financial losses, you could argue negligence or intentional harm on the part of the healthcare provider or individuals involved.
* **Unjust enrichment:** If the institution or individuals involved profited unfairly from the corruption at your expense, you could pursue claims for unjust enrichment.
**Challenges:**
* **Proving causation:** Demonstrating a clear connection between the corruption and your financial losses is crucial. You need to show the corruption directly caused the losses, not other factors like your initial medical condition or treatment costs.
* **Evidence gathering:** Gathering strong evidence of both the corruption and the resulting financial losses is essential. This might involve medical records, communication with the institution, expert opinions on the connection between the corruption and your losses, and documentation of your actual financial expenses.
* **Burden of proof:** The burden of proof lies with you to demonstrate all elements of your claim, including the corruption, its impact on your case, and the resulting financial losses.
* **Complexity and costs:** Pursuing legal action can be time-consuming, expensive, and require specialized legal expertise in healthcare law and civil litigation.
**Alternative Avenues:**
* **Administrative complaints:** Filing complaints with the Department of Health (DOH), Professional Regulation Commission (PRC), or other relevant regulatory bodies can trigger investigations and potential sanctions against the healthcare institution or individuals involved. This might not directly lead to financial compensation but could contribute to holding them accountable.
* **Public advocacy:** Raising awareness through media or online platforms about your case and the broader issue of corruption in healthcare can pressure authorities to take action and potentially lead to policy changes that benefit future patients.
**Legal Framework:**
* **Constitution of the Philippines:** Article III, Section 15 guarantees the right to health and Section 7 guarantees the right to information, both potentially violated by corrupt practices in healthcare.
* **Civil Code of the Philippines:** Provides provisions for breach of contract, damages, and unjust enrichment, which might be relevant depending on the specific circumstances.
* **Patient's Bill of Rights (RA 9759):** While not directly addressing financial compensation, it emphasizes the right to informed consent and quality healthcare, potentially violated by corruption.
**Important Notes:**
* This information is for general understanding and should not be considered legal advice. Consulting a lawyer with expertise in healthcare law is crucial for a detailed assessment of your specific situation and potential legal options.
* The success of any legal action depends heavily on proving the specific details of your case and the direct link between the corruption and your financial losses.
* While legal avenues exist, the process can be challenging and requires careful consideration of your resources and the potential complexities involved.
I hope this information, based solely on Philippine law, RA, and Constitutions, is helpful. Please let me know if you have any other questions.</t>
  </si>
  <si>
    <t>How can patients ensure that their healthcare providers are not engaging in corrupt practices that could compromise their care?</t>
  </si>
  <si>
    <t>## Ensuring Healthcare Provider Integrity in the Philippines (RA, Constitutions)
While completely eliminating the risk of corruption is challenging, patients in the Philippines can take proactive steps to minimize its impact on their care, based solely on Philippine law, RA, and Constitutions:
**1. Be informed and vigilant:**
* **Understand your rights:** Familiarize yourself with the Patient's Bill of Rights (RA 9759) and other relevant laws to understand your rights regarding informed consent, access to information, and quality healthcare.
* **Research healthcare providers:** Choose providers with good reputations and positive patient reviews. Look for affiliations with reputable organizations and inquire about their ethical practices.
* **Ask questions:** Don't hesitate to ask questions about diagnoses, treatment options, costs, and potential conflicts of interest. Seek clarification if anything seems unclear or suspicious.
**2. Scrutinize billing practices:**
* **Review bills carefully:** Examine medical bills and insurance statements for accuracy and potential discrepancies. Check for unnecessary charges, inflated prices, or duplicate entries.
* **Request explanations:** If you have concerns about the billing, ask for detailed explanations from the healthcare provider or insurance company.
* **Keep records:** Maintain copies of medical records, bills, and communication related to your healthcare for future reference.
**3. Report suspected corruption:**
* **Internal complaints:** If you suspect wrongdoing within a specific healthcare institution, use their internal complaint mechanisms to report it.
* **Regulatory bodies:** File complaints with the Department of Health (DOH), Professional Regulation Commission (PRC), or relevant regulatory bodies. Provide concrete details and evidence to support your claims.
* **Public advocacy:** Consider sharing your experiences through media or online platforms to raise awareness and encourage others to speak up against corruption.
**4. Advocate for transparency and accountability:**
* **Participate in patient councils:** If available, engage in patient councils or advisory boards of hospitals or healthcare organizations to voice concerns and advocate for transparency.
* **Support legislative reforms:** Lend your voice to initiatives promoting transparency in healthcare pricing, procurement, and conflict of interest disclosure.
* **Educate others:** Share knowledge and experiences with others to encourage informed healthcare choices and collective action against corruption.
**Legal Framework:**
* **Constitution of the Philippines:** Article III, Section 7 grants the right to information, crucial for transparency in healthcare.
* **Patient's Bill of Rights (RA 9759):** Empowers patients with rights to informed consent and access to information, promoting active participation in their healthcare.
* **Anti-Graft and Corrupt Practices Act (RA 3019):** Criminalizes acts like bribery and extortion, which can impact healthcare integrity.
**Remember:**
* While individual vigilance can contribute to minimizing the impact of corruption, systemic reforms are crucial for lasting change.
* Reporting suspected corruption, even anonymously, can be a powerful tool for holding institutions and individuals accountable.
* Seek legal advice for specific situations requiring legal action or navigating complex complaints.
I hope this information, based solely on Philippine law, RA, and Constitutions, is helpful. Please let me know if you have any other questions.</t>
  </si>
  <si>
    <t>Can individuals seek legal remedies if they believe their access to healthcare services was unfairly limited due to corruption?</t>
  </si>
  <si>
    <t>## Legal Remedies for Unfairly Limited Access to Healthcare Due to Corruption (Philippine Law, RA, Constitutions)
**Yes, individuals have potential legal remedies in the Philippines if they believe their access to healthcare services was unfairly limited due to corruption, based solely on Philippine law, RA, and Constitutions.** However, the success depends on the specific circumstances and navigating the legal landscape strategically.
**Potential Avenues:**
* **Civil lawsuit:** You could file a civil lawsuit for damages against the healthcare institution or individuals involved in the corruption, alleging:
* **Violation of constitutional rights:** Article III, Section 15 guarantees the right to health, which could be violated due to unfair limitations caused by corruption.
* **Breach of contract:** If the institution was obligated to provide you with specific services, you might have grounds for a breach of contract claim.
* **Negligence or intentional harm:** Depending on the specific situation, you could argue negligence or intentional harm caused by the corrupt practices.
**Challenges:**
* **Proving causation:** Demonstrating a clear connection between the corruption and your limited access to healthcare is crucial. You need to show the corruption directly prevented you from receiving necessary services, not other factors like eligibility requirements or genuine resource limitations.
* **Evidence gathering:** Gathering strong evidence of both the corruption and the resulting harm to your health is essential. This might involve medical records, communication with the institution, expert opinions on the connection between the corruption and your situation, and documentation of your attempts to access care.
* **Burden of proof:** The burden of proof lies with you to demonstrate all elements of your claim, including the corruption, its impact on your case, and the resulting harm to your health.
* **Complexity and costs:** Pursuing legal action can be time-consuming, expensive, and require specialized legal expertise in healthcare law and civil litigation.
**Alternative Avenues:**
* **Administrative complaints:** Filing complaints with the Department of Health (DOH), Professional Regulation Commission (PRC), or relevant regulatory bodies can trigger investigations and potential sanctions against the healthcare institution or individuals involved.
* **Public advocacy:** Raising awareness through media or online platforms about your case and the broader issue of corruption in healthcare can pressure authorities to take action and potentially lead to policy changes.
**Legal Framework:**
* **Constitution of the Philippines:** Article III, Section 15 guarantees the right to health.
* **Republic Act No. 9759 (Patient's Bill of Rights):** Guarantees patients' rights to access to information, informed consent, and quality healthcare, potentially violated by corruption-related limitations.
* **Civil Code of the Philippines:** Provides provisions for breach of contract, damages, and negligence, which might be relevant depending on the specific circumstances.
**Important Notes:**
* This information is for general understanding and should not be considered legal advice. Consulting a lawyer with expertise in healthcare law is crucial for a detailed assessment of your specific situation and potential legal options.
* The success of any legal action relies heavily on proving the specific details of your case and the corruption's direct link to your limited access to healthcare.
* While legal avenues exist, the process can be challenging and requires careful consideration of your resources and the potential complexities involved.
I hope this information, based solely on Philippine law, RA, and Constitutions, is helpful. Please let me know if you have any other questions.</t>
  </si>
  <si>
    <t>What are the potential consequences for healthcare professionals found guilty of participating in corrupt activities?</t>
  </si>
  <si>
    <t>In the Philippines, healthcare professionals found guilty of participating in corrupt activities face a range of potential consequences, based solely on Philippine law, RA, and Constitutions. The specific consequences depend on the nature and severity of the offense, along with the relevant laws and regulations involved. Here's a breakdown:
**Administrative Penalties:**
* **Professional boards and licensing agencies:**
* **Reprimand:** Written warning or censure.
* **Suspension:** Temporary suspension from practicing their profession.
* **Revocation of license:** Permanent loss of their license to practice.
* **Fines:** Imposition of monetary penalties.
* **Department of Health (DOH):**
* Blacklisting from participating in government healthcare programs.
* Prohibition from holding positions in DOH-accredited institutions.
* Public censure or reprimand.
**Criminal Penalties:**
* **Revised Penal Code:** Depending on the specific offense, potential penalties can range from:
* **Fines:** Varying amounts depending on the offense.
* **Imprisonment:** From months to years, depending on the severity of the crime.
* **Anti-Graft and Corrupt Practices Act (RA 3019):**
* Imprisonment ranging from 1 year to 10 years, depending on the specific offense.
* Perpetual disqualification from holding public office.
* Confiscation of ill-gotten wealth.
**Other consequences:**
* **Civil liability:** Patients harmed by the healthcare professional's corrupt actions might file civil lawsuits for damages.
* **Damage to reputation:** Public exposure and media coverage can negatively impact the professional's reputation and career.
* **Psychological impact:** The investigation, legal proceedings, and potential consequences can cause significant stress and emotional distress.
**Important Notes:**
* The specific consequences depend on the individual circumstances of each case, including the specific offense, evidence presented, and applicable laws.
* Due process rights must be upheld throughout the investigation and disciplinary proceedings.
* Consulting a lawyer specializing in healthcare law or criminal law is highly recommended for accurate and specific guidance based on your individual situation.
I hope this information, based solely on Philippine law, RA, and Constitutions, is helpful. Please let me know if you have any other questions.</t>
  </si>
  <si>
    <t>How does corruption in the healthcare system impact the cost and quality of healthcare services for patients?</t>
  </si>
  <si>
    <t>Corruption in the healthcare system in the Philippines negatively impacts the **cost and quality of healthcare services for patients** in several ways, based solely on Philippine law, RA, and Constitutions:
**Increased Costs:**
* **Misallocation of funds:** Corrupt practices like bribery, extortion, and ghost billing divert resources meant for essential services and infrastructure towards personal gain or unnecessary expenditures. This reduces the budget available for patient care, leading to:
* **Higher service charges:** Hospitals and clinics might need to increase fees due to limited resources, making healthcare less affordable for patients.
* **Shortage of essential supplies and equipment:** Lack of proper funding can lead to shortages of medicines, medical equipment, and other essential resources, limiting treatment options and potentially compromising quality.
**Reduced Quality:**
* **Lack of qualified personnel:** Corruption can discourage qualified healthcare professionals from working in the system due to low salaries, poor working conditions, and potential involvement in corrupt practices. This results in:
* **Staff shortages:** Understaffing can lead to longer waiting times, overworked healthcare professionals, and potentially lower quality of care.
* **Limited access to specialists:** Remote areas or underserved communities might have limited access to specialists due to personnel shortages, further affecting care quality.
**Unequal Access:**
* **Favoritism and nepotism:** Corrupt practices can lead to preferential treatment based on personal connections rather than need, making it harder for disadvantaged communities or individuals to access essential healthcare services.
* **Increased out-of-pocket expenses:** Patients denied access to public healthcare due to corruption might be forced to seek private care at higher costs, creating financial burdens.
* **Deteriorating public healthcare facilities:** Corruption can lead to a lack of maintenance and investment in public healthcare facilities, compromising their hygiene, safety, and overall quality of care.
**Other negative impacts:**
* **Loss of trust:** Public distrust in the healthcare system due to corruption can discourage preventive care, delaying diagnosis and treatment, and potentially leading to worse health outcomes.
* **Increased mortality and morbidity:** Reduced access to quality care, essential resources, and qualified personnel can contribute to higher mortality and morbidity rates, especially among vulnerable populations.
**Legal Framework:**
* **Constitution of the Philippines:** Article III, Section 15 guarantees the right to health, which requires the government to ensure equitable and quality healthcare for all.
* **Anti-Graft and Corrupt Practices Act (RA 3019):** Criminalizes acts like bribery and extortion, which contribute to misallocation of resources and increased costs.
* **Republic Act No. 9759 (Patient's Bill of Rights):** Guarantees patients' right to quality healthcare and access to information, both undermined by corruption.
**Remember:** This information is based solely on Philippine law, RA, and Constitutions. It does not constitute legal advice, and consulting a legal professional with expertise in healthcare law is recommended for further details and specific cases.
I hope this information is helpful. Please let me know if you have any other questions.</t>
  </si>
  <si>
    <t>Can individuals file complaints with medical boards or licensing agencies against healthcare professionals involved in corrupt practices?</t>
  </si>
  <si>
    <t>## Filing complaints against healthcare professionals for corruption in the Philippines (RA, Constitutions):
**Yes, individuals can file complaints with medical boards or licensing agencies against healthcare professionals involved in corrupt practices under Philippine law, RA, and Constitutions.** However, the specific process and relevant agencies depend on the nature of the corruption and the professional's licensure:
**1. Identifying the relevant agency:**
* **Doctors and dentists:** Philippine Medical Association (PMA) or Professional Regulation Commission (PRC) Board of Medicine.
* **Nurses:** Philippine Nurses Association (PNA) or PRC Board of Nursing.
* **Pharmacists:** Philippine Pharmacists Association (PPA) or PRC Board of Pharmacy.
* **Other healthcare professionals:** Check with the corresponding professional association or the PRC for the relevant board or commission.
**2. Grounds for complaint:**
* **Professional code of ethics:** Each profession has a code of ethics that prohibits unethical conduct, often including practices like bribery, kickbacks, and fraudulent billing.
* **Republic Act No. 3019 (Anti-Graft and Corrupt Practices Act):** If the corrupt practice involves public officials or employees, this act could be relevant.
* **Other relevant laws:** Depending on the specific act, other laws like the Revised Penal Code (fraud) or the Patient's Bill of Rights (violation of patient rights) might apply.
**3. Complaint process:**
* **Contact the relevant agency:** Each agency has a specific complaint process outlined on their websites or through direct contact.
* **Prepare evidence:** Gather evidence to support your claim, including medical records, receipts, communication with the professional, and witness testimonies (if available).
* **Submit the complaint:** Follow the agency's specific submission guidelines for complaints.
* **Investigation and resolution:** The agency will investigate the complaint and take appropriate action based on their findings, which could range from reprimands to suspension or revocation of license.
**Important Notes:**
* **Confidentiality:** While some agencies offer anonymity for complainants, it's best to consult with the agency about their specific policies.
* **Burden of proof:** The burden of proof lies with you to demonstrate the professional's unethical conduct and its connection to the alleged corruption.
* **Legal assistance:** Consider seeking legal advice from a lawyer specializing in healthcare law or administrative law for guidance on the complaint process and potential legal options.
**Remember:** This information is for general understanding and should not be considered legal advice. Consulting a lawyer for specific guidance based on your individual situation and the details of the alleged corruption is highly recommended.
I hope this information, based solely on Philippine law, RA, and Constitutions, is helpful. Please let me know if you have any other questions.</t>
  </si>
  <si>
    <t>Are there specific statutes of limitations for bringing legal claims related to corruption in the healthcare system?</t>
  </si>
  <si>
    <t>Yes, statutes of limitations apply to legal claims related to corruption in the healthcare system in the Philippines, based on Philippine law, RA, and Constitutions. However, the specific timeframe depends on the nature of the claim and the offense involved:
**1. Criminal Offenses:**
* **Revised Penal Code:** Sets different limitations based on the penalty of the crime:
* **Reclusión perpetua or reclusión temporal (12 years and 1 day to 40 years):** 20 years
* **Other afflictive penalties (6 years and 1 day to 12 years):** 15 years
* **Correctional penalties:** 10 years, except for Arresto mayor (1 month and 1 day to 6 months): 5 years
* **Anti-Graft and Corrupt Practices Act (RA 3019):** Generally follows the Revised Penal Code limitations for similar offenses.
**2. Civil Claims:**
* **Breach of contract:** 10 years from the time the breach occurred.
* **Fraud:** 4 years from the discovery of the fraud.
* **Unjust enrichment:** 10 years from the time the enrichment occurred.
**Important Notes:**
* These are general timeframes, and specific exceptions or extensions might exist depending on the case.
* It's crucial to consult a lawyer specializing in criminal law or civil litigation to determine the specific statute of limitations applicable to your situation and the potential deadline for filing a claim.
* Statutes of limitations can be complex, and even if you file within the timeframe, other factors like evidence and proving your case might impact the success of your claim.
**Remember:** This information is for general understanding and should not be considered legal advice. Consulting a lawyer for specific guidance based on your individual situation and the details of the corruption you wish to address is highly recommended.
I hope this information, based solely on Philippine law, RA, and Constitutions, is helpful. Please let me know if you have any other questions.</t>
  </si>
  <si>
    <t>How can patients advocate for greater transparency and accountability within the healthcare system to prevent future instances of corruption?</t>
  </si>
  <si>
    <t>## Patient Advocacy for Transparency and Accountability in Philippine Healthcare (RA, Constitutions):
Corruption in the healthcare system can be tackled by patients actively advocating for transparency and accountability, based on Philippine law, RA, and Constitutions. Here are some strategies:
**1. Demand information and clarification:**
* **Ask questions:** Don't hesitate to ask healthcare professionals about diagnoses, treatment options, costs, and potential conflicts of interest. Seek clarification if anything seems unclear or suspicious.
* **Review bills and statements:** Carefully examine medical bills and insurance statements for accuracy and potential discrepancies. Request explanations for any unusual charges.
* **Utilize right to information:** Exercise your right to access medical records and other relevant information under the **Patient's Bill of Rights (RA 9759)** and the **Freedom of Information Executive Order**.
**2. Participate in decision-making:**
* **Choose healthcare providers wisely:** Research and choose healthcare providers with good reputations and transparency practices.
* **Engage in patient councils:** Participate in patient councils or advisory boards offered by hospitals or healthcare organizations to voice concerns and offer suggestions.
* **Support patient advocacy groups:** Join or work with patient advocacy groups that promote transparency and accountability in the healthcare system.
**3. Hold institutions accountable:**
* **Report suspected corruption:** File complaints with regulatory bodies like the Department of Health (DOH), Professional Regulation Commission (PRC), or Office of the Ombudsman if you suspect fraudulent practices.
* **Publicly share experiences:** Consider sharing your experiences with suspected corruption through media platforms or online forums, raising awareness and encouraging others to speak up.
* **Support legislative reforms:** Advocate for legislative reforms that promote transparency in healthcare pricing, procurement, and conflict of interest disclosure.
**4. Educate yourself and others:**
* **Stay informed:** Keep updated on news and reports related to healthcare corruption in the Philippines.
* **Learn about your rights:** Familiarize yourself with your rights as a patient under the Patient's Bill of Rights and other relevant laws.
* **Spread awareness:** Share your knowledge and experiences with others, encouraging them to be informed and active in advocating for a better healthcare system.
**Legal Framework:**
* **Constitution of the Philippines:** Article III, Section 7 guarantees the right to information and the right to health, both crucial for transparency and accountability in healthcare.
* **Patient's Bill of Rights (RA 9759):** Empowers patients with rights to informed consent, confidentiality, and access to information, promoting active participation in their healthcare.
* **Freedom of Information Executive Order:** Grants citizens the right to access government information, including healthcare-related data, fostering transparency.
**Remember:**
* Patient advocacy is a powerful tool for combating corruption and promoting a more transparent and accountable healthcare system.
* While challenges exist, your active participation can contribute to positive change and ensure ethical treatment for all.
* Consider seeking legal advice for specific situations requiring legal action or navigating complex complaints.
I hope this information, based solely on Philippine law, RA, and Constitutions, is helpful. Please let me know if you have any other questions.</t>
  </si>
  <si>
    <t>Can individuals pursue legal action against healthcare institutions for fraudulent billing practices or kickbacks?</t>
  </si>
  <si>
    <t>## Pursuing Legal Action Against Healthcare Institutions for Fraudulent Billing and Kickbacks (Philippine Law, RA, and Constitutions)
Yes, individuals **can potentially pursue legal action against healthcare institutions for fraudulent billing practices or kickbacks** in the Philippines, based on relevant laws and constitutional provisions. However, it's important to understand the complexity and challenges involved.
**Potential Avenues:**
* **Civil lawsuit:** You could file a civil lawsuit for damages against the healthcare institution, alleging:
* **Breach of contract:** If the institution engaged in fraudulent billing, violating the terms of your insurance policy or agreement.
* **Fraud:** If the institution made false or misleading statements about your medical needs to inflate charges or obtain unnecessary services.
* **Unjust enrichment:** If the institution profited unfairly from your payment, even if no direct contract existed.
**Challenges:**
* **Proving fraud:** Demonstrating the intent and specific act of fraud by the institution can be demanding. You need to show they knowingly engaged in deceptive practices, not merely made mistakes or errors.
* **Damages:** Proving the specific harm you suffered due to the fraudulent practices is crucial. It's not enough to just show the institution engaged in fraud; you need to demonstrate it caused you financial loss or other damages.
* **Evidence gathering:** Gathering strong evidence of the fraudulent billing or kickbacks is essential. This might involve medical records, billing statements, communication with the institution, and expert opinions on the alleged practices.
* **Burden of proof:** The burden of proof lies with you to demonstrate all elements of your claim, including the fraud and the resulting harm to you.
* **Complexity and costs:** Pursuing legal action can be time-consuming, expensive, and require specialized legal expertise in healthcare law and civil litigation.
**Alternative Avenues:**
* **Filing complaints:** Lodging complaints with the **Department of Health (DOH)** or relevant regulatory bodies can trigger investigations and potential sanctions against the healthcare institution.
* **Reporting to insurance companies:** If the fraud involves your insurance, reporting it can lead them to investigate and potentially deny coverage for the inflated charges.
* **Public advocacy:** Raising awareness through media or online platforms about the issue can pressure authorities and the healthcare industry to take action.
**Legal Framework:**
* **Revised Penal Code:** Covers various fraudulent offenses like estafa, which can be applicable in some cases of fraudulent billing.
* **Anti-Graft and Corrupt Practices Act (RA 3019):** Criminalizes acts of public officials and employees like bribery and extortion, relevant if the kickbacks involve government-affiliated institutions.
* **Republic Act No. 9759 (Patient's Bill of Rights):** Guarantees patients' right to informed consent and appropriate billing practices, which can be violated by fraudulent activities.
* **Civil Code of the Philippines:** Provides provisions for breach of contract, damages, and unjust enrichment, which might be relevant depending on the specific circumstances.
**Important Notes:**
* This information is for general understanding and should not be considered legal advice. Consulting a lawyer with expertise in healthcare law is crucial for a detailed assessment of your specific situation and potential legal options.
* The success of any legal action depends heavily on proving the specific details of your case and the fraudulent practices involved.
* While legal avenues exist, the process can be challenging and requires careful consideration of your resources and the potential complexities involved.
I hope this information, based solely on Philippine law, RA, and Constitutions, is helpful. Please let me know if you have any other questions.</t>
  </si>
  <si>
    <t>What legal protections exist for patients who report instances of corruption within the healthcare system?</t>
  </si>
  <si>
    <t>While Philippine law offers some protections for patients reporting corruption in healthcare, it's crucial to understand the limitations and navigate the process carefully. Here's an overview based solely on Philippine law, RA, and Constitutions:
**Existing Protections:**
* **Whistleblower Protection Act (RA 6734):** Grants **limited protection** to individuals reporting illegal or irregular activities in the public sector, including healthcare institutions run by the government.
* **Protections:** Requires confidentiality, prohibits retaliation, and mandates investigation of reported wrongdoings.
* **Limitations:** Applies only to **government healthcare institutions**, not private entities. Requires following specific procedures and proving good faith when reporting.
* **Anti-Graft and Corrupt Practices Act (RA 3019):** This act itself criminalizes corruption, and reporting its occurrence can contribute to uncovering and addressing the issue.
* **Patient's Bill of Rights (RA 9759):** While not explicitly addressing reporting corruption, it emphasizes the right to **confidentiality** and **respectful treatment**, which can indirectly protect patients from potential retaliation.
**Challenges and Limitations:**
* **Limited scope:** Existing laws offer primarily procedural protections, not absolute immunity from retaliation.
* **Burden of proof:** Proving the reported corruption and facing potential retaliation can be difficult and require evidence and legal support.
* **Fear of retaliation:** Healthcare professionals might fear repercussions for reporting, especially from powerful individuals or institutions involved in the corruption.
* **Lack of awareness:** Many patients might not be aware of their rights or reporting mechanisms available.
**Recommendations:**
* **Gather evidence:** Document the suspected corruption with details like dates, witnesses, and any concrete evidence (receipts, recordings).
* **Report strategically:** Choose appropriate channels depending on the nature of the corruption:
* **Government healthcare:** Utilize internal complaint mechanisms or report directly to the Office of the Ombudsman, Commission on Audit, or Department of Health.
* **Private healthcare:** Consider reporting to the Philippine Medical Association or Professional Regulation Commission, depending on the professional involved.
* **Seek legal advice:** Consulting a lawyer specializing in healthcare or whistleblower protection can guide you through the process, understand your rights, and potentially represent you if necessary.
* **Public advocacy:** While exercising caution, consider bringing the issue to public attention through media or online platforms to raise awareness and pressure for systemic change.
**Remember:** Reporting corruption takes courage and might involve challenges. However, it's crucial to hold individuals and institutions accountable for unethical practices and contribute to a more transparent and equitable healthcare system.
**Important Note:** This information should not be considered legal advice. Consulting a lawyer for specific guidance based on your individual situation and the details of the corruption you wish to report is highly recommended.</t>
  </si>
  <si>
    <t>How does corruption in the healthcare system affect the distribution and availability of medical resources?</t>
  </si>
  <si>
    <t>Corruption in the healthcare system can significantly impact the distribution and availability of medical resources in the Philippines, based on Philippine law, RA, and Constitutions. Here's how:
**1. Misallocation of funds and resources:**
* **Bribery and extortion:** Public officials or healthcare professionals engage in corrupt practices like bribery to divert funds intended for essential medical equipment, medicines, or infrastructure development.
* **Ghost billing and procurement fraud:** Resources are wasted on fictitious purchases or inflated prices through fraudulent schemes, leaving less for legitimate needs.
* **Favoritism and nepotism:** Resources might be directed towards specific individuals or facilities based on personal connections rather than actual needs and public health priorities.
**2. Unequal access to healthcare:**
* **Limited access for vulnerable populations:** Corruption can exacerbate existing inequalities, making essential medical resources less accessible to financially disadvantaged communities or remote areas.
* **Black market and price gouging:** Corruption can create a black market for essential medicines and supplies, leading to price gouging and further limiting access for those who need it most.
* **Reduced trust and delayed care:** Public distrust in the healthcare system due to corruption can discourage individuals from seeking preventive care or timely treatment, leading to worse health outcomes.
**3. Deterioration of infrastructure and care quality:**
* **Lack of maintenance and investment:** Corruption can lead to a lack of proper maintenance of healthcare facilities and equipment, compromising their functionality and safety.
* **Shortage of qualified personnel:** Underinvestment due to corruption can lead to reduced salaries and working conditions, making it difficult to attract and retain qualified healthcare professionals, especially in underserved areas.
* **Lower quality of care:** Limited resources and lack of skilled personnel can translate to lower quality of care, putting patients at increased risk of complications and negative health outcomes.
**Legal Framework:**
* **Constitution of the Philippines:** Article III, Section 15 guarantees the right to health, which requires the government to ensure equitable access to healthcare resources.
* **Anti-Graft and Corrupt Practices Act (RA 3019):** Criminalizes acts like bribery and extortion, which can contribute to misallocation of resources.
* **Republic Act No. 9759 (Patient's Bill of Rights):** Guarantees patients' right to informed consent and access to quality healthcare, which are undermined by corruption.
**Remember:** This information is based solely on Philippine law, RA, and Constitutions. It does not constitute legal advice, and consulting a legal professional with expertise in healthcare law is recommended for further details and specific cases.
I hope this information is helpful. Please let me know if you have any other questions.</t>
  </si>
  <si>
    <t>Can individuals take legal action against insurance companies for engaging in corrupt practices that result in denial of coverage or benefits?</t>
  </si>
  <si>
    <t>## Taking Legal Action Against Insurance Companies for Corruption in the Philippines:
Yes, under Philippine law, RA, and Constitutions, individuals can potentially take legal action against insurance companies for engaging in corrupt practices that result in denial of coverage or benefits. However, it's important to understand the complexity and challenges involved.
**Potential Avenues:**
* **Civil lawsuit:** You could file a civil lawsuit for damages against the insurance company, alleging:
* **Breach of contract:** If the insurance company denied coverage in violation of the terms and conditions of your policy.
* **Bad faith:** If the insurance company acted in bad faith by denying your claim without a reasonable basis or engaging in unfair claim settlement practices.
* **Fraud:** If the insurance company engaged in fraudulent activities related to your claim.
**Challenges:**
* **Proving corruption:** Demonstrating a clear connection between the corrupt practices and the denial of your claim is crucial. You need to show the corruption directly influenced the decision, not other factors like genuine medical exclusions or pre-existing conditions.
* **Evidence gathering:** Gathering strong evidence of both the corruption and the wrongful denial of your claim is essential. This might involve communication with the insurance company, legal interpretations of your policy, expert opinions on the denial, and documentation of the suspected corrupt practices.
* **Burden of proof:** The burden of proof lies with you to demonstrate all elements of your claim, including the corruption, its impact on your case, and the resulting harm caused by the denial.
* **Complexity and costs:** Pursuing legal action can be time-consuming, expensive, and require specialized legal expertise in insurance law and civil litigation.
**Alternative Avenues:**
* **Insurance Commission:** You can lodge a complaint with the Insurance Commission, the government agency regulating insurance companies, alleging unfair claim settlement practices. They have the authority to investigate and impose sanctions on insurance companies.
* **Public advocacy:** Raising awareness through media or online platforms about your case and the broader issue of insurance company corruption can pressure authorities and the insurance industry to take action.
**Legal Framework:**
* **Republic Act No. 10607 (Amended Insurance Code):** This law prohibits unfair claim settlement practices by insurance companies and outlines specific regulations they must follow.
* **Civil Code of the Philippines:** This law provides provisions for breach of contract, damages, and bad faith, which can be relevant in your case.
* **Constitution of the Philippines:** Article III, Section 7 guarantees the right to access to information, which can be helpful in gathering evidence of corruption.
**Important Notes:**
* This information is for general understanding and should not be considered legal advice. Consulting a lawyer with expertise in insurance law is crucial for a detailed assessment of your specific situation and potential legal options.
* The success of any legal action relies heavily on proving the specific circumstances of your case and the corruption's direct link to the denial of your claim.
* While legal avenues exist, the process can be challenging and requires careful consideration of your resources and the potential complexities involved.
I hope this information, based solely on Philippine law, RA, and Constitutions, is helpful. Please let me know if you have any other questions.</t>
  </si>
  <si>
    <t>What role do law enforcement agencies play in investigating and prosecuting corruption within the healthcare industry?</t>
  </si>
  <si>
    <t>In the Philippines, several law enforcement agencies play a role in investigating and prosecuting corruption within the healthcare industry, each with specific focus and responsibilities based on Philippine law, RA, and Constitutions:
**1. Philippine National Police (PNP):**
* **Wide jurisdiction:** Handles a broad range of criminal offenses, including those potentially related to healthcare corruption like bribery, extortion, and falsification of documents.
* **Anti-Corruption Task Force (ACTF):** Specialized unit within the PNP responsible for investigating and apprehending individuals involved in major corruption cases, including those in the healthcare sector.
* **Limitations:** May not have specialized expertise in complex healthcare-related corruption schemes.
**2. National Bureau of Investigation (NBI):**
* **Focus on complex crimes:** Investigates complex and high-profile crimes, often involving white-collar offenses and organized crime, potentially relevant to intricate healthcare corruption cases.
* **Expertise:** Equipped with specialized investigators and resources for in-depth investigations.
* **Limitations:** May not have dedicated resources solely for healthcare corruption.
**3. Office of the Ombudsman (Ombudsman):**
* **Focus on public officials:** Investigates and prosecutes complaints against public officials, including those working in government healthcare institutions, for offenses like bribery, graft, and malversation of public funds.
* **Complaints:** Individuals can file complaints directly with the Ombudsman if they suspect corruption involving public officials within the healthcare system.
* **Limitations:** Jurisdiction limited to public officials, not private healthcare entities or individuals.
**4. Department of Health (DOH):**
* **Regulatory body:** Oversees the healthcare system and has internal investigation units to probe potential misconduct or corruption within healthcare institutions, both public and private.
* **Administrative sanctions:** Can impose administrative sanctions like license suspensions or closures based on their investigations.
* **Limitations:** Primary focus is on administrative actions, not criminal prosecution.
**5. Commission on Audit (COA):**
* **Auditing agency:** Conducts audits of government agencies and institutions, including healthcare facilities, to identify and report potential misuse of public funds or irregularities that could indicate corruption.
* **Recommendations:** Submits audit reports with recommendations for corrective action or prosecution, but doesn't directly handle criminal investigations.
**Additional Points:**
* **Cooperation and coordination:** Effective investigation and prosecution often require collaboration between different agencies depending on the specific case and who is involved.
* **Citizen participation:** Reporting suspected corruption to relevant authorities is crucial for initiating investigations and holding perpetrators accountable.
* **Legal framework:** Several laws and regulations guide the work of these agencies, including the Anti-Graft and Corrupt Practices Act (RA 3019), the Revised Penal Code, and the Patient's Bill of Rights (RA 9759).
**Remember:** This information is based solely on Philippine law, RA, and Constitutions. It does not constitute legal advice, and consulting a lawyer specializing in criminal law or healthcare law is recommended for further details and specific cases.
I hope this information is helpful. Please let me know if you have any other questions.</t>
  </si>
  <si>
    <t>Can individuals seek compensation for injuries or harm resulting from corruption in their healthcare treatment?</t>
  </si>
  <si>
    <t>Yes, individuals in the Philippines **can potentially seek compensation for injuries or harm resulting from corruption in their healthcare treatment**, but the path is complex and challenging, relying heavily on specific Philippine laws, RAs, and Constitutions. Here's a breakdown:
**Potential Avenues:**
* **Civil Lawsuit:** You could file a civil lawsuit for damages against the healthcare institution or individuals involved in the corruption, alleging:
* **Breach of contract:** If there was a specific agreement violated due to corruption, like paying for a service not provided due to diversion of funds.
* **Breach of fiduciary duty:** Healthcare professionals have a duty to act in your best interest, and corruption can be seen as a breach of that duty.
* **Medical malpractice:** If the harm directly resulted from negligence or substandard care due to corruption-related factors.
**Challenges:**
* **Proving causation:** Demonstrating a **clear causal link** between the corruption and your injury is crucial. You need to show the corruption directly caused the harm, not other factors like diagnostic errors or genuine medical risks.
* **Evidence gathering:** Gathering **strong evidence** of both the corruption and the resulting harm is essential. This might involve medical records, communication with healthcare providers, expert opinions on the harm and its connection to the corruption, and documentation of the corrupt practices.
* **Burden of proof:** The **burden of proof** lies with you to demonstrate all elements of your claim, including the corruption, its impact on your case, and the resulting harm to your health.
* **Complexity and costs:** Pursuing legal action can be **time-consuming, expensive**, and require specialized legal expertise in healthcare law and civil litigation.
**Alternative Avenues:**
* **Administrative complaints:** Filing complaints with the **Professional Regulation Commission (PRC)** or relevant regulatory bodies against the healthcare provider(s) involved might not lead to direct compensation but can trigger investigations and hold them accountable.
* **Public advocacy:** Raising awareness through **media or online platforms** about your case and the broader issue of corruption can pressure authorities to take action and potentially lead to policy changes.
**Legal Framework:**
* **Philippine Constitution:** Article III, Section 7 guarantees the **right to health** and **right to information**, which can be used to support claims of harm caused by corrupt practices.
* **Republic Act No. 3019 (Anti-Graft and Corrupt Practices Act):** Criminalizes acts of public officials and employees like bribery and extortion, which might be relevant if healthcare professionals involved are government employees.
* **Republic Act No. 9759 (Patient's Bill of Rights):** Establishes patients' rights, including informed consent and confidentiality, which can be violated due to corruption.
**Important Notes:**
* This information is for general understanding and should not be considered legal advice. Consulting a lawyer with expertise in healthcare law is crucial for a detailed assessment of your specific situation and potential legal options.
* The success of any legal action relies heavily on **proving the specific circumstances** of your case and the corruption's direct link to your harm.
* While legal avenues exist, the process can be challenging and requires careful consideration of your resources and the potential complexities involved.
I hope this information, based solely on Philippine law, RA, and Constitutions, is helpful. Please let me know if you have any other questions.</t>
  </si>
  <si>
    <t>How can patients ensure that their medical decisions are not influenced by corrupt practices within the healthcare system?</t>
  </si>
  <si>
    <t>## Ensuring Medical Decision Autonomy in a Corrupt Healthcare System (Philippine Law, RA, and Constitutions):
While completely eliminating the risk of corruption is impossible, here are some steps patients can take to ensure their medical decisions are not influenced by corrupt practices in the Philippines, based on Philippine law, RA, and Constitutions:
**Before making a decision:**
* **Informed consent:** **Always thoroughly understand** the medical procedures, risks, and benefits presented by healthcare professionals. **Ask questions and clarify any doubts.** Do not feel pressured into making a decision you don't fully understand.
* **Seek second opinions:** Consider seeking opinions from other qualified healthcare professionals, especially if you have concerns about the proposed treatment or if the cost seems excessive.
* **Transparency and documentation:** Request written explanations for diagnoses, treatment plans, and costs. Keep copies of all medical records and receipts.
* **Be aware of red flags:** Be cautious of healthcare professionals who:
* Pressure you into unnecessary tests, procedures, or medications.
* Offer incentives like free consultations or discounts in exchange for specific treatments.
* Avoid answering your questions directly or seem evasive about costs.
**Protecting your rights:**
* **Patient's Bill of Rights (RA 9759):** Familiarize yourself with your rights as a patient under this law. You have the right to:
* Informed consent
* Confidentiality of medical records
* Choose your healthcare provider
* Refuse treatment
* File complaints
* **File complaints:** If you suspect corruption, report it to the appropriate authorities, such as:
* The Professional Regulation Commission (PRC) for concerns about the healthcare professional's conduct.
* The Department of Health (DOH) for concerns about the healthcare institution's practices.
* The Office of the Ombudsman for complaints against public officials involved in corruption.
* **Public advocacy:** Join or support patient advocacy groups that raise awareness about corruption and advocate for systemic changes.
**Additional points:**
* **Stay informed:** Keep yourself updated on government initiatives and reforms aimed at addressing healthcare corruption.
* **Build trust with your healthcare provider:** Choose a healthcare professional you trust and feel comfortable communicating openly with.
* **Empowerment through knowledge:** The more informed and aware you are, the better equipped you are to identify and address potential concerns.
**Remember:**
* While navigating a potentially corrupt system can be challenging, asserting your rights and seeking support are crucial for protecting your autonomy and ensuring ethical medical care.
* This information should not be considered legal advice. Consulting a lawyer specializing in healthcare law can provide specific guidance and support based on your individual situation.
I hope this information, based solely on Philippine law, RA, and Constitutions, is helpful. Please let me know if you have any other questions.</t>
  </si>
  <si>
    <t>Can individuals pursue criminal charges against healthcare professionals or institutions involved in corrupt activities?</t>
  </si>
  <si>
    <t>Yes, individuals **can potentially pursue criminal charges against healthcare professionals or institutions involved in corrupt activities** under Philippine law, RA, and Constitutions. However, the success depends on several factors and the specific nature of the corruption:
**Potential Charges:**
* **Anti-Graft and Corrupt Practices Act (RA 3019):** Criminalizes acts of public officials and employees like bribery, extortion, and falsification of documents. If healthcare professionals involved are government employees, this act could be applicable.
* **Revised Penal Code (RPC):** Covers general criminal offenses like theft, fraud, and estafa, which can be applicable in some corruption cases involving private healthcare institutions or individuals.
* **Other Relevant Laws:** Depending on the specific act of corruption, other laws like the Dangerous Drugs Act or the Code of Medical Ethics might be relevant.
**Challenges:**
* **Proving the crime:** The burden of proof lies on the individual to demonstrate the act of corruption beyond reasonable doubt. This can be challenging, especially if the corruption involves complex schemes or lack of concrete evidence.
* **Causation:** Linking the individual's harm directly to the corrupt act is crucial. It's not enough to prove corruption occurred; you need to show it directly caused you harm.
* **Legal expertise:** Pursuing criminal charges requires specialized legal expertise in criminal law and healthcare law.
* **Costs and duration:** Litigation can be expensive and time-consuming.
**Alternative Avenues:**
* **Administrative complaints:** Filing complaints with regulatory bodies like the Professional Regulation Commission (PRC) or the Department of Health (DOH) can lead to disciplinary actions against healthcare professionals, even if not directly resulting in criminal charges.
* **Civil lawsuits:** You could potentially file a civil lawsuit for damages against the healthcare institution or individuals involved, alleging breach of contract, breach of fiduciary duty, or medical malpractice.
* **Public advocacy:** Raising awareness through media or online platforms about the issue can pressure authorities to take action and potentially lead to policy changes.
**Important Notes:**
* This information is for general understanding and should not be considered legal advice. Consulting a lawyer with expertise in criminal law and healthcare law is crucial for a detailed assessment of your specific situation and potential legal options.
* The Philippine government is implementing reforms to address corruption in the healthcare system, and legal avenues might evolve in the future.
I hope this information, based solely on Philippine law, RA, and Constitutions, is helpful. Please let me know if you have any other questions.</t>
  </si>
  <si>
    <t>How does corruption in the healthcare system impact public trust and confidence in the medical profession?</t>
  </si>
  <si>
    <t>## Impact of Healthcare Corruption on Public Trust in Medical Profession (Philippine Law, RA, and Constitutions)
Corruption in the healthcare system **significantly undermines public trust and confidence in the medical profession** in the Philippines, based on Philippine law, RA, and Constitutions. Here's how:
**1. Erosion of Ethical Principles:**
* **Breaches professional ethics:** Corrupt practices violate professional codes of conduct, oath-taking, and ethical principles like honesty, integrity, and patient welfare.
* **Public perceives healthcare professionals as untrustworthy:** This damages the reputation of the entire profession, leading to skepticism and distrust towards all medical practitioners.
**2. Inequality and Injustice:**
* **Corruption favors the wealthy and connected:** Unequal access to healthcare due to bribery, extortion, or diversion of resources creates a sense of injustice and undermines the principle of fairness.
* **Public loses faith in healthcare system's ability to provide equitable care:** This can discourage individuals from seeking necessary medical attention, even when available.
**3. Diminished Quality of Care:**
* **Misallocation of funds and resources:** Corruption can lead to shortages of essential equipment, medicines, and qualified personnel, compromising the quality of care received by patients.
* **Public perceives compromised care and potential harm:** This fuels distrust and fear of receiving substandard or unsafe treatment due to corrupt practices.
**4. Lack of Accountability and Transparency:**
* **Cover-ups and impunity:** Corruption often thrives in environments lacking transparency and accountability. This fosters public perception that corrupt practices go unpunished, further eroding trust.
* **Public feels powerless and voiceless:** The absence of effective mechanisms for reporting and addressing corruption weakens public faith in the system's ability to self-correct.
**5. Legal and Constitutional Violations:**
* **Corruption breaches various Philippine laws and constitutional principles:** This includes the Anti-Graft and Corrupt Practices Act (RA 3019), the Code of Medical Ethics, and the right to health.
* **Public feels justice system is failing to protect their rights:** This fuels cynicism and undermines trust in the government and legal institutions responsible for upholding ethical conduct.
**Overall, corruption in the healthcare system creates a vicious cycle of distrust, impacting the individual patient-doctor relationship, the reputation of the entire medical profession, and public confidence in the healthcare system as a whole.**
**Remember:** This information is based solely on Philippine law, RA, and Constitutions. It does not constitute legal advice, and consulting a legal professional for further details and specific cases is recommended.</t>
  </si>
  <si>
    <t>Are there international legal mechanisms for addressing corruption in the healthcare sector across borders?</t>
  </si>
  <si>
    <t>## International Legal Mechanisms for Addressing Cross-Border Healthcare Corruption:
Yes, several international legal mechanisms address corruption in the healthcare sector across borders, including:
**1. United Nations Convention against Corruption (UNCAC):**
* The most comprehensive global anti-corruption treaty, ratified by the Philippines in 2006.
* Establishes **criminalization of various corrupt practices** including bribery, trading in influence, and embezzlement.
* Requires **international cooperation** for information sharing, mutual legal assistance, and asset recovery.
* Implementation monitored by the **United Nations Office on Drugs and Crime (UNODC).**
**2. International Health Regulations (IHR):**
* Adopted by the World Health Organization (WHO) and acceded to by the Philippines in 2005.
* Aim to **prevent and respond to public health emergencies** through international cooperation.
* Can be used to address **corruption that endangers public health** across borders, like falsified medical products or cross-border healthcare fraud.
**3. Organization for Economic Co-operation and Development (OECD) Convention on Combating Bribery of Foreign Public Officials in International Business Transactions:**
* Aims to **criminalize bribery of foreign officials** in international business transactions.
* Can be used to **address bribery within the healthcare sector** when it involves international transactions.
* The Philippines is not a signatory, but its principles are reflected in domestic anti-corruption laws.
**4. Council of Europe Convention on Criminal Law on Corruption and its Additional Protocols:**
* Focuses on criminalization of corruption offenses and international cooperation in investigations and prosecutions.
* Philippines is not a party, but its principles align with UNCAC and Philippine domestic laws.
**5. Regional Anti-Corruption Agreements:**
* Several regional agreements exist, like the ASEAN Convention Against Corruption and the Inter-American Convention against Corruption, focusing on cooperation and capacity building within their respective regions.
* The Philippines is a party to the ASEAN Convention, which can be used for regional cooperation on healthcare corruption.
**Additional Points:**
* These mechanisms require **cooperation between national governments** and may not be directly enforceable by individuals.
* Reporting suspected cross-border healthcare corruption to relevant national authorities or international organizations like UNODC is crucial.
* Civil society organizations play a role in advocacy and monitoring implementation of these mechanisms.
**Remember:** This information is based solely on Philippine law, RA, and Constitutions, and international treaties and conventions ratified by the Philippines. Consulting a legal professional specializing in international law is recommended for further details and specific cases.</t>
  </si>
  <si>
    <t>Can individuals request public records or information related to investigations into corruption within the healthcare system under freedom of information laws?</t>
  </si>
  <si>
    <t>Yes, individuals in the Philippines can request public records or information related to investigations into corruption within the healthcare system under freedom of information laws, specifically:
**Executive Order No. 2, s. 2016 (Freedom of Information Executive Order):**
* Section 3 grants every Filipino citizen access to information, official records, public records, and documents pertaining to official acts, transactions, or decisions, including **government research data used as basis for policy development**. This encompasses investigation reports related to corruption within the healthcare system.
* Section 4 outlines exceptions, but **investigations into corruption generally do not fall under these exceptions**, unless they involve national security, ongoing legal proceedings, or personal privacy concerns.
**Republic Act No. 6733 (An Act Establishing the Public Attorney's Office)**:
* Section 3 (b) empowers the Public Attorney's Office to **assist individuals in securing access to government information**. This includes advising and representing individuals seeking information related to investigations into healthcare system corruption.
**Constitution of the Republic of the Philippines, Article III, Section 7:**
* Guarantees the **right of the people to information on matters of public concern**. This right applies to information about investigations into corruption within the healthcare system, as it impacts public health and governance.
**Additional Points:**
* The **specific procedure for requesting information** might vary depending on the agency holding the records. You can usually find information on the agency's website or by contacting them directly.
* If your request is denied, you have the right to **appeal the decision**.
* Some agencies may charge **reasonable fees** for copying and processing information requests.
**Important Notes:**
* While the right to access information exists, obtaining specific details of ongoing investigations or sensitive information might be subject to limitations.
* Consulting a lawyer specializing in freedom of information laws is recommended for navigating specific procedures, understanding potential limitations, and maximizing your chances of obtaining the desired information.
I hope this information, based solely on Philippine law, RA, and Constitutions, is helpful. Please let me know if you have any other questions.</t>
  </si>
  <si>
    <t>What legal avenues exist for patients who believe they were subjected to unnecessary medical procedures or treatments due to corruption?</t>
  </si>
  <si>
    <t>Yes, but unfortunately, pursuing legal action for **unnecessary medical procedures or treatments due to suspected corruption** in the Philippines is complex and faces challenges, but options exist. Here's a breakdown:
**Challenges:**
* **Proving causation:** Demonstrating a clear **causal link** between corruption and the unnecessary procedure is crucial. You need to show the corruption directly influenced the decision, not other factors like diagnostic errors or genuine medical uncertainties.
* **Evidence gathering:** Gathering **strong evidence** of both the unnecessary procedure and the corruption is essential. This might involve medical records, communication with healthcare providers, expert opinions on the procedure's necessity, and documentation of the corrupt practices.
* **Burden of proof:** The **burden of proof** lies with you to demonstrate all elements of your claim, including the lack of medical necessity, the corruption's role, and the resulting harm to your health.
* **Complexity and costs:** Legal action can be **time-consuming, expensive**, and require specialized legal expertise in healthcare law and civil litigation.
**Potential Avenues:**
* **Civil lawsuit:** You could file a **civil lawsuit** for damages against the healthcare institution or individuals involved in the corruption, alleging breach of contract, breach of fiduciary duty, or medical malpractice. However, proving both the unnecessary procedure and the corruption's role can be challenging.
* **Administrative complaints:** You can lodge a complaint with the **Professional Regulation Commission (PRC)** or relevant regulatory bodies against the healthcare provider(s) involved. This might not lead to direct compensation but can trigger investigations and hold them accountable.
* **Public advocacy:** Raising awareness through **media or online platforms** about your case and the broader issue of corruption can pressure authorities to take action and potentially lead to policy changes.
**Additional Considerations:**
* **Alternatives:** Exploring other avenues like seeking a second opinion from another healthcare professional, reporting the incident to regulatory bodies, and advocating for systemic changes through patient advocacy groups might be more feasible or complementary to legal action.
* **Individual circumstances:** Each case is unique, and consulting with a lawyer experienced in healthcare law is crucial for a detailed assessment of your situation and potential legal options.
* **Legal developments:** The Philippine healthcare system is undergoing reforms, and legal options might evolve in the future, offering more avenues for redress in such cases.
**Remember:**
* This information is for general understanding and should not be considered legal advice. Consulting with a lawyer for specific details and legal interpretations is crucial.
* While the legal path might be challenging, pursuing justice and holding perpetrators accountable is important to deter future corruption and ensure ethical healthcare practices.
I hope this information helps. Please let me know if you have any other questions.</t>
  </si>
  <si>
    <t>How do anti-corruption laws apply differently to public and private healthcare institutions?</t>
  </si>
  <si>
    <t>Anti-corruption laws in the Philippines apply differently to public and private healthcare institutions due to the nature of their operations and funding sources. Here's a breakdown:
**Public Healthcare Institutions:**
* Primarily governed by the **Anti-Graft and Corrupt Practices Act (RA 3019)**, which criminalizes acts of public officials and employees like bribery, extortion, and falsification of documents.
* Subject to stricter scrutiny under the **Constitution**, which mandates good governance and public accountability.
* Additional regulations from the **Department of Health (DOH)** and Commission on Audit (COA) apply to procurement, budget allocation, and financial management.
**Private Healthcare Institutions:**
* Primarily governed by the **Revised Penal Code**, which criminalizes general acts like theft, fraud, and estafa, which can be applicable in corruption cases.
* Subject to the **Securities Regulation Code** if publicly listed, ensuring transparency and ethical business practices.
* **Anti-Money Laundering Act (AMLA)** applies to prevent using their platforms for illegal financial activities.
* Internal governance structures and ethical codes adopted by the institution also play a role.
**Key Differences:**
* **Stricter regulations and oversight:** Public institutions face more stringent regulations and stricter penalties for corruption due to their public funding and accountability mandates.
* **Scope of laws:** Public officials face additional laws like RA 3019, while private institutions rely more on general criminal and business regulations.
* **Enforcement:** Enforcement might be more rigorous for public institutions, with dedicated agencies like the Ombudsman focusing on their conduct.
**Similarities:**
* **Both are subject to anti-corruption principles:** Both types of institutions should uphold transparency, accountability, and ethical conduct to prevent and address corruption.
* **Individuals involved can be held liable:** Regardless of the institution's type, individuals involved in corrupt practices can face legal consequences based on relevant laws.
**Important Notes:**
* This is a simplified overview, and specific laws and their application may vary depending on the circumstances of each case.
* Anti-corruption efforts are ongoing, and new regulations or interpretations might emerge in the future.
* Consulting a lawyer specializing in healthcare law for specific situations and legal implications is always recommended.
I hope this helps! Let me know if you have any other questions.</t>
  </si>
  <si>
    <t>Can individuals seek legal remedies if they were denied access to life-saving medications or treatments due to corruption within the healthcare system?</t>
  </si>
  <si>
    <t>Yes! but unfortunately, in the Philippines, seeking legal remedies for **denial of access to life-saving medications or treatments due to corruption** is complex and faces challenges, but it's not impossible. Here's a breakdown of the situation:
**Challenges:**
* **Causation:** Proving a clear **causal link** between corruption and denial of access is crucial. You need to demonstrate the corruption directly hindered your access to the specific medication or treatment and not other factors like insurance limitations or lack of availability.
* **Evidence:** Gathering **strong evidence** of the corruption, your need for the medication/treatment, and the denial of access is essential. This might involve medical records, communication with healthcare providers, and documentation of the corrupt practices.
* **Burden of proof:** The **burden of proof** lies with you to demonstrate all elements of your claim, including the corruption, its impact on your case, and the resulting harm to your health.
* **Complexity and costs:** Pursuing legal action can be **time-consuming, expensive**, and require specialized legal expertise in healthcare law and civil litigation.
**Potential Avenues:**
* **Civil lawsuit:** You could file a **civil lawsuit** for damages against the healthcare institution or individuals involved in the corruption, alleging breach of contract, breach of fiduciary duty, or violation of your right to health. However, proving specific harm and causation can be challenging.
* **Administrative complaints:** You can lodge a complaint with the **Department of Health, Philippine National Police, or the Office of the Ombudsman** against the healthcare institution or individuals involved. This might not lead to direct compensation but can trigger investigations and hold perpetrators accountable.
* **Public advocacy:** Raising awareness through **media or online platforms** about your case and the broader issue of corruption can pressure authorities to take action and potentially lead to policy changes.
**Additional Considerations:**
* **Alternatives:** Exploring other avenues like seeking the medication/treatment through alternative sources or advocating for systemic changes through patient advocacy groups might be more feasible or complementary to legal action.
* **Individual circumstances:** Each case is unique, and consulting with a lawyer experienced in healthcare law is crucial for a detailed assessment of your situation and potential legal options.
* **Legal developments:** The Philippine healthcare system is undergoing reforms and legal landscape might evolve in the future, potentially offering more avenues for redress in such cases.
**Remember:**
* This information is for general understanding and should not be considered legal advice. Consulting with a lawyer for specific details and legal interpretations is crucial.
* While the legal path might be challenging, pursuing justice and holding perpetrators accountable is important to deter future corruption and ensure equitable access to healthcare for all.
I hope this information helps. Please let me know if you have any other questions.</t>
  </si>
  <si>
    <t>How can patients ensure that their medical research or clinical trials are not influenced by corrupt practices?</t>
  </si>
  <si>
    <t>Ensuring that your medical research or clinical trial participation remains free from corrupt practices requires vigilance and proactive steps. While complete elimination of risk is impossible, here are some strategies you can employ:
**Before Participating:**
* **Research the study and sponsor:** Conduct thorough research on the study itself, its objectives, and the sponsoring institution. Look for reputable organizations with a proven track record of ethical research.
* **Review the informed consent document:** Carefully read and understand the informed consent document. Ask questions and clarify any doubts you have about potential risks, benefits, and data handling practices.
* **Consult with an independent healthcare professional:** Discuss the study with your doctor or another healthcare professional not involved in the research. Seek their independent opinion and advice on potential risks and benefits specific to your situation.
**During the Study:**
* **Report any concerns:** If you observe any unethical practices or suspect corruption, report them immediately to the study investigator or relevant authorities.
* **Maintain clear communication:** Ask questions and express your concerns openly with the research team. Don't hesitate to speak up if you feel pressured or uncomfortable with any aspect of the study.
* **Stay informed:** Keep yourself updated on the research's progress and any developments related to the study.
**Additional Resources:**
* **ClinicalTrials.gov:** This U.S. government website provides comprehensive information on clinical trials, including their sponsors and funding sources.
* **World Health Organization (WHO):** The WHO provides resources and guidelines for ethical research conduct.
* **Independent ethics committees (IECs):** Some hospitals and research institutions have independent ethics committees that review and approve research protocols. Contact them if you have concerns about a particular study.
* **Patient advocacy groups:** Patient advocacy groups can offer support and guidance on navigating clinical trials and understanding your rights as a participant.
**Remember:**
* **Empowerment through knowledge:** The more informed you are, the better equipped you are to identify and address potential concerns.
* **Your voice matters:** Speak up if you see something wrong. Reporting unethical practices is crucial for protecting yourself and other participants.
* **Seek support:** Don't hesitate to seek help from independent healthcare professionals, patient advocacy groups, or relevant authorities if needed.
While eliminating all risk of corruption in research is impossible, by taking these steps and staying vigilant, you can increase the chances of participating in ethical and trustworthy medical research.</t>
  </si>
  <si>
    <t>Can individuals take legal action against healthcare professionals for breaches of patient confidentiality related to corruption?</t>
  </si>
  <si>
    <t>While individuals in the Philippines **may have potential grounds to take legal action against healthcare professionals for breaches of patient confidentiality related to corruption**, the success depends on several factors and specific circumstances. Here's a breakdown based on Philippine law, RA, and Constitutions:
**Potential Grounds and Challenges:**
* **Breach of Patient Confidentiality:** Healthcare professionals have a **fiduciary duty** to safeguard patient confidentiality. Sharing confidential information without consent can be considered a breach of this duty and potentially violate the Data Privacy Act (RA 10173).
* **Connection to Corruption:** To strengthen the case, you need to **demonstrate a clear link** between the breach of confidentiality and the corrupt activities. Simply sharing information without authorization might not be enough.
* **Harm Caused:** You must **demonstrate harm** resulting from the breach of confidentiality, such as financial loss, emotional distress, or reputational damage.
* **Evidence Gathering:** Proving the breach, its connection to corruption, and the resulting harm requires **strong evidence**, including medical records, communication records, and witness testimonies.
**Legal Avenues and Challenges:**
* **Civil Lawsuit:** You could file a **civil lawsuit** for damages against the healthcare professional for breach of contract, breach of fiduciary duty, or violation of the Data Privacy Act. However, proving specific harm and causation can be challenging.
* **Administrative Complaints:** You can lodge a complaint with the **Professional Regulation Commission (PRC)** or relevant regulatory bodies against the healthcare professional for ethical violations. This might result in disciplinary action but not necessarily financial compensation.
* **Criminal Complaint:** If the breach of confidentiality involved disclosing information for personal gain or malicious intent, you could consider filing a **criminal complaint** for violations of the Revised Penal Code or other relevant laws. However, this route usually requires stronger evidence and specific intent.
**Important Notes:**
* **Complexity and Difficulty:** Pursuing legal action against healthcare professionals for breaches of confidentiality related to corruption can be complex and resource-intensive.
* **Alternatives:** Exploring other avenues like reporting the corruption to relevant authorities or advocating for systemic changes through patient advocacy groups might be more feasible.
* **Individual Circumstances:** Each case depends on specific facts and circumstances. Consult with a lawyer experienced in healthcare law and data privacy for a detailed assessment of your situation and potential legal options.
Remember, this information is for general understanding and should not be considered legal advice. Consulting with a lawyer for specific details and legal interpretations is crucial.</t>
  </si>
  <si>
    <t>What legal protections exist for patients who suffer emotional or psychological harm due to corruption within the healthcare system?</t>
  </si>
  <si>
    <t>Yes! but unfortunately, in the Philippines, **legal protections for patients seeking compensation for emotional or psychological harm due to corruption within the healthcare system are limited**. Here's a breakdown of the challenges and potential avenues for seeking redress:
**Challenges:**
* **Difficulties in proving causation:** Linking emotional or psychological harm directly to corruption can be challenging, requiring strong evidence and expert witness testimony.
* **Limited legal recognition:** Philippine law primarily focuses on compensation for physical harm or financial losses, making it difficult to claim damages for solely emotional or psychological distress.
* **Burden of proof:** The burden of proof lies with the patient to demonstrate both the corrupt practices and their resulting emotional or psychological harm.
* **Complexity of legal procedures:** Pursuing legal action can be lengthy, expensive, and require specialized legal expertise in healthcare law and personal injury cases.
**Potential Avenues:**
* **Civil complaints:** While challenging, filing a civil complaint against the healthcare institution might be possible if you can demonstrate the corruption resulted in a breach of contract or fiduciary duty, leading to emotional harm.
* **Administrative complaints:** Reporting the corruption to regulatory bodies like the Department of Health or the Office of the Ombudsman can trigger investigations and potentially lead to disciplinary action against healthcare providers, although it might not directly provide compensation.
* **Advocacy and collective action:** Joining or supporting patient advocacy groups can amplify voices, raise awareness about the issue, and advocate for legal reforms to strengthen protections for patients affected by corruption.
**Additional Considerations:**
* **Seeking professional support:** Addressing emotional or psychological distress caused by the experience is crucial. Consider seeking counseling or therapy from qualified professionals.
* **Gathering evidence:** Documenting the corrupt practices, communication with healthcare providers, and any evidence of emotional distress can be helpful if you choose to pursue legal action in the future.
* **Consulting a lawyer:** While legal options might be limited, consulting with a lawyer experienced in healthcare law can help you understand your rights, explore potential avenues, and assess the feasibility of pursuing legal action.
**Remember:**
This information is for general understanding and should not be considered legal advice. Each case depends on specific facts and circumstances. Consulting a lawyer for personalized guidance and potential legal options is highly recommended.</t>
  </si>
  <si>
    <t>How does corruption in the healthcare system impact vulnerable populations, such as low-income or marginalized communities?</t>
  </si>
  <si>
    <t>Corruption in the healthcare system **disproportionately harms vulnerable populations**, including low-income and marginalized communities, in several ways:
**Reduced Access to Care:**
* **Financial barriers:** Corrupt practices can lead to inflated costs for medicines, treatments, and hospital stays, making them inaccessible for those with limited financial resources.
* **Diverted resources:** Funds intended for public healthcare infrastructure and services may be misused, leading to shortages of essential equipment, medicines, and qualified healthcare professionals, especially in rural areas.
* **Bribery and extortion:** Vulnerable individuals might be pressured into bribes or subjected to extortion by healthcare personnel for basic services, further hindering access to care.
**Lower Quality of Care:**
* **Neglect and discrimination:** Corruption can lead to prioritizing wealthier patients or those offering bribes over those who cannot afford them, resulting in neglect and discrimination against marginalized communities.
* **Compromised quality:** Misuse of funds can lead to inadequate sanitation, outdated equipment, and a lack of essential supplies, compromising the quality of care received by vulnerable populations.
* **Fake medications and substandard treatments:** Corrupt practices can enable the use of counterfeit drugs and unproven treatments, posing serious health risks for vulnerable individuals who might not have the means to verify their authenticity.
**Limited Awareness and Advocacy:**
* **Lack of information:** Marginalized communities may have limited access to information about their rights, available healthcare services, and reporting mechanisms for corruption, making them vulnerable to exploitation.
* **Fear of retaliation:** They might fear speaking up about corrupt practices due to potential repercussions from healthcare providers or powerful individuals within their communities.
* **Limited voice and representation:** Marginalized communities often lack the resources and platforms to effectively advocate for their healthcare needs and hold corrupt officials accountable.
**Overall Impact:**
* **Increased health risks and morbidity:** Limited access to quality care, coupled with inadequate resources and awareness, can lead to higher rates of preventable illnesses, delayed diagnoses, and poorer health outcomes in vulnerable populations.
* **Exacerbated social and economic inequalities:** Corruption perpetuates existing inequalities by further marginalizing vulnerable groups and hindering their access to essential healthcare services.
* **Loss of trust and confidence:** Widespread corruption erodes trust in healthcare institutions and providers, discouraging individuals from seeking necessary care, even when available.
**Addressing the Issue:**
* **Strengthening transparency and accountability:** Implementing robust anti-corruption measures, promoting transparency in healthcare practices, and ensuring effective grievance mechanisms are crucial.
* **Empowering communities:** Providing marginalized communities with information, education, and resources to advocate for their healthcare rights and report instances of corruption.
* **Targeted interventions:** Designing healthcare policies and programs specifically addressing the needs and vulnerabilities of low-income and marginalized communities.
By acknowledging the disproportionate impact of corruption on vulnerable populations and taking concerted efforts to address it, we can work towards a more equitable and just healthcare system for all.</t>
  </si>
  <si>
    <t>Can individuals pursue class-action lawsuits against healthcare institutions for widespread corruption affecting multiple patients?</t>
  </si>
  <si>
    <t>While the **possibility of class-action lawsuits** against healthcare institutions for widespread corruption affecting multiple patients exists in the Philippines, it's **complex and success depends heavily on specific circumstances**. Here's a breakdown based on Philippine law, RA, and Constitutions:
**Requirements for Class Action:**
* **Numerousness:** A significant number of individuals (usually 40 or more) must be similarly affected by the alleged corruption.
* **Commonality:** The legal issues and claims must be substantially similar for all class members.
* **Typicality:** One or a few members can represent the entire class, demonstrating their claims are typical of the experiences of all affected individuals.
* **Adequacy of representation:** The named class representatives and their lawyers must be capable of effectively representing the interests of the entire class.
**Challenges for Class Action in Healthcare Corruption:**
* **Individualized harm:** Proving each individual suffered specific harm due to the corruption can be challenging, especially if the corruption's impact is indirect.
* **Evidence gathering:** Collecting evidence demonstrating widespread corruption and its impact on individual patients can be resource-intensive.
* **Legal expertise:** Class action lawsuits require specialized legal expertise in both civil litigation and class action procedures.
* **Cost and duration:** These lawsuits can be lengthy and expensive, requiring significant commitment from class representatives and lawyers.
**Alternative Avenues:**
* **Collective complaints:** Individuals can file **joint complaints** with regulatory bodies like the Department of Health or the Office of the Ombudsman, potentially triggering investigations and collective action.
* **Advocacy and lobbying:** Joining or supporting **patient advocacy groups** can amplify voices and advocate for systemic changes to address corruption.
* **Public awareness campaigns:** Raising awareness through **media or online platforms** can pressure authorities to take action on behalf of all affected individuals.
**Important Notes:**
* Pursuing a class-action lawsuit against healthcare institutions for corruption is a **complex and demanding endeavor**.
* Alternative avenues might be more effective and less resource-intensive depending on the specific circumstances and the scope of the corruption.
* Each case is unique, and consulting a lawyer experienced in class action lawsuits and healthcare law is crucial for a detailed assessment of your situation and potential legal options.
Remember, this information is for general understanding and should not be considered legal advice. It's essential to consult with legal professionals for specific details, potential claims, and legal interpretations regarding class action lawsuits and healthcare corruption.</t>
  </si>
  <si>
    <t>How do defamation laws apply to allegations of corruption made against healthcare providers or institutions?</t>
  </si>
  <si>
    <t>Defamation laws in the Philippines can be complex and nuanced, especially when applied to allegations of corruption made against healthcare providers or institutions. Here's a breakdown of some key points:
**Potential Concerns:**
* **Reputation damage:** Healthcare providers and institutions rely heavily on their reputation for trust and patient confidence. False allegations of corruption can significantly damage their reputation and lead to financial losses.
* **Freedom of expression:** Individuals have the right to express concerns and report suspected wrongdoing, including cases of corruption. Striking a balance between protecting reputations and ensuring freedom of expression is crucial.
**Relevant Laws and Principles:**
* **Article XIX of the 1987 Constitution:** Guarantees freedom of speech and expression.
* **Republic Act No. 3019 (Anti-Graft and Corrupt Practices Act):** Criminalizes various forms of corruption, but defamation is not one of them.
* **Civil Code of the Philippines:** Articles 19, 20, and 32 define rights and obligations related to personality, privacy, and good name.
**Elements of Defamation:**
* **False and defamatory statement:** The statement must be demonstrably false and harmful to the reputation of the healthcare provider or institution.
* **Publication of the statement:** The statement must be communicated to a third party, meaning someone other than the provider or institution itself.
* **Fault:** The person making the statement must have acted with intent to defame or negligence in verifying its accuracy.
**Defenses for the Accused:**
* **Truth:** If the statement is demonstrably true, it cannot be considered defamatory.
* **Fair comment:** Comments based on facts and presented as opinions, even if critical, might be protected under fair comment.
* **Privilege:** Statements made in certain protected settings, like legal proceedings, might enjoy qualified privilege, making them harder to sue for defamation.
**Considerations and Challenges:**
* **Burden of proof:** The burden generally lies with the healthcare provider or institution to prove the statement is false and defamatory.
* **Public interest defense:** If the statement serves a legitimate public interest in exposing corruption, it might be protected even if it damages the provider's reputation.
* **Balancing rights:** Courts must weigh the competing interests of protecting reputations and ensuring freedom of expression on a case-by-case basis.
**Recommendations:**
* **Gather evidence:** If you believe you've been defamed, gather evidence of the statement, its publication, and any harm it caused.
* **Consult a lawyer:** Defamation cases can be complex, and seeking legal advice from a lawyer experienced in media law and defamation is crucial.
* **Be mindful of your language:** When making allegations of corruption, ensure they are based on evidence and expressed responsibly, avoiding unnecessary harm to reputations.
Remember, this information is for general understanding and should not be considered legal advice. It's crucial to consult with legal professionals for specific details, potential claims, and legal interpretations regarding defamation and allegations of corruption in the healthcare sector.</t>
  </si>
  <si>
    <t>Can individuals seek injunctive relief to prevent ongoing corrupt practices within the healthcare system?</t>
  </si>
  <si>
    <t>While the possibility of **seeking injunctive relief** to prevent ongoing corrupt practices within the healthcare system in the Philippines exists, it's **complex and success depends heavily on specific circumstances**. Here's a breakdown based on Philippine law, RA, and Constitutions:
**Injunctive Relief:**
* A court order **prohibiting or requiring specific actions** to prevent harm or maintain the status quo.
* Individuals can seek injunctive relief against **private entities or public officials** engaged in activities deemed illegal or harmful.
**Challenges for Individuals:**
* **Standing:** To seek injunctive relief, individuals must demonstrate **standing**, meaning they have a **personal stake** in the outcome and are directly affected by the alleged corruption.
* **Causality:** Proving a **clear and direct link** between the corruption and the harm they suffer is crucial.
* **Public vs. Private:** Injunctions against **public officials** require stricter criteria and often involve specific laws like the Anti-Graft and Corrupt Practices Act (RA 3019).
* **Evidence:** Gathering **strong evidence** of ongoing corruption, its impact, and potential future harm is essential.
* **Legal expertise:** Consulting a lawyer experienced in civil litigation and injunctive relief is highly recommended.
**Alternative Avenues:**
* **Reporting to regulatory bodies:** Reporting suspected corruption to the Department of Health, Philippine National Police, or the Office of the Ombudsman can trigger investigations and potential sanctions.
* **Advocacy and lobbying:** Joining or supporting patient advocacy groups or NGOs can amplify voices and advocate for systemic changes to address corruption.
* **Public awareness campaigns:** Raising awareness through media or online platforms can pressure authorities to take action.
**Important Notes:**
* Seeking injunctive relief against ongoing corruption in the healthcare system is **not an easy path** and requires significant resources and legal expertise.
* Alternative avenues might be more effective and less resource-intensive depending on the specific circumstances.
* Each case is unique, and consulting a lawyer for a detailed assessment of your situation and potential legal options is crucial.
Remember, this information is for general understanding and should not be considered legal advice. It's essential to consult with legal professionals for specific details and legal interpretations.</t>
  </si>
  <si>
    <t>What role do non-governmental organizations or advocacy groups play in supporting individuals affected by corruption in healthcare, and are there legal resources available through these organizations?</t>
  </si>
  <si>
    <t>## Non-Governmental Organizations (NGOs) and Advocacy Groups in the Fight Against Healthcare Corruption
Non-governmental organizations (NGOs) and advocacy groups play a **crucial role** in supporting individuals affected by corruption in healthcare. Here's how they contribute:
**Support for affected individuals:**
* **Legal Aid:** Some NGOs offer legal aid services to individuals pursuing legal action against healthcare institutions or seeking compensation for harm caused by corruption. * **Counseling and Emotional Support:** Facing corruption can be emotionally challenging. NGOs can provide counseling and support groups to help individuals cope with the experience.
* **Information and Resources:** NGOs can provide information about patients' rights, reporting mechanisms for corruption, and available legal options.
* **Advocacy and Representation:** They can advocate for individuals affected by corruption, raise awareness about specific cases, and represent them in legal or administrative proceedings.
**Legal Resources:**
* **Information and Materials:** Many NGOs offer online resources and training materials on healthcare rights, anti-corruption laws, and legal procedures.
* **Hotline and Legal Advice:** Some organizations operate hotlines where individuals can report corruption or receive initial legal advice.
* **Referrals:** NGOs can connect individuals with lawyers specializing in healthcare law or specific areas of legal action relevant to their case.
**Additional Roles:**
* **Lobbying and Policy Advocacy:** NGOs can lobby for legislative changes to strengthen healthcare regulations, improve transparency, and combat corruption.
* **Monitoring and Investigations:** Some groups conduct investigations into healthcare corruption and publish reports to raise awareness and hold perpetrators accountable.
* **Capacity Building:** They can train healthcare professionals, patients, and communities to identify and report corruption.
**Examples of NGOs in the Philippines:**
* **Health Action Philippines:** Provides legal aid, advocacy, and training on health rights and access to healthcare.
* **Philippine Medical Association:** Represents healthcare professionals and advocates for ethical practices and good governance in the healthcare system.
* **Transparency International - Philippines:** Focuses on combating corruption in various sectors, including healthcare.
**Important Note:**
* Availability of legal resources and specific assistance depends on the organization's focus and resources.
* Consulting a lawyer specializing in healthcare law is recommended for specific legal advice and representation in individual cases.
By providing support for individuals, advocating for policy changes, and raising awareness, NGOs and advocacy groups play a vital role in fighting corruption and ensuring equitable access to healthcare in the Philippines.</t>
  </si>
  <si>
    <t>Can individuals take legal action against healthcare institutions for breach of contract or breach of fiduciary duty related to corruption?</t>
  </si>
  <si>
    <t>While individuals **may have potential grounds** to take legal action against healthcare institutions for breach of contract or breach of fiduciary duty related to corruption, success depends on various factors and specific circumstances under Philippine law, RA, and Constitutions. Here's a breakdown:
**Breach of Contract:**
* **Contractual terms:** This action hinges on the **existence and nature of a contract** between the individual and the healthcare institution. Standard patient consent forms may not constitute a full contract, limiting the basis for breach of contract claims.
* **Specificity of corruption:** The contract must explicitly **prohibit specific acts of corruption** that directly affected the individual's care. General anti-corruption clauses might be difficult to enforce.
* **Direct harm:** The individual must **demonstrate harm** resulting from the breach of contract due to corruption, such as improper treatment, financial loss, or emotional distress.
**Breach of Fiduciary Duty:**
* **Fiduciary relationship:** Establishing a **fiduciary relationship** between the healthcare institution and the individual can be challenging. Doctors might have limited fiduciary duties, while hospitals might have broader ones depending on the circumstances.
* **Proof of corruption:** Demonstrating that the corruption directly impacted the individual's care and **violated the fiduciary duty of care or loyalty** is crucial.
* **Causality:** Proving a **clear link** between the corrupt practices and the breach of fiduciary duty is essential.
**Considerations and Challenges:**
* **Burden of proof:** The individual bears the burden of **proving all elements** of the claim, including the contract, its breach, or the existence of a fiduciary relationship and its violation.
* **Evidence gathering:** Gathering **strong evidence** of the contract, corruption, and resulting harm is crucial.
* **Legal expertise:** Consulting a lawyer experienced in healthcare law and contract disputes is highly recommended.
**Important Notes:**
* **Complexity and difficulty:** Pursuing legal action based on breach of contract or breach of fiduciary duty related to corruption in the healthcare system can be complex and challenging.
* **Alternatives:** Exploring other avenues like reporting corruption to regulatory bodies or filing complaints with relevant agencies might be more viable and less resource-intensive.
* **Individual circumstances:** Each case depends on specific facts and circumstances. Consult with a lawyer for a detailed assessment of your situation and potential legal options.
Remember, this information is for general understanding and should not be considered legal advice. It's crucial to consult with legal professionals for specific details and legal interpretations.</t>
  </si>
  <si>
    <t>How can patients advocate for legislative or policy changes to address systemic corruption within the healthcare sector?</t>
  </si>
  <si>
    <t>In the Philippines, patients can play a powerful role in advocating for legislative and policy changes to address systemic corruption within the healthcare sector. Here are some ways they can do it:
**Raise awareness and build support:**
* **Share personal stories:** Share your experiences with corruption in the healthcare system on social media, community forums, or with patient advocacy groups. This can help raise awareness and encourage others to speak up.
* **Organize and participate in awareness campaigns:** Collaborate with patient advocacy groups, healthcare professionals, and civil society organizations to organize campaigns that raise awareness about corruption and its impact on patients.
* **Educate others:** Share information about corruption in the healthcare sector, legal frameworks, and existing mechanisms for reporting and seeking redress. This can empower others to participate in advocacy efforts.
**Engage with policymakers and decision-makers:**
* **Submit written testimonies and petitions:** Express your concerns and demands for change through written testimonies submitted to relevant government agencies, legislative committees, or during public consultations.
* **Organize meetings with policymakers:** Arrange meetings with your local representatives, senators, or members of relevant committees to discuss your concerns and advocate for specific legislative changes.
* **Participate in public consultations and hearings:** Actively participate in public consultations and hearings held by government agencies or legislative bodies on healthcare policies and regulations. Share your perspectives and advocate for reforms that address corruption.
**Support and collaborate with existing initiatives:**
* **Join or support patient advocacy groups:** Patient advocacy groups are already working on addressing corruption in the healthcare sector. Joining or supporting their efforts can amplify your voice and contribute to collective action.
* **Collaborate with civil society organizations:** Collaborate with civil society organizations specializing in anti-corruption advocacy or healthcare reforms. They can offer expertise, resources, and strategic support to your efforts.
**Utilize legal avenues:**
* **Report suspected corruption:** If you witness or experience corruption, report it to the appropriate authorities, such as the Department of Health, Philippine National Police, or the Office of the Ombudsman. This can trigger investigations and hold perpetrators accountable.
* **File formal complaints:** If you are directly harmed by corruption, consider filing formal complaints with regulatory bodies like the Professional Regulation Commission or the Health Facilities and Services Regulatory Bureau. This can help strengthen existing legal frameworks and deter future corruption.
**Remember:**
* **Be informed and strategic:** Stay informed about current legislative initiatives, policy debates, and potential solutions to address corruption. This will help you focus your advocacy efforts effectively.
* **Build partnerships:** Collaborate with diverse stakeholders, including patients, healthcare professionals, civil society organizations, and legal experts. This can create a more powerful and impactful movement for change.
* **Be persistent and patient:** Addressing systemic corruption requires sustained efforts and advocacy over time. Don't get discouraged by setbacks, and continue advocating for the changes needed.
By taking these steps, patients can play a crucial role in demanding accountability, transparency, and ethical practices within the Philippine healthcare sector, ultimately leading to a system that serves everyone fairly and effectively.
**Disclaimer:** This information is for general understanding and should not be considered legal advice. It's crucial to consult with legal professionals for specific situations and potential legal implications.</t>
  </si>
  <si>
    <t>What legal protections exist for individuals who wish to remain anonymous while reporting corruption in the healthcare system?</t>
  </si>
  <si>
    <t>While the Philippines encourages reporting corruption, **specific legal protections for anonymity in the healthcare system are limited**. Here's a breakdown based on Philippine law, RA, and Constitutions:
**Existing Protections:**
* **Republic Act No. 6774 (Ombudsman Act of 1989):** Allows anonymous complaints but requires verification and corroboration of information before investigation.
* **Republic Act No. 10173 (Data Privacy Act):** Protects personal information from unauthorized access and disclosure. Individuals can request to remain anonymous when reporting to specific agencies.
* **Internal Whistleblower Policies:** Some healthcare institutions may have internal whistleblower policies with anonymous reporting mechanisms. However, these often require some verification to proceed with investigations.
**Limitations and Challenges:**
* **Limited scope:** Existing protections are not specific to healthcare and may have limitations on anonymity and confidentiality.
* **Verification and corroboration:** Anonymity can hinder investigations as they require some level of verification and corroboration of information.
* **Retaliation risk:** Even with anonymity, there's still a potential risk of retaliation from individuals involved in the corruption, especially within smaller communities.
**Alternatives and Recommendations:**
* **Report through third parties:** Consider reporting anonymously through NGOs, patient advocacy groups, or media outlets with established reporting mechanisms.
* **Use pseudonyms:** While not absolute protection, using pseudonyms when reporting online or through hotlines may offer some anonymity.
* **Focus on factual information:** Focus on providing clear and verifiable details about the suspected corruption, minimizing personal information about yourself.
* **Seek legal advice:** Consulting a lawyer experienced in whistleblower protection and healthcare law can help navigate reporting options and potential risks.
**Disclaimer:** This information is for general understanding and should not be considered legal advice. It's crucial to weigh the risks and benefits of anonymity and seek professional guidance for specific situations and potential legal implications.
Remember, while complete anonymity might be challenging, taking steps to protect your identity and seeking proper guidance can increase the likelihood of your report being heard and investigated, contributing to combating corruption in the healthcare system.</t>
  </si>
  <si>
    <t>Can individuals pursue legal action against third-party entities, such as medical device manufacturers or pharmaceutical distributors, for facilitating corruption in healthcare?</t>
  </si>
  <si>
    <t>In the Philippines, **individuals can potentially pursue legal action against third-party entities like medical device manufacturers or pharmaceutical distributors for facilitating corruption in healthcare**, but success depends on various factors and legal principles. Here's a breakdown based on Philippine law, RA, and Constitutions:
**Potential Grounds for Legal Action:**
* **Product liability:** If a defective medical device or contaminated medication caused harm due to corruption in the manufacturing or distribution process, individuals may have a case for product liability against the manufacturer or distributor.
* **Consumer protection laws:** If the third-party entity engaged in deceptive or misleading practices, like offering kickbacks to healthcare providers to promote their products, they may violate the Consumer Act of the Philippines (RA 7394).
* **Civil Code of the Philippines:** Articles 19, 20, and 1321 can be invoked if the individual suffered damages (physical, financial, or emotional) due to the third-party entity's actions, even if not directly involved in the corruption.
**Considerations and Challenges:**
* **Establishing causality:** Proving a clear link between the corrupt practices, the third-party entity's actions, and the individual's harm is crucial.
* **Direct involvement:** It can be difficult to demonstrate the third-party entity's direct knowledge and participation in the corruption within the healthcare system.
* **Defenses by the third-party entity:** They may argue they were unaware of the corruption, followed proper procedures, or are not liable for the actions of others.
**Additional Factors:**
* **Nature of the harm:** The severity of the harm suffered by the individual will influence the strength of the case.
* **Evidence:** Gathering proof of the corruption, the third-party entity's involvement, and the resulting damages is crucial.
* **Legal representation:** Consulting a lawyer experienced in product liability, consumer protection, and healthcare-related legal issues is highly recommended.
**Disclaimer:** This information is for general understanding and should not be considered legal advice. Each case depends on specific circumstances and evidence. Consulting a lawyer for individual situations and potential legal actions is highly recommended.
**Important Notes:**
* Pursuing legal action against third-party entities for facilitating corruption can be complex and resource-intensive.
* The burden of proof lies with the individual, requiring strong evidence and legal expertise to succeed.
* Alternative avenues, like reporting suspected corruption to regulatory bodies, can be explored depending on the specific circumstances.
Remember, this information is for general understanding and should not be considered legal advice. It's crucial to consult with legal professionals for specific details and legal interpretations.</t>
  </si>
  <si>
    <t>How can patients ensure that their healthcare providers adhere to ethical standards and guidelines to prevent corruption?</t>
  </si>
  <si>
    <t>In the Philippines, patients can't directly guarantee their healthcare providers' adherence to ethical standards, but they can **take proactive steps** to increase the likelihood and **encourage ethical practices** that can help prevent corruption. Here's what Philippine Law, RA, and Constitutions allow:
**1. Informed Consent:**
* **Understand treatment options and risks:** Patients have the right to **complete and accurate information** about their diagnoses, treatment options, and potential risks and benefits. This empowers them to make informed choices and raise concerns if something seems suspicious.
* **Ask questions and seek clarification:** Don't hesitate to ask questions about diagnoses, procedures, and costs. Seek clarification if anything feels unclear or uncomfortable.
* **Refusal of treatment:** You have the right to refuse any treatment option, even if recommended by the provider. This empowers you to decline unnecessary or unethical practices.
**2. Transparency and Communication:**
* **Request detailed bills and invoices:** Ask for breakdowns of charges and ensure they align with procedures performed and medications used. This helps identify potential overcharging or unnecessary costs.
* **Report concerns to hospital administration:** If you witness or suspect unethical practices, report them to the hospital's administration or ethics committee. This allows them to investigate and take necessary actions.
* **Utilize patient feedback mechanisms:** Hospitals often have feedback systems for patients. Use them to share your experiences, both positive and negative, to encourage transparency and improvement.
**3. Seek External Opinions:**
* **Consult with another healthcare provider:** If you have doubts about a diagnosis or treatment plan, seek a second opinion from another qualified professional. This can provide additional perspective and help identify potential conflicts of interest.
* **Utilize professional associations:** Contact professional associations of the healthcare provider's specialty to inquire about ethical codes and potential violations. They might offer guidance or initiate investigations.
**4. Advocate for Public Accountability:**
* **Support patient advocacy groups:** Join or support organizations advocating for patients' rights and ethical healthcare practices. They can raise awareness and lobby for stronger regulations and oversight.
* **Participate in public consultations:** When government agencies or healthcare professional organizations hold consultations on policies or regulations, participate and share your perspective on ethical practices and corruption prevention.
**Remember:**
* **Limitations:** While these steps can encourage ethical practices, they can't guarantee complete prevention of corruption.
* **Safety first:** Prioritize your safety and avoid putting yourself at risk when raising concerns.
* **Seek legal counsel:** If you suspect serious corruption or face retaliation for raising concerns, consult with a lawyer experienced in healthcare and ethical issues.
**Disclaimer:** This information is for general understanding and should not be considered legal advice. It's crucial to consult with legal professionals for specific situations and legal interpretations.
By being proactive and informed, patients can play a vital role in fostering a culture of ethical healthcare in the Philippines and contributing to the fight against corruption.</t>
  </si>
  <si>
    <t>Can individuals seek legal remedies if they believe their medical diagnoses were influenced by corrupt practices within the healthcare system?</t>
  </si>
  <si>
    <t>Yes, individuals in the Philippines **can potentially seek legal remedies** if they believe their medical diagnoses were influenced by corrupt practices within the healthcare system, but the success depends on several factors and legal principles within the Philippine legal framework. Here's a breakdown:
**Potential Grounds for Legal Action:**
* **Misdiagnosis or negligence:** If the individual can prove that the misdiagnosis was due to negligence or incompetence of the healthcare provider, regardless of any underlying corrupt practices, they may have a case for medical malpractice.
* **Fraud or deceit:** If the individual can prove that the healthcare provider intentionally misdiagnosed them or withheld information due to corrupt motives (e.g., receiving kickbacks for unnecessary tests or treatments), they may have grounds for fraud or deceit.
* **Violation of consumer protection laws:** If the misdiagnosis resulted from false or misleading advertising or practices by the healthcare provider, they may have violated the Consumer Act of the Philippines (RA 7394).
**Considerations and Challenges:**
* **Burden of proof:** The individual bears the burden of proving all elements of their claim, including the misdiagnosis, its impact on their health, and the connection to corrupt practices.
* **Establishing causality:** Demonstrating a clear link between the alleged corrupt practices and the misdiagnosis can be challenging.
* **Extent of damages:** Proving the extent of damages caused by the misdiagnosis and quantifying their monetary value is crucial.
* **Defenses by the healthcare provider:** The provider may have defenses like limitations of liability, reliance on standard procedures, or lack of knowledge of any corrupt practices.
**Additional Factors:**
* **Nature of the misdiagnosis:** The severity of the misdiagnosis and its impact on the individual's health will influence the strength of the case.
* **Evidence:** Gathering proof of the misdiagnosis, potential corrupt practices, and resulting damages is crucial.
* **Legal representation:** Consulting a lawyer experienced in medical malpractice and healthcare-related legal issues is highly recommended.
**Disclaimer:** This information is for general understanding and should not be considered legal advice. Each case depends on specific circumstances and evidence. Consulting a lawyer for individual situations and potential legal actions is highly recommended.
**Important Note:** The complexity of proving corruption as a contributing factor to a misdiagnosis makes it a challenging legal pursuit. While legal options exist, seeking compensation through these avenues may be difficult and require significant resources and legal expertise. It's crucial to weigh the potential benefits and challenges carefully before pursuing such action.
Remember, this information is for general understanding and should not be considered legal advice. It's crucial to consult with legal professionals for specific details and legal interpretations.</t>
  </si>
  <si>
    <t>How does corruption in the healthcare system affect the availability and affordability of healthcare services for underserved communities?</t>
  </si>
  <si>
    <t>In the Philippines, corruption in the healthcare system has a **devastating impact on the availability and affordability of healthcare services for underserved communities**, as outlined by various Philippine laws, RAs, and the Constitution. Here's how:
**1. Diversion of resources:**
* **Funds allocated for public health programs:** Corruption can lead to the misappropriation of funds meant for essential services like building clinics, purchasing medicines, and hiring medical personnel. This **reduces the resources available** for underserved communities, especially in remote areas.
* **Bribery and kickbacks:** Practices like demanding bribes for accessing services or accepting kickbacks from pharmaceutical companies can **drain resources** meant for patient care and infrastructure development.
**2. Inefficient service delivery:**
* **Ghost employees and ghost projects:** Corruption can involve paying salaries for non-existent employees or funding projects that never materialize. This **reduces the actual workforce and services** available to underserved communities.
* **Poor maintenance and lack of transparency:** Corrupt practices can lead to **neglect of public health facilities**, resulting in poor infrastructure, inadequate equipment, and lack of essential supplies, further hindering access to quality care for underserved populations.
**3. Increased costs for patients:**
* **Informal payments and unofficial fees:** Demands for unofficial fees or bribes for accessing services can create a significant financial burden for underserved communities, who often have limited resources.
* **Inflated prices of medicines and supplies:** Corruption can influence the procurement process, leading to **overpriced medicines and medical supplies**, further impacting affordability for underserved communities.
**4. Deterioration of trust and accountability:**
* **Loss of public trust:** When corruption is rampant, it erodes public trust in the healthcare system, discouraging underserved communities from seeking care, further exacerbating health disparities.
* **Lack of accountability:** Corrupt practices can hinder transparency and accountability mechanisms, making it difficult for citizens to hold healthcare institutions and officials responsible for their actions.
**Relevant Laws and the Constitution:**
* **Republic Act No. 7875 (Philippine Healthcare Act):** This Act guarantees the right to health and aims to ensure equitable access to quality healthcare services. Corruption directly undermines this right and violates the spirit of the Act.
* **Republic Act No. 3019 (Anti-Graft and Corrupt Practices Act):** This Act prohibits various forms of corruption in public service, including the healthcare system. Corruption in the healthcare system directly violates this Act.
* **Philippine Constitution:** Article II, Section 15 guarantees the right to health and Article XI, Section 1 prohibits public officials from engaging in graft and corrupt practices. Corruption in the healthcare system violates these fundamental constitutional principles.
**Conclusion:**
Corruption in the Philippine healthcare system has a **multifaceted and detrimental impact** on the availability and affordability of healthcare services for underserved communities. It diverts resources, creates inefficiencies, increases costs, and erodes trust, ultimately hindering access to essential healthcare and exacerbating health inequalities. Addressing this issue requires strong law enforcement, robust accountability mechanisms, and a commitment to transparency and good governance within the healthcare system.
Remember, this information is for general understanding and should not be considered legal advice. It's crucial to consult with legal professionals for specific details and legal interpretations.</t>
  </si>
  <si>
    <t>Can individuals take legal action against healthcare institutions for false advertising or misrepresentation of medical services or products due to corruption?</t>
  </si>
  <si>
    <t>Yes, individuals in the Philippines **can potentially** take legal action against healthcare institutions for false advertising or misrepresentation of medical services or products due to corruption, but the success depends on several factors and legal principles within the Philippine legal framework. Here's a breakdown:
**Grounds for Legal Action:**
* **Consumer Act of the Philippines (RA 7394):** This law protects consumers against deceptive, unfair, and unconscionable acts and practices. Individuals can claim that the healthcare institution's false advertising or misrepresentation constitutes a violation of this Act, leading to potential compensation or corrective measures.
* **Civil Code of the Philippines:** Articles 19, 20, and 1321 can be invoked if the misrepresentation caused **damages** to the individual, such as physical injury, financial loss, or emotional distress.
* **Republic Act No. 9755 (Election Code):** If the false advertising or misrepresentation involves **promises of cures or treatments** during elections, it might fall under this law's prohibition of false or misleading campaign materials.
**Considerations and Challenges:**
* **Establishing causality:** Proving a direct link between the misrepresentation and any harm suffered can be difficult.
* **Intent of corruption:** If the misrepresentation was not due to deliberate corruption but negligence or mistake, legal action might be less likely to succeed.
* **Standing:** The individual must demonstrate they were directly affected by the misrepresentation and suffered damages.
* **Defenses by the healthcare institution:** The institution may have legal defenses like disclaimers, limitations of liability, or reliance on third-party information.
**Additional Factors:**
* **Nature of the misrepresentation:** The severity and potential impact of the false claims will influence the strength of the case.
* **Evidence:** Gathering proof of the misrepresentation, damages, and potential corruption is crucial.
* **Legal representation:** Consulting a lawyer experienced in consumer protection and healthcare law can significantly improve the chances of success.
**Disclaimer:** This information is for general understanding and should not be considered legal advice. Each case depends on specific circumstances and evidence. Consulting a lawyer for individual situations and potential legal actions is highly recommended.</t>
  </si>
  <si>
    <t>How can patients advocate for increased oversight and accountability of healthcare providers to prevent corruption?</t>
  </si>
  <si>
    <t>In accordance with Philippine law, patients can play an essential role in advocating for increased oversight and accountability of healthcare providers to prevent corruption. Here are some steps they can take:
1. **Stay Informed**:
- Patients should educate themselves about their rights, responsibilities, and the legal framework governing healthcare services in the Philippines.
- Familiarize yourself with relevant laws, such as the **Anti-Graft and Corrupt Practices Act (RA 3019)** and the **Code of Conduct and Ethical Standards for Public Officials and Employees (RA 6713)**.
2. **Patient Advocacy**:
- **Patient advocates** can communicate with healthcare providers and institutions on behalf of patients.
- Advocate for transparency, ethical conduct, and accountability within healthcare facilities.
- Encourage patients to actively participate in decisions related to their care and treatment².
3. **Whistleblowing and Reporting**:
- Patients who witness corrupt practices should report them promptly.
- Encourage patients to use **whistleblower mechanisms** to report corruption anonymously.
- Report any suspicious activities or irregularities to relevant authorities or oversight bodies³.
4. **Participate in Oversight Mechanisms**:
- Patients can actively engage in **healthcare oversight mechanisms**:
- Attend public hearings, forums, and consultations related to healthcare policies and practices.
- Join patient advisory councils or committees within healthcare institutions.
- Advocate for transparency, accountability, and anti-corruption measures during these engagements.
5. **Support Civil Society Initiatives**:
- Collaborate with civil society organizations (CSOs) working on healthcare accountability.
- CSOs often play a vital role in monitoring healthcare services, advocating for reforms, and holding institutions accountable.
- Patients can participate in CSO-led campaigns, awareness programs, and advocacy efforts¹.
6. **Demand Transparency**:
- Patients have the right to access information about healthcare services, costs, and quality.
- Demand transparency in financial transactions, procurement processes, and resource allocation.
- Advocate for public disclosure of healthcare performance indicators and outcomes.
7. **Legal Remedies**:
- If patients suffer harm due to corruption (e.g., receiving substandard care, paying bribes), they can seek legal remedies.
- Consult legal professionals to explore options for compensation or redress.
Remember that patients' active involvement and collective advocacy contribute to a healthier, more accountable healthcare system in the Philippines.
Source: Conversation with Bing, 2/23/2024
(1) How Nurses Can Advocate For Patients | NurseJournal.org. https://nursejournal.org/articles/how-to-advocate-for-patients/.
(2) SPEAK UP FOR HEALTH! - United Nations Office on Drugs and Crime. https://www.unodc.org/documents/corruption/Publications/2021/Speak_up_for_Health_-_Guidelines_to_Enable_Whistle-Blower_Protection_in_the_Health-Care_Sector_EN.pdf.
(3) How we can prevent corruption taking lives - United Nations Development .... https://www.undp.org/blog/how-we-can-prevent-corruption-taking-lives.
(4) Reducing health system corruption - World Health Organization (WHO). https://www.who.int/activities/reducing-health-system-corruption.</t>
  </si>
  <si>
    <t>Can individuals seek compensation for reputational damage resulting from their association with a healthcare provider or institution involved in corrupt practices?</t>
  </si>
  <si>
    <t>Under Philippine law, individuals who have suffered **reputational damage** due to their association with a corrupt healthcare provider or institution may seek compensation through legal avenues. Here are relevant points to consider:
1. **Civil Liability**:
- **Torts and Damages**: Individuals can file a **civil case** for **torts and damages** against the healthcare provider or institution. If their reputation has been harmed due to the association, they may claim compensation for the resulting losses.
- **Defamation**: If false statements or rumors have caused reputational harm, the affected party can pursue a **defamation case**. This applies when the corrupt practices have led to damaging information being spread about the individual.
- **Presumption of Malice**: In defamation cases, there is a **presumption of malice** if the statements were false and harmful. The burden of proof shifts to the defendant to show that the statements were made in good faith and without malice.
2. **Professional Reputation**:
- Healthcare professionals (such as doctors, nurses, or administrators) may suffer reputational damage due to their association with a corrupt institution.
- They can seek compensation for loss of professional reputation, which may affect their practice, career advancement, and standing in the medical community.
3. **RA 6713 (Code of Conduct and Ethical Standards for Public Officials and Employees)**:
- Public officials and employees are subject to RA 6713, which includes provisions on **integrity**, **accountability**, and **avoidance of conflicts of interest**.
- If an individual's reputation is harmed due to their association with a corrupt public healthcare institution, they can explore legal remedies under this law.
4. **RA 3019 (Anti-Graft and Corrupt Practices Act)**:
- RA 3019 addresses corrupt practices by public officials and employees.
- While it primarily focuses on criminal liability, individuals affected by corruption can also consider civil remedies.
- Reputational damage resulting from association with corrupt practices may be relevant in legal proceedings.
5. **Constitutional Protections**:
- The **1987 Philippine Constitution** guarantees the right to **due process** and **equal protection of the law**.
- If an individual's reputation is unfairly tarnished due to corruption allegations, they can invoke these constitutional protections in seeking compensation.
In summary, individuals in the Philippines can seek compensation for reputational damage caused by their association with corrupt healthcare providers or institutions. Legal remedies include civil cases, defamation claims, and adherence to relevant laws and constitutional provisions.</t>
  </si>
  <si>
    <t>What role do healthcare ethics committees play in addressing allegations of corruption within the healthcare system, and are their decisions legally binding?</t>
  </si>
  <si>
    <t>In the Philippine context, **healthcare ethics committees (HECs)** do not directly address allegations of corruption within the healthcare system. Their primary function falls within the realm of **ethical issues**, not legal ones. Here's a breakdown based on Philippine law, RA, and Constitutions:
**Role of Healthcare Ethics Committees (HECs):**
* **HECs are internal bodies within healthcare institutions.** Their mandate is to review and advise on ethical issues arising in patient care, research, and resource allocation. 
* **They are not law enforcement bodies.** They cannot investigate or prosecute allegations of corruption. 
* **Their focus is on ethical principles and best practices.** They can assess whether actions or policies align with ethical codes and guidelines, but not their legal compliance.
**Legally Binding Decisions:**
* **HEC decisions are not legally binding.** They serve as **recommendations or guidance** to healthcare professionals and institutions. 
* **Enforcement of ethical breaches falls outside their scope.** This lies with **regulatory bodies, law enforcement agencies, or the courts**, depending on the nature of the alleged offense.
**Addressing Corruption:**
* **Reporting suspected corruption:** If an HEC encounters evidence of potential corruption during its ethical review, it should **report it to the appropriate authorities** like the Department of Health (DOH), Philippine National Police (PNP), or the Office of the Ombudsman. 
* **Cooperation with investigations:** HECs can provide **ethical expertise and insights** to assist law enforcement agencies investigating corruption cases within the healthcare system.
**Relevant Laws and Regulations:**
* **Republic Act No. 7875 (Philippine Healthcare Act):** This Act establishes the DOH as the primary regulatory body for the healthcare system. It mandates the DOH to investigate and address unethical and illegal practices within healthcare institutions.
* **Republic Act No. 6774 (Ombudsman Act of 1989):** This Act defines the powers and duties of the Office of the Ombudsman, including investigating and prosecuting government officials suspected of corruption.
* **Philippine Constitution:** The Constitution guarantees the right to health and prohibits graft and corruption in public service.
**Conclusion:**
While HECs play a vital role in upholding ethical standards within healthcare, they are not equipped to directly address allegations of corruption. For legal action against corruption, proper reporting to relevant authorities and adherence to existing laws and regulations are crucial.
I hope this clarifies the role of HECs in the Philippine healthcare system based on relevant laws and regulations. Remember, this information is for general understanding and should not be considered legal advice.</t>
  </si>
  <si>
    <t>Employment Law</t>
  </si>
  <si>
    <t>What is considered workplace harassment and intimidation in the Philippines?</t>
  </si>
  <si>
    <t>Workplace harassment and intimidation refers to unwanted and offensive behavior toward employees that creates a hostile or intimidating work environment.
This may include, but is not limited to, verbal abuse, humiliation, threats, derogatory comments, and unfair treatment.</t>
  </si>
  <si>
    <t>What are your rights as an employee facing workplace harassment and intimidation?</t>
  </si>
  <si>
    <t>As a worker in the Philippines who is experiencing workplace harassment or intimidation, you have several rights protected by law.
**The right to dignity:** You have the right to be treated with dignity and respect at work.
**The right to a safe workplace:** You have the right to work in an environment free from intimidation, intimidation, and harassment.
**Right to Privacy:** Discussions and meetings involving potential disciplinary action should be conducted discreetly and in privacy.
**Right to Due Process:** If you are accused of wrongdoing, you have the right to be heard, to present evidence, and to defend against the allegation.
**Right to Legal Advice:** You have the right to legal advice and representation during disciplinary or dismissal proceedings.</t>
  </si>
  <si>
    <t>What legal actions can you take if you believe you are being harassed and intimidated at work?</t>
  </si>
  <si>
    <t>If you believe you are being harassed or intimidated at work, please consider the following legal actions: **File a complaint with your employer:** in your employer's human resources department or a senior member within your organization.
Please report the incident to the authorities.
**Document the incident:** Maintain a record of the incident, including date, time, location, and people involved.
**Consult a Lawyer:** Get legal advice from an employment lawyer to understand your rights and discuss possible remedies.
**File a complaint with the Department of Labor and Employment (DOLE):** If your employer does not address your issue, you can file a complaint with the DOLE or the relevant employment agency.
**File a Complaint with the National Labor Relations Commission (NLRC):** If the issue is not resolved, you can escalate the issue by filing a complaint with the NLRC.</t>
  </si>
  <si>
    <t>Can you be forced to resign without reason? Is it legal?</t>
  </si>
  <si>
    <t>No, an employer cannot legally force an employee to resign without giving a reason.
If an employee is forced to resign without just cause, this may fall under constructive dismissal, which is a form of unfair dismissal.
Constructive dismissal occurs when an employee is forced to resign due to difficult or intolerable working conditions.
If you feel you have no choice but to withdraw, it is important to seek legal advice to protect your rights.</t>
  </si>
  <si>
    <t>You're advising an employer who wants to terminate an employee for poor performance. What legal considerations should they be aware of to avoid potential legal repercussions?</t>
  </si>
  <si>
    <t>On September 7, 2015, the Minister of Labor and Employment, Rosalinda Dimapilis Baldos, issued Ministerial Order No.
147-15 series regulating the application of just and permissible grounds for dismissal pursuant to Articles 297 to 299 of the Labor Code.
Rules have been published.
“Amendment of the Implementing Regulations of Volume 6 of the Philippine Labor Code, as amended” Act of 2015.
D.O.
Article 147-15 expressly sets out specific criteria for the application of just and permissible grounds and, in particular, describes the appropriate procedure for termination of employment.
Just cause for dismissal includes gross misconduct, willful defiance or disobedience, gross and persistent neglect of duty, fraud or willful breach of trust, breach of trust, commission of a crime or illegal act, and similar Contains the reason.
This rule specifically provides that for an act or omission to be considered a like cause, it must be specifically set forth in the company's rules and regulations or policies.
Acceptable grounds for termination include the installation of labor-saving equipment, redundancy, downsizing or downsizing, closing or discontinuing business, and illness.
The Regulations make clear that an employee may also be terminated for reasonable and lawful reasons set out in company policy and/or for reasons set out in a collective bargaining agreement (CBA).
Masu.
Further, all matters of just and just cause termination shall be compulsorily filed before the Single Entry Approach Desk Officer (SEADO) at the regional, state, or field offices of DOLE and its affiliated agencies.
subject to arbitration/conciliation and assistance requests.
This rule applies to employees and employers in all employment contracts, including legal contracts/subcontracts, with an existing employer-employee relationship.
This rule was adopted to address issues of differing interpretations and applications of employment termination laws that sometimes give rise to labor complaints.
This is being issued in line with the objective of the Philippine Labor and Employment Plan to strengthen compliance with the constitutionally protected rights of workers, including the right to secure employment.
“While the tripartite partners seek areas of agreement for reform of the Employment Security Act, we have published this document to provide guidance to employees and employers on how to properly structure the Employment Termination Act.
We have issued regulations ``in relation to the exercise of workers' rights to security of employment,'' Secretary Rosalinda Dimapilis Baldos said.
A series of tripartite consultations were held in preparation for the D.O.
147-15.
The plan was originally submitted for discussion at a small tripartite meeting of the Technical Working Group (TWG), comprised of workers and employers.
A series of meetings of the TIPC and the Tripartite Executive Committee (TEC) were also held to discuss the issue.
On May 21, 2015, the National Tripartite Industrial Peace Council (TIPC), a national policy advisory body on labor and employment, approved and approved this regulation in the form of a departmental regulation for issuance by the Secretary of Labor and Employment.
did.
D.O.
Section 147-15 shall become effective 15 days after completion of publication in at least two newspapers of general circulation.</t>
  </si>
  <si>
    <t>What should an employer do if an employee is consistently late for work?</t>
  </si>
  <si>
    <t>1.
Address the situation early If you notice a trend of lateness, don't hesitate to discuss it with your employees.
The sooner you can start a dialogue about the situation, the sooner you can establish that such behavior is unacceptable in the workplace and encourage employees to refrain from such behavior.
2.
Clarify your expectations When speaking with an employee who is chronically late, be clear about what behavior needs to change and what you expect in the future.
Use language that accurately describes what punctuality means to you and your company.
At the meeting, present the facts that support your case, using dates and times.
Avoid vague or subjective terms that can be misleading.
3.
Show delay policy.
Use a company handbook or company policy to outline rules for punctuality, such as expected start times and how often an employee can be late (if late) before it becomes a criminal offence.
Masu.
Provides detailed information about disciplinary action for continued tardiness.
It's also a good idea to share this information with your employees via email or other documentation, letting them know that you have discussed the issue and communicated the results.
Make sure all disciplinary actions are documented.
4.
Providing Privacy You need to acknowledge that an employee has a problem with repeated tardiness, but you don't need to reveal the reason for his behavior.
If you meet with your employees privately, you can invite them to share, but let them decide how much information they want to share.
Be open to what they say.
Or you don't have to say it.
This is a way to respect their privacy while taking the necessary steps to ensure they are not late for work.
5.
Set goals together.
After discussing delayed actions, including expectations and future outcomes, ask employees to set goals for self-improvement.
For example, if being late is unavoidable, you can offer to take a shorter lunch break to compensate.
Provide feedback on these goals and offer ideas to help them meet and exceed their own expectations.
6.
Check regularly.
Regular accountability and support can help employees break the habit of being late.
Pursuing your goals and showing that you care about improving them may be the best way to prevent further incidents.
Encourage and support them, stressing the importance of being punctual and making progress toward that goal.
7． Praise Employees for Improved Behavior Praise employees when you notice improvements.
Employees may not want to share their previous tardiness, so this is best done privately to avoid drawing attention to the cause of the improvement.
Be sure to compliment your employees as soon as you notice changes, preferably even on the next work day.
8.
Document conversations and interactions.
We recommend that you document all communications between you and your employee regarding lateness issues.
This will ensure that there are no misunderstandings.
Comprehensive summaries of conversations, rather than relying on memory, keep information organized and factual.
Document the steps you took to identify and correct the problem and any positive changes you noticed in employee behavior after the incident.
You can add this document to the employee's personnel file.
9． Set up a check-in system If tardiness continues to be an issue for one employee or another, we recommend setting up a check-in system for all employees.
Digital applications and software make it easier to use and track for all involved.
You can also use the stamping system to prevent chronic lateness.
10.
Schedule a meeting at the beginning of the day.
If a meeting starts at the same time as the workday starts, it can motivate employees to show up on time.
This can also give a productive atmosphere to the rest of your workday.
If you don't feel like doing this every day, choosing Monday or Friday mornings is a great way to avoid being late.
11.
Incorporate punctuality into performance appraisals For employees who have difficulty arriving to work on time, consider adding punctuality as part of the factors addressed in performance appraisals.
This method is ideal for quarterly reviews, as issues need to be addressed quickly.
12.
Consider a flexible work schedule.
If your company's policy allows for flexible work schedules, consider this as an option for employees who are chronically late.
For example, ask them to come in 15 minutes and work 15 minutes later.
This allows you to resolve ongoing situations that are difficult to arrive at quickly.
It also builds mutual respect and understanding and allows you to get the job done on time.
However, if you offer a flexible schedule to one employee, be prepared to offer it to everyone.</t>
  </si>
  <si>
    <t>Can an employer terminate an employee without cause? Under what circumstances?</t>
  </si>
  <si>
    <t>No you can't. Because an employee can only be fired for just cause or authorized reason.
You may be held liable for unfair dismissal, and the employee may be entitled to reinstatement, severance pay, and unpaid wages.</t>
  </si>
  <si>
    <t>How should an employer handle allegations of workplace harassment?</t>
  </si>
  <si>
    <t>Establish clear policies and procedures for reporting and investigating complaints of harassment, discrimination, and bullying in the workplace.
Provide training and orientation to all employees and managers regarding policies and procedures and their rights and responsibilities.
We will respond promptly and fairly to complaints we receive and conduct thorough investigations using due process and confidentiality.
If the complaint is substantiated, take appropriate disciplinary or corrective action against the harasser and provide assistance and protection to the complainant.
Monitor the situation and prevent retaliation or further harassment.</t>
  </si>
  <si>
    <t>What are the legal requirements for providing employee benefits such as vacation leave and health insurance?</t>
  </si>
  <si>
    <t>Philippine labor law requires employers to provide certain benefits to their employees.
These benefits include the Social Security System “SSS”, PhilHealth, Pag-IBIG Fund, 13 months salary, vacation and sick leave, maternity leave, parental leave, retirement benefits and special vacation allowance.</t>
  </si>
  <si>
    <t>What steps should an employer take if an employee is injured on the job?</t>
  </si>
  <si>
    <t>The steps an employer should take is:
Seek immediate medical attention and document the injury.
If applicable, report the incident to your employer and her DOLE.
To understand your rights and possible courses of action, please consult a legal professional such as Respicio &amp; Co.
Law Firm.
Maintain records of all communications and documents related to the violation.</t>
  </si>
  <si>
    <t>Can an employer require employees to work overtime? If so, what are the limitations?</t>
  </si>
  <si>
    <t>Employers in the Philippines can require employees to work overtime, but they generally cannot force them to do so unless there is a specific emergency stipulated by labor law.</t>
  </si>
  <si>
    <t>What should an employer do if an employee files a complaint with the Department of Labor and Employment (DOLE)?</t>
  </si>
  <si>
    <t>Work with DOLE officials who will process your complaint and provide all necessary documentation and information.
She shall attend a mediation and conciliation conference scheduled by her DOLE official within 30 days of filing the complaint.
If the complaint is resolved or confirmed, follow any settlement agreement or compliance order issued by the Secretary of DOLE.</t>
  </si>
  <si>
    <t>Can an employer conduct drug testing on employees? If so, under what conditions?</t>
  </si>
  <si>
    <t>Yes, definitely.
This is part of regulating or ensuring workplace safety.
If you employ more than 10 employees, you must actually do so pursuant to DOLE Department Order 53-03.</t>
  </si>
  <si>
    <t>How should an employer handle maternity leave for female employees?</t>
  </si>
  <si>
    <t>According to the Expanded Maternity Leave Act of 2019, employers must provide employees with 105 days of paid maternity leave for normal births or C-sections, with the option to extend for an additional 30 days without pay.
An employee must notify the employer of her pregnancy and expected birth date at least 30 days prior to her leave.
Employers must pay employees their full salary during leave, subject to reimbursement by the social security system "SSS".
If the employer regularly contributes to her SSS.</t>
  </si>
  <si>
    <t>What are the legal implications of terminating an employee's contract before its expiry date?</t>
  </si>
  <si>
    <t>Article 279 of the Philippine Labor Code provides that if an employee is dismissed without just cause, the employee shall be entitled to: reinstatement without loss of seniority rights; one month's compensation for each year of service; Salary separation allowance</t>
  </si>
  <si>
    <t>What is the minimum wage in the Philippines?</t>
  </si>
  <si>
    <t>National Capital Region (NCR):
Wage Order Number: NCR-24
Date of Issuance: June 26, 2023
Date of Effectivity: July 16, 2023
Non-Plantation Minimum Wage: Ranges from P573 to P610
Plantation Minimum Wage: P573
Cordillera Administrative Region (CAR):
Wage Order Number: CAR-22
Date of Issuance: November 6, 2023
Date of Effectivity: December 5, 2023
Non-Plantation and Plantation Minimum Wage: P430
Region I:
Wage Order Number: RB 1-22
Date of Issuance: October 10, 2023
Date of Effectivity: November 6, 2023
Non-Plantation Minimum Wage: Ranges from P402 to P435
Plantation Minimum Wage: P402
Region II:
Wage Order Number: RTWPB 2-22
Date of Issuance: September 21, 2023
Date of Effectivity: October 16, 2023
Non-Plantation Minimum Wage: P435
Plantation Minimum Wage: P415
Region III:
Wage Order Number: RBIII-24
Date of Issuance: September 19, 2023
Date of Effectivity: October 16, 2023
Non-Plantation Minimum Wage: Ranges from P449 to P500
Plantation Minimum Wage: Ranges from P434 to P470
Region IV-A:
Wage Order Number: IVA-20
Date of Issuance: September 1, 2023
Date of Effectivity: September 24, 2023
Non-Plantation Minimum Wage: Ranges from P385 to P520
Plantation Minimum Wage: Ranges from P385 to P479
Region IV-B (MIMAROPA):
Wage Order Number: RB-MIMAROPA-11
Date of Issuance: October 24, 2023
Date of Effectivity: December 7, 2023
Non-Plantation and Plantation Minimum Wage: Ranges from P369 to P395
Region V:
Wage Order Number: V-21
Date of Issuance: October 23, 2023
Date of Effectivity: December 1, 2023
Non-Plantation and Plantation Minimum Wage: P395
Region VI:
Wage Order Number: RBVI-27
Date of Issuance: October 16, 2023
Date of Effectivity: November 16, 2023
Non-Plantation Minimum Wage: Ranges from P450 to P480
Plantation Minimum Wage: P440
Region VII:
Wage Order Number: ROVII-24
Date of Issuance: September 5, 2023
Date of Effectivity: October 1, 2023
Non-Plantation Minimum Wage: Ranges from P420 to P468
Plantation Minimum Wage: Ranges from P415 to P458
Region VIII:
Wage Order Number: VIII-23
Date of Issuance: November 6, 2023
Date of Effectivity: November 30, 2023
Non-Plantation Minimum Wage: P405
Plantation Minimum Wage: P375
Region IX:
Wage Order Number: RX-22
Date of Issuance: December 21, 2023
Date of Effectivity: January 11, 2024
Non-Plantation Minimum Wage: Ranges from P413 to P428
Plantation Minimum Wage: Ranges from P401 to P416
Region X:
Wage Order Number: XI-21
Date of Issuance: May 18, 2022
Date of Effectivity: June 19, 2022
Non-Plantation Minimum Wage: P443
Plantation Minimum Wage: P438
Region XI:
Wage Order Number: XII-23
Date of Issuance: September 21, 2023
Date of Effectivity: October 16, 2023
Non-Plantation Minimum Wage: P403
Plantation Minimum Wage: P382
Region XIII (CARAGA):
Wage Order Number: RXIII-18
Date of Issuance: December 5, 2023
Date of Effectivity: January 1, 2024
Non-Plantation Minimum Wage: P370
Plantation Minimum Wage: P370
Autonomous Region in Muslim Mindanao (BARMM):
Wage Order Number: BARMM-03
Date of Issuance: February 7, 2024
Date of Effectivity: February 28, 2024
Non-Plantation Minimum Wage: Ranges from P336 to P361
Plantation Minimum Wage: Ranges from P316 to P336
The minimum wage in the Philippines depends on the region. For Metro Manila, the minimum wage is PHP 537.00 ($10.24) per day. The average minimum wage for the whole country is PHP 343.63 ($6.22) per day.</t>
  </si>
  <si>
    <t>How many days of annual leave are employees entitled to?</t>
  </si>
  <si>
    <t>Annual vacation in the Philippines is 15 days.
Additionally, every employee is entitled to her 11 days of paid vacation.
An employee is entitled to her one month of annual paid leave for each year of continuous employment.
After 10 years of service, annual paid leave increases by one day each year.</t>
  </si>
  <si>
    <t>What are the requirements for hiring employees in the Philippines?</t>
  </si>
  <si>
    <t>Registration of a business name with the Securities and Exchange Commission (SEC) 1 Obtaining a Taxpayer Identification Number (TIN) and registration with the Bureau of Internal Revenue (BIR) Compliance with Philippine labor laws regulating hiring and firing Working conditions; Employee benefits, labor unions, and collective bargaining.
Performing background checks and complying with anti-discrimination laws Providing pre-employment documentation such as: e.g.
medical certificate, NBI clearance, birth certificate, etc.</t>
  </si>
  <si>
    <t>What are the key provisions of the Labor Code of the Philippines?</t>
  </si>
  <si>
    <t>Important Points Labor Law is a law that regulates labor relations, including foreign workers.
Employers and their employees are required to join and contribute to the Social Security System “SSS”, Housing Development Mutual Fund, and Health Insurance Corporation (PhilHealth).</t>
  </si>
  <si>
    <t>Can an employer terminate an employee for poor performance?</t>
  </si>
  <si>
    <t>In the Philippines, an employer may dismiss an employee for just cause or just cause.
Just cause refers to a reason for dismissal that is related to the employee's negligence or misconduct, whereas just cause refers to a reason for dismissal that is related to the company's business activities.</t>
  </si>
  <si>
    <t>Are employees entitled to overtime pay? If so, how much?</t>
  </si>
  <si>
    <t>This equates to an additional 25% of what you should be getting per hour.
For example, employees are paid P100 per hour.
If you work more than 8 hours, you should receive 125 pesos instead of 100 pesos.
etc.
However, the law has special regulations when forcing employees to work on holidays and public holidays.</t>
  </si>
  <si>
    <t>What are the obligations of employers regarding workplace safety?</t>
  </si>
  <si>
    <t>Legal Summary: Philippine law, through labor laws and occupational safety and health standards, requires employers to provide safe and healthy working conditions to prevent accidents and illnesses for their employees.
This includes ensuring that there are no hazards in the workplace that could cause injury, such as animal bites.</t>
  </si>
  <si>
    <t>What is the probationary period for new hires?</t>
  </si>
  <si>
    <t>In the Philippines, the trial period for new employees is up to six months, as stipulated in Article 281 of the Labor Code.
This applies to all new employees unless there is a special training contract that provides a longer training period.
There are some important points to keep in mind: Employers must inform employees of the criteria for permanent employment during the recruitment process.
At the discretion of the employer, the trial period may be less than 6 months.
If an employee works for more than her six months without notice, she is automatically considered a regular employee, increasing job security.
The Supreme Court clarified that 180 calendar days corresponds to a six-month period.
It is important to note that employees in the Philippines have job security even during their probationary period and cannot be fired without just cause.</t>
  </si>
  <si>
    <t>What are the rights of employees regarding sick leave?</t>
  </si>
  <si>
    <t>According to labor law, all employers in the Philippines are required to provide their employees with five days of paid sick leave.
Employees can use this paid leave to see a doctor or dentist, or to recover from an illness, accident, or injury.</t>
  </si>
  <si>
    <t>Can an employer withhold an employee's salary? Under what circumstances?</t>
  </si>
  <si>
    <t>Yes.
An employee files an alternative income tax return if he or she receives pure compensation income (regardless of the amount) from a Philippine employer during the tax year and the amount of tax payable by the employee at year-end is: You have the right.
The amount of tax withheld by the employer.</t>
  </si>
  <si>
    <t>What are the legal implications when an employer consistently delays salary payments beyond the designated dates?</t>
  </si>
  <si>
    <t>In the Philippines, continued delay in salary payments beyond the established deadlines has serious legal consequences for both employers and employees.
Here is a breakdown of the key points: For employees: Labor law violations: Article 100 of the Labor Law requires employers to pay wages on agreed paydays.
I am.
Permanent delays constitute a violation of this rule and may subject the employee to legal action.
Right to file a grievance: Employees may file a grievance against their employer with the National Conciliation and Mediation Board (NCMB) or the Department of Labor and Employment (DOLE).
The purpose of this process is to resolve the issue through arbitration or mediation.
Monetary Claim: If conciliation or conciliation is unsuccessful, an employee may file a monetary claim with DOLE for unpaid wages, including interest and other penalties.
In addition, claims for damages and compensation may be brought in court.
Dismissal for Just Cause: Persistent delay in payment of wages shall be considered a serious breach of the employer's obligation to terminate the employee's employment for just cause and receive severance pay and other benefits.
You may be able to do so.
For Employers: Administrative Penalties: DOLE may impose administrative penalties on employers for violations of labor laws.
These penalties may include fines and revocation of business licenses.
Criminal Liability: In extreme cases, an employer may be subject to criminal charges under Article 291 of the Labor Code for nonpayment of wages.
Reputational Damage: Persistent delays can damage an employer's reputation and make it difficult to attract and retain qualified employees.
Additional Points: Documentation: It is important for employees to maintain records of pay stubs, pay stubs, or other documentation supporting agreed upon and actual payment (or non-payment) dates.
is.
These documents are essential for filing a complaint with DOLE.
Seeking Legal Advice: If you are an employee who consistently faces delayed wage payments, please review your eligibility to understand your specific rights and options when taking legal action.
We strongly recommend that you consult an employment attorney.</t>
  </si>
  <si>
    <t>How much will I spend if change my name?</t>
  </si>
  <si>
    <t>The taken a toll of changing your title within the Philippines can change depending on a few components, but here's a breakdown of the most costs:
Government Fees:
Distribution Costs:
You'll ought to distribute your purposeful to change your title in a daily paper of common circulation for three successive weeks. The taken a toll for this may shift depending on the daily paper chosen, but by and large falls inside ₱500-₱1,000.
Recording Expense:
Submitting the request for title alter to the Nearby Respectful Registry Office (LCRO) incurs a negligible expense, ordinarily around ₱50-₱100.
Discretionary Costs:
Lawyer's Expenses:
Whereas not required, enlisting a legal counselor to explore the method can be accommodating, particularly for complex cases. Attorney expenses can shift altogether depending on their involvement and area but expect to pay anyplace from ₱5,000-₱20,000 or more.
Narrative Stamps:
Depending on the lawyer's exhortation and the complexity of your case, extra narrative stamps may well be required, costing around ₱20-₱50 each.
Hence, the assessed add up to fetched can run from:
₱550-₱1,100 for a straightforward case without legitimate help.
₱5,550-₱21,100 or more for cases including a attorney and extra narrative stamps.</t>
  </si>
  <si>
    <t>What are the different types of leave Filipino employees are entitled to, and how long does each last?</t>
  </si>
  <si>
    <t>Sick Leave: Used for illness of the employee or their dependent (requires medical certificate after 5 days).
Vacation Leave: Used for personal time off (needs to be filed 5 days in advance).
Forced Leave: Mandatory vacation leave for employees with at least 10 days of accrued vacation (forfeited if not used by year-end).
Special Privilege Leave: Up to 3 days per year for personal milestones and domestic responsibilities (needs to be filed 5 days in advance).
Rehabilitation Leave: Up to 6 months for work-related injuries (requires medical certificate and filed within 3 days of returning to work).
Maternity Leave: 60 calendar days for female employees after childbirth (needs to be filed before giving birth with medical certificate and department clearance).
Paternity Leave: 7 working days for married male employees when their spouse gives birth or has a miscarriage (needs to be filed with medical or birth certificate and marriage contract for first-time claimants).
Parental Leave: Up to 7 working days for solo parents (needs to be filed at least 5 days prior with a copy of Solo Parent ID).
Special Leave for Women: Up to 2 months after surgery due to gynecological disorders (needs to be filed with medical certificate and department clearance within a reasonable time).
Family/Home Visit Privilege: Up to 2 working days per month for employees assigned outside their residence (needs to be filed 5 days prior).</t>
  </si>
  <si>
    <t>What are the legal requirements for terminating an employee's contract in the Philippines?</t>
  </si>
  <si>
    <t>Just cause and just cause: Just cause: This includes misconduct, negligence, or other conduct that justifies immediate dismissal.
Examples include theft within a business or being habitually late.
Certified Cause: These are more circumstantial and may include downsizing to avoid loss or business closure.
Notice and Due Process: Proper procedures must be followed before terminating an employee.
This includes: Initial message: Notify employee of possible reasons for termination.
Second message: Confirmation of termination.
Due process ensures fairness and compliance with legal requirements.
Severance pay: If an employee is fired for cause, he or she is entitled to severance pay.
This amount is generally equal to one month of her salary or half a month of salary for each year of service, whichever is greater.
DOCUMENTS, DOCUMENTS, DOCUMENTS: Both employers and employees must keep records.
Track performance reviews, alerts, and related documentation.
Proper documentation is important if legal action is taken.
Seek legal advice: Employment termination laws are complex.
If in doubt, please consult a legal professional.
Legal advice can prevent costly mistakes.</t>
  </si>
  <si>
    <t>What are some common types of workplace discrimination prohibited by Philippine law?</t>
  </si>
  <si>
    <t>Discrimination to prevent or encourage membership in a labor organization (PD 442).
Discrimination against employees on the basis of race (PD 966).
Discrimination against female employees in terms of employment conditions based solely on sex (RA 6725).
Discrimination against single parents in terms of employment based on their status (RA 8972).
Discrimination and abuse of indigenous peoples on the basis of ancestry (RA 9371).
Discriminating against or publicly ridiculing a disabled employee on the basis of disability (RA 7277 and 9442).
Discriminating against an employee on the basis of age (RA 10911).
Discrimination against employees with mental illness (RA 11036).
Discrimination based on an employee's actual, perceived, or suspected HIV status (RA 11166).
Discrimination on the basis that female employees are not entitled to maternity leave benefits (RA 11210).
Discrimination against employees who are cancer patients or survivors (RA 11215).
Discrimination against employees who have or are suffering from tuberculosis (DOLE DO 73-05).
Discrimination against employees based on hepatitis B status (DOLE DA 05 Series of 2010).
If the hostile conduct is of a sexual nature, it is considered sexual harassment and, depending on the circumstances, the Anti-Sexual Harassment Act (RA 7822) or the Safe Spaces Act (RA 11313) may be invoked .</t>
  </si>
  <si>
    <t>Mark, a security guard, regularly works 12-hour shifts but only receives payment for the standard 8-hour workday. Does Mark have any legal recourse for his unpaid overtime hours?</t>
  </si>
  <si>
    <t>In the Philippines, security guards and other private security personnel enjoy stable tenures.
This means that we can only terminate your service for good reason following due process.
Take a look at Mark's legal options regarding unpaid overtime: Report to the Department of Labor: If Mark's employer refuses to pay overtime or resolve the issue, Mark may file a report with the Department of Labor and Employment.
You may file a complaint with (DOLE).
Seek Legal Advice: Mark should contact an employment lawyer to understand his legal rights and consider his options for claiming unpaid overtime.
Additionally, Philippine labor law requires additional compensation for work performed beyond his normal eight hours.
Continuously monitoring Mark's overtime pay may violate these labor laws.
Remember that keeping detailed records of hours worked, including overtime, can support claims for unpaid overtime pay.</t>
  </si>
  <si>
    <t>Sarah, a pregnant employee, is concerned about her maternity leave pay. How much is she entitled to receive, and who is responsible for paying it?</t>
  </si>
  <si>
    <t>Maternity leave benefits are leave credits provided to eligible employees who wish to use their leave during pregnancy and after giving birth, ensuring that they are paid during such leave.
.
This benefit includes 105 days of vacation credit at full pay, with the option to extend for an additional 30 days without pay.
Single mothers will receive an additional 15 days of vacation credit at full pay.
1.
Concept A pregnant employee, whether single or married, receives sabbatical credits along with her full salary.
It can be used in cases of pregnancy, miscarriage, and emergency abortion, regardless of frequency.
2.
Benefits This benefit consists of 105 days of fully paid maternity leave, with the option to extend for an additional 30 days without pay.
For eligible single mothers, employees are entitled to an additional 15 days of maternity leave at full pay.
Maternity leave shall be granted to employees in case of pregnancy, miscarriage or emergency termination of pregnancy, regardless of its frequency.
However, in case of miscarriage or emergency termination of pregnancy, maternity leave of 60 days shall be granted.
Full wages shall be recognized.
At the employee's option, she may take an additional 30 days of unpaid maternity leave.
Only if the employer is duly notified in writing.</t>
  </si>
  <si>
    <t>John was abruptly terminated from his job without any prior warning or explanation. Is this legal, and what options does John have?</t>
  </si>
  <si>
    <t>The Philippines has special rules regarding the termination of employees.
Let's break it down: Just Causes and Authorized Reasons: Employers cannot fire people on a whim.
There are two legally permissible categories of dismissal: Just cause: These include misconduct, negligence, or conduct that justifies summary dismissal.
For example, internal theft or habitual lateness.
Authorized causes: These are more circumstantial and may include downsizing to prevent loss or business closure.
Notice and Due Process: Employers must follow certain procedures before terminating an employee.
This typically includes two written messages.
The first message informs the employee of the possible reason for dismissal.
The second message confirms termination.
This process ensures that due process is followed.
Severance pay: If an employee is fired for cause, he or she is entitled to severance pay.
Separation benefits are generally equal to one month's salary or half a month's salary for each year of service, whichever is greater.
Document everything: Whether you're an employer or an employee, document everything.
Maintain records of performance reviews, warnings, and all related documentation.
These records can be extremely important in the event of legal action.
Get Legal Advice: If you have any questions, please contact a legal professional.
Employment termination laws are complex and can be dangerous to navigate without guidance.
Legal advice can help you avoid costly mistakes.</t>
  </si>
  <si>
    <t>Maria works remotely for a company, setting her own hours and managing her workload. Is she considered an employee entitled to benefits, or is she an independent contractor?</t>
  </si>
  <si>
    <t>In the Philippines, determining whether someone is an employee or an independent contractor depends on several factors.
Let's look at the main considerations: Four-fold test: The Supreme Court uses his four-fold test to distinguish between employees and independent contractors.
The questions they ask are: Power to select and hire: Does an employer have the power to select and hire a person?
Payment of wages: Does the person have to be paid for work?
Termination Power: Can an employer terminate the employment relationship?
Power of Control: Does the employer control both the goals and the means to achieve them?
If the answer to all of these questions is yes, then an employer-employee relationship exists.
To do.
Otherwise, their relationship may be that of a prime contractor and an independent contractor1.
Special Features: Employee: Works under the direct control of the employer.
Receive regular wages.
Enjoy benefits such as health insurance, paid vacation, and other statutory rights.
Independent Contractor: Work with greater autonomy.
I am self-employed and provide services based on my expertise.
Do not receive traditional employee benefits.
Usually has a specific contract for a project or service23.
Avoiding Labor Laws: Employers may not hire workers under the guise of "independent contractors" to avoid labor laws.
It is illegal to misclassify an employee as an independent contractor to avoid legally required benefits1.
Given Maria's situation, she works remotely, sets her own hours, and manages her workload.
It is important to evaluate whether she meets the criteria for being an employee or independent contractor based on the factors listed above.</t>
  </si>
  <si>
    <t>Leah experiences inappropriate comments and advances from a co-worker. How can she report this incident and ensure her safety in the workplace?</t>
  </si>
  <si>
    <t>Contact Authorities: If the harassment requires immediate intervention or involves a criminal offense, Ms.
Lee should contact the local police or barangay officials.
You can help ensure their safety and start an investigation.
1.
She must document all evidence such as: B.
Text messages, emails, or photos to assist with reporting.
Get Legal Advice: Leah should consult a lawyer to understand her rights and legal options, especially if the harassment is severe or occurs repeatedly.
In the Philippines, various laws protect individuals from harassment, including the Sexual Harassment Prevention Act and the Cybercrime Prevention Act1.
Report to Human Resources or Employer: If harassment occurs in the workplace, Leah must report it to Human Resources or her employer.
You have a duty to take action against workplace harassment12.
She is familiar with her company's workplace harassment policy.
Using Online Platforms: If Harassment occurs online, Lea may use the reporting facilities provided by the Social Media Platform or her Website where the Harassment occurs1.
Seek support from co-workers and the trade union: Leah can confide in supportive co-workers and, if possible, seek help from the trade union2.
Lee, please remember that your safety and well-being are of the utmost importance.
She should take the following steps immediately to address the issue and get the support she needs.</t>
  </si>
  <si>
    <t>What happens if an employee runs out of sick leave but is still sick?</t>
  </si>
  <si>
    <t>If you have used up all your paid sick leave and incentive leave, you can apply for SSS sick leave.
This allows you to temporarily claim 90% of your regular salary.</t>
  </si>
  <si>
    <t>Can unused vacation leave be converted to cash?</t>
  </si>
  <si>
    <t>No.
Vacation conversion only applies to up to 5 paid vacation days per year.
If the employee receives more and it has already been at least five days, no further cash exchanges will be allowed unless a favorable company policy is in place.</t>
  </si>
  <si>
    <t>How are forced leave days determined and scheduled?</t>
  </si>
  <si>
    <t>Forced leave is when an employee takes a few days or weeks off and must leave the company in order to use their vacation credits (if any).
▪The employer must notify her DOLE of the introduction of such flexible working arrangements.
1.
Concepts Forced leave refers to when an employee must leave the company to take a few days or weeks off using their vacation credits (if any).
2.
Management The parties to a flexible working arrangement are primarily responsible for its management.
(Part IV, Section 1, supra) In the event of a discrepancy in interpretation, the following guidelines should be followed: 1) The discrepancy shall be filed as a complaint under our applicable grievance mechanism.
will be treated.
2) If a grievance mechanism does not exist or is inadequate, grievances will be forwarded to the local office with jurisdiction over the workplace to facilitate appropriate mediation.
3) To facilitate the resolution of grievances, employers should maintain and preserve documentation requirements as part of their records to demonstrate that flexible work arrangements have been voluntarily adopted.
3.
Notification to DOLE Employers must notify [DOLE], through the regional office with jurisdiction over the workplace, of the introduction of the above-mentioned flexible working conditions .</t>
  </si>
  <si>
    <t>What are the consequences for not filing leave applications on time?</t>
  </si>
  <si>
    <t>In the Philippines, there can be some serious consequences for not submitting your leave application on time.
Let's take a closer look at them: Absence Without Leave (AWOL): If an employee takes leave without proper authorization or fails to submit a request for leave, it is considered absent without leave.
You may be considered absent from work (AWOL).
AWOL status means an employee is absent from work without a valid reason or permission.
Consequences of being AWOL may include: Payroll Deductions: An employee who is AWOL may not receive pay during the period of AWOL12.
Vacation Balance: Although AWOL days are not deducted from your accumulated vacation balance, it is important to avoid this situation2.
Dismissal: Repeated AWOL may lead to termination of the employment relationship34.
Approval Requirement: Employees must obtain employer approval before taking leave.
Failure to obtain permission may result in AWOL and associated consequences3.
Legal Framework: The Omnibus Regulations on Leave (CSC MC No.
41, S.
1998) provides for leave provisions for civil servants.
These regulations define different types of leave (e.g.
maternity leave) and establish procedures for requesting and granting leave5.
We consulted with 4,444 Human Resources Management Officers (HRMOs) to improve these leave changes.</t>
  </si>
  <si>
    <t>Who is responsible for covering the employee's salary during different types of leave?</t>
  </si>
  <si>
    <t>In the Philippines, the responsibility for paying employees' salaries during different types of leave varies depending on the type of leave.
Let's take a look at the details: Service Incentive Leave (SIL): SIL is granted to an employee who has completed at least one year of her service with the same employer.
The employer is responsible for paying the employee's regular salary during the SIL period.
Leave entitlement is 5 days per year of service1.
Sick Leave: Employees are entitled to sick pay in accordance with statutory provisions.
Companies must provide sick pay to employees who become ill and need time off for medical reasons.
During sick leave, the employee receives a regular monthly salary from the company, part of which is covered by the social security system "SSS"2.
Maternity Leave: During the maternity leave period, the employer pays the employee's regular monthly salary.
SSS also provides maternity benefits, a portion of which is reimbursed by the employer3.
Parental Leave: Male employees are entitled to parental leave.
Employers are responsible for paying the employee's salary while on parental leave.
Special leave for women: This leave includes additional days for women undergoing surgery for gynecological conditions.
During special leave for women, the employer pays the employee's salary.
Single Parent Leave: Single parents are entitled to 7 working days of leave each year.
Employers are responsible for paying the employee's regular salary while on parental leave.
Other Leave: Holiday leave, bereavement leave, emergency or special leave, and study leave may be granted by the employer under the employment contract or company policy.
The employer will pay the employee's salary during these leaves according to company regulations.
Please note that these provisions are based on the Philippine Labor Code and other relevant laws.
Employers must comply with these regulations to ensure fair treatment and appropriate remuneration of employees during different types of leave1</t>
  </si>
  <si>
    <t>For Special Privilege Leave, what constitutes "personal milestones" and "domestic responsibilities"?</t>
  </si>
  <si>
    <t>Special Privilege Leave (SPL) in the Philippines has the following definition: Personal Milestone: SPL can be used to mark personal milestones.
These are important events and accomplishments in the employee's life.
Specific examples are not clearly defined, but may include things like birthdays, anniversaries, and other notable personal events.
Domestic Missions: The SPL can also be used to perform domestic missions.
These responsibilities relate to family issues, caregiving, or other family obligations.
Again, the exact details are not clearly stated, but include duties related to family life and household chores.
Please note that SPL has certain limitations.
An employee is entitled to up to three of her SPL days per year and can be taken consecutively or in combination with other leave.</t>
  </si>
  <si>
    <t>Can rehabilitation leave be extended beyond 6 months with proper documentation?</t>
  </si>
  <si>
    <t>Rehabilitation leave privilege in the Philippines is a benefit given to public servants who are injured while on duty.
Find out more: Who is eligible?
All government employees with permanent, temporary, temporary or contract appointments (including those with fixed-term appointments) are eligible to participate .
However, consultants and persons employed under a service contract or outsourcing are not subject to this privilege.
What does the rehabilitation benefit include?
Upon the recommendation of a medical provider, affected employees will receive their full salary during treatment, recovery, and rehabilitation.
Additionally, there is a reimbursement of up to ₱5,000.
00 for initial medical expenses1.
Duration of Rehabilitation Leave: Rehabilitation Leave Privileges shall not exceed 6 months.
During this period, the employee's accrued sick leave or vacation credits are retained, but no additional vacation or sick leave credits are accrued to the employee1.
Requirements for an “accident while on official duty”: The accident must have occurred while the employee was on duty: a.
Perform official duties.
B.
For business travel, approved overtime, special assignments or special assignments1.
Please note that proper documentation is essential when claiming this privilege.
If you need to apply for rehabilitation leave, please be sure to submit relevant reports such as: B.
File a police report (if applicable).
For more information, see Joint Circular No.
01 of the Public Service Commission and the Department of Budget and Management.
year 2006</t>
  </si>
  <si>
    <t>Is paternity leave also available if the father adopts a child?</t>
  </si>
  <si>
    <t>Unlike maternity leave, which is specifically mentioned in the Philippine Labor Code, this does not apply to parental leave.
But don't worry.
There are laws that provide new fathers with paternity leave.</t>
  </si>
  <si>
    <t>What type of surgery qualifies under Special Leave for Women?</t>
  </si>
  <si>
    <t>You may receive MCW special leave for gynecological surgery as long as the total period does not exceed 60 calendar days per year.</t>
  </si>
  <si>
    <t>Can employees stationed outside their residence take Family/Home Visit Privilege consecutively?</t>
  </si>
  <si>
    <t>surely!
Family/Home Visiting Privilege (FHVP) is a benefit granted to Career Executive Services (CES) position holders in the Philippines.
Here are some important points about FHVP: Purpose: FHVP is intended to reduce the impact of deportation on public employees who are placed on work assignments away from their homes and families.
Eligibility: Applies to her CES personnel stationed at least 50 kilometers from home or where travel by sea or air is required.
Frequency: A CES officer can avail of her FHVP once per month.
Paid Visit: This is a paid family visit that allows the officer to spend time with the family.
Mobility Principle: FHVP complements the Mobility Principle within the third level of CES and allows for reassignment and transfer in the interest of the public service without reduction in rank or pay.</t>
  </si>
  <si>
    <t>For criminal defense cases, do you offer different rates depending on the severity of the charges?</t>
  </si>
  <si>
    <t>Whereas legal counselors may consider the seriousness of charges when setting their expenses, it's not the sole deciding calculate. Here's a breakdown:
Yes, the seriousness of charges can impact a lawyer's expenses for criminal defense cases, but it's not the as it were calculate. A few other perspectives play a significant part:
Complexity of the case:
In any case of the charge, complicated cases with broad prove, numerous witnesses, or complex legitimate issues will ordinarily fetched more than clear cases.
Lawyer's encounter and notoriety:
Attorneys with broad involvement and a demonstrated track record in dealing with comparative cases regularly command higher expenses.
Area:
Legitimate expenses can shift depending on the geographic area due to diverse financial components and the nearby legitimate showcase.
Time commitment:
The evaluated sum of time the legal counselor anticipates to contribute in your case can affect the full charge.
In this manner, it's wrong to say legal counselors straightforwardly and exclusively base their expenses on the severity of the charges. Whereas it may be one calculate in their generally thought, a combination of these angles eventually decides the ultimate taken a toll.</t>
  </si>
  <si>
    <t>What are the different types of employment contracts recognized in the Philippines?</t>
  </si>
  <si>
    <t>The Philippine legal system recognizes several different types of employment contracts, each with its own characteristics and meaning.
1.
Regular employment: This is the most common type of employment contract and provides the greatest security and benefits to the employee.
Applies to employees who perform necessary or desirable tasks for an indefinite period and whose continued employment is expected.
2.
Trial Period: This serves as a trial period for a new employee, usually he is within 6 months.
Employers can assess an employee's suitability for permanent employment, and employees can learn about the work environment.
If you have a proven track record, you will be smoothly transitioned to regular employment after the trial period ends.
3.
Fixed-term employment: This type of contract establishes a specific period of employment, usually defined by the completion of a specific project, task, or season.
These contracts are typically used for temporary needs or project-based work.
4.
Project Employment: Like temporary employment, project employment is designed for a specific project with a predetermined start and end date.
The employment relationship automatically ends upon completion of the project and no further work is expected.
5.
Seasonal Employment: This type of contract is for jobs with recurring seasonal requirements, such as agriculture, tourism, and retail.
Employment relationships follow established seasonal rhythms, with breaks between seasons.
6.
Temporary employment: This refers to employment for one-time, temporary or contingent work of uncertain or unimportant duration compared to the normal working day.
Temporary workers are usually not entitled to the same benefits as regular workers, but they still have basic labor rights.</t>
  </si>
  <si>
    <t>What are the minimum age requirements for legal employment in the Philippines?</t>
  </si>
  <si>
    <t>Republic Act No.
9231, or the Elimination of the Worst Forms of Child Labor and Protection of Working Children Act, is a law regulating the employment of minors.
According to this law, the welfare of children should be given top priority in all actions affecting children.
Every effort is made to promote the welfare of children and increase their chances of living a useful and happy life.
(Amended Article 1 of R.A.
No.
9231, Article 2 of R.A.
No.
7610) According to the aforementioned law, children are provided with special protection from all forms of abuse, neglect, cruelty and exploitation.
It is the policy of the state to provide discrimination and other conditions that hinder their development, including child labor and its worst forms.
(Amended by Section 1 of R.A.
No.
9231 and Section 2 of R.A.
No.
7610) The minimum age for employment under the Labor Code is 15 years, with certain exceptions.
The law reads: Art.
139.
Minimum Age for Employment.
Children under the age of 15 shall not be employed unless they are working directly under the sole responsibility of their parents or guardians and their employment does not interfere in any way with their education.
A person between the ages of 15 and 18 may be employed for the number of hours per day and for such period as the Minister of Labor and Employment shall determine in appropriate regulations.
The foregoing provisions shall not in any case authorize the employment of persons under the age of 18 in any undertaking of a dangerous or harmful nature as determined by the Minister of Labor and Employment.
(Labor Code Section 139.
) Republic Act No.
7610, or the Special Protection of Children from Child Abuse, Exploitation, and Discrimination Act, as amended by Republic Act No.
7658, or prohibiting the employment of children under the age of 15 years.
The law stipulates the age for public and private companies as follows: SEC.
12.
Employment of Children.
– Children under the age of 15 may not be employed unless: 1) If the child works directly under the sole responsibility of a parent or legal guardian and only family members of the employer are employed: provided that the child's life, safety, health and morals are or prevent his normal development, provided that the parent or guardian provides the minor child with the necessary primary and/or secondary education.
or 2) Where the child's employment or participation in public entertainment or information through cinema, theater, radio or television is essential: provided that the employment contract is expressly provided by the child's parents or legal guardians; The agreement must be concluded with the consent of the child concerned, if possible, and the consent of the Ministry of Labor and Employment: In addition, the following requirements are strictly complied with in all cases: (a) Employers must ensure the protection and health, safety, morals and normal development of children.
(b) Employers must ensure the structure of remuneration and (c) Employers shall take measures to prevent the exploitation and discrimination of children, taking into account the standards, duration and regulation of working hours.
(c) Employers shall, subject to the approval and supervision of appropriate authorities, A continuous training and skills acquisition program shall be developed and implemented.
In the above exceptional cases where such children can be employed, the employer must first obtain a work permit from the Ministry of Labor and Employment ensuring compliance with the above requirements before employing the child.
It doesn't have to be.
The Department of Labor and Employment shall adopt such rules and regulations as are necessary for the effective implementation of this article.
” (Art.
1 of R.A.
No.
7658, amended Art.
8, Section 12 of R.A.
No.
7610) In all cases of employment of minors, there shall be no discrimination on the basis of age.
The law reads: Art.
140.
Prohibition of discrimination against children.
Employers must not discriminate against individuals in terms of employment conditions on the basis of age.</t>
  </si>
  <si>
    <t>What are the basic rights and obligations of both employers and employees under Philippine law?</t>
  </si>
  <si>
    <t>Employee Rights: Organizational Rights: Employees have the right to organize a union or association.
Collective Bargaining: Employees may participate in collective bargaining or negotiations with management to discuss the terms and conditions of their employment.
Peaceful concerted activities: Employees may participate in peaceful concerted activities, including the right to strike (in accordance with the law).
Employment Security: Employees are entitled to employment security and cannot be dismissed without just cause and due process.
Humane Working Conditions: Employers must provide safe and humane working conditions to their employees.
Living Wage: Employees have the right to a fair and adequate wage.
Participation in decision-making: Employees can participate in policy and decision-making processes that affect their rights and interests12.
Employer Obligations: Employment Contract: Employers must provide employees with a written employment contract specifying the terms and conditions of employment, including salary in Philippine pesos.
13th Monthly Salary: Most employees (excluding senior and management positions, commission-based roles or fixed-term contracts) are entitled to an additional monthly base salary per year.
Contract Conversion: temporary employee becomes permanent employee after her one year of service.
Health and Safety Duty: Employers must ensure workplace safety and provide first aid services and nurses depending on the number of employees and workplace hazards3.
Employee Benefits: Employers must provide certain benefits, including: Social Security System "SSS": Provides social insurance.
PhilHealth: Her health insurance for employees and their dependents.
Pag-IBIG Fund: contributions to housing and pension funds.
Vacation and Sick Leave: A covered employee's paid leave.
Maternity leave/childcare leave 4,444 cases: Leave for childbirth/childcare 4,444 cases.
Retirement benefits: Contributions to retirement reserves.
Special leave allowance: Additional leave in certain cases4.</t>
  </si>
  <si>
    <t>What are the different types of work arrangements recognized in the Philippines (e.g., full-time, part-time, contractual)?</t>
  </si>
  <si>
    <t>Several types of employment are recognized in the Philippines.
Let's take a closer look at them: Regular or permanent employment: This represents the backbone of job security for Filipino workers.
Where necessary and desirable, employment is considered permanent.
A non-regular worker can be considered a permanent employee even if her employment lasts for at least one year, regardless of continuity1.
Fixed-term or indefinite-term employment: Characterized by a predetermined period of employment.
At the end of this period, the employment contract ends.
The employment relationship of fixed-term employees automatically terminates by law at the end of the fixed term1.
Project Employment: Includes permanent employment on a specific project or company.
The employee's activity ends when the project is completed.
Matches project duration1.
Seasonal Employment: Applies to work or services performed during specific times of the year.
Seasonal workers may also be considered permanent employees if they are called in from time to time, are temporarily laid off during the off-season, and are rehired as needed.
1 Temporary labor: Temporary labor whose regularity is determined by the period of employment.
Perform activities necessary and desirable for the employer's company.
4,444 temporary employees become permanent employees after one year of continuous employment1.
Flexible Work Arrangement (FWA): No specific employment arrangement, but alternative schedules available.
Examples of this include flexi-time arrangements (more flexibility when coming to and leaving work) and work-from-home arrangements.
4,444 companies have implemented FWA to ensure business continuity without reducing employees2.
Remember that these agreements have legal implications and employers must comply with labor laws and notify the Department of Labor and Employment (DOLE) when implementing flexible work arrangements.
.</t>
  </si>
  <si>
    <t>What are the legal requirements for working overtime in the Philippines?</t>
  </si>
  <si>
    <t>In the Philippines, overtime pay is additional compensation provided to covered employees who perform additional work beyond their normal working hours.
The main legal requirements regarding overtime are: The concept of overtime pay: Overtime pay is 25% of the insured employee's hourly wage for work exceeding 8 hours per day or overtime.
%.
If an employee works more than her 8 hours on a public holiday or holiday, she is entitled to receive additional compensation of at least 30 percent on her first 8 hours of the day.
Coverage: Overtime pay applies to all employees except for some exempt categories: Civil servants (including state-owned enterprises).
Her managers meet specific criteria regarding tasks and authority.
4,444 civil servants or members of command staff with special responsibilities.
Kasambahay (domestic workers) and personal service workers.
The 4,444 workers are paid based on performance (piece rate, taqui, pakiyo, etc.
), provided that production rates meet regulations.
Health care workers are subject to certain maximum weekly working hours and additional wage provisions.
Underwork and Compensation: Underwork (less than 8 hours of work) cannot be compensated by overtime.
The hourly wage for overtime is higher than the hourly wage for overtime absence.
Remember that the burden of proof is on the employee to prove that they were properly authorized to work overtime and actually performed the work.</t>
  </si>
  <si>
    <t>How are minimum wage rates determined in the Philippines, and how do they vary by region and industry?</t>
  </si>
  <si>
    <t>The Philippines' minimum wage rate is important to millions of workers across the country.
Let's take a closer look at how the minimum wage is determined and see the differences by region and industry.
What is Minimum Wage?
Minimum Wage means the minimum wage that an employer must pay an employee for work performed in a given period.
These rates are determined at the regional level by the regional tripartite Wages and Productivity Board.
Factors considered in determining minimum wage rates include: Poverty Level Applicable Wage Rates Based on Labor Force Surveys Socioeconomic Considerations The minimum wage applies to all workers, including full-time, part-time, and contract workers.
Regional differences in minimum wages (as of December 2023): Below is the breakdown of the daily minimum wage by region in the Philippines in the private sector: National Capital Region (NCR): ₱610 Cordillera Administrative Region ( CAR): ₱430 Region I: ₱402 ~ ₱435 Region II: ₱435 Region III: ₱449 ~ ₱500 Region IV-A: ₱385 ~ ₱520 444 4 Region IV - B: ₱369 to ₱395 Region V: ₱395 Region VI: ₱450 to ₱480 Region VII: ₱420 to ₱468 Region VIII: ₱405 44 44 Region IX: 44 ₱44381 Region X: ₱423 to ₱438 Region 444 In 2021, the minimum wage varied depending on region and industry.
For example: NCR: ₱500 to ₱537 CAR: ₱340 to ₱350 Region I: ₱282 to ₱340 , etc… Please note that these numbers are subject to change.
please.
It is important to keep up to date with the latest information and adjustment information on the minimum wage rate in the Philippines</t>
  </si>
  <si>
    <t>What are the different types of statutory benefits Filipino employees are entitled to?</t>
  </si>
  <si>
    <t>Under the Philippine Labor Code, employers are entitled to provide their employees with the Social Security System "SSS", PhilHealth, Pag-IBIG Fund, 13 months' salary, vacation and sick leave, maternity and paternity leave, retirement benefits and special benefits.
It is mandatory to provide various benefits.
Vacation allowance.</t>
  </si>
  <si>
    <t>What procedures must employers follow when terminating an employee's contract?</t>
  </si>
  <si>
    <t>In the Philippines, employers must follow certain procedures when terminating an employee's employment contract.
These steps ensure fairness and compliance with labor laws.
The main steps are: Identify the type of employment contract: There are three common types of employment contracts: Trial period: During the initial trial period, The owner can evaluate the employee's suitability for the job.
Fixed-term contract: A contract with a predetermined end date.
Perpetual Contracts: These are perpetual contracts with no set end date1.
State the reasons for dismissal: Depending on the type of employment relationship, the employer must have a valid reason for dismissal.
Reasons may include: Approved reasons: For example, layoffs, downsizing, business closure, etc.
Just cause: Including gross misconduct, habitual neglect, or violation of company policy2.
Notice and Explanation: The employer must follow the two notice rule: Explanation: Provide a written notice stating the reasons for the dismissal.
Employees must submit a written declaration within at least 5 days.
Administrative Meetings: Hold meetings where employees can defend themselves individually or with their legal representatives.
Termination Notice: Sends a formal notice to the employee informing them of termination3.
Notification to Labor Authorities and Employees: Employees who are about to be dismissed must be properly notified.
Employers must notify the Department of Labor and Employment (DOLE) of termination1.
Separation Pay: If the dismissal is for just cause, the employee is entitled to separation pay.
Philippine labor law requires due process, and failure to follow these procedures may result in illegal or unfair dismissal4.
Document Termination: Maintain appropriate records of the termination process, including notices, meeting minutes, and related correspondence1.
Remember that Philippine labor laws are worker-friendly.
Therefore, employers must carefully manage these procedures to ensure compliance and fairness.</t>
  </si>
  <si>
    <t>What are the legal grounds for an employer to terminate an employee's contract without notice?</t>
  </si>
  <si>
    <t>Employees can only be fired for just and justifiable reasons.
Legitimate reasons include employee negligence or negligence.
However, reasons such as employer needs, changes in economic conditions, or employee illness are acceptable.</t>
  </si>
  <si>
    <t>What are the legal grounds for an employee to terminate their employment contract without notice?</t>
  </si>
  <si>
    <t>According to Article 285 of the Labor Code, workers in the Philippines can quit their jobs with or without just cause.
The employee must submit a notice of dismissal with one month's notice, without specifying the reason.
If they fail to file a report, you can sue them for the damages caused.</t>
  </si>
  <si>
    <t>What steps have been taken to address income disparities among different sectors of the Filipino workforce, and how are fair wages determined?</t>
  </si>
  <si>
    <t>The Regional Tripartite Wage and Productivity Board (“RTWPB”) regularly issues wage regulations to address income disparities and rising costs of living among different sectors of the Filipino workforce.
The statutory minimum wage rates required by the RTWPB vary by industry, state, and region.
The minimum wage rate set by the RTWPB in accordance with Guideline No.
03 of the 2020 Series or the Omnibus Regulations on Minimum Wage Determination issued by the National Wage and Productivity Board shall be the minimum wage rate that is economically possible to maintain the minimum wage.
It shall be as reasonable as possible.
Standard of living , which is necessary for the health, performance and general well-being of employees.
When setting the minimum wage, the following is taken into account: Demand for a living wage.
Wage adjustment related to consumer price index.
Cost of living and changes or increases in it.
Needs of workers and their families.
The need to encourage local investment by industry.
Improving the standard of living.
General wage level.
Adequate interest on capital employed and employer's ability to pay.
Employment Creation and Impact on Household Income.
Equitable distribution of income and wealth according to the requirements of economic and social development.</t>
  </si>
  <si>
    <t>Traffic Law</t>
  </si>
  <si>
    <t>What is the legal blood alcohol content (BAC) limit for drivers in the Philippines?</t>
  </si>
  <si>
    <t>The lawful blood liquor substance (BAC) restrain for drivers within the Philippines changes depending on the sort of driver:
For private vehicle drivers (with a net weight not surpassing 4,500 kg):
The lawful BAC restrain is 0.05%.
For proficient drivers (counting drivers of trucks, buses, cruisers, and open utility vehicles):
The legitimate BAC constrain is 0.00%. This implies any recognizable sum of liquor in their framework is considered driving beneath the impact (DUI).
It's imperative to keep in mind that these are lawful limits, not secure limits. Indeed a little sum of liquor can impede your driving capacity and increment your hazard of mishaps. It's continuously most secure to dodge drinking and driving inside and out.</t>
  </si>
  <si>
    <t>In what situations are drivers required to use seat belts according to Philippine law?</t>
  </si>
  <si>
    <t>Philippine law orders situate belt utilize in different circumstances beneath Republic Act No. 8750, too known as the Situate Belts Utilize Act of 1999. Here's a breakdown:
Drivers and front situate travelers of all open and private engine vehicles (barring jeeps, jeepneys, vans, and buses) are required to wear situate belts at all times whereas the vehicle is running on any street or lane.
In private vehicles (barring the categories said over), all travelers (counting those within the back situate) must utilize their seatbelts at all times.
Drivers of open engine vehicles (counting those avoided from situate belt utilize for travelers) are required to illuminate and require their front situate travelers to wear situate belts upon boarding the vehicle. Any traveler who denies to wear a situate belt cannot proceed their trip.
Uncommon open benefit vehicles like school buses and comparative vehicles have extra prerequisites. The driver, front seat travelers, and the primary push of travelers behind the driver must wear situate belts at all times whereas the vehicle is running.
Children under six a long time ancient are precluded from sitting within the front situate of any running engine vehicle, indeed on the off chance that they are buckled up.</t>
  </si>
  <si>
    <t>What is the minimum age requirement for motorcycle passengers in the Philippines?</t>
  </si>
  <si>
    <t>Within the Philippines, the least age prerequisite for bike travelers is decided by Republic Act No. 10666, too known as the Children's Security on Bikes Act of 2015.
For the most part, it is illegal for any child underneath 18 a long time ancient to be transported as a traveler on a bike. Be that as it may, there are exclusions to this run the show:
The child traveler can comfortably reach his/her feet on the standard foot pegs of the cruiser. This guarantees the child can keep up a legitimate and steady position whereas riding.
The child traveler can reach around and get a handle on the abdomen of the cruiser driver. This gives the child with a secure hold whereas on the bike.
The child traveler must wear a standard defensive helmet that fits legitimately. Usually pivotal for their security in case of an accident.
It's vital to note that indeed in case a child meets these three exceptions, it's still exceedingly suggested to prioritize their security and maintain a strategic distance from transporting them on a bike at whatever point conceivable. Cruisers offer altogether less security compared to cars in case of an mischance, and children are particularly helpless.</t>
  </si>
  <si>
    <t>Under what circumstances can a driver use a mobile phone while operating a vehicle?</t>
  </si>
  <si>
    <t>The Distracted Driving Prevention Act prohibits drivers from using cell phones to talk, text, play games, watch videos, or engage in similar activities while driving a vehicle.</t>
  </si>
  <si>
    <t>What does the law require regarding the use of helmets for motorcycle riders and passengers?</t>
  </si>
  <si>
    <t>When riding a motorcycle, both the driver and passenger must comply with R.A.
Wear a DTI-approved helmet (such as one with an ICC sticker).
10054 or the Motorcycle Helmet Act of 2009.
As accessories, all motorcycles must be equipped with headlights, taillights, signal lights, brake lights, side mirrors, and a horn.</t>
  </si>
  <si>
    <t>What is the maximum speed limit on expressways in the Philippines?</t>
  </si>
  <si>
    <t>The maximum speed on highways and toll roads in the Philippines is 100 kilometers per hour (km/h) for cars.
Toll plaza operators impose a slightly lower speed limit of 80 km/h on buses and trucks.
Additionally, the minimum speed on all highways in the Philippines is 60 km/h.
To drive safely and efficiently on highways, it is important to always obey speed limits</t>
  </si>
  <si>
    <t>What is the fine for driving without a valid driver's license in the Philippines?</t>
  </si>
  <si>
    <t>the fine for driving without a substantial driver's license is P3,000, concurring to the Arrive Transportation Office (LTO). This applies to different scenarios counting:
Driving without a license at all
Carrying an expired, suspended, revoked, or fake driver's permit
Understudy allow holders caught driving without being went with by somebody with a substantial permit
It's vital to keep in mind that basically overlooking your license at domestic doesn't excluded you from the punishment. Also, driving without a license can moreover lead to the impounding of your vehicle on the off chance that the specialists regard it vital.</t>
  </si>
  <si>
    <t>What is the minimum age for obtaining a student driver's permit in the Philippines?</t>
  </si>
  <si>
    <t>What is the penalty for driving under the influence of illegal drugs?</t>
  </si>
  <si>
    <t>Driving under the influence of illegal drugs in the Philippines is a serious offense with significant penalties as outlined by Republic Act No. 10586, also known as the Anti-Drunk and Drugged Driving Act of 2013.
Here's a summary of the potential consequences:
Imprisonment:
3 months to 6 years: This applies if the offense doesn't result in physical injuries or homicide.
6 years and 1 day to 12 years: This applies if the offense results in physical injuries.
12 years and 1 day to 20 years: This applies if the offense results in homicide.
Fine:
P20,000 to P50,000: This applies if the offense doesn't result in physical injuries or homicide.
P100,000 to P200,000: This applies if the offense results in physical injuries.
P300,000 to P500,000: This applies if the offense results in homicide.
Driver's license:
Confiscation and automatic revocation: This applies in all cases, regardless of the severity of the offense.
Suspension:
12 months for the first offense: This applies for non-professional licenses.
Permanent revocation for the first offense: This applies for professional licenses.
Additional notes:
Refusing to undergo mandatory field sobriety and drug tests also results in the confiscation and automatic revocation of the driver's license, in addition to other penalties.
It's important to remember that these are the maximum penalties, and the actual punishment may be lower depending on the specific circumstances of the case and the discretion of the court.</t>
  </si>
  <si>
    <t>In what situations should a driver yield the right of way to pedestrians?</t>
  </si>
  <si>
    <t>RA No.
4136, Article 3, Section 42(c) states that the driver of a vehicle must yield the right of way to a pedestrian crossing the road within a crosswalk.
In the absence of traffic monitoring devices and traffic lights, traffic flow is determined by traffic monitoring devices and traffic lights.</t>
  </si>
  <si>
    <t>What is the legal requirement for installing child restraint systems in vehicles?</t>
  </si>
  <si>
    <t>the legal requirement for installing child restraint systems (CRS) in vehicles is established by Republic Act No. 11229, also known as the Child Safety in Motor Vehicles Act. Here's a summary of the key points:
Who needs a child restraint system?
Children under 12 years old or with a height of less than 150 cm (4'11") must be secured in a child restraint system (CRS) while in a running motor vehicle on any road, street, or highway.
What type of CRS is required?
The CRS needs to be appropriate for the child's age, height, and weight.
It must also bear the Philippine Standard (PS) mark or the Import Commodity Clearance (ICC) sticker and certificate. This ensures the CRS meets specific safety standards set by the government.
Where can children sit without a CRS?
Children who meet the height requirement (150 cm or 4'11") and are 12 years of age or older can use the regular seat belt in the front seat of a motor vehicle with a running engine or while being transported.
Fines for non-compliance:
The driver is responsible for ensuring children use the proper CRS.
Failing to do so can result in a fine of:
₱1,000 for the first offense
₱3,000 for the second offense
₱5,000 and a one-year driver's license suspension for the third and succeeding offenses
Additional notes:
It's important to remember that using any CRS, even an unapproved one, is still safer than not using one at all. However, using an approved CRS ensures it meets specific safety standards and provides the best possible protection for your child.</t>
  </si>
  <si>
    <t>What is the maximum allowable tint for vehicle windows under Philippine law?</t>
  </si>
  <si>
    <t>The maximum permissible tints for vehicle windows under Philippine law are: Front side windows and windshields: To pass national standards, visible light transmittance of front side windows and windshields ( VLT) must not be less than 65%.
Car test (NCT) test.
The tint of these windows shall not exceed 35%.
Rear window: The rear window must remain clear on both new and currently registered vehicles.
Truck and auto manufacturers recommend 70% VLT for windshields and front side windows.
The rear window of is basically unregulated.
Don't forget that talks are still ongoing on how to regulate car tint in the Philippines.
Therefore, it is important to stay up to date with legal updates and changes.
If you are found to be using the wrong shade, the authorities will therefore give you time to resolve the issue.
In addition, factory-tinted windows are also subject to regulations, requiring automakers to maintain approved tint levels on the vehicles they produce.</t>
  </si>
  <si>
    <t>When is overtaking or passing another vehicle prohibited?</t>
  </si>
  <si>
    <t>Overtaking or passing another vehicle is prohibited in several situations, as outlined by Republic Act No. 4136, also known as the Land Transportation and Traffic Code. Here are the key scenarios:
1. Approaching the crest of a grade or on a curve:
You cannot overtake when approaching the top of a hill (crest of a grade) or on a curve in the road where your view ahead is obstructed within 500 feet. This is because limited visibility can make it unsafe to judge oncoming traffic and complete the maneuver safely.
2. Intersections and railway crossings:
Overtaking is not allowed at intersections unless the intersection is controlled by a traffic signal, a watchman, or a peace officer. This helps prevent collisions at busy intersections where multiple vehicles are turning or crossing paths.
Overtaking is also prohibited at railway crossings due to the potential dangers of crossing in front of an approaching train.
3. No-overtaking zones:
Specific sections of roads may be designated as "no-overtaking zones" by signage or double solid yellow lines. These zones typically include areas with limited visibility, narrow lanes, or other potential hazards, making overtaking unsafe.</t>
  </si>
  <si>
    <t>What should drivers do when approaching a pedestrian crossing?</t>
  </si>
  <si>
    <t>What are the penalties for disregarding traffic signs and signals?</t>
  </si>
  <si>
    <t>the penalties for disregarding traffic signs and signals can vary depending on the specific violation and the enforcing agency. Here's a breakdown:
Land Transportation Office (LTO):
While LTO doesn't have a specific violation listed for "disregarding traffic signs," they can charge violators with violating traffic rules and regulations, which carries a fine of ₱1,000.
Metropolitan Manila Development Authority (MMDA):
The MMDA has a specific violation for disregarding traffic signs (DTS) with different fines depending on the number of offenses:
First offense: ₱150
Second offense: ₱150
Third offense: ₱150</t>
  </si>
  <si>
    <t>Can a driver be fined for refusing to undergo a drug and alcohol test?</t>
  </si>
  <si>
    <t>When approaching a crosswalk in the Philippines, motorists must abide by the following rules of right-of-way: Pedestrian priority: Pursuant to RA No.
4136, Article III, Section 42 ©, all The driver of the vehicle must yield the right of way.
Right of way for pedestrians crossing the road as long as they are within the crosswalk.
This means that if a pedestrian is actively using a crosswalk, drivers must stop to allow them to cross safely.
However, if a traffic monitoring device or traffic light is present, traffic flow is determined by the traffic monitoring device or traffic signal1.
Avoid cutting off pedestrians: Even in the absence of traffic police or traffic lights, drivers should avoid cutting off pedestrians who are already in the middle of the crosswalk.
Please be patient and allow them to complete the crossing before continuing2.
Remember that safety and pedestrian considerations are essential to smooth traffic flow and avoid accidents.
Therefore, when using crosswalks, slow down, use caution, and yield to pedestrians.</t>
  </si>
  <si>
    <t>What is the fine for driving a motorcycle without a helmet in the Philippines?</t>
  </si>
  <si>
    <t>The fine for driving a motorcycle without a helmet in the Philippines depends on the number of offenses and is mandated by Republic Act No. 10054, also known as the Motorcycle Helmet Act. Here's the breakdown:
First offense: ₱1,500 (around $30 USD)
Second offense: ₱3,000 (around $60 USD)
Third offense: ₱5,000 (around $100 USD)
Fourth and succeeding offenses: ₱10,000 (around $200 USD) plus confiscation of the driver's license
Remember, these are just the financial penalties.
Additional consequences of driving without a helmet might include:
Impounding of the motorcycle
Injuries or death in case of an accident (even a minor accident can result in serious injuries without the protection of a helmet)</t>
  </si>
  <si>
    <t>When should drivers use their vehicle's hazard lights?</t>
  </si>
  <si>
    <t>Experts say hazard warning lights should only be used in emergencies.
As the name suggests, turning on your hazard lights tells other drivers that you have an emergency situation (mechanical or medical in nature) and need assistance, or that you are relative to another person.
Warns you of potential dangers.
For example, if your car breaks down and you are unable to take it to a rest stop to fix the problem, putting other road users at risk.
Unfortunately, the words "risk" and "danger" can be subjective, and other drivers may believe that the use of hazard warning lights is necessary in some situations.</t>
  </si>
  <si>
    <t>What is the penalty for overloading a vehicle in the Philippines?</t>
  </si>
  <si>
    <t>The penalty for overloading a vehicle in the Philippines depends on the severity of the offense and the type of vehicle involved. Here's a breakdown of the main aspects:
General Penalties:
First Offense: A fine of ₱50,000 and suspension of the driver's license and the franchise (if applicable) [Source: Senate Bill No. S *19].
Second Offense: A fine of ₱250,000 and suspension of the driver's license and the franchise (if applicable) [Source: Senate Bill No. S *19].
Third Offense: A fine of ₱1,000,000 and revocation of the driver's license and the franchise (if applicable) [Source: Senate Bill No. S *19].
Additional Points:
There's a 4.99% tolerance for exceeding the registered Gross Vehicle Weight (GVW). If the excess falls within this range, the penalty might be waived [Source: LTO Memorandum Circular No. ACL-2009-1192].
Exceeding the axle load limit of 13,500 kgs always incurs a penalty, regardless of the overall GVW [Source: LTO Memorandum Circular No. ACL-2009-1192].
Overloading passenger vehicles by more than 160 kgs carries a fine of ₱1,000 for both the driver and conductor [Source: LTO Portal PH].</t>
  </si>
  <si>
    <t>What is the legal speed limit in school zones?</t>
  </si>
  <si>
    <t>In the Philippines, the mandatory speed limit in school zones is 20 kilometers per hour (4,444 km/h).
However, depending on local regulations, speed limits of 15 km/h to 30 km/h may be set at in some places.
The maximum speed within the school zone is approximately 20km/h.
This lower speed limit is not arbitrary.
Carefully selected to prioritize safety over speed.
The 20km/h limit has given 4,444 drivers better control of their vehicles, significantly reducing the severity of potential accidents and reducing response time to unexpected events.</t>
  </si>
  <si>
    <t>How often should vehicles undergo emission testing according to Philippine law?</t>
  </si>
  <si>
    <t>According to Philippine law, vehicles undergo emission testing every year upon the renewal of their registration. This is mandated by the Clean Air Act (Republic Act No. 8749) and enforced by the Land Transportation Office (LTO).
The emission test measures the level of pollutants like hydrocarbons, carbon monoxide, nitrogen oxides, particulate matter, and other emissions released by the vehicle. This helps ensure vehicles comply with emission standards and contribute to reducing air pollution in the Philippines.</t>
  </si>
  <si>
    <t>Can a driver be fined for unnecessary and excessive blowing of the horn?</t>
  </si>
  <si>
    <t>Yes, drivers can be fined for unnecessary and excessive honking in the Philippines.
A no-honking sign is a regulatory sign that instructs motorists not to use their car horn when entering a particular area.
This sign is often seen near places where silence is required, such as schools, religious institutions (such as places of worship, mosques, and churches), and hospitals.
It is also effective for early morning flag raising ceremonies.
Car horns are meant to warn other drivers, not to express anger or impatience.
Violation of this rule may result in a fine of P1,000 in accordance with Co-Administration Regulation No.
2014-01.</t>
  </si>
  <si>
    <t>What is the penalty for driving with expired registration and license plates?</t>
  </si>
  <si>
    <t>In the Philippines, driving with expired registration and license plates carries two separate penalties, each with its own potential consequences:
1. Expired Registration:
Penalty:
₱10,000 fine: This is the main penalty for driving with an unregistered motor vehicle [Source: LTO Portal PH].
Vehicle impoundment: If the vehicle hasn't been registered for more than one month, it may be impounded by authorities and released only after completing the registration process and paying the corresponding fines and penalties [Source: LTO Portal PH].
Additional penalties for extended non-registration: In extreme cases, where the vehicle hasn't been registered for over three years, the owner might face confiscation of the vehicle on top of the fine and registration renewal fees [Source: LTO Portal PH].
2. Expired License Plates:
Penalty: This violation falls under the category of "Driving a motor vehicle with delinquent, suspended or invalid registration, or without registration or without the proper license plate for the current year". The penalty for this is ₱300 fine or imprisonment not exceeding fifteen days, at the discretion of the court (Article VI, Section 21(e), Republic Act No. 4136 or the Land Transportation and Traffic Code) [Source: Republic Act].</t>
  </si>
  <si>
    <t>When is it legal for motorcycles to use the bicycle lane?</t>
  </si>
  <si>
    <t>If you have ever driven your motorcycle across a cycle path, even to direct traffic, you have committed a crime.
No motorcycle of any kind, including small-displacement scooters, street-legal naked bikes, or sports bikes, may be used in bike lanes.</t>
  </si>
  <si>
    <t>What is the minimum distance that drivers should maintain when following another vehicle?</t>
  </si>
  <si>
    <t>The most widely recommended following distance is based on the 3-second rule.
Here's how the 3-second rule works:
Choose a fixed object ahead, like a sign or a tree.
Observe the vehicle in front of you pass that object.
Start counting "one-thousand-one, one-thousand-two, one-thousand-three."
If you pass the same object before you finish counting to three, you're following too closely.
This method takes into account that your following distance should increase as your speed increases. The 3-second rule is a good starting point for ideal driving conditions. However, it's important to adjust your following distance based on several factors, including:
Road and weather conditions: Increase following distance in rain, snow, fog, or on slippery roads.
Visibility: If your visibility is limited, increase following distance.
Vehicle condition: If your brakes are not functioning properly, increase following distance.
Driver condition: If you are tired, distracted, or under the influence, increase following distance.
Size and weight of your vehicle: Larger and heavier vehicles require a greater following distance.</t>
  </si>
  <si>
    <t>What are the rules regarding the use of headlights during nighttime driving?</t>
  </si>
  <si>
    <t>Please be careful when driving at night in the Philippines.
Make sure your headlights and taillights are on before you leave.
Use your high beams responsibly and switch to low beams when approaching other vehicles.
Be aware of pedestrians and animals on the road, as they are harder to see at night.</t>
  </si>
  <si>
    <t>When is it allowed to make a U-turn on a road with a "No U-Turn" sign?</t>
  </si>
  <si>
    <t>It is never allowed to make a U-turn on a road with a "No U-Turn" sign. These signs are specifically placed to prohibit U-turns because they can be dangerous and disrupt traffic flow.
If you encounter a "No U-turn" sign and need to turn around, here are your options:
Find a legal U-turn location: Look for a designated U-turn lane or an intersection where U-turns are permitted.
Go around the block: This might be the safest and most efficient option, especially on busy roads.
Plan your route beforehand: If you know you need to turn around later in your trip, plan your route to avoid areas with "No U-turn" signs.</t>
  </si>
  <si>
    <t>What is the penalty for reckless driving resulting in damage to property?</t>
  </si>
  <si>
    <t>Under Philippine law, reckless imprudence that causes property damage is a serious crime.
Let's take a closer look: Reckless Driving Definition: According to Republic Act 4136, reckless driving is when a person operates a vehicle without proper observance of traffic laws and without due care.
Occurs in case.
This includes not taking into account traffic conditions, road widths, intersections, pedestrians, visibility, weather conditions, and atmospheric factors.
This includes direct or potential harm to people, animals, or property.
Types of Reckless Driving Violations: Here are his three specific types of reckless driving violations in the Philippines: Distracted Driving: This is when the driver pays little attention to the road conditions and does not anticipate Occurs when you respond inaccurately to an unexpected event.
Distractions such as answering a phone while driving pose a risk to overall road safety.
The Distracted Driving Act addresses this issue and prohibits drivers of private vehicles from placing objects within their field of vision.
is prohibited.
Penalties: Penalties for reckless imprudence causing property damage include: 12 hours of suspension time.
In addition, a taxable penalty of P8,500 may be imposed at the discretion of the court.
With this taxable fine, the mayor can be arrested for a minimum of 1 month and he can be arrested from 1 day to a maximum of 4 months.</t>
  </si>
  <si>
    <t>What is the fine for unauthorized use of sirens, bells, horns, or similar devices?</t>
  </si>
  <si>
    <t>Executive Order No.
96, promulgated on January 13, 1973, prohibits the use of sirens, bells, horns, whistles, or similar devices emitting very loud or frightening noises, including overhead lights and other signaling or flashing devices.
) is declared illegal for use or installation in motor vehicles.
Philippines 123.
The main points of the statute are as follows: Unlawful use: The owner or occupier of a motor vehicle uses or attaches to the vehicle any of the above devices that produce abnormally loud or frightening noises.
That is illegal.
Includes dome lights, turn signals, and other similar signals or flashing devices.
Exception: These gadgets or devices may only be installed and used in motor vehicles intended for official use by the following organizations: Armed Forces of the Philippines National Bureau of Investigation Land Transportation Commission Police Station Fire Department Ambulance in hospital Penalty: First offense: Unauthorized gadgets or devices will be confiscated immediately.
Second and subsequent offenses: The offender shall be prosecuted in a military court and, upon conviction, shall be subject to the following penalties: Six months' imprisonment A fine of 600 pesos In addition, the registration certificate of the motor vehicle.
If the device is not authorized, the device will be canceled or revoked.
In summary, unauthorized use of these devices can have legal consequences, including fines and jail time.
Compliance with these regulations is essential to maintain traffic discipline and order on highways.</t>
  </si>
  <si>
    <t>Under what conditions can a driver turn right at a red traffic light?</t>
  </si>
  <si>
    <t>Here are the general conditions under which a driver can turn right on a red traffic light (assuming you're in a location where right turns on red are legal):
Solid Red Light: The traffic light facing you must be a solid red light, not a flashing red light. A flashing red light typically means stop completely and proceed with caution.
Complete Stop: You must come to a complete stop before making the turn. This means your vehicle is not rolling at all, even slightly. Ideally, you should stop behind the limit line, crosswalk, or intersection line (whichever applies).
Yield the Right of Way: You must yield the right of way to all oncoming traffic, including those with a green light and pedestrians in crosswalks. This means waiting for a safe gap in traffic before proceeding with your turn.
No Posted Signs: There should be no signs specifically prohibiting right turns on red at that intersection. These signs might say "No Turn on Red" or have a red arrow symbol.
Safety First: Even when a right turn on red is legal, it's crucial to prioritize safety. Here are some additional points to consider:
Clear Intersection: Make sure the intersection is completely clear of oncoming traffic and pedestrians before proceeding.
Limited Visibility: If your visibility is limited due to weather, darkness, or obstructions, it's safer to wait for a green light.
Heavy Traffic: If oncoming traffic is heavy or turning right would be difficult or risky, waiting for a green light might be a better option.</t>
  </si>
  <si>
    <t>What should drivers do when approaching a railway crossing?</t>
  </si>
  <si>
    <t>Please note that regardless of traffic volume, vehicles must always stop at intersections to ensure that they are safe and clear of obstructions, and use signal lights to warn nearby vehicles.
This also applies to railroad crossings.</t>
  </si>
  <si>
    <t>What is the penalty for operating a vehicle with defective brakes?</t>
  </si>
  <si>
    <t>The penalty for operating a vehicle with defective brakes in the Philippines is a ₱5,000 fine for the first offense. This falls under the category of defective/improper/unauthorized accessories, devices, equipment, and parts, which includes brakes, according to the Land Transportation Office (LTO).
However, it's important to note that this is just the initial penalty. Subsequent offenses carry increasingly severe consequences:
Second offense: ₱10,000 fine and impounding of the vehicle for 30 days.
Third offense: ₱15,000 fine and cancellation of the driver's license.
Therefore, it's highly crucial to maintain your vehicle's brakes in good working condition to ensure your safety, the safety of others on the road, and to avoid facing these penalties.</t>
  </si>
  <si>
    <t>Can a driver be fined for not dimming headlights when approaching another vehicle?</t>
  </si>
  <si>
    <t>According to the LTO, you must use the low-beam headlight setting when the vehicle is at least 300 feet in front of you.
Authorities will impose a P150 fine on those who fail to dim their high beams.</t>
  </si>
  <si>
    <t>What is the penalty for driving without the required motor vehicle plates?</t>
  </si>
  <si>
    <t>In the Philippines, driving without the required motor vehicle plates carries a ₱5,000 fine and additional consequences, as stipulated by the Land Transportation Office (LTO). Here's a breakdown of the key points:
Penalty: ₱5,000 fine [Source: LTO Portal PH].
Additional consequences:
Confiscation of unauthorized plates, accessories, and/or devices: Any unauthorized license plates, accessories, or devices attached to the vehicle might be confiscated by the LTO [Source: LTO Portal PH].
Potential vehicle impoundment: While not explicitly stated for this specific violation, depending on the situation and the discretion of the apprehending officer, the vehicle might be impounded until the proper plates are obtained and any necessary fees are settled [Source: MMDA].</t>
  </si>
  <si>
    <t>When can a driver use the shoulder or sidewalk to overtake other vehicles?</t>
  </si>
  <si>
    <t>According to the agency, the answer is "illegal.
" This is also question number 185 from the reviewer.
And yes, the answer is the same no matter which source you look at.
And while we're on the topic of overtaking, it's also illegal to voluntarily move into the oncoming lane and drive on the sidewalk to avoid traffic jams.</t>
  </si>
  <si>
    <t>What is the fine for operating a motor vehicle with expired driver's license?</t>
  </si>
  <si>
    <t>The fine for operating a motor vehicle with an expired driver's license in the Philippines is ₱3,000. This applies to any situation where your license is considered invalid, including:
Expired license: This is the most common scenario and carries the standard ₱3,000 penalty.
Revoked license: Driving with a revoked license is illegal and carries much harsher penalties, potentially including imprisonment and disqualification from obtaining a license for a specific period.
Suspended license: Driving with a suspended license is also illegal and can result in additional penalties and legal consequences depending on the reason for the suspension.
Fake license: Using a fake license is a serious offense and can lead to criminal charges and potential imprisonment.
It's important to note that this is a flat fine of ₱3,000 and doesn't increase based on the duration the license has been expired. However, depending on the specific circumstances and the apprehending officer's discretion, additional consequences might be involved, such as:
Vehicle impoundment: In some cases, the vehicle might be impounded until the driver obtains a valid license.
Confiscation of the expired license: The expired license may be confiscated by the authorities.</t>
  </si>
  <si>
    <t>What is the minimum age for obtaining a non-professional driver's license?</t>
  </si>
  <si>
    <t>The minimum age requirement depends on the applicant's nationality and the type of her license she is applying for.
If the applicant is a Filipino citizen, the age limit for NPDL is that she is 17 years old.
A foreigner must be 18 years of age or older to prepare her for her NPDL.</t>
  </si>
  <si>
    <t>Can a driver be fined for allowing a person to cling to the outside of a moving vehicle?</t>
  </si>
  <si>
    <t>Yes, a driver in the Philippines can be fined for allowing a person to cling to the outside of a moving vehicle. This practice is considered highly dangerous and illegal under various regulations and laws in the country.
Here's why a driver can be fined:
Republic Act No. 4136 or the Land Transportation and Traffic Code: This law, specifically Section 21, prohibits drivers from allowing any person to ride in a location not intended for passengers. Clinging to the outside of a moving vehicle clearly falls under this category.
Metropolitan Manila Development Authority (MMDA) Regulation: The MMDA, which regulates traffic in Metro Manila, prohibits "riding on top or clinging on the sides of moving vehicles". This violation carries a fine, although the specific amount may vary depending on the circumstances and the specific regulation enforced at the time of the offense.
While the specific fine amount might vary, it's generally considered a minor offense and often carries a relatively low fine, typically between ₱150 and ₱500.
However, it's crucial to remember that the potential consequences of allowing someone to cling to the outside of a moving vehicle go far beyond a simple fine. These include:
Serious injuries or death: The person clinging to the vehicle is at extreme risk of falling, being struck by another vehicle, or being crushed by the moving vehicle itself.
Driver's liability: If the person clinging to the vehicle is injured or killed, the driver could be held legally liable for their injuries or death.
Additional charges: Depending on the severity of the situation, the driver might face additional charges, such as reckless endangerment.</t>
  </si>
  <si>
    <t>What is the penalty for exceeding the maximum allowable speed limit?</t>
  </si>
  <si>
    <t>Fines 1st offense 2,000 pesos 2nd offense 3,000 pesos + 3-month driving license suspension 3rd offense 10,000 pesos + at least 6-month driving license suspension 4th offense</t>
  </si>
  <si>
    <t>When is it permissible to use the emergency or breakdown lane?</t>
  </si>
  <si>
    <t>The emergency or breakdown lane is strictly for emergencies and breakdowns. This means you should only use it when:
Your vehicle experiences a mechanical failure or breakdown: This could include a flat tire, engine trouble, overheating, or any other issue that renders your vehicle unable to safely continue driving in the regular traffic lanes.
You are involved in a minor accident: If you are involved in a minor accident that does not cause significant damage or injuries, you can move your vehicle to the emergency lane to avoid further blocking traffic flow while waiting for assistance.
It is important to remember that using the emergency lane for any other reason is illegal and can be dangerous. This includes:
Passing other vehicles: This is a common misuse of the emergency lane and can be dangerous for other drivers who may be trying to use the lane for its intended purpose.
Driving slowly because of traffic congestion: The emergency lane is not meant to be used as an additional lane for regular traffic flow.
Stopping to talk on the phone or use your phone: This is not only illegal but also creates a safety hazard for yourself and other drivers.
Here's what you should do if your vehicle breaks down or you are involved in a minor accident:
Turn on your hazard lights: This will alert other drivers that your vehicle is disabled.
Pull over as safely as possible to the emergency lane: If you cannot safely reach the emergency lane, try to pull over as far to the right shoulder as possible.
Turn off your engine: This will help prevent further damage to your vehicle and conserve battery power.
Call for assistance: Contact a towing service, roadside assistance, or the police if needed.
Stay in your vehicle with your seatbelt on: This is the safest place to be while waiting for help, especially if your vehicle is on the side of a busy road.</t>
  </si>
  <si>
    <t>What is the fine for parking in a designated no-parking zone?</t>
  </si>
  <si>
    <t>Drivers of vehicles parked in no-parking zones will be arrested and face penalties including instruction and documentation of the violation, as well as community service for first violations.
Fine of 500 pesos, documentation of violation, and community service for second violation.
Fine of P1,000, documentation of violation and community service for his third violation.
A fourth offense carries a penalty of one to 15 days in jail.</t>
  </si>
  <si>
    <t>Under what circumstances can a driver make a left turn on a red traffic light?</t>
  </si>
  <si>
    <t>Drivers generally cannot make a left turn on a red traffic light. Here's why:
Traffic Light Standards: The Philippines follows standard traffic light conventions where red signifies "stop" for all directions. While some intersections might have dedicated left-turn arrows with separate light cycles (green arrow for left turn, red light for straight and right turns), a solid red light for all directions indicates stopping for all vehicles.
Right-of-Way: Left turns involve crossing oncoming traffic, so a green light or a specific left-turn green arrow is necessary to ensure the safety of the turning vehicle and those going straight with the green light. There are no legal exceptions permitting left turns on a red light in the Philippines. However, there might be rare situations where a specific intersection has a unique signage or traffic management scheme allowing left turns on red with caution, but this would be clearly indicated by specific signage or markings.</t>
  </si>
  <si>
    <t>What is the penalty for tampering with or altering the engine or chassis number of a vehicle?</t>
  </si>
  <si>
    <t>Tampering with or changing a vehicle's engine or chassis number is strictly prohibited in the Philippines and has legal consequences.
Let's take a look at the relevant laws and penalties.
Republic Act No.
10883 (New Anti-Carnapping Act of 2016) defines crimes related to tampering with motor vehicles.
Here are the important points: Defacing or Tampering with Serial Numbers: No one may deface or tamper with the original or registered serial number of a motor vehicle's engine, engine block, or chassis.
It's very illegal.
If a motor vehicle is found with a serial number other than the serial number listed in the customs import vehicle record, the serial number is considered defaced or tampered1.
Identity Transfer: This is the transfer of the identifying characteristics (engine number, chassis number, body tag number, registration number) of a motor vehicle that has been declared "totally unusable" or beyond economic repair to another factory.
Refers to transferring to the manufactured vehicle body.
or vehicle units of the same classification, type, brand, or model1.
Penalties: Individuals: Anyone who violates the provisions of the Carrion Prevention Act shall be sentenced to imprisonment for a period of not less than 2 years and not more than 6 years, and a fine equal to the cost of purchasing the motor.
Persons other than those involved in the injury, such as vehicles or car engines.
Legal entity (company): If a legal entity (such as a company) violates the law, the penalties apply to the president, secretary, director, or all officers and employees directly involved in the violating product2.
Additional penalties: The Land Transportation Office (LTO) imposes fines for certain tampering-related violations: First offense: PHP 2,000 Second offense: PHP 4,000 Third offense Violation of: PHP 6,0003.
Please note that these penalties are intended to deter illegal activities and protect the integrity of vehicle identification.
Always follow the law to avoid legal consequences.</t>
  </si>
  <si>
    <t>What is the minimum required tread depth for tires according to Philippine law?</t>
  </si>
  <si>
    <t>According to the Land Transportation Office (LTO) of the Philippines, there's no specific minimum tread depth mandated by law for private vehicles.
However, the LTO highly recommends that tire treads be maintained at a minimum depth of 1.6 millimeters for safety reasons [Source: LTO Advisory No. 2019-204]. This recommendation aligns with the general safety standards established by tire manufacturers and industry organizations worldwide.
Here's why maintaining proper tread depth is crucial:
Ensures safe grip and traction: Adequate tread depth allows tires to properly grip the road surface, especially in wet or slippery conditions, providing better handling and reducing the risk of skidding or hydroplaning.
Improves braking performance: Deeper treads provide a larger contact area between the tire and the road, leading to shorter braking distances and increased stopping power.
Reduces the risk of blowouts: Worn-out tires are more susceptible to blowouts, which can cause sudden loss of control and lead to accidents.</t>
  </si>
  <si>
    <t>Can a driver be fined for not yielding to emergency vehicles with sirens and lights?</t>
  </si>
  <si>
    <t>If you ignore a red light to give way to an emergency vehicle, you will still be fined.
Therefore, please obey the traffic rules even if you have priority vehicles.
Emergency Vehicle Right-of-Way: Drivers must yield to emergency vehicles with sirens and lights activated.
If you hear or see an emergency vehicle approaching, you must act immediately.
Pull your car to the side of the road and wait until the emergency vehicle has passed.
Failure to yield to emergency vehicles may result in fines and fines.
Penalties: The Metropolitan Manila Development Authority (MMDA) will enforce this regulation.
Violators may be subject to a reckless driving ticket and a P500 fine.
Additionally, the Land Transportation Office (LTO) may issue tickets for violations of the Joint Administrative Order on Abandonment of Emergency Vehicles, subject to a fine of P1,000.</t>
  </si>
  <si>
    <t>What is the penalty for operating a vehicle with defective headlights or tail lights?</t>
  </si>
  <si>
    <t>In the Philippines, operating a vehicle with defective headlights or tail lights falls under the category of "defective/improper/unauthorized accessories, devices, equipment, and parts" according to the Land Transportation Office (LTO). The penalty for this violation is a ₱5,000 fine for the first offense.
It's important to note that this is a significant fine, and repeated offenses can result in increasingly severe consequences:
Second offense: ₱10,000 fine and impounding of the vehicle for 30 days.
Third offense: ₱15,000 fine and cancellation of the driver's license.
Therefore, maintaining properly functioning headlights and tail lights is crucial for several reasons:
Safety: Functional lights ensure you can see and be seen by other drivers during low-light conditions and at night, significantly reducing the risk of accidents.
Legal compliance: Avoiding hefty fines and potential license suspension.
Responsibility: Taking responsibility for your vehicle's condition and contributing to safer roads for everyone.</t>
  </si>
  <si>
    <t>When can a driver proceed at a yellow traffic light?</t>
  </si>
  <si>
    <t>If you are approaching an intersection and the light turns yellow, you must stop.
However, if you cannot stop safely, be careful.
If the light turns yellow in the middle of an intersection, you can continue driving, but use extreme caution.</t>
  </si>
  <si>
    <t>What is the fine for driving without a valid certificate of registration (CR)?</t>
  </si>
  <si>
    <t>In the Philippines, driving without a valid certificate of registration (CR) carries a fine of ₱10,000. Vehicle impoundment: If your vehicle hasn't been registered for more than one month, it may be impounded by authorities and released only after completing the registration process and paying the corresponding fines and penalties [Source: LTO Portal PH].
Additional penalties for extended non-registration: In extreme cases, where the vehicle hasn't been registered for over three years, the owner might face confiscation of the vehicle on top of the fine and registration renewal fees [Source: LTO Portal PH].</t>
  </si>
  <si>
    <t>How often should public utility vehicles undergo a roadworthiness inspection?</t>
  </si>
  <si>
    <t>The first condition is that all non-modern PUVs pass the technology-based vehicle inspection system "MVIS".
“But even if they pass, they (PAs) will also have to undergo a roadworthiness test by MVIS every year, so we will allow them to renew it every year,” Libiran said.</t>
  </si>
  <si>
    <t>What is the penalty for operating a vehicle without a valid franchise or permit?</t>
  </si>
  <si>
    <t>Operating a vehicle without a valid franchise or permit in the Philippines is a serious offense with multiple potential penalties, depending on the specific type of vehicle and the context of the violation. Here's a breakdown of the main aspects:
General Penalties:
₱50,000 fine: This is the base penalty for operating a Public Utility Vehicle (PUV) without a valid franchise or permit [Source: Senate Bill No. S *19].
Apprehension and Impoundment: The vehicle can be apprehended by authorities and impounded until the proper franchise or permit is obtained and any associated fines are settled [Source: LTFRB Memorandum Circular No. 2014-009].
Suspension or Revocation of Franchise/Permit: Depending on the severity and frequency of the offense, the concerned agency (Land Transportation Franchising and Regulatory Board - LTFRB) might suspend or revoke the existing franchise or permit altogether [Source: LTFRB Memorandum Circular No. 2014-009].
Additional Points:
Private vehicles: Operating a private vehicle for commercial purposes without the proper franchise or permit can also result in penalties and confiscation of the vehicle [Source: LTFRB Memorandum Circular No. 2014-009].
Varying consequences: The specific penalties and consequences might vary depending on the type of vehicle involved, the nature of the violation (e.g., operating without any franchise or permit vs. operating with an expired permit), and the discretion of the apprehending authority.</t>
  </si>
  <si>
    <t>Can a driver be fined for using a car horn in a manner that causes unnecessary noise?</t>
  </si>
  <si>
    <t>Surely!
In the Philippines, excessive use of car horns that cause unnecessary noise can actually result in fines.
The most important points regarding the use of horns and penalties are: Noise nuisance: Noise nuisance is a civil law offense if it disturbs or annoys the senses or interferes with the use of property.
It is considered a nuisance based on the following.
The owner or occupier of land (including his assigns) may be liable for such nuisance.
Remedies for noise nuisance include abatement (removal of the nuisance) and damages.
Nuisances can be public (those that affect the community or neighborhood) or private (those that are particularly harmful to individuals).
If the noise itself is a nuisance (directly affecting safety), it can be reduced effortlessly according to the vague law of necessity.
If it is an accidental nuisance (depending on the circumstances), a proper hearing in court is required to determine whether it is an accidental nuisance1.
Specific legislation: In 2015, House Bill 1035 was introduced to regulate the use of video/karaoke systems and other audio amplification devices that cause unnecessary disruption in residential areas.
This bill proposes to limit the use of such devices to the hours of 8 a.m.
to 10 p.m.
only.
If the noise can be heard from a distance of at least 50 feet, there is prima facie evidence of a violation.
Violators may be subject to a fine of P1,000 or imprisonment for not more than six months, or both1.
Additional Measures: Broken car horns, or horns that make an excessively loud or quiet sound, are also considered illegal in the Philippines and many other countries2.
There was even a proposal to declare Sunday a "No Business Day" and ban unnecessary honking nationwide, with a P500 fine for each violation3.
Drivers should therefore use their car horns carefully to avoid unnecessary noise and possible fines.</t>
  </si>
  <si>
    <t>What is the penalty for transporting hazardous materials without the required permits?</t>
  </si>
  <si>
    <t>In the Philippines, transporting hazardous materials without the required permits carries several potential penalties, depending on the severity of the violation and the specific regulations involved. Here's a breakdown of the key points:
Main Governing Body:
Department of Transportation (DOTr): The DOTr, through its attached agencies, is responsible for the regulation of hazardous materials transportation in the Philippines. The key agencies involved include:
Land Transportation Office (LTO): Oversees licensing and registration of vehicles used for transporting hazardous materials.
Maritime Industry Authority (MARINA): Regulates the transport of hazardous materials by sea.
Civil Aviation Authority of the Philippines (CAAP): Regulates the transport of hazardous materials by air.
Potential Penalties:
Fines: The amount of the fine can vary depending on the specific violation and the agency involved. It can range from thousands to hundreds of thousands of pesos.
Impoundment of Vehicle/Cargo: The vehicle used for transport and/or the hazardous materials themselves might be impounded by authorities until proper permits are obtained and any penalties are settled.
License Suspension/Revocation: Depending on the severity of the offense, the driver's license or the company's permit to transport hazardous materials might be suspended or revoked.
Criminal Charges: In some cases, especially for serious violations or accidents involving hazardous materials, criminal charges may be filed, resulting in potential imprisonment.</t>
  </si>
  <si>
    <t>Under what conditions can a driver make a U-turn at an intersection?</t>
  </si>
  <si>
    <t>Generally, a U-turn is permitted if: No prohibition sign.
There is a green left turn arrow or a green traffic light.
You are in the far left lane.
There is a sign that says "U-turn only".
Cross the double yellow line (but only if it's safe and legal).</t>
  </si>
  <si>
    <t>What is the fine for operating a vehicle without the required early warning device?</t>
  </si>
  <si>
    <t>In the Philippines, the penalty for operating a motor vehicle without carrying a pair of Early Warning Devices (EWDs) is a ₱500 fine.</t>
  </si>
  <si>
    <t>What is the penalty for jaywalking?</t>
  </si>
  <si>
    <t>Now, violators will be issued with a ticket and a corresponding fine of P500.
Jaywalkers have the option of paying a fine or doing community service.</t>
  </si>
  <si>
    <t>Can a driver be fined for overtaking on a curve or on a pedestrian lane?</t>
  </si>
  <si>
    <t>Yes, a driver in the Philippines can be fined for overtaking on a curve or on a pedestrian lane. Here's why:
Overtaking on a Curve:
Illegal and Dangerous: Overtaking on a curve is illegal and considered highly dangerous as it significantly reduces visibility for the overtaking vehicle and increases the risk of:
Head-on collisions: Due to limited visibility, drivers might not see oncoming traffic around the bend, leading to head-on collisions.
Loss of control: The driver attempting the overtake might misjudge the distance or speed of oncoming traffic, leading to loss of control and potential accidents.
Penalties: The specific penalty for overtaking on a curve can vary depending on the situation and the discretion of the apprehending officer. However, it typically involves a fine and could potentially lead to other consequences like:
Demerit points: Points being added to the driver's license, which can lead to suspension if they accumulate a certain number.
Vehicle impoundment: In extreme cases, the vehicle might be impounded.
Overtaking on a Pedestrian Lane:
Strictly Prohibited: Overtaking on a pedestrian lane is strictly prohibited in the Philippines. Pedestrian lanes are designated for the exclusive use of pedestrians, and overtaking on these lanes puts their safety at extreme risk.
Penalties: The penalty for overtaking on a pedestrian lane is typically a fine. The exact amount can vary depending on the specific location and the apprehending authority.</t>
  </si>
  <si>
    <t>What is the penalty for operating a vehicle without a valid emission certificate?</t>
  </si>
  <si>
    <t>First offense = Php 2,000. Second offense = Php 3, 000 + 90 days of driver's permit suspension. Third offense and resulting offense= Php 10, 000 + a half year driver's permit suspension.</t>
  </si>
  <si>
    <t>When is it legal to park on a bridge or within a tunnel?</t>
  </si>
  <si>
    <t>In the Philippines, **parking on a bridge or within a tunnel is generally illegal. Here's why:
Traffic Signs and Markings: Bridges and tunnels often have specific signage and markings prohibiting parking. These include "No Parking" signs, yellow lines along the sides indicating "No Stopping, No Standing, No Parking", and even pavement markings like crosshatches or diagonal lines specifically designating areas where stopping or parking is not allowed. Disobeying these signs and markings is a violation of traffic laws.
Safety Concerns: Parking on a bridge or within a tunnel creates several safety hazards, including:
Obstruction of traffic flow: Parked vehicles can obstruct the smooth flow of traffic, especially in narrow spaces like bridges and tunnels.
Impeding emergency vehicles: Parked vehicles can hinder the movement of emergency vehicles, potentially delaying critical response times.
Increased risk of accidents: Parked vehicles can create blind spots and limit visibility for other drivers, increasing the risk of accidents.
Specific Laws and Regulations: While there might not be a single national law explicitly prohibiting parking on bridges and tunnels, various regulations and ordinances at the local government level often enforce these restrictions. For instance, the Metropolitan Manila Development Authority (MMDA) in Metro Manila specifically prohibits parking on any bridge or tunnel within its jurisdiction.</t>
  </si>
  <si>
    <t>What is the penalty for using a fake or unauthorized license plate?</t>
  </si>
  <si>
    <t>Driving an automobile without the appropriate and authorised devices, accessories, or parts is punishable by P2,000 for the first offence, P3,000 for the second, and P10,000 for the third. Driving a car with an unauthorised or incorrectly attached motor vehicle licence plate is punishable by P5,000.</t>
  </si>
  <si>
    <t>What is the legal limit for the noise level produced by a vehicle's exhaust system?</t>
  </si>
  <si>
    <t>In the Philippines, the legal limit for the noise level produced by a vehicle's exhaust system depends on the type of vehicle and the location where the measurement is taken:
National Standard:
Memorandum Circular No: 2020-2240 issued by the Land Transportation Office (LTO) sets a national standard for the maximum sound level of a vehicle's exhaust system at 99 decibels (dB). This applies to all motor vehicles, including cars and motorcycles, at an engine speed of 2,000 to 2,500 rpm.
Local Ordinances:
Stricter limits might be enforced in certain localities through specific ordinances passed by their respective local government units (LGUs). These ordinances can set lower noise level limits compared to the national standard.
For example, Cebu City has an ordinance requiring a maximum sound level of 84 dB for motor vehicles from 7 pm to 5 am [Source: The Freeman].
Pasay City also has an ordinance prohibiting the use of modified tailpipes exceeding 99 dB [Source: The Freeman].
Therefore, the legal limit for the noise level of a vehicle's exhaust system in the Philippines can vary depending on:
Type of vehicle: Check the specific regulations for cars, motorcycles, or other vehicle types.
Location: Be aware of any local ordinances in the area you are driving in.</t>
  </si>
  <si>
    <t>Can a driver be fined for throwing litter on the road while driving?</t>
  </si>
  <si>
    <t>Indeed, it is illegal for a driver to dump rubbish on the road while operating a vehicle in the Philippines. Laws and regulations pertaining to the environment are said to be broken by littering. The pertinent penalties are as follows:
Littering or Throwing Garbage: The following sanctions may be imposed on anyone who, as a motorist or pedestrian, discards trash, debris, or other waste products in public areas like streets, canals, parks, or esteros:
First Offence: At the court's discretion, a fine of not less than ₱100 nor more than ₱2,000, or imprisonment of not less than five days nor more than a year, may be imposed.
For a second offence, the court may choose to impose a fine of not less than ₱1,000 nor more than ₱1,500, or impose an imprisonment sentence of not fewer than 10 days nor more than 30 days, or both.
For a third offence, the court may choose to impose a fine of not less than ₱1,500 nor more than ₱2,000, or impose an imprisonment sentence of not less than 20 days nor more than 30 days, or both.
Furthermore, appropriate waste management and environmental protection are the goals of the Ecological Solid Waste Management Act of 2000 (R.A. 9003). It promotes appropriate garbage disposal and forbids littering. To preserve a tidy and environmentally friendly environment, motorists should refrain from dropping rubbish on the road.</t>
  </si>
  <si>
    <t>What is the penalty for driving with an open container of alcoholic beverages?</t>
  </si>
  <si>
    <t>While there isn't a specific law in the Philippines that explicitly prohibits driving with an open container of alcoholic beverages, similar regulations address this situation:
1. Republic Act No. 10586 (Anti-Drunk and Drugged Driving Act of 2013):
This law focuses on driving under the influence of alcohol (DUIA) and sets penalties based on the driver's blood alcohol concentration (BAC) level. However, it indirectly discourages having open containers in the vehicle:
Section 15 states that consuming intoxicating beverages while driving is prohibited. Possessing an open container of alcohol in the driver's immediate reach strongly suggests consumption, increasing the likelihood of being suspected of DUIA and subjected to breathalyzer testing.
2. Land Transportation Office (LTO) Memorandum Circular No. 2016-001:
This memorandum, while not directly related to open containers, empowers LTO personnel to apprehend drivers for "improper behavior" while driving. Possessing an open container of alcohol while driving could be considered improper behavior at the officer's discretion, potentially leading to:
Warning or citation: The officer might issue a warning or a citation for improper behavior, potentially involving a fine.
Further investigation: In more serious cases, the officer might conduct further investigation to determine if DUIA is suspected, leading to potential breathalyzer testing and related penalties.
Therefore, while there's no single law directly addressing open containers, the combination of DUIA regulations and LTO's authority over "improper behavior" strongly discourages having open alcoholic beverages in a vehicle while driving in the Philippines.</t>
  </si>
  <si>
    <t>When is it permissible to drive with the hazard lights turned on?</t>
  </si>
  <si>
    <t>There are some situations in the Philippines where using hazard lights is acceptable. Let's investigate when it makes sense:
Vehicle Breakdown or Accident: If your car breaks down or is involved in an accident and you are unable to move it right away, you can turn on your hazard lights. When this happens, the danger lights alert other drivers to your presence as a potential hazard and advise them to approach your car carefully.
Imminent risk: You can use warning lights to alert other drivers of an impending risk. When visibility is significantly decreased due to heavy rain, fog, or smoke, for example, turning on the warning lights can warn other drivers of the potential danger.</t>
  </si>
  <si>
    <t>What is the penalty for driving a motorcycle without the required headlights and taillights?</t>
  </si>
  <si>
    <t>the Philippines, driving a motorcycle without the required headlights and taillights falls under the category of "defective/improper/unauthorized accessories, devices, equipment, and parts" according to the Land Transportation Office (LTO). The penalty for this violation is a ₱5,000 fine for the first offense.</t>
  </si>
  <si>
    <t>What is the fine for driving a motorcycle with more than two passengers?</t>
  </si>
  <si>
    <t>A driver who disobeys this law faces a fine of Php5,000 for the first offence and Php10,000 for subsequent ones. For the third offence, the offender's licence will be suspended for three months and they will be fined Php15,000.</t>
  </si>
  <si>
    <t>Can a driver be fined for failing to yield to a pedestrian within a crosswalk?</t>
  </si>
  <si>
    <t>Yes, a driver in the Philippines can be fined for failing to yield to a pedestrian within a crosswalk. This is a serious traffic violation and can result in penalties and potential legal repercussions.
Here's why:
The Law: The Land Transportation and Traffic Code (Republic Act No. 4136), specifically Section 42(c), clearly states that drivers must yield the right of way to pedestrians crossing the roadway within any marked crosswalk or within any unmarked crosswalk at an intersection. This means that drivers must stop or slow down to allow pedestrians to safely cross the road.
Fines and Penalties: Failing to yield to a pedestrian in a crosswalk can result in a fine of ₱3,000. Additionally, depending on the specific circumstances and the discretion of the apprehending officer, other consequences might include:
Demerit points: Points being added to the driver's license, which can lead to suspension if they accumulate a certain number.
Vehicle impoundment: In extreme cases, especially if the violation leads to an accident, the vehicle might be impounded.
It's crucial for drivers to always yield the right of way to pedestrians in crosswalks, marked or unmarked. Not only is it the law but also the ethical and responsible thing to do to ensure the safety of pedestrians on the road.</t>
  </si>
  <si>
    <t>What is the penalty for using a horn in a quiet zone?</t>
  </si>
  <si>
    <t>It will be considered prima facie proof of a violation if it can be heard at least fifty feet from its location. The person or business running it would be subject to a P1,000 fine, up to six months in jail, or both.</t>
  </si>
  <si>
    <t>When is it legal to pass on the right side of another vehicle?</t>
  </si>
  <si>
    <t>In the Philippines, unlike some other countries, passing on the right side of another vehicle is generally not legal. Here's a breakdown of the regulations:
Standard Rule:
Passing on the Left: The Land Transportation and Traffic Code (Republic Act No. 4136), particularly Section 39, mandates that overtaking or passing another vehicle proceeding in the same direction should be done on the left side of the highway. Once the overtake is complete, the driver must return to the right lane only when it's safe and clear.
Exceptions When Passing on the Right MIGHT be Permitted:
There are a few limited scenarios where passing on the right might be permissible, but it's important to approach these situations with extreme caution and only if it's absolutely safe to do so.</t>
  </si>
  <si>
    <t>What is the penalty for using a fraudulent or tampered driver's license?</t>
  </si>
  <si>
    <t>Furthermore, as per the Joint Administrative Order No. 2014-01 of the Department of Transportation (DOTr), drivers who are detected using fraudulent licences will be fined P3,000 and would not be allowed to drive a motor vehicle for a year following the payment of the fee.</t>
  </si>
  <si>
    <t>Can a driver be fined for operating a vehicle with defective or missing rearview mirrors?</t>
  </si>
  <si>
    <t>In the Philippines, unlike some other countries, passing on the right side of another vehicle is generally not legal. Here's a breakdown of the regulations:
Standard Rule:
Passing on the Left: The Land Transportation and Traffic Code (Republic Act No. 4136), particularly Section 39, mandates that overtaking or passing another vehicle proceeding in the same direction should be done on the left side of the highway. Once the overtake is complete, the driver must return to the right lane only when it's safe and clear.
Exceptions When Passing on the Right MIGHT be Permitted:
There are a few limited scenarios where passing on the right might be permissible, but it's important to approach these situations with extreme caution and only if it's absolutely safe to do so. These scenarios include:
Overtaking a vehicle making a left turn: You can pass on the right only if the vehicle in front of you is signaling or clearly intends to make a left turn and there's enough space to safely maneuver on the right without oncoming traffic or obstacles.
Business or residential districts with multiple lanes: In some designated business or residential areas with multi-lane roads where the left lane(s) might be congested, authorities might allow overtaking on the right side with caution. However, this would be dependent on specific road markings and signage permitting such maneuvers.</t>
  </si>
  <si>
    <t>What is the penalty for operating a vehicle with unauthorized or non-standard accessories?</t>
  </si>
  <si>
    <t>Driving a car with illegal or non-standard accessories has penalties in the Philippines. The following are the applicable penalties and outcomes:
Operating a vehicle without the required or approved tools, equipment, accessories, or auto parts:
Fee for LTO Violation: PHP 5,000.
Until the item, equipment, gadget, or accessory is installed, fixed, or removed properly, the car may be seized. The unsuitable or unauthorised accessory shall be seized in favour of the government upon payment of the fine.</t>
  </si>
  <si>
    <t>Under what circumstances can a driver use the center lane for overtaking?</t>
  </si>
  <si>
    <t>What is the fine for failure to signal when turning or changing lanes?</t>
  </si>
  <si>
    <t>You will be penalised Php 1,000 for the first offence, Php 2,000 for the second, and Php 5,000 for the third and subsequent offence. Remember that wearing a seat belt not only saves your life but also spares you the headache of paying a fee.</t>
  </si>
  <si>
    <t>What is the penalty for tampering with or altering the vehicle's odometer?</t>
  </si>
  <si>
    <t>You will be fined Php 2,000 for the first offence, Php 3,000 for the second, and Php 10,000 for the third.</t>
  </si>
  <si>
    <t>Can a driver be fined for refusing to submit to a mandatory drug and alcohol test?</t>
  </si>
  <si>
    <t>My previous response regarding the penalty for refusing a mandatory drug and alcohol test in the Philippines contained some inaccuracies. Here's a revised and corrected response:
While there isn't a direct fine solely for refusing a mandatory drug and alcohol test in the Philippines, refusing the test can have significant consequences, including:
Confiscation and automatic revocation of the driver's license: This is the most impactful consequence outlined in Section 9 of Republic Act No. 10586 (Anti-Drunk and Drugged Driving Act of 2013).
Potential additional penalties: Depending on the specific circumstances and the discretion of the apprehending officer, other penalties might include:
Fines: For the initial traffic violation that led to the suspicion of DUIA.
Impoundment of the vehicle: In some cases, the vehicle might be impounded until the situation is resolved.
Key Points to Remember:
Mandatory testing under suspicion: Section 15 of the Act mandates a mandatory chemical test for drivers suspected of DUIA. This means that the officer must have reasonable grounds to suspect the driver is under the influence before requiring the test.
Right to legal counsel: Drivers have the right to consult with a lawyer before deciding whether or not to submit to the test.
Alternative testing methods: If a driver is physically or medically incapable of taking the specific test offered (e.g., breathalyzer), alternative means of determining DUIA, such as blood tests, might be employed at the discretion of the authorities.</t>
  </si>
  <si>
    <t>What is the penalty for operating a vehicle with unauthorized or excessive lights?</t>
  </si>
  <si>
    <t>What is the penalty for operating a vehicle without a valid motor vehicle inspection certificate?</t>
  </si>
  <si>
    <t>In the Philippines, operating a vehicle without a valid Motor Vehicle Inspection (MVI) certificate carries multiple potential consequences, with the severity increasing for repeated offenses. Here's a breakdown of the main points:
No Direct Fine for Lack of MVI Certificate:
Unlike some traffic violations, there isn't a specific, standalone fine for simply not having a valid MVI certificate.
However, the lack of a valid MVI certificate can lead to other consequences:
Apprehension and Impoundment: If apprehended by authorities, your vehicle can be impounded until a valid MVI certificate is obtained [Source: LTO Portal PH].
Fines for Related Violations: During the apprehension, you might be issued fines for other traffic violations identified by the officer, regardless of the lack of MVI.
Inconsistency in Impoundment Practices: In some instances, depending on the specific location and the officer's discretion, the vehicle might not be impounded right away. However, you'd still be required to obtain a valid MVI certificate to avoid further consequences.
Additional Penalties for Repeated Offenses:
Second Offense: A second offense within a year of the first can lead to a fine of ₱2,000 and possible impoundment of the vehicle until the MVI certificate is secured.
Third and Subsequent Offenses: For subsequent offenses within a year, the penalties become increasingly severe, potentially including higher fines and longer vehicle impoundment periods.</t>
  </si>
  <si>
    <t>What is the penalty for parking in a space reserved for persons with disabilities?</t>
  </si>
  <si>
    <t>A minimum fine of P10,000 up to a maximum of P40,000 would be imposed on anyone found parking in a space reserved for people with disabilities without displaying a handicapped parking placard, on a disabled person who permits a non-disabled person to use their parking placard, and on anyone blocking a disabled person's access points to the designated handicapped parking spaces.</t>
  </si>
  <si>
    <t>Can a driver be fined for allowing a person to ride on the roof or deck of a vehicle?</t>
  </si>
  <si>
    <t>Yes, in the Philippines, a driver can be fined for allowing a person to ride on the roof or deck of a vehicle. This practice is considered a serious traffic violation and can result in penalties and potential legal repercussions.
Here's a breakdown of the relevant regulations and consequences:
Legal Basis:
Republic Act No. 4136 (Land Transportation and Traffic Code):
Section 33: This section specifically prohibits the carrying of passengers and freight on top of vehicles. This includes the roof, deck, hood, or any other part of the vehicle not specifically designated for passenger occupancy.
Penalties:
₱150 fine: The standard fine for the first offense of allowing a passenger to ride on the roof or deck of a vehicle is ₱150.
Potential additional penalties: Depending on the specific circumstances and the discretion of the apprehending officer, other penalties might include:
Demerit points: Points being added to the driver's license, which can lead to suspension if they accumulate a certain number.
Vehicle impoundment: In extreme cases, the vehicle might be impounded until the passengers are safely removed.</t>
  </si>
  <si>
    <t>What is the penalty for operating a vehicle with unauthorized or non-standard horns?</t>
  </si>
  <si>
    <t>First offence: up to P2,000 in fines; second offence: up to P4,000 in fines; third and subsequent offences: up to P6,000 in fines and a year-long suspension of motor vehicle registration</t>
  </si>
  <si>
    <t>When is it legal to drive without headlights turned on?</t>
  </si>
  <si>
    <t>In the Philippines, driving without headlights turned on is generally illegal and considered reckless driving. Here's a breakdown of the regulations and why it's important to always use headlights:
Legal Basis:
Republic Act No. 4136 (Land Transportation and Traffic Code):
Section 15: This section mandates that all motor vehicles must "bear two headlights, one on each side, with white or yellowish light visible from the front, which shall be lighted during the nighttime."
Additional Clarification:
Nighttime Definition: While the specific definition of "nighttime" is not explicitly stated in the law, it's generally understood as periods of low visibility, including:
Dusk and dawn: When the natural light is fading or becoming weaker.
Times of heavy rain, fog, or other conditions that significantly reduce visibility.
Therefore, unless it's broad daylight with clear visibility, you should always have your headlights turned on when driving in the Philippines.
Consequences of Driving Without Headlights:
Fines: The specific fine for driving without headlights can vary depending on the location and the discretion of the apprehending officer. However, it typically falls within the range of ₱500 to ₱1,000.
Confiscation of Driver's License: In some cases, the driver's license might be confiscated until they attend a seminar on road safety and demonstrate proper understanding of traffic regulations.</t>
  </si>
  <si>
    <t>What is the penalty for using a motorcycle helmet that does not meet safety standards?</t>
  </si>
  <si>
    <t>In addition to other penalties imposed by Republic Act No. 7394, also known as the "Consumer Act of the Philippines," anyone found using, selling, or distributing motorcycle helmets that are subpar or do not bear the ICC certificate or the PS mark faces a fine of at least 3,000 pesos (Php3,000.00) for the first offence and 5,000 pesos (Php5,000.00) for the second.</t>
  </si>
  <si>
    <t>What is the fine for driving without a valid conductor's license for public utility vehicles?</t>
  </si>
  <si>
    <t>While driving without a valid conductor's license for public utility vehicles (PUVs) is considered a violation in the Philippines, there isn't a single, specific fine associated with it. However, there are several potential consequences that can result from this offense:
1. Apprehension and Penalties:
Land Transportation Office (LTO) Apprehension: If apprehended by LTO personnel, the driver can be issued a citation for the violation.
Penalties: The specific penalty can vary depending on the discretion of the apprehending officer and the specific circumstances. However, it could potentially include:
Fines: Depending on the severity of the offense and the officer's discretion, fines can range from hundreds to thousands of pesos.
Confiscation of Driver's License: The driver's license might be confiscated until the violation is addressed and a valid conductor's license is presented.
Vehicle Impoundment: In some cases, the PUV itself might be impounded until a licensed conductor is present or the situation is resolved.
2. Additional Consequences:
Franchise Violation: Operating a PUV without a licensed conductor might also be considered a violation of the operator's franchise agreement with the Land Transportation Franchising and Regulatory Board (LTFRB). This could lead to further penalties or even suspension of the franchise.
Safety Concerns: The lack of a qualified conductor poses a safety risk to passengers and other road users. Public utility vehicles are required to have a conductor to assist the driver with passenger management, fare collection, and ensuring the overall safety of the passengers.
Therefore, while there isn't a single, fixed fine for this specific violation, the potential consequences can be significant and can involve various entities beyond just the LTO.</t>
  </si>
  <si>
    <t>Can a driver be fined for disregarding traffic signs indicating a no-left-turn or no-right-turn zone?</t>
  </si>
  <si>
    <t>Though the LTO and its enforcers are free to charge anyone who disrespect traffic signs with breaching traffic laws and regulations, which carries a fine of P1,000.00, there is no specific LTO fee to pay related DTS offences.</t>
  </si>
  <si>
    <t>What is the penalty for driving with a suspended or revoked driver's license?</t>
  </si>
  <si>
    <t>Penalties:
₱10,000 fine: This is the standard fine for driving with a suspended or revoked license as per the Joint Administrative Order (JAO) No. 2014-01 issued by the Land Transportation Office (LTO) and the Department of Transportation (DOTr).
Further disqualification from driving:
Revoked License: If your license is revoked, you face perpetual disqualification from obtaining a driver's license.
Suspended License: If your license is suspended, you'll face an additional disqualification period from driving on top of the initial suspension period. The specific duration of this additional disqualification depends on the reason for the suspension.
Vehicle impoundment: In some cases, the vehicle you're driving might be impounded until the situation is resolved and a valid driver operates it.
Additional Considerations:
Confiscation of Driver's License: Your suspended or revoked driver's license might be confiscated by the apprehending officer.
Criminal charges: In extreme cases, especially if the act of driving with a suspended/revoked license leads to an accident or other serious consequences, criminal charges might be filed.</t>
  </si>
  <si>
    <t>When can a driver use the shoulder of the road to stop or park a vehicle?</t>
  </si>
  <si>
    <t>There are rules and regulations in the Philippines regarding using the road shoulder for parking or stopping a vehicle. Let's dissect it:
Law on Distracted Driving:
The Anti-Distracted Driving Act forbids using mobile devices for texting, phoning, or entertainment while operating a motor vehicle.
A driver must pull over on the shoulder of the road or away from the regular flow of traffic if they need to use a gadget, navigate, or answer or make a call.
Calls made in an emergency to the police, fire department, medical staff, or other emergency services are exceptions.
Use of Road Shoulders:
The purpose of road shoulders is limited to emergencies.
Apart from situations where it is absolutely required to prevent an accident or remove a disabled vehicle from the road, drivers should generally avoid using the shoulder.
When a driver encounters a mechanical issue, they can pull over to the shoulder of the road, halt, and fix the problem. In certain circumstances, authorities may also advise drivers to use their shoulder.
Parking
In general, a NO PARKING SIGNAGE prohibits parking on the side of the road.
On the other hand, as long as the street is not a private one with its own parking regulations, parking is permitted even on those without no-parking signs.
Crosswalks should be avoided because parking is prohibited there.</t>
  </si>
  <si>
    <t>What is the fine for allowing a child to sit on the lap of a driver while the vehicle is in motion?</t>
  </si>
  <si>
    <t>While there isn't a specific, standalone fine in the Philippines solely for allowing a child to sit on the lap of a driver while the vehicle is in motion, it's crucial to understand that this practice is strongly discouraged and could lead to serious consequences due to its inherent safety risks.
Here's why allowing a child on a driver's lap is dangerous and why it's important to follow alternative safety measures:
Safety Concerns:
Lack of proper restraint: Children sitting on a lap lack proper restraint in case of sudden stops, swerves, or collisions. This significantly increases their risk of serious injuries or even fatalities during an accident.
Obstruction of driver's control: A child on the lap can impede the driver's ability to control the vehicle by interfering with their movement or visibility.
Alternatives to Lap Sitting:
Child safety seat: The safest option is to always use a properly installed and age-appropriate child safety seat for every child in the vehicle. This is mandated by law in the Philippines under Republic Act No. 11229 (Child Safety in Motor Vehicles Act).
Rear seat with seat belt: If a child safety seat is unavailable, ensure the child sits in the back seat and is properly buckled up with a seat belt appropriate for their age and size.
Potential Consequences:
While there's no specific fine solely for lap sitting, the lack of a child safety seat for children under a certain age and specific circumstances does carry a penalty, as outlined in RA 11229:
First offense: ₱1,000 fine
Second offense: ₱2,000 fine
Third and subsequent offenses: ₱5,000 fine and possible driver's license suspension for one year</t>
  </si>
  <si>
    <t>What is the penalty for operating a vehicle without the required early warning devices?</t>
  </si>
  <si>
    <t>According to the LTO, driving a vehicle without an early warning device is indeed illegal. Which driving infractions result from not having an EWD? Drivers whose licences are seized and they are fined P500 for not having an EWD.</t>
  </si>
  <si>
    <t>Can a driver be fined for failing to yield to an approaching emergency vehicle with a siren?</t>
  </si>
  <si>
    <t>Yes, in the Philippines, a driver can be fined for failing to yield to an approaching emergency vehicle with a siren. This is a serious traffic violation and can result in penalties and potential legal repercussions.
Here's a breakdown of the regulations and consequences:
Legal Basis:
Republic Act No. 4136 (Land Transportation and Traffic Code):
Section 55(a) specifically states that drivers must "give right of way" to:
"Police vehicles, fire engines, ambulances, and other emergency vehicles"
"When they are giving audible warning signals and displaying their flashing lights"
Failure to Yield:
Not yielding to an approaching emergency vehicle with a siren and flashing lights is considered a violation of Section 55(a) of the Land Transportation and Traffic Code.
Penalties:
₱1,500 fine: This is the standard fine for failing to yield to an emergency vehicle as per the Land Transportation Office (LTO) Memorandum Circular No. 2016-020.
Additional penalties: Depending on the specific circumstances and the discretion of the apprehending officer, other penalties might include:
Demerit points: Points being added to the driver's license, which can lead to suspension if they accumulate a certain number.
Vehicle impoundment: In extreme cases, the vehicle might be impounded until the situation is resolved.
Importance of Yielding:
Yielding to emergency vehicles allows them to reach their destinations quickly and safely, potentially saving lives in critical situations. It demonstrates responsible driving and ensures the safety of emergency personnel and the public.</t>
  </si>
  <si>
    <t>What is the penalty for driving without the required motor vehicle insurance?</t>
  </si>
  <si>
    <t>Penalty for non-compliance You risk fines from the government if you operate a four-wheel drive vehicle without a third-party liability insurance policy. The modified Motor Vehicles Act 2019 stipulates that the first offence carries a penalty of ₱ 2,000, and the second offence carries a penalty of ₱ 4000.</t>
  </si>
  <si>
    <t>What is the fine for driving a vehicle with a defective muffler or exhaust system?</t>
  </si>
  <si>
    <t>In the Philippines, driving a vehicle with a defective muffler or exhaust system can result in a fine and other potential consequences, depending on the severity of the issue and the specific regulations in your location. Here's a breakdown of what you can expect:
Legal Basis:
Republic Act No. 4136 (Land Transportation and Traffic Code):
Section 20(k) prohibits the operation of motor vehicles "with defective or unauthorized accessories, devices, equipment, and parts, including muffler and exhaust pipes".
Penalties:
₱5,000 fine: This is the standard fine for the first offense of driving a vehicle with a defective muffler or exhaust system, as per the Land Transportation Office (LTO) regulations.
Additional penalties: Depending on the specific circumstances and the discretion of the apprehending officer, other penalties might include:
Confiscation of the modified muffler or exhaust pipe: The authorities might remove the non-compliant parts and require you to replace them with a standard, legal muffler.
Vehicle impoundment: In some cases, the vehicle might be impounded until the muffler or exhaust system is repaired or replaced to meet the legal standards.
Demerit points: Points being added to the driver's license, which can lead to suspension if they accumulate a certain number.
Importance of a Proper Muffler:
A properly functioning muffler plays a crucial role in:
Noise reduction: It significantly reduces the noise level of the vehicle's engine, contributing to a quieter and less disruptive environment.
Emission control: It helps control exhaust emissions, contributing to cleaner air and environmental protection.</t>
  </si>
  <si>
    <t>When can a driver make a U-turn at a T-intersection?</t>
  </si>
  <si>
    <t>Safe driving in the Philippines requires adherence to the laws governing U-turns and right-of-way at T-intersections. Let's dissect it:
U-turns:
In general, you are permitted to turn around if:
It's not prohibited by a sign.
A green light or left turn arrow is present.
The far left lane is where you are.
A "U-turn only" sign is present.
If doing so is both safe and lawful, you are crossing a double yellow line.
Recall to:
Make sure there is no obstruction in the way (approaching cars should be at least 200 feet away, and there shouldn't be any people walking in the crosswalk).
Turn on the turn signal on your left.
Maintain your foot on the brake while you proceed straight ahead.
At T-intersections, the right of way is:
A driver's right of way dictates when they can pass another car or when they have to yield to one.
These are some crucial guidelines:
A car has the right of way if it gets to an intersection before you do. Who has it depends less on speed than on yielding to the vehicle who is already waiting.
The driver to the right of an intersection has the right-of-way when two vehicles arrive at the same time.
You only have the right-of-way while turning left at intersections if you activate your turn signal at least thirty metres ahead of the intersection. Give way or come to a complete stop if other automobiles are getting too close.
A vehicle that has completely stopped on a side street before merging has the right of way at roundabouts or while transferring onto a highway.
When an emergency vehicle approaches, you should always move to the right side of the road and wait for them to pass.
On a public road, give way to oncoming traffic when leaving your driveway; they have the right of way.
Pedestrians should give way to anyone crossing the street.</t>
  </si>
  <si>
    <t>What is the penalty for operating a vehicle with defective or inoperative brakes?</t>
  </si>
  <si>
    <t>The specific penalty for operating a vehicle with defective or inoperative brakes isn't directly outlined in the Philippine Constitution or Republic Acts (RAs). However, several laws and regulations come into play in such a scenario. Here's what you need to consider:
1. **Land Transportation Office (LTO) Batas Pambansa Bilang 68 (BP 68) or the Revised Land Transportation and Traffic Code:** This law grants the LTO the authority to apprehend vehicles with defective parts, including brakes. While it doesn't mention specific penalties, it empowers LTO to impose fines and penalties based on the gravity of the offense [https://www.officialgazette.gov.ph/1980/05/01/batas-pambansa-bilang-68/](https://www.officialgazette.gov.ph/1980/05/01/batas-pambansa-bilang-68/).
2. **LTO Memorandum Circulars:** The LTO issues memoranda detailing specific violations and corresponding penalties. These circulars might cover penalties for defective brakes. You can check the LTO website ([https://portal.lto.gov.ph/](https://portal.lto.gov.ph/)) for recent circulars.
3. **Republic Act No. 10054 or the Motorcycle Helmet Act of 2009 (Section 18):** Though this law focuses on motorcycle helmets, it includes a section empowering authorities to apprehend motorcycles with defective brakes. The penalty could involve fines or confiscation of the motorcycle [https://lawphil.net/statutes/repacts/ra2010/ra_10054_2010.html](https://lawphil.net/statutes/repacts/ra2010/ra_10054_2010.html).
**In summary:** There's no single law specifying the penalty for brakes. However, driving with defective brakes violates LTO regulations and can result in fines, vehicle apprehension, or even confiscation depending on the severity of the defect and LTO's specific guidelines.
For a more comprehensive answer, it's advisable to consult the LTO website or contact them directly for the latest information on penalties related to defective brakes.</t>
  </si>
  <si>
    <t>Can a driver be fined for tampering with or altering the vehicle's engine sound or noise?</t>
  </si>
  <si>
    <t>Of course! In the Philippines, there are fines and penalties for tampering with or changing the volume or sound of an engine in a vehicle. The pertinent details are as follows:
Modified Exhaust System Offence:
Anyone operating a motor vehicle with a modified silencer that produces noise levels higher than the 99 dB national norm when the engine is running between 2,000 and 2,500 rpm is against the law.
This law is enforced by the Philippine National Police (PNP) and the Manila Traffic and Parking Bureau (MTPB).
The following are the penalties for breaking this ordinance:
First offence: P1,000 fine and removal of the exhaust pipe or modified silencer.
Second offence: P3,000 fine and removal of the exhaust pipe or modified silencer.
Third offence: a five-day temporary permission, the removal of the modified exhaust pipe or silencer, and a P5,000 fine.
After fines are paid and a second noise-level test is passed, driver's licences are seized and then returned. In the event that the car doesn't pass the second test, the city administration must supervise the necessary repairs.
Additional Moving Infractions:
There are further car-related infractions as well, like:
operating a vehicle without the correct or approved additions, equipment, or parts.
Belching of smoke.
operating a car with the number plate attached incorrectly or improperly.
LTO sticker infringement.
tampering with licence plates</t>
  </si>
  <si>
    <t>What is the penalty for driving a motorcycle without a proper helmet secured by a chin strap?</t>
  </si>
  <si>
    <t>In the Philippines, driving a motorcycle without a proper helmet secured by a chin strap is a serious traffic violation and can result in a fine and other potential consequences. Here's a breakdown of the penalties and regulations:
Legal Basis:
Republic Act No. 10054 (Motorcycle Helmet Act of 2010):
Section 7(a) states that any person caught "not wearing the standard protective motorcycle helmet" in violation of this Act will be punished.
Wearing the Helmet Properly:
The law explicitly defines "wearing the standard protective motorcycle helmet" to include having it "properly secured by a chin strap." This ensures the helmet remains in place during an accident, providing maximum protection to the motorcycle rider's head.
Penalties:
First offense: ₱1,500 fine
Second offense: ₱3,000 fine
Third offense: ₱5,000 fine
Fourth and subsequent offenses: ₱10,000 fine and confiscation of driver's license
Importance of Proper Helmet Use:
Wearing a properly secured motorcycle helmet significantly reduces the risk of head injuries in case of an accident. According to the Department of Transportation (DOTr), helmets are 73% effective in preventing fatal head injuries for motorcycle riders.
Additional Considerations:
Helmet Standards: Not just any helmet qualifies as "standard" under the law. The helmet must bear the Philippine Standard (PS) mark or the Import Commodity Clearance (ICC) certificate, indicating it meets the safety standards set by the government.
Alternative Penalties: While not explicitly stated in the Act, some localities might have additional penalties or stricter enforcement procedures for violating helmet regulations. It's advisable to check with your local authorities for any specific variations.</t>
  </si>
  <si>
    <t>What is the fine for driving with an expired driver's license that has not been renewed for more than two years?</t>
  </si>
  <si>
    <t>Driving without a valid driving licence carries a Php3,000 fine. Those in possession of false, improper, suspended, or revoked driver's licences will also be subject to this penalties.</t>
  </si>
  <si>
    <t>When is it permissible to park within an intersection?</t>
  </si>
  <si>
    <t>In the Philippines, it is never permissible to park within an intersection, regardless of the circumstances. This is a strict traffic violation and can result in penalties and potential legal consequences.
Here's a breakdown of the relevant regulations and why parking within an intersection is prohibited:
Legal Basis:
Republic Act No. 4136 (Land Transportation and Traffic Code):
Section 68(c) explicitly states that "no driver shall park a vehicle, or permit it to stand, whether attended or unattended, upon a highway in any of the following places:
"Within an intersection."
Additional Regulations:
Land Transportation Office (LTO) Memorandum Circular No. 2016-020: This memorandum further clarifies the prohibition on parking within an intersection and highlights the potential consequences of violating this rule.
Reasons for the Prohibition:
Parking within an intersection is strictly prohibited because it can significantly:
Impede traffic flow: Parked vehicles obstruct the designated lanes and turning movements, causing congestion and delays for other drivers.
Reduce visibility: Parked vehicles can obstruct the vision of drivers approaching the intersection, increasing the risk of accidents.
Create safety hazards: Parked vehicles within an intersection pose a safety risk to pedestrians, cyclists, and other vehicles navigating the intersection.
Penalties for Violation:
Fines: The specific fine amount can vary depending on the location and the discretion of the apprehending officer. However, it typically falls within the range of ₱1,000 to ₱2,000.
Demerit points: Points might be added to the driver's license, which can lead to suspension if they accumulate a certain number.
Vehicle towing: In some cases, the vehicle might be towed away from the intersection, incurring additional towing and storage fees.</t>
  </si>
  <si>
    <t>What is the penalty for operating a vehicle without the required insurance policy?</t>
  </si>
  <si>
    <t>Generally speaking, never operate a vehicle without its OR/CR. If you are pulled over for a traffic infraction or are involved in an accident, you will automatically be assessed a ₱10,000 fine.</t>
  </si>
  <si>
    <t>Can a driver be fined for driving without a valid professional driver's license?</t>
  </si>
  <si>
    <t>Yes, driving without a valid professional driver's license in the Philippines can result in a hefty fine and other potential consequences. Here's a breakdown of the relevant regulations and penalties:
Legal Basis:
Republic Act No. 4136 (Land Transportation and Traffic Code):
Section 18: This section outlines the different types of driver's licenses and their corresponding classifications.
Land Transportation Office (LTO) Memorandum Order No. 111 Series of 2019: This order specifies the requirements and procedures for obtaining various driver's licenses, including professional licenses.
Consequences for Driving without a Professional License:
₱5,000 fine: This is the standard fine for driving a motor vehicle requiring a professional license without a valid professional license.
Additional penalties: Depending on the specific circumstances and the discretion of the apprehending officer, other penalties might include:
Confiscation of Driver's License: The driver's non-professional license (if present) might be confiscated until they obtain the appropriate professional license.
Vehicle impoundment: In some cases, the vehicle might be impounded until the situation is resolved and a driver with a valid professional license operates it.
Demerit points: Points might be added to the driver's license, which can lead to suspension if they accumulate a certain number.</t>
  </si>
  <si>
    <t>What is the penalty for operating a vehicle with unauthorized or non-standard license plates?</t>
  </si>
  <si>
    <t>Operating a vehicle with an unauthorised or non-standard licence plate is one of the many driving offences that the Land Transportation Office (LTO) in the Philippines sanctions penalties for. The pertinent penalties are as follows:
Driving a Car with a Motor Vehicle Licence Plate That Is Unauthorised or Incorrectly Attached:
A fine of PHP 5,000.
It is forbidden to affix or tamper with illegal licence plates or incorrect stickers in any conspicuous location on a vehicle. To prevent this fine, make sure your licence plate is correctly authorised and fastened.
Belching of smoke:
Initial Violation: PHP 2,000
Recidivism: 4,000 PHP
Third Offence: Motor vehicle registration suspension for a year plus PHP 6,000.
Standard emission levels for gasoline-powered vehicles are set by the LTO office, and high smoke emissions can result in fines and suspension.</t>
  </si>
  <si>
    <t>When is it legal for a motorcycle to carry a passenger?</t>
  </si>
  <si>
    <t>In the Philippines, it is legal for a motorcycle to carry a passenger under specific conditions, as outlined by various regulations:
General Conditions:
Motorcycle Design and Capacity: The motorcycle must be designed to carry a passenger with a designated passenger seat and footrests.
Passenger Age: The passenger must be **at least 18 years old. This is stipulated in the Republic Act No. 10666 (Children's Safety on Motorcycles Act 2015).
Helmet for Passenger: The passenger must wear a standard helmet secured by a chin strap, as per the Republic Act No. 10054 (Motorcycle Helmet Act of 2010).
Additional Considerations:
Exemptions for Children: While the Children's Safety on Motorcycles Act prohibits children under 18 from being passengers, there are a few exceptions:
Children below 18 may be passengers:
If the child can comfortably reach and use the footrests.
If the motorcycle is driven by a parent, legal guardian, or authorized representative.
If the trip is for medical emergencies or other special cases authorized by the LTO.
Local Regulations: While the national regulations outlined above provide a general framework, some localities might have additional regulations or stricter enforcement procedures regarding motorcycle passengers. It's always advisable to check with your local LTO office for any specific variations that may apply in your area.</t>
  </si>
  <si>
    <t>What is the fine for driving a motorcycle without the proper headlights and taillights?</t>
  </si>
  <si>
    <t>P1,500 for the first offence, P3,000 for the second, P5,000 for the third, and P10,000 for the fourth and subsequent offences, together with the confiscation of the driver's licence</t>
  </si>
  <si>
    <t>What is the penalty for using a vehicle with unauthorized or non-standard sirens, bells, or horns?</t>
  </si>
  <si>
    <t>In the Philippines, using a vehicle with unauthorized or non-standard sirens, bells, or horns is a traffic violation and can result in penalties. Here's a breakdown of the relevant regulations and consequences:
Legal Basis:
Republic Act No. 4136 (Land Transportation and Traffic Code):
Section 5(g): Prohibits the use of "bells, sirens, whistles, or horns other than those required or allowed by law."
Presidential Decree No. 96 (Prohibiting the Use of Sirens, Bells, Blinkers, and Similar Devices in Certain Motor Vehicles):
Section 1: Declares it unlawful to use or attach "sirens, bells, and similar devices that emit exceptionally loud or startling sounds."
Section 2: Exempts "authorized emergency vehicles" from this prohibition.
Unauthorized Devices:
The regulations mainly target the use of devices that are:
Not standard or approved by the Land Transportation Office (LTO).
Emit loud or startling sounds that can cause disturbance or confusion for other drivers and pedestrians.
Penalties:
₱5,000 fine: This is the standard fine for using unauthorized or non-standard sirens, bells, or horns as per the LTO Memorandum Circular No. 2016-020.</t>
  </si>
  <si>
    <t>Can a driver be fined for using a private vehicle for hire without the necessary permits?</t>
  </si>
  <si>
    <t>Of course! In the Philippines, there are fines and penalties associated with renting a private vehicle without the required permissions. The pertinent details are as follows:
Driving without a current conductor's permit or driving licence:
Penalty: ₱3,000
An additional penalty is a one-year ban from getting a driver's licence.
Operating a vehicle utilised for criminal purposes (after being found guilty by a regular court with appropriate jurisdiction):
Penalty: ₱10,000
Additional penalties include licence revocation and seizure, as well as impounding the vehicle.
Operating a motor vehicle while under the influence of hazardous drugs, alcohol, or other substances (after being found guilty in a regular court with appropriate jurisdiction):
Penalty: Begins at ₱20,000
Additional penalty: One-year licence suspension and confiscation</t>
  </si>
  <si>
    <t>What is the penalty for driving a motorcycle without the proper registration plates?</t>
  </si>
  <si>
    <t>Driving a motorcycle in the Philippines without the proper registration plates is a serious offense and can result in multiple potential consequences, depending on the specific circumstances. Here's a breakdown of the relevant regulations and potential penalties:
No Plates or Unreadable Plates:
The Land Transportation Office (LTO) considers both scenarios as violations:
Driving a motorcycle without any registration plates: This is a clear violation of the law.
Driving a motorcycle with registration plates that are unreadable, obscured, or tampered with: This includes plates that are dirty, damaged, or altered in a way that makes the information difficult to identify.
Legal Basis:
Republic Act No. 4136 (Land Transportation and Traffic Code):
Section 15: Mandates that all motor vehicles must bear "two registration plates, one on each side," with specific requirements for their visibility and placement.
LTO Memorandum Circular No. 2016-020: Outlines various traffic violations and corresponding penalties, including those related to registration plates.
Penalties:
₱5,000 fine: This is the standard fine for driving a motorcycle without proper registration plates, as per the LTO Memorandum Circular mentioned above.
Additional penalties: Depending on the specific circumstances and the discretion of the apprehending officer, other penalties might include:
Confiscation of the motorcycle: The motorcycle might be impounded until the proper registration plates are displayed or the situation is resolved.
Demerit points: Points might be added to the driver's license, which can lead to suspension if they accumulate a certain number.
Further legal repercussions: In extreme cases, such as using fake or tampered plates, additional legal charges might be filed beyond traffic violations.
Importance of Proper Registration:
Having proper registration plates on your motorcycle is crucial for several reasons:
Identification: The registration plates are the primary way for authorities to identify the vehicle and its owner.
Law enforcement: Proper registration allows authorities to verify the vehicle's registration status and compliance with various regulations.
Safety and security: In case of an accident or theft, proper registration plates facilitate the investigation process and can help recover stolen vehicles.</t>
  </si>
  <si>
    <t>What is the fine for failing to yield to pedestrians at a marked crosswalk?</t>
  </si>
  <si>
    <t>Drivers who disregard pedestrians risk a P3,000 fine.</t>
  </si>
  <si>
    <t>When is it legal to make a U-turn on a curve or at the crest of a hill?</t>
  </si>
  <si>
    <t>In the Philippines, it is never legal to make a U-turn on a curve or at the crest of a hill under any circumstances. This is due to the inherent safety risks associated with such maneuvers in these locations, as outlined in the following regulations:
Legal Basis:
Republic Act No. 4136 (Land Transportation and Traffic Code):
Section 61: Prohibits "making a left turn or U-turn" in various locations, including:
"Upon any curve"
"At the top of a grade" (which can be interpreted as the crest of a hill)
Safety Considerations:
Making a U-turn on a curve or at the crest of a hill is dangerous for several reasons:
Limited visibility: Drivers approaching from either direction might not have enough visibility to anticipate the U-turn maneuver, increasing the risk of collisions.
Reduced control: Negotiating a U-turn on a curve or crest can be challenging, and drivers might lose control of their vehicles due to uneven road surfaces or changes in grade.
Oncoming traffic: The maneuver can significantly impede oncoming traffic and lead to dangerous situations, especially on blind curves or hills.</t>
  </si>
  <si>
    <t>What is the penalty for operating a vehicle without a valid certificate of registration?</t>
  </si>
  <si>
    <t>Can a driver be fined for allowing a person to ride on the outside or rear end of a vehicle?</t>
  </si>
  <si>
    <t>Yes, in the Philippines, a driver can be fined for allowing a person to ride on the outside or rear end of a vehicle. This is a serious traffic violation and can result in penalties and potential legal consequences for both the driver and the passenger.
Here's a breakdown of the relevant regulations and potential consequences:
Legal Basis:
Republic Act No. 4136 (Land Transportation and Traffic Code):
Section 51: Prohibits the operation of a motor vehicle with passengers "riding on the fenders, steps, or other precarious parts thereof."
Section 32: Mandates that the number of passengers should not "exceed the registered carrying capacity" of the vehicle.
Additional Regulations:
Land Transportation Office (LTO) Memorandum No. 2018-195: This memorandum reminds all LTO regional directors to strictly enforce the prohibition on passengers riding outside or at the rear end of vehicles.
Penalties:
₱2,000 to ₱3,000 fine: This is the standard fine for allowing a person to ride on the outside or rear end of a vehicle, as per the LTO Memorandum mentioned above.
Suspension of Certificate of Public Convenience (CPC): If the vehicle involved is used for public transport, the driver might face suspension of their CPC in addition to the fine.
Other potential consequences: Depending on the specific circumstances and the discretion of the apprehending officer, other consequences might include:
Demerit points: Points being added to the driver's license, which can lead to suspension if they accumulate a certain number.
Vehicle impoundment: In extreme cases, the vehicle might be impounded until the situation is resolved.</t>
  </si>
  <si>
    <t>What is the fine for driving without the required headlights and taillights during nighttime?</t>
  </si>
  <si>
    <t>A significant PHP 5,000 fine will be imposed on anyone found in possession of or utilising these illicit lights and accessories upon their arrest.</t>
  </si>
  <si>
    <t>What is the penalty for driving a motorcycle without the required helmet?</t>
  </si>
  <si>
    <t>One of the driving infractions that is penalised by law in the Philippines is not wearing a helmet. Anybody found guilty of this offence faces a fine that can go up to P20,000.00.</t>
  </si>
  <si>
    <t>What is the fine for overtaking at an intersection or pedestrian lane?</t>
  </si>
  <si>
    <t>In the Philippines, overtaking at an intersection or pedestrian lane is a serious traffic violation and can result in a fine and other potential consequences. Here's a breakdown of the relevant regulations and penalties:
Legal Basis:
Republic Act No. 4136 (Land Transportation and Traffic Code):
Section 44-C: Specifically prohibits overtaking at intersections and pedestrian lanes. This section states:
"Whenever any vehicle has stopped at a marked crosswalk or at any unmarked crosswalk at an intersection to permit a pedestrian to cross the roadway, the driver of any other vehicle approaching from the rear shall not overtake and pass the stopped vehicle."
Fines:
₱1,500 fine: This is the standard fine for overtaking at an intersection or pedestrian lane, as per the Land Transportation Office (LTO) Memorandum Circular No. 2016-020.</t>
  </si>
  <si>
    <t>Can a driver be fined for refusing to submit to a mandatory drug test after a road accident?</t>
  </si>
  <si>
    <t>In the Philippines, a driver who refuses to take the required drug test following an accident may face consequences. The following rules are applicable in accordance with Republic Act No. 10586, popularly referred to as the "Anti-Drunk and Drugged Driving Act of 2013":
Refusal to Submit to Mandatory Tests: In accordance with Sections 6, 7, and 15 of the Act, drivers of motor vehicles who refuse to submit to the required field sobriety and drug tests face the following penalties:
confiscation and driver's licence automatic revocation.
Extra sanctions stipulated by the legislation.
The following are the penalties for operating a vehicle while intoxicated (DUI) or under the influence of dangerous drugs (DUID):
In the event that the infraction did not lead to any physical harm or murder, the following penalties apply:
three (3) months behind bars.
a fine of between 20,000 and 80,000 PHP.
Further Penalties:
A minimum of three months and a maximum of twenty years may be spent behind bars.
The amount of the fine may vary from 20,000 to 500,000 PHP.
If a non-professional licence holder commits an offence, their licence will be permanently revoked after a 12-month suspension.</t>
  </si>
  <si>
    <t>What is the penalty for operating a vehicle with defective or non-operational signal lights?</t>
  </si>
  <si>
    <t>In the Philippines, operating a vehicle with defective or non-operational signal lights is considered a traffic violation and can result in a fine, as outlined in the following regulations:
Legal Basis:
Republic Act No. 4136 (Land Transportation and Traffic Code):
Section 55(a) states that drivers must use their "vehicles' signal lights" when changing lanes or turning.
Section 20(k) prohibits the operation of motor vehicles with "defective or unauthorized accessories, devices, equipment, and parts," including "signal lights."
Penalties:
₱500 fine: This is the standard fine for operating a vehicle with defective or non-operational signal lights as per the Land Transportation Office (LTO) Memorandum Circular No. 2016-020.</t>
  </si>
  <si>
    <t>What is the fine for driving a vehicle without a valid certificate of emission compliance?</t>
  </si>
  <si>
    <t>One offence is worth Php 2,000. Second offence: Php 3,000 plus a three-month suspension of one's driver's licence. The penalty for a third and subsequent offence is 10,000 PHP with a six-month licence suspension.</t>
  </si>
  <si>
    <t>When is it legal to drive with the interior lights turned on?</t>
  </si>
  <si>
    <t>In the Philippines, there is no specific law that explicitly prohibits or allows driving with the interior lights turned on. However, there are indirect considerations and potential consequences to be aware of:
1. Driver Distraction:
While not explicitly illegal, excessively bright or distracting interior lights can impede the driver's vision, especially at night, and potentially contribute to accidents. This can fall under the broader concept of "reckless driving" outlined in the Republic Act No. 4136 (Land Transportation and Traffic Code), which states that drivers should "exercise due care and diligence to avoid endangering the life, limb, and property of any person."
2. Law Enforcement Discretion:
While not a direct offense, law enforcement officers might use their discretion to apprehend drivers if they believe the interior lights are causing a distraction or compromising safety. This could potentially lead to a citation or warning, depending on the specific circumstances and the officer's judgment.
3. Recommendations and Best Practices:
Although not mandated by law, it's generally recommended to avoid using excessively bright or distracting interior lights while driving, especially at night. This is primarily for safety reasons to ensure optimal visibility for the driver and avoid any potential distractions that could contribute to accidents.
Therefore, while not strictly illegal, it's advisable to use your discretion and avoid using excessively bright or distracting interior lights while driving in the Philippines to prioritize safety and minimize potential concerns from law enforcement or other drivers.</t>
  </si>
  <si>
    <t>What is the penalty for operating a vehicle with non-functional or defective brakes?</t>
  </si>
  <si>
    <t>If there are no injuries or fatalities from the collision, the fine for this infraction is Php 20,000 up to Php 80,000. If an accident results in damage or injury, you could be penalised anywhere between Php 100,000 and Php 200,000.</t>
  </si>
  <si>
    <t>Can a driver be fined for failing to dim headlights within 150 meters of an approaching vehicle?</t>
  </si>
  <si>
    <t>While there isn't a specific law in the Philippines that mentions a 150-meter distance for dimming headlights, failing to dim headlights when necessary is considered a traffic violation and can result in a fine. Here's a breakdown of the relevant regulations and consequences:
Regulations:
Republic Act No. 4136 (Land Transportation and Traffic Code):
Section 55(b): This section states that drivers must "use dimmed headlights or fog lights" whenever necessary:
"Upon approaching an approaching vehicle within a reasonable distance"
"Upon following another vehicle closely"
Reasonable Distance:
The law doesn't specify an exact distance for dimming headlights. Instead, it uses the term "reasonable distance", which leaves room for interpretation based on various factors, including:
Visibility conditions: During low-light conditions, rain, or fog, a "reasonable distance" for dimming headlights would be shorter than in clear daytime conditions.
Speed of vehicles: When approaching another vehicle at high speeds, a longer distance might be considered "reasonable" to allow time for the other driver to react.</t>
  </si>
  <si>
    <t>What is the fine for driving a motorcycle without a proper license?</t>
  </si>
  <si>
    <t>In the Philippines, driving without a licence carries a steep fine of 3,000. Those who possess a delinquent, expired, suspended, revoked, inappropriate, or false driver's licence are likewise subject to the fine for this license-related LTO infraction.</t>
  </si>
  <si>
    <t>What is the penalty for operating a vehicle without the proper and valid franchise or permit?</t>
  </si>
  <si>
    <t>Operating a vehicle in the Philippines without the proper and valid franchise or permit is a serious offense that can result in multiple potential consequences, depending on the specific circumstances. Here's a breakdown of the relevant regulations and potential penalties:
Legal Basis:
Republic Act No. 7652 (An Act Granting the Land Transportation Franchising and Regulatory Board the Power to Regulate and Supervise Public Land Transportation Services):
This act establishes the Land Transportation Franchising and Regulatory Board (LTFRB) and empowers them to regulate public land transportation services, including issuing franchises and permits.
LTFRB Memorandum Circulars: These circulars outline specific regulations and requirements for different types of public land transportation services, including franchise applications, renewal processes, and penalties for non-compliance.
Types of Vehicles Affected:
This regulation primarily applies to public utility vehicles (PUVs), including:
Buses
Jeepneys
Tricycles
Taxis
Vans
Other vehicles used for public transport
Consequences of Operating Without Proper Permit:
Impoundment: The vehicle will most likely be impounded by authorities until the situation is resolved and the appropriate franchise or permit is obtained.
Fines: Significant fines can be imposed, ranging from ₱5,000 to ₱10,000 for the first offense, as per various LTFRB memorandum circulars. Fines can increase for subsequent offenses.
Cease and desist order: The LTFRB may issue a cease and desist order, prohibiting the vehicle from operating as a PUV until the necessary requirements are met.
Cancellation of existing franchise (if applicable): If the vehicle already has a franchise but is found operating outside its designated routes or violating other regulations, the LTFRB may cancel the existing franchise in addition to other penalties.</t>
  </si>
  <si>
    <t>When is it legal to make a U-turn at a railroad crossing?</t>
  </si>
  <si>
    <t>It is against the law to turn around at a railway crossing in the Philippines. U-turns are expressly forbidden in some circumstances according to the Land Transportation and Traffic Code (Republic Act No. 4136), which also lays forth guidelines for turning at crossroads. The pertinent guidelines are as follows:
Making Turns at Crossroads:
The lane nearest to the right side of the road should be used by the vehicle when approaching an intersection with the intention of making a right turn.
The driver must stay as close to the right-hand curb or the highway edge as feasible when performing the turn.
Particular Bans on U-Turns:
The following situations prohibit u-turns:
In or near a railway flyover.
through a one-way gate.
in front of the firehouse.
Within commercial areas</t>
  </si>
  <si>
    <t>What is the penalty for using a vehicle with unauthorized or non-standard horns?</t>
  </si>
  <si>
    <t>As previously mentioned in a response on March 3, 2024, using a vehicle with unauthorized or non-standard horns in the Philippines is a traffic violation and can result in penalties. Here's a summary of the relevant regulations and consequences:
Legal Basis:
Republic Act No. 4136 (Land Transportation and Traffic Code):
Section 5(g): Prohibits the use of "bells, sirens, whistles, or horns other than those required or allowed by law."
Presidential Decree No. 96 (Prohibiting the Use of Sirens, Bells, Blinkers, and Similar Devices in Certain Motor Vehicles):
Section 1: Declares it unlawful to use or attach "sirens, bells, and similar devices that emit exceptionally loud or startling sounds."
Section 2: Exempts "authorized emergency vehicles" from this prohibition.
Unauthorized Devices:
The regulations mainly target the use of devices that are:
Not standard or approved by the Land Transportation Office (LTO).
Emit loud or startling sounds that can cause disturbance or confusion for other drivers and pedestrians.
Penalties:
₱5,000 fine: This is the standard fine for using unauthorized or non-standard sirens, bells, or horns as per the LTO Memorandum Circular No. 2016-020.</t>
  </si>
  <si>
    <t>What is the fine for driving a motorcycle without a license plate?</t>
  </si>
  <si>
    <t>According to RA 11235: Operating a vehicle without a licence plate or one that cannot be read, as specified by the Revised Penal Code, may result in a punishment of at least P50,000.00 and up to P100,000.00, or both.</t>
  </si>
  <si>
    <t>Can a driver be fined for refusing to yield to an overtaking vehicle?</t>
  </si>
  <si>
    <t>Yes, in the Philippines, a driver can be fined for refusing to yield to an overtaking vehicle under certain circumstances. Here's a breakdown of the relevant regulations and potential consequences:
Legal Basis:
Republic Act No. 4136 (Land Transportation and Traffic Code):
Section 50: Outlines various situations where drivers must "give way to the right of way" to other vehicles.
While not explicitly mentioning overtaking situations, Section 55(d) states that drivers being "overtaken by another vehicle" must "maintain a steady speed" and "not increase their speed to prevent such overtaking." This indirectly implies the obligation to yield to the overtaking vehicle under specific conditions.
Conditions for Yielding:
A driver is not obligated to yield in all overtaking situations. They only need to yield when the following conditions are met:
Safe overtaking: The overtaking maneuver must be safe and legal. This means the overtaking lane is clear, there is sufficient space for both vehicles, and the overtaking vehicle is not violating any traffic regulations.
Proper signals: The overtaking vehicle must have used the appropriate turn signal to indicate their intention to overtake.
Penalties:
₱150 fine: This is the standard fine for failing to give way to an overtaking vehicle when the conditions mentioned above are met, as per the Land Transportation Office (LTO) Memorandum Circular No. 2016-020.</t>
  </si>
  <si>
    <t>What is the penalty for operating a vehicle with unauthorized or non-standard mufflers?</t>
  </si>
  <si>
    <t>When is it legal to park a vehicle within a designated loading and unloading zone?</t>
  </si>
  <si>
    <t>Parking laws are necessary in the Philippines to preserve traffic flow and guarantee safety. Now let's talk about the details of parking in approved areas for loading and unloading:
Zones for loading and unloading:
These areas are reserved especially for cars to halt momentarily in order to load or unload cargo or passengers.
Usually, they have signage identifying them and their purpose.
When Is It OK to Park in an Area Designated for Loading and Unloading?:
Enabled Parking
In the following situations, parking in a designated loading and unloading zone is permitted:
Activities related to loading and unloading: You may use these zones if you are actively loading or unloading cargo or people.
Time Limit: Parking should only take as long as it takes to load or unload, which is often no more than 30 minutes.
Parking Illegally:
Crossing: Avoid parking in or near a junction.
Driveway: Take care not to obstruct drives.
Never park in two spots at once.
Crosswalks: Avoid parking in crosswalk areas.
Footbridges and Overpasses: Avoid the area around footbridges and overpasses.
Principal National Roads: Major national roads are off-limits to parking.
Fire Stations and Fire Hydrants: Keep a minimum of 4 metres between you and fire station entrances.
Curb intersections: Maintain a minimum of six metres between you and the intersection of curb lines.
Sidewalks: Parking on sidewalks is dangerous and impedes pedestrian traffic.
Residential Area Parking Laws:
Every Metro Manila city could have its own unique parking regulations.
Because of their small highways, upscale villages and subdivisions frequently impose stringent regulations.
Take care not to obstruct roadways in areas that have gates.
Caring for Your Garage's Front:
Parking in front of your own garage can seem innocuous, but it could still be viewed as an obstruction by traffic police.
To minimise any possible problems, it's best to avoid parking in front of your garage.
Parking on pavements:
Parking is not permitted along sidewalks.
Make sure your parked car doesn't obstruct traffic or cause pedestrians to become more uncomfortable.</t>
  </si>
  <si>
    <t>What is the penalty for operating a vehicle with unauthorized or non-standard lights?</t>
  </si>
  <si>
    <t>Similar to the situation with defective brakes, there isn't a single Philippine law (Constitution or RAs) explicitly outlining the penalty for unauthorized or non-standard vehicle lights. However, we can look at relevant regulations to understand the repercussions.
Here's what Philippine law suggests:
1. **Land Transportation Office (LTO) Batas Pambansa Bilang 68 (BP 68) or the Revised Land Transportation and Traffic Code:** This law empowers the LTO to apprehend vehicles with equipment violations, which could include unauthorized or non-standard lights. While it doesn't mention specific penalties, it allows the LTO to impose fines based on the violation's severity [https://www.officialgazette.gov.ph/1980/05/01/batas-pambansa-bilang-68/](https://www.officialgazette.gov.ph/1980/05/01/batas-pambansa-bilang-68/).
2. **LTO Memorandum Circulars:** The LTO issues memoranda detailing specific violations and corresponding penalties. These circulars might cover penalties for unauthorized or non-standard vehicle lights. You can check the LTO website ([https://portal.lto.gov.ph/](https://portal.lto.gov.ph/)) for recent circulars on this topic.
**In essence:** Driving with unauthorized or non-standard lights violates LTO regulations and can result in fines or apprehension of the vehicle depending on the LTO's specific guidelines.
For a more definitive answer, it's recommended to consult the LTO website or contact them directly for the latest information on penalties related to unauthorized or non-standard vehicle lights.</t>
  </si>
  <si>
    <t>Can a driver be fined for failing to use the seat belt while driving a private vehicle?</t>
  </si>
  <si>
    <t>For the first offence, a private vehicle driver faces a fine of P 1,000, and for the second offence, P 2,000. If someone is found not wearing a seat belt for the third or more time, they will be fined P 5,000 and have their driver's licence taken away.</t>
  </si>
  <si>
    <t>What is the fine for driving a motorcycle without a proper license plate?</t>
  </si>
  <si>
    <t>The fine for driving a motorcycle without a proper license plate in the Philippines falls under Republic Act No. 11235 or the Motorcycle Rider Safety Act of 2019 (RA 11235) [https://lawphil.net/statutes/repacts/ra2019/ra_11235_2019.html](https://lawphil.net/statutes/repacts/ra2019/ra_11235_2019.html).
Here's the specific section:
* **Section 7. Driving Without a Number Plate or Readable Number Plate:** This section states that driving a motorcycle without a license plate or with an unreadable plate can be penalized by:
* **Fine:** Not less than Fifty Thousand Pesos (₱50,000.00) but not more than One hundred thousand pesos (₱100,000.00)
* **Additional Penalty:** The motorcycle can also be seized by law enforcers and surrendered to the Philippine National Police (PNP).
**Important Note:** It's important to distinguish between "no plate" and "unreadable plate." Both incur penalties under RA 11235, but the severity might differ based on enforcement discretion.</t>
  </si>
  <si>
    <t>What is the penalty for operating a vehicle without a valid driver's license?</t>
  </si>
  <si>
    <t>If you are found driving in the Philippines without a valid driving licence, you may be subject to the following penalties:
driving without a permit
Fee for Violation: ₱3,000
Details: Before you start driving without the licence card, give it some serious thought. Your driver's licence will be revoked, suspended, or expired, and you will be fined up to ₱3,000 for the infraction. You will also be barred from applying for a driver's licence and from operating a motor vehicle for a year.
Ignoring the seatbelt:
Initial Infraction: ₱1,000
A second offence is ₱2,000.
The third offence is ₱5,000.
Details: Passengers and drivers are both subject to the seat belt law. Fines may arise even from placing youngsters as young as six years old in the front seat without a seat belt. In addition to keeping you safe, using a seatbelt while driving also reduces your risk of receiving an LTO1.
Driving while impaired by alcohol or other dangerous drugs:
Not Causing Death or Serious Injury: ₱20,000 to ₱80,000.
Injury-causing: ₱100,000 to ₱200,000
Death: Between ₱300,000 and ₱500,000
Details: Driving after under the influence of drugs or alcohol might result in catastrophic collisions. Drivers who drive while intoxicated may also be subject to a 12-month licence suspension (for non-professional licence holders) or licence cancellation (for professional licence holders) for the first offence, in addition to the fine.
Driving While Intoxicated:
Initial Verdict: ₱2,000
Conviction No. 2: ₱3,000
Conviction After: ₱10,000</t>
  </si>
  <si>
    <t>When is it legal to park on the left side of a two-way road?</t>
  </si>
  <si>
    <t>parking on the left side of a two-way road is generally illegal. This applies to most situations to avoid traffic flow obstruction and potential accidents.
Here's a breakdown of why parking on the left side is prohibited:
Traffic Laws: While there isn't a specific law that explicitly mentions the left side of a two-way road, general parking regulations discourage it. The Land Transportation Office (LTO) and local ordinances typically focus on parking regulations like:
Right side parking: Sections of the Land Transportation and Traffic Code (RA 4136) emphasize parking vehicles "as near as practicable to the right boundary of the thoroughfare" (Section 6).
No parking signage: Designated "No Parking" signs indicate areas where parking is strictly prohibited, regardless of the side of the road.
Safety Concerns: Parking on the left side can be dangerous for several reasons:
Oncoming traffic: Vehicles approaching from the opposite direction might not anticipate parked cars on the left side, increasing the risk of collisions.
Limited visibility: Drivers parked on the left might obstruct the view of oncoming traffic or pedestrians crossing the street.
Double parking: Drivers trying to park on the left side often end up creating double-parking situations, further disrupting traffic flow.
Exceptions (Use with Caution):
There might be rare instances where parking on the left side might be unavoidable, but proceed with extreme caution and only if absolutely necessary. Here are some examples:
Emergencies: If your vehicle has a mechanical issue and you cannot safely pull over to the right shoulder, you might have to stop momentarily on the left side while turning on your hazard lights. However, prioritize moving your vehicle to a safe location as soon as possible.
One-way roads with designated parking: In rare cases, some specific one-way roads might have designated parking areas on the left side. However, these areas will be clearly marked with signage or pavement markings.</t>
  </si>
  <si>
    <t>What is the penalty for using a vehicle with defective or inoperative headlights?</t>
  </si>
  <si>
    <t>Can a driver be fined for parking within an intersection or pedestrian lane?</t>
  </si>
  <si>
    <t>Of course! Parking regulations in the Philippines are strict in order to maintain traffic flow and road safety. Let's dissect it:
When parking at a crosswalk:
It is forbidden for cars to park at intersections.
Reason: Parking here makes it difficult for other drivers to see you and the flow of traffic.
Legal Basis: Parking within an intersection is prohibited by Republic Act No. 4136.
Parking in a pedestrian lane or close to one:
It is forbidden to park on a pedestrian lane's approach side or only a few metres away from it.
Reason: It prevents pedestrians from seeing other cars and obstructs their view of the road.
Legal Basis: Parking close to pedestrian lanes should be avoided even though there isn't a specific legislation that places all of the blame on the driver in these situations.
More Parking Guidelines:
Blocking someone else's driveway: This is impolite and can prevent emergency vehicles from accessing the driveway. It is regarded as a moving infraction.
Sidewalk Parking: Parking on sidewalks is prohibited because it hinders pedestrian traffic flow and puts people's safety at risk.</t>
  </si>
  <si>
    <t>What is the penalty for driving a vehicle with defective or non-functional wipers?</t>
  </si>
  <si>
    <t>In the Philippines, driving a vehicle with defective or non-functional wipers is not explicitly outlined as a traffic violation in the main legislation, the Republic Act No. 4136 (Land Transportation and Traffic Code). However, it can still lead to potential consequences due to the following reasons:
Safety Concerns:
Reduced visibility: During rain, fog, or other conditions with poor visibility, malfunctioning wipers can significantly impede the driver's vision, increasing the risk of accidents.
Negligence and Road Safety: Operating a vehicle in a condition that compromises safety can be considered negligence and a violation of the general road safety principles outlined in the Land Transportation Office (LTO)'s Memorandum Circular No. 2016-020. This memorandum emphasizes that drivers must ensure their vehicles are in "good working order and proper condition" before operating them on public roads.
Potential Consequences:
Apprehension by Law Enforcement: While not a direct violation, law enforcement officers might apprehend drivers whose vehicles have inoperational wipers during bad weather conditions due to the safety concerns mentioned above. This could potentially lead to a warning or citation, depending on the officer's discretion and the specific circumstances.
Accidents and Legal Repercussions: If a driver with malfunctioning wipers is involved in an accident, especially when the wipers could have contributed to the situation due to poor visibility, they might face legal repercussions beyond a traffic violation. This could involve taking responsibility for damages or injuries caused in the accident.</t>
  </si>
  <si>
    <t>What is the penalty for using a vehicle with unauthorized or non-standard warning devices?</t>
  </si>
  <si>
    <t>When is it permissible to drive with a red light showing from the vehicle's exhaust?</t>
  </si>
  <si>
    <t>It is never permissible to drive with a red light showing from your vehicle's exhaust in the Philippines. A red light emanating from the exhaust typically indicates a serious problem, and continuing to drive can cause further damage or pose safety risks.</t>
  </si>
  <si>
    <t>What is the penalty for driving a vehicle with defective or non-functional horns?</t>
  </si>
  <si>
    <t>If you are found operating a vehicle in the Philippines with a malfunctioning or broken horn, you will be fined Php 1,078.In order to abide by traffic laws and preserve road safety, you must make sure that your car's horns are in working order.</t>
  </si>
  <si>
    <t>In the Philippines, operating a motor vehicle without the required early warning device (EWD) will result in a fine of ₱500. This information is based on the following regulations:
LTO Memorandum Circular No. VPT-2012-1609 (Revised Rules on the Implementation of the Early Warning Device (EWD) Requirement):
Section 6(a) states that "apprehended drivers who are operating a motor vehicle without a pair of EWDs shall be fined ₱500.00."
Additional potential consequences:
While the primary fine is ₱500, there can be additional consequences for not having an EWD:
License confiscation: The driver's license may be confiscated until they can present a pair of EWDs during the adjudication of the case.
Vehicle impoundment: If the vehicle is impounded for not having an EWD, it will be held by authorities until the driver presents a pair of EWDs.
Further legal repercussions: In extreme cases, such as causing an accident due to not having functional EWDs, the driver might face additional legal charges beyond the traffic violation.</t>
  </si>
  <si>
    <t>Can a driver be fined for using a vehicle with defective or non-functional brake lights?</t>
  </si>
  <si>
    <t>Because you will be fined Php 3,000 if it is not with you, expires, is suspended, or is revoked. In addition, you might not be eligible for a driver's licence and might not be able to drive for a year.</t>
  </si>
  <si>
    <t>Driving in the Philippines without the required motor vehicle plates is a serious offense that can result in multiple potential consequences, depending on the specific circumstances. Here's a breakdown of the relevant regulations and potential penalties:
Legal Basis:
Republic Act No. 4136 (Land Transportation and Traffic Code):
Section 5(a): States that drivers must "display the proper license plates" on their vehicles.
Section 69(a): Lists driving a motor vehicle "without a plate number" as a violation.
Fines:
₱5,000 fine: This is the standard fine for driving without the required motor vehicle plates, as per the Land Transportation Office (LTO) Memorandum Circular No. 2016-020.</t>
  </si>
  <si>
    <t>What is the penalty for driving a vehicle without a valid motor vehicle inspection certificate?</t>
  </si>
  <si>
    <t>What is the penalty for driving a motorcycle without a helmet secured by a chin strap?</t>
  </si>
  <si>
    <t>First offence: P1,500.00; second offence: P3,000.00; third offence: P5,000.00; fourth and subsequent offences: P10,000. In addition to the fine, a fourth and subsequent offence will result in the forfeiture of the offender's driver's licence.</t>
  </si>
  <si>
    <t>What is the fine for using a fake or unauthorized license plate?</t>
  </si>
  <si>
    <t>In the Philippines, using a fake or unauthorized license plate on a motor vehicle is a serious offense with various potential consequences, including fines, imprisonment, and vehicle impoundment. Here's a breakdown of the relevant regulations and potential penalties:
Legal Basis:
Republic Act No. 4136 (Land Transportation and Traffic Code):
Section 5(a): Mandates drivers to display "the proper license plates" on their vehicles.
Section 69(a): Lists driving a motor vehicle "with a fake or unauthorized plate number" as a violation.
Article 188 of the Revised Penal Code: This section penalizes the "falsification of public documents", which can apply to "falsified, counterfeited, or altered license plates."
Penalties:
₱5,000 fine: This is the standard fine for using a fake or unauthorized license plate as per the Land Transportation Office (LTO) Memorandum Circular No. 2016-020.
Imprisonment: Depending on the specific circumstances and the intent behind using the fake plate, the driver may face imprisonment for up to six months. This is based on Article 188 of the Revised Penal Code.
Vehicle impoundment: The vehicle will most likely be impounded by authorities until the issue is resolved and the proper license plates are displayed.
Additional legal repercussions: If the use of the fake plate is linked to criminal activity, the driver might face more severe legal charges beyond the traffic violation and potential penalties for the underlying crime.</t>
  </si>
  <si>
    <t>Can a driver be fined for using a mobile phone while operating a vehicle?</t>
  </si>
  <si>
    <t>The Anti-Distracted Driving Act forbids using mobile phones while operating a motor vehicle in the Philippines. In addition to the inherent risks, breaking this legislation can result in fines, penalties, and even the suspension of one's ability to drive.</t>
  </si>
  <si>
    <t>As previously mentioned in responses on March 3 and March 6, 2024, operating a vehicle with unauthorized or non-standard accessories in the Philippines is a traffic violation and can result in a fine. Here's a summary of the relevant regulations and consequences:
Legal Basis:
Republic Act No. 4136 (Land Transportation and Traffic Code):
Section 5(g): Prohibits the use of "bells, sirens, whistles, or horns other than those required or allowed by law."
Section 20(k): Prohibits the operation of motor vehicles with "defective or unauthorized accessories, devices, equipment, and parts."
Unauthorized Devices:
The regulations mainly target the use of accessories that are:
Not standard or approved by the Land Transportation Office (LTO).
Emit loud or startling sounds that can cause disturbance or confusion for other drivers and pedestrians.
Obscure the driver's vision or hinder the operation of the vehicle.
Pose a safety hazard to themselves or others on the road.
Examples of Unauthorized Accessories:
Non-standard headlights or taillights: These can affect visibility and create confusion for other drivers.
Excessively loud horns or sirens: These can cause noise pollution and potentially startle other drivers, leading to accidents.
Window tinting that exceeds legal limits: This can significantly reduce visibility for the driver, especially at night.
Unauthorized modifications to the vehicle's suspension or engine: These can affect the vehicle's handling and stability, increasing the risk of accidents.
Penalties:
₱5,000 fine: This is the standard fine for using unauthorized or non-standard accessories, devices, equipment, and parts as per the LTO Memorandum Circular No. 2016-02</t>
  </si>
  <si>
    <t>When is it permissible to use a motorcycle to carry bulky or hazardous materials?</t>
  </si>
  <si>
    <t>There are rules in place in the Philippines about using motorbikes to transport dangerous or large items. Let's dissect it:
Travellers and Goods:
Riders: A motorbike is normally only permitted to have one rider, who is known as a back-rider.
Cargo: Motorcycles can only transport goods using saddlebags or luggage carriers that have received Department of Trade and Industry (DTI) approval.
Risky Substances:
The main purpose of motorbike hazards lights is to alert other drivers of a specific hazard.
In particular, it is possible to turn on caution lights:
when a car that is engaged in an accident or breaks down and cannot be moved right away, posing a risk to other drivers.
In circumstances where a motorbike malfunction or accident makes it dangerous
Motorcyclists Safety Act:
By limiting motorcycle registration and operation, the Motorcycle Safety Riding Act seeks to lower risks and dangers.
Important details consist of:
Club Membership: Motorcyclists must belong to a club that has been officially approved and recognised by the Land Transportation Office (LTO) in order to own or operate a motorcycle.
Safety instruction: It is obligatory for motorcycle rider groups to provide their members with safety and road etiquette instruction.
Data Privacy: Clubs that keep a list of legitimate members are required to abide by the Data Privacy Act of 2012.</t>
  </si>
  <si>
    <t>What is the fine for parking in spaces designated for persons with disabilities?</t>
  </si>
  <si>
    <t>What is the penalty for tampering with or altering the vehicle's engine or chassis number?</t>
  </si>
  <si>
    <t>Tampering with or altering the engine or chassis number of a vehicle in the Philippines is a serious offense with significant legal consequences. Here's a breakdown of the relevant regulations and potential penalties:
Legal Basis:
Republic Act No. 6539 (An Act Preventing and Penalizing Carnapping):
Section 12: This section explicitly prohibits any person from "defacing or otherwise tampering with the original or registered serial number of motor vehicle engines, engine blocks and chassis."
Section 13: This section outlines the penalties for violating any provision of the Act, including:
Imprisonment: Not less than two years nor more than six years.
Fine: An amount equal to the acquisition cost of the motor vehicle, motor vehicle engine, or any other part involved in the violation.</t>
  </si>
  <si>
    <t>Can a driver be fined for failing to use a seat belt while operating a public utility vehicle?</t>
  </si>
  <si>
    <t>Penalties are harsher for public utility vehicle drivers who neglect to mandate that passengers use the recommended seat belt. For each infraction, there is a ₱3,000 punishment that must be paid by both the driver and the operator.</t>
  </si>
  <si>
    <t>What is the fine for using a private vehicle for hire without the necessary permits?</t>
  </si>
  <si>
    <t>Using a private vehicle for hire without the necessary permits in the Philippines is considered a violation of the Land Transportation and Traffic Code (Republic Act No. 4136) and can result in multiple potential consequences, including fines and suspension of licenses. Here's a breakdown of the relevant regulations and potential penalties:
Legal Basis:
Republic Act No. 4136 (Land Transportation and Traffic Code):
Section 7(a): States that "private motor vehicles shall not be used for hire." This section directly prohibits using an unregistered private vehicle for commercial purposes.
Section 7(c): Requires "motor vehicles used for hire to secure from the Land Transportation Commission or such other bodies as may be authorized by law the necessary certificate of public convenience or a special permit." This section emphasizes the need for proper permits for operating vehicles for hire.
Section 54(k): Empowers the Land Transportation Office (LTO) to "impose fines and penalties for violations..." of the Land Transportation and Traffic Code.
Penalties:
₱500 fine: This is the standard fine for using a private vehicle for hire without the necessary permits as per LTO Memorandum Circular No. 2016-020. However, the actual fine may vary depending on the specific circumstances and the discretion of the apprehending officer.
Suspension of Driver's License: In addition to the fine, the driver's license may be suspended for a period of three months for the first offense and potentially longer for subsequent offenses.
Vehicle Impoundment: In some cases, the vehicle might be impounded by authorities until the situation is resolved and the appropriate permits are obtained.</t>
  </si>
  <si>
    <t>The Anti-Drunk and Drugged Driving Act of 2013 in the Philippines prohibits driving while under the influence of alcohol, illicit narcotics, and related substances. legislation imposes severe penalties for driving while intoxicated, even though legislation makes no mention of the penalty for holding an open container of alcohol.
The following are the main points of driving when intoxicated:
Driving when intoxicated by alcohol, illicit narcotics, or similar substances is forbidden by law.
Liability: Unless they can demonstrate that they took extraordinary care in choosing and monitoring drivers, the owner and operator of the motor vehicle used by the criminal may be held accountable for fines and civil damages.
Fines, incarceration, and licence suspension or revocation are the consequences for operating a vehicle while intoxicated. Nevertheless, there is no clear description of the consequences for having an open alcohol container.
Unlawful possession of open alcoholic beverages in motor vehicles is defined by the Open Container statute of 2008, but the precise penalties for this offence are not stated in the statute. Nonetheless, in order to avoid any potential mishaps, it is imperative to put public safety first by abstaining from alcohol while driving and making sure that all containers are kept locked and guarded.</t>
  </si>
  <si>
    <t>What is the fine for parking in front of a fire hydrant or within an emergency exit zone?</t>
  </si>
  <si>
    <t>In the Philippines, parking in front of a fire hydrant or within an emergency exit zone is considered a serious traffic violation and can result in multiple potential consequences.
Here's a breakdown of the relevant regulations and potential penalties:
Legal Basis:
Republic Act No. 9514 (Fire Code of the Philippines):
Section 15, paragraph (f): Prohibits "parking, stopping, or standing of any vehicle within five (5) meters radius from the base of any fire hydrant."
Section 16, paragraph (g): Prohibits "obstruction in any way of fire exits, driveways, and roads."
Penalties:
₱1,000 fine: This is the standard fine for violating the aforementioned sections of the Fire Code, as per Metropolitan Manila Development Authority (MMDA) Regulation No. 10-17. The exact penalty may vary depending on the specific location and the discretion of the apprehending officer.
Towing and impounding: The vehicle might be towed and impounded by authorities, leading to additional towing and storage fees.
Driver's license suspension: In some cases, the driver's license may be suspended for a certain period, especially for repeated offenses.</t>
  </si>
  <si>
    <t>Can a driver be fined for using a motorcycle without a proper license plate?</t>
  </si>
  <si>
    <t>Of course! Driving a motorcycle in the Philippines without the required licence plate may result in fines. The pertinent penalties are as follows:
Driving when your licence is invalid:
Penalty: ₱3,000
In addition to those without a valid licence, those in possession of a delinquent, expired, suspended, revoked, incorrect, or fraudulent driver's licence are also subject to this penalty. To avoid this fine, even student drivers must be accompanied by a driver with a valid licence.
Driving with a readable licence plate obscured:
Maximum fine: ₱100,000; maximum fine: ₱50,000; or both
Violations Concerning Number Plates:
Insecure Number Plate Attachment:
Penalty: ₱5,000
To avoid this substantial fine, make sure your licence plate is firmly fastened to your motorcycle.
Motorcycle Registration Expired:
Penalty: ₱10,000
You could be fined 10,000 if your motorbike registration is void or has lapsed.</t>
  </si>
  <si>
    <t>What is the fine for driving without the required motor vehicle insurance?</t>
  </si>
  <si>
    <t>What is the fine for using a vehicle with unauthorized or non-standard horns?</t>
  </si>
  <si>
    <t>Penalties: First offence: up to P2,000 in fines; second offence: up to P4,000 in fines; third and subsequent offences: up to P6,000 in fines and a year-long suspension of motor vehicle registration</t>
  </si>
  <si>
    <t>When is it legal to park on the left side of a one-way street?</t>
  </si>
  <si>
    <t>Parking rules are critical in the Philippines for maintaining road safety. Here are some recommendations for parking on the left side of a one-way roadway.
No Parking Zones: Do not park on the side of the road where there is a "NO PARKING" sign. These signs designate locations where parking is absolutely forbidden. Always adhere to these restrictions.
Exceptions:
Avoid parking near or inside an intersection. Blocking visibility at crossroads can result in accidents and traffic congestion.
Driveways: Never obstruct anyone else's driveway. Parking in front of someone's gate is considered impolite and inconvenient. Report any vehicles parked in front of your gate to the local authorities.
Double Parking: Avoid double parking. It affects traffic flow and may inconvenience other vehicles.
Crosswalks: Do not park in the crosswalk. Crosswalks are designed for pedestrians, and impeding them poses a safety risk.
Avoid parking near overpasses and footbridges to protect pedestrian safety.
Parking is frequently prohibited on key national roads. These roadways are critical for transportation mobility.
Residential areas and subdivisions:
Parking restrictions vary per city in Metro Manila, and towns or subdivisions may have their own set of guidelines.
Due to the limited roadways in luxury real estate subdivisions, parking laws are tightly enforced. Laws governing double parking and obstruction are enforced.
Be careful not to block driveways, especially in gated areas.
Park in front of your own garage:
While parking in front of your own garage may appear to be innocent, traffic officers may nevertheless consider it a violation. It is technically a barrier.
If you own numerous cars and they cannot all fit inside, consider legal options such as off-site parking.
Sidewalk Parking:
Never park on the pavements. This obstructs pedestrian paths and puts individuals at risk due to driving.</t>
  </si>
  <si>
    <t>What is the penalty for driving a motorcycle without the proper license?</t>
  </si>
  <si>
    <t>Driving a motorbike in the Philippines is illegal unless you have a valid driving licence or conductor's permit. If detected, the fine is Php 3,000.00. To prevent legal consequences, you must check that you have the proper licence before operating a motor vehicle.</t>
  </si>
  <si>
    <t>Can a driver be fined for operating a vehicle with defective or non-functional brake lights?</t>
  </si>
  <si>
    <t>Yes, a driver in the Philippines can be fined for operating a vehicle with defective or non-functional brake lights. While there is no specific penalty listed in the main legislation, the Land Transportation and Traffic Code (Republic Act No. 4136), for driving with defective brake lights, it can still lead to consequences due to the following reasons:
Safety Concerns: Defective brake lights pose a significant safety hazard as they:
Reduce the following driver's ability to see the braking intention of the vehicle ahead, increasing the risk of rear-end collisions.
Hinder safe driving during low-visibility conditions like rain, fog, or night time.
General Road Safety: Operating a vehicle in a condition that compromises safety can be considered negligence and a violation of the general road safety principles outlined in the Land Transportation Office (LTO)'s Memorandum Circular No. 2016-020. This memorandum emphasizes that drivers must ensure their vehicles are in "good working order and proper condition" before operating them on public roads.</t>
  </si>
  <si>
    <t>According to RA 10054, often known as the Motorcycle Helmet Act of 2009, the penalty for not wearing a motorcycle-specific helmet is P1,500. If you don't learn from your mistakes, the punishment can be as high as P10,000, including the termination of your driver's licence for repeat offences.</t>
  </si>
  <si>
    <t>When is it permissible to use a motorcycle to carry a passenger?</t>
  </si>
  <si>
    <t>In the Philippines, following are the rules for carrying passengers on a motorbike:
Only experienced bikers should transport passengers. If you're ready, practise away from traffic and carrying someone weighing 100 pounds. Or less.
Ensure that your motorbike is equipped to take passengers.
The seat should be spacious enough to accommodate both you and your companion comfortably.
Your bike must include foot pegs for your passenger.
Always equip your passenger with a helmet.
Modify the suspension to accommodate the added weight. Consult your owner's manual for instructions, and make sure your tyres have the proper air pressure.
Give your guest detailed instructions before beginning the ride, especially if they are an experienced rider. Don't assume they understand what to do.
Allow your passenger to board the motorbike after you've started it and pointed it in the direction you want to go. Please ask them to seat as far forward as possible without crowding you.
Instruct your passenger to grasp onto your waist, hips, or belt. They should remain precisely behind you, leaning as you do.
Many states mandate that the feet of the passenger remain on the foot pegs at all times, including when the motorcycle is stopped at an intersection.
Warn your passenger that the hot mufflers can cause burns.
To compensate for the additional weight, operate at a little slower speed. Begin slowing down earlier than usual when approaching a stoplight.
Remember that the heavier the passenger, the longer it takes to accelerate, slow, or turn. Stay vigilant, keep distance from other vehicles, and ensure the safety of both you and your passenger while riding.</t>
  </si>
  <si>
    <t>Any person who operates a motorbike in violation of Section 4 of this Act shall be punished P3,000.00 for the first offence, P5,000.00 for the second offence, and P10,000.00 for the third and subsequent offences.</t>
  </si>
  <si>
    <t>Can a driver be fined for driving a motorcycle with an unauthorized or non-standard muffler?</t>
  </si>
  <si>
    <t>Yes, a driver in the Philippines can be fined for driving a motorcycle with an unauthorized or non-standard muffler. This is due to regulations aimed at controlling noise pollution and ensuring the safety of vehicles. Here's a breakdown of the relevant regulations and potential consequences:
Legal Basis:
Republic Act No. 4136 (Land Transportation and Traffic Code):
Section 5(g): Prohibits the use of "bells, sirens, whistles, or horns other than those required or allowed by law." This section can be interpreted to include unauthorized or non-standard mufflers as they can generate excessive noise.
Section 20(k): Prohibits the operation of motor vehicles with "defective or unauthorized accessories, devices, equipment, and parts." This section directly addresses the use of unauthorized or non-standard mufflers.
LTO Muffler Regulations:
LTO Memorandum Circular No. 2015-121: This circular outlines the "National Standard for the Sound Level Limits for Motor Vehicles." It sets specific decibel limits for different motorcycle types and emphasizes the need for "mufflers that comply with the aforementioned regulation."
Penalties:
₱5,000 fine: This is the standard fine for violating the LTO regulations on unauthorized or non-standard mufflers, as per the LTO Memorandum Circular No. 2016-020. However, the actual penalty may vary depending on the specific circumstances and the discretion of the apprehending officer.</t>
  </si>
  <si>
    <t>In the Philippines, driving with unauthorised or nonstandard licence plates can result in fines and penalties. Here are the necessary details:
Driving a car with an erroneous or improperly attached number plate:
Fine: ₱5,000.
The authorised motor vehicle licence plate or third plate sticker must be correctly mounted, and any unauthorised plate, accessory, or gadget shall be removed and confiscated for the benefit of the government.</t>
  </si>
  <si>
    <t>In the Philippines, it is not only a matter of courtesy but also a legal duty to dim your headlights when following or approaching another driver within 200 metres. This approach reduces glare and creates safer driving conditions for everyone.
Remember, driving at night presents its own set of obstacles, so here are a few more guidelines to keep in mind:
Switch on Your Lights: Before leaving the parking lot, check sure your headlights are turned on. It's easy to forget, especially when moving from well-lit places to dark roadways.
Keep Cabin Lights Off: Unless you're looking for something specific, keep your cabin lights turned off. Concentrate on what is illuminated by your headlights.</t>
  </si>
  <si>
    <t>What is the penalty for operating a vehicle with unauthorized or non-standard sirens, bells, or horns?</t>
  </si>
  <si>
    <t>Operating a vehicle with unauthorized or non-standard sirens, bells, or horns in the Philippines is a serious traffic violation with specific penalties outlined in both national legislation and local regulations.
Legal Basis:
Republic Act No. 4136 (Land Transportation and Traffic Code):
Section 5(g): Prohibits the use of "bells, sirens, whistles, or horns other than those required or allowed by law." This section directly addresses the unauthorized use of these devices on vehicles.
LTO Regulations:
Several Land Transportation Office (LTO) regulations further strengthen this provision:
LTO Memorandum Circular No. 2016-020: This memorandum emphasizes that drivers must ensure their vehicles are in "good working order and proper condition" before operating them on public roads. Using unauthorized or non-standard noise-emitting devices would be considered a violation of this principle.
LTO Advisory No. 2010-026: This advisory explicitly prohibits the use and installation of sirens, bells, and similar devices on private motor vehicles.
Penalties:
₱5,000 fine: This is the standard fine for using unauthorized or non-standard sirens, bells, or horns, as per the LTO Memorandum Circular No. 2016-020. However, the actual penalty may vary depending on the specific circumstances and the discretion of the apprehending officer.</t>
  </si>
  <si>
    <t>Yes, in the Philippines, a driver might face a fine for permitting someone to ride on the roof or deck of a motor vehicle. Here are some related traffic violations:
Allowing passengers to ride on the roof or cover of a motor vehicle (MV) is a violation, with the exception of truck assistance. The fine for this offence is P1,000.
Allowing passengers to ride on the running boards, step boards, or mudguards of a moving vehicle is also a violation.
Failure to dim headlights when approaching another motor vehicle: Drivers must dim their headlights to avoid blinding the other motorist.</t>
  </si>
  <si>
    <t>What is the penalty for using a vehicle with unauthorized or non-standard accessories?</t>
  </si>
  <si>
    <t>operating a vehicle in the Philippines with unauthorized or non-standard accessories is a traffic violation and can result in a fine. Here's a summary of the relevant regulations and consequences:
Legal Basis:
Republic Act No. 4136 (Land Transportation and Traffic Code):
Section 5(g): Prohibits the use of "bells, sirens, whistles, or horns other than those required or allowed by law."
Section 20(k): Prohibits the operation of motor vehicles with "defective or unauthorized accessories, devices, equipment, and parts."
Unauthorized Devices:
The regulations mainly target the use of accessories that are:
Not standard or approved by the Land Transportation Office (LTO).
Emit loud or startling sounds that can cause disturbance or confusion for other drivers and pedestrians.
Obscure the driver's vision or hinder the operation of the vehicle.
Pose a safety hazard to themselves or others on the road.
Examples of Unauthorized Accessories:
Non-standard headlights or taillights: These can affect visibility and create confusion for other drivers.
Excessively loud horns or sirens: These can cause noise pollution and potentially startle other drivers, leading to accidents.
Window tinting that exceeds legal limits: This can significantly reduce visibility for the driver, especially at night.
Unauthorized modifications to the vehicle's suspension or engine: These can affect the vehicle's handling and stability, increasing the risk of accidents.
Penalties:
₱5,000 fine: This is the standard fine for using unauthorized or non-standard accessories, devices, equipment, and parts as per the LTO Memorandum Circular No. 2016-020.</t>
  </si>
  <si>
    <t>Fine. Php. 50,000.00, motor vehicle impounded.</t>
  </si>
  <si>
    <t>When can a driver make a left turn on a red traffic light?</t>
  </si>
  <si>
    <t>In the Philippines, unlike some other countries where a permitted left turn on a red light might be indicated by a green arrow with a flashing yellow light, drivers are generally not allowed to make a left turn on a red traffic light.
Here's a breakdown of typical traffic light operation and left-turn procedures:
Red Light: This signifies a complete stop for all directions of traffic. Drivers must come to a complete stop behind the stop line and wait for the light to turn green before proceeding.
Green Light: This indicates that traffic can proceed in the designated direction, including making a left turn if there are no oncoming vehicles and the turn can be done safely.
Left Turn Procedures:
Turn Signal: Before making a left turn, even on a green light, drivers must always activate their left-turn signal to alert other drivers of their intention.
Yielding Priority: Drivers making a left turn, even with a green light, must yield the right of way to oncoming traffic that has the green light or is already in the intersection.
Safe Left Turn: Only proceed with the left turn when it is safe to do so, ensuring there are no oncoming vehicles and pedestrians crossing the path.</t>
  </si>
  <si>
    <t>Can a driver be fined for failing to yield to an overtaking vehicle?</t>
  </si>
  <si>
    <t>Response has halted.
Yes, in the Philippines, a driver may be punished for failing to yield to an overtaking vehicle. When a driver fails to yield to an overtaking vehicle, they may face a Php 1,000 punishment. To avoid penalties, drivers must be informed of traffic rules and drive safely. Remember that road safety helps everyone.</t>
  </si>
  <si>
    <t>The first offence carries a penalty of Php 3,000. The second offence carries a penalty of Php 5,000.</t>
  </si>
  <si>
    <t>Land Transportation and Traffic Code (Republic Act No. 4136), that explicitly prohibit or allow the use of interior lights while driving. However, there are indirect considerations and potential consequences to be aware of:
Distraction: Excessive brightness from interior lights can potentially distract the driver and affect their visibility, especially at night. This is a safety concern and responsible drivers should ensure the level of interior lighting does not hinder their ability to focus on the road.
Law Enforcement Discretion: While not explicitly illegal, law enforcement officers might use their discretion to apprehend drivers if the interior lighting is deemed excessively bright or distracting and could potentially contribute to a safety hazard.</t>
  </si>
  <si>
    <t>According to DOTr Joint Administrative Order No. 2014-01, a motorist who has and uses a fraudulent driving licence would face a P3,000 fine and will be barred from obtaining a licence and operating a motor vehicle for one year after paying the charge.</t>
  </si>
  <si>
    <t>Yes, a driver in the Philippines can be fined for using a private vehicle for hire without the necessary permits. This is a violation of the Land Transportation and Traffic Code (Republic Act No. 4136) and can result in various penalties.
Here's a breakdown of the relevant regulations and potential consequences:
Legal Basis:
Republic Act No. 4136 (Land Transportation and Traffic Code):
Section 7(a): States that "private motor vehicles shall not be used for hire." This section directly prohibits using an unregistered private vehicle for commercial purposes.
Section 7(c): Requires "motor vehicles used for hire to secure from the Land Transportation Commission or such other bodies as may be authorized by law the necessary certificate of public convenience or a special permit." This section emphasizes the need for proper permits for operating vehicles for hire.
Section 54(k): Empowers the Land Transportation Office (LTO) to "impose fines and penalties for violations..." of the Land Transportation and Traffic Code.
Penalties:
₱500 fine: This is the standard fine for using a private vehicle for hire without the necessary permits as per LTO Memorandum Circular No. 2016-020. However, the actual fine may vary depending on the specific circumstances and the discretion of the apprehending officer.
Suspension of Driver's License: In addition to the fine, the driver's license may be suspended for a period of three months for the first offense and potentially longer for subsequent offenses.
Vehicle Impoundment: In some cases, the vehicle might be impounded by authorities until the situation is resolved and the appropriate permits are obtained.</t>
  </si>
  <si>
    <t>What is the penalty for driving a motorcycle without a proper license plate?</t>
  </si>
  <si>
    <t>If caught without number plates, police may seize the motorcycle and punish the owner between Php50,000 and Php100,000.</t>
  </si>
  <si>
    <t>There isn't a single law in the Philippines specifying a fixed fine for failing to yield to pedestrians at a marked crosswalk. However, two Republic Acts (RAs) address this violation:
1. **Republic Act No. 4117 or the Land Transportation Code (LTC):** While the LTC itself doesn't mention specific fines, it grants the Land Transportation Office (LTO) the authority to apprehend drivers who violate traffic rules [invalid URL removed].
2. **Republic Act No. 10585 or the Anti-Distracted Driving Act (ADDA):** Section 22(f) of this Act prohibits drivers from using electronic devices while operating a vehicle in a manner that hinders safe driving. This can indirectly apply to failing to yield to pedestrians due to distracted driving. The penalty for violating Section 22(f) can be:**
* **First offense:** PhP5,000 fine
* **Second offense:** PhP10,000 fine and suspension of driver's license for one month
* **Third offense:** PhP15,000 fine and suspension of driver's license for three months
**Here's how these RAs interplay:**
* LTO, based on its authority under the LTC, likely has issued memoranda circulars specifying penalties for failing to yield to pedestrians at crosswalks. These might include fines or demerit points on the driver's license. * The ADDA penalty applies if failing to yield is proven to be caused by using electronic devices while driving.
**In essence:** The exact penalty depends on the LTO's specific guidelines and whether the violation involved distracted driving. For a more definitive answer, it's recommended to consult the LTO website or contact them directly for the latest information on penalties related to failing to yield to pedestrians at marked crosswalks.</t>
  </si>
  <si>
    <t>In the Philippines, making a U-turn on a curve or at the peak of a hill is subject to strict laws and circumstances. Let us break it down:
Curves and hills:
Illegal Turn: It is illegal to make a U-turn on a curve or hill with limited visibility. Because of the limited visibility, executing a U-turn is dangerous in certain scenarios.
Right Approach: When approaching an intersection with the intention of making a U-turn, drive in the lane closest to the right side of the roadway. During the turn, stay as near as possible to the right-hand curve or road edge.
Exceptions:
You can make a U-turn if:
There are no signs preventing it.
There is a green left-turn arrow or green light.
You're in the far left lane.
There is a "U-turn Only" sign.
You will cross a double yellow line only if it is safe and legal to do so.
Remember that safety should always come first when considering a U-turn. Avoid doing U-turns in risky conditions, particularly on busy roads or during rush hour traffic.</t>
  </si>
  <si>
    <t>Operating a vehicle in the Philippines without a valid certificate of registration is a serious offense and can result in several penalties, depending on the specific circumstances and the discretion of the apprehending officer. Here's a breakdown of the relevant regulations and potential consequences:
Legal Basis:
Republic Act No. 4136 (Land Transportation and Traffic Code):
Section 5(a): States that "no motor vehicle shall be operated on any public highway unless it is registered..." This section explicitly prohibits operating an unregistered vehicle on public roads.
Section 20(d): Requires motor vehicles to have a "valid certificate of registration" to be operated on public roads.
Section 54(k): Empowers the Land Transportation Office (LTO) to "impose fines and penalties for violations..." of the Land Transportation and Traffic Code.
Penalties:
₱10,000 fine: This is the standard penalty for operating a vehicle without a valid certificate of registration, as per the Revised Schedule of Fines and Penalties for Violations of Laws, Rules and Regulations Governing Land Transportation (LTFRB Memorandum Circular No. 2017-21).
Additional Charges: Depending on the specific situation, additional charges may apply, such as:
₱5,000 fine: For operating a vehicle with an improperly registered vehicle (e.g., expired registration)
Vehicle Impoundment: The vehicle might be impounded by authorities until the situation is resolved and a valid registration is presented.
Driver's License Confiscation: In extreme cases, the driver's license may be confiscated and require a specific procedure for retrieval.</t>
  </si>
  <si>
    <t>Response has halted.
In the Philippines, it is prohibited for a driver to allow a passenger to ride on the outside or back of a vehicle. Specifically, Republic Act No. 4136 states:
"No one shall hang on to or ride on the outside or rear end of any vehicle, and no person on a bicycle, roller skate, or other similar equipment shall hold fast to or hitch onto any moving vehicle. Furthermore, no driver shall knowingly permit any person to hang on to or ride on the outside or rear end of their vehicle, nor shall any person riding a bicycle, roller skate, or other similar device hold fast or hitch to their vehicle." 
This prohibition is applicable to all vehicles, including pickup trucks. Riding in the bed of a pickup truck is both unsafe and unlawful. Violations may result in sanctions, including fines. To prioritise safety and comply with the law, ensure passengers are seated inside the vehicle's cabin.</t>
  </si>
  <si>
    <t>What is the fine for driving without the required early warning device?</t>
  </si>
  <si>
    <t>The fine for driving in the Philippines without the required early warning device (EWD) is ₱500. Additionally, the driver's license may be suspended for 30 days.
Here's a summary of the relevant regulations and penalties:
Legal Basis:
Letter of Instruction No. 229: This directive mandates that all motor vehicles, except motorcycles, must have a set of early warning devices.
LTO Memorandum Circular No. RTL-MC-02412: This memorandum emphasizes the requirement for EWD installation and outlines the penalties for non-compliance.
Penalties:
₱500 fine: For failing to install the EWD whenever the motor vehicle is stalled or disabled along the traveled portion of the street or highway.
Driver's license suspension for 30 days: For the aforementioned offense.
More severe penalties: If the failure to install EWD results in an accident, the driver may face license suspension for up to two years or even revocation, depending on the circumstances.</t>
  </si>
  <si>
    <t>Parking laws in the Philippines are critical for guaranteeing traffic flow and safety. Let's look at the guidelines for parking within authorised loading and unloading zones:
Loading and unloading zones:
These areas are specifically designated for cars to load and unload passengers or goods.
They are commonly located around commercial districts, markets, and transportation hubs.
Parking in these areas is closely monitored to avoid traffic jams.
When is it legal to park in a loading and unloading zone?:
Legal parking:
You may park in a designated loading and unloading zone if you are actively picking up or dropping off passengers or cargo.
The limit time for parking in these zones is normally 30 minutes.
Illegal parking:
junction: Do not park near or inside a junction.
Avoid obstructing driveways, particularly someone else's. It is both impolite and disruptive.
Never double park; it disrupts traffic flow.
Crosswalks: Do not park in the crosswalk.
Maintain a safe distance from overpasses or footbridges.
Parking is not allowed on important national roads.
Fire Hydrants and Fire Stations: Stay at least 4 metres away from fire hydrants and fire station doors.
Keep at least 6 metres away from the intersection of curb lines.
Residential and Luxury Subdivisions:
Parking regulations vary by city and neighbourhood.
Due to the limited roads in luxury communities, rigorous limits are frequently enforced.
Be aware of double parking and obstruction laws in gated neighbourhoods.
Park in front of your own garage:
Parking in front of your own garage may appear innocent, yet it can still be considered an obstruction.
It is recommended to avoid doing so because traffic officers may consider it a violation.
Sidewalk parking
Never park near the pavement. It impedes pedestrian circulation and endangers public safety.
Remember that responsible parking promotes smoother traffic flow and safer streets. To avoid fines and annoyance, always observe the local legislation.</t>
  </si>
  <si>
    <t>Yes, drivers of private vehicles in the Philippines might face fines for neglecting to utilise seat belts. Here are the details:
First offence: A driver who fails to wear a seat belt or permits a kid under 6 to sit in the front passenger seat will face a ₱1,000 fine.
The second offence carries a fine of ₱2,000.
The third offence carries a penalty of ₱5,000.</t>
  </si>
  <si>
    <t>In the Philippines, parking laws are critical for maintaining road order and ensuring everyone's safety. Here are the main guidelines for parking on the left side of a two-way street:
No Parking Zones: Do not park on the side of the road where there is a "NO PARKING" sign. These signs designate locations where parking is absolutely forbidden. Always adhere to these restrictions.
Exceptions to no-parking zones:
Avoid parking near or within junctions. Obstructing visibility at intersections might result in accidents.
Driveway Access: Never obstruct another person's driveway. It is not only impolite, but also impedes emergency access.
Double parking: Parking one vehicle behind another is not permitted. Double parking disrupts traffic flow.
Keep crosswalks clear for pedestrians.
Parking near overpasses or footbridges may hamper pedestrian mobility.
Major National Roads: Avoid parking on major highways and national roads.
Maintain a minimum distance of 4 metres from fire hydrants and fire station entrances.
Do not park within 6 metres of the intersection of curb lines.
Parking in Front of Your Own Garage: While parking in front of your own garage may appear to be a minor offence, traffic officers may nevertheless consider it a violation. It is best to avoid blocking your own driveway.
Sidewalk Parking: Do not park on sidewalks. Blocking pavements causes inconvenience for people and increases traffic safety risks.</t>
  </si>
  <si>
    <t>What is the fine for driving a motorcycle without a proper helmet?</t>
  </si>
  <si>
    <t>What is the fee or penalty for a no helmet violation? In the Philippines, not wearing a helmet carries a punishment ranging from Php1,500 to Php10,000.</t>
  </si>
  <si>
    <t>Yes, in the Philippines, a driver can be fined for parking within an intersection or pedestrian lane. This is considered a serious traffic violation and can result in penalties due to the safety hazards it poses.
Here's a breakdown of the relevant regulations and potential consequences:
Legal Basis:
Republic Act No. 4136 (Land Transportation and Traffic Code):
Section 20(h): Prohibits parking in "places where it would obstruct the free flow of traffic." Parking in an intersection or pedestrian lane clearly obstructs traffic flow and disrupts the designated use of these spaces.
Section 21: Outlines specific "prohibited parking areas," which include "crosswalks" and "intersections."</t>
  </si>
  <si>
    <t>The first offence will result in a punishment of Php 2,000, the second offence Php 3,000, and the third offence Php 10,000.</t>
  </si>
  <si>
    <t>using a vehicle with unauthorized or non-standard warning devices is considered a traffic violation and can result in several potential consequences. Here's a breakdown of the relevant regulations and potential penalties:
Legal Basis:
Republic Act No. 4136 (Land Transportation and Traffic Code):
Section 5(g): Prohibits the use of "bells, sirens, whistles, or horns other than those required or allowed by law." This section can be interpreted to include unauthorized or non-standard warning devices as they can function similarly to prohibited devices.
Section 20(k): Prohibits the operation of motor vehicles with "defective or unauthorized accessories, devices, equipment, and parts." This section directly addresses the use of unauthorized or non-standard warning devices.</t>
  </si>
  <si>
    <t>In the Philippines, traffic signals are critical to road safety. Let's look at the significance of different signal lights:
Stable and Flashing Red Light:
When the traffic light becomes red, drivers must come to a complete stop.
Allow pedestrians to securely cross.
If there are no people or other cars and no signs banning it, you may turn right against the red light.
However, if you see a sign that reads "No Turn on Red," do not turn.
In summary, a red light indicates a stop.
Red Arrow Light:
Similar to a regular red light, a red light with an arrow indication indicates that you are not permitted to proceed in the direction indicated by the arrow.
You cannot turn against a red arrow light.
When the red arrow flashes, you must come to a complete stop before continuing.
Wait until the green arrow shows before proceeding.
Stable and Flashing Yellow Light:
The yellow light is commonly misunderstood.
It indicates that the red light (which implies "stop") is about to emerge.
If you find yourself in the midst of an intersection, slow down and carefully check for approaching traffic.
Drive safely before the red light appears.
Remember to stop (where safe) or slow down while not in an intersection.
Furthermore, Republic Act 10913, often known as the Anti-Distracted Driving Act of 2016, restricts drivers from using electronic and communication devices while their car is in motion or at a stop at a red light.</t>
  </si>
  <si>
    <t>Drivers found without an EWD face a P500 fine and licence confiscation.</t>
  </si>
  <si>
    <t>Driving a car with an unauthorised or poorly mounted motor vehicle licence plate costs P5,000.</t>
  </si>
  <si>
    <t>In the Philippines, driving a vehicle without a valid motor vehicle inspection certificate is a traffic violation and can result in several penalties. Here's a breakdown of the relevant regulations and potential consequences:
Legal Basis:
Republic Act No. 4136 (Land Transportation and Traffic Code):
Section 5(g): Prohibits the operation of motor vehicles "without a proper certificate of inspection." This section directly addresses the requirement for a valid motor vehicle inspection certificate.
Section 20(k): Prohibits the operation of motor vehicles with "defective or unauthorized accessories, devices, equipment, and parts." Arguably, a vehicle without a valid inspection certificate can be considered non-compliant with safety standards and therefore fall under this section.
LTO Regulations:
LTO Memorandum Circular No. 2016-020: This memorandum emphasizes the requirement for a "valid certificate of inspection" and includes it in the list of necessary documents for vehicle operation.
Penalties:
₱1,000 fine: This is the standard fine for driving a vehicle without a valid motor vehicle inspection certificate, as per LTO Memorandum Circular No. 2019-20. However, the actual penalty may vary depending on the specific circumstances and the discretion of the apprehending officer.
Vehicle apprehension: The vehicle might be apprehended by authorities until the situation is resolved and a valid inspection certificate is presented.</t>
  </si>
  <si>
    <t>In the Philippines, the Anti-Distracted Driving Act forbids the use of mobile communication devices while driving. Violating this legislation can result in fines, penalties, and even the suspension of driving privileges, adding legal implications to the inherent risks.</t>
  </si>
  <si>
    <t>In the Philippines, guidelines govern the use of motorcycles for passenger, cargo, and hazardous material transportation. Motorcycles are meant to carry only one rider and one passenger. Saddlebags or luggage carriers used for freight transport must be licenced by the Department of Trade and Industry. Hazard lights on motorbikes alert other road users to certain threats, such as when a vehicle breaks down or is involved in an accident that obstructs traffic. Additionally, the Motorcycle Safety Riding Act seeks to improve safety by regulating motorcycle registration and operation. Riders must register with LTO-accredited motorcycle clubs, which provide safety instruction and manage member registrations. These clubs must apply for recognition and certification from the Land Transport Office (LTO). While also upholding data privacy rules and supporting law enforcement agencies with investigations. Accredited motorcycle safety driving schools cooperate with motorcycle clubs to provide safety training that adheres to LTO criteria. Overall, safety is vital, and compliance with local legislation is critical for the safety of motorbike riders and other road users.</t>
  </si>
  <si>
    <t>Anyone who parks in a space reserved for PWDs without a handicapped parking placard, a handicapped person who allows a non-handicapped person to use his parking placard, or anyone who obstructs handicapped persons' access points to designated handicapped parking spaces will face a minimum fine of P10,000 and a maximum fine of P40,000.</t>
  </si>
  <si>
    <t>Tampering with or altering the engine or chassis number of a vehicle in the Philippines is a serious offense with significant legal consequences. Here's a breakdown of the relevant regulations and potential penalties:
Legal Basis:
Republic Act No. 6539 (Anti-Carnapping Act of 2016):
Section 12: This section explicitly states that it is "unlawful for any person to deface or otherwise tamper with the original or registered serial number of motor vehicle engines, engine blocks and chassis." This directly addresses the act of altering the vehicle's identification numbers.
Section 13: This section outlines the penalties for violating any provision of the Act, including:
Imprisonment for not less than two years nor more than six years.
A fine equal in amount to the acquisition cost of the motor vehicle, motor vehicle engine or any other part involved in the violation.
Section 16: This section emphasizes that transferring the identification plates or numbers of a "total wreck" (declared beyond repair) to another vehicle is also considered a violation, further highlighting the importance of preserving original vehicle identification numbers.</t>
  </si>
  <si>
    <t>Drivers of public utility vehicles face harsher penalties if they fail to require passengers to wear the compulsory seat belt. Drivers and operators face a ₱3,000 punishment for each infringement.</t>
  </si>
  <si>
    <t>using a private vehicle for hire in the Philippines without the necessary permits is a serious violation with potential penalties. Here's a summary:
Legal Basis:
Republic Act No. 4136 (Land Transportation and Traffic Code):
Section 7(a): States that "private motor vehicles shall not be used for hire." This section directly prohibits using an unregistered private vehicle for commercial purposes.
Section 7(c): Requires "motor vehicles used for hire to secure from the Land Transportation Commission or such other bodies as may be authorized by law the necessary certificate of public convenience or a special permit." This section emphasizes the need for proper permits for operating vehicles for hire.
Section 54(k): Empowers the Land Transportation Office (LTO) to "impose fines and penalties for violations..." of the Land Transportation and Traffic Code.
Penalties:
₱500 fine: This is the standard fine for using a private vehicle for hire without the necessary permits as per LTO Memorandum Circular No. 2016-020. However, the actual fine may vary depending on the specific circumstances and the discretion of the apprehending officer.
Suspension of Driver's License: In addition to the fine, the driver's license may be suspended for three months for the first offense and potentially longer for subsequent offenses.
Vehicle Impoundment: In some cases, the vehicle might be impounded by authorities until the situation is resolved and the appropriate permits are obtained.</t>
  </si>
  <si>
    <t>When is it legal to make a U-turn on a road with a "No U-Turn" sign?</t>
  </si>
  <si>
    <t>In the Philippines, you can't make a U-turn when there's a "No U-Turn" sign, on one-way streets, or when visibility is poor. However, if there's a "No Left Turn" sign at an intersection, you can make a U-turn if it's safe and there are no signs against it. Always be cautious and follow road rules for safety.</t>
  </si>
  <si>
    <t>In the Philippines, tampering with or altering a vehicle's odometer is a serious offense with significant legal consequences. Here's a breakdown of the relevant regulations and potential penalties:
Legal Basis:
Consumer Act of the Philippines (Republic Act No. 7394):
Section 55: Prohibits "any act or practice which has the effect of misleading, deceiving or confusing the consumer with respect to the nature, characteristics, quality or safety of goods or services." Tampering with the odometer falls under this category, as it misrepresents the vehicle's mileage and deceives potential buyers.
Republic Act No. 8424 (Consumer Product Safety and Hazardous Substance Act):
Section 15: Prohibits the "sale, offer for sale, or distribution" of any consumer product "known to be defective" or "which does not conform with the consumer product safety standards." In this context, a vehicle with a tampered odometer could be considered defective and its sale would violate this provision.</t>
  </si>
  <si>
    <t>According to the Land Transportation Office's list of traffic offences and fines, parking "within 4m from a fire hydrant" warrants a P200 punishment. Two hundred dollars. That is all it would cost you if you were foolish enough to block the path to a hydrant.</t>
  </si>
  <si>
    <t>What is the penalty for driving with defective or non-functional signal lights?</t>
  </si>
  <si>
    <t>Driving with defective or nonfunctional signal lights is punishable in the Philippines. Here are the applicable fines and consequences:
Careless driving (not using signal lights, not paying attention to road quality and visibility):
The first offence carries a punishment of Php 2,000.
The second offence carries a punishment of Php 3,000.
Subsequent Conviction: A substantial fine of Php 10,000.</t>
  </si>
  <si>
    <t>Driving without the required motor vehicle insurance is a serious matter. In the Philippines, it is mandated by law to have at least Compulsory Third-Party Liability (CTPL) insurance in order to drive. Here are the consequences if you’re caught driving without proper insurance:
CTPL Insurance: CTPL is the most basic car insurance required for driving in the Philippines. It covers financial obligations to third parties involved in an accident, including bodily injuries or death. However, it does not cover you, the insurance holder. You’ll be responsible for your own expenses out of pocket.
Legal Consequences: If you can’t pay for the damages you’ve caused, you may face legal charges. Even if you’re not at fault, driving without insurance can lead to legal trouble. The least charge you may face is reckless imprudence resulting in damage to property. If someone is killed, the situation becomes even more problematic.
Inconvenience: Repairing your car without insurance can be challenging. If you’re short on budget, your car might end up stuck in the garage or repair shop, causing disruptions to your daily activities.</t>
  </si>
  <si>
    <t>When is it permissible to park a vehicle within an intersection?</t>
  </si>
  <si>
    <t>Parking near or within an intersection is illegal. If you are considering parking a car on the corner of a light-controlled intersection, you should park no closer than 6 metres from the crossing's stop line.</t>
  </si>
  <si>
    <t>A driver of a motor vehicle who refuses to take the mandatory field sobriety and drug tests required by Sections 6, 7, and 15 of this Act will have his or her driver's licence confiscated and automatically revoked, in addition to any other penalties provided herein and/or other applicable laws.</t>
  </si>
  <si>
    <t>What is the penalty for operating a vehicle without a valid conductor's license for public utility vehicles?</t>
  </si>
  <si>
    <t>In the Philippines, operating a public utility vehicle without a valid conductor's license can lead to significant penalties. Those caught face a fine of ₱3,000 and may also be disqualified from obtaining a driver's license for a year. Ensuring all necessary credentials are up to date is essential to avoid these consequences. Safe driving and compliance with regulations are paramount for the well-being of all road users.</t>
  </si>
  <si>
    <t>In the Philippines, you can legally park on the left side of a one-way street under certain conditions. Here are the guidelines:
Parallel Parking: You may park your vehicle parallel to the curb, on the left side of the road, facing the same direction as traffic.
Exceptions: However, be aware of specific restrictions:
Near or inside intersections: Avoid parking close to intersections.
Blocking driveways: Do not obstruct driveways.
Double Parking: Avoid parking two vehicles side by side on the road.
Within crosswalks: Keep crosswalks clear.
Near overpasses or footbridges: Do not park too close to these structures.
On major national roads: Be cautious when parking on major roads.
Maintain the required distance from fire hydrants and fire station entrances: Keep at least 4 meters away from fire hydrants and 6 meters from the intersection of curb lines.</t>
  </si>
  <si>
    <t>Fines are levied in the Philippines for a variety of traffic infractions, such as driving with malfunctioning brake lights, driving without a licence, failing to wear a seatbelt, driving under the influence, and driving carelessly. Driving with non-functional brake lights carries a punishment of Php 1,078. Other violations result in fines ranging from Php 1,000 for not wearing a seatbelt to Php 500,000 for causing death while driving under the influence. Additional penalties include licence disqualification, suspension, or cancellation. Safe driving techniques, such as using turn signals and obeying traffic signs, are critical for avoiding accidents and fines.</t>
  </si>
  <si>
    <t>In the Philippines, guidelines dictate the safe transportation of passengers on motorcycles, emphasizing the importance of experienced riders and proper equipment. Before carrying a passenger, motorcyclists should ensure their bike is equipped with a suitable seat, foot pegs, and appropriate suspension. Providing a helmet for the passenger is mandatory, along with modifying the suspension to accommodate the extra weight. Clear instructions should be given to passengers before the ride, emphasizing safety measures such as proper seating and holding onto the rider. Passengers should always keep their feet on the foot pegs, even when stopped at intersections, and be aware of hot mufflers to prevent burns. Motorcyclists are advised to adjust their speed and braking distance to accommodate the added weight and ensure a safe journey for both themselves and their passengers.</t>
  </si>
  <si>
    <t>Medical</t>
  </si>
  <si>
    <t>What is the primary legal framework governing medical practice in the Philippines?</t>
  </si>
  <si>
    <t>Legal Overview In the Philippines, the Medical Act of 1959, as well as several ethical principles established by the Philippine Medical Association, define the standards for medical practice, including the provision of information to patients.</t>
  </si>
  <si>
    <t>What is the legal age for obtaining consent for medical treatment without parental or guardian approval?</t>
  </si>
  <si>
    <t>A minor 14 years of age or older who lives separately and apart from his or her parent, parents, or legal guardian, with or without their consent, and manages his or her own financial affairs, regardless of the source of his or her income, may consent to the provision of hospital, medical, dental, emergency health, and surgical care to himself or herself.</t>
  </si>
  <si>
    <t>Under what circumstances can medical records be disclosed without patient consent?</t>
  </si>
  <si>
    <t>Any health care provider or practitioner involved in the treatment of a patient, as well as those who have legitimate access to the patient's record, is not authorised to divulge any information to a third party who has no concern with the patient's care and welfare without his consent, except: a) when such disclosure will benefit public health and safety; b) when it is in the interest of justice and upon the order of a competent court; and c) when the patient waives in</t>
  </si>
  <si>
    <t>What laws regulate the establishment and operation of medical clinics and hospitals in the Philippines?</t>
  </si>
  <si>
    <t>In the Philippines, the establishment and operation of medical clinics and hospitals are governed by various laws aimed at ensuring quality healthcare and equitable access for all citizens. The Universal Health Care Act of 2019, also known as Republic Act No. 11223, emphasizes universal health coverage and protection against financial risks, promoting a comprehensive approach to healthcare. The Medical Act of 1959 (Republic Act No. 2382) outlines regulations for medical practitioners, including qualifications and licensing. Additionally, laws such as the Philippine Midwifery Act, the Law on Reporting of Communicable Diseases, and the Liberalized Treatment of Leprosy Act further contribute to healthcare regulation and disease management. President Rodrigo R. Duterte's initiatives to establish and upgrade local hospitals also play a crucial role in enhancing the country's healthcare system. Together, these laws aim to improve healthcare quality, accessibility, and effectiveness nationwide. 🇵🇭</t>
  </si>
  <si>
    <t>How is medical malpractice defined under Philippine law?</t>
  </si>
  <si>
    <t>Anyone who practices medicine in the Philippines without obtaining the required certificate of registration issued by the Board of Medical Examiners is deemed to be guilty of medical malpractice. For medical malpractice to be actionable, it must be proven that medical negligence exists.</t>
  </si>
  <si>
    <t>What are the legal requirements for obtaining and renewing a medical license in the Philippines?</t>
  </si>
  <si>
    <t>No person shall practise medicine in the Philippines unless he is at least twenty-one years of age, has passed the equivalent Board of Examination, and holds a valid Certificate of Registration issued by the Board of Medical Examiners.</t>
  </si>
  <si>
    <t>Can a patient refuse medical treatment even in life-threatening situations, and what legal implications does this have for healthcare providers?</t>
  </si>
  <si>
    <t>In the Philippines, patients are entitled to fundamental rights when accessing healthcare services, and healthcare providers must uphold these rights according to the law. Firstly, patients have the right to access healthcare without discrimination based on socioeconomic status, age, gender, or other personal factors. Secondly, they have the right to informed consent, which includes being fully informed about their medical condition, treatment options, and associated risks. Thirdly, patients have the right to privacy and confidentiality concerning their medical information. Furthermore, they have the right to receive quality care based on accepted medical standards and to refuse medical treatment if it conflicts with their beliefs or values. However, healthcare providers must balance these rights with their duty to provide safe and quality care, ensuring patients' well-being while respecting their autonomy and decision-making capacity. Understanding and upholding these rights and responsibilities are vital for both patients and healthcare providers in the Philippines.</t>
  </si>
  <si>
    <t>What is the role of the Professional Regulation Commission (PRC) in regulating medical practitioners?</t>
  </si>
  <si>
    <t>Its mandate is to govern and supervise the practice of professionals (except lawyers, who are handled by the Supreme Court of the Philippines) who make up the country's highly trained labour force.</t>
  </si>
  <si>
    <t>What legal provisions govern the confidentiality of patient information in healthcare settings?</t>
  </si>
  <si>
    <t>In the Philippines, patient privacy and confidentiality in healthcare settings are protected by legal provisions, ensuring the following key rights and responsibilities. Firstly, every individual has the right to access healthcare services without discrimination based on socioeconomic status, age, gender, or religion. Secondly, patients have the right to informed consent, requiring healthcare providers to provide comprehensive information about their medical condition and treatment options. Thirdly, patients' medical information must remain confidential, with healthcare providers legally obligated to safeguard patient privacy. Additionally, patients have the right to quality care, which includes proper diagnosis, evidence-based treatment, and respectful treatment by healthcare providers. Upholding these rights and responsibilities is essential for ensuring patient well-being and maintaining trust in the healthcare system.</t>
  </si>
  <si>
    <t>What are the legal requirements for obtaining informed consent from patients before medical procedures?</t>
  </si>
  <si>
    <t>In the Philippines, healthcare and medical law regulate the rights and responsibilities of patients and healthcare providers, particularly regarding informed consent before medical procedures. Firstly, every individual has the right to access healthcare services without discrimination based on various factors. Secondly, informed consent is a fundamental principle, ensuring patients are fully informed about their medical condition, treatment options, risks, and benefits before any procedure. Healthcare providers must provide accurate information in a language patients understand, allowing them to make informed decisions about their care. Additionally, patients have the right to privacy and confidentiality of their medical information, with healthcare providers legally obligated to maintain confidentiality. Lastly, patients are entitled to quality healthcare services that adhere to accepted medical standards, including proper diagnosis and respectful treatment. Honoring informed consent not only fulfills a legal requirement but also respects patients' autonomy and empowers them in their healthcare decisions.</t>
  </si>
  <si>
    <t>How does the law address the practice of telemedicine in the Philippines?</t>
  </si>
  <si>
    <t>Telemedicine law in the Philippines is evolving in response to technological improvements. Patient privacy, data security, healthcare provider licencing, and the legality of online medical consultations and prescriptions are among the most important legal problems.</t>
  </si>
  <si>
    <t>What legal protections exist for healthcare providers who render emergency medical assistance in good faith?</t>
  </si>
  <si>
    <t>In the Philippines, legal protections are in place to safeguard healthcare providers who offer emergency medical assistance in good faith. Republic Act No. 11712, enacted in April 2022, recognizes the critical role of healthcare workers during public health emergencies, providing mandatory benefits and allowances for their welfare. These benefits extend to both healthcare and non-healthcare workers exposed to threats like COVID-19. Additionally, Health &amp; Safety Code § 1799.106 states that individuals providing emergency medical services are not liable for actions performed in good faith. Republic Act No. 6615 mandates government and private hospitals to provide immediate emergency medical assistance to patients in critical condition. Furthermore, the Philippine Medical Association's Code of Ethics emphasizes physicians' duty to act in good faith and honesty, respecting patients' rights and providing timely information about their medical condition. These legal provisions collectively aim to protect healthcare providers acting in emergencies while upholding patient rights and safety.</t>
  </si>
  <si>
    <t>Under what circumstances can a medical practitioner be held criminally liable for negligence or malpractice?</t>
  </si>
  <si>
    <t>In the Philippines, medical practitioners can face criminal liability for negligence or malpractice under specific circumstances governed by various laws and regulations. Medical malpractice falls under both civil and criminal liabilities, with the Anti-Malpractice Act addressing such cases explicitly. This law stipulates punishment, including imprisonment, fines, or license cancellation, for practitioners found guilty of medical malpractice or illegal surgical practices. Medical negligence must be established for malpractice to be actionable, with practicing medicine without proper certification considered a form of malpractice. A notable case involving San Juan de Dios Hospital and two doctors highlights the consequences of negligent medical practice, emphasizing the importance of seeking legal advice promptly in cases of suspected malpractice. Each case is unique, and the specific circumstances determine the potential criminal liability of medical practitioners.</t>
  </si>
  <si>
    <t>What laws regulate the advertising and promotion of pharmaceutical products and medical services?</t>
  </si>
  <si>
    <t>Republic Act No. 3720, as amended by Republic Act 9711, or the Food and Drug Administration ("FDA") Act ("FDA Act"), governs the production, importation, distribution, sale, marketing, promotion, and advertisement of medicines or medications in the Philippines.</t>
  </si>
  <si>
    <t>How are medical disputes typically resolved under Philippine law?</t>
  </si>
  <si>
    <t>In the Philippines, medical disputes are addressed through a combination of legal principles, regulations, and alternative dispute resolution (ADR) mechanisms. The legal framework includes the Civil Code, the Medical Act of 1959, and other relevant laws governing medical practice, ensuring accountability and patient protection. Patients have rights to access healthcare without discrimination, informed consent, privacy, confidentiality, and quality care. ADR mechanisms, institutionalized by the Alternative Dispute Resolution Act of 2004, offer processes like arbitration and mediation to resolve disputes outside the formal court system, promoting party autonomy and speedy justice. Arbitration, a voluntary process facilitated by arbitrators, provides an alternative to court litigation. Steps for resolving disputes include open communication, mediation, compromise, and seeking legal advice when necessary.</t>
  </si>
  <si>
    <t>What legal provisions address organ transplantation and donation in the Philippines?</t>
  </si>
  <si>
    <t>In the Philippines, legal provisions govern organ transplantation and donation, primarily outlined in Republic Act No. 7170, known as the Organ Donation Act of 1991. This act authorizes the donation of human bodies or parts after death for specific purposes, defining key terms such as organ bank storage facility, decedent, donor, and part. It ensures that organ donation is conducted ethically and legally. Additionally, the Philippine Organ and Tissue Donation and Transplantation Board (POTDTB) oversees donation and transplantation efforts, while Administrative Order No. 2010-0019 establishes a National Program for Sharing of Organs from Deceased Donors. There are ongoing efforts to amend Republic Act No. 7170 to promote an "opt-out" system of organ donation and transplantation, emphasizing the right to health and introducing penalties for non-compliance.</t>
  </si>
  <si>
    <t>Can a patient access their medical records, and what legal rights do they have in this regard?</t>
  </si>
  <si>
    <t>In the Philippines, patients have the right to access their medical records, which are considered confidential and protected by legal guidelines. Governed by laws such as the Data Privacy Act of 2012 and the Medical Act of 1959, these regulations ensure the confidentiality of medical information while granting patients the right to access their own health records. To obtain their medical records, patients typically need to submit a formal written request to their healthcare provider. It's essential for patients to understand their rights under these laws, including how their medical data is protected and used. In case of any delays or refusals in accessing medical records, patients are encouraged to follow up with their healthcare provider to resolve any issues promptly.</t>
  </si>
  <si>
    <t>What legal obligations do healthcare providers have in reporting notifiable diseases to health authorities?</t>
  </si>
  <si>
    <t>In the Philippines, Republic Act No. 11332, also known as the "Mandatory Reporting of Notifiable Diseases and Health Events of Public Health Concern Act," mandates healthcare providers to report notifiable diseases and public health events promptly. This law aims to establish an efficient disease surveillance system to protect and promote public health. All public and private healthcare professionals, facilities, and laboratories are obligated to report such diseases and events to the Department of Health for timely response and control measures. The Department of Health and its local counterparts are responsible for implementing and maintaining the reporting system to safeguard public health and national security.</t>
  </si>
  <si>
    <t>How does the law regulate the prescription and dispensing of controlled substances by medical practitioners?</t>
  </si>
  <si>
    <t>In the Philippines, the regulation of prescription and dispensing of controlled substances by medical practitioners involves several key legal provisions. Republic Act No. 10918, the Philippine Pharmacy Act, modernizes and regulates pharmacy practice, emphasizing the role of pharmacists in healthcare services. Pharmacists are responsible for various activities, including preparing, compounding, and dispensing pharmaceutical products, ensuring adherence to quality and safety standards. Republic Act No. 5921, regulating the practice of pharmacy, sets standards for pharmaceutical education and aims to ensure pharmacist competence and ethical conduct, although it has been repealed by RA 10918. Board Regulation No. 1 Series of 2014 by the Dangerous Drugs Board (DDB) defines terms related to controlled substances and exempts certain dispensing activities by authorized practitioners, while other dispensing must comply with regulations. These legal provisions collectively govern the prescription and dispensing of controlled substances in the Philippines, ensuring quality, safety, and ethical standards in healthcare practice.</t>
  </si>
  <si>
    <t>What legal provisions govern the practice of alternative medicine or traditional healing in the Philippines?</t>
  </si>
  <si>
    <t>Because of the growing global demand for traditional medicine, many governments have gradually integrated regulation into their national policies. Republic Act No. 8423, or the "Traditional and Alternative Medicine Act (TAMA) of 1997," incorporates traditional and alternative medicine into our national health-care system.</t>
  </si>
  <si>
    <t>What is the legal significance of a Do-Not-Resuscitate (DNR) order in medical treatment?</t>
  </si>
  <si>
    <t>A Do-Not-Resuscitate (DNR) order is a legally recognized directive, typically signed by a physician at a patient's request, indicating that the patient does not wish to be resuscitated in the event of sudden cardiac arrest or respiratory failure. It grants terminally ill individuals control over their end-of-life decisions and is usually discussed during admission to a healthcare facility. Without a DNR order, healthcare providers will attempt life-saving measures in such situations. A DNR order explicitly states the patient's refusal of chest compressions, intubation, cardioversion, or IV medications during cardiac or respiratory arrest. It distinguishes between respiratory and cardiac arrest scenarios, with the former potentially leading to the latter if untreated. Ethically, a valid DNR order is legally binding, and healthcare providers should respect it. However, it does not imply a cessation of all treatments; other life-prolonging measures can still be administered. In the Philippines, as in many other countries, honoring a patient's DNR order respects their autonomy and ensures their wishes regarding resuscitation are respected.</t>
  </si>
  <si>
    <t>How are medical practitioners regulated in terms of continuing medical education and professional development?</t>
  </si>
  <si>
    <t>In the Philippines, medical practitioners' continuing medical education (CME) and professional development are regulated by specific guidelines and regulations. The Philippine Medical Association (PMA) has established the PMA Code for Continuing Medical Education, which outlines rules, regulations, and principles related to CME for physicians. This code covers concepts, accreditation guidelines, and the role of the PMA Commission on Continuing Medical Education. Additionally, the Professional Regulation Commission (PRC) oversees the regulation of various professions, including medicine, ensuring that practitioners meet specific requirements and maintain professional standards. CME is crucial for physicians to stay updated with medical advancements and enhance their skills for better patient care. While regulatory bodies mandate CME credits annually, participation in professional development ultimately rests on the personal responsibility of each physician. Overall, the Philippines emphasizes CME as integral to medical practice, promoting lifelong learning and excellence in healthcare.</t>
  </si>
  <si>
    <t>What legal rights do patients have in filing complaints against healthcare providers for substandard care?</t>
  </si>
  <si>
    <t>In the Philippines, patients hold important legal rights concerning healthcare services and filing complaints against substandard care. These rights include the right to access healthcare without discrimination based on socioeconomic status or other factors, the right to informed consent ensuring full understanding of medical procedures, risks, and alternatives, the right to privacy and confidentiality of medical information, and the right to receive quality care meeting accepted medical standards. Patients must be treated with dignity and respect, and healthcare providers are obligated to provide accurate information and maintain confidentiality. Adhering to these rights and responsibilities is essential for the delivery of safe and quality healthcare services in the Philippines.</t>
  </si>
  <si>
    <t>Can a patient request a second opinion, and what legal considerations surround this request?</t>
  </si>
  <si>
    <t>In the Philippines, patients hold significant rights concerning healthcare, including access to services without discrimination, informed consent, privacy, and quality care. Additionally, patients have the right to seek a second opinion from another healthcare provider, which is often encouraged and respected by medical professionals. Seeking a second opinion is seen as a means to enhance understanding and informed decision-making, rather than a breakdown in the doctor-patient relationship. Overall, these rights empower patients to make informed choices about their healthcare.</t>
  </si>
  <si>
    <t>What legal protections exist for medical practitioners who report unethical or illegal practices within their institutions?</t>
  </si>
  <si>
    <t>In the Philippines, medical practitioners have a duty to report unethical or illegal practices within their institutions to protect the health and well-being of patients. The Philippine Medical Association's Code of Ethics encourages physicians to expose such practices. Whistleblower protection laws safeguard individuals who report wrongdoing from retaliation or adverse consequences. Recent court rulings emphasize the importance of ethical conduct in healthcare institutions. Additionally, doctors are generally protected from legal liability when acting ethically within their professional responsibilities. Encouraging transparency and accountability benefits both patients and the healthcare system.</t>
  </si>
  <si>
    <t>Under what circumstances can a medical practitioner be subjected to disciplinary action by the Professional Regulation Commission?</t>
  </si>
  <si>
    <t>In the Philippines, medical practitioners can face disciplinary action by the Professional Regulation Commission (PRC) for various reasons, including medical malpractice, sexual misconduct, patient neglect, improper prescription of drugs, operating below accepted standards, substance abuse, and unethical conduct. The PRC investigates complaints and conducts hearings to determine appropriate sanctions, which may include license suspension, revocation, fines, or other penalties. It's essential for healthcare professionals to uphold high standards of care and ethics to avoid such consequences.</t>
  </si>
  <si>
    <t>How are medical practitioners held accountable for breaches of patient confidentiality?</t>
  </si>
  <si>
    <t>In the Philippines, medical practitioners are held accountable for breaches of patient confidentiality through civil, criminal, and administrative penalties, including fines, criminal charges, and license revocation. To prevent such breaches, health institutions implement security measures such as ethical reminders, access control, physical access controls, non-disclosure agreements, and authorized disclosure protocols. These measures are crucial for maintaining trust between patients, healthcare providers, and authorities, particularly during critical situations like the COVID-19 pandemic.</t>
  </si>
  <si>
    <t>What legal provisions address the role and responsibilities of medical experts in court proceedings?</t>
  </si>
  <si>
    <t>In the Philippines, medical malpractice lawsuits are controlled principally by the Civil Code, the Medical Act of 1959, and other applicable laws and regulations. These laws define the obligations and responsibilities of healthcare practitioners, patients' rights, and legal remedies in cases of medical negligence.</t>
  </si>
  <si>
    <t>Can a patient refuse to undergo medical tests, and what are the legal implications for healthcare providers?</t>
  </si>
  <si>
    <t>In the Philippines, patients have the right to refuse medical treatment based on their autonomy and personal beliefs. Healthcare providers must respect these decisions, fully inform patients about treatment options, risks, and benefits, and document refusals in medical records. However, there are exceptions, such as in cases of infectious diseases or emergencies. Hospitals may face sanctions for refusing patients without proper assessment and advice. Patient rights and responsibilities are fundamental for maintaining ethical doctor-patient relationships.</t>
  </si>
  <si>
    <t>What laws regulate the importation, distribution, and sale of medical devices in the Philippines?</t>
  </si>
  <si>
    <t>Republic Act No. 9711, also known as the "Food and Drug Administration Act of 2009," expressly prohibits the production, importation, exportation, sale, offering for sale, distribution, transfer, non-consumer use, promotion, advertising, or sponsorship of health products (including medical devices and supplies) without proper authorization.</t>
  </si>
  <si>
    <t>How does the law address the issue of medical consent for minors seeking reproductive health services?</t>
  </si>
  <si>
    <t>In the Philippines, the Responsible Parenthood and Reproductive Health (RH) Act addresses medical consent for minors seeking reproductive health services. Minors are required to obtain parental consent for family planning services, but the Supreme Court struck down exceptions for minors who already have children or had a miscarriage. This requirement has sparked controversy, as some find it unrealistic and advocate for comprehensive sexuality education (CSE) to address teenage pregnancy effectively. Despite the RH law being active since 2012, comprehensive sexuality education is yet to be fully implemented in schools. Ongoing discussions focus on balancing the need for parental consent with preventing repeat pregnancies and providing accurate sexual health education.</t>
  </si>
  <si>
    <t>What legal considerations apply to medical research involving human subjects in the Philippines?</t>
  </si>
  <si>
    <t>In the Philippines, medical research involving human subjects is regulated by ethical guidelines and legal frameworks to protect participants' well-being. The 2022 National Ethical Guidelines for Research by the Philippine Health Research Ethics Board (PHREB) emphasizes dignity and rights, requiring researchers to respect informed consent, confidentiality, and privacy. The Philippine National Health Research System (PNHRS) Law mandates adherence to universal principles, overseen by the Philippine Council for Health Research and Development (PCHRD). Researchers must obtain informed consent, seek ethical approval, and ensure transparent reporting while adhering to broader healthcare and medical laws. These measures uphold ethical standards and safeguard participants' rights in medical research in the Philippines.</t>
  </si>
  <si>
    <t>What legal obligations do healthcare providers have in notifying patients about the risks and benefits of medical treatments?</t>
  </si>
  <si>
    <t>Rights of Healthcare Providers:
Right to provide care based on professional standards
Healthcare practitioners have the right to offer care in accordance with established medical standards and best practices. This implies they have the freedom to make clinical decisions, prescribe appropriate therapies, and deliver care that is in their patients' best interests, without excessive interference from outside sources. Healthcare providers must be able to use their professional judgement based on their expertise and knowledge to ensure that patients receive safe and effective care.
Right to respect and professional courtesy.
Patients, families, and coworkers have the right to treat healthcare providers with respect and professionalism. This involves being treated in a way that is devoid of bias, harassment, and violence.Healthcare providers should also be allowed to operate in a safe and conducive setting where they can deliver the best care possible.
Responsibilities of Healthcare providers:
Provide Safe and Quality Care.
Healthcare professionals are responsible for providing safe and high-quality care to their patients. This involves adhering to professional norms, following evidence-based rules, and working within their area of experience and ability. Healthcare providers should also constantly refresh their knowledge and abilities to guarantee that they are delivering the greatest treatment to their patients.
Respect the patients' rights and autonomy.
Healthcare practitioners are responsible for respecting and upholding their patients' rights and autonomy. This includes gaining informed permission, maintaining patients' privacy and confidentiality, and respecting their healthcare preferences and decisions. Healthcare providers should also communicate with patients in a sympathetic and courteous manner, involving them in decision-making to the greatest extent possible.
Communicate effectively with patients.
Healthcare providers are responsible for communicating effectively with their patients. This includes giving patients information in a language and manner that they can comprehend, listening to their concerns, and answering their questions and uncertainties. Healthcare practitioners should also give patients clear information about treatment plans, drugs, and self-care measures, and encourage them to ask questions and seek clarification.
Collaborate with colleagues and healthcare teams.
Healthcare providers are responsible for collaborating with their colleagues and the healthcare team to ensure that patients receive coordinated and complete care. This includes good communication, the exchange of pertinent information, and collaboration to establish and implement suitable treatment strategies. To improve patient care, healthcare providers should appreciate and recognise the contributions of other healthcare professionals, as well as work collaboratively and transdisciplinary.</t>
  </si>
  <si>
    <t>Under what circumstances can a medical practitioner be held liable for failing to obtain informed consent?</t>
  </si>
  <si>
    <t>1. When the patient is of legal age and in good mind:
The legislation protects the patient's right to self-determination, which includes the right to be informed about any proposed medical operation and its potential risks and advantages before proceeding with it. (Patient Rights, Department of Health)
2. When the surgery is not an emergency.
In emergency situations, informed permission is not required if the patient is in immediate danger of physical injury or death and postponing treatment would be detrimental. (G.R. No. 234851)
3. When the information withheld is material.
The information provided to the patient should be clear, truthful, and substantial, covering topics such as the nature of the surgery, potential risks and adverse effects, alternative treatment alternatives, and the likelihood of success. (Patient Rights, Department of Health)
The suppressed information must be material, which means that if the patient knew about it, it would have had a major impact on their decision-making.
4. When the patient is harmed as a result:
To be found accountable, a medical practitioner must have caused injury to the patient as a result of the lack of informed consent. This harm may be physical, emotional, or psychological.</t>
  </si>
  <si>
    <t>How are conflicts of interest addressed in the medical profession, particularly in research and patient care?</t>
  </si>
  <si>
    <t>Managing conflicts of interest (COI) is critical in the Philippine medical field for maintaining patient trust and ethical procedures. Here's how it's addressed in both research and clinical care:
General Principles:
Transparency: Doctors must disclose any conflicts of interest that may influence their judgement. This can involve financial ties to pharmaceutical corporations, ownership of medical equipment, or personal relationships with research sponsors. (Philippine Medical Association Code of Ethics).
Patient's Best Interest: Regardless of the conflict of interest, decisions in research and patient care must prioritise the patient's health. Financial gain or other personal interests should not influence professional judgement.
Specific Measurements:
Research:
Disclosure Requirements: When submitting study proposals to ethics committees or publishing in medical publications, researchers must state any conflicts of interest.
Blind Studies: In some cases, "blind studies" are done in which researchers do not know which therapy group a patient belongs to, decreasing bias if researchers have financial ties to a particular treatment.
Independent analyse Boards: Independent ethics committees analyse research proposals to assess conflicts of interest and ensure ethical research practices.
Patient Care:
Disclosure to Patients: Doctors should educate patients about potential conflicts of interest and how these may influence their recommendations. Patients can then make informed decisions about their treatment options.
Referral Systems: If a doctor has a serious conflict of interest that may impair their objectivity, they should refer the patient to another doctor to prevent compromising care.
Institutional Policies: Hospitals and medical institutions frequently have their own COI policies that detail disclosure methods and management techniques.</t>
  </si>
  <si>
    <t>What legal provisions govern the use of medical marijuana or cannabis for medicinal purposes?</t>
  </si>
  <si>
    <t>As of today, March 7, 2024, the Philippines has no legal regulations that clearly restrict the use of medical marijuana or cannabis for medicinal purposes.
While the Comprehensive Dangerous Drugs Act of 2002 (Republic Act No. 9165) defines cannabis as a Schedule I narcotic, restricting its use to "medical and scientific purposes," there are currently no clear laws defining the legal framework for accessing or using medicinal cannabis.
However, various attempts have been made to legalise medical cannabis in the Philippines:
House Bill 180, popularly known as the "Philippine Compassionate Medical Cannabis Act," has been re-filed for 2023. This measure would legalise and regulate the use of medical cannabis for particular medical ailments.
House Bill 6783, proposed in 2023, seeks to eradicate cannabis.</t>
  </si>
  <si>
    <t>Can a patient request a copy of their medical records, and what legal rights do they have in this regard?</t>
  </si>
  <si>
    <t>In the Philippines, the right to access personal medical records is protected by several laws, notably the Data Privacy Act of 2012 and the Medical Act of 1959. These rules protect the confidentiality and privacy of medical records while allowing patients to access their own health information.</t>
  </si>
  <si>
    <t>How does the law address medical tourism and the treatment of foreign patients in the Philippines?</t>
  </si>
  <si>
    <t>Since 2006, a bill was approved in the Philippine Congress that established the Medical Tourism Bureau, prompting the country to begin marketing health tourism. The first few years were extremely successful, propelling the Philippines to the top of the industry's list of preferred destinations. Health travellers visiting the country find this to be true, as they are supported by highly skilled, English-speaking, and Western-trained medical personnel in over 2,000 hospitals.
More than 313 health education institutes in the Philippines produce health professionals, with 60% to 80% going on to work or train overseas and get international medical certificates. In fact, Filipinos make up the second largest group of international students who have graduated from medical schools in the United States. Several of these professionals who return home to practice their profession would bring back the latest in technologies, techniques, and expertise and build their own world-class medical practice</t>
  </si>
  <si>
    <t>What legal provisions regulate the practice of medical ethics committees in healthcare institutions?</t>
  </si>
  <si>
    <t>The Philippines doesn't have a single law governing medical ethics committees (MECs) in healthcare institutions. However, several regulations and guidelines shape their existence and work.
The Department of Health (DOH) requires functional MECs in specific hospitals and outlines their core duties, like reviewing research and ensuring informed consent. Additionally, the DOH provides detailed guidance on MEC composition, structure, and operations, emphasizing ethical principles in healthcare decisions.
The Philippine Medical Association (PMA) sets ethical standards for doctors, including guidelines on research and informed consent. While not directly addressing MECs, it lays the foundation for ethical decision-making, crucial for MEC activities.
The Department of Science and Technology (DOST) has the Philippine Health Research Ethics Board (PHREB) which accredits MECs, ensuring they have the expertise and follow ethical research principles.
Finally, while not mentioning MECs directly, the "Universal Health Care Act" emphasizes patient rights and informed consent, which are central concerns for these committees.
It's important to note that specific regulations may vary depending on the healthcare institution, and legal interpretations and future revisions can influence the legal landscape surrounding MECs in the Philippines.</t>
  </si>
  <si>
    <t>Medical professionals in the Philippines face consequences for breaking patient confidentiality, depending on the seriousness of the breach and its impact.
Civil Issues: Patients can sue for damages, including emotional distress, reputational harm, or even financial losses if the information revealed caused discrimination or other negative consequences.
Disciplinary Action: The regulatory body (PRC) can impose sanctions, from reprimands to license revocation, on doctors who violate the Code of Professional Conduct, which includes confidentiality.
Potential Criminal Charges: In some cases, depending on the information disclosed and the intent, breaches can lead to criminal charges. Revealing a patient's HIV/AIDS status without consent could be a violation of the Anti-Discrimination Act.
Several aspects strengthen holding medical professionals accountable:
Constitutional Right: The Philippine Constitution guarantees the right to privacy, including the confidentiality of communication and correspondence.
Legal Protections: Laws like the Civil Code and the Data Privacy Act recognize the right to privacy and information privacy, offering legal recourse for those whose privacy is violated.
Ethical Codes: Both the PMA Code of Ethics and the Code of Ethics of the Board of Medicine emphasize the importance of maintaining patient confidentiality.</t>
  </si>
  <si>
    <t>What legal rights do patients have in obtaining a second opinion from another medical professional?</t>
  </si>
  <si>
    <t>Philippine law strongly supports your right to seek a second opinion from another doctor. Here's why:
Freedom to Choose: You have the legal right to choose your healthcare provider, including consulting another doctor for a second opinion. (DOH)
Making Your Own Decisions: You have the right to make informed choices about your healthcare. A second opinion allows you to compare treatment options and gather more information before deciding. (DOH)
Informed Consent: To give valid consent for treatment, you need to understand your condition, possible treatments, and their risks and benefits. A second opinion can help you gain a clearer understanding.
Here's how this right is protected:
Doctors cannot stop you: Doctors cannot withhold your medical records or pressure you to avoid seeking a second opinion. Hospitals and clinics must respect your right as well.
You pay for the extra consult: While you have the right to a second opinion, you are typically responsible for the costs associated with seeing another doctor.</t>
  </si>
  <si>
    <t>In the Philippines, proving criminal negligence against a medical professional is difficult. To succeed, you'd need to show:
The doctor deviated from standard care: This means they made a mistake a qualified doctor wouldn't have in a similar situation. Expert witnesses often help establish this.
Their negligence directly caused harm: You must prove, beyond a reasonable doubt, that the doctor's mistake directly led to your injury or death. This burden of proof is higher than in civil cases.
A specific crime applies: Depending on the severity of the harm, potential charges include causing physical injuries or even homicide through recklessness, or falsifying medical records to cover up negligence.
While the 1959 Medical Malpractice Act outlines penalties for malpractice, it's not purely criminal. It's crucial to remember the difference between civil and criminal cases. Civil cases, with a lower burden of proof, aim for compensation, while criminal cases seek punishment.</t>
  </si>
  <si>
    <t>Can healthcare providers refuse treatment based on a patient's non-compliance with prescribed medical regimens?</t>
  </si>
  <si>
    <t>Right to refuse treatment.
Patients have the freedom to refuse medical treatment, except in circumstances when it is permitted by law. This means that patients have the right to make their own healthcare decisions and can refuse treatments that they don't want or that contradict their personal views or values. However, there are some limitations to this right, such as when the patient's condition is life-threatening or when refusing treatment will cause harm to others. Healthcare practitioners must respect and evaluate the patient's decision, as well as provide adequate information and assistance to assist patients in making educated healthcare decisions.</t>
  </si>
  <si>
    <t>In the Philippines, several legal provisions protect healthcare providers who offer emergency medical aid in good faith:
1. RA 11712: This 2022 law acknowledges the importance of healthcare workers during public health emergencies and offers them mandatory benefits and allowances.
2. Health &amp; Safety Code § 1799.106: This section protects individuals like doctors, nurses, and emergency responders from liability for actions taken in good faith while providing emergency medical services.
3. RA 6615: This law mandates all licensed hospitals and clinics to provide immediate emergency medical assistance to patients in critical situations.
4. Philippine Medical Association Code of Ethics: This code emphasizes the importance of good faith and honesty in medical practice, including respecting patient rights regarding treatment decisions.</t>
  </si>
  <si>
    <t>In the Philippines, the law strictly regulates the prescription and dispensing of controlled substances by medical practitioners to prevent misuse and dependence. Here's a breakdown of the key legal provisions:
1. Comprehensive Dangerous Drugs Act of 2002 (Republic Act No. 9165):
This primary law classifies various drugs as controlled substances based on their potential for abuse and dependence.
It outlines the requirements for healthcare professionals to register with the Philippine Drug Enforcement Agency (PDEA) to be authorized to prescribe and dispense controlled substances.
2. Dangerous Drugs Board (DDB) Regulations:
The DDB, under the PDEA, issues specific regulations for controlled substances, including:
Schedules: Classify controlled substances into different categories based on their severity of abuse potential.
Prescription requirements: Specify the types of prescription forms needed for each schedule of controlled substances.
Recordkeeping: Mandate healthcare professionals to maintain detailed records of controlled substances prescribed and dispensed.
3. Department of Health (DOH) Regulations:
The DOH issues additional regulations focusing on the appropriate use of controlled substances in medical practice, including:
Guidelines for prescribing: Emphasize the need for legitimate medical reasons and adherence to established treatment protocols.
Continuing medical education: Promote training for healthcare professionals on responsible prescribing practices and the dangers of drug abuse.
4. Professional Regulations Commission (PRC):
The PRC, which regulates the practice of medicine, can impose disciplinary actions on doctors who violate regulations or engage in unethical practices related to controlled substances. These actions can range from reprimand to license revocation.
5. Other Relevant Laws:
Republic Act No. 5921 (Pharmacy Law): Regulates the practice of pharmacy and mandates that only licensed pharmacists can dispense controlled substances upon receiving a valid prescription from a registered healthcare professional.
Republic Act No. 6425 (Dangerous Drugs Act): While repealed by RA 9165, some provisions remain relevant, such as penalties for illegal possession or distribution of controlled substances.
Overall, a comprehensive legal framework governs the prescription and dispensing of controlled substances in the Philippines. This framework aims to ensure safe and responsible use of these medications while preventing their misuse and illegal diversion.</t>
  </si>
  <si>
    <t>What legal considerations apply to the use of medical data for research and academic purposes?</t>
  </si>
  <si>
    <t>In the Philippines, using medical data for research requires careful consideration of several legal aspects to safeguard patient privacy and data security.
Firstly, the right to privacy, enshrined in the Constitution and protected by the Data Privacy Act, necessitates obtaining informed consent from individuals before using their medical data in research. Additionally, research institutions must establish review boards to ensure ethical conduct and participant well-being.
Whenever possible, data should be anonymized or pseudonymized to minimize privacy risks. Furthermore, researchers are responsible for implementing robust security measures to protect the data they collect and store. Finally, specific regulations from the Department of Health and the Food and Drug Administration might apply depending on the research type and data used.</t>
  </si>
  <si>
    <t>Right to Refuse Treatment in the Philippines:
Yes, in the Philippines, patients who can make their own decisions have the freedom to refuse medical care, even in life-threatening situations. This right is supported by various beliefs.
Individuals have the right to self-determination, which includes the ability to refuse treatment that they believe is unwanted, even if it contains dangers.
Respect for Patient Autonomy: Healthcare providers must respect the patient's decision-making abilities and refrain from imposing their own views or ideas.
Informed Consent: For valid informed consent, patients must understand their ailment, treatment alternatives, and the risks and advantages of each. This allows individuals to make informed decisions, such as declining therapy.
In the Philippines, patients possess certain fundamental entitlements when seeking healthcare services. These rights have significant legal implications for healthcare providers:
Right to Healthcare Access:
Every person is entitled to healthcare services without discrimination, regardless of their financial status or personal attributes.
Healthcare providers must ensure equal opportunities for all individuals to receive necessary medical care.
Right to Informed Consent:
Patients have the right to receive comprehensive information about their medical condition, treatment options, associated risks, benefits, and alternatives before undergoing any medical procedure.
Informed consent respects patients' autonomy and capacity to make decisions, necessitating healthcare providers to offer accurate information in a language understandable to the patient.
Right to Privacy and Confidentiality:
Patients' medical information must be kept confidential, with healthcare providers legally obligated to safeguard their privacy.
Disclosure of medical information should only occur to authorized individuals for healthcare-related purposes.
Right to Quality Care:
Patients are entitled to receive quality healthcare services adhering to accepted medical standards, including accurate diagnosis, appropriate treatment, and follow-up care.
Dignity and respect from healthcare providers are paramount, irrespective of the patient's background or condition.
Right to Refuse Medical Treatment:
Patients have the autonomy to refuse medical treatment, even in life-threatening situations, if it conflicts with their personal beliefs or values.
However, legal constraints exist; for instance, if a court determines that a patient lacks decisional capacity, their refusal may be overridden.</t>
  </si>
  <si>
    <t>Under Philippine law, disputes related to medical issues are typically resolved through a combination of legal principles, regulations, and alternative dispute resolution (ADR) mechanisms. Here's an overview:
Legal Framework:
Civil Code: Medical malpractice cases are considered under tort law, with elements of criminal law sometimes involved. These laws outline the duties of healthcare professionals and the rights of patients.
Medical Act of 1959: This legislation specifically addresses medical practice and offers guidelines for healthcare professionals.
Other Laws and Regulations: Various laws and regulations govern medical practice to ensure accountability and protect patients' rights.
Patients' Rights:
Access to Healthcare: Every person has the right to healthcare services without discrimination based on socioeconomic status or other characteristics. Denying services due to inability to pay is not allowed.
Informed Consent: Patients have the right to comprehensive information about their medical condition and treatment options before any intervention.
Privacy and Confidentiality: Medical information must be kept confidential, with healthcare providers obligated to protect patients' privacy.
Quality Care: Patients have the right to receive quality healthcare services following accepted medical standards.
Alternative Dispute Resolution (ADR):
The Alternative Dispute Resolution Act of 2004 promotes the use of ADR methods such as arbitration, mediation, and conciliation.
ADR facilitates quicker resolution outside the formal court system, promoting party autonomy and relieving court congestion.
Accredited ADR providers play a crucial role in facilitating resolution.
Arbitration:
Arbitration is a voluntary process where arbitrators resolve disputes by rendering awards, serving as an alternative to court litigation.
Parties can agree to arbitration through contractual clauses or mutual consent.
Steps for Resolving Disputes:
Open Communication: Transparent communication between parties is crucial.
Mediation: Involving a neutral mediator can help find common ground.
Compromise: Parties should be willing to reach a middle ground.
Seek Legal Advice: Complex disputes may require legal counsel.</t>
  </si>
  <si>
    <t>What laws govern the rights of patients to access their medical records and information?</t>
  </si>
  <si>
    <t>Under what circumstances can medical practitioners be subjected to administrative sanctions by health regulatory bodies?</t>
  </si>
  <si>
    <t>In the Philippines, medical practitioners are subject to administrative sanctions by health regulatory bodies in various scenarios:
Breach of Accreditation Rules:
Healthcare providers must adhere to accreditation guidelines established by entities like PhilHealth. Failure to comply, such as violating procedural rules or accreditation warranties, can lead to sanctions.
Non-Adherence to Healthcare Laws:
Compliance with laws like the Universal Health Care Act, Data Privacy Act, and the Medical Act of 1959 is mandatory for medical practitioners. Violations may result in administrative penalties.
Ethical Misconduct:
The Code of Ethics for Physicians delineates professional duties. Any infringement of these ethical standards can trigger disciplinary measures by regulatory bodies.
Quality of Care Concerns:
Sanctions may ensue if a practitioner delivers substandard care, commits malpractice, or infringes upon patient rights. Regulatory bodies investigate complaints regarding patient safety, negligence, or ethical lapses.
Fraudulent Activities:
Practitioners engaged in fraudulent practices like submitting false claims or overbilling face penalties. Regulatory bodies monitor billing practices rigorously and probe into irregularities.
Failure to Meet Reporting Obligations:
Medical professionals are obliged to promptly report incidents such as notifiable diseases or adverse events to health authorities. Neglecting reporting requirements may lead to sanctions.
Unprofessional Conduct:
Instances of unprofessional behavior like harassment, substance abuse, or involvement in criminal activities can result in disciplinary actions. Regulatory bodies uphold professional standards and hold practitioners accountable for their actions.</t>
  </si>
  <si>
    <t>What legal obligations do healthcare providers have in reporting cases of medical fraud or insurance abuse?</t>
  </si>
  <si>
    <t>In the Philippines, healthcare providers have legal responsibilities concerning reporting instances of medical fraud and insurance abuse. Here are the key points:
Philippine Health Insurance Corporation (PhilHealth):
Upcasing of Claims: PhilHealth warns against unethical practices such as upcasing claims, where the severity of a patient's condition is exaggerated to obtain higher reimbursements.
Collusion with Patients: There have been reports of collusion between healthcare providers and patients, inflating minor symptoms to claim COVID-19 cases for maximum benefits.
Reporting and Vigilance: PhilHealth encourages direct reporting of illegal activities by patients and families. The public is urged to be vigilant and provide evidence for investigations.
Confidentiality and Protection: Whistleblowers reporting fraud are promised complete confidentiality and legal protection.
Medical Malpractice Laws:
Medical malpractice cases are governed by the Civil Code, Medical Act of 1959, and other relevant legislation.
These laws specify the duties and obligations of healthcare professionals, the rights of patients, and the legal recourse in cases of medical negligence.
Temporary Suspension of Payment of Claims (TSPC):
PhilHealth has instituted a temporary suspension of claims payment against healthcare providers under investigation for fraudulent claims.
This measure aims to combat fraudulent practices and safeguard the National Health Insurance fund's integrity.
Reporting Fraudulent Acts:
The public can report fraudulent acts by emailing PhilHealth at whistleblower@philhealth.gov.ph, actioncenter@philhealth.gov.ph, or opceo@philhealth.gov.ph.
Reports can also be submitted via mail to the Office of the Corporate Secretary at Room 1711, 17th Floor Citystate Centre, 709 Shaw Blvd., Pasig City.</t>
  </si>
  <si>
    <t>In the Philippines, patients possess significant legal rights concerning lodging complaints against healthcare providers for inadequate care. Here are these rights outlined:
Right to Access Healthcare:
Every individual is entitled to timely and suitable healthcare services without discrimination based on financial status, age, gender, religion, or any other factor.
Healthcare services must be provided promptly and appropriately, ensuring that no one is denied care due to personal characteristics.
Right to Informed Consent:
Patients have the right to comprehensive information about their medical condition, treatment options, associated risks, benefits, and alternatives before any medical procedure.
Informed consent upholds patients' autonomy and capacity to make decisions, necessitating healthcare providers to provide clear and complete information in a language and manner understandable to the patient.
Right to Privacy and Confidentiality:
Patients are entitled to privacy and confidentiality concerning their medical information.
Healthcare providers are legally obligated to safeguard patient information and should only disclose medical data to authorized individuals for healthcare purposes.
Right to Quality Care:
Patients have the right to receive healthcare services of high quality, adhering to established medical standards.
This encompasses accurate diagnosis, appropriate treatment, and follow-up care based on evidence-based guidelines and best practices.
Dignity and respect should be extended to patients by healthcare providers, irrespective of their background or health condition.
Understanding and upholding these rights and responsibilities are essential for ensuring the provision of safe and high-quality healthcare services in the Philippines.</t>
  </si>
  <si>
    <t>In the Philippines, patients possess essential rights concerning their access to healthcare services. These rights include:
Right to Access Healthcare:
All individuals are entitled to receive timely and appropriate healthcare services without facing discrimination based on various factors like socioeconomic status or personal characteristics.
Right to Informed Consent:
Patients have the right to receive comprehensive information regarding their medical condition, treatment options, associated risks, benefits, and alternatives before undergoing any medical procedure. This ensures that patients can make informed decisions about their healthcare.
Right to Privacy and Confidentiality:
Patients have the right to privacy and confidentiality regarding their medical information. Healthcare providers are obligated to maintain confidentiality and only disclose medical information to authorized individuals for healthcare purposes.
Right to Quality Care:
Patients have the right to receive healthcare services that meet established medical standards, including accurate diagnosis, appropriate treatment, and follow-up care based on evidence-based guidelines. Additionally, patients should be treated with dignity and respect by healthcare providers, regardless of their background or health condition.
Regarding second opinions:
While patients do not have a legal entitlement to a second opinion, they have the option to request one.
Seeking a second opinion should not be perceived as a breakdown in the doctor-patient relationship but rather as a means for patients to gather additional insights or confirm their initial diagnosis or treatment plan.
Typically, the second physician's opinion will either support the initial opinion or offer supplementary perspectives to address the patient's concerns.</t>
  </si>
  <si>
    <t>What laws regulate the use of electronic health records and information systems in the medical field?</t>
  </si>
  <si>
    <t>In the Philippines, the utilization of electronic health records (EHRs) and information systems in the medical sector is governed by several legislative measures:
Universal Health Care Act (Republic Act No. 11223):
Enacted in 2019, this law aims to establish universal health care for all Filipinos, bringing reforms to the healthcare system and allocating funds for its implementation.
Pertinent provisions related to EHRs and information systems mandate that health service providers and insurers maintain a comprehensive health information system, including electronic health records and prescription logs, adhering to Department of Health (DOH) standards. Regular electronic updates of this data are required.
The law emphasizes integrated and comprehensive approaches to health literacy, living conditions, and protection from health hazards, prioritizing people-centered health service delivery.
Data Privacy Act of 2012:
Although not specific to healthcare, this law regulates the processing of personal data, including health information. It ensures the confidentiality and privacy of medical records while granting patients access to their health data.
Medical Act of 1959:
While not directly addressing EHRs, this legislation sets forth the ethical and professional standards for medical practitioners in the Philippines, indirectly influencing how patient information and records are handled.
Hospital Policies and Guidelines:
Individual hospitals and healthcare institutions often establish their own protocols concerning EHRs and information systems, including measures for data security, access control, and documentation practices.
In essence, the Universal Health Care Act significantly influences the adoption of EHRs and information systems in the Philippines, emphasizing accessibility, quality, and the protection of patient data. Additionally, the Data Privacy Act ensures the confidentiality of health records and grants patients access to their information. Internal hospital policies further ensure the effective and secure utilization of EHRs.</t>
  </si>
  <si>
    <t>In the Philippines, conflicts of interest (COI) within the medical profession are recognized as potential threats to patient well-being and professional integrity. Here's how they are addressed:
Regulatory Framework:
Professional Regulation Commission (PRC)'s Code of Ethics: Mandates doctors, as outlined by the Philippine Medical Association (PMA), to acknowledge and disclose COIs in various scenarios, including research activities and patient interactions.
Institutional Policies:
Hospitals and medical institutions typically establish their own COI policies, specifying potential conflict situations and outlining procedures for healthcare providers to manage them. These policies may include requirements for disclosure and steps to mitigate potential biases.
Addressing COI in Research and Patient Care:
Research: Emphasizes the importance of disclosing COIs in research publications and clinical trials to allow for transparency and assessment of potential bias in research findings.
Patient Care: Identifies specific situations in patient care that could lead to COIs, such as physician financial ties to healthcare facilities or influence from the pharmaceutical industry. These scenarios highlight the importance of transparency and unbiased decision-making in patient care.
Challenges and the Way Forward:
While regulations and policies are in place, effectively enforcing them remains an ongoing challenge. There is a need to strengthen transparency and foster trust between doctors and patients to address COIs effectively.</t>
  </si>
  <si>
    <t>In the Philippines, healthcare providers, like patients, have rights and responsibilities defined by healthcare and medical laws. Here, we focus on the legal safeguards for medical practitioners who disclose unethical or illegal conduct within their institutions:
Duty to Report Unethical Practices:
The Philippine Medical Association (PMA) Code of Ethics urges physicians to expose and report unlicensed practitioners, charlatans, and frauds. This obligation stems from the potential harm such practices may inflict on health and life. Physicians are advised against condoning or collaborating with fraudulent health providers.
Protection of Whistleblowers:
While not tailored specifically for medical practitioners, Philippine law generally protects whistleblowers. Healthcare professionals disclosing unethical or illegal practices within their workplace are shielded from retaliation, discrimination, or adverse repercussions.
Whistleblower protection laws aim to foster an environment where individuals can report wrongdoing without fear of retaliation.
Court of Appeals Ruling:
A recent ruling by the Court of Appeals (CA) emphasized that healthcare institutions and medical practitioners should refrain from participating in unlawful activities to exploit benefits provided by the Philippine Health Insurance Corporation (PhilHealth). This ruling underscores the significance of ethical behavior and discourages involvement in illicit practices.
Medical Malpractice and Legal Immunity:
Though not directly linked to reporting unethical practices, it's important to note that physicians in the Philippines benefit from legal immunity under specific laws.
While physicians are not accountable for specific outcomes, they are expected to adhere to established medical standards and deliver quality healthcare services. Acting ethically and within professional boundaries generally shields medical practitioners from legal liability.
In essence, medical practitioners disclosing unethical or illegal practices receive legal support through existing laws, ethical guidelines, and whistleblower protections. Fostering transparency and accountability benefits both patients and the healthcare system at large.</t>
  </si>
  <si>
    <t>In the Philippines, legal provisions govern organ transplantation and donation, including the following:
Republic Act No. 7170 (Organ Donation Act of 1991):
- This law permits the legacy or donation of all or part of a human body after death for specific purposes.
- It defines terms such as Organ Bank Storage Facility, Decedent, Donor, Part, and Death, ensuring that organ donation is conducted ethically and legally.
Philippine Organ and Tissue Donation and Transplantation Board (POTDTB):
- This board supervises organ and tissue donation and transplantation activities in the country.
Administrative Order No. 2010-0019:
- This order establishes a National Program for Sharing of Organs from Deceased Donors.
Proposed Legislation:
- There is an ongoing initiative to amend Republic Act No. 7170 to promote an "opt-out" system of organ donation and transplantation. This emphasizes the right to health and imposes penalties for non-compliance.</t>
  </si>
  <si>
    <t>How does the law address the issue of medical consent for individuals with diminished mental capacity?</t>
  </si>
  <si>
    <t>According to CODE OF ETHICS OF THE PHILIPPINE MEDICAL ASSOCIATION. A physician must seek the patient's free, informed consent. In the event of unconciousness or mental deficit, informed permission may be given by a spouse or immediate relatives, or in the absence of both, by the party authorised under the patient's advance directive.</t>
  </si>
  <si>
    <t>What legal rights do patients have in obtaining a copy of their medical records for legal purposes?</t>
  </si>
  <si>
    <t>In the Philippines, medical practitioners can face criminal liability for negligence or malpractice under specific conditions, as outlined below:
Medical Malpractice Laws and Regulations:
- Medical malpractice encompasses both criminal and civil liabilities and is governed by various laws, including the Medical Act of 1959 and the Civil Code of the Philippines.
- The Anti-Malpractice Act addresses medical malpractice explicitly, stipulating that medical practitioners engaging in acts constituting malpractice or illegal surgery may face imprisonment, fines, or the revocation of their medical license.
Elements of Medical Negligence:
- To establish medical malpractice, it must be proven that medical negligence occurred.
- Practicing medicine in the Philippines without the proper certification from the Board of Medical Examiners constitutes medical malpractice.
Case Example:
- In a significant case, San Juan de Dios Hospital and two doctors were collectively found liable for negligent medical practice. The court awarded damages to the plaintiff following the wrongful death of his son, allegedly due to the medical negligence of the doctors and the hospital.</t>
  </si>
  <si>
    <t>What legal obligations do healthcare providers have in protecting patient data and privacy?</t>
  </si>
  <si>
    <t>They should make certain that nondisclosure agreements and related contracts are in place and enforced. Create access controls for patient data depending on least privileges. Allow just "need-to-know" access. This means that health personnel are only granted the minimal access required to carry out their duties.</t>
  </si>
  <si>
    <t>In the Philippines, patients have fundamental rights when seeking healthcare services, including:
1. Right to Access Healthcare:
- Patients are entitled to receive necessary healthcare services without discrimination based on their ability to pay or personal characteristics.
2. Right to Informed Consent:
- Patients have the right to be fully informed about their medical condition, treatment options, risks, benefits, and alternatives before undergoing any medical intervention. This ensures respect for their autonomy and decision-making capacity.
3. Right to Privacy and Confidentiality:
- Patients' medical information must be kept confidential, and healthcare providers are legally obligated to safeguard their privacy, disclosing information only to authorized individuals for healthcare purposes.
4. Right to Quality Care:
- Patients have the right to receive healthcare services of high quality, including accurate diagnosis, appropriate treatment, and follow-up care. They should be treated with dignity and respect, irrespective of their background or condition.
5. Right to Refuse Medical Treatment:
- Patients have the autonomy to refuse medical treatment, even in life-threatening situations, if it conflicts with their personal beliefs or values. However, legal limits exist, such as when a court determines that a patient lacks decisional capacity.
In summary, while patients retain the right to refuse treatment, healthcare providers must ensure a balance between respecting patients' autonomy and delivering safe and quality care. Understanding and upholding these rights and responsibilities are vital for both patients and providers in the healthcare delivery process in the Philippines.</t>
  </si>
  <si>
    <t>How does the law address the practice of cosmetic surgery and aesthetic procedures in the Philippines?</t>
  </si>
  <si>
    <t>In the Philippines, cosmetic operations are governed by medical and health legislation to safeguard patient safety and rights. The Department of Health (DOH) and the Philippine Food and Drug Administration (FDA) established rules for clinic operations and practitioner certification.</t>
  </si>
  <si>
    <t>What legal rights do patients have in seeking compensation for medical malpractice or negligence?</t>
  </si>
  <si>
    <t>For a successful claim under Philippine law, four components must be proven: duty, breach, injury, and causation. The legal framework includes civil liability (damages) and, in severe situations, criminal liability. These cases can result in a variety of results, including compensation for the victim and professional punishment against the healthcare provider.</t>
  </si>
  <si>
    <t>What laws regulate the practice of medical tourism in the Philippines?</t>
  </si>
  <si>
    <t>In the Philippines, medical tourism is governed by a variety of laws and regulations. Let's get into the major legal aspects:
The Tourism Act of 2009 (Republic Act No. 9593) establishes tourism as an essential component of the national economy and an industry of national importance. It seeks to use tourism as a driver of socioeconomic development, cultural affirmation, and investment. Some of its goals include creating a national tourist action plan, promoting sustainable tourism, and increasing private sector involvement.
General Legal Overview: In addition to the tourist Act, the Philippines' legal landscape governs the tourist and hospitality industries through a variety of laws and regulations. These include business licences, health and safety requirements, environmental compliance, and consumer protection.</t>
  </si>
  <si>
    <t>What legal obligations do healthcare providers have in obtaining informed consent from patients for surgical procedures?</t>
  </si>
  <si>
    <t>A physician must seek the patient's free, informed consent. In the event of unconciousness or mental deficit, informed permission may be given by a spouse or immediate relatives, or in the absence of both, by the party authorised under the patient's advance directive.</t>
  </si>
  <si>
    <t>In the Philippines, medical practitioners are held responsible for breaches of patient confidentiality through a combination of legal, ethical, and organizational measures. Here's an overview of these mechanisms:
Legal Framework:
- The Data Privacy Act of 2012 (Republic Act No. 10173) regulates the protection of personal data, including patient information, imposing strict obligations on those handling sensitive data.
- The Mandatory Reporting of Notifiable Diseases and Health Events of Public Health Concern Act (Republic Act No. 11332) prohibits unauthorized disclosure of patient data.
- Administrative orders and ordinances may also address specific aspects of patient confidentiality.
Ethical Obligations:
- The Code of Ethics of the Medical Profession emphasizes the privacy and confidentiality of patient information. Physicians are obliged to treat patient details as highly confidential, even after the patient's death, with exceptions only when required by law, safety, justice, or public health.
National Privacy Commission (NPC):
- The NPC issues guidelines and bulletins to protect patient data from unauthorized disclosure, with health institutions and their Data Protection Officers (DPOs) ensuring compliance through measures like regular reminders, non-disclosure agreements, access control, and physical security measures.
Health Institutions:
- These establishments must enforce security measures to safeguard patient data, with mutual trust between patients, health institutions, and authorities being crucial, particularly during the COVID-19 pandemic.</t>
  </si>
  <si>
    <t>In the Philippines, patients possess specific rights and legal considerations when seeking a second opinion:
Right to Access Healthcare:
- Every individual is entitled to access healthcare services without discrimination based on personal characteristics or financial status.
Right to Informed Consent:
- Patients have the right to receive comprehensive information about their medical condition, treatment options, risks, benefits, and alternatives before undergoing any medical procedure.
- Healthcare providers must communicate information effectively, ensuring patients understand their options and can make informed decisions.
Right to Privacy and Confidentiality:
- Patient medical information must remain confidential, with healthcare providers obligated to protect patient privacy by limiting disclosure to authorized individuals for healthcare purposes.
Right to Quality Care:
- Patients have the right to receive high-quality healthcare services adhering to accepted medical standards, with dignity and respect from healthcare providers being essential regardless of background or condition.
Regarding Second Opinions:
- Although patients do not possess a legal entitlement to a second opinion, they retain the option to request one.
- Seeking a second opinion should not be interpreted as a breakdown in the doctor-patient relationship.
- Typically, requests for second opinions are respected, and the second physician's perspective may either confirm the initial diagnosis or treatment plan.</t>
  </si>
  <si>
    <t>In the Philippines, medical practitioners can be held accountable for not obtaining informed consent under specific circumstances. Here's an exploration of this topic:
Duty to Obtain Informed Consent:
Physicians bear the responsibility of securing informed consent from patients, and this duty cannot be delegated. Even if other healthcare professionals or facilities assist in obtaining consent, physicians remain ultimately liable.
For consent to be valid, it must be voluntary, given by a competent individual, and based on adequate information.
Legal Implications:
Failure to obtain proper informed consent can result in both malpractice lawsuits and charges of professional misconduct.
In cases where medical liability is based on inadequate disclosure of risks, the grounds for legal recourse typically center on negligence in disclosing information crucial for a patient's decision-making process.
In summary, medical practitioners must diligently secure informed consent from patients, maintaining transparency and effective communication regarding potential risks. Neglecting this duty can lead to legal ramifications. For specific guidance on medical liability and informed consent matters in the Philippines, consulting legal experts is advisable.</t>
  </si>
  <si>
    <t>In the Philippines, medical research involving human subjects is regulated by ethical guidelines and legal frameworks to safeguard participants' welfare. Here are some key points to consider:
National Ethical Guidelines for Research Involving Human Participants (2022):
- The Philippine Health Research Ethics Board (PHREB) has established comprehensive guidelines for research involving human subjects, emphasizing universal ethical principles that uphold participants' dignity and rights.
- Adherence to these guidelines is mandatory throughout all stages of health research.
Philippine National Health Research System (PNHRS) Law:
- The PNHRS Law mandates compliance with universal principles for protecting human participants in research, overseen by the Philippine Council for Health Research and Development (PCHRD) under the Department of Science and Technology (DOST).
Rights and Responsibilities:
- Researchers are obligated to respect participants' rights, including informed consent, confidentiality, and privacy, while adhering to the principles of beneficence and non-maleficence.
- Equitable distribution of benefits and fair treatment of participants are paramount considerations.
Informed Consent:
- Researchers must obtain informed consent from participants, ensuring they fully understand the study's purpose, procedures, risks, and benefits before their involvement.
Research Approval and Oversight:
- Ethical approval from institutional review boards (IRBs) or ethics committees is mandatory, with IRBs ensuring research protocols comply with ethical standards.
Reporting and Transparency:
- Clear and accurate reporting of study findings is essential to uphold scientific integrity and ensure transparency in research practices.
Healthcare and Medical Law:
- Researchers and healthcare providers must also be familiar with broader healthcare and medical laws in the Philippines to ensure compliance beyond research-specific guidelines.</t>
  </si>
  <si>
    <t>In the Philippines, patients have the right to refuse medical treatment, except in cases where it is allowed by law. This means that patients have the autonomy to make decisions about their healthcare and can refuse treatments that they do not want or that conflict with their personal beliefs or values.
Here are some key points regarding patient refusal of medical tests and the legal implications for healthcare providers:
Informed Consent: Informed consent is a fundamental principle in healthcare. Patients have the right to be fully informed about their medical condition, treatment options, risks, benefits, and alternatives before undergoing any medical intervention or treatment. Healthcare providers must provide accurate and complete information in a language and manner that patients can understand. Patients can ask questions, seek clarifications, and make informed decisions about their healthcare.
Patient Autonomy: Patients’ autonomy and decision-making capacity are respected. If a patient refuses a medical test, the healthcare provider must respect that decision. Physicians are prohibited from proceeding with any intervention if the patient declines after full disclosure.
Documentation: If a patient refuses a test due to financial or other reasons, it is crucial for healthcare providers to document this refusal. Reliable clinical tracking systems are essential to avoid allegations of delay in diagnosis or failure to supervise care.
Legal Defense: Proper documentation of patient refusal can serve as a powerful legal defense for healthcare providers. It demonstrates that the patient’s decision was respected and that the provider acted ethically and within legal boundaries.</t>
  </si>
  <si>
    <t>In the Philippines, the importation, distribution, and sale of medical devices are regulated by several laws and guidelines. Let’s explore them:
Republic Act No. 9711 (FDA Act of 2009): This law mandates the Food and Drug Administration (FDA) to develop policies, guidelines, and standards for regulating health products, including medical devices. It ensures the safety, quality, and efficacy of medical devices in the market. Under this law, a License to Operate (LTO) is required for establishments engaged in the sale, offering for sale, or retail of any medical device, including in-vitro diagnostic devices.
FDA Circular No. 2021-0021: This circular provides specific guidelines on the licensing of retailers of medical devices in the Philippines. It covers establishments such as:
Retail stores for medical devices
Clinics selling medical devices (except those covered by the DOH One Stop Shop Licensing System)
Sellers using online platforms (websites, social media, TV shopping) to sell medical devices directly to the general public.
Certificate of Medical Device Notification (CMDN) and Certificate of Medical Device Registration (CMDR):
Risk Class A medical devices require a CMDN.
Risk Class B, C, and D medical devices need a CMDR to be imported and placed on the market in the Philippines.
Documentation and Compliance:
Only registered medical devices can be imported into the Philippines. These devices must be registered with the FDA’s Center for Device Regulation, Radiation, Health, and Research (CDRRHR) and issued with a CMDN, CMDR, or a Certificate of Product Registration (CPR) unless exempted from registration</t>
  </si>
  <si>
    <t>Definition of Conflict of Interest:
A conflict of interest arises when there is a risk that professional judgment or actions regarding a primary interest (such as patient welfare, research integrity, or medical education) will be unduly influenced by a secondary interest (which may include financial gain, professional advancement, or personal recognition).
Guidelines for Addressing Conflicts of Interest:
Transparency: Healthcare professionals and researchers must disclose any potential conflicts of interest. Transparency builds trust and allows stakeholders to assess the impact of these conflicts.
Informed Consent: In patient care, informed consent discussions should include information about any relevant conflicts of interest. Patients have the right to know if a physician has financial ties to specific treatments or interventions.
Research Integrity: Researchers must declare any financial relationships or affiliations that could influence their research. Journals and institutions often require disclosure statements.
Guidelines and Policies: Professional organizations, institutions, and regulatory bodies provide guidelines and policies to manage conflicts of interest. These include rules for accepting gifts, consulting fees, and industry-sponsored research.
Independent Oversight: Independent review boards and ethics committees assess research proposals and monitor ongoing studies to ensure objectivity and patient safety.
Avoidance and Mitigation: When possible, avoid situations where conflicts of interest may arise. If unavoidable, implement strategies to mitigate their impact.
Education: Healthcare professionals and researchers should receive education on recognizing, managing, and disclosing conflicts of interest.
Patient Care:
Physicians must prioritize patient welfare over financial interests. Treatment decisions should be based on evidence, clinical judgment, and patient needs, not financial gain.
AMA Code of Medical Ethics emphasizes that physicians should not provide wasteful or unnecessary treatment solely for financial benefit.
Research:
Minimizing and Mitigating Conflicts: Researchers must minimize and disclose conflicts of interest. Transparency ensures that research findings are not compromised.
Peer Review: Rigorous peer review helps identify potential biases and conflicts.
Clinical Practice Guidelines: Development of guidelines should involve experts without significant conflicts of interest.
Industry Relationships:
Pharmaceutical and Device Industries: Close relationships with these industries can influence medical practice, research, and education. Striking a balance between collaboration and independence is crucial.</t>
  </si>
  <si>
    <t>the Philippines had not legalized the use of medical marijuana or cannabis for medicinal purposes. The country has stringent drug laws, and the use, possession, sale, and cultivation of marijuana are illegal under Republic Act No. 9165, also known as the Comprehensive Dangerous Drugs Act of 2002.</t>
  </si>
  <si>
    <t>In the Philippines, people have the right to view their medical records, which are deemed confidential. This freedom is protected by several laws, notably the Data Privacy Act of 2012 and the Medical Act of 19591. These rules protect the confidentiality and privacy of medical records while allowing patients to access their own health information.</t>
  </si>
  <si>
    <t>In the Philippines, the operation of medical ethics committees in healthcare institutions is governed by various legal provisions. Here are the key regulations:
The Medical Act of 1959 (Republic Act No. 2382): This law provides the foundation for overseeing and regulating medical practice in the country. It delineates the duties and obligations of medical professionals, including adherence to ethical standards.
Specifically, Article III, Section 22 (3) of RA No. 2382 highlights the Board of Medical Examiners' responsibility to uphold ethical and professional norms within the medical community.
The PRC Modernization Act of 2000 (Republic Act No. 8981): This legislation empowers Professional Regulatory Boards (PRBs) to oversee various professions, including medicine. PRBs are tasked with monitoring professional standards, implementing measures for professional enhancement, and investigating violations of professional laws and codes of ethics.
The Philippine Medical Association (PMA): As the Accredited Professional Organization (APO) for the medical sector, the PMA plays a pivotal role. It establishes and approves the Code of Ethics for the Medical Profession, which governs physicians' behavior, decisions, and professional practice, outlining their obligations to patients, the healthcare system, the community, colleagues, allied health professionals, and the health product industry.
Patients' Rights and Obligations Act: While not directly related to medical ethics committees, this legislation offers guidelines on informed consent, confidentiality, and patients' entitlement to ethical medical care, contributing to the broader ethical framework within healthcare facilities.
The Philippine Health Research Ethics Board (PHREB): PHREB sets standards and protocols for Ethics Review Committees (ERCs) involved in human research. These committees play a pivotal role in ensuring ethical practices in research endeavors.
In essence, these legal provisions collectively uphold ethical standards, safeguard patient rights, and promote professional integrity within the medical realm in the Philippines.</t>
  </si>
  <si>
    <t>Legal protections are in place in the Philippines for healthcare providers who offer emergency medical aid in good faith. Here are the pertinent details:
Republic Act No. 11712, enacted on April 27, 2022, as the Public Health Emergency Benefits and Allowances for Health Care Workers Act, acknowledges the crucial role of healthcare workers in delivering quality healthcare and disease prevention, particularly amid pandemics. This law aims to enhance the welfare of healthcare workers by ensuring they receive mandatory benefits and allowances promptly. It encompasses both healthcare and non-healthcare workers exposed to COVID-19 or similar threats during public health crises. The benefits are applicable for the duration of the public health emergency, retroactively effective from July 1, 2021, until lifted by the President. The term "public health emergency" encompasses events such as bioterrorism, natural calamities, chemical assaults, and outbreaks of infectious diseases.
Health &amp; Safety Code § 1799.106 shields individuals—comprising firefighters, police officers, EMTs, RNs, and the public agencies that employ them—from liability for actions undertaken in good faith while providing emergency medical services.
Republic Act No. 6615 mandates all licensed government and private hospitals or clinics to furnish immediate emergency medical assistance to patients in peril of death or those who have sustained severe physical injuries.
The Code of Ethics of the Philippine Medical Association stipulates that physicians must act in good faith and honesty when expressing opinions concerning diagnosis, prognosis, and treatment. Moreover, patients' rights to decline medical treatment must be honored, and timely notification of disease progression should be provided to patients and their families.</t>
  </si>
  <si>
    <t>In the Philippines, when there's a dispute in the medical field, it's usually sorted out by combining legal rules, regulations, and alternative dispute resolution (ADR) methods. Here's what that looks like:
Legal Stuff:
Think of the Civil Code and the Medical Act of 1959 as the main guides. They lay down the do's and don'ts for healthcare pros and patients. Plus, there are other rules ensuring everyone plays fair and patients stay safe.
Patient Rights:
Patients have some rights too, like:
Access to Care: No one should be denied healthcare just because they can't pay.
Informed Choices: Patients should know what's up with their treatment options, including the risks and benefits.
Privacy Matters: Your medical info is private, and doctors have to keep it that way.
Top-Notch Care: You deserve quality healthcare that meets the standards.
Finding Solutions:
When things go sideways, there are ways to sort it out that don't involve going to court:
ADR: This includes things like mediation and arbitration. It's like getting a referee to help you and the other side work things out.
Arbitration: Think of it as a private court where both sides agree to follow the decision of the arbitrator.
Communication is Key: Talking openly and honestly can often solve a lot of problems.
Legal Advice: Sometimes you need a lawyer to navigate tricky situations.</t>
  </si>
  <si>
    <t>In the Philippines, doctors can face serious consequences from health regulatory bodies for various reasons. Here's the lowdown:
Playing by the Rules: Doctors need to follow the accreditation rules set by health authorities. If they don't, they could be in hot water.
Crossing the T's and Dotting the I's: When dealing with health insurance claims, there's a proper procedure to follow. If doctors mess that up, they might face consequences.
Staying Ethical: Violating the Code of Ethics is a big no-no. This code spells out what doctors should and shouldn't do, and breaking it can land them in trouble.
Breaking the Law: Laws like the Universal Health Care Act are there to protect patients and maintain quality standards. Doctors who break these laws could face sanctions.
Quality Counts: Doctors need to keep up high standards of care. If they fall short or mess up, they could face the music.
No Cheating Allowed: Any funny business like submitting fake claims or lying about services can lead to trouble.
Putting Patients First: Doctors have to keep patients safe and respect their rights. If they don't, they could face consequences.</t>
  </si>
  <si>
    <t>In the Philippines, healthcare providers bear significant legal responsibilities regarding the reporting of medical fraud or insurance abuse. Here's a breakdown:
PhilHealth Guidelines:
PhilHealth warns against unethical practices like upcasing of claims, where the severity of a patient's condition is exaggerated to receive higher reimbursements.
Instances of collusion between healthcare providers and patients to inflate benefits, particularly during the COVID-19 pandemic, have been reported.
Healthcare professionals are urged to report such fraudulent activities directly to PhilHealth, ensuring confidentiality and legal protection for whistleblowers.
PhilHealth collaborates with law enforcement agencies like the National Bureau of Investigation to identify and prosecute fraudulent activities by hospitals and professionals.
A zero-tolerance approach is emphasized by PhilHealth's President, with severe consequences promised for those involved in fraudulent practices.
Legal Framework:
Medical malpractice cases fall under the purview of various laws including the Civil Code and the Medical Act of 1959, which delineate the responsibilities of healthcare professionals and patient rights.
Reporting Mechanisms:
Members of the public can report instances of fraudulent health claims by emailing designated PhilHealth addresses or mailing reports to the Office of the Corporate Secretary.
In essence, healthcare providers are legally obligated to report instances of medical fraud or insurance abuse, ensuring the integrity of healthcare systems in the Philippines.</t>
  </si>
  <si>
    <t>In the Philippines, the utilization of electronic health records (EHRs) and information systems within the medical sector is governed by various laws and regulations. Here are the key ones:
Universal Health Care Act (Republic Act No. 11223):
Enacted in 2019, this law aims to establish universal health care for all Filipinos, initiating reforms in the health care system and providing funding for its implementation.
It highlights citizens' right to health and encourages health consciousness.
The Act mandates the maintenance of a Health Information System by health service providers and insurers, including components like electronic health records, enterprise resource planning, and electronic prescription logs, following Department of Health (DOH) standards.
Data Privacy Act of 2012:
Although not specific to health care, this law safeguards personal data, including health information, ensuring the confidentiality and privacy of medical records.
Health care institutions handling EHRs must adhere to data privacy regulations to protect patient information.
Medical Act of 1959:
This legislation governs medical practice in the Philippines and emphasizes the importance of maintaining accurate and confidential medical records.
While it does not directly address EHRs, patients are granted the right to access their health information under this law.
Other Relevant Regulations:
The Department of Health (DOH) issues guidelines and standards concerning EHRs and health information systems.
Both private and public hospitals are encouraged to adopt electronic medical records (EMRs) to enhance health care services, aligning with the provisions of the Universal Health Care Act.</t>
  </si>
  <si>
    <t>In the Philippines, healthcare professionals have legal protections when reporting unethical or illegal practices within their institutions. Here's a breakdown:
Duty to Report Unethical Practices:
The Philippine Medical Association's (PMA) Code of Ethics urges physicians to expose and report unlicensed practitioners and fraudulent activities. This is crucial to prevent harm to patients and maintain professional integrity.
Whistleblower Protection:
While not specific to the medical field, Philippine laws protect whistleblowers from retaliation when reporting unethical or illegal practices. This encourages individuals to speak up without fear of adverse consequences.
Court of Appeals Ruling:
A recent Court of Appeals ruling emphasized the importance of ethical conduct, warning against engaging in illegal activities, especially regarding benefits from institutions like the Philippine Health Insurance Corporation (PhilHealth).
Medical Malpractice and Legal Immunity:
Although not directly related to reporting unethical practices, healthcare providers are generally shielded from legal liability if they adhere to accepted medical standards and act within their professional responsibilities.</t>
  </si>
  <si>
    <t>In the Philippines, organ transplantation and donation are governed by various laws and regulations aimed at regulating the process to ensure ethical, safe, and equitable practices. Some of the key legal provisions addressing organ transplantation and donation include:
Organ Donation Act of 1991 (Republic Act No. 7170):
This law authorizes the donation of all or part of a human body after death for specified purposes.
It defines terms such as organ bank storage facility, decedent, donor, part, and death.
The Act ensures that organ donation is carried out ethically and legally.
Philippine Organ and Tissue Donation and Transplantation Board (POTDTB):
The POTDTB is responsible for overseeing organ and tissue donation and transplantation efforts in the country.
It plays a vital role in regulating and coordinating organ procurement and transplantation activities.
Administrative Order No. 2010-0019:
This administrative order establishes a National Program for Sharing of Organs from Deceased Donors.
It provides guidelines and procedures for the allocation and sharing of organs from deceased donors across different healthcare institutions in the Philippines.
Proposed Legislation:
There have been ongoing efforts to amend existing laws or introduce new legislation to further regulate organ transplantation and donation practices.
Some proposed bills aim to enhance the legal framework surrounding organ donation and transplantation, including provisions for the establishment of organ procurement organizations and the protection of donors' rights.</t>
  </si>
  <si>
    <t>In the Philippines, patients have the right to request and access their medical records, which are considered confidential and must be securely maintained by healthcare providers. Here are some steps to follow when obtaining your medical records:
1. Contact Your Healthcare Provider: Initiate the process by submitting a formal written request to your healthcare provider for a copy of your medical records.
2. Understand Your Rights: Be aware of the Data Privacy Act of 2012 and other relevant health laws that safeguard the confidentiality of medical records while granting patients access to their own health information.
3. Respect Privacy and Confidentiality: Recognize the importance of privacy regulations governing medical data. Healthcare providers are obligated to uphold strict confidentiality standards when handling patient records.
4. Follow Up: If there are any delays or refusals in providing your medical records, inquire about the reasons behind them and work towards resolving any issues that may arise.
Remember that accessing your medical records is vital for managing your health effectively and ensuring your legal rights are protected. Seek professional guidance if you encounter any challenges during the process.</t>
  </si>
  <si>
    <t>In the Philippines, medical professionals can face criminal liability for negligence or malpractice in certain situations. Here's an overview of the legal aspects:
**Medical Malpractice Laws:**
- Both civil and criminal liabilities apply to medical malpractice.
- Laws such as the Medical Act of 1959 and the Civil Code govern these liabilities.
**Patient's Right to Sue:**
- Yes, patients have the right to sue doctors for medical malpractice.
**Elements of Medical Negligence:**
- Practicing without proper certification is considered malpractice.
- It's necessary to establish medical negligence for a malpractice claim to be valid.
**Criminal Penalties:**
- The Anti-Malpractice Act imposes penalties, including imprisonment and fines, for medical malpractice.
- Practitioners may also face license cancellation.
**Case Example:**
- In a particular case, a doctor and hospital were held liable for medical negligence, leading to the patient's wrongful death. Damages were awarded to the victim's family.
These legal provisions aim to uphold standards of care and protect patients' rights in the medical field.</t>
  </si>
  <si>
    <t>Healthcare providers in the Philippines have several legal obligations to protect patient data and privacy. These obligations are primarily governed by the Data Privacy Act of 2012 (Republic Act No. 10173), which sets standards for the processing of personal information, including healthcare data. Some key legal obligations include:
Data Privacy Compliance:
Healthcare providers must comply with the provisions of the Data Privacy Act, which include implementing security measures to protect patient data from unauthorized access, disclosure, alteration, or destruction.
They must appoint a Data Protection Officer (DPO) responsible for ensuring compliance with data privacy laws and regulations.
Patient Consent:
Healthcare providers must obtain patient consent before collecting, processing, or disclosing their personal and health information.
Patients must be fully informed about the purpose of data collection and how their information will be used or shared.
Confidentiality:
Healthcare providers are legally bound to maintain the confidentiality of patient information and are prohibited from disclosing it to unauthorized individuals or entities.
They must implement safeguards to prevent unauthorized access to patient records, both in physical and electronic formats.
Security Measures:
Healthcare providers must implement security measures to protect patient data, such as encryption, access controls, and regular security assessments.
They must also ensure the integrity and availability of patient information to prevent data breaches or loss.
Data Breach Notification:
In the event of a data breach or unauthorized disclosure of patient information, healthcare providers are required to notify the affected individuals and the National Privacy Commission (NPC) within a specified timeframe.
They must also take prompt action to mitigate the effects of the breach and prevent further unauthorized access to patient data.</t>
  </si>
  <si>
    <t>Yes, a patient generally has the right to refuse medical treatment, even in life-threatening situations. This principle is based on the concept of patient autonomy, which grants individuals the right to make decisions about their own medical care.
However, the legal implications for healthcare providers when a patient refuses treatment in a life-threatening situation can be complex and vary depending on the jurisdiction and specific circumstances. Some key points to consider include:
Informed Consent: Healthcare providers have a legal and ethical obligation to ensure that patients are fully informed about their medical condition, the proposed treatment options, and the potential risks and benefits of each option. Patients must understand the consequences of refusing treatment before making an informed decision.
Capacity to Consent: Healthcare providers may assess whether the patient has the capacity to make decisions about their medical care. If a patient lacks decision-making capacity due to factors such as mental impairment or incapacity, healthcare providers may need to explore alternative approaches to decision-making, such as involving a legal guardian or obtaining a court order.
Duty to Provide Care: While patients have the right to refuse treatment, healthcare providers also have a duty to provide care to their patients. In some cases, healthcare providers may have a legal and ethical obligation to intervene and provide life-saving treatment if they believe that the patient's decision to refuse treatment poses an immediate risk to their life or health.
Documentation: Healthcare providers should carefully document all interactions with the patient regarding their refusal of treatment, including any discussions about the risks and benefits of treatment and the patient's reasons for refusing. This documentation is important for ensuring transparency and accountability and may be valuable in legal proceedings or disputes.</t>
  </si>
  <si>
    <t>In the Philippines, breaches of patient confidentiality are met with legal, administrative, and professional consequences. Here's how these measures are applied:
**Civil Penalties:**
- Monetary fines can be levied against individuals responsible for unauthorized disclosure of patient information.
**Criminal Penalties:**
- In severe cases, unauthorized disclosure can result in criminal charges.
**Administrative Penalties:**
- Professional disciplinary actions, including license revocation, may be taken against healthcare providers.
**Guidelines by the National Privacy Commission (NPC):**
- Regular reminders to staff regarding their legal and ethical duty to protect patient data.
- Implementing access controls based on the "need-to-know" principle.
- Installing physical access controls like locks and alarms to prevent unauthorized entry.
- Securing documents containing patient data in locked cabinets or rooms.
- Enforcing non-disclosure agreements and related contracts.
These measures aim to ensure the confidentiality and security of patient information, safeguarding their privacy rights.</t>
  </si>
  <si>
    <t>In the Philippines, medical practitioners have a legal obligation to obtain informed consent from patients under specific conditions. Here are the key points:
**Responsibility for Obtaining Informed Consent:**
- Physicians are solely responsible for obtaining informed consent from patients, and this duty cannot be delegated. Even if other healthcare personnel assist in the process, the ultimate responsibility lies with the physician.
- The patient's consent must be voluntary, competent, and based on adequate information.
**Legal Consequences:**
- Failure to obtain informed consent can result in both malpractice lawsuits and charges of professional misconduct.
- In cases where liability arises from inadequate disclosure of risks and hazards associated with medical procedures, negligence in failing to disclose these risks becomes the basis for legal action.</t>
  </si>
  <si>
    <t>In the Philippines, patients have the right to seek compensation for medical malpractice or negligence under the concept of **quasi-delict** enshrined in the Civil Code (Article 2176). This means that if a healthcare professional fails to fulfill their duty of care, causing harm to the patient, they can be held liable.
Here's a breakdown of the legal framework:
* **Duty of Care:** A physician-patient relationship establishes a duty of care. The doctor must exercise the **degree of care and skill** that a **reasonably prudent physician** would under similar circumstances (Article 2176).
* **Breach of Duty:** The patient needs to prove that the healthcare professional breached this duty. This could involve:
* Failing to diagnose a condition properly
* Prescribing the wrong medication
* Performing a surgery incorrectly
* Failing to warn of potential risks
* **Injury:** The patient must have suffered some form of injury due to the breach of duty. This could be physical harm, emotional distress, or financial losses. * **Proximate Cause:** The breach of duty must be the **direct cause** of the patient's injury.
**To successfully claim compensation, the patient needs to establish all four elements mentioned above.**
Here are some additional points to consider:
* **Evidence:** Expert medical testimony is crucial to establish the breach of duty. This helps determine whether the healthcare professional followed the appropriate standard of care.
* **No Specific Law:** Unlike some countries, the Philippines doesn't have a specific law solely for medical malpractice. However, the Civil Code's provisions on quasi-delict provide the legal basis for such claims.
* **Alternative Dispute Resolution (ADR):** Before resorting to court, patients can explore ADR options like mediation or arbitration to resolve the dispute amicably. **It's important to consult with a lawyer specializing in medical malpractice** to understand your specific situation and the legal options available. They can guide you through the process of gathering evidence, filing a claim, and navigating the legal system.</t>
  </si>
  <si>
    <t>In the Philippines, medical tourism, which involves individuals traveling to the country for medical treatment, is regulated by various laws and regulations that govern healthcare, tourism, and related industries. Some key laws and regulations that may apply to the practice of medical tourism in the Philippines include:
Philippine Tourism Act of 2009 (Republic Act No. 9593): This law promotes the development of tourism in the Philippines and sets forth policies and regulations for the tourism industry. While it primarily focuses on promoting leisure tourism, it may also apply to medical tourism activities, particularly in terms of promoting the country as a destination for medical treatment and establishing standards for tourism-related services.
Philippine Medical Tourism Program: The Department of Health (DOH) and the Department of Tourism (DOT) have initiatives aimed at promoting the Philippines as a medical tourism destination. These programs may involve collaboration with healthcare providers, tourism stakeholders, and other relevant agencies to enhance the country's competitiveness in the global medical tourism market.
Health Regulations: Various health regulations and standards set by the DOH and other regulatory bodies govern the practice of healthcare facilities and professionals in the Philippines. These regulations may include licensing requirements, quality standards, and guidelines for medical procedures, which are applicable to both domestic and international patients seeking medical treatment in the country.
Professional Regulation Commission (PRC): The PRC regulates the practice of healthcare professions in the Philippines, including medical practitioners, nurses, and other allied health professionals. Professionals involved in providing medical services to international patients must adhere to the ethical standards and regulations set by their respective regulatory boards.
Foreign Investment Laws: Foreign investment laws and regulations may also impact the practice of medical tourism in the Philippines, particularly in terms of foreign ownership restrictions, investment incentives, and other policies affecting healthcare facilities and services catering to international patients.</t>
  </si>
  <si>
    <t>Healthcare providers have several legal obligations when obtaining informed consent from patients for surgical procedures. These obligations are designed to ensure that patients have the necessary information to make informed decisions about their medical care. Some key legal obligations include:
Explanation of Procedure: Healthcare providers must explain the nature of the surgical procedure to the patient, including the purpose of the surgery, what it entails, and any potential risks or complications associated with the procedure.
Discussion of Risks and Benefits: Healthcare providers must discuss the potential risks and benefits of the surgical procedure with the patient, including any foreseeable adverse outcomes. This discussion should be tailored to the specific circumstances of the patient, taking into account factors such as the patient's medical history and individual preferences.
Alternatives to Surgery: Healthcare providers must inform patients about any alternative treatment options available, including non-surgical approaches or alternative surgical procedures. Patients should understand the potential benefits and risks of each alternative so that they can make an informed decision about their treatment.
Opportunity for Questions: Healthcare providers must provide patients with an opportunity to ask questions about the proposed surgical procedure and any related issues. Patients should feel comfortable raising concerns or seeking clarification about any aspect of their treatment plan.
Documentation: Healthcare providers must document the informed consent process in the patient's medical records. This documentation should include details about the information provided to the patient, the patient's understanding of the information, and the patient's decision to consent to or refuse the proposed treatment.
Capacity to Consent: Healthcare providers must ensure that patients have the capacity to provide informed consent for the surgical procedure. Patients must be able to understand the information provided to them, appreciate the consequences of their decision, and communicate their decision voluntarily.</t>
  </si>
  <si>
    <t>In the Philippines, patients have specific rights regarding seeking a second opinion, which are legally protected:
Right to Seek a Second Opinion:
Patients are entitled to request a second opinion from another healthcare provider without any implication of a breakdown in the doctor-patient relationship.
It is within a patient's rights to seek additional perspectives on their medical condition or treatment if they feel uncertain or desire further clarity.
Informed Consent and Transparency:
Before undergoing any medical intervention or treatment, patients have the right to informed consent.
Healthcare providers must provide comprehensive information about the patient's medical condition, treatment options, risks, benefits, and alternatives.
Patients can ask questions, seek clarifications, and make informed decisions based on this information.
Privacy and Confidentiality:
Patients' privacy and confidentiality regarding medical information are legally protected.
Healthcare providers are obligated to maintain the confidentiality of patient data and disclose medical information only to authorized individuals for healthcare purposes.
Quality Care and Dignity:
Patients have the right to receive quality healthcare services in line with accepted medical standards.
This encompasses appropriate diagnosis, treatment, and follow-up care based on evidence-based guidelines.
Healthcare providers must treat patients with dignity and respect, irrespective of their background or condition.
It's important to note that while patients have the right to seek a second opinion, there is no legal entitlement to one.</t>
  </si>
  <si>
    <t>What legal provisions address the use of medical data for research purposes and publications?</t>
  </si>
  <si>
    <t>In the Philippines, the use of medical data for research purposes and publications is governed by various legal provisions and ethical guidelines. Some key legal provisions and regulations addressing this matter include:
Data Privacy Act of 2012 (Republic Act No. 10173): This law regulates the processing of personal information, including medical data, and sets forth principles for the collection, use, storage, and disclosure of such data. Researchers and institutions handling medical data for research purposes must comply with the requirements and standards outlined in this law to ensure the privacy and security of individuals' personal information.
Ethical Guidelines for Biomedical Research Involving Human Subjects: The Philippine Health Research Ethics Board (PHREB) provides ethical guidelines for biomedical research involving human subjects. These guidelines outline principles and standards for the conduct of research, including requirements for informed consent, confidentiality, and protection of participants' rights and welfare. Researchers must obtain ethical clearance from PHREB before conducting research involving human subjects, including the use of medical data.
Institutional Review Board (IRB) Requirements: Many research institutions and academic organizations have their own IRBs or ethics committees responsible for reviewing research proposals involving human subjects. These IRBs ensure that research protocols comply with ethical and legal standards, including the protection of participants' privacy and confidentiality. Researchers may need to obtain approval from their institution's IRB before collecting or using medical data for research purposes.
Intellectual Property Laws: Researchers should also consider intellectual property laws when publishing research findings derived from medical data. These laws govern the ownership, use, and dissemination of intellectual property, including patents, copyrights, and trademarks. Researchers should ensure that they have the necessary rights or permissions to use and publish medical data, particularly if the data is proprietary or subject to third-party rights.</t>
  </si>
  <si>
    <t>In the Philippines, medical practitioners can be held accountable for breaches of patient confidentiality through various legal, ethical, and organizational measures. Some of the mechanisms for holding medical practitioners accountable for breaches of patient confidentiality include:
Legal Framework: Medical practitioners are subject to laws and regulations that govern the confidentiality and privacy of patient information. One of the key laws in this regard is the Data Privacy Act of 2012 (Republic Act No. 10173), which sets forth the principles and standards for the processing, handling, and protection of personal data, including medical information. Medical practitioners who violate patient confidentiality may be subject to legal penalties under this law.
Ethical Standards: Professional organizations, such as the Philippine Medical Association (PMA) and other regulatory bodies, establish ethical guidelines and codes of conduct for medical practitioners. These guidelines emphasize the importance of maintaining patient confidentiality and privacy as fundamental aspects of medical practice. Medical practitioners who breach patient confidentiality may face disciplinary action or sanctions from their professional organizations.
Organizational Policies: Healthcare institutions often have their own policies and procedures for protecting patient confidentiality. Medical practitioners are required to adhere to these policies, which may include protocols for handling and safeguarding patient information, obtaining informed consent, and maintaining the security of medical records. Breaches of patient confidentiality may result in disciplinary measures or termination of employment within the healthcare institution.
Civil Liability: Patients who suffer harm as a result of a breach of patient confidentiality may pursue civil legal action against the responsible medical practitioner. Civil lawsuits may seek compensation for damages, including financial losses, emotional distress, and reputational harm caused by the breach of confidentiality.</t>
  </si>
  <si>
    <t>How does the law address the practice of telemedicine and online medical consultations?</t>
  </si>
  <si>
    <t>In the Philippines, the practice of telemedicine and online medical consultations is addressed by various laws, regulations, and guidelines aimed at ensuring the quality, safety, and legality of healthcare services delivered remotely. Some key aspects of how the law addresses telemedicine and online medical consultations include:
Medical Act of 1959: The Medical Act of 1959 governs the practice of medicine in the Philippines. While this law predates modern telemedicine practices, it provides the legal framework within which telemedicine services must operate. Medical practitioners offering telemedicine services are required to adhere to the same standards of care, ethics, and professionalism as in traditional medical practice.
Telemedicine Act: In 2020, the Philippine government introduced the Telemedicine Act (Republic Act No. 10927), which aims to promote and regulate the use of telemedicine in the country. The law provides guidelines for the practice of telemedicine, including requirements for licensing, accreditation, and standards of care. It also addresses issues such as patient privacy, data security, and informed consent in telemedicine consultations.
Data Privacy Act of 2012: The Data Privacy Act (Republic Act No. 10173) sets forth principles and standards for the processing, handling, and protection of personal data, including medical information. Telemedicine providers must comply with the requirements of this law to ensure the confidentiality and security of patient data transmitted and stored during online consultations.
Guidelines and Standards: The Department of Health (DOH) and other regulatory bodies may issue guidelines and standards for telemedicine practice to ensure quality and safety. These guidelines may cover various aspects of telemedicine, including technology requirements, clinical protocols, documentation standards, and professional conduct.
Licensing and Accreditation: Medical practitioners offering telemedicine services may be required to obtain appropriate licenses or accreditation from regulatory bodies. This ensures that practitioners meet certain qualifications, adhere to professional standards, and comply with legal and ethical requirements for telemedicine practice.</t>
  </si>
  <si>
    <t>In the Philippines, patients have legal rights when filing complaints against healthcare providers for substandard care. These rights are protected by various laws, regulations, and ethical guidelines. Some key legal rights that patients have in filing complaints against healthcare providers for substandard care include:
Right to Access Healthcare: Patients have the right to access healthcare services that meet accepted medical standards. If a patient receives substandard care or experiences medical negligence, they have the right to seek redress and file a complaint against the responsible healthcare provider.
Right to Informed Consent: Patients have the right to be fully informed about their medical condition, treatment options, risks, benefits, and alternatives before undergoing any medical intervention. If a patient believes that they were not adequately informed or consented to a treatment that resulted in substandard care, they have the right to file a complaint.
Right to Quality Care: Patients have the right to receive quality healthcare services based on accepted medical standards and evidence-based guidelines. If a patient receives substandard care that results in harm or injury, they have the right to file a complaint and seek compensation for damages.
Right to Privacy and Confidentiality: Patients' medical information must remain confidential, and healthcare providers are legally obligated to protect patients' privacy. If a patient's privacy or confidentiality is breached in the process of receiving substandard care, they have the right to file a complaint and seek redress.
Right to Redress and Remedies: Patients who believe they have received substandard care have the right to seek redress and remedies through various channels, including filing complaints with regulatory bodies, professional associations, or legal authorities. Patients may also have the right to seek compensation for damages through civil litigation if the substandard care results in harm or injury.</t>
  </si>
  <si>
    <t>Two main sources govern patients' rights to access their medical records and information in the Philippines:
Republic Act No. 10057, also known as the "National Health Insurance Act of 2013": This legislation establishes patients' fundamental right to access their medical records upon request, providing the legal framework for patients to control their medical information.
Department of Health (DOH) issuances: The DOH issues specific guidelines detailing how patients can exercise their right to access medical records. Notably, Department of Health Administrative Order No. 2016-0008 outlines the process for requesting and obtaining medical records from healthcare providers, ensuring a standardized and streamlined experience for patients seeking their medical information.</t>
  </si>
  <si>
    <t>In the Philippines, medical practitioners can face criminal liability under the Revised Penal Code for reckless imprudence leading to injury or homicide. To build a medical malpractice case, specific elements need to be established, such as the existence of a doctor-patient relationship, breach of the standard of care by the healthcare provider, a direct connection between the negligence and the patient's harm, and the damages suffered by the patient. Additionally, the Professional Regulation Commission (PRC) has the authority to suspend or revoke the doctor's license.</t>
  </si>
  <si>
    <t>In the Philippines, patients' access to their medical records is safeguarded by laws such as the Data Privacy Act of 2012 and the Medical Act of 1959. These laws prioritize the confidentiality and privacy of medical records while granting individuals the right to obtain their health information.</t>
  </si>
  <si>
    <t>In the Philippines, medical malpractice cases are regulated by laws such as the Civil Code, the Medical Act of 1959, and other pertinent regulations. These laws delineate the obligations of healthcare practitioners, the entitlements of patients, and the legal recourse in instances of medical negligence.</t>
  </si>
  <si>
    <t>Medical practitioners in the Philippines have a legal obligation to obtain informed consent from patients before performing medical procedures. This duty is non-delegable and extends to physicians, hospitals, and nurses. The patient's consent must be voluntary, competent, and informed. Failure to procure adequate informed consent can result in malpractice litigation and charges of professional misconduct. In cases where the failure to disclose risks leads to harm, negligence may be established. A notable case exemplifies the legal ramifications of inadequate informed consent, emphasizing the importance of transparent communication. Overall, ensuring proper informed consent is crucial for medical practitioners to avoid legal consequences. It's advisable to seek guidance from legal professionals for specific advice regarding medical liability and informed consent in the Philippines.</t>
  </si>
  <si>
    <t>In the Philippines, the practice of cosmetic surgery and aesthetic procedures is regulated by various laws, regulations, and guidelines aimed at ensuring patient safety, quality of care, and ethical standards. Some key aspects of how the law addresses cosmetic surgery and aesthetic procedures include:
Medical Act of 1959: The Medical Act of 1959 governs the practice of medicine in the Philippines, including cosmetic surgery and aesthetic procedures. Medical practitioners performing these procedures are required to be licensed physicians registered with the Philippine Regulatory Commission (PRC). They must adhere to the same standards of care, ethics, and professionalism as in other medical specialties.
Philippine Medical Association (PMA) Guidelines: The PMA and other professional organizations may issue guidelines and standards of practice for cosmetic surgery and aesthetic procedures. These guidelines cover various aspects of patient assessment, surgical techniques, safety protocols, and post-operative care to ensure quality and safety.
Department of Health (DOH) Regulations: The DOH may issue regulations and standards for cosmetic surgery and aesthetic procedures to protect public health and safety. These regulations may include requirements for facility accreditation, equipment standards, infection control protocols, and qualifications for medical practitioners performing these procedures.
Informed Consent: Like all medical procedures, cosmetic surgery and aesthetic procedures require informed consent from patients. Medical practitioners must provide patients with comprehensive information about the risks, benefits, alternatives, and expected outcomes of the procedure to enable them to make informed decisions.
Advertising and Marketing Regulations: The advertising and marketing of cosmetic surgery and aesthetic procedures are subject to regulations to prevent false or misleading claims and ensure transparency. Medical practitioners are prohibited from making exaggerated claims or promises about the results of these procedures.
Medical Malpractice Laws: Patients who suffer harm or injury as a result of negligence or malpractice during cosmetic surgery or aesthetic procedures may pursue legal action against the responsible medical practitioner. Medical practitioners may be held liable for damages if they fail to meet the standard of care expected in these procedures.</t>
  </si>
  <si>
    <t>In the Philippines, patients have legal rights when seeking compensation for medical malpractice or negligence. Some of these rights include:
Right to Quality Healthcare: Patients have the right to receive quality healthcare services that meet accepted medical standards. If a patient suffers harm or injury due to medical malpractice or negligence, they have the right to seek compensation for damages.
Right to Informed Consent: Patients have the right to be fully informed about their medical condition, treatment options, risks, benefits, and alternatives before undergoing any medical intervention. If a patient did not give informed consent for a procedure that resulted in harm or injury, they may have grounds for seeking compensation.
Right to Redress and Remedies: Patients who suffer harm or injury due to medical malpractice or negligence have the right to seek redress and remedies through various channels. This may include filing a complaint with regulatory bodies, professional associations, or legal authorities, as well as pursuing civil litigation to seek compensation for damages.
Right to Legal Representation: Patients have the right to legal representation when pursuing compensation for medical malpractice or negligence. A qualified lawyer can help them understand their rights, assess the merits of their case, and navigate the legal process effectively.
Right to Fair Compensation: Patients who prove that they suffered harm or injury due to medical malpractice or negligence are entitled to fair compensation for their losses. This may include compensation for medical expenses, lost income, pain and suffering, disability, and other related damages.
Right to Due Process: Patients have the right to due process when pursuing compensation for medical malpractice or negligence. This includes the right to a fair and impartial hearing, the opportunity to present evidence and arguments in support of their claim, and the right to appeal any adverse decisions.</t>
  </si>
  <si>
    <t>Healthcare providers in the Philippines have legal obligations when obtaining informed consent from patients for surgical procedures. These obligations are outlined in various laws, regulations, and ethical guidelines, including:
Medical Act of 1959: The Medical Act of 1959 sets forth the professional standards and responsibilities of healthcare providers, including surgeons, in obtaining informed consent from patients. It emphasizes the importance of respecting patients' autonomy and ensuring that they fully understand the risks, benefits, and alternatives of surgical procedures before providing consent.
Civil Code of the Philippines: The Civil Code of the Philippines recognizes the right of individuals to autonomy and self-determination over their bodies. Healthcare providers must obtain voluntary and informed consent from patients before performing surgical procedures, ensuring that patients understand the nature and purpose of the surgery, as well as its potential risks and complications.
Department of Health (DOH) Regulations: The DOH may issue regulations and guidelines that govern the informed consent process for surgical procedures. These regulations may specify the information that must be provided to patients, the manner in which consent should be obtained, and the documentation requirements for informed consent.
Ethical Guidelines: Professional organizations such as the Philippine Medical Association (PMA) may issue ethical guidelines and standards of practice for healthcare providers regarding informed consent. These guidelines emphasize the importance of honest and transparent communication with patients, respecting their right to make informed decisions about their healthcare.
Case Law: Court decisions and legal precedents may also shape the legal obligations of healthcare providers in obtaining informed consent for surgical procedures. Courts may consider factors such as the adequacy of information provided to patients, the voluntariness of consent, and the presence of any coercion or undue influence.</t>
  </si>
  <si>
    <t>In the Philippines, breaches of patient confidentiality by medical practitioners are addressed through various legal, administrative, and professional measures. These include imposing civil penalties, such as monetary fines, as a deterrent against unauthorized disclosure. In severe cases, criminal charges may be pursued, and administrative penalties like license revocation can be enforced. The National Privacy Commission has also issued guidelines to protect patient data, emphasizing the importance of regular reminders, access controls, physical security measures, and contractual agreements. These actions aim to uphold patient trust, confidentiality, and data integrity, particularly amidst the COVID-19 pandemic.</t>
  </si>
  <si>
    <t>Yes, a patient generally has the right to refuse medical treatment, even in life-threatening situations, based on principles of autonomy and self-determination. This right is recognized in various legal and ethical frameworks, including:
Civil Liberties: The right to refuse medical treatment is grounded in civil liberties, which protect individuals' autonomy and self-determination over their bodies. Patients have the legal right to make decisions about their own healthcare, including the decision to accept or refuse medical treatment, even if it may result in harm or death.
Informed Consent: Informed consent is a fundamental principle of medical ethics and law. Healthcare providers are required to obtain informed consent from patients before performing medical procedures or treatments. This includes providing patients with relevant information about the proposed treatment, discussing potential risks and benefits, and ensuring that patients understand their options before making a decision. If a patient refuses treatment after being informed of the risks and benefits, healthcare providers are generally obligated to respect their decision.
Legal Implications for Healthcare Providers: While patients have the right to refuse medical treatment, healthcare providers may face legal and ethical dilemmas in such situations. Healthcare providers have a duty to act in the best interests of their patients and to provide appropriate medical care. If a patient refuses treatment that is necessary to prevent imminent harm or death, healthcare providers may face ethical conflicts between respecting the patient's autonomy and fulfilling their duty to provide care. In some cases, healthcare providers may seek legal guidance or intervention, such as obtaining a court order or consulting an ethics committee, to determine the appropriate course of action.</t>
  </si>
  <si>
    <t>Patients in the Philippines have several legal rights when filing complaints against healthcare providers for substandard care. These rights are established to ensure accountability, patient safety, and quality of care. Some of the key legal rights include:
Right to Access Healthcare Services: Patients have the right to access healthcare services without discrimination. This includes the right to receive quality healthcare services based on accepted medical standards.
Right to Informed Consent: Patients have the right to be fully informed about their medical condition, treatment options, risks, benefits, and alternatives before undergoing any medical intervention. Informed consent respects patients' autonomy and decision-making capacity.
Right to Privacy and Confidentiality: Patients have the right to privacy and confidentiality of their medical information. Healthcare providers are legally obligated to protect patients' privacy, and disclosure of medical information should only occur to authorized individuals for healthcare purposes.
Right to Quality Care: Patients have the right to receive quality healthcare services based on accepted medical standards. This includes appropriate diagnosis, treatment, and follow-up care.
Right to Refuse Medical Treatment: Patients have the autonomy to make decisions about their healthcare, including the right to refuse medical treatment. Even in life-threatening situations, patients can decline treatments that conflict with their personal beliefs or values, although there are legal limits to this right.
Right to File Complaints: Patients have the right to file complaints against healthcare providers for substandard care or unethical conduct. They can file complaints with regulatory bodies, such as the Professional Regulation Commission (PRC), the Department of Health (DOH), or professional associations like the Philippine Medical Association (PMA).
Legal Recourse: Patients have the right to seek legal recourse if they believe they have been harmed due to substandard care or medical negligence. They can pursue civil litigation to seek compensation for damages, including medical expenses, lost wages, and pain and suffering.</t>
  </si>
  <si>
    <t>In the Philippines, patients' rights to access their medical records are safeguarded by laws such as the Data Privacy Act of 2012 and the Medical Act of 1959. Here's a brief overview:
- **Data Privacy Act of 2012:** This law ensures the confidentiality and privacy of medical records while granting patients the right to access their health information.
- **Medical Act of 1959:** This legislation further supports patients' rights to access their medical records.
Here are some practical steps to follow when requesting your medical records:
1. **Formal Request:** Submit a written request to your healthcare provider for a copy of your medical records.
2. **Know Your Rights:** Understand the Data Privacy Act of 2012 and related health laws to assert your rights effectively.
3. **Privacy and Confidentiality:** Be aware of how your medical data is protected and handled.
4. **Follow Up:** In case of delays or refusals, inquire about the reasons and work towards resolving any issues.
Accessing your medical records is crucial for managing your health and protecting your legal rights. If you encounter difficulties, seeking legal assistance from professionals knowledgeable about healthcare laws in the Philippines is advisable.</t>
  </si>
  <si>
    <t>In the Philippines, medical practitioners can be held criminally liable for negligence or malpractice under certain circumstances. Some of the key factors that may lead to criminal liability for medical negligence or malpractice include:
Gross Negligence: Medical practitioners can be held criminally liable if they demonstrate a reckless disregard for the safety and well-being of their patients. This typically involves conduct that goes beyond ordinary negligence and results in serious harm or death to a patient.
Violation of Professional Standards: Medical practitioners are expected to adhere to accepted medical standards and guidelines in their practice. If a practitioner deviates from these standards and their actions result in harm to a patient, they may be held criminally liable for professional misconduct or negligence.
Illegal Conduct: Engaging in illegal activities or performing unauthorized medical procedures can lead to criminal liability for medical practitioners. This includes practicing medicine without a valid license, performing illegal surgeries, or engaging in fraudulent billing practices.
Lack of Informed Consent: Failure to obtain informed consent from a patient before performing a medical procedure can result in criminal liability. Informed consent is a fundamental principle of medical ethics and law, and healthcare providers are required to obtain consent from patients before initiating treatment or surgery.
Intentional Harm: In rare cases, medical practitioners may be held criminally liable for intentionally causing harm to a patient. This may involve actions such as administering unnecessary or harmful treatments, falsifying medical records, or engaging in abusive behavior towards patients.
Failure to Report: Medical practitioners may also face criminal liability for failure to report certain incidents, such as notifiable diseases or adverse events, to health authorities promptly. Non-compliance with reporting obligations can lead to criminal charges.</t>
  </si>
  <si>
    <t>In the Philippines, medical practitioners can be held criminally liable for negligence or malpractice under certain circumstances. Some of the key factors that may lead to criminal liability for medical negligence or malpractice include:
Gross Negligence: If a medical practitioner demonstrates a reckless disregard for the safety and well-being of their patients, they may be held criminally liable for gross negligence. This typically involves conduct that goes beyond ordinary negligence and results in serious harm or death to a patient.
Violation of Professional Standards: Medical practitioners are expected to adhere to accepted medical standards and guidelines in their practice. If a practitioner deviates from these standards and their actions result in harm to a patient, they may be held criminally liable for professional misconduct or negligence.
Illegal Conduct: Engaging in illegal activities or performing unauthorized medical procedures can also lead to criminal liability for medical practitioners. This includes practicing medicine without a valid license, performing illegal surgeries, or engaging in fraudulent billing practices.
Lack of Informed Consent: Failure to obtain informed consent from a patient before performing a medical procedure can result in criminal liability. Informed consent is a fundamental principle of medical ethics and law, and healthcare providers are required to obtain consent from patients before initiating treatment or surgery.
Intentional Harm: In rare cases, medical practitioners may be held criminally liable for intentionally causing harm to a patient. This may involve actions such as administering unnecessary or harmful treatments, falsifying medical records, or engaging in abusive behavior towards patients.
Failure to Report: Medical practitioners may also face criminal liability for failure to report certain incidents, such as notifiable diseases or adverse events, to health authorities promptly. Non-compliance with reporting obligations can lead to criminal charges.</t>
  </si>
  <si>
    <t>In the Philippines, the role and responsibilities of medical experts in court proceedings are governed by various legal provisions and procedural rules. Some of the key legal provisions addressing this include:
Rules of Court: The Rules of Court govern the procedures and practices in Philippine courts, including the rules related to expert testimony. Rule 132, Section 49 specifically addresses the qualifications of expert witnesses and the admissibility of their testimony. It states that a witness may be qualified as an expert if they possess special knowledge, skill, experience, or training in a particular field relevant to the case.
Judicial Affidavit Rule: The Judicial Affidavit Rule, implemented in 2012, regulates the use of affidavits as direct testimonies of witnesses, including expert witnesses. It sets forth the requirements for the submission of judicial affidavits, including those prepared by medical experts. This rule aims to expedite court proceedings by limiting the need for direct examination and cross-examination of witnesses during trial.
Civil Code of the Philippines: The Civil Code contains provisions related to expert opinions in civil cases. Article 1957 allows the court to appoint one or more experts to examine the subject of controversy and to submit a report on their findings. The court may also order the parties to submit specific questions to the experts for their opinion.
Medical Act of 1959: The Medical Act regulates the practice of medicine in the Philippines and sets forth the standards of professional conduct for medical practitioners. While it does not specifically address the role of medical experts in court proceedings, it indirectly influences the qualifications and ethical responsibilities of medical experts who provide testimony in legal cases.
Rules of Evidence: The Rules of Evidence provide guidelines for the admission and presentation of evidence in court proceedings, including expert testimony. Rule 130, Section 44 outlines the general rule on expert testimony, stating that the opinion of an expert witness is generally admissible to aid the court in understanding the evidence or determining a fact in issue.</t>
  </si>
  <si>
    <t>What are the different types of medical professionals recognized by Philippine law?</t>
  </si>
  <si>
    <t>In the Philippines, various categories of medical professionals are recognized, each with distinct roles and responsibilities governed by specific laws and regulations:
1. Licensed Physicians:
- Doctors of Medicine (MD): Holders of a Doctor of Medicine degree who have passed the Philippine Physician Licensure Examination. They can independently practice medicine in diverse settings such as hospitals, clinics, and private practices.
- Specialists: Physicians who have completed residency training in a specific specialty and obtained board certification from specialty boards like the Philippine Board of Surgery or the Philippine Board of Pediatrics, allowing them to practice within their specialized area.
2. Allied Medical Professionals:
- Nurses: Registered Nurses (RN) and Registered Midwives (RM) provide essential bedside care, patient education, and support to physicians. They must graduate from accredited nursing programs and pass the board examination.
- Other Allied Professionals: This category includes pharmacists, dentists, physical therapists, occupational therapists, and medical technologists, each subject to specific licensure requirements set by their respective regulatory bodies.
3. Complementary and Alternative Medicine (CAM) Practitioners:
- While not mainstream, certain CAM practitioners are recognized under specific laws:
- Traditional and Alternative Medicine Act (RA 8423): Regulates the practice of traditional and alternative medicine (TAM), requiring practitioners to register with the Philippine Institute of Traditional and Alternative Health Care (PITAHC).
- Barbero Act (RA 10248): Acknowledges the practice of barbering and cosmetology, encompassing techniques such as hairstyling, shaving, and basic skin care.</t>
  </si>
  <si>
    <t>What are the key principles of patient autonomy under Philippine medical law?</t>
  </si>
  <si>
    <t>Respecting patient autonomy, the right for individuals to decide on their healthcare, is a fundamental principle in Philippine medical law. Here are its key aspects:
1. Emphasis on patient autonomy:
- The Philippine Medical Association's Code of Ethics stresses the physician's duty to honor patient autonomy by seeking their informed consent before any medical procedure.
- Informed consent is pivotal, requiring:
- Adequate information provision: Healthcare providers must offer comprehensive details about the patient's health condition, treatment options, risks, benefits, and alternatives in an understandable manner.
- Capacity assessment: Patients must possess mental competence to comprehend and decide on their healthcare. If not, a legally authorized representative should be involved.
- Voluntary decision-making: Consent must be freely given without coercion or pressure.
2. Exceptions to informed consent:
- Certain circumstances may warrant deviation from informed consent, guided by specific legal and ethical principles:
- Emergencies: Immediate treatment is permissible when a patient is unconscious or incapable of deciding due to an emergency threatening their life or well-being.
- Waiver: Rarely, a patient may expressly waive their right to be fully informed about certain aspects of their treatment.
- Legally authorized representation: If a patient lacks decision-making capacity, their authorized representative, like a parent or court-appointed guardian, can consent on their behalf.
3. Balancing patient autonomy with other concerns:
- While upholding patient autonomy, healthcare providers must also:
- Safeguard public health: This may entail mandatory reporting of infectious diseases or taking preventive measures despite patient objections.
- Protect vulnerable individuals: In cases of child abuse, healthcare providers may have a legal duty to report, even if the patient objects.
In summary, Philippine medical law underscores the importance of respecting patient autonomy while considering broader public health interests and safeguarding vulnerable populations. Understanding these principles is crucial for both healthcare providers and patients in navigating medical decision-making.</t>
  </si>
  <si>
    <t>When can a healthcare provider deviate from informed consent?</t>
  </si>
  <si>
    <t>In the Philippines, healthcare providers are mandated by ethical and legal principles to adhere to informed consent guidelines. Here's an overview:
Voluntary Informed Consent:
- Physicians must secure voluntary informed consent from patients before administering any medical procedure or treatment.
- In situations where the patient is incapacitated, consent may be provided by a spouse, immediate relatives, or a party authorized by the patient's advanced directive.
Emergency Situations:
- In emergencies where obtaining informed consent is impractical, healthcare providers may proceed with life-saving interventions if the patient's life is at immediate risk and close relatives are unavailable.
Patient Rights:
- Patients have certain entitlements, including:
- Access to healthcare services without discrimination.
- Full disclosure of medical information, treatment options, and associated risks.
- Privacy and confidentiality of their medical records.
- Receipt of quality healthcare services adhering to established medical standards.
Importance of Informed Consent:
- Informed consent is not only a legal obligation but also an ethical imperative for healthcare professionals.
- Failing to obtain informed consent can lead to legal repercussions and ethical violations, undermining patient autonomy and dignity.
Healthcare providers must uphold these rights and responsibilities to ensure the delivery of safe and respectful healthcare services.</t>
  </si>
  <si>
    <t>What are the legal consequences of medical malpractice in the Philippines?</t>
  </si>
  <si>
    <t>How are medical ethics integrated into the Philippine legal framework for healthcare?</t>
  </si>
  <si>
    <t>Legal Overview: Medical ethics is governed by Philippine law, which includes measures such as the Medical Act of 1959 and the Patients' Rights and Obligations Act. This covers principles for informed consent, confidentiality, and the right to ethical medical care. In the Philippines, medical ethics are deeply integrated into the legal framework governing healthcare. Here's an overview:
1. The Medical Act of 1959 (Republic Act No. 2382): This law sets the standards and regulations for medical practice in the country. It outlines the ethical obligations expected of physicians, forming the basis of medical ethics in the Philippines.
2. Professional Regulatory Boards (PRBs): Under the PRC Modernization Act of 2000 (Republic Act No. 8981), PRBs are tasked with supervising and regulating various professions, including medicine. They play a key role in upholding ethical standards, investigating violations, and ensuring compliance with the profession's Code of Ethics.
3. Philippine Medical Association (PMA): As the Accredited Professional Organization for physicians, the PMA establishes a Code of Ethics for the Medical Profession. This code delineates ethical principles governing the conduct of physicians across different aspects of their practice, including interactions with patients, colleagues, and the healthcare system.
4. Patients' Rights and Obligations Act: While not explicitly mentioned in the provided sources, this legislation underscores patient rights, including informed consent, confidentiality, and the right to receive ethical medical treatment. It complements the legal framework by emphasizing the importance of ethical considerations in healthcare delivery.
In essence, Philippine law, through various statutes and regulations, provides a solid legal foundation for medical ethics. These regulations ensure that healthcare professionals uphold ethical standards, prioritize patient welfare, and maintain the integrity of the medical profession.</t>
  </si>
  <si>
    <t>What are the specific regulations governing telemedicine in the Philippines?</t>
  </si>
  <si>
    <t>Telemedicine, the provision of healthcare services remotely through telecommunication technology, is gaining traction in the Philippines. Although there isn't a dedicated law for telemedicine, its practice is regulated by a combination of existing laws, regulations, and guidelines:
1. Joint Guidelines on Telemedicine Practice (DOH-UPM-JMC No. 2020-0001):
- Issued by the Department of Health (DOH) and the University of the Philippines Manila (UPM).
- Covers definitions, qualifications, standards of care, informed consent, and confidentiality.
- Emphasizes adherence to professional standards and data privacy laws.
2. Other Relevant Laws and Regulations:
- Telecommunications Act of 1997: Establishes the legal framework for telecommunications infrastructure.
- Medical Act of 1959: Defines medical practice and qualifications for physicians.
- Data Privacy Act of 2012: Protects personal information, including health data.
- Philippine Medical Association (PMA) Code of Ethics: Provides ethical guidance for physicians, including telemedicine.
Key Points:
- Telemedicine complements but doesn't replace in-person consultations.
- Documenting telemedicine consultations in patient records is essential.
- Informed consent requirements for telemedicine are specified in the Joint Guidelines.
- Consulting qualified healthcare professionals familiar with telemedicine regulations is advisable for guidance.
These regulations aim to ensure quality care, patient safety, and data privacy in telemedicine practices within the Philippines.</t>
  </si>
  <si>
    <t>How does Philippine law address the use of assisted reproductive technologies (ART)?</t>
  </si>
  <si>
    <t>In the Philippines, Assisted Reproductive Technologies (ART) are not comprehensively regulated by specific legislation. However, existing legal frameworks and ethical guidelines address certain aspects of ART:
1. The Family Code of the Philippines (Executive Order No. 220): This law, enacted in 1987, recognizes legitimacy and filiation based on natural birth and artificial insemination with the written consent of spouses. However, it does not provide clear regulations for other ART procedures such as in vitro fertilization (IVF) or surrogacy.
2. Department of Health (DOH) Administrative Orders and Guidelines:
- DOH Administrative Order No. 2012-0012 (AO 2012-0012) establishes ethical standards for assisted reproduction, including requirements for informed consent, confidentiality, and the ban on non-medical sex selection. It mandates that licensed physicians perform ART procedures in accredited facilities.
- DOH Memorandum Order No. 2013-0015 (MO 2013-0015) provides guidelines for the establishment and operation of ART clinics, specifying minimum requirements for infrastructure, equipment, and personnel.
3. Philippine Medical Association (PMA) Code of Ethics: The PMA Code guides physicians performing ART procedures, emphasizing patient autonomy, informed consent, responsible practice within their competence, and non-commercialization of ART.
Limitations and Challenges:
- Surrogacy arrangements, egg and sperm donation, and embryo disposition lack clear legal frameworks, leading to uncertainties regarding parental rights, compensation, and the fate of unused embryos.
Overall, while existing laws and guidelines provide some regulation and ethical guidance for ART in the Philippines, a comprehensive legislation is necessary to address emerging issues and ensure responsible practice, benefiting both patients and healthcare providers.</t>
  </si>
  <si>
    <t>What are the legal requirements for conducting medical research involving human subjects in the Philippines?</t>
  </si>
  <si>
    <t>The PHREB, as stipulated by Republic Act No. 10532, mandates all human subjects-related research to undergo an ethical evaluation and clearance from a PHREB-accredited Research Ethics Committee prior to conduct.</t>
  </si>
  <si>
    <t>How does the law address the confidentiality of patient medical records in the Philippines?</t>
  </si>
  <si>
    <t>Legal Overview: In the Philippines, medical record confidentiality is governed by the Data Privacy Act of 2012 and the Medical Act of 1959. These regulations require that health information be kept private and secret unless the patient explicitly consents to disclosure.</t>
  </si>
  <si>
    <t>How does Philippine law handle end-of-life decisions and advance directives?</t>
  </si>
  <si>
    <t>In the Philippines, the legal landscape concerning end-of-life decisions and advance directives has been subject to discussion and exploration. Here are the key points:
Limited Legal Progress: Despite efforts since the adoption of the current constitution in 1987, legislation regarding end-of-life advance directives has seen minimal success.
Recent Developments: The National Mental Health Act has made strides in recognizing patients' rights to express treatment preferences through advance directives, particularly in mental healthcare contexts.
Religious and Sociocultural Influences: Political leaders' reluctance to address end-of-life directives is often attributed to religious and sociocultural factors.
Alternative Measures: Despite the absence of formal legislation, some medical institutions offer written advance directive options to patients, enabling them to communicate treatment preferences.
Impact of COVID-19: The pandemic has spurred discussions on the relevance of advance directives in ensuring patient wishes are respected during critical health situations.
Supreme Court Recognition: In 2018, the Supreme Court acknowledged the concept of "advance medical directives," permitting passive euthanasia under strict safeguards. This recognition underscores patient autonomy in end-of-life decisions.
Definition of Advance Directives: These documents allow individuals to outline their healthcare preferences in advance, enabling families to honor those wishes when the individual is unable to communicate.
In essence, while a comprehensive legal framework for end-of-life advance directives is lacking in the Philippines, recent legal recognitions and ongoing dialogues highlight the importance of upholding patient preferences and dignity in critical healthcare scenarios.</t>
  </si>
  <si>
    <t>What are the legal rights and responsibilities of parents regarding their children's medical care?</t>
  </si>
  <si>
    <t>In the Philippines, parents are entrusted with both rights and responsibilities regarding their children's medical care. Here are the key points:
Right to Consent: Parents have the authority to give or withhold consent for medical treatments and procedures on behalf of their children, encompassing vaccinations, surgeries, medications, and other interventions. However, decisions should prioritize the child's best interests.
Access to Health Records: Parents with parental responsibility are entitled to access their children's health records, except in cases where the child can independently provide consent.
Duty to Provide Care: Parents, guardians, or caregivers are obligated to ensure that their children receive necessary medical care to prevent serious harm to their physical or mental health or the safety of others.
Parent Effectiveness Service (PES) Program: This initiative aims to enhance parental involvement in children's development and learning by providing education and support on various parenting aspects, including child health care.
Rights of Filipino Children: Every child in the Philippines has the right to receive proper medical attention from conception through childhood, emphasizing the responsibility of parents to create a safe environment for their unborn child.
These rights and responsibilities serve as crucial pillars in promoting the well-being and health of children throughout the Philippines.</t>
  </si>
  <si>
    <t>How does Philippine law address organ donation and transplantation?</t>
  </si>
  <si>
    <t>In the Philippines, organ donation and transplantation are governed by the Organ Donation Act of 1991 (Republic Act No. 7170). Here are the key provisions of this legislation:
Title and Definitions:
The law is officially titled the “Organ Donation Act of 1991” and defines important terms such as organ bank storage facility, decedent, donor, and parts of the body.
Authorization for Organ Donation:
Individuals are permitted to legally donate all or part of their body after death for specified purposes, and this authorization can be granted by a testator.
Medical Determination of Death:
Death is determined based on medical standards, including irreversible cessation of circulatory and respiratory functions or irreversible cessation of all brain functions, diagnosed by two qualified physicians independently.
Immediate Family Consent:
Consent for organ donation can also be provided by the immediate family of the deceased, as defined in the Act.
Hospital and Physician Roles:
Hospitals, both licensed and government-operated, play a crucial role in facilitating organ donation, and licensed physicians or surgeons are involved in the process.
Legacy or Donation:
Individuals have the option to make a legacy of all or part of their body for specific purposes, such as organ transplantation or medical research.
Penalties and Enforcement:
The Act includes penalties for violations to ensure compliance and aims to promote the right to health and encourage organ donation.
Recent Developments:
There have been discussions about amending the Act to introduce an “opt-out” system for organ donation and transplantation.
In summary, the Organ Donation Act of 1991 establishes the legal framework for organ donation and transplantation in the Philippines, emphasizing consent, medical standards, and enforcement.</t>
  </si>
  <si>
    <t>What are the legal limitations on healthcare providers engaging in commercial transactions with patients?</t>
  </si>
  <si>
    <t>In the Philippines, healthcare providers operate within a legal framework that delineates their rights and obligations in commercial dealings with patients. Here are the key elements:
Right to Healthcare Access:
Every individual has the entitlement to healthcare services without any form of discrimination. This means that healthcare must be provided regardless of the patient's financial capacity or personal characteristics.
Informed Consent:
Patients hold the right to receive comprehensive information about their medical condition, treatment options, associated risks, benefits, and alternatives before undergoing any medical procedure.
Informed consent upholds patients' autonomy and decision-making abilities, necessitating that healthcare providers convey information clearly and comprehensibly.
Privacy and Confidentiality:
Patients possess the right to privacy and confidentiality regarding their medical data.
Healthcare providers are legally obligated to safeguard patient information and disclose it only to authorized individuals for healthcare purposes.
Quality Care:
Patients are entitled to receive healthcare services of a high standard, encompassing accurate diagnosis, appropriate treatment, and follow-up care based on established medical guidelines.
Healthcare providers are expected to treat patients with dignity and respect, irrespective of their personal circumstances.
Commercial Transactions:
Healthcare providers must adhere to ethical and legal principles in commercial transactions with patients.
Transparency is paramount, requiring clear communication of fees, charges, and payment terms.
Providers should avoid conflicts of interest that might compromise patient care, such as recommending unnecessary procedures for financial gain.
Billing practices should be fair, accurate, and compliant with relevant laws and regulations.
These rights and responsibilities serve as the foundation for fostering trust, ensuring patient well-being, and upholding healthcare standards in the Philippines.</t>
  </si>
  <si>
    <t>What are the regulations surrounding healthcare advertising and marketing in the Philippines?</t>
  </si>
  <si>
    <t>In the Philippines, health product advertising is generally governed by Republic Act No. 9711, also known as the Food and Drug Administration Act of 2009 ("FDA Act"), the FDA Implementing Rules and Regulations ("FDA IRR"), and regulations and guidelines issued by the Philippine Food and Drug Administration ("FDA") and the Department of Health ("DOH").</t>
  </si>
  <si>
    <t>How does the law protect medical professionals from violence and harassment in the workplace?</t>
  </si>
  <si>
    <t>In the Philippines, laws and regulations are in place to protect medical professionals from workplace violence and harassment. Here are the key provisions:
1. Anti-Sexual Harassment Act of 1995 (Republic Act No. 7877):
- This law defines and prohibits sexual harassment in educational and employment settings, including healthcare institutions.
- Employers are required to establish policies and procedures to prevent and address sexual harassment, and medical professionals can report incidents to their employers or directly to the Department of Labor and Employment (DOLE).
2. Labor Code of the Philippines:
- The Labor Code provides general protections for all workers, including medical professionals, against physical violence, threats, intimidation, and coercion in the workplace.
- Medical professionals experiencing violence or harassment can seek legal remedies through the DOLE or file complaints with the National Labor Relations Commission (NLRC).
3. Professional Regulation Commission (PRC) Regulations:
- The PRC has guidelines and ethical standards for healthcare practitioners emphasizing professional conduct, respect, and non-discrimination.
- Violations can lead to disciplinary actions against the offending professional.
4. Hospital Policies and Protocols:
- Healthcare institutions typically have internal policies and protocols to address workplace violence and harassment.
- Medical professionals should be familiar with these guidelines and report incidents promptly, with hospitals offering counseling, legal assistance, and protective measures.
5. Criminal Laws:
- Criminal offenses related to violence (e.g., assault, physical harm, or threats) are punishable under the Revised Penal Code.
- Medical professionals have the option to file criminal complaints against perpetrators, with law enforcement agencies and courts handling such cases.
It's essential for medical professionals to know their rights and seek support from their institutions, professional organizations, or legal authorities if they encounter violence or harassment in the workplace.</t>
  </si>
  <si>
    <t>What are the legal requirements for reporting and managing infectious diseases in the Philippines?</t>
  </si>
  <si>
    <t>In the Philippines, the Mandatory Reporting of Notifiable Diseases and Health Events of Public Health Concern Act (Republic Act No. 11332) establishes protocols for monitoring and responding to infectious diseases and health events. Here are the key highlights:
1. Title and Declaration of Policy:
- The Act is titled the "Mandatory Reporting of Notifiable Diseases and Health Events of Public Health Concern Act."
- It emphasizes the government's commitment to safeguarding citizens' right to health and ensuring proactive disease surveillance, especially for emerging infectious diseases and epidemics.
2. Definition of Terms:
- Disease: Refers to illnesses caused by specific toxic substances, occupational exposure, or infectious agents.
- Disease Control: Aims to reduce disease incidence, prevalence, morbidity, or mortality.
- Disease Surveillance: Involves systematic data collection, analysis, and dissemination for public health planning and evaluation.
- Emerging or Re-emerging Infectious Diseases: Encompass diseases previously unseen in humans, affecting small populations, or caused by previously undetected agents.
3. Responsibilities:
- The Department of Health (DOH) and its local counterparts are tasked with implementing mandatory reporting of notifiable diseases and health events.
- They establish and maintain a functional disease surveillance and response system.
- Reporting is facilitated through the use of Case Investigation Forms (CIF) for Category I diseases/syndromes and Case Report Forms (CRF) for Category II diseases/syndromes.
It's essential to adhere to these reporting requirements to ensure timely detection and management of infectious diseases, thereby safeguarding public health and safety in the Philippines.</t>
  </si>
  <si>
    <t>How does Philippine law protect the rights of healthcare workers who become infected with a disease in the line of duty?</t>
  </si>
  <si>
    <t>In the Philippines, various laws and regulations are in place to uphold the rights of healthcare workers, particularly in cases where they contract diseases while fulfilling their duties. Let's explore some of these provisions:
1. **Universal Health Care Act (Republic Act No. 11223)**:
- This legislation aims to provide comprehensive health coverage for all Filipinos, emphasizing equitable access to quality healthcare services.
- Healthcare workers play a crucial role in this system, and the Act ensures their rights are protected, prioritizing those who cannot afford healthcare services¹.
2. **Protection from Incurable Diseases**:
- Employers are empowered to separate an employee if they are diagnosed with an incurable disease within six months, certified by a public health authority.
- In cases where the disease is curable within the specified timeframe, employees may be granted a leave of absence rather than termination²⁶.
3. **PhilHealth Coverage for Healthcare Workers**:
- The Philippine Health Insurance Corporation (PhilHealth) extends full hospitalization coverage to medical frontliners and allied workers who contract COVID-19 during the ongoing pandemic³.
4. **Occupational Safety and Health Standards Act (Republic Act No. 11058)**:
- This law is designed to ensure the health and safety of workers in various industries, including healthcare.
- It addresses health risks and injuries associated with workplace environments, offering protections to healthcare workers⁷.
5. **Mandatory Reporting of Notifiable Diseases and Health Events (Republic Act No. 11332)**:
- This Act establishes a mechanism for reporting notifiable diseases and public health events.
- It contributes to safeguarding public health by facilitating timely responses to health threats⁴.
6. **HIV-Related Rights (Republic Act No. 11166)**:
- While not specific to infectious diseases, this law underscores the responsibility of healthcare providers in preventing and managing the spread of HIV and AIDS.
- It also includes provisions addressing ethical considerations related to HIV⁵.
These laws collectively play a significant role in ensuring the rights and welfare of healthcare workers across the Philippines.</t>
  </si>
  <si>
    <t>What are the specific legal obligations of healthcare institutions regarding patient safety and quality of care?</t>
  </si>
  <si>
    <t>In the Philippines, healthcare institutions are legally obligated to ensure patient safety and provide quality care. Let's explore the rights and responsibilities of both patients and healthcare providers:
Patient Rights:
1. Right to Access Healthcare: Every individual has the right to access healthcare services without facing discrimination based on various factors, including socioeconomic status or religion. Healthcare should be provided regardless of the patient’s ability to pay.
2. Right to Informed Consent: Patients must receive complete information about their medical condition, treatment options, risks, benefits, and alternatives before undergoing any medical procedure. Informed consent respects patients’ autonomy and decision-making capacity.
3. Right to Privacy and Confidentiality: Patients’ medical information must be kept confidential, and healthcare providers are legally obligated to safeguard patients’ privacy by disclosing information only to authorized individuals for healthcare purposes.
4. Right to Quality Care: Patients are entitled to receive healthcare services that meet accepted medical standards, including accurate diagnosis, evidence-based treatment, and respectful treatment by healthcare providers.
Healthcare Provider Responsibilities:
1. Respect Patient Rights: Healthcare providers must respect patients’ autonomy, obtain informed consent, protect privacy, and honor patients’ decisions.
2. Provide Safe and Quality Care: Healthcare providers are responsible for adhering to professional standards, following evidence-based guidelines, and practicing within their expertise and competence to ensure patient safety and deliver quality care.
Additionally, various laws and regulations in the Philippines directly impact healthcare institutions, such as the Philippine Hospital Licensing Act, the Magna Carta for Public Health Workers, and the Mandatory Reporting of Notifiable Diseases and Health Events of Public Health Concern Act. These laws address licensing requirements, patient rights, and the responsibilities of healthcare workers.
Moreover, the Universal Health Care Act (Republic Act No. 11223) was enacted to establish universal health care for all Filipinos, implement reforms in the healthcare system, and allocate funds for these purposes.</t>
  </si>
  <si>
    <t>What are the specific legal requirements for physicians to practice medicine in the Philippines?</t>
  </si>
  <si>
    <t>In the Philippines, physicians are required to fulfill specific legal criteria to practice medicine, including:
Eligibility Criteria:
1. Age Requirement: Applicants must be at least twenty-one years old.
2. Passing Board Examination: They must pass the relevant Board Examination for medicine.
3. Certificate of Registration: Applicants must hold a valid Certificate of Registration issued by the Board of Medical Examiners.
Additional Requirements for Physician Licensure:
1. PSA Birth Certificate: Proof of birth from the Philippine Statistics Authority (PSA).
2. PSA Marriage Contract (for married female applicants): Necessary for married female applicants.
3. Certificates of Good Moral Character: Applicants must obtain two certificates from either their medical school or the hospital/institution where they completed their internship.
These requirements ensure that physicians in the Philippines meet the required qualifications and ethical standards for medical practice.</t>
  </si>
  <si>
    <t>What are the ethical and legal limitations on nurses engaging in delegated medical acts?</t>
  </si>
  <si>
    <t>In the Philippines, nurses play a vital role in healthcare delivery, but their participation in delegated medical responsibilities is governed by both ethical principles and legal regulations. Let's explore these constraints:
Ethical Boundaries:
1. Competence: Nurses must operate within their skill set and expertise, refraining from tasks beyond their training.
2. Informed Consent: Ensuring patients comprehend the procedures they undergo is imperative to honor their autonomy.
3. Confidentiality: Nurses must uphold patient privacy, refraining from sharing sensitive information without proper authorization.
4. Non-Maleficence: Nurses must avoid actions that could harm patients physically, emotionally, or mentally.
5. Beneficence: Acting in the best interest of patients is essential for promoting their overall well-being.
6. Advocacy: Nurses are advocates for patients, ensuring they receive dignified care and have their rights upheld.
Legal Constraints:
1. Republic Act No. 4224: This legislation amends certain aspects of the "Medical Act of 1959," outlining the composition and functions of the Board of Medical Education, which influences medical education requirements and curriculum.
2. Delegation of Medical Authority: Nurses can execute delegated medical tasks but must adhere to specific guidelines:
- Supervision: Nurses work under the supervision of licensed physicians or authorized healthcare professionals.
- Task Definition: Delegated responsibilities should be clearly outlined and documented.
- Training and Competence: Nurses must receive appropriate training and demonstrate competence in delegated tasks.
- Legal Responsibility: Nurses remain legally accountable for their actions, even when delegated by others.
- Scope of Practice: Nurses must understand and adhere to their scope of practice to avoid exceeding their professional boundaries.
- Patient Safety: Prioritizing patient safety is paramount for nurses when performing delegated medical duties.
Adhering to these limitations ensures the maintenance of high standards of care, safeguards patient interests, and upholds the integrity of the nursing profession in the Philippines.</t>
  </si>
  <si>
    <t>How does the law regulate the practice of allied medical professionals like pharmacists and physical therapists?</t>
  </si>
  <si>
    <t>In the Philippines, laws and regulations govern the practice of allied medical professionals like pharmacists and physical therapists, ensuring adherence to specific standards and guidelines. Let's explore these regulations:
Universal Health Care Act (Republic Act No. 11223):
- This legislation, known as the "Universal Health Care Act," underscores the government's commitment to safeguarding the right to health for all citizens.
- It emphasizes principles such as comprehensive health service accessibility, collaborative healthcare systems, and people-centered service delivery to achieve universal health coverage.
- The Act has broad implications for healthcare professionals, including pharmacists and physical therapists, in ensuring equitable access to quality healthcare while mitigating financial risks.
Physical Therapy Regulation:
- The Professional Regulation Commission (PRC) oversees the practice of physical therapy in the Philippines through the Professional Regulatory Board (PRB) for Physical Therapy.
- Republic Act 5680 grants the PRC authority to regulate and supervise physical therapy practice.
- To practice physical therapy legally, individuals must obtain a prescription from a registered physician and hold a valid certificate of registration issued by the Board of Examiners for Physical Therapists.
Pharmacy Regulation:
- The Philippine Pharmacy Act, also known as Republic Act No. 10918, regulates pharmacy practice in the country.
- This law establishes the supervision, control, and regulation of pharmacy practice to ensure adherence to standards.
- Pharmacists are required to comply with relevant laws, regulations, and the profession's Code of Ethics to maintain the integrity of pharmacy practice.
These regulations are essential for maintaining professional standards, safeguarding patient well-being, and ensuring the quality of healthcare services provided by allied medical professionals in the Philippines.</t>
  </si>
  <si>
    <t>What are the legal implications of a medical student or resident engaging in patient care?</t>
  </si>
  <si>
    <t>In the Philippines, healthcare and medical law play a pivotal role in defining the rights and duties of patients as well as healthcare practitioners, including medical students and residents involved in patient care. Let's explore the legal implications for medical students and residents in patient care:
Patient Rights:
Access to Healthcare: Every individual is entitled to healthcare services without discrimination, irrespective of socioeconomic status or other factors.
Informed Consent: Patients must be fully informed about their medical condition, treatment options, risks, and alternatives before consenting to any medical procedure.
Privacy and Confidentiality: Patient information must be kept confidential, and access should be restricted to authorized personnel for healthcare purposes only.
Quality Care: Patients deserve quality healthcare adhering to established medical standards, with dignity and respect from healthcare providers.
Legal Considerations for Medical Students and Residents:
Competence: Medical students and residents should operate within their level of competence, seeking guidance as necessary to avoid harm to themselves or patients.
Informed Consent: When participating in patient care, obtaining informed consent is essential, ensuring patients understand the procedures and their implications.
Confidentiality: Medical students and residents must uphold patient confidentiality, refraining from unauthorized disclosure of medical information.
Professionalism: They must maintain professional conduct, adhere to ethical standards, and exhibit respect in all interactions with patients, colleagues, and superiors.
Supervision: Working under appropriate supervision is crucial to ensure patient safety and compliance with legal standards.
Liability: Despite their learning status, medical students and residents can be held accountable for negligence or malpractice, necessitating a clear understanding of their legal responsibilities.
Challenges and Limitations:
Community Internship Programs: These programs pose specific challenges related to professionalism, confidentiality, informed consent, and interpersonal dynamics within the medical team.
Adherence to legal and ethical principles is essential for medical students and residents to provide safe and high-quality healthcare. Seeking guidance, prioritizing patient welfare, and upholding professional standards are paramount in their practice.</t>
  </si>
  <si>
    <t>How does the law address the role and responsibilities of traditional and alternative medicine practitioners?</t>
  </si>
  <si>
    <t>The Traditional and Alternative Medicine Act (TAMA) of 1997 (Republic Act No. 8423) provides a legal framework for traditional and alternative medicine practitioners in the Philippines. Here are the main points:
Declaration of Policy:
The law aims to integrate traditional and alternative healthcare into the national healthcare system to improve services for Filipinos.
It also seeks to establish a legal basis for indigenous communities to own their traditional medicine knowledge. This includes requiring acknowledgment and financial compensation for authorized commercial use of their knowledge by outsiders.
Objectives:
Encourage scientific research on traditional and alternative healthcare systems to benefit public health.
Promote the use of safe, effective, and cost-effective traditional and alternative healthcare practices that meet government standards.
Offer skills training courses for various traditional and alternative healthcare modalities.
Establish standards, guidelines, and ethical codes for practice and the production of healthcare materials.
Protect indigenous and natural health resources from exploitation.
Enhance the role of traditional and alternative healthcare delivery systems.
Promote traditional and alternative healthcare in national and international contexts.
Philippine Institute of Traditional and Alternative Health Care (PITAHC):
Established by TAMA, PITAHC is tasked with advancing traditional and alternative healthcare development in the Philippines.
PITAHC conducts training programs for health professionals, scientists, and extension workers in this field.
In essence, the law recognizes the significance of traditional and alternative medicine, supports research, and sets guidelines to ensure safe and effective practices within the healthcare system. For more detailed information, the full text of the Traditional and Alternative Medicine Act of 1997 is available for reference.</t>
  </si>
  <si>
    <t>What are the legal steps involved in filing a complaint against a medical professional in the Philippines?</t>
  </si>
  <si>
    <t>Seek Legal Advice: It's recommended to consult with a lawyer who has expertise in handling medical malpractice cases, given their intricacies.
Gather Evidence: This involves collecting pertinent evidence such as medical records, eyewitness accounts, and expert opinions to support your case.
Submit a Formal Complaint: Lodge an official complaint either with the Philippine Medical Association (PMA) or directly with the court, following the guidance provided by your legal counsel.</t>
  </si>
  <si>
    <t>How does the legal system in the Philippines handle medical malpractice lawsuits?</t>
  </si>
  <si>
    <t>In the Philippines, medical malpractice lawsuits are generally controlled by the Civil Code, the Medical Act of 1959, and other applicable laws and regulations. These laws define healthcare practitioners' obligations and responsibilities, patient rights, and legal remedies in cases of medical negligence.</t>
  </si>
  <si>
    <t>What are the different avenues available for resolving disputes between patients and healthcare providers?</t>
  </si>
  <si>
    <t>Communication: Conflict resolution requires open and honest communication. Mediation: Consider involving a neutral third party to resolve the conflict. Compromise: Be willing to reach a middle ground and make concessions. Seek Legal Advice: If you are involved in a complex or legal matter, consult with a lawyer.</t>
  </si>
  <si>
    <t>What role do expert witnesses play in medical litigation cases in the Philippines?</t>
  </si>
  <si>
    <t>Legal Overview: In the Philippines, medical negligence trials frequently rely on expert witnesses' testimony to show the standard of care and how it was violated. The absence of such testimony may result in rejection for lack of probable cause, as the technical nature of medical practices necessitates specialised knowledge to judge.</t>
  </si>
  <si>
    <t>What are the legal implications of falsifying medical records in the Philippines?</t>
  </si>
  <si>
    <t>Falsifying medical records in the Philippines carries significant legal consequences, as outlined in relevant laws:
1. Falsification Laws: The Revised Penal Code addresses various forms of document falsification, irrespective of the motive behind it. Depending on the severity and impact of the falsification, individuals may face criminal charges or civil liabilities.
2. Specific Legal Provisions: Articles 171 and 172 of the Revised Penal Code cover falsification by public officers, employees, notaries, and ecclesiastical ministers, as well as the use of falsified documents. These provisions encompass the creation and use of forged medical certificates, leading to potential imprisonment and fines.
3. Recent Legislative Efforts: In light of the COVID-19 pandemic, there has been a particular focus on medical certificates. Proposed legislation aims to increase penalties for falsifying medical certificates during national health emergencies, including test results and vaccination cards.
It's crucial to recognize that falsifying medical records undermines trust, poses risks to public health, and carries serious legal ramifications. Upholding integrity and accuracy in healthcare documentation is paramount.</t>
  </si>
  <si>
    <t>How does Philippine law address the increasing use of artificial intelligence and other new technologies in healthcare?</t>
  </si>
  <si>
    <t>Philippine law is currently catching up to the increasing use of artificial intelligence (AI) and other new technologies in healthcare. There isn't a single, comprehensive law governing these technologies, but there are ongoing efforts and existing legal frameworks that partially address this space.
Here's a breakdown of the current situation:
* **Legislative Initiatives:**
* **House Bill No. 7396 (filed March 1, 2023):** This bill seeks to establish the **Artificial Intelligence Development Authority (AIDA)**. This agency would be responsible for developing and implementing a national AI strategy. The bill aims to promote and regulate the deployment of AI technologies in a way that ensures ethical use, protects human rights, and serves the public good.
* **Senate Resolution No. 344 (filed April 18, 2017):** This resolution called for a Senate inquiry into the government's plans and initiatives for maximizing the benefits of AI for Filipinos. * **Existing Relevant Laws:**
* **The Philippine Constitution (1987):** The Constitution guarantees the right to health (Article II, Section 15) and the right to information privacy (Article III, Section 1). These principles can be applied to ensure AI in healthcare is used ethically and respects patient privacy.
* **Republic Act No. 10057 or the Data Privacy Act of 2012 (DPA):** This law protects the privacy of personal information, including medical data. It plays a role in ensuring patient data collected by AI systems is handled responsibly.
**While there's no specific law directly regulating AI in healthcare, these initiatives and existing laws lay the groundwork for future regulations.** Here are some potential areas where Philippine law might need to adapt in the future:
* **Standards and Certification:** Laws might establish standards and certification processes for AI-powered medical devices and software to ensure their safety and efficacy.
* **Liability and Transparency:** Legal frameworks might need to address questions of liability in cases where AI contributes to medical errors. Additionally, transparency in how AI decisions are made might be necessary. * **Ethical Considerations:** Laws may need to address ethical concerns surrounding AI in healthcare, such as potential bias in algorithms or discrimination against certain patient groups.
The Philippine legal landscape regarding AI in healthcare is evolving. It's important to stay updated on developments as these technologies become more integrated into the healthcare system.</t>
  </si>
  <si>
    <t>What are the legal aspects of data privacy and security in the context of electronic medical records?</t>
  </si>
  <si>
    <t>The Philippines has several legal aspects to consider regarding data privacy and security of electronic medical records (EMRs). Here's a breakdown of the key points:
**Data Privacy Laws:**
* **Republic Act No. 10173 or the Data Privacy Act of 2012 (DPA):** This law is the cornerstone of data privacy protection in the Philippines. It applies to the processing of all personal information, including health data. The DPA requires healthcare providers and institutions that handle EMRs to comply with several principles:
* **Legitimate purpose:** EMRs can only be processed for legitimate purposes related to healthcare, such as diagnosis, treatment, and research (with patient consent).
* **Processing necessity:** The collection and processing of EMR data should be limited to what's necessary for the intended purpose.
* **Informed consent:** Patients generally must provide informed consent before their medical data is collected, used, or disclosed. There might be exceptions for emergencies or public health reasons.
* **Security safeguards:** Healthcare providers must implement appropriate security safeguards to protect EMRs from unauthorized access, use, disclosure, modification, or destruction.
* **Data breach notification:** In case of a data breach involving EMRs, the healthcare provider must notify affected patients promptly.
**Other Relevant Laws:**
* **The Philippine Constitution (1987):** Article III, Section 1 guarantees the right to privacy, which extends to personal information, including health data.
* **Civil Code:** Articles 26, 19, and 290 can be interpreted to uphold the confidentiality of patient information by healthcare providers.
**Challenges and Considerations:**
* **Lack of Specific Regulations for EMRs:** The Philippines doesn't have a specific law solely focused on EMR data security and privacy. * **Technological Advancements:** Laws may need to adapt to address new technologies used to store and access EMRs.
**Recommendations:**
* **Healthcare providers should:**
* Develop and implement data privacy policies and procedures compliant with the DPA.
* Conduct regular data security risk assessments and implement appropriate safeguards.
* Train staff on data privacy and security best practices**.
* **Patients should:**
* Familiarize themselves with their rights regarding their EMR data.
* Ask questions about how their data is collected, used, and secured.
* Provide informed consent when necessary.
**Overall, the Philippines has a legal framework for data privacy and security of EMRs. However, ongoing developments in technology and potential gaps in specific regulations mean this area might require further legal attention.**</t>
  </si>
  <si>
    <t>How is Philippine law adapting to address the challenges of antimicrobial resistance and access to essential medicines?</t>
  </si>
  <si>
    <t>The Philippines is taking steps to address the challenges of antimicrobial resistance (AMR) and access to essential medicines, but there isn't a single, comprehensive law tackling both issues. Here's a breakdown of the legal landscape:
**Addressing Antimicrobial Resistance (AMR):**
* **Philippine National Action Plan on Antimicrobial Resistance (2019-2023):** This plan outlines a multi-sectoral approach focusing on seven key strategies:
1. Commitment to a national plan with accountability.
2. Strengthening surveillance and laboratory capacity.
3. Ensuring uninterrupted access to essential medicines of assured quality.
4. Regulating and promoting rational use of medicines in humans and animals.
5. Enhancing infection prevention and control.
6. Fostering innovation and research.
7. Developing a risk communication plan.
* **Policies and Programs:** The Department of Health (DOH) implements various policies and programs aligned with the National Action Plan. These include:
* **Antimicrobial Stewardship Programs in Hospitals:** Encourage doctors to prescribe antibiotics appropriately.
* **Strengthening AMR Surveillance:** Monitor trends in antibiotic resistance.
* **Public Awareness Campaigns:** Educate the public on responsible antibiotic use.
**Legal Framework:** While there's no single law directly targeting AMR, existing laws and regulations contribute to the effort:
* **Republic Act No. 9711 or the Food and Drug Administration (FDA) Act of 2009:** Empowers the FDA to regulate the quality, safety, and efficacy of medicines, including antibiotics.
* **Veterinary Drugs and Animal Feed Additives Act:** Regulates the use of antimicrobials in animals to prevent the development of resistant bacteria in the food chain.
**Challenges:**
* **Enforcement:** Effectively enforcing existing regulations across different sectors remains a challenge. * **Public Awareness:** Enhancing public understanding of AMR and responsible antibiotic use is crucial.
**Access to Essential Medicines:**
* **The Philippine Constitution (1987):** Article II, Section 15 guarantees the right to health. This can be interpreted to include access to essential medicines.
* **Republic Act No. 6675 or the Generics Act of 1988:** Promotes the use of generic medicines, making them more affordable and accessible.
* **DOH Programs:** The DOH implements various programs to improve access to essential medicines, including:
* **Botika ng Bayan (Drugstores of the People):** Provide affordable generic medicines in communities.
* **Essential Drug List (EDL):** A list of priority medicines considered essential for the healthcare system. **Challenges:**
* **High Cost of Medicines:** Despite the Generics Act, some essential medicines might still be expensive for some Filipinos.
* **Supply Chain Issues:** Ensuring a consistent supply of essential medicines throughout the country can be challenging.
**Overall, the Philippines is working towards combating AMR and improving access to essential medicines through a combination of policies, programs, and existing legal frameworks. However, enforcement challenges and the need for more specific legislation are areas for further consideration.**</t>
  </si>
  <si>
    <t>What are the legal and ethical considerations surrounding the use of telemedicine during emergencies and pandemics?</t>
  </si>
  <si>
    <t>While there isn't a specific law solely on telemedicine in emergencies and pandemics in the Philippines, we can look at existing laws and ethical guidelines to understand the considerations:
**Legal Considerations:**
* **Republic Act No. 10028 or the Electronic Commerce Act of 2000 (E-Commerce Act):** This law recognizes the validity and enforceability of contracts formed electronically. It can apply to telemedicine transactions like online consultations and e-prescriptions. * **Republic Act No. 10173 or the Data Privacy Act of 2012 (DPA):** This law protects the privacy of a patient's medical data. Telemedicine providers must ensure patient data confidentiality and secure storage as mandated by the DPA.
* **Department of Health (DOH) issuances:** The DOH may issue specific guidelines or regulations related to telemedicine during emergencies and pandemics. These issuances would likely focus on ensuring quality care and appropriate use of telemedicine during such situations.
**Ethical Considerations:**
* **Professional obligations of doctors:** Doctors are bound by the Philippine Medical Association (PMA) Code of Ethics. This code emphasizes patient well-being, informed consent, and professional competence. Telemedicine consultations should adhere to these principles.
* **Informed consent:** Patients should be fully informed about the limitations and benefits of telemedicine consultations before proceeding. This includes understanding that a physical examination might be necessary and may require an in-person visit.
* **Access and equity:** Telemedicine shouldn't exacerbate existing disparities in healthcare access. Efforts should be made to ensure those in remote areas or with limited technological resources can still benefit from telemedicine services.
**Additional Considerations:**
* **Malpractice and liability:** Legal frameworks surrounding telemedicine and potential malpractice are still evolving. Doctors should be aware of potential risks and ensure they practice within their scope of competence during teleconsultations.
Remember, this is a developing field, and laws and regulations might change. It's advisable to consult with relevant organizations like the DOH or the PMA for the latest information.</t>
  </si>
  <si>
    <t>How can the Philippine legal system be further developed to ensure equitable access to quality healthcare for all citizens?</t>
  </si>
  <si>
    <t>Here's how the Philippine legal system can be further developed to ensure equitable access to quality healthcare for all citizens, considering Philippine RAs, the Constitution, and potential ALWs:
**Strengthening the Universal Health Care Act (UHC Act - RA 11223):**
* **Funding and resource allocation:** The UHC Act emphasizes progressive realization, meaning full implementation may require adjustments. ALWs by the Department of Health (DOH) could specify funding mechanisms and resource allocation strategies that prioritize underserved areas and populations. * **Benefit packages and service delivery:** The DOH, through ALWs, can further define the scope of services covered under PhilHealth to ensure they address the most prevalent health needs and consider regional variations. * **Monitoring and evaluation:** The DOH can issue ALWs establishing clear metrics and transparent reporting mechanisms to assess the effectiveness of the UHC Act in reaching Filipinos, especially those in marginalized communities.
**Addressing Geographic and Socioeconomic Disparities:**
* **Telehealth and mobile clinics:** ALWs by the DOH can encourage the development of guidelines and infrastructure to support telehealth consultations and mobile clinics in remote areas. This can improve access to specialists and basic care for geographically isolated communities.
* **Scholarship and manpower allocation:** The government can enact laws or the DOH can create ALWs that incentivize medical professionals to practice in underserved areas. This could involve scholarships or loan repayment programs for doctors and nurses willing to serve in remote communities. * **Social safety net integration:** Laws or ALWs can explore ways to integrate PhilHealth with existing social safety net programs, such as the Pantawid Pamilyang Pilipino Program (4Ps). This can help ensure PhilHealth premium contributions for low-income families.
**Enhancing Public Awareness and Education:**
* **PhilHealth benefit campaigns:** The DOH or PhilHealth can create ALWs mandating information campaigns to educate Filipinos about their PhilHealth benefits and how to access them. This can be done through local media, community outreach programs, and barangay-level initiatives. * **Preventive healthcare education:** Laws or ALWs can establish educational programs on preventive healthcare. This can include promoting healthy lifestyles, early disease detection, and responsible PhilHealth membership. **Ensuring Regulatory Efficiency:**
* **Streamlining PhilHealth accreditation:** The DOH can issue ALWs outlining a more efficient PhilHealth accreditation process for healthcare providers, especially those catering to underserved communities. * **Standardization of medical records:** Laws or ALWs can mandate the standardization of medical records across healthcare facilities. This can improve data collection, facilitate referrals, and ensure continuity of care, especially for patients relying on multiple providers.
**Ethical Considerations and Enforcement:**
* **Anti-discrimination safeguards:** Laws can be enacted to prevent discrimination based on PhilHealth membership status or geographic location when seeking healthcare. * **Grievance mechanisms:** ALWs by the DOH or PhilHealth can establish clear grievance mechanisms for Filipinos who encounter issues accessing healthcare services due to the UHC Act's implementation.
By implementing these legal and regulatory measures, the Philippine legal system can move closer to achieving equitable access to quality healthcare for all Filipinos.</t>
  </si>
  <si>
    <t>How does Philippine law compare to other countries in terms of its approach to medical law?</t>
  </si>
  <si>
    <t>Here's a comparison of Philippine medical law with some other countries:
**Similarities:**
* **Focus on patient well-being and informed consent:** Most countries have ethical codes and legal frameworks that emphasize patient autonomy and the right to be informed about treatment options and risks. The Philippines, through the Philippine Medical Association (PMA) Code of Ethics and the Data Privacy Act (DPA), reflects this principle. * **Regulation of healthcare professionals:** Most countries have licensing and regulatory bodies that oversee the practice of medicine and other healthcare professions. The Philippines achieves this through professional regulations and accreditation processes. * **Confidentiality of medical data:** The Philippines' Data Privacy Act (DPA) aligns with a global trend towards protecting patient privacy and ensuring the secure storage of medical records.
**Differences:**
* **Universal Health Coverage (UHC):** The Philippines, through the UHC Act (RA 11223), aims to provide all Filipinos with access to quality healthcare. Some countries have similar approaches (e.g., National Health Service in the UK), while others rely on private insurance or a mix of public and private systems (e.g., USA).
* **Telemedicine regulations:** The Philippines is still developing its legal framework for telemedicine use during emergencies and pandemics. Some countries have more established regulations governing telemedicine consultations and standards of care. * **Malpractice liability:** While the Philippines has malpractice laws, other countries might have stricter liability frameworks or specific compensation schemes for medical errors.
**Here's a more specific comparison with two countries:**
* **USA:** The US healthcare system is a complex mix of public and private insurance. There's no single national health service, and access to care can vary depending on insurance coverage and location. Telemedicine regulations are evolving at the state level. Malpractice litigation is a significant aspect of US medical law.
* **Singapore:** Singapore has a mixed healthcare system with a strong emphasis on preventive care and public health initiatives. Telemedicine is actively promoted and regulated. Malpractice laws exist, but the focus leans more towards mediation and alternative dispute resolution.
**Important to Consider:**
* Legal systems are constantly evolving. This comparison offers a general snapshot and may not capture all the nuances.
* Each country's approach to medical law reflects its unique social, economic, and political context.
Remember, this is just a starting point for further research. If you'd like to compare Philippine medical law with a specific country, let me know, and I can help you find relevant resources.</t>
  </si>
  <si>
    <t>What are some recent legislative developments or court rulings impacting medical law in the Philippines?</t>
  </si>
  <si>
    <t>Here's a breakdown of recent developments impacting medical law in the Philippines:
**Legislative Developments:**
While there haven't been major new laws directly impacting medical practice in the recent past, some existing laws continue to be refined through amendments. Here are a couple of relevant ones:
* **Republic Act No. 11223 or the "Universal Health Care Act" (2018):** This act continues to be implemented and refined. It focuses on expanding health insurance coverage for Filipinos, which indirectly impacts medical practice by potentially increasing patient volume in covered facilities.
* **Amendments to Republic Act No. 7392 or the "Philippine Midwifery Act of 1992" (various years):** These amendments aim to modernize midwifery practice in the Philippines. They may address scope of practice, continuing education requirements, and collaboration with doctors. **Court Rulings:**
Court rulings can also significantly impact medical law. Here are some recent examples:
* **Informed Consent:** Rulings have emphasized the importance of informed consent in medical procedures. This strengthens patient autonomy and compels medical professionals to provide clear and complete information before treatment ([Philippine case law on informed consent can be found in various Supreme Court decisions. Search online legal databases for specific cases]).
* **Malpractice:** Court decisions continue to define the scope of medical malpractice in the Philippines. These cases often focus on the doctor-patient relationship, the standard of care, and the burden of proof ([Similar to informed consent, you can find Philippine case law on malpractice through online legal databases]).
**Finding More Information:**
* The Official Gazette ([https://www.officialgazette.gov.ph/](https://www.officialgazette.gov.ph/)) publishes new laws and amendments.
* The Supreme Court website ([https://sc.judiciary.gov.ph/decisions/](https://sc.judiciary.gov.ph/decisions/)) provides access to court rulings.
* Legal databases like Juris Prudence ([https://lawphil.net/judjuris/judjuris.html](https://lawphil.net/judjuris/judjuris.html)) offer searchable case law on medical malpractice and informed consent.
**Remember:** This is just a brief overview. For specific legal advice, it's always best to consult a lawyer specializing in medical law.</t>
  </si>
  <si>
    <t>What are the key challenges and opportunities for improving the regulation of the healthcare sector in the Philippines?</t>
  </si>
  <si>
    <t>## Challenges in Healthcare Regulation (Philippines)
The Philippines faces several challenges in regulating its healthcare sector. Here's how existing laws and the Constitution play a role:
**Challenges:**
* **Workforce Shortages and Distribution (Constitution - Article II, Section 15):** The Constitution mandates the state to prioritize health. However, a lack of healthcare workers, especially in remote areas, hinders this goal. * **High Out-of-Pocket Payments (RA No. 11223):** While the Universal Health Care Act expands coverage, Filipinos still shoulder significant out-of-pocket expenses. This financial burden can limit access to care.
* **Fragmented and Unequal Quality (RA No. 4226 - The Hospital Licensure Act):** The Hospital Licensure Act sets standards, but quality variations persist between facilities. Regulations might need to be strengthened to ensure consistent quality across the board. * **Inadequate Public Funding (Constitution - Article III, Section 20):** The national budget for healthcare might not be enough to fully address all needs. The Constitution mandates allocation of resources, but securing sufficient funding remains a challenge. **Opportunities:**
* **Optimizing Workforce Distribution (RA No. 10842 - The Philippine Nursing Act of 2016):** Existing laws like the Philippine Nursing Act can be used for better workforce planning and deployment of healthcare professionals to underserved areas.
* **Strengthening PhilHealth (RA No. 11223):** The Universal Health Care Act provides a framework. Optimizing PhilHealth's efficiency and coverage can significantly reduce out-of-pocket expenses.
* **Technology and Innovation:** Telemedicine and digital health tools can improve access to care in remote areas. The government can explore legal frameworks to integrate these advancements within existing regulations.
* **Public-Private Partnerships (Constitution - Article XII):** The Constitution allows collaboration between public and private sectors. Public-private partnerships can contribute additional resources and expertise to improve healthcare delivery.
**Note:** This is not an exhaustive list, and legal interpretations can be complex.</t>
  </si>
  <si>
    <t>Which government agencies are primarily responsible for enforcing medical laws in the Philippines?</t>
  </si>
  <si>
    <t>Several government agencies share the responsibility of enforcing medical laws in the Philippines. Here's a breakdown based on their areas of focus:
* **Department of Health (DOH) (Executive Order No. 112, Reorganizing the DOH):** The DOH is the central agency responsible for formulating, implementing, and enforcing health policies, including those related to medical practice. They handle areas like licensing of medical professionals, setting health standards for facilities, and investigating complaints against healthcare providers.
* **Professional Regulatory Boards under the Professional Regulation Commission (PRC) (Republic Act No. 8423 - The Professional Regulation Commission Act):** The PRC oversees professional regulation across various fields, including medicine. Different boards under the PRC, like the Board of Medicine and the Board of Nursing, handle the licensing, accreditation, and disciplinary actions specific to their professions.
* **Food and Drug Administration (FDA) (Republic Act No. 3720 - Food, Drug, and Cosmetic Act):** The FDA regulates the safety and efficacy of drugs, medical devices, and cosmetics. They ensure these products meet quality standards and enforce laws against counterfeit or unauthorized medical products.
* **Philippine National Police (PNP) (Republic Act No. 6975 - DILG Act of 1991):** The PNP plays a role in enforcing medical laws when criminal violations are involved. This could include cases of fake medical practice, illegal sale of medicines, or malpractice resulting in physical harm.
* **Local Government Units (LGUs) (Republic Act No. 7160 - Local Government Code of 1991):** LGUs, particularly city and municipal health offices, have a role in implementing national health policies at the local level. This includes monitoring healthcare facilities within their jurisdiction and ensuring compliance with regulations.
**Remember:** While these are the primary agencies, other government bodies might have roles depending on the specific medical law in question.</t>
  </si>
  <si>
    <t>What resources are available to the public to learn more about their rights and responsibilities under Philippine medical law?</t>
  </si>
  <si>
    <t>The Philippines offers several resources for the public to learn about their rights and responsibilities under medical law:
**Government Websites:**
* **Department of Health (DOH):** The DOH website ([https://doh.gov.ph/](https://doh.gov.ph/)) provides information on patient rights and responsibilities. They might also have publications or downloadable materials on specific medical laws.
* **Professional Regulatory Boards under PRC:** These boards, like the Board of Medicine ([https://www.prc.gov.ph/](https://www.prc.gov.ph/)), might have sections on their websites dedicated to patient information and ethical guidelines for healthcare providers.
**Legal Information Sources:**
* **Official Gazette:** The Official Gazette ([https://www.officialgazette.gov.ph/](https://www.officialgazette.gov.ph/)) publishes new laws and amendments related to medical practice. * **LawPhil.net:** This website ([https://lawphil.net/](https://lawphil.net/)) offers a searchable database of Philippine laws, including those related to healthcare. **Non-Government Organizations (NGOs):**
* Some NGOs focused on health advocacy might have resources on patient rights and responsibilities. Look for reputable organizations with websites or social media pages offering such information.
**Public Libraries:**
* Public libraries might have legal resources or publications on medical law for the general public.
**Lawyers:**
* While not a free resource, consulting a lawyer specializing in medical law can provide personalized advice on your specific rights and responsibilities in a particular situation.
**Here are some additional tips:**
* Look for information from credible sources. * Legal information can be complex. If you have any doubts, consult a lawyer for professional guidance. * The resources mentioned might be in Filipino. Consider using a translation tool if needed.</t>
  </si>
  <si>
    <t>How does Philippine law address situations where a patient lacks capacity to consent to medical treatment?</t>
  </si>
  <si>
    <t>Philippine law addresses situations where a patient lacks capacity to consent to medical treatment through a combination of the following:
* **Presumption of Capacity (Mental Health Act - RA No. 11036):** This Act emphasizes that all Filipinos are presumed to have the capacity to consent, regardless of a mental health condition. * **Advance Directives (No specific RA, but recognized by DOH):** Patients with decision-making capacity can create advance directives, which are documents outlining their wishes regarding medical treatment in case they become incapacitated. The Department of Health recognizes these directives, although a specific law isn't yet in place.
* **Substitute Decision-Makers (RA No. 7600 - The Code of Civil Procedure):** In the absence of advance directives, the law identifies a hierarchy of individuals who can give consent on behalf of an incapacitated patient. This typically follows the order of closest familial relationship, starting with the spouse, followed by parents, then adult children, siblings, and so on. (The specific order of succession for substitute decision-makers can be found in Article 406 of the Code of Civil Procedure: [invalid URL removed])
* **Best Interests of the Patient (No specific RA, but a legal principle):** When there's no clear substitute decision-maker or the available ones disagree, the medical professional must act in the patient's best interests based on their medical judgment and available medical records.
**Here are some additional points to consider:**
* **Emergency Situations (RA No. 8344):** In emergencies where the patient's life is at risk and there's no time to obtain consent, medical professionals can provide treatment without consent to prevent death or serious harm. * **Psychiatric or Neurological Emergencies (Mental Health Act - RA No. 11036):** The Mental Health Act allows for treatment, restraint, or confinement without informed consent during psychiatric or neurological emergencies, with safeguards in place to protect patient rights. **Remember:** This is a simplified explanation, and the specific legal framework can vary depending on the circumstances. It's always best to consult a lawyer specializing in medical law for specific advice.</t>
  </si>
  <si>
    <t>What are the legal implications of a healthcare provider sharing a patient's medical information with a third party, such as an insurance company, without explicit consent?</t>
  </si>
  <si>
    <t>Sharing a patient's medical information with a third party, like an insurance company, without their explicit consent is a violation of their privacy rights as enshrined in Philippine law. Here's a breakdown of the relevant legal framework:
* **Constitution:** Article III, Section 14 of the Philippine Constitution guarantees the right to privacy. This includes the right of individuals to control information regarding their person, including their health.
* **Republic Act No. 10173 (Data Privacy Act of 2012):** This law recognizes "personal information" which includes an individual's medical data. It mandates that the processing of such information requires the informed consent of the individual. * **Republic Act No. 10856 (General Data Protection and Privacy Act):** This act strengthens the Data Privacy Act and emphasizes the importance of obtaining an individual's consent before collecting, storing, sharing, or using their personal information, including medical data.
Therefore, sharing a patient's medical information with a third party without their consent would be considered a violation of these laws and could lead to the following:
* **Civil Case:** The patient can file a civil suit against the healthcare provider for damages caused by the privacy breach.
* **Administrative Case:** The National Privacy Commission (NPC) can impose administrative sanctions on the healthcare provider, which may include fines and penalties.
**Exceptions to Sharing Information Without Consent:**
While explicit consent is the general rule, there are limited exceptions where disclosure might be allowed:
* **Public Health and Safety:** When necessary to prevent the spread of contagious diseases or protect public health.
* **Court Order:** When a court compels the disclosure of medical information for legal proceedings.
* **Medical Emergencies:** In situations where the patient's condition necessitates immediate attention and obtaining consent is impractical. **Important Note:** Even in these exceptional circumstances, healthcare providers must ensure the disclosed information is limited to what is strictly necessary and must follow appropriate data security protocols.
**Conclusion:**
It is essential for healthcare providers in the Philippines to obtain a patient's informed consent before sharing their medical information with any third party. Failing to do so can result in legal repercussions. For in-depth legal advice and understanding the specific nuances of your situation, consulting a qualified Philippine lawyer is highly recommended.</t>
  </si>
  <si>
    <t>How does the law protect individuals from discrimination based on disability or health status in the context of healthcare access and employment?</t>
  </si>
  <si>
    <t>Philippine law safeguards individuals from discrimination based on disability or health status in two primary aspects: healthcare access and employment. Here's an explanation based on relevant legislation:
**Healthcare Access:**
* **Magna Carta for Disabled Persons (Republic Act No. 7277):** * **Title II, Section 7:** Prohibits discrimination against persons with disabilities in obtaining health services from government and private health institutions.
* **Title III, Section 15:** Mandates government health agencies to prioritize and ensure the accessibility of health facilities and services for persons with disabilities.
* **Republic Act No. 11036 (Mental Health Act):**
* **Section 2:** Recognizes the right to mental health as a fundamental right and prohibits discrimination against individuals seeking mental health services.
**Employment:**
* **Magna Carta for Disabled Persons (Republic Act No. 7277):** * **Title II, Section 5:** Prohibits denying disabled individuals opportunities for suitable employment solely based on their disability.
* **Title II, Section 6:** Requires employers to provide reasonable accommodations for qualified disabled employees unless doing so would impose undue hardship on the business.
* **Section 30:** Mandates a quota system, reserving 1% of all government positions for persons with disabilities.
**Additional Protection:**
* **The Constitution:** Article XIII, Section 11 guarantees the right to health and mandates the State to protect and promote the physical, mental and social well-being of all citizens.
**Enforcement Mechanisms:**
* **National Council for the Welfare of Disabled Persons (NCWDP):** Tasked with monitoring compliance with the Magna Carta and addressing complaints of discrimination.
* **Department of Labor and Employment (DOLE):** Responsible for enforcing labor laws and addressing workplace discrimination against individuals with disabilities.
**Limitations:**
While the legal framework provides protection, certain situations might require a more nuanced approach. For instance, genuine occupational requirements could pose limitations in specific job roles. **Conclusion:**
Philippine laws strive to ensure equal access to healthcare and employment opportunities for individuals with disabilities or specific health conditions. These legal measures aim to prevent discrimination and promote the social integration of these individuals.
**Disclaimer:** This information is intended for general knowledge and should not be construed as legal advice. Consulting a lawyer specializing in disability rights or labor law is crucial for comprehensive guidance and navigating specific situations.</t>
  </si>
  <si>
    <t>What are the legal requirements and considerations for healthcare institutions managing and disposing of medical waste?</t>
  </si>
  <si>
    <t>Here's an overview of the legal requirements and considerations for healthcare institutions managing and disposing of medical waste in the Philippines, based on relevant legislation:
**Primary Legislation:**
* **Republic Act No. 6969 (Toxic Substances and Hazardous Wastes Regulation Act of 1992):** Classifies medical waste as hazardous waste and mandates proper treatment and disposal methods.
* **Department of Health (DOH) - Health Care Waste Management Manual (4th Edition):** Provides comprehensive guidelines on segregation, collection, storage, treatment, and disposal of medical waste, incorporating various regulations.
**Key Requirements:**
* **Waste Segregation:** Healthcare institutions must segregate medical waste into different categories based on their infectivity, chemical composition, and other risk factors as outlined in the DOH Manual.
* **Treatment and Disposal:** Specific treatment and disposal methods are mandated depending on the waste category. Incineration, previously a common practice, is **prohibited** under the Clean Air Act. * **DOH Registration:** Healthcare institutions with on-site treatment facilities must register their equipment with the DOH and ensure it complies with relevant environmental regulations.
* **Environmental Compliance Certificate (ECC):** Hospitals and other healthcare facilities must secure an ECC from the Department of Environment and Natural Resources (DENR) before operating. This often requires an Environmental Impact Assessment (EIA) study.
* **Record Keeping:** Institutions must maintain proper documentation of waste generation, treatment, and disposal activities.
**Additional Regulations:**
* **Republic Act No. 8749 (Clean Air Act of 1999):** Prohibits the incineration of medical waste due to harmful air emissions.
* **Republic Act No. 9003 (Ecological Solid Waste Management Act of 2000):** Promotes environmentally sound waste management practices.
**Considerations:**
* **Compliance with multiple regulations:** Healthcare institutions must navigate various laws and regulations from different government agencies.
* **Proper training:** Staff involved in waste handling must be adequately trained on segregation, handling, and safety procedures.
* **Contracting licensed service providers:** Institutions can utilize licensed waste management companies for collection, treatment, and disposal of specific waste categories.
**Resources:**
* DOH - Health Care Waste Management Manual (4th Edition): [https://ntp.doh.gov.ph/download/health-care-waste-management-manual/](https://ntp.doh.gov.ph/download/health-care-waste-management-manual/)
* DENR - Environmental Management Bureau: [https://emb.gov.ph/](https://emb.gov.ph/)
**Disclaimer:** This information provides a general framework and does not constitute legal advice. For comprehensive understanding and navigating specific situations, consulting a lawyer specializing in environmental law or waste management is highly recommended.</t>
  </si>
  <si>
    <t>How does Philippine law address the commercialization of blood and other human tissues?</t>
  </si>
  <si>
    <t>The commercialization of blood and other human tissues is strictly **prohibited** under Philippine law. Here's a breakdown of the relevant legal framework:
* **The Constitution:** * **Article II, Section 11:** States that the State shall protect and promote the full development of the human person and guarantee the rights of all citizens. This includes safeguarding bodily integrity and preventing the exploitation of individuals.
* **Republic Act No. 8189 (The Philippine Blood Services Act of 1994):**
* **Section 4:** Prohibits the "buying, selling, or any other form of commercialization" of blood, blood products, and its derivatives. * **Section 10:** Mandates the establishment of a National Blood Services Program which ensures the "safe, adequate, accessible, affordable, and equitable supply of blood" through voluntary blood donation.
* **Republic Act No. 7101 (The Organ Donation Act of 1992):**
* **Section 4:** Prohibits "any commercial transactions involving human organs and tissues." * **Section 5:** Allows organ donation solely for transplantation purposes based on informed consent from the donor or their legal representative.
**Key Points:**
* **Blood and human tissues are considered part of an individual's body and cannot be treated as commodities.** * **Donation is the only permissible way to acquire blood and human tissues for medical purposes.** * **Commercialization is strictly prohibited to prevent exploitation and ensure ethical practices in healthcare.**
**Additional Considerations:**
* **Penalties:** Engaging in the commercialization of blood or human tissues can result in imprisonment and hefty fines as stipulated in the respective laws mentioned above.
**Conclusion:**
Philippine law prioritizes the protection of human dignity and bodily integrity. The existing legal framework safeguards individuals from the exploitation of their blood and tissues and promotes a system based on voluntary donation for medical needs.
**Disclaimer:** This information is for general knowledge and should not be misconstrued as legal advice. For a comprehensive understanding of the legalities surrounding specific situations, consulting a lawyer specializing in medical law or bioethics is crucial.</t>
  </si>
  <si>
    <t>How does the law balance the patient's right to privacy with the healthcare provider's duty to report suspected child abuse or neglect?</t>
  </si>
  <si>
    <t>In the Philippines, the law prioritizes the protection of children, striking a balance between patient privacy and the mandatory reporting of suspected child abuse or neglect. Here's how:
**Patient's Right to Privacy:**
* **The Constitution:** Article III, Section 14 guarantees the right to privacy, encompassing an individual's right to control information about themselves, including medical information.
* **Republic Act No. 10173 (Data Privacy Act of 2012):** Classifies personal information, including medical data, and mandates informed consent for its processing.
**Duty to Report Child Abuse:**
* **Republic Act No. 7610 (Special Protection of Children Against Abuse, Exploitation and Discrimination Act):**
* **Section 4:** Mandates mandatory reporting of suspected child abuse or neglect by a wide range of professionals, including:
* Medical practitioners (doctors, nurses, etc.)
* Social workers
* Teachers
* Law enforcement officers
* Guidance counselors
* Barangay (village) officials
**Balancing Act:**
* **While patient privacy is crucial, the law prioritizes the protection of children from harm.** Suspected abuse takes precedence over confidentiality.
* **Healthcare providers are legally obligated to report any suspected case of child abuse or neglect to the proper authorities, usually the Department of Social Welfare and Development (DSWD) or the local police.**
* **Disclosure of information should be limited to what is necessary to address the suspected abuse and ensure the child's safety.** * **False reports are punishable by law.** **Additional Measures:**
* **Doctors and other healthcare providers can consult with colleagues or child protection agencies before making a report if the situation is unclear.** * **Maintaining detailed medical records becomes crucial, documenting any signs or symptoms suggestive of child abuse.**
**Resources:**
* Department of Social Welfare and Development (DSWD): [https://www.dswd.gov.ph/](https://www.dswd.gov.ph/)
* Council for the Welfare of Children (CWC): [https://cwc.gov.ph/](https://cwc.gov.ph/)
**Conclusion:**
Philippine law prioritizes the protection of children. While patient privacy holds importance, the legal framework mandates the reporting of suspected child abuse, superseding confidentiality concerns in such situations. Healthcare providers have a legal duty to report suspected cases and ensure the safety of children.
**Disclaimer:** This information provides a general understanding and should not be substituted for professional legal advice. Consulting a lawyer specializing in child protection laws is highly recommended for comprehensive guidance and navigating specific situations.</t>
  </si>
  <si>
    <t>How are ethical concerns regarding resource allocation and rationing of healthcare services addressed in the legal framework?</t>
  </si>
  <si>
    <t>While the Philippine legal framework directly addressing resource allocation and rationing in healthcare is limited, ethical considerations and principles are embedded in various laws and regulations. Here's an overview:
**Focus on Universal Healthcare:**
* **The Constitution:** Article II, Section 15 recognizes the State's responsibility to "protect and promote the full development of the human person and guarantee the right to health."
* **Republic Act No. 11223 (National Health Insurance Act of 2013):** Aims to provide Filipinos with "equitable access to health care services."
**Implicit Principles:**
* **Right to Life and Health:** The Constitution recognizes these fundamental rights, implying an obligation for the State to strive towards ensuring healthcare accessibility.
* **Social Justice:** The principle of social justice enshrined in the Constitution suggests a fair distribution of healthcare resources, aiming to address disparities and prioritize those in greater need.
**Addressing Ethical Dilemmas:**
* **Department of Health (DOH):** Publishes policies and guidelines that emphasize ethical considerations in healthcare resource allocation. * **Philippine Medical Association (PMA) Code of Ethics:** Guides physicians towards prioritizing patient well-being and upholding principles of justice and fairness in resource utilization.
**Current Limitations:**
* **Absence of explicit legal framework:** There are no laws directly addressing the rationing of healthcare services in the Philippines.
* **Limited resources:** The current healthcare system faces challenges in adequately meeting the demands of the population, leading to situations where difficult decisions regarding resource allocation arise.
**Moving Forward:**
* **Policy Discussions:** Debates and discussions are ongoing regarding the need for a more explicit legal framework addressing ethical considerations in resource allocation. * **Prioritization Frameworks:** The DOH and other stakeholders are exploring the development of frameworks that prioritize resource allocation based on factors like:
* **Severity of illness**
* **Likelihood of successful treatment**
* **Cost-effectiveness**
**Conclusion:**
While the current legal framework lacks a comprehensive approach to resource allocation and rationing, the underlying principles of social justice, right to health, and ethical guidelines inform decision-making processes. Efforts are underway to develop a more robust system that balances the limitations of resources with the need to ensure equitable access to healthcare services.
**Disclaimer:** This information provides a general understanding and does not constitute legal advice. Addressing the complexities of resource allocation in healthcare requires a multifaceted approach involving legal advancements, policy development, and ethical considerations. Consulting legal professionals and public health experts is crucial for navigating specific situations and fostering a sustainable healthcare system.</t>
  </si>
  <si>
    <t>What are the legal ramifications of healthcare professionals engaging in physician-assisted suicide or euthanasia, even if requested by the patient?</t>
  </si>
  <si>
    <t>In the Philippines, **physician-assisted suicide and euthanasia are illegal**. Engaging in these practices would lead to severe legal consequences for healthcare professionals. Here's a breakdown of the legal framework:
* **The Constitution:** The right to life (Article III, Section 1) is paramount. * **Republic Act No. 3019 (Revised Penal Code):**
* **Article 249 (Murder):** Taking the life of another person, including through assisted suicide, is considered murder and punishable by life imprisonment.
* **Philippine Medical Association (PMA) Code of Ethics:**
* **Section I (The Physician and the Law):** Upholds the law and prohibits actions that violate it.
* **Section II (The Physician and the Patient):** Requires physicians to prioritize the preservation of life.
**Therefore, any healthcare professional assisting in a patient's suicide would be acting against the law and face criminal charges.** This includes:
* **Murder charges:** Under the Revised Penal Code, the healthcare professional could be imprisoned for life.
* **Loss of medical license:** The Philippine Medical Board has the authority to revoke the license of any physician found guilty of such practices.
* **Civil lawsuits:** The family of the deceased patient could file a civil suit against the healthcare professional for damages.
**Important to Note:**
* **Passive Euthanasia:** Withdrawing or withholding life-sustaining treatment in terminally ill patients with informed consent might be permissible under specific circumstances. However, the decision-making process must involve careful ethical considerations and consultations with various healthcare professionals.
**Conclusion:**
Physician-assisted suicide and euthanasia are strictly prohibited in the Philippines. Healthcare professionals assisting in such acts face severe legal repercussions, including imprisonment, loss of license, and potential civil lawsuits. **Disclaimer:** This information is intended for general knowledge and should not be misconstrued as legal advice.</t>
  </si>
  <si>
    <t>How does Philippine law address emerging ethical concerns surrounding genetic engineering and human cloning?</t>
  </si>
  <si>
    <t>The Philippine legal framework is evolving to address the ethical concerns surrounding genetic engineering and human cloning. While there's no single, comprehensive law, several existing regulations and pronouncements provide a foundation:
**The Constitution:**
* **Article II, Section 15:** Entrusts the State with the responsibility to "protect and promote the full development of the human person." This implies safeguarding human dignity and integrity.
**Relevant Laws and Regulations:**
* **Republic Act No. 7160 (The National Biosafety Framework):**
* Establishes a regulatory system to ensure the safe handling and use of Genetically Modified Organisms (GMOs) to protect public health and the environment.
* **Department of Science and Technology (DOST) - National Committee on Biosafety (NCB) Guidelines:**
* Provide a framework for the research, development, and application of GMOs, emphasizing ethical considerations and risk assessments.
* **Philippine Commission on Human Rights (CHR):**
* Has issued resolutions expressing concerns regarding human cloning, highlighting the potential violation of human rights and the need for stricter regulations.
**Current Landscape:**
* **Human cloning is explicitly prohibited.** * **Genetic engineering applications are permitted under controlled settings:**
* Requires prior approval from relevant government agencies like the DOST and the NCB.
* Stringent guidelines ensure the safety and ethical conduct of research and development activities.
**Future Developments:**
* **Policy discussions are ongoing** regarding the need for a more comprehensive legal framework specifically addressing human genetic engineering.
* **Ethical considerations are crucial** in these discussions, focusing on:
* **Preventing any form of human reproductive cloning.**
* **Ensuring informed consent for individuals involved in genetic engineering procedures.**
* **Protecting against potential misuse of genetic technologies.**
**International Agreements:**
* The Philippines is a signatory to various international agreements like the Convention on Biological Diversity, which promotes the sustainable use of biological resources and addresses the potential risks of GMOs.
**Challenges and Gaps:**
* **Rapid advancements in the field of genetic engineering necessitate continuous legal review and updates.**
* **Balancing scientific progress with upholding ethical principles and protecting human dignity remains a critical concern.**
**Conclusion:**
Philippine law acknowledges the ethical concerns surrounding genetic engineering and human cloning. While a singular law isn't present, existing regulations and ongoing discussions pave the way for a more robust legal framework. Addressing these issues requires a collaborative effort involving scientists, policymakers, legal professionals, and ethicists to ensure responsible development and application of these technologies while safeguarding human rights and well-being.
**Disclaimer:** This information provides a general understanding and does not constitute legal advice. For comprehensive insights and navigating specific situations, consulting legal professionals specializing in biotechnology law is crucial.</t>
  </si>
  <si>
    <t>What legal and ethical considerations are there for using surrogate mothers and gestational carriers in the Philippines?</t>
  </si>
  <si>
    <t>While the Philippines has emerged as a popular destination for surrogacy due to its lower costs compared to other countries, **there's a critical caveat**: **Surrogacy arrangements are not explicitly addressed or regulated by a comprehensive Philippine law.** This legal ambiguity presents significant challenges and ethical concerns.
Here's a breakdown of the situation:
* **Lack of legal framework:** The absence of a specific law governing surrogacy creates uncertainty regarding the rights and responsibilities of all involved parties – the intended parents, the surrogate mother, and the child born through surrogacy.
* **Commercial surrogacy:** While not explicitly prohibited, the commercial aspect of surrogacy arrangements raises ethical concerns. Issues like potential exploitation of surrogate mothers due to financial vulnerability and a lack of robust safeguards require careful consideration.
**Existing Legal Landscape:**
* **Constitutional Rights:**
* **Article II, Section 11:** Guarantees the right to health.
* **Article III, Section 14:** Protects the right to privacy. * **Article XIII, Section 1:** Enshrines the right to work and a just wage.
* **Relevant Laws (Limited Applicability):**
* **Republic Act No. 7101 (The Organ Donation Act):** Prohibits the commercialization of organs and tissues, potentially extending to aspects of surrogacy arrangements.
* **Republic Act No. 10173 (Data Privacy Act):** Protects the privacy of individuals, including medical information, which might be applicable during the surrogacy process.
**Ethical Considerations:**
* **Surrogate mother's well-being:** * Potential for physical and emotional risks during pregnancy and childbirth.
* Ensuring fair compensation and upholding the surrogate's right to informed consent throughout the process.
* **Child's welfare:** * The legal status and parental rights of the child born through surrogacy remain unclear in the absence of a specific law.
* Ensuring the child's best interests are prioritized throughout the arrangement.
**Current Practices:**
* **Surrogacy agreements:** Intended parents and surrogate mothers often rely on private contracts drafted by lawyers. However, the enforceability of such agreements in the absence of a comprehensive legal framework is uncertain.
**Future Outlook:**
* **Policy Discussions:** Debates are ongoing regarding the need for a legal framework to regulate surrogacy practices in the Philippines. * **Focus on Ethical Principles:** Any future legislation should prioritize:
* **Protecting the rights and well-being of the surrogate mother.**
* **Ensuring the best interests of the child born through surrogacy.**
* **Preventing the exploitation of any individual involved in the process.**
**Conclusion:**
While surrogacy arrangements occur in the Philippines, the legal ambiguity poses significant risks. The lack of a clear framework leaves the rights and well-being of the surrogate mother, the intended parents, and the child vulnerable. **Disclaimer:** This information is intended for general knowledge and should not be misconstrued as legal advice. Due to the complexities surrounding surrogacy in the Philippines, consulting a qualified lawyer specializing in family law and bioethics is crucial for navigating specific situations and understanding the potential legal and ethical implications.</t>
  </si>
  <si>
    <t>How does the Philippines collaborate with international organizations like the World Health Organization (WHO) on creating and implementing medical regulations?</t>
  </si>
  <si>
    <t>The Philippines actively collaborates with the World Health Organization (WHO) on creating and implementing medical regulations through various mechanisms:
* **World Health Assembly (WHA):** The Philippines, as a member state of the WHO, participates in the WHA, which sets global health priorities and adopts international health regulations. * **WHO Collaborating Centers:** The Philippines houses several WHO Collaborating Centers that conduct research, provide technical assistance, and contribute to the development of global health norms and standards. For instance, the:
* **Research Institute for Tropical Medicine (RITM):** Collaborates on Dengue and other tropical diseases.
* **University of the Philippines Manila - Philippine General Hospital (UP-PGH):** Collaborates on maternal and child health.
* **Technical Cooperation:** The WHO provides technical assistance to the Philippine Department of Health (DOH) in various areas, including:
* **Developing national health policies and regulations based on WHO guidelines.**
* **Strengthening health systems and disease surveillance.**
* **Capacity building for healthcare professionals.**
* **Sharing of Information and Expertise:** The WHO provides the Philippines with access to:
* **Updated scientific data and recommendations.**
* **Global best practices in healthcare regulation.**
* **Expertise of international health specialists.**
**Specific Examples of Collaboration:**
* **The Philippines actively participated in the development of the WHO's International Health Regulations (IHR 2005).** These regulations aim to prevent and control the international spread of infectious diseases.
* **The WHO collaborates with the DOH on the implementation of the Philippine National Health Insurance Program (PhilHealth).** * **The WHO provides technical assistance to the Philippines in strengthening its response to various public health emergencies, including COVID-19.**
**Challenges and Opportunities:**
* **Limited resources:** The Philippines faces challenges in implementing WHO recommendations due to resource constraints.
* **Adapting global guidelines:** Tailoring WHO guidelines to the specific context of the Philippine healthcare system is crucial.
**Overall, collaboration with the WHO plays a significant role in:**
* **Enhancing the Philippines' capacity to develop and implement effective medical regulations.**
* **Ensuring these regulations align with international best practices and address global health challenges.**
* **Promoting access to the latest scientific knowledge and technical expertise in healthcare.** **Additional Resources:**
* World Health Organization - Philippines: [https://www.who.int/philippines/about-us](https://www.who.int/philippines/about-us)
* Department of Health Philippines: [https://doh.gov.ph/](https://doh.gov.ph/)
**Disclaimer:** This information is intended for general knowledge and does not constitute legal advice.</t>
  </si>
  <si>
    <t>What are the challenges and opportunities for harmonizing Philippine medical laws with international standards and conventions?</t>
  </si>
  <si>
    <t>## Challenges in Harmonizing Philippine Medical Laws with International Standards:
* **Legislative Gaps:** The Philippine legal framework lacks comprehensive laws in specific areas like surrogacy, tissue and organ transplantation, and advanced medical procedures like gene editing. * **Resource Constraints:** Implementing and enforcing regulations that align with international standards often requires substantial investment in infrastructure, healthcare workforce development, and technological advancements.
* **Competing Priorities:** Addressing immediate public health concerns like infectious diseases and limited access to basic healthcare services may take precedence over focusing solely on harmonization efforts.
* **Adapting to Local Context:** Directly adopting international standards might not always be feasible due to differences in the Philippine healthcare system's infrastructure, resource availability, and socio-economic realities.
## Opportunities for Harmonization:
* **International Collaboration:** Active engagement with organizations like the WHO allows the Philippines to leverage technical expertise, access best practices, and contribute to the development of global health regulations.
* **Policy Advocacy:** Stakeholders like medical professionals, patient rights groups, and policymakers can advocate for legal reforms that align with international standards while addressing the country's specific needs.
* **Capacity Building:** Investing in training and education for healthcare professionals ensures they possess the necessary skills and knowledge to implement internationally recognized medical practices. * **Technological Advancements:** Embracing advancements in medical technology can enhance healthcare delivery and facilitate adherence to global standards.
## Potential Benefits of Harmonization:
* **Improved Quality of Care:** Aligning with international standards can elevate the quality of healthcare services provided in the Philippines.
* **Enhanced Patient Safety:** Adopting internationally recognized protocols can minimize medical errors and ensure patient safety.
* **Increased Global Recognition:** Harmonization can bolster the reputation of the Philippine healthcare system, potentially attracting medical tourism and foreign investments.
* **Strengthened Public Health:** Adherence to international public health regulations can improve the Philippines' preparedness and response to global health threats.
## Moving Forward:
* **Strategic Planning:** A comprehensive strategy is essential, prioritizing areas for harmonization based on their impact on public health and feasibility of implementation.
* **Stakeholder Engagement:** Collaboration between the government, medical professionals, patient advocacy groups, and the private sector is crucial for successful legal reforms.
* **Gradual Implementation:** A phased approach allows for adaptation and capacity building within the healthcare system.
**Conclusion:**
Harmonizing Philippine medical laws with international standards presents both challenges and opportunities. Overcoming these challenges requires a multi-faceted approach involving collaboration, strategic planning, resource allocation, and continuous efforts to improve the healthcare system's infrastructure and workforce capacity. By effectively addressing these aspects, the Philippines can enhance the quality of healthcare services provided to its citizens and contribute to global health advancements.
**Disclaimer:** This information is for general knowledge and does not constitute legal advice. Consulting a lawyer specializing in healthcare law is crucial for navigating specific legalities and intricacies of the harmonization process.</t>
  </si>
  <si>
    <t>How does Philippine law equip authorities to address public health emergencies like pandemics, considering individual rights and freedoms?</t>
  </si>
  <si>
    <t>Philippine law equips authorities with tools to address public health emergencies like pandemics, but these tools are balanced with safeguards for individual rights and freedoms. Here's a breakdown of the key aspects:
**Granting Emergency Powers:**
* **The Constitution (Article II, Section 15 and Article XII, Section 15):** The Constitution empowers the President to declare a state of calamity or emergency upon the occurrence of a widespread and destructive disease epidemic. This declaration grants the President temporary special powers to address the situation.
* **Republic Act No. 11469 (Bayanihan to Heal as One Act):** This Act serves as a legal framework for responding to public health emergencies. It outlines the specific powers granted to the President during a declared state of calamity or emergency, such as:
* Regulating travel and movement
* Implementing quarantine measures
* Providing financial assistance and social protection
* Ensuring the availability of essential goods and services
**Balancing Act with Individual Rights:**
* **The Constitution (Bill of Rights):** While granting emergency powers, the Constitution also protects fundamental rights like freedom of movement, freedom of speech, and due process. Any measures implemented during a public health emergency cannot completely disregard these rights. * **Judicial Review:** The Philippine courts have the power to review the legality of actions taken by the government during a state of calamity or emergency. This ensures that these actions comply with the Constitution and relevant laws.
**Examples of Balancing Rights and Public Health:**
* **Lockdowns:** While restricting movement, the government should establish clear guidelines, ensure access to essential goods, and provide reasonable exceptions for emergencies.
* **Contact Tracing:** Balancing the need to track the spread of the disease with data privacy rights. Anonymized data collection and proper data security protocols are crucial.
* **Quarantine Measures:** These measures should be proportional to the threat and implemented with due process. **Challenges and Considerations**
* **Clarity and Transparency:** Laws and policies should be clear, transparent, and communicated effectively to the public. This helps ensure compliance and minimizes potential abuses of power.
* **Overreach:** Authorities must avoid using emergency powers for purposes beyond addressing the public health emergency.
* **Accountability:** The government should be held accountable for its actions during a health emergency. This includes ensuring proper use of allocated funds and addressing any human rights violations. **Conclusion:**
Philippine law aims to strike a balance between empowering authorities to address pandemics and protecting individual rights. However, effective implementation requires careful consideration of legal frameworks, transparency, and accountability.</t>
  </si>
  <si>
    <t>What legal mechanisms are in place to ensure equitable access to essential vaccines and public health interventions throughout the country?</t>
  </si>
  <si>
    <t>The Philippines has several legal mechanisms in place to promote equitable access to essential vaccines and public health interventions. Here's a breakdown of some key aspects:
**Constitutional Mandate:**
* **The Constitution (Article II, Section 15):** The Constitution mandates the state to prioritize the promotion of public health and the social well-being of the people. This serves as the foundation for ensuring equitable access to healthcare services, including vaccines and public health interventions.
**Universal Health Care Law (RA No. 11223):**
* This landmark law aims to expand health insurance coverage for Filipinos. It mandates PhilHealth, the National Health Insurance Program, to include essential vaccines in the benefit package. This helps reduce out-of-pocket expenses and increase vaccine uptake, especially among low-income groups.
**Department of Health (DOH):**
* The DOH plays a crucial role in vaccine procurement and distribution. They utilize various mechanisms to ensure equitable access:
* **Targeted Programs:** The DOH implements programs specifically aimed at vulnerable populations, like children in remote areas or those living in poverty.
* **Cold Chain Management:** They invest in cold chain infrastructure to ensure proper storage and transportation of vaccines nationwide.
* **Social Marketing:** The DOH conducts information campaigns and social marketing initiatives to raise awareness about the importance of vaccination and address vaccine hesitancy.
**Other Legal Mechanisms:**
* **Local Government Code (RA No. 7160):** This law empowers Local Government Units (LGUs) to manage healthcare delivery within their jurisdictions. LGUs can allocate resources and collaborate with the national government to ensure vaccine accessibility in their areas.
* **Right to Health jurisprudence:** Philippine court rulings have recognized the right to health as a fundamental human right. This can be used to advocate for equitable access to essential vaccines when other mechanisms fall short.
**Challenges and Considerations:**
* **Funding:** Ensuring sufficient funding for vaccine procurement and program implementation remains a challenge. * **Logistics:** Distributing vaccines to geographically isolated areas can be complex and require robust logistical infrastructure.
* **Vaccine Hesitancy:** Addressing misinformation and building trust in vaccines is crucial to achieve optimal vaccination coverage.
**Moving Forward:**
* **Strengthening PhilHealth:** Ensuring efficient PhilHealth operations and expanding coverage can significantly improve access to vaccines.
* **Community Engagement:** Collaborating with community leaders and healthcare workers is essential to overcome vaccine hesitancy and address local challenges.
* **Monitoring and Evaluation:** Regularly monitoring vaccine coverage data and program effectiveness allows for adjustments and targeted interventions to reach underserved populations.
By effectively implementing these existing mechanisms and addressing ongoing challenges, the Philippines can work towards a future where essential vaccines and public health interventions are accessible to all citizens.</t>
  </si>
  <si>
    <t>How does the law promote responsible antibiotic use and combat the growing threat of antimicrobial resistance in the Philippines?</t>
  </si>
  <si>
    <t>The Philippines tackles the growing threat of antimicrobial resistance (AMR) through a multi-pronged legal approach. Here's how various laws and government bodies work together:
**National Action Plan:**
* The Philippines has a **National Action Plan on Antimicrobial Resistance (NAP)** developed by the Department of Health (DOH) in collaboration with other agencies. This plan outlines strategies for promoting responsible antibiotic use and combating AMR. **Regulatory Framework:**
* **Republic Act No. 6392 or the "Philippine Pharmacy Act":** This Act regulates the sale and distribution of antibiotics. It requires a doctor's prescription to purchase most antibiotics, helping to prevent misuse and over-the-counter sales.
* **Department of Health (DOH):** The DOH issues guidelines and policies for the rational use of antimicrobials in both human and animal health sectors. This includes developing national treatment protocols and promoting the use of narrow-spectrum antibiotics whenever possible.
**Professional Regulation Commissions (PRCs):**
* The Professional Regulation Commission (PRC) oversees professional regulations for various fields, including medicine and veterinary medicine. The PRC can take disciplinary actions against professionals who prescribe antibiotics irresponsibly.
* **Board of Medicine and Board of Veterinary Medicine:** These specific boards under the PRC can set ethical guidelines and continuing education requirements for their respective professions. This may include education on responsible antibiotic use and AMR prevention.
**Other Initiatives:**
* **Public Awareness Campaigns:** The DOH and other agencies conduct public awareness campaigns to educate Filipinos about AMR and the importance of using antibiotics only when prescribed by a doctor and completing the full course of treatment.
* **Antimicrobial Stewardship Programs:** The DOH encourages hospitals and other healthcare facilities to implement antimicrobial stewardship programs. These programs aim to optimize the use of antibiotics through monitoring, education, and promoting best practices.
**Challenges and Considerations:**
* **Enforcement:** Effectively enforcing existing laws and regulations on antibiotic use is crucial.
* **Accessibility of Diagnostics:** Limited access to diagnostic tools that can differentiate between bacterial and viral infections can lead to unnecessary antibiotic prescriptions.
* **Antibiotic Availability:** The affordability and availability of alternative treatments can influence reliance on antibiotics.
**Conclusion:**
The Philippines has a legal framework in place to promote responsible antibiotic use and combat AMR. Continued collaboration between government agencies, healthcare professionals, and the public is necessary to address this growing public health threat.</t>
  </si>
  <si>
    <t>What are the specific roles and responsibilities of the Professional Regulation Commission (PRC) and other regulatory bodies in overseeing the healthcare sector?</t>
  </si>
  <si>
    <t>The Professional Regulation Commission (PRC) acts as an umbrella organization for overseeing various professions in the Philippines, including the healthcare sector. Here's a breakdown of their roles and responsibilities, alongside other relevant regulatory bodies:
**Professional Regulation Commission (PRC):**
* **Licensure Examinations:** The PRC conducts and administers licensure examinations for professionals wanting to practice in the Philippines. This ensures that only qualified individuals enter the healthcare workforce. * **Registration and Licensing:** The PRC issues licenses to successful examinees, allowing them to practice legally within their profession.
* **Monitoring and Regulation:** The PRC, in collaboration with Professional Regulatory Boards (PRBs), sets and enforces professional standards and ethical codes of conduct for various healthcare professions. * **Disciplinary Actions:** The PRC can investigate complaints against licensed professionals and impose disciplinary actions like suspension or revocation of licenses for violations of regulations or ethical codes.
**Professional Regulatory Boards (PRBs) under PRC:**
* Each healthcare profession has a specific PRB under the PRC. Examples include the Board of Medicine, Board of Nursing, Board of Pharmacy, etc. * **PRBs develop profession-specific policies and guidelines** that supplement the broader regulations set by the PRC.
* **PRBs can accredit educational programs** ensuring they meet the required standards for training future healthcare professionals.
* **PRBs can conduct continuing professional development (CPD) programs** to keep licensed professionals updated on advancements in their field.
**Other Regulatory Bodies:**
* **Department of Health (DOH):** The DOH plays a vital role in formulating and implementing national health policies, including those related to healthcare practice standards and facility licensing.
* **Food and Drug Administration (FDA):** The FDA regulates the safety and efficacy of drugs, medical devices, and cosmetics used in healthcare settings.
* **Local Government Units (LGUs):** LGUs, particularly city and municipal health offices, have a role in monitoring healthcare facilities within their jurisdictions and ensuring compliance with regulations.
**Overall Collaboration:**
These various bodies work together to ensure a well-regulated healthcare sector. The PRC provides the overall framework for professional licensure and conduct, while the PRBs and other agencies address specific aspects of different professions and healthcare practices.</t>
  </si>
  <si>
    <t>How does the legal system balance the need for robust regulatory oversight with fostering innovation and advancements in medical practice?</t>
  </si>
  <si>
    <t>The Philippine legal system navigates the balance between robust regulatory oversight and fostering medical innovation through several mechanisms:
**Regulation with Flexibility:**
* **Framework Laws:** Many Philippine laws in healthcare set a broad framework for standards and practices. This allows for some flexibility to adapt to advancements without requiring constant legal revisions. (e.g., Republic Act No. 4226 - The Hospital Licensure Act establishes core hospital standards, but evolving technology might not necessitate immediate legal changes).
* **Professional Regulatory Boards (PRBs):** These bodies under the PRC can issue guidelines and adapt regulations based on new technologies or practices within their professions. (e.g., The Board of Medicine might consider guidelines for using telemedicine after reviewing its safety and efficacy).
**Balancing Risk and Benefit:**
* **Risk-Based Approach:** Regulatory bodies might implement a risk-based approach. High-risk innovations undergo stricter scrutiny, while low-risk ones face less stringent regulations. * **Clinical Trials and Research Ethics:** Stringent regulations govern clinical trials to ensure patient safety while allowing research on new treatments and technologies. (e.g., Department of Health regulations on clinical trials adhere to international ethical guidelines).
**Promoting Innovation:**
* **Fast-Track Programs:** The Philippine Food and Drug Administration (FDA) offers fast-track programs for innovative drugs and medical devices with demonstrably high potential benefits.
* **Sandboxes and Pilot Programs:** Regulatory bodies might establish "regulatory sandboxes" or pilot programs. These allow limited implementation of new technologies in controlled environments to assess their safety and effectiveness before wider adoption.
**Challenges and Considerations:**
* **Balancing Speed with Scrutiny:** Striking a balance between rapid innovation and thorough safety assessments is crucial.
* **Resource Constraints:** Regulatory agencies might require more resources to effectively evaluate and monitor emerging technologies.
* **Public Awareness and Trust:** Educating the public about the regulatory process can help build trust in medical innovation.
**Conclusion:**
The Philippines' legal system strives for a balance between protecting patients and fostering medical advancements. While regulations exist, they try to be adaptable and incorporate new technologies within a risk-based framework. Continued efforts are needed to streamline processes, promote responsible innovation, and ensure public trust.</t>
  </si>
  <si>
    <t>How does Philippine law address the financial limitations and inequalities faced by individuals in accessing healthcare services?</t>
  </si>
  <si>
    <t>The Philippines tackles financial limitations and inequalities in healthcare access through a multi-pronged approach involving legislation, government agencies, and social programs. Here's a breakdown of some key aspects:
**Universal Health Care Law (RA No. 11223):**
* This landmark law aims to expand health insurance coverage for Filipinos. It mandates the automatic enrollment of all citizens in the National Health Insurance Program (NHIP) managed by PhilHealth. NHIP covers a wide range of health services, reducing out-of-pocket expenses for Filipinos, particularly those previously lacking health insurance. **PhilHealth:**
* PhilHealth plays a central role. It collects premiums, manages funds, and reimburses healthcare providers for covered services utilized by PhilHealth members. This helps distribute healthcare costs and improve access for low-income individuals.
**Government Subsidies and Programs:**
* The government allocates budgets for targeted programs aimed at specific populations facing financial limitations. Examples include:
* **"Pantawid Pamilyang Pilipino Program (4Ps)"** offering financial assistance to conditional cash transfers to support healthcare needs of low-income families.
* **Free Dialysis Program** providing government-funded dialysis treatment for Filipinos with chronic kidney disease.
**Regulation of Out-of-Pocket Expenses:**
* Some laws aim to regulate out-of-pocket expenses not covered by PhilHealth. While not a complete solution, these measures can help control costs:
* **Maximum Benefit Packages:** The DOH sets maximum allowable rates for certain procedures to prevent hospitals from overcharging patients. * **Mandatory PhilHealth Coverage by Hospitals:** Hospitals are required to accept PhilHealth and provide PhilHealth members with information on covered services and estimated costs.
**Challenges and Considerations:**
* **PhilHealth Funding:** Ensuring PhilHealth has sufficient funding to cover all members and expand benefit packages is crucial.
* **Reaching Underserved Areas:** Accessibility remains an issue, especially in geographically isolated areas with limited healthcare facilities covered by PhilHealth.
* **Informal Sector Workers:** Integrating informal sector workers into the PhilHealth system requires innovative solutions.
**Moving Forward:**
* **Strengthening PhilHealth:** Increasing efficiency, expanding coverage, and ensuring adequate funding are essential. * **Improving Infrastructure:** Investing in healthcare facilities and personnel in underserved areas is crucial for better access.
* **Public-Private Partnerships:** Collaboration with private entities can help expand healthcare service delivery and explore innovative financing models.
By effectively implementing existing programs and addressing ongoing challenges, the Philippines can work towards a future where financial limitations are less of a barrier to accessing quality healthcare services.</t>
  </si>
  <si>
    <t>What legal frameworks are in place to ensure the ethical and sustainable financing of healthcare programs and services?</t>
  </si>
  <si>
    <t>The Philippines has several legal frameworks in place to promote the ethical and sustainable financing of healthcare programs and services. Here's a breakdown of some key aspects:
**National Health Insurance Program (NHIP) - (RA No. 11223 - The Universal Health Care Law):**
* **Mandated Contributions:** This law establishes PhilHealth, the National Health Insurance Program. It mandates contributions from various sources to ensure a sustainable funding pool:
* **Employee-Employer Premium Sharing:** Employees and employers contribute a specific percentage of their salaries to PhilHealth.
* **Government Subsidies:** The national government allocates budget to PhilHealth to supplement contributions and ensure program viability.
**PhilHealth PhilHealth (RA No. 11223):**
* **Benefit Packages and Coverage:** PhilHealth defines benefit packages outlining the healthcare services covered by the program. This helps manage costs while ensuring essential services are accessible.
* **Transparency and Accountability:** PhilHealth is mandated to be transparent in its operations. They publish contribution rates, benefit packages, and financial reports to ensure accountability for fund utilization.
**Department of Health (DOH):**
* **DOH plays a crucial role in regulating healthcare costs.** They set guidelines for:
* Maximum allowable rates for specific procedures in hospitals to prevent excessive pricing.
* PhilHealth benefit packages to ensure efficient use of program funds while prioritizing essential services.
**Regulation of Private Health Insurance:**
* The Insurance Commission regulates private health insurance companies. This helps prevent unfair pricing practices and ensures financial stability within the private health insurance sector.
**Challenges and Considerations:**
* **Balancing Coverage and Sustainability:** Expanding PhilHealth coverage while maintaining financial sustainability requires careful planning and management.
* **Informal Sector Integration:** Integrating informal sector workers into the contributory scheme or establishing alternative financing mechanisms is crucial.
* **Combating Fraud and Abuse:** Robust mechanisms are needed to prevent PhilHealth fund misuse by healthcare providers or members.
**Moving Forward:**
* **Optimizing PhilHealth Contributions:** Regularly reviewing contribution rates and exploring additional funding sources is essential.
* **Promoting Efficiency:** Investing in PhilHealth's operational efficiency can help maximize the impact of available funds.
* **Encouraging Public-Private Partnerships:** Collaboration with private entities can introduce innovative financing models and expand healthcare service delivery options.
**Conclusion:**
The Philippines' legal framework establishes a foundation for ethical and sustainable healthcare financing. Continued efforts are needed to ensure PhilHealth's long-term viability, expand coverage, and promote responsible use of healthcare funds.</t>
  </si>
  <si>
    <t>How does the law incentivize healthcare professionals to practice in underserved areas and address the challenge of geographical disparities in healthcare access?</t>
  </si>
  <si>
    <t>The Philippines has a framework of legal and administrative measures to incentivize healthcare professionals to practice in underserved areas, though achieving equitable distribution remains a challenge. Here's a breakdown of the strategies:
**Scholarship and Loan Programs:**
* **Doctors to the Barrios Program (RA No. 6352):** This program offers scholarships and financial assistance to medical students in exchange for a commitment to serve in underserved areas for a certain period after graduation.
* **Student Loan Forgiveness Programs:** Some government agencies and institutions offer loan repayment assistance programs for healthcare professionals who practice in underserved areas for a specified time.
**Bonus Schemes and Allowances:**
* **Special Allowances:** The government may provide additional allowances or hardship pay to healthcare professionals working in remote or challenging locations.
* **Risk-Area Incentives:** Some programs offer bonuses or salary supplements for healthcare professionals practicing in areas with high disease burden or limited access to specialists.
**Career Development Opportunities:**
* **Deployment with Continuing Education:** Deployment programs may connect with universities or professional organizations to provide continuing education opportunities for healthcare professionals in underserved areas.
* **Rotation Programs:** These programs allow healthcare professionals to gain experience in underserved areas while maintaining connections to urban centers for career advancement.
**Addressing Challenges:**
* **Limited Scope:** Scholarship and loan programs often have limited slots and may not address the high demand for healthcare professionals in all underserved areas.
* **Retention Issues:** Incentives might not be sufficient to retain healthcare professionals in challenging locations long-term, especially if infrastructure, support systems, and work-life balance are inadequate.
* **Infrastructure and Support:** Underserved areas often lack proper healthcare facilities, equipment, and support staff, making practice less attractive.
**Moving Forward:**
* **Multi-faceted Approach:** A combination of financial incentives, career development opportunities, and infrastructure improvements is crucial for attracting and retaining healthcare professionals.
* **Community Engagement:** Involving local communities in planning and decision-making can help address their specific needs and create a more supportive environment for healthcare professionals.
* **Public Awareness Campaigns:** Raising awareness about the importance of healthcare access in underserved areas can encourage more healthcare professionals to consider service in these communities.
**Additional Considerations:**
* **Telehealth and Technology:** Utilizing telehealth and digital health technologies can expand access to specialist care and consultations remotely, even in underserved areas.
* **Midwives and Community Health Workers:** Empowering and supporting midwives and community health workers can play a vital role in delivering primary care services in remote locations.
By acknowledging the limitations of existing incentives and focusing on creating a more supportive environment for healthcare professionals, the Philippines can work towards a more equitable distribution of healthcare resources and improved access for all citizens.</t>
  </si>
  <si>
    <t>How might advancements in technology and changing societal values necessitate further development of Philippine medical law?</t>
  </si>
  <si>
    <t>Advancements in technology and evolving societal values are likely to necessitate further development of Philippine medical law in several areas. Here's a breakdown of some potential challenges and opportunities:
**Emerging Technologies:**
* **Telemedicine and Digital Health:** Regulations will need to adapt to address issues like:
* **Standards of Care:** Defining appropriate use of telemedicine for different conditions and ensuring quality of care delivery remotely.
* **Data Privacy and Security:** Protecting patient data privacy and ensuring secure transmission of medical information during teleconsultations.
* **Accessibility:** Addressing the digital divide to ensure equitable access to telemedicine services, especially for those in remote areas.
* **Artificial Intelligence (AI) in Healthcare:** Legal frameworks will need to consider:
* **Liability:** Determining who is responsible for AI-driven medical decisions - the developer, healthcare professional, or the AI itself?
* **Transparency and Explainability:** Ensuring transparency in AI decision-making processes used in diagnostics or treatment recommendations.
* **Ethical Considerations:** Addressing potential biases in AI algorithms and ensuring they are used fairly and ethically in healthcare settings.
**Genomics and Personalized Medicine:**
* **Genetic Testing and Privacy:** The law will need to address issues like informed consent for genetic testing, data privacy protections for genetic information, and potential discrimination based on genetic data.
* **Gene Editing:** Clear legal frameworks are needed to regulate gene editing technologies, considering ethical concerns and potential safety risks.
**Changing Societal Values:**
* **Reproductive Rights:** Debates on abortion access, assisted reproductive technologies, and surrogacy might require legislative review to reflect evolving societal views.
* **End-of-Life Care:** Advance directives and medical orders for life-sustaining treatment (MOLST) might need further legal clarification to ensure patient autonomy in end-of-life decisions.
**Addressing these challenges will require collaboration among various stakeholders:**
* **Lawmakers:** Enacting or amending laws to address new technologies and ethical considerations in healthcare.
* **Regulatory Bodies:** Developing guidelines and protocols for the safe and ethical use of emerging technologies.
* **Healthcare Professionals:** Adapting their practices and staying informed about legal frameworks governing new technologies.
* **The Public:** Engaging in informed discussions about the ethical implications of advancements in medical technology.
**The Philippines has a dynamic legal system, and these advancements will likely lead to ongoing development of medical law.** By fostering open discussions and proactive legal reforms, the Philippines can ensure a robust legal framework that promotes responsible innovation, protects patient rights, and upholds ethical practices in a constantly evolving healthcare landscape.</t>
  </si>
  <si>
    <t>What are the potential legal challenges and opportunities presented by personalized medicine and precision healthcare approaches?</t>
  </si>
  <si>
    <t>Personalized medicine and precision healthcare hold immense promise, but also present unique legal challenges and opportunities in the Philippines. Here's a breakdown of both sides:
**Legal Challenges:**
* **Data Privacy and Security:** * Extensive personal health data collection and analysis are crucial for personalized medicine. However, robust data privacy laws are needed to ensure patient information is secure and used only with informed consent.
* **Genetic Discrimination:** * Individuals might face discrimination based on their genetic information, particularly in areas like employment or insurance. Laws need to protect against such discrimination.
* **Access and Equity:** * Personalized treatments might be expensive and not readily available to everyone. Legal frameworks need to address potential disparities in access and ensure equitable distribution of these advancements.
* **Standards of Care and Liability:** * Who is responsible if a personalized treatment derived from genetic data has negative outcomes? Defining standards of care and potential liability for healthcare providers and genetic testing companies is crucial.
* **Informed Consent:** * The complexities of genetic information necessitate clear and understandable informed consent processes for patients undergoing genetic testing and personalized treatment plans.
**Legal Opportunities:**
* **Improved Healthcare Outcomes:** * A legal framework that fosters responsible use of personalized medicine can lead to more effective treatments and improved patient outcomes.
* **Precision Public Health:** * Utilizing genetic data can inform public health strategies by identifying populations at higher risk for specific diseases, allowing for targeted interventions and prevention efforts.
* **Precision Justice:** * Genetic data analysis could potentially aid in criminal investigations and forensics, but legal safeguards are needed to protect privacy rights.
* **Personalized Risk Assessment:** * Legal frameworks promoting responsible use of genetic data can allow individuals to understand their health risks better and make informed decisions about preventive measures.
* **Medical Innovation:** * Clear legal guidelines can encourage research and development in personalized medicine, leading to further advancements in healthcare.
**Moving Forward:**
* **Collaborative Efforts:** Lawmakers, medical professionals, data security experts, and patient advocacy groups need to collaborate to develop effective legal frameworks. * **Public Education:** Raising awareness about the benefits and potential risks of personalized medicine can empower patients to make informed decisions. * **Balancing Innovation and Protection:** Striking a balance between fostering innovation and protecting patient rights is crucial for responsible implementation of personalized medicine.
By addressing these challenges and capitalizing on the opportunities, the Philippines can harness the power of personalized medicine to improve healthcare delivery, promote public health, and uphold ethical principles in a rapidly evolving medical landscape.</t>
  </si>
  <si>
    <t>How can the legal system be adapted to effectively address the ethical concerns surrounding emerging medical technologies like gene editing and brain-computer interfaces?</t>
  </si>
  <si>
    <t>Here's how the Philippine legal system can adapt to address ethical concerns surrounding emerging medical technologies like gene editing and brain-computer interfaces (BCIs):
**1. Establishing Clear Regulatory Frameworks:**
* **Gene Editing:** The legal system can establish clear guidelines and regulations for gene editing experiments, considering:
* **Purpose Restrictions:** Limiting gene editing to therapeutic purposes and prohibiting germline editing (altering genes passed to offspring) due to safety concerns and ethical implications. * **Informed Consent:** Ensuring robust informed consent processes for participants in gene editing trials, with clear explanations of potential risks and benefits.
* **Oversight Committees:** Establishing independent oversight committees with expertise in genetics, ethics, and law to review gene editing proposals and ensure responsible research practices.
* **BCIs:** Regulations for BCIs should address issues like:
* **Patient Safety:** Defining safety protocols for BCI implantation and data transmission to minimize risks of malfunction or hacking.
* **Data Privacy and Security:** Implementing strong data security measures to protect sensitive brain activity data collected by BCIs.
* **Informed Consent:** Establishing informed consent procedures that explain potential long-term effects and risks associated with BCI use. * **Mental Capacity:** Developing legal frameworks regarding decision-making for BCI use in individuals with potential cognitive limitations.
**2. Prioritizing Ethical Considerations:**
* The legal system can incorporate ethical principles like beneficence (doing good), non-maleficence (avoiding harm), justice (fairness), and autonomy (respecting patient choice) into regulations for emerging technologies.
* Ethical review boards with diverse expertise (science, law, ethics, religion) can be established to evaluate proposals for gene editing and BCI research and applications.
**3. Public Engagement and Education:**
* Open discussions and public awareness campaigns can help foster informed public discourse on the ethical implications of these technologies. * Engaging with religious and cultural leaders can address potential social and ethical concerns surrounding gene editing and BCIs.
**4. Collaboration and International Harmonization:**
* Collaboration between Philippine lawmakers, regulatory bodies, and international organizations can help ensure a coordinated approach to addressing ethical concerns related to emerging medical technologies. * Sharing best practices and harmonizing regulations on gene editing and BCIs across different countries can promote responsible innovation and prevent potential misuse.
**5. Flexibility and Adaptability:**
* The legal system needs to be adaptable to keep pace with rapid advancements in these technologies. * Regular reviews and updates of regulations will be crucial to ensure they remain effective in addressing new ethical concerns that may arise.
**Challenges and Considerations:**
* Balancing innovation with ethical considerations can be complex.
* Striking a balance between individual autonomy and potential societal risks with gene editing requires careful consideration.
* Ensuring equitable access to potential benefits of these technologies while preventing exploitation is crucial.
By proactively adapting the legal system, the Philippines can position itself to harness the potential of emerging medical technologies while mitigating ethical risks and upholding the rights and well-being of its citizens.</t>
  </si>
  <si>
    <t>How has Philippine medical law evolved throughout history, influenced by colonial rule and changing government practices?</t>
  </si>
  <si>
    <t>The evolution of Philippine medical law reflects a fascinating interplay between colonial influences, changing government practices, and the growing desire for a more robust healthcare system. Here's a historical breakdown:
**Pre-Colonial Era:**
* **Indigenous Practices:** Pre-colonial Filipinos had their own system of traditional medicine using herbal remedies and spiritual practices. There weren't codified laws, but customary practices and cultural beliefs guided healthcare approaches.
**Spanish Colonial Period (1521-1898):**
* **Early Regulations:** The Spanish introduced some of the first regulations focused on sanitation and disease control. They established hospitals primarily for the military and religious personnel.
* **Limited Healthcare Access:** Healthcare services were primarily accessible to the Spanish elite and the Church hierarchy. Indigenous practices continued among the general population.
* **Influence of the Catholic Church:** The Church played a significant role in healthcare delivery, but also exerted control over medical practices and beliefs.
**American Colonial Period (1898-1946):**
* **Focus on Public Health:** The Americans introduced a more structured public health system, focusing on preventing infectious diseases through vaccination campaigns and improved sanitation measures.
* **Establishment of Regulatory Bodies:** Laws were enacted to regulate the practice of medicine and pharmacy, aiming to improve healthcare standards. * **Increased Healthcare Access:** The Americans established more hospitals and clinics, aiming to expand healthcare access beyond the privileged class. However, disparities remained.
**Post-Colonial Period (1946-Present):**
* **Focus on Universal Healthcare:** The Philippine government has progressively focused on achieving universal healthcare access for its citizens. * **Landmark Laws:** Several key laws have shaped the modern landscape:
* **The Medical Act of 1953 (RA No. 2382):** Defines the practice of medicine and sets standards for licensure.
* **The Generic Drugs Act of 1988 (RA No. 6675):** Promotes access to affordable and essential medicines.
* **The Universal Health Care Law of 2012 (RA No. 11223):** Mandates PhilHealth coverage for Filipinos, aiming to expand health insurance coverage.
* **Addressing Emerging Challenges:** Philippine medical law continues to evolve to address new challenges like antibiotic resistance, the rise of non-communicable diseases, and the integration of new technologies.
**Colonial Influences:**
* Both Spanish and American colonial eras laid the groundwork for a regulatory framework for healthcare practices.
* The American focus on public health continues to shape Philippine public health initiatives.
**Changing Government Practices:**
* Successive Philippine governments have prioritized increasing healthcare access and affordability.
* The concept of universal healthcare has become a core objective of the healthcare system.
**Looking Forward:**
* Philippine medical law is likely to continue evolving to address issues like:
* Ethical concerns surrounding emerging medical technologies.
* The need for a robust legal framework for personalized medicine.
* Ensuring equitable access to healthcare services across various demographics and geographical locations.
By understanding the historical context of Philippine medical law, we can see how it has been shaped by both external influences and the nation's ongoing pursuit of a more equitable and accessible healthcare system.</t>
  </si>
  <si>
    <t>How did landmark legal cases and historical events contribute to shaping the current legal framework for healthcare in the Philippines?</t>
  </si>
  <si>
    <t>Several landmark legal cases and historical events have significantly shaped the current legal framework for healthcare in the Philippines. Here's a closer look at some key examples:
**Landmark Legal Cases:**
* **Espiritu vs. IAC (1990):** This case established the "doctor's right to refuse treatment" but also emphasized the doctor's ethical obligation to inform the patient and ensure referral if needed. This case highlights the balance between patient autonomy and professional responsibility within the legal framework.
* **Osmeña vs. Court of Appeals (2000):** This case recognized the right to informed consent. It mandated that healthcare providers obtain a patient's informed consent before any medical procedure, ensuring patients understand the risks and benefits of treatment options. * **Jacob vs. Court of Appeals (2010):** This case addressed the issue of "malpractice." The court defined the elements of medical malpractice and established the standards of care that healthcare professionals must uphold. This case provides a legal framework for holding healthcare providers accountable for negligence.
**Historical Events:**
* **DOH Reorganization Act of 1972 (RA No. 349):** This act significantly reorganized the Department of Health (DOH), strengthening its role in formulating and implementing national health policies. This event laid the groundwork for a more centralized and coordinated approach to healthcare delivery.
* **People Power Revolution of 1986:** The revolution that overthrew the Marcos regime ushered in a renewed focus on social justice and improving the lives of Filipinos. This shift in national priorities helped pave the way for legislative efforts towards expanding healthcare access and affordability.
* **Emergence of HIV/AIDS (1980s):** The emergence of the HIV/AIDS epidemic highlighted the need for a more robust public health response. This event spurred the development of policies and programs focusing on HIV prevention, treatment, and access to essential medicines.
**Impact on Current Legal Framework:**
These legal cases and historical events have all contributed to the current legal framework for healthcare in the Philippines in various ways:
* **Patient Rights:** Landmark cases like Osmeña vs. Court of Appeals (2000) have strengthened patient autonomy and informed consent, ensuring patients have a greater say in their healthcare decisions.
* **Professional Accountability:** Cases like Jacob vs. Court of Appeals (2010) established standards of care and legal consequences for medical malpractice, promoting accountability among healthcare professionals.
* **DOH's Role:** The DOH Reorganization Act (1972) solidified the department's role in shaping national healthcare policies, leading to more coordinated efforts in improving healthcare delivery.
* **Universal Healthcare:** The social justice focus after the People Power Revolution contributed to the passage of the Universal Health Care Law (2012), aiming to expand health insurance coverage and reduce out-of-pocket expenses.
* **Public Health Initiatives:** The emergence of HIV/AIDS led to legal frameworks supporting public health programs and access to essential medicines, which can be applied to address other public health challenges.
**Looking Forward:**
The legal framework for healthcare in the Philippines continues to evolve. Future legal cases and historical events related to emerging technologies, access to new treatments, and addressing healthcare disparities will likely further shape Philippine medical law.</t>
  </si>
  <si>
    <t>How does Philippine law recognize and integrate traditional and indigenous medicine practices into the healthcare system?</t>
  </si>
  <si>
    <t>The Philippines recognizes and integrates traditional and indigenous medicine (TIM) practices into the healthcare system to a certain extent, but there's still room for improvement. Here's a breakdown of the legal framework and ongoing challenges:
**Legal Recognition:**
* **Traditional and Alternative Medicine Act (TAMA) of 1997 (RA No. 8423):** This law is a landmark achievement. It declares the state's policy to integrate TIM practices into the national healthcare system and improve access to traditional and alternative healthcare options.
* **Philippine Institute of Traditional and Alternative Health Care (PITAHC):** Established by TAMA, PITAHC is tasked with:
* Researching and developing traditional medicine practices.
* Standardizing and regulating the practice of traditional medicine.
* Promoting public awareness about the benefits of TIM practices.
**Integration Efforts:**
* **Accreditation of Traditional Healers:** PITAHC can accredit traditional healers who meet specific criteria, lending them a degree of legitimacy within the healthcare system.
* **Integration into Primary Care:** Some government health programs incorporate elements of TIM practices, such as herbal medicine or traditional massage therapy, alongside conventional medicine in primary care settings.
**Challenges and Considerations:**
* **Limited Scope of Integration:** Despite the legal framework, integration of TIM practices into mainstream healthcare remains limited. More needs to be done to create referral pathways and allow collaboration between traditional healers and conventional medical professionals.
* **Standardization and Quality Control:** Standardization of traditional remedies and practices is crucial to ensure quality and safety. More research is needed to evaluate the efficacy of various TIM approaches.
* **Intellectual Property Rights:** Protecting the intellectual property rights of indigenous communities regarding their traditional knowledge and medicinal plants is a complex issue that requires legal frameworks to ensure fair compensation and prevent exploitation.
**Looking Forward:**
* **Strengthening Regulatory Frameworks:** Clearer guidelines and regulations for the practice of traditional medicine can increase public trust and encourage collaboration with conventional healthcare. * **Promoting Research and Collaboration:** Further research on the effectiveness and safety of TIM practices, coupled with fostering collaboration between traditional healers and medical professionals, can pave the way for wider integration.
* **Protecting Indigenous Knowledge:** Establishing legal frameworks that protect the intellectual property rights of indigenous communities regarding their traditional knowledge is essential for fair and sustainable integration of TIM practices.
By addressing these challenges and continuing efforts towards integration, the Philippines can harness the potential of traditional and indigenous medicine practices to create a more comprehensive and culturally sensitive healthcare system for its citizens.</t>
  </si>
  <si>
    <t>What are the legal challenges and opportunities for ensuring the safety, efficacy, and ethical integration of traditional medicine into mainstream healthcare?</t>
  </si>
  <si>
    <t>The Philippines faces both challenges and opportunities when it comes to integrating traditional medicine (TM) safely, effectively, and ethically into the mainstream healthcare system. Here's a breakdown of both sides:
**Legal Challenges:**
* **Standardization and Quality Control:** * Traditional medicine practices can vary widely. There's a need for legal frameworks that establish standards for:
* Herbal remedies - ensuring consistent quality, purity, and proper harvesting methods.
* Traditional practices - defining appropriate use cases and qualifications for traditional healers.
* **Regulation and Licensing:** * The Traditional and Alternative Medicine Act (TAMA) provides a foundation, but clearer regulations are needed for:
* Licensing and accreditation of traditional healers - ensuring competency and adherence to safety standards.
* Manufacturing and distribution of traditional medicines - guaranteeing quality control and preventing adulteration.
* **Intellectual Property Rights:** * Traditional knowledge of indigenous communities regarding medicinal plants needs legal protection to prevent exploitation and ensure fair compensation.
**Legal Opportunities:**
* **Strengthening Regulatory Bodies:** * Empowering the Philippine Institute of Traditional and Alternative Health Care (PITAHC) can lead to:
* Developing robust accreditation and licensing processes for traditional healers.
* Establishing clear guidelines for the safe and ethical practice of traditional medicine.
* **Promoting Research and Collaboration:** * Legal frameworks can encourage:
* Research on the efficacy and safety of traditional remedies, fostering evidence-based integration.
* Collaboration between traditional healers and conventional medical professionals for better patient care.
* Research findings can inform legal frameworks for safe and effective TM integration.
* **Protecting Public Health:** * Clear regulations can help:
* Minimize potential risks associated with unstandardized traditional practices.
* Ensure patients have access to safe and effective traditional medicine options.
**Ethical Considerations:**
* **Informed Consent:** * Patients considering traditional medicine should be fully informed about potential benefits, limitations, and risks compared to conventional medicine. Legal frameworks can ensure informed consent processes are followed.
* **Transparency and Disclosure:** * Traditional healers should be transparent about their practices and disclose the ingredients used in herbal remedies. Legal requirements can promote transparency.
* **Marketing and Advertising:** * Regulations can prevent misleading claims or exaggerated benefits associated with traditional medicine.
**Overall, a multi-pronged approach is needed:**
* **Collaboration:** Lawmakers, medical professionals, traditional healers, and researchers need to work together to develop robust legal frameworks for safe and ethical TM integration.
* **Public Education:** Raising awareness about the potential benefits and limitations of traditional medicine can empower patients to make informed choices.
* **Continuous Improvement:** The legal framework should be adaptable to incorporate research findings and address emerging challenges in the field of traditional medicine.
By addressing these challenges and capitalizing on the opportunities, the Philippines can create a legal framework that fosters the safe, effective, and ethical integration of traditional medicine into mainstream healthcare, providing patients with a wider range of evidence-based treatment options.</t>
  </si>
  <si>
    <t>What legal aid resources and support mechanisms are available for individuals who cannot afford legal representation in medical malpractice cases?</t>
  </si>
  <si>
    <t>The Philippines offers several legal aid resources and support mechanisms for individuals who cannot afford legal representation in medical malpractice cases. Here's a breakdown of some key options:
**Government Agencies:**
* **Public Attorney's Office (PAO):** This is the primary government agency that provides free legal assistance in the Philippines, including medical malpractice cases. They have offices located in courts and local government units nationwide. However, PAO has limitations:
* **Income restrictions:** Individuals whose income exceeds a specific threshold (around Php 12,000 - Php 14,000 monthly depending on location) may not be eligible for free legal aid.
* **Caseload limitations:** PAO lawyers often have a high caseload, which might impact the time and resources dedicated to each case.
**Law Schools:**
* **Legal Aid Offices:** Many law schools in the Philippines have legal aid offices staffed by law students under the supervision of professors. These offices can provide free legal assistance or referrals for medical malpractice cases.
* **Law Student Practice Rules:** Supreme Court rules allow qualified law students to appear in court pro bono (for free) on behalf of indigent clients in specific cases, potentially including medical malpractice.
**Non-Government Organizations (NGOs):**
* **Free Legal Assistance Groups (FLAG):** Several NGOs like FLAG offer free legal aid services, sometimes specializing in healthcare-related cases. * **Patient Advocacy Groups:** Some patient advocacy groups might offer legal assistance or referrals for medical malpractice cases, particularly those related to specific diseases or conditions.
**Finding Legal Help:**
* **Online Resources:** Websites like [https://lawyerphilippines.org/](https://lawyerphilippines.org/) list various legal aid organizations and can help locate resources based on your area.
* **PAO Website:** The PAO website ([https://pao.gov.ph/](https://pao.gov.ph/)) provides contact information for their regional and local offices.
**Important Considerations:**
* **Documentation:** Gather all medical records, bills, and any other relevant documents related to the alleged malpractice.
* **Time Limits:** There are deadlines for filing medical malpractice lawsuits. Seek legal help as soon as possible to ensure you meet the filing deadline.
* **Case Evaluation:** Not all medical errors constitute malpractice. A lawyer can review your case and advise you on the likelihood of success.
**While these resources can provide valuable support, it's important to manage expectations.** Medical malpractice cases can be complex and lengthy. Legal aid resources might be limited, and the outcome can be uncertain.</t>
  </si>
  <si>
    <t>How can access to justice be improved for vulnerable populations, such as minorities, migrant workers, and persons with disabilities, in the context of medical law?</t>
  </si>
  <si>
    <t>The Philippines faces challenges in ensuring equal access to justice for vulnerable populations in medical law cases. Here are some strategies to improve the situation:
**Raising Awareness and Education:**
* **Multilingual Legal Information:** Making legal information on medical malpractice rights available in local languages spoken by minorities can empower them to understand their options and seek help.
* **Community Outreach Programs:** Organizing workshops and information sessions in communities with significant minority, migrant worker, and disabled populations can raise awareness about medical malpractice and available legal resources. * **Disability-Inclusive Information:** Providing legal information in accessible formats like Braille or sign language, or utilizing audio recordings, can ensure persons with disabilities can understand their rights.
**Strengthening Legal Aid Mechanisms:**
* **Targeted Legal Aid Programs:** Establishing programs specifically dedicated to providing legal assistance for medical malpractice cases involving vulnerable populations. * **Training for Legal Aid Lawyers:** Equipping legal aid lawyers with specialized knowledge in medical malpractice law and cultural sensitivity training to effectively represent diverse clients.
* **Pro Bono Incentives:** Providing tax breaks or continuing education credits for lawyers who volunteer their time for pro bono medical malpractice cases involving vulnerable populations.
**Addressing Accessibility Issues:**
* **Financial Assistance:** Offering financial support for vulnerable populations to cover court fees, transportation costs, and other legal expenses associated with medical malpractice cases.
* **Accessible Court Facilities:** Ensuring courtrooms and legal proceedings are physically accessible for persons with disabilities and provide accommodations like sign language interpreters or assistive technology when needed.
* **Simplified Court Procedures:** Exploring ways to simplify court procedures for medical malpractice cases involving vulnerable populations, potentially through alternative dispute resolution mechanisms or specialized courts.
**Empowering Vulnerable Populations:**
* **Peer Support Networks:** Facilitating peer support networks for minorities, migrant workers, and persons with disabilities who have experienced medical malpractice can provide emotional support and share experiences.
* **Training for Community Leaders:** Training community leaders or paralegals to provide basic legal guidance and connect vulnerable populations with legal aid resources.
**Advocacy and Collaboration:**
* **Collaboration between NGOs:** Encouraging collaboration between legal aid organizations, patient advocacy groups, and disability rights groups to advocate for systemic changes that improve access to justice in medical malpractice cases.
* **Data Collection and Research:** Collecting data on how medical malpractice cases involving vulnerable populations are handled can help identify areas where improvements are needed and advocate for more effective legal aid programs and policies.
**Long-Term Solutions:**
* **Investing in Legal Education:** Increasing funding for legal education programs to produce more lawyers willing to work in legal aid or public interest law.
* **Judicial Reforms:** Promoting reforms within the judicial system to streamline processes, reduce costs, and make the legal system more user-friendly for all citizens.
By implementing a combination of these strategies, the Philippines can work towards a legal system that provides more equitable access to justice for vulnerable populations in medical malpractice cases.</t>
  </si>
  <si>
    <t>How does Philippine medical law compare and contrast with approaches to medical law in other Southeast Asian nations?</t>
  </si>
  <si>
    <t>Philippine medical law shares some similarities with other Southeast Asian nations but also has distinct features. Here's a breakdown based on key aspects:
**Similarities:**
* **Universal Health Coverage (UHC):** Most Southeast Asian nations, including the Philippines (**R.A. 11223** or the National Health Insurance Act of 2013), are working towards UHC. This aims to provide all citizens with access to affordable healthcare. * **Regulation of Healthcare Professionals:** All countries regulate who can practice medicine and related professions. The Philippines has the **Philippine Medical Act of 1999 (R.A. 7832)**, and other nations have similar laws.
* **Focus on Communicable Diseases:** Due to the region's climate and geography, many countries prioritize control of infectious diseases. The Philippines has laws like **R.A. 11332** (Mandatory Reporting of Notifiable Diseases and Health Events of Public Health Concern Act).
**Contrasts:**
* **National Health Insurance (NHI) Implementation:** While all aim for UHC, the implementation of NHI programs varies. The Philippines has a developing program, while Singapore has a more mature system. ([https://japan.kantei.go.jp/101_kishida/statement/202311/04policyspeech.html](https://japan.kantei.go.jp/101_kishida/statement/202311/04policyspeech.html)) * **Scope of Medical Practice:** Some countries might have stricter limitations on specific practices. For example, the Philippines allows for Traditional and Alternative Medicine (**R.A. 10354**), which might be regulated differently elsewhere.
* **Public vs. Private Healthcare:** The balance between public and private healthcare delivery differs. The Philippines has a strong private sector, while some countries have a more centralized public system.
**Resources for further research:**
* Department of Health Philippines: [https://doh.gov.ph/](https://doh.gov.ph/)
* World Health Organization: [https://www.who.int/southeastasia](https://www.who.int/southeastasia)
**Important Note:** This is a general overview. Specific medical laws and regulations can vary significantly between countries within Southeast Asia.</t>
  </si>
  <si>
    <t>What global trends in medical law and ethics, such as the use of artificial intelligence in healthcare, can inform the development of Philippine law?</t>
  </si>
  <si>
    <t>The Philippines can consider several global trends in medical law and ethics, including AI in healthcare, to inform its own legal framework. Here's how, based on relevant principles:
* **Artificial Intelligence (AI) in Healthcare:** The Philippines currently lacks specific laws on AI in healthcare. However, the **Data Privacy Act (R.A. 10173)** protects patient information used by AI systems. The following global trends can be considered:
* **Transparency and Accountability:** Laws can mandate clear communication on how AI is used in diagnosis, treatment, and decision-making.
* **Algorithmic Bias:** Regulations can address potential bias in AI algorithms to ensure fair treatment for all patients.
* **Informed Consent and Patient Autonomy:** The Philippine Constitution (Article II, Section 14) guarantees the right to privacy. This extends to medical information. As new technologies emerge, Philippine law can ensure:
* **Clear and understandable information** is provided to patients about how their data is used, including AI applications.
* **Patients have the right to refuse** AI-based interventions and choose traditional methods. * **Access to Healthcare and Equity:** The Philippine Constitution (Article XIII, Section 11) guarantees the right to health. Considering this right, Philippine law can address:
* **Ensuring equitable access** to AI-powered healthcare, especially in remote areas.
* **Mitigating cost barriers** that could prevent some from benefiting from AI-driven advancements.
**Resources for further research:**
* Department of Health Philippines: [https://doh.gov.ph/](https://doh.gov.ph/) * Council of Europe: [https://rm.coe.int/recommandation-2185-2020-artificial-intelligence-in-health-care-medica/1680a2dcfa](https://rm.coe.int/recommandation-2185-2020-artificial-intelligence-in-health-care-medica/1680a2dcfa)
**Remember:** This is not legal advice. Consulting a qualified professional is recommended for specific legal interpretations.</t>
  </si>
  <si>
    <t>How does Philippine law address ethical concerns surrounding the commercialization of stem cell research and therapies?</t>
  </si>
  <si>
    <t>The Philippines addresses ethical concerns surrounding stem cell research and therapies primarily through the Department of Health (DOH) Administrative Order No. 2013-0012 [AO 2013-0012]. This AO regulates the "Manufacture, Importation, Export, Sale, Offer for Sale, Distribution, Promotion, Marketing, and Use of Human Cellular and Tissue-Based Products" Here's how AO 2013-0012 tackles some key ethical concerns:
* **Protection of Embryos:** The AO prohibits the following:
* Creation of human embryos for research (Section 3.A.1)
* Use of human embryonic stem cells (hESCs) and their derivatives in treatment and research (Section 3.A.2)
* Use of aborted human fetal stem cells and their derivatives (Section 3.A.3)
This aligns with concerns about the moral status of embryos and the ethics of destroying them for research.
* **Focus on Ethical Sources:** The AO allows research on certain types of stem cells, such as adult stem cells and mesenchymal stem cells, derived from ethically sourced materials. This steers research towards less ethically contentious areas.
**Important points to note:**
* AO 2013-0012 focuses on regulating the products and therapies, not the research itself. Additional regulations by other government agencies might exist for research protocols.
* The Philippines allows research on induced pluripotent stem cells (iPSCs), which are reprogrammed adult cells and avoid the ethical issues of embryonic stem cells.
**Further Resources:**
* Department of Health Philippines: [https://doh.gov.ph/](https://doh.gov.ph/)
* Administrative Order No. 2013-0012: [https://www.fda.gov.ph/wp-content/uploads/2021/04/Administrative-Order-No.-2013-0012.pdf](https://www.fda.gov.ph/wp-content/uploads/2021/04/Administrative-Order-No.-2013-0012.pdf)</t>
  </si>
  <si>
    <t>What legal frameworks are in place to regulate and oversee the development and application of gene editing technologies in the Philippines?</t>
  </si>
  <si>
    <t>The Philippines has a relatively new legal framework for regulating gene editing technologies, specifically for plants. Here's a breakdown of the key regulations:
* **Memorandum Circular No. 8, Series of 2022 (MC8):** This Department of Science and Technology (DOST) memorandum outlines a science-based and efficient process for assessing if a gene-edited plant falls under the regulations for Genetically Engineered (GE) organisms. * MC8 establishes a new category called "Products of New Breeding Techniques" (PNBTs). These are plants created using new techniques like CRISPR that are considered less risky than traditional GE methods. ([invalid URL removed])
* **National Committee on Biosafety of the Philippines (NCBP):** This committee, under the DOST, is responsible for ensuring the safe development and use of genetically modified organisms (GMOs) and potentially, some PNBTs. The NCBP has guidelines for contained use research, deliberate release, and commercialization of GMOs, which might be adapted for PNBTs as well. (DOST PCAARRD: [https://pcaarrd.dost.gov.ph/index.php/quick-information-dispatch-qid-articles/promises-and-challenges-of-gene-editing-discussed-in-a-forum](https://pcaarrd.dost.gov.ph/index.php/quick-information-dispatch-qid-articles/promises-and-challenges-of-gene-editing-discussed-in-a-forum))
**Important Considerations:**
* The Philippine regulatory framework for gene editing is still evolving. It's likely that new regulations or amendments to existing ones will be developed as the technology advances.
* The current framework primarily focuses on regulating gene-edited plants. The regulation of gene editing in other areas, such as human germline editing, is still under discussion. **Resources for further research:**
* Department of Science and Technology Philippines: [https://www.dost.gov.ph/](https://www.dost.gov.ph/)
* ISAAA: [https://www.isaaa.org/](https://www.isaaa.org/)
Remember, this is not a substitute for legal advice. For specific interpretations of the regulations, consult a qualified lawyer.</t>
  </si>
  <si>
    <t>How does the law approach the ethical dilemmas surrounding the use of animals in medical research and development?</t>
  </si>
  <si>
    <t>The Philippines does not have a single law solely dedicated to animal research. However, several legal resources address the ethical treatment of animals used in research and development. Here's a breakdown of the key points:
* **The Philippine Constitution (Article II, Section 15):** This section recognizes the "right to security of person and his property." While it doesn't explicitly mention animals, it can be interpreted to promote responsible treatment of all living things.
* **Republic Act No. 8485 or The Animal Welfare Act of 1998:** This law focuses on promoting animal welfare and preventing cruelty. It applies generally, and research animals are not explicitly exempted. While not directly regulating research, it sets a baseline for animal care. * **Department of Agriculture (DA) Administrative Circular No. 10 series of 2012:** This DA regulation provides specific guidelines for the humane handling, care, and use of laboratory animals. It outlines principles like the 3Rs (Replacement, Reduction, and Refinement) to minimize animal suffering in research. * **Executive Order No. 517 series of 2001:** This EO establishes the National Ethical Research Committee (NERC) under the Department of Science and Technology (DOST). The NERC reviews research proposals involving human subjects and animals. This includes ensuring protocols for animal research meet ethical and scientific standards.
**Key Points to Remember:**
* The Philippines follows a balanced approach, allowing animal research while emphasizing ethical treatment.
* The legal framework focuses on animal welfare and reducing suffering during research. * Researchers must comply with the guidelines set by the DA and secure approval from the NERC before conducting animal research.
**Additional Resources:**
* Department of Agriculture Philippines: [https://www.da.gov.ph/](https://www.da.gov.ph/)
* DOST National Ethical Research Committee: [https://nec.pchrd.dost.gov.ph/](https://nec.pchrd.dost.gov.ph/)
**Important Note:** This is a simplified overview. It's recommended to consult a lawyer specializing in animal law for a comprehensive understanding of the legal landscape surrounding animal research in the Philippines.</t>
  </si>
  <si>
    <t>How can public awareness about medical law and patient rights be enhanced through education and communication strategies?</t>
  </si>
  <si>
    <t>The Philippines can utilize various education and communication strategies to enhance public awareness about medical law and patient rights. Here are some approaches:
**1. Leverage Multiple Channels:**
* **Traditional Media:** Utilize TV, radio, and print media for public service announcements and educational programs explaining patient rights and relevant laws (e.g., R.A. 7832 - Philippine Medical Act, R.A. 10173 - Data Privacy Act).
* **Digital Platforms:** Develop a government-led website or mobile app with downloadable resources on medical law and patient rights. Partner with social media platforms to disseminate clear and concise infographics and explainer videos.
**2. Collaborate with Stakeholders:**
* **Healthcare Institutions:** Integrate patient rights education into hospital admissions and discharge procedures. Partner with doctor associations to develop patient education materials. * **Schools and Universities:** Embed modules on medical law and patient rights in relevant health education courses. * **Community Organizations:** Partner with community organizations to conduct workshops and seminars in local languages.
**3. Make Information Accessible and Engaging:**
* **Simple Language:** Use clear and concise language, avoiding legalese, in all communication materials. Employ visuals, diagrams, and storytelling to make the information engaging.
* **Multilingual Resources:** Develop materials in major Filipino languages to ensure inclusivity across diverse populations. Utilize audio versions for those with visual impairments.
**4. Promote Active Participation:**
* **Hotlines and Help Desks:** Establish helplines or online platforms for patients to inquire about their rights and report violations.
* **Interactive Resources:** Develop online quizzes or games to assess and improve public knowledge about medical law. **5. Leverage Existing Mechanisms:**
* **Barangay Health Workers:** Train barangay health workers on medical law and empower them to educate their communities.
* **Patient Advocacy Groups:** Collaborate with existing patient advocacy groups to raise awareness and provide support to patients encountering difficulties.
**Remember:** * **Sustainability:** Regularly update information and maintain clear communication channels for long-term impact.
* **Evaluation and Feedback:** Monitor the effectiveness of communication strategies and adapt them based on public feedback and emerging issues.
By implementing these strategies, the Philippines can empower its citizens to make informed healthcare decisions and advocate for their rights within the medical system.</t>
  </si>
  <si>
    <t>What role can civil society organizations and advocacy groups play in shaping legal reforms and promoting ethical practices in Philippine healthcare?</t>
  </si>
  <si>
    <t>Civil society organizations (CSOs) and advocacy groups can play a crucial role in shaping legal reforms and promoting ethical practices in Philippine healthcare. Here's how:
**1. Raising Public Awareness and Building Momentum:**
* **Public Education Campaigns:** CSOs can use education campaigns to inform the public about gaps in existing laws, ethical concerns in healthcare, and the benefits of proposed reforms. This can build public support for legislative changes. * **Social Media Advocacy:** Social media platforms can be used to disseminate information, mobilize public pressure, and highlight success stories of ethical healthcare practices.
**2. Research and Policy Advocacy:**
* **Research and Data Collection:** CSOs can conduct research to document the impact of current laws and identify areas needing reform. Data on unmet healthcare needs, ethical violations, or financial burdens can strengthen advocacy efforts.
* **Policy Recommendations and Lobbying:** Based on research, CSOs can develop policy recommendations for legal reforms. Lobbying efforts can target legislators, government agencies (e.g., DOH), and regulatory bodies (e.g., Philippine Medical Association) to push for policy changes.
**3. Empowering Patients and Communities:**
* **Legal Aid and Support:** CSOs can provide legal aid to patients who have experienced unethical practices or had their rights violated. This empowers individuals and sends a message of accountability.
* **Community Mobilization and Capacity Building:** CSOs can work with local communities to build awareness about patient rights and encourage them to demand ethical treatment. This can involve training community health workers and creating support groups.
**4. Collaboration and Partnership Building:**
* **Collaboration with Healthcare Professionals:** CSOs can collaborate with ethical healthcare professionals to develop best practices and advocate for systemic changes that promote ethical conduct within the medical field.
* **Networking with Other CSOs:** Building alliances with other CSOs working on healthcare issues can amplify their collective voice and resources for greater impact.
**Examples of Advocacy Efforts:**
* Philippine Coalition for Universal Health Care (PCUHC) advocates for reforms to strengthen the National Health Insurance Program (NHIP).
* Philippine Medical Association (PMA) promotes ethical practice among doctors and lobbies for reforms within the medical profession. **Challenges and Considerations:**
* **Limited Resources:** CSOs often face resource constraints. Building partnerships and utilizing creative communication strategies can help overcome this challenge.
* **Political Influence:** The success of advocacy efforts may depend on navigating political landscapes and building relationships with policymakers.
Despite these challenges, CSOs and advocacy groups play a vital role in ensuring ethical healthcare practices and shaping legal reforms in the Philippines. Their dedication to public education, research-driven advocacy, and empowering communities can lead to a more equitable and ethical healthcare system.</t>
  </si>
  <si>
    <t>How does Philippine law address the increasing prevalence of "burnout" and mental health challenges among healthcare professionals?</t>
  </si>
  <si>
    <t>Philippine law doesn't directly address burnout among healthcare professionals. However, there are existing legal frameworks that indirectly touch upon this issue:
* **The Philippine Mental Health Act (R.A. 11036):** This act recognizes mental health as a vital part of overall health and well-being. It promotes the establishment of mental health services and facilities. While not specifically targeting healthcare professionals, increased access to mental health services could benefit them as well.
* **The Magna Carta for Public Health Workers (R.A. 7305):** This law guarantees the rights, benefits, and protection of government employed healthcare workers. It includes provisions on:
* **Safe and just working conditions:** This could be interpreted to include addressing workload and stress factors contributing to burnout. * **Security of tenure:** Job security can contribute to a sense of stability and reduce stress for healthcare workers.
**Department of Health (DOH) Initiatives:** The DOH recognizes the mental health challenges faced by healthcare workers. While not legal mandates, they have taken some initiatives to address burnout:
* **DOH Mental Health Programs:** The DOH offers mental health programs for the general public. Healthcare workers can potentially benefit from these programs, although tailored programs might be more effective.
* **Stress Management Trainings:** The DOH, in collaboration with other agencies, might conduct stress management training programs for healthcare workers. **The Gap and Potential for Reform:**
While these legal frameworks and initiatives provide some support, there's a gap in directly addressing burnout among healthcare workers. Here's where potential for reform lies:
* **Specific Legislation:** A law could mandate workplace mental health programs for healthcare institutions, including stress management strategies, access to mental health professionals, and confidential support systems.
* **Clearer DOH Guidelines:** The DOH could develop clearer guidelines for workplace mental health programs specific to the needs of healthcare professionals. These could outline best practices and minimum requirements for healthcare institutions.
**Conclusion:**
Burnout among healthcare professionals is a growing concern in the Philippines. Existing laws provide some indirect support for mental health, but there's room for improvement. Advocacy efforts can push for specific legislation and clearer DOH guidelines to create a more supportive environment for healthcare workers' mental well-being.</t>
  </si>
  <si>
    <t>What legal frameworks are in place to support and regulate the practice of telemedicine and virtual consultations in various subspecialties?</t>
  </si>
  <si>
    <t>The Philippines has seen a rise in telemedicine and virtual consultations in recent years. While there's no single law governing all aspects of telemedicine, a framework exists through various regulations and issuances. Here's a breakdown:
**Department of Health (DOH) Policies:**
* **DOH Department Circular No. 2018-004:** This circular outlines the "Telehealth Guidelines for the Public and Private Sectors." It defines telemedicine, establishes minimum technical standards for equipment and platforms, and outlines best practices for patient care and data privacy.
* **DOH Telehealth Resource Center:** The DOH maintains a resource center providing information and guidelines for healthcare professionals on telemedicine practice. ([https://doh.gov.ph/](https://doh.gov.ph/))
**Professional Regulation Commission (PRC):**
The PRC, which regulates healthcare professionals, recognizes telemedicine as a legitimate mode of practice. However, specific guidelines might be issued by the respective professional boards (e.g., Philippine Medical Association for doctors, Philippine Nurses Association for nurses) regarding ethical considerations and practice standards within each subspecialty.
**Philippine Medical Association (PMA):**
* **PMA Position Paper on Telemedicine:** The PMA issued a position paper in 2020 supporting the ethical use of telemedicine. It emphasizes the importance of maintaining patient confidentiality, informed consent, and continuity of care during virtual consultations. **Legal Considerations Across Subspecialties:**
While the core principles outlined in the DOH circular apply generally, certain subspecialties might have additional considerations:
* **Mental Health:** Telemedicine can be effective for mental health consultations. However, establishments should ensure appropriate technology and privacy measures for confidential communication. * **Surgery or Procedures Requiring Physical Examination:** Telemedicine consultations can be used for pre-operative or post-operative care, but in-person examinations remain crucial for diagnosis and procedures.
**The Evolving Landscape and Potential for Reform:**
Telemedicine is a growing field in the Philippines. As it evolves, new challenges and opportunities might emerge. Here's where potential for reform lies:
* **Standardization and Clearer Guidelines:** Developing standardized guidelines across subspecialties can provide greater clarity for both healthcare providers and patients.
* **Reimbursement and Insurance Coverage:** Telemedicine consultations might not always be covered by insurance. Establishing clearer policies on reimbursement can incentivize wider adoption.
**Conclusion:**
The Philippines has a developing framework for telemedicine. The DOH guidelines, professional association policies, and PRC regulations provide a foundation for practice. As the field evolves, standardization, clearer subspecialty guidelines, and insurance coverage considerations can further support and regulate the ethical and effective use of telemedicine across various healthcare subspecialties.</t>
  </si>
  <si>
    <t>How does the law address the potential privacy and security risks associated with the use of wearable health devices and mobile health applications?</t>
  </si>
  <si>
    <t>The Philippines currently lacks a single, comprehensive law specifically addressing the privacy and security risks of wearable health devices and mobile health applications (mHealth apps). However, there are existing legal resources that offer some degree of protection:
* **The Constitution (Article III, Section 1):** This section guarantees the right to privacy. This can be interpreted to encompass the privacy of personal health information collected by wearable devices and mHealth apps.
* **The Data Privacy Act (R.A. 10173):** This is the most relevant law for data privacy concerns. It outlines principles for the processing of personal information, including:
* **Consent:** Users must provide informed consent before their health data is collected and used by wearable devices and mHealth apps. * **Purpose Specification:** The purpose for collecting health data should be clearly explained to the user. * **Security Safeguards:** The law mandates the implementation of appropriate security measures to protect personal information from unauthorized access, use, or disclosure.
* **Data Breaches:** Entities collecting health data must notify users in case of a data breach.
**Limitations of the Data Privacy Act:**
* **Limited Scope:** The Data Privacy Act focuses on the processing of personal information. It might not address all security vulnerabilities of wearable devices or mHealth apps themselves. * **Enforcement Mechanisms:** The enforcement mechanisms of the Data Privacy Act are still evolving.
**Department of Health (DOH) Guidelines:**
While not legally binding, the DOH has issued guidelines on the use of mHealth technologies. These guidelines emphasize the importance of data privacy and security but lack the enforcement power of a law. ([https://doh.gov.ph/](https://doh.gov.ph/))
**Potential for Reform:**
* **Specific Legislation:** A law specifically addressing the privacy and security risks of wearable health devices and mHealth apps could provide clearer guidelines and stronger enforcement mechanisms. **Conclusion:**
The Philippines is taking steps to address privacy concerns in the digital health space. The Data Privacy Act offers some protection, but there's room for improvement. Advocacy efforts can push for specific legislation to create a more robust framework that protects the privacy and security of Filipinos using wearable health devices and mHealth apps.</t>
  </si>
  <si>
    <t>How does the legal framework promote sustainable healthcare practices and mitigate the environmental impact of the healthcare sector?</t>
  </si>
  <si>
    <t>The Philippine legal framework for promoting sustainable healthcare practices and mitigating the environmental impact of the healthcare sector is evolving. Here's a breakdown of the key elements:
**Environmental Laws with Healthcare Implications:**
* **The Ecological Solid Waste Management Act (R.A. 9003):** This law promotes waste segregation and recycling, including medical waste. Healthcare facilities must segregate and dispose of medical waste according to DOH regulations to minimize environmental impact.
* **The Clean Air Act (R.A. 8749):** This law regulates air quality and healthcare facilities that use incinerators must comply with emission standards to minimize air pollution.
* **The Clean Water Act (R.A. 9275):** This law regulates water quality and healthcare facilities must properly treat wastewater before discharge to prevent water contamination.
**Department of Health (DOH) Policies:**
* **DOH Administrative Order No. 2014-0021:** This order outlines "Guidelines on Healthcare Waste Management." It mandates specific procedures for segregation, collection, storage, treatment, and disposal of medical waste to minimize environmental hazards.
**Challenges and Opportunities:**
* **Limited Enforcement:** Enforcing existing environmental laws within the healthcare sector can be a challenge. * **Sustainable Procurement:** While not mandated, hospitals can adopt sustainable procurement practices by purchasing environmentally friendly cleaning products, energy-efficient equipment, and recycled supplies.
* **Waste Reduction Strategies:** Policies encouraging reduction in disposable medical supplies and reuse of sterilized equipment can contribute significantly.
* **Green Hospital Initiatives:** The DOH, in collaboration with other stakeholders, can promote green hospital initiatives such as energy-efficient building design, renewable energy use, and water conservation measures.
**The Role of Stakeholders:**
* **Healthcare Institutions:** Hospitals and clinics can play a leading role by adopting sustainable practices, implementing waste management plans, and promoting environmental awareness among staff.
* **Professional Associations:** Medical associations can integrate environmental considerations into their codes of ethics and encourage sustainable practices among members.
* **Non-Government Organizations (NGOs):** NGOs can raise awareness about the environmental impact of healthcare, advocate for stricter regulations, and support green hospital initiatives.
**Conclusion:**
The Philippines has a developing legal framework for promoting sustainable healthcare. While existing environmental laws address some aspects of waste management and pollution control, there's room for improvement. Enhancing enforcement, promoting sustainable procurement and waste reduction, and encouraging green hospital initiatives are crucial steps towards a more environmentally responsible healthcare system. Collaboration among government agencies, healthcare institutions, professional associations, and NGOs can help achieve this goal.</t>
  </si>
  <si>
    <t>What legal mechanisms are in place to manage and dispose of hazardous medical waste and minimize its environmental impact?</t>
  </si>
  <si>
    <t>The Philippines has a two-pronged approach to managing and disposing of hazardous medical waste (HMW) to minimize its environmental impact. This involves both legal regulations and guidelines set by the Department of Health (DOH). Here's a breakdown:
**Legal Framework:**
* **The Ecological Solid Waste Management Act (R.A. 9003):** This law is the cornerstone of waste management in the Philippines. It mandates the segregation, collection, storage, treatment, and disposal of all types of waste, including HMW.
* **The Clean Air Act (R.A. 8749):** This law regulates air quality and prohibits the incineration of medical waste due to harmful emissions. This is an important distinction as incineration was a common method previously.
* **The Clean Water Act (R.A. 9275):** This law regulates water quality and requires healthcare facilities to properly treat wastewater before discharge to prevent contamination from medical waste.
**Department of Health (DOH) Regulations:**
* **DOH Administrative Order No. 2014-0021:** This order supersedes previous regulations and outlines comprehensive "Guidelines on Healthcare Waste Management." Key aspects include:
* **Segregation:** Detailed color-coding and labeling systems mandate the segregation of HMW based on risk category (infectious, pathological, sharps, etc.) to prevent contamination.
* **Collection and Transport:** Regulations ensure proper packaging, labeling, and transportation of segregated HMW by licensed haulers.
* **Treatment and Disposal:** The DOH outlines approved treatment and disposal methods for different HMW categories. Incineration being banned, these methods focus on autoclaving (steam sterilization) and other non-burning technologies.
* **Recordkeeping and Reporting:** Healthcare facilities must maintain records and report HMW generation and disposal activities to the DOH.
**Enforcement Mechanisms:**
* The Department of Environment and Natural Resources (DENR) through the Environmental Management Bureau (EMB) is responsible for enforcing environmental laws, including those related to HMW management.
* The DOH, in collaboration with the DENR, conducts inspections of healthcare facilities to ensure compliance with HMW regulations. **Challenges and Opportunities:**
* **Capacity Building:** Ensuring adequate training and resources for healthcare workers on proper HMW segregation and handling remains crucial.
* **Treatment and Disposal Infrastructure:** Investing in more accessible and efficient HMW treatment and disposal facilities across the country is necessary.
* **Public-Private Partnerships:** Collaboration between government agencies and private waste management companies can improve HMW collection and facilitate the adoption of advanced treatment technologies.
**Conclusion:**
The Philippines has a legal framework and DOH guidelines in place to manage and dispose of HMW in an environmentally sound manner. Strict enforcement, capacity building for healthcare workers, investments in infrastructure, and public-private partnerships are key to minimizing the environmental impact of HMW and safeguarding public health.</t>
  </si>
  <si>
    <t>How does Philippine law equip authorities and healthcare institutions to respond effectively to natural disasters and other emergencies affecting public health?</t>
  </si>
  <si>
    <t>The Philippines faces frequent natural disasters and other public health emergencies. Here's how Philippine law equips authorities and healthcare institutions to respond effectively:
**Disaster Risk Reduction and Management (DRRM):**
* **Republic Act No. 10121 (The Philippine Disaster Risk Reduction and Management Act):** This law establishes the National Disaster Risk Reduction and Management Council (NDRRMC) to coordinate disaster preparedness, response, rehabilitation, and recovery efforts. It mandates local government units (LGUs) to create their own DRRM plans and establish Local Disaster Risk Reduction and Management Offices (LDDRMOs) for local response.
* **Department of Health (DOH) National Policy on Disaster Risk Reduction and Management in Health:** This policy provides strategies for integrating DRRM principles within the health system. These include:
* **Strengthening health facilities:** Ensuring facilities are structurally sound and equipped to handle emergencies.
* **Stockpiling essential supplies:** Maintaining emergency stockpiles of medicines, medical equipment, and relief goods.
* **Training healthcare workers:** Providing training on disaster preparedness, response, and management for healthcare professionals.
**Public Health Emergencies:**
* **Mandatory Reporting of Notifiable Diseases and Health Events of Public Health Concern Act (R.A. 11332):** This law mandates healthcare providers and institutions to report notifiable diseases and public health emergencies to local health authorities promptly. This allows for quicker detection and response to outbreaks.
* **International Health Regulations (IHR):** The Philippines adheres to the World Health Organization's (WHO) IHR, which outlines measures to prevent, detect, and respond to international public health threats. This includes surveillance systems, reporting requirements, and international cooperation during emergencies.
**Challenges and Opportunities:**
* **Resource Constraints:** LGUs and healthcare institutions often face resource limitations for disaster preparedness and emergency response.
* **Communication and Coordination:** Effective communication and coordination between national and local authorities, healthcare institutions, and communities during emergencies is crucial but can be challenging.
* **Community Engagement:** Empowering communities through disaster preparedness training and drills can significantly improve overall response effectiveness.
**Conclusion:**
Philippine law provides a framework for authorities and healthcare institutions to respond to disasters and public health emergencies. However, continuous improvement is necessary. Increased funding, strengthened communication channels, enhanced community engagement, and investments in disaster-resilient healthcare infrastructure are all crucial for a more effective response system.</t>
  </si>
  <si>
    <t>What legal frameworks prioritize the allocation of resources and ensure equitable access to healthcare services during emergency situations?</t>
  </si>
  <si>
    <t>The Philippines has a framework that aims to prioritize resource allocation and ensure equitable access to healthcare services during emergencies, but it's a complex issue with ongoing development. Here's a breakdown of the key elements:
**Legal Frameworks:**
* **The Philippine Disaster Risk Reduction and Management Act (R.A. 10121):** This law mandates the National Disaster Risk Reduction and Management Council (NDRRMC) to coordinate resource allocation during disasters. The goal is to prioritize areas with the greatest need and ensure vulnerable populations have access to essential services, including healthcare.
* **The Universal Health Care Act (R.A. 11223):** This act aims to progressively realize universal health care in the Philippines. While not specifically focused on emergencies, it establishes a framework for equitable access to healthcare services. This can be a foundation for prioritizing resource allocation during emergencies.
* **Department of Health (DOH) Policies:** The DOH develops guidelines for emergency response, including resource allocation for healthcare services. These guidelines emphasize considerations of need, vulnerability, and equitable distribution of resources. **Challenges and Considerations:**
* **Limited Resources:** During emergencies, resources are often scarce. Striking a balance between immediate needs and long-term recovery efforts can be difficult.
* **Data and Needs Assessment:** Accurate data on population needs and vulnerabilities is crucial for equitable resource allocation. Rapid data collection and analysis during emergencies can be challenging. * **Accessibility:** Even with resource allocation, ensuring physical access to healthcare services in remote areas or areas with damaged infrastructure can be a hurdle.
**Potential for Improvement:**
* **Pre-Disaster Planning:** Developing contingency plans with clear resource allocation protocols for different emergency scenarios can improve efficiency during response.
* **Community Participation:** Involving affected communities in needs assessments and resource distribution can ensure culturally appropriate services and prevent exploitation or discrimination.
* **Stockpiling:** Maintaining stockpiles of essential medical supplies and equipment can mitigate resource scarcity during emergencies.
**Conclusion:**
The Philippines has a legal framework that emphasizes prioritizing resource allocation and equitable access to healthcare services during emergencies. However, challenges like limited resources and complex needs assessments remain. Pre-disaster planning, community participation, and stockpiling essential supplies are crucial steps towards a more effective and equitable response system. **Additional Notes:**
* The legal frameworks mentioned above work in conjunction with international humanitarian law principles**, which emphasize the protection of civilians and equitable access to healthcare during emergencies.
* The effectiveness of the legal framework also depends on enforcement and accountability mechanisms to ensure resources reach those who need them most.</t>
  </si>
  <si>
    <t>How does Philippine law contribute to international efforts to prevent, detect, and respond to global health threats and pandemics?</t>
  </si>
  <si>
    <t>The Philippines contributes to international efforts to prevent, detect, and respond to global health threats and pandemics through a combination of legal frameworks and adherence to international agreements. Here's a breakdown:
**International Health Regulations (IHR):**
* The Philippines is a signatory to the World Health Organization's (WHO) IHR, a set of international regulations designed to prevent, detect, and respond to the international spread of disease**. * The IHR outlines core capacities countries should develop for effective response. These include:
* **Surveillance Systems:** The Philippines has a disease surveillance system to monitor outbreaks and report notifiable diseases to the WHO.
* **Laboratory Capacity:** The DOH is strengthening laboratory capabilities for rapid diagnosis of infectious diseases.
* **Points of Entry Control:** The Philippines implements measures at international airports and seaports to screen travelers for potential health risks.
**Domestic Legal Frameworks:**
* **Mandatory Reporting of Notifiable Diseases and Health Events of Public Health Concern Act (R.A. 11332):** This law mandates healthcare providers to report notifiable diseases and public health emergencies to local health authorities promptly. This allows for quicker detection and reporting to the WHO as required by the IHR.
* **Philippine Disaster Risk Reduction and Management Act (R.A. 10121):** This law, while focused on domestic emergencies, strengthens the country's overall preparedness for public health threats. It includes provisions for stockpiling essential supplies and coordinating with international aid organizations during emergencies.
**Challenges and Opportunities:**
* **Resource Constraints:** Limited resources can hinder the development of robust surveillance systems, laboratory capabilities, and stockpiling of essential supplies.
* **International Cooperation:** Effective international cooperation is crucial for sharing information, coordinating responses, and developing vaccines during pandemics. The Philippines actively participates in WHO initiatives and collaborates with international health partners.
**Conclusion:**
The Philippines contributes to global health security through its adherence to the IHR and domestic legal frameworks that strengthen its capacity for disease detection, reporting, and emergency response. However, resource constraints remain a challenge. Continued international cooperation is essential for effectively preventing, detecting, and responding to global health threats and pandemics.</t>
  </si>
  <si>
    <t>What are the legal frameworks governing the international sharing of data and resources for public health surveillance and disease control?</t>
  </si>
  <si>
    <t>There isn't a single, universal legal framework governing the international sharing of data and resources for public health surveillance and disease control. However, several key instruments and principles guide this collaboration:
**International Health Regulations (IHR):**
* The World Health Organization's (WHO) IHR is the most important international agreement for disease outbreak response. It establishes a framework for countries to share essential public health information with the WHO and other member states. This includes data on:
* Disease outbreaks and case reports
* Laboratory testing results
* Travel information of potentially infected individuals
**Core Capacities for IHR Implementation:**
* The IHR outlines core capacities countries should develop for effective response. These include:
* **Surveillance Systems:** Countries are encouraged to share surveillance data with the WHO to enable global monitoring of disease trends.
* **Laboratory Capacity:** Collaboration in developing and sharing diagnostic tests is crucial for rapid outbreak detection.
**Data Privacy Considerations:**
* While information sharing is essential, data privacy is a growing concern. International efforts are underway to develop data governance frameworks that balance the need for public health information sharing with individual privacy rights.
**Other Instruments and Initiatives:**
* **World Trade Organization (WTO) Agreement on Trade-Related Aspects of Intellectual Property Rights (TRIPS):** This agreement includes provisions to facilitate access to essential medicines during public health emergencies.
* **WHO Global Influenza Surveillance and Response System (GISRS):** This system promotes international collaboration for influenza surveillance, sharing of virus samples, and development of vaccines.
**Challenges and Opportunities:**
* **National Sovereignty:** Balancing the need for information sharing with national sovereignty concerns can be complex. * **Data Standardization:** Standardizing data collection and reporting methods across countries improves data comparability and analysis for global disease control efforts.
* **Capacity Building:** Less developed countries may require assistance in developing surveillance systems and laboratory capabilities for effective data sharing.
**The Way Forward:**
* **International Cooperation:** Continued international cooperation among governments, public health agencies, and research institutions is crucial for effective disease control.
* **Public-Private Partnerships:** Collaboration between public health authorities and the private sector can facilitate research and development of new diagnostics, treatments, and vaccines.
* **Ethical Considerations:** Developing clear ethical frameworks for data governance will ensure transparency, accountability, and respect for individual privacy while allowing for effective public health interventions.
**Conclusion:**
The international sharing of data and resources for public health surveillance and disease control relies on a combination of international agreements, national implementation capacities, and ethical considerations. Continued collaboration and innovation are essential for a globally coordinated response to emerging infectious diseases and public health threats.</t>
  </si>
  <si>
    <t>How does Philippine law balance the need for robust research ethics with facilitating advancements in medical knowledge and therapies?</t>
  </si>
  <si>
    <t>The Philippines has a framework that attempts to balance robust research ethics with facilitating medical advancements. Here's a breakdown of the key elements:
**Promoting Research:**
* **Philippine Innovation Act (R.A. 11293):** This law aims to encourage research and development activities across various sectors, including healthcare. It provides incentives for research institutions and streamlines regulatory processes.
* **Department of Science and Technology (DOST):** The DOST plays a key role in promoting research through funding programs and collaboration initiatives with academic institutions and private companies. **Ensuring Ethical Conduct:**
* **Republic Act No. 8423 or The Philippine Ethical Research Act of 1997:** This law establishes the National Ethical Research Committee (NERC) under the DOST. * The NERC reviews all research proposals involving human subjects to ensure they meet ethical and scientific standards. This includes informed consent, risk-benefit analysis, protection of privacy, and fair subject selection.
* **Department of Health (DOH) Research Guidelines:** The DOH issues research guidelines specific to certain medical fields, complementing the overarching principles of the Ethical Research Act.
**Balancing Act and Challenges:**
* **Streamlining vs. Scrutiny:** Striking a balance between streamlining research processes and rigorous ethical review can be challenging. Delays due to extensive review can discourage research, while lax oversight could compromise ethical principles.
* **Vulnerable Populations:** Protecting vulnerable populations like children, pregnant women, and people with disabilities from exploitation in research requires stricter ethical considerations.
**Potential for Improvement:**
* **Harmonization of Guidelines:** Streamlining and standardizing research ethics guidelines across different government agencies can improve efficiency and clarity for researchers.
* **Capacity Building:** Training research ethics committees and researchers on best practices is crucial for upholding ethical standards.
* **Community Engagement:** Encouraging community participation in research design and implementation can build trust and address ethical concerns from the outset. **Conclusion:**
The Philippines seeks to balance research ethics with medical advancements. The legal framework promotes research while ensuring ethical conduct through the NERC review process and DOH guidelines. However, continuous improvement is needed through streamlining procedures, capacity building, and community engagement. This will ensure the ethical development of vital medical knowledge and therapies for the Filipino population.</t>
  </si>
  <si>
    <t>What legal frameworks ensure informed consent and protect the rights and dignity of research participants, especially vulnerable populations?</t>
  </si>
  <si>
    <t>The Philippines has several legal frameworks in place to ensure informed consent and protect the rights and dignity of research participants, with particular focus on vulnerable populations. Here's a breakdown of the key elements:
**Informed Consent:**
* **Republic Act No. 8423 (The Philippine Ethical Research Act of 1997):** This is the cornerstone legislation. It mandates informed consent from all research participants before they can be involved in any study. The consent process must:
* Be voluntary and free from coercion.
* Provide clear and understandable information about the research, including its purpose, procedures, risks, and benefits.
* Allow participants to ask questions and withdraw from the study at any time.
* **Department of Health (DOH) Research Guidelines:** These guidelines may outline specific requirements for informed consent in different medical fields, supplementing the general principles mentioned in the Ethical Research Act.
**Protecting Research Participants:**
* **National Ethical Research Committee (NERC):** Established under the Ethical Research Act, the NERC reviews all research proposals involving human subjects . They ensure the research adheres to ethical principles and protects participants' rights, including:
* **Right to privacy and confidentiality:** The NERC ensures researchers have measures in place to protect participants' personal information.
* **Right to safety:** The research design must minimize risks to participants and have appropriate safeguards in place.
**Special Considerations for Vulnerable Populations:**
* **Ethical Research Act:** The act recognizes the need for additional safeguards for vulnerable populations. This includes children, pregnant women, people with disabilities, and those in economically disadvantaged situations. * Researchers may need to obtain additional consent from legal guardians for children, or ensure informed assent is obtained from participants with limited decision-making capacity.
**Challenges and Opportunities:**
* **Understanding Informed Consent:** Ensuring participants, especially from vulnerable populations, fully understand the research and can make informed decisions can be challenging. Language barriers and educational disparities need to be considered.
* **Community Engagement:** Involving communities where research is conducted, especially those with vulnerable populations, can help build trust and ensure research benefits the community.
**The Way Forward:**
* **Training and Education:** Training researchers and ethics committees on effectively obtaining informed consent and protecting vulnerable populations is crucial. * **Information Materials:** Developing informed consent documents in local languages and simplified formats can improve understanding among participants.
* **Community Advocacy:** Encouraging community leaders and advocacy groups to participate in research design and oversight can safeguard the rights and interests of vulnerable populations.
**Conclusion:**
The Philippines has a legal framework for informed consent and participant protection in research. However, continuous efforts are needed to ensure vulnerable populations are fully informed, protected, and empowered to participate in research ethically.</t>
  </si>
  <si>
    <t>How should Philippine law approach the ethical implications of bias and discrimination in algorithms used for medical diagnosis and treatment?</t>
  </si>
  <si>
    <t>Philippine law currently doesn't have specific regulations directly addressing bias and discrimination in medical algorithms. However, existing legal frameworks and ethical principles can be applied to address these concerns. Here's how Philippine law can approach this issue:
**Adapting Existing Frameworks:**
* **The Data Privacy Act (R.A. 10173):** This law emphasizes fair processing of personal information. It can be interpreted to ensure algorithms used in healthcare don't perpetuate discrimination based on protected characteristics like race, ethnicity, socioeconomic status, or gender.
* **The Philippine Ethical Research Act (R.A. 8423):** The principles of this act, protecting participants' rights and ensuring fair subject selection, can be extended to scrutinize the development and use of medical algorithms. This could involve ensuring training data for algorithms is diverse and representative of the Philippine population.
* **Department of Health (DOH) Policies:** The DOH can issue specific guidelines for the development and deployment of medical algorithms in healthcare settings. These guidelines could address issues like:
* **Transparency:** Ensuring healthcare providers and patients understand how algorithms are used in diagnosis and treatment.
* **Accountability:** Establishing mechanisms to hold developers and users of medical algorithms accountable for biased outputs.
* **Human Oversight:** Maintaining human oversight over medical decision-making even with the use of algorithms.
**Addressing Legal Gaps:**
* **Considering Specific Legislation:** The Philippines could explore developing specific legislation addressing bias and discrimination in algorithmic decision-making, particularly in healthcare. This legislation could establish clear standards for fairness, transparency, and accountability in the development and use of medical algorithms.
**Importance of Ethical Principles:**
* **Professional Codes of Conduct:** Professional regulatory bodies for doctors and nurses can incorporate ethical considerations regarding algorithmic bias into their codes of conduct. This can guide healthcare professionals on responsible use of medical algorithms.
**Challenges and Opportunities:**
* **Limited Resources:** The DOH and other government agencies may face resource limitations for effectively regulating and overseeing medical algorithms.
* **Technical Expertise:** Ensuring adequate technical expertise within regulatory bodies to assess the potential for bias in complex algorithms is crucial.
**The Way Forward:**
* **Stakeholder Collaboration:** Collaboration between government agencies, healthcare professionals, technology developers, and civil society organizations is essential to develop a comprehensive approach to addressing bias in medical algorithms.
* **Public Awareness:** Raising public awareness about the potential for bias in medical algorithms can empower patients to ask questions and advocate for fair treatment.
**Conclusion:**
The Philippines can address the ethical implications of bias and discrimination in medical algorithms by adapting existing legal frameworks, developing specific legislation if necessary, and promoting ethical principles through DOH guidelines and professional codes of conduct. Collaboration among stakeholders and public awareness are crucial for ensuring fair and responsible use of medical algorithms in the Philippines.</t>
  </si>
  <si>
    <t>What legal frameworks are needed to ensure transparency, accountability, and responsible development of AI applications in the healthcare sector?</t>
  </si>
  <si>
    <t>The Philippines currently lacks a legal framework specifically designed for AI applications in healthcare. However, there are potential approaches using existing legislation and principles to promote transparency, accountability, and responsible development. Here's how the Philippines can move forward:
**Adapting Existing Frameworks:**
* **The Data Privacy Act (R.A. 10173):** This act can be interpreted to ensure:
* **Transparency:** Patients understand how their data is used in developing and deploying AI healthcare applications. * **Accountability:** Developers and healthcare providers using AI are held accountable for data security and fairness in algorithms.
* **The Philippine Ethical Research Act (R.A. 8423):** The principles of informed consent and fair subject selection from this act can be applied to ensure training data for AI algorithms is diverse and representative of the population.
* **Department of Health (DOH) Regulations:** The DOH can issue specific guidelines for AI in healthcare, addressing:
* **Algorithmic Explainability:** Developers should make AI decision-making processes understandable to healthcare providers and, when possible, patients.
* **Human Oversight:** Guidelines can emphasize the importance of maintaining human oversight over medical decisions even with AI involvement.
* **Risk Management:** Processes for identifying and mitigating potential risks associated with AI use in healthcare.
**Considering New Legislation:**
* **Specific AI Legislation:** The Philippines could explore developing a law specifically addressing AI across various sectors, including healthcare. This law could establish standards for: * **Transparency:** Clear and accessible information about how AI is used in healthcare.
* **Accountability:** Mechanisms to hold developers and users accountable for AI outputs and potential harm.
* **Algorithmic Fairness:** Measures to mitigate bias in AI algorithms used for diagnosis or treatment.
* **Risk Assessment and Management:** Processes for identifying, evaluating, and mitigating risks associated with AI use in healthcare.
**Promoting Ethical Principles:**
* **Professional Codes of Conduct:** Professional bodies like the Philippine Medical Association can incorporate ethical considerations regarding AI use into their codes of conduct. This can guide healthcare professionals on responsible use of AI in patient care.
**Challenges and Opportunities:**
* **Balancing Innovation and Regulation:** Striking a balance between fostering innovation in AI healthcare and implementing necessary regulations to protect patients can be challenging.
* **Technical Expertise:** Regulatory bodies may require increased technical expertise to effectively assess AI algorithms and potential biases.
**The Way Forward:**
* **Stakeholder Collaboration:** Collaboration between government, healthcare professionals, technology developers, civil society organizations, and academia is essential for developing a comprehensive legal framework for AI in healthcare.
* **Public Awareness:** Raising public awareness about AI in healthcare, its potential benefits and risks, can empower patients to participate in decision-making about their care and advocate for responsible use of AI.
**Conclusion:**
The Philippines can ensure transparency, accountability, and responsible development of AI applications in healthcare by adapting existing legal frameworks, considering new legislation, promoting ethical principles, and fostering collaboration among stakeholders. By taking these steps, the Philippines can harness the potential of AI to improve healthcare outcomes while safeguarding patient safety and ethical considerations.</t>
  </si>
  <si>
    <t>What are the potential legal challenges and opportunities presented by the convergence of nanotechnology and medicine in the Philippines?</t>
  </si>
  <si>
    <t>The convergence of nanotechnology and medicine in the Philippines presents both exciting opportunities and significant legal challenges. Here's a breakdown of both:
**Opportunities:**
* **Earlier Disease Detection:** Nanoparticles can be used to develop biosensors for earlier and more accurate detection of diseases.
* **Targeted Drug Delivery:** Nanomedicines can deliver drugs directly to diseased cells, reducing side effects and improving treatment efficacy.
* **Regenerative Medicine:** Nanotechnology holds promise for tissue regeneration and repairing damaged organs.
* **Advanced Diagnostics:** Nanoparticles can be used to create imaging tools with higher resolution for medical diagnosis.
**Legal Challenges:**
* **Safety Regulation:** Nanomaterials may have unique properties that require new regulations to ensure safety for human use and environmental impact. Existing regulations for medical devices may not be sufficient for nanomedicines.
* **Data Privacy:** Nanoscale biosensors may raise new data privacy concerns as they collect detailed biological information at the cellular level.
* **Intellectual Property:** The development of nanomedicines can involve complex intellectual property issues regarding patents and commercialization.
* **Liability:** Determining legal liability in case of adverse effects from nanomedicines can be challenging, as multiple parties might be involved in the development and use of these technologies.
**Potential Areas for Legal Development:**
* **Regulatory Frameworks:** The Philippines can develop specific regulatory frameworks for nanomedicines, considering safety, efficacy, and ethical implications. This might involve collaboration with existing regulatory bodies like the Food and Drug Administration (FDA).
* **Data Privacy Laws:** Existing data privacy laws (RA 10173) might need to be reviewed and potentially amended to address the specific data collection practices associated with nanotech healthcare applications. * **Ethical Guidelines:** The Department of Health (DOH) can issue ethical guidelines for the development and use of nanotechnology in medicine. This can address issues like informed consent, patient privacy, and fair access to these new technologies.
**The Way Forward:**
* **Stakeholder Collaboration:** Collaboration between scientists, lawyers, ethics experts, regulatory bodies, and patient advocacy groups is crucial for developing a robust legal framework that fosters innovation while protecting patient safety and ethical principles.
* **Public Engagement:** Raising public awareness about the potential of nanomedicine and the associated legal and ethical considerations can facilitate informed discussions and build trust in these new technologies.
**Conclusion:**
Nanotechnology has the potential to revolutionize medicine in the Philippines. However, addressing the legal challenges through regulatory frameworks, data privacy considerations, and ethical guidelines is crucial. By promoting collaboration and public engagement, the Philippines can harness the potential of nanomedicine for a healthier future, ensuring these advancements are safe, ethical, and accessible to all.</t>
  </si>
  <si>
    <t>How can the legal system be adapted to address the ethical concerns surrounding human enhancement technologies and potential misuse of medical interventions for non-therapeutic purposes?</t>
  </si>
  <si>
    <t>The Philippine legal system doesn't currently have specific provisions addressing human enhancement technologies and non-therapeutic medical interventions. However, existing laws and the Constitution can be a springboard for adaptation. Here's how:
**1. The Constitution (1987):**
* **Right to Health (Article II, Section 15):** This guarantees access to quality healthcare services. Regulations could be crafted to ensure these services are used ethically and prioritize therapeutic needs. * **Right to Life, Liberty and Security of Person (Article III, Section 1):** This protects bodily autonomy. Laws could be built around informed consent for enhancement procedures, considering potential risks and long-term impacts.
**2. Republic Acts (RAs):**
* **R.A. 2382 or the Medical Act of 1959:** This regulates the practice of medicine. The Philippine Medical Association (PMA) could issue ethical guidelines for doctors regarding non-therapeutic interventions.
* **R.A. 10057 or the National Biosafety Framework Act of 2013:** This regulates the research and development of genetically modified organisms (GMOs). The framework could be adapted to include human gene editing technologies used for enhancement. **3. New Legislation:**
* A new law could be drafted specifically addressing human enhancement technologies. This law could:
* Define human enhancement and its categories.
* Establish a regulatory body for approval and oversight.
* Set guidelines for informed consent and patient safety.
* Address social justice concerns like access and affordability.
**Challenges:**
* Striking a balance between promoting scientific advancement and protecting human dignity.
* Defining the line between therapeutic and enhancement interventions.
* Addressing potential social inequalities arising from access to enhancement technologies.
**Moving Forward:**
* Public discourse and ethical debates are crucial to guide legal developments.
* Collaboration between lawmakers, medical professionals, bioethicists, and the public is essential.
Remember, this is a complex issue with no easy solutions. Adapting the legal system will require careful consideration of ethical principles, potential risks, and long-term societal impacts.</t>
  </si>
  <si>
    <t>How can Philippine medical law be developed to proactively anticipate and address emerging challenges in healthcare, ensuring a sustainable and equitable healthcare system for all?</t>
  </si>
  <si>
    <t>Philippine medical law can be developed proactively in several ways to address emerging challenges and ensure a sustainable and equitable healthcare system:
**1. Adapting Existing Laws:**
* **R.A. 2382 (Medical Act of 1959):** * The Professional Regulation Commission (PRC) and the Philippine Medical Association (PMA) can update their curriculum and continuing education requirements for doctors to include emerging technologies and ethical considerations in healthcare. * The PRC can establish stricter guidelines for licensing and practice, focusing on ethical use of new technologies and adherence to evolving standards.
* **R.A. 10057 (National Biosafety Framework Act):** * The framework can be amended to encompass a broader range of emerging technologies in healthcare, including gene editing and artificial intelligence. * Clear regulations can be established for research, development, and clinical trials involving these technologies, ensuring patient safety and public participation in decision-making.
**2. New Legislation:**
* **Telehealth Act:** A law specifically regulating telemedicine can be enacted. This could address issues like patient privacy, data security, standards of care in virtual consultations, and licensing for healthcare professionals using telehealth platforms.
* **Universal Health Care (UHC) Act (R.A. 11223):** The implementing rules and regulations of the UHC Act can be continually reviewed and updated to ensure:
* Coverage for new medical treatments and technologies as they become available.
* Equitable access to healthcare services across geographical locations and socioeconomic backgrounds.
* Sustainability of the UHC program through efficient resource allocation and cost-containment measures.
**3. Strengthening Regulatory Bodies:**
* The Department of Health (DOH) can be empowered to:
* Conduct research and forecast emerging trends in healthcare.
* Develop evidence-based policies and guidelines to address these trends proactively.
* Collaborate with international health organizations to share best practices and adapt them to the Philippine context.
* The Food and Drug Administration (FDA) can be granted additional resources to:
* Expedite the review and approval process for safe and effective new medical technologies.
* Increase its capacity for post-market surveillance to monitor the long-term safety of approved technologies.
**4. Promoting Public Participation:**
* Public awareness campaigns can be launched to educate Filipinos about their healthcare rights and responsibilities.
* Mechanisms can be established for public participation in policy formulation and decision-making regarding new medical technologies and healthcare delivery models.
By proactively adapting existing laws, creating new legislation for emerging areas, strengthening regulatory bodies, and promoting public participation, Philippine medical law can evolve to address future challenges and ensure a sustainable and equitable healthcare system for all Filipinos.</t>
  </si>
  <si>
    <t>What types of damages can be awarded to plaintiffs in successful medical malpractice lawsuits in the Philippines?</t>
  </si>
  <si>
    <t>In the Philippines, damages awarded to plaintiffs in successful medical malpractice lawsuits are primarily based on the Civil Code [Republic Act No. 386]**. Here's a breakdown of the potential types of damages:
* **Actual damages:** This refers to the monetary value of the losses directly caused by the medical malpractice. This can include:
* Medical expenses incurred due to the malpractice (hospital bills, medications, etc.)
* Loss of income due to missed work or disability
* Rehabilitation and therapy costs
* **Moral damages:** This compensates for the intangible suffering, mental anguish, and emotional distress caused by the malpractice.
* **Exemplary damages:** These are awarded as punishment for the healthcare provider's reckless, malicious, or wanton negligence. * **Attorney's fees and litigation costs:** The court may also require the losing party (doctor or hospital) to shoulder the legal fees incurred by the plaintiff.
**Important points to note:**
* The burden of proof lies with the plaintiff to establish medical malpractice. They need to prove:
* A doctor-patient relationship existed.
* The doctor breached the standard of care expected from a medical professional in a similar situation. * This breach of care caused harm to the patient.
* The amount of damages awarded will depend on the severity of the injury, the emotional impact, and the financial losses incurred.
* Philippine courts typically follow the "preponderance of evidence" standard. This means the plaintiff only needs to show it's more likely than not that the doctor's negligence caused the harm.
**Additional Resources:**
* You can find the Civil Code online through government websites like the Official Gazette [https://www.officialgazette.gov.ph/](https://www.officialgazette.gov.ph/)
Remember, this information is for general knowledge only and doesn't constitute legal advice. If you have a specific medical malpractice case, consult with a qualified lawyer who can provide personalized guidance based on your situation.</t>
  </si>
  <si>
    <t>What are the ongoing ethical and legal debates surrounding various aspects of reproductive health rights in the Philippines?</t>
  </si>
  <si>
    <t>The Philippines has some of the strictest reproductive health laws globally, leading to ongoing ethical and legal debates. Here's a breakdown of key areas of contention:
**1. Access to Modern Family Planning Methods:**
* **Ethical Concerns:** Opponents argue artificial contraception violates religious teachings against interfering with natural procreation. Proponents advocate for individual autonomy and the right to plan families.
* **Legal Debate:** The Responsible Parenthood and Reproductive Health Act of 2012 (R.A. 10354) guarantees access to family planning methods. However, some local government units (LGUs) face pressure from religious groups, hindering full implementation.
**2. Abortion:**
* **Ethical Concerns:** The Catholic Church views abortion as morally wrong at all stages of pregnancy. Women's rights advocates argue for access to safe abortion in cases of rape, incest, or danger to the mother's life.
* **Legal Status:** Abortion is illegal in all cases except when necessary to save the mother's life. This strict law forces women to seek unsafe abortions, leading to high maternal mortality rates.
**3. Sex Education:**
* **Ethical Concerns:** Conservative groups believe comprehensive sex education undermines parental authority and promotes promiscuity. Proponents argue for age-appropriate sex education to prevent teenage pregnancy and sexually transmitted infections (STIs).
* **Legal Status:** The Enhanced Basic Education Act of 2013 mandates comprehensive sexuality education (CSE) but allows parents to opt-out their children. This opt-out clause weakens the program's effectiveness.
**4. Maternal Mortality and Morbidity:**
* **Ethical Concerns:** High maternal mortality rates are linked to limited access to reproductive healthcare, including prenatal care, skilled birth attendants, and emergency obstetric care.
* **Legal Debate:** While R.A. 10354 aims to address these issues, full implementation and funding are crucial for significant impact. These debates highlight the complex interplay between religious beliefs, individual rights, public health concerns, and the role of law in shaping reproductive health realities in the Philippines.</t>
  </si>
  <si>
    <t>What are the legal limitations and exceptions surrounding access to abortion services in the Philippines?</t>
  </si>
  <si>
    <t>In the Philippines, access to abortion services is extremely limited due to the absence of legal exceptions for most situations. Here's a breakdown of the legal landscape:
**Legal Limitations:**
* **Article II, Section 12 of the Constitution:** This section protects the right to life "from the moment of conception." This interpretation is often used to restrict abortion access.
* **The Revised Penal Code (Act No. 386):** Article 316 penalizes abortion, with exceptions only for therapeutic abortion, which is defined very narrowly.
**Exception: Therapeutic Abortion**
* The only legal justification for abortion in the Philippines is when the pregnancy puts the mother's life in danger. This exception is very limited and requires a doctor's judgment.
**Consequences of Strict Laws:**
* **Unsafe Abortions:** Due to the lack of legal access to safe abortion services, many women in the Philippines resort to unsafe abortions, leading to high maternal mortality rates.
* **Limited Healthcare Options:** Women facing unwanted pregnancies often have limited options, which can negatively impact their health and well-being.
**Ongoing Debates:**
* **Right to Life vs. Right to Health:** The debate revolves around balancing the protection of the fetus with the woman's right to life, health, and bodily autonomy.
* **Religious Influence:** The strong influence of the Catholic Church plays a significant role in shaping abortion laws and public discourse.
**Looking Forward:**
* **Legislative Efforts:** While there have been attempts to introduce legislation expanding access to abortion in cases of rape, incest, or fetal deformity, these haven't been successful.
* **Public Advocacy:** Advocacy groups continue to fight for the legalization of safe abortion under certain circumstances, emphasizing public health concerns and women's rights.
**It's important to note:**
* The legal landscape surrounding abortion in the Philippines is complex and unlikely to change rapidly.
* If you're facing an unwanted pregnancy, it's crucial to seek professional medical advice and explore available options within the legal framework.</t>
  </si>
  <si>
    <t>How does Philippine law regulate the use of ART procedures such as in vitro fertilization (IVF) and surrogacy?</t>
  </si>
  <si>
    <t>Philippine law doesn't have a specific legal framework for regulating Assisted Reproductive Technologies (ART) procedures like in vitro fertilization (IVF) and surrogacy. Here's a breakdown of the current situation:
**In Vitro Fertilization (IVF):**
* **Legal Status:** There's no specific law prohibiting IVF. The Philippine Medical Association (PMA) has ethical guidelines for doctors performing IVF.
* **Regulation:** The Department of Health (DOH) can issue guidelines related to IVF clinics and procedures, focusing on informed consent and patient safety.
**Surrogacy:**
* **Legal Status:** There are no laws explicitly permitting or prohibiting surrogacy in the Philippines. This legal gray area creates uncertainty for intended parents and surrogates.
* **Challenges:** The Philippine Family Code only recognizes artificial insemination within a marriage. This raises questions about the legal parentage and rights of children born through surrogacy arrangements. **Consequences of Lack of Regulation:**
* **Ethical Concerns:** The absence of clear regulations can lead to potential exploitation of both intended parents and surrogates. * **Legal Uncertainties:** The legal status of children born through surrogacy arrangements remains unclear, making it difficult to establish parentage and rights.
**Legislative Attempts:**
* Bills have been proposed in the Philippine Congress to regulate both ART procedures and surrogacy. These bills aim to:
* Establish guidelines for informed consent and ethical practices.
* Define legal parenthood and rights of all parties involved.
* Regulate the operation of ART clinics and surrogacy agencies.
**Looking Forward:**
* The development of a comprehensive legal framework for ART procedures and surrogacy in the Philippines is an ongoing discussion. * Balancing ethical considerations, protecting the rights of all parties involved, and promoting responsible use of these technologies will be crucial in shaping future legislation.
**Important to Note:**
* This information is for general knowledge only and shouldn't be considered legal advice. * If you're considering ART procedures like IVF or surrogacy, consult with a lawyer specializing in family law to understand the current legal landscape and potential risks involved.</t>
  </si>
  <si>
    <t>What legal protections are in place for pregnant women and mothers under Philippine law?</t>
  </si>
  <si>
    <t>Philippine law offers several protections for pregnant women and mothers, focusing on their health, employment rights, and overall well-being. Here are some key aspects:
**Maternity Leave:**
* **Expanded Maternity Leave Act (R.A. 11210):** This law mandates at least 105 days of paid maternity leave for all female employees, regardless of civil status or the legitimacy of the child. This ensures financial security during pregnancy, childbirth, and recovery. * **Pre-Natal Leave:** Pregnant employees can avail of an additional two weeks of paid leave before their expected delivery date. **Healthcare:**
* **Pre-Natal Care:** The Department of Health (DOH) programs and local government units (LGUs) offer accessible pre-natal care services. This includes checkups, laboratory tests, and vaccinations for pregnant women.
* **PhilHealth:** The Philippine Health Insurance Corporation (PhilHealth) provides maternity care benefits to cover childbirth-related expenses in accredited hospitals.
**Workplace Protections:**
* **Non-discrimination:** It's illegal to discriminate against women based on pregnancy or parental status. Employers cannot terminate employment or deny promotions based on pregnancy.
* **Reasonable Accommodation:** Employers are required to provide reasonable accommodations for pregnant employees, such as flexible work arrangements or modified duties when necessary.
* **Nursing Stations:** Establishments employing a significant number of women are mandated to have lactation stations for breastfeeding mothers.
**Other Protections:**
* **Solo Parents' Welfare Act (R.A. 10836):** Single mothers who gave birth due to rape or are left alone with parental responsibility qualify for benefits and support services under this law.
* **Anti-Violence Against Women and their Children Act (R.A. 9262):** This law protects women, including pregnant women, from violence and provides legal remedies in cases of domestic abuse.
**Challenges and Gaps:**
* **Implementation Issues:** Ensuring full implementation of these laws across all sectors, especially informal employment, remains a challenge.
* **Limited Paternity Leave:** Fathers are not entitled to mandated paternity leave, putting the burden of childcare primarily on mothers.
**Overall, Philippine law offers a framework for protecting pregnant women and mothers. However, continued efforts are needed to ensure full implementation, address existing gaps, and promote a more supportive environment for working mothers and families.**</t>
  </si>
  <si>
    <t>How does Philippine law guarantee access to contraception and family planning services for individuals and couples?</t>
  </si>
  <si>
    <t>The Philippines has a landmark law that guarantees access to contraception and family planning services for individuals and couples. Here's how Philippine law achieves this:
**The Responsible Parenthood and Reproductive Health Act of 2012 (R.A. 10354):**
* This law, also known as the RH Law, is a cornerstone for reproductive health rights in the Philippines. It mandates:
* **Universal Access:** All accredited public health facilities must provide a full range of modern family planning methods. This includes pills, injectables, condoms, implants, intrauterine devices (IUDs), and natural family planning methods.
* **Free Services:** Family planning services, including medical consultations and supplies, are free for poor and marginalized couples in government health facilities. * **Private Facilities:** While private health facilities can charge for these services, they cannot deny access to information or methods. They also have the option to offer free care and services to indigents, except in specific cases like non-maternity specialty hospitals.
**Guaranteeing Informed Choice:**
* The law emphasizes informed choice. Individuals seeking family planning services must receive:
* **Counseling:** Healthcare providers must offer age-appropriate counseling on various family planning methods, their effectiveness, and potential side effects.
* **Voluntary Participation:** No person can be coerced into using any family planning method.
**Addressing Age Considerations:**
* Minors (under 18) require written consent from their parents or guardians to access modern family planning methods, with some exceptions:
* Emancipated minors (already a parent or had a miscarriage) can access services without parental consent.
**Challenges and Considerations:**
* **Implementation Issues:** Ensuring full and consistent implementation of the RH Law across all regions and facilities remains a challenge. * **Religious Influence:** Opposition from some religious groups can create roadblocks for accessing services in certain areas.
**Overall, the RH Law is a significant step towards guaranteeing access to contraception and family planning services for Filipinos. It empowers individuals and couples to make informed choices about their reproductive health and family planning.**</t>
  </si>
  <si>
    <t>How do Philippine laws and ethical guidelines address issues like advance directives, do-not-resuscitate (DNR) orders, and physician-assisted suicide?</t>
  </si>
  <si>
    <t>Philippine law doesn't have a comprehensive framework specifically addressing advance directives, do-not-resuscitate (DNR) orders, and physician-assisted suicide. However, there are elements within existing laws and ethical guidelines that touch upon these issues:
**1. Advance Directives:**
* **Legal Status:** There's no specific law recognizing advance directives in the Philippines. However, the Patient's Bill of Rights (DOH Department Order No. 2013-0012) acknowledges a patient's right to autonomy and to refuse treatment. * **Use in Practice:** While not legally binding, some hospitals may allow patients to create advance directives outlining their wishes for end-of-life care. These documents can serve as a guide for families and healthcare providers in making decisions.
**2. Do-Not-Resuscitate (DNR) Orders:**
* **Legal Status:** There's no specific law concerning DNR orders. However, the DOH Department Order No. 2013-0012 recognizes a patient's right to refuse treatment, which can include cardiopulmonary resuscitation (CPR).
* **Implementation:** DNR orders are typically documented in a patient's medical chart based on discussions between the patient, doctor, and family. These discussions focus on the patient's medical condition, prognosis, and wishes regarding resuscitation attempts.
**3. Physician-Assisted Suicide:**
* **Legal Status:** Physician-assisted suicide is illegal in the Philippines. The Revised Penal Code (Act No. 386) penalizes acts that assist or encourage suicide.
**Ethical Considerations:**
* The Philippine Medical Association (PMA) Code of Ethics emphasizes patient autonomy and the right to refuse treatment. * However, the code also upholds the physician's duty to preserve life. * Balancing these principles can be challenging in end-of-life care situations.
**Looking Forward:**
* The need for a more comprehensive legal framework on advance directives and end-of-life care decisions is gaining recognition. * Public discourse and ethical debates are crucial to shape future legislation that respects patient autonomy while upholding ethical considerations.
**Important to Note:**
* The information provided is for general knowledge and shouldn't be considered legal advice. * If you have questions about advance directives, DNR orders, or end-of-life care, consult with a doctor or lawyer specializing in medical law for personalized guidance.</t>
  </si>
  <si>
    <t>How does Philippine law balance public health concerns with the rights of individuals living with HIV/AIDS in terms of access to healthcare, privacy, and non-discrimination?</t>
  </si>
  <si>
    <t>The Philippines has taken significant steps to address public health concerns while upholding the rights of individuals living with HIV/AIDS (PLWHA) through its legal framework. Here's an overview:
Access to Healthcare:
- Republic Act No. 8504 (The Philippine AIDS Prevention and Control Act of 1998) ensures PLWHA access to essential health and social services.
- Republic Act No. 11166 (The Philippine HIV and AIDS Policy Act of 2018) strengthens access to HIV testing and treatment, including for minors without parental consent, decentralized testing methods, and expanded treatment facilities.
Privacy:
- RA 8504 guarantees privacy rights for individuals with HIV, barring compulsory testing except under specific legal provisions.
Non-discrimination:
- RA 8504 prohibits discrimination against PLWHA in various areas, including employment, education, and access to public services.
- RA 11166 reinforces non-discrimination commitments and mandates the development of redress mechanisms for violated rights.
Challenges Persist:
- Stigma surrounding HIV/AIDS remains a significant challenge, deterring people from seeking testing and treatment.
- Resource limitations may hinder comprehensive coverage and access to the latest technologies.
- Reaching marginalized groups, such as men who have sex with men (MSM) and sex workers, requires tailored outreach efforts and addressing specific needs.
Overall, Philippine law demonstrates a commitment to balancing public health and individual rights for PLWHA. However, ongoing efforts are necessary to tackle existing challenges and ensure equitable access to healthcare, privacy, and freedom from discrimination for all affected individuals.</t>
  </si>
  <si>
    <t>Street Crimes</t>
  </si>
  <si>
    <t>What criminal offenses are categorized as street crimes in the Philippines?</t>
  </si>
  <si>
    <t>Street crimes in the Philippines refer to criminal offenses that typically occur in public spaces, such as streets, sidewalks, parks, and other open areas. These offenses often involve direct contact between offenders and victims and may occur without premeditation. Some common examples of street crimes in the Philippines include:
Theft: The unlawful taking of another person's property without their consent, such as pickpocketing, purse-snatching, and shoplifting.
Robbery: The taking of property from a person's immediate possession by force or threat of force. This includes muggings, hold-ups, and armed robberies.
Assault: Intentionally inflicting physical harm or injury on another person. This may involve acts of violence, such as punching, kicking, or stabbing.
Theft of Motor Vehicles: The unauthorized taking of motor vehicles, including carjacking and motorcycle theft.
Snatching: The sudden and forceful taking of personal belongings, such as mobile phones, jewelry, or bags, from individuals in public places.
Drug-related Crimes: Offenses related to the illegal possession, distribution, or trafficking of drugs, including street-level drug dealing and drug use in public areas.
Public Intoxication: Being drunk or under the influence of drugs in public places, which may lead to disorderly conduct or disturbances.
Vandalism: Willful destruction or defacement of public or private property, including graffiti, property damage, and destruction of public infrastructure.
Public Disturbances: Disorderly conduct, public fighting, and other disturbances that disrupt public order and peace.
Illegal Gambling: Participating in or organizing unauthorized gambling activities in public spaces, such as card games or betting on street corners.</t>
  </si>
  <si>
    <t>How does Philippine law define and classify robbery as a street crime?</t>
  </si>
  <si>
    <t>In the Philippines, robbery is defined and classified as a serious criminal offense under the Revised Penal Code. Robbery is generally defined as the taking of personal property belonging to another, with the intent to gain, by means of violence against or intimidation of any person, or by using force upon things.
Robbery can be further classified based on various factors, including the location where the crime occurs. When robbery occurs in a public place, such as on the street, sidewalk, park, or any other open area accessible to the public, it is commonly referred to as "street robbery" or "street crime."
Street robbery in the Philippines typically involves the following elements:
Taking of Property: The perpetrator takes or attempts to take personal property from another individual or group of individuals.
Use of Violence or Intimidation: The perpetrator uses force, violence, or threats to coerce the victim into surrendering their property. This may involve physical assault, brandishing weapons, or making verbal threats to instill fear in the victim.
Location: The robbery occurs in a public space, such as a street, alleyway, marketplace, or any other area accessible to the public.
Absence of Prearrangement: Unlike planned or organized robberies, street robberies typically occur spontaneously, without prior planning or coordination among the perpetrators.
Under Philippine law, street robbery is considered a serious criminal offense and is punishable by imprisonment and/or fines. The severity of the penalties may vary depending on factors such as the value of the property stolen, the presence of aggravating circumstances, and the use of violence or intimidation during the commission of the crime.</t>
  </si>
  <si>
    <t>What penalties are imposed for snatching personal belongings in public places under Philippine law?</t>
  </si>
  <si>
    <t>Under Philippine law, snatching personal belongings in public places is generally considered theft or robbery, depending on the circumstances of the crime. The penalties imposed for such offenses vary depending on the value of the property stolen, the use of violence or intimidation, and other aggravating factors.
Theft: If the act of snatching personal belongings does not involve violence or intimidation, it is typically classified as theft. The penalties for theft are outlined in the Revised Penal Code of the Philippines. The punishment for theft depends on the value of the property stolen:
If the value of the property stolen is less than 10,000 pesos, the crime is classified as "theft of property of small value" and is punishable by arresto mayor (imprisonment for 1 month and 1 day to 6 months) to prision correccional (imprisonment for 6 months and 1 day to 6 years).
If the value of the property stolen is 10,000 pesos or more, the crime is punishable by prision mayor (imprisonment for 6 years and 1 day to 12 years).
Robbery: If the act of snatching involves violence or intimidation, it is classified as robbery. Robbery is considered a more serious offense compared to theft, and the penalties are correspondingly higher. The punishment for robbery is outlined in the Revised Penal Code and may include imprisonment for a minimum period of 6 years and 1 day to a maximum period of 20 years.
In addition to imprisonment, individuals convicted of theft or robbery may also be required to pay fines and/or indemnify the victim for the value of the stolen property. The exact penalties imposed by the court may vary depending on the specific circumstances of the case and the discretion of the judge.</t>
  </si>
  <si>
    <t>Under what circumstances can a person be charged with loitering as a street crime?</t>
  </si>
  <si>
    <t>In the Philippines, loitering is generally not explicitly defined as a crime in itself. However, certain acts of loitering or lingering in public places may be penalized under local ordinances or regulations, particularly if they are deemed to be disruptive, pose a threat to public safety, or violate specific rules established by local authorities.
Under Philippine law, loitering may be considered a street crime or a violation of public order under the following circumstances:
Violation of Local Ordinances: Many cities and municipalities in the Philippines have ordinances or regulations that prohibit loitering or lingering in certain areas, particularly in parks, public squares, markets, and other public spaces. These ordinances may be enacted to maintain public order, prevent vagrancy, or address concerns related to public safety and cleanliness. Individuals found violating such ordinances may be apprehended by law enforcement authorities and charged with a violation.
Suspicion of Criminal Activity: Law enforcement officers may detain individuals who are loitering in public places if they have reasonable suspicion that the person is engaged in criminal activity or is about to commit a crime. In such cases, the individual may be detained for further questioning or investigation, and if evidence of criminal wrongdoing is found, they may be charged with relevant offenses.
Disruption of Public Order: Loitering that disrupts public order, causes disturbances, or creates a nuisance may be subject to legal action. For example, individuals who engage in aggressive panhandling, public intoxication, disorderly conduct, or obstruct pedestrian traffic may be charged with offenses related to public order or disturbances.</t>
  </si>
  <si>
    <t>What constitutes the offense of vandalism or malicious mischief on public property?</t>
  </si>
  <si>
    <t>In the Philippines, vandalism or malicious mischief on public property is considered a criminal offense under the Revised Penal Code. The offense is defined and penalized under Article 327 of the Revised Penal Code, which covers malicious mischief.
Malicious mischief is committed when an individual willfully and unlawfully causes damage to the property of another, including public property, either by:
Causing damage to the property itself, such as by destroying, defacing, damaging, or impairing its usefulness or value; or
Causing damage to the property's ornamentation or other items of artistic or historical value.
Examples of acts that may constitute malicious mischief or vandalism on public property include:
Defacing public monuments, statues, or buildings by painting graffiti on them.
Damaging public infrastructure such as street signs, traffic lights, or park benches.
Breaking windows or damaging doors of government buildings or public facilities.
Destroying or damaging public art installations or sculptures.
Damaging public transportation vehicles, such as buses, trains, or trams.
Under Philippine law, the penalties for malicious mischief vary depending on the value of the damage caused and the specific circumstances of the offense. If the damage is valued at 1,000 pesos or less, the offense is considered slight malicious mischief and is punishable by arresto menor (imprisonment for 1 day to 30 days) or a fine. If the damage exceeds 1,000 pesos, the offense is considered less serious or serious malicious mischief and is punishable by higher penalties, including imprisonment and fines.</t>
  </si>
  <si>
    <t>How is the crime of pickpocketing defined and punished under Philippine law?</t>
  </si>
  <si>
    <t>In the Philippines, pickpocketing is generally considered a form of theft under the Revised Penal Code. Specifically, it falls under the broader category of theft by taking, which is defined and penalized under Article 308 of the Revised Penal Code.
Theft by pickpocketing is committed when an individual unlawfully takes personal property from another person's pocket, purse, bag, or belongings without the owner's consent and with the intent to gain for themselves or another, to the prejudice of the owner.
The penalties for theft by pickpocketing depend on the value of the property taken and other circumstances surrounding the offense. If the value of the property stolen is less than 5,000 pesos, the offense is considered slight theft and is punishable by arresto menor (imprisonment for 1 day to 30 days) or a fine. If the value exceeds 5,000 pesos but does not exceed 40,000 pesos, the offense is considered less serious theft and is punishable by prision correccional (imprisonment for 6 months and 1 day to 6 years) or a fine.</t>
  </si>
  <si>
    <t>What legal provisions address the offense of public intoxication or drunkenness in public places?</t>
  </si>
  <si>
    <t>In the Philippines, public intoxication or drunkenness is addressed under municipal ordinances or local government regulations rather than specific national laws. These ordinances typically regulate public order and safety within the jurisdiction of a particular locality. While there may not be a single national law that specifically addresses public intoxication, local government units (LGUs) have the authority to enact ordinances to maintain public order and safety, including provisions related to drunkenness or intoxication in public places.
Local ordinances may vary from one municipality or city to another, but they often prohibit behaviors such as:
Being intoxicated in public places
Creating disturbances or causing nuisances while intoxicated
Drinking alcoholic beverages in public areas where it is prohibited
Penalties for public intoxication or drunkenness under local ordinances may include fines, community service, or temporary detention. Law enforcement agencies, such as the Philippine National Police (PNP) or local barangay officials, are responsible for enforcing these ordinances and apprehending individuals who violate them.</t>
  </si>
  <si>
    <t>What are the penalties for engaging in illegal gambling activities on the streets?</t>
  </si>
  <si>
    <t>Engaging in illegal gambling activities on the streets in the Philippines is a violation of the law and can lead to penalties under various statutes and local ordinances. The penalties may vary depending on the severity of the offense and the specific laws or ordinances enforced by the local government units (LGUs) in the area. Here are some potential penalties for participating in illegal gambling activities on the streets:
Fines: Individuals caught engaging in illegal gambling may be fined by law enforcement authorities. The amount of the fine can vary depending on the applicable laws or ordinances and the discretion of the authorities.
Arrest and Detention: In more serious cases or for repeat offenders, individuals involved in illegal gambling activities on the streets may be arrested and detained by law enforcement agencies such as the Philippine National Police (PNP).
Confiscation of Gambling Paraphernalia: Law enforcement authorities may confiscate gambling paraphernalia such as playing cards, dice, betting chips, or gambling machines used in illegal gambling operations on the streets.
Criminal Charges: Depending on the circumstances and the specific laws violated, individuals involved in illegal gambling activities may face criminal charges, which can lead to further legal consequences such as imprisonment or probation.
Community Service: In some cases, individuals convicted of illegal gambling offenses may be required to perform community service as part of their penalty. This may involve activities such as cleaning public areas or participating in programs aimed at preventing gambling addiction.</t>
  </si>
  <si>
    <t>How does Philippine law address the crime of public disorderly conduct or disturbing the peace?</t>
  </si>
  <si>
    <t>In the Philippines, public disorderly conduct or disturbing the peace is addressed primarily through laws and ordinances aimed at maintaining public order and safety. While there isn't a specific law that explicitly defines and addresses "public disorderly conduct" as a standalone offense, various statutes and local ordinances empower law enforcement agencies and local government units (LGUs) to address behaviors that disrupt public peace and order.
Local Ordinances: Many LGUs enact ordinances that prohibit behaviors or actions that disturb the peace or cause public disorder within their jurisdiction. These ordinances may define specific prohibited acts, such as creating excessive noise, engaging in unruly behavior, or loitering in public places, and impose penalties for violations.
Revised Penal Code: The Revised Penal Code of the Philippines contains provisions that may apply to certain forms of disorderly conduct or disturbances of public order. For example, Article 153 penalizes tumults and other disturbances of public order, while Article 155 penalizes alarms and scandals that disturb public tranquility.
Public Order and Safety Laws: Various laws and regulations aim to maintain public order and safety, including the maintenance of peace and order during public gatherings or events. Law enforcement agencies such as the Philippine National Police (PNP) are tasked with enforcing these laws and ensuring public safety.
Anti-Noise Pollution Ordinances: Many LGUs have ordinances that regulate noise levels in residential and commercial areas to prevent disturbances to the peace and quiet of the community.
Anti-Drunk and Disorderly Conduct Laws: While not explicitly termed "public disorderly conduct," laws and ordinances addressing public intoxication or drunken behavior may also contribute to maintaining public order and safety.</t>
  </si>
  <si>
    <t>What legal measures exist to combat street-level drug offenses in the Philippines?</t>
  </si>
  <si>
    <t>In the Philippines, combating street-level drug offenses involves a range of legal measures aimed at preventing the sale, distribution, and use of illegal drugs in public spaces. These measures are primarily implemented through laws, regulations, and law enforcement efforts. Here are some key legal measures:
Comprehensive Dangerous Drugs Act of 2002: This law, also known as Republic Act No. 9165, provides the legal framework for addressing drug-related offenses in the Philippines. It criminalizes various activities related to illegal drugs, including possession, sale, distribution, manufacture, and trafficking. The law imposes severe penalties, including imprisonment and fines, for violators.
Anti-Drug Abuse Councils (ADACs): The Comprehensive Dangerous Drugs Act mandates the establishment of ADACs at the national, provincial, city, municipal, and barangay levels. These councils are tasked with coordinating and implementing anti-drug programs and initiatives at the local level, including drug prevention, education, rehabilitation, and law enforcement efforts.
Enhanced Anti-Drug Operations: Law enforcement agencies such as the Philippine Drug Enforcement Agency (PDEA) and the Philippine National Police (PNP) conduct anti-drug operations to apprehend individuals involved in street-level drug offenses. These operations may include surveillance, sting operations, and buy-bust operations targeting drug pushers and users in public spaces.
Community-Based Rehabilitation Programs: In addition to law enforcement efforts, the government promotes community-based rehabilitation programs to address drug addiction and provide support to drug users seeking recovery. These programs may include counseling, treatment, and social reintegration initiatives conducted in collaboration with local government units, civil society organizations, and community stakeholders.
Public Awareness Campaigns: The government conducts public awareness campaigns to educate the public about the dangers of illegal drugs and the importance of reporting drug-related offenses to authorities. These campaigns aim to mobilize community support and cooperation in the fight against drug abuse and trafficking.</t>
  </si>
  <si>
    <t>How is the offense of illegal possession of firearms in public places regulated by Philippine law?</t>
  </si>
  <si>
    <t>In the Philippines, the offense of illegal possession of firearms in public places is regulated by various laws aimed at controlling the proliferation of firearms and ensuring public safety. The main legal provisions addressing this offense include:
Republic Act No. 10591, or the Comprehensive Firearms and Ammunition Regulation Act: This law comprehensively regulates the possession, ownership, and use of firearms and ammunition in the Philippines. It establishes strict requirements for the acquisition and licensing of firearms, as well as penalties for illegal possession.
Prohibition on Carrying Firearms Outside of Residence or Place of Business: Under Republic Act No. 10591, individuals are generally prohibited from carrying firearms outside of their residence or place of business without the necessary permits or licenses. This prohibition applies to both concealed and openly carried firearms.
Requirements for Firearm Ownership and Possession: To legally possess firearms in the Philippines, individuals must undergo a thorough background check, complete firearms proficiency training, and obtain the appropriate licenses and permits from the Philippine National Police (PNP). Failure to comply with these requirements constitutes illegal possession of firearms.
Penalties for Illegal Possession of Firearms: Violations of laws governing firearms possession carry significant penalties, including imprisonment and fines. The severity of the penalties may vary depending on factors such as the type of firearm involved, the circumstances of the offense, and the individual's criminal history.
Law Enforcement Operations: The Philippine National Police (PNP) and other law enforcement agencies are responsible for enforcing laws related to firearms possession. They conduct operations to apprehend individuals found to be illegally possessing firearms in public places, confiscate illegal weapons, and prosecute offenders.</t>
  </si>
  <si>
    <t>What penalties are imposed for engaging in street racing or reckless driving on public roads?</t>
  </si>
  <si>
    <t>In the Philippines, engaging in street racing or reckless driving on public roads is considered a serious offense due to the significant risks it poses to public safety. Penalties for these offenses are governed by Republic Act No. 4136, also known as the Land Transportation and Traffic Code, and other relevant laws. The specific penalties for street racing or reckless driving may include:
Administrative Penalties:
Fine: Offenders may be fined a significant amount, which varies depending on the severity of the offense and the discretion of the authorities.
License Suspension: The driver's license may be suspended for a certain period, during which the offender is prohibited from driving legally.
Criminal Penalties:
Imprisonment: Offenders may face imprisonment, especially if their reckless driving or street racing results in accidents causing injuries or fatalities.
Community Service: In addition to fines or imprisonment, offenders may be required to perform community service as part of their penalty.
Confiscation of Vehicle: In severe cases, authorities may confiscate the vehicles used in street racing or reckless driving. This measure aims to deter offenders from engaging in similar activities in the future and to protect public safety.
Revocation of Driver's License: Repeat offenders or those involved in particularly dangerous incidents may face the revocation of their driver's license, rendering them ineligible to legally operate a motor vehicle.</t>
  </si>
  <si>
    <t>How does the law address the crime of extortion or demanding money in public areas?</t>
  </si>
  <si>
    <t>In the Philippines, the crime of extortion or demanding money in public areas is addressed under various provisions of the Revised Penal Code and other relevant laws. Extortion involves the act of obtaining money, property, or any valuable thing from another person through coercion, intimidation, or threats. Here's how the law addresses this crime:
Revised Penal Code (RPC):
Article 293: This article penalizes the crime of robbery with violence against or intimidation of persons. It covers situations where a person uses violence or intimidation to take personal property from another with the intent to gain.
Article 294: This article penalizes the crime of robbery with violence against or intimidation of persons committed by a syndicate. It imposes heavier penalties when the crime is committed by a group of three or more persons acting in concert.
Article 297: This article penalizes the crime of blackmail, which involves threatening to reveal a secret that may cause disgrace or expose the victim to hatred, contempt, or ridicule unless money or any other valuable consideration is given.
Anti-Graft and Corrupt Practices Act (Republic Act No. 3019):
This law penalizes acts of corruption committed by public officials, including extortion, bribery, and graft. Public officials found guilty of demanding money or favors in exchange for performing or refraining from performing official duties face severe penalties, including imprisonment and fines.
Other Laws:
Special laws may also address extortion in specific contexts, such as anti-trafficking laws, anti-terrorism laws, and laws governing certain professions or industries.
Local government ordinances may also contain provisions addressing extortion or similar offenses within their jurisdiction.</t>
  </si>
  <si>
    <t>What legal provisions regulate the offense of illegal parking and obstructing traffic on public streets?</t>
  </si>
  <si>
    <t>In the Philippines, the offense of illegal parking and obstructing traffic on public streets is regulated primarily under traffic and local government laws. Here are the main legal provisions governing this offense:
Republic Act No. 4136, otherwise known as the Land Transportation and Traffic Code:
This law provides comprehensive regulations governing traffic and transportation in the country.
Section 29 prohibits parking vehicles in certain places, such as within an intersection, pedestrian crosswalk, or within 4 meters of a fire hydrant. It also prohibits parking on bridges, elevated structures, and other specified locations where parking is deemed hazardous or obstructive.
Section 52 empowers local government units (LGUs) to regulate and enforce traffic rules and regulations within their jurisdictions. LGUs may enact ordinances specifying parking regulations, such as designated parking areas, parking fees, and penalties for violations.
Local Government Ordinances:
LGUs, particularly cities and municipalities, often enact ordinances that govern parking and traffic within their respective areas. These ordinances may include provisions on designated parking zones, time limits for parking, parking fees, and penalties for illegal parking.
Local ordinances may also designate no-parking zones, loading and unloading zones, and areas where parking is strictly prohibited.
Metropolitan Manila Development Authority (MMDA) Regulations:
The MMDA, which oversees traffic management in the National Capital Region (NCR), implements regulations and policies to address traffic congestion and ensure road safety.
MMDA regulations may include guidelines on parking and traffic management, as well as enforcement measures to address illegal parking and obstruction of traffic flow.</t>
  </si>
  <si>
    <t>How is the crime of public urination or defecation addressed under Philippine law?</t>
  </si>
  <si>
    <t>In the Philippines, the act of public urination or defecation is generally addressed under local ordinances or regulations enacted by local government units (LGUs). While there may not be specific national laws that explicitly penalize public urination or defecation, local ordinances often prohibit these acts to maintain public sanitation and hygiene. Here's how the offense may be addressed:
Local Government Ordinances:
Many cities and municipalities have ordinances that prohibit public urination or defecation. These ordinances may specify areas where such acts are prohibited, such as public streets, parks, sidewalks, and other public places.
Local ordinances may also prescribe penalties for violations, which commonly include fines or penalties.
Public Health and Sanitation Laws:
Public urination and defecation may also be regulated under public health and sanitation laws. These laws aim to ensure public health and hygiene by prohibiting activities that pose risks to sanitation.
Health and sanitation regulations may include provisions on proper waste disposal and hygiene practices, which indirectly address the issue of public urination or defecation.
Enforcement:
Enforcement of ordinances prohibiting public urination or defecation is typically carried out by local authorities, such as barangay officials, city or municipal health officers, or personnel designated for public sanitation and hygiene.
Enforcement measures may include warnings, issuance of citations or summonses, and imposition of fines or penalties for repeat offenders.
In some cases, enforcement may involve education and awareness campaigns to inform the public about the importance of proper sanitation practices and the consequences of violating local ordinances.</t>
  </si>
  <si>
    <t>What penalties apply for engaging in the illegal sale or distribution of goods on the streets?</t>
  </si>
  <si>
    <t>The penalties for engaging in the illegal sale or distribution of goods on the streets in the Philippines can vary depending on the specific circumstances, the type of goods involved, and applicable local ordinances or national laws. Here are some potential penalties:
Fines: Offenders may be subject to fines imposed by local government units (LGUs) for violating ordinances related to street vending or the sale of goods without proper authorization. The amount of the fine can vary depending on the severity of the violation and the policies of the LGU.
Confiscation of Goods: Law enforcement authorities or LGU officials may confiscate the goods being sold illegally on the streets. Confiscated items may not be returned to the seller, especially if they are considered contraband or prohibited goods.
Administrative Penalties: In addition to fines, individuals engaged in illegal street vending may face administrative penalties, such as the revocation of permits or licenses if they were operating with authorization that has been violated.
Criminal Charges: In some cases, particularly if the activity involves the sale or distribution of illegal or counterfeit goods, individuals may face criminal charges under relevant national laws, such as the Intellectual Property Code or consumer protection laws. The penalties for criminal offenses can include imprisonment, fines, or both, depending on the severity of the offense.
Community Service: Some LGUs may impose community service as an alternative penalty for street vending violations. Offenders may be required to participate in activities aimed at community improvement or sanitation.</t>
  </si>
  <si>
    <t>How are incidents of street-level assault or affray addressed in the Philippine legal system?</t>
  </si>
  <si>
    <t>Incidents of street-level assault or affray in the Philippine legal system are typically addressed through criminal laws and procedures. Here's an overview of how such incidents are handled:
Assault and Battery Laws: Assault and battery are criminal offenses under Philippine law. Assault refers to any act that puts another person in apprehension of immediate harm or offensive contact, while battery involves the actual physical contact or harm inflicted upon another person without their consent.
Filing of Complaints: If someone becomes a victim of street-level assault or affray, they have the right to file a complaint with the local police or law enforcement agency. The victim or witnesses can provide statements and evidence to support the complaint, which will initiate an investigation.
Investigation by Law Enforcement: Law enforcement authorities will conduct an investigation into the incident, gathering evidence, interviewing witnesses, and identifying suspects. They may also collect any available CCTV footage or other relevant evidence from the scene of the incident.
Charging of Suspects: If there is sufficient evidence, the suspects involved in the assault or affray may be charged with criminal offenses. The specific charges will depend on the circumstances of the incident and the severity of the harm inflicted.
Court Proceedings: The case will then proceed to court, where the suspects will have the opportunity to present their defense. The prosecution will present evidence and witnesses to prove the charges against the defendants.
Trial and Verdict: During the trial, the judge or jury will hear arguments from both sides and evaluate the evidence presented. If the defendants are found guilty beyond a reasonable doubt, they will be convicted of the offenses charged. The court will then impose appropriate penalties, which may include fines, imprisonment, or both.</t>
  </si>
  <si>
    <t>What legal provisions govern the offense of disorderly conduct in public transportation?</t>
  </si>
  <si>
    <t>In the Philippines, disorderly conduct in public transportation is generally governed by various laws and regulations aimed at maintaining order, safety, and the smooth operation of public transportation systems. While there may not be specific provisions addressing disorderly conduct in public transportation, several laws and regulations can be applied to address such behavior. Here are some relevant legal provisions:
Public Service Vehicle Regulations: The Land Transportation Franchising and Regulatory Board (LTFRB) regulates public transportation services, including buses, jeepneys, taxis, and other public utility vehicles. These regulations often include provisions related to passenger conduct, safety, and behavior while using public transportation.
Penal Code Provisions: The Revised Penal Code of the Philippines contains provisions that may be applied to disorderly conduct or unruly behavior in public transportation, such as:
Article 153 (Tumults and Other Disturbances of Public Orders): This article penalizes individuals who disturb the public peace by tumultuous conduct, creating serious disturbances in public places, including public transportation.
Article 287 (Light Coercions): This article penalizes individuals who compel or induce another person to perform an act, including actions that may disrupt public transportation services.
Local Ordinances: Local government units may enact ordinances that regulate behavior in public places, including public transportation terminals, stations, and vehicles. These ordinances may include provisions prohibiting disorderly conduct, creating disturbances, or causing inconvenience to other passengers.
Transportation Policies and Guidelines: Transport agencies and operators may establish their own policies, guidelines, and codes of conduct to maintain order and discipline in public transportation. These may include rules regarding passenger behavior, seating arrangements, and penalties for violations.
Public Safety Measures: Various government agencies, including law enforcement authorities and transportation regulators, are tasked with ensuring public safety and security in transportation systems. They may intervene in cases of disorderly conduct, detain individuals causing disturbances, and impose appropriate sanctions.</t>
  </si>
  <si>
    <t>How is the crime of public solicitation or begging regulated by Philippine law?</t>
  </si>
  <si>
    <t>In the Philippines, public solicitation or begging is regulated by various laws and local ordinances aimed at maintaining public order, protecting vulnerable individuals, and addressing the root causes of poverty. While begging itself may not be explicitly defined as a crime under national law, certain actions associated with solicitation may be prohibited or regulated. Here's an overview of how the issue is addressed:
Local Ordinances: Many local government units (LGUs) have ordinances that regulate or prohibit begging and solicitation in public places within their jurisdictions. These ordinances may include provisions prohibiting aggressive begging, solicitation in certain areas, or solicitation from minors.
Vagrancy Laws: While not specifically targeting begging, vagrancy laws may be used to address certain forms of public solicitation. Vagrancy laws typically prohibit loitering, idling, or wandering in public places without visible means of support, which may encompass begging in some cases.
Anti-Mendicancy Laws: Some LGUs have enacted anti-mendicancy laws or ordinances aimed at addressing the root causes of begging and providing alternative forms of support to indigent individuals. These laws may involve social welfare programs, rehabilitation services, or initiatives to address poverty and homelessness.
Social Welfare Programs: The Philippine government also implements social welfare programs aimed at providing assistance to impoverished individuals and families, including those who may resort to begging due to economic hardship. These programs may include cash assistance, livelihood support, education subsidies, and housing assistance.
Child Welfare Laws: Special attention is given to addressing child begging, as it often involves exploitation and violation of child rights. Laws such as the Anti-Child Abuse Law (Republic Act No. 7610) and the Special Protection of Children Against Child Abuse, Exploitation and Discrimination Act (Republic Act No. 9231) provide protection for children against exploitation, including begging.
Enforcement by Authorities: Law enforcement agencies, such as the Philippine National Police (PNP) and local barangay officials, are responsible for enforcing relevant laws and ordinances related to public solicitation. They may conduct patrols, issue warnings, and apprehend individuals engaged in illegal begging activities.</t>
  </si>
  <si>
    <t>What penalties are imposed for engaging in street-level gang activities or gang-related crimes?</t>
  </si>
  <si>
    <t>Engaging in street-level gang activities or gang-related crimes in the Philippines can lead to severe legal consequences, including penalties prescribed under various laws and ordinances. The penalties imposed may vary depending on the specific offense committed and the provisions of the law violated. Here are some potential penalties for engaging in gang activities or gang-related crimes:
Republic Act No. 10591 (Comprehensive Firearms and Ammunition Regulation Act):
Illegal Possession of Firearms: Penalties range from imprisonment of up to 20 years and a fine of up to ₱500,000 for illegal possession of firearms, ammunition, or explosives.
Republic Act No. 9165 (Comprehensive Dangerous Drugs Act):
Drug Trafficking: Penalties include life imprisonment and fines ranging from ₱500,000 to ₱10 million for the illegal sale, trading, administration, dispensation, delivery, distribution, and transportation of dangerous drugs.
Drug Possession: Penalties range from imprisonment and fines for the possession of illegal drugs, depending on the quantity and classification of the substance.
Revised Penal Code of the Philippines:
Robbery and Theft: Penalties for robbery and theft offenses vary depending on the circumstances and value of the property stolen, ranging from imprisonment and fines to more severe penalties for aggravated forms of the crime.
Physical Injury and Homicide: Engaging in violent activities or crimes resulting in physical injury or homicide can lead to imprisonment or even life imprisonment, depending on the gravity of the offense.
Local Ordinances:
Many local government units (LGUs) have ordinances that specifically address gang-related activities, such as vandalism, public disturbance, illegal gatherings, and gang recruitment. Penalties may include fines, community service, or imprisonment, as determined by the local authorities.
Republic Act No. 9344 (Juvenile Justice and Welfare Act):
For minors involved in gang activities, the Juvenile Justice and Welfare Act provides for interventions aimed at rehabilitation and reintegration into society, rather than punitive measures. However, serious offenses committed by minors may still result in detention or confinement in youth detention facilities.
Anti-Hazing Law (Republic Act No. 8049):
Organizing or participating in hazing activities, which are often associated with gang initiation rites, can result in imprisonment and fines, particularly if hazing leads to serious injury or death.</t>
  </si>
  <si>
    <t>Under what circumstances can a person be charged with creating a public nuisance on the streets?</t>
  </si>
  <si>
    <t>A person can be charged with creating a public nuisance on the streets under various circumstances where their actions interfere with the public's right to use and enjoy public spaces. Some common examples of activities that may constitute public nuisances on the streets include:
Blocking Public Passageways: Blocking sidewalks, pathways, or roads with personal belongings, vehicles, or other obstructions, hindering the free movement of pedestrians or vehicles.
Excessive Noise: Engaging in loud or disruptive behavior, such as playing loud music, shouting, or creating disturbances that disrupt the peace and quiet of the surrounding area.
Public Intoxication: Being visibly intoxicated in public places and behaving in a disorderly or disruptive manner that poses a danger to oneself or others.
Illegal Vending or Hawking: Conducting unauthorized vending, hawking, or selling of goods on public streets without the necessary permits, causing congestion or obstruction of pedestrian traffic.
Dumping or Littering: Dumping garbage, debris, or waste materials on public streets, sidewalks, or other public areas, leading to unsanitary conditions or obstructing public spaces.
Public Urination or Defecation: Engaging in urination or defecation in public areas where it is not permitted, causing offensive odors, unsanitary conditions, and public health concerns.
Unlawful Gatherings or Assemblies: Organizing or participating in unlawful gatherings, demonstrations, protests, or assemblies that disrupt public order, obstruct traffic, or pose a threat to public safety.
Vandalism or Graffiti: Defacing public property, structures, or buildings with graffiti, markings, or other forms of vandalism, leading to visual pollution and degradation of the environment.</t>
  </si>
  <si>
    <t>How does Philippine law address the offense of jaywalking and pedestrian-related violations?</t>
  </si>
  <si>
    <t>In the Philippines, jaywalking and pedestrian-related violations are addressed under various laws and local ordinances aimed at ensuring road safety and regulating pedestrian behavior. Here's how Philippine law addresses these offenses:
Anti-Jaywalking Laws and Regulations: Many cities and municipalities in the Philippines have ordinances that prohibit jaywalking, which refers to crossing the street outside designated pedestrian lanes or crosswalks. Violations of anti-jaywalking ordinances can result in fines or penalties imposed by local authorities.
Traffic Laws and Regulations: The Land Transportation and Traffic Code (Republic Act No. 4136) and its implementing rules and regulations set forth traffic rules and regulations, including those related to pedestrian safety. These laws may include provisions specifying where pedestrians should cross roads and the duties of motorists to yield to pedestrians at designated crossings.
Pedestrian Rights and Responsibilities: While pedestrians have the right of way at designated crosswalks and pedestrian lanes, they also have a responsibility to obey traffic signals and markings, cross streets safely, and avoid obstructing vehicular traffic. Pedestrians are expected to use designated crossings whenever available and to exercise caution when crossing streets.
Law Enforcement and Penalties: Law enforcement agencies, such as the Philippine National Police (PNP) and local government traffic enforcers, are responsible for enforcing traffic laws and regulations, including those related to pedestrian safety. Violators of jaywalking and pedestrian-related laws may be issued citations, fined, or subjected to other penalties as prescribed by law.
Public Awareness and Education: Government agencies and advocacy groups often conduct public awareness campaigns and educational programs to promote road safety and pedestrian awareness. These initiatives aim to educate pedestrians about their rights and responsibilities, the importance of using designated crossings, and the risks associated with jaywalking.</t>
  </si>
  <si>
    <t>What penalties apply for engaging in street-level prostitution or solicitation of sexual services?</t>
  </si>
  <si>
    <t>In the Philippines, engaging in street-level prostitution or solicitation of sexual services is considered illegal and is punishable under various laws. The penalties for such offenses may vary depending on the specific circumstances and the provisions of applicable laws. Here's an overview of the legal framework and potential penalties:
Anti-Trafficking in Persons Act of 2003 (Republic Act No. 9208): This law defines and prohibits all forms of human trafficking, including prostitution. It imposes penalties of imprisonment and fines for individuals found guilty of engaging in trafficking-related activities, including recruitment, transportation, transfer, harboring, or receipt of persons for the purpose of prostitution.
Violence Against Women and Their Children Act of 2004 (Republic Act No. 9262): This law protects women and children from various forms of violence, including prostitution and sexual exploitation. It imposes penalties for offenses such as physical violence, sexual abuse, and economic exploitation, which may include engaging in or facilitating prostitution.
Local Ordinances: Many cities and municipalities in the Philippines have ordinances that specifically address prostitution and solicitation of sexual services in public places. These ordinances may impose fines, community service, or other penalties on individuals caught engaging in or soliciting prostitution on the streets.
Penal Code Offenses: Various provisions of the Revised Penal Code of the Philippines may apply to prostitution-related offenses, such as acts of indecency, immoral doctrines, or provisions related to pandering or procuring for prostitution. Depending on the circumstances, violators may face imprisonment, fines, or both.
Law Enforcement and Prosecution: Law enforcement agencies, such as the Philippine National Police (PNP) and the National Bureau of Investigation (NBI), are responsible for investigating prostitution-related offenses and prosecuting offenders. Depending on the evidence gathered, individuals involved in street-level prostitution may be arrested, charged, and brought to trial.</t>
  </si>
  <si>
    <t>What legal measures exist to combat street-level vandalism and graffiti in public places?</t>
  </si>
  <si>
    <t>Here are some legal measures in the Philippines to combat street-level vandalism and graffiti in public places:
* **Republic Act No. 6939** or the "Anti-Disorder Conduct Act of 1993" prohibits, among others,塗鴉 (tū yā) [vandalism] or defacement of public or private property [RA 6939, Sec. 1(f)]. Violators can be penalized with a fine of not less than P500.00 but not more than P1,000.00, or imprisonment for not less than five (5) days but not more than ten (10) days, or both at the discretion of the court [RA 6939, Sec. 4].
* **Republic Act No. 7394** or the "Consumer Protection Act of the Philippines" prohibits unfair trade practices such as causing damage to any consumer product or property [RA 7394, Sec. 5(a)(1)(i)]. This can apply to vandalism of public places if it can be proven that the vandalism damages the place as a place for consumers to avail of goods and services.
* **The Revised Penal Code (RPC)** also has provisions that can be applied to vandalism and graffiti, such as:
* **Article 355** on malicious mischief, which penalizes anyone who shall maliciously destroy or damage any public or private property [RPC Art. 355].
* **Article 357** on desecration of walls, fences or other structures, which penalizes anyone who shall write upon, paint upon or deface the walls, fences or other structures belonging to another person without the consent of the owner thereof [RPC Art. 357].
The penalty for these violations depends on the extent of the damage caused by the vandalism or graffiti.
In addition to these laws, local government units (LGUs) may also have their own ordinances penalizing vandalism and graffiti. These ordinances may impose stricter penalties than national laws.
Here are some additional points to consider:
* If the vandalism or graffiti is done on private property, the owner of the property can also file a civil case against the vandals to recover damages.
* If the vandalism or graffiti is gang-related, the Anti-Gangsterism Law (Republic Act No. 14051) may also apply.
I recommend that you consult with a lawyer for more specific advice on how to deal with vandalism and graffiti in public places.</t>
  </si>
  <si>
    <t>How is the crime of public smoking in prohibited areas addressed under Philippine law?</t>
  </si>
  <si>
    <t>Public smoking in the Philippines is addressed by two main laws:
* **Republic Act No. 8749** or the **Clean Air Act of 1999 (CAA)**: This law, under Section 24, prohibits smoking inside an enclosed public place, including public vehicles and other means of transport, or in any enclosed area outside of a private residence, private place of work, or a duly designated smoking area [RA 8749, Sec. 24].
* **Republic Act No. 9211**, also known as the **Tobacco Regulation Act of 2003 (TRA)**: This law strengthens the CAA's provisions on smoking in public places. It specifically prohibits smoking in certain designated areas, including government facilities, healthcare institutions, educational institutions, and facilities frequented by minors [RA 9211, Sec. 6]. The enforcement of these laws is done by the local government units (LGUs) through their designated personnel. Penalties for violating these laws may vary depending on the LGU, but generally include fines. Here's a breakdown:
* **First offense:** PhP 500 - PhP 1,000 [reference to No Smoking in Public Places Policy - MMDA, Section on Penalty]
* **Second offense:** PhP 1,000 - PhP 5,000 [reference to No Smoking in Public Places Policy - MMDA, Section on Penalty]
* **Third offense:** PhP 5,000 - PhP 10,000 [reference to No Smoking in Public Places Policy - MMDA, Section on Penalty]
**Additional Points:**
* Some LGUs may impose stricter penalties, including community service or imprisonment for repeated offenses.
* Establishments found to be violating the smoking ban by not implementing proper signage or designated smoking areas may also face penalties.
It's important to note that these are just general guidelines. The specific law and penalties applicable to your situation may vary depending on the location and the specific circumstances.</t>
  </si>
  <si>
    <t>What penalties are imposed for the illegal possession and use of fireworks in public places?</t>
  </si>
  <si>
    <t>There isn't a single law in the Philippines solely dedicated to regulating fireworks. However, several existing laws address the illegal possession and use of fireworks in public places:
* **Executive Order No. 28, series of 2017** - This Executive Order (EO) from the Department of Interior and Local Government (DILG) regulates the sale, distribution, and use of firecrackers and other pyrotechnic devices. It partially **repeals** Executive Order No. 211, series of 2000, which previously provided a comprehensive framework for fireworks regulations.
* **Republic Act No. 6939** or the "Anti-Disorder Conduct Act of 1993" - This law prohibits "causing loud, unusual or offensive noises that annoy the public" [RA 6939, Sec. 1(d)]. Fireworks, especially when used improperly in public areas, can be considered a violation of this provision. The penalty for such violation is a fine of not less than P500.00 but not more than P1,000.00, or imprisonment for not less than five (5) days but not more than ten (10) days, or both at the discretion of the court [RA 6939, Sec. 4].
* **Local Government Ordinances (LGUs)** - Many LGUs have their own ordinances specifically regulating fireworks. These ordinances often designate specific "firecracker zones" where fireworks use is allowed during certain times of the year. Using fireworks outside of these designated zones or during prohibited times can result in fines or confiscation of the fireworks. Penalties can vary depending on the specific LGU ordinance.
Here are some additional points to consider:
* **Illegal Sale and Manufacturing:** Selling or manufacturing fireworks without a license is a separate offense with potentially harsher penalties.
* **Injury or Property Damage:** If the illegal use of fireworks results in injury or property damage, the violator may face additional charges under the Revised Penal Code (RPC), such as:
* Article 265 - Reckless imprudence resulting in damage to property
* Article 365 - Inflicting slight physical injuries
For the most up-to-date information on specific regulations and penalties in your area, it's always best to consult your local barangay or city hall.</t>
  </si>
  <si>
    <t>How does the law address incidents of street-level harassment or intimidation in public spaces?</t>
  </si>
  <si>
    <t>The Philippines has a relatively new law that specifically addresses street-level harassment and intimidation in public spaces:
* **Republic Act No. 11313** or the **Safe Spaces Act of 2019** defines and penalizes **gender-based sexual harassment** (GBSH) in public spaces. This includes unwanted and uninvited sexual actions or remarks against any person, regardless of their gender or sexual orientation [RA 11313, Sec. 3].
Here's what the law covers:
* **Acts:** Catcalling, wolf-whistling, groping, stalking, persistent telling of sexual jokes, and other forms of unwanted sexual advances [RA 11313, Sec. 4] * **Locations:** The law applies to public places, including streets, transportation systems, parks, schools, workplaces, and even online spaces [RA 11313, Sec. 2]
**Penalties:**
The penalties for GBSH under the Safe Spaces Act vary depending on the nature of the offense and whether it's a first, second, or third offense. These can range from fines to imprisonment:
* **First offense:** PhP1,000 - PhP10,000 fine [Implementing Rules and Regulations of RA 11313, Sec. 33] * **Second offense:** PhP10,000 - PhP30,000 fine or imprisonment of 1 month to 6 months [Implementing Rules and Regulations of RA 11313, Sec. 33]
* **Third offense:** PhP30,000 - PhP50,000 fine or imprisonment of 6 months to 1 year [Implementing Rules and Regulations of RA 11313, Sec. 33]
**It's important to note:**
* The Safe Spaces Act focuses on **gender-based** harassment. While it offers some protection against other forms of intimidation, it may not be sufficient for situations that aren't sexually suggestive in nature. * This law is relatively new, and its implementation is still evolving. **Here are some resources in case you experience street-level harassment:**
* Report the incident to the nearest police station or barangay authorities.
* You can also contact hotlines offered by some NGOs that focus on women's rights and safety.
Remember, you don't deserve to be harassed or intimidated. The law is there to protect you, so don't hesitate to seek help if you experience such incidents.</t>
  </si>
  <si>
    <t>What legal provisions regulate the unauthorized occupation of public spaces for commercial purposes?</t>
  </si>
  <si>
    <t>The Philippines has several legal provisions that regulate the unauthorized occupation of public spaces for commercial purposes. Here's a breakdown of some key sources:
**1. Local Government Ordinances (LGUs):**
* LGUs, like cities and municipalities, have the authority to enact ordinances regulating the use of public spaces within their jurisdiction. These ordinances often designate specific areas for commercial activities and set guidelines for permits and fees. Occupying public spaces for commercial purposes without following these ordinances is illegal.
**2. Batas Pambansa Blg. 344 (Code on Sanitation):**
* Section 7 of this law prohibits the "littering of public places" which includes the use of public spaces for commercial purposes in a way that obstructs pedestrian or vehicular traffic, or causes sanitation problems [Batas Pambansa Blg. 344, Sec. 7]. Violations can result in a fine or imprisonment.
**3. Presidential Decree No. 1565 (Establishing Sanitation Codes):**
* This decree empowers LGUs to promulgate specific sanitation codes within their areas. These codes can further regulate the use of public spaces for commercial purposes to ensure sanitation and public order [Presidential Decree No. 1565].
**4. Republic Act No. 7160 (Local Government Code of 1991):**
* This law grants LGUs the general power to "promulgate ordinances and regulations for the maintenance of peace and order, the protection of public health, safety, morals, and decency, and the promotion of the general welfare of the inhabitants thereof" [RA 7160, Sec. 4(b)(1)(i)]. This includes the authority to regulate the use of public spaces for commercial purposes.
**Here's what to consider:**
* The specific laws and penalties will vary depending on the LGU. Some LGUs may have stricter ordinances than others.
* The nature of the commercial activity can also influence the applicable regulations. For example, selling small snacks from a cart might be subject to different rules than setting up a large display for a clothing sale.
**What you can do:**
* If you're unsure about the regulations in your area, contact your barangay or city hall for clarification.
* If you witness unauthorized occupation of public spaces, you can report it to the local authorities.
**Additional Points:**
* There might be special permits available for specific commercial activities in designated public spaces. * Remember, even with a permit, occupying public spaces for commercial purposes should not significantly interfere with the intended use of the space by the public.</t>
  </si>
  <si>
    <t>How is the crime of street-level identity theft or pickpocketing defined and punished?</t>
  </si>
  <si>
    <t>Philippine law doesn't have a specific crime for "street-level identity theft" but there are related provisions that apply to pickpocketing and using stolen identity information. Here's a breakdown:
**Pickpocketing:**
This falls under the crime of theft as defined in the **Revised Penal Code (RPC)**:
* **Article 308** defines theft as the act of taking personal property belonging to another, with intent to gain, without the consent of the owner. [RPC Art. 308]
**Penalties for Theft:**
Penalties for theft depend on the value of the stolen property (articles stolen during pickpocketing are usually considered to have minimal value):
* **Culpable Theft (less than PhP5,000):** Penalty of arresto menor (1 to 10 days) to prision correccional minima (up to 6 months) [RPC Art. 309]
* **Slight Theft (PhP5,000 or less):** Penalty of arresto menor (1 to 10 days) [RPC Art. 310] **Identity Theft:**
While there's no single crime for "street-level identity theft," using stolen information retrieved through pickpocketing can be a crime under:
* **Republic Act No. 10173** or the **Data Privacy Act of 2012 (DPA)**: This law protects personal information and penalizes unauthorized processing, including using stolen information to impersonate someone [RA 10173, Sec. 15].
**Penalties under the DPA:**
Penalties for violating the DPA vary depending on the nature of the offense and the extent of the damage caused. These can range from fines to imprisonment:
* **Mere disclosure:** PhP500,000 fine [RA 10173, Sec. 32(e)]
* **Unauthorized processing:** PhP1,000,000 fine or imprisonment of up to 7 years [RA 10173, Sec. 32(a)]
**Important Points:**
* For pickpocketing cases, successfully prosecuting the crime depends on factors like catching the culprit in the act or having CCTV footage as evidence.
* Identity theft using stolen information can have more severe consequences, especially if it results in financial loss to the victim.
If you become a victim of pickpocketing or suspect identity theft using stolen information, report the incident to the police immediately. This will help them investigate the crime and potentially apprehend the culprit. You can also file a complaint with the National Privacy Commission (NPC) if you believe your personal information has been compromised.</t>
  </si>
  <si>
    <t>What penalties apply for engaging in public disturbances or riotous behavior on the streets?</t>
  </si>
  <si>
    <t>Philippine law takes public disturbances and riotous behavior seriously, with penalties depending on the severity of the offense. Here's a breakdown of relevant laws:
**Revised Penal Code (RPC):**
* **Tumult (Article 146):** Gathering of people with intent to use violence upon anything or against any person, or to resist execution of the law, or to commit any other illegal act. This can be a stepping stone to more serious offenses. Penalties involve fines or imprisonment depending on the number of people involved [RPC Art. 146].
* **Disobedience to Persons in Authority (Article 151):** This applies to those who disobey lawful orders of a person in authority, like law enforcers trying to disperse a crowd. Penalties range from reprimand to imprisonment depending on the circumstances [RPC Art. 151].
* **Alarms and Scandals (Article 153):** Causing alarm or scandal by making unreasonable noise or disturbing the peace. This can apply to loud and unruly behavior in public spaces [RPC Art. 153]. Penalties involve a fine.
* **Resistance and Disobedience to a Person in Authority (Article 152):** This is a more serious offense than Article 151 and applies to those who actively resist a person in authority. Penalties involve imprisonment.
**Special Penal Laws:**
* **Republic Act No. 6939 or the "Anti-Disorder Conduct Act of 1993"** prohibits causing loud, unusual or offensive noises that annoy the public or obstructing the free movement of people in public places [RA 6939, Sec. 1(d) &amp; (e)]. This can be applicable to public disturbances. Penalties involve fines and imprisonment.
**Determining Penalties:**
The exact penalty depends on the nature of the disturbance and the graveness of the offense. Here's a general guideline:
* Minor infractions like loud shouting or unruly behavior might result in fines or reprimands under the Anti-Disorder Conduct Act or alarms and scandals provisions.
* More serious disturbances involving violence or resistance to authorities can lead to imprisonment under the Revised Penal Code.
**Additional Points:**
* If the public disturbance results in property damage or injury, additional charges may be filed under the RPC for such offenses.
* In extreme cases, riot may be charged, which is a more serious offense with potentially harsher penalties.
**What you can do:**
* If you witness a public disturbance, avoid getting involved and report it to the authorities immediately. * If you are unfortunately caught in a public disturbance, stay calm and cooperate with law enforcement officers.</t>
  </si>
  <si>
    <t>Under what circumstances can a person be charged with violating noise ordinances in public places?</t>
  </si>
  <si>
    <t>Philippine law addresses noise ordinances in public places through a combination of national laws and local government ordinances (LGUs). Here's a breakdown of when you might be charged with violating noise ordinances:
**National Laws:**
* **Presidential Decree No. 984** or the **Pollution Control Law:** This law sets national ambient noise quality standards. While not directly enforceable on individuals, it establishes a benchmark for LGUs to base their noise ordinances on [PD 984, Chapter IV].
**Local Government Ordinances (LGUs):**
* LGUs, like cities and municipalities, have the authority to enact ordinances regulating noise levels in public places within their jurisdiction. These ordinances typically specify acceptable noise limits for different areas (residential, commercial, industrial) and times of the day. **Violating these noise ordinances can lead to charges if:**
* You generate noise that exceeds the established decibel (dB) limits for the specific area and time of day.
* The noise you generate unreasonably disturbs the comfort, peace, or repose of others in the vicinity.
Here are some examples of situations where you might be charged with violating noise ordinances:
* Playing loud music in a residential area late at night.
* Operating noisy machinery or construction equipment without proper permits or outside designated operating times.
* Using loudspeakers or amplifiers in public places without permission.
**Important Points:**
* The specific noise limits and acceptable activities will vary depending on the LGU ordinance. It's best to consult your barangay or city hall to understand the specific regulations in your area.
* Even if the noise level doesn't technically exceed the limit, if it's deemed unreasonably disturbing to others, you might still be charged with a violation.
**What you can do:**
* Be mindful of noise levels when engaging in activities in public places.
* If you experience noise disturbances that you believe violate ordinances, report them to the barangay or local enforcement authorities.</t>
  </si>
  <si>
    <t>How does Philippine law address the offense of public consumption of alcoholic beverages?</t>
  </si>
  <si>
    <t>There isn't a national law in the Philippines that explicitly prohibits the public consumption of alcoholic beverages. However, public drinking can be regulated or even prohibited through the following means:
* **Local Government Ordinances (LGUs):** Many cities and municipalities have their own ordinances regulating or banning the consumption of alcoholic beverages in public places. These ordinances often designate specific areas where drinking is prohibited, such as parks, plazas, sidewalks, and public transportation areas.
* **Anti-Disorder Conduct Act (RA 6939):** This law prohibits causing loud, unusual, or offensive noises that annoy the public [RA 6939, Sec. 1(d)]. While not directly related to alcohol consumption, being drunk and disorderly in public can be considered a violation of this Act if it results in unreasonable noise or disturbance. * **Presidential Decree No. 1565:** This empowers LGUs to promulgate sanitation codes within their areas. These codes can further regulate the consumption of alcohol in public places to maintain sanitation and public order. **Here are some important points to consider:**
* The specific regulations and penalties for public drinking will vary depending on the LGU. Some LGUs may have complete bans, while others may allow drinking in designated areas during certain times.
* Even in the absence of an explicit ban, public intoxication can lead to being reprimanded by authorities or taken into protective custody until you sober up.
**What you can do:**
* Before consuming alcohol in public, familiarize yourself with the local ordinances in your area to avoid any violations.
* Always drink responsibly and avoid disorderly behavior that could disturb others. * If you witness someone violating public drinking ordinances, you can report it to the barangay or local authorities.
It's important to note that there is a bill currently filed in the Philippine Congress (House Bill No. 3047) that proposes a nationwide ban on the sale, serving, and consumption of alcohol in all public spaces. While not yet a law, it reflects a growing sentiment to regulate public drinking more strictly.</t>
  </si>
  <si>
    <t>What penalties are imposed for engaging in street-level fraud or swindling in public areas?</t>
  </si>
  <si>
    <t>Philippine law addresses street-level fraud and swindling in public areas through a combination of the Revised Penal Code (RPC) and special laws. Here's a breakdown of the potential charges and penalties:
**Under the Revised Penal Code (RPC):**
* **Estafa (Article 315):** This is the most common charge for fraud and swindling. It applies to any person who defrauds another by means of deceit or false representations to cause damage [RPC Art. 315]. This can encompass many street-level scams like shell games, fake merchandise, or pretending to be a charity representative.
**Penalties for Estafa:**
The penalty for estafa depends on the amount of damage caused:
* **Estafa (less than PhP5,000):** Penalty of arresto menor (1 to 10 days) to prision correccional minima (up to 6 months) [RPC Art. 315]
* **Swindling (PhP5,000 or more):** Penalty of prision correccional media (6 months and 1 day to 2 years) to prision mayor (4 years and 2 months to 8 years) [RPC Art. 315]
**Other Applicable Laws:**
* **Republic Act No. 8424 or the "Consumer Protection Act of the Philippines":** This law prohibits deceptive sales acts and other unfair trade practices. If a street-level scam involves misleading consumers about a product or service, this law can be applied [RA 8424, Sec. 15].
* **Presidential Decree No. 1689** or the **Deceptive Sales Act:** This law outlines specific prohibited acts in relation to consumer sales, which can be relevant to some street-level scams [PD 1689, Sec. 2].
**Penalties under these laws:**
These laws typically impose administrative sanctions like fines on violators. **Important Points:**
* Successfully prosecuting a case depends on factors like witness testimonies and evidence of the fraudulent act.
* The specific charges and penalties will depend on the details and nature of the scam.
**What you can do:**
* If you become a victim of street-level fraud, report the incident to the police as soon as possible. * Gather any evidence you may have, such as receipts, witness contacts, or descriptions of the culprit.
* Be aware of common street scams and educate others to help prevent them from falling victim.</t>
  </si>
  <si>
    <t>What legal measures exist to combat street-level cybercrimes and online scams?</t>
  </si>
  <si>
    <t>The Philippines has several legal measures in place to combat street-level cybercrimes and online scams. Here's a breakdown of some relevant laws:
* **Republic Act No. 10175 or the Cybercrime Prevention Act of 2012 (CPA):** This is the primary law against cybercrimes in the Philippines. It defines and penalizes various online offenses, including:
* **Cyber Swindling (Section 4(a)(5)):** This applies to fraudulent acts committed online to gain an unfair advantage or cause damage to another person. Street-level scams that use online platforms (e.g., fake social media accounts, phishing emails) can be prosecuted under this provision.
* **Computer-related Identity Theft (Section 5):** This covers the unauthorized acquisition and use of another person's personal information online for fraudulent purposes. This can be relevant to scams that involve stealing login credentials or personal details.
* **Republic Act No. 8424 or the Consumer Protection Act of the Philippines:** This law protects consumers from deceptive sales acts and unfair trade practices, including those that happen online. If a street-level scam involves misleading consumers about a product or service advertised online, this law can be applied [RA 8424, Sec. 15].
**Other Applicable Laws:**
* **Revised Penal Code (RPC):** Traditional criminal offenses like Estafa (fraud) can also be applied in cases where online scams result in financial loss [RPC Art. 315].
**Penalties:**
The penalties for cybercrimes and online scams vary depending on the specific offense committed and the damage caused. Here's a general range:
* **Cyber Swindling:** Imprisonment of prision correccional media (up to 6 months) to prision mayor (up to 8 years) and fines up to PhP1,000,000 [RA 10175, Sec. 4(a)(5)]
* **Computer-related Identity Theft:** Imprisonment of prision mayor (up to 8 years) and fines up to PhP1,000,000 [RA 10175, Sec. 5]
**Challenges and Considerations:**
* **Gathering evidence:** Investigating and prosecuting cybercrimes often involve collecting digital evidence, which can be challenging.
* **Evolving tactics:** Scammers constantly develop new methods. Law enforcement and the public need to stay updated on these trends.
**What you can do:**
* Be cautious when engaging in online transactions and sharing personal information.
* Report suspected online scams to the authorities through the Philippine National Police Anti-Cybercrime Unit (PNP-Anticybercrime Unit) or the National Bureau of Investigation (NBI).
* Familiarize yourself with online safety tips and best practices.
**Additional Resources:**
* Philippine National Police Anti-Cybercrime Unit: [https://acg.pnp.gov.ph/](https://acg.pnp.gov.ph/)
* National Bureau of Investigation: [https://www.nbi.gov.ph/](https://www.nbi.gov.ph/)
By working together, law enforcement agencies and the public can help combat street-level cybercrimes and online scams.</t>
  </si>
  <si>
    <t>How is the crime of public cheating or illegal gambling operations on the streets regulated?</t>
  </si>
  <si>
    <t>Public cheating, specifically illegal gambling operations on the streets, is strictly prohibited in the Philippines. Here's a breakdown of the relevant laws:
**Prohibition on Illegal Gambling:**
* **Revised Penal Code (RPC):** Article 351 penalizes those who establish, maintain, or operate any gambling (sugal) [gambling den] without lawful authority [RPC Art. 351].
* **Republic Act No. 9287 or the "An Act to Strengthen the Philippine Charity Sweepstakes Office (PCSO)" (Amended by RA 10673):** This law grants the PCSO the exclusive authority to operate and regulate all forms of gambling in the Philippines, except those already covered by special laws [RA 9287, Sec. 3(a)]. This essentially prohibits any unauthorized gambling operations.
**Penalties for Violators:**
* **RPC Article 351:** Imprisonment of prision correccional minima (up to 6 months) to prision mayor (up to 8 years) [RPC Art. 351].
* **RA 9287:** Fines ranging from PhP500,000 to PhP10,000,000 and imprisonment of up to 6 years for those who operate illegal gambling activities [RA 9287, Sec. 11(f)].
**Additional Points:**
* **Possession of Gambling Paraphernalia:** The possession of gambling paraphernalia without the lawful authority from the PCSO is also prohibited and can result in penalties [RA 9287, Sec. 11(e)].
* **Local Government Ordinances (LGUs):** Many LGUs may have their own ordinances that further regulate or prohibit specific types of street gambling within their jurisdiction.
**Who enforces these laws?**
The Philippine National Police (PNP) has the primary responsibility for enforcing these laws and apprehending those involved in illegal gambling operations.
**What you can do:**
* If you witness illegal gambling activities on the streets, report them to the nearest police station or barangay authorities.
* You can also report them anonymously to the PCSO hotline.
By working together, law enforcement agencies and the public can help prevent the spread of illegal gambling activities.</t>
  </si>
  <si>
    <t>What penalties apply for engaging in street-level environmental offenses, such as littering?</t>
  </si>
  <si>
    <t>In the Philippines, littering and other street-level environmental offenses are addressed through a combination of national laws and local government ordinances (LGUs). Here's a breakdown of the potential penalties:
**National Laws:**
* **Republic Act No. 6939 or the "Anti-Disorder Conduct Act of 1993" (RA 6939):** This law prohibits a variety of disorderly conduct acts, including throwing litter in public places [RA 6939, Sec. 1(f)]. The penalty for a first offense is a fine of not less than P500.00 but not more than P1,000.00, or imprisonment for not less than five (5) days but not more than ten (10) days, or both at the discretion of the court [RA 6939, Sec. 4].
**Local Government Ordinances (LGUs):**
* Most LGUs, like cities and municipalities, have their own ordinances specifically regulating waste disposal and littering. These ordinances often impose stricter penalties than national laws. Penalties can vary significantly depending on the LGU, but may include:
* Fines ranging from a few hundred pesos to several thousand pesos.
* Community service.
* Mandatory attendance in seminars on environmental protection. **Important Points:**
* The specific penalties for littering and other environmental offenses will depend on the LGU and the severity of the violation. For example, littering a cigarette butt might have a lower fine than dumping a large amount of trash.
* Some LGUs may have designated "eco-waste" or recycling programs where residents can properly dispose of specific types of waste. Failure to comply with these regulations may also result in penalties.
**What you can do:**
* Be mindful of your waste and dispose of it properly in designated bins.
* If you witness someone littering, you can report it to the barangay authorities or local enforcement personnel. * You can also help promote environmental awareness by encouraging others to practice proper waste disposal.
Remember, keeping our streets clean is a shared responsibility. By following the law and disposing of waste properly, we can all contribute to a healthier and more pleasant environment.</t>
  </si>
  <si>
    <t>How does the law address incidents of street-level hate crimes or discriminatory actions in public spaces?</t>
  </si>
  <si>
    <t>The Philippines does not have a specific law that solely addresses street-level hate crimes. However, several existing laws can be used to address discriminatory actions and violence motivated by hate:
1. **The Philippine Constitution (Article III, Section 1):** This guarantees equal protection for all Filipinos. This means that everyone should be treated equally regardless of race, sex, religious beliefs, and other factors.
2. **Republic Act No. 9727 or the Anti-Trafficking in Persons Act of 2003 (ATIP):** While its primary focus is human trafficking, Section 4(i) considers trafficking in persons motivated by discrimination based on race, ethnicity, religion, etc. a crime.
3. **Republic Act No. 8353 or the Anti-Rape Law of 1997:** Rape motivated by hate or prejudice against the victim's identity can be prosecuted under this law with harsher penalties.
4. **Republic Act No. 11353 or the Safe Spaces Act:** This law prohibits all forms of sexual harassment in public spaces, workplaces, and educational institutions. While not directly addressing hate crimes, it can be used in situations where harassment stems from prejudice.
5. **Revised Penal Code (RPC):** Several provisions of the RPC can be applicable depending on the nature of the incident. These include:
* Physical Assault (RPC Articles 262-265)
* Murder (RPC Article 248)
* Threats and Coercion (RPC Articles 148-153)
**Challenges:**
* **Intent:** Proving the offender's motive as hate-based can be difficult. * **Lack of Specific Law:** The absence of a dedicated hate crime law makes data collection and prosecution of such incidents more challenging.
**Recommendations:**
* Several legislative proposals for an Anti-Hate Crime Law are pending in Congress. * Reporting such incidents to the authorities is crucial for building a stronger case against hate crimes.
Remember, this is a simplified explanation. If you experience or witness a hate crime, it's important to seek legal advice or report the incident to the authorities.</t>
  </si>
  <si>
    <t>What legal provisions regulate the unauthorized sale or distribution of merchandise on the streets?</t>
  </si>
  <si>
    <t>Several Philippine laws and regulations address the unauthorized sale or distribution of merchandise on the streets:
**1. Local Government Code (RA No. 7160):**
* **Section 17: Powers, Duties, and Functions of LGUs:** Grants authority to local government units (LGUs) to regulate the conduct of business and impose reasonable fees for the privilege of doing business within their jurisdiction. This includes regulating street vendors through ordinances.
**2. Batas Pambansa Blg. 881 or The Price Tag Law:**
* **Section 1:** Requires all sellers to display the price tag of their products. This applies to both authorized and unauthorized vendors.
**3. Fair Trade Laws:**
* **Republic Act No. 8423 or The Intellectual Property Code of the Philippines:** Protects intellectual property rights like trademarks and copyrights. Selling counterfeit goods is a violation of this law.
* **Republic Act No. 7394 or The Consumer Act of the Philippines:** Protects consumers from unfair trade practices like misleading information and deceptive pricing. **4. Specific Ordinances:**
* Many cities and municipalities have their own ordinances regulating street vendors. These ordinances may specify designated vending areas, product restrictions, and permit requirements. **Enforcement:**
* The enforcement of these laws and regulations typically falls on the local government units (LGUs) through their law enforcement agencies. Penalties for violations may include fines, confiscation of goods, and even arrest. **Important Note:**
* There might be a difference between "unauthorized" and simply lacking a permit. Some areas allow street vending with a proper permit. It's important to check specific local ordinances to determine the exact regulations in your area.</t>
  </si>
  <si>
    <t>How is the crime of public drunkenness or substance abuse addressed under Philippine law?</t>
  </si>
  <si>
    <t>There isn't a single law in the Philippines that specifically addresses public drunkenness or substance abuse. However, a combination of national laws and local ordinances deal with these issues:
**National Laws:**
* **Revised Penal Code (RPC):** Certain provisions of the RPC can be applied depending on the situation arising from public drunkenness or substance abuse:
* **Public Scandal (RPC Article 339):** This applies if a person's intoxicated state causes disturbance or alarm to the public. * **Disobedience to a Person in Authority (RPC Article 151):** This applies if a person under the influence disobeys lawful orders from a police officer.
* **Republic Act No. 10586 or the Anti-Drunk and Drugged Driving Act of 2013:** This law focuses on driving under the influence but can be relevant if someone is found drunk in a public space and intends to drive.
**Local Ordinances:**
* Many cities and municipalities have their own ordinances specifically addressing public drunkenness or intoxication. These ordinances may define prohibited behavior (like disorderly conduct), designate alcohol-free zones, and impose penalties like fines or community service.
**Focus on Rehabilitation:**
* While there are penalties for disorderly conduct or public intoxication, there's a growing emphasis on rehabilitation for substance abuse. * Republic Act No. 9165 or the Comprehensive Dangerous Drugs Act of 2002:** This law mandates a balance between punitive and rehabilitative measures for drug offenses.
**Important to Remember:**
* The specific response to public drunkenness or substance abuse will depend on the severity of the situation and any local ordinances in place. * If you or someone you know struggles with substance abuse, there are resources available for help. The Philippine Dangerous Drugs Agency (PDEA) offers treatment and rehabilitation programs [https://ddb.gov.ph/](https://ddb.gov.ph/).</t>
  </si>
  <si>
    <t>What penalties are imposed for engaging in street-level forgery or document fraud in public areas?</t>
  </si>
  <si>
    <t>Forgery and document fraud in the Philippines are serious offenses penalized under the Revised Penal Code (RPC). Here's how the law addresses such acts, particularly those committed in public areas:
**Relevant RPC Provisions:**
* **Article 168 (Falsification by a Private Individual):** This applies if a person falsifies a private document (e.g., contracts, checks, certificates) to cause prejudice to another. * **Article 169 (Falsification by a Public Officer or Employee):** Covers falsification of public documents (e.g., government licenses, birth certificates) by someone with public authority. * **Article 170 (Forgery and Counterfeiting of Public Documents or Official Seals):** Penalizes the creation, possession, or use of fake government documents or seals.
**Penalties:**
The penalty will vary depending on the type of document falsified and the offender's intent. Generally, these range from:
* **Prision Mayor (6 years and 1 day to 8 years imprisonment)**
* **Reclusion Temporal (3 years and 1 day to 6 years imprisonment)**
**Aggravating Circumstances (Increased Penalty):**
* If the falsification is committed in a public place, it can be considered an aggravating circumstance, potentially resulting in a harsher penalty.
**Public Place Definition:**
Philippine jurisprudence hasn't definitively defined "public place" in the context of forgery. However, courts have generally considered places open to the public as public places. This could include streets, parks, markets, and other public areas.
**Importance of Reporting:**
If you encounter someone committing forgery or document fraud in public, report it to the authorities immediately. This will help prevent potential harm to others and ensure proper prosecution.
**Additionally:**
* There might be specific laws depending on the type of document forged (e.g., passports, checks). * Falsifying documents for fraudulent purposes can also lead to additional charges depending on the intended crime (e.g., estafa).
**Remember:**
This is a simplified explanation. For specific legal advice, consult a qualified lawyer.</t>
  </si>
  <si>
    <t>Under what circumstances can a person be charged with public endangerment or reckless behavior?</t>
  </si>
  <si>
    <t>Philippine law doesn't have a single, specific code for "public endangerment" or "reckless behavior." However, several existing laws address actions that put the public at risk. Here's a breakdown:
**Relevant Laws:**
* **Revised Penal Code (RPC):** Several provisions can be applied depending on the specific act:
* **Reckless Imprudence (RPC Article 365):** This applies to any person who, due to lack of foresight or precaution, commits an act that results in damage or injury. (e.g., leaving a manhole open)
* **Alarms and Scandals (RPC Articles 150-153):** This covers acts that cause alarm or scandal to the public. (e.g., setting off firecrackers in a crowded area)
* **Other Specific Offenses:** Depending on the situation, other RPC provisions like arson (RPC Article 318) or causing damage to property (RPC Article 355) might be applicable.
* **Special Laws:** * **Republic Act No. 6539 or the Anti-Bullying Act of 2013:** This focuses on bullying within educational institutions but can be relevant if the bullying behavior spills over to public areas and endangers others.
* **Republic Act No. 9516 or the Sin Tax Law:** This regulates the sale and use of cigarettes and alcoholic drinks. Violations like selling to minors or public intoxication can be considered reckless behavior.
**Determining Public Endangerment/Reckless Behavior:**
* The key factor is whether the act creates a clear and present danger to the public's safety or well-being. * The likelihood of harm and the severity of potential consequences are considered.
**Examples:**
* Throwing stones at passing cars on a highway.
* Leaving hazardous materials unsecured in a public space.
* Creating a commotion with loud noises or threatening behavior in a crowded area.
* Driving under the influence of alcohol or drugs.
**Important to Remember:**
The specific law applied and the resulting penalty will depend on the exact nature of the act and the harm caused. If you witness someone endangering the public, report it to the authorities immediately.
**Additionally:**
* Local government units (LGUs) may have ordinances addressing specific types of reckless behavior within their jurisdiction.
* For legal advice on a particular situation, consult a qualified lawyer.</t>
  </si>
  <si>
    <t>How does Philippine law address the crime of public conspiracy or planning illegal activities on the streets?</t>
  </si>
  <si>
    <t>Philippine law doesn't have a specific crime called "public conspiracy" or "planning illegal activities on the streets." However, there are legal concepts that can address such situations:
**Conspiracy (RPC Article 8):**
This article penalizes two or more persons who agree to commit a crime and perform any act in furtherance of the said agreement. For conspiracy to be punishable, there must be:
* **Two or more persons:** A lone individual planning a crime wouldn't be considered conspiracy.
* **Agreement to commit a crime:** There must be a meeting of the minds between the individuals to commit a specific illegal act. * **Overt act:** Mere planning isn't enough. At least one person must take a concrete step towards carrying out the crime.
**Public Planning:**
While the location of planning isn't the primary factor, the public nature of it can be considered as evidence:
* **Intimidation:** If the public planning itself creates a sense of fear or intimidation among the public, it might be penalized under the concept of "alarms and scandals" (RPC Articles 150-153).
**Solicitation:**
* Philippine law also penalizes solicitation to commit a crime (RPC Article 18): This applies if a person induces another to commit a crime, even if the crime isn't actually committed.
**Attempted Crime:**
* If the planning progresses into taking concrete steps towards the crime (e.g., acquiring tools, identifying a target), it might be considered an attempted crime, which is also punishable (RPC Book 1, Title Four). **Challenges in Public Planning:**
* Proving a concrete agreement and planned crime can be difficult, especially if the planning seems vague.
**Importance of Reporting:**
* If you witness suspicious activity that seems like planning for a crime, report it to the authorities. This can help prevent the crime from happening.
**Additionally:**
* Local government units (LGUs) may have ordinances addressing loitering or suspicious behavior in public spaces.
Remember, this is a simplified explanation. For specific legal advice on a particular situation, consult a qualified lawyer.</t>
  </si>
  <si>
    <t>What legal measures exist to combat street-level bribery or corruption in public spaces?</t>
  </si>
  <si>
    <t>The Philippines has several legal measures in place to combat street-level bribery or corruption in public spaces. Here's a breakdown of the key measures:
**Laws and Policies:**
* **Revised Penal Code (RPC):** * **Bribery (RPC Article 332):** This penalizes both the one who offers a bribe (suhol [soo-hol]) and the one who solicits or accepts it. * **Estafa (RPC Article 315):** This can apply in situations where bribery involves defrauding the government or a citizen through trickery.
* **Republic Act No. 6713 or the Code of Conduct and Ethical Standards for Public Officials and Employees:** This law mandates all government personnel to uphold ethical conduct and avoid any act that appears to be a conflict of interest or bribery.
* **Republic Act No. 6770 or the Ombudsman Act of 1989:** This law establishes the Office of the Ombudsman, which investigates complaints of corruption against government officials.
**Other Measures:**
* **Executive Order No. 67 or the Social Justice Program:** This program promotes transparency and accountability in government agencies, aiming to reduce opportunities for corruption.
* **Whistleblower Protection Programs:** Several government agencies and institutions have implemented programs to protect whistleblowers who report corruption.
**Challenges:**
* **Underreporting:** Many incidents of street-level bribery go unreported due to fear of retaliation, shame, or a lack of faith in the system.
* **Complexity of Proof:** Building a strong case against bribery can be difficult as it often involves proving intent and exchange of something valuable.
**Recommendations:**
* **Public awareness campaigns:** Educating citizens about their rights and available reporting mechanisms is crucial. * **Strengthening whistleblower protections:** Ensuring the safety and anonymity of those who report corruption is essential.
* **Streamlining reporting processes:** Making the process of reporting bribery easier and more accessible can encourage more people to come forward. **What you can do:**
* If you encounter street-level bribery, report it to the authorities. * Agencies like the police, the Office of the Ombudsman, or the specific government agency involved can be options for filing a complaint.
* You can also report anonymously through whistleblower hotlines or online reporting platforms (if available).
By working together, Filipinos can help combat street-level bribery and create a more transparent and accountable society.</t>
  </si>
  <si>
    <t>What penalties apply for engaging in street-level kidnapping or abduction in public areas?</t>
  </si>
  <si>
    <t>Philippine law takes kidnapping and abduction very seriously, especially when it happens on the street or in a public place. Here's a breakdown of the relevant laws and penalties:
**Relevant Laws:**
* **Revised Penal Code (RPC):**
* **Kidnapping and Serious Illegal Detention (RPC Article 267):** This is the primary law that applies to most kidnapping scenarios. It imposes penalties ranging from **reclusion perpetua (life imprisonment) to reclusion temporal maximum (up to 20 years imprisonment)** depending on the circumstances. Aggravating circumstances, such as the victim being a minor or the kidnapping resulting in serious physical harm, can lead to a harsher sentence.
* **Illegal Detention (RPC Article 268):** This applies if a person is deprived of liberty for a shorter period without any legitimate reason. Penalties are generally lighter than kidnapping.
**Factors Affecting Penalty (RPC Article 267):**
* **Duration of captivity**
* **Age, gender, or health condition of the victim**
* **Whether ransom was demanded**
* **Whether the victim was subjected to violence or harm**
* **If the crime resulted in death**
**Public Place Factor:**
The fact that the kidnapping occurred in a public place might not directly affect the penalty itself but can be considered as an aggravating circumstance. This means it could potentially increase the sentence due to the brazenness and risk the act posed to the public. **Additional Laws:**
* **Republic Act No. 7610 or the Special Protection of Children Against Abuse, Exploitation and Cruelty Act:** This law provides additional protection for minors who are victims of kidnapping or abduction.
**Importance of Reporting:**
If you witness a kidnapping or abduction in progress, immediately report it to the authorities. Every minute counts in these situations, and a prompt response can significantly increase the chances of a safe recovery for the victim. **Remember:**
This is a simplified explanation. For specific legal advice or if you need help with a kidnapping case, consult a qualified lawyer immediately.</t>
  </si>
  <si>
    <t>How is the crime of public defamation or spreading false information regulated under Philippine law?</t>
  </si>
  <si>
    <t>The Philippines does not have a single law specifically addressing the crime of "public defamation" or "spreading false information." However, there are existing legal mechanisms to address these issues:
**1. Libel Laws (Revised Penal Code):**
* **Article 355 (Libel):** This penalizes the publication of a defamatory statement that attacks a person's reputation. There are distinctions between libel ("written defamation") and slander ("spoken defamation"), but both can fall under this article if the statement is communicated to a third party.
* **Elements of Libel:**
* The statement is defamatory (damages the reputation of the person).
* The statement is identified with the person (clearly refers to a specific individual).
* The statement is communicated to a third party.
* The publication is malicious (intent to harm the reputation).
**2. Civil Law Remedies:**
* **File a Complaint for Damages:** A person who is defamed can file a civil case against the person who spread the false information. This can result in an award of monetary damages to compensate for the harm caused to the reputation.
**3. Right of Reply (RA No. 7706):**
* This law grants individuals the right to reply to defamatory statements published in print media or broadcast. The reply should be printed or broadcasted for free in a similar space and prominence as the original defamatory statement.
**Challenges:**
* **Truth as a Defense:** The truth of the statement can be a defense against a libel case. This can make it difficult to win a case if the information being spread is partly true or based on a genuine belief in its truthfulness.
* **Balancing Freedom of Speech:** Philippine law recognizes freedom of speech as a fundamental right. Striking a balance between protecting reputations and allowing for free expression can be complex.
**Spreading False Information:**
While there's no specific law against simply spreading false information, there might be consequences depending on the context:
* **If the information is defamatory:** It can fall under libel laws.
* **If the information incites violence or hatred:** It might be prosecuted under other laws like inciting to sedition (RPC Article 146). * **If the information is related to a specific crime:** There might be specific laws addressing the spread of misinformation about that crime (e.g., fake news related to terrorism).
**Fake News and Social Media:**
While not a law, there have been legislative proposals for an Anti-Fake News Law. Currently, there are efforts to address fake news through social media platform regulations.
**Important to Remember:**
* These are simplified explanations. For specific legal advice on defamation or spreading false information, consult a qualified lawyer.
* Be mindful of what information you share online and verify its credibility before spreading it further.</t>
  </si>
  <si>
    <t>What legal provisions govern the unauthorized use or occupation of public transportation facilities?</t>
  </si>
  <si>
    <t>In the Philippines, several laws and regulations address the unauthorized use or occupation of public transportation facilities. Here's a breakdown of the key ones:
**National Laws:**
* **Revised Penal Code (RPC):**
* **Trespassing (RPC Article 143):** This applies if someone enters a public transportation facility without permission and refuses to leave upon demand.
* **Obstruction of Justice (RPC Article 151):** This can be applicable if someone's unauthorized occupation hinders the lawful operation of the facility or disrupts public order.
**Local Government Code (RA No. 7160):**
* **Section 17: Powers, Duties, and Functions of LGUs:** Grants authority to local government units (LGUs) to regulate the use of public facilities and impose penalties for violations. This can include specific ordinances addressing unauthorized use of public transportation facilities.
**Department of Transportation (DOTr) Regulations:**
* The DOTr issues regulations for different public transportation sectors (e.g., buses, jeepneys, trains). These regulations may specify rules on passenger conduct and unauthorized access to restricted areas. **Examples of Unauthorized Use:**
* Using a public transportation facility for purposes other than passenger travel (e.g., sleeping, storing goods).
* Blocking designated walkways or entrances/exits.
* Entering restricted areas within the facility (e.g., train operator cabins).
**Penalties:**
The specific penalty will depend on the nature of the violation and the applicable law or regulation. It can range from fines or confiscation of belongings to arrest and detention depending on the severity of the offense.
**Additional Considerations:**
* Specific public transportation authorities might have their own house rules addressing unauthorized use within their jurisdiction.
* In some cases, if the unauthorized use involves damaging public property, additional charges like vandalism (RPC Article 355) might apply.
**Remember:**
This is a simplified explanation. For specific details or legal advice on a particular situation, consult a qualified lawyer or inquire with the relevant public transportation authority.</t>
  </si>
  <si>
    <t>How does the law address incidents of street-level stalking or harassment in public spaces?</t>
  </si>
  <si>
    <t>Philippine law doesn't have a single, specific law solely for street-level stalking or harassment. However, several existing laws can be used to address such situations, depending on the nature and severity of the stalking or harassment:
**Revised Penal Code (RPC):**
* **Acts of Lasciviousness (RPC Article 335):** This applies to indecent behavior towards another person in a public place. This could be gross or offensive public displays of affection, lewd remarks, or unwanted touching. * **Alarms and Scandals (RPC Articles 150-153):** This covers acts that cause alarm or scandal to the public. Stalking behavior that creates fear or harassment can potentially fall under this.
* **Threats and Coercion (RPC Articles 148-153):** If the stalking involves repeated threats or intimidation, these provisions can be used.
**Special Laws:**
* **Safe Spaces Act (RA No. 11353):** This law prohibits all forms of sexual harassment, including unwanted comments, gestures, or advances, in public spaces. While not directly addressing stalking, it can be applied if the harassment has a sexual nature.
* **Anti-Violence Against Women and Children Act (RA No. 9262):** This law offers broader protection against violence towards women and children. Stalking that results in physical or emotional harm can be prosecuted under this law.
**Challenges:**
* **Proof of Intent:** It can be challenging to prove the stalker's intent to harass or intimidate the victim.
* **Severity of the Behavior:** The specific actions of the stalker will determine which law applies. Minor incidents might be difficult to prosecute.
**Importance of Reporting:**
If you are being stalked or harassed in a public space, report it to the authorities immediately. This can be done through the police or barangay officials (local community leaders). **Additionally:**
* Documenting the stalking behavior (e.g., keeping a log of incidents, photos, or videos) can strengthen your case.
* Seeking legal advice can help you understand your rights and explore potential legal remedies, such as restraining orders.
**Remember:**
This is a simplified explanation. For specific legal advice on a particular situation, consult a qualified lawyer. By reporting and taking action, you can help ensure your safety and hold the perpetrator accountable.</t>
  </si>
  <si>
    <t>What penalties are imposed for engaging in the unauthorized sale or distribution of food on the streets?</t>
  </si>
  <si>
    <t>In the Philippines, the penalties for engaging in the unauthorized sale or distribution of food on the streets can vary depending on several factors. Here's a breakdown of the key points:
**No Single Law:** There isn't a single national law that specifically prohibits street vending. Regulations come from a combination of sources:
* **Local Government Code (RA No. 7160):**
* **Section 17:** Grants authority to **Local Government Units (LGUs)** to regulate business activities within their jurisdiction. This includes **street vending** through ordinances. These ordinances may specify designated vending areas, product restrictions, and permit requirements.
* **Batas Pambansa Blg. 881 or The Price Tag Law:**
* **Section 1:** Requires all sellers to display the price tag of their products. This applies to both authorized and unauthorized vendors.
* **Specific Ordinances:** Many cities and municipalities have their own ordinances specifically regulating street vendors. These ordinances will outline the specific penalties for non-compliance. Penalties can include:
* Fines
* Confiscation of goods
* Arrest (in rare cases)
**Factors Affecting Penalties:**
* **Severity of the Violation:** Selling without a permit might have a lower penalty compared to selling unsafe or unhygienic food.
* **Location:** The specific location of the vending activity (e.g., blocking a pedestrian walkway) can influence the penalty.
* **Prior Offenses:** Repeat offenders might face harsher penalties.
**Recommendations:**
* **Check with Local Authorities:** The best way to determine the specific penalties and regulations for street vending in your area is to check with your local barangay (community) or city government office.
* **Consider Obtaining a Permit:** If you're interested in street vending, explore the possibility of acquiring a permit. This will ensure you operate legally and avoid penalties.
**Important to Remember:**
* Street vending can be a source of livelihood for many Filipinos. However, regulations exist to ensure public safety, hygiene, and order. * Understanding and complying with local ordinances is crucial for street vendors to avoid penalties.
This is a simplified explanation. For specific details or legal advice, consult with a qualified lawyer or your local government office.</t>
  </si>
  <si>
    <t>How is the offense of public trespassing or invasion of private property addressed under Philippine law?</t>
  </si>
  <si>
    <t>Philippine law takes property rights seriously and trespassing is an offense. Here's how Philippine law addresses public trespassing or invasion of private property:
**Revised Penal Code (RPC):**
* **Trespassing (RPC Article 143):** This is the primary law that applies to trespassing. It penalizes anyone who enters a property belonging to another person without permission and refuses to leave upon demand. The property can be a house, land, building, or even a fenced enclosure.
**Elements of Trespassing:**
* **Entry:** The offender must physically enter the property.
* **Without permission:** The offender doesn't have the owner's consent to be there.
* **Refusal to leave:** The offender remains on the property after being asked to leave by the owner or a legitimate representative.
**Penalties:**
The penalty for trespassing depends on the circumstances:
* **Slight Trespass:** If the trespass is minor and no damage is caused, a fine might be imposed.
* **Grave Trespass:** If the trespass involves violence, intimidation, or poses a threat to the owner or property, the penalty can be imprisonment.
**RPC Articles with Specific Applications:**
* **Trespassing with a Warning (RPC Article 144):** This applies if the trespasser has been previously warned by the owner not to enter the property.
* **Trespassing by Entering a Dwelling House (RPC Article 145):** This specifies a harsher penalty for trespassing into a residence.
**Other Laws:**
* **Special Laws:** Some special laws might apply depending on the type of property trespassed upon. For example, trespassing on military bases might have additional penalties.
* **Civil Law Remedies:** The property owner can also file a civil case against the trespasser for any damages caused. **Importance of Posting Signage:**
* While not mandatory, posting "No Trespassing" signs on private property can strengthen the case against trespassers.
**Remember:**
This is a simplified explanation. For specific legal advice on a trespassing incident, consult a qualified lawyer. Here are some additional points to consider:
* **Right of Ejection:** The owner has the right to peacefully eject a trespasser from their property. However, using excessive force is not allowed.
* **Consent can be Implied:** In some cases, permission to enter a property can be implied. For example, entering a store constitutes implied consent to be on the business premises.
Understanding these points can help property owners protect their rights and ensure trespassers are held accountable.</t>
  </si>
  <si>
    <t>What legal measures exist to combat street-level environmental offenses, such as air pollution?</t>
  </si>
  <si>
    <t>The Philippines has several legal measures in place to combat street-level environmental offenses, particularly air pollution. Here's a breakdown of the key measures:
**Laws and Regulations:**
* **Clean Air Act (RA No. 8749):** This is the primary law governing air quality in the Philippines. It sets emission standards for various sources, including mobile sources (vehicles) and stationary sources (factories). The law empowers the Department of Environment and Natural Resources (DENR) to enforce these standards.
* **Ecological Solid Waste Management Act (RA No. 9003):** While focused on solid waste management, this law indirectly helps with air quality by regulating the burning of waste, a major contributor to air pollution.
* **Clean Water Act (RA No. 3931):** This law, though focused on water quality, also regulates air emissions from some industrial facilities that can impact air quality.
* **DENR Administrative Orders:** The DENR issues specific regulations for various aspects of air quality management. These might include:
* Emission standards for specific types of vehicles (e.g., jeepneys, motorcycles)
* Smoke opacity limits for vehicles
* Restrictions on open burning
**Enforcement:**
* **DENR and Local Government Units (LGUs):** The DENR, along with LGUs, are responsible for enforcing air quality regulations. This can involve:
* Conducting roadside emissions inspections for vehicles
* Monitoring industrial facilities
* Apprehending violators
**Examples of Street-Level Air Pollution Offenses:**
* Smoke belching vehicles exceeding emission standards.
* Open burning of waste materials (plastic, leaves, etc.)
* Construction activities generating excessive dust.
**Penalties:**
The penalties for air pollution offenses can vary depending on the severity of the violation and the specific regulation breached. They can include:
* Fines * Vehicle impounding
* Closure of facilities for repeat offenders
**Challenges:**
* **Limited Resources:** Enforcing air quality regulations effectively requires sufficient manpower and equipment, which can be a challenge for some LGUs.
* **Public Awareness:** Raising public awareness about the importance of clean air and encouraging responsible behavior is crucial for long-term solutions.
**What you can do:**
* Report smoke-belching vehicles or open burning incidents to the DENR or your local authorities.
* Choose cleaner modes of transportation like walking, biking, or using public transport whenever possible.
* Properly dispose of waste to avoid open burning.
**By working together, Filipinos can help combat street-level air pollution and create a healthier environment for everyone.**
**Additional Points:**
* **Citizen Suits:** Philippine law allows citizens to file legal suits against government agencies or private entities for violations of environmental laws.
* **Clean Air Advocacy Groups:** Several advocacy groups work on air quality issues in the Philippines. You can support their efforts or get involved in raising awareness.
Remember, this is a simplified explanation. For specific legal advice or information on reporting environmental offenses, consult the DENR or a qualified lawyer.</t>
  </si>
  <si>
    <t>Under what circumstances can a person be charged with public conspiracy to commit a felony on the streets?</t>
  </si>
  <si>
    <t>Philippine law doesn't have a specific crime called "public conspiracy to commit a felony on the streets." However, there are legal concepts that can be applied to such situations:
**Conspiracy (RPC Article 8):**
This article penalizes two or more persons who agree to commit a crime and perform any act in furtherance of the said agreement. Here are the key elements for conspiracy to be punishable:
* **Two or more persons:** A lone individual planning a crime wouldn't be considered conspiracy.
* **Agreement to commit a felony:** There must be a meeting of the minds between the individuals to commit a specific serious crime (felony). * **Overt act:** Mere planning isn't enough. At least one person must take a concrete step towards carrying out the crime.
**Public Planning:**
While the location of planning isn't the primary factor, the public nature of it can be considered as evidence:
* **Intimidation:** If the public planning itself creates a sense of fear or intimidation among the public, it might be penalized under the concept of "alarms and scandals" (RPC Articles 150-153).
**Solicitation:**
* Philippine law also penalizes solicitation to commit a crime (RPC Article 18): This applies if a person induces another to commit a felony, even if the crime isn't actually committed.
**Attempted Crime:**
* If the planning progresses into taking concrete steps towards the crime (e.g., acquiring tools, identifying a target), it might be considered an attempted crime, which is also punishable (RPC Book 1, Title Four).
**Challenges in Public Planning:**
* Proving a concrete agreement and planned felony can be difficult, especially if the planning seems vague. The act must be more than just conversation.
**Importance of Reporting:**
* If you witness suspicious activity that seems like planning for a serious crime, report it to the authorities. This can help prevent the crime from happening.
**Additionally:**
* Local government units (LGUs) may have ordinances addressing loitering or suspicious behavior in public spaces.
Remember, this is a simplified explanation. For specific legal advice on a particular situation, consult a qualified lawyer.</t>
  </si>
  <si>
    <t>How does Philippine law address incidents of street-level assault or harassment based on gender or orientation?</t>
  </si>
  <si>
    <t>The Philippines has several laws and legal principles that can be applied to incidents of street-level assault or harassment based on gender or orientation, though there isn't a single, specific law against it. Here's a breakdown of the relevant legal measures:
**Revised Penal Code (RPC):**
* **Acts of Lasciviousness (RPC Article 335):** This applies to indecent behavior towards another person in a public place. This could be gross or offensive public displays of affection, lewd remarks, or unwanted touching, all of which can be motivated by gender or orientation.
* **Physical Assault (RPC Articles 262-267):** These articles cover various degrees of physical assault (e.g., battery, serious physical injuries). If the assault is motivated by gender or orientation, it can be considered an aggravating circumstance, potentially resulting in a harsher penalty.
* **Threats and Coercion (RPC Articles 148-153):** If the harassment involves repeated threats or intimidation based on gender or orientation, these provisions can be used.
**Special Laws:**
* **Safe Spaces Act (RA No. 11353):** This law prohibits all forms of sexual harassment, including unwanted comments, gestures, or advances, in public spaces. While not directly addressing orientation-based harassment, it protects against behavior motivated by gender identity or expression.
* **Anti-Violence Against Women and Children Act (RA No. 9262):** This law offers broader protection against violence towards women and children. Harassment or assault motivated by gender can be prosecuted under this law. While not explicitly mentioning sexual orientation, its focus on gender-based violence can be applied in some situations.
**Challenges:**
* **Proof of Motive:** It can be challenging to prove that the assault or harassment was solely motivated by gender or orientation. * **Underreporting:** Many incidents go unreported due to fear, shame, or lack of awareness of available legal options.
**Importance of Reporting:**
If you experience street-level assault or harassment based on your gender or orientation, report it to the authorities immediately. This can be done through the police or barangay officials (local community leaders). Here are some resources that can help:
* **Philippine National Police (PNP):** [https://pnp.gov.ph/](https://pnp.gov.ph/) (website) or 117 hotline
* **Department of Justice (DOJ) Women's Desk:** [https://www.doj.gov.ph/gender_and_development.html](https://www.doj.gov.ph/gender_and_development.html) (website)
**Additionally:**
* Documenting the incident (e.g., noting the time, location, details of the perpetrator) can strengthen your case.
* Seeking legal advice can help you understand your rights and explore potential legal remedies.
* LGBT+ rights organizations can offer support and guidance through the process.
**Remember:**
This is a simplified explanation. For specific legal advice on a particular situation, consult a qualified lawyer. By reporting and taking action, you can help ensure your safety and hold the perpetrator accountable. The Philippines is constantly working towards improving the legal framework to address these issues, and your actions can contribute to a safer and more inclusive environment for everyone.</t>
  </si>
  <si>
    <t>What penalties apply for engaging in the unauthorized sale or distribution of goods with fake trademarks on the streets?</t>
  </si>
  <si>
    <t>Selling or distributing goods with fake trademarks on the streets in the Philippines is a serious offense and can result in penalties including fines, imprisonment, and confiscation of goods. Here's a breakdown of the relevant laws and potential consequences:
**Intellectual Property Code of the Philippines (RA No. 8293):**
* This is the primary law that protects trademarks. It prohibits the unauthorized use of trademarks on goods or packaging.
* **Section 155:** This section specifically deals with **trademark infringement**. Selling fake trademarked goods falls under this category.
**Penalties for Trademark Infringement:**
* **Fines:** The penalties can range from **PhP 50,000 to PhP 1 million** depending on the severity of the offense and the value of the infringed goods.
* **Imprisonment:** In some cases, imprisonment of **up to six (6) years** can be imposed, especially for repeat offenders or large-scale operations.
* **Confiscation of Goods:** The counterfeit goods themselves will be confiscated and potentially destroyed.
**Additional Considerations:**
* **Local Ordinances:** Many cities and municipalities have ordinances specifically targeting the sale of counterfeit goods. These ordinances might have additional penalties or specific procedures for apprehension.
* **Civil Lawsuits:** The trademark owner can also file a civil lawsuit against the seller for damages caused by the infringement.
* **Seriousness of the Offense:** The severity of the penalties will depend on factors like the type of trademark infringed (famous brands might have harsher penalties), the volume of fake goods being sold, and whether the seller is a repeat offender. **Importance of Reporting:**
If you encounter someone selling fake trademarked goods, you can report them to the following entities:
* **Intellectual Property Office of the Philippines (IPOPHL):** [https://www.ipophil.gov.ph/](https://www.ipophil.gov.ph/)
* **National Bureau of Investigation (NBI):** [https://www.nbi.gov.ph/](https://www.nbi.gov.ph/)
* **Local Law Enforcement Agencies:** Police or barangay officials
**Remember:**
This is a simplified explanation. For specific legal advice on a particular situation, consult a qualified lawyer. By reporting the sale of fake goods, you can help protect legitimate businesses and intellectual property rights.</t>
  </si>
  <si>
    <t>What legal provisions regulate the possession and use of prohibited substances in public spaces?</t>
  </si>
  <si>
    <t>The Philippines has strict laws regarding the possession and use of prohibited substances in public spaces. Here's a breakdown of the key legal provisions:
**Comprehensive Dangerous Drugs Act (RA No. 9165):**
This is the primary law that regulates dangerous drugs in the Philippines. It outlines the classification of illegal substances, penalties for various offenses, and government interventions related to drug control.
**Key Provisions:**
* **Section 4:** Classifies different dangerous drugs into Schedules I to V based on their dangerousness and potential for abuse.
* **Section 11:** Penalizes the **illegal possession** of dangerous drugs. Penalties range from life imprisonment to death and a hefty fine depending on the quantity and schedule of the illegal substance.
* **Section 12:** Penalizes the possession of **equipment, instruments, or paraphernalia** used for the administration, consumption, or introduction of dangerous drugs.
* **Section 15:** Penalizes the **use** of dangerous drugs in a public place. This can be penalized with imprisonment ranging from six months to four years and a fine. **Public Space Consideration:**
The fact that the possession or use of illegal drugs occurs in a public space can be considered an aggravating circumstance. This means it could potentially increase the penalty due to the public nature of the offense and the risk it poses to others.
**Additional Considerations:**
* **Minimum Indicative Quantity (MIQ):** RA 9165 specifies minimum quantities of each drug considered sufficient to presume intent to sell or distribute. Possession exceeding the MIQ can lead to harsher penalties.
* **Knowing Possession:** The law requires proof that the person knowingly possessed the illegal substance.
* **Voluntary Surrender:** The law provides for a lighter sentence for those who voluntarily surrender and undergo rehabilitation. **Importance of Reporting:**
If you suspect someone is using or possessing illegal drugs in a public space, report it to the authorities immediately. You can contact the:
* **Philippine National Police (PNP):** [https://pnp.gov.ph/](https://pnp.gov.ph/) (website) or 117 hotline
* **Philippine Drug Enforcement Agency (PDEA):** [https://pdea.gov.ph/](https://pdea.gov.ph/) (website)
**Remember:**
This is a simplified explanation. For specific legal information or if you face legal issues related to drugs, consult a qualified lawyer.</t>
  </si>
  <si>
    <t>How is the crime of public harassment or assault against law enforcement officers regulated under Philippine law?</t>
  </si>
  <si>
    <t>Public harassment or assault against law enforcement officers is considered a serious offense in the Philippines and is penalized under several laws:
1. **Revised Penal Code (RPC):**
* **Article 148 (Direct Assault):** This article penalizes any person who assaults, strikes, or uses violence against a person in authority, including law enforcement officers, while they are performing their official duties. The penalty can range from prision mayor (6 years and 1 day to 8 years imprisonment) to reclusion temporal (12 years and 1 day to 20 years imprisonment) depending on the seriousness of the assault.
* **Article 151 (Resistance and Disobedience to a Person in Authority):** This article applies when a person resists or disobeys a lawful order of a law enforcement officer while they are in the performance of their duties. The penalty can range from arresto mayor (1 month and 1 day to 6 months imprisonment) to prision correccional (6 months and 1 day to 6 years imprisonment).
2. **Special Laws:**
* **Republic Act No. 6975 (Dangerous Drugs Act):** This law imposes harsher penalties for violence against law enforcement officers enforcing anti-drug laws. Section 19 of the Act prescribes a penalty of life imprisonment to death for any person who assaults a law enforcement officer with intent to kill while enforcing provisions of the Act.
**Philippine Constitution:**
The Philippine Constitution (Article XIII, Section 5) guarantees the right to security of person. Public harassment or assault against law enforcement officers undermines their ability to maintain peace and order, thus violating this constitutional right.
**Important to Note:**
* These are just some of the relevant laws, and the specific charges and penalties will depend on the circumstances of the case.
* If you are facing accusations of public harassment or assault against a law enforcement officer, it is crucial to consult with a lawyer to understand your rights and potential defenses.</t>
  </si>
  <si>
    <t>What penalties are imposed for engaging in street-level copyright infringement or intellectual property violations?</t>
  </si>
  <si>
    <t>The Philippines has several laws that address copyright infringement and intellectual property (IP) violations, including street-level offenses. Here's a breakdown of the relevant laws and potential penalties:
**1. Republic Act No. 8293 (Intellectual Property Code of the Philippines):**
This is the primary law governing intellectual property rights in the Philippines. It defines various forms of IP infringement, including copyright infringement, and outlines corresponding penalties. Here are some key points:
* **Section 21.** This section deals with copyright infringement. It prohibits unauthorized reproduction, distribution, sale, or importation of copyrighted works.
* **Section 22.** This section prescribes penalties for copyright infringement. These can range from:
* **Imprisonment:** One (1) month to three (3) years
* **Fine:** Fifty thousand pesos (PhP 50,000) to one million pesos (PhP 1,000,000)
* **Section 229.** This section specifically addresses infringement for commercial purposes. It imposes harsher penalties, including:
* **Imprisonment:** Three (3) years and one (1) day to six (6) years
* **Fine:** One million pesos (PhP 1,000,000) to ten million pesos (PhP 10,000,000)
**2. Special Laws:**
* **Republic Act No. 9239 (Optical Media Act of 2003):** This law focuses on copyright infringement related to optical media, such as CDs and DVDs. It imposes additional penalties for unauthorized reproduction and distribution of copyrighted content on these formats.
**3. Administrative Sanctions:**
The Intellectual Property Office (IPO) of the Philippines has the authority to impose administrative sanctions for minor IP violations. These sanctions may include:
* Cease and desist orders
* Confiscation of infringing materials
* Fines
**Important to Note:**
* The specific penalties for street-level IP violations will depend on the nature of the infringed work, the scale of the infringement (commercial vs. personal use), and any prior offenses.
* Law enforcement agencies and the IPO work together to apprehend and penalize individuals engaging in street-level IP violations.
**Further Resources:**
* Intellectual Property Office of the Philippines: [https://www.ipophil.gov.ph/](https://www.ipophil.gov.ph/)
Remember, this is just a general overview. If you have a specific concern about copyright infringement or IP violations, it's recommended to consult with an IP lawyer for more specific advice.</t>
  </si>
  <si>
    <t>How does the law address the offense of public vagrancy or homelessness in public areas?</t>
  </si>
  <si>
    <t>The Philippines does not have a specific law that criminalizes public vagrancy or homelessness. However, there are several laws and ordinances that can be used to address certain behaviors sometimes associated with homelessness, though these can be controversial. Here's a breakdown:
* **Revised Penal Code (RPC):** * **Article 202 (Mendicancy):** This article penalizes begging, especially if done aggressively or in a threatening manner. However, the act of begging itself, particularly by the genuinely poor, is a grey area and may not always be enforced.
* **Local Government Code (LGC):**
* **Section 148 (Power to Enact Ordinances):** This empowers local government units (LGUs) to enact ordinances that promote peace, order, safety, and health. LGUs have passed ordinances addressing public nuisances, which can encompass certain behaviors associated with homelessness, such as blocking pedestrian walkways or sanitation issues. However, these ordinances must be fair and not solely target homeless individuals. **Issues with Anti-Vagrancy Measures:**
* **Vagueness:** Laws and ordinances that are too broad can be unfairly applied, targeting homeless people for simply existing in public spaces. * **Discrimination:** These measures can disproportionately affect the homeless population, raising concerns about unequal treatment under the law.
**The Philippine Constitution:**
* **Article XIII, Section 11:** This guarantees the right to life, liberty, and security of person. While not absolute, the government has a responsibility to uphold this right, even for homeless individuals.
**The Trend Towards Social Programs:**
There is a growing recognition that criminalizing homelessness is ineffective and creates further hardship. The government, along with NGOs, are increasingly focusing on social programs that provide shelter, livelihood opportunities, and support services to help people transition out of homelessness.
**Conclusion:**
The Philippines does not have a law against public vagrancy, but certain ordinances and the RPC can be used to address specific behaviors associated with homelessness. However, these measures should be balanced against the rights of the homeless and the need for social support programs.</t>
  </si>
  <si>
    <t>What legal measures exist to combat street-level cyberbullying or online harassment in public spaces?</t>
  </si>
  <si>
    <t>The Philippines doesn't have a specific law directly addressing street-level cyberbullying or online harassment in public spaces. However, there are existing laws that can be used to address some aspects of this issue:
**1. Republic Act No. 10175 (Cybercrime Prevention Act of 2012):**
This law focuses on various online crimes, including some that can be relevant to street-level cyberbullying:
* **Section 4 (c) (4) (Cyberbullying):** This section penalizes acts that "consistently directs abusive or threatening language against a person or group of persons, anonymously or not, using electronic communication facilities." However, the law requires repeated incidents for it to be considered cyberbullying.
* **Section 5 (Libel):** This section addresses online libel, which can be applicable if the cyberbullying involves spreading defamatory statements about a person. The penalty can range from imprisonment of six (6) months to six (6) years and a fine of PhP 10,000 to PhP 1,000,000.
**2. Republic Act No. 11313 (Safe Spaces Act of 2019):**
This law, while primarily focused on gender-based sexual harassment, offers some potential applications:
* **Section 2 (h):** Defines "online sexual harassment" which could be interpreted broadly to encompass certain forms of cyberbullying with a sexual nature.
**Challenges and Considerations:**
* **Gathering Evidence:** In street-level cyberbullying, evidence like screenshots or recordings might be difficult to obtain, especially if the harassment happens anonymously.
* **Intent and Context:** The Cybercrime Prevention Act requires proof of repeated incidents. Determining intent and context can be tricky, especially in public spaces where banter might be misinterpreted.
**Alternative Solutions:**
* **Reporting Mechanisms:** Schools, workplaces, and even public establishments can establish reporting mechanisms for cyberbullying incidents occurring within their premises or using their Wi-Fi.
* **Cybersecurity Awareness:** Educational campaigns can promote responsible online behavior and equip citizens to identify and respond to cyberbullying effectively.
**Conclusion:**
While there's no single law tackling street-level cyberbullying in public spaces, existing laws on cybercrime and harassment can offer some legal recourse. However, the focus should also be on preventive measures like clear reporting mechanisms and promoting responsible online behavior.</t>
  </si>
  <si>
    <t>How is the crime of public indecency or lewd behavior addressed under Philippine law?</t>
  </si>
  <si>
    <t>Public indecency or lewd behavior in the Philippines falls under the concept of "offenses against decency and good customs" which are addressed by two main provisions in the Revised Penal Code (RPC):
* **Article 200 (Grave Scandal):** This article applies when an act is committed in a public place and is highly scandalous as to offend against decency and good customs. Here's what it entails:
* **The Act:** This can be a physical act (like public sexual activity) or a loud, obscene noise.
* **Public Place:** This includes parks, malls, movie houses, and essentially any place where people normally congregate. The presence of a third person witnessing the act is not always required. * **Scandalous Nature:** The act must be highly offensive to common decency and morality. For example, passionate kissing in public might not qualify, but public sexual intercourse certainly would.
* **Article 201 (Immoral Doctrines, Obscene Publications and Exhibitions and Indecent Shows):** This article focuses on the content itself, such as obscene publications or exhibitions. It applies to:
* **Exposure of Private Parts:** This can include public nudity or indecent exposure of genitals.
* **Obscene Materials:** This covers the distribution or exhibition of materials considered highly offensive to public morals. **Important to Remember:**
* The specific act and the context will determine which article applies, or if both might be relevant.
* These are criminal offenses, and penalties can vary depending on the specific act and the article used. Generally, these range from fines to imprisonment.
* The Philippine Constitution (Article XIII, Section 5) guarantees the right to security of person. Courts will balance this right with the need to uphold public decency and morals when deciding cases.
**Additional Considerations:**
* Local government units (LGUs) may also have ordinances that address public indecency or lewd behavior within their jurisdictions. These ordinances should not contradict national laws.
If you have concerns about a specific incident or potential violation, it's recommended to consult with a lawyer for a more specific assessment based on the details of the situation.</t>
  </si>
  <si>
    <t>What penalties apply for engaging in the unauthorized sale or distribution of counterfeit products on the streets?</t>
  </si>
  <si>
    <t>The sale or distribution of counterfeit products on the streets in the Philippines is a violation of intellectual property (IP) rights and can lead to several penalties under different laws. Here's a breakdown of the key points:
**Main Law:**
* **Republic Act No. 8293 (Intellectual Property Code of the Philippines):**
* **Section 21:** Defines copyright infringement, which includes unauthorized reproduction, distribution, sale, or importation of copyrighted works (like logos, designs) used on counterfeit products.
* **Section 22:** Prescribes penalties for copyright infringement:
* **Imprisonment:** One (1) month to three (3) years
* **Fine:** Fifty thousand pesos (PhP 50,000) to one million pesos (PhP 1,000,000)
* **Section 229:** Addresses infringement for commercial purposes (like selling on the streets):
* **Imprisonment:** Three (3) years and one (1) day to six (6) years
* **Fine:** One million pesos (PhP 1,000,000) to ten million pesos (PhP 10,000,000)
**Additional Penalties:**
* **Confiscation:** Law enforcement agencies can confiscate counterfeit products.
* **Administrative Sanctions:** The Intellectual Property Office (IPO) can impose administrative sanctions for minor IP violations, including:
* Cease and desist orders * Fines
**Important Considerations:**
* The specific penalties will depend on the type of counterfeit product, the scale of the operation (individual seller vs. large network), and any prior offenses.
* Collaboration between law enforcement and the IPO is crucial in apprehending and penalizing individuals involved in street-level counterfeiting.
**Further Resources:**
* Intellectual Property Office of the Philippines: [https://www.ipophil.gov.ph/](https://www.ipophil.gov.ph/)
**Remember:** This is a general overview. Consulting with an IP lawyer is recommended for specific advice on your situation.</t>
  </si>
  <si>
    <t>Under what circumstances can a person be charged with public conspiracy to commit terrorism on the streets?</t>
  </si>
  <si>
    <t>Philippine law takes public conspiracy to commit terrorism very seriously. Here's what you need to know:
* **Republic Act No. 9516 (Terrorism Financing Prevention and Suppression Act of 2002):** This is the primary law that defines and penalizes terrorism in the Philippines.
* **Section 4 (Conspiracy to Commit Terrorism):** This section specifically addresses public conspiracy:
* **Two or More Persons:** There must be an agreement between two or more people to plan or carry out a terrorist act.
* **Terrorist Act:** The act must be intended to sow terror among the civilian population, coerce the government, or intimidate the public. Examples include bombings, hijackings, mass shootings, and the use of chemical or biological weapons.
* **Overt Act:** There must be a concrete step taken in furtherance of the conspiracy. Mere discussion or planning might not be enough, but actions like acquiring weapons or scouting locations could be considered overt acts.
* **Public Nature:** The key element for "public conspiracy" is that the planning or agreement to commit terrorism happens openly, without attempting to hide it from the authorities. **Important Points:**
* The penalties for public conspiracy to commit terrorism are severe, and can include life imprisonment without parole.
* Law enforcement agencies have broad powers to investigate suspected terrorist activities, including surveillance and wiretapping under specific legal guidelines.
* **Important to Note:** **Mere suspicion or dissent is not terrorism.** The law requires a concrete plan and the intent to cause widespread terror.
**If you suspect public conspiracy to commit terrorism:**
* **Report it immediately** to the nearest police station or authorities. You can also report anonymously through terrorism hotlines.
* **Do not confront** the suspected individuals yourself.
Remember, preventing terrorism is a collective effort. By being aware of the law and reporting suspicious activities, you can help keep your community safe.</t>
  </si>
  <si>
    <t>How does Philippine law address incidents of street-level assault or harassment based on race or ethnicity?</t>
  </si>
  <si>
    <t>The Philippines does not have a specific law that directly addresses street-level assault or harassment solely based on race or ethnicity. However, there are existing laws that can be used to address these issues, though with some limitations. Here's a breakdown:
* **Revised Penal Code (RPC):**
* **Article 148 (Direct Assault):** This applies if a person is assaulted due to their race or ethnicity. The penalty can range from prision mayor (6 years and 1 day to 8 years imprisonment) to reclusion temporal (12 years and 1 day to 20 years imprisonment) depending on the seriousness of the assault.
* **Article 151 (Resistance and Disobedience to a Person in Authority):** This can be relevant if the victim tries to defend themselves and is seen as resisting the perpetrator. However, the act of self-defense can be used as a legal justification.
* **Anti-Discrimination Laws:**
* While there's no law specifically targeting racial or ethnic discrimination, Republic Act No. 11313 (Safe Spaces Act) prohibits sexual harassment motivated by bias, which could be interpreted broadly in some cases. However, the focus here is primarily on sexual harassment.
**Challenges and Limitations:**
* **Intent vs. Motive:** Proving racial or ethnic motive in an assault can be difficult. The law focuses on the act itself (assault), not necessarily the reason behind it.
* **Lack of Specific Protection:** The absence of a law directly addressing racial/ethnic harassment leaves some gaps in protection. **What Can Be Done:**
* **Report the Incident:** File a police report despite the limitations. This creates a record of the incident and helps build a case against hate crimes.
* **Seek Legal Help:** A lawyer can advise on the best course of action based on the specific details of the assault or harassment.
* **Advocacy:** Pushing for legislation that specifically addresses racial and ethnic discrimination can provide stronger legal protection in the future.
**The Philippine Constitution:**
* **Article XIII, Section 1:** This guarantees the right to equal protection of the laws, which means everyone should be treated equally regardless of race or ethnicity. This principle can be used to argue against racially motivated assaults.
**Conclusion:**
While there's no single law tackling street-level assault or harassment based solely on race or ethnicity, existing laws on assault and the right to equal protection can offer some recourse. However, advocating for a specific anti-discrimination law and proper reporting of incidents are crucial steps towards stronger legal protection.</t>
  </si>
  <si>
    <t>What legal provisions regulate the unauthorized use or occupation of public parks and recreational areas?</t>
  </si>
  <si>
    <t>Philippine law addresses the unauthorized use or occupation of public parks and recreational areas through a combination of national legislation and local government ordinances. Here's a breakdown of the key points:
**National Laws:**
* **Revised Penal Code (RPC):**
* **Article 318 (Usurpation of Public Functions):** This applies if someone claims authority or control over a public park or recreational area without legal permission. * **Article 319 (Illegal Dispossession):** This applies if someone prevents the rightful authority from using or managing a public park or recreational area.
It's important to note that these articles are quite broad and may not directly address every instance of unauthorized use.
* **Republic Act No. 7160 (Local Government Code of the Philippines):**
* **Section 148 (Power to Enact Ordinances):** This empowers local government units (LGUs) to enact ordinances that promote peace, order, safety, and health. This includes the authority to regulate the use of public parks and recreational areas within their jurisdiction.
**Local Government Ordinances:**
LGUs often have specific ordinances detailing permissible and prohibited activities in public parks. These ordinances may address issues like:
* Camping or overnight stays without permits
* Littering or improper waste disposal
* Damage to park facilities
* Engaging in commercial activities without authorization
* Disorderly conduct or disturbing the peace
**Penalties:**
The penalties for unauthorized use or occupation will depend on the specific violation and the applicable law or ordinance. These can range from fines to imprisonment in extreme cases.
**Important Considerations:**
* The specific details of the unauthorized use will determine the appropriate legal provision to apply.
* Cooperation with park authorities is crucial to avoid any legal issues.
* If unsure about permissible activities in a specific park, it's best to inquire with the park administration or check for posted guidelines.
**Remember:** Public parks and recreational areas are for everyone's enjoyment. Using them responsibly and following the regulations ensures a safe and enjoyable experience for all.</t>
  </si>
  <si>
    <t>What penalties are imposed for engaging in street-level tax evasion or fraudulent financial activities in public spaces?</t>
  </si>
  <si>
    <t>Philippine law takes tax evasion and fraudulent financial activities seriously, with penalties varying depending on the specific offense and the amount involved. While street-level activities might involve smaller sums, they are still illegal. Here's a breakdown of the relevant laws and potential consequences:
**Tax Evasion:**
* **Tax Code (Republic Act No. 8424):** * **Section 255 (Tax Evasion Through False or Fraudulent Statements):** This applies if someone deliberately understates their income or falsifies information on tax returns. Penalties can include:
* Imprisonment: Two (2) years and one (1) day to six (6) years
* Surcharge: 50% of the tax evaded
* Interest: Interest on the unpaid tax from the due date
* **Local Government Code (LGC):**
* **Section 148 (Power to Enact Ordinances):** LGUs can impose penalties for non-payment of local taxes, which can be relevant for street-level vendors who fail to pay business permits or other local taxes. These penalties are usually fines.
**Fraudulent Financial Activities:**
* **Revised Penal Code (RPC):**
* **Article 315 (Estafa):** This is the general law on fraud, which can apply to various fraudulent financial activities, even on a street level. Here's how it applies:
* **Deceit:** The perpetrator must employ deception to trick the victim.
* **Injury:** The victim suffers financial loss or damage.
* **Illegal Gain:** The perpetrator gains something through the fraud.
* Penalties for Estafa depend on the amount involved:
* Culpable by reason of slight neglect (less than PhP 5,000): Imprisonment of one (1) to three (3) months
* Culpable by reason of simple negligence (PhP 5,000 to PhP 18,000): Imprisonment of six (6) months to one (1) year
* Estafa (more than PhP 18,000): Prision correccional (6 months and 1 day to 6 years imprisonment) to reclusion temporal (12 years and 1 day to 20 years imprisonment)
* **Special Laws:**
* There might be specific laws dealing with fraudulent financial activities depending on the nature of the crime. For example, using fake currency can fall under the Central Bank Act.
**Important Considerations:**
* The specific penalties will depend on the exact nature of the tax evasion or fraudulent activity, and the amount of money involved.
* Even seemingly minor street-level offenses can have legal consequences.
* If you suspect tax evasion or fraudulent activity, you can report it to the Bureau of Internal Revenue (BIR) or the Philippine National Police (PNP).
**Remember:** Paying taxes and conducting financial activities honestly is crucial. If you are unsure about your tax obligations or suspect fraudulent activity, consulting with a tax professional or lawyer is recommended.</t>
  </si>
  <si>
    <t>How is the offense of public extortion or blackmail addressed under Philippine law?</t>
  </si>
  <si>
    <t>Public extortion or blackmail is a serious offense in the Philippines and is penalized under the Revised Penal Code (RPC). Here's a breakdown of the relevant law and its application:
* **Article 283 (Light Threats):** This is the primary law that applies to public extortion or blackmail. Here are the key elements of the crime under Article 283:
* **Threat:** The perpetrator must threaten to inflict unlawful injury (physical harm, damage to property, or reputation) on the victim or someone close to them. * **Demand:** The perpetrator must demand money, property, or another unlawful benefit from the victim in exchange for not carrying out the threat. * **Public Nature:** The threat must be made in a public manner, meaning it's done in a way that could be overheard or witnessed by others. This distinguishes it from private threats, which fall under a different article (Article 148).
**Penalties:**
The penalty for public extortion or blackmail under Article 283 is arresto mayor (1 month and 1 day to 6 months imprisonment) to prision correccional (6 months and 1 day to 6 years imprisonment). The specific penalty will depend on the severity of the threat and the judge's discretion.
**Important Considerations:**
* **Attempt vs. Completion:** Even if the perpetrator doesn't obtain anything from the victim, the attempt to commit public extortion or blackmail is still a crime.
* **Evidence:** Gathering evidence of the threat and the demand is crucial for a successful prosecution. This could include recordings, witness testimonies, or text messages.
* **Other Laws:** Depending on the nature of the threat, other laws like grave threats (Article 282) or cybercrime (Republic Act No. 10175) might also be applicable.
**How to Report Public Extortion or Blackmail:**
* File a police report at the nearest police station. * Cooperate with law enforcement in gathering evidence.
* Consider seeking legal assistance from a lawyer who can advise you on your rights and options.
**Remember:** Public extortion or blackmail is a crime. If you are a victim, do not hesitate to report it to the authorities.</t>
  </si>
  <si>
    <t>What legal measures exist to combat street-level environmental offenses, such as water pollution?</t>
  </si>
  <si>
    <t>The Philippines has several legal measures to address street-level environmental offenses, particularly those related to water pollution. Here's a breakdown of the key laws and how they can be applied:
**National Laws:**
* **Philippine Water Code (Presidential Decree No. 1067):** This is the primary law governing water resources management in the Philippines.
* **Section 7 (Sewage and Industrial Waste Disposal):** Prohibits the discharge of untreated sewage or industrial waste into bodies of water. This can apply to street-level offenses like washing vehicles with soap near waterways or dumping garbage into drains.
* **Section 8 (Littering):** Prohibits littering, which can pollute waterways when litter ends up in rivers, streams, or drainage systems.
* **Environmental Management and Protection Act (EMB Law - Republic Act No. 8142):** This law sets the framework for environmental protection and pollution control.
* **Section 21 (Littering):** Similar to the Water Code, this section prohibits littering and waste disposal that can pollute water sources.
* **Section 22 (Sewage and Industrial Waste Disposal):** مشابه (mutabahith) [similar] to the Water Code, this section prohibits discharging untreated sewage or industrial waste into bodies of water. **Important Note:** The EMB Law has a broader scope than the Water Code and encompasses various environmental offenses.
**Local Government Code (LGC):**
* **Section 148 (Power to Enact Ordinances):** LGUs can enact ordinances that promote environmental protection. These ordinances can address specific street-level offenses relevant to their locality, such as:
* Regulating the disposal of household waste
* Prohibiting washing vehicles with soap near waterways
* Penalizing improper waste disposal in drainage systems
**Enforcement:**
* The Department of Environment and Natural Resources (DENR) is the primary agency responsible for enforcing environmental laws.
* LGUs also have enforcement powers through their Environmental Offices or Barangay Eco-marshals.
**Penalties:**
* Penalties for violations of these laws and ordinances can vary depending on the specific offense and the amount of damage caused. These can range from fines to imprisonment in extreme cases.
**Challenges and Considerations:**
* **Enforcement:** Effective enforcement is crucial, so reporting environmental violations to the proper authorities is important.
* **Education:** Public awareness campaigns can promote responsible waste disposal and water conservation practices.
* **Community Involvement:** Barangay initiatives and community participation are key in maintaining clean waterways and preventing street-level water pollution.
**Conclusion:**
The Philippines has a legal framework to combat street-level environmental offenses like water pollution. However, a combination of enforcement, education, and community involvement is necessary to ensure clean water resources for everyone.</t>
  </si>
  <si>
    <t>Under what circumstances can a person be charged with public conspiracy to commit cybercrimes on the streets?</t>
  </si>
  <si>
    <t>Philippine law takes public conspiracy to commit cybercrimes very seriously. Here's a breakdown of the key points to be charged for this offense:
**Laws Involved:**
* **Republic Act No. 10175 (Cybercrime Prevention Act of 2012):** This law defines and penalizes various cybercrimes.
* **Revised Penal Code (RPC):**
* **Article 8 (Conspiracy):** This article applies to any agreement between two or more persons to commit a crime. Here's what's required:
* **Two or More Persons:** There must be a planning or agreement between at least two individuals.
* **Specific Cybercrime:** The agreement must be to commit a specific cybercrime outlined in the Cybercrime Prevention Act, such as:
* Illegal Access (Section 14)
* Data Interference (Section 15)
* Computer System Hacking (Section 16)
* Cybersquatting and Data Breaches (Sections 24 to 26)
* **Public Nature:** The key element for "public conspiracy" is that the planning or agreement to commit the cybercrime happens openly, without attempting to hide it from the authorities. Mere suspicion of planning is not enough. There must be concrete steps taken in a public setting to move forward with the crime. **Examples of Public Conspiracy:**
* Two individuals openly discuss hacking into a specific company's network on a street corner.
* A group gathers in a public place to plan a denial-of-service attack against a government website.
**Important Considerations:**
* The specific penalties will depend on the severity of the planned cybercrime and the role of each person involved in the conspiracy. Penalties under the Cybercrime Prevention Act can range from imprisonment to fines. * Law enforcement agencies have powers to investigate suspected cybercrime activities, including surveillance under specific legal guidelines.
**What to Do if You Suspect Public Conspiracy:**
* **Report it immediately** to the nearest police station or authorities. You can also report anonymously through cybercrime hotlines.
* **Do not confront** the suspected individuals yourself.
**Remember:** Public safety in the digital world is crucial. By being aware of the law and reporting suspicious activities, you can help prevent cybercrimes.</t>
  </si>
  <si>
    <t>How does the law address incidents of street-level assault or harassment based on religion or belief?</t>
  </si>
  <si>
    <t>The Philippines, while a predominantly Catholic country, has a legal framework that addresses assault or harassment based on religion or belief, even at the street level. However, it uses existing laws because there isn't a specific law solely focused on this issue. Here's a breakdown:
**Relevant Laws:**
* **Revised Penal Code (RPC):**
* **Article 148 (Direct Assault):** This applies if a person is assaulted due to their religion or belief. The penalty can range from prision mayor (6 years and 1 day to 8 years imprisonment) to reclusion temporal (12 years and 1 day to 20 years imprisonment) depending on the seriousness of the assault.
* **Article 151 (Resistance and Disobedience to a Person in Authority):** This can be relevant if the victim tries to defend themselves and is seen as resisting the perpetrator. However, the act of self-defense can be used as a legal justification.
* **Philippine Constitution:**
* **Article III, Section 5 (Freedom of Religion):** This guarantees the right to free exercise and profession of religious belief. This constitutional principle can be used to argue against assault or harassment motivated by religious differences.
**Challenges and Limitations:**
* **Intent vs. Motive:** Proving religious motive in an assault can be difficult. The law focuses on the act itself (assault), not necessarily the reason behind it.
* **Lack of Specific Protection:** The absence of a law directly addressing religious discrimination leaves some gaps in protection for victims.
**What You Can Do:**
* **Report the Incident:** File a police report despite the limitations. This creates a record of the incident and helps build a case.
* **Seek Legal Help:** A lawyer can advise on the best course of action based on the specific details of the assault or harassment.
* **Advocacy:** Pushing for legislation that specifically addresses religious discrimination can provide stronger legal protection in the future.
**Remember:** Religious tolerance is important in the Philippines. While the legal framework might rely on existing laws, you have rights protected by the Constitution. Reporting incidents and seeking legal help are crucial steps.</t>
  </si>
  <si>
    <t>What penalties apply for engaging in the unauthorized sale or distribution of pirated software on the streets?</t>
  </si>
  <si>
    <t>Selling or distributing pirated software on the streets in the Philippines is a violation of intellectual property (IP) rights and can lead to penalties under several laws. Here's a breakdown of the key points:
**Main Law:**
* **Republic Act No. 8293 (Intellectual Property Code of the Philippines):** This is the primary law that defines and protects intellectual property rights, including copyright protection for software.
* **Section 21:** Defines copyright infringement, which includes unauthorized reproduction, distribution, sale, or importation of copyrighted works like computer software.
* **Section 22:** Prescribes penalties for copyright infringement:
* **Imprisonment:** One (1) month to three (3) years
* **Fine:** Fifty thousand pesos (PhP 50,000) to one million pesos (PhP 1,000,000)
* **Section 229:** Addresses infringement for commercial purposes (like selling on the streets):
* **Imprisonment:** Three (3) years and one (1) day to six (6) years
* **Fine:** One million pesos (PhP 1,000,000) to ten million pesos (PhP 10,000,000)
**Additional Penalties:**
* **Confiscation:** Law enforcement agencies can confiscate pirated software.
* **Administrative Sanctions:** The Intellectual Property Office (IPO) can impose administrative sanctions for minor IP violations, including:
* Cease and desist orders * Fines
**Important Considerations:**
* The specific penalties will depend on the type of software, the scale of the operation (individual seller vs. large network), and any prior offenses.
* Collaboration between law enforcement and the IPO is crucial in apprehending and penalizing individuals involved in street-level software piracy.
**Further Resources:**
* Intellectual Property Office of the Philippines: [https://www.ipophil.gov.ph/](https://www.ipophil.gov.ph/)
**Remember:** This is a general overview. Consulting with an IP lawyer is recommended for specific advice on your situation.</t>
  </si>
  <si>
    <t>What legal provisions regulate the possession and use of prohibited weapons in public spaces?</t>
  </si>
  <si>
    <t>The Philippines has strict laws regulating the possession and use of firearms and other dangerous weapons in public spaces. Here's a breakdown of the key legal provisions:
**Main Law:**
* **Republic Act No. 10591 (Comprehensive Firearms and Ammunition Regulation Act):** This is the primary law governing firearms in the Philippines. It outlines the requirements for firearm ownership, licensing procedures, and penalties for violations.
**Key Provisions:**
* **Firearm Permits and Licenses:** Owning a firearm in the Philippines requires a Permit to Own (PTO) and a License to Possess Firearms (LTOP). These permits are issued by the Philippine National Police (PNP) Firearms and Explosives Office (FEO) after a thorough background check and safety training.
* **Prohibited Weapons:** R.A. No. 10591 defines specific categories of firearms and weapons considered illegal to possess without authorization. These include:
* Automatic or converted automatic firearms
* Military-type firearms (e.g., assault rifles, grenades)
* Caliber .40 or higher caliber handguns for civilians (except for registered gun clubs and security agencies)
* Explosives of all kinds
* **Public Carry Restrictions:** The law generally prohibits the carrying of firearms outside of one's residence or place of business unless under specific circumstances:
* Law enforcement officers on duty
* Security guards with proper permits
* Licensed firearm holders with Permits to Carry (PTC) for specific reasons (e.g., self-defense, hunting)
**Penalties:**
Violations of R.A. No. 10591 can result in severe penalties, including:
* **Imprisonment:** Ranges from several months to life imprisonment depending on the offense.
* **Fines:** Can reach up to millions of pesos.
* **Confiscation of firearms:** Illegal firearms will be seized by authorities.
* **Revocation of firearm licenses:** Existing permits can be revoked for violations.
**Additional Considerations:**
* Local government units (LGUs) may also have ordinances that further restrict the carrying or use of even licensed firearms in specific public places. * It's crucial to check with the PNP FEO for the latest regulations and to ensure proper licensing and permits for any firearm possession or use.
**Remember:** Public safety is a priority. The responsible ownership and use of firearms is essential in the Philippines. Always follow the law and prioritize safety when dealing with firearms and dangerous weapons.</t>
  </si>
  <si>
    <t>How is the crime of public disorderly conduct or rioting during public events addressed under Philippine law?</t>
  </si>
  <si>
    <t>Philippine law takes public order and safety seriously, especially during public events. Here's how different laws address disorderly conduct and rioting:
**Revised Penal Code (RPC):**
* **Article 148 (Direct Assault):** Applies if someone physically harms another person during a public event due to disorderly conduct or rioting. Penalties vary depending on the severity of the assault (prision mayor up to reclusion temporal).
* **Article 150 (Tumultous Affray):** This applies if a group of people (at least two) engage in a violent confrontation during a public event. Penalties include:
* **Destierro (Banishment):** Temporary or permanent expulsion from a specific place.
* **Presidio correccional (6 months and 1 day to 2 years imprisonment).**
* **Article 151 (Resistance and Disobedience to a Person in Authority):** This applies if someone resists arrest or disobeys police orders while trying to maintain order during a public event. However, self-defense can be used as a justification.
* **Article 253 (Alarm and Scandal):** This applies if someone creates a loud disturbance or causes panic during a public event. Penalties can include arresto menor (1 to 10 days imprisonment) or a fine.
**Special Laws:**
* **Republic Act No. 6539 (Anti-Riot Act of 1987):** This law specifically addresses violent disorders during public assemblies. It grants law enforcement broader powers to disperse unruly crowds and imposes harsher penalties for rioting.
* **Local Government Code (LGC):**
* **Section 148 (Power to Enact Ordinances):** LGUs can enact ordinances to promote peace and order. These ordinances can address specific behaviors during public events, such as:
* Prohibiting the use of fireworks or explosives
* Regulating the sale and consumption of alcohol
* Limiting noise levels
**Important Considerations:**
* The specific law applied will depend on the nature and severity of the offense.
* Law enforcement has the authority to arrest individuals involved in disorderly conduct or rioting to restore peace and order.
* It's crucial to follow instructions from law enforcement officials during public events.
**Staying Safe During Public Events:**
* Be aware of your surroundings and avoid large crowds if trouble seems likely.
* Follow the instructions of event organizers and security personnel.
* If you witness a crime or disorderly conduct, report it to the nearest police officer.
**Remember:** Public events are meant to be enjoyable experiences. Following the law and maintaining order ensures everyone's safety and allows everyone to have a good time.</t>
  </si>
  <si>
    <t>What penalties are imposed for engaging in street-level tax fraud or evasion in public spaces?</t>
  </si>
  <si>
    <t>While there isn't a specific law solely targeting street-level tax evasion in public spaces, the Philippines still has ways to address it. Here's a breakdown of the relevant laws and potential consequences:
**Tax Evasion:**
* **Tax Code (Republic Act No. 8424):** * **Section 255 (Tax Evasion Through False or Fraudulent Statements):** This applies if someone deliberately understates their income or falsifies information on tax returns, even if done on the street (e.g., a vendor not declaring all their earnings). Penalties can include:
* Imprisonment: Two (2) years and one (1) day to six (6) years
* Surcharge: 50% of the tax evaded
* Interest: Interest on the unpaid tax from the due date
**Local Government Code (LGC):**
* **Section 148 (Power to Enact Ordinances):** LGUs can impose penalties for non-payment of local taxes, which can be relevant for street-level vendors who fail to pay business permits or other local taxes. These penalties are usually fines.
**Challenges of Street-Level Enforcement:**
* **Gathering Evidence:** Catching someone evading taxes on the street can be difficult to prove without concrete evidence.
**How Authorities Can Address It:**
* **Routine Inspections:** LGUs may conduct business permit inspections or monitor street vendors to ensure proper registration and tax compliance.
* **Undercover Operations:** Tax authorities may use undercover agents to identify vendors not declaring all their income.
**Importance of Paying Taxes:**
* Taxes fund essential government services like infrastructure, education, and healthcare.
**What You Can Do:**
* If you suspect tax evasion, you can report it to the Bureau of Internal Revenue (BIR). You can do this anonymously.
* Street vendors should ensure they have the proper permits and pay their local taxes to avoid legal issues.
**Remember:** Even seemingly minor street-level tax evasion is still illegal. Everyone benefits from a fair and functioning tax system.</t>
  </si>
  <si>
    <t>How does Philippine law address incidents of street-level assault or harassment based on disability?</t>
  </si>
  <si>
    <t>The Philippines does not have a specific law solely focused on assault or harassment based on disability. However, existing laws can be used to address such incidents, though with some limitations. Here's a breakdown:
**Relevant Laws:**
* **Revised Penal Code (RPC):**
* **Article 148 (Direct Assault):** This applies if a person with a disability is assaulted due to their disability. The penalty can range from prision mayor (6 years and 1 day to 8 years imprisonment) to reclusion temporal (12 years and 1 day to 20 years imprisonment) depending on the seriousness of the assault.
* **Article 151 (Resistance and Disobedience to a Person in Authority):** This can be relevant if the victim tries to defend themselves and is seen as resisting the perpetrator. However, the act of self-defense can be used as a legal justification.
* **Republic Act No. 7877 (Anti-Discrimination Act):**
* **Section 5 (Prohibition on Discrimination):** This prohibits discrimination against persons with disabilities in various aspects, including access to services and facilities. This can be potentially interpreted to cover situations where someone with a disability is harassed or denied service due to their disability on the street. However, the Anti-Discrimination Act does not expressly mention penalties for street-level assault or harassment.
**Challenges and Limitations:**
* **Intent vs. Motive:** Proving that the assault or harassment stemmed specifically from the disability can be difficult. The law focuses on the act itself (assault), not necessarily the reason behind it.
* **Limited Scope of Anti-Discrimination Law:** The current Anti-Discrimination Law might not fully cover street-level incidents.
**What You Can Do:**
* **Report the Incident:** File a police report despite the limitations. This creates a record of the incident and helps build a case.
* **Seek Legal Help:** A lawyer can advise on the best course of action based on the specific details of the assault or harassment.
* **Advocacy:** Pushing for amendments to the Anti-Discrimination Law to explicitly include penalties for disability-based harassment can provide stronger legal protection.
**The Philippine Constitution:**
* **Article XIII, Section 1 (Equal Protection of the Laws):** This guarantees the right to equal protection of the laws, which means everyone should be treated equally regardless of disability. This principle can be used to argue against assault or harassment motivated by disability.
**Remember:** People with disabilities deserve to be treated with dignity and respect. While the legal framework might rely on existing laws, you have rights protected by the Constitution. Reporting incidents and seeking legal help are crucial steps.</t>
  </si>
  <si>
    <t>What legal measures exist to combat street-level environmental offenses, such as improper waste disposal?</t>
  </si>
  <si>
    <t>The Philippines has several legal measures in place to combat street-level environmental offenses, particularly improper waste disposal. Here's a breakdown based on relevant Philippine laws:
**Constitution:**
* **Article II, Section 16:** This section mandates the State to protect and promote the full enjoyment of the balanced and healthful ecology by recognizing the right of the people to a clean environment [Constitution of the Republic of the Philippines, Art. II, Sec. 16].
**Republic Acts (R.A.):**
* **R.A. 9003 or the Ecological Solid Waste Management Act:** This act is the primary legislation for solid waste management. It prohibits littering, throwing, dumping of waste in public places, and open burning (Sec. 4). It empowers local government units (LGUs) to implement waste segregation at source and enforce penalties for violations (Sec. 21). * **R.A. 6969 or the Toxic Substances and Hazardous Waste Control Act:** This law regulates the management of hazardous wastes. While not directly addressing street-level offenses, it can be relevant if hazardous materials are improperly disposed of on streets. * **R.A. 7638 or the Barangay Government Code:** This code empowers barangays (the smallest local government unit) to enact ordinances to promote environmental protection and cleanliness within their jurisdiction. These ordinances can set specific prohibitions and corresponding penalties for improper waste disposal on streets (Sec. 179).
**Other Relevant Laws:**
* **Presidential Decree 855 or the Pollution Control Law:** This law grants the Department of Environment and Natural Resources (DENR) the authority to set pollution control standards and enforce environmental laws (Sec. 7).
**Penalties:**
The penalties for improper waste disposal can vary depending on the specific violation and the enforcing agency (LGU or DENR). Penalties can range from fines to community service. R.A. 9003 outlines specific fines for different violations (Sec. 48).
**Additional Points:**
* Public awareness campaigns are crucial to educate citizens about proper waste disposal and the legal consequences of violations.
* Barangay officials play a significant role in enforcing environmental laws at the community level.
**Remember:** This is not an exhaustive list, and for specific legal advice, it's always best to consult with a lawyer.</t>
  </si>
  <si>
    <t>Under what circumstances can a person be charged with public conspiracy to commit drug-related offenses on the streets?</t>
  </si>
  <si>
    <t>Philippine law doesn't have a specific crime called "public conspiracy to commit drug-related offenses on the streets." However, there are relevant laws that can be used to prosecute people involved in planning or agreeing to commit drug offenses. Here's a breakdown:
* **Conspiracy under the Revised Penal Code (RPC):** Article 8 of the RPC defines conspiracy as "two or more persons come to an agreement to commit a crime and decide to perform some act for the purpose of its execution." For a conspiracy charge to hold, there must be proof of an agreement to commit a specific drug offense (e.g., selling, manufacturing), not just a general intent to be involved in drugs. **Evidence for Conspiracy:**
* **Direct evidence:** This is rare and involves witnessing the planning or agreement to commit the drug offense. * **Circumstantial evidence:** This includes things like communication between the suspects, presence near known drug transactions, or shared possession of drug paraphernalia. The evidence must be strong enough to convince a court that there was a definite agreement to commit a specific drug offense.
**Related Drug Offenses:**
* **Illegal Sale/Distribution/Possession of Dangerous Drugs (R.A. 9165 or the Comprehensive Dangerous Drugs Act):** This law defines and penalizes various drug offenses. If someone is caught planning or agreeing to violate these specific provisions of R.A. 9165, they could be charged with conspiracy alongside the intended drug offense.
**Key Points:**
* Proving conspiracy requires evidence of a specific agreement to commit a particular drug offense. * The act of conspiracy itself might not be done publicly. **Remember:** This is for informational purposes only and doesn't constitute legal advice. If you have concerns about a specific situation, consulting with a lawyer is highly recommended.</t>
  </si>
  <si>
    <t>How is the offense of public conspiracy to commit identity theft or financial fraud addressed under Philippine law?</t>
  </si>
  <si>
    <t>There isn't a single crime in Philippine law called "public conspiracy to commit identity theft or financial fraud." However, Philippine law addresses these issues through a combination of existing offenses:
* **Conspiracy under the Revised Penal Code (RPC):** As mentioned previously, Article 8 of the RPC defines conspiracy. Here, it can apply if two or more people agree to commit identity theft or financial fraud. The prosecution needs to prove a specific agreement to carry out these acts, not just a general discussion about fraud.
* **Identity Theft (R.A. 10175 or the Cybercrime Prevention Act of 2012):** This law penalizes various acts of identity theft, such as acquiring personal identifying information to impersonate another (Sec. 15). If someone agrees with another to obtain someone else's information for fraudulent purposes, they could be charged with conspiracy under the RPC alongside identity theft under R.A. 10175.
* **Estafa (RPC):** This is a broad fraud provision in the RPC that covers acts of deceit to take advantage of another person (Article 315). If the conspiracy involves using stolen identities to deceive someone and gain financial benefit, both conspiracy and estafa charges could be applicable.
* **Acts preparatory to Estafa (RPC):** Article 14 of the RPC penalizes acts preparatory to a crime, like possessing tools or planning to commit Estafa. If the planning or agreement to commit identity theft or financial fraud involves concrete steps, this provision might be used alongside conspiracy. **Challenges in Public Conspiracy Cases:**
* Proving a specific agreement to commit the crime can be difficult, especially without concrete evidence like written plans. * The public nature of the conspiracy needs to be established. While planning might occur in public places, the agreement itself might not be overt.
**Remember:** This is for informational purposes only and doesn't constitute legal advice. If you have concerns about a specific situation or potential criminal activity, consulting with a lawyer is highly recommended. They can advise you on the specific legal provisions that apply based on the details of the case.</t>
  </si>
  <si>
    <t>What penalties apply for engaging in the unauthorized sale or distribution of prohibited publications on the streets?</t>
  </si>
  <si>
    <t>There isn't a single, all-encompassing law in the Philippines that specifically addresses the unauthorized sale or distribution of prohibited publications on the streets. However, depending on the nature of the prohibited publications, you might be charged under various laws:
* **Revised Penal Code (RPC):**
* **Article 175 (Obscene Publications and Indecent Shows):** This article penalizes the publication, exhibition, or possession of obscene materials. If the prohibited publications fall under this category (e.g., pornography), selling or distributing them could lead to imprisonment and fines.
* **Article 189 (Libel):** This covers the publication of defamatory statements that could damage someone's reputation. Selling publications containing libelous content could be a violation.
* **Special Laws:**
* **R.A. 9775 or the Anti-Trafficking in Persons Act of 2010:** This law penalizes acts related to human trafficking. If the prohibited publications promote or facilitate human trafficking, it could be a violation.
* **R.A. 10175 or the Cybercrime Prevention Act of 2012:** This law deals with online content, but Section 19 penalizes the possession or distribution of child pornography. If the prohibited publications contain child pornography, this could be applicable. * **Local Government Ordinances:**
* Cities and municipalities can enact ordinances regulating vendors or businesses operating on their streets. These ordinances might have provisions prohibiting the sale of specific types of publications without proper permits. **Penalties:**
The penalties for violating these laws vary depending on the specific offense. They can range from fines and imprisonment (RPC) to administrative sanctions (local ordinances).
**Additional Points:**
* To determine the exact offense and penalty, it's crucial to identify the nature of the prohibited publications. * Law enforcement officers typically confiscate the prohibited materials during apprehension.
**Disclaimer:** This is for informational purposes only and shouldn't be considered legal advice. If you have concerns about specific publications or a potential legal case, consulting a lawyer is highly recommended. They can analyze the situation and advise you on the relevant laws and potential consequences.</t>
  </si>
  <si>
    <t>What legal provisions regulate the possession and use of unauthorized surveillance devices in public spaces?</t>
  </si>
  <si>
    <t>There isn't a single, specific law in the Philippines that directly addresses the possession and use of unauthorized surveillance devices in public spaces. However, several legal provisions can be used to address this issue:
**1. Right to Privacy under the Constitution:**
* **Article III, Section 1:** This section guarantees the protection of the right to privacy, which can be interpreted to include an expectation of privacy in public spaces to a certain extent.
**2. Data Privacy Act of 2012 (R.A. 10173):**
* This law protects the processing of personal data, which can include recordings or images captured by surveillance devices. * While not directly addressing unauthorized devices, it can be relevant if the recordings capture personal data without consent. **3. Revised Penal Code (RPC):**
* **Article 260 (Unlawful Intrusion):** This provision can be used if the unauthorized surveillance device intrudes into a private place. However, the definition of "private place" might not always extend to public spaces. * **Article 290 (Eavesdropping):** This applies to the act of secretly listening to, recording, or transmitting private conversations. If the surveillance device captures private conversations without consent, it could be a violation. **4. Special Laws:**
* **R.A. 6986 or the Act Prohibiting the Interception and Recording of Communication:** This law specifically prohibits the interception and recording of communication without a warrant. However, its application to capturing images in public spaces might be less clear.
**Challenges and Considerations:**
* The key challenge lies in defining the scope of "public spaces" and the expectation of privacy within them. * The specific purpose and functionality of the unauthorized device will also be crucial in determining the applicable legal provision. **Recommendations:**
* If you encounter someone using an unauthorized surveillance device in a public space, you can politely ask them to stop, especially if you feel your privacy is being violated.
* You can report the incident to the authorities, but the legal outcome might depend on the specific circumstances.
**Disclaimer:** This is for informational purposes only and shouldn't be considered legal advice. If you have concerns about unauthorized surveillance or a specific situation, consulting a lawyer is highly recommended. They can analyze the details and advise you on the most relevant legal provisions and potential courses of action.</t>
  </si>
  <si>
    <t>How does the law address incidents of street-level assault or harassment based on age or seniority?</t>
  </si>
  <si>
    <t>The Philippines has several laws that can address incidents of street-level assault or harassment based on age or seniority. Here's a breakdown:
* **Revised Penal Code (RPC):**
* **Physical Assault (Articles 262-267):** These articles define and penalize various forms of physical assault, from battery (slight maltreatment) to serious physical injuries. The severity of the penalty depends on the degree of harm inflicted.
* **Threats and Alarms (Article 148):** This provision applies if the harassment involves threatening words or actions that cause anxiety or fear.
* **Anti-Bullying Act of 2013 (R.A. 10627):** * This law defines bullying as "any act that uses force, intimidation, coercion, or manipulation to dominate and control another student" (Sec. 2). While the law focuses on school settings, the definition can be interpreted broadly to encompass similar behavior on the streets if it targets someone based on age.
* **Respect for Persons in Authority Act (R.A. 6713):** * This law protects persons in authority, including senior citizens (Sec. 1). It penalizes acts like disrespect, insults, and threats towards them.
* **Ordinances for Senior Citizen Protection:**
* Many cities and municipalities have enacted ordinances that provide additional safeguards for senior citizens. These might include provisions against harassment based on age.
**Determining the Applicable Law:**
The specific law applied depends on the nature of the assault or harassment:
* **Physical Assault:** The appropriate provisions of the RPC on physical assault would apply.
* **Verbal Abuse/Threats:** Article 148 (RPC) on threats and alarms or R.A. 6713 (Respect for Persons in Authority) for senior citizens could be relevant.
* **Bullying based on Age:** The Anti-Bullying Act can be applied in broader contexts beyond schools. **Additional Points:**
* Regardless of age or seniority of the victim, assault and harassment are illegal.
* Reporting such incidents to the police is crucial for holding the perpetrator accountable and deterring future offenses.
**Disclaimer:** This is for informational purposes only and shouldn't be considered legal advice. If you have been a victim of assault or harassment or require further clarification, consulting a lawyer is highly recommended. They can analyze the specific details of your situation and advise you on the most appropriate course of action.</t>
  </si>
  <si>
    <t>Philippine law doesn't have a specific offense for "street-level tax evasion" or "fraudulent financial activities in public spaces." However, depending on the nature of the activity, perpetrators can be charged under various laws:
**Tax Evasion:**
* Tax evasion falls under the jurisdiction of the Bureau of Internal Revenue (BIR) and is addressed by the Tax Code (R.A. 8424). While not directly related to public spaces, some street-level activities might be linked to tax evasion, such as:
* Selling goods without declaring income or issuing receipts.
* Operating an unregistered business.
* Penalties for tax evasion can be severe, including imprisonment, fines, and surcharges based on the amount of tax evaded (Sec. 253, R.A. 8424).
**Fraudulent Financial Activities:**
Public spaces can be used for various fraudulent schemes. Here's how the law applies depending on the activity:
* **Estafa (RPC):** This is a broad anti-fraud provision in the Revised Penal Code (RPC) that applies to acts of deceit to take advantage of another person financially (Article 315). Examples include:
* Running a shell game or other confidence tricks.
* Selling fake goods or services.
* Using stolen credit cards.
* **Falsification of Commercial Documents (RPC):** This applies if someone falsifies checks, receipts, or other documents used in financial transactions (Article 182).
* **Cybercrime Prevention Act (R.A. 10175):** While not directly related to physical spaces, this law can be relevant if the fraudulent activity involves online transactions initiated in public areas (e.g., using public Wi-Fi for phishing scams).
**Penalties for Fraud:**
The penalties for fraudulent activities vary depending on the specific offense under the RPC or other laws. They can range from fines and imprisonment to deportation (for foreign nationals).
**Challenges in Street-Level Cases:**
* Gathering evidence for fraudulent activities happening on the streets can be difficult.
* The value of transactions involved in street-level scams might be relatively low, potentially affecting the prioritization of such cases.
**Recommendations:**
* If you encounter someone engaging in suspicious financial activity, report it to the authorities.
* Be cautious when engaging in financial transactions in public spaces, especially with people you don't know.
**Disclaimer:** This is for informational purposes only and shouldn't be considered legal advice. If you suspect tax evasion or fraudulent activity or need further clarification, consulting a lawyer is highly recommended. They can analyze the specific situation and advise you on the most relevant laws and potential consequences.</t>
  </si>
  <si>
    <t>How is the crime of public conspiracy to commit human trafficking or illegal recruitment addressed under Philippine law?</t>
  </si>
  <si>
    <t>Philippine law doesn't have a single crime called "public conspiracy to commit human trafficking or illegal recruitment." However, similar to other public conspiracy offenses, there are existing laws that can be used to prosecute people who plan or agree to commit these crimes:
* **Conspiracy under the Revised Penal Code (RPC):** Article 8 of the RPC defines conspiracy as "two or more persons come to an agreement to commit a crime and decide to perform some act for the purpose of its execution." In this case, the crime would be human trafficking or illegal recruitment.
**Key Elements for Conspiracy:**
* Proof of an agreement between two or more people to commit human trafficking or illegal recruitment. This agreement can be verbal or non-verbal but needs to be clear and provable in court. * Evidence that the agreement aimed to carry out the specific crime, not just a general discussion about trafficking or recruitment.
**Laws on Human Trafficking and Illegal Recruitment:**
* **Anti-Trafficking in Persons Act of 2010 (R.A. 10175):** This law defines and penalizes various acts of human trafficking (Sec. 3). If people are caught planning or agreeing to traffic a person, they could be charged with conspiracy under the RPC alongside human trafficking under R.A. 10175.
* **Philippine Overseas Employment Administration (POEA) Rules and Regulations:** These regulations prohibit illegal recruitment practices like charging excessive fees or making false promises to potential workers (Rule X, Sec. 1). Planning or agreeing to violate these POEA rules in the context of recruitment could be conspiracy to commit illegal recruitment.
**Public vs. Private Conspiracy:**
The "public" aspect of the conspiracy might not be a major factor. While planning might occur in public spaces, the agreement to commit the crime itself could happen in private. The focus is on proving the agreement and its connection to human trafficking or illegal recruitment.
**Challenges and Considerations:**
* Gathering evidence of a specific agreement to commit these crimes can be difficult, especially without concrete proof like written plans. * Proving the intended purpose of the conspiracy (human trafficking or illegal recruitment) is crucial.
**Disclaimer:** This is for informational purposes only and shouldn't be considered legal advice. If you have concerns about a specific situation or suspect human trafficking or illegal recruitment activities, consulting with a lawyer is highly recommended. They can analyze the details and advise you on the most appropriate course of action, which might include reporting the situation to the authorities.</t>
  </si>
  <si>
    <t>What legal measures exist to combat street-level environmental offenses, such as noise pollution?</t>
  </si>
  <si>
    <t>Here's a breakdown of the legal measures in the Philippines to combat street-level environmental offenses, particularly noise pollution:
**National Laws:**
* **Constitution:** The Philippine Constitution mandates the State to protect and promote a balanced and healthful ecology, recognizing the right of the people to a clean environment (Article II, Section 16).
* **Ecological Solid Waste Management Act (R.A. 9003):** While not directly addressing noise pollution, this act promotes environmental protection and empowers LGUs (local government units) to enact ordinances (Sec. 4).
* **Pollution Control Law (Presidential Decree 855):** This law grants the Department of Environment and Natural Resources (DENR) the authority to set pollution control standards, including noise pollution (Sec. 7).
**Key Legislation:**
* **Noise Pollution Control Law (R.A. 4203):** This is the primary legislation for noise pollution control. It defines permissible noise levels for different areas (residential, commercial, industrial) and prohibits acts that generate excessive noise beyond these limits (Sec. 2, Sec. 6). **Enforcement:**
* **LGUs:** Cities and municipalities have the primary responsibility for enforcing noise pollution regulations within their jurisdictions (R.A. 4203, Sec. 3). They can establish their own noise control offices and enact ordinances with specific noise level limitations and corresponding penalties.
* **DENR:** The DENR plays a supportive role by setting national noise emission standards and assisting LGUs in enforcement (PD 855).
**Penalties:**
The penalties for violating noise pollution regulations can vary depending on the specific ordinance or regulation and the severity of the offense. These can include fines, confiscation of noise-generating equipment, and even business closure for chronic offenders.
**Additional Points:**
* Public awareness campaigns are crucial to educate citizens about noise pollution and its health impacts. * Community involvement can be valuable in reporting noise violations to the authorities.
**Remember:** This is not an exhaustive list, and for specific legal advice on noise pollution complaints or enforcement procedures, consulting with a lawyer or your local environmental office is recommended.</t>
  </si>
  <si>
    <t>Under what circumstances can a person be charged with public conspiracy to commit election-related offenses on the streets?</t>
  </si>
  <si>
    <t>Under Philippine law, particularly under Republic Act No. 9369 (the Amended Automated Election System Law), election-related offenses encompass a wide range of illegal activities associated with the electoral process. These offenses include, but are not limited to, vote-buying, voter intimidation, tampering with election materials, and disrupting the electoral process.
Regarding public conspiracy to commit election-related offenses on the streets, individuals can be charged under certain circumstances. Here are some examples:
1. **Organized Efforts to Commit Election Offenses:** If individuals or groups conspire to engage in illegal activities such as vote-buying, voter intimidation, or disrupting the electoral process in public places like streets, they can be charged with conspiracy to commit election-related offenses.
2. **Evidence of Coordination:** If there is evidence indicating coordination among individuals or groups to perpetrate election-related offenses on the streets, such as through communication, planning meetings, or joint actions, it may support charges of public conspiracy.
3. **Presence of Illegal Activities:** If individuals are observed engaging in suspicious or illegal activities related to the electoral process in public places, law enforcement authorities may investigate and charge them with conspiracy to commit election-related offenses if evidence suggests a coordinated effort.
4. **Interference with Electoral Procedures:** Any actions taken on the streets that interfere with the conduct of free, fair, and orderly elections, such as blocking access to polling places, distributing misleading information, or instigating violence, could lead to charges of public conspiracy to commit election-related offenses.
5. **Violations of Election Laws:** Any violations of election laws committed in public places, whether by individuals or groups, can be subject to criminal prosecution, especially if there is evidence of coordination or conspiracy.
It's important to note that the specifics of charging individuals with public conspiracy to commit election-related offenses may vary depending on the circumstances of each case and the evidence available. Law enforcement agencies and prosecutors are responsible for investigating such offenses and filing appropriate charges based on the evidence gathered.</t>
  </si>
  <si>
    <t>How does Philippine law address incidents of street-level assault or harassment based on socioeconomic status?</t>
  </si>
  <si>
    <t>Philippine law doesn't explicitly mention socioeconomic status as a grounds for assault or harassment. However, several existing laws can be used to address such incidents:
* **Revised Penal Code (RPC):** This is the main criminal code of the Philippines. It covers crimes like assault (slight, serious, physical injuries), battery, and threats. Depending on the severity of the assault or harassment, these provisions can be applied.
* **Anti-Secrecy Law (Republic Act No. 3019):** This law protects individuals from discrimination based on their social status. If the harassment involves making someone feel inferior or unwelcome due to their perceived lower socioeconomic status, this law can be used.
* **Anti-Discrimination Law (Republic Act No. 10354):** This broader law prohibits discrimination based on various factors, including "social origin." This can be interpreted to encompass socioeconomic status and could be applied in relevant cases.
**Challenges:**
* **Enforcement:** While the laws exist, enforcing them for incidents based on socioeconomic status can be difficult. Evidence of the perpetrator's intent to discriminate might be needed.
* **Underreporting:** Many incidents of street-level harassment might go unreported due to fear of retaliation or a feeling that authorities wouldn't take action.
**Recommendations:**
* If you experience such harassment, report it to the police. Even if the socioeconomic status aspect isn't pursued, the assault or harassment itself might be grounds for charges.
* Consider seeking help from NGOs (non-government organizations) that focus on anti-discrimination issues.
**Additional Resources:**
* The Philippine Commission on Human Rights [https://www.ohchr.org/sites/default/files/2022-02/Commission-on-Human-Rights-of-the-Philippines.pdf](https://www.ohchr.org/sites/default/files/2022-02/Commission-on-Human-Rights-of-the-Philippines.pdf)</t>
  </si>
  <si>
    <t>What penalties apply for engaging in the unauthorized sale or distribution of prohibited or obscene materials on the streets?</t>
  </si>
  <si>
    <t>The penalties for unauthorized sale or distribution of prohibited or obscene materials on the streets in the Philippines can come from two main laws:
* **Republic Act No. 9775 or the Anti-Trafficking in Persons Act of 2003:** This law focuses on protecting children. If the materials being sold or distributed involve children in any obscene way (performing, modeling, etc.) the penalties can be severe. * Section 9 of this Act states that using a child in obscene exhibitions or publications can lead to imprisonment of medium to maximum term ("prision mayor") and a fine of P1,000 to P10,000. If the child is under 12, the maximum penalty applies. R.A. 7610 - LawPhil: [https://lawphil.net/statutes/repacts/ra1992/ra_7610_1992.html](https://lawphil.net/statutes/repacts/ra1992/ra_7610_1992.html)
* **Local Government Code (Republic Act No. 7160):** This law grants authority to local government units (LGUs) to enact ordinances concerning public order and safety. Many LGUs have ordinances prohibiting the selling of obscene materials or anything that might disturb public decency. Penalties for violating these ordinances can vary but typically involve fines or community service.
* An example is found under Prohibited Acts Fines and Penalties - Environmental Compliance Assistance Center: [https://ecac.emb.gov.ph/?page_id=47](https://ecac.emb.gov.ph/?page_id=47) which details potential fines of P300 to P1,000 or imprisonment of 1 to 15 days, depending on the specific violation of the ordinance.
**Key Points:**
* The severity of the penalty depends on the content of the material and whether it involves children.
* National laws address child exploitation in obscene materials, while local ordinances handle general public decency concerns.</t>
  </si>
  <si>
    <t>What legal provisions regulate the possession and use of unauthorized surveillance devices in public transportation?</t>
  </si>
  <si>
    <t>There isn't a single, specific law in the Philippines that directly addresses unauthorized surveillance devices on public transportation. However, a combination of existing laws can be used to address this issue:
* **Republic Act No. 3877 or the Anti-Wiretapping Law:** This law prohibits the interception and recording of communication without the consent of all parties involved. If the unauthorized surveillance device is used to capture audio conversations, this law might be applicable.
* **Republic Act No. 10173 or the Data Privacy Act of 2012:** This law protects an individual's right to privacy regarding their personal data. If the surveillance device captures images or videos of people, it could be considered collecting personal data without their consent. This law might be applicable depending on the context (purpose, dissemination of data).
* **Revised Penal Code (RPC):** Provisions like illegal intrusion (RPC Article 145) or trespass (RPC Article 146) could be used if the device is placed on a commuter or in a restricted area of the vehicle.
**Challenges:**
* **Interpretation:** The laws above might need interpretation in the context of public transportation and unauthorized surveillance devices. Courts would need to decide if capturing video/audio without consent falls under these existing laws.
* **Intent:** There might be a need to prove the intent behind using the device. Was it for legitimate security purposes or malicious intent?
**Recommendations:**
* If you see someone using a suspicious device, report it to the authorities (security personnel, police) on the public transportation vehicle. * Be aware of your surroundings and take steps to protect your privacy, like keeping conversations private and being mindful of where you place your belongings.
**Looking Ahead:**
* The Philippines is considering a specific law to address data privacy concerns, which might offer clearer guidelines on unauthorized surveillance in various situations, including public transportation.
While there's no single law yet, existing legal frameworks can be used to address unauthorized surveillance devices in public transportation.</t>
  </si>
  <si>
    <t>How is the offense of public conspiracy to commit online scams or cyber fraud addressed under Philippine law?</t>
  </si>
  <si>
    <t>The Philippines has several laws that can address public conspiracy to commit online scams or cyber fraud, even if the conspiracy itself happens offline (in public). Here's how:
* **Republic Act No. 10175 or the Cybercrime Prevention Act of 2012:** This is the main law against online offenses in the Philippines.
* Section 26 of this Act penalizes "conspiracy to commit cybercrime." This applies if multiple people agree to commit a cybercrime, like online scams or fraud. * Section 4(a)(5) also covers "Aiding or abetting in the commission of any of the offenses under this Act." If one person helps plan an online scam (even without directly doing the online part), they can be charged under this section.
* **Revised Penal Code (RPC):** The Philippines' main criminal code can also apply in some cases:
* Article 183 or Conspiracy:** This penalizes people who agree to commit a crime, even if the crime itself isn't carried out. This can apply to public planning of online scams.
* **Article 318 or Swindling:** This covers traditional fraud and deception. If the planned online scam involves deceiving someone to take money or property, this could be applicable.
**Key Points:**
* Planning or conspiring to commit online scams in public can be penalized under Philippine law. * Both the Cybercrime Prevention Act and the Revised Penal Code have provisions that can address this kind of offense.
**Challenges:**
* **Evidence:** Prosecutors need to prove that a public conspiracy to commit an online scam actually existed. Evidence of planning or intent might be needed.
**Recommendations:**
* If you see people planning or discussing what seems like an online scam, report it to the authorities. * Be aware of common online scams and don't share personal information or money easily online.
By combining these laws, Philippine authorities can address public conspiracies to commit online scams and cyber fraud.</t>
  </si>
  <si>
    <t>Philippine law applies equally to both private and public spaces, so engaging in street-level tax evasion or fraudulent financial activities in public can lead to penalties under various laws. Here's a breakdown:
* **Tax Code (Republic Act No. 8424):** This is the main law on taxation in the Philippines. It outlines various tax evasion offenses and their corresponding penalties.
* **Section 252 or Evasion of Taxes:** This covers a wide range of tax evasion activities, including using fake receipts or manipulating documents. Penalties can include imprisonment, fines, and surcharges on the unpaid taxes.
* **Section 253 or Attempt to Evade or Defeat Tax:** This applies to situations where someone tries to avoid paying taxes, even if fully successful. Penalties are similar to Section 252.
* **Revised Penal Code (RPC):** The Philippines' general criminal code also has provisions that can apply:
* **Article 170 or Falsification of Public Documents:** This applies if someone uses fake documents (receipts, invoices) to evade taxes. Penalties can include imprisonment.
* **Article 318 or Swindling:** This covers fraud and deception for personal gain. If someone uses fraudulent means to avoid paying taxes or conduct financial scams in public, this could be applicable. Penalties typically involve fines and imprisonment.
**Challenges:**
* **Catching the Act:** Catching someone in the act of tax evasion or fraud can be difficult, especially on a street level. * **Evidence Gathering:** Gathering enough evidence to prove the crime and the intended tax evasion is crucial for prosecution.
**Recommendations:**
* If you witness someone offering fake receipts or suspecting a street-level financial scam, report it to the authorities. * Businesses and individuals should be responsible taxpayers and avoid any activity that could be construed as tax evasion.
By enforcing these laws, Philippine authorities can deter street-level tax evasion and fraudulent financial activities.</t>
  </si>
  <si>
    <t>How does the law address incidents of street-level assault or harassment based on nationality or citizenship?</t>
  </si>
  <si>
    <t>The Philippines does not have a specific law that directly addresses assault or harassment based solely on nationality or citizenship. However, several existing laws can be used to prosecute such incidents, depending on the nature of the assault or harassment:
* **Revised Penal Code (RPC):** This is the main criminal code and offers a foundation for prosecuting the act itself:
* **Assault and Battery:** Depending on the severity of the physical attack (slight, serious, physical injuries), relevant provisions can be applied. * **Threats and Alarms:** Threats of violence or creating a fearful atmosphere due to nationality can be prosecuted. * **Anti-Discrimination Law (Republic Act No. 10354):** This broader law prohibits discrimination based on various factors, including "national or racial origin." This can be interpreted to encompass harassment based on nationality and could be applied in relevant cases. However, enforcement can be challenging due to the need to prove intent to discriminate.
**Additional Considerations:**
* **Hate Crime Enhancement Law (Republic Act No. 10355):** While not directly applicable to nationality alone, this law enhances penalties for crimes motivated by bias or prejudice. If the assault or harassment is accompanied by racist or discriminatory remarks about the victim's nationality, this law might be considered alongside the above options.
**Challenges:**
* **Intent:** Proving the perpetrator's intent to discriminate based on nationality can be difficult. The harassment might be based on a perceived characteristic or simply a personal dislike.
* **Underreporting:** Street-level incidents might go unreported due to fear of retaliation or a feeling that authorities wouldn't take action.
**Recommendations:**
* If you experience such harassment, report it to the police. Even if the nationality aspect isn't pursued, the assault or harassment itself might be grounds for charges.
* Consider seeking help from NGOs (non-government organizations) that focus on anti-discrimination issues. They can offer support and guidance on how to proceed. **Looking Ahead:** * The Philippines is a signatory to international human rights conventions that promote equality and non-discrimination. This can put pressure on the government to address discrimination based on nationality more effectively.
By combining existing laws and advocating for stronger legal frameworks, the Philippines can better address incidents of street-level assault or harassment based on nationality or citizenship.</t>
  </si>
  <si>
    <t>What legal measures exist to combat street-level environmental offenses, such as improper disposal of hazardous materials?</t>
  </si>
  <si>
    <t>The Philippines has several legal measures to combat street-level environmental offenses, particularly those involving improper disposal of hazardous materials. Here's a breakdown of the key laws and challenges:
**Laws:**
* **Ecological Solid Waste Management Act (Republic Act No. 9003):** This is the primary law for solid waste management, including hazardous materials.
* **Section 27:** This section prohibits the "littering, throwing, dumping of waste products in public places." Improperly disposing of hazardous materials on the street would fall under this provision.
* **Section 30:** This section mandates the "segregation of wastes at source." This means anyone generating hazardous waste needs to handle it appropriately, not dispose of it on the street.
* **Toxic Substances and Hazardous and Nuclear Wastes Control Act (Republic Act No. 6969):** This law focuses specifically on hazardous materials.
* **Section 21:** This section prohibits the "abandonment, dumping or disposal of any toxic or hazardous waste" without following proper procedures. This directly addresses the improper disposal of hazardous materials on the street. * **Local Government Code (Republic Act No. 7160):** This law grants authority to local government units (LGUs) to enact ordinances concerning waste management. Many LGUs have ordinances with specific regulations and penalties for improper waste disposal, including hazardous materials.
**Challenges:**
* **Enforcement:** Effectively catching and prosecuting street-level offenders can be difficult due to resource limitations and the ease with which someone can quickly dispose of hazardous materials.
* **Public Awareness:** Many people might not be aware of the dangers of improper hazardous waste disposal or the legal ramifications.
**Additional Considerations:**
* **Extended Producer Responsibility (EPR) Law (Republic Act No. 11895):** This relatively new law (2022) aims to hold producers responsible for the lifecycle management of their products, including collection and proper disposal. This can incentivize producers to develop better take-back programs for hazardous materials, reducing the likelihood of street-level dumping.
**Recommendations:**
* **Report:** If you see someone improperly disposing of hazardous materials, report it to the authorities (barangay officials, environmental agencies).
* **Proper Disposal:** Encourage proper disposal of hazardous materials by businesses and individuals. * **Community Education:** Support initiatives to educate communities about the dangers of improper hazardous waste disposal and the legal consequences.
By enforcing existing laws, promoting public awareness, and utilizing new regulations like EPR, the Philippines can strengthen its fight against street-level environmental offenses involving hazardous materials.</t>
  </si>
  <si>
    <t>Under what circumstances can a person be charged with public conspiracy to commit terrorism-related offenses on the streets?</t>
  </si>
  <si>
    <t>The Philippines has laws to address public conspiracy to commit terrorism-related offenses. Here's a breakdown of the key points:
**Laws:**
* **Human Security Act of 2007 (Republic Act No. 9372):** This is the main law against terrorism in the Philippines.
* **Section 4 or Conspiracy to Commit Terrorism:** This section penalizes two or more people who "agree to commit terrorism" even if the terrorist act itself isn't carried out. Planning a terror attack in public would be a crime under this section.
* **Revised Penal Code (RPC):** The Philippines' general criminal code can also apply in some cases:
* **Article 183 or Conspiracy:** This penalizes people who agree to commit a crime, even if the crime itself isn't carried out. This can apply to public planning of terrorist acts.
**What constitutes a crime?**
For someone to be charged with public conspiracy to commit terrorism, there needs to be evidence of:
* **Agreement:** There must be proof that multiple people planned or discussed a terrorist attack together in public. * **Specific Intent:** Authorities need to show the intent to cause harm to civilians or public property through violence or intimidation. * **Overt Act:** Simply talking about terrorism might not be enough. There needs to be some concrete action taken in furtherance of the conspiracy, like acquiring materials or scouting locations.
**Challenges:**
* **Gathering Evidence:** Proving a public conspiracy requires evidence of the agreement, intent, and any overt acts. This can be difficult for law enforcement officials.
* **Balance:** There needs to be a balance between protecting national security and upholding freedom of speech. Public discussions or criticisms of government policies might be misinterpreted as planning terrorism.
**Recommendations:**
* **Report:** If you hear or see people planning a terrorist attack in public, report it to the authorities immediately.
* **Be Aware:** Be aware of your surroundings and report any suspicious activity to the proper authorities.
**Remember:** It's important to report any potential threats but also to be mindful that not all discussions are criminal conspiracies.</t>
  </si>
  <si>
    <t>How is the crime of public conspiracy to commit identity theft or financial fraud addressed under Philippine law?</t>
  </si>
  <si>
    <t>The Philippines addresses public conspiracy to commit identity theft or financial fraud through a combination of laws:
* **Republic Act No. 10175 or the Cybercrime Prevention Act of 2012:** This is the primary law for online offenses in the Philippines.
* **Section 26:** This section penalizes "conspiracy to commit cybercrime." This applies if multiple people agree to commit a cybercrime, like identity theft for financial gain. Planning such a crime in public could be considered a conspiracy under this Act.
* **Revised Penal Code (RPC):** The Philippines' main criminal code also has provisions:
* **Article 183 or Conspiracy:** This penalizes people who agree to commit a crime, even if the crime itself isn't carried out. Planning an identity theft or financial scam in public can be seen as conspiracy under this article.
* **Article 318 or Swindling:** This covers traditional fraud and deception for personal gain. If the planned crime involves deceiving someone to steal their identity or money, this article could apply.
* **Republic Act No. 9160 or the Anti-Money Laundering Act (AMLA):** This law combats money laundering activities.
* **Section 4(a):** This section prohibits "conspiracy to commit money laundering." If the identity theft or financial fraud aims to launder money, this section might be relevant depending on the specifics of the planned crime.
**Key Points:**
* Publicly planning or discussing an identity theft or financial scam can be a crime under Philippine law. * The specific law applied depends on the details of the planned crime (online vs. traditional, money laundering involved etc.).
**Challenges:**
* **Evidence:** Prosecutors need to prove that a public conspiracy to commit the crime actually existed. Evidence of planning or intent might be needed.
* **Intent vs. Free Speech:** The line between planning a crime and simply discussing possibilities can be blurry. Authorities need to ensure they don't infringe on freedom of speech.
**Recommendations:**
* If you see or hear people discussing plans for identity theft or financial scams in public, report it to the authorities.
* Be aware of common scams and protect your personal information.
By combining these laws, Philippine authorities can address public conspiracies to commit identity theft or financial fraud.</t>
  </si>
  <si>
    <t>What penalties apply for engaging in the unauthorized sale or distribution of prohibited publications on public transportation?</t>
  </si>
  <si>
    <t>There isn't a single law in the Philippine Constitution or Republic Acts that directly addresses the unauthorized sale or distribution of prohibited publications on public transportation. However, we can look at a combination of laws to understand the potential repercussions:
1. **Revised Penal Code (RPC):** * **Article 171 (Sale, etc., of obscene publications and exhibitions):** This article penalizes the sale or exhibition of obscene publications. If found guilty, the penalty could be imprisonment of up to six months or a fine of up to P500, or both [RPC Article 171].
2. **Special Protection of Children Against Abuse, Exploitation and Discrimination Act (R.A. 7610):** * **Section 5 (Selling, etc., of obscene materials to children):** This section prohibits selling or distributing obscene materials to a minor. Penalties can be imprisonment of up to six years and/or a fine of P100,000 to P300,000 [R.A. 7610 Sec. 5].
3. **Local government ordinances:** * Many localities have ordinances that regulate the conduct of business activities on public transportation. These ordinances may impose fines or penalties for selling or distributing any materials without proper permits.
**Additionally:**
* Philippine Constitution (Article III, Section 14): This guarantees freedom of speech and press. However, this freedom is not absolute and can be limited by law to protect public safety and morals [Constitution Article III, Sec. 14].
**Here's the takeaway:**
While there's no single law mentioning "prohibited publications" on public transport, you could be held liable under the laws mentioned above depending on the content of the publications and whether minors are involved. It's important to note that this is a general overview, and the specific penalties will depend on the exact circumstances. If you're unsure about the content you want to distribute, it's best to consult a lawyer to get specific legal advice.</t>
  </si>
  <si>
    <t>What legal provisions regulate the possession and use of unauthorized surveillance devices in public events?</t>
  </si>
  <si>
    <t>Philippine law doesn't have a single, specific provision that directly addresses unauthorized surveillance devices in public events. However, we can look at a combination of laws that provide some guidelines:
1. **Philippine Constitution (Article III, Section 2):** This section guarantees the right to privacy. This can be interpreted to encompass protection from unauthorized surveillance [Constitution Article III, Sec. 2].
2. **Republic Act No. 3877 (Anti-Wiretapping Law):** This law prohibits the interception and recording of communication without the consent of all parties involved. While it primarily focuses on telephone conversations, it can be argued to extend to other forms of capturing communication or data [R.A. 3877].
3. **Republic Act No. 10173 (Data Privacy Act of 2012):** This law protects the collection, use, storage, and disclosure of personal information. If a surveillance device captures personal information in a public event, this law might be applicable [R.A. 10173].
4. **Revised Penal Code (RPC):** * **Article 260 (Unlawful Intrusion):** This article penalizes trespass and could be interpreted to apply to someone placing a surveillance device on private property without permission [RPC Article 260] * **Article 177 (Escolta):** This article prohibits gathering information for the purpose of blackmail or extortion. If someone uses a surveillance device to gather such information, this could be a violation [RPC Article 177]. **Important to Consider:**
* The specific legal provision that applies would depend on the nature of the surveillance device, the information it captures, and the intent behind its use. * There might be areas where there's limited expectation of privacy, like public streets. However, the use of the device and the information collected would still need to comply with the abovementioned laws.
**Recommendation:**
If you encounter unauthorized surveillance devices in a public event, you can report them to the authorities. You can also consult a lawyer to understand your rights and potential legal options depending on the specific circumstances.</t>
  </si>
  <si>
    <t>How does Philippine law address incidents of street-level assault or harassment based on sexual orientation or gender identity?</t>
  </si>
  <si>
    <t>Philippine law doesn't have a specific law that directly addresses street-level assault or harassment solely based on sexual orientation or gender identity (SOGI). However, there are existing laws that can be used to prosecute such incidents:
1. **Revised Penal Code (RPC):**
* **Crimes against persons:** This category includes assault, battery, and threats which can be used to prosecute the physical aspect of the assault or harassment [RPC Book 2, Title I].
* **Article 185 (Alarms and Scandals):** This can be applicable if the harassment involves offensive remarks or gestures causing alarm or scandal [RPC Article 185].
2. **Anti-Discrimination Laws:**
* While there's no law solely focused on SOGI discrimination, you can potentially use Republic Act No. 9262 (**An Act to Eliminate Discrimination Against Persons with Disability**): * This law prohibits discrimination based on a person's "being a person with disability" which can be interpreted to include discrimination based on a person's perceived disability. Some SOGI characteristics might be perceived as disabilities [R.A. 9262].
3. **Local Government Ordinances:**
* Many localities have passed anti-discrimination ordinances that may encompass SOGI. These ordinances can provide a legal basis for prosecuting harassment based on sexual orientation or gender identity.
**Challenges and Developments:**
* The Philippines lacks a comprehensive anti-discrimination law that explicitly includes SOGI. This makes it more difficult to prosecute harassment solely based on SOGI identity.
* However, there are ongoing efforts to pass the **SOGIE Equality Bill** which would prohibit discrimination on the basis of sexual orientation and gender identity. While not yet a law, its existence shows the potential for future legal protection.
**Recommendations:**
* If you experience street-level assault or harassment based on SOGI, report it to the authorities. You can file a police report and highlight the SOGI aspect of the incident.
* Seek legal help from an organization that advocates for LGBTQIA+ rights. They can provide guidance on how to pursue legal action based on existing laws.</t>
  </si>
  <si>
    <t>Philippine law doesn't have specific penalties for engaging in street-level tax evasion or fraudulent financial activities solely because they occur in public spaces. However, the act itself can be prosecuted under existing tax and fraud laws:
**Tax Evasion:**
* **Tax Code (Republic Act No. 8424):** This law outlines various tax offenses and their corresponding penalties. Here are some relevant sections:
* **Section 255 (Fraudulent Tax Evasion):** This carries a penalty of imprisonment of up to ten years and a fine amounting to not less than double the tax due [R.A. 8424 Sec. 255]. * **Section 256 (Willful Failure to File Tax Return or Pay Tax):** This can lead to imprisonment of up to two years and fines [R.A. 8424 Sec. 256].
**Important to Note:**
* The specific penalties for tax evasion will depend on the severity of the offense and the amount of taxes evaded. * Public space activity might be used as evidence to prove the intent of tax evasion, but the location itself doesn't change the underlying offense.
**Fraudulent Financial Activities:**
* **Revised Penal Code (RPC):** * **Article 315 (Estafa):** This is the general provision for fraud. The penalty depends on the amount of damage caused by the fraud [RPC Article 315].
* **Article 178 (Falsification of Commercial Documents):** This applies if fraudulent documents are used in financial activities [RPC Article 178]
* **Special Laws:** * Depending on the specific fraudulent activity, other laws like the **Bouncing Checks Law (R.A. 4472)** or the **Securities Regulation Code (R.A. 8728)** might be applicable with their own set of penalties.
**Key Points:**
* The focus is on the fraudulent activity itself, not the location (public space). * Evidence gathered from the public space can be used to build a case against the perpetrator.
**Recommendation:**
If you encounter someone engaging in suspected tax evasion or fraudulent financial activities, you can report them to the authorities. You can also report suspected tax violations to the Bureau of Internal Revenue (BIR).</t>
  </si>
  <si>
    <t>How is the offense of public conspiracy to commit human trafficking or illegal recruitment addressed under Philippine law?</t>
  </si>
  <si>
    <t>Philippine law takes a strong stance against human trafficking and illegal recruitment. Here's how public conspiracy to commit these offenses is addressed:
**Human Trafficking:**
* **Anti-Trafficking in Persons Act (Republic Act No. 9208):** This law defines and penalizes various forms of trafficking, including sex trafficking and labor trafficking.
* **Section 6 (Acts of Trafficking in Persons):** This section outlines different acts of trafficking, and conspiracy to commit any of these acts is punishable. Penalties can range from life imprisonment to 12 years imprisonment, depending on the specific offense [R.A. 9208 Sec. 6].
* **Section 7 (Conspiracy to Commit Trafficking in Persons):** This section explicitly mentions conspiracy as a punishable offense. The penalty is imprisonment of up to 12 years [R.A. 9208 Sec. 7].
**Illegal Recruitment:**
* **Anti-Illegal Recruitment Act (Republic Act No. 8042):** This law prohibits illegal recruitment practices. * **Section 18 (Conspiracy to Commit Illegal Recruitment):** Similar to the Anti-Trafficking in Persons Act, this section penalizes conspiracy to commit illegal recruitment with imprisonment of up to six years [R.A. 8042 Sec. 18]. **Public Aspect:**
* While the law doesn't differentiate penalties based on whether the conspiracy is done publicly or privately, the fact that it happens in public can be used as evidence. Public planning or recruiting can be seen as a more brazen act with potentially more victims targeted.
**Important to Remember:**
* Philippine law considers conspiracy a serious offense because it signifies a planned criminal act. **Recommendations:**
If you encounter a public gathering that seems suspicious of planning human trafficking or illegal recruitment, report it to the authorities immediately. You can contact the National Bureau of Investigation (NBI) or PNP Anti-Trafficking in Persons Division (PNP-ATPD).</t>
  </si>
  <si>
    <t>What legal measures exist to combat street-level environmental offenses, such as improper disposal of electronic waste?</t>
  </si>
  <si>
    <t>The Philippines has several legal measures to combat street-level environmental offenses, including improper disposal of electronic waste (e-waste). Here's a breakdown of relevant laws:
**Republic Act No. 6969 (Toxic Substances and Hazardous Wastes Control Act of 1992):** * This is the primary law regulating hazardous waste, which includes e-waste.
* **Section 14 (Illegal Importation, Manufacture, Sale, Distribution, Transportation, Storage, Collection, Treatment, Disposal, or Abandonment of Toxic and Hazardous Wastes):** This section prohibits the improper disposal of e-waste. Penalties can include imprisonment of up to 12 years and a fine of up to P1 million [R.A. 6969 Sec. 14].
* **Section 25 (Enforcement and Monitoring):** This section empowers the Department of Environment and Natural Resources (DENR) to enforce the law and apprehend violators.
**Republic Act No. 8749 (Clean Air Act of 1999):**
* While not directly targeting e-waste, this law can be relevant if improper disposal involves burning or releasing harmful pollutants.
* **Section 20 (Prohibited Acts):** This section prohibits acts like open burning, which some might resort to for improper e-waste disposal. Penalties depend on the nature of the violation [R.A. 8749 Sec. 20].
**Local Government Ordinances:**
* Many localities have passed specific ordinances on waste management, including e-waste. These ordinances often set specific guidelines for proper disposal and impose fines for violations.
**Challenges:**
* Enforcement can be a challenge, especially for catching the act of improper disposal on the street level.
* Limited awareness about proper e-waste disposal can contribute to the problem. **Recommendations:**
* If you witness someone improperly disposing of e-waste, report it to the authorities like the barangay officials or DENR.
* Support initiatives that raise awareness about responsible e-waste disposal options. **Additional Initiatives:**
* The government, in collaboration with private entities, has established e-waste collection programs to provide proper disposal channels. You can look for these programs in your area.</t>
  </si>
  <si>
    <t>Under Philippine law, particularly under the Omnibus Election Code (Batas Pambansa Blg. 881), individuals can be charged with public conspiracy to commit election-related offenses on the streets under the following circumstances:
1. **Participation in an Election Conspiracy:** If a person actively participates in a conspiracy with others to commit election-related offenses on the streets, such as vote-buying, voter intimidation, or disrupting the electoral process, they may be charged with public conspiracy.
2. **Agreement to Commit Illegal Acts:** If there is evidence that individuals have agreed or conspired to engage in illegal activities related to elections while in public places, they can be charged with conspiracy. This agreement may be implied or explicit and can be inferred from their actions, communications, or other forms of coordination.
3. **Joint Action:** If individuals engage in coordinated actions aimed at influencing the outcome of an election through unlawful means while on the streets, they may be charged with conspiracy. This could include actions such as distributing fraudulent ballots, blocking access to polling places, or engaging in violent acts to disrupt the voting process.
4. **Promotion of Election Offenses:** If individuals promote or encourage others to commit election-related offenses in public places, whether through speech, distribution of materials, or other means, they may be charged with conspiracy if there is evidence of their involvement in planning or facilitating such acts.
5. **Evidence of Coordination:** If there is evidence of coordination or collaboration among individuals or groups to commit election-related offenses on the streets, such as through communication, planning meetings, or joint operations, they may be charged with conspiracy.
It's important to note that the burden of proof lies with the prosecution to establish the existence of a conspiracy and the participation of individuals in it. Charges of public conspiracy to commit election-related offenses on the streets are subject to due process, and individuals accused of such offenses have the right to defend themselves in court.</t>
  </si>
  <si>
    <t>How does the law address incidents of street-level assault or harassment based on religious beliefs or practices?</t>
  </si>
  <si>
    <t>The Philippines has laws in place to protect against assaults and harassment based on religious beliefs or practices. Here's a breakdown of how they might apply:
* **Revised Penal Code:** This covers general assault and harassment crimes. * Assault (Article 260) can be physical violence or threat of violence upon a person. * Harassment (Article 282) involves acts that cause annoyance, inconvenience, or alarm. * **Anti-Discrimination Law (Republic Act No. 11313):** This specifically addresses discrimination based on religious beliefs. * It prohibits acts that result in disadvantage or prejudice due to religion. This can include harassment and assault motivated by religious bias.
**Here's how these might apply in your situation:**
* If you are physically attacked or threatened because of your religion, you can file charges for assault under the Revised Penal Code.
* If you are subjected to unwanted comments, insults, or intimidation due to your religious beliefs, you can file harassment charges under the Revised Penal Code and potentially claim discrimination under the Anti-Discrimination Law.
**For further assistance:**
* You can contact the Philippine National Police (PNP) [https://pnp.gov.ph/](https://pnp.gov.ph/).
* You can seek advice from the Commission on Human Rights (CHR) [https://chr.gov.ph/](https://chr.gov.ph/).
* You can consult with a lawyer specializing in criminal or anti-discrimination law.
Remember, you have the right to practice your religion freely and without fear of violence or harassment. There are legal protections available, so don't hesitate to seek help if you are a victim of such a crime.</t>
  </si>
  <si>
    <t>What penalties apply for engaging in the unauthorized sale or distribution of prohibited or obscene materials in public parks?</t>
  </si>
  <si>
    <t>In the Philippines, the penalties for selling or distributing prohibited or obscene materials in public parks can be addressed by two main laws:
1. **Revised Penal Code:** This covers violations of public morals and good customs.
* **Article 315:** This article penalizes the publication or exhibition of any obscene materials. Obscene materials are defined as those that are offensive to common decency or tend to corrupt the morals of the public. Penalties can include imprisonment of up to 6 months and a fine. 2. **Local Ordinances:** Many cities and municipalities have their own ordinances that regulate activities in public parks. These ordinances may specifically prohibit the sale or distribution of obscene materials. Penalties can vary depending on the specific ordinance but typically involve fines or confiscation of materials.
Here's a breakdown of possible consequences:
* **Fines:** You could face fines mandated by the national Revised Penal Code and potentially additional fines from local ordinances.
* **Imprisonment:** In severe cases, imprisonment for a short period is possible under the Revised Penal Code.
* **Confiscation:** Authorities might confiscate any prohibited or obscene materials you're trying to sell or distribute.
**It's important to note that the definition of "obscene materials" can be subjective.** If you're unsure whether something qualifies, it's best to err on the side of caution and avoid selling it in public parks.
Here are some resources for further information:
* **The Revised Penal Code:** You can find the full text of the Revised Penal Code online through various legal information websites. * **Local government websites:** Most city and municipal government websites will have information on their local ordinances, including those related to public parks.
Remember, following the law and respecting public spaces is important.</t>
  </si>
  <si>
    <t>What legal provisions regulate the possession and use of unauthorized surveillance devices in public places of worship?</t>
  </si>
  <si>
    <t>There isn't a single, specific law in the Philippines that solely addresses unauthorized surveillance devices in places of worship. However, several legal provisions can be interpreted to regulate such actions:
* **The Right to Privacy (Article III, Section 7 of the Philippine Constitution):** This guarantees the right of the people to be secure in their persons, houses, papers, and effects against unreasonable searches and seizures. Places of worship can be considered an extension of a person's privacy, especially during prayer or confession.
* **Anti-Wiretapping Law (Republic Act No. 3875):** This law prohibits the interception, recording, or transmission of communication without the consent of all parties involved. While traditionally focused on telephone communications, it can be argued to extend to audio or video recordings made without consent in a place of worship.
* **Conspiracy to Commit a Crime (Article 8 of the Revised Penal Code):** If the purpose of surveillance is to gather information to commit a crime in the place of worship (e.g., robbery, kidnapping), this can be considered conspiracy.
Here's how these provisions might be applied:
* **Secret Recordings:** If someone secretly records conversations or activities in a place of worship without the consent of those involved, they could be violating the right to privacy and potentially the Anti-Wiretapping Law.
* **Malicious Intent:** The intent behind the surveillance plays a role. If the purpose is to gather information for criminal activity, it could be considered conspiracy.
**Important Points to Consider:**
* **Consent:** If those being recorded in a place of worship provide their consent, then there might not be a legal violation. * **Public vs. Private Spaces:** Public areas within a place of worship (e.g., lobbies) might have different legal considerations compared to confession booths or private prayer areas.
**Recommendations:**
* Places of worship can establish clear policies regarding recording or surveillance devices within their premises.
* If you suspect unauthorized surveillance, you can report it to the police. * Consulting with a lawyer specializing in privacy law can provide more specific guidance based on your situation.
While there's no single law directly addressing unauthorized surveillance devices in places of worship, the Philippines has legal principles protecting privacy and communication that can be applied in such situations.</t>
  </si>
  <si>
    <t>How is the crime of public conspiracy to commit online scams or cyber fraud addressed under Philippine law?</t>
  </si>
  <si>
    <t>Public conspiracy to commit online scams or cyber fraud can be addressed under several Philippine laws, here's a breakdown:
* **Republic Act No. 10175 or the Cybercrime Prevention Act of 2012:** This is the primary law that deals with online offenses in the Philippines.
* **Section 4(c)(4):** This section penalizes conspiracy to commit any cybercrime. Cyber fraud is defined under the law, and penalties can include imprisonment of up to ten (10) years and a fine of up to Php One Million (PhP 1,000,000.00).
* **Article 8 of the Revised Penal Code:** This covers the crime of conspiracy to commit a crime. While the Revised Penal Code predates cybercrime, it can be applied in conjunction with the Cybercrime Prevention Act to strengthen the case against those plotting online scams.
**Here's how these laws work together:**
* **Planning and Agreement:** For conspiracy to apply, there must be proof that multiple people agreed to plan or commit the online scam or cyber fraud. * **Online Acts:** Philippine law applies to online acts that target or have effects within the Philippines.
**Examples of Public Conspiracy:**
* Two or more people openly discussing plans to launch a phishing scheme through social media.
* A group recruiting individuals to participate in online investment scams.
**Penalties:**
* Those found guilty of conspiracy to commit cyber fraud can face imprisonment and fines as stipulated in the Cybercrime Prevention Act.
**What to do if you encounter a Public Conspiracy:**
* Report it to the authorities. The Philippine National Police (PNP) has a special unit dedicated to cybercrime ([https://acg.pnp.gov.ph/](https://acg.pnp.gov.ph/)).
* Gather evidence if possible, such as screenshots of online conversations or postings about the scam.
**Remember:** Philippine law actively pursues online crimes. If you are aware of a public conspiracy to commit online scams or cyber fraud, reporting it can help protect potential victims.</t>
  </si>
  <si>
    <t>Philippine law takes tax evasion and fraudulent financial activities seriously, and even street-level offenses conducted in public spaces can result in significant penalties. Here's a breakdown of the relevant laws and potential consequences:
**Tax Evasion:**
* **Tax Code (Republic Act No. 8424):** This is the primary law that governs taxation in the Philippines.
* **Section 253:** This section penalizes fraudulent tax evasion, which can include unreported income or manipulated documents, with imprisonment of up to ten (10) years and hefty fines.
* **Section 275:** Even less severe offenses like late filing of tax returns or non-payment of taxes can incur penalties including surcharges and possible imprisonment.
**Fraudulent Financial Activities:**
* **Revised Penal Code:** This covers various fraudulent activities that can be relevant to street-level scams.
* **Falsification of Public Documents (Article 185):** If someone uses fake IDs or documents to conduct financial transactions illegally in public spaces, this law applies. Penalties can include imprisonment of up to six (6) years.
* **Estafa (Article 315):** This refers to any act of deceit to gain financial advantage. Deceptive sales or scams conducted in public spaces can be prosecuted under estafa, with penalties ranging from imprisonment of up to fourteen (14) years and fines.
**Important to Consider:**
* **Public vs. Private:** The fact that the crime takes place in a public space might not significantly affect the penalty but could make apprehension by authorities more likely.
* **Severity of Offense:** Penalties will vary depending on the severity of the tax evasion or fraudulent activity. Simple non-payment of taxes might have different consequences compared to an elaborate public scam.
**Recommendations:**
* If you witness a crime in progress, report it to the authorities. * If you suspect you are a victim of tax fraud or a financial scam, seek legal counsel to understand your options.
* Comply with tax regulations and avoid any activity that could be construed as fraudulent.
By following Philippine laws and reporting suspicious activity, you can help ensure a fairer financial environment for everyone.</t>
  </si>
  <si>
    <t>How does Philippine law address incidents of street-level assault or harassment based on cultural or ethnic background?</t>
  </si>
  <si>
    <t>The Philippines does not have a single law that specifically addresses street-level assault or harassment solely based on cultural or ethnic background. However, there are existing laws that can be applied in such situations:
* **Revised Penal Code:** This covers general crimes that can be motivated by cultural or ethnic bias.
* **Assault (Article 260):** This applies if there's physical violence or threat of violence on a person due to their cultural or ethnic background.
* **Harassment (Article 282):** This covers acts causing annoyance, inconvenience, or alarm that stem from cultural or ethnic prejudice.
* **Anti-Discrimination Law (Republic Act No. 11313):** This law prohibits discrimination based on various grounds, including ethnicity. While it doesn't explicitly mention street-level incidents, it can be used to strengthen a case if harassment stems from cultural or ethnic origin.
**Here's how these laws can be used:**
* **Physical Assault:** If you are physically attacked because of your cultural or ethnic background, you can press charges for assault under the Revised Penal Code.
* **Verbal Harassment:** If you are subjected to unwanted comments, insults, or intimidation due to your cultural or ethnic background, you can file harassment charges under the Revised Penal Code and potentially claim discrimination under the Anti-Discrimination Law. **Challenges and Considerations:**
* **Intent:** Proving the perpetrator's intent to discriminate based on cultural or ethnic background can be difficult. * **Severity:** The Revised Penal Code categorizes assault and harassment based on severity. Minor incidents might be harder to prosecute.
**Recommendations:**
* **Document the incident:** If possible, gather evidence like photos, videos, or witness testimonies.
* **Report to authorities:** File a police report to document the harassment or assault. * **Seek legal help:** A lawyer specializing in criminal or anti-discrimination law can offer specific guidance based on your situation.
While there's no single law specifically targeting cultural or ethnic bias in street-level incidents, existing laws can provide recourse for victims. Reporting such incidents and seeking legal help are important steps towards achieving justice.</t>
  </si>
  <si>
    <t>What legal measures exist to combat street-level environmental offenses, such as improper disposal of hazardous materials in public places?</t>
  </si>
  <si>
    <t>The Philippines has several legal measures in place to combat street-level environmental offenses, particularly the improper disposal of hazardous materials in public places. Here's a breakdown of the relevant laws and how they can be enforced:
**Environmental Laws:**
* **Republic Act No. 6969 or the Toxic Substances and Hazardous Wastes Control Act of 1990:** This is the primary law that regulates hazardous materials in the Philippines.
* **Section 26:** This section specifically prohibits the improper disposal of hazardous wastes. Penalties include imprisonment of up to ten (10) years and hefty fines.
* **Section 27:** It also mandates proper storage and transport of hazardous materials. Violations can result in imprisonment and fines.
* **Ecological Solid Waste Management Act (Republic Act No. 9003):** This law focuses on proper waste management practices.
* **Section 4:** This section classifies different types of waste, including hazardous waste. Improper disposal of any classified waste type is an offense.
* **Section 21:** The law empowers local government units (LGUs) to implement specific regulations and penalties for waste management violations.
**Enforcement:**
* **Environmental Management Bureau (EMB):** This government agency under the Department of Environment and Natural Resources (DENR) is responsible for enforcing environmental laws. They can conduct inspections, apprehend violators, and file cases.
* **Local Government Units (LGUs):** Cities and municipalities have the authority to enact ordinances specific to their areas. These ordinances can detail proper waste management practices and corresponding penalties for violations, including street-level offenses. * **Barangay Eco Officers:** Barangays (the smallest unit of local government) may have designated eco officers who can monitor waste disposal practices and report violations to proper authorities.
**What you can do:**
* **Report improper disposal:** If you witness someone dumping hazardous materials in public places, report it to the EMB, your local barangay captain, or the local environmental office. * **Be informed:** Familiarize yourself with waste segregation and disposal regulations in your area.
**Remember:** By following proper waste disposal practices and reporting violations, you can help keep your community clean and protect the environment.</t>
  </si>
  <si>
    <t>Under what circumstances can a person be charged with public conspiracy to commit terrorism-related offenses in public transportation?</t>
  </si>
  <si>
    <t>The Philippines has strong laws against terrorism and conspiracy to commit such acts. Here's what you need to know about public conspiracy related to terrorism on public transportation:
**Law and Penalties:**
* **Republic Act No. 9514 or the Anti-Terrorism Act of 2007:** This is the primary law that defines and penalizes terrorism in the Philippines.
* **Section 4:** This section defines terrorism as acts that cause violence or fear with the intention of intimidating the public or coercing a government or international organization. * **Section 6:** This section covers conspiracy to commit terrorism. If two or more people agree to plan or carry out a terrorist act, they can be charged with conspiracy even if the act itself is not completed. Penalties can be severe, including life imprisonment.
**Public Transportation:**
* Public transportation is specifically mentioned in the Anti-Terrorism Act. Planning an attack on a bus, train, airplane, or any other form of public transportation would be considered a serious offense.
**Public Conspiracy:**
* To be charged with public conspiracy, the planning or agreement to commit a terrorist act must be done openly or in a way that can be easily overheard or discovered by others. * Mere private discussions without concrete plans or actions might not be enough for public conspiracy charges. **Evidence Required:**
* Law enforcement needs proof of the agreement to commit a terrorist act. This evidence can include recordings of conversations, witness testimonies, or documents outlining the plan.
**Importance of Reporting:**
* If you suspect or overhear discussions about planning a terrorist attack on public transportation, report it immediately to the authorities. You can contact the Philippine National Police (PNP) hotline 186 or report it to any law enforcement agency.
**Remember:** Public safety is paramount. By understanding the law and reporting suspicious activity, you can help prevent terrorist attacks and keep yourself and others safe.</t>
  </si>
  <si>
    <t>Philippine law takes public conspiracy to commit identity theft or financial fraud very seriously. Here's how existing laws can address this offense:
**Laws and Penalties:**
* **Republic Act No. 10175 or the Cybercrime Prevention Act of 2012:** This is the primary law for online offenses in the Philippines.
* **Section 4(c)(4):** This section penalizes conspiracy to commit any cybercrime. Identity theft and some forms of financial fraud can involve cybercrime elements, making this section applicable. Penalties include imprisonment of up to ten (10) years and a fine of up to Php 1 Million (PhP 1,000,000.00).
* **Article 8 of the Revised Penal Code:** This covers the general crime of conspiracy to commit a crime. Even if the identity theft or financial fraud doesn't involve cybercrime aspects, conspiracy can still apply. Penalties would depend on the severity of the planned crime.
**Public vs. Private Conspiracy:**
* **Public Conspiracy:** This refers to planning the crime openly or in a way that can be overheard or discovered by others. Public discussions about stealing identities or committing financial scams can qualify as public conspiracy.
* **Private Conspiracy:** While planning in private isn't punishable on its own, it can be used as evidence if authorities uncover the plot through other means.
**What constitutes evidence:**
* Law enforcement will look for proof of the agreement to commit the crime. This can include:
* Recordings of conversations * Text messages or online chats about the plan
* Documents outlining how they would steal identities or commit fraud
**Importance of Reporting:**
* If you witness or overhear a public conspiracy to commit identity theft or financial fraud, report it to the authorities. * Philippine National Police (PNP) hotline 186
* National Bureau of Investigation (NBI)
* Report it to any law enforcement agency
**Remember:** By reporting suspicious activity, you can help prevent these crimes and protect potential victims.</t>
  </si>
  <si>
    <t>What penalties apply for engaging in the unauthorized sale or distribution of prohibited publications in public markets?</t>
  </si>
  <si>
    <t>The penalties for selling or distributing prohibited publications in public markets of the Philippines can be addressed by two main sources:
1. **National Law:** * **Revised Penal Code:** This covers violations of public morals and good customs.
* **Article 315:** This article penalizes the publication or exhibition of any obscene materials. Obscene materials are defined as those that are offensive to common decency or tend to corrupt the morals of the public. This could include materials promoting violence, hate speech, or illegal activities. Penalties can include imprisonment of up to 6 months and a fine.
2. **Local Ordinances:** * Many cities and municipalities have their own ordinances that regulate activities in public markets. These ordinances may specifically prohibit the sale or distribution of obscene materials, publications that endanger public safety (like bomb-making manuals), or those that violate intellectual property rights (like pirated books or movies). Penalties can vary depending on the specific ordinance but typically involve fines or confiscation of materials.
Here's a breakdown of possible consequences:
* **Fines:** You could face fines mandated by the national Revised Penal Code and potentially additional fines from local ordinances. * **Imprisonment:** In severe cases, especially for repeat offenders or dealing in particularly harmful materials, imprisonment for a short period is possible under the Revised Penal Code.
* **Confiscation:** Authorities might confiscate any prohibited publications you're trying to sell or distribute.
**It's important to note that the definition of "prohibited publications" can be subjective.** Here are some additional considerations:
* **Content vs. Copyright:** While some content might be deemed obscene under the Revised Penal Code, it might not violate copyright laws. * **Local Variations:** What's considered prohibited can vary by location. It's best to check with your local market administration or business licensing office for specific regulations.
**Here are some resources for further information:**
* **The Revised Penal Code:** You can find the full text of the Revised Penal Code online through various legal information websites.
* **Local government websites:** Most city and municipal government websites will have information on their local ordinances, including those related to public markets.
Remember, following the law and respecting public spaces is important. If you're unsure about the legality of materials you want to sell, it's best to err on the side of caution and avoid doing so in public markets.</t>
  </si>
  <si>
    <t>What legal provisions regulate the possession and use of unauthorized surveillance devices in public spaces near schools?</t>
  </si>
  <si>
    <t>The Philippines doesn't have a single, specific law solely addressing unauthorized surveillance devices in public spaces near schools. However, several legal provisions can be interpreted to regulate such actions:
**1. Right to Privacy (Article III, Section 7 of the Philippine Constitution):**
This guarantees the right of the people to be secure in their persons, houses, papers, and effects against unreasonable searches and seizures. Public spaces near schools, especially areas where students congregate, can be considered an extension of a person's privacy, particularly during breaks or after school hours.
**2. Anti-Wiretapping Law (Republic Act No. 3875):**
This law prohibits the interception, recording, or transmission of communication without the consent of all parties involved. While traditionally focused on telephone communications, it can be argued to extend to audio or video recordings made without consent in public spaces near schools. This would be relevant if the surveillance device captures conversations of students or teachers.
**3. Child Protection Laws:**
* **Republic Act No. 9995 or the Anti-Trafficking in Persons Act of 2010:** This law protects children from all forms of exploitation, including those that could be facilitated through unauthorized surveillance. If the purpose of the surveillance is suspected to be malicious and endanger children, this law can be invoked.
* **Republic Act No. 10175 or the Cybercrime Prevention Act of 2012 (Section 5):** This protects children from online sexual abuse and exploitation. While not directly applicable to physical surveillance devices, it highlights the importance of protecting children from any form of monitoring that could be used for malicious purposes.
**Important Considerations:**
* **Consent:** If those being recorded in public spaces near schools provide their consent, then there might not be a legal violation. However, obtaining consent from students, especially minors, can be complicated. * **Public vs. Semi-Private Spaces:** Public sidewalks or streets might have different legal considerations compared to school grounds or areas with restricted access.
**Recommendations:**
* Schools can establish clear policies regarding unauthorized surveillance devices within their vicinity and surrounding areas. * If you suspect unauthorized surveillance near a school, you can report it to the authorities. * Parents and guardians can be informed about potential risks and educated about their rights regarding their children's privacy in public spaces.
**While there's no single law directly addressing unauthorized surveillance devices in public spaces near schools, the Philippines has legal principles protecting privacy and communication that can be applied in such situations. Combining these principles with child protection laws can provide a strong basis for addressing unauthorized surveillance that poses a threat to privacy or safety.**</t>
  </si>
  <si>
    <t>How does the law address incidents of street-level assault or harassment based on political affiliation or opinion?</t>
  </si>
  <si>
    <t>The Philippines does not have a specific law that directly addresses street-level assault or harassment solely based on political affiliation or opinion. However, existing laws can be used to address such incidents:
**Revised Penal Code:** This covers general crimes that can be motivated by political affiliation or opinion:
* **Assault (Article 260):** This applies if there's physical violence or threat of violence on a person due to their political views.
* **Harassment (Article 282):** This covers acts causing annoyance, inconvenience, or alarm that stem from political prejudice. **Anti-Discrimination Law (Republic Act No. 11313):** While not explicitly mentioning political affiliation, it prohibits discrimination based on "expression" which can be interpreted to include political views. This law can strengthen a case if harassment is based on political beliefs.
Here's how these laws can be used:
* **Physical Assault:** If you are physically attacked because of your political affiliation or views, you can press charges for assault under the Revised Penal Code.
* **Verbal Harassment:** If you are subjected to unwanted comments, insults, or intimidation due to your political views, you can file harassment charges under the Revised Penal Code and potentially claim discrimination under the Anti-discrimination Law.
**Challenges and Considerations:**
* **Intent:** Proving the perpetrator's intent to discriminate based solely on political affiliation can be difficult. There might be overlapping factors like personal animosity.
* **Severity:** The Revised Penal Code categorizes assault and harassment based on severity. Minor incidents might be harder to prosecute.
**Recommendations:**
* **Document the incident:** If possible, gather evidence like photos, videos, or witness testimonies. This strengthens your case.
* **Report to authorities:** File a police report to document the harassment or assault. * **Seek legal help:** A lawyer specializing in criminal or anti-discrimination law can offer specific guidance based on your situation. They can advise on the best course of action considering the specific details of your case.
**Additionally:**
* Some local government units (LGUs) might have ordinances that specifically address violence or harassment related to political campaigning or activities within their jurisdiction. It's worth checking with your local government for any such regulations.
While a specific law addressing political affiliation doesn't exist, existing laws provide recourse for victims. Reporting incidents, documenting evidence, and seeking legal help are crucial steps towards achieving justice.</t>
  </si>
  <si>
    <t>The Philippines takes tax evasion and fraudulent financial activities seriously, and even street-level offenses conducted in public spaces can result in significant penalties. Here's a breakdown of the relevant laws and potential consequences:
**Tax Evasion:**
* **Tax Code (Republic Act No. 8424):** This is the primary law that governs taxation in the Philippines.
* **Section 253:** This section penalizes fraudulent tax evasion, which can include unreported income or manipulated documents, with imprisonment of up to ten (10) years and hefty fines. * **Section 275:** Even less severe offenses like late filing of tax returns or non-payment of taxes can incur penalties including surcharges and possible imprisonment.
**Fraudulent Financial Activities:**
* **Revised Penal Code:** This covers various fraudulent activities that can be relevant to street-level scams.
* **Falsification of Public Documents (Article 185):** If someone uses fake IDs or documents to conduct financial transactions illegally in public spaces, this law applies. Penalties can include imprisonment of up to six (6) years.
* **Estafa (Article 315):** This refers to any act of deceit to gain financial advantage. Deceptive sales or scams conducted in public spaces can be prosecuted under estafa, with penalties ranging from imprisonment of up to fourteen (14) years and fines.
**Important Considerations:**
* **Public vs. Private:** The fact that the crime takes place in a public space might not significantly affect the penalty but could make apprehension by authorities more likely. Public visibility can raise suspicion and lead to quicker intervention.
* **Severity of Offense:** Penalties will vary depending on the severity of the tax evasion or fraudulent activity. Simple non-payment of minor taxes might have different consequences compared to an elaborate public scam involving significant sums of money.
**Recommendations:**
* **If you witness a crime in progress, report it to the authorities.** * Philippine National Police (PNP): Their hotline is 186.
* **If you suspect you are a victim of tax fraud or a financial scam, seek legal counsel** to understand your options and potentially pursue compensation.
* **Comply with tax regulations and avoid any activity that could be construed as fraudulent.** By following Philippine laws and reporting suspicious activity, you can help ensure a fairer financial environment for everyone.</t>
  </si>
  <si>
    <t>The Philippines has strong laws against human trafficking and illegal recruitment, and public conspiracy to commit these crimes is taken very seriously. Here's how Philippine law addresses this specific offense:
**Relevant Laws:**
* **Republic Act No. 9208 or the Anti-Trafficking in Persons Act of 2003, as amended by RA 10364:** This is the primary law against human trafficking.
* **Section 6:** This section penalizes trafficking in persons, which can involve recruitment, transportation, harboring, or utilizing a person through force, fraud, coercion, or deception. * **Section 4(a):** This section specifically mentions conspiracy to commit any of the acts of trafficking in persons.
* **Republic Act No. 8042 or the Migrant Workers and Overseas Filipinos Act of 1995:** This law protects Filipino workers going abroad.
* **Section 18:** This section prohibits illegal recruitment practices.
* **Section 20:** Similar to the Anti-Trafficking in Persons Act, it also penalizes conspiracy to commit illegal recruitment.
**Public Conspiracy:**
* This refers to planning or agreeing to commit a crime openly or in a way that can be overheard or discovered by others. Public discussions about recruiting people for forced labor, sexual exploitation, or other forms of trafficking in a public space can be considered public conspiracy.
**Penalties:**
* Penalties for human trafficking and illegal recruitment can be severe, including life imprisonment and hefty fines. * The specific penalties for public conspiracy will depend on the intended severity of the trafficking or illegal recruitment offense that was being planned.
**How to Report:**
* If you suspect or overhear discussions about planning human trafficking or illegal recruitment in public, report it immediately to the authorities. * Philippine National Police (PNP) hotline 186
* Inter-Agency Council Against Trafficking (IACAT)
* Bureau of Immigration (BI)
**Remember:** Public safety and the protection of vulnerable individuals are paramount. By understanding the law and reporting suspicious activity, you can help prevent human trafficking and illegal recruitment.</t>
  </si>
  <si>
    <t>What legal measures exist to combat street-level environmental offenses, such as improper disposal of electronic waste in public areas?</t>
  </si>
  <si>
    <t>The Philippines has several legal measures in place to combat the improper disposal of electronic waste (e-waste) in public areas, classified as a form of street-level environmental offense. Here's a breakdown of the relevant laws and how they can be enforced:
**Environmental Laws:**
* **Republic Act No. 6969 or the Toxic Substances and Hazardous Wastes Control Act of 1990:** This is the primary law that regulates hazardous materials in the Philippines.
* **Section 26:** This section specifically prohibits the improper disposal of hazardous wastes. E-waste often contains toxic substances like lead, mercury, and cadmium, making it hazardous waste. Penalties include imprisonment of up to ten (10) years and hefty fines.
* **Section 27:** It also mandates proper storage and transport of hazardous materials. This applies to those collecting or transporting e-waste illegally.
* **Ecological Solid Waste Management Act (Republic Act No. 9003):** This law focuses on proper waste management practices.
* **Section 4:** This section classifies different types of waste, including hazardous waste. E-waste falls under this category. Improper disposal of any classified waste type is an offense.
**Enforcement:**
* **Environmental Management Bureau (EMB):** This government agency under the Department of Environment and Natural Resources (DENR) is responsible for enforcing environmental laws. They can conduct inspections, apprehend violators, and file cases.
* **Local Government Units (LGUs):** Cities and municipalities have the authority to enact ordinances specific to their areas. These ordinances can detail proper e-waste disposal procedures and corresponding penalties for violations, including street-level offenses. * **Barangay Eco Officers:** Barangays (the smallest unit of local government) may have designated eco officers who can monitor waste disposal practices and report violations of e-waste disposal to proper authorities.
**Additional Measures:**
* **Extended Producer Responsibility (EPR):** This is a policy that holds manufacturers responsible for the collection and recycling of their products at the end of their lifespans. The Philippines is developing an EPR framework for e-waste, which will incentivize proper disposal methods.
* **E-waste Take-Back Programs:** Some manufacturers and retailers offer take-back programs where consumers can bring their old electronics for proper recycling or disposal.
**What you can do:**
* **Report improper e-waste disposal:** If you witness someone dumping e-waste in public places, report it to the EMB, your local barangay captain, or the local environmental office. * **Look for authorized e-waste collection points:** Don't dispose of e-waste with regular trash. Look for designated collection points or take-back programs for proper recycling or disposal.
* **Spread awareness:** Encourage others to dispose of e-waste responsibly and highlight the environmental and health risks of improper disposal.
By following proper e-waste disposal practices, reporting violations, and supporting responsible initiatives, you can help keep your community clean and protect the environment.</t>
  </si>
  <si>
    <t>Under what circumstances can a person be charged with public conspiracy to commit election-related offenses in public spaces?</t>
  </si>
  <si>
    <t>Under Philippine law, particularly under the Omnibus Election Code (Batas Pambansa Blg. 881), a person can be charged with public conspiracy to commit election-related offenses in public spaces under various circumstances. These circumstances may include:
1. **Collusion with Others:** If there is evidence that an individual has conspired with others to commit election-related offenses in public spaces, such as vote-buying, voter intimidation, or disrupting the electoral process, they may be charged with public conspiracy. This collusion may involve explicit agreements or implicit understanding among the parties involved.
2. **Planning or Organizing Illegal Activities:** If individuals plan or organize illegal activities aimed at influencing the outcome of an election in public spaces, they may be charged with conspiracy. This could include organizing rallies or gatherings with the intent to commit election offenses, distributing fraudulent materials, or coordinating actions to disrupt the voting process.
3. **Coordinated Efforts:** If there is evidence of coordinated efforts among individuals or groups to commit election-related offenses in public spaces, such as through communication, joint actions, or shared resources, they may be charged with conspiracy. This coordination could involve multiple actors working together to achieve a common illegal objective.
4. **Incitement or Encouragement:** If individuals incite or encourage others to commit election-related offenses in public spaces, whether through speeches, distribution of materials, or other means, they may be charged with conspiracy. This could involve instigating others to engage in vote-buying, voter intimidation, or other unlawful activities.
5. **Use of Public Spaces for Illegal Activities:** If individuals use public spaces as venues for carrying out election-related offenses, such as conducting illegal campaign activities, distributing prohibited materials, or engaging in acts of violence or intimidation, they may be charged with conspiracy. This includes actions taken in public spaces with the intent to subvert the electoral process.
It's important to note that the specifics of charging individuals with public conspiracy to commit election-related offenses in public spaces may vary depending on the circumstances of each case and the evidence available. Law enforcement agencies and prosecutors are responsible for investigating such offenses and filing appropriate charges based on the evidence gathered. Individuals accused of such offenses have the right to defend themselves in court and are presumed innocent until proven guilty.</t>
  </si>
  <si>
    <t>How does Philippine law address incidents of street-level assault or harassment based on disability or physical condition?</t>
  </si>
  <si>
    <t>Philippine law prohibits discrimination on the basis of disability and provides remedies for victims. Here's a summary:
* **Republic Act No. 7277 (Anti-Discrimination Law)**: This law prohibits discrimination against persons with disability in employment, education, or access to services. It also protects them from harassment. You can find the law here [https://ncda.gov.ph/disability-laws/republic-acts/republic-act-7277/](https://ncda.gov.ph/disability-laws/republic-acts/republic-act-7277/).
* **Revised Penal Code (RPC)**: The RPC also penalizes certain acts that may be committed during an assault or harassment incident, such as:
* Slight physical injuries (Article 45)
* Mutilation (Article 267)
* Threatening violence (Article 148)
* Alarms and scandals (Article 155)
To file a complaint, you can approach the following offices:
* Philippine National Police (PNP)
* National Bureau of Investigation (NBI)
* Commission on Human Rights (CHR)
For legal assistance, you can also contact:
* Public Attorney's Office (PAO)
* Courts with salas designated for cases involving persons with disability
I recommend consulting a lawyer to discuss the specifics of your case and determine the most appropriate course of action.</t>
  </si>
  <si>
    <t>What penalties apply for engaging in the unauthorized sale or distribution of prohibited or obscene materials in public transportation?</t>
  </si>
  <si>
    <t>The penalties for selling or distributing prohibited or obscene materials in public transportation in the Philippines depend on the type of material and the specific law violated. Here's a breakdown of two potential violations:
**1. Obscene Publications:**
* **Revised Penal Code (RPC) Article 201:** This article penalizes the production, importation, sale, exhibition, and possession of obscene publications. * Penalty: Up to **six years imprisonment** and a fine ranging from **Php6,000.00 to Php200,00.00**.
**2. Anti-Trafficking in Persons Act (Republic Act No. 10368):**
* This law applies if the materials being sold or distributed are considered child pornography or promote child sexual abuse.
* Penalty: **Reclusion perpetua (life imprisonment)** and a fine ranging from **Php500,000.00 to Php5,000,000.00**. * Additional penalty: Perpetually disqualified from holding public office if the offender is a government employee.
**Important Note:**
* There might be specific regulations issued by the Land Transportation Office (LTO) or the Department of Transportation (DOTr) regarding public transportation conduct. These regulations might have additional fines for selling unauthorized materials. **Recommendation:**
* While no specific law directly addresses selling prohibited materials in public transportation, the above-mentioned laws can be applied depending on the content of the materials.
* It's best to consult a lawyer for a more comprehensive analysis based on the specific details of the situation.</t>
  </si>
  <si>
    <t>What legal provisions regulate the possession and use of unauthorized surveillance devices in public spaces near government offices?</t>
  </si>
  <si>
    <t>Philippine law doesn't have a single, specific provision that solely addresses unauthorized surveillance devices in public spaces near government offices. However, several laws and regulations can be interpreted to cover this situation:
1. **Republic Act No. 3875 (The Revised Penal Code):**
* **Article 148 (Threatening Violence):** This applies if the surveillance is intended to intimidate or harass individuals near government offices.
* **Article 267 (Mutilation):** This is a remote possibility, but it could apply if the surveillance device involves physically tampering with someone's property.
2. **Republic Act No. 10173 (Data Privacy Act of 2012):**
* This law protects the privacy of personal information. While it doesn't directly address surveillance devices, it can be argued that unauthorized recording in public spaces can potentially capture personal information. 3. **Special Laws of Certain Government Agencies:** * Some government agencies might have their own regulations regarding security and surveillance within their premises or surrounding areas. These regulations might extend to public spaces and restrict unauthorized recording devices.
4. **Reasonable Expectation of Privacy:**
* Although not codified in a single law, Filipinos have a reasonable expectation of privacy in public spaces, especially near government offices where sensitive activities might occur. Unauthorized surveillance could be seen as an intrusion on this expectation.
**Important to Note:**
* The interpretation and enforcement of these laws can vary depending on the specific circumstances.
**Recommendations:**
* If you encounter unauthorized surveillance devices near a government office, you can report them to the authorities. * The Philippine National Police (PNP) or the security personnel of the specific government office are good starting points.
* If you believe your privacy is being violated through unauthorized surveillance, you can consider seeking legal counsel to explore potential legal options.</t>
  </si>
  <si>
    <t>Public conspiracy to commit online scams or cyber fraud can be addressed under several Philippine laws, depending on the specific details of the conspiracy and the planned scam itself. Here's a breakdown of relevant laws:
**1. Republic Act No. 10175 (Cybercrime Prevention Act of 2012):**
* This is the primary law that deals with online scams and cyber fraud in the Philippines.
* **Section 26 (Conspiracy to Commit Cybercrime):** Penalizes conspiracy to commit any cybercrime defined under the Act. This includes fraud-related offenses like:
* **Data Breaches (Section 17):** Unauthorized access to or interception of computer data.
* **Illegal Access (Section 19):** Accessing a computer system or network without authority.
* **Computer Misuse (Section 25):** Interfering with data, systems, or networks to cause damage.
* Penalty: Imprisonment ranging from **three (3) to ten (10) years** and a fine ranging from **Php100,000.00 to Php1,000,000.00**.
**2. Article 88 (Conspiracy) of the Revised Penal Code (RPC):**
* This general conspiracy provision of the RPC can also apply if the planned online scam or cyber fraud constitutes a crime under the RPC, such as:
* Estafa (Article 315): Deceitful appropriation of property.
**3. Republic Act No. 9160 (The Anti-Money Laundering Act):**
* This law applies if the proceeds from the planned online scam or cyber fraud are intended to be laundered.
* Penalty: Up to **eight (8) years imprisonment** and a fine ranging from **Php100,000.00 to Php10,000,000.00**.
**Important to Note:**
* The specific penalties will depend on the gravity of the offense and the damage caused by the planned scam.
**Recommendations:**
* If you suspect or have knowledge of a public conspiracy to commit online scams or cyber fraud, report it to the authorities.
* Philippine National Police (PNP) Anti-Cybercrime Unit
* National Bureau of Investigation (NBI)
* You can also report these activities online through the reporting portal of the Department of Justice (DOJ): [https://cybercrime.doj.gov.ph/](https://cybercrime.doj.gov.ph/)</t>
  </si>
  <si>
    <t>There isn't a single, specific law in the Philippines that directly addresses street-level tax evasion or fraudulent financial activities in public spaces. However, depending on the nature of the activity, several laws and penalties might apply. Here's a breakdown of possibilities:
**1. Tax Evasion:**
* **Tax Code (Republic Act No. 8424):** While not directly related to street-level activities, the Tax Code outlines penalties for tax evasion. This could be relevant if the fraudulent financial activity involves avoiding taxes altogether.
* Penalties can range from imprisonment of **up to ten (10) years** to hefty fines depending on the amount of tax evaded.
**2. Falsification of Commercial Documents (Article 171 of the Revised Penal Code):**
* This applies if the fraudulent activity involves creating or using fake receipts, invoices, or other commercial documents for tax purposes.
* Penalty: Imprisonment ranging from **four (4) months to eight (8) years** and a fine ranging from **Php200.00 to Php6,000.00**.
**3. Estafa (Article 315 of the Revised Penal Code):**
* This is the most likely law to be applied in many street-level tax evasion or fraudulent financial activities. It applies to any act of deceit that involves defrauding another person. * Examples in public spaces might include fake sales with fake receipts or manipulating financial instruments for personal gain.
* Penalty: Imprisonment ranging from **four (4) months to eighteen (18) years** and a fine ranging from **Php200.00 to Php10,000.00**, depending on the amount of damage caused.
**4. Local Government Ordinances:**
* Some local government units (LGUs) might have ordinances that specifically address street vending or informal economic activities. These ordinances might have penalties for failing to secure proper permits or engaging in fraudulent practices.
**Important to Note:**
* The specific law applied and the corresponding penalty will depend on the exact details of the fraudulent activity.
**Recommendations:**
* If you witness street-level tax evasion or fraudulent financial activities, you can report them to the authorities.
* Local law enforcement (Barangay Tanod or PNP)
* Bureau of Internal Revenue (BIR) if tax evasion is suspected
By reporting such activities, you can help deter tax evasion and protect the integrity of the financial system.</t>
  </si>
  <si>
    <t>How does the law address incidents of street-level assault or harassment based on nationality or citizenship in public areas?</t>
  </si>
  <si>
    <t>The Philippines law doesn't have a single, specific law that directly addresses street-level assault or harassment solely based on nationality or citizenship. However, there are several existing laws that can be applied depending on the nature of the incident:
* **Revised Penal Code (RPC):** * **Slight Physical Injuries (Article 45):** This applies if the assault resulted in minor injuries.
* **Mutilation (Article 267):** This is a serious offense and unlikely in most street-level incidents, but applies if the assault resulted in severe physical harm.
* **Threatening Violence (Article 148):** This applies if the harassment involved threats of violence.
* **Alarms and Scandals (Article 155):** This applies if the harassment involved creating a disturbing scene or public commotion.
* **Anti-Discrimination Law (Republic Act No. 7277):** * While not specifically focused on nationality, this law prohibits discrimination based on ethnicity. This can be argued to cover situations where harassment stems from nationality being associated with a particular ethnicity.
**Important to Note:**
* The effectiveness of using these laws to address harassment based on nationality can vary depending on the specifics of the situation and the judge's interpretation. * Proving intent to discriminate based solely on nationality can be challenging.
**Recommendations:**
* If you are experiencing street-level assault or harassment based on nationality or citizenship, report it to the authorities immediately.
* Philippine National Police (PNP)
* Local Barangay officials
* You can also consider seeking legal assistance from a lawyer specializing in human rights or anti-discrimination law. They can advise you on the best course of action based on your specific situation.
* Additionally, reporting the incident to organizations that advocate for migrant rights or your embassy/consulate can provide support and resources.</t>
  </si>
  <si>
    <t>The Philippines has several legal measures in place to combat street-level environmental offenses, particularly the improper disposal of hazardous materials in public places. Here's a breakdown of relevant laws and regulations:
**1. Republic Act No. 6969 (Toxic Substances and Hazardous Wastes Control Act of 1990):**
* This is the primary law governing the management of hazardous wastes in the Philippines.
* **Section 20 (Illegal Disposal):** Prohibits the improper treatment, storage, transport, or disposal of hazardous wastes.
* **Penalties:** Fines ranging from **Php100,000.00 to Php1,000,000.00** and imprisonment of up to **twelve (12) years** for violations.
**2. Ecological Solid Waste Management Act (Republic Act No. 9003):**
* This law focuses on proper waste management in general.
* **Section 4 (Prohibited Acts):** This section outlines various acts related to waste disposal, including:
* Littering (Section 4(e))
* Illegal disposal of special wastes (Section 4(f)) - This could be interpreted to include hazardous materials.
* **Penalties:** Fines ranging from **Php300.00 to Php1,000.00** and/or imprisonment of up to **fifteen (15) days** for first offenses. Increased penalties for subsequent offenses.
**3. Local Government Unit (LGU) Ordinances:**
* Many LGUs have enacted their own ordinances specifically addressing waste management and disposal within their jurisdictions. * These ordinances might have stricter penalties or additional guidelines related to hazardous waste disposal.
**Enforcement:**
* The Department of Environment and Natural Resources (DENR) is the primary agency responsible for enforcing these laws.
* Barangay officials and local law enforcement (PNP) can also play a role in apprehending violators and reporting incidents.
**Additional Measures:**
* Aside from legal consequences, some LGUs have implemented waste collection programs specifically for hazardous materials.
* Public awareness campaigns can help educate residents about the proper disposal of hazardous materials.
**Recommendations:**
* If you witness someone improperly disposing of hazardous materials, report it to the authorities.
* Barangay officials or DENR through their regional or local office
* You can also report online through the DENR website: [https://www.denr.gov.ph/](https://www.denr.gov.ph/)
By reporting such incidents and supporting proper waste management initiatives, you can contribute to a cleaner and safer environment in your community.</t>
  </si>
  <si>
    <t>Under what circumstances can a person be charged with public conspiracy to commit terrorism-related offenses in public events?</t>
  </si>
  <si>
    <t>Philippine law takes public conspiracy to commit terrorism-related offenses very seriously. Here's what you need to know:
* **Republic Act No. 9514 (The Philippine Anti-Terrorism Act of 2020):** This is the primary law that defines and penalizes terrorism in the Philippines.
* **Section 4 (Conspiracy to Commit Terrorism):** This section specifically addresses public conspiracy. A person can be charged under this section if they:
* **Agree** to plan or carry out a terrorist act with one or more persons. * **Perform any overt act** towards the commission of a terrorist act (This means taking a concrete step beyond just planning, such as acquiring materials or conducting surveillance for a target). * **Intent** to cause widespread fear and panic is implied.
**What constitutes a terrorist act?**
The law defines terrorism broadly as any act that involves:
* Violence or threat of violence.
* Creating a serious risk to public safety.
* Intended to sow widespread fear and panic.
* Intended to coerce a government or a civilian population.
**Public Event:**
The law applies to public events, which can be any place where people gather, including:
* Festivals
* Concerts
* Sporting events
* Religious gatherings
* Malls
* Public transportation hubs
**Important to Note:**
* The key elements for a charge of public conspiracy are **agreement**, **overt act**, and **intent**. * Authorities don't need the actual terrorist act to be completed to file charges under this law. Conspiracy alone is enough.
* Evidence to prove a public conspiracy can come from various sources, including witness testimonies, intercepted communications, or digital evidence.
**If you suspect a public conspiracy to commit terrorism:**
* **Report it immediately to the authorities.** * Philippine National Police (PNP) Anti-Terrorism Task Force (PNP-ATTF)
* Armed Forces of the Philippines (AFP)
**Remember:** It's always better to report suspicious activity and be wrong than to hesitate and risk a potential tragedy.</t>
  </si>
  <si>
    <t>The Philippine penal code doesn't have a specific crime for "public conspiracy to commit identity theft or financial fraud." However, there are several laws that can be used to address this kind of criminal activity:
* **Republic Act No. 10175 or the Cybercrime Prevention Act of 2012 (CPA):** This law penalizes various cybercrimes, including identity theft (Section 12) and computer-related fraud (Section 14).
* **Section 12 (Identity Theft):** punishes anyone who acquires another person's personal information, including those mentioned in Section 13 (e.g., name, address, phone number, email address, bank account details) to impersonate that person and cause damage. * **Section 14 (Computer-Related Offenses):** covers a broad range of fraudulent activities committed using a computer system, including unauthorized access to computer data (e.g., hacking into someone's online accounts) to steal financial data or use it to defraud others.
* **Article 183 of the Revised Penal Code (RPC):** This article deals with the crime of "Estafa," which is a form of fraud. It applies to situations where someone deceives another person to gain an unfair advantage or cause damage. Public conspiracy to commit Estafa can be penalized under Article 184 of the RPC.
* **Article 88 of the RPC:** This article covers the crime of "Conspiracy," which is an agreement between two or more persons to commit a crime. Here, the public aspect might be proven if the agreement to commit the crime is done in a way that's readily known to the public.
**Additionally, the Philippine Constitution (Article III, Section 14) guarantees the right to privacy.** This can be used to support the notion that identity theft is a crime because it violates a person's right to control their personal information.
**Remember, this is not legal advice.** If you believe you are a victim of identity theft or financial fraud, you should consult with a lawyer to understand your rights and options under Philippine law.</t>
  </si>
  <si>
    <t>What penalties apply for engaging in the unauthorized sale or distribution of prohibited publications in public schools?</t>
  </si>
  <si>
    <t>There isn't a single law in the Philippines that directly addresses the unauthorized sale or distribution of prohibited publications in public schools. However, we can look at a combination of Philippine laws and regulations to understand the potential consequences:
1. **Revised Penal Code (RPC) - Article 190 (Obscenity and Indecent Exposure):** This article penalizes the publication or distribution of obscene materials. If the prohibited publications fall under this category, the seller/distributor could face imprisonment and fines.
2. **Republic Act No. 10175 or the Cybercrime Prevention Act of 2012 (CPA):** This law applies if the distribution involves the use of information and communication technologies (ICT).
* **Section 18 (Content Offenses):** This section prohibits the distribution of content that promotes child pornography or violates the right to privacy. 3. **Department of Education (DepEd) Policies:** DepEd, through its various issuances (e.g., DepEd Orders, Memoranda), regulates the learning resources used in public schools. These policies often prohibit the distribution of materials that are:
* Age-inappropriate
* Promote violence, hatred, or discrimination
* Not aligned with the prescribed curriculum
**Penalties under DepEd policies wouldn't involve imprisonment, but could include:**
* Confiscation of materials
* Disciplinary action against those involved (e.g., teachers, non-teaching personnel)
**Remember, the specific consequences will depend on the nature of the prohibited publications and how they were distributed.** It's important to consult the specific DepEd policy or regulation related to learning resources and consult with a lawyer for a more comprehensive understanding of the potential legal implications.</t>
  </si>
  <si>
    <t>What legal provisions regulate the possession and use of unauthorized surveillance devices in public spaces near cultural heritage sites?</t>
  </si>
  <si>
    <t>There isn't a single law in the Philippines that specifically addresses the possession and use of unauthorized surveillance devices in public spaces near cultural heritage sites. However, we can look at a combination of laws that might be applicable:
* **Constitution of the Philippines (Article III, Section 2):** This section guarantees the right to privacy. Using unauthorized surveillance devices could be seen as a violation of this right, especially if it captures people without their knowledge or consent.
* **Republic Act No. 10175 or the Cybercrime Prevention Act of 2012 (CPA):**
* **Section 26 (Unauthorized Access to Computer Systems):** This could apply if the surveillance device is used to hack into a computer system connected to the cultural heritage site (e.g., security cameras).
* **Republic Act No. 10006 or the National Cultural Heritage Act of 2009:** This law focuses on protecting cultural heritage sites. * **Section 19 (Security Measures):** While it doesn't directly address unauthorized surveillance, it empowers government agencies to establish security measures to protect cultural heritage sites. This could be interpreted to allow for authorized surveillance for security purposes.
* **Batas Pambansa Blg. 881 or the Omnibus Election Code:** This law applies if the surveillance is being conducted in connection with an election. It regulates the use of cameras and other recording devices near polling places.
**Additionally, some local government units (LGUs) may have ordinances** that regulate the use of surveillance devices in public spaces. **Here's a breakdown of the key points:**
* There's no single law specifically on unauthorized surveillance near cultural heritage sites.
* The right to privacy and specific provisions of the CPA and National Cultural Heritage Act might be relevant.
* LGUs may have their own ordinances on surveillance in public spaces. **It's important to consult with a lawyer** to get a more definitive answer based on the specific circumstances, including the type of surveillance device, its purpose, and the location near the cultural heritage site.</t>
  </si>
  <si>
    <t>How does the law address incidents of street-level assault or harassment based on sexual orientation or gender identity in public spaces?</t>
  </si>
  <si>
    <t>The Philippines has a relatively new law that addresses incidents of street-level assault or harassment based on sexual orientation or gender identity (SOGI) in public spaces:
* **Republic Act No. 11313 or the Safe Spaces Act of 2019:** This law defines and penalizes **gender-based sexual harassment** which includes harassment based on SOGI.
Here's a breakdown of how the Safe Spaces Act applies to your situation:
* **Definition of Gender-Based Sexual Harassment:** * The law defines it as any **unwanted and uninvited sexual actions or remarks** against any person regardless of the motive (Section 4). This could include verbal abuse, gestures, or even physical assault if it's sexually suggestive.
* **Covered locations:** * The law applies to **public spaces** including streets, parks, public transportation, and even privately owned establishments open to the public (like malls, restaurants, etc.) (Section 3)
* **Penalties:** * The penalty for perpetrators can range from imprisonment of up to six months to a fine of up to PhP100,000 (Section 25). The exact penalty will depend on the severity of the offense.
**Additional points to consider:**
* **Reporting:** The law encourages bystanders and victims to report incidents to the police or barangay officials (Section 11).
* **Protection:** The law mandates that restaurants, malls, and other establishments adopt a zero-tolerance policy against SOGI-based harassment and provide assistance to victims (Section 9).
* **Limitations:** It's important to note that while the Safe Spaces Act is a significant step, its implementation is still evolving. There may be challenges in prosecuting these cases due to factors like gathering evidence in public spaces.
If you experience or witness an incident of street-level assault or harassment based on SOGI in a public space, you are encouraged to report it to the authorities. This will help raise awareness and ensure the safety of yourself and others.</t>
  </si>
  <si>
    <t>Philippine law doesn't have a specific offense for "street-level tax evasion or fraudulent financial activities in public spaces." However, depending on the specific activity, several laws can be used to penalize the offender. Here's a breakdown of possible scenarios and relevant laws:
**Scenario 1: Selling goods without a permit or receipt**
* This could be a violation of local government ordinances regulating business permits and taxation. Penalties would typically involve fines and possible confiscation of goods.
**Scenario 2: Falsifying receipts or invoices**
* This falls under the crime of Falsification of Private Documents under Article 185 of the Revised Penal Code (RPC). Penalties can range from imprisonment of up to six months to six years, depending on the damage caused.
**Scenario 3: Conducting illegal gambling activities**
* Various laws address illegal gambling, including Presidential Decree No. 1602 and Republic Act No. 9287 (An Act to Strengthen the Prohibition on Gambling and Provide for the Penalty Thereof). Penalties can include fines and imprisonment depending on the type and scale of the gambling activity.
**Scenario 4: Using counterfeit money**
* This is a crime under Article 186 of the RPC with penalties of imprisonment of up to 12 years.
**Important Points:**
* **Evidence Gathering:** Enforcing these laws in public spaces can be challenging due to difficulty gathering evidence. * **Focus of Law Enforcement:** Law enforcement agencies typically prioritize larger-scale tax evasion and financial fraud rather than street-level activities.
**It's important to remember that tax evasion itself is not a crime you can be caught for on the street.** Tax evasion typically involves individuals or businesses deliberately failing to report income or underpaying taxes owed. This is usually discovered through audits or investigations by the Bureau of Internal Revenue (BIR).
**For a more definitive answer on the specific penalties** that might apply to a particular situation, it's always best to consult with a lawyer who can analyze the details of the activity in question.</t>
  </si>
  <si>
    <t>Public conspiracy to commit human trafficking or illegal recruitment is a serious offense in the Philippines. There's no single law that directly addresses "public conspiracy" for these specific crimes, but several laws can be used to prosecute the offenders:
* **Republic Act No. (RA) 9208 or the Anti-Trafficking in Persons Act of 2003:** This law defines and penalizes various forms of human trafficking, including sex trafficking and forced labor (Section 3).
* **Section 6:** This section penalizes conspiracy to commit trafficking in persons. The penalty can be as high as life imprisonment depending on the specific circumstances (e.g., if it involved a minor).
* **RA No. 8042 or the Special Protection of Children Against Abuse, Exploitation and Discrimination Act (SPCAD):** This law protects children from all forms of abuse, exploitation, and discrimination, including trafficking (Section 5).
* **Section 10:** Similar to RA 9208, this section penalizes conspiracy to commit child trafficking with penalties ranging from life imprisonment to 20 years depending on the circumstances. * **Article 183 of the Revised Penal Code (RPC):** This article deals with the crime of "Estafa," which is a form of fraud (including illegal recruitment).
* **Article 184:** Covers conspiracy to commit Estafa. Public conspiracy can be proven if the agreement to commit the crime is done in a way that's readily known to the public.
* **Article 88 of the RPC:** This article covers the crime of "Conspiracy" itself, which is an agreement between two or more persons to commit a crime.
**Additionally, Philippine jurisprudence recognizes the concept of public conspiracy.** This means that even if the agreement to commit the crime isn't formalized, if it's done in a way that's public and notorious, conspiracy can still be established.
**Here's a breakdown of the key points:**
* Conspiracy to commit human trafficking or illegal recruitment is a serious crime.
* Multiple laws can be used to prosecute the offenders, depending on the specific circumstances.
* Public knowledge of the conspiracy can strengthen the case against the offenders. **Remember, this is not legal advice.** If you have any information about public conspiracy to commit human trafficking or illegal recruitment, you should report it to the authorities immediately. You can contact the National Bureau of Investigation (NBI) or the Philippine National Police (PNP).</t>
  </si>
  <si>
    <t>What legal measures exist to combat street-level environmental offenses, such as improper disposal of electronic waste in public parks?</t>
  </si>
  <si>
    <t>Several legal measures can be used to combat street-level environmental offenses like improper electronic waste (e-waste) disposal in public parks in the Philippines. Here's a breakdown of the relevant laws and regulations:
**1. Republic Act No. 6969 or the Toxic Substances and Hazardous Wastes Control Act of 1992:**
* This law regulates the management and disposal of hazardous wastes, including e-waste.
* **Section 26:** This section prohibits the "littering, throwing, dumping, or placing" of hazardous waste in public places like parks. * **Penalties:** Violators can face imprisonment of up to six months and fines of up to PhP100,000 (Section 27).
**2. Republic Act No. 9003 or the Ecological Solid Waste Management Act of 2000:**
* This law focuses on proper solid waste management, including special waste like e-waste.
* **Section 4:** This section mandates the segregation of waste at source, which includes separating e-waste from regular waste. Improper disposal in parks would violate this.
* **Section 26:** Similar to RA 6969, it prohibits littering and illegal disposal of waste in public places. * **Penalties:** Fines ranging from PhP300 to PhP1,000 for first-time offenders and potentially higher penalties for subsequent offenses (Section 30). **3. Local Government Unit (LGU) Ordinances:**
* Many LGUs have ordinances specifically addressing waste disposal and environmental protection. These ordinances may have stricter penalties or specific regulations on e-waste disposal.
**4. Department of Environment and Natural Resources (DENR) Administrative Orders (AOs):**
* DENR issues AOs that provide more specific guidelines on implementing environmental laws. These may address proper handling and disposal of e-waste.
**Enforcement Challenges:**
* Enforcing these laws in public spaces like parks can be challenging due to difficulty catching offenders in the act.
* Public awareness about proper e-waste disposal is also crucial.
**Additional Solutions:**
* **Information campaigns:** Educating the public about the dangers of improper e-waste disposal and available recycling options.
* **Designated e-waste collection points:** Setting up convenient locations for people to dispose of e-waste responsibly.
* **Collaboration between LGUs and barangays:** Coordinating efforts to monitor public spaces and enforce environmental laws.
By combining legal measures with public awareness and alternative disposal options, the Philippines can combat street-level environmental offenses and promote responsible e-waste management.</t>
  </si>
  <si>
    <t>Under what circumstances can a person be charged with public conspiracy to commit election-related offenses in public transportation?</t>
  </si>
  <si>
    <t>Under Philippine law, particularly under the Omnibus Election Code (Batas Pambansa Blg. 881), a person can be charged with public conspiracy to commit election-related offenses in public transportation under various circumstances. These circumstances may include:
1. **Conspiring to Transport Illegal Materials:** If individuals conspire to use public transportation, such as buses, jeepneys, or trains, to transport illegal materials related to election offenses, they may be charged with public conspiracy. This could include transporting fraudulent ballots, prohibited campaign materials, or materials used for vote-buying.
2. **Coordinated Efforts:** If there is evidence of coordinated efforts among individuals or groups to use public transportation for election-related offenses, such as through communication, joint actions, or shared resources, they may be charged with conspiracy. This coordination could involve multiple actors working together to transport materials or individuals involved in illegal campaign activities.
3. **Transporting Individuals for Vote-buying:** If individuals conspire to use public transportation to transport voters to polling places for the purpose of vote-buying or voter intimidation, they may be charged with public conspiracy. This could involve organizing transportation for voters in exchange for monetary or other benefits to influence their voting behavior.
4. **Using Public Transportation for Campaign Activities:** If individuals use public transportation for campaign activities that violate election laws, such as distributing prohibited campaign materials or engaging in acts of violence or intimidation, they may be charged with conspiracy. This includes using public transportation to facilitate illegal campaign activities aimed at influencing the outcome of an election.
5. **Transporting Unauthorized Individuals:** If individuals conspire to use public transportation to transport unauthorized individuals, such as non-residents or ineligible voters, to polling places for the purpose of influencing the election outcome, they may be charged with public conspiracy. This could involve efforts to manipulate voter turnout or manipulate the electoral process.
It's important to note that the specifics of charging individuals with public conspiracy to commit election-related offenses in public transportation may vary depending on the circumstances of each case and the evidence available. Law enforcement agencies and prosecutors are responsible for investigating such offenses and filing appropriate charges based on the evidence gathered. Individuals accused of such offenses have the right to defend themselves in court and are presumed innocent until proven guilty.</t>
  </si>
  <si>
    <t>How does Philippine law address incidents of street-level assault or harassment based on religious beliefs or practices in public areas?</t>
  </si>
  <si>
    <t>The Philippines legally protects freedom of religion under Article III, Section 5 of its Constitution, ensuring the right to religious profession and worship without discrimination. To address incidents of street-level assault or harassment based on religious beliefs, Philippine law provides several provisions:
Revised Penal Code (RPC) Article 146: Addresses illegal detention and harassment, applicable when individuals are restrained or threatened due to their religious beliefs.
RPC Article 260: Deals with slander by deed, covering acts of public humiliation or shaming based on religion.
Republic Act No. 9994 (Anti-Terrorism Act of 2020): While criticized for potential misuse, it can be invoked in cases where religious persecution is utilized to spread terror.
These legal frameworks aim to safeguard individuals from discrimination and persecution based on their religious beliefs, reflecting the country's commitment to protecting freedom of religion.</t>
  </si>
  <si>
    <t>What penalties apply for engaging in the unauthorized sale or distribution of prohibited or obscene materials in public events?</t>
  </si>
  <si>
    <t>Philippine law deals with the unauthorized sale or distribution of prohibited materials through a combination of the Revised Penal Code (RPC) and Republic Act No. 10951:
Revised Penal Code (RPC):
Article 201: This article covers "immoral doctrines, obscene publications and exhibitions and indecent shows." Offenders face imprisonment of up to six years and/or a fine ranging from Php6,000.00 to Php12,000.00. [Source: Philippine Supreme Court E-Library - G.R. No. 184389]
Republic Act No. 10951 (An Act Strengthening the Anti-Trafficking in Persons Act of 2003):
Section 9: This section specifically addresses the use of children in obscene materials. Selling or distributing such materials involving a child increases the penalty significantly to reclusion perpetua (life imprisonment) and a fine ranging from Php500,000.00 to Php5,000,000.00. [Source: Philippine Senate website]
Important Note: Republic Act No. 10951 increased the fines under Article 201 of the RPC. The current fine range is Php20,000.00 to Php200,000.00. [Source: Philippine Senate website]
Therefore, the penalties for unauthorized sale or distribution of prohibited materials in public events depend on the nature of the material and whether it involves a child:
For adults-only obscene materials: Imprisonment of up to six years and a fine of Php20,000.00 to Php200,000.00.
For materials involving a child: Reclusion perpetua (life imprisonment) and a fine of Php500,000.00 to Php5,000,000.00.</t>
  </si>
  <si>
    <t>What legal provisions regulate the possession and use of unauthorized surveillance devices in public spaces near healthcare facilities?</t>
  </si>
  <si>
    <t>In the Philippines, there isn't a single comprehensive federal law specifically governing the use of unauthorized surveillance devices in public areas near healthcare facilities. However, various existing legal provisions can be invoked depending on the circumstances:
Privacy Legislation:
Republic Act No. 10173, also known as the Data Privacy Act of 2012, safeguards personal information privacy, including audio and video recordings. Unauthorized recording of individuals without consent, particularly in areas where privacy is expected like hospital entrances, may constitute a violation under this law.
Surveillance and Anti-Wiretapping Laws:
While no specific legislation targets unauthorized surveillance devices, certain laws touch upon the matter:
Article III, Section 3(1) of the 1987 Philippine Constitution ensures the right to communication privacy, potentially limiting the unauthorized recording of conversations in public spaces.
The Anti-Wiretapping Law (Republic Act No. 4862) prohibits the unauthorized interception and recording of communication. However, its application to video recording in public spaces is less clear.
Trespass Regulations:
Under Revised Penal Code Article 143, placing surveillance devices on private property without consent could be considered trespassing.
Additional Considerations:
Local government ordinances may exist, regulating surveillance camera usage in public areas.
Enforcement:
Implementing these regulations can pose challenges. However, if unauthorized surveillance near a healthcare facility is observed, taking the following steps is advisable:
Notify the healthcare facility and possibly law enforcement.
Seek legal guidance to understand potential privacy violations and available recourse options.
It's essential to recognize that the legal framework surrounding unauthorized surveillance devices is continually evolving.</t>
  </si>
  <si>
    <t>Philippine law addresses public conspiracy to commit online scams or cyber fraud through a combination of the Revised Penal Code (RPC) and special laws:
Revised Penal Code (RPC):
Article 183 (Conspiracy to commit a crime): This article applies to any agreement between two or more persons to commit a crime. The penalty is the penalty for the intended crime increased by one degree. [Source: Philippine Law Commission website]
Special Laws:
Republic Act No. 10175 (Cybercrime Prevention Act of 2012): This law specifically deals with online offenses like cyber fraud.
Section 4(a)(5) (Cyber-swindling): Punishes those who defraud others through the use of computer systems by imprisonment of four (4) to ten (10) years and a fine not exceeding Php One Million (Php 1,000,000.00). [Source: National Bureau of Investigation website]
Public Aspect:
Since the conspiracy is happening publicly, another factor to consider is:
Article 144 (Public Inducement to commit a crime): This article penalizes anyone who publicly incites others to commit a crime. The penalty is arresto mayor (1-6 months imprisonment).
Therefore, combining these aspects:
Public conspiracy to commit online scams or cyber fraud would likely be penalized under Article 183 (conspiracy) in conjunction with Republic Act No. 10175 (Section 4(a)(5)).
The base penalty would be imprisonment of four (4) to ten (10) years from the Cybercrime Prevention Act, increased by one degree due to conspiracy (Article 183). This translates to a potential penalty of imprisonment of six (6) to twelve (12) years.
An additional penalty of arresto mayor (1-6 months imprisonment) from Article 144 (public inducement) might also apply due to the public nature of the conspiracy.</t>
  </si>
  <si>
    <t>In the Philippines, there isn't a single law specifically targeting "street-level tax evasion" or "fraudulent financial activities in public spaces." However, perpetrators engaging in such activities may face penalties under various existing laws:
Tax Evasion:
Republic Act No. 8424, also known as the Tax Code, stipulates tax obligations and penalties for non-compliance. While not confined to public spaces, it applies to any instance of tax evasion, with fines, imprisonment, or both depending on the severity of the offense.
Fraudulent Activities:
Within the Revised Penal Code (RPC), several articles are relevant:
Falsification of Public Documents (RPC Article 185): Applicable if fake documents are used for financial gain in public settings (e.g., selling forged receipts).
Estafa (RPC Articles 315-318): Encompasses various fraudulent schemes involving money or property. If someone conducts a scam in public (e.g., fake charity collections), estafa could be charged.
Swindling (RPC Article 316): Specifically addresses deception to obtain money or property.
Public Disorder:
RPC Article 150: Covers disturbances of public order. If fraudulent activity disrupts public peace or obstructs pedestrians, this charge may apply.
Contextual Considerations:
Penalties vary based on factors such as the amount of money involved, presence of victims, and prior offenses.
Reporting and Seeking Assistance:
If encountering suspected tax evasion or fraudulent activities:
Notify authorities: Report to the police or relevant government agency.
Seek legal counsel: Consult a lawyer if you suspect you've been a victim of fraud, to explore available options.
It's crucial to address such activities promptly to uphold legal integrity and protect public interests.</t>
  </si>
  <si>
    <t>How does the law address incidents of street-level assault or harassment based on cultural or ethnic background in public spaces?</t>
  </si>
  <si>
    <t>Philippine law addresses street-level assault or harassment based on cultural or ethnic background through a combination of existing laws:
Revised Penal Code (RPC):
Article 140 (Inflicting slight physical injuries): Covers physical assault resulting in injuries requiring medical attention for not more than nine days. Penalty is arresto menor (up to 1 month imprisonment).
Article 148 (Threat): Addresses threats to inflict harm, which can be verbal or through gestures. Penalty ranges from destierro (banishment) to prision correccional minima (imprisonment of 6 months to 1 year).
Article 267 (Discriminatory action): While not directly addressing public spaces, it penalizes acts that "make an undue distinction against any person or group on the basis of... national origin" in employment, education, or access to public utilities. Penalty is prision correccional minima (imprisonment of 6 months to 1 year) or a fine of Php500.00 to Php1,000.00.
Special Laws:
Republic Act No. 9262 (Anti-Violence Against Women and their Children Act): While primarily focused on domestic violence, it also covers psychological violence which can encompass verbal threats or harassment based on ethnicity.
Section 5 (e): This section addresses psychological violence, which can involve causing mental or emotional suffering through acts like "causing fear of physical harm." The penalty ranges from destierro (banishment) to prision correccional minima (imprisonment of 6 months to 1 year).</t>
  </si>
  <si>
    <t>What legal measures exist to combat street-level environmental offenses, such as improper disposal of hazardous materials in public markets?</t>
  </si>
  <si>
    <t>In the Philippines, various legal measures are in place to address street-level environmental offenses, particularly the improper disposal of hazardous materials. These include:
1. **Republic Act 9003 (Ecological Solid Waste Management Act of 2000)**: This law offers a comprehensive framework for managing solid waste. It prohibits improper waste disposal, promotes waste reduction at the source, mandates segregation and proper collection, encourages private sector involvement, and institutionalizes public participation. The law emphasizes environmentally friendly methods such as recycling, composting, and waste minimization while discouraging incineration.
2. **Hazardous Waste Management Laws**: The Department of Environment and Natural Resources (DENR) oversees hazardous waste management through laws like Republic Act 6969, which focuses on controlling toxic substances and hazardous waste. DENR Administrative Order 29 provides guidelines for hazardous waste management, supplemented by various Environmental Management Bureau (EMB) Memorandum Circulars.
3. **Presidential Decree No. 1152 (Philippine Environmental Policy)**: Although not specific to street-level offenses, this decree underscores the rational use of forest resources and citizen participation in maintaining forest productivity.
4. **Local Ordinances and Regulations**: Many local government units (LGUs) have their own ordinances and regulations pertaining to waste management, often imposing penalties for improper disposal. These regulations typically cover public markets, streets, and other areas prone to improper hazardous material disposal.
Enforcement and awareness are crucial for ensuring compliance with these laws. Collaboration among citizens, businesses, and local authorities is essential for fostering a cleaner and more sustainable environment. 🌿🌎</t>
  </si>
  <si>
    <t>Under what circumstances can a person be charged with public conspiracy to commit terrorism-related offenses in public parks?</t>
  </si>
  <si>
    <t>The Philippines treats public conspiracy to commit terrorism-related offenses in public parks with utmost seriousness. Here's how the law applies:
Core Legislation:
Republic Act No. 9516 (Terrorism Financing Prevention and Suppression Act of 2002): This Act defines terrorism and outlines penalties for financing and planning terrorist activities.
Revised Penal Code (RPC):
Article 144 (Public Inducement to Commit a Crime): This article penalizes anyone who publicly incites others to commit a crime, including terrorism.
Public Conspiracy:
Planning or discussing acts of terrorism in a public space like a park constitutes public conspiracy under Article 144.
Evidence of such planning can take various forms:
Direct threats: Openly discussing plans to attack a specific target or cause harm to civilians in a park.
Gathering materials: Publicly acquiring or stockpiling weapons, explosives, or other materials that could be used in a terrorist attack.
Recruiting accomplices: Soliciting or encouraging others to join a terrorist plot within the park's vicinity.
Key Point: Philippine law does not require an actual act of terrorism to occur for charges to be filed.
Potential Penalties:
Public Inducement: Imprisonment of arresto mayor (1-6 months).
Terrorism Financing: Imprisonment of reclusion temporal (12-20 years) and a fine of Php500,000.00 to Php10,000,000.00.
Planning or plotting a terrorist attack: Depending on the intended severity of the act, penalties can range from reclusion perpetua (life imprisonment) to death.
Additional Considerations:
Law enforcement has broad authority to investigate and arrest individuals suspected of plotting terrorist activities.
Pre-emptive measures: Authorities can take preventive actions to stop potential attacks based on credible evidence of public conspiracy</t>
  </si>
  <si>
    <t>Philippine law treats public conspiracy to commit identity theft or financial fraud with utmost seriousness, as outlined below:
Relevant Laws:
The key provisions addressing this issue are Revised Penal Code (RPC) Articles 8 (Conspiracy) and 318 (Swindling).
Article 8 defines conspiracy as an agreement between two or more persons to commit a crime and decide on the manner of its execution. Planning identity theft or financial fraud in a public setting fulfills the agreement element.
Article 318 (Swindling) addresses fraud perpetrated by a syndicate or group. If multiple individuals engage in identity theft or financial fraud together in public, it strengthens the case.
Potential Charges:
Depending on the specifics, additional charges may apply, such as Falsification of Public Documents (RPC Article 185) for using fake IDs or documents, or violations under the Computer Crimes Act (Republic Act No. 10175) for using technology in the fraud.
Enhanced Prosecution:
The public nature of the conspiracy strengthens the prosecution's case by demonstrating a blatant disregard for the law and facilitating evidence gathering, including witnesses and recordings.
Penalties:
Penalties depend on the severity of the planned crime (intended amount stolen) and the specific charges filed. Conspiracy generally carries a prison term of 6 months to 6 years, while swindling penalties range from 4 to 10 years depending on the amount involved.
Importance of Reporting:
If you witness a public conspiracy to commit identity theft or financial fraud, prompt reporting to authorities like the police or the National Bureau of Investigation (NBI) is crucial. Reporting can help prevent the crime and ensure the perpetrators face legal consequences.</t>
  </si>
  <si>
    <t>What penalties apply for engaging in the unauthorized sale or distribution of prohibited publications in public spaces near schools?</t>
  </si>
  <si>
    <t>In the Philippines, the penalties for selling or distributing prohibited publications near schools involve a combination of laws:
Revised Penal Code (RPC):
Article 201 (Immoral doctrines, obscene publications and exhibitions and indecent shows): This article applies to the general sale or distribution of obscene materials.
Penalty: Imprisonment of up to six years and a fine of Php20,000.00 to Php200,000.00. [Source: Philippine Senate website]
Special Laws:
Republic Act No. 10951 (An Act Strengthening the Anti-Trafficking in Persons Act of 2003):
Section 9: This section specifically deals with child exploitation and the use of children in obscene materials.
Selling or distributing materials involving a child increases the penalty significantly:
Reclusion perpetua (life imprisonment)
Fine: Php500,000.00 to Php5,000,000.00 [Source: Philippine Senate website]
Local Government Ordinances:
Many localities have additional ordinances regulating the sale or distribution of inappropriate materials near schools. These ordinances might impose additional fines or penalties specific to the area.
Proximity to Schools:
While the proximity to schools doesn't directly increase the penalty under the national laws mentioned above, it might be considered an aggravating factor during the trial. This means a judge could potentially impose a harsher sentence within the provided range.
Therefore, the penalties for selling prohibited publications near schools can be categorized as:
For adults-only obscene materials:
Base penalty: Imprisonment of up to six years and a fine of Php20,000.00 to Php200,000.00.
Aggravating factor (proximity to schools): Potential for a harsher sentence within the provided range.
For materials involving a child:
Reclusion perpetua (life imprisonment)
Fine: Php500,000.00 to Php5,000,000.00</t>
  </si>
  <si>
    <t>In the Philippines, there isn't a single, straightforward law directly addressing unauthorized surveillance devices in public spaces near government offices. However, various existing legal provisions can be applied depending on the circumstances:
Privacy and Communication Rights:
Republic Act No. 10173 (Data Privacy Act of 2012) safeguards personal information privacy, including audio and video recordings. Unauthorized capturing of individuals near government offices without consent may constitute a violation, particularly in areas with a reasonable expectation of privacy.
Article III, Section 3(1) of the 1987 Philippine Constitution protects the privacy of communication, potentially limiting unauthorized recording of conversations in public spaces near government offices.
Surveillance and Trespass Concerns:
While no specific law targets unauthorized surveillance devices, certain regulations touch upon the issue:
The Anti-Wiretapping Law (Republic Act No. 4862) prohibits unauthorized interception and recording of communication. However, its applicability to capturing video footage in public spaces is subject to debate.
Revised Penal Code (RPC) Article 143 (Trespass) considers placing surveillance devices on government property without permission as trespassing. However, this wouldn't extend to devices on public sidewalks or streets near government offices.
Local Ordinances:
Some cities or municipalities may have ordinances regulating surveillance camera usage in public areas, potentially offering more specific guidelines for placement near government buildings.
Challenges and Recommendations:
Enforcing these provisions can be challenging due to the evolving legal landscape regarding unauthorized surveillance.
If encountering such devices: Report to the authorities (police or relevant government agency) and seek legal advice if privacy concerns arise.</t>
  </si>
  <si>
    <t>How does the law address incidents of street-level assault or harassment based on political affiliation or opinion in public areas?</t>
  </si>
  <si>
    <t>The Philippines addresses street-level assault or harassment based on political affiliation in public areas through a combination of existing laws, but with limitations:
Applicable Laws:
Revised Penal Code (RPC):
Article 140 (Inflicting slight physical injuries): Covers physical assault resulting in injuries requiring medical attention for less than nine days. Penalty: Arresto menor (up to 1 month imprisonment).
Article 148 (Threat): Covers threats to inflict harm, verbal or through gestures. Penalty ranges from destierro (banishment) to prision correccional minima (imprisonment of 6 months to 1 year).
Article 267 (Discriminatory action): While not directly addressing public spaces, it penalizes acts that discriminate against someone based on "political beliefs" in specific contexts like employment. Penalty: Prision correccional minima (imprisonment of 6 months to 1 year) or a fine of Php500.00 to Php1,000.00.
Limitations:
Focus on physical harm and threats: Existing laws primarily address physical assault and threats, not fully capturing the emotional and psychological impact of verbal harassment solely based on political affiliation.
Limited coverage of political affiliation: While Article 267 addresses discrimination, it applies to specific situations and doesn't directly encompass general harassment based solely on political views in public spaces.
Addressing the Gap:
Anti-Discrimination Bills: The Philippines currently lacks a comprehensive anti-discrimination law specifically addressing hate crimes or harassment solely based on political affiliation in public areas.
Several Anti-Discrimination bills are proposed, aiming to provide a legal framework for such situations.
Current Scenario:
Victims can utilize existing laws to address the physical aspects of assault (Article 140) and threats (Article 148).
However, legal recourse for purely verbal harassment based solely on political affiliation in public spaces might be limited under current legislation.</t>
  </si>
  <si>
    <t>While there isn't a specific law in the Philippines directly addressing "street-level tax evasion" or "fraudulent financial activities in public spaces," the penalties for such offenses vary depending on the laws they violate and the nature of the activity. Here's a breakdown:
Tax Evasion:
Republic Act No. 8424, the Tax Code, stipulates tax obligations and penalties for non-compliance, applicable regardless of location. Penalties include surcharges, interest on unpaid tax amounts, and imprisonment for severe cases.
Fraudulent Activities:
Under the Revised Penal Code (RPC):
- Falsification of Public Documents (RPC Article 185) carries penalties of up to 6 years imprisonment if fake documents are used for financial gain in public.
- Estafa (RPC Articles 315-318) covers various fraudulent schemes involving money or property in public. Penalties vary based on the amount involved and may include fines, imprisonment, and refunding defrauded amounts.
- Swindling (RPC Article 316) involves deception to gain money or property in public, with penalties similar to Estafa.
Public Disorder:
RPC Article 150 addresses public disorder resulting from fraudulent activities, potentially leading to additional charges with fines and/or short imprisonment.
Factors Influencing Penalties:
Penalties are influenced by factors such as the amount of money involved, the presence of victims, and prior offenses, with larger sums and repeat offenses typically resulting in harsher penalties.
In the Philippines, engaging in street-level tax evasion or fraudulent financial activities carries significant penalties. Here are the key points:
Tax Evasion:
Individuals attempting to evade taxes may face:
- A fine ranging from ₱500,000 to ₱10,000,000.
- Imprisonment for 6 to 10 years.
- Additional penalties as prescribed by law.
Fraudulent Receipts and Invoices:
Printing fraudulent receipts or invoices carries penalties similar to tax evasion.
- Corporate taxpayers failing to transmit sales data to the Bureau of Internal Revenue's (BIR) electronic sales reporting system may face fines of one-tenth of 1 percent of their annual net income or ₱10,000 per day of violation. Persistent failure may lead to permanent closure.
Sales Suppression Devices:
Use, possession, or sale of sales suppression devices incurs fines ranging from ₱500,000 to ₱10,000,000 and imprisonment of 2 to 4 years. Cumulative suppression exceeding ₱50 million is considered economic sabotage.
Fuel Marking Program Violations:
Violations of the fuel marking program, aimed at curbing oil smuggling, result in penalties such as:
- 1 to 2.5 years imprisonment for faking fuel marking test results.
- Additional penalties, including revocation of professional licenses and closure of testing facilities, as determined by the court.
These penalties aim to ensure tax compliance and uphold financial integrity in public spaces. Adhering to legal requirements is essential to avoid severe consequences.</t>
  </si>
  <si>
    <t>The Philippines takes a strong stance against public conspiracy to commit human trafficking or illegal recruitment. Here's how the law addresses such crimes:
Core Legislation:
Republic Act No. 9208 (Anti-Trafficking in Persons Act of 2003), amended by RA 10364 (Expanded Anti-Trafficking in Persons Act of 2012): This law defines human trafficking and outlines penalties for various acts involved, including:
Section 4: Defines acts of trafficking like recruitment, transportation, harboring, or receiving a person for the purposes of prostitution, forced labor, slavery, etc.
Section 4-A: Focuses specifically on conspiracy to commit trafficking.
Revised Penal Code (RPC):
Article 144 (Public Inducement to Commit a Crime): This article penalizes anyone who publicly incites others to commit a crime.
Addressing Public Conspiracy:
Planning or discussing acts of human trafficking or illegal recruitment in a public space constitutes public conspiracy under Article 144.
Evidence of such planning can involve:
Open discussions: Publicly deliberating plans to recruit, transport, or exploit individuals for forced labor, prostitution, or other forms of human trafficking.
Sharing logistics: Discussing methods of transporting victims, acquiring fraudulent documents, or identifying potential targets.
Recruiting accomplices: Soliciting or encouraging others to join the criminal scheme in a public setting.
Key Point: Similar to terrorism cases, Philippine law doesn't require an actual trafficking operation to occur for charges to be filed.
Potential Penalties:
Public Inducement: Imprisonment of arresto mayor (1-6 months).
Conspiracy to Commit Trafficking (Section 4-A of RA 9208):
Imprisonment of life (reclusion perpetua).
Fine of Php500,000.00 to Php1,000,000.00.</t>
  </si>
  <si>
    <t>What legal measures exist to combat street-level environmental offenses, such as improper disposal of electronic waste in public transportation?</t>
  </si>
  <si>
    <t>In the Philippines, there are legal measures in place to address street-level environmental offenses, particularly concerning the improper disposal of electronic waste. Here are the key regulations:
Republic Act No. 9003 (Ecological Solid Waste Management Act of 2000):
This law establishes a comprehensive ecological solid waste management program with objectives such as safeguarding public health and the environment, promoting resource conservation and recovery, setting guidelines for waste management, and integrating waste management education into formal and non-formal curricula. It encourages the participation of local government units, NGOs, the private sector, and the public in waste management initiatives.
Republic Act No. 6969 (Toxic Substances and Hazardous and Nuclear Waste Control Act):
Enacted in 1990, this law addresses hazardous waste, including electronic waste (e-waste). It provides regulations for the proper handling, storage, transport, and disposal of toxic substances and hazardous waste.
Integrated Air Quality Improvement Framework and Air Quality Control Action Plan (RA No. 8749):
While not specifically targeting e-waste, this law establishes guidelines for managing and controlling air pollution. It aims to enhance air quality through a multi-sectoral approach.
Local Ordinances and Regulations:
Many local government units (LGUs) have their own ordinances related to waste management, including penalties for improper disposal. These regulations may vary among cities or municipalities.
Environmental Management Bureau (EMB):
The EMB oversees environmental regulations and enforcement, collaborating with LGUs, NGOs, and other stakeholders to implement waste management policies.
It's essential to ensure proper waste disposal to mitigate negative environmental impacts and health risks. Collaboration among citizens, businesses, and authorities is crucial for promoting responsible waste management practices in public spaces.</t>
  </si>
  <si>
    <t>Under what circumstances can a person be charged with public conspiracy to commit election-related offenses in public markets?</t>
  </si>
  <si>
    <t>In the Philippines, several laws govern election-related offenses, and engaging in public conspiracy to commit such offenses in public markets would likely violate several provisions of these laws. Some of the key laws that could be violated include:
Omnibus Election Code (Batas Pambansa Blg. 881): This law governs all aspects of elections in the Philippines. Violations related to vote-buying, coercion, illegal campaigning, spreading false information, tampering with election materials, obstructing the electoral process, and conspiring to commit such offenses would be covered under this code.
Republic Act No. 7166: This law provides for synchronized national and local elections and ensures the synchronization of the terms of office of local officials. Violations related to election schedules and the conduct of synchronized elections could be covered under this law.
Republic Act No. 9006 (Fair Election Act): This law regulates the conduct of election campaigns, including the use of propaganda materials, campaign advertisements, and the prohibition of certain forms of election propaganda. Violations related to illegal campaigning and spreading false information during election campaigns would fall under this act.
Republic Act No. 9369 (Automated Elections Law): This law provides for the use of automated election systems in the Philippines. Violations related to tampering with election equipment or materials in areas where automated elections are conducted could be covered under this law.
Republic Act No. 10175 (Cybercrime Prevention Act of 2012): This law penalizes various forms of cybercrime, including online election-related offenses such as spreading false information or engaging in online propaganda. Violations related to spreading false information or propaganda through digital platforms could be covered under this act.</t>
  </si>
  <si>
    <t>How does Philippine law address incidents of street-level assault or harassment based on disability or physical condition in public spaces?</t>
  </si>
  <si>
    <t>In the Philippines, the Safe Spaces Act (Republic Act No. 11313) addresses incidents of street-level assault or harassment in public spaces, including those based on disability or physical condition. Here are the key points:
Definition of Terms:
- Catcalling: Unwanted remarks directed towards a person, often involving wolf-whistling and derogatory comments based on gender, sexual orientation, or other factors.
- Gender-based online sexual harassment: Conduct targeted at a specific individual online, causing mental or emotional distress, including unwanted sexual remarks, threats, cyberstalking, and online identity theft.
- Public spaces: Encompasses streets, alleys, parks, schools, buildings, malls, bars, restaurants, transportation terminals, government offices, and recreational areas.
Policy and Purpose:
- The law upholds the dignity of every individual and guarantees full respect for human rights.
- It acknowledges the significant role of women in nation-building and ensures equality before the law for all genders.
- Aims to provide equality, security, and safety in both private and public spaces.
Prohibited Acts:
- The Safe Spaces Act criminalizes catcalling, wolf-whistling, and other forms of public sexual harassment.
- Perpetrators of such acts may face imprisonment for up to six months and a fine of up to 500,000 pesos.
Protection Measures:
- The law aims to foster safer public spaces by penalizing harassment and promoting respect for all individuals.
- It emphasizes the importance of recognizing and respecting gender identity and expression.
It's essential to remember that this law applies to everyone, regardless of their disability or physical condition, aiming to ensure that public spaces remain safe and respectful for all citizens.</t>
  </si>
  <si>
    <t>1. National Level:
Obscenity Laws: Most countries have laws against obscenity. In the Philippines, this falls under Republic Act No. 9994, also known as the Anti-Trafficking in Persons Act of 2010. This act prohibits the production, importation, distribution, and possession of obscene materials, including:
Materials that depict sexual acts in a way that offends prevailing community standards.
Material that exploits, abuses, or endangers children.
Penalties: Violations of the Anti-Trafficking in Persons Act can result in:
Imprisonment of 6 to 12 years for first-time offenders.
Higher penalties for subsequent offenses.
2. Local Level:
Public transportation authorities often have their own regulations regarding passenger conduct and prohibited items. These regulations may impose:
Fines: Fines for disorderly conduct or disturbing other passengers.
Confiscation of materials: Authorities might confiscate any prohibited materials being sold or distributed.
Removal from the public transport: In severe cases, individuals might be removed from the vehicle.
Additionally:
Public Nuisance: Engaging in such activities might also be considered a public nuisance, attracting further penalties.</t>
  </si>
  <si>
    <t>In the Philippines, legal provisions exist to safeguard cultural heritage sites and regulate the use of surveillance devices in public spaces. Let's explore these provisions:
1. **Republic Act No. 10066 (National Cultural Heritage Act of 2009)**: This law aims to protect and conserve the national cultural heritage. It strengthens the National Commission for Culture and the Arts (NCCA) and its affiliated cultural agencies. Key points include:
- Declaration of Principles and Policies: Emphasizes fostering Filipino culture, preserving historical and cultural heritage, and regulating the disposition of cultural treasures. It also promotes unity in diversity and free artistic expression.
- Objectives: Protect, preserve, and promote cultural heritage; establish and strengthen cultural institutions; ensure professional development and well-being of cultural workers.
- Integrated Approach: Conservation efforts cut across disciplines and technologies.
- Stewardship: Administering heritage resources for present and future generations.
2. **Republic Act No. 11961 (Amendment to RA 10066)**: This amendment further strengthens the conservation and protection of Philippine cultural heritage. It introduces cultural mapping and enhances cultural heritage education programs.
3. **Republic Act No. 9995 (Anti-Photo and Video Voyeurism Act of 2010)**: This law addresses privacy concerns related to surveillance devices. It prohibits recording or taking photo/video coverage of a person’s private area without consent, even if prior consent was given. Violators may be liable for photo or video voyeurism.
These legal measures aim to preserve cultural heritage sites and protect individuals' privacy rights in public spaces, contributing to the overall well-being and cultural richness of the Philippines.</t>
  </si>
  <si>
    <t>The Philippines addresses public conspiracy to commit online scams or cyber fraud through a combination of existing laws:
Republic Act No. 10175 or the Cybercrime Prevention Act of 2012: This primary law directly addresses online fraud and related activities.
Section 4(a)(5): Covers "Conspiracy to commit cybercrime" which applies to agreements to commit any of the cybercrimes defined under the act. These include:
Illegal access to computer systems
Data interference
System interference
Misappropriation of computer data
Cyber-squatting
Computer-related identity theft
Article 8 of the Revised Penal Code (RPC): This deals with the crime of "Conspiracy" in general.
Article 8, Paragraph 1: States that "conspiracy to commit a crime is punishable by the penalty next lower than that provided for the crime itself."</t>
  </si>
  <si>
    <t>How does the law address incidents of street-level assault or harassment based on sexual orientation or gender identity in public events?</t>
  </si>
  <si>
    <t>The Philippines addresses street-level assault or harassment based on sexual orientation or gender identity (SOGI) in public events through a combination of existing laws and a relatively new act:
Republic Act No. 11313 or the Safe Spaces Act of 2019: This act specifically tackles:
Gender-based sexual harassment: This includes unwanted and uninvited sexual actions or remarks against any person, regardless of their SOGI, in public spaces like streets and public events.
Penalties: The act prescribes fines and imprisonment depending on the severity of the offense.
Revised Penal Code (RPC) Provisions: Existing laws within the RPC can also be applied:
Physical Assault: Depending on the nature of the assault (e.g., battery, physical injuries), relevant provisions under the RPC regarding assault and battery (Articles 260-267) apply.
Threats and Alarms: Threats or intimidation based on SOGI can be prosecuted under Article 148 of the RPC.
Addressing SOGI-based bias:
While the Safe Spaces Act doesn't explicitly mention SOGI, its provisions against gender-based sexual harassment encompass situations where the harassment stems from the victim's sexual orientation or gender identity.
Challenges:
Limited Scope: The Safe Spaces Act primarily focuses on sexual harassment. While it can address some forms of SOGI-based assault, it doesn't fully cover situations without a clear sexual element.
Lack of Specific SOGI Protection Law: The Philippines currently doesn't have a comprehensive anti-discrimination law specifically protecting individuals based on their SOGI.
What this means:
Victims of assault or harassment based solely on SOGI in public events can still file charges under the relevant provisions of the RPC (e.g., assault, threats).
The Safe Spaces Act strengthens the legal framework by addressing sexual harassment motivated by SOGI in public spaces.</t>
  </si>
  <si>
    <t>What legal measures exist to combat street-level environmental offenses, such as improper disposal of hazardous materials in public parks?</t>
  </si>
  <si>
    <t>In the Philippines, several legal measures are in place to tackle street-level environmental offenses, particularly concerning improper disposal of hazardous materials. Here are some key laws and regulations:
1. **Republic Act No. 9003 (Ecological Solid Waste Management Act of 2000)**:
- Establishes an ecological solid waste management program with provisions ensuring public health and environmental protection.
- Encourages resource conservation and recovery through methods such as composting, recycling, and waste minimization.
- Sets guidelines for proper segregation, collection, transport, treatment, and disposal of solid waste.
- Promotes private sector participation in waste management and encourages public involvement in waste management programs.
- Prohibits acts like improper disposal of hazardous materials and imposes penalties for violations.
2. **Republic Act No. 8749 (Clean Air Act)**:
- Primarily focused on air quality improvement, this law also addresses pollution prevention and environmental protection.
- Establishes an Integrated Air Quality Improvement Framework and Air Quality Control Action Plan to guide pollution management and control efforts.
3. **Presidential Decree No. 1152 (Philippine Environmental Code)**:
- Encompasses various environmental aspects, including forestry management.
- Encourages the rational exploitation of forest resources and emphasizes citizen participation to maintain maximum forest productivity.
4. **Department Administrative Orders (DAOs)**:
- The Environmental Management Bureau (EMB) issues DAOs related to hazardous waste management.
- These orders provide specific guidelines and regulations for handling hazardous materials.
These legal measures collectively aim to address street-level environmental offenses and ensure proper waste management and environmental protection across the Philippines.</t>
  </si>
  <si>
    <t>Under what circumstances can a person be charged with public conspiracy to commit terrorism-related offenses in public schools?</t>
  </si>
  <si>
    <t>In the Philippines, public conspiracy to commit terrorism-related offenses in public schools is a serious crime addressed through a combination of existing laws:
Republic Act No. 9516 or the Terrorism Financing Prevention and Suppression Act of 2007: This act defines and penalizes terrorism, including:
Planning, preparing, and conspiring to commit terrorist acts.
Providing material support to terrorists or terrorist organizations.
Revised Penal Code (RPC) Provisions:
Article 8: This covers the crime of "Conspiracy" in general.
Section 1: States that "conspiracy to commit a crime is punishable by the penalty next lower than that provided for the crime itself."
Elements of Public Conspiracy:
Agreement: There must be a proven agreement between two or more people to commit a terrorist act in a public school. This agreement can be verbal, written, or established through implicit actions demonstrating a shared plan.
Public Setting: The agreement to commit the act must occur in a public manner or through a method where others can be demonstrably aware of the plan.
Terrorist Act: The planned act must fall within the definition of terrorism as outlined in the Anti-Terrorism Act. This includes actions intended to:
Cause death or serious bodily injury to civilians.
Spread fear or intimidate the public.
Disrupt public services or essential infrastructure.
Penalties:
Penalty for the target Terrorist Act: The base penalty depends on the specific act planned (e.g., bombing, hostage-taking). Penalties under the Anti-Terrorism Act can range from life imprisonment to lengthy prison sentences.
Reduced penalty for conspiracy: As per Article 8 of the RPC, the penalty for conspiracy is one level lower than the penalty for the target crime itself.</t>
  </si>
  <si>
    <t>Under Philippine law, offenses related to identity theft and financial fraud are addressed through various legal provisions. Let’s break down the relevant aspects:
1. **Cybercrime Prevention Act of 2012 (Republic Act No. 10175)**:
- This law focuses on cybercrimes, including offenses related to computer systems, data, and communication networks.
- It aims to safeguard the integrity of computer systems and data by penalizing unauthorized access and interception of communication.
- Penalties are specified for offenses like illegal access and interception.
2. **Identity Fraud**:
- Using another person's identity to commit fraud is a serious offense under Philippine law, covered by both the Cybercrime Prevention Act and the Revised Penal Code.
- The Revised Penal Code addresses offenses like estafa, which involves deceit, fraud, or false pretenses, leading to severe legal consequences for financial fraud.
3. **Conspiracy**:
- Conspiracy involves an agreement between two or more persons to commit a felony.
- In cases of identity theft or financial fraud, conspiracy may involve planning or coordinating fraudulent activities.
- The Revised Penal Code recognizes conspiracy as punishable when specific penalties are provided for it.
- Mere presence at the scene of the crime does not establish conspiracy; active participation with the intent to further the common design is necessary.
In summary, Philippine law addresses identity theft and financial fraud through a combination of cybercrime legislation, provisions in the Revised Penal Code, and legal principles related to conspiracy. Perpetrators may face criminal penalties based on the circumstances and evidence presented in court.</t>
  </si>
  <si>
    <t>What penalties apply for engaging in the unauthorized sale or distribution of prohibited publications in public spaces near healthcare facilities?</t>
  </si>
  <si>
    <t>Here's a breakdown of potential penalties for selling or distributing prohibited publications in public spaces near healthcare facilities in the Philippines:
Violation of Specific Laws:
Republic Act No. 8353 or the Anti-Book Piracy Act of 1997: This law prohibits the unauthorized sale and distribution of copyrighted materials.
Penalties: Fines and imprisonment depending on the nature and scale of the offense.
Republic Act No. 9994 or the Anti-Trafficking in Persons Act of 2010: Applies if the publications are classified as obscene materials that:
Depict sexual acts in a way that offends prevailing community standards.
Exploit, abuse, or endanger children.
Penalties: Imprisonment of 6 to 12 years for first-time offenders.
Local Ordinances:
Many cities and municipalities have ordinances regulating conduct in public spaces. These might specifically address:
Vending restrictions: Limiting or prohibiting the sale of goods in specific areas, including those near healthcare facilities.
Public nuisance laws: Penalizing disruptive or disorderly behavior that could include unauthorized selling or littering from publications.
Public Nuisance:
Even without a specific ordinance, selling unauthorized materials in public spaces can be considered a public nuisance, causing inconvenience and potential safety hazards.
Therefore, the applicable penalties would depend on the specific nature of the publications and the surrounding regulations:
Selling copyrighted materials: Fines and potential imprisonment under the Anti-Book Piracy Act.
Selling obscene materials: Imprisonment under the Anti-Trafficking in Persons Act.
Violating local ordinances: Fines for vending violations or public nuisance.
Additional Considerations:
Confiscation of materials: Authorities might confiscate any prohibited publications found in the seller's possession.
Repeat offenses: Penalties might be harsher for individuals caught engaging in such activities repeatedly.</t>
  </si>
  <si>
    <t>In the Philippines, the use of surveillance devices, particularly closed-circuit television (CCTV) systems, in public spaces near government offices is subject to legal provisions. Here are the key guidelines and regulations:
1. **Data Privacy Act of 2012 (DPA)**:
- The DPA regulates the processing of personal data, including video and audio footage obtained from CCTV systems.
- CCTV systems, when used reasonably and appropriately, support safety and security but must consider their impact on the rights and freedoms of data subjects.
- Operators of CCTV systems, whether personal information controllers (PICs) or processors, must comply with the DPA, its Implementing Rules and Regulations (IRR), and relevant issuances of the National Privacy Commission (NPC).
Scope:
- The advisory applies to all PICs and PIPs engaged in processing personal data through CCTV systems operating in public and semi-public areas.
- It covers both video-only and video with audio CCTV systems.
Obligations for CCTV Operators:
- Compliance: Operators are considered PICs and must adhere to the DPA and NPC provisions.
- Regular Review: Review the necessity of CCTV use for specified and legitimate purposes regularly.
- Security Measures: Ensure proper security and protection of captured data.
- Privacy Impact Assessment: Conduct assessments to evaluate privacy implications.
- Transparency: Inform individuals about CCTV presence through signage.
- Retention and Destruction: Properly manage video and audio footages obtained from CCTVs.
2. **Safe Spaces Act**:
- While not specific to surveillance devices, this act addresses equality, security, and safety in both private and public spaces.
These legal measures aim to regulate the use of surveillance devices, protect privacy rights, and ensure appropriate data handling practices in public spaces near government offices in the Philippines.</t>
  </si>
  <si>
    <t>How does the law address incidents of street-level assault or harassment based on cultural or ethnic background in public areas?</t>
  </si>
  <si>
    <t>The Philippines addresses street-level assault or harassment based on cultural or ethnic background in public areas through a combination of legal mechanisms, though a comprehensive law specifically targeting such incidents is currently lacking. Here's a breakdown:
Existing Laws:
Revised Penal Code (RPC) Provisions:
Physical Assault: Depending on the severity of the assault (e.g., battery, physical injuries), relevant provisions under the RPC regarding assault and battery (Articles 260-267) apply.
Threats and Alarms: Threats or intimidation based on cultural or ethnic background can be prosecuted under Article 148 of the RPC.
Anti-Discrimination Laws: The Philippines has limited anti-discrimination laws:
Republic Act No. 9262 or the Anti-Violence Against Women and their Children Act: While not explicitly addressing cultural/ethnic bias, it can be applied in situations where the harassment targets women from specific cultural or ethnic backgrounds.
Republic Act No. 10354 or the Magna Carta for Persons with Disabilities (MCPD): Protects individuals with disabilities from discrimination, though it doesn't directly address cultural/ethnic bias</t>
  </si>
  <si>
    <t>If found guilty of tax evasion in the Philippines, individuals engaging in fraudulent financial activities may face the following penalties:
Fines:
The fines for tax evasion have been significantly increased under the Tax Reform for Acceleration and Inclusion (TRAIN) Act.
Attempts to evade or defeat income taxes can lead to fines ranging between PHP 500,000 and PHP 10 million.
Previously, fines for tax evasion ranged from only PHP 30,000 to PHP 100,000.
Additionally, fines apply to those involved in printing fraudulent and unauthorized receipts or commercial/sales invoices.
Imprisonment:
The imprisonment term for individuals found guilty of tax evasion has also been extended.
Offenders may now face imprisonment for a period ranging from six to ten years, whereas previously, the term ranged from two to four years.
Other Penalties:
The fine and penalty for tax evasion are in addition to other penalties provided by law.
Conviction or acquittal for violation does not prevent the filing of a civil suit for tax collection.
Corporate taxpayers failing to transmit sales data to the Bureau of Internal Revenue’s (BIR) electronic sales reporting system may face penalties based on their annual net income reflected in audited financial statements.
Failure to transmit sales data for 180 days during a taxable year can result in the permanent closure of firms.
The use, purchase, possession, sale, or offering of “sales suppression devices” to evade tax payments can result in fines and imprisonment.
Fuel Marking Program Violations:
Faking fuel marking test results can lead to imprisonment ranging from one year to two-and-a-half years.
Additional penalties, such as revocation of professional licenses or closure of fuel testing facilities, may also apply.</t>
  </si>
  <si>
    <t>The Philippines takes a strong stance against public conspiracy to commit human trafficking or illegal recruitment through a combination of laws:
Republic Act No. 9208 or the Anti-Trafficking in Persons Act of 2003 (ATIP Act), as amended by RA 10364:
Section 4: Defines acts of trafficking in persons, including:
Recruitment, transportation, transfer, harboring, or receipt of a person
Means: threat, force, coercion, deception, or abuse of power
Purpose: prostitution, pornography, forced labor, slavery, debt bondage, etc.
Section 5: Outlines acts that promote trafficking, including knowingly:
Leasing a building for trafficking purposes
Producing fake documents for trafficking victims
Republic Act No. 10175 or the Cybercrime Prevention Act of 2012:
Section 4(a)(5): Addresses "Conspiracy to commit cybercrime." This applies to agreements to commit any of the cybercrimes defined under the act, which can be used in facilitating trafficking (e.g., online recruitment).
Revised Penal Code (RPC) Provisions:
Article 8: Covers the crime of "Conspiracy" in general.
Section 1: States that "conspiracy to commit a crime is punishable by the penalty next lower than that provided for the crime itself."
Addressing Public Conspiracy:
Two or more people: Planning and agreement to commit the crime must involve a demonstrably proven agreement between at least two individuals.
Public nature: The agreement itself must be done openly or in a manner where evidence proves the public nature of the conspiracy.
Penalties:
Trafficking/Illegal Recruitment: Penalties vary depending on the specific acts committed under the ATIP Act (e.g., lifetime imprisonment for qualified trafficking).
Reduced penalty for conspiracy: As per Article 8 of the RPC, the penalty for conspiracy is one level lower than the penalty for the target crime itself (e.g., if trafficking carries life imprisonment, conspiracy would have a penalty of several decades).</t>
  </si>
  <si>
    <t>What legal measures exist to combat street-level environmental offenses, such as improper disposal of electronic waste in public markets?</t>
  </si>
  <si>
    <t>In the Philippines, various legal measures are in place to address street-level environmental offenses, including the improper disposal of electronic waste (e-waste) in public spaces. Let's delve into these regulations:
Republic Act No. 11898 (Extended Producer Responsibility Act of 2022):
This act institutionalizes the extended producer responsibility (EPR) on plastic packaging waste and amends the Ecological Solid Waste Management Act of 2000 (Republic Act No. 9003).
EPR mandates producers to be environmentally responsible throughout a product’s lifecycle, particularly during its post-consumer or end-of-life stage.
The law aims to promote waste reduction, recovery, recycling, and the development of environmentally-friendly products.
Republic Act No. 9003 (Ecological Solid Waste Management Act of 2000):
This comprehensive law provides guidelines for solid waste management, including e-waste.
It regulates the importation, manufacture, processing, handling, storage, transportation, sale, distribution, use, treatment, and disposal of toxic chemicals and hazardous wastes.
E-waste, such as computers, TVs, refrigerators, and cell phones, is covered under this regulation.
The law underscores proper management practices to mitigate environmental and health risks associated with e-waste.
Guidelines for E-Waste Management:
The Department of Environment and Natural Resources (DENR) issued guidelines for managing Waste Electrical and Electronic Equipment (WEEE).
These guidelines address toxic metals (lead, cadmium, mercury, hexavalent chromium) and flame retardants commonly found in e-waste.
Generators, transporters, and treatment facilities handling hazardous waste, including WEEE, must register with the DENR and adhere to a cradle-to-grave management approach.
The Online Hazardous Waste Management System facilitates registration and documentation.
Environmental Management Bureau (EMB):
The EMB, under the DENR, oversees e-waste management.
The Philippines has been regulating e-waste since 1990, following the enactment of RA 6969 (Toxic Substances and Hazardous and Nuclear Waste Control Act).
The country generated approximately 3.9 kilograms of e-waste per capita last year.
Proper Disposal Practices:
To dispose of e-waste properly and legally, organizations must:
Obtain a Certificate of Non-Coverage (CNC).
Register as a Hazardous Waste Generator.
Appoint a Pollution Control Officer (PCO).
Properly identify, store, and label hazardous waste.
Engage a TSD (treatment, storage, and disposal) vendor accredited to handle e-waste.</t>
  </si>
  <si>
    <t>In the Philippines, engaging in public conspiracy to commit election-related offenses in public transportation can violate several laws, including:
Omnibus Election Code (Batas Pambansa Blg. 881): This comprehensive law governs all aspects of elections in the Philippines. Violations related to transporting voters unlawfully, distributing campaign materials inside public transportation vehicles, unauthorized campaigning, coordinating vote-buying or intimidation schemes, tampering with election materials during transportation, and organizing unauthorized campaign caravans could be covered under this code.
Republic Act No. 7166: This law provides for synchronized national and local elections and ensures the synchronization of the terms of office of local officials. Violations related to election schedules and the conduct of synchronized elections could be covered under this law.
Republic Act No. 9006 (Fair Election Act): This law regulates the conduct of election campaigns, including the use of propaganda materials, campaign advertisements, and the prohibition of certain forms of election propaganda. Violations related to unauthorized campaigning and distributing campaign materials inside public transportation vehicles would fall under this act.
Republic Act No. 10175 (Cybercrime Prevention Act of 2012): This law penalizes various forms of cybercrime, including online election-related offenses such as spreading false information or engaging in online propaganda. While not directly related to public transportation, if election-related offenses committed through digital platforms are part of the conspiracy, this law could also apply.</t>
  </si>
  <si>
    <t>How does Philippine law address incidents of street-level assault or harassment based on political affiliation or opinion in public spaces?</t>
  </si>
  <si>
    <t>In the Philippines, legal provisions address incidents of street-level assault or harassment based on political affiliation or opinion in public spaces. Here are the relevant laws:
Safe Spaces Act (Republic Act No. 11313):
This law defines gender-based sexual harassment in streets, public spaces, online platforms, workplaces, and educational or training institutions.
It aims to protect individuals from various forms of harassment, including those related to political affiliation or opinion.
Key provisions include:
Catcalling: Unwanted remarks directed at a person, often in the form of wolf-whistling and derogatory slurs.
Gender-based online sexual harassment: Conduct online that causes mental, emotional, or psychological distress, including unwanted sexual remarks, cyberstalking, and identity theft.
Public spaces: Refers to streets, parks, schools, government offices, transportation terminals, and other recreational areas.
Penalties for violations include imprisonment of up to six months and fines of up to 500,000 pesos.
Declaration of Policies:
The State values human dignity, guarantees respect for human rights, and recognizes the role of women in nation-building.
Equality, security, and safety are essential not only in private spaces but also in public spaces.
Implementation and Reporting:
The Land Transportation Franchising and Regulatory Board (LTFRB) actively promotes awareness of the Safe Spaces Act within public transport.
Citizens are encouraged to report incidents of harassment committed in public spaces.</t>
  </si>
  <si>
    <t>NPC Advisory No. 2020-04:
Issued by the National Privacy Commission (NPC), this advisory provides guidelines on the use of CCTV systems.
Key principles include:
Reasonable and Appropriate Use: CCTV systems should support safety and security while considering their impact on the rights and freedoms of data subjects.
Regular Review: Operators must periodically assess the necessity of CCTV use for specified and legitimate purposes.
Data Privacy Act (DPA) Compliance: Processing video and audio footage obtained from CCTVs falls under the DPA. Operators (whether personal information controllers or processors) must comply with the DPA, its Implementing Rules and Regulations (IRR), and NPC issuances.
The scope covers all PICs and PIPs engaged in processing personal data through CCTV systems operating in public and semi-public areas, including those with video and audio capabilities.
Expectation of Privacy:
While public places generally have fewer expectations of privacy compared to private spaces, intentionally filming someone without their consent, especially if it causes discomfort, can potentially raise legal issues.
Penalties for Unauthorized Filming:
Republic Act No. 9995 (The Anti-Photo and Video Voyeurism Act) penalizes unauthorized recording of intimate acts.
Violators may face imprisonment and fines.</t>
  </si>
  <si>
    <t>Philippine law addresses public conspiracy to commit online scams or cyber fraud through various provisions:
Republic Act No. 10175 or the Cybercrime Prevention Act of 2012: This act penalizes several cybercrimes, including:
Illegal Access: accessing a computer system without authorization 
Data Interference: unauthorized modification, deletion, damage, or concealment of data
Article 183 of the Revised Penal Code (RPC): punishes conspiracy to commit a crime. This applies to planning and agreeing to undertake an unlawful act together.
Additionally:
Republic Act No. 8424 or the Consumer Protection Act: protects consumers against deceptive and unfair sales acts. While not directly addressing online scams, it can be applicable in cases where online fraud harms consumers.</t>
  </si>
  <si>
    <t>If proven guilty, individuals engaging in tax evasion in the Philippines may face severe penalties. Here's a breakdown of the potential consequences:
Fines:
The Bureau of Internal Revenue (BIR) has significantly increased fines for tax evasion under the Tax Reform for Acceleration and Inclusion (TRAIN) Act.
For attempts to evade or defeat income taxes, the fine now ranges between PHP 500,000 and PHP 10 million.
Previously, the fine for those convicted of tax evasion was only PHP 30,000 to PHP 100,000.
Imprisonment:
The imprisonment term has also been extended.
Individuals found guilty of tax evasion may now be imprisoned for a period ranging from six to ten years.
Previously, the imprisonment term was two to four years.
Additional Penalties:
The fine and penalty are in addition to other penalties provided by law.
Conviction or acquittal for violation does not bar the filing of a civil suit for tax collection.
Those involved in printing fraudulent and unauthorized receipts or commercial/sales invoices also face similar fines and imprisonment.
Corporate taxpayers failing to transmit sales data to the BIR’s electronic sales reporting system may be penalized based on their annual net income reflected in audited financial statements.
Failure to transmit sales data for 180 days during a taxable year can result in the permanent closure of firms.
Using, buying, possessing, selling, or offering “sales suppression devices” to avoid tax payments can lead to fines and imprisonment.
Fuel Marking Program Violations:
Faking fuel marking test results can result in imprisonment ranging from one year to two-and-a-half years.
Additional penalties, such as revocation of professional licenses or closure of fuel testing facilities, may also apply.</t>
  </si>
  <si>
    <t>How does the law address incidents of street-level assault or harassment based on disability or physical condition in public transportation?</t>
  </si>
  <si>
    <t>The Philippines has legal measures to address street-level assault or harassment based on disability or physical condition in public transportation:
Republic Act No. 7277 or the Anti-Discrimination Act: This act prohibits discrimination against persons with disability in various aspects, including access to public services like transportation.
Article 266 of the Revised Penal Code (RPC): This penalizes acts of inflicting physical injuries. The degree of penalty increases if the assault is inflicted upon a person with disability.
Article 282 of the RPC: This covers the crime of "Slight Physical Injuries." While the penalty is lighter, it applies to situations where the assault resulted in minor injuries.
Anti-Sexual Harassment Law (Republic Act No. 10354): While not directly targeting disability, this law protects individuals from sexual harassment, which can occur alongside assault or harassment based on disability.</t>
  </si>
  <si>
    <t>What legal measures exist to combat street-level environmental offenses, such as improper disposal of hazardous materials in public spaces?</t>
  </si>
  <si>
    <t>The Philippines has many legal mechanisms in place to fight street-level environmental violations, such as the unauthorized disposal of hazardous chemicals in public places. Here's a list of applicable legislation and the Constitution: Philippine Constitution:
•	Article II, clause 16: This clause requires the state to "protect and promote the full enjoyment of the cultural heritage." This can be construed to include environmental protection, which is an important component of the Philippines' cultural legacy.
Laws:
•	The Ecological Solid Waste Management Act (Republic Act No. 9003) is the primary legislation governing solid waste management. It outlaws littering, illegal trash disposal, and open waste burning. It authorizes the Department of Environment and Natural Resources (DENR) and local government units (LGUs) to enact laws and levy penalties.
•	The Toxic Substances and Hazardous and Nuclear Wastes Control Act (Republic Act No. 6969) governs the management of hazardous materials, including storage, transportation, treatment, and disposal. It firmly bans the improper disposal of hazardous garbage in public places. Violators face significant fines and jail.
•	The Local Government Code (Republic Act No. 7160) allows LGUs to create ordinances tailored to their localities. Many LGUs have rules governing trash disposal and environmental sanitation. These rules frequently impose fines for littering, poor waste segregation, and illegal disposal.
Enforcement:
•	DENR: The DENR is the major agency in charge of environmental protection. It has the authority to capture and prosecute offenders. •	LGUs: LGUs, particularly barangays (the smallest local government units), play an important role in implementing environmental laws and ordinances within their territories. For minor violations, barangay officials have the authority to issue tickets and fines. •	Bantay Kalikasan (Environmental Protection Unit): This unit of the Philippine National Police helps enforce environmental regulations.
Additional considerations: •	Barangay Justice System: For small infractions like littering, the barangay justice system can be used for mediation and punishment. •	Citizen Participation: Reporting environmental breaches to barangay officials or the DENR is critical to effective enforcement.</t>
  </si>
  <si>
    <t>The Philippines' Anti-Terrorism Act of 2020 makes conspiracy to conduct terrorism a criminal felony. Here are the important points about this charge:
1.	Conspiracy to commit terrorism is defined as:
o	A conspiracy to conduct terrorism occurs when two or more individuals agree to commit terrorism offenses, as defined and penalized in Section 4 of the Anti-Terrorism Act.
o	This agreement involves planning or organizing terrorism-related activities.
2.	Penalty:
o	Anyone convicted guilty of conspiracy to conduct terrorism faces life imprisonment without the possibility of parole.
o	This penalty is severe and reflects the seriousness of the offense.
3.	Context and Application:
o	The circumstances surrounding an accusation of conspiracy to conduct terrorism can vary. Individuals often plot or discuss terrorist acts, such as attacks, bombs, or other violent actions.
o	Public parks, like any other public space, can serve as a forum for such debates or planning.
o	Authorities may investigate and charge individuals based on proof of their involvement in a terrorist conspiracy.</t>
  </si>
  <si>
    <t>What penalties apply for engaging in the unauthorized sale or distribution of prohibited publications in public spaces near cultural heritage sites?</t>
  </si>
  <si>
    <t>While there isn't a specific law solely addressing the sale of prohibited publications near cultural heritage sites in the Philippines, penalties can be imposed through various existing regulations:
Local Government Ordinances:
Many cities and municipalities have ordinances regulating the use of public spaces. These ordinances may prohibit vending or selling items without proper permits in specific areas, including zones surrounding cultural heritage sites.
Violating these ordinances typically results in fines or confiscation of goods.
Presidential Decree No. 1083:
This decree mandates the creation of a "Cultural Protection Zone" around designated historical landmarks, shrines, and cultural centers.
While it doesn't explicitly mention prohibited publications, activities within the zone that can cause "damage or obstruction to the cultural and historical value" of the site might be restricted.
Content-Based Restrictions:
The Philippines upholds freedom of speech, but certain publications can be deemed illegal if they:
Promote violence, hatred, or obscenity.
Violate intellectual property rights.
Contain libelous or defamatory content.
Sale Without Permit:
Selling any publication, even if not explicitly prohibited, requires a business permit from the local government.
Selling without a permit can lead to fines and confiscation of goods.
Therefore, penalties for unauthorized sale of prohibited publications near cultural heritage sites can involve:
Fines: Imposed for violating local ordinances or selling without a permit.
Confiscation of goods: The publications being sold illegally can be seized.</t>
  </si>
  <si>
    <t>In the Philippines, the use of surveillance devices, notably closed-circuit television (CCTV) systems, in public areas near government offices is prohibited by law. Here are some important guidelines:
1.	The Data Privacy Act of 2012 (DPA) states that the acquisition, use, retention, and destruction of video and/or audio footage received from CCTV systems constitutes personal data processing. Those that process personal data via CCTV systems, whether as personal information controllers (PICs) or personal information processors (PIPs), must follow the DPA, its Implementing Rules and Regulations (IRR), and any relevant National Privacy Commission (NPC) issuances.
2.	General Principles:
o	When used properly, CCTV systems contribute to people's safety and security. o	The impact on data subjects' rights and freedoms must be addressed, and regular evaluations should guarantee that CCTV is only used for specified and authorized objectives. o	Masking (concealing portions of video imagery) can be used to safeguard privacy. o	Lawful monitoring by law enforcement authorities is not subject to these restrictions, although it is nonetheless subject to the Constitution and other relevant legislation.
3.	Scope:
o	This applies to all PICs and PIPs that handle personal data using CCTV systems in public and semi-public places. o	It includes CCTV systems that record videos and those with both video and audio capabilities.
4.	Definition of Terms:
o	CCTV: A closed-circuit television or camera surveillance system that captures images of individuals or other information about them. o	Data Subject: An individual whose personal information is processed. o	Personal information is any information from which an individual's identity can be fairly and immediately determined. o	A personal information controller (PIC) is an individual or entity in charge of collecting, processing, or using personal information. o	Masking is the process of concealing parts of video or still images to protect privacy.</t>
  </si>
  <si>
    <t>How does the law address incidents of street-level assault or harassment based on sexual orientation or gender identity in public areas?</t>
  </si>
  <si>
    <t>The Philippines has taken significant steps to address street-level assault or harassment based on sexual orientation or gender identity (SOGI) in public areas. Here's a breakdown of the legal framework:
Republic Act No. 11313 (Safe Spaces Act):
Enacted in 2019, this act specifically addresses gender-based sexual harassment (GBSH).
While not solely focused on SOGI, it encompasses unwanted and uninvited sexual actions or remarks against any person in various settings, including public spaces.
Key provisions of the Act:
Prohibits: Catcalling, groping, indecent exposure, and other forms of sexual harassment towards anyone in public areas.
Penalties: Range from fines to imprisonment depending on the severity of the offense.
Protection Measures: Local government units (LGUs) are mandated to establish mechanisms for reporting and addressing GBSH complaints.
Additional Laws:
Article 266 of the Revised Penal Code (RPC): Penalizes acts of inflicting physical injuries. The penalty increases if the assault is motivated by hate or prejudice, which can encompass bias based on SOGI.
Article 144 of the RPC: Punishes acts of public disturbance and disorderly conduct. This can be applied to situations where harassment creates a hostile environment in public spaces.</t>
  </si>
  <si>
    <t>Tax evasion and fraudulent financial activity are penalized differently in the Philippines depending on the offense. Here are the applicable provisions:
1.	Tax Evasion:
o	Republic Act No. 7642 imposes penalties for tax evasion, including:
	The fine must be less than the legal fine or double the amount of taxes, interest, and surcharges owed by the taxpayer (whichever is larger).
	Imprisonment for two to four years 1. o	Furthermore, the Data Privacy Act of 2012 regulates the use of surveillance technologies, including CCTV cameras, in public areas near government offices. Fines and jail are possible penalties for violations 2.	Fraudulent Financial Activities:
o	The penalties for fraudulent activities using estafa (swindling) are depending on the value of the fraudulently obtained property:
	If the total amount involved does not exceed 6,000 pesos, the punishment is arresto mayor. 	If the amount surpasses 6,000 pesos but does not exceed 12,000 pesos, the punishment is prision correccional in the minimum and medium terms.</t>
  </si>
  <si>
    <t>In the Philippines, public conspiracy to commit human trafficking or illegal recruitment is addressed by distinct legislative measures. Let's investigate these:
1.	Expanded Anti-Trafficking in Persons Act of 2012 (Republic Act No. 10364):
o	This law attempts to eliminate human trafficking, particularly among women and children. It develops institutional systems for the protection and support of trafficked individuals.
o	Key points related to conspiracy:
	Declaration of Policy: The State values human dignity, respects individual rights, and prioritizes measures to prevent trafficking and support victims’ recovery and reintegration into society.
	Definition of Terms:
	Trafficking in Persons: Includes recruitment, transportation, transfer, harboring, or receipt of persons by means of threat, force, coercion, deception, or abuse of power for exploitation (e.g., sexual exploitation, forced labor, slavery).
	Conspiracy: When two or more persons agree to commit a felony (such as trafficking) and decide to carry it out.
o	The penalties for trafficking violations include imprisonment and fines
2.	Illegal Recruitment:
o	The Republic Act No. 10022 concerns illicit recruitment. Anyone found guilty of illicit recruitment will face:
	Imprisonment for at least 12 years and one day, but not exceeding 20 years.
	Fines range from P1,000,000.00 to P2,000,000.00..
o	Conspiracy in large-scale illegal recruitment occurs when three or more individuals work together to commit the offense.</t>
  </si>
  <si>
    <t>What legal measures exist to combat street-level environmental offenses, such as improper disposal of electronic waste in public events?</t>
  </si>
  <si>
    <t>The Philippines addresses street-level environmental offenses like improper e-waste disposal through a combination of existing laws and regulations:
Republic Act No. 6969 or the Toxic Substances and Hazardous Waste Control Act:
This act regulates the management and disposal of hazardous waste, including electronic waste (e-waste).
It prohibits improper disposal like dumping in public spaces and mandates proper treatment and recycling facilities.
Republic Act No. 9003 or the Ecological Solid Waste Management Act:
This act focuses on solid waste management, including the segregation, collection, and disposal of waste.
It emphasizes the polluter-pays principle, holding individuals and entities accountable for the proper disposal of their waste, including e-waste generated during public events.
Enforcement Mechanisms:
Environmental Management Bureau (EMB) of the Department of Environment and Natural Resources (DENR): The primary agency responsible for enforcing environmental laws and regulations.
LGUs: Have the authority to enforce their own waste management ordinances and impose penalties for violations.
Penalties for Improper E-waste Disposal:
Fines: Vary depending on the nature and severity of the offense.
Imprisonment: Possible in cases of repeated violations or large-scale illegal disposal.</t>
  </si>
  <si>
    <t>In the Philippines, involvement in public schemes to carry out election-related offenses can result in legal repercussions. Here are key points to consider:
Vote-Buying:
Republic Act No. 10364, also referred to as the Expanded Anti-Trafficking in Persons Act of 2012, deals with election violations, including vote-buying.
Vote-buying occurs when individuals offer money, jobs, or other advantages to influence voters' choices.
Collaboration in the planning of vote-buying involves two or more people agreeing to participate in such activities.
Sanctions for vote-buying include imprisonment and fines ¹.
Premature Campaigning:
Republic Act No. 9369, known as the Automated Elections System Law, prohibits premature campaigning.
Premature campaigning entails promoting candidates before the official campaign period.
Conspiring to engage in premature campaigning can lead to legal repercussions.
Penalties for premature campaigning include imprisonment and disqualification from holding public office ³.
Safe Spaces Act (Bawal Bastos Law):
Republic Act No. 11313 addresses various offenses, including those concerning public spaces.
While not solely focused on election offenses, it underscores safe and respectful conduct in public areas.
Its aim is to prevent harassment, intimidation, and other inappropriate behavior.
Violations can lead to penalties ⁵.
General Principles:
Any collaboration to commit election-related offenses in public spaces may face legal scrutiny.
The specific circumstances and evidence are crucial in determining guilt or innocence.</t>
  </si>
  <si>
    <t>How does Philippine law address incidents of street-level assault or harassment based on political affiliation or opinion in public transportation?</t>
  </si>
  <si>
    <t>Revised Penal Code (RPC):
Article 266: This article penalizes acts of inflicting physical injuries.
Article 144: This covers public disturbance and disorderly conduct.
Article 282: Applies to cases of "Slight Physical Injuries."
These provisions can be used to prosecute the perpetrator if the assault resulted in physical harm or caused a significant disturbance within the public transport.
Anti-Discrimination Law (Republic Act No. 7277):
While not directly targeting political affiliation, this law prohibits discrimination based on several aspects, including "ideological belief."
Theoretically, it can be argued that someone being assaulted or harassed solely due to their political views constitutes a form of ideological discrimination.
Inciting to Sedition (Article 146 of the RPC):
This applies in extreme situations where the harassment aims to provoke a riot or public disturbance due to political sentiments.</t>
  </si>
  <si>
    <t>What penalties apply for engaging in the unauthorized sale or distribution of prohibited or obscene materials in public spaces near schools?</t>
  </si>
  <si>
    <t>In the Philippines, penalties are imposed for engaging in the unauthorized sale or distribution of prohibited or obscene materials in public spaces near schools. Let’s explore the relevant legal provisions:
Article 201 of the Revised Penal Code (RPC):
This article addresses immoral doctrines, obscene publications, and exhibitions, as well as indecent shows.
Offenders may be penalized in two modes:
1st Mode: Publicly expounding or proclaiming doctrines openly contrary to public morals, and the offender engages in such acts.
2nd Mode: Involves the existence of obscene literature, and offenders are either involved in selling or distributing obscene materials or engaged in indecent shows or exhibitions.
Republic Act No. 10951:
This law increased the fines for certain offenses, including those related to obscene materials.
The fine range for offenses under Article 201 of the RPC was raised to PHP 20,000.00 to PHP 200,000.00.
Senate Bill No. 734 (Proposed Legislation):
Introduced by Senator Joel Villanueva, this bill aims to deter the proliferation of immoral doctrines, obscene publications, and indecent shows.
Proposed penalties include Prision Mayor in its medium period (equivalent to reclusion perpetua) for selling or distributing prohibited materials and a fine ranging from PHP 500,000.00 to PHP 5,000,000.00.
The bill seeks to provide greater protection to minors and update penal laws to address advanced technology used by those involved in immoral activities.</t>
  </si>
  <si>
    <t>The Philippines addresses unauthorized surveillance in public spaces near healthcare facilities through a combination of laws and regulations:
Right to Privacy (Article III, Section 1 of the Philippine Constitution):
This fundamental right protects individuals from unreasonable searches and seizures, including their privacy in public spaces.
Republic Act No. 10175 or the Cybercrime Prevention Act of 2012:
Section 4: Prohibits the unauthorized interception and recording of communication signals. This can be applicable if the surveillance device intercepts electronic communications (phone calls, messages) occurring in the public space.
Anti-Voyeurism Act (Republic Act No. 9995):
This act penalizes the act of secretly observing or recording a person engaged in any private act.
While public spaces generally don't guarantee complete privacy, secretly filming individuals within a reasonable expectation of privacy (e.g., hospital waiting areas, restrooms) can be considered a violation. [invalid URL removed]
Local Government Ordinances:
Many cities and municipalities have ordinances regulating the use of cameras and other recording devices in public places.
These ordinances may restrict the installation and operation of surveillance devices without proper permits or legitimate purposes.</t>
  </si>
  <si>
    <t>In the Philippines, the crime of public conspiracy to commit online scams or cyber fraud is addressed through various legal provisions. Let’s explore these:
1. **Cyber Estafa**:
- Cyber Estafa refers to fraudulent practices conducted through the use of Information and Communication Technology (ICT).
- It encompasses fraudulent activities carried out online, including through social media, untrusted websites, phishing, hacking, and similar tactics.
2. **Estafa under Article 315 of the Revised Penal Code (RPC)**:
- Traditional estafa, as defined under Article 315 of the RPC, covers various fraudulent acts, such as altering the substance of delivered goods, misappropriating entrusted property, taking advantage of someone's signature, and using false pretenses or fraudulent acts.
3. **Cybercrime Prevention Act (Republic Act No. 10175)**:
- This law defines and addresses various cybercrimes, including online fraud.
- It provides a framework for preventing, investigating, suppressing, and penalizing cyber-related offenses, covering unauthorized online transactions, fraudulent schemes, and other deceptive practices.
4. **Consumer Act of the Philippines (Republic Act No. 7394)**:
- While not specific to cybercrime, this Act penalizes dishonesty by sellers before, during, and after a sale.
- It prohibits acts of concealment, false representation, or fraudulent manipulation in sales transactions.
Legal Actions:
Individuals involved in public conspiracy to commit online scams or cyber fraud can face criminal charges under these laws.
Penalties may include fines, imprisonment, or both, depending on the severity of the offense.</t>
  </si>
  <si>
    <t>Philippine law strictly discourages street-level tax evasion and fraudulent financial activities in public spaces. While such activities might not directly occur on the street, they can have consequences:
Tax Evasion:
Republic Act No. 8424 or the Tax Code: This act outlines various penalties for tax evasion, including:
Surcharge: An additional tax liability imposed on top of the unpaid tax.
Interest: Calculated on the unpaid tax amount from the due date.
Imprisonment: Ranging from several months to years depending on the severity of the offense. [BIR website ON Bureau of Internal Revenue bir.gov.ph]
Fraudulent Financial Activities:
Republic Act No. 10175 or the Cybercrime Prevention Act of 2012: This act penalizes various cybercrimes, including:
Computer-related Identity Theft: Using another person's identity information to access financial accounts or commit fraud.
Illegal Access: Gaining unauthorized access to computer systems, potentially for fraudulent purposes.
Article 315 of the Revised Penal Code (RPC): This covers the crime of Falsification of Public Documents. This can apply if someone uses forged documents to conduct fraudulent financial activities.</t>
  </si>
  <si>
    <t>How does the law address incidents of street-level assault or harassment based on disability or physical condition in public events?</t>
  </si>
  <si>
    <t>The Philippines has legal measures to address street-level assault or harassment based on disability or physical condition at public events:
Primary Laws:
Republic Act No. 7277 or the Anti-Discrimination Act:
Prohibits discrimination against persons with disabilities in various aspects.
Revised Penal Code (RPC):
Article 266: Penalizes acts of inflicting physical injuries. The penalty increases if the assault is inflicted upon a person with a disability.
Article 144 of the RPC: Covers public disturbance and disorderly conduct. This can be applied to situations where the harassment disrupts the peace and order of the public event.
Republic Act No. 10354 or the Anti-Sexual Harassment Act: While not solely focused on disability, it protects individuals from sexual harassment, which can occur alongside assault or harassment based on disability during an event.</t>
  </si>
  <si>
    <t>The Philippines combats improper disposal of hazardous materials in public parks through a combination of legal measures and regulations:
Primary Legislation:
Republic Act No. 6969 or the Toxic Substances and Hazardous Waste Control Act:
Regulates the management and disposal of hazardous waste, including various materials that can pose a threat to public health and the environment if not handled properly.
Prohibits littering and improper disposal of hazardous materials in public spaces like parks.
Republic Act No. 9003 or the Ecological Solid Waste Management Act:
Focuses on integrated solid waste management, including proper segregation, collection, and disposal of various waste streams.
While not solely targeting hazardous waste, it emphasizes the "polluter-pays" principle, holding individuals and entities accountable for the proper disposal of their waste.</t>
  </si>
  <si>
    <t>Under what circumstances can a person be charged with public conspiracy to commit terrorism-related offenses in public markets?</t>
  </si>
  <si>
    <t>In the Philippines, conspiracy to commit terrorism-related offenses in public markets, even at the planning stage (public conspiracy), is a serious crime and can lead to criminal charges under the following circumstances:
Philippine Laws:
Republic Act No. 10175 or the Cybercrime Prevention Act of 2012: This act penalizes:
Section 4: Conspiracy to commit cyberterrorism. This applies if the planning involves using electronic communication to threaten or intimidate the public or cause damage to critical infrastructure.
Article 183 of the Revised Penal Code (RPC): This punishes "conspiracy to commit a crime." This applies if individuals agree and plan to undertake a criminal act of terrorism together.
Additionally:
Republic Act No. 9516 or the Terrorism Financing Prevention and Suppression Act of 2007: This act criminalizes financing or providing material support to terrorist organizations.
Presidential Decree No. 1835: Defines and penalizes certain acts of rebellion and subversion, which can encompass acts of planning terrorism aimed at overthrowing the government.
Penalties:
Depending on the nature and severity of the planned terrorist act, penalties can range from imprisonment to life sentences.</t>
  </si>
  <si>
    <t>Philippine law takes public conspiracy to commit identity theft or financial fraud seriously and addresses it through several provisions:
Core Legislation:
Republic Act No. 10175 or the Cybercrime Prevention Act of 2012 (CPA):
Section 4: Penalizes conspiracy to commit cybercrime. This applies to situations where individuals plan to use the internet or electronic communication to facilitate identity theft or financial fraud.
Article 183 of the Revised Penal Code (RPC): Punishes "conspiracy to commit a crime." This applies to planning and agreeing to carry out identity theft or financial fraud together.
Additional Laws:
Republic Act No. 8424 or the Consumer Protection Act: Protects consumers against deceptive and unfair sales acts. While not directly addressing conspiracy, it can be relevant if the fraudulent activity aims to deceive consumers.
Republic Act No. 9994 or the Expanded Anti-Trafficking in Persons Act of 2012: Covers acts of trafficking in persons, which can involve using stolen identities.
Penalties:
Imprisonment: Varies depending on the nature and severity of the planned crime. Both the CPA and RPC prescribe imprisonment terms for cybercrime conspiracy and conspiracy to commit a crime, respectively.
Fines: Financial penalties can be imposed alongside imprisonment.</t>
  </si>
  <si>
    <t>In the Philippines, the unauthorized sale or distribution of prohibited publications in public spaces near cultural heritage sites is subject to legal penalties. Let’s explore the relevant provisions:
1. **Article 201 of the Revised Penal Code (RPC)**:
- Article 201 addresses immoral doctrines, obscene publications, and exhibitions, including those related to prohibited materials.
- Offenders may face penalties for altering the substance, quantity, or quality of anything of value delivered due to an obligation, misappropriating or converting entrusted property, taking undue advantage of someone’s signature, or using false pretenses or fraudulent acts.
- The penalties under the RPC can include fines, imprisonment, or both, depending on the specific offense.
2. **Consumer Act of the Philippines (Republic Act No. 7394)**:
- While not specific to cultural heritage sites, this Act penalizes dishonesty by sellers before, during, and after a sale.
- It prohibits acts of concealment, false representation, or fraudulent manipulation in sales transactions.
- Violators may face fines, imprisonment, or both.
3. **Local Ordinances and Regulations**:
- Some local government units (LGUs) may have specific ordinances or regulations related to the sale and distribution of materials in public spaces, especially near cultural heritage sites.
- These ordinances may address zoning, licensing, and the types of materials allowed for sale.
- Penalties can vary based on local laws and enforcement practices.
In summary, the unauthorized sale or distribution of prohibited publications near cultural heritage sites is subject to legal penalties under both national laws and local ordinances. Offenders may face fines, imprisonment, or other punitive measures depending on the severity of the offense and the applicable legal provisions.</t>
  </si>
  <si>
    <t>The Philippines addresses unauthorized surveillance devices in public spaces near government offices through a combination of laws and regulations:
Right to Privacy (Article III, Section 1 of the Philippine Constitution):
This fundamental right safeguards individuals from unreasonable searches and seizures, including their privacy in public spaces.
Republic Act No. 10175 or the Cybercrime Prevention Act of 2012:
Section 4: This section prohibits the unauthorized interception and recording of communication signals. This can be applicable if the unauthorized device intercepts electronic communications (phone calls, messages) occurring in the public space.
Anti-Voyeurism Act (Republic Act No. 9995):
Penalizes the act of secretly observing or recording a person engaged in any private act.
While public spaces generally have a lower expectation of privacy, secretly filming individuals within a reasonable expectation of privacy (e.g., areas near building entrances, restrooms) can be considered a violation.</t>
  </si>
  <si>
    <t>How does the law address incidents of street-level assault or harassment based on sexual orientation or gender identity in public transportation?</t>
  </si>
  <si>
    <t>In the Philippines, the **Safe Spaces Act** (Republic Act No. 11313) is designed to address instances of street-level assault or harassment based on sexual orientation or gender identity in public areas, including public transportation. Let's delve into the main points:
1. **Definition of Terms**:
- **Catcalling**: Unwanted comments directed at an individual, often involving wolf-whistling and derogatory language based on misogyny, transphobia, homophobia, or sexism.
- **Gender-based online sexual harassment**: Conduct aimed at a specific person causing mental, emotional, or psychological distress, including unsolicited sexual comments, cyberstalking, and online identity theft.
- **Gender identity and/or expression**: Personal perception of identity characterized by clothing choices, inclinations, and behavior conforming to masculine or feminine norms.
- **Public spaces**: Encompass streets, alleys, parks, schools, buildings, malls, bars, restaurants, transportation terminals, public markets, government offices, public utility vehicles, and other recreational areas ¹.
2. **Prohibited Acts**:
- The Safe Spaces Act prohibits various forms of harassment in public spaces, including:
- Catcalling
- Unwanted sexual remarks and comments
- Threats
- Unauthorized sharing of someone's photos
- Video and audio recordings without consent
- Cyberstalking
- Online identity theft
- Public indecency or exposing private parts
- Groping
- Any advances (verbal or physical) that encroach on personal space and safety ¹.
3. **Penalties**:
- Violators of the Safe Spaces Act may face penalties such as fines and imprisonment.
- The law aims to establish safer environments for everyone, irrespective of gender, sexual orientation, or identity ¹.
4. **Reporting and Awareness**:
- The Land Transportation Franchising and Regulatory Board (LTFRB) encourages reporting of harassment incidents within public transport.
- Both passengers and drivers can report occurrences such as swearing, catcalling, wolf-whistling, and other offensive remarks ².
It's crucial to remember that everyone deserves respect and safety in public spaces, including during transportation. The Safe Spaces Act strives to shield individuals from harassment and foster a more inclusive society. 🌈🚍🔒</t>
  </si>
  <si>
    <t>In the Philippines, the crime of public conspiracy to commit human trafficking or illegal recruitment is addressed through various legal provisions. Let’s explore these:
1. **Expanded Anti-Trafficking in Persons Act of 2012 (Republic Act No. 10364)**:
- This Act expands the scope of Republic Act No. 9208, which aims to eliminate trafficking in persons, especially women and children.
- Key provisions include:
- Declaration of Policy: The State values human dignity, guarantees respect for individual rights, and prioritizes measures to protect people from violence, exploitation, and involuntary migration.
- Definition of Trafficking in Persons: It covers recruitment, transportation, transfer, harboring, or receipt of persons using threats, force, coercion, deception, or abuse of power for exploitation (e.g., sexual exploitation, forced labor, slavery, removal of organs).
- The Act provides penalties for traffickers, including imprisonment and fines.
2. **Illegal Recruitment and Its Penalty**:
- Republic Act No. 10022 states that any person found guilty of illegal recruitment shall suffer the penalty of imprisonment of not less than twelve (12) years and one (1) day but not more than twenty (20) years, along with a fine of not less than One million pesos (P1,000,000.00) nor more than Two million pesos (P2,000,000.00).
3. **Migrant Workers and Overseas Filipinos Act of 1995 (Republic Act No. 8042)**:
- While not specific to public conspiracy, this Act addresses illegal recruitment.
- It aims to protect the rights of overseas Filipino workers (OFWs) and penalizes illegal recruiters.
- Amendments under Republic Act No. 10022 further strengthen penalties for illegal recruitment.
In these legal provisions, the terms "trafficking in persons," "illegal recruitment," and "syndicate" are clearly defined, and penalties are outlined for those involved in such activities. These laws aim to combat human trafficking and illegal recruitment, safeguarding the rights and welfare of individuals, particularly vulnerable populations such as women, children, and overseas Filipino workers.</t>
  </si>
  <si>
    <t>What legal measures exist to combat street-level environmental offenses, such as improper disposal of electronic waste in public spaces?</t>
  </si>
  <si>
    <t>The Philippines tackles improper disposal of electronic waste (e-waste) in public spaces through a combination of existing environmental laws and regulations:
Primary Legislations:
Republic Act No. 6969 or the Toxic Substances and Hazardous Waste Control Act:
Regulates the management and disposal of hazardous waste, including e-waste.
This act prohibits littering and improper disposal of hazardous materials like e-waste in public areas.
Republic Act No. 9003 or the Ecological Solid Waste Management Act:
Focuses on integrated solid waste management, including proper segregation, collection, and disposal of various waste streams.
While not solely targeting e-waste, it emphasizes the "polluter-pays" principle, holding individuals and entities accountable for the proper disposal of their waste.
Penalties for Improper E-waste Disposal:
Fines: Vary depending on the nature and severity of the offense.
Imprisonment: Possible in cases of repeated violations or large-scale illegal disposal.</t>
  </si>
  <si>
    <t>Under what circumstances can a person be charged with public conspiracy to commit election-related offenses in public events?</t>
  </si>
  <si>
    <t>Engaging in public conspiracy to commit election-related offenses in public events in the Philippines can potentially violate several laws, including:
Omnibus Election Code (Batas Pambansa Blg. 881): This comprehensive law governs all aspects of elections in the Philippines. Violations related to organizing unauthorized campaign events, coordinating vote-buying or intimidation schemes, spreading false information or propaganda, tampering with election materials, violating campaign finance laws, and engaging in unauthorized campaigning could be covered under this code.
Republic Act No. 7166: This law provides for synchronized national and local elections and ensures the synchronization of the terms of office of local officials. Violations related to election schedules and the conduct of synchronized elections could be covered under this law.
Republic Act No. 9006 (Fair Election Act): This law regulates the conduct of election campaigns, including the use of propaganda materials, campaign advertisements, and the prohibition of certain forms of election propaganda. Violations related to spreading false information or engaging in unauthorized campaigning at public events could fall under this act.
Republic Act No. 10175 (Cybercrime Prevention Act of 2012): This law penalizes various forms of cybercrime, including online election-related offenses such as spreading false information or engaging in online propaganda. While not directly related to public events, if election-related offenses committed through digital platforms are part of the conspiracy, this law could also apply.
These laws provide specific provisions and penalties for various election-related offenses, including those committed in public event settings. Depending on the nature of the offense and the circumstances involved, other relevant laws and regulations may also apply.</t>
  </si>
  <si>
    <t>How does Philippine law address incidents of street-level assault or harassment based on political affiliation or opinion in public areas?</t>
  </si>
  <si>
    <t>In the Philippines, incidents of street-level assault or harassment based on political affiliation or opinion in public areas are addressed through legal provisions. Here are the relevant laws:
1. **Safe Spaces Act (Republic Act No. 11313)**:
- This law specifically defines gender-based sexual harassment in streets, public spaces, online platforms, workplaces, and educational or training institutions.
- Key provisions include:
- Catcalling: Unwanted remarks directed at a person, often in the form of wolf-whistling and derogatory slurs.
- Gender-based online sexual harassment: Conduct online that causes mental, emotional, or psychological distress, including unwanted sexual remarks, cyberstalking, and identity theft.
- Public spaces: Refers to streets, parks, schools, government offices, transportation terminals, and other recreational areas.
- Penalties for violations include imprisonment of up to six months and a fine of up to 500,000 pesos.
2. **Declaration of Policies**:
- The State values human dignity, guarantees respect for human rights, and recognizes the role of women in nation-building.
- Equality, security, and safety are essential not only in private spaces but also in public spaces.
3. **Implementation and Reporting**:
- The Land Transportation Franchising and Regulatory Board (LTFRB) actively promotes awareness of the Safe Spaces Act within public transport.
- Citizens are encouraged to report incidents of harassment committed in public spaces.
These legal provisions aim to ensure the safety and security of individuals in public spaces and protect them from harassment or assault based on political affiliation or opinion. They underscore the importance of upholding human rights and promoting equality in all spheres of society.</t>
  </si>
  <si>
    <t>Philippine law tackles the unauthorized sale or distribution of prohibited or obscene materials in public spaces near schools through a combination of the Revised Penal Code (RPC) and Republic Act No. 7610 (Special Protection of Children Against Abuse, Exploitation and Discrimination Act).
Here's how the penalties might apply:
**Revised Penal Code (RPC):**
* **Article 359:** This article penalizes the publication or exhibition of "any obscene publication, engraving, print or photograph." The penalty can be arresto mayor (1-6 months imprisonment) to prision correccional minimum (6 months and 1 day to 2 years and 4 months imprisonment).
**Republic Act No. 7610 (Special Protection of Children Against Abuse, Exploitation and Discrimination Act):**
* **Section 5:** This section prohibits the sale, distribution or exhibition of "any obscene publication or material" to a minor. The penalty can be imprisonment of six (6) months and one day to six (6) years and one day and a fine ranging from Six hundred pesos (Php600.00) to Four thousand pesos (PhP4,000.00).
* **Section 9:** This section specifically addresses the use of a child in the production or distribution of obscene materials. While not directly related to selling near schools, it strengthens the overall protection against obscene materials involving children.
**Public Spaces Near Schools:**
While there's no specific law solely addressing proximity to schools, other laws can be used to strengthen the case:
* **Local Ordinances:** Many cities and municipalities have ordinances regulating activities near schools, which might include restrictions on selling obscene materials.
**Important Considerations:**
* Defining "obscene materials" can be subjective. Courts will consider factors like:
* The dominant theme of the material taken as a whole
* Whether it appeals to prurient interests
* Whether it patently offends community standards
* Whether it has any serious literary, artistic, political, or scientific value
* The specific penalties will depend on the exact nature of the materials and whether a minor was involved.
**Recommendation:**
For a more definitive answer, it's always best to consult a lawyer specializing in criminal law or juvenile justice. They can provide a more nuanced analysis based on the specific circumstances of the case.</t>
  </si>
  <si>
    <t>While there isn't a single law solely addressing unauthorized surveillance devices in public areas near healthcare facilities in the Philippines, several existing legal provisions can be interpreted to regulate such actions:
The Philippine Constitution (Article III, Section 2): This guarantees the right to privacy, which includes protection from unreasonable searches and seizures.
Republic Act No. 10173 (Data Privacy Act of 2012): This act safeguards the processing of personal information, including collection through surveillance. It prohibits the collection of personal data without the individual's consent, especially sensitive data like health information.
Revised Penal Code (Article 290): This penalizes "eavesdropping" or using any device to secretly overhear, record, or transmit private conversations.
Additionally, specific regulations might be applicable:
Hospital policies: Many healthcare facilities have internal regulations prohibiting unauthorized recording or capturing images within their premises.
Therefore, legal recourse would likely involve:
Data privacy violation: If the surveillance device captures personal information, it can be considered a violation of the Data Privacy Act.
Invasion of privacy: The act of installing or using a device to capture private information in a public space can be argued as an invasion of privacy under the Constitution.</t>
  </si>
  <si>
    <t>Public conspiracy to commit online scams or cyber fraud can be addressed under several Philippine laws, including:
* **Article 183 of the Revised Penal Code (RPC)** on Conspiracy to commit a crime: This article penalizes two or more persons who agree to commit a crime and decide to actually carry it out.
* **Republic Act No. 10175 or the Cybercrime Prevention Act of 2012 (CPA)**: This law specifically deals with online crimes, including:
* **Section 4(c)(4)** on Computer-related Offenses: This section penalizes conspiracy to commit any of the cybercrimes defined under the CPA. These cybercrimes include illegal access, data interference, system interference, misuse of devices, and cyber-espionage.
* **Section 15** on Frauds committed through a computer system: This section penalizes any person who willfully and unlawfully uses a computer system to defraud another person.
* **Republic Act No. 8424 or the Consumer Protection Act of the Philippines**: This law protects consumers against deceptive and unfair sales acts. While it does not directly address online scams, it can be used against online businesses that engage in fraudulent practices.
The penalties for public conspiracy to commit online scams or cyber fraud will depend on the specific crime involved and the value of the fraud attempted or committed.</t>
  </si>
  <si>
    <t>In the Philippines, the **Safe Streets and Public Spaces Act** (Republic Act No. 11313) addresses instances of street-level assault or harassment, encompassing various factors such as **political affiliation or opinion** in public areas. Here's an overview of the key points:
1. **Definition of Gender-Based Street and Public Spaces Harassment**:
- The law defines gender-based street and public spaces harassment as **unwanted comments, gestures, and actions forced on a person in public spaces without their consent**. These acts target individuals based on their actual or perceived **sex, gender, gender expression, or sexual orientation and identity**.
- The legislation acknowledges that harassment can occur across various public spaces, including streets, alleys, parks, schools, government buildings, malls, bars, restaurants, transportation terminals, public markets, and public utility vehicles ⁷.
2. **Prohibited Acts**:
- The following acts are classified as sexual harassment under the Safe Streets Act:
- **Catcalling**: Unwanted remarks, wolf-whistling, and sexist or homophobic slurs.
- **Lascivious language**, **stalking**, **rubbing or touching**, **indecent gestures**, **exhibitionism**, and **public masturbation**.
- Any advances (verbal or physical) that encroach upon personal space and physical safety.
- These actions are forbidden in public spaces and may result in legal consequences ⁷.
3. **Penalties**:
- Violators of the Safe Streets Act may face penalties, including **fines** and **imprisonment**.
- The law aims to establish safer environments for all individuals, regardless of their political affiliation, opinion, or other personal characteristics ⁷.
4. **Context and Importance**:
- Street-level harassment based on political affiliation or opinion can undermine public safety, freedom of expression, and democratic values.
- The legislation endeavors to safeguard individuals from harassment and foster a more inclusive and respectful society.
It's essential to recognize that everyone deserves to feel safe and respected in public spaces, irrespective of their political beliefs or affiliations.</t>
  </si>
  <si>
    <t>In the Philippines, the crime of public conspiracy to commit identity theft or financial fraud is addressed through various legal provisions. Let’s explore these:
1. **Cybercrime Prevention Act of 2012 (Republic Act No. 10175)**:
- This Act defines and addresses various forms of cybercrime, including identity theft.
- It provides significant protection to individuals against identity theft by establishing legal measures to prevent and punish perpetrators of such crimes.
- Victims of identity theft can seek damages in civil court for the losses they have suffered, including compensation for financial losses (such as money stolen from bank accounts) and damages for emotional distress and reputational harm.
2. **Revised Penal Code (RPC)**:
- The RPC covers various offenses related to fraud, deceit, and false pretenses.
- Identity theft and financial fraud can fall under the provisions related to estafa (swindling) and other fraudulent acts.
- Penalties for these offenses may include imprisonment, fines, or both.
These legal provisions aim to safeguard individuals against identity theft and financial fraud, ensuring that perpetrators are held accountable for their actions and victims receive appropriate compensation for any harm suffered.</t>
  </si>
  <si>
    <t>In the Philippines, the unauthorized sale or distribution of prohibited publications in public spaces near cultural heritage sites is regulated by legal provisions. Here are the pertinent points:
1. **Prohibited Publications**:
- These publications may encompass materials that are deemed obscene, indecent, or harmful to public morals.
- Their presence can pose a threat to the integrity of cultural heritage sites and public spaces.
2. **Cultural Heritage Sites**:
- These sites hold historical, cultural, or artistic significance.
- Unauthorized activities in their vicinity can undermine their integrity and value.
3. **Legal Consequences**:
- Penalties for the unauthorized sale or distribution of prohibited publications vary depending on the specific offense and relevant laws.
- Possible consequences may include:
- **Fines**: Monetary penalties prescribed by law.
- **Imprisonment**: Depending on the severity of the violation.
- **Confiscation**: Seizure of prohibited materials.
- **Civil Liability**: Obligation to compensate for any damages caused.
- The exact penalties depend on the circumstances and the specific legal provisions breached.
4. **Importance of Compliance**:
- Adherence to regulations is crucial for preserving our history and identity encapsulated in cultural heritage sites.
- Compliance ensures the safeguarding and appreciation of these invaluable assets.
It's essential to recognize that unauthorized activities near cultural heritage sites can carry significant legal and cultural repercussions.</t>
  </si>
  <si>
    <t>In the Philippines, similar to healthcare facilities, there isn't a single law solely addressing unauthorized surveillance devices in public spaces near government offices. However, existing legal frameworks can be used to address such situations:
The Philippine Constitution (Article III, Section 2): This guarantees the right to privacy, protecting individuals from unreasonable searches and seizures.
Republic Act No. 10173 (Data Privacy Act of 2012): This safeguards the processing of personal information, including collection through surveillance. It prohibits the collection of personal data without an individual's consent, especially sensitive data.
Revised Penal Code (Article 289): This penalizes "espionage" which involves gathering information, without permission, that can be prejudicial to the national security or public safety.
Additionally, relevant regulations might include:
Specific government agency policies: Many government offices have regulations restricting unauthorized recording or capturing images within their premises.
legal recourse would likely involve:
Data privacy violation: If the device captures personal information (like individuals entering/exiting government buildings), it can be a Data Privacy Act violation.
Invasion of privacy: Installing or using a device to capture information in a public space can be argued as an invasion of privacy under the Constitution.
Espionage: If the surveillance aims to gather information that could compromise national security, it might fall under espionage under the Revised Penal Code (depending on the intent and the information gathered).</t>
  </si>
  <si>
    <t>In the Philippines, instances of street-level assault or harassment based on sexual orientation or gender identity in public areas are addressed through legal measures. The relevant laws include:
The Safe Spaces Act (Republic Act No. 11313), which specifically outlines gender-based sexual harassment in various settings such as streets, public spaces, online platforms, workplaces, and educational institutions.
Key aspects of this law include:
- Catcalling: Unwanted remarks directed at individuals, often in the form of wolf-whistling and derogatory slurs.
- Gender-based online sexual harassment: Conduct online that causes mental, emotional, or psychological distress, including unwanted sexual remarks, cyberstalking, and identity theft.
- Definition of public spaces: Including streets, parks, schools, government offices, transportation terminals, and other recreational areas.
Penalties for violations of this law can result in imprisonment for up to six months and a fine of up to 500,000 pesos.
Declaration of Policies:
The government emphasizes human dignity, respects human rights, and acknowledges the role of women in nation-building.
Equality, security, and safety are paramount not only in private spaces but also in public areas, online platforms, workplaces, and educational institutions.
Implementation and Reporting:
The Land Transportation Franchising and Regulatory Board (LTFRB) actively raises awareness about the Safe Spaces Act in public transportation.
Citizens are encouraged to report incidents of harassment that occur in public spaces.</t>
  </si>
  <si>
    <t>In the Philippines, legal measures address the crime of public conspiracy to commit human trafficking or illegal recruitment through various statutes:
Expanded Anti-Trafficking in Persons Act of 2012 (Republic Act No. 10364):
This Act broadens the coverage of Republic Act No. 9208, which aims to eradicate trafficking in persons, particularly women and children.
It asserts the State's regard for the dignity of every human person and ensures the protection of individual rights.
The Act defines trafficking in persons and imposes penalties on traffickers, including imprisonment and fines.
Illegal Recruitment and Its Penalty:
Republic Act No. 10022 stipulates that anyone found guilty of illegal recruitment shall face imprisonment ranging from twelve (12) years and one (1) day to twenty (20) years, along with fines ranging from One million pesos (P1,000,000.00) to Two million pesos (P2,000,000.00).
Migrant Workers and Overseas Filipinos Act of 1995 (Republic Act No. 8042):
Although not specifically addressing public conspiracy, this Act tackles illegal recruitment.
It endeavors to safeguard the rights of overseas Filipino workers (OFWs) and penalizes illegal recruiters.
Revisions introduced by Republic Act No. 10022 further reinforce penalties for illegal recruitment.
Definition of Terms:
Trafficking in Persons: Involves various acts such as recruitment, transportation, transfer, or harboring of individuals for exploitation.
Illegal Recruitment: Encompasses deceptive practices related to employment or overseas deployment.
Syndicate: Denotes a group of three (3) or more individuals conspiring or confederating in illegal recruitment.</t>
  </si>
  <si>
    <t>The Philippines has several legal measures in place to combat street-level environmental offenses, including the improper disposal of electronic waste (e-waste) in public spaces. Here's a breakdown of some key aspects:
**National Legislation:**
* **Republic Act No. 8749 (Philippine Clean Air Act of 1999):** This law prohibits the open burning of waste, a common practice for some e-waste disposal. * **Republic Act No. 9003 (Ecological Solid Waste Management Act of 2000):** This act focuses on proper waste management** and bans the littering of all types of waste, including e-waste.
* It mandates segregation of waste at source (homes, businesses) and prescribes penalties for improper disposal.
* The law also establishes a "polluter pays" principle**, meaning those who generate waste are responsible for its proper management.
* **Republic Act No. 6969 (Toxic Substances and Hazardous Wastes Regulation Act of 1991):** This law regulates the handling, storage, transport, treatment, and disposal of hazardous wastes**, which can include certain types of e-waste. * It requires permits for managing hazardous waste and outlines penalties for violations. **Local Ordinances:**
* Many cities and municipalities in the Philippines have enacted local ordinances** that specifically address waste disposal and littering. * These ordinances may set fines for improper disposal of e-waste and other types of waste in public spaces.
**Enforcement Mechanisms:**
* The Department of Environment and Natural Resources (DENR)** is the primary government agency responsible for enforcing environmental laws. * Local government units (LGUs) also play a role in enforcing waste management regulations** within their jurisdictions.
**Challenges and Considerations:**
* **Limited Resources:** DENR and LGUs may face limited resources** for effective enforcement, including manpower and equipment.
* **Public Awareness:** Raising public awareness about proper e-waste disposal and the consequences of littering is crucial for long-term solutions.
* **Informal Waste Collection:** The informal waste collection sector** can contribute to improper e-waste disposal. Addressing this issue requires a multi-pronged approach**.
**Overall, the Philippines has a legal framework to address street-level environmental offenses like e-waste disposal. However, effective enforcement, public awareness campaigns, and collaboration with various stakeholders are essential for a comprehensive solution.**
Here are some additional resources:
* Department of Environment and Natural Resources (DENR): [https://www.denr.gov.ph/](https://www.denr.gov.ph/)
* EcoWaste Coalition: [https://www.ecowastecoalition.org/](https://www.ecowastecoalition.org/)</t>
  </si>
  <si>
    <t>The unauthorized sale or distribution of prohibited or obscene materials in public spaces near schools is governed by legal provisions in the Philippines. Here are the relevant points:
1. **Safe Spaces Act (Republic Act No. 11313)**:
- This legislation addresses various forms of harassment, including those related to obscene materials.
- Its objective is to establish safer environments for all individuals, regardless of their gender, sexual orientation, or identity.
- Penalties for violating the Safe Spaces Act may include imprisonment and fines.
2. **Penal Code**:
- The Revised Penal Code (RPC) prohibits immoral doctrines, obscene publications, and exhibitions.
- Offenders may face imprisonment and fines as stipulated by law.
- The exact penalties depend on the circumstances and the severity of the offense.
3. **Importance of Compliance**:
- It is crucial to respect cultural heritage sites and public spaces to preserve our history and identity.
- Adhering to regulations ensures the safeguarding and appreciation of these invaluable assets.
It's important to remember that unauthorized activities near cultural heritage sites can have serious legal and cultural implications.</t>
  </si>
  <si>
    <t>In the Philippines, the utilization of surveillance devices, including closed-circuit television (CCTV) systems, in public spaces near healthcare facilities is regulated by legal guidelines. Here are the key provisions:
Data Privacy Act of 2012 (DPA):
The DPA oversees the handling of personal data, including video and audio recordings obtained from CCTV systems.
While CCTV systems, when employed reasonably and appropriately, enhance safety and security, their implementation must consider the impact on the rights and freedoms of individuals.
Operators of CCTV systems, whether they are personal information controllers or processors, are obligated to adhere to the DPA, its Implementing Rules and Regulations (IRR), and pertinent directives from the National Privacy Commission (NPC).
Conditions for Lawful Processing:
The processing of personal information via surveillance devices is permissible only if not explicitly prohibited by law and if at least one of the following conditions is met:
Consent has been obtained from the data subject.
The processing is necessary to fulfill a legal obligation.
The processing is essential to safeguard the vital interests of the data subject, including life and health.
The processing is required for the performance of public authority functions.
The processing is necessary to pursue legitimate interests of the personal information controller or a third party, except where it conflicts with the fundamental rights and freedoms of the data subject.
Sensitive Personal Information:
Special precautions are necessary for sensitive personal information, such as clinical photographs containing patients' health data.
Operators must handle such information with diligence and ensure compliance with the DPA.</t>
  </si>
  <si>
    <t>In the Philippines, individuals can face charges of public conspiracy to commit terrorism-related offenses under specific circumstances, as outlined by legal provisions:
Republic Act No. 10168 (Anti-Money Laundering Act):
This legislation defines the offense of financing terrorism and imposes penalties on those engaged in such activities.
It encompasses actions involving the provision of financial assistance or resources to terrorist organizations or individuals involved in terrorism.
If two or more individuals conspire to commit offenses related to financing terrorism, they may be charged with public conspiracy.
Terrorist Financing and Conspiracy to Commit Terrorism:
Conspiring to provide funds, resources, or support for terrorist activities is considered a grave offense.
Conspiracies may occur in public markets or other public spaces.
Penalties for terrorism-related offenses include imprisonment and fines.</t>
  </si>
  <si>
    <t>The Philippine Anti-Cybercrime Law (Republic Act No. 10175) includes legal provisions to combat identity theft and financial fraud. Here's a summary of the relevant aspects:
Identity Theft:
Identity theft, which involves the misuse of another person's identity for fraudulent purposes, is considered a significant offense under the Cybercrime Prevention Act of 2012.
The law defines identity theft and prescribes penalties for those found guilty of committing such acts.
Victims of identity theft have the right to pursue damages in civil court to recover losses incurred. This may include seeking compensation for financial losses such as funds stolen from bank accounts, as well as damages for emotional distress and harm to reputation.</t>
  </si>
  <si>
    <t>In the Philippines, the unauthorized sale or distribution of prohibited publications in public spaces near cultural heritage sites is governed by specific legal provisions. Let's delve into the relevant regulations:
Article 201 of the Revised Penal Code (RPC):
Article 201 addresses immoral doctrines, obscene publications, and exhibitions, including those concerning prohibited materials.
Offenders may incur penalties for various offenses such as:
- Altering the substance, quantity, or quality of anything of value delivered due to an obligation.
- Misappropriating or converting money, goods, or other property received in trust or on commission.
- Taking undue advantage of someone’s signature.
- Engaging in false pretenses or fraudulent acts.
Penalties under the RPC can include fines, imprisonment, or both, depending on the specific offense.
Consumer Act of the Philippines (Republic Act No. 7394):
While not explicitly tailored to cultural heritage sites, this Act addresses dishonest practices by sellers throughout the sales process.
It prohibits acts of concealment, false representation, or fraudulent manipulation in sales transactions.
Violators may face fines, imprisonment, or both.</t>
  </si>
  <si>
    <t>The use of **surveillance devices**, particularly **closed-circuit television (CCTV) systems**, in public spaces near government offices is governed by legal provisions in the Philippines. Here are the key guidelines:
1. **Data Privacy Act of 2012 (DPA)**:
- The utilization of CCTV systems for capturing, utilizing, retaining, and deleting video and/or audio footage is considered as processing of personal data under the DPA.
- Those involved in processing personal data through CCTV systems, whether as **personal information controllers (PICs)** or **personal information processors (PIPs)**, are required to adhere to the DPA, its Implementing Rules and Regulations (IRR), and relevant directives from the **National Privacy Commission (NPC)**¹.
2. **General Principles**:
- CCTV systems, when utilized reasonably and appropriately, contribute to the safety and security of individuals.
- Consideration should be given to the impact on the rights and freedoms of data subjects, and regular reviews should ensure that CCTV use remains necessary for specific and legitimate purposes.
- Masking (concealing parts of video imagery) can be employed to safeguard privacy.
- Lawful surveillance conducted by law enforcement agencies is not subject to these provisions but remains subject to the Constitution and other applicable laws¹.
3. **Scope**:
- These regulations apply to all PICs and PIPs engaged in processing personal data through CCTV systems operating in public and semi-public areas.
- The scope covers CCTV systems that record videos and those equipped with both video and audio capabilities¹.
4. **Definition of Terms**:
- **CCTV**: Closed-circuit television or camera surveillance system capturing images of individuals or other information related to individuals.
- **Data Subject**: An individual whose personal data is processed.
- **Personal Information**: Any information from which an individual's identity can be reasonably and directly ascertained.
- **Personal Information Controller (PIC)**: A person or organization controlling the collection, processing, or use of personal information.
- **Masking**: Concealing parts of video or still imagery to protect privacy¹.
It's important to recognize that unauthorized surveillance devices can infringe on privacy rights, and their usage should comply with legal requirements and respect individual privacy.</t>
  </si>
  <si>
    <t>In the Philippines, legal measures are in place to address street-level environmental offenses, including the improper disposal of electronic waste (e-waste) in public spaces. Here are the relevant provisions:
Ecological Solid Waste Management Act (Republic Act No. 9003):
This legislation establishes a comprehensive framework for solid waste management, encompassing e-waste.
Key elements include:
Source Reduction and Waste Minimization: Encouraging practices like recycling, re-use, and recovery before disposal.
Prohibition of Incineration: The Act prohibits incineration as a waste disposal method.
Proper Segregation and Collection: Guidelines for the appropriate handling and disposal of various types of waste.
Registration and Regulation: Generators, transporters, and treatment facilities of hazardous waste, including e-waste, must register with the Environmental Management Bureau (EMB).
Penalties: Violators may be subject to fines, imprisonment, or both.
DENR Administrative Orders:
The Department of Environment and Natural Resources (DENR) issues administrative orders to regulate hazardous waste, including e-waste.
These orders establish guidelines for the management, transport, and disposal of hazardous materials.
Specifically, DENR Administrative Order No. 2013-22 addresses the management of WEEE (waste electrical and electronic equipment) containing toxic metals and flame retardants.
Environmental Management Bureau (EMB):
As a bureau under the DENR, the EMB is responsible for enforcing regulations related to e-waste management.
It promotes proper disposal practices, encourages recycling initiatives, and monitors compliance with environmental laws.</t>
  </si>
  <si>
    <t>The unauthorized sale or distribution of prohibited or obscene materials in public spaces near schools in the Philippines is subject to legal penalties, as outlined in the following provisions:
Senate Bill No. 734 (Proposed Legislation):
Introduced by Senator Joel Villanueva, this bill is aimed at curbing the continued proliferation of immoral doctrines, obscene publications, exhibitions, and indecent shows.
Proposed penalties include:
- Prision Mayor in its medium period (equivalent to reclusion perpetua) for individuals involved in selling or distributing prohibited materials.
- A fine ranging from Five hundred thousand pesos (₱500,000.00) to Five million pesos (₱5,000,000.00).
The bill aims to enhance protection for minors, impose stricter penalties for obscene, pornographic, and immoral activities, and update penal laws to address the advanced technology used by those engaged in activities that degrade human dignity through lust and greed.
Revised Penal Code (RPC):
Article 201 of the RPC deals with immoral doctrines, obscene publications, and exhibitions.
Offenders may face imprisonment and fines for altering, misappropriating, or using false pretenses related to obscene materials.
Penalties under the RPC can include imprisonment, fines, or both, depending on the nature of the offense.</t>
  </si>
  <si>
    <t>The use of **surveillance devices**, especially **closed-circuit television (CCTV) systems**, in public spaces near healthcare facilities is regulated by legal provisions in the Philippines. Here are the key guidelines:
1. **Data Privacy Act of 2012 (DPA)**:
- The recording, utilization, storage, and disposal of video and/or audio footage acquired from CCTV systems are regarded as processing of personal data under the DPA.
- Entities processing personal data through CCTV systems, whether as **personal information controllers (PICs)** or **personal information processors (PIPs)**, are obligated to adhere to the DPA, its Implementing Rules and Regulations (IRR), and pertinent directives from the **National Privacy Commission (NPC)**¹.
2. **General Principles**:
- CCTV systems, when deployed reasonably and appropriately, contribute to the safety and security of individuals.
- The potential impact on the rights and freedoms of data subjects must be carefully considered, and periodic assessments should ensure that CCTV use remains justified for specific and lawful purposes.
- Surveillance conducted by law enforcement agencies within lawful boundaries is not governed by these provisions but remains subject to the Constitution and other relevant laws¹.
3. **Scope**:
- This Advisory applies to all PICs and PIPs involved in processing personal data through CCTV systems operating in public and semi-public areas.
- It encompasses CCTV systems recording videos, as well as those equipped with both video and audio capabilities¹.
It's important to bear in mind that unauthorized surveillance devices can violate privacy rights, and their deployment should comply with legal requirements while respecting individual privacy.</t>
  </si>
  <si>
    <t>In the Philippines, the crime of public conspiracy to commit human trafficking or illegal recruitment is addressed through various legal provisions:
1. Expanded Anti-Trafficking in Persons Act of 2012 (Republic Act No. 10364):
This Act broadens the scope of Republic Act No. 9208, with the aim of eradicating trafficking in persons, particularly women and children.
It emphasizes the State's commitment to valuing the dignity of every human person and ensuring respect for individual rights.
The Act defines trafficking in persons and prescribes penalties for traffickers, including imprisonment and fines.
2. Illegal Recruitment and Its Penalty:
Republic Act No. 10022 stipulates that individuals found guilty of illegal recruitment shall face imprisonment ranging from twelve (12) years and one (1) day to twenty (20) years, accompanied by a fine ranging from One million pesos (P1,000,000.00) to Two million pesos (P2,000,000.00).
3. Migrant Workers and Overseas Filipinos Act of 1995 (Republic Act No. 8042):
Although not specifically addressing public conspiracy, this Act deals with illegal recruitment.
Its objective is to safeguard the rights of overseas Filipino workers (OFWs) and to penalize illegal recruiters.
Amendments introduced under Republic Act No. 10022 further enhance penalties for illegal recruitment.
Definition of Terms:
- Trafficking in Persons: Encompasses various actions involving the recruitment, transportation, transfer, or harboring of individuals for exploitation.
- Illegal Recruitment: Involves deceptive practices related to employment or overseas deployment.
- Syndicate: Refers to a group of three (3) or more persons conspiring or confederating in illegal recruitment.</t>
  </si>
  <si>
    <t>In the Philippines, selling or distributing prohibited or obscene materials in public events can lead to penalties under several laws, depending on the specific nature of the materials. Here's a breakdown of the possibilities:
**Revised Penal Code (RPC):**
* **Article 201 (Immoral Doctrines, Obscene Publications and Exhibitions, and Indecent Shows):** This is the primary law that applies to obscene materials. * It penalizes those who publish, exhibit, or sell obscene materials with imprisonment of not less than six (6) months nor more than one (1) year** or a fine of not less than one thousand pesos (P1,000.00) nor more than three thousand pesos (P3,000.00).
* **However, Republic Act No. 10951 (An Act Amending Article 201 of the Revised Penal Code)** increased the fines** associated with this offense in 2017. The current range is P20,000.00 to P200,000.00**.
**Local Ordinances:**
* Many cities and municipalities in the Philippines have local ordinances** that regulate activities during public events, including the sale or distribution of materials. * These ordinances may prohibit the sale of obscene materials altogether or impose additional fines** for violations.
**Determining Obscenity:**
* What constitutes "obscene" can be subjective**. Courts consider factors like:
* Whether the material appeals to prurient interests (i.e., unhealthy interest in sexual matters).
* Whether the material depicts or describes sexual conduct in a patently offensive way.
* Whether the work lacks serious literary, artistic, political, or scientific value.
**Importance of Evidence:**
* Law enforcement needs evidence** to prove the materials are obscene. This may include the materials themselves, witness testimonies, or expert opinions.
**Who Can Enforce?:**
* The Philippine National Police (PNP)** is responsible for enforcing national laws like the Revised Penal Code.
* Local government officials (barangay tanods) can enforce local ordinances within their jurisdictions.
**Alternatives to Penalties:**
* In some cases, first-time offenders** may be offered alternatives to penalties**. * This could involve community service** or educational programs** on the proper conduct during public events.
**Remember:**
The specific penalties you might face depend on the exact nature of the materials, the local laws in effect, and the discretion of the authorities. It's always best to err on the side of caution** and avoid selling or distributing materials that could be considered obscene in a public setting.
Here are some resources for further information:
* Philippine National Police (PNP): [https://pnp.gov.ph/](https://pnp.gov.ph/)
* Department of the Interior and Local Government (DILG): [https://www.dilg.gov.ph/](https://www.dilg.gov.ph/)</t>
  </si>
  <si>
    <t>The use of **surveillance devices**, particularly **closed-circuit television (CCTV) systems**, in public spaces near schools is regulated by legal provisions in the Philippines. Here are the key guidelines:
1. **Data Privacy Act of 2012 (DPA)**:
- The activities of capturing, utilizing, retaining, and disposing of video and/or audio footage obtained from CCTV systems are regarded as processing of personal data under the DPA.
- Individuals or entities processing personal data through CCTV systems, whether as **personal information controllers (PICs)** or **personal information processors (PIPs)**, are mandated to comply with the DPA, its Implementing Rules and Regulations (IRR), and relevant directives of the **National Privacy Commission (NPC)**¹.
2. **General Principles**:
- CCTV systems, when employed reasonably and appropriately, contribute to the safety and security of individuals.
- The potential impact on the rights and freedoms of data subjects must be considered, and regular assessments should ensure that CCTV use remains necessary for specified and legitimate purposes.
- Surveillance conducted by law enforcement agencies within lawful boundaries is not governed by these provisions but remains subject to the Constitution and other applicable laws¹.
3. **Scope**:
- This Advisory applies to all PICs and PIPs engaged in processing personal data through CCTV systems operating in public and semi-public areas.
- It encompasses CCTV systems recording videos, as well as those equipped with both video and audio capabilities¹.
It's essential to remember that unauthorized surveillance devices can violate privacy rights, and their usage should comply with legal requirements while respecting individual privacy.</t>
  </si>
  <si>
    <t>Violent Crimes</t>
  </si>
  <si>
    <t>How does Philippine law define and classify homicide as a violent crime?</t>
  </si>
  <si>
    <t>Philippine law classifies homicide as a violent crime, primarily governed by the following provisions:
Revised Penal Code (RPC):
Article 248: Defines different degrees of Murder ("Murder") with specific "qualifying circumstances" that elevate the crime from Homicide. These circumstances involve elements like treachery, abuse of superior strength, evident premeditation, etc.
Article 249: Defines Homicide ("Homicidio") as the unlawful killing of another person without the presence of any qualifying circumstances mentioned in Article 248. This carries a lesser penalty compared to Murder.
Involves the taking of another person's life: This is the fundamental element that separates homicide from other crimes.
Unlawful act: The killing must be illegal. Self-defense, for instance, wouldn't be considered homicide.
Classification of Homicide:
Philippine law differentiates between Murder and Homicide based on the presence of qualifying circumstances:
Murder: When the killing is attended by any of the qualifying circumstances listed in Article 248 (treachery, evident premeditation, etc.), it is classified as Murder and carries a graver penalty.
Homicide: If the killing lacks the qualifying elements of Murder, it falls under Homicide as defined in Article 249 and receives a less severe punishment.
Additional Points:
Other homicide-related classifications: Aside from Murder and Homicide, the Revised Penal Code also recognizes other related crimes like Parricide (killing an ascendant) and Infanticide (killing a child under three years old). These have specific provisions and penalties.
Homicide is inherently violent: The very act of taking a life inherently involves the use of force and falls under the category of violent crimes.</t>
  </si>
  <si>
    <t>What are the legal elements required to establish the crime of murder in the Philippines?</t>
  </si>
  <si>
    <t>Philippine law defines the crime of murder under the Revised Penal Code (RPC) specifically in Article 248. To constitute murder, the prosecution must prove the presence of all the following elements:
Killing of a person: This is the fundamental element. The victim must be a human being who was alive before the act in question.
The accused killed the victim: The prosecution must provide substantial evidence to prove the accused directly caused the victim's death.
Qualifying circumstance: This element differentiates Murder from Homicide. The killing must be attended by at least one of the following circumstances listed in Article 248:
Treachery ("alevosía"): Sudden and unexpected attack on an unsuspecting victim, giving them no opportunity to defend themselves.
Taking advantage of superior strength ("superioridad"): Employing overwhelming force against the victim, significantly diminishing their chance of resistance.
With the aid of armed men ("concurso de dos o más personas"): Involving multiple perpetrators in the killing.
Employing means to weaken the defense ("empleando medios para debilitar la defensa"): Utilizing methods to render the victim defenseless, like using drugs or causing unconsciousness.
Employing means or persons to insure or afford impunity ("asegurando o procurando la impunidad"): Taking deliberate actions to guarantee the crime goes unpunished, like employing lookouts or tampering with evidence.
In consideration of a price, reward or promise ("por precio, recompensa o promesa"): Committing the murder in exchange for payment or other forms of compensation.
Important to note:
Absence of qualifying circumstances: If the killing lacks any of the qualifying elements mentioned above, it might be classified as Homicide under Article 249 of the RPC, which carries a lesser penalty.
Parricide and Infanticide: Killing an ascendant (parent, grandparent) or a child under three years old fall under separate provisions with distinct penalties.</t>
  </si>
  <si>
    <t>How is the offense of manslaughter differentiated from murder under Philippine law?</t>
  </si>
  <si>
    <t>The key distinction between murder and manslaughter in the Philippines lies in the presence of malice and the mental state of the offender during the act. Here's a breakdown:
Murder (Article 248 of the Revised Penal Code):
Malice aforethought: This refers to the premeditation or conscious intent to inflict harm that can lead to death.
Qualifying circumstances: The killing must be accompanied by at least one of the following:
Treachery
Taking advantage of superior strength
Aiding by armed men
Employing means to weaken the defense
Employing means to ensure impunity
Killing for a reward or promise
Manslaughter (not explicitly defined in the RPC):
Absence of malice aforethought: The act of killing was not premeditated, and the offender lacked the intention to cause death.
Two classifications: Philippine law recognizes two types of manslaughter:
Voluntary Manslaughter:
Occurs when the killing happens due to a "heat of passion" provoked by an act considered seriously offensive by the law.
Example: Killing someone immediately after witnessing them assault a loved one.
Involuntary Manslaughter:
Unintentional killing arising from:
Recklessness: Rash or careless behavior that disregards potential consequences, leading to death. (e.g., driving under the influence)
Negligence: Failure to exercise due care, resulting in a fatality. (e.g., leaving a dangerous object accessible to a child)</t>
  </si>
  <si>
    <t>What penalties are imposed for committing parricide in the Philippines?</t>
  </si>
  <si>
    <t>In the Philippines, the penalty for committing parricide is severe due to the gravity of the crime. Here's a breakdown of the relevant law and the current penalty:
Legal Framework:
Revised Penal Code (RPC) - Article 246: Defines parricide as killing one's:
Father, mother, or child (whether legitimate or illegitimate)
Any ascendant (grandparents, great-grandparents, etc.)
Descendant (grandchildren, great-grandchildren, etc.)
Spouse
Penalty for Parricide:
Reclusion perpetua to death: This was the prescribed penalty under Article 246.
Death penalty abolished: However, the implementation of the death penalty was abolished through Republic Act No. 9346 in 2006.
Therefore, the current penalty for parricide in the Philippines is:
Reclusion perpetua: This is the maximum penalty for most serious crimes and involves imprisonment for a minimum of 20 years and 1 day to a maximum of 40 years.</t>
  </si>
  <si>
    <t>How does the law address the crime of infanticide and its legal consequences?</t>
  </si>
  <si>
    <t>Philippine law recognizes infanticide as a separate crime from murder or homicide, acknowledging the unique circumstances surrounding the death of a newborn child. Here's a breakdown of the relevant legal provision and its implications:
Legal Framework:
Revised Penal Code (RPC) - Article 255: This article specifically addresses infanticide:
"The penalty provided for parricide in Article 246 and for murder in Article 248 shall be imposed upon any person who shall kill any child less than three days of age."
Key Points:
Limited age range: Infanticide applies only to the killing of a child under three days old.
Penalty: The penalty imposed is the same as for parricide (Article 246) and murder (Article 248) - reclusion perpetua to death.
However: The death penalty was abolished in the Philippines through Republic Act No. 9346 in 2006.
Therefore, the current penalty for infanticide in the Philippines is:
Reclusion perpetua: This is the maximum penalty for most serious crimes and involves imprisonment for a minimum of 20 years and 1 day to a maximum of 40 years.
Reduced Penalty for Mothers:
Article 255 further states: "If the crime penalized for parricide in Article 246 and for murder in Article 248 shall be committed by the mother of the child for the purpose of concealing her dishonor, she shall suffer the penalty of prision correccional in its medium and maximum periods..."
Prision correccional: This is a lesser penalty compared to reclusion perpetua, ranging from 6 months and 1 day to 6 years.</t>
  </si>
  <si>
    <t>Under what circumstances can a person be charged with the crime of frustrated homicide?</t>
  </si>
  <si>
    <t>Frustrated Homicide under the Revised Penal Code (RPC) of the Philippines:
A person can be charged with frustrated homicide under Article 5, Title 1 of the Revised Penal Code (RPC), which outlines the different stages of criminal liability.
Relevant Law:
Article 5 of the RPC defines the stages of criminal liability:
"Article 5. Stages of consummated and frustrated felonies. -- When the act performed constitutes all the elements of a felony, and is committed by means of overt acts, the felony is consummated. If one or more elements are lacking, it is frustrated."
Elements of Frustrated Homicide:
The prosecution must prove all the following elements to establish frustrated homicide:
Intent to Kill: (Article 1 of the RPC) defines criminal liability: "Article 1. Criminal liability. -- Criminal liability shall be incurred by any person committing a felony, although the act done be otherwise lawful, if there be criminal intent." Therefore, the accused must have demonstrably intended to take the victim's life.
Overt Act: The accused must perform a concrete action that directly attempts to kill the victim. Mere planning or preparation wouldn't be sufficient.
Failure to Accomplish the Killing: Despite the attempt and the use of a potentially lethal weapon, the victim doesn't die due to factors beyond the offender's control.
Circumstances leading to Frustrated Homicide:
Intervention by a third party: Someone steps in and prevents the accused from completing the act of killing.
Victim's resistance: The victim actively defends themselves, hindering the accused from carrying out the killing.
Medical Intervention: Timely medical aid saves the victim's life despite sustaining severe injuries.
Defective weapon: The weapon used malfunctions or proves inadequate to cause death.
Crucial Distinction:
Frustrated Homicide vs. Attempted Homicide:
Frustrated Homicide: The offender performs all acts necessary for the crime (killing), but the victim survives due to external factors (as mentioned above).
Attempted Homicide: The offender takes steps towards killing the victim, but the act is interrupted before reaching the stage of attempting to inflict a potentially fatal injury.
Penalty for Frustrated Homicide:
The penalty for frustrated homicide is generally less severe than murder or homicide, as stipulated in Article 59 of the RPC:
"Article 59. Penalty for frustrated felonies. -- The penalty for a frustrated felony shall be one degree lower than that provided for the consummated felony."</t>
  </si>
  <si>
    <t>What legal provisions govern the offense of attempted murder in the Philippines?</t>
  </si>
  <si>
    <t>In the Philippines, attempted murder is considered a serious criminal offense and is governed by the Revised Penal Code, which provides the legal framework for defining and penalizing such attempts. Here are the key points related to attempted murder:
Definition:
- Attempted murder occurs when there is an intention to kill, but the act does not result in the victim's death due to circumstances beyond the perpetrator’s control.
- It involves the accused performing overt acts towards committing murder but failing to cause the victim’s death.
Penalties:
- The penalties for attempted murder are less severe than those for actual murder.
- The specific penalties vary depending on factors such as the circumstances, evidence, and intent of the accused.
- The Revised Penal Code outlines guidelines for determining the appropriate punishment in cases of attempted murder.</t>
  </si>
  <si>
    <t>How is the crime of physical injuries classified and punished under Philippine law?</t>
  </si>
  <si>
    <t>In the Philippines, the crime of physical injuries is classified and punished based on the severity of the injuries inflicted, as outlined in the Revised Penal Code. Let’s explore the different classifications:
Serious Physical Injuries:
Occur when the victim:
Loses any body part.
Becomes insane, impotent, or blind.
Is incapacitated for more than thirty days.
The penalty for serious physical injuries ranges from prision mayor (imprisonment for 12 years and 1 day to 20 years) to arresto mayor in its maximum period (imprisonment for 4 months and 1 day to 6 months).
If the victim is a close relative (e.g., father, mother, child, spouse), the penalty can increase to reclusion temporal in its medium and maximum periods (imprisonment for 14 years 8 months and 1 day to 20 years) under certain circumstances.
Less Serious Physical Injuries:
Occur when the victim:
Loses the use of speech, hearing, smell, or an eye, hand, foot, arm, or leg.
Becomes incapacitated for work for more than ninety days.
The penalty for less serious physical injuries is arresto mayor (imprisonment for 1 month and 1 day to 6 months).
If the act is committed with intent to insult or offend the victim, an additional fine may be imposed.
Slight Physical Injuries:
Involve minor harm that does not fall under the previous categories.
The penalty for slight physical injuries is arresto menor (imprisonment for 1 day to 30 days).
Maltreatment:
Refers to cruel or inhuman treatment of another person.
The penalty for maltreatment depends on the specific circumstances and the degree of harm inflicted.
It's important to remember that Philippine law aims to protect individuals from harm while ensuring proportionate penalties for offenders, promoting a safe and respectful society.</t>
  </si>
  <si>
    <t>What penalties apply for engaging in the crime of robbery with homicide in the Philippines?</t>
  </si>
  <si>
    <t>In the Philippines, the penalty for robbery with homicide is severe due to the combination of two serious crimes. Here's a breakdown of the relevant law and the applicable penalties:
Legal Framework:
Revised Penal Code (RPC):
Article 294: This article specifically addresses robbery with violence or intimidation against persons and the corresponding penalties.
Paragraph 1: Focuses on the situation where "by reason or on occasion of the robbery, the crime of homicide shall have been committed."
Penalty for Robbery with Homicide:
Article 294, Paragraph 1: States that the penalty for such a crime is: "The penalty of reclusion perpetua to death."
Important Note:
Death penalty abolished: The Philippines abolished the implementation of the death penalty through Republic Act No. 9346 in 2006.
Therefore, the current penalty for robbery with homicide in the Philippines is:
Reclusion perpetua: This is the maximum penalty for most serious crimes and involves imprisonment for a minimum of 20 years and 1 day to a maximum of 40 years.
Additional Points:
Treachery or other qualifying circumstances: If the homicide involved treachery, evident premeditation, or other qualifying elements under Article 248 of the RPC, the court might consider these factors during sentencing.
No mitigating circumstances: The penalty of reclusion perpetua applies when no mitigating factors like the presence of a mental illness or extreme emotional disturbance are present in the case.</t>
  </si>
  <si>
    <t>How does the law address incidents of assault causing serious physical injuries?</t>
  </si>
  <si>
    <t>In the Philippines, incidents of assault causing serious physical injuries are addressed through legal provisions under the Revised Penal Code. Here are the relevant details:
Definition of Serious Physical Injuries:
- Serious physical injuries refer to injuries resulting in physical deformity or the loss of a body part, leading to a significant alteration in one’s physical appearance.
- The legal basis for this offense is Article 263 of the Revised Penal Code.
Penalties for Serious Physical Injuries:
- The penalties vary depending on the consequences of the injuries inflicted:
- If the injuries cause the victim to become insane, imbecile, impotent, or blind, the penalty is prision mayor (imprisonment for 6 years and 1 day to 12 years).
- If the injuries result in the loss of speech, hearing, smell, an eye, a hand, a foot, an arm, or a leg, or if the victim becomes incapacitated for work, the penalty is prision correccional (imprisonment for 6 months and 1 day to 6 years) in its medium and maximum periods.
- If the injuries cause deformity or the loss of any other body part, or if the victim is incapacitated for more than ninety days, the penalty is prision correccional in its minimum and medium periods.
- If the illness or incapacity for labor lasts more than thirty days, the penalty is arresto mayor (imprisonment for 1 month and 1 day to 6 months) in its maximum period to prision correccional in its minimum period.
Aggravating Circumstances:
- If the offense is committed against certain persons (enumerated in Article 246) or under specific circumstances (mentioned in Article 248), the penalties may be increased.
Parental Chastisement Exception:
- The provisions do not apply to a parent who inflicts physical injuries upon their child by excessive chastisement.
It's essential to remember that Philippine law aims to prevent harm while ensuring proportionate penalties for offenders, promoting a safe and respectful society.</t>
  </si>
  <si>
    <t>What legal elements must be proven to establish the crime of rape in the Philippines?</t>
  </si>
  <si>
    <t>In the Philippines, to establish the crime of rape, the following legal elements must be proven:
1. Carnal Knowledge:
- The offender must have engaged in carnal knowledge, which refers to sexual intercourse, with the victim.
- This element requires proof of sexual penetration.
2. Lack of Consent:
- The act must have been committed without the victim’s consent.
- Consent is crucial, and any sexual act without clear and voluntary agreement constitutes rape.
3. Force, Threat, or Intimidation:
- Rape can occur through the use of force, threats, or intimidation.
- The victim must have been compelled against their will due to these factors.
4. Age or Mental Condition:
- If the victim is under sixteen (16) years old or is mentally incapacitated, rape can be established even without the presence of force, threat, or intimidation.
5. Age Difference Exception:
- There is no criminal liability if the offender had carnal knowledge of a person under sixteen (16) years old, and the age difference between the parties is not more than three (3) years.
- However, this exception does not apply if the victim is under thirteen (13) years old.
It's important to note that these elements must be proven beyond a reasonable doubt in court to establish the crime of rape.</t>
  </si>
  <si>
    <t>How are incidents of sexual assault and acts of lasciviousness defined and punished?</t>
  </si>
  <si>
    <t>In the Philippines, sexual assault and acts of lasciviousness are two distinct legal terms with different definitions and penalties:
Sexual Assault:
- Sexual assault refers to any non-consensual sexual act committed against another person.
- It encompasses acts such as rape, attempted rape, and sexual harassment.
- The penalties for sexual assault vary depending on the specific offense and the circumstances.
Acts of Lasciviousness:
- Acts of lasciviousness involve indecent or lewd acts that do not necessarily lead to sexual intercourse.
- These acts are considered preparatory acts in cases of attempted rape.
- The penalties for acts of lasciviousness depend on the specific circumstances and the degree of harm inflicted.
It's crucial to remember that Philippine law aims to protect individuals from harm while ensuring proportionate penalties for offenders, promoting a safe and respectful society.</t>
  </si>
  <si>
    <t>Under what circumstances can a person be charged with the crime of abduction or kidnapping?</t>
  </si>
  <si>
    <t>The text you provided appears to be part of a legal provision regarding aggravating circumstances in cases of kidnapping or detention. These aggravating circumstances can increase the severity of the offense and lead to harsher penalties. Here's an explanation of each:
1. If the kidnapping or detention shall have lasted more than five days:
- This aggravating circumstance applies when the victim is held in captivity for an extended period exceeding five days. Prolonged detention exacerbates the trauma and danger faced by the victim, warranting increased punishment for the perpetrator.
2. If it shall have been committed simulating public authority:
- This refers to cases where the perpetrator pretends to have authority from the government or acts as a public official in order to carry out the kidnapping or detention. Such actions exploit trust or create an illusion of legitimacy, making the offense more egregious.
3. If any serious physical injuries shall have been inflicted upon the person kidnapped or detained; or if threats to kill him shall have been made:
- This aggravating circumstance applies when the victim sustains serious physical harm or when the perpetrator threatens to kill the victim during the course of the kidnapping or detention. Inflicting serious physical injuries or making threats of death escalates the severity of the offense and increases the danger faced by the victim.
These aggravating circumstances can lead to harsher penalties for the perpetrator upon conviction, reflecting the increased gravity of the crime due to the additional elements present in the offense.</t>
  </si>
  <si>
    <t>What legal measures exist to combat the crime of human trafficking in the Philippines?</t>
  </si>
  <si>
    <t>The Philippines has implemented various legal measures to combat human trafficking, demonstrating a strong commitment to addressing this critical issue. Here's a comprehensive overview:
Legislative Framework:
Expanded Anti-Trafficking in Persons Act of 2012 (Republic Act No. 10364): This act amends the original Anti-Trafficking in Persons Act (RA 9208) and strengthens the legal framework against human trafficking. Key provisions include:
Broadened definition of trafficking: Encompasses various forms of exploitation, including forced labor, sexual exploitation, and organ removal.
Increased penalties: Prescribes harsher penalties for offenders, ranging from life imprisonment and hefty fines to a maximum penalty of death for specific circumstances.
Protection measures: Mandates the creation of a National Inter-Agency Council Against Trafficking (NIACAT) for coordinated efforts.
Victim assistance: Provides mechanisms for victim identification, rescue, support services, and witness protection.
Other Related Laws:
Special Protection of Children Against Abuse, Exploitation and Discrimination Act (RA 7610): Protects children from all forms of abuse, including trafficking.
Migrant Workers and Overseas Filipinos Act (RA 10022): Safeguards the rights and welfare of Filipino migrant workers, a potential target group for trafficking.
Law Enforcement:
The Philippine National Police (PNP): Has a dedicated Anti-Trafficking in Persons Division (ATPD) tasked with investigating trafficking cases, apprehending offenders, and rescuing victims.
Inter-Agency Council Against Trafficking (IACAT): A government body composed of different agencies working collaboratively to combat trafficking. It coordinates efforts on prevention, protection, prosecution, and reintegration of victims.
International Cooperation:
The Philippines actively participates in international agreements to combat human trafficking, such as the:
United Nations Convention against Transnational Organized Crime (UNTOC) Protocol to Prevent, Suppress and Punish Trafficking in Persons, Especially Women and Children.
ASEAN Convention Against Trafficking in Persons, Especially Women and Children.</t>
  </si>
  <si>
    <t>How does the law address incidents of torture and the legal consequences for perpetrators?</t>
  </si>
  <si>
    <t>The Philippines has a specific law to address torture and its consequences for perpetrators. Here's a breakdown of the key aspects:
**Anti-Torture Act of 2009 (Republic Act No. 9745):**
* This law criminalizes torture** and provides a framework for investigating, prosecuting, and preventing torture within the Philippines.
**Definition of Torture:**
* The law defines torture as the intentional infliction of severe pain or suffering, either physical or mental**, on a person for such purposes as:
* Punishing him for an act he or another person has committed or is suspected of having committed
* Threatening or intimidating him or another person
* Coercing him or another person to provide information or a confession
* Coercing him or another person for any reason based on discrimination of any kind
**Acts Considered Torture:**
* The law details various acts that can be considered torture, including:
* Physical violence (beatings, electric shocks, etc.)
* Threats of violence
* Psychological abuse
* Prolonged solitary confinement
* Deprivation of food, water, or sleep
**Penalties for Torture:**
* The penalties for torture are severe**, depending on the severity of the acts committed and the resulting harm to the victim. * Penalties range from reclusion perpetua (imprisonment for up to 40 years)** to reclusion temporal (imprisonment for a minimum of 12 years and 1 day)**.
**Investigation and Prosecution:**
* The law mandates a prompt and impartial investigation** of all torture allegations. * The Commission on Human Rights (CHR)** plays a crucial role in investigating torture cases.
* Perpetrators can be held criminally liable**, regardless of their position or status (e.g., law enforcement officers, state officials).
**Protection for Victims:**
* The Anti-Torture Act guarantees victims of torture several rights, including:
* The right to medical and psychological care
* Legal assistance
* Compensation
**Challenges and Considerations:**
* **Implementation:** Ensuring effective implementation of the law is crucial. This requires adequate training for law enforcement officers and the judiciary on identifying and investigating torture cases.
* **Culture of Impunity:** Addressing a culture of impunity** where perpetrators feel they can act without consequences is essential for long-term change.
**Overall, the Philippines has a legal framework in place to combat torture. However, continued efforts are needed to strengthen enforcement mechanisms, promote accountability, and ensure comprehensive support for victims.**
Here are some resources for further information:
* Commission on Human Rights (CHR): [https://chr.gov.ph/](https://chr.gov.ph/)
* Department of Justice (DOJ): [https://www.doj.gov.ph/](https://www.doj.gov.ph/)</t>
  </si>
  <si>
    <t>What penalties apply for engaging in the crime of arson and malicious mischief?</t>
  </si>
  <si>
    <t>In the Philippines, a person can be charged with the crime of abduction or kidnapping under specific circumstances. Let’s delve into the legal aspects:
Kidnapping and Serious Illegal Detention:
- Definition: Kidnapping refers to the forcible transportation or abduction of individuals against their will. Serious illegal detention involves the actual deprivation of a victim’s liberty, coupled with clear evidence of the accused’s intent to effect such deprivation.
- Legal Basis: Article 267 of the Revised Penal Code outlines the offense of kidnapping and serious illegal detention. Any private individual who kidnaps or detains another, thereby depriving them of liberty, may face the penalty of reclusion perpetua to death under the following circumstances:
- The kidnapping or detention lasts more than three days.
- The act is committed by simulating public authority.
- Serious physical injuries are inflicted upon the victim or threats to kill them are made.
- If the victim is a minor (except when the accused is a parent, female, or a public officer), the penalty may be death if the offense aims to extort ransom from the victim or any other person.
- In cases where the victim is killed, dies due to detention, is raped, or subjected to torture or dehumanizing acts, the maximum penalty shall be imposed (as amended by R.A. 7659).
- Modes of Commission:
- Kidnapping and Serious Illegal Detention: The offender is a private individual who kidnaps or detains another, depriving them of liberty. The offense may involve any of the circumstances mentioned above.
- Kidnapping for Ransom: This mode specifically targets extortion of ransom from the victim.
- Duration of Detention:
- If the victim is a minor, the duration of detention is immaterial. Even if the detention lasts less than three days, it can still constitute kidnapping if other elements are present.
These legal provisions aim to protect individuals from unlawful deprivation of liberty and impose severe penalties on perpetrators of abduction or kidnapping.</t>
  </si>
  <si>
    <t>How is the offense of illegal possession of firearms or explosives regulated and punished?</t>
  </si>
  <si>
    <t>In the Philippines, the offense of illegal possession of firearms or explosives is strictly regulated and carries significant penalties. Let’s delve into the details:
Illegal Possession of Firearms:
- The penalty for illegal possession of firearms ranges from 12 years and one day to 20 years of imprisonment, depending on the circumstances of the offense.
- Republic Act No. 10591 outlines provisions related to firearms, including penalties for unlawful acquisition or possession.
- Noncompliance with these provisions is considered illegal possession of the firearm and is penalized under the act.
Illegal Possession of Explosives:
- R.A. 9516 (Republic Act No. 9516) amends the provisions of Presidential Decree No. 1866, which codifies laws related to illegal/unlawful possession, manufacture, dealing in, acquisition, or disposition of firearms, ammunition, explosives, or instruments used in their manufacture.
- Key points from R.A. 9516 include:
- Unlawful Manufacture, Sales, Acquisition, Disposition, Importation, or Possession of an Explosive or Incendiary Device:
- The penalty for this offense is reclusion perpetua (life imprisonment).
- It applies to anyone who willfully and unlawfully manufactures, assembles, deals in, acquires, disposes, imports, or possesses any explosive or incendiary device with knowledge of its existence and character.
- Mere possession of such a device is considered evidence of knowledge of its explosive or incendiary nature.
- Temporary, incidental, harmless possession for surrendering to authorities is exempt from this violation.
- Unlawful Manufacture, Sales, Acquisition, Disposition, Importation, or Possession of a Part, Ingredient, Machinery, Tool, or Instrument Used for Explosives:
- Similar penalties apply to those involved in the manufacture, construction, assembly, delivery, or detonation of explosives.
These regulations aim to curb illegal possession and use of firearms and explosives, enhancing public safety and security in the Philippines.</t>
  </si>
  <si>
    <t>What legal provisions govern the crime of physical injuries resulting in death?</t>
  </si>
  <si>
    <t>In the Philippines, the legal provisions governing the crime of physical injuries resulting in death are outlined in the Revised Penal Code. Let’s explore the relevant details:
Serious Physical Injuries:
- Article 263 of the Revised Penal Code addresses serious physical injuries. It states that any person who wounds, beats, or assaults another shall be guilty of the crime of serious physical injuries.
- The penalties for serious physical injuries vary based on the consequences of the inflicted injuries:
- If the injured person becomes insane, imbecile, impotent, or blind due to the physical injuries, the penalty is prision mayor.
- If the injured person loses the use of speech, hearing, smell, an eye, a hand, a foot, an arm, or a leg, or becomes incapacitated for habitual work, the penalty is prision correccional in its medium and maximum periods.
- If the person injured becomes deformed, loses any other body part, or is incapacitated for work for more than ninety days, the penalty is prision correccional in its minimum and medium periods.
- If the injuries cause illness or incapacity for labor lasting more than thirty days, the penalty is arresto mayor in its maximum period to prision correccional in its minimum period.
- These penalties may be increased if the offense is committed against specific individuals or under certain circumstances.
Less Serious Physical Injuries with Intent to Kill or Offend:
- When less serious physical injuries are inflicted with the manifest intent to kill or offend, the offender faces the penalty of arresto mayor and a fine not exceeding 500 pesos.
Exceptional Circumstances:
- In cases of a tumultuous affray where serious physical injuries are inflicted upon participants, and the responsible person cannot be identified, the penalty is the next lower degree than that provided for the injuries.
- For less serious injuries where the responsible person cannot be identified, those who used violence upon the offended party face arresto mayor.
These legal provisions aim to regulate and penalize acts of physical violence while ensuring proportionate punishment based on the severity of the injuries inflicted.</t>
  </si>
  <si>
    <t>Under what circumstances can a person be charged with the crime of robbery with violence or intimidation of persons?</t>
  </si>
  <si>
    <t>In the Philippines, a person can be charged with the crime of robbery with violence or intimidation of persons under specific circumstances. Let’s explore the legal provisions governing this offense:
Concept of Robbery:
- Robbery is an offense committed by “any person who, with intent to gain, shall take any personal property belonging to another, by means of violence or intimidation of any person, or using force upon anything”.
- When violence or intimidation is involved, it escalates to the offense of robbery with violence or intimidation of persons.
Legal Basis:
- Article 294 of the Revised Penal Code outlines the penalties for robbery with violence against or intimidation of persons.
- The penalties depend on the severity of the offense and the resulting consequences.
Penalties:
- Robbery with Homicide, Rape, Mutilation, or Arson:
- If, during the robbery, the crime of homicide is committed, the penalty is reclusion perpetua to death.
- The same penalty applies if the robbery is accompanied by rape, intentional mutilation, or arson.
- Robbery with Physical Injuries:
- If physical injuries (as defined in Article 263) are inflicted during the robbery, the penalty is:
- Reclusion temporal in its medium period to reclusion perpetua.
- The specific injuries determine the severity of the penalty.
- Excessive Violence or Intimidation:
- If the violence or intimidation used in the robbery is clearly unnecessary for the crime, the penalty is:
- Prision mayor in its maximum period to reclusion temporal in its medium period.
- If the offender inflicts physical injuries on an innocent person during the robbery, the penalty is:
- Prision correccional in its maximum period to prision mayor in its medium period.
- Other Cases:
- For other situations, the penalty is:
- Prision correccional in its maximum period to prision mayor in its medium period.
Simplified Modes of Robbery under Article 294:
- The following table summarizes the various modes of robbery under Article 294:
- Robbery with Homicide, Rape, Mutilation, or Arson: Penalties apply when these crimes occur during the robbery.
- Robbery with Physical Injuries: Penalties vary based on the inflicted injuries.
- Excessive Violence or Intimidation: Unnecessary violence leads to a specific penalty.
- Other Cases: General penalty for robbery with violence or intimidation.</t>
  </si>
  <si>
    <t>How does the law address incidents of harassment and its legal consequences?</t>
  </si>
  <si>
    <t>In the **Philippines**, addressing incidents of **harassment** involves understanding legal rights and options. Let's explore the general legal mechanisms and consequences related to harassment:
1. **Harassment Laws in the Philippines**:
- Harassment can take various forms, including hurtful messages, especially in the digital age.
- **Article 26 of the Civil Code** recognizes the right to privacy and provides remedies for damages resulting from unlawful acts that violate privacy.
- **Anti-Cybercrime Law (Republic Act No. 10175)** addresses online harassment, including cyberbullying, cyberstalking, and offensive messages.
- **Anti-Sexual Harassment Act (Republic Act No. 7877)** protects individuals from sexual harassment in workplaces, schools, and public spaces.
- **Violence Against Women and Their Children Act (Republic Act No. 9262)** covers harassment against women and children, including psychological harm.
- **Protection Orders**:
- Victims can seek **Temporary Protection Orders (TPOs)** or **Permanent Protection Orders (PPOs)** from courts to prevent further harassment.
- These orders may prohibit the harasser from contacting the victim or going near their residence or workplace.
- **Criminal Penalties**:
- Depending on the severity, harassment may lead to criminal charges such as **oral defamation**, **grave threats**, or **unjust vexation**.
- Penalties include fines, imprisonment, or both.
- **Civil Remedies**:
- Victims can file civil cases for damages against the harasser.
- Damages may include compensation for emotional distress, medical expenses, and attorney's fees.
- **Consult Legal Professionals**:
- For personalized advice, consult legal experts who can guide you based on your specific circumstances¹.
2. **Respicio &amp; Co. Law Firm**:
- If you're facing harassment through hurtful messages in the Philippines, consider consulting **Respicio &amp; Co. Law Firm**.
- Their team can provide personalized assistance tailored to your situation.
- Remember that this article offers general information and does not constitute legal advice. Seek qualified professionals for guidance¹.
Harassment is a serious matter, and legal avenues exist to protect individuals and hold offenders accountable. Seek professional advice to navigate your specific situation effectively.</t>
  </si>
  <si>
    <t>What penalties are imposed for committing the crime of carnapping in the Philippines?</t>
  </si>
  <si>
    <t>The penalties for carnapping in the Philippines depend on the specific circumstances of the crime, particularly whether violence or intimidation was used. Here's a breakdown of the penalties based on the Anti-Trafficking in Persons Act of 2003 (Republic Act No. 9208), as amended by the Expanded Anti-Trafficking in Persons Act of 2012 (Republic Act No. 10364):
**Carnapping without Violence or Intimidation:**
* If the carnapping is committed without violence against or intimidation of persons, or force upon things**, the penalty is imprisonment for not less than **twenty (20) years and one (1) day but not more than thirty (30) years**.
**Carnapping with Violence or Intimidation:**
* If the carnapping is committed **by means of violence against or intimidation of any person, or force upon things**, the penalty is imprisonment for not less than **thirty (30) years and one (1) day but not more than forty (40) years**.
**Carnapping Resulting in Death or Rape:**
* The most severe penalty, **life imprisonment**, is imposed when the owner, driver, or occupant of the carnapped motor vehicle is **killed or raped** in the commission of the carnapping.
**Additional Considerations:**
* **Concealment of Carnapping:** A separate penalty of imprisonment for **six (6) years up to twelve (12) years** is imposed for anyone who conceals a carnapped vehicle.
* **Fines:** Fines may also be imposed alongside imprisonment, with the amount equal to the acquisition cost of the car** involved in the crime.
**Important Notes:**
* These are the prescribed penalties** under the law. The actual sentence may vary** depending on the specific facts of the case and the discretion of the court.
* Carnapping is a serious crime** in the Philippines, and the penalties reflect the gravity of the offense.
**If you suspect a case of carnapping, report it immediately** to the authorities. You can contact the National Bureau of Investigation's Anti-Trafficking in Persons Division (NBI-ATPD hotline) or your local PNP-WCPC office.</t>
  </si>
  <si>
    <t>How is the offense of grave threats defined and punished under Philippine law?</t>
  </si>
  <si>
    <t>The Philippines defines and penalizes grave threats under Article 282 of the Revised Penal Code (RPC). Here's a breakdown of the key aspects:
**Definition of Grave Threats:**
The law defines grave threats as any person who shall threaten another with the infliction upon the person, honor, or property of the latter or of his family of any wrong amounting to a crime. **Elements of the Offense:**
There are three essential elements that constitute grave threats:
1. **Threat:** There must be a verbal or written threat communicated to the victim. 2. **Seriousness of the Threat:** The threat must be serious enough to create a real and well-founded fear in the mind of the victim that the threat will be carried out. 3. **Wrong Amounting to a Crime:** The threat must be to inflict a wrongful act considered a crime under Philippine law. **Conditional Threats vs. Unconditional Threats:**
The penalty for grave threats varies depending on whether the threat is conditional or unconditional:
* **Conditional Threats:** If the offender makes the threat with a condition and achieves their purpose (e.g., demands money and receives it), the penalty is one degree lower than the crime threatened. If the purpose is not achieved, the penalty is two degrees lower.
* **Unconditional Threats:** If the threat is made without any condition, the penalty is arresto mayor (imprisonment for 1 month and 1 day to 6 months) and a fine not exceeding One hundred thousand pesos (P100,000.00).
**Examples of Grave Threats:**
* Threatening to kill or injure someone.
* Threatening to damage or destroy someone's property.
* Threatening to expose someone's embarrassing secret.
**Important Considerations:**
* **Fear of the Victim:** The subjective fear** of the victim is a crucial element. Even if the perpetrator didn't intend to carry out the threat, if it caused the victim genuine fear, it can be considered grave threats.
* **False Accusations:** Filing a false grave threats complaint is also a crime.
**If you believe you or someone you know is the victim of grave threats, report it immediately to the authorities**. You can contact your local police station or the National Bureau of Investigation (NBI).
Here are some resources for further information:
* The Revised Penal Code of the Philippines - Article 282: [https://elibrary.judiciary.gov.ph/thebookshelf/showdocs/21/66324](https://elibrary.judiciary.gov.ph/thebookshelf/showdocs/21/66324)
* Department of Justice (DOJ): [https://www.doj.gov.ph/](https://www.doj.gov.ph/)</t>
  </si>
  <si>
    <t>What legal elements must be proven to establish the crime of estafa through violence or intimidation?</t>
  </si>
  <si>
    <t>To establish the crime of estafa through violence or intimidation in the Philippines, specific legal elements must be proven. Let’s delve into these elements:
**Estafa Defined**:
Estafa is a criminal offense under the Revised Penal Code (RPC) that involves fraudulent acts resulting in financial or property loss to another person. It encompasses various modes, including those committed through violence or intimidation.
**Elements of Estafa Through Violence or Intimidation**:
To successfully lodge an estafa case based on violence or intimidation, the complainant must establish the following elements:
1. **False Pretense, Fraudulent Act, or Deceit**:
The accused must have engaged in a false pretense, fraudulent act, or deceitful behavior.
2. **Intent to Defraud**:
The accused must have intended to defraud the complainant.
3. **Reliance on Deceit**:
The complainant relied on the false representation or fraudulent act.
4. **Damage or Prejudice**:
The act resulted in financial loss, damage, or prejudice against the complainant.
**Specific Legal Provisions**:
Article 315 of the RPC covers various modes of estafa, including those involving violence or intimidation. The elements may vary depending on the specific circumstances and mode of estafa.
Remember that legal proceedings require thorough evidence and adherence to legal procedures. Seek professional legal advice if you are involved in such a case.</t>
  </si>
  <si>
    <t>How are incidents of grave coercion classified and punished in the legal system?</t>
  </si>
  <si>
    <t>The Philippines penalizes grave coercion under Article 286 of the Revised Penal Code (RPC). Here's a breakdown of how it's classified and punished:
**Definition of Grave Coercion:**
Grave coercion occurs when a person compels another to do something against his or her will through violence, intimidation, undue influence, or the threat of any of these. **Key Elements:**
There are three essential elements for grave coercion:
1. **Compulsion:** The perpetrator forces the victim to do something against their will.
2. **Means:** The compulsion is achieved through violence, intimidation, undue influence, or the threat of any of these.
* **Violence:** This can be physical violence or threats of violence.
* **Intimidation:** This can be threats of harm to the victim, their reputation, or their property.
* **Undue Influence:** This involves taking advantage of the victim's vulnerability or relationship to coerce them.
3. **Act or Omission:** The compulsion forces the victim to act in a certain way or prevents them from acting.
**Classifications of Grave Coercion:**
The classification and penalty for grave coercion depend on the specific means used:
* **Grave Coercion with Violence or Intimidation:** If violence or intimidation is used, the penalty is imprisonment for a term ranging from **reclusion temporal minimum (12 years and 1 day to 14 years and 8 months)** to **reclusion temporal medium (14 years and 8 months to 17 years and 4 months)**.
* **Grave Coercion with Undue Influence:** If undue influence is used, the penalty is imprisonment for a term ranging from **arresto mayor (1 month and 1 day to 6 months)** to **reclusion menor (6 months and 1 day to 4 years and 2 months)**.
**Examples of Grave Coercion:**
* Threatening someone with physical harm to force them to hand over money.
* Using one's position of authority to coerce someone into sexual relations.
* Forcing someone to sign a contract under threat of violence.
**Important Considerations:**
* The severity of the penalty** depends on the specific circumstances of the case and the harm caused to the victim. * **Relationship Between Perpetrator and Victim:** The relationship between the perpetrator and the victim may also be considered. For example, grave coercion involving a person in authority can have harsher penalties.
**If you believe you are a victim of grave coercion, report it immediately to the authorities.** You can contact your local police station or the National Bureau of Investigation (NBI).
Here are some resources for further information:
* The Revised Penal Code of the Philippines - Article 286: [invalid URL removed]
* Department of Justice (DOJ): [https://www.doj.gov.ph/](https://www.doj.gov.ph/)</t>
  </si>
  <si>
    <t>Under what circumstances can a person be charged with the crime of malicious mischief resulting in damage to government property?</t>
  </si>
  <si>
    <t>In the Philippines, a person can be charged with the crime of malicious mischief resulting in damage to government property under Article 327 of the Revised Penal Code (RPC) when the following elements are all present:
* **Deliberate Cause of Damage:** The offender intentionally caused the damage to the government property. This means it wasn't accidental or unintentional.
* **Damage Not Falling Under Other Crimes:** The damage caused doesn't constitute a separate crime like arson or vandalism with a specific intent (e.g., political protest). * **Malicious Intent:** The damage was caused with malice, meaning the offender acted with ill will or spite towards the government or the property itself.
**Examples of Circumstances Leading to Charges:**
* Someone throwing rocks and breaking windows of a government building.
* Defacing government property with graffiti or paint.
* Tampering with or destroying government equipment or furniture.
* Illegally entering and vandalizing a government facility.
**Important Considerations:**
* **Severity of Damage:** The severity of the damage can affect the penalty imposed. Minor damage may result in lighter penalties, while significant destruction can lead to harsher sentences.
* **Intent and Motive:** The intent and motive** behind the act are crucial. If the damage was accidental or resulted from negligence, it wouldn't be considered malicious mischief. * **Government Property Definition:** "Government property" encompasses various things owned by the state or any of its political subdivisions, including buildings, vehicles, equipment, infrastructure, and natural resources held in trust. **Potential Penalties:**
The penalty for malicious mischief resulting in damage to government property depends on the value of the damage caused:
* **Value Less Than P5,000:** A penalty of **arresto menor (1 to 10 days)** or a fine up to P200.00.
* **Value Between P5,000 and P30,000:** A penalty of **arresto mayor (1 month and 1 day to 6 months)**.
* **Value Exceeding P30,000:** A penalty of **reclusion temporal minimum (12 years and 1 day to 14 years and 8 months)**.
**Additional Considerations:**
* **Restitution:** The court may also order the offender to restitute the government for the damage caused.
* **Civil Case:** The government may also file a separate civil case** to recover the cost of repairs or damages.
**Remember:** It's important to respect government property. If you witness vandalism or damage to government property, report it to the authorities** immediately.</t>
  </si>
  <si>
    <t>What penalties apply for engaging in the crime of piracy and its related offenses?</t>
  </si>
  <si>
    <t>The Philippines has a two-pronged approach to addressing piracy and its related offenses:
1. **International Law:** The Philippines adheres to the United Nations Convention on the Law of the Sea (UNCLOS)**, which provides a framework for defining and prosecuting piracy on the high seas (international waters).
2. **National Law:** The Philippines has two domestic laws that address piracy within Philippine territorial waters:
* **The Revised Penal Code (RPC):** This broadens the definition of piracy beyond the high seas to include acts committed within Philippine waters.
* **Republic Act No. 7659 (The Anti-Piracy and Anti-Maritime Terrorism Act of 1994):** This law specifically focuses on piracy and related offenses within Philippine territorial waters.
**Penalties for Piracy:**
The penalties for piracy depend on the specific law applied and the severity of the offense. Here's a general breakdown:
* **UNCLOS:** Defines piracy as various acts including violence, detention, or depredation against a private vessel or its crew for private ends. Signatory countries, including the Philippines, are obligated to cooperate in prosecuting pirates apprehended on the high seas. Penalties are determined by the national law of the prosecuting country.
* **Revised Penal Code (RPC):** Defines piracy as robbery or forcible taking of property on the high seas or within Philippine waters. Penalties range from reclusion perpetua (imprisonment for up to 40 years)** to **reclusion temporal maximum (14 years and 8 months to 17 years and 4 months)**, depending on the presence of aggravating factors like murder, physical injuries, or kidnapping. * **Republic Act No. 7659:** Provides a more comprehensive definition of piracy within Philippine waters, including acts like boarding a vessel with intent to commit robbery, hijacking, or taking hostages. Penalties are severe**, ranging from **life imprisonment** to **reclusion perpetua**, depending on the specific offense and presence of aggravating circumstances.
**Related Offenses and Penalties:**
* **Robbery at Sea:** Similar to piracy but robbery at sea can occur outside Philippine territorial waters. Penalties under the RPC apply.
* **Maritime Terrorism:** Acts like using a vessel as a weapon or threatening violence for political purposes. Penalties under RA 9516 (Terrorism Financing Prevention and Suppression Act of 2002) apply, which can include life imprisonment.
**Challenges and Considerations:**
* **Jurisdictional Issues:** Determining the exact location of an incident (territorial waters vs. high seas) can be complex and affect applicable laws.
* **International Cooperation:** Effective prosecution of piracy often requires cooperation between countries, particularly for offenses on the high seas.
* **Resource Constraints:** Enforcing laws and patrolling vast maritime areas can be challenging for the Philippines. **Overall, the Philippines has a legal framework to address piracy and related offenses. However, international cooperation and continued efforts to strengthen enforcement mechanisms are crucial for combating this complex crime.**
Here are some resources for further information:
* Department of Foreign Affairs (DFA): [https://dfa.gov.ph/](https://dfa.gov.ph/) * Philippine Coast Guard (PCG): [https://coastguard.gov.ph/](https://coastguard.gov.ph/)
* United Nations Office on Drugs and Crime (UNODC): [https://www.unodc.org/unodc/en/piracy/index.html](https://www.unodc.org/unodc/en/piracy/index.html)</t>
  </si>
  <si>
    <t>How does the law address incidents of illegal possession and use of explosives or incendiary devices?</t>
  </si>
  <si>
    <t>The Philippines has strict laws in place to deter and punish the illegal possession and use of explosives or incendiary devices. Here's a breakdown of the key legal measures:
**Main Legislation:**
* **Republic Act No. 9516 (An Act to Impose Harsher Penalties on Illegal or Arbitrary Detention, Enforced Disappearance, Torture, and Killing and to Create the People's Law Enforcement Board, Amend Batas Pambansa Blg. 881 and for Other Purposes):** This is the primary law that addresses the illegal possession and use of explosives or incendiary devices.
**Key Provisions of RA 9516:**
* **Section 3:** This section penalizes the following acts:
* **Unlawful Manufacture, Sale, Acquisition, Disposition, Importation or Possession:** This applies to any person who willfully and unlawfully possesses explosives or incendiary devices with knowledge of their nature and capability to cause harm. The device must be capable of producing destructive effects on objects or causing injury or death.
* **Possession of Parts or Ingredients:** The law also penalizes the possession of any part, ingredient, machinery, tool, or instrument used to manufacture explosives or incendiary devices, if the intent is to create such devices.
**Penalties:**
* The penalty for both offenses under Section 3 is reclusion perpetua** (imprisonment for up to 40 years).
**Presumption of Unlawful Manufacture:**
* **Republic Act No. 1866 (An Act Regulating the Manufacture, Importation, Sale, Possession and Use of Explosives and Fireworks):** This older law, while not the primary legislation for illegal explosives, includes a presumption of unlawful manufacture**. If a person possesses machinery or tools specifically used for making explosives, it's presumed they intend to manufacture them illegally.
**Additional Considerations:**
* **Knowledge and Intent:** To be convicted, the prosecution must prove the knowledge and intent** of the accused. The person must have knowingly** possessed the explosives or the tools for making them, and they must have intended to use them illegally.
* **Exemptions:** There are exemptions** for those who possess explosives or incendiary devices with a lawful permit, such as government agencies, licensed manufacturers, or businesses with legitimate uses (e.g., mining).
**Importance of Reporting:**
* If you suspect someone is illegally possessing or using explosives, report it to the authorities immediately**. Contact your local police station or the Philippine National Police (PNP) Anti-Terrorism Unit.
**Overall, the Philippines has a strong legal framework to deter and punish the illegal possession and use of explosives or incendiary devices. These laws are crucial for public safety and national security.**
Here are some resources for further information:
* Philippine National Police (PNP): [https://pnp.gov.ph/](https://pnp.gov.ph/)
* Department of Justice (DOJ): [https://www.doj.gov.ph/](https://www.doj.gov.ph/)</t>
  </si>
  <si>
    <t>What legal provisions govern the crime of hijacking and its legal consequences?</t>
  </si>
  <si>
    <t>The Philippines has specific legal provisions to address hijacking, particularly aircraft hijacking, with severe penalties for perpetrators. Here's a breakdown of the key aspects:
**Main Legislation:**
* **Republic Act No. 6235 (An Act Prohibiting Certain Acts Inimical to Civil Aviation, and for Other Purposes):** This law is the primary legislation regarding the crime of aircraft hijacking in the Philippines.
**Definition of Hijacking:**
* Section 1 of the law defines hijacking as any person who compels a change in the course or destination of an aircraft of Philippine registry, or to seize or usurp the control thereof, while it is in flight. * "In flight" is defined as the moment all external doors are closed following embarkation until any of such doors are opened for disembarkation**.
**Acts Considered Hijacking:**
* Diverting an aircraft from its planned route through force or threat of force.
* Seizing control of an aircraft from the pilot and crew.
* Holding passengers or crew hostage on board an aircraft.
**Penalties for Hijacking:**
* Section 6 of the law prescribes a penalty of imprisonment of at least five (5) years but not more than ten (10) years** or a fine of not less than ten thousand pesos (P10,000.00) but not more than twenty thousand pesos (P20,000.00).
* If the hijacking results in death, physical injuries, or serious damage to the aircraft**, the penalty is reclusion perpetua** (imprisonment for up to 40 years).
**International Cooperation:**
* The Philippines also adheres to international conventions regarding aviation security, such as the Convention on Offences and Certain Other Acts Committed on Board Aircraft (Tokyo Convention)**. This promotes international cooperation in investigating, prosecuting, and deterring aircraft hijacking.
**Other Possible Considerations:**
* **Hijacking of Land Vehicles:** While RA 6235 focuses on aircraft hijacking, hijacking of land vehicles (e.g., buses) might be prosecuted under the Revised Penal Code (RPC)** depending on the specific circumstances, such as robbery or coercion. **Importance of Reporting:**
* If you witness or suspect an aircraft hijacking, immediately report it to the authorities**. Contact airport security, local law enforcement, or the Civil Aviation Authority of the Philippines (CAAP).
**Overall, the Philippines has clear legal measures in place to address aircraft hijacking. These measures prioritize passenger safety and deter potential hijackers through strict penalties and international cooperation.** Here are some resources for further information:
* Civil Aviation Authority of the Philippines (CAAP): [https://www.caap.gov.ph/](https://www.caap.gov.ph/)
* Department of Transportation (DOTr): [https://www.dotr.gov.ph/](https://www.dotr.gov.ph/)</t>
  </si>
  <si>
    <t>Under what circumstances can a person be charged with the crime of terrorism?</t>
  </si>
  <si>
    <t>The Philippines has a specific law to address terrorism and its financing: the **Republic Act No. 10168 (The Anti-Terrorism Act of 2020)**. This law defines terrorism and outlines the circumstances under which a person can be charged with this crime.
Here's a breakdown of the key points:
**Definition of Terrorism:**
A person commits terrorism if they commit, attempt, or conspire to commit terrorist acts by any means, directly or indirectly, unlawfully and willfully. **Terrorist Acts Include:**
* Causing death, injuries, or damage to property to intimidate the public or coerce a government or international organization.
* Endangering public safety through dangerous means like explosives, hazardous materials, biological agents, or nuclear weapons.
* Seizing or occupying buildings, places, transportation systems, or communication facilities.
* Releasing dangerous substances or causing fire, floods, or explosions.
* Interference with critical infrastructure (e.g., power grids, communication networks).
**Circumstances for Charges:**
A person can be charged with terrorism under the following circumstances:
* **Direct Commission:** Personally committing any of the defined terrorist acts. * **Attempt:** Attempting to commit a terrorist act. * **Conspiracy:** Agreeing with others to plan or carry out a terrorist act.
* **Providing Material Support:** Knowingly giving financial assistance, logistical support, or resources to a terrorist organization or individual planning a terrorist act.
**Important Considerations:**
* **Intent:** The law emphasizes the intent** to cause fear or intimidation through violence or coercion. Acts of protest or dissent protected by freedom of expression** are not considered terrorism.
* **Humanitarian Exemption:** The law provides a humanitarian exemption** for acts undertaken for legitimate humanitarian purposes, such as providing food or medical assistance in conflict zones.
* **Due Process:** The law outlines specific procedures for arrest, detention, and investigation** of suspected terrorists, ensuring due process** rights are protected.
**Criticisms and Concerns:**
* **Vagueness:** Some critics argue that the law's definition of terrorism is too vague**, potentially leading to abuse** and violations of human rights**.
* **Overstepping on Freedoms:** Concerns exist that the law may curtail legitimate dissent** and freedom of expression**.
**Overall, the Philippines has a legal framework to combat terrorism. However, ongoing discussions and potential revisions aim to balance national security needs with upholding fundamental rights.**
Here are some resources for further information:
* Department of Justice (DOJ): [https://www.doj.gov.ph/](https://www.doj.gov.ph/)
* Commission on Human Rights (CHR): [https://chr.gov.ph/](https://chr.gov.ph/)</t>
  </si>
  <si>
    <t>How is the offense of rebellion or insurrection defined and punished under Philippine law?</t>
  </si>
  <si>
    <t>In the Philippines, the crime of rebellion or insurrection is defined and punished as follows:
**Concept**:
Article 134 of the Revised Penal Code outlines the offense of rebellion or insurrection. It occurs when individuals rise publicly and take up arms against the government with the purpose of:
1. Removing allegiance to the government or its laws from the territory of the Philippine Islands or any part thereof.
2. Depriving the Chief Executive or the Legislature, wholly or partially, of their powers or prerogatives.
**Elements of the Offense**:
To establish the crime of rebellion or insurrection, the following elements must be proven:
1. The offender publicly rises and takes arms against the government.
2. These acts are intended to remove allegiance from the government or its laws regarding the Philippine Islands or any part thereof.
3. As a result, the Chief Executive or the Legislature is wholly or partially deprived of their powers or prerogatives.
**Leader**:
When the rebellion, insurrection, or coup d’etat lacks known leaders, any person who effectively directs others, speaks for them, signs receipts, or performs similar acts on behalf of the rebels is deemed a leader.
**Penalty**:
The penalty for rebellion or insurrection is reclusion perpetua to death. This severe punishment reflects the gravity of the offense and its impact on the stability of the government and society.</t>
  </si>
  <si>
    <t>What penalties are imposed for committing the crime of sedition in the Philippines?</t>
  </si>
  <si>
    <t>In the Philippines, the crime of sedition carries specific penalties based on the level of involvement. Let’s explore these penalties:
**Leader of Sedition**:
The leader of a seditious act faces the following penalties:
- Imprisonment ranging from 6 years and 1 day to 8 years.
- A fine not exceeding ₱2 million.
**Other Participants in Sedition**:
Individuals who participate in sedition (without being the leader) are subject to the following penalties:
- Imprisonment ranging from 4 years, 2 months, and 1 day to 6 years.
- A fine not exceeding ₱1 million.</t>
  </si>
  <si>
    <t>How does the law address incidents of public disorder and its legal consequences?</t>
  </si>
  <si>
    <t>The Philippines has several laws and regulations that address public disorder and its consequences. Here's a breakdown of the key aspects:
**Main Goals:**
* Maintaining peace and order in public spaces.
* Protecting public safety and well-being.
* Ensuring the free flow of people and traffic.
**Legal Framework:**
* **Revised Penal Code (RPC):** This broadens criminal law and includes provisions related to public disorder, such as:
* **Tumult:** A gathering with intent to cause violence or alarm.
* **Riots:** A tumultuous assembly that commits public violence with a common purpose.
* **Rebellion:** An open and armed uprising against the government.
* **Alarm and Scandal:** Causing public disturbance or outrage.
* **Special Laws:** Additional laws address specific aspects of public disorder:
* **Ordinances:** Local government units (LGUs) can enact ordinances addressing specific public order concerns in their jurisdictions (e.g., noise curfews, littering penalties).
* **Batas Pambansa Blg. 881 (The Omnibus Election Code):** Prohibits violence, intimidation, and disruption of electoral processes.
* **Republic Act No. 6912 (The Act Establishing the Dangerous Drugs Board, Defining Dangerous Drugs, Their Illegal Sale, Possession, Manufacture and Cultivation, Providing for Forfeiture of Assets Derived Therefrom, and for Other Purposes):** Addresses public disorder caused by drug-related activities.
**Examples of Public Disorder:**
* Blocking roads or public spaces.
* Engaging in violent protests or rallies.
* Causing loud noises or disturbances in public areas.
* Creating hazardous or unsanitary conditions.
**Legal Consequences:**
The penalties for public disorder vary depending on the specific offense and the severity of the act. Here are some examples:
* **Minor Offenses:** May result in fines or brief imprisonment.
* **Serious Offenses:** Like riots or rebellion, can lead to significant jail time and hefty fines.
* **Violation of Local Ordinances:** May incur fines or community service.
**Importance of Proportionality:**
Law enforcement has the responsibility to maintain order but must use proportionate force**. Excessive force against peaceful protests can be a violation of human rights.
**Community Engagement:**
Effective responses to public disorder often involve community engagement** and addressing the root causes of frustration or unrest.
**Overall, the Philippines has a legal framework to address public disorder. Striking a balance between maintaining order, upholding individual rights, and addressing underlying issues is crucial for long-term peace and stability.**
Here are some resources for further information:
* Philippine National Police (PNP): [https://pnp.gov.ph/](https://pnp.gov.ph/)
* Commission on Human Rights (CHR): [https://chr.gov.ph/](https://chr.gov.ph/)
* Department of the Interior and Local Government (DILG): [https://dilg.gov.ph/](https://dilg.gov.ph/)</t>
  </si>
  <si>
    <t>What legal elements must be proven to establish the crime of inciting to rebellion?</t>
  </si>
  <si>
    <t>In the Philippines, inciting to rebellion involves specific legal elements that must be proven. Let’s explore these elements:
**Concept**:
Article 138 of the Revised Penal Code (RPC) defines inciting to rebellion.
The offense occurs when a person, without taking up arms or openly opposing the government, incites others to commit any of the acts specified in Article 134 of the RPC.
These acts aim to destabilize the government or involve rebellion or insurrection.
**Elements of the Offense**:
To establish inciting to rebellion, the following elements must be proven:
1. The offender incites others to execute any of the acts specified in Article 134 of the RPC.
2. The incitement occurs through speeches, proclamations, writings, emblems, banners, or other representations with the same purpose.
3. The offender does this without taking up arms or being in open hostility against the Government.
In summary, inciting to rebellion involves encouraging others to engage in acts that undermine the government’s stability. Legal consequences are enforced to maintain public order and protect the rule of law.</t>
  </si>
  <si>
    <t>How are incidents of unlawful arrest and detention classified and punished?</t>
  </si>
  <si>
    <t>The Philippines penalizes unlawful arrest and detention under two primary classifications, with varying punishments depending on the circumstances:
**1. Arbitrary Detention (Article 124 of the Revised Penal Code):**
This applies when a public officer or employee detains a person **without legal grounds**. Here's a breakdown:
* **Elements:**
* A public officer or employee is the perpetrator.
* The detention is carried out without a warrant of arrest or any other lawful justification.
* **Penalties:**
* The severity of the penalty depends on the duration of the detention:
* **Less than 3 days:** Arresto mayor (imprisonment for 1 month and 1 day to 6 months)
* **3 to 15 days:** Prision correccional medium and maximum (imprisonment for 6 months and 1 day to 6 years)
* **More than 15 days but not exceeding 6 months:** Prision mayor (imprisonment for 6 years and 1 day to 12 years)
* **Exceeding 6 months:** Reclusion temporal (imprisonment for 12 years and 1 day to 14 years and 8 months)
**2. Unlawful Arrest (Article 269 of the Revised Penal Code):**
This applies when a person, **not necessarily a public officer**, arrests or detains another person **without a lawful reason**. Here's a breakdown:
* **Elements:**
* The perpetrator is not necessarily a public officer. * The arrest or detention is done without a warrant or any other legal justification.
* The intention is to deliver the apprehended person to the proper authorities. (If the person is not delivered to the authorities, the offense may be considered illegal exaction or kidnapping)
* **Penalty:**
* Arresto mayor (imprisonment for 1 month and 1 day to 6 months) with a fine not exceeding P500.00 pesos. **Important Considerations:**
* **Filing a Complaint:** If you believe you are a victim of unlawful arrest or detention, you can file a formal complaint with the Commission on Human Rights (CHR) or the Office of the Ombudsman.
* **Civil Case:** In addition to criminal charges, you may also pursue a separate civil case for damages.
* **Police Duty:** It's important to note that police officers have the authority to conduct warrantless arrests under certain circumstances outlined in the Philippine Rules of Criminal Procedure.
**Overall:**
The Philippines has legal safeguards against unlawful arrest and detention. Understanding your rights and the proper procedures for arrest can help protect yourself from such violations.
Here are some resources for further information:
* Commission on Human Rights (CHR): [https://chr.gov.ph/](https://chr.gov.ph/)
* Office of the Ombudsman: [invalid URL removed]
* Department of Justice (DOJ): [https://www.doj.gov.ph/](https://www.doj.gov.ph/)</t>
  </si>
  <si>
    <t>Under what circumstances can a person be charged with the crime of kidnapping for ransom?</t>
  </si>
  <si>
    <t>In the Philippines, a person can be charged with the crime of kidnapping for ransom under specific circumstances. Let’s explore the legal elements and penalties associated with this offense:
**Legal Basis**:
The crime of kidnapping for ransom is governed by Article 267 of the Revised Penal Code (RPC).
The article outlines the elements of the offense and the corresponding penalties.
**Elements of Kidnapping for Ransom**:
To establish the crime of kidnapping for ransom, the following elements must be proven:
1. The accused is a private individual.
2. The accused kidnaps or detains another person, depriving them of their liberty.
3. The kidnapping or detention is illegal.
4. The victim is kidnapped or detained for ransom.
**Penalties**:
The penalties for kidnapping for ransom depend on the specific circumstances:
- If the kidnapping or detention lasts more than three days, the penalty is reclusion perpetua to death.
- If the accused simulates public authority, the same penalty applies.
- If serious physical injuries are inflicted upon the victim or threats to kill the victim are made, the penalty remains reclusion perpetua to death.
- If the victim is a minor, except when the accused is any of the parents, female, or a public officer, the penalty is also reclusion perpetua to death.
- When the kidnapping or detention is committed for the purpose of extorting ransom, even if none of the circumstances above were present, the penalty remains death.
- If the victim is killed, dies as a consequence of the detention, is raped, or subjected to torture or dehumanizing acts, the maximum penalty is imposed.
These legal provisions aim to protect individuals from the grave crime of kidnapping for ransom and ensure severe penalties for offenders involved in such heinous acts.</t>
  </si>
  <si>
    <t>What penalties apply for engaging in the crime of mutiny in the Philippines?</t>
  </si>
  <si>
    <t>In the Philippines, mutiny is a serious offense against the government and the military. The penalties for mutiny depend on the severity of the act and the role of the offender. Here's a breakdown of the key points:
**Main Legislation:**
* **Revised Penal Code (RPC):** Article 139 of the RPC defines and penalizes the crime of mutiny.
**Definition of Mutiny:**
Mutiny is an uprising by a group of military personnel against their superior officers, with the intention to overthrow lawful authority or resist its orders.
**Types of Mutiny and Penalties:**
The RPC differentiates between two categories of mutiny, with varying penalties:
* **Promotion, Maintenance, or Leadership of a Mutiny:** If a person promotes, maintains, or leads a mutiny, they face the penalty of **reclusion perpetua** (imprisonment for up to 40 years).
* **Participation in a Mutiny:** If a person simply participates in a mutiny, they face the penalty of **reclusion temporal** (imprisonment for 12 years and 1 day to 14 years and 8 months).
**Conspiracy and Proposal:**
The law also penalizes the **conspiracy and proposal to commit mutiny**. The penalties for these are less severe:
* Conspiracy: Prision correccional in its maximum period and a fine not exceeding P5,000.00 pesos.
* Proposal: Prision correccional in its medium period and a fine not exceeding P2,000.00 pesos.
**Additional Considerations:**
* **Military Law:** Military personnel can also face additional disciplinary actions under the Articles of War of the Armed Forces of the Philippines (AFP).
* **Severity Factors:** The specific circumstances of the mutiny, such as violence or casualties, can influence the severity of the penalty imposed.
**Recent Example:**
The Oakwood Mutiny of 2004 is a notable example. While the leaders faced charges of reclusion perpetua**, not all participants were penalized as severely. Some soldiers were released after it was determined they were deceived by their officers.
**Overall, the Philippines has a strict legal framework to deter and punish mutiny. This is crucial to maintaining order and discipline within the military.**
Here are some resources for further information:
* Armed Forces of the Philippines (AFP): [invalid URL removed]
* Department of National Defense (DND): [https://www.dnd.gov.ph/](https://www.dnd.gov.ph/)</t>
  </si>
  <si>
    <t>How is the offense of qualified bribery defined and punished under Philippine law?</t>
  </si>
  <si>
    <t>In the Philippines, qualified bribery is a serious offense classified under Article 211-A of the Revised Penal Code (RPC). Here's a breakdown of its definition and punishment:
**Definition of Qualified Bribery:**
Qualified bribery occurs when a **public officer entrusted with law enforcement** refrains from arresting or prosecuting an offender who has committed a crime punishable by **reclusion perpetua (12 years and 1 day to 40 years)** and/or **death**, **in consideration of any offer, promise, gift, or present**.
**Key Elements:**
* **Perpetrator:** The offender must be a public officer entrusted with law enforcement duties (e.g., police officer, customs inspector).
* **Offense Ignored:** The public officer intentionally neglects to arrest or prosecute a crime punishable by reclusion perpetua and/or death.
* **Motivation:** The officer's inaction is motivated by the acceptance of an offer, promise, gift, or present.
**Differentiation from Indirect Bribery:**
* **Indirect bribery** (Article 211 of the RPC) involves a public officer accepting gifts by reason of their office, but doesn't necessarily involve neglecting their duties.
* **Qualified bribery** is a more serious offense because it directly affects the course of law enforcement and justice.
**Penalty:**
The penalty for qualified bribery is harsh. The public officer found guilty suffers the **same penalty** that would have been imposed on the offender for the **original crime that was not prosecuted**.
**Example:**
* If a police officer accepts a bribe to ignore a drug trafficking operation, they could face the same penalty as a drug trafficker, which could be reclusion perpetua. **Importance of Upholding Law Enforcement:**
Qualified bribery undermines the rule of law and public trust in law enforcement. Strict penalties serve as a deterrent and ensure officers uphold their duties.
**Who Can Be Charged?**
* Not only the public officer who accepts the bribe but also the **person who offers** the bribe can be charged with the same penalties under Article 211-A of the RPC (excluding penalties like disqualification and suspension, which only apply to public officers).
**Overall, qualified bribery is a serious crime in the Philippines. It's crucial for maintaining a just and fair legal system that holds everyone accountable.**
Here are some resources for further information:
* Revised Penal Code of the Philippines - Article 211-A: [invalid URL article 211 a of the revised penal code ON The Lawphil Project lawphil.net]
* Office of the Ombudsman: [invalid URL ombudsman gov ph]</t>
  </si>
  <si>
    <t>What legal provisions govern the crime of election-related violence and its consequences?</t>
  </si>
  <si>
    <t>The Philippines has several legal provisions to address election-related violence and its consequences. These provisions aim to ensure peaceful and orderly elections. Here's a breakdown of the key aspects:
**Main Legislation:**
* **The Omnibus Election Code (Batas Pambansa Blg. 881):** This is the primary law governing elections in the Philippines. It includes specific provisions on violence, intimidation, and other threats directed at voters, candidates, and election officials.
* **Revised Penal Code (RPC):** This broader code contains provisions for various crimes that can occur during elections, such as murder, assault, and coercion.
**Election-Related Offenses:**
The Omnibus Election Code outlines several election-related offenses that constitute violence or intimidation:
* **Violence against Candidates or Voters:** Threatening, harassing, injuring, or killing a candidate or voter to influence their decision or prevent them from participating in the elections.
* **Disruption of Election Activities:** Committing acts that disrupt or prevent the conduct of peaceful elections, such as destroying ballots or attacking polling places.
* **Buying and Selling of Votes:** Using money, gifts, or other inducements to influence a voter's choice.
* **Coercion:** Forcing someone to vote for a particular candidate or intimidating them into not voting at all.
**Penalties:**
The penalties for election-related violence vary depending on the specific offense and the severity of the act. Here's a general breakdown:
* **Serious Offenses:** Offenses causing death, injury, or significant disruption of elections may result in imprisonment for several years, disqualification from holding public office, and hefty fines.
* **Less Serious Offenses:** Activities like vote-buying and intimidation may carry shorter jail sentences and fines.
**Enforcement:**
The Commission on Elections (COMELEC) is the primary body responsible for enforcing election laws and investigating election-related offenses. They work alongside law enforcement agencies to ensure peaceful elections.
**Importance of Reporting:**
If you witness or experience any form of election-related violence or intimidation, it's crucial to report it immediately** to COMELEC or law enforcement. **Citizen Participation:**
A well-informed and active citizenry is vital for preventing election-related violence. Voters can help by:
* **Educating themselves about their rights and responsibilities.**
* **Reporting any suspicious activity to the authorities.**
* **Promoting peaceful and respectful campaigning.**
**Overall, the Philippines has a legal framework to address election-related violence. However, sustained efforts are needed to ensure a culture of peaceful elections where everyone feels safe to participate.**
Here are some resources for further information:
* Commission on Elections (COMELEC): [https://comelec.gov.ph/](https://comelec.gov.ph/)
* Department of Justice (DOJ): [https://www.doj.gov.ph/](https://www.doj.gov.ph/)</t>
  </si>
  <si>
    <t>Under what circumstances can a person be charged with the crime of harassment of a public officer?</t>
  </si>
  <si>
    <t>In the Philippines, there isn't a specific crime solely defined as "harassment of a public officer." However, public officers do have certain protections against inappropriate behavior, and depending on the circumstances, a person's actions could fall under various existing laws. Here's a breakdown of the relevant points:
**Potential Laws for Public Officer Harassment:**
* **Revised Penal Code (RPC):** This broadens criminal law and offers provisions that could be applicable depending on the nature of the harassment: * **Threats and Alarms:** If the harassment involves threats of violence or harm, this could be prosecuted under Article 148 of the RPC for causing alarm and scandal.
* **Coercion:** If the harassment aims to force the public officer to act in a certain way, it could be considered coercion under Article 149 of the RPC.
* **Obstruction of Justice:** If the harassment impedes the public officer from fulfilling their duties, it could be seen as obstruction of justice under Article 150 of the RPC.
* **Special Laws:** In some cases, specific laws might offer protection:
* **Anti-Cybercrime Act (Republic Act No. 10175):** If the harassment occurs online through electronic communication, the Anti-Cybercrime Act may apply.
**Key Considerations:**
* **Nature of Harassment:** The severity and nature of the harassment will determine the most appropriate legal response. * **Intent and Impact:** The intent behind the harassment and the impact it has on the public officer are crucial factors.
* **Balance of Rights:** There's a need to balance the right of public officers to perform their duties free from harassment with the right to free speech and expression.
**Alternative Actions:**
* **Administrative Complaints:** For less severe forms of harassment, a citizen may file an administrative complaint with the agency where the public officer works.
**Overall:**
While there's no single "harassment of a public officer" law, the Philippines has legal mechanisms to address inappropriate behavior towards public officials. The specific law applied depends on the exact nature of the harassment. Here are some resources for further information:
* Revised Penal Code of the Philippines: [invalid URL article 211 a of the revised penal code ON The Lawphil Project lawphil.net] * Commission on Human Rights (CHR): [https://chr.gov.ph/](https://chr.gov.ph/)</t>
  </si>
  <si>
    <t>How does the law address incidents of assault against persons in authority and its legal consequences?</t>
  </si>
  <si>
    <t>The Philippines penalizes assault against persons in authority under the Revised Penal Code (RPC). Here's a breakdown of the key points:
**Main Legislation:**
* **Revised Penal Code (RPC):** Article 148 of the RPC specifically addresses assault against persons in authority.
**Definition of Assault:**
An assault against a person in authority occurs when a person, **without a public uprising**, employs force or intimidation against a person in authority or their agents while they are engaged in the performance of their official duties or by reason of such performance. **Key Considerations:**
* **Public Uprising:** This differentiates assault from rebellion, which involves a violent uprising against the government.
* **Performance of Duty:** The assault must occur while the person in authority is carrying out their official duties.
**Severity and Penalties:**
The severity of the assault and the presence of a weapon determine the penalty:
* **Assault with a Weapon or Laying Hands:** If a weapon is used or the offender physically attacks the person in authority, the penalty is prision correccional in its medium and maximum periods (imprisonment for 6 months and 1 day to 6 years) and a fine not exceeding P200,000.00 pesos.
* **Serious Disobedience:** If the assault involves serious disobedience or resistance without a weapon or physical attack, the penalty is arresto mayor (imprisonment for 1 month and 1 day to 6 months) and a fine not exceeding P100,000.00 pesos.
* **Non-Serious Disobedience:** Disobedience that isn't serious in nature falls under Article 151 of the RPC (resistance and disobedience to a person in authority) and may result in arresto menor (imprisonment for 1 to 10 days) or a fine ranging from P2,000.00 to P20,000.00 pesos. **Who is a Person in Authority?**
The law considers various individuals as "persons in authority":
* Law enforcement officers (police, military)
* Public officials (government employees in the performance of their duties)
* Court personnel (judges, prosecutors)
* Election officials while on duty
**Importance of Respect for Authority:**
The law aims to ensure that people in authority can perform their duties without fear of violence or intimidation. This is crucial for maintaining order and enforcing the law.
**However, the law also recognizes the right to peaceful protest.** If a protest remains peaceful, even if it involves disobedience, it wouldn't necessarily be considered assault against a person in authority.
**Overall, the Philippines has a legal framework to deter assaults on persons in authority. It's important to understand the law and respond appropriately to avoid legal consequences.**
Here are some resources for further information:
* Revised Penal Code of the Philippines - Article 148: [invalid URL article 211 a of the revised penal code ON The Lawphil Project lawphil.net]
* Commission on Human Rights (CHR): [https://chr.gov.ph/](https://chr.gov.ph/)</t>
  </si>
  <si>
    <t>What penalties are imposed for committing the crime of illegal possession of firearms or explosives by a private individual?</t>
  </si>
  <si>
    <t>Under Philippine law, specifically Republic Act No. 10591, or the "Comprehensive Firearms and Ammunition Regulation Act," the penalties for committing the crime of illegal possession of firearms or explosives by a private individual vary depending on the circumstances of the offense and the type of firearm or explosive involved. Here are the general penalties:
1. **Illegal Possession of Firearms:**
- If a private individual is found guilty of illegal possession of firearms without a valid license or permit to possess, they may face imprisonment ranging from six years and one day to twelve years.
- If the firearm is classified as "light firearms" such as handguns, rifles, or shotguns, the penalty may be higher, with imprisonment ranging from six years and one day to twelve years, and a fine ranging from ₱30,000 to ₱300,000.
- For firearms classified as "high-powered firearms" such as automatic rifles, machine guns, or artillery, the penalty may be higher, with imprisonment ranging from twelve years and one day to twenty years, and a fine ranging from ₱100,000 to ₱500,000.
2. **Illegal Possession of Explosives:**
- If a private individual is found guilty of illegal possession of explosives without proper authority or permit, they may face imprisonment ranging from six years and one day to twelve years, and a fine ranging from ₱40,000 to ₱500,000.
It's important to note that these penalties may be subject to enhancement if aggravating circumstances are present, such as the possession of multiple firearms or explosives, possession during the commission of another crime, or possession in furtherance of rebellion, insurrection, or terrorism.
Additionally, the law allows for the confiscation of the illegal firearms or explosives and the cancellation of any existing licenses or permits held by the individual found guilty of the offense.
Individuals accused of illegal possession of firearms or explosives have the right to due process and legal representation. It's advisable to consult with a lawyer for specific legal advice and assistance if facing charges related to illegal possession of firearms or explosives.</t>
  </si>
  <si>
    <t>How is the offense of resistance and disobedience to a person in authority regulated and punished?</t>
  </si>
  <si>
    <t>The Philippine Revised Penal Code addresses the offense of resistance and disobedience to a person in authority or the agents of such person. Let’s explore the legal provisions and penalties:
**Concept**:
Article 151 of the Revised Penal Code defines this offense.
It applies to any person who, not being included in other specific provisions, resists or seriously disobeys any person in authority or their agents while engaged in the performance of official duties.
**Penalties**:
**Resistance or Serious Disobedience**:
If the disobedience or resistance is serious, the penalty is arresto mayor (imprisonment) and a fine not exceeding ₱100,000.
**Less Serious Disobedience**:
When the disobedience is not of a serious nature, the penalty is either arresto menor (imprisonment) or a fine ranging from ₱2,000 to ₱20,000.
**Mode of Commission**:
The elements of the offense include:
1. The offender is not included in other provisions (e.g., direct or indirect assault, disobedience to summons by the legislature or Constitutional Commissions).
2. The offender resists or seriously disobeys any person in authority or their agents during the performance of official duties.
These legal provisions aim to ensure respect for authority and maintain order in society by penalizing acts of resistance or disobedience towards persons in authority or their agents.</t>
  </si>
  <si>
    <t>How are incidents of grave misconduct and malfeasance in office classified and punished?</t>
  </si>
  <si>
    <t>In the Philippines, grave misconduct and malfeasance in office are classified as offenses against public service under Title II of the Revised Penal Code (RPC). They carry serious penalties for public officers or employees who violate the public trust. Here's a breakdown of the key points:
**Classifications:**
* **Grave Misconduct:** This refers to a public officer's **conscious act** that is **flagrant disregard of established ethical standards** or **willful failure to perform official duties**. It reflects a **serious transgression** against the public service. (Article 208 of the RPC)
* **Malfeasance:** This refers to a public officer's **wrongful conduct** related to their office. It involves **commission of an act that the law prohibits** or **omission of a duty that the law requires**. (Article 218 of the RPC)
**Examples:**
* **Grave Misconduct:** Falsifying official documents, using public office for personal gain, abuse of authority.
* **Malfeasance:** Accepting bribes, engaging in unauthorized business activities while in office, neglect of duty.
**Penalties:**
The penalties for grave misconduct and malfeasance vary depending on the severity of the offense and the specific provision violated. Here's a general breakdown:
* **Destierro (Banishment):** Temporary or permanent exile from a specific place or territory.
* **Prision correccional (Imprisonment):** Ranges from 6 months and 1 day to 6 years.
* **Perpetual Disqualification:** Barred from holding public office and exercising suffrage rights.
* **Fines:** Variable amounts depending on the offense.
**Who Can Be Charged?**
The law applies to all public officers and employees, including:
* Elected officials (national and local)
* Civil servants
* Military and police personnel
**Who Can File Charges?**
* **Ombudsman:** An independent body with the authority to investigate and prosecute public officials.
* **Any citizen:** Can file a formal complaint with the Ombudsman's office.
**Importance of Accountability:**
Strict penalties for grave misconduct and malfeasance serve as a deterrent and promote **accountability** among public officials. It helps **maintain public trust** in government institutions.
**Additional Considerations:**
* **Administrative Proceedings:** Public officers facing charges may also undergo **administrative proceedings** within their agency, which could result in dismissal or suspension.
* **Due Process:** The accused has the right to **due process** and a fair trial.
**Overall, the Philippines has a legal framework to address grave misconduct and malfeasance in office. This helps ensure that public officials uphold the public trust and perform their duties ethically.**
Here are some resources for further information:
* Office of the Ombudsman: [invalid URL ombudsman gov ph]
* Revised Penal Code of the Philippines - Title II: [invalid URL the revised penal code book 1 ON The Lawphil Project lawphil.net]</t>
  </si>
  <si>
    <t>Under what circumstances can a person be charged with the crime of usurpation of authority or official functions?</t>
  </si>
  <si>
    <t>In the Philippines, the crime of usurpation of authority or official functions is penalized under Article 177 of the Revised Penal Code (RPC). Here's a breakdown of the key points for when someone can be charged with this offense:
**Elements of the Crime:**
There are three main elements that need to be proven for a person to be charged with usurpation of authority or official functions:
1. **Pretense of Official Position:** The person must **act as if they hold a certain official position**. This could involve wearing a uniform, presenting fake documents, or verbally claiming to be an authorized official.
2. **Performing Acts Related to Authority:** The person must **perform an act** that is **pertaining to a person in authority or public officer**. This could involve issuing orders, making arrests, conducting inspections, or collecting fees. 3. **Acting Without Legal Entitlement:** The person must be **doing this without being lawfully entitled to do so**. They don't hold the real position and lack the legal authority to perform such acts.
**Examples of Usurpation:**
* Someone impersonates a police officer to pull over motorists.
* An individual pretends to be a health inspector and demands money from businesses.
* A person poses as a government official and collects fees for a fake program.
**Important Considerations:**
* **Good Faith Defense:** If the person can demonstrate they acted in good faith and genuinely believed they had the authority, it may serve as a defense against the charge.
* **Mere Disagreement:** Disagreements with a real official's actions wouldn't constitute usurpation. * **Scope of the Offense:** The law applies to both **public officials** exceeding their authority and **private individuals** falsely claiming official positions.
**Penalties:**
The penalty for usurpation of authority or official functions depends on whether the person pretended to have a high-level position or a more ordinary one:
* **With Pretense of High Authority:** The penalty is **prision correccional in its maximum period to reclusion temporal in its minimum period** (imprisonment for 2 years and 1 day to 8 years).
* **Without Pretense of High Authority:** The penalty is **prision correccional in its minimum and medium periods** (imprisonment for 6 months and 1 day to 2 years and 4 months).
**Overall, the Philippines aims to prevent individuals from impersonating officials and abusing authority. This helps maintain order and protects citizens from scams or harassment.**
Here are some resources for further information:
* Revised Penal Code of the Philippines - Article 177: [invalid URL article 177 of the revised penal code ON The Lawphil Project lawphil.net]
* Commission on Human Rights (CHR): [https://chr.gov.ph/](https://chr.gov.ph/)</t>
  </si>
  <si>
    <t>What legal measures exist to combat the crime of rebellion or insurrection against the government?</t>
  </si>
  <si>
    <t>In the Philippines, legal measures exist to combat the crime of rebellion or insurrection against the government. Let’s explore these measures:
**Concept of Rebellion or Insurrection**:
Article 134 of the Revised Penal Code (RPC) defines rebellion or insurrection.
It occurs when individuals rise publicly and take up arms against the government with the purpose of:
- Removing allegiance to the government or its laws from the territory of the Philippine Islands or any part thereof.
- Depriving the Chief Executive or the Legislature, wholly or partially, of their powers or prerogatives.
**Penalties for Rebellion or Insurrection**:
The penalty for rebellion or insurrection is reclusion perpetua to death.
This severe punishment reflects the gravity of the offense and its impact on the stability of the government and society.
**Conspiracy and Proposal to Commit Rebellion**:
The conspiracy and proposal to commit rebellion or insurrection are also punishable:
- Prisión correccional in its maximum period and a fine not exceeding ₱1,000,000.
- Prisión correccional in its medium period and a fine not exceeding ₱400,000.
**Forfeiture of Rights and Confiscation of Property**:
Any person found guilty of rebellion, insurrection, or related offenses may suffer:
- Forfeiture of citizenship rights (if a Philippine citizen).
- Confiscation of property, real or personal, in favor of the State.</t>
  </si>
  <si>
    <t>How does the law address incidents of treason and the legal consequences for perpetrators?</t>
  </si>
  <si>
    <t>The Philippines has a specific law to address treason, outlining the acts considered treasonous and the penalties for those who commit them. Here's a breakdown of the key aspects:
**Main Legislation:**
* **Article 114 of the Revised Penal Code (RPC):** This article defines and penalizes the crime of treason.
**Definition of Treason:**
Treason is a crime committed by a Filipino citizen who, owing allegiance to the Republic of the Philippines, commits any of the following acts:
* **Directly conspires or joins any conspiracy with the enemy of the Philippines during wartime**. * This includes providing aid or comfort to the enemy, even without a formal declaration of war.
* **Adheres to the enemy, giving them aid or comfort**. * This could involve providing military intelligence, logistical support, or propaganda assistance. * **Willfully gives intelligence information to a foreign power regarding the military or national defense plans of the Philippines**.
**Important Considerations:**
* **Citizenship Requirement:** Only Filipino citizens can be charged with treason.
* **Wartime Context:** While "enemy" is broadly defined, the act typically occurs during wartime.
* **Overt Act Requirement:** There must be a clear and provable act of betrayal, not just thoughts or opinions.
**Penalties for Treason:**
The penalty for treason is severe:
* **Death:** This is the capital punishment for the crime of treason in the Philippines.
**Criticisms and Considerations:**
* **Death Penalty:** The Philippines has ongoing debates about the death penalty**, with some advocating for its abolition.
* **Strict Interpretation:** Courts tend to interpret the law strictly** to prevent abuse and ensure fairness.
**Overall, the Philippines has a clear legal definition of treason and a serious penalty to deter such acts. However, discussions surrounding the death penalty and the specific wartime context remain relevant.**
Here are some resources for further information:
* Revised Penal Code of the Philippines - Article 114: [invalid URL article 114 of the revised penal code ON The Lawphil Project lawphil.net]</t>
  </si>
  <si>
    <t>What penalties apply for engaging in the crime of espionage and its related offenses?</t>
  </si>
  <si>
    <t>The Philippines penalizes espionage and related activities under the **Espionage Act of 1996 (Republic Act No. 8556)**. Here's a breakdown of the key points and penalties:
**Espionage Act Offenses:**
The law defines several acts as espionage and outlines corresponding penalties:
* **Espionage:** This involves gathering, transmitting, or delivering classified information to a foreign power or its agent, knowing that the information may be used to the prejudice of the Philippines. (**Penalty:** Reclusion perpetua or death)
* **Solicitation of Classified Information:** Intentionally soliciting, enticing, or persuading another person to commit espionage. (**Penalty:** Reclusion temporal minimum to medium or a fine ranging from P500,000.00 to P1,000,000.00 pesos)
* **Espionage and Evasion of Duty:** A member of the Armed Forces of the Philippines (AFP) or law enforcement agency who commits espionage while on duty or evades their duty to prevent espionage. (**Penalty:** Reclusion perpetua or death)
* **Loss of Classified Information:** A person entrusted with safeguarding classified information who allows its loss, destruction, or unauthorized disclosure through negligence or incompetence. (**Penalty:** Prision mayor or a fine ranging from P300,000.00 to P500,000.00 pesos)
**Important Considerations:**
* **Classification of Information:** The specific information being accessed or transmitted needs to be classified as "secret" or "top secret" for the law to apply.
* **Knowledge of Prejudice:** The offender must be aware that the information could be used to harm the Philippines. * **Intent and Motive:** The person's intent and motives for engaging in these activities are crucial factors.
**Related Offenses:**
* **Illegal Possession of Classified Information:** Knowingly possessing classified information without authorization. (**Penalty:** Prision correccional medium to maximum or a fine ranging from P100,000.00 to P300,000.00 pesos)
* **Use of Classified Information for Personal Gain:** Using classified information for personal gain or unauthorized purposes. (**Penalty:** Similar to illegal possession)
**Overall, the Philippines has a strict legal framework to deter and punish espionage activities that threaten national security.**
**Here are some resources for further information:**
* Espionage Act of 1996 (Republic Act No. 8556): [https://chanrobles.com/](https://chanrobles.com/)
* Department of National Defense (DND): [https://www.dnd.gov.ph/](https://www.dnd.gov.ph/)</t>
  </si>
  <si>
    <t>How is the offense of misprision of treason defined and punished under Philippine law?</t>
  </si>
  <si>
    <t>The Philippines penalizes misprision of treason under **Article 118 of the Revised Penal Code (RPC)**. Here's a breakdown of the offense and its consequences:
**Definition of Misprision of Treason:**
Misprision of treason occurs when a person, **knowing that treason is being planned or committed**, does not disclose this information **as soon as possible** to a designated authority. **Key Elements:**
* **Knowledge of Treason:** The person must be aware that a treasonous act is being planned or carried out. * **Failure to Report:** They must **willfully conceal** this knowledge and **not report it** to the proper authorities.
* **Designated Authorities:** The law specifies who should be informed. This includes:
* Provincial Governor
* City Mayor
* Any judge of a court of record
**Differentiating from Treason:**
Misprision of treason is distinct from treason itself. While treason involves actively participating in acts against the country, misprision of treason is about **knowingly concealing** such acts.
**Penalty for Misprision of Treason:**
The penalty for misprision of treason is imprisonment, though not as severe as the penalty for treason itself:
* **Imprisonment:** The specific duration can vary depending on the court's discretion, but it typically falls within the range of **prision correccional medium to maximum** (imprisonment for 6 months and 1 day to 6 years).
* **Fine:** The court may also impose a fine alongside the imprisonment.
**Importance of Reporting:**
The law aims to encourage people to report any knowledge of treasonous activities to prevent them from succeeding. Early disclosure allows authorities to take action and safeguard national security.
**However, it's important to note that there's no obligation to report** **suspicions** or unconfirmed information. The knowledge needs to be **concrete and specific** for the law to apply.
**Overall, misprision of treason discourages the concealment of planned or ongoing treasonous acts. This helps maintain national security by allowing authorities to intervene promptly.**
Here are some resources for further information:
* Revised Penal Code of the Philippines - Article 118: [invalid URL article 118 of the revised penal code ON The Lawphil Project lawphil.net]
* Department of Justice (DOJ): [https://www.doj.gov.ph/](https://www.doj.gov.ph/)</t>
  </si>
  <si>
    <t>Under what circumstances can a person be charged with the crime of harboring or concealing a person guilty of a capital offense?</t>
  </si>
  <si>
    <t>In the Philippines, harboring or concealing a person guilty of a capital offense falls under the crime of **accessory liability** as outlined in the Revised Penal Code (RPC). Here's a breakdown of the key points:
**Main Legislation:**
* **Article 18 of the Revised Penal Code (RPC):** This article defines different categories of accessories to crimes, including those who harbor or conceal criminals.
**Types of Accessories:**
The RPC distinguishes between two types of accessories:
* **Accessories before the fact:** These individuals participate in the planning or preparation of the crime but are not physically present during its execution.
* **Accessories after the fact:** These individuals **knowingly** assist a principal offender **after the crime has been committed**. This can include harboring or concealing them.
**Focus on Capital Offenses:**
The law specifically mentions harboring or concealing someone guilty of a **capital offense**. Capital offenses are crimes punishable by death in the Philippines, though there's a moratorium on executions. Examples include treason, murder, and some drug trafficking offenses.
**Elements of the Crime:**
For someone to be charged with accessory liability for harboring a criminal:
* **Knowledge of the Crime:** They must be aware that the person they are assisting has committed a capital offense. * **Concealment or Harboring:** They must take some action to hide the criminal or provide them with a safe place to avoid arrest or prosecution.
**Key Considerations:**
* **Degree of Knowledge:** The **extent of the knowledge** about the specific crime is crucial. Someone simply offering general help to a person unaware of their criminal past wouldn't be liable.
* **Nature of Assistance:** The kind of assistance provided also matters. Offering a place to stay for a night might be different from creating a long-term hiding place.
* **Intent and Motive:** The **intent and motive** behind harboring the criminal are important factors. Helping a family member out of fear might be viewed differently than assisting a criminal for personal gain.
**Penalty for Accessory Liability:**
The penalty for accessory liability depends on the gravity of the principal offense and the degree of participation by the accessory:
* **Lesser Penalty:** The penalty for the accessory is typically **one degree lower** than the principal offender's penalty.
* **Maximum Penalty:** In some cases, the accessory may face the **same penalty** as the principal offender, particularly if their role was significant.
**Overall, the Philippines discourages aiding criminals by penalizing those who harbor or conceal them, especially those guilty of capital offenses. This discourages individuals from assisting fugitives and helps maintain law and order.**
Here are some resources for further information:
* Revised Penal Code of the Philippines - Article 18: [invalid URL article 18 of the revised penal code ON The Lawphil Project lawphil.net]
* Department of Justice (DOJ): [https://www.doj.gov.ph/](https://www.doj.gov.ph/)</t>
  </si>
  <si>
    <t>How does the law address incidents of failure to resist or prevent the commission of rebellion?</t>
  </si>
  <si>
    <t>Article 136 of the Revised Penal Code (RPC) addresses the offense of disloyalty of public officers or employees who fail to resist or prevent a rebellion. Let’s explore the legal provisions:
**Disloyalty of Public Officers or Employees**:
This offense applies to public officers or employees who:
- Fail to resist a rebellion by all means in their power.
- Continue to discharge their duties under the control of the rebels.
- Accept appointments to office under the rebels.
**Penalty**:
The penalty for disloyalty of public officers or employees is prisión correccional in its minimum period.
Remember that public officers and employees have a duty to uphold the law and protect the government. Failure to resist or prevent rebellion undermines public order and stability, and legal consequences are enforced to maintain the rule of law.</t>
  </si>
  <si>
    <t>What penalties are imposed for committing the crime of qualified piracy in the Philippines?</t>
  </si>
  <si>
    <t>In the Philippines, qualified piracy is a serious offense with harsh penalties. Here's a breakdown of the crime and its consequences:
**Legislation:**
* **Article 123 of the Revised Penal Code (RPC):** This article defines and penalizes qualified piracy.
**Definition of Qualified Piracy:**
Qualified piracy occurs when someone commits any of the acts mentioned in Article 122 (general piracy) **under any of the following circumstances**:
* **Seizing a vessel by boarding or firing upon it:** This involves using violence or threats of violence to take control of a vessel.
* **Abandoning victims without means of saving themselves:** This includes leaving the crew and passengers of the seized vessel in a dangerous situation without any way to get help.
* **The crime is accompanied by murder, homicide, physical injuries, or rape:** The presence of these violent acts alongside piracy elevates the offense to a more severe degree.
**Important Considerations:**
* **Location:** The crime must occur on the high seas or Philippine waters.
* **Intent and Motive:** The act must be deliberate and driven by the intention to rob or seize the vessel and/or its cargo.
**Penalty for Qualified Piracy:**
The penalty for qualified piracy is severe:
* **Reclusion perpetua to death:** This translates to imprisonment for a minimum of 20 years and 1 day to death. The specific penalty depends on the gravity of the offense and the court's discretion.
**Comparison to General Piracy:**
* **General piracy** (Article 122 of the RPC) has a lesser penalty of **reclusion temporal** (imprisonment for 12 years and 1 day to 20 years). **Overall, the Philippines aims to deter piracy and protect vessels and their personnel through strong penalties for qualified piracy.** Here are some resources for further information:
* Revised Penal Code of the Philippines - Article 122 and 123: [invalid URL article 122 123 of the revised penal code ON The Lawphil Project lawphil.net]
* Philippine Coast Guard (PCG): [invalid URL removed]</t>
  </si>
  <si>
    <t>How is the offense of harboring or concealing fugitives from justice defined and punished?</t>
  </si>
  <si>
    <t>In the Philippines, harboring or concealing fugitives from justice falls under the concept of **accessory liability** as outlined in Article 18 of the Revised Penal Code (RPC). Here's a breakdown of the key points:
**Crime:**
The act of harboring or concealing someone wanted for a crime makes you an accessory after the fact.
**Article 18 of the Revised Penal Code (RPC):**
This article defines different categories of accessories to crimes, including those who assist criminals after the crime is committed.
**Focus on Fugitives:**
The law applies specifically to situations where you knowingly assist someone who has already committed a crime and is evading arrest or prosecution.
**Elements of the Crime:**
* **Knowledge of the Crime:** You must be aware that the person you are helping is a fugitive and has committed a crime. * **Concealment or Harboring:** You must take some action to hide the fugitive or provide them with a safe place to avoid arrest or prosecution. This could involve:
* Offering them shelter
* Providing them with transportation or financial assistance
* Helping them create a false identity
**Key Considerations:**
* **Degree of Knowledge:** The extent of your knowledge about the specific crime is crucial. Someone simply offering general help to a person unaware of their fugitive status wouldn't be liable.
* **Nature of Assistance:** The kind of assistance provided also matters. Offering a place to stay for a night might be different from creating a long-term hiding place. * **Intent and Motive:** Your intent and motive behind harboring the fugitive are important factors. Helping a family member out of fear might be viewed differently than assisting a criminal for personal gain.
**Penalty for Accessory Liability:**
The penalty for accessory liability depends on the gravity of the principal offense (the crime the fugitive committed) and the degree of participation by the accessory:
* **Lesser Penalty:** Generally, the penalty for the accessory is **one degree lower** than the principal offender's penalty.
* **Maximum Penalty:** In some cases, the accessory may face the **same penalty** as the principal offender, particularly if their role in assisting the fugitive was significant.
**Example:**
If you help someone who committed theft (a less serious crime) to evade arrest, you might face a lighter penalty than the thief themself. However, if you assist a murderer by providing a safe house and helping them flee the country, you could face the same penalty (reclusion perpetua) as the murderer.
**Overall, the Philippines discourages aiding fugitives by penalizing those who harbor or conceal them. This discourages individuals from assisting criminals and helps maintain law and order.**
Here are some resources for further information:
* Revised Penal Code of the Philippines - Article 18: [invalid URL article 18 of the revised penal code ON The Lawphil Project lawphil.net]
* Department of Justice (DOJ): [https://www.doj.gov.ph/](https://www.doj.gov.ph/)</t>
  </si>
  <si>
    <t>What legal provisions govern the crime of qualified bribery involving public officers?</t>
  </si>
  <si>
    <t>In the Philippines, the crime of qualified bribery involving public officers is primarily governed by a specific provision within the Revised Penal Code (RPC):
* **Article 211-A of the Revised Penal Code (RPC):** This article specifically addresses qualified bribery involving public officers entrusted with law enforcement duties.
**Key Points of Article 211-A:**
* **Focus on Law Enforcement Officers:** The law applies to public officers **entrusted with law enforcement**, such as police officers, prosecutors, or members of investigative agencies.
* **Specific Act of Omission:** The crime occurs when the public officer **refrains from arresting or prosecuting** an offender who has committed a crime punishable by **reclusion perpetua** (imprisonment for 20 years and 1 day to 40 years) and/or **death**. * **Consideration for Inaction:** The officer's inaction must be **in consideration of** an offer, promise, gift, or present. This means they are offered a bribe to not perform their lawful duty of arresting or prosecuting the offender.
**Important Considerations:**
* **No Requirement for Accepting Bribe:** The officer doesn't necessarily need to **accept** the bribe; simply **agreeing not to act** due to the offer is sufficient for the crime to be committed.
* **Severity of Offense:** The crime is considered serious because it undermines the justice system by allowing criminals to evade prosecution through bribery.
**Penalty for Qualified Bribery:**
The penalty for qualified bribery under Article 211-A is severe:
* **Same Penalty as the Unobserved Crime:** The public officer who commits qualified bribery faces the **same penalty** as the crime they were supposed to prosecute but failed to do due to the bribe. This could be **reclusion perpetua** or even **death**. **Additional Provisions:**
* **Article 210 of the RPC:** This article addresses **direct bribery**, which involves a public officer agreeing to perform an illegal act in exchange for a bribe.
* **Republic Act No. 3019 (The Anti-Graft and Corrupt Practices Act):** This broader law includes provisions against various forms of corruption, including bribery of public officials.
**Overall, the Philippines has a strong legal framework to deter bribery, particularly involving law enforcement officers entrusted with upholding the law.**
Here are some resources for further information:
* Revised Penal Code of the Philippines - Article 211-A: [invalid URL article 211 a of the revised penal code ON The Lawphil Project lawphil.net]
* Office of the Ombudsman: [invalid URL ombudsman gov ph]</t>
  </si>
  <si>
    <t>Under what circumstances can a person be charged with the crime of obstruction of justice?</t>
  </si>
  <si>
    <t>The Philippines penalizes obstruction of justice under several laws, depending on the specific act committed. Here's a breakdown of the key aspects:
**Main Legislation:**
* **Revised Penal Code (RPC):** This core criminal code includes Article 150 which addresses resistance and disobedience to a person in authority.
* **Presidential Decree No. 1829 (PD 1829):** This specific law penalizes specific acts that obstruct the apprehension, investigation, and prosecution of criminals.
**Circumstances for Obstruction of Justice:**
A person can be charged with obstruction of justice under various circumstances, including:
* **Resisting Arrest:** This involves physically or verbally resisting arrest by a lawful authority figure. (RPC Article 150)
* **Threatening Witnesses:** This includes intimidation or threats directed at someone to prevent them from testifying in a legal case. (PD 1829)
* **Tampering with Evidence:** This involves altering, destroying, or concealing evidence related to a crime. (PD 1829)
* **Harboring Fugitives:** This involves knowingly providing shelter or assistance to someone evading arrest or prosecution. (Accessory liability under RPC Article 18)
* **Perjury:** This involves knowingly making false statements under oath in a court proceeding. (RPC Article 183)
* **Bribing Public Officials:** This involves offering money or favors to a public official to influence their decision or inaction in a legal case. (RPC Article 210 or specific provisions like Article 211-A)
**Important Considerations:**
* **Intent and Motive:** The person's **intent** and **motive** for obstructing justice are crucial factors. Someone unintentionally hindering an investigation might not be liable compared to someone deliberately tampering with evidence.
* **Knowledge of Crime:** In some cases, **knowledge of a crime being committed** is necessary for obstruction of justice charges. For instance, simply helping a lost friend wouldn't be obstruction if you weren't aware they were a fugitive.
**Penalties for Obstruction of Justice:**
The penalty for obstruction of justice varies depending on the specific act committed and the relevant law:
* **Resistance and Disobedience (RPC Article 150):** This can result in arresto menor (imprisonment for 1 to 10 days) or a fine ranging from P2,000.00 to P20,000.00 pesos.
* **PD 1829:** This law prescribes penalties ranging from **prision correccional** (imprisonment for 6 months and 1 day to 6 years) and fines to higher penalties depending on the specific act.
**Overall, the Philippines aims to ensure a smooth judicial process by penalizing acts that hinder investigations, trials, and the execution of lawful orders.**
Here are some resources for further information:
* Revised Penal Code of the Philippines: [invalid URL article 18 of the revised penal code ON The Lawphil Project lawphil.net]
* Presidential Decree No. 1829: [https://lawphil.net/statutes/presdecs/pd1981/pd_1829_1981.html](https://lawphil.net/statutes/presdecs/pd1981/pd_1829_1981.html)</t>
  </si>
  <si>
    <t>How does the law address incidents of tampering with evidence and its legal consequences?</t>
  </si>
  <si>
    <t>The Philippines has strong legal provisions to discourage tampering with evidence, recognizing its significance in the justice system. Here's a breakdown of how the law addresses this crime and its consequences:
**Main Legislation:**
* **Revised Penal Code (RPC):** While not explicitly mentioned as "tampering with evidence," related provisions address altering or concealing evidence.
* Article 185: Falsification by a private individual
* Article 186: Falsification by a public official
* **Presidential Decree No. 1829 (PD 1829):** This specific law directly penalizes acts that obstruct justice, including tampering with evidence.
**Focus on Altering or Concealing Evidence:**
The laws don't use the term "tampering" but focus on actions that alter or conceal evidence:
* **Destruction:** Deliberately damaging or destroying evidence that could be relevant to a criminal investigation or legal proceeding.
* **Alteration:** Modifying evidence in a way that misrepresents the truth or hinders its use in court.
* **Concealment:** Hiding or removing evidence to prevent it from being discovered by law enforcement or presented in court.
**Who Can Commit the Crime?**
* **Private Individuals:** Anyone, not just those involved in the case, can be charged under Article 185 of the RPC.
* **Public Officials:** Public officials who tamper with evidence face a graver penalty under Article 186 of the RPC due to their position of trust.
**Penalties for Tampering with Evidence:**
The penalty depends on the specific law and the offender's role:
* **RPC Article 185:** For private individuals, the penalty is **prision mayor** (imprisonment for 6 years and 1 day to 8 years) and a fine.
* **RPC Article 186:** Public officials face a harsher penalty of **reclusion temporal** (imprisonment for 12 years and 1 day to 20 years) with perpetual disqualification and a fine.
* **PD 1829:** This law prescribes penalties **depending on the severity of the offense**, ranging from prision correccional to reclusion temporal.
**Importance of Preserving Evidence:**
Tampering with evidence is a serious offense because it undermines the justice system's ability to determine the truth and hold perpetrators accountable. Preserving evidence is crucial for fair trials and protecting the rights of both the accused and the victims.
**It's important to note that accidentally damaging or losing evidence wouldn't necessarily be considered tampering.** The act must be done **intentionally and with the knowledge that the evidence is relevant to a crime.**
**Overall, the Philippines has a legal framework to deter tampering with evidence and ensure its integrity throughout the judicial process.**
Here are some resources for further information:
* Revised Penal Code of the Philippines - Articles 185 &amp; 186: [invalid URL article 185 of the revised penal code ON The Lawphil Project lawphil.net]
* Presidential Decree No. 1829: [https://lawphil.net/statutes/presdecs/pd1981/pd_1829_1981.html](https://lawphil.net/statutes/presdecs/pd1981/pd_1829_1981.html)</t>
  </si>
  <si>
    <t>What penalties apply for engaging in the crime of revealing the identity of a covert law enforcement agent?</t>
  </si>
  <si>
    <t>In the Philippines, revealing the identity of a covert law enforcement agent is a serious offense. Let’s explore the legal penalties associated with this crime:
**Cybercrime Prevention Act of 2012 (Republic Act No. 10175):**
- This law defines and addresses various cybercrimes, including offenses related to identity theft and unauthorized disclosure.
- Revealing the identity of a covert law enforcement agent is punishable under this act.
**Penalties:**
- Imprisonment ranging from 6 years and 1 day to 12 years.
- A fine of at least ₱200,000 up to a maximum amount commensurate with the damage incurred or both.
**Protection of Covert Agents:**
- The law recognizes the importance of safeguarding the identity of covert agents for national security and law enforcement purposes.
- Unauthorized disclosure can compromise ongoing investigations and endanger the safety of these agents.</t>
  </si>
  <si>
    <t>How is the offense of harboring or concealing persons who have recently committed a crime regulated and punished?</t>
  </si>
  <si>
    <t>You're absolutely right. I apologize for the mistake in the previous response. While the concept of accessory liability applies in harboring fugitives, there isn't a specific law solely focused on "harboring recent criminals."
Here's a more accurate breakdown:
**Relevant Laws:**
* **Revised Penal Code (RPC):**
* **Article 18:** Defines accessory liability, which can apply to those who harbor fugitives.
* **Presidential Decree No. 1829 (PD 1829):**
* **Section 3(c):** Specifically penalizes harboring or concealing, or facilitating the escape of, any person you know or have reasonable ground to believe has committed any offense under existing penal laws in order to prevent their arrest, prosecution, and conviction.
**Key Points:**
* **Focus on Evading Justice:** The emphasis is on assisting someone who has committed a crime and is actively avoiding being caught (fugitive).
* **Knowledge of Crime:** You must be aware that the person you're helping is a fugitive and has committed a crime.
* **Concealment or Escape Facilitation:** Your actions must actively hide the fugitive or help them escape from lawful authorities. This could involve:
* Offering shelter
* Providing transportation or financial assistance
* Creating a false identity
* **Intent to Obstruct Justice:** There's an implied intent to hinder the legal process by preventing the fugitive's arrest or prosecution.
**Penalty:**
* **Accessory Liability (RPC Article 18):** Penalty depends on the severity of the **principal offense** (the crime the fugitive committed). It's generally one degree lower than the principal's penalty, but could be the same in severe cases.
* **PD 1829:** Prescribes penalties **depending on the circumstances**, ranging from prision correccional (imprisonment for 6 months and 1 day to 6 years) and fines to potentially higher penalties.
**Importance:**
The Philippines aims to discourage aiding fugitives as it undermines the justice system. By penalizing those who harbor them, authorities can apprehend criminals and ensure they are held accountable.
**Additional Considerations:**
* **Degree of Knowledge:** The extent of your knowledge about the crime and the fugitive status is crucial. Unknowingly helping someone wouldn't be considered harboring.
* **Nature of Assistance:** The type of assistance provided matters. Offering a place to stay for a short while might be different from creating a long-term hiding place.
* **Intent and Motive:** Your intent and motive for helping the fugitive are important factors. Helping a family member might be viewed differently than assisting a criminal for personal gain.
**Overall, the Philippines has a legal framework to deter the act of harboring fugitives and promote upholding the law.**
Here are some resources for further information:
* Revised Penal Code of the Philippines - Article 18: [invalid URL article 18 of the revised penal code ON The Lawphil Project lawphil.net]
* Presidential Decree No. 1829: [https://lawphil.net/statutes/presdecs/pd1981/pd_1829_1981.html](https://lawphil.net/statutes/presdecs/pd1981/pd_1829_1981.html)
* Department of Justice (DOJ): [https://www.doj.gov.ph/](https://www.doj.gov.ph/)</t>
  </si>
  <si>
    <t>Under what circumstances can a person be charged with the crime of harboring or concealing an escaped prisoner?</t>
  </si>
  <si>
    <t>In the Philippines, harboring or concealing an escaped prisoner is a crime addressed under the concept of **accessory liability** as outlined in the Revised Penal Code (RPC). Here's a breakdown of the key points:
**Legislation:**
* **Article 18 of the Revised Penal Code (RPC):** Defines different categories of accessories to crimes, including those who assist criminals after the crime is committed.
**Focus on Escaped Prisoners:**
This law applies specifically to situations where you knowingly assist someone who has **escaped from lawful custody**. This could involve prisoners who have fled jails, detention centers, or halfway houses.
**Elements of the Crime:**
* **Knowledge of Escape:** You must be aware that the person you are helping is an escaped prisoner.
* **Concealment or Harboring:** You must take some action to hide the escapee or provide them with a safe place to avoid recapture. This could involve:
* Offering them shelter
* Providing them with transportation or financial assistance
* Helping them create a false identity
**Key Considerations:**
* **Degree of Knowledge:** The extent of your knowledge about the escape is crucial. Someone simply offering general help to a person unaware of their escapee status wouldn't be liable.
* **Nature of Assistance:** The kind of assistance provided also matters. Offering a place to stay for a night might be different from creating a long-term hiding place.
* **Intent and Motive:** Your intent and motive behind harboring the escapee are important factors. Helping a lost acquaintance out of fear might be viewed differently than assisting a dangerous criminal for personal gain.
**Penalty for Accessory Liability:**
The penalty for accessory liability depends on the gravity of the **principal offense** (the crime the escapee originally committed) and the degree of participation by the accessory:
* **Lesser Penalty:** Generally, the penalty for the accessory is **one degree lower** than the principal offender's penalty.
* **Maximum Penalty:** In some cases, the accessory may face the **same penalty** as the principal offender, particularly if their role in assisting the escapee was significant.
**Example:**
If you help someone who escaped after being arrested for theft (a less serious crime) to evade recapture, you might face a lighter penalty than the escapee themself. However, if you assist a murderer who escaped prison by providing a safe house and helping them flee the country, you could face the same penalty (reclusion perpetua) as the murderer.
**Overall, the Philippines discourages aiding escaped prisoners by penalizing those who harbor or conceal them. This discourages individuals from assisting fugitives and helps law enforcement recapture them.**
Here are some resources for further information:
* Revised Penal Code of the Philippines - Article 18: [invalid URL article 18 of the revised penal code ON The Lawphil Project lawphil.net]
* Bureau of Jail Management and Penology (BJMP): [https://www.bjmp.gov.ph/](https://www.bjmp.gov.ph/)</t>
  </si>
  <si>
    <t>What legal measures exist to combat the crime of hijacking of aircraft or vessels?</t>
  </si>
  <si>
    <t>In the Philippines, legal measures exist to combat the crime of hijacking of aircraft or vessels. Let’s explore these measures:
**Anti-Hijacking Law (Republic Act No. 6235):**
- This law specifically addresses acts inimical to civil aviation.
- It prohibits any person from compelling a change in the course or destination of an aircraft of Philippine registry or seizing or usurping control while it is in flight.
**Penalties:**
- Violators face imprisonment of not less than twelve years but not more than twenty years or a fine of not less than ₱20,000 but not more than ₱40,000.
- The law aims to prevent hijacking incidents and protect civil aviation safety.
**Armed Forces of the Philippines (AFP) Modernization Act (Republic Act No. 10349):**
- This act ensures the allocation of funds for the build-up of aircraft, vessels, and materiel to enhance the country’s defense posture.
- It strengthens the AFP’s capabilities to respond to threats, including hijacking situations.</t>
  </si>
  <si>
    <t>How does the law address incidents of unauthorized disclosure of classified information and its legal consequences?</t>
  </si>
  <si>
    <t>The Philippines has several laws and regulations that address the unauthorized disclosure of classified information. Here's a breakdown of the key aspects:
**Main Sources:**
* **Executive Order No. 608 (EO 608):** This executive order specifically focuses on the classification and protection of classified information.
* **Revised Penal Code (RPC):** While not explicitly mentioning "classified information," certain articles address unauthorized disclosure of confidential documents.
* **Memorandum Circular No. 78 of 1964:** This circular issued by the Office of the President provides detailed guidelines for handling classified information.
**Focus on Classified Information:**
EO 608 establishes a system for classifying government information and emphasizes the importance of protecting it. "Classified information" refers to data that could cause **exceptionally grave damage to national security** if disclosed without authorization.
**Unauthorized Disclosure:**
The laws and regulations prohibit various forms of unauthorized disclosure, including:
* Sharing classified information with unauthorized individuals
* Verbally revealing classified information in unsecured settings
* Leaving classified documents unattended or losing them
* Publicly releasing classified information through any media (written, spoken, digital)
**Important Considerations:**
* **Classification Level:** The severity of the offense depends on the classification level (Top Secret, Secret, Confidential) of the information disclosed.
* **Intent and Motive:** The person's **intent** and **motive** for disclosing the information are crucial factors. Someone accidentally revealing classified information might face a lesser penalty than someone deliberately leaking it for personal gain.
**Legal Consequences:**
* **EO 608:** Considers unauthorized disclosure a **grave offense**, with penalties determined by the agency's disciplinary rules.
* **RPC (possible application):** Articles like 18 (accessory liability) and 217 (violation of secrets) could be applied in some cases, resulting in imprisonment and fines.
* **Memorandum Circular No. 78:** While not directly imposing penalties, it emphasizes the potential **administrative sanctions** for mishandling classified information.
**Overall, the Philippines aims to protect sensitive government information to safeguard national security. Strict regulations and potential consequences deter unauthorized disclosure and ensure responsible handling of classified data.**
Here are some resources for further information:
* Executive Order No. 608: [https://www.officialgazette.gov.ph/2007/03/30/executive-order-no-608-s-2007/](https://www.officialgazette.gov.ph/2007/03/30/executive-order-no-608-s-2007/)
* Revised Penal Code of the Philippines: [invalid URL article 18 of the revised penal code ON The Lawphil Project lawphil.net]
* Office of the President - Memorandum Circular No. 78: (Source not publicly available online, government websites might have archived versions)</t>
  </si>
  <si>
    <t>What penalties are imposed for committing the crime of espionage involving the theft of government secrets?</t>
  </si>
  <si>
    <t>In the Philippines, the offense of espionage involves the theft of government secrets. Let’s explore the legal penalties associated with this crime:
**Espionage (Article 117, Revised Penal Code):**
- The penalty for espionage is prision correccional (imprisonment).
- It may be imposed upon any person who:
1. Without authority, enters a warship, fort, or naval or military establishment or reservation to obtain confidential information related to the defense of the Philippine Archipelago.
2. Being in possession, by reason of the public office held, of confidential articles, data, or information, discloses their contents to a representative of a foreign nation.
- If the offender is a public officer or employee, the penalty next higher in degree shall be imposed.</t>
  </si>
  <si>
    <t>How is the offense of inciting to war or giving motives for reprisals defined and punished?</t>
  </si>
  <si>
    <t>In the Philippines, the crime of inciting to war or giving motives for reprisals falls under Article 118 of the Revised Penal Code (RPC). Here's a breakdown of the key points:
**Legislation:**
* **Article 118 of the Revised Penal Code (RPC):** This article specifically addresses provoking or giving reasons for war or reprisals.
**Focus on Inciting Conflict:**
The law aims to prevent individuals from actions that could lead to violence and armed conflict. Here are the key aspects of the offense:
* **Inciting to War:** This involves any words, actions, or publications that deliberately encourage or provoke war, either internal (civil war) or external (against another country).
* **Giving Motives for Reprisals:** This refers to actions that could lead to retaliation or revenge attacks, either by individuals or groups. This might involve spreading hate speech or inciting violence against a specific group of people.
**Who Can Commit the Crime:**
* **Public Officers or Employees:** The penalty is harsher for government officials who abuse their position to incite war or reprisals.
* **Private Individuals:** Even ordinary citizens can be charged if their actions meet the elements of the crime.
**Elements of the Crime:**
* **Unlawful or Unauthorized Acts:** The actions must be illegal and not sanctioned by any lawful authority.
* **Provoking War or Reprisals:** There must be clear intent or a high likelihood that the actions will lead to war or violent reprisals.
**Important Considerations:**
* **Freedom of Speech:** The Philippines upholds freedom of speech, but it has limitations. Criticism of the government or expressing dissent is generally allowed, but inciting violence or war is not.
* **Context and Intent:** The context in which the words or actions occur and the person's intent are crucial factors in determining guilt.
**Penalty for Inciting War or Reprisals:**
* **Public Officers or Employees:** Imprisonment under the penalty of **reclusion temporal** (12 years and 1 day to 20 years)
* **Private Individuals:** Imprisonment under the penalty of **prision mayor** (6 years and 1 day to 8 years)
**Overall, the Philippines discourages actions that could lead to violence and war by penalizing those who incite conflict or reprisals.** Here are some resources for further information:
* Revised Penal Code of the Philippines - Article 118: [invalid URL article 118 of the revised penal code ON The Lawphil Project lawphil.net]
* Commission on Human Rights of the Philippines (CHR): [https://www.chr.gov.ph/](https://www.chr.gov.ph/)</t>
  </si>
  <si>
    <t>What legal provisions govern the crime of unauthorized use or disclosure of privileged communications?</t>
  </si>
  <si>
    <t>In the Philippines, the crime of unauthorized use or disclosure of privileged communications is regulated by the Data Privacy Act of 2012 (Republic Act No. 10173). Let’s explore the relevant provisions:
**Protection of Privileged Communication:**
- Article 14, Section 13 of the Data Privacy Act addresses sensitive personal information and privileged information.
- It recognizes that personal information controllers may invoke the principle of privileged communication over privileged information that they lawfully control or process.
- Subject to existing laws and regulations, any evidence gathered on privileged information is inadmissible.
**Penalties for Unauthorized Disclosure:**
- Unauthorized disclosure of personal information not covered by the immediately preceding section without the consent of the data subject is punishable by:
- Imprisonment ranging from one (1) year to three (3) years.
- A fine of not less than ₱500,000 but not more than ₱1,000,000.</t>
  </si>
  <si>
    <t>Under what circumstances can a person be charged with the crime of sabotage against the government?</t>
  </si>
  <si>
    <t>The Philippines **doesn't have a single, specific law** that directly addresses "sabotage against the government." However, several existing laws and provisions can be used to prosecute actions that could be considered sabotage depending on the specific circumstances. Here's a breakdown of the relevant legal framework:
**Relevant Laws:**
* **Revised Penal Code (RPC):** * **Articles 146-148 (Rebellion):** These articles penalize acts of rebellion against the government's authority. While not directly sabotage, violent actions aimed at overthrowing the government could be considered under these provisions.
* **Articles 150-151 (Resistance and Disobedience to a Person in Authority):** These articles penalize resisting arrest or disobeying lawful orders from authorities, which could be relevant if sabotage involves obstructing law enforcement.
* **Article 185 (Falsification by a Private Individual) and Article 186 (Falsification by a Public Official):** These articles address tampering with or falsifying documents or evidence, which could be relevant if sabotage involves manipulating critical government information.
* **Presidential Decree No. 1829 (PD 1829):** This specific law penalizes acts that obstruct the apprehension, investigation, and prosecution of criminals. Actions that hinder investigations or prevent authorities from carrying out their duties could be considered under PD 1829.
**Key Points:**
* **Focus on Specific Acts:** The Philippines prosecutes actions based on the **specific acts** committed, not a general term like "sabotage." The focus is on the **impact** of the actions on the government's function or its ability to maintain order.
* **Severity and Intent:** The severity of the offense and the **intent** behind the actions are crucial factors. Someone accidentally damaging government property wouldn't be charged with sabotage, but deliberately tampering with critical infrastructure could be.
**Examples:**
* **Destroying Public Infrastructure:** Someone intentionally damaging bridges, power grids, or communication towers could be charged under the RPC or PD 1829 depending on the severity.
* **Hacking Government Systems:** Individuals who hack into government computer systems and disrupt critical operations could be charged with violations related to computer crimes or falsification.
* **Violent Acts Against Government:** Acts of rebellion or terrorism aimed at disrupting government functions or harming officials would likely fall under the RPC's provisions on rebellion.
**Overall, the Philippines has a legal framework to address various actions that could be considered sabotage against the government. The specific laws applied depend on the nature of the act, its impact, and the offender's intent.**
Here are some resources for further information:
* Revised Penal Code of the Philippines: [invalid URL article 18 of the revised penal code ON The Lawphil Project lawphil.net]
* Presidential Decree No. 1829: [https://lawphil.net/statutes/presdecs/pd1981/pd_1829_1981.html](https://lawphil.net/statutes/presdecs/pd1981/pd_1829_1981.html)</t>
  </si>
  <si>
    <t>How does the law address incidents of tampering with vital public utilities and its legal consequences?</t>
  </si>
  <si>
    <t>The Philippines has several laws that address tampering with vital public utilities and the legal consequences can be severe. Here's a breakdown:
Relevant Laws:
Revised Penal Code (RPC):
Article 179: Penalizes the crime of "Destructive Arson" which involves causing damage through fire to any public utility, such as:
"Factories, machinery, warehouses or storehouses, archives, libraries, museums, vessels, and other buildings devoted to public use."
"Bridges, dikes, dams, and aqueducts; power, light, and telegraph lines; telephone or radio stations; airports, railroads, and their facilities."
Article 318: Addresses the crime of "Mischief" which applies to:
"Causing damage to property belonging to another."
Specific Penalties:
Destructive Arson (Article 179): Depending on the resulting damage, the penalty can range from:
Reclusion perpetua to death: If death results or injuries occur.
Reclusion temporal: For causing significant damage.
Prision mayor: For causing minor damage.
Mischief (Article 318): The penalty varies based on the value of the damage caused:
Prision correccional in its minimum and medium periods: If the damage exceeds 5,000 pesos but doesn't exceed 30,000 pesos.
Destierro: If the damage exceeds 300 pesos but doesn't exceed 5,000 pesos.
Additional Considerations:
Specific Laws: Certain utilities might have additional regulations addressing tampering.
For instance, the Philippine Clean Water Act (RA 9275) penalizes acts causing pollution in water sources.
Cybersecurity Law: Tampering with vital public utilities through hacking or similar electronic means might also fall under the Cybercrime Prevention Act (RA 10175).
Legal Consequences:
Individuals found guilty of tampering with vital public utilities face imprisonment and hefty fines depending on the specific offense and the resulting damage.
Additionally, they might be liable for civil damages to compensate for the cost of repairs and potential disruptions caused.</t>
  </si>
  <si>
    <t>What penalties apply for engaging in the crime of unauthorized possession and use of classified documents?</t>
  </si>
  <si>
    <t>The Philippines does not have a single law that directly addresses "unauthorized possession and use of classified documents." However, there are several existing laws and regulations that can be used to prosecute such actions, with penalties varying depending on the severity of the offense and the offender's status. Here's a breakdown:
**Relevant Laws and Regulations:**
* **Executive Order No. 608 (EO 608):** This executive order focuses on the classification and protection of classified information. It doesn't specify penalties but emphasizes the importance of safeguarding classified documents.
* **Revised Penal Code (RPC):** Certain articles can be applied in some cases:
* **Article 18 (Accessory Liability):** This applies if someone assists another person (e.g., a spy) in possessing or using classified documents. Penalty depends on the principal offense. * **Article 217 (Violation of Secrets):** This applies if someone reveals classified information to unauthorized individuals. Penalty can be imprisonment and fines. * **Memorandum Circular No. 78 of 1964:** This circular from the Office of the President outlines guidelines for handling classified information. While not imposing direct penalties, it highlights potential **administrative sanctions** for mishandling classified documents for government personnel.
**Key Considerations:**
* **Classification Level:** The severity of the offense depends on the classification level (Top Secret, Secret, Confidential) of the information accessed. * **Intention and Motive:** The person's **intent** (accidental or deliberate) and **motive** (personal gain, espionage) are crucial factors.
* **Offender Status:** The penalties can differ based on whether the offender is a **government official** entrusted with classified information or a **private citizen**. **Potential Penalties:**
* **Government Officials:**
* **Disciplinary Actions:** Depending on the agency's regulations, this could involve suspension, termination, or criminal charges.
* **Criminal Charges (RPC):** Depending on the circumstances, imprisonment and fines could be imposed under articles like accessory liability or violation of secrets.
* **Private Citizens:**
* **Criminal Charges (RPC):** If found guilty, imprisonment and fines could be imposed under articles like accessory liability or violation of secrets.
**Overall, the Philippines takes unauthorized access and use of classified documents seriously. While there's no single law with a specific penalty, existing legal frameworks can impose significant consequences on both government officials and private citizens who engage in such activities.**
Here are some resources for further information:
* Executive Order No. 608: [https://www.officialgazette.gov.ph/2007/03/30/executive-order-no-608-s-2007/](https://www.officialgazette.gov.ph/2007/03/30/executive-order-no-608-s-2007/)
* Revised Penal Code of the Philippines: [invalid URL article 18 of the revised penal code ON The Lawphil Project lawphil.net]
* Office of the President - Memorandum Circular No. 78: (Source not publicly available online, government websites might have archived versions)</t>
  </si>
  <si>
    <t>How is the offense of harboring or concealing persons guilty of subversion defined and punished under Philippine law?</t>
  </si>
  <si>
    <t>The Philippines **doesn't have a specific law** that directly addresses "harboring or concealing persons guilty of subversion." However, existing laws can be applied to prosecute such actions depending on the specific circumstances of the "subversive act" and the intent behind harboring the person.
Here's a breakdown of the relevant legal framework:
**Revised Penal Code (RPC) Provisions:**
* **Article 146-148 (Rebellion):** These articles focus on rebellion against the government's authority. If the person being harbored is someone who has committed acts defined as rebellion (e.g., taking up arms against the government), then harboring them could be considered **accessory liability** under:
* **Article 18:** This article applies to those who assist criminals after the crime is committed. The penalty would depend on the severity of the rebellion (principal offense).
* **Article 118 (Inciting to War or Giving Motives for Reprisals):** If the person being harbored is involved in actions like inciting to overthrow the government (even peacefully), then harboring them might be viewed as aiding this act, which is a crime under this article.
**Presidential Decree No. 1829 (PD 1829):**
* **Section 3(c):** This section penalizes acts of harboring or concealing anyone you know or have reasonable ground to believe has committed any offense to prevent their arrest, prosecution, and conviction. This could be applied if the person being harbored is wanted for subversion-related crimes defined under other laws.
**Key Considerations:**
* **Nature of Subversive Act:** The specific act considered "subversion" is crucial. If it involves violent rebellion, different laws apply compared to someone advocating for peaceful political change that the government might deem subversive. * **Knowledge and Intent:** The person harboring the fugitive must be aware that the person is wanted for subversion-related offenses and must intend to hinder their capture. Someone unknowingly offering shelter wouldn't be liable.
**Overall, while there's no single law for harboring those guilty of subversion, the Philippines has legal tools to address such situations through accessory liability, inciting to war, and obstruction of justice laws.** Here are some resources for further information:
* Revised Penal Code of the Philippines: [invalid URL article 18 of the revised penal code ON The Lawphil Project lawphil.net]
* Presidential Decree No. 1829: [https://lawphil.net/statutes/presdecs/pd1981/pd_1829_1981.html](https://lawphil.net/statutes/presdecs/pd1981/pd_1829_1981.html)
* Department of Justice (DOJ): [https://www.doj.gov.ph/](https://www.doj.gov.ph/)</t>
  </si>
  <si>
    <t>What legal measures exist to combat the crime of destabilization or inciting to sedition?</t>
  </si>
  <si>
    <t>The Philippines has various legal measures in place to address destabilization and incitement to sedition, aiming to maintain national security and public order. Here's a breakdown of the relevant laws and potential consequences:
Key Legislation:
Revised Penal Code (RPC):
Article 142: Focuses on "Inciting to Sedition":
Penalizes individuals who, without directly participating, incite others to:
Upset the government or overthrow its institutions.
Create a serious disturbance or public disorder.
Attack government forces.
Article 146: Addresses the crime of "Rebellion":
Penalizes those who rise publicly and take up arms against the government.
Presidential Decree No. 1834 (Amending Article 142):
Strengthens the provisions related to inciting to sedition by including:
Penalties for using speeches, proclamations, writings, or other forms of communication to incite rebellion or sedition.
Penalizing the concealment of such activities.
Legal Measures:
Law enforcement agencies: Philippine National Police (PNP) and National Bureau of Investigation (NBI) are tasked with investigating and apprehending individuals suspected of inciting sedition or engaging in activities aiming to destabilize the government.
Gathering evidence: Authorities can utilize various methods to gather evidence, including monitoring social media activities, gathering witness testimonies, and analyzing communication channels.
Prosecution: If sufficient evidence exists, the case will be presented in court.
Penalties:
Inciting to Sedition (Article 142): Imprisonment ranging from reclusion perpetua to death.
Rebellion (Article 146): Similar penalty range as inciting to sedition.</t>
  </si>
  <si>
    <t>Under what circumstances can a person be charged with the crime of rebellion or insurrection against the government?</t>
  </si>
  <si>
    <t>In the Philippines, the crime of rebellion or insurrection against the government is defined in the Revised Penal Code (RPC) Articles 146 to 148. Here's a breakdown of the key points:
**Elements of the Crime:**
* **Open and Armed Uprising:** The act must involve an **open and armed uprising** against the government's authority. Peaceful protests or expressing dissent wouldn't fall under this category.
* **Using Force or Violence:** The act must involve the use of **force or violence** to overthrow the government or to resist its execution of laws.
* **Purpose of Uprising:** The uprising must aim to remove control from the government or a part of it, secede from the country, or deprive the government of its legitimate powers.
**Degrees of Rebellion:**
The RPC distinguishes between two degrees of rebellion:
* **Simple Rebellion (Article 146):** This is the lesser offense and applies to those who directly participate in the armed uprising. The penalty involves imprisonment ranging from **reclusion temporal medium** (12 years and 1 day to 14 years and 8 months) to **reclusion temporal maximum** (14 years and 8 months to 17 years and 4 months).
* **Complex Rebellion (Article 148):** This is the more serious offense and applies to leaders, instigators, or those who induce others to join the rebellion. The penalty can be as harsh as **reclusion perpetua** (life imprisonment).
**Important Considerations:**
* **Motive and Intent:** While rebellion involves forceful action, the **motive and intent** behind the uprising are also considered. Fighting for genuine grievances or social change might be viewed differently than a violent attempt to seize power for personal gain.
* **Scale of Uprising:** The **scale** of the rebellion also matters. A small, localized uprising with minimal impact might be treated differently than a widespread and well-coordinated attempt to overthrow the government.
**Overall, the Philippines takes rebellion and insurrection seriously. These are considered major offenses with significant penalties to deter individuals from using violence to overthrow the government.**
Here are some resources for further information:
* Revised Penal Code of the Philippines - Articles 146-148: [invalid URL article 18 of the revised penal code ON The Lawphil Project lawphil.net]
* Supreme Court of the Philippines: [https://sc.judiciary.gov.ph/](https://sc.judiciary.gov.ph/)</t>
  </si>
  <si>
    <t>How does the law address incidents of unauthorized disclosure of confidential information and its legal consequences?</t>
  </si>
  <si>
    <t>The Philippines has several laws that address the unauthorized disclosure of confidential information, emphasizing the importance of data privacy and information security. Here's a breakdown of the relevant legal framework and potential consequences:
Key Legislation:
Republic Act No. 10173 (Data Privacy Act of 2012):
This comprehensive law safeguards the processing of personal information.
It outlines various provisions regarding:
Consent: Personal information must be processed with the individual's informed consent.
Security safeguards: Organizations must implement appropriate security measures to protect personal information from unauthorized access, use, or disclosure.
Data breaches: Entities must notify affected individuals and the National Privacy Commission (NPC) in case of any data breaches.
Revised Penal Code (RPC):
Article 265: Addresses the crime of "Espionage":
Penalizes the unlawful gathering, possession, or disclosure of classified information.
Article 318: Focuses on the crime of "Mischief":
Applicable in situations where the disclosure of confidential information, although not classified, causes damage or prejudice.
Other Relevant Laws:
Special laws might apply depending on the nature of the information disclosed.
For instance, unauthorized disclosure of medical records might fall under specific regulations related to patient privacy.
Legal Consequences:
Data Privacy Act (RA 10173):
The National Privacy Commission (NPC) has the authority to impose administrative sanctions, including:
Cease and desist orders: Prohibiting the further processing of personal information.
Fines: Ranging from P500,000 to P5,000,000 depending on the nature of the violation.
Revised Penal Code (RPC):
Espionage (Article 265): Carries a penalty of reclusion temporal maximum to reclusion perpetua.
Mischief (Article 318): The penalty varies based on the extent of the damage caused (refer to previous explanation).</t>
  </si>
  <si>
    <t>What penalties are imposed for committing the crime of espionage involving the transmission of sensitive information to foreign governments?</t>
  </si>
  <si>
    <t>Philippine law penalizes espionage involving the transmission of sensitive information to foreign governments under the following main legislation:
* **Revised Penal Code (RPC):**
* **Article 82:** Espionage - This article penalizes the act of spying for a foreign power and transmitting information that could harm the national security of the Philippines. The penalty can be **reclusion perpetua (life imprisonment)** to death.
**Additionally, other laws might be applicable depending on the specific nature of the information transmitted:**
* **Republic Act No. 6235 or the Anti-Wiretapping Act:** This law penalizes the unauthorized interception and disclosure of communication signals. If the intercepted information is then transmitted to a foreign government, it can be used to strengthen the espionage case under the RPC.
* **Republic Act No. 10175 or the Cybercrime Prevention Act of 2012 (CPA):** This law penalizes certain cybercrimes, including:
* **Section 12:** Illegal Access - This applies if the espionage involved gaining unauthorized access to a computer system to steal sensitive information.
* **Section 14:** Data Interference - This applies if the espionage involved the modification or destruction of sensitive data.
**Penalties under these laws can range from imprisonment of a few months to several years, depending on the specific violation.**
**Important to Note:**
* Espionage is a serious crime that can threaten national security. The specific penalties will depend on the severity of the offense, the type of information transmitted, and the potential damage caused.
* Philippine law also recognizes the concept of "classified information." The unauthorized disclosure of classified information can result in additional penalties under specific laws or executive issuances.
**Recommendation:**
For a more comprehensive understanding of the potential penalties and applicable laws in a specific espionage case, consulting a lawyer specializing in national security or cybercrime is recommended.</t>
  </si>
  <si>
    <t>How is the offense of harboring or concealing persons guilty of terrorism defined and punished?</t>
  </si>
  <si>
    <t>In the Philippines, the offense of harboring or concealing persons guilty of terrorism is primarily addressed under Republic Act No. 11479, or the Anti-Terrorism Act of 2020. This law provides definitions and penalties for various acts related to terrorism, including harboring or concealing terrorists or persons involved in terrorist activities.
1. **Definition of the Offense:**
Harboring or concealing persons guilty of terrorism refers to the act of knowingly providing refuge, shelter, or assistance to individuals who are involved in terrorist activities. This offense encompasses aiding or abetting terrorists by providing them with safe havens, logistical support, or other forms of assistance to evade capture or prosecution.
2. **Penalties:**
Under the Anti-Terrorism Act of 2020, the penalties for harboring or concealing persons guilty of terrorism are severe. Anyone found guilty of this offense may face imprisonment ranging from twelve years to twenty years without the benefit of parole.
3. **Aggravating Circumstances:**
The law also provides for enhanced penalties if aggravating circumstances are present. For example, if the offense is committed by public officials or law enforcement personnel, or if it involves the use of public resources or facilities, the penalties may be increased.
4. **Confiscation of Assets:**
In addition to imprisonment, the law allows for the confiscation of assets and properties used in the commission of the offense. This includes assets or properties acquired through the proceeds of harboring or concealing terrorists.
5. **Other Legal Consequences:**
Individuals convicted of harboring or concealing persons guilty of terrorism may also face other legal consequences, such as being designated as terrorists themselves or being subject to surveillance, monitoring, or other law enforcement measures.
It's important to note that the Anti-Terrorism Act of 2020 has faced scrutiny and criticism from various sectors regarding its provisions on human rights and civil liberties. However, as of my last update in January 2022, the law remains in effect. Anyone accused of harboring or concealing persons guilty of terrorism is entitled to due process and legal representation, and it's advisable to seek assistance from a qualified lawyer for legal advice and representation.</t>
  </si>
  <si>
    <t>What legal provisions govern the crime of obstruction of government operations and its legal consequences?</t>
  </si>
  <si>
    <t>The Philippine Revised Penal Code addresses the offense of obstruction of government operations. Let’s explore the relevant legal provisions and penalties:
**Obstruction of Justice (PD 1829):**
Article 1429 of the Revised Penal Code defines obstruction of justice. It applies to any person who knowingly or willfully obstructs, impedes, frustrates, or delays the apprehension of suspects and the investigation and prosecution of criminal cases by committing any of the following acts:
1. Resisting or seriously disobeying any person in authority or their agents.
2. Refusing to be a witness or provide evidence.
3. Preventing witnesses from testifying.
4. Tampering with evidence.
5. Harboring or concealing criminals.
**Penalties:**
The penalty for obstruction of justice is prision correccional in its maximum period or a fine ranging from ₱1,000 to ₱6,000, or both, at the discretion of the court.</t>
  </si>
  <si>
    <t>Under what circumstances can a person be charged with the crime of unauthorized disclosure of classified documents to unauthorized persons?</t>
  </si>
  <si>
    <t>In the Philippines, unauthorized disclosure of classified documents to unauthorized persons is a serious offense punishable by law. Here's a breakdown of the relevant circumstances and legal consequences:
Key Legislation:
Revised Penal Code (RPC):
Article 265 (Espionage): This primary law directly addresses the unauthorized disclosure of classified information. It penalizes individuals who:
Gather: Acquire classified information without lawful authority.
Possess: Have classified information in their control without authorization.
Deliver: Transmit classified information to unauthorized persons.
Publish: Make classified information public through any means.
Elements of the Crime:
For a person to be charged under Article 265, the prosecution must prove the following elements:
Classified Information: The information disclosed must be classified as confidential or restricted by the government due to its sensitive nature and potential to harm national security.
Unauthorized Disclosure: The accused must have intentionally revealed or transmitted the classified information to someone without lawful authority to access it.
Knowledge of Classification: The accused must have been aware of the classified nature of the information they disclosed.
Circumstances Leading to Charges:
Sharing classified documents with individuals who lack the necessary security clearance.
Leaking classified information to the media or the public domain.
Selling or trading classified information to foreign entities or individuals.
Accidentally disclosing classified information due to gross negligence or mishandling (recklessness).
Increased Scrutiny for Government Officials:
Espionage Act (Republic Act No. 6770): This act strengthens the existing provisions on espionage, particularly for government officials who handle classified information.
Penalty for Espionage:
Reclusion temporal maximum to reclusion perpetua: This is a severe penalty range,
involving imprisonment for a minimum of 12 years and 1 day to a maximum of 40 years.</t>
  </si>
  <si>
    <t>What penalties apply for engaging in the crime of harboring or concealing individuals involved in espionage?</t>
  </si>
  <si>
    <t>Yes, harboring or concealing individuals involved in espionage is indeed a serious offense in the Philippines. As you mentioned, Article 1429 of the Revised Penal Code addresses obstruction of justice, which includes harboring or concealing criminals. This offense undermines national security and the integrity of government operations, making it punishable by imprisonment, as you stated. Preventing unauthorized disclosure of sensitive information is vital to safeguarding national interests and maintaining public safety.</t>
  </si>
  <si>
    <t>How is the offense of harboring or concealing individuals guilty of treason defined and punished?</t>
  </si>
  <si>
    <t>In the Philippines, the offense of harboring or concealing individuals guilty of treason is addressed under the Revised Penal Code (Act No. 3815), specifically under Title One on Crimes Against National Security and the Law of Nations.
1. **Definition of the Offense:**
Harboring or concealing individuals guilty of treason refers to the act of knowingly providing refuge, shelter, or assistance to persons who have committed treasonous acts against the Philippine government. Treason involves acts such as levying war against the government, adhering to enemies of the state, or giving aid or comfort to the enemies of the Philippines.
2. **Penalties:**
Under the Revised Penal Code, the penalty for treason is severe. Anyone found guilty of treason may face the penalty of reclusion perpetua to death. Reclusion perpetua is a prison term of 20 years and 1 day to 40 years, without the possibility of parole.
3. **Aggravating Circumstances:**
The penalty for treason may be increased if aggravating circumstances are present. For example, if the treason results in the death of the head of state or other high-ranking officials, or if it involves the use of destructive weapons or methods, the penalty may be enhanced.
4. **Confiscation of Assets:**
In addition to imprisonment, the court may order the confiscation of assets and properties acquired through treasonous activities or used in the commission of the offense.
5. **Legal Consequences:**
Individuals convicted of harboring or concealing individuals guilty of treason may also face legal consequences, including imprisonment and confiscation of assets. Additionally, they may be subject to surveillance, monitoring, or other law enforcement measures.
It's important to note that treason is a grave offense under Philippine law, and individuals accused of this offense are entitled to due process and legal representation. It's advisable to seek assistance from a qualified lawyer for legal advice and representation if facing charges related to treason or harboring individuals guilty of treason.</t>
  </si>
  <si>
    <t>What legal measures exist to combat the crime of sabotage against vital public utilities?</t>
  </si>
  <si>
    <t>The Philippines has a strong legal framework to combat sabotage against vital public utilities, recognizing the critical role these infrastructures play in national well-being. Here's a breakdown of the relevant measures:
Primary Legislations:
Revised Penal Code (RPC):
Article 179 (Destructive Arson): This law directly addresses intentional damage caused by fire to various public utilities, including:
Power lines, transformers, and other electricity infrastructure.
Water treatment plants, pipelines, and reservoirs.
Communication facilities like telephone lines, radio stations, and cell towers.
Article 318 (Mischief): This broader provision applies to situations where someone damages property belonging to another, encompassing:
Vandalism causing disruption to utilities.
Tampering with essential components leading to malfunctions.
Specific Penalties:
Destructive Arson (Article 179): The penalty varies depending on the resulting damage:
Reclusion perpetua to death: Applicable in cases with fatalities or severe injuries.
Reclusion temporal: For causing significant damage to the utility infrastructure.
Prision mayor: For causing minor damage.
Mischief (Article 318): The penalty depends on the value of the damage:
Prision correccional in its minimum and medium periods: If the damage exceeds 5,000 pesos but doesn't exceed 30,000 pesos.
Destierro: If the damage exceeds 300 pesos but doesn't exceed 5,000 pesos.
Additional Considerations:
Specific Laws: Certain utilities might have additional regulations addressing sabotage.
Clean Water Act (RA 9275): Penalizes acts causing water source pollution, which could be a consequence of sabotaging water treatment plants.
Cybersecurity Law: Tampering with vital public utilities through hacking or similar electronic means might fall under the Cybercrime Prevention Act (RA 10175).</t>
  </si>
  <si>
    <t>Under what circumstances can a person be charged with the crime of unauthorized possession and use of classified documents?</t>
  </si>
  <si>
    <t>In the Philippines, unauthorized possession and use of classified documents is a severe offense with strict legal consequences. Here's a breakdown of the relevant circumstances and potential charges:
Key Legislation:
Revised Penal Code (RPC):
Article 265 (Espionage): This primary law directly addresses the unauthorized handling of classified information. It penalizes individuals who:
Gather: Acquire classified information without lawful authority.
Possess: Have classified information in their control without authorization.
Deliver: Transmit classified information to unauthorized persons.
Publish: Make classified information public through any means.
Elements of the Crime:
For a person to be charged under Article 265, the prosecution must prove the following:
Classified Documents: The documents involved must be officially designated as classified information due to their sensitive nature and potential to harm national security.
Unauthorized Possession: The accused must be in control of the classified documents without lawful authority or proper security clearance.
Knowledge of Classification: The accused must have been aware of the classified nature of the documents they possessed.
Circumstances Leading to Charges:
Stealing classified documents: This constitutes both unauthorized gathering and possession.
Finding and retaining lost or misplaced classified documents: Failing to report the discovery and surrendering the documents to the proper authorities can be considered illegal possession.
Accessing classified documents beyond one's authorized scope: An individual with security clearance for a specific level of classified information exceeding their access level and possessing such documents unlawfully would be liable.
Using classified documents for personal gain or unauthorized purposes: This can encompass activities like selling the information, using it to blackmail someone, or even using it for personal research outside the authorized context.
Increased Scrutiny for Government Officials:
Espionage Act (Republic Act No. 6770): This act strengthens the existing provisions on espionage, particularly for government officials who handle classified information. It emphasizes their responsibility to safeguard classified documents and imposes harsher penalties for mishandling.
Penalty for Espionage:
Reclusion temporal maximum to reclusion perpetua: This is a severe penalty range,
involving imprisonment for a minimum of 12 years and 1 day to a maximum of 40 years.</t>
  </si>
  <si>
    <t>How does the law address incidents of tampering with essential government infrastructure and its legal consequences?</t>
  </si>
  <si>
    <t>In the Philippines, incidents of tampering with essential government infrastructure are addressed under various laws and regulations, depending on the specific nature of the offense. Legal consequences for such acts can vary based on the severity of the tampering and the potential impact on public safety, security, or the functioning of government services. Here's an overview:
1. **Criminal Code Provisions:**
- Tampering with essential government infrastructure may constitute offenses under the Revised Penal Code, such as malicious mischief (Article 327) or destruction of public property (Article 327).
- Penalties for these offenses may include imprisonment and fines, depending on the value of the damage caused and other aggravating circumstances.
2. **Anti-Terrorism Act of 2020:**
- Acts of sabotage or terrorism targeting essential government infrastructure may be prosecuted under the Anti-Terrorism Act of 2020 (Republic Act No. 11479).
- Penalties under this law can be severe, including imprisonment ranging from twelve years to life imprisonment without the possibility of parole, as well as fines and other legal consequences.
3. **Other Relevant Laws:**
- Various other laws and regulations may also apply depending on the specific type of infrastructure involved. For example, tampering with transportation infrastructure may be addressed under laws governing transportation safety and security, while tampering with communication infrastructure may be addressed under laws governing telecommunications.
- Penalties and legal consequences under these laws may vary but often include provisions for criminal prosecution, fines, and other sanctions.
4. **Civil Liability:**
- In addition to criminal penalties, individuals or entities responsible for tampering with essential government infrastructure may be held civilly liable for damages caused.
- Civil lawsuits may be filed to seek compensation for the costs of repairing or replacing damaged infrastructure, as well as for any other economic or non-economic losses incurred as a result of the tampering.
It's important to note that the legal consequences for tampering with essential government infrastructure can be severe, and individuals or entities accused of such offenses are entitled to due process and legal representation. It's advisable to seek assistance from a qualified lawyer for legal advice and representation if facing charges related to tampering with essential government infrastructure. Additionally, preventing and addressing such incidents often involves collaboration among law enforcement agencies, government authorities, and relevant stakeholders to ensure the safety, security, and integrity of critical infrastructure.</t>
  </si>
  <si>
    <t>What penalties are imposed for committing the crime of unauthorized disclosure of privileged communications?</t>
  </si>
  <si>
    <t>In the Philippines, the unauthorized disclosure of privileged communications is generally addressed under the provisions of the Revised Penal Code and other relevant laws. The penalties for committing this crime may vary depending on the specific circumstances and the laws applicable to the case. Here's an overview:
1. **Revised Penal Code (RPC):**
- Unauthorized disclosure of privileged communications may fall under the provisions of the RPC, particularly under crimes such as revelation of secrets (Article 291) or violation of domicile (Article 129).
- Penalties under these provisions may include imprisonment and fines, depending on the nature and severity of the disclosure and other aggravating circumstances.
2. **Data Privacy Act of 2012 (Republic Act No. 10173):**
- In cases involving the unauthorized disclosure of personal or sensitive information, including privileged communications, the Data Privacy Act of 2012 may apply.
- Under this law, individuals or entities found guilty of unauthorized disclosure of personal data may face imprisonment ranging from one year to six years and/or fines ranging from ₱500,000 to ₱5,000,000, depending on the specific provisions violated.
3. **Other Relevant Laws:**
- Depending on the nature of the privileged communications involved, other laws and regulations may also apply. For example, certain professions or industries may have specific rules or codes of conduct governing the handling and disclosure of privileged information, and violations of these rules may result in professional sanctions or other penalties.
4. **Civil Liability:**
- In addition to criminal penalties, individuals or entities responsible for the unauthorized disclosure of privileged communications may also be held civilly liable for damages caused.
- Civil lawsuits may be filed to seek compensation for any harm or losses suffered as a result of the unauthorized disclosure, including damages for reputational harm, financial losses, or other injuries.
It's important to note that the unauthorized disclosure of privileged communications is a serious offense that can have legal and reputational consequences. Individuals or entities accused of this crime are entitled to due process and legal representation. It's advisable to seek assistance from a qualified lawyer for legal advice and representation if facing charges related to the unauthorized disclosure of privileged communications. Additionally, preventing unauthorized disclosure often involves implementing appropriate security measures, training, and compliance with relevant laws and regulations.</t>
  </si>
  <si>
    <t>How is the offense of harboring or concealing individuals involved in destabilization defined and punished?</t>
  </si>
  <si>
    <t>In the Philippines, the offense of harboring or concealing individuals involved in destabilization is addressed under various laws and regulations, depending on the specific circumstances of the offense. The term "destabilization" typically refers to acts aimed at overthrowing or undermining the government or causing political unrest. Here's an overview of how this offense may be defined and punished:
1. **National Security Laws:**
- Acts of harboring or concealing individuals involved in destabilization may be prosecuted under national security laws, such as the Revised Penal Code (RPC) or the Human Security Act of 2007 (Republic Act No. 9372), which addresses acts of terrorism and related offenses.
2. **Revised Penal Code (RPC):**
- The RPC contains provisions related to crimes against public order, such as rebellion (Article 134) or inciting to sedition (Article 142), which may encompass acts of destabilization.
- Penalties under these provisions may include imprisonment and fines, depending on the nature and severity of the offense and other aggravating circumstances.
3. **Anti-Terrorism Act of 2020:**
- The Anti-Terrorism Act of 2020 (Republic Act No. 11479) provides for measures to prevent and combat terrorism, including offenses related to conspiracy to commit terrorism or provide support to terrorists.
- Harboring or concealing individuals involved in acts of terrorism or destabilization may be prosecuted under this law, with penalties including imprisonment ranging from twelve years to life imprisonment without the possibility of parole, as well as fines and other legal consequences.
4. **Other Relevant Laws:**
- Depending on the specific nature of the destabilization activities involved, other laws and regulations may also apply. For example, violations of election laws, sedition, or incitement to violence may be prosecuted under relevant statutes.
5. **Civil Liability:**
- In addition to criminal penalties, individuals or entities responsible for harboring or concealing individuals involved in destabilization may also be held civilly liable for damages caused.
- Civil lawsuits may be filed to seek compensation for any harm or losses suffered as a result of the destabilization activities, including damages for reputational harm, financial losses, or other injuries.
It's important to note that the offense of harboring or concealing individuals involved in destabilization is a serious matter with potential legal and social consequences. Individuals or entities accused of this offense are entitled to due process and legal representation. It's advisable to seek assistance from a qualified lawyer for legal advice and representation if facing charges related to harboring or concealing individuals involved in destabilization. Additionally, preventing and addressing destabilization often involves collaboration among law enforcement agencies, government authorities, and relevant stakeholders to maintain peace, security, and stability.</t>
  </si>
  <si>
    <t>What legal provisions govern the crime of obstruction of government operations through cyberattacks and its legal consequences?</t>
  </si>
  <si>
    <t>In the Philippines, the crime of obstruction of government operations through cyberattacks is addressed under various laws and regulations, particularly those related to cybercrime, national security, and public order. Here are the key legal provisions and their corresponding legal consequences:
1. **Cybercrime Prevention Act of 2012 (Republic Act No. 10175):**
- The Cybercrime Prevention Act of 2012 contains provisions related to various cybercrimes, including offenses that disrupt computer systems, data networks, or critical infrastructure.
- Under this law, cyberattacks that obstruct government operations, such as Distributed Denial of Service (DDoS) attacks targeting government websites or networks, may be prosecuted.
- Penalties under the Cybercrime Prevention Act may include imprisonment and fines, depending on the specific offense committed and other aggravating circumstances.
2. **Anti-Terrorism Act of 2020 (Republic Act No. 11479):**
- The Anti-Terrorism Act of 2020 provides measures to prevent and combat terrorism, including offenses related to cyberterrorism or cyberattacks aimed at obstructing government operations.
- Cyberattacks that disrupt government services, critical infrastructure, or national security may be prosecuted under this law.
- Penalties under the Anti-Terrorism Act may include imprisonment ranging from twelve years to life imprisonment without the possibility of parole, as well as fines and other legal consequences.
3. **Revised Penal Code (RPC):**
- The RPC contains provisions related to crimes against public order and national security, such as rebellion (Article 134) or inciting to sedition (Article 142), which may encompass acts of cyberattacks aimed at obstructing government operations.
- Penalties under the RPC may include imprisonment and fines, depending on the specific offense committed and other aggravating circumstances.
4. **Data Privacy Act of 2012 (Republic Act No. 10173):**
- The Data Privacy Act of 2012 contains provisions related to the protection of personal data and information.
- Cyberattacks that involve unauthorized access to government databases or the unauthorized disclosure of sensitive government information may violate this law.
- Penalties under the Data Privacy Act may include imprisonment ranging from one year to six years and/or fines ranging from ₱500,000 to ₱5,000,000, depending on the specific provisions violated.
5. **Other Relevant Laws:**
- Depending on the specific nature of the cyberattacks and their impact on government operations, other laws and regulations may also apply. These may include laws related to national security, telecommunications, or critical infrastructure protection.
It's important to note that the legal consequences for obstruction of government operations through cyberattacks can be severe, given the potential impact on public safety, security, and the functioning of government services. Individuals or entities accused of such offenses are entitled to due process and legal representation. It's advisable to seek assistance from a qualified lawyer for legal advice and representation if facing charges related to obstruction of government operations through cyberattacks. Additionally, preventing and addressing cyberattacks often involves collaboration among law enforcement agencies, government authorities, and relevant stakeholders to ensure the security and integrity of digital infrastructure and services.</t>
  </si>
  <si>
    <t>Under what circumstances can a person be charged with the crime of harboring or concealing individuals guilty of subversion?</t>
  </si>
  <si>
    <t>It's important to note that while subversion is indeed a serious offense, the specific penalties for harboring or concealing individuals guilty of subversion may vary depending on the circumstances of the case and the discretion of the court. Additionally, the severity of the penalties may be influenced by factors such as the level of involvement, the extent of harm caused, and the potential threat to national security.
The legal provisions regarding subversion and related offenses are aimed at safeguarding the integrity of the government and preserving national security. Therefore, individuals should refrain from engaging in activities that undermine the established authority and seek to destabilize the country's governance structure. Compliance with the law is essential to maintaining peace, order, and stability within the nation.</t>
  </si>
  <si>
    <t>How does the law address incidents of unauthorized possession and use of classified documents and its legal consequences?</t>
  </si>
  <si>
    <t>In the Philippines, incidents of unauthorized possession and use of classified documents are addressed under various laws and regulations, particularly those related to national security, information security, and data privacy. Unauthorized possession and use of classified documents may involve accessing, acquiring, or disseminating sensitive or confidential information without proper authorization. Here's how the law typically addresses such incidents and their legal consequences:
1. **National Security Laws:**
- Unauthorized possession and use of classified documents may constitute violations of national security laws, such as the Revised Penal Code (RPC) or the National Security Act.
- Under these laws, individuals or entities found guilty of unauthorized possession and use of classified documents may face criminal prosecution and penalties, including imprisonment and fines, depending on the specific offense committed and other aggravating circumstances.
2. **Official Secrets Act:**
- While the Philippines does not have a specific "Official Secrets Act" like some other countries, provisions related to the protection of classified information may be found in various laws, regulations, and government policies.
- Unauthorized possession and use of classified documents may be prosecuted under relevant provisions of existing laws and regulations governing government secrecy, confidentiality, and national security.
3. **Data Privacy Act of 2012 (Republic Act No. 10173):**
- The Data Privacy Act of 2012 contains provisions related to the protection of personal data and information, including sensitive or confidential information held by government agencies or private entities.
- Unauthorized possession and use of classified documents that contain personal or sensitive information may violate this law.
- Penalties under the Data Privacy Act may include imprisonment ranging from one year to six years and/or fines ranging from ₱500,000 to ₱5,000,000, depending on the specific provisions violated.
4. **Other Relevant Laws:**
- Depending on the nature and content of the classified documents involved, other laws and regulations may also apply. These may include laws related to information security, intellectual property, or government transparency and accountability.
5. **Civil Liability:**
- In addition to criminal penalties, individuals or entities responsible for unauthorized possession and use of classified documents may also be held civilly liable for damages caused.
- Civil lawsuits may be filed to seek compensation for any harm or losses suffered as a result of the unauthorized possession and use of classified documents, including damages for reputational harm, financial losses, or other injuries.
It's important to note that the legal consequences for unauthorized possession and use of classified documents can be severe, given the potential impact on national security, public safety, and individual privacy rights. Individuals or entities accused of such offenses are entitled to due process and legal representation. It's advisable to seek assistance from a qualified lawyer for legal advice and representation if facing charges related to unauthorized possession and use of classified documents. Additionally, preventing and addressing such incidents often involves implementing appropriate security measures, training, and compliance with relevant laws and regulations.</t>
  </si>
  <si>
    <t>What penalties apply for engaging in the crime of unauthorized disclosure of confidential information to unauthorized persons?</t>
  </si>
  <si>
    <t>The penalties for unauthorized disclosure of confidential information in the Philippines depend on the nature of the information disclosed, the context of the situation, and the specific laws involved. Here's a breakdown of the potential consequences:
Data Privacy Act (RA 10173):
This act focuses on protecting personal information. Unauthorized disclosure can lead to:
Administrative sanctions by the National Privacy Commission (NPC):
Cease and desist orders: Prohibiting further processing of the information.
Fines: Ranging from P500,000 to P5,000,000 depending on the nature and severity of the violation.
Revised Penal Code (RPC):
Article 265 (Espionage): Applies when classified information is involved. It penalizes:
Gathering classified information without authorization.
Possessing classified information without lawful authority.
Delivering classified information to unauthorized persons. (Reclusion temporal maximum to reclusion perpetua: 12 years 1 day to 40 years imprisonment).
Publishing classified information.
Article 318 (Mischief): Addresses situations where the disclosure of non-classified confidential information causes damage or prejudice.
The penalty varies based on the extent of the damage:
Destierro: If the damage exceeds 300 pesos but doesn't exceed 5,000 pesos.
Prision correccional in its minimum and medium periods: If the damage is greater than 5,000 pesos but less than 30,000 pesos.</t>
  </si>
  <si>
    <t>How is the offense of harboring or concealing individuals involved in rebellion or insurrection defined and punished?</t>
  </si>
  <si>
    <t>In the Philippines, the offense of harboring or concealing individuals involved in rebellion or insurrection is primarily addressed under the Revised Penal Code (RPC), particularly under crimes against public order and crimes against the law of nations. Here's how the offense is defined and punished:
1. **Definition of the Offense:**
- Harboring or concealing individuals involved in rebellion or insurrection refers to the act of knowingly providing refuge, shelter, or assistance to persons who have committed or are involved in acts of rebellion or insurrection against the government.
- Rebellion involves acts of violence or armed resistance against the authority of the government, while insurrection refers to a rising against civil or political authority.
2. **Penalties under the Revised Penal Code:**
- Individuals found guilty of harboring or concealing individuals involved in rebellion or insurrection may be prosecuted under relevant provisions of the Revised Penal Code.
- Under the RPC, rebellion (Article 134) and insurrection (Article 136) are punishable by imprisonment ranging from reclusion perpetua (imprisonment for 20 years and 1 day to 40 years) to death, depending on the severity of the offense and other aggravating circumstances.
- Harboring or concealing individuals involved in rebellion or insurrection may be considered an act of aiding or abetting the rebellion or insurrection, and individuals found guilty may face similar penalties as those directly involved in the rebellion or insurrection.
3. **Other Legal Consequences:**
- In addition to criminal penalties, individuals or entities responsible for harboring or concealing individuals involved in rebellion or insurrection may also face other legal consequences, such as confiscation of assets or properties used in the commission of the offense.
- Civil liability may also apply, and individuals or entities may be held civilly liable for damages caused by their actions in harboring or concealing individuals involved in rebellion or insurrection.
It's important to note that the offense of harboring or concealing individuals involved in rebellion or insurrection is considered a serious offense against public order and national security. Individuals or entities accused of this offense are entitled to due process and legal representation. It's advisable to seek assistance from a qualified lawyer for legal advice and representation if facing charges related to harboring or concealing individuals involved in rebellion or insurrection. Additionally, preventing and addressing such incidents often involves collaboration among law enforcement agencies, government authorities, and relevant stakeholders to maintain peace, security, and stability.</t>
  </si>
  <si>
    <t>What legal measures exist to combat the crime of sabotage against government computer systems and networks?</t>
  </si>
  <si>
    <t>In the Philippines, several legal measures exist to combat the crime of sabotage against government computer systems and networks. These measures are primarily governed by the Cybercrime Prevention Act of 2012 (Republic Act No. 10175) and other related laws and regulations. Here's how these legal measures address the crime of sabotage against government computer systems and networks:
1. **Cybercrime Prevention Act of 2012 (RA 10175):**
- The Cybercrime Prevention Act of 2012 contains provisions aimed at preventing and combating various forms of cybercrimes, including sabotage against government computer systems and networks.
- Under this law, sabotage against government computer systems and networks is considered a criminal offense. It encompasses acts such as unauthorized access, interference, or disruption of government computer systems or networks with the intent to cause damage, disruption, or economic loss.
- Penalties under the Cybercrime Prevention Act may include imprisonment and fines, depending on the specific offense committed and other aggravating circumstances.
- The law also provides for the creation of specialized units within law enforcement agencies to investigate and prosecute cybercrimes, including sabotage against government computer systems and networks.
2. **Anti-Cybercrime Task Force:**
- The Philippine government has established specialized units, such as the Anti-Cybercrime Task Force, to address cybercrimes, including sabotage against government computer systems and networks.
- These task forces work in collaboration with other law enforcement agencies, government departments, and private sector partners to prevent, investigate, and prosecute cybercrimes effectively.
3. **Information Security Policies and Guidelines:**
- Government agencies are required to implement information security policies, guidelines, and protocols to safeguard their computer systems and networks against cyber threats, including sabotage.
- These policies may include measures such as access controls, encryption, regular security assessments, and incident response procedures to detect and mitigate cyber threats promptly.
4. **International Cooperation:**
- The Philippines participates in international efforts to combat cybercrimes and strengthen cybersecurity measures. This includes cooperation with other countries, international organizations, and law enforcement agencies to address transnational cyber threats effectively.
5. **Public Awareness and Education:**
- The government conducts public awareness campaigns and educational initiatives to raise awareness about cyber threats and promote cybersecurity best practices among government employees, private sector stakeholders, and the general public.
It's essential to note that combatting sabotage against government computer systems and networks requires a multi-faceted approach, involving legal, technical, and operational measures. Collaboration among government agencies, law enforcement authorities, the private sector, and other stakeholders is crucial to effectively prevent, detect, and respond to cyber threats and safeguard national security and public interests.</t>
  </si>
  <si>
    <t>Under what circumstances can a person be charged with the crime of unauthorized possession and use of confidential information?</t>
  </si>
  <si>
    <t>In the Philippines, a person can be charged with the crime of unauthorized possession and use of confidential information under various circumstances, particularly if they knowingly acquire, possess, or use confidential information without proper authorization. Here are some common scenarios where such charges may apply:
1. **Unauthorized Access:** If a person gains access to confidential information through unauthorized means, such as hacking into a computer system, accessing restricted files or databases, or bypassing security measures, they may be charged with unauthorized possession and use of confidential information.
2. **Misuse of Privileged Access:** If an individual with authorized access to confidential information misuses that access for unauthorized purposes, such as disclosing the information to unauthorized parties, using it for personal gain, or engaging in other prohibited activities, they may be charged with this offense.
3. **Breach of Confidentiality Agreements:** If a person breaches confidentiality agreements or contractual obligations by disclosing or using confidential information in violation of the terms of the agreement, they may be held liable for unauthorized possession and use of confidential information.
4. **Theft or Unauthorized Acquisition:** If a person obtains confidential information through theft, deception, or other unlawful means, they may be charged with unauthorized possession and use of confidential information.
5. **Improper Handling of Classified Information:** If a person entrusted with handling classified or sensitive government information fails to comply with security protocols or mishandles the information, resulting in unauthorized disclosure or use, they may be charged with this offense.
It's important to note that the specific circumstances and intent behind the unauthorized possession and use of confidential information will determine the likelihood of charges being filed and the severity of potential legal consequences. Additionally, laws governing the protection of confidential information may vary depending on the context, such as laws related to data privacy, intellectual property, national security, or professional standards and ethics.
Individuals accused of unauthorized possession and use of confidential information are entitled to due process and legal representation. It's advisable to seek assistance from a qualified lawyer for legal advice and representation if facing charges related to unauthorized possession and use of confidential information. Additionally, preventing such incidents often involves implementing appropriate security measures, training, and compliance with relevant laws and regulations governing the protection of confidential information.</t>
  </si>
  <si>
    <t>How does the law address incidents of unauthorized disclosure of classified documents to unauthorized persons and its legal consequences?</t>
  </si>
  <si>
    <t>It's crucial to emphasize that unauthorized disclosure of classified documents poses significant risks to national security and can have severe legal consequences. The penalties for such offenses are intended to deter individuals from engaging in activities that compromise sensitive information and undermine the integrity of government operations.
Furthermore, individuals entrusted with access to classified materials must adhere to strict protocols and guidelines to ensure the protection of such information. Any breach of these protocols, whether intentional or unintentional, can have serious ramifications.
By strictly enforcing legal provisions and penalties for unauthorized disclosure, authorities aim to safeguard national security interests and uphold the confidentiality of classified information. Compliance with these regulations is essential to maintaining public trust and confidence in government institutions.</t>
  </si>
  <si>
    <t>What penalties are imposed for committing the crime of harboring or concealing individuals involved in terrorism?</t>
  </si>
  <si>
    <t>In the Philippines, harboring or concealing individuals involved in terrorism is a serious offense and carries significant penalties. Here's a breakdown of the relevant laws and potential consequences:
Primary Legislation:
Revised Penal Code (RPC):
Article 180 (Favoring Desertion): This serves as the primary legal basis. It states:
"The penalty of prision mayor in its medium and maximum periods shall be imposed upon any person who, with knowledge of the fact, shall harbor or conceal, or afford any aid or comfort to, a deserter from the armed forces of the Philippines, or a person who has deserted from the armed forces of a foreign power."
Key Points:
Knowledge of Terrorism: The law emphasizes that the individual harboring the person must be aware of their involvement in terrorism.
Aiding and Comforting: Providing shelter, assistance, or any form of support to the concealed individual falls under this provision.
Penalty:
Prision mayor in its medium and maximum periods: This translates to imprisonment ranging from 6 years and 1 day to 12 years.
Additional Considerations:
Anti-Terrorism Act of 2020 (RA 11479): While not explicitly addressing harboring, this act strengthens the legal framework against terrorism.
Potential for Accessory Charges: Depending on the circumstances, the individual harboring the terrorist might face additional charges:
Accessory to the crime of terrorism: This could lead to a harsher penalty based on the specific terrorist act committed by the concealed individual.
Example:
A person knowingly allows a suspect wanted for terrorist activities to stay in their home. This would likely be considered a violation of Article 180 (Favoring Desertion) due to:
Knowledge of the individual's involvement in terrorism (based on outstanding warrants or public information).
Providing shelter and potentially aiding their concealment from authorities.</t>
  </si>
  <si>
    <t>How is the offense of unauthorized possession and use of confidential information defined and punished under Philippine law?</t>
  </si>
  <si>
    <t>In the Philippines, the offense of unauthorized possession and use of confidential information is primarily addressed under the Data Privacy Act of 2012 (Republic Act No. 10173) and other relevant laws and regulations related to data protection and privacy. Here's how the offense is defined and punished under Philippine law:
1. **Definition of the Offense:**
- Unauthorized possession and use of confidential information refer to the acquisition, possession, or use of sensitive or confidential information without proper authorization or consent.
- This offense may involve accessing, copying, disclosing, or using confidential information for unauthorized purposes, such as personal gain, malicious intent, or in violation of data privacy laws and regulations.
2. **Data Privacy Act of 2012 (RA 10173):**
- The Data Privacy Act of 2012 contains provisions related to the protection of personal data and information, including confidential information held by individuals, organizations, or government agencies.
- Under this law, unauthorized possession and use of confidential information may constitute violations of data privacy rights and obligations.
- Penalties for violations of the Data Privacy Act may include imprisonment ranging from one year to six years and/or fines ranging from ₱500,000 to ₱5,000,000, depending on the specific provisions violated.
3. **Civil Liability:**
- In addition to criminal penalties, individuals or entities responsible for unauthorized possession and use of confidential information may also be held civilly liable for damages caused.
- Civil lawsuits may be filed to seek compensation for any harm or losses suffered as a result of the unauthorized possession and use of confidential information, including damages for reputational harm, financial losses, or other injuries.
4. **Other Legal Consequences:**
- Depending on the specific circumstances and impact of the unauthorized possession and use of confidential information, other legal consequences may apply.
- These may include disciplinary actions, professional sanctions, or other administrative penalties imposed by regulatory authorities, professional organizations, or employers.
It's important to note that the Data Privacy Act of 2012 aims to protect individuals' right to privacy and ensure the responsible handling and processing of personal data and information. Violations of this law, including unauthorized possession and use of confidential information, are taken seriously and may result in legal consequences. Individuals accused of such offenses are entitled to due process and legal representation. It's advisable to seek assistance from a qualified lawyer for legal advice and representation if facing charges related to unauthorized possession and use of confidential information. Additionally, preventing such incidents often involves implementing appropriate security measures, training, and compliance with relevant data privacy laws and regulations.</t>
  </si>
  <si>
    <t>What legal provisions govern the crime of unauthorized disclosure of classified documents to unauthorized persons and its legal consequences?</t>
  </si>
  <si>
    <t>In the Philippines, the crime of unauthorized disclosure of classified documents to unauthorized persons is primarily governed by various laws and regulations related to national security, government secrecy, and the protection of classified information. Here are the key legal provisions and their corresponding legal consequences:
1. **Revised Penal Code (RPC):**
- Unauthorized disclosure of classified documents may be prosecuted under relevant provisions of the Revised Penal Code, particularly those related to crimes against public order and national security.
- Depending on the specific circumstances, unauthorized disclosure of classified documents may constitute offenses such as espionage (Article 117), revelation of secrets (Article 291), or violation of the law on espionage (Article 117).
- Penalties under these provisions may include imprisonment and fines, depending on the severity of the offense and other aggravating circumstances.
2. **Official Secrets Act:**
- While the Philippines does not have a specific "Official Secrets Act" like some other countries, provisions related to the protection of classified information may be found in various laws, regulations, and government policies.
- Unauthorized disclosure of classified documents may be prosecuted under relevant provisions of existing laws and regulations governing government secrecy, confidentiality, and national security.
3. **Data Privacy Act of 2012 (Republic Act No. 10173):**
- The Data Privacy Act of 2012 contains provisions related to the protection of personal data and information, including sensitive or confidential information held by government agencies or private entities.
- Unauthorized disclosure of classified documents that contain personal or sensitive information may violate this law.
- Penalties under the Data Privacy Act may include imprisonment ranging from one year to six years and/or fines ranging from ₱500,000 to ₱5,000,000, depending on the specific provisions violated.
4. **Other Relevant Laws:**
- Depending on the specific nature and content of the classified documents involved, other laws and regulations may also apply. These may include laws related to national security, information security, intellectual property, or government transparency and accountability.
5. **Civil Liability:**
- In addition to criminal penalties, individuals or entities responsible for unauthorized disclosure of classified documents may also be held civilly liable for damages caused.
- Civil lawsuits may be filed to seek compensation for any harm or losses suffered as a result of the unauthorized disclosure, including damages for reputational harm, financial losses, or other injuries.
It's important to note that unauthorized disclosure of classified documents is considered a serious offense against national security and public order. Individuals or entities accused of this offense are entitled to due process and legal representation. It's advisable to seek assistance from a qualified lawyer for legal advice and representation if facing charges related to unauthorized disclosure of classified documents. Additionally, preventing such incidents often involves implementing appropriate security measures, training, and compliance with relevant laws and regulations governing the protection of classified information.</t>
  </si>
  <si>
    <t>How does the law address incidents of unauthorized possession and use of confidential information and its legal consequences?</t>
  </si>
  <si>
    <t>Indeed, confidentiality agreements and NDAs play a crucial role in safeguarding sensitive information in business relationships. Breaching these agreements can lead to legal consequences, including civil remedies and criminal penalties. It's essential for parties involved to understand their obligations and responsibilities regarding confidential information to avoid any unauthorized disclosure.
Furthermore, intellectual property laws provide additional protection for trade secrets and proprietary information. Unauthorized disclosure of trade secrets can result in unfair competition charges and penalties under these laws.
Overall, adherence to confidentiality agreements and respect for the confidentiality of information are vital for fostering trust and maintaining the integrity of business relationships. Legal measures are in place to address breaches of confidentiality and ensure accountability for unauthorized disclosure.</t>
  </si>
  <si>
    <t>What penalties apply for engaging in the crime of unauthorized disclosure of classified documents to unauthorized persons?</t>
  </si>
  <si>
    <t>The penalties for engaging in the crime of unauthorized disclosure of classified documents to unauthorized persons in the Philippines can vary depending on the specific circumstances of the offense and the laws under which the individual is prosecuted. Here's a general overview of the potential penalties:
1. **Revised Penal Code (RPC):**
- Unauthorized disclosure of classified documents may be prosecuted under relevant provisions of the Revised Penal Code, such as espionage (Article 117) or revelation of secrets (Article 291).
- Penalties under these provisions may include imprisonment and fines, depending on the severity of the offense and other aggravating circumstances.
- For example, espionage under Article 117 of the RPC carries penalties ranging from prision correccional in its maximum period to reclusion perpetua (imprisonment for 20 years and 1 day to 40 years), depending on the gravity of the offense and the involvement of foreign agents.
2. **Data Privacy Act of 2012 (Republic Act No. 10173):**
- Unauthorized disclosure of classified documents that contain personal or sensitive information may violate the Data Privacy Act of 2012.
- Penalties under the Data Privacy Act may include imprisonment ranging from one year to six years and/or fines ranging from ₱500,000 to ₱5,000,000, depending on the specific provisions violated.
3. **Other Relevant Laws:**
- Depending on the specific nature and content of the classified documents involved, other laws and regulations may also apply, such as laws related to national security, information security, or government secrecy.
- Penalties under these laws may vary but often include imprisonment and fines, as well as other legal consequences.
4. **Civil Liability:**
- In addition to criminal penalties, individuals or entities responsible for unauthorized disclosure of classified documents may also be held civilly liable for damages caused.
- Civil lawsuits may be filed to seek compensation for any harm or losses suffered as a result of the unauthorized disclosure, including damages for reputational harm, financial losses, or other injuries.
It's important to note that unauthorized disclosure of classified documents is considered a serious offense against national security and public order. The penalties can be severe, and individuals convicted of this crime may face imprisonment and substantial fines. Additionally, civil liability may also apply, and individuals or entities responsible for unauthorized disclosure may be held accountable for damages caused. If facing charges related to unauthorized disclosure of classified documents, it's advisable to seek assistance from a qualified lawyer for legal advice and representation.</t>
  </si>
  <si>
    <t>The Philippines penalizes harboring or concealing individuals involved in rebellion or insurrection. Here's a breakdown of the relevant laws and potential consequences:
Key Legislation:
Revised Penal Code (RPC):
Article 142 (Inciting to Sedition): While not directly addressing harboring, it criminalizes actions that can lead to rebellion.
Article 146 (Rebellion): Defines the crime of rebellion as:
"The rise of public and armed uprising against the government with an open intent to overthrow it."
Article 180 (Favoring Desertion): This provision serves as the primary legal basis for harboring individuals involved in rebellion/insurrection.
Key Points:
Knowledge of Involvement: The person harboring the individual must be aware of their participation in rebellion or insurrection.
Aiding and Comforting: Providing any form of support, including shelter, resources, or assistance to evade authorities, falls under this category.
Penalty:
Article 180 (Favoring Desertion):
Prision mayor in its medium and maximum periods: Imprisonment ranging from 6 years and 1 day to 12 years.
Additional Considerations:
Potential for Accessory Charges: Depending on the circumstances, the individual harboring the rebel/insurgent might face additional charges:
Accessory to the crime of rebellion/insurrection: This could lead to a harsher penalty based on the specific acts committed by the concealed individual(s).
Example:
A person knowingly provides a safe house and resources to individuals wanted for their involvement in an armed uprising against the government. This would likely be considered a violation of Article 180 due to:
Knowledge of their involvement in rebellion (based on news reports or their wanted status).
Providing shelter and aiding them in evading authorities.</t>
  </si>
  <si>
    <t>The Philippines has implemented various legal measures to combat sabotage against government computer systems and networks, recognizing the critical role of cybersecurity in protecting sensitive information and national infrastructure. Here's a breakdown of the relevant laws and measures:
Primary Legislations:
Revised Penal Code (RPC):
Article 179 (Destructive Arson): This law applies in situations where sabotage causes physical damage:
Damaging critical infrastructure components like power lines or servers could be considered arson if fire is used.
Article 318 (Mischief): This broader provision covers various acts causing damage to property, including:
Tampering with computer hardware or software leading to disruption of government services.
Causing data loss or corruption through unauthorized access.
Cybersecurity Law:
Republic Act No. 10175 (Cybercrime Prevention Act of 2012): This act directly addresses a wider range of cybercrimes:
Illegal Access: Gaining unauthorized access to a computer system or network, particularly government systems containing sensitive data.
Data Interference: Altering, modifying, destroying, deleting, or suppressing data without authorization.
System Interference: Intentionally introducing malicious code or programs to disrupt the functionality of government systems.
Additional Laws:
Espionage Act (RA No. 6770): While not solely focused on cyber activities, this act strengthens the penalties for espionage, including:
Gathering, possessing, or transmitting classified information through electronic means. This could apply to situations where individuals steal classified data from government networks.
Further Legal Consequences:
Individuals found guilty of these crimes not only face imprisonment but also:
Fines: Depending on the specific offense and the resulting damage.
Civil liability: Liability to compensate for the cost of repairs, service disruptions, and potential economic losses caused by the sabotage.</t>
  </si>
  <si>
    <t>In the Philippines, a person can be charged with the crime of unauthorized possession and use of confidential information under various circumstances, particularly if they knowingly acquire, possess, or use confidential information without proper authorization or consent. Here are some common scenarios where such charges may apply:
1. **Accessing or Obtaining Information Without Authorization:**
- If a person gains access to confidential information through unauthorized means, such as hacking into a computer system, accessing restricted files or databases, or bypassing security measures, they may be charged with unauthorized possession and use of confidential information.
2. **Misuse of Privileged Access:**
- Individuals with authorized access to confidential information may be charged if they misuse that access for unauthorized purposes. This could include disclosing the information to unauthorized parties, using it for personal gain, or engaging in other prohibited activities.
3. **Breach of Confidentiality Agreements:**
- If a person breaches confidentiality agreements or contractual obligations by disclosing or using confidential information in violation of the terms of the agreement, they may be charged with unauthorized possession and use of confidential information.
4. **Theft or Unauthorized Acquisition:**
- If a person obtains confidential information through theft, deception, or other unlawful means, they may be charged with unauthorized possession and use of confidential information.
5. **Improper Handling of Classified Information:**
- Individuals entrusted with handling classified or sensitive government information may be charged if they fail to comply with security protocols or mishandle the information, resulting in unauthorized disclosure or use.
It's important to note that the specific circumstances and intent behind the unauthorized possession and use of confidential information will determine the likelihood of charges being filed and the severity of potential legal consequences. Additionally, laws governing the protection of confidential information may vary depending on the context, such as laws related to data privacy, intellectual property, national security, or professional standards and ethics.
Individuals accused of unauthorized possession and use of confidential information are entitled to due process and legal representation. It's advisable to seek assistance from a qualified lawyer for legal advice and representation if facing charges related to unauthorized possession and use of confidential information. Additionally, preventing such incidents often involves implementing appropriate security measures, training, and compliance with relevant laws and regulations governing the protection of confidential information.</t>
  </si>
  <si>
    <t>In the Philippines, incidents of unauthorized disclosure of classified documents to unauthorized persons are addressed under various laws and regulations aimed at protecting national security, government secrecy, and confidential information. The legal consequences for such unauthorized disclosures can vary depending on the specific circumstances and the laws under which the individual is prosecuted. Here's how the law typically addresses these incidents and their legal consequences:
1. **Revised Penal Code (RPC):**
- Unauthorized disclosure of classified documents may be prosecuted under relevant provisions of the Revised Penal Code, particularly those related to crimes against public order and national security.
- Depending on the specific circumstances, unauthorized disclosure of classified documents may constitute offenses such as espionage (Article 117), revelation of secrets (Article 291), or violation of the law on espionage (Article 117).
- Penalties under these provisions may include imprisonment and fines, depending on the severity of the offense and other aggravating circumstances.
2. **Data Privacy Act of 2012 (Republic Act No. 10173):**
- The Data Privacy Act of 2012 contains provisions related to the protection of personal data and information, including sensitive or confidential information held by government agencies or private entities.
- Unauthorized disclosure of classified documents that contain personal or sensitive information may violate this law.
- Penalties under the Data Privacy Act may include imprisonment ranging from one year to six years and/or fines ranging from ₱500,000 to ₱5,000,000, depending on the specific provisions violated.
3. **Official Secrets Act:**
- While the Philippines does not have a specific "Official Secrets Act" like some other countries, provisions related to the protection of classified information may be found in various laws, regulations, and government policies.
- Unauthorized disclosure of classified documents may be prosecuted under relevant provisions of existing laws and regulations governing government secrecy, confidentiality, and national security.
4. **Other Relevant Laws:**
- Depending on the specific nature and content of the classified documents involved, other laws and regulations may also apply, such as laws related to national security, information security, or government transparency and accountability.
5. **Civil Liability:**
- In addition to criminal penalties, individuals or entities responsible for unauthorized disclosure of classified documents may also be held civilly liable for damages caused.
- Civil lawsuits may be filed to seek compensation for any harm or losses suffered as a result of the unauthorized disclosure, including damages for reputational harm, financial losses, or other injuries.
It's important to note that unauthorized disclosure of classified documents is considered a serious offense against national security and public order. The penalties can be severe, and individuals convicted of this crime may face imprisonment and substantial fines. Additionally, civil liability may also apply, and individuals or entities responsible for unauthorized disclosure may be held accountable for damages caused. If facing charges related to unauthorized disclosure of classified documents, it's advisable to seek assistance from a qualified lawyer for legal advice and representation.</t>
  </si>
  <si>
    <t>Your summary effectively outlines the key aspects related to unauthorized possession and use of confidential information in the Philippines:
1. **Confidentiality Agreements and NDAs**: You explain the purpose of confidentiality agreements and the obligations they impose on the parties involved, emphasizing the prohibition against disclosing or using confidential information for purposes other than the agreed business relationship.
2. **Parties Involved**: You identify the two primary parties in a confidentiality agreement—the disclosing party and the receiving party—and highlight their respective roles and responsibilities.
3. **Penalties for Unauthorized Disclosure**: You detail the potential consequences of breaching a confidentiality agreement, including civil remedies (such as damages for financial losses) and criminal penalties (which may involve imprisonment and fines). Additionally, you mention the possibility of legal action under intellectual property laws if the confidential information constitutes a trade secret or proprietary information.
4. **Importance of Respecting Confidentiality**: You emphasize the importance of respecting confidentiality for maintaining trust, protecting sensitive information, and upholding the rule of law.
Overall, your summary provides a comprehensive overview of the legal provisions and penalties associated with unauthorized possession and use of confidential information in the Philippines. It effectively communicates the significance of adhering to confidentiality agreements and the potential consequences of breaches.</t>
  </si>
  <si>
    <t>In the Philippines, the crime of unauthorized disclosure of classified documents to unauthorized persons is primarily governed by various laws and regulations aimed at protecting national security, government secrecy, and confidential information. The legal consequences for such unauthorized disclosures can vary depending on the specific circumstances and the laws under which the individual is prosecuted. Here are the key legal provisions and their corresponding legal consequences:
1. **Revised Penal Code (RPC):**
- Unauthorized disclosure of classified documents may be prosecuted under relevant provisions of the Revised Penal Code, particularly those related to crimes against public order and national security.
- Depending on the specific circumstances, unauthorized disclosure of classified documents may constitute offenses such as espionage (Article 117), revelation of secrets (Article 291), or violation of the law on espionage (Article 117).
- Penalties under these provisions may include imprisonment and fines, depending on the severity of the offense and other aggravating circumstances.
2. **Data Privacy Act of 2012 (Republic Act No. 10173):**
- The Data Privacy Act of 2012 contains provisions related to the protection of personal data and information, including sensitive or confidential information held by government agencies or private entities.
- Unauthorized disclosure of classified documents that contain personal or sensitive information may violate this law.
- Penalties under the Data Privacy Act may include imprisonment ranging from one year to six years and/or fines ranging from ₱500,000 to ₱5,000,000, depending on the specific provisions violated.
3. **Official Secrets Act:**
- While the Philippines does not have a specific "Official Secrets Act" like some other countries, provisions related to the protection of classified information may be found in various laws, regulations, and government policies.
- Unauthorized disclosure of classified documents may be prosecuted under relevant provisions of existing laws and regulations governing government secrecy, confidentiality, and national security.
4. **Other Relevant Laws:**
- Depending on the specific nature and content of the classified documents involved, other laws and regulations may also apply, such as laws related to national security, information security, or government transparency and accountability.
5. **Civil Liability:**
- In addition to criminal penalties, individuals or entities responsible for unauthorized disclosure of classified documents may also be held civilly liable for damages caused.
- Civil lawsuits may be filed to seek compensation for any harm or losses suffered as a result of the unauthorized disclosure, including damages for reputational harm, financial losses, or other injuries.
It's important to note that unauthorized disclosure of classified documents is considered a serious offense against national security and public order. The penalties can be severe, and individuals convicted of this crime may face imprisonment and substantial fines. Additionally, civil liability may also apply, and individuals or entities responsible for unauthorized disclosure may be held accountable for damages caused. If facing charges related to unauthorized disclosure of classified documents, it's advisable to seek assistance from a qualified lawyer for legal advice and representation.</t>
  </si>
  <si>
    <t>In the Philippines, incidents of unauthorized possession and use of confidential information are addressed primarily under the Data Privacy Act of 2012 (Republic Act No. 10173) and other relevant laws and regulations related to data protection and privacy. The law aims to protect individuals' privacy rights and ensure the responsible handling of personal data and confidential information. Here's how the law addresses such incidents and their legal consequences:
1. **Definition of the Offense:**
- Unauthorized possession and use of confidential information refer to acquiring, possessing, or using sensitive or confidential information without proper authorization or consent.
- This may include accessing, copying, disclosing, or using confidential information for unauthorized purposes, such as personal gain, malicious intent, or in violation of data privacy laws and regulations.
2. **Data Privacy Act of 2012 (RA 10173):**
- The Data Privacy Act of 2012 sets forth provisions governing the processing of personal data, including confidential information, by individuals, organizations, or government agencies.
- Unauthorized possession and use of confidential information may constitute violations of data privacy rights and obligations under this law.
- Penalties for violations of the Data Privacy Act may include imprisonment ranging from one year to six years and/or fines ranging from ₱500,000 to ₱5,000,000, depending on the specific provisions violated.
3. **Civil Liability:**
- In addition to criminal penalties, individuals or entities responsible for unauthorized possession and use of confidential information may also be held civilly liable for damages caused.
- Civil lawsuits may be filed to seek compensation for any harm or losses suffered as a result of the unauthorized possession and use of confidential information, including damages for reputational harm, financial losses, or other injuries.
4. **Other Relevant Laws:**
- Depending on the specific nature and context of the confidential information involved, other laws and regulations may also apply.
- For instance, if the confidential information pertains to national security or government secrets, additional legal provisions may apply to safeguard such information.
5. **Enforcement and Investigation:**
- Law enforcement agencies and regulatory authorities are tasked with investigating reports of unauthorized possession and use of confidential information.
- Investigations may lead to legal actions against individuals or entities found to have violated data privacy laws and regulations.
It's important to note that unauthorized possession and use of confidential information is taken seriously under Philippine law, especially in the context of data privacy and protection. Individuals or entities found guilty of such offenses may face significant legal consequences, including criminal penalties and civil liability. As such, it's crucial for organizations and individuals to adhere to data privacy laws and regulations to ensure the lawful handling and processing of confidential information. If facing charges related to unauthorized possession and use of confidential information, seeking legal advice and representation from a qualified lawyer is advisable.</t>
  </si>
  <si>
    <t>Your summary effectively highlights the legal consequences associated with the unauthorized disclosure of classified documents in the Philippines, particularly under the Data Privacy Act of 2012:
1. **Relevant Legal Framework**: You accurately identify the Data Privacy Act of 2012 (Republic Act No. 10173) as the legal framework addressing unauthorized disclosure of personal information, including classified information. This demonstrates an understanding of the specific legislation governing data privacy in the Philippines.
2. **Penalties for Unauthorized Processing**: You outline the penalties for unauthorized processing of personal information, including disclosure, which range from imprisonment to fines. This highlights the seriousness of the offense and the potential legal repercussions for individuals found guilty of such actions.
3. **Penalties for Unauthorized Access or Breach**: You mention that unauthorized access or intentional breach of personal information is punishable by law, emphasizing that specific penalties depend on the circumstances and severity of the breach. This acknowledges the varying degrees of culpability and the importance of considering the context of the unauthorized access or breach.
Overall, your summary provides a clear and concise overview of the legal penalties associated with the unauthorized disclosure of classified documents under the Data Privacy Act of 2012 in the Philippines. It effectively communicates the seriousness of the offense and the legal consequences individuals may face for engaging in such actions.</t>
  </si>
  <si>
    <t>Your summary effectively outlines the legal provisions and penalties associated with harboring or concealing individuals involved in rebellion or insurrection in the Philippines:
1. **Concept of Rebellion or Insurrection**: You accurately define rebellion or insurrection according to Article 134 of the Revised Penal Code, highlighting the key elements of the offense, including the public rise and taking up arms against the government with the intent to remove allegiance and deprive the government of its powers.
2. **Elements of the Offense**: You list the essential elements required to charge someone with harboring or concealing individuals involved in rebellion or insurrection, emphasizing the connection between their actions and the undermining of government authority.
3. **Penalties**: You explain that the penalties for this offense depend on the specific circumstances and the degree of involvement, indicating that they may range from imprisonment to more severe penalties if the act endangers national security.
4. **Importance of Enforcement**: You underscore the significance of enforcing penalties for harboring or concealing individuals involved in rebellion or insurrection, emphasizing that such actions undermine public order and national security, necessitating strict enforcement to maintain the integrity of government operations.
Overall, your summary provides a clear and concise overview of the relevant legal provisions and penalties associated with harboring or concealing individuals involved in rebellion or insurrection in the Philippines. It effectively communicates the seriousness of the offense and the importance of legal enforcement to uphold public order and national security.</t>
  </si>
  <si>
    <t>Illegal Drugs</t>
  </si>
  <si>
    <t>Your exploration of the relevant legal provisions and penalties concerning the unauthorized disclosure of classified documents in the Philippines is comprehensive and well-structured. Here's a breakdown of the key points covered:
1. **Legal Framework**: You introduce Memorandum Circular No. 78, s. 1964, issued by the Office of the President of the Philippines, as the primary legal document governing the security of classified matter in government offices. This establishes the foundation for understanding the regulations surrounding the handling of classified information.
2. **Classification Categories**: You outline the four categories of classification—TOP SECRET, SECRET, CONFIDENTIAL, and RESTRICTED—attached to matters involving national security or specific enumerated topics. This categorization provides clarity on the types of information subject to protection.
3. **Definition of Terms**: You define various terms crucial to understanding the regulations, such as department, matter, security clearance, need to know, and custodian. This ensures clarity and precision in interpreting the regulations.
4. **Reporting Unauthorized Disclosure**: You emphasize the obligation of individuals to report any unauthorized disclosure or loss of classified documents to the Security Officer of the relevant department promptly. This highlights the proactive measures required to address breaches in security.
5. **Penalties for Unauthorized Disclosure**: You discuss the penalties for unauthorized disclosure, noting that they depend on the severity and context of the offense. This underscores the seriousness of unauthorized disclosures and the consequences individuals may face for violating security protocols.
6. **Other Legal Provisions**: You mention that other laws and regulations may also address unauthorized disclosure of classified information, indicating the comprehensive nature of legal measures in place to safeguard national security.
7. **Importance of Compliance**: You conclude by emphasizing the importance of compliance with security protocols, highlighting that unauthorized disclosure undermines national security and public trust. This underscores the necessity of strict enforcement of penalties to deter such breaches and maintain the integrity of government operations.
Overall, your exploration provides a thorough overview of the legal provisions and penalties related to the unauthorized disclosure of classified documents in the Philippines, demonstrating a clear understanding of the subject matter.</t>
  </si>
  <si>
    <t>How does Philippine law define and classify illegal drugs?</t>
  </si>
  <si>
    <t>In the Philippines, the illegal drug situation is addressed primarily by the Comprehensive Dangerous Drugs Act of 2002 (Republic Act No. 9165). This law classifies and penalizes the manufacture, possession, cultivation, sale, distribution, importation, and exportation of various dangerous drugs.
Classifications of Dangerous Drugs:
The Dangerous Drugs Board (DDB) categorizes illegal drugs into different schedules based on their potential for abuse and dependence:
Schedule I: High potential for abuse and dependence, with no currently accepted medical use (e.g., Heroin, Cocaine, Methamphetamine)
Schedule II: High potential for abuse and dependence, with some currently accepted medical use with severe restrictions (e.g., Morphine, Opium)
Schedule III: Less potential for abuse than Schedule I and II, with currently accepted medical use with moderate restrictions (e.g., Codeine, Fentanyl)
Schedule IV: Low potential for abuse and dependence, currently accepted medical use with minimal restrictions (e.g., Xanax)
Illegal Activities:
The law penalizes various activities involving dangerous drugs, with the severity of the penalty depending on the specific schedule, quantity involved, and the nature of the offense (e.g., possession, sale, cultivation). Here's a summary:
Sale, Distribution, Delivery: These acts carry the harshest penalties, with potential life imprisonment and hefty fines depending on the quantity and schedule of the drug.
Manufacture, Cultivation: These activities are also heavily penalized, with imprisonment ranging from 12 years to life and significant fines.
Possession: Penalties vary based on the quantity and schedule of the drug. Small quantities for personal use might lead to rehabilitation programs, while possession of larger quantities for suspected distribution attracts harsher penalties.</t>
  </si>
  <si>
    <t>What are the penalties for the possession of dangerous drugs for personal use?</t>
  </si>
  <si>
    <t>In the Philippines, the penalties for possession of dangerous drugs for personal use are outlined in the Comprehensive Dangerous Drugs Act of 2002 (Republic Act No. 9165).
Here's a breakdown of the key points:
Possession of Small Quantities:
The law acknowledges the possibility of possession for personal use and offers potential alternatives to harsh punishments for first-time offenders caught with small quantities of illegal drugs.
Quantity Thresholds:
While the specific amount defining "small quantity" isn't explicitly stated in the law, the Dangerous Drugs Board (DDB) issues regulations providing a reference point.
Current DDB regulations (as of 2023):
Schedule I and II: Possession of less than 0.1 gram is considered a "de minimis" quantity.
Schedule III and IV: Possession of less than five grams is considered a "de minimis" quantity.
Important to Note:
These quantities are references and do not guarantee leniency.
The court has the discretion to consider various factors during the trial, including:
The nature of the drug (Schedule classification).
Prior criminal history related to illegal drugs.
Evidence of drug dependence and the willingness to undergo rehabilitation.
Potential Consequences for Possession (Small Quantities):
Diversion Programs:
First-time offenders with small quantities might be referred to rehabilitation programs instead of facing criminal charges.
These programs involve attending mandatory drug dependency treatment and counseling.
Probation:
In some cases, the court might impose a probationary period with mandatory drug testing and participation in rehabilitation programs.
Penalties for Possession (Larger Quantities):
Possession of quantities exceeding the "de minimis" threshold or evidence suggesting intent to sell or distribute will likely result in criminal charges.
Penalties for these cases are significantly harsher and can involve:
Imprisonment: Ranging from six months and one day to four years.
Fines: From Ten thousand pesos (P10,000.00) to Fifty thousand pesos (P50,000.00).
Additional Considerations:
Second Offense: Individuals caught using illegal drugs for a second time face stricter penalties, with imprisonment ranging from six years and one day to twelve years and fines ranging from Fifty thousand pesos (P50,000.00) to Two hundred thousand pesos (P200,000.00).
Rehabilitation Programs: Even in cases with criminal charges, the court might still recommend participation in drug rehabilitation programs alongside the imposed penalties.</t>
  </si>
  <si>
    <t>How is the sale and distribution of prohibited drugs regulated and punished under Philippine law?</t>
  </si>
  <si>
    <t>The sale and distribution of prohibited drugs in the Philippines is a severe offense with strict penalties. Here's a breakdown of the relevant laws and punishments:
Primary Legislation:
Comprehensive Dangerous Drugs Act of 2002 (Republic Act No. 9165): This act serves as the cornerstone legislation regulating and penalizing activities related to dangerous drugs.
Key Points:
Prohibited Acts: The law strictly prohibits the:
Sale, Distribution, Delivery, Administration, Dispensation of any dangerous drug (including any amount).
Transportation of dangerous drugs without a license or permit.
Cultivation, Manufacturing, Importing, Exporting of such drugs.
Penalties:
Life Imprisonment to Death: This is the maximum penalty imposed for:
Selling, distributing, or delivering a large quantity of illegal drugs (specific quantity varies depending on the schedule and the DDB regulations).
Involvement in the illegal drug trade as a leader, organizer, financier, protector, or coddler.
Reclusion Perpetua to Life Imprisonment: Applicable for:
Selling, distributing, or delivering a significant quantity of illegal drugs.
Long-Term Imprisonment: For other offenses like possession for purposes of sale/distribution.
Additional Considerations:
Automatic Review: Cases involving large quantities of illegal drugs are subject to mandatory review by the Court of Appeals.
No Bail: Generally, bail is not granted for offenses involving the sale and distribution of dangerous drugs.</t>
  </si>
  <si>
    <t>What legal provisions govern the manufacturing of illegal drugs and its consequences?</t>
  </si>
  <si>
    <t>The manufacturing of illegal drugs in the Philippines is a serious offense with severe legal consequences. Here's a breakdown of the relevant laws and punishments:
Primary Legislation:
Comprehensive Dangerous Drugs Act of 2002 (Republic Act No. 9165): This act prohibits and penalizes various activities related to dangerous drugs, including manufacturing.
Key Points:
Manufacturing Prohibition: The law strictly prohibits the unauthorized manufacturing of any dangerous drug, regardless of quantity or schedule.
Penalties:
Life Imprisonment to Death: This is the maximum penalty imposed for involvement in the illegal manufacture of prohibited drugs.
Additional Considerations:
Automatic Review: Cases involving the manufacture of illegal drugs are subject to mandatory review by the Court of Appeals due to the seriousness of the offense.
No Bail: Generally, bail is not granted for offenses involving the manufacture of dangerous drugs.
Specific Legal Provisions:
Section 16 (Cultivation or Culture of Plants Classified as Dangerous Drugs or are Sources Thereof): This provision directly addresses the manufacturing aspect.
It prohibits the planting, cultivating, or maintaining any plants that are:
The source of a prohibited drug (e.g., poppies for opium).
Classified as a dangerous drug itself (e.g., marijuana).
Section 17 (Importing of Dangerous Drugs, Equipment, and Chemicals): This prohibits the unlawful importation of:
Essential chemicals or equipment used in the manufacturing of illegal drugs.</t>
  </si>
  <si>
    <t>Under what circumstances can a person be charged with drug trafficking in the Philippines?</t>
  </si>
  <si>
    <t>1. **Definition of Drug Trafficking**: You provide a clear definition of drug trafficking, encompassing various illegal activities related to the trade, distribution, sale, or transport of dangerous drugs or controlled substances. This definition sets the stage for understanding the scope of the offense.
2. **Circumstances Leading to Charges**: You outline specific activities that can lead to charges of drug trafficking, including selling or trading illegal drugs, importing or exporting prohibited substances, manufacturing or producing dangerous drugs, distributing or transporting controlled substances, and financing or facilitating drug trafficking operations. This enumeration provides clarity on the behaviors considered illegal under the law.
3. **Penalties for Drug Trafficking**: You discuss the penalties associated with drug trafficking, emphasizing that they vary based on the quantity and type of drugs involved. You differentiate between serious offenses, which may result in life imprisonment and significant fines, and less severe offenses, which carry shorter prison terms and lower fines. This distinction highlights the severity of the consequences based on the gravity of the offense.
4. **Forfeiture of Assets**: You mention the possibility of asset forfeiture for individuals convicted of drug trafficking, indicating that proceeds believed to be from drug trade can be seized by authorities. This serves as a deterrent and underscores the government's commitment to dismantling drug networks and disrupting their financial gains.
5. **Importance of Enforcement**: You conclude by emphasizing the seriousness of drug trafficking as an offense that undermines public health and safety. You stress that legal authorities rigorously enforce penalties to combat the illegal drug trade and safeguard society.
Overall, your summary provides a comprehensive overview of the legal framework, penalties, and enforcement measures related to drug trafficking in the Philippines, demonstrating a clear understanding of the subject matter.</t>
  </si>
  <si>
    <t>How does the law address incidents of illegal drug importation, exportation, and transportation?</t>
  </si>
  <si>
    <t>In the Philippines, incidents of illegal drug importation, exportation, and transportation are addressed under the Comprehensive Dangerous Drugs Act of 2002 (Republic Act No. 9165) and other relevant laws and regulations aimed at combating the illegal drug trade. Here's how the law addresses these offenses:
1. **Comprehensive Dangerous Drugs Act of 2002 (RA 9165):**
- The Comprehensive Dangerous Drugs Act of 2002 is the primary law governing the illegal drug trade in the Philippines. It prohibits the importation, exportation, and transportation of dangerous drugs, controlled precursors, and essential chemicals without lawful authority.
- Under the law, illegal drug importation, exportation, and transportation are considered criminal offenses, punishable by severe penalties, including imprisonment and fines.
2. **Prohibition on Importation and Exportation:**
- RA 9165 prohibits the importation and exportation of dangerous drugs and controlled substances without lawful authority. Any person found importing or exporting illegal drugs or controlled substances may face criminal charges and prosecution.
- The law also prohibits the importation and exportation of precursor chemicals used in the production of illegal drugs, as well as equipment and materials intended for drug manufacturing or processing.
3. **Prohibition on Transportation:**
- RA 9165 prohibits the transportation of dangerous drugs without lawful authority. This includes the transportation of illegal drugs from one location to another within the Philippines or across international borders.
- Individuals caught transporting illegal drugs may be subject to arrest, prosecution, and imposition of penalties under the law.
4. **Severe Penalties:**
- The penalties for illegal drug importation, exportation, and transportation under RA 9165 are severe. Offenders may face imprisonment ranging from 12 years to life imprisonment, depending on the quantity and classification of the illegal drugs involved.
- In addition to imprisonment, fines may also be imposed, and assets derived from or used in the commission of the offense may be subject to forfeiture.
5. **Law Enforcement and Prosecution:**
- Law enforcement agencies, such as the Philippine Drug Enforcement Agency (PDEA) and the Philippine National Police (PNP), are responsible for investigating and prosecuting cases of illegal drug importation, exportation, and transportation.
- Cases are brought before the courts, where prosecutors present evidence against the accused, and legal proceedings are conducted in accordance with due process and the rule of law.
6. **International Cooperation:**
- Given the transnational nature of the illegal drug trade, the Philippines cooperates with international law enforcement agencies and participates in regional and international initiatives to combat drug trafficking, including efforts to prevent illegal drug importation and exportation.
Overall, the Comprehensive Dangerous Drugs Act of 2002 provides a comprehensive legal framework for addressing incidents of illegal drug importation, exportation, and transportation in the Philippines. The law imposes severe penalties to deter drug-related offenses and protect public health and safety. Effective enforcement, prosecution, and international cooperation are essential in combating the illegal drug trade and addressing its harmful effects on society.</t>
  </si>
  <si>
    <t>What penalties apply for engaging in the financing of illegal drug activities?</t>
  </si>
  <si>
    <t>In the Philippines, engaging in the financing of illegal drug activities is considered a serious offense under the Comprehensive Dangerous Drugs Act of 2002 (Republic Act No. 9165). This law imposes severe penalties to deter individuals or entities from providing financial support to illegal drug trafficking and related activities. Here are the penalties that apply for engaging in the financing of illegal drug activities:
1. **Criminal Penalties:**
- Individuals found guilty of financing illegal drug activities may face imprisonment ranging from life imprisonment to death, depending on the quantity and classification of the illegal drugs involved.
- The law prescribes the death penalty for certain aggravating circumstances, such as financing drug trafficking involving large quantities of dangerous drugs or controlled substances.
2. **Asset Forfeiture:**
- In addition to criminal penalties, individuals convicted of financing illegal drug activities may also be subject to asset forfeiture.
- Assets derived from or used in the commission of the offense, including money, property, or other assets, may be confiscated or forfeited to the government.
3. **Fines:**
- Fines may also be imposed as part of the penalty for financing illegal drug activities.
- The amount of the fine may vary depending on the specific circumstances of the offense and the quantity and value of the illegal drugs involved.
4. **Seizure of Financial Assets:**
- Law enforcement agencies may seize financial assets, such as bank accounts or other monetary instruments, believed to be connected to the financing of illegal drug activities.
- Seized financial assets may be used as evidence in criminal proceedings or forfeited to the government following a court order.
5. **International Cooperation:**
- Given the transnational nature of illegal drug trafficking, the Philippines cooperates with international law enforcement agencies and participates in efforts to combat the financing of illegal drug activities.
- International cooperation may involve sharing information, coordinating investigations, and implementing measures to prevent the flow of illicit funds to drug trafficking networks.
Overall, the penalties for engaging in the financing of illegal drug activities in the Philippines are severe, reflecting the gravity of the offense and the government's commitment to combatting the illegal drug trade. Effective enforcement of the law, coupled with international cooperation and measures to prevent money laundering and illicit financial flows, are essential in addressing the financing of illegal drug activities and dismantling drug trafficking networks.</t>
  </si>
  <si>
    <t>How is the offense of conspiracy to commit illegal drug activities addressed under Philippine law?</t>
  </si>
  <si>
    <t>The Philippines recognizes conspiracy to commit illegal drug activities as a distinct offense with its own set of penalties. Here's a breakdown of the relevant legal aspects:
Key Legislation:
Comprehensive Dangerous Drugs Act of 2002 (Republic Act No. 9165):
Section 26 (Conspiracy to Commit Illegal Drug Activities): This provision specifically addresses conspiracy.
Elements of Conspiracy:
Agreement: An agreement between two or more individuals to commit a crime (illegal drug activities in this case).
Intention: All parties involved must have the intention to participate in the planned illegal drug activity.
Overt Act: At least one concrete step must be taken in furtherance of the agreement (e.g., acquiring ingredients for drug manufacturing, meeting to discuss the plan).
Penalties:
Life Imprisonment to Death: This is the maximum penalty imposed for conspiracy when the intended illegal drug activity involves:
Large quantities of drugs (specific quantity varies depending on the schedule and DDB regulations).
Leadership roles in the illegal drug trade.
Reclusion Perpetua to Life Imprisonment: Applicable for conspiracy to commit illegal drug activities involving:
Significant quantities of drugs.</t>
  </si>
  <si>
    <t>What legal measures exist to combat drug-related crimes involving minors?</t>
  </si>
  <si>
    <t>1. **Aim of Republic Act No. 9165 (RA 9165)**:
- This law aims to protect the integrity of the Philippines' territory and the well-being of its citizens, particularly the youth, from the harmful effects of dangerous drugs.
- It provides mechanisms for the treatment and rehabilitation of individuals who have fallen victim to drug abuse or dependence.
2. **Provisions of Republic Act No. 9344, as amended by R.A. 10630 (RA 9344/R.A. 10630)**:
- This law clarifies that children aged 12 to 17 years old who commit drug-related offenses are handled through a child-sensitive process, rather than immediately through the regular criminal justice system or jails.
- For serious crimes, such children may be mandatorily placed in the Intensive Juvenile Intervention and Support Center (IJISC) of the Bahay Pag-Asa.
3. **Balancing Accountability and Rehabilitation**:
- Both laws aim to balance the need for accountability for drug-related offenses committed by minors with the importance of rehabilitation and reintegration into society.
- Jail is not considered an appropriate option for children involved in drug-related offenses. Instead, they may undergo rehabilitation and intervention programs in facilities such as the IJISC or Bahay Pag-Asa.
Your summary effectively highlights the legislative measures in place to address drug-related crimes involving minors in the Philippines, emphasizing the importance of a child-sensitive approach that prioritizes rehabilitation and reintegration into society over punitive measures like jail time. Overall, it provides a comprehensive understanding of the legal framework surrounding this issue.</t>
  </si>
  <si>
    <t>How does the law address incidents of illegal drug cultivation and farming?</t>
  </si>
  <si>
    <t>In the Philippines, incidents of illegal drug cultivation and farming are addressed under the Comprehensive Dangerous Drugs Act of 2002 (Republic Act No. 9165) and other relevant laws and regulations aimed at combating the illegal drug trade. Here's how the law addresses these offenses:
1. **Comprehensive Dangerous Drugs Act of 2002 (RA 9165):**
- The Comprehensive Dangerous Drugs Act of 2002 is the primary law governing the illegal drug trade in the Philippines. It prohibits the cultivation, planting, growing, or nurturing of any plants classified as illegal drugs or controlled substances.
- Under the law, illegal drug cultivation and farming are considered criminal offenses, punishable by severe penalties, including imprisonment and fines.
2. **Prohibition on Cultivation and Farming:**
- RA 9165 prohibits the cultivation, planting, growing, or nurturing of plants classified as dangerous drugs or controlled substances without lawful authority. This includes plants such as marijuana, opium poppy, and coca bush, which are commonly used in the production of illegal drugs.
- Individuals found cultivating or farming illegal drug plants may face criminal charges and prosecution.
3. **Severe Penalties:**
- The penalties for illegal drug cultivation and farming under RA 9165 are severe. Offenders may face imprisonment ranging from 12 years to life imprisonment, depending on the quantity and classification of the illegal drug plants involved.
- In addition to imprisonment, fines may also be imposed, and assets derived from or used in the commission of the offense may be subject to forfeiture.
4. **Law Enforcement and Prosecution:**
- Law enforcement agencies, such as the Philippine Drug Enforcement Agency (PDEA) and the Philippine National Police (PNP), are responsible for investigating and prosecuting cases of illegal drug cultivation and farming.
- Cases are brought before the courts, where prosecutors present evidence against the accused, and legal proceedings are conducted in accordance with due process and the rule of law.
5. **Alternative Livelihood Programs:**
- To address the root causes of illegal drug cultivation and farming, the government may implement alternative livelihood programs aimed at providing sustainable income opportunities for affected communities.
- These programs may include skills training, agricultural assistance, and other forms of support to help individuals transition away from illicit drug cultivation and farming.
Overall, the Comprehensive Dangerous Drugs Act of 2002 provides a comprehensive legal framework for addressing incidents of illegal drug cultivation and farming in the Philippines. The law imposes severe penalties to deter drug-related offenses and protect public health and safety. Effective enforcement, prosecution, and community-based interventions are essential in combating illegal drug cultivation and farming and addressing its harmful effects on society.</t>
  </si>
  <si>
    <t>What penalties are imposed for engaging in the unauthorized sale or distribution of drug paraphernalia?</t>
  </si>
  <si>
    <t>In the Philippines, engaging in the unauthorized sale or distribution of drug paraphernalia is considered a criminal offense under the Comprehensive Dangerous Drugs Act of 2002 (Republic Act No. 9165). This law imposes penalties to deter individuals or entities from facilitating or enabling drug-related activities through the sale or distribution of drug paraphernalia. Here are the penalties imposed for engaging in such activities:
1. **Criminal Penalties:**
- Individuals found guilty of the unauthorized sale or distribution of drug paraphernalia may face imprisonment ranging from six years and one day to 12 years.
- The specific length of imprisonment depends on the quantity and nature of the drug paraphernalia involved, as well as other aggravating factors.
2. **Fines:**
- In addition to imprisonment, fines may also be imposed on individuals convicted of unauthorized sale or distribution of drug paraphernalia.
- The amount of the fine may vary depending on the circumstances of the offense and the discretion of the court.
3. **Confiscation of Paraphernalia:**
- Law enforcement authorities may confiscate the drug paraphernalia involved in the offense as evidence during the investigation and prosecution of the case.
- Confiscated drug paraphernalia may be destroyed following legal proceedings or retained as evidence for future use in related cases.
4. **Forfeiture of Assets:**
- Assets derived from or used in the commission of the offense, including money, property, or other assets, may be subject to forfeiture to the government.
- The forfeiture of assets serves as an additional deterrent against engaging in the unauthorized sale or distribution of drug paraphernalia.
5. **Legal Proceedings:**
- Cases involving the unauthorized sale or distribution of drug paraphernalia are brought before the courts, where prosecutors present evidence against the accused, and legal proceedings are conducted in accordance with due process and the rule of law.
- Defendants have the right to legal representation and may present evidence and arguments in their defense during the trial.
Overall, the penalties for engaging in the unauthorized sale or distribution of drug paraphernalia in the Philippines are intended to deter individuals or entities from facilitating or enabling drug-related activities. Effective enforcement of the law, coupled with public awareness campaigns and community-based interventions, plays a crucial role in combating the illegal sale and distribution of drug paraphernalia and addressing the underlying issues associated with drug abuse and addiction.</t>
  </si>
  <si>
    <t>How is the offense of maintaining drug dens or opium dens regulated and punished?</t>
  </si>
  <si>
    <t>Maintaining drug dens in the Philippines is a serious offense aimed at disrupting the illegal drug trade and protecting public safety. Here's an explanation of the relevant laws and penalties:
Key Legislation:
Comprehensive Dangerous Drugs Act of 2002 (Republic Act No. 9165):
While not explicitly addressing "drug dens," the law tackles related offenses:
Section 15 (Maintaining a Resort Where Dangerous Drugs are Used): This provision penalizes individuals who knowingly maintain a place frequented, used, or known to be a resort for the purpose of using illegal drugs.
Elements of the Offense:
Knowledge: The owner or person in control of the place must be aware that it's being used for illegal drug activity.
Frequency: The place must be habitually frequented for using dangerous drugs.
Purpose: The primary purpose of the place must be facilitating drug use.
Penalties:
Reclusion Perpetua to Life Imprisonment: This is the penalty for maintaining a place used for illegal drug activities.</t>
  </si>
  <si>
    <t>Under what circumstances can a person be charged with the crime of possession of equipment, instrument, apparatus, and other paraphernalia for dangerous drugs?</t>
  </si>
  <si>
    <t>In the Philippines, a person can be charged with the crime of possession of equipment, instrument, apparatus, and other paraphernalia for dangerous drugs under the Comprehensive Dangerous Drugs Act of 2002 (Republic Act No. 9165) if they are found to possess items specifically intended for use in the production, manufacture, or consumption of illegal drugs. Here are the circumstances under which a person can be charged with this crime:
1. **Possession of Drug Paraphernalia:**
- If an individual is found to be in possession of equipment, instruments, apparatus, or other paraphernalia specifically intended or designed for the production, manufacture, or consumption of dangerous drugs or controlled substances, they can be charged with the offense.
- Drug paraphernalia may include items such as pipes, syringes, scales, mixing devices, containers, or any other tools commonly associated with the use or preparation of illegal drugs.
2. **Knowledge of Illegal Use:**
- To be charged with the offense, it is generally required that the individual knew or should have known that the items in their possession were intended for use in connection with illegal drug activities.
- Actual knowledge of the illegal use of the items is not always necessary for a conviction. Constructive knowledge, where a reasonable person would have been aware of the illegal nature of the items, may be sufficient for the charge.
3. **Intent to Use:**
- The possession of drug paraphernalia must be accompanied by the intent to use the items in connection with illegal drug activities. This intent may be inferred from the circumstances surrounding the possession, such as the presence of drugs or drug residue, the manner in which the items are used or stored, or other evidence of drug-related activities.
4. **Quantity and Type of Paraphernalia:**
- The type and quantity of drug paraphernalia in the individual's possession may also be considered in determining whether to file charges.
- Possession of a large quantity of drug paraphernalia, particularly items commonly associated with drug manufacturing or distribution, may suggest involvement in more serious drug-related offenses and increase the likelihood of charges being filed.
5. **Evidence and Circumstances:**
- Prosecutors will typically rely on evidence gathered during law enforcement operations, such as police reports, witness statements, physical evidence, and any statements made by the accused, to support charges of possession of drug paraphernalia.
Overall, the circumstances surrounding the possession of equipment, instrument, apparatus, and other paraphernalia for dangerous drugs are critical factors in determining whether an individual can be charged with this offense. The prosecution must establish that the items were intended for use in connection with illegal drug activities and that the individual possessed them knowingly and with the intent to use them unlawfully.</t>
  </si>
  <si>
    <t>What legal provisions govern the crime of misappropriation, misapplication, or failure to account for confiscated dangerous drugs?</t>
  </si>
  <si>
    <t>he Philippines has strict legal measures in place to ensure the proper handling and accountability of confiscated dangerous drugs. Here's an explanation of the relevant provisions:
Key Legislation:
Comprehensive Dangerous Drugs Act of 2002 (Republic Act No. 9165):
Section 27 (Criminal Liability of a Public Officer or Employee): This provision directly addresses the offense.
Breakdown of the Offense:
This section applies to any public officer or employee tasked with handling confiscated dangerous drugs who commits:
Misappropriation: Intentionally taking the confiscated drugs for personal use or gain, or diverting them for unauthorized purposes.
Misapplication: Using the confiscated drugs for a purpose other than what is legally authorized.
Failure to Account: Inability to demonstrate the lawful disposition (destruction, use as evidence, etc.) of the confiscated drugs.
Penalties:
Life Imprisonment to Death: This is the maximum penalty imposed for the offense.
Fine: Ranging from Five hundred thousand pesos (P500,000.00) to Ten million pesos (P10,000,000.00).
Perpetual Disqualification: Absolute and permanent disqualification from holding any public office.</t>
  </si>
  <si>
    <t>How does the law address incidents of illegal drug trafficking using electronic devices or communication systems?</t>
  </si>
  <si>
    <t>In the Philippines, incidents of illegal drug trafficking using electronic devices or communication systems are addressed under the Comprehensive Dangerous Drugs Act of 2002 (Republic Act No. 9165) and other relevant laws and regulations aimed at combating the illegal drug trade. Here's how the law addresses these offenses:
1. **Comprehensive Dangerous Drugs Act of 2002 (RA 9165):**
- The Comprehensive Dangerous Drugs Act of 2002 is the primary law governing the illegal drug trade in the Philippines. It prohibits various drug-related activities, including trafficking, distribution, and sale of dangerous drugs or controlled substances.
- Under the law, illegal drug trafficking using electronic devices or communication systems is considered a criminal offense, punishable by severe penalties, including imprisonment and fines.
2. **Prohibition on Drug Trafficking:**
- RA 9165 prohibits the trafficking, distribution, sale, and transportation of dangerous drugs or controlled substances without lawful authority.
- This prohibition encompasses all forms of drug trafficking, including activities facilitated or conducted through electronic devices or communication systems.
3. **Enhanced Penalties for Aggravating Circumstances:**
- The law provides for enhanced penalties for drug trafficking offenses involving aggravating circumstances, such as the use of electronic devices or communication systems in the commission of the offense.
- Aggravating circumstances may include using the internet, mobile phones, social media platforms, or other electronic means to facilitate drug transactions, coordinate distribution networks, or communicate with suppliers or customers.
4. **Cybercrime Prevention Act:**
- The Cybercrime Prevention Act of 2012 (Republic Act No. 10175) may also be invoked in cases involving illegal drug trafficking using electronic devices or communication systems.
- This law penalizes various cybercrimes, including offenses related to illegal online activities, computer hacking, identity theft, and online fraud.
5. **Law Enforcement and Prosecution:**
- Law enforcement agencies, such as the Philippine Drug Enforcement Agency (PDEA) and the Philippine National Police (PNP), are responsible for investigating and prosecuting cases of illegal drug trafficking, including those involving electronic devices or communication systems.
- Cases are brought before the courts, where prosecutors present evidence against the accused, and legal proceedings are conducted in accordance with due process and the rule of law.
6. **International Cooperation:**
- Given the transnational nature of the illegal drug trade, the Philippines cooperates with international law enforcement agencies and participates in efforts to combat drug trafficking, including online drug trafficking activities.
- International cooperation may involve sharing information, coordinating investigations, and implementing measures to disrupt online drug trafficking networks.
Overall, the Comprehensive Dangerous Drugs Act of 2002 provides a comprehensive legal framework for addressing incidents of illegal drug trafficking using electronic devices or communication systems in the Philippines. The law imposes severe penalties to deter drug-related offenses and protect public health and safety. Effective enforcement, prosecution, and international cooperation are essential in combating online drug trafficking and addressing its harmful effects on society.</t>
  </si>
  <si>
    <t>What penalties apply for engaging in the unlawful prescription of dangerous drugs?</t>
  </si>
  <si>
    <t>The unlawful prescription of dangerous drugs in the Philippines carries severe penalties as outlined in the Comprehensive Dangerous Drugs Act of 2002 (Republic Act No. 9165). Here's a breakdown of the relevant provisions:
Key Offenses:
Unlawful Prescription (Section 19): This provision addresses the act of issuing a prescription or any document purporting to be a prescription for any dangerous drug, without being authorized by law.
Unnecessary Prescription (Section 18): This applies to licensed medical practitioners who prescribe dangerous drugs to a patient without a legitimate medical need.
Penalties:
Unlawful Prescription: This offense carries the harshest penalty:
Life Imprisonment to Death.
Fine: Ranging from Five hundred thousand pesos (P500,000.00) to Ten million pesos (P10,000,000.00).
Unnecessary Prescription: For licensed medical practitioners:
Imprisonment: Ranging from twelve (12) years and one (1) day to twenty (20) years.
Fine: Ranging from One hundred thousand pesos (P100,000.00) to Five hundred thousand pesos (P500,000.00).
Additional Penalty: Revocation of License to Practice Medicine.</t>
  </si>
  <si>
    <t>How is the offense of illegal drug prescription and dispensation by a physician regulated and punished?</t>
  </si>
  <si>
    <t>In the Philippines, the illegal prescription and dispensation of dangerous drugs by a physician is a serious offense with significant consequences. Here's a breakdown of the relevant laws and penalties:
Key Legislation:
Comprehensive Dangerous Drugs Act of 2002 (Republic Act No. 9165): This act forms the legal foundation for addressing this offense.
Specific Provisions:
Unlawful Prescription (Section 19): This section directly applies. It penalizes individuals who issue a prescription or any document purporting to be a prescription for any dangerous drug without being authorized by law.
Unlawful Activities:
Physicians issuing prescriptions for dangerous drugs:
Without a legitimate medical need: This applies even if the physician has a valid license. (Section 18)
Outside the scope of their practice: This could involve issuing prescriptions for drugs they are not qualified to prescribe.
For personal gain or as part of a drug trafficking operation.
Penalties:
Unlawful Prescription: This carries the harshest penalty:
Life Imprisonment to Death.
Fine: Ranging from Five hundred thousand pesos (P500,000.00) to Ten million pesos (P10,000,000.00).
Additional Considerations:
Unnecessary Prescription (Section 18): While not strictly "illegal," physicians who prescribe dangerous drugs without a valid medical reason face:
Imprisonment: Ranging from twelve (12) years and one (1) day to twenty (20) years.
Fine: Ranging from One hundred thousand pesos (P100,000.00) to Five hundred thousand pesos (P500,000.00).
Revocation of License to Practice Medicine: This can significantly impact the physician's career.</t>
  </si>
  <si>
    <t>What legal measures exist to combat the unauthorized prescription of controlled substances?</t>
  </si>
  <si>
    <t>The Philippines implements several legal measures to combat the unauthorized prescription of controlled substances:
Legislative Framework:
Comprehensive Dangerous Drugs Act of 2002 (Republic Act No. 9165): This act forms the cornerstone of the legal framework.
Section 18: Addresses unnecessary prescriptions by licensed medical practitioners.
Section 19: Penalizes unlawful prescriptions by individuals entirely lacking authorization.
Key Provisions:
Unnecessary Prescription: A licensed physician prescribing controlled substances without a valid medical reason faces:
Imprisonment: 12 to 20 years.
Fine: P100,000 to P500,000.
License Revocation: By the Professional Regulation Commission (PRC).
Unlawful Prescription: This applies to anyone (including medical professionals) issuing prescriptions for controlled substances without being authorized by law. Penalties include:
Life Imprisonment to Death.
Fine: P500,000 to P10 million.
Enforcement Agencies:
Philippine Drug Enforcement Agency (PDEA):
Investigates cases of suspected illegal drug activity, including unauthorized prescriptions.
Cooperates with other law enforcement agencies to apprehend individuals involved.
Professional Regulation Commission (PRC):
Oversees the licensing and regulation of medical professionals.
Imposes disciplinary actions, including license revocation, on medical practitioners found guilty of unethical conduct, such as unnecessary prescriptions.</t>
  </si>
  <si>
    <t>Under what circumstances can a person be charged with the crime of unlawful prescription of dangerous drugs by a dentist, veterinarian, or other authorized practitioners?</t>
  </si>
  <si>
    <t>In the Philippines, dentists, veterinarians, and other authorized practitioners can be charged with the crime of unlawful prescription of dangerous drugs under specific circumstances:
Key Legislation:
Comprehensive Dangerous Drugs Act of 2002 (Republic Act No. 9165): This act forms the legal foundation.
Provisions Addressing Unlawful Prescription:
Section 18 (Unnecessary Prescription): Applies to all licensed medical practitioners, including dentists and veterinarians.
This penalizes prescribing controlled substances to a patient without a valid medical need.
Section 19 (Unlawful Prescription): Applies more broadly.
This penalizes anyone (including authorized practitioners) who issues a prescription for controlled substances without being authorized by law to do so.
Circumstances Leading to Charges:
Prescribing without a legitimate medical reason:
This applies even if the practitioner has a valid license. Examples include:
Prescribing pain medication solely for recreational use.
Issuing prescriptions based on forged medical records.
Prescribing outside their scope of practice:
A veterinarian prescribing controlled substances typically used for human treatment.
Acting as part of an illegal drug operation:
Knowingly prescribing drugs that will be diverted for illegal purposes.
Penalties:
Unnecessary Prescription (Section 18):
Imprisonment: 12 to 20 years.
Fine: P100,000 to P500,000.
License Revocation by the PRC.
Unlawful Prescription (Section 19):
Life Imprisonment to Death.
Fine: P500,000 to P10 million.</t>
  </si>
  <si>
    <t>How does the law address incidents of unauthorized possession or sale of controlled precursors and essential chemicals?</t>
  </si>
  <si>
    <t>In the Philippines, the law strictly prohibits the unauthorized possession or sale of controlled precursors and essential chemicals. Here's a breakdown of the relevant legal provisions and penalties:
Key Legislation:
Comprehensive Dangerous Drugs Act of 2002 (Republic Act No. 9165): This act serves as the cornerstone legal framework.
Specific Provisions:
Section 9 (Illegal Chemical Diversion): This provision directly addresses the offense. It penalizes any person who, unless authorized by law:
Manufactures controlled precursors and essential chemicals.
Imports or exports them.
Delivers or distributes them.
Possesses them with intent to deliver.
Penalties:
Imprisonment: Ranging from twelve (12) years and one (1) day to twenty (20) years.
Fine: Ranging from One hundred thousand pesos (P100,000.00) to Five hundred thousand pesos (P500,000.00).</t>
  </si>
  <si>
    <t>What penalties are imposed for engaging in the illegal production or manufacture of controlled precursors and essential chemicals?</t>
  </si>
  <si>
    <t>The penalties for illegal production or manufacture of controlled precursors and essential chemicals are found in Republic Act No. 9165, also known as the Comprehensive Dangerous Drugs Act of 2002 [RA 9165].
Here's what the law says:
* **Section 8** prohibits the manufacture of controlled precursors and essential chemicals without authorization.
* **The penalty:** imprisonment ranging from twelve (12) years and one (1) day to twenty (20) years and a fine ranging from One hundred thousand pesos (P100,000.00) to Five hundred thousand pesos (P500,000.00) [RA 9165, Sec. 8]</t>
  </si>
  <si>
    <t>How is the offense of illegal diversion of controlled precursors and essential chemicals addressed under Philippine law?</t>
  </si>
  <si>
    <t>The offense of illegal diversion of controlled precursors and essential chemicals is directly addressed in Republic Act No. 9165, the Comprehensive Dangerous Drugs Act of 2002 [RA 9165].
Specifically, **Section 9** of RA 9165 focuses on this offense. It states that:
* **Illegal Diversion is Prohibited:** Any person who, **unless authorized by law**, illegally diverts any controlled precursor and essential chemical will be penalized.
*This means that only those with proper licenses and permits can handle these substances.*
* **Penalty for Diversion:** The penalty for illegal diversion is imprisonment ranging from twelve (12) years and one (1) day to twenty (20) years and a fine ranging from One hundred thousand pesos (P100,000.00) to Five hundred thousand pesos (P500,000.00) [RA 9165, Sec. 9].</t>
  </si>
  <si>
    <t>Under what circumstances can a person be charged with the crime of unauthorized importation or exportation of controlled precursors and essential chemicals?</t>
  </si>
  <si>
    <t>Philippine law treats the unauthorized importation and exportation of controlled precursors and essential chemicals seriously. The main act that governs this is Republic Act No. 9165 or the Comprehensive Dangerous Drugs Act of 2002 [RA 9165].
Here's how RA 9165 tackles unauthorized import/export of these chemicals:
* **Section 4(f):** Defines "Import" as the physical introduction of controlled precursors and essential chemicals into the Philippine customs territory that requires declaration [RA 9165, Sec. 4(f)].
* **Section 5:** Prohibits the importation and exportation of dangerous drugs and/or controlled precursors and essential chemicals **unless authorized by law**. This means a proper license and permit are necessary for any import or export activity involving these substances [RA 9165, Sec. 5].
* **Penalty:** The penalty for unauthorized importation or exportation is imprisonment ranging from twelve (12) years and one (1) day to twenty (20) years and a fine ranging from One hundred thousand pesos (P100,000.00) to Five hundred thousand pesos (P500,000.00) [RA 9165, Sec. 8].
**In essence, you can be charged with this crime if you import or export controlled precursors and essential chemicals without the necessary authorization from the proper Philippine authorities.**</t>
  </si>
  <si>
    <t>What legal provisions govern the crime of unlawful possession of dangerous drugs during parties or social gatherings?</t>
  </si>
  <si>
    <t>In the Philippines, the law that tackles unlawful possession of dangerous drugs during parties or social gatherings is Republic Act No. 9165 or the Comprehensive Dangerous Drugs Act of 2002 [RA 9165].
However, the specific provision isn't found in the main Act itself but in the Implementing Rules and Regulations (IRR) issued by the Dangerous Drugs Board (DDB).
Here's the relevant section:
* **IRR Section 13:** This section states that any person found possessing any dangerous drug during a party, social gathering, or meeting, or in the proximate company of at least two (2) persons, shall suffer the **maximum penalties provided for in Section 11 of the Act**, regardless of the quantity and purity of the dangerous drugs [IRR of RA 9165, Sec. 13].
**It's important to note that the IRR is a legal document with the force of law.**
**Key takeaway:** Possessing dangerous drugs at parties, social gatherings, or even with just two other people can lead to harsher penalties under Philippine law.</t>
  </si>
  <si>
    <t>How does the law address incidents of illegal drug use during public events or gatherings?</t>
  </si>
  <si>
    <t>Philippine law directly addresses illegal drug use during public events or gatherings through a combination of the Comprehensive Dangerous Drugs Act of 2002 (Republic Act No. 9165) [RA 9165] and the Implementing Rules and Regulations (IRR) issued by the Dangerous Drugs Board (DDB).
Here's a breakdown of the relevant legal aspects:
* **RA 9165 (Section 11):** This section defines and penalizes the **illegal possession and use of dangerous drugs**. The specific penalties depend on the quantity and purity of the drugs involved.
* **IRR Section 13:** This section goes a step further. It specifies that possessing dangerous drugs during a **party, social gathering, meeting, or in the proximate company of at least two (2) persons** will be penalized with the **maximum penalties** under Section 11 of RA 9165, regardless of the quantity or purity.
**Essentially, public events or gatherings are likely to be considered "social gatherings" under the IRR.** This means that if someone is caught using illegal drugs at such an event, they would face the **harshest penalties** prescribed by law for possession and use, irrespective of the amount or type of drug.
**Additional Points:**
* Philippine law enforcement officers have the authority to conduct searches and arrests at public events based on probable cause. This means if they have a reason to believe someone is using drugs, they can take action.
* Public officials and venue owners can also be held liable if they fail to take reasonable steps to prevent illegal drug use at events they organize or manage.
**Remember:** This is a simplified explanation, and the specific legal implications can vary depending on the circumstances. If you have any concerns, it's always best to consult with a qualified lawyer.</t>
  </si>
  <si>
    <t>What penalties apply for engaging in the crime of illegal drug use in schools, colleges, universities, or other educational institutions?</t>
  </si>
  <si>
    <t>While Philippine law doesn't have a specific penalty for illegal drug use solely within the educational setting, there are relevant laws and policies that can lead to sanctions. Here's a breakdown:
1. **Comprehensive Dangerous Drugs Act (RA 9165):** This main act (Republic Act No. 9165) defines and penalizes the illegal possession and use of dangerous drugs [RA 9165, Sec. 11]. The specific penalties depend on the quantity and purity of the drugs involved.
2. **Drug Abuse Prevention and Control Programs in Educational Institutions (RA 7622):** This law mandates educational institutions to establish and maintain programs that:
* Educate students about the dangers of illegal drugs.
* Encourage reporting of drug use.
* Provide rehabilitation for students involved in drugs. [RA 7622]
3. **Implementing Rules and Regulations (IRR) of RA 7622:** These rules, issued by the Dangerous Drugs Board (DDB), give educational institutions more authority to handle drug-related incidents. The specific penalties or sanctions imposed on students caught using drugs will depend on the individual school's policies and the severity of the offense. These policies **must be aligned with** RA 7622 and its IRR.
**Possible Sanctions by Educational Institutions:**
* **Counseling and Rehabilitation:** This is the primary focus under RA 7622. Schools aim to guide students towards recovery.
* **Suspension or Expulsion:** In more serious cases, or if a student fails to comply with rehabilitation programs, schools can resort to suspension or expulsion.
**Important to Note:**
* Educational institutions should follow **due process** when handling drug-related incidents. This ensures fairness and protects student rights.
* There may be variations in how different schools handle drug offenses. Students should be familiar with their specific school's policies.
**In conclusion, there's no single penalty under Philippine law for illegal drug use in educational institutions. However, schools have the authority to impose sanctions based on RA 7622 and their own policies, always prioritizing rehabilitation.**</t>
  </si>
  <si>
    <t>How is the offense of illegal drug use in public places or in the presence of a minor regulated and punished?</t>
  </si>
  <si>
    <t>The offense of illegal drug use in public places or in the presence of a minor is addressed through a combination of laws in the Philippines:
1. **Comprehensive Dangerous Drugs Act (RA 9165):** This is the main act (Republic Act No. 9165) that defines and penalizes the illegal possession and use of dangerous drugs [RA 9165, Sec. 11]. The specific penalties depend on the quantity and purity of the drugs involved.
2. **Implementing Rules and Regulations (IRR) of RA 9165:** These rules, issued by the Dangerous Drugs Board (DDB), specify harsher penalties for possessing dangerous drugs during social gatherings or in the company of at least two people (Section 13). This can be interpreted to include public places, depending on the circumstances.
**Public Places and the IRR:**
While the IRR doesn't explicitly mention "public places," courts may interpret gatherings in public spaces to fall under the scope of "social gatherings" with harsher penalties. **Presence of a Minor (RA 9165, Section 20):**
This section specifically aggravates the penalty for using illegal drugs if a minor (below 18 years old) or a mentally incapacitated person is present. In such cases, the **maximum penalty** under Section 11 of RA 9165 will be imposed.
**Key Points:**
* Using illegal drugs in public places can potentially lead to **harsher penalties** due to the "social gathering" interpretation of the IRR.
* Using drugs in the presence of a minor **always** carries a **maximum penalty** under RA 9165.
**Additional Considerations:**
* Law enforcement officers can conduct searches and arrests in public places based on probable cause if they suspect drug use.
* Public officials responsible for managing public spaces might be held liable if they fail to take reasonable steps to prevent illegal drug use.
**Remember:** This is a simplified explanation, and the specific legal implications can vary depending on the circumstances. If you have any concerns, it's always best to consult with a qualified lawyer.</t>
  </si>
  <si>
    <t>Under what circumstances can a person be charged with the crime of illegal drug use in public conveyances or transportation services?</t>
  </si>
  <si>
    <t>Philippine law treats illegal drug use in public conveyances or transportation services seriously. Here's how the law handles this offense:
* **Comprehensive Dangerous Drugs Act (RA 9165):** This is the main act (Republic Act No. 9165) that defines and penalizes the illegal possession and use of dangerous drugs [RA 9165, Sec. 11]. The specific penalties depend on the quantity and purity of the drugs involved.
* **Places Covered as Public Conveyances:** RA 9165 itself doesn't provide a specific list. However, legal interpretations and other laws imply that public conveyances include:
* Buses, trains, jeepneys, tricycles, and other passenger vehicles [Land Transportation Office (LTO) Memorandum Circular No. 2017-21]
* Ships and ferries [Philippine Coast Guard Law (RA 5917)]
* Airplanes [Republic Act No. 9702 or the Civil Aviation Authority of the Philippines Act]
**Essentially, any form of public transportation for passengers can be considered a public conveyance.**
* **Using Drugs in Public Conveyances:** If someone is caught using illegal drugs while on a public conveyance, they can be charged under RA 9165, facing penalties based on the quantity and purity of the drugs.
**Additional Considerations:**
* **Aggravating Circumstances:** The presence of a minor (below 18 years old) or a mentally incapacitated person during the offense can lead to a **maximum penalty** under RA 9165 (Section 20). * **Authority of Transport Personnel:** Transport personnel like drivers, conductors, or security officers have the authority to apprehend individuals suspected of illegal drug use and turn them over to law enforcement authorities. * **Search and Arrest:** Law enforcement officers can conduct searches and arrests on public conveyances based on probable cause. **Remember:** This is a simplified explanation, and the specific legal implications can vary depending on the circumstances. If you have any concerns, it's always best to consult with a qualified lawyer.</t>
  </si>
  <si>
    <t>What legal measures exist to combat the illegal drug use within the premises of a hotel, inn, motel, or resort?</t>
  </si>
  <si>
    <t>Philippine law doesn't have a single, specific legal provision solely focused on combating illegal drug use within hotels, inns, motels, or resorts. However, there are several laws and regulations that indirectly address the issue and empower these establishments to take action:
**1. Comprehensive Dangerous Drugs Act (RA 9165):**
* This is the main act (Republic Act No. 9165) that defines and penalizes the illegal possession and use of dangerous drugs [RA 9165, Sec. 11]. This applies to anyone caught using drugs within the premises, including guests and staff. Penalties depend on the quantity and purity of the drugs.
**2. Implementing Rules and Regulations (IRR) of RA 9165 (Section 13):**
* This section imposes harsher penalties for possessing dangerous drugs during social gatherings or in the company of at least two people. While not explicitly mentioned, some interpretations might extend this to drug use in hotel rooms with multiple occupants.
**3. Tourist Accommodation Establishments Act (RA 9593):**
* This law regulates the operations of tourist accommodation establishments (TAEs) like hotels, resorts, etc. [RA 9593].
**4. Department of Tourism (DOT) Accreditation Standards:**
* The Department of Tourism (DOT) sets accreditation standards for TAEs. These standards often include requirements for:
* Implementing security measures.
* Maintaining a safe and orderly environment.
* Having a mechanism for reporting suspicious activities. **Combating Drug Use:**
Based on the above, hotels, resorts, etc. can take proactive measures to discourage drug use:
* **Clear Policies:** Establish clear house rules that prohibit illegal drug use and outline consequences for violations. Communicate these policies to guests upon check-in.
* **Employee Training:** Train staff to identify potential signs of drug use and how to report them discreetly to management or law enforcement.
* **Security Measures:** Implement security measures like CCTV cameras in public areas and well-lit corridors.
* **Reporting System:** Establish a clear system for guests and staff to report suspicious activities anonymously.
* **Cooperation with Authorities:** Maintain open communication and cooperate with law enforcement if drug use is suspected.
**Remember:** While these measures help deter drug use, they may not completely eliminate it. If a crime occurs, it's crucial to involve the authorities.</t>
  </si>
  <si>
    <t>How does the law address incidents of illegal drug use in amusement or entertainment establishments?</t>
  </si>
  <si>
    <t>Philippine law tackles illegal drug use in amusement or entertainment establishments through a combination of legislation and regulations:
**1. Comprehensive Dangerous Drugs Act (RA 9165):**
* This is the main act (Republic Act No. 9165) that defines and penalizes the illegal possession and use of dangerous drugs [RA 9165, Sec. 11]. This applies to anyone caught using drugs within the premises, including patrons and staff. The penalties depend on the quantity and purity of the drugs found.
**2. Implementing Rules and Regulations (IRR) of RA 9165 (Section 13):**
This section is particularly relevant. It imposes harsher penalties for possessing dangerous drugs during social gatherings or in the company of at least two people. While not explicitly stated, some interpretations consider gatherings in amusement or entertainment establishments, like concerts or bars, to fall under this category. This means potentially **harsher penalties** for drug use in such settings. **3. Specific Laws for Different Establishments:**
* Some amusement or entertainment establishments might be subject to additional regulations depending on their specific nature. * For example, liquor establishments are regulated by the Department of Trade and Industry (DTI) and may have their licenses revoked for allowing drug use on their premises.
**4. Authority of Establishment Personnel:**
* Security personnel or staff of amusement/entertainment establishments have the right to:
* Enforce house rules prohibiting drug use.
* Remove patrons suspected of drug use from the premises.
* Report incidents to law enforcement.
**5. Law Enforcement Powers:**
* Law enforcement officers can conduct searches and arrests within these establishments based on probable cause if they suspect drug use. **Combating Drug Use in Establishments:**
Amusement and entertainment establishments can take proactive measures to deter drug use:
* **Clear Policies:** Implement clear house rules that prohibit illegal drug use and outline consequences for violations. Display these prominently and inform patrons upon entry.
* **Security Measures:** Invest in security personnel trained to identify potential drug use and maintain a safe environment. Utilize security cameras in public areas.
* **Cooperation with Authorities:** Establish clear procedures for reporting suspicious activities to law enforcement.
**Remember:** This is a simplified explanation, and the specific legal implications can vary depending on the circumstances. If you have any concerns, it's always best to consult with a qualified lawyer.</t>
  </si>
  <si>
    <t>What penalties are imposed for engaging in the crime of illegal drug use in cafes, bars, taverns, or other similar places?</t>
  </si>
  <si>
    <t>The Philippines has a strict stance against illegal drugs, and using them in public places like cafes, bars, taverns, or similar establishments can lead to several penalties. Here's a breakdown of the potential consequences:
**Main Legislation:**
* **Comprehensive Dangerous Drugs Act of 2002 (Republic Act No. 9165):** This is the primary law that governs the illegal drug trade, possession, and use in the Philippines.
**Focus on Illegal Drug Use:**
The law prohibits the use of any classified dangerous drugs or controlled substances listed in its schedules. Using these substances in public places like cafes, bars, etc., constitutes a violation.
**Potential Penalties:**
The penalties for illegal drug use depend on the specific circumstances and the quantity of drugs involved. However, in the context of using in public places, here are the general possibilities:
* **Administrative Sanctions:** The establishment (cafe, bar, etc.) might face **fines, closure orders, or revocation of licenses** for allowing illegal drug use on their premises. This is due to regulations from agencies like the Philippine Drug Enforcement Agency (PDEA) or local government units.
* **Criminal Charges:** The drug user themself could be charged under the Comprehensive Dangerous Drugs Act. The specific charges and penalties depend on:
* **First Offense:** For a first offense involving a small quantity of illegal drugs, the penalty can be **rehabilitation** under the supervision of a government-accredited facility. * **Subsequent Offenses or Larger Quantities:** Subsequent offenses or possession of larger quantities can lead to imprisonment ranging from **prision correccional** (minimum of 6 months and 1 day) to **reclusion perpetua** (life imprisonment) depending on the specific classification and amount of the drug.
**Additional Considerations:**
* **Police Action:** Police officers who witness illegal drug use can apprehend the user and confiscate the drugs.
* **Establishment Responsibility:** Establishments have a responsibility to maintain order and prevent illegal activities on their premises. They might face sanctions if they knowingly allow drug use. **Overall, the Philippines aims to deter illegal drug use through various penalties, including those targeting both the user and the establishments that allow it to happen.**
**It's important to note** that laws and their enforcement can change over time. Here are some resources for further information:
* Philippine Drug Enforcement Agency (PDEA): [invalid URL removed]
* Comprehensive Dangerous Drugs Act of 2002 (Republic Act No. 9165): You can find summaries of the law online, but the official source requires a paid subscription: [invalid URL removed]</t>
  </si>
  <si>
    <t>How is the offense of illegal drug use in a party or social gathering addressed under Philippine law?</t>
  </si>
  <si>
    <t>In the Philippines, the offense of illegal drug use in a party or social gathering is addressed under the Comprehensive Dangerous Drugs Act of 2002 (Republic Act No. 9165) and other relevant laws and regulations aimed at combating the illegal drug trade. Here's how the law addresses this offense:
1. **Comprehensive Dangerous Drugs Act of 2002 (RA 9165):**
- The Comprehensive Dangerous Drugs Act of 2002 prohibits the use of dangerous drugs or controlled substances without lawful authority. This includes the use of illegal drugs in any setting, including parties or social gatherings.
- Under the law, individuals found using illegal drugs at parties or social gatherings may face criminal charges and prosecution.
2. **Prohibition on Drug Use:**
- RA 9165 prohibits the use of dangerous drugs or controlled substances, regardless of the setting in which the drug use occurs. It is illegal to use illegal drugs in private residences, public places, entertainment venues, or any other location.
- The law does not exempt drug use in parties or social gatherings from its provisions, and individuals found using illegal drugs in such settings are subject to the same penalties as those found using drugs elsewhere.
3. **Law Enforcement and Prosecution:**
- Law enforcement agencies, such as the Philippine Drug Enforcement Agency (PDEA) and the Philippine National Police (PNP), are responsible for enforcing laws against illegal drug use, including monitoring parties and social gatherings for drug-related activities.
- Individuals found using illegal drugs at parties or social gatherings may be arrested, charged with drug offenses, and prosecuted in accordance with the law.
4. **Penalties:**
- The penalties for illegal drug use under RA 9165 are severe. Offenders may face imprisonment ranging from six months to 12 years, depending on the quantity and classification of the illegal drugs involved.
- In addition to imprisonment, fines may also be imposed on individuals convicted of illegal drug use.
5. **Preventive Measures:**
- To deter illegal drug use in parties or social gatherings, law enforcement agencies may conduct preventive measures, such as surveillance operations, drug awareness campaigns, and community outreach programs.
- These efforts aim to educate the public about the dangers of drug use, raise awareness of the legal consequences of drug-related offenses, and promote drug-free lifestyles.
Overall, the Comprehensive Dangerous Drugs Act of 2002 provides a comprehensive legal framework for addressing incidents of illegal drug use in parties or social gatherings in the Philippines. The law aims to deter drug-related offenses, protect public health and safety, and promote drug-free communities through effective enforcement, prosecution, and preventive measures.</t>
  </si>
  <si>
    <t>Under what circumstances can a person be charged with the crime of illegal drug use in open-air parks, streets, or other public places?</t>
  </si>
  <si>
    <t>The illegality of drug use in the Philippines is covered under two main laws:
* **Comprehensive Dangerous Drugs Act of 2002 (Republic Act No. 9165)**: This act classifies illegal drugs and outlines penalties for their use, possession, sale, cultivation, and manufacture.
* **Philippine Constitution (Article III, Section 1)**: This section guarantees the right to privacy, but it also recognizes the limitations on this right for promoting social order and public safety.
**Illegal drug use in public places can be charged under the following circumstances based on RA 9165:**
* **Section 15, Use of Dangerous Drugs:** This section penalizes the unauthorized use of any dangerous drug. While the location isn't explicitly mentioned, the act itself is illegal. Since public places are not private spaces, using illegal drugs there would be a violation.
* **Section 12, Possession of Dangerous Drugs:** If a person caught using illegal drugs in public has any amount on them, they can be charged with possession on top of use.
**The Philippine Constitution (Article III, Section 1) plays a role in establishing the legality of enforcement in public spaces:**
* **Balancing Act:** While the Constitution protects privacy, law enforcement officers can justify stopping or arresting someone suspected of illegal drug use in public places based on promoting public safety and order.
**In summary:**
Philippine law prohibits illegal drug use, and public spaces are not considered private areas. RA 9165 and the Constitution together establish the legal grounds for charging someone with this offense in a public setting.
**Important to remember:**
* This is a simplified explanation. Legal interpretations can be complex.
* Consulting a lawyer is highly recommended for any situation involving drug charges.</t>
  </si>
  <si>
    <t>What legal provisions govern the crime of unauthorized use of dangerous drugs during public protests, assemblies, or rallies?</t>
  </si>
  <si>
    <t>The unauthorized use of dangerous drugs during public protests, assemblies, or rallies is addressed by a combination of Philippine laws:
1. **Comprehensive Dangerous Drugs Act of 2002 (Republic Act No. 9165):**
- **Section 15 - Use of Dangerous Drugs:** This section penalizes the unauthorized use of any dangerous drug. The location itself (protest, assembly, rally) isn't a factor; the act of using illegal drugs is the crime.
2. **Philippine Constitution (Article III, Section 1):**
- **Right to Privacy:** This protects individuals from unreasonable searches and seizures. However, the right to privacy has limitations for promoting social order and public safety. 3. **Applicable Laws on Public Assemblies:** - The specific legal provisions governing public assemblies can vary depending on the nature of the event and any permits involved. Here are some possibilities:
- **Batas Pambansa Blg. 880 (Public Assembly Act of 1985):** This law outlines the process for obtaining permits for peaceful assemblies. While it doesn't directly address drug use, it establishes a framework for lawful gatherings.
- **Local government ordinances:** Cities and municipalities may have their own ordinances regulating public assemblies. These ordinances might include provisions related to maintaining order and safety during such events, which could indirectly address drug use.
**Key Points:**
* **Focus on Drug Use:** The core offense remains the unauthorized use of dangerous drugs under RA 9165, regardless of the location (protest, assembly, rally).
* **Law Enforcement Justification:** The right to privacy under the Constitution is balanced with the need to maintain public order and safety. This gives law enforcement legal grounds to intervene if they suspect illegal drug use during a public event.
* **Public Assembly Regulations:** While not directly addressing drug use, laws governing public assemblies (like Batas Pambansa Blg. 880) establish a framework for lawful gatherings and maintaining order, which could indirectly impact drug use during such events.
**Important to Remember:**
* This is a simplified explanation, and legal interpretations can be complex. * The specific legal considerations might vary depending on the details of the situation (type of assembly, permits involved, etc.).
* Consulting a lawyer is highly recommended for any legal issues involving drug charges or public assemblies.</t>
  </si>
  <si>
    <t>How does the law address incidents of illegal drug use in public transportation vehicles or terminals?</t>
  </si>
  <si>
    <t>The law in the Philippines tackles illegal drug use in public transportation vehicles or terminals through a combination of:
* **Comprehensive Dangerous Drugs Act of 2002 (Republic Act No. 9165):**
* **Section 15 - Use of Dangerous Drugs:** This section penalizes the unauthorized use of any dangerous drug, regardless of location. Public transportation falls under this umbrella.
* **Section 12 - Possession of Dangerous Drugs:** If caught using illegal drugs in a public transportation vehicle or terminal, and the person has any amount on them, they can be charged with possession on top of use.
* **Land Transportation Office (LTO) and Philippine Drug Enforcement Agency (PDEA) Initiatives:**
* These agencies work together to conduct **surprise drug testing** of public transport personnel (drivers, conductors) to ensure passenger safety. * LTO may also enforce regulations regarding **fitness to operate** a public transport vehicle, which could be impacted by drug use.
While no specific law explicitly mentions public transportation, RA 9165's focus on illegal drug use and the collaborative efforts of LTO and PDEA establish a clear stance against this offense in these settings.
**Here's a breakdown of the legal reasoning:**
* Public transportation vehicles and terminals are **public spaces**. The right to privacy under the Philippine Constitution (Article III, Section 1) is limited in such spaces to ensure public safety and order.
* Using illegal drugs in these areas violates RA 9165's Section 15.
**Additional Considerations:**
* Public transportation operators might have their own **internal policies** regarding drug use by passengers or personnel. These policies can be stricter than the law itself and could result in getting kicked off the vehicle or even a ban from using the service.
***Reporting suspected drug use** to the authorities (conductors, security personnel) is encouraged to ensure passenger safety and allow law enforcement to take action.
**Remember:** * This is a simplified explanation, and legal interpretations can be complex.
* Consulting a lawyer is highly recommended for any legal issues involving drug charges on public transportation.</t>
  </si>
  <si>
    <t>What penalties apply for engaging in the crime of illegal drug use in public facilities or government-owned premises?</t>
  </si>
  <si>
    <t>The penalties for illegal drug use in public facilities or government-owned premises stem from the **Comprehensive Dangerous Drugs Act of 2002 (Republic Act No. 9165)**, specifically:
* **Section 15 - Use of Dangerous Drugs:** This section outlines the penalties for the unauthorized use of any dangerous drug. The penalty depends on whether it's a first, second, or subsequent offense:
* **First Offense:** **Imprisonment of six (6) months to four (4) years** and a fine ranging from **Five Hundred Thousand Pesos (PhP 500,000.00) to One Million Pesos (PhP 1,000,000.00)**.
* **Second Offense:** **Imprisonment of four (4) years and two (2) days to twelve (12) years** and a fine ranging from **One Million Pesos (PhP 1,000,000.00) to Two Million Pesos (PhP 2,000,000.00)**.
* **Third Offense:** **Life imprisonment** and a fine ranging from **Three Million Pesos (PhP 3,000,000.00) to Four Million Pesos (PhP 4,000,000.00)**.
**Important Points:**
* The location of the drug use (public facility, government-owned premise) doesn't alter the base penalty under RA 9165. * However, some public facilities or government agencies might have their own **administrative penalties** on top of the criminal charges.
**Additional Considerations:**
* **Section 12 - Possession of Dangerous Drugs:** If caught using illegal drugs and found to be in possession of any amount, the person might face additional charges and penalties under this section.
**Remember:**
* This is a simplified explanation, and legal interpretations can be complex.
* The specific penalties can vary depending on the circumstances of the case (type of drug, quantity, etc.). * Consulting a lawyer is highly recommended for any situation involving drug charges.</t>
  </si>
  <si>
    <t>How is the offense of illegal drug use in public markets, plazas, or other similar areas regulated and punished?</t>
  </si>
  <si>
    <t>Illegal drug use in public markets, plazas, or similar areas is regulated and punished under the interplay of two key Philippine laws:
1. **Comprehensive Dangerous Drugs Act of 2002 (Republic Act No. 9165):** This is the primary legislation addressing illegal drugs in the Philippines.
* **Section 15 - Use of Dangerous Drugs:** This section penalizes the unauthorized use of any dangerous drug. Public markets, plazas, and similar areas are considered public spaces, and using illegal drugs there falls under this prohibition. 2. **Philippine Constitution (Article III, Section 1):** This section guarantees the right to privacy, but it also recognizes limitations for promoting social order and public safety.
**Here's how these laws work together:**
* **Public vs. Private:** Public markets, plazas, and similar areas are not considered private spaces where individuals have a heightened expectation of privacy. Therefore, using illegal drugs in these locations violates RA 9165's Section 15. * **Law Enforcement Justification:** The right to privacy is balanced with the need to maintain public safety. This allows law enforcement to intervene if they suspect illegal drug use in these public spaces to ensure order and safety.
**Penalties:**
The penalties for illegal drug use in public markets, plazas, or similar areas are the same as for any instance of unauthorized drug use under RA 9165 (Section 15):
* **First Offense:** Imprisonment of six (6) months to four (4) years and a fine ranging from Five Hundred Thousand Pesos (PhP 500,000.00) to One Million Pesos (PhP 1,000,000.00).
* **Second Offense:** Imprisonment of four (4) years and two (2) days to twelve (12) years and a fine ranging from One Million Pesos (PhP 1,000,000.00) to Two Million Pesos (PhP 2,000,000.00).
* **Third Offense:** Life imprisonment and a fine ranging from Three Million Pesos (PhP 3,000,000.00) to Four Million Pesos (PhP 4,000,000.00).
**Additional Considerations:**
* **Local Ordinances:** Some cities and municipalities may have their own ordinances regarding public conduct in markets, plazas, and similar areas. These ordinances might include provisions related to maintaining order and safety, which could indirectly address drug use. Violating such ordinances could result in additional penalties.
* **Administrative Penalties:** The management of public markets or plazas might have their own internal rules and regulations. Breaking these rules, like drug use, could lead to administrative penalties like being banned from the premises.
**Remember:**
* This is a simplified explanation, and legal interpretations can be complex.
* The specific circumstances of the case (type of drug, quantity, etc.) can influence the legalities. * Consulting a lawyer is highly recommended for any situation involving drug charges.</t>
  </si>
  <si>
    <t>Under what circumstances can a person be charged with the crime of illegal drug use in public restrooms or comfort rooms?</t>
  </si>
  <si>
    <t>Philippine law considers illegal drug use in public restrooms or comfort rooms a crime under the **Comprehensive Dangerous Drugs Act of 2002 (Republic Act No. 9165)**, specifically:
* **Section 15 - Use of Dangerous Drugs:** This section penalizes the unauthorized use of any dangerous drug. Public restrooms, while offering some privacy, are not considered private spaces where individuals have an absolute expectation of privacy under the Philippine Constitution (Article III, Section 1).
**Key Points:**
* **Public vs. Private:** Restrooms are intended for a specific purpose and are not considered entirely private. The expectation of privacy is limited to using the facilities themselves.
* **Law Enforcement Justification:** Maintaining public safety and order allows law enforcement to intervene if they have probable cause to suspect illegal drug use in a public restroom. This probable cause could involve factors like suspicious behavior, witnessing drug paraphernalia, or receiving reports from others.
**Getting Charged:**
Here's when someone might be charged with illegal drug use in a public restroom:
* **Caught in the Act:** If law enforcement officers witness someone using illegal drugs in a public restroom, they can make an arrest.
* **Possession of Drugs:** If someone is caught using drugs and also found to be in possession of any amount of illegal drugs, they could face additional charges under Section 12 of RA 9165 (Possession of Dangerous Drugs).
* **Probable Cause:** Even without witnessing the actual use, officers with probable cause (like drug paraphernalia or user behavior) can conduct a search or arrest, leading to charges.
**Important to Remember:**
* This is a simplified explanation, and legal interpretations can be complex.
* The specific circumstances (witnessing the act, possession, probable cause) play a role in how the case unfolds. * Consulting a lawyer is highly recommended for any situation involving drug charges.</t>
  </si>
  <si>
    <t>What legal measures exist to combat the illegal drug use in public spaces near schools, colleges, and universities?</t>
  </si>
  <si>
    <t>To combat illegal drug use in public spaces near schools, colleges, and universities in the Philippines, various legal measures and regulations are implemented to prevent drug-related activities and promote a drug-free environment conducive to learning and safety. Here are some of the legal measures in place:
1. **Comprehensive Dangerous Drugs Act of 2002 (RA 9165):**
- The Comprehensive Dangerous Drugs Act of 2002 prohibits the use, sale, distribution, and possession of dangerous drugs or controlled substances within specified drug-free zones, including areas near schools, colleges, and universities.
- Under the law, individuals found engaging in illegal drug-related activities within these drug-free zones may face enhanced penalties.
2. **Creation of Drug-Free Zones:**
- Local government units (LGUs) and educational institutions may establish drug-free zones around schools, colleges, and universities to deter illegal drug activities and protect students and faculty from exposure to drugs.
- These drug-free zones are designated areas where stricter enforcement measures are implemented to prevent drug-related offenses and promote a safe and healthy environment for learning.
3. **Increased Police Presence and Surveillance:**
- Law enforcement agencies, such as the Philippine National Police (PNP) and the Philippine Drug Enforcement Agency (PDEA), may deploy additional personnel and conduct regular patrols and surveillance operations in public spaces near educational institutions to prevent and deter illegal drug activities.
- Increased police presence helps to deter drug-related offenses and provides a sense of security for students, faculty, and the surrounding community.
4. **Drug Awareness and Prevention Programs:**
- Educational institutions, in collaboration with government agencies and non-governmental organizations (NGOs), may implement drug awareness and prevention programs to educate students, faculty, and parents about the dangers of illegal drug use and promote drug-free lifestyles.
- These programs may include drug education seminars, workshops, peer counseling, and community outreach initiatives aimed at raising awareness and fostering a supportive environment for drug prevention and intervention.
5. **Community Engagement and Collaboration:**
- Combatting illegal drug use near schools, colleges, and universities requires the active involvement and collaboration of various stakeholders, including government agencies, law enforcement, educational institutions, parents, students, and community members.
- Community engagement efforts, such as neighborhood watch programs, volunteer patrols, and information campaigns, help mobilize support and resources to address drug-related issues effectively.
6. **Strict Enforcement of Laws and Regulations:**
- Authorities enforce existing laws and regulations, such as the Comprehensive Dangerous Drugs Act of 2002 and local ordinances, to crack down on illegal drug activities near educational institutions.
- Strict enforcement measures, including arrests, prosecution, and penalties for offenders, send a clear message that illegal drug use will not be tolerated in public spaces, particularly those near schools, colleges, and universities.
Overall, the implementation of these legal measures, along with proactive community engagement and collaboration, plays a crucial role in combating illegal drug use in public spaces near educational institutions in the Philippines. By promoting a drug-free environment and fostering a culture of prevention and intervention, stakeholders work together to protect the well-being and safety of students, faculty, and the broader community.</t>
  </si>
  <si>
    <t>How does the law address incidents of illegal drug use in public spaces near healthcare facilities?</t>
  </si>
  <si>
    <t>Several Philippine laws address illegal drug use in public spaces near healthcare facilities:
1. **Comprehensive Dangerous Drugs Act (R.A. 9165):** This is the primary law against illegal drugs. It criminalizes the manufacture, possession, sale, distribution, and use of dangerous drugs and controlled chemicals [R.A. 9165].
2. **Philippine Constitution (Article II, Section 15):** The Constitution guarantees the right to health. Illegal drug use near healthcare facilities can be seen as a violation of this right as it can create a negative environment for patients seeking medical attention [Constitution of the Republic of the Philippines].
3. **Local Government Code (R.A. 7160):** This empowers local government units (LGUs) to enact ordinances to maintain peace and order within their jurisdictions. LGUs can pass ordinances specifically prohibiting illegal drug use in public spaces, including areas near healthcare facilities [R.A. 7160].
**Here's how these laws work together:**
* R.A. 9165 establishes the crime of illegal drug use.
* The Constitution protects the right to health, potentially violated by drug use near healthcare facilities.
* R.A. 7160 allows LGUs to create ordinances against public drug use, including near healthcare facilities.
**Important to note:**
* Specific penalties for illegal drug use depend on the type and quantity of drugs involved [R.A. 9165].
* LGU ordinances may impose additional penalties for violating public use restrictions [R.A. 7160].
**Additional Resources:**
* Dangerous Drugs Board (Philippines): [https://ddb.gov.ph/](https://ddb.gov.ph/)
I hope this clarifies how Philippine law addresses illegal drug use near healthcare facilities. Remember, this is a general overview, and consulting a lawyer is recommended for specific situations.</t>
  </si>
  <si>
    <t>What penalties are imposed for engaging in the crime of illegal drug use in public spaces near government offices?</t>
  </si>
  <si>
    <t>Philippine law doesn't have a single, specific penalty for illegal drug use solely based on proximity to government offices. However, two main laws come into play:
1. **Comprehensive Dangerous Drugs Act (R.A. 9165):** This act defines and penalizes the use of illegal drugs. The penalty depends on the type and quantity of the illegal drug involved [R.A. 9165].
2. **Local Government Code (R.A. 7160):** This empowers Local Government Units (LGUs) to enact ordinances for maintaining peace and order, including prohibiting activities like drug use in public spaces [R.A. 7160].
Here's how these intertwine:
* **R.A. 9165 sets the base penalty:** Possession or use of illegal drugs comes with a penalty depending on the type and amount. * **LGU ordinances might add penalties:** Cities and municipalities can enact ordinances that specifically prohibit drug use in public areas, including those near government offices. These ordinances might impose additional fines or penalties on top of the base penalty from R.A. 9165.
**In short:**
* You'll be penalized based on the type and quantity of the illegal drug according to R.A. 9165.
* There could be additional penalties depending on the specific ordinance of the LGU where the offense occurred (check with your local city/municipal hall for their ordinances).
**Recommendations:**
* To know the exact penalty for illegal drug use near government offices in your area, research the specific ordinances of your local city or municipality.
* For legal advice on a specific situation, consult a qualified Philippine lawyer.</t>
  </si>
  <si>
    <t>How is the offense of illegal drug use in public transportation or conveyances addressed under Philippine law?</t>
  </si>
  <si>
    <t>Philippine law addresses illegal drug use in public transportation or conveyances through a combination of the following:
1. **Comprehensive Dangerous Drugs Act (R.A. 9165):** This is the main law against illegal drugs. It criminalizes the use of dangerous drugs and controlled chemicals, regardless of location [R.A. 9165]. The penalty depends on the type and quantity of the illegal drug involved.
2. **Land Transportation and Franchising Regulatory Board (LTFRB) Memorandum Circulars:** The LTFRB issues guidelines for public transportation operators. These circulars often prohibit illegal drug use inside public conveyances [LTFRB Memorandum Circulars]. **Here's how these work together:**
* R.A. 9165 establishes the crime of illegal drug use and sets the penalties based on the type and quantity of drugs.
* LTFRB Memorandum Circulars create specific regulations for public transportation, often prohibiting drug use within conveyances. **Important Points:**
* Penalties for violating LTFRB circulars can include fines or suspension of the franchise for the transportation operator [LTFRB Memorandum Circulars]. These are separate from the penalties under R.A. 9165 for the actual drug use.
* Passengers who use illegal drugs inside public transportation can be apprehended and face charges under R.A. 9165.
**Finding Specific LTFRB Regulations:**
Since LTFRB regulations are issued through circulars, they're not readily available in a single codified law. Here are some ways to find relevant information:
* **LTFRB Website:** You can search the LTFRB website ([https://ltfrb.gov.ph/](https://ltfrb.gov.ph/)) for relevant circulars related to passenger conduct.
* **News Articles:** News articles often report on LTFRB pronouncements regarding regulations for public transportation.
* **Lawyers or Legal Groups:** Lawyers specializing in transportation law or legal groups focused on public safety might have access to the specific LTFRB circulars on this topic.
**In conclusion:**
Philippine law treats illegal drug use in public transportation seriously. You can face penalties under R.A. 9165 and potentially additional consequences based on LTFRB regulations.</t>
  </si>
  <si>
    <t>Under what circumstances can a person be charged with the crime of illegal drug use in public spaces near cultural heritage sites?</t>
  </si>
  <si>
    <t>Philippine law doesn't have a specific crime solely for illegal drug use near cultural heritage sites. However, you could be charged under a combination of laws depending on the situation:
1. **Comprehensive Dangerous Drugs Act (R.A. 9165):** This is the primary law against illegal drugs. It criminalizes the use of dangerous drugs and controlled chemicals, regardless of location [R.A. 9165]. The penalty depends on the type and quantity of the illegal drug involved.
2. **Local Government Code (R.A. 7160):** This empowers Local Government Units (LGUs) to enact ordinances to maintain peace and order within their jurisdictions. LGUs can pass ordinances specifically prohibiting illegal drug use in public spaces, which might include areas near cultural heritage sites [R.A. 7160].
**Here's how these might apply:**
* **R.A. 9165 establishes the base offense:** Using illegal drugs in any public space, including near cultural heritage sites, violates this law.
* **LGU ordinances might strengthen the law:** Specific city or municipal ordinances could prohibit drug use near cultural heritage sites and impose additional penalties on top of the base penalty from R.A. 9165.
**Getting Charged:**
Law enforcement can charge you with illegal drug use if they catch you using drugs in a public space near a cultural heritage site. The specific charges would depend on:
* **Type and quantity of drugs:** The penalty under R.A. 9165 varies depending on the type and amount of the illegal drug involved. * **Presence of an LGU ordinance:** If a relevant LGU ordinance exists, you could face additional fines or penalties for violating it.
**Recommendations:**
* To know if there's a specific ordinance against drug use near cultural heritage sites in your area, research the ordinances of your local city or municipality.
* If caught using illegal drugs near a cultural heritage site, cooperate with law enforcement. * For legal advice on a specific situation, consult a qualified Philippine lawyer.</t>
  </si>
  <si>
    <t>What legal provisions govern the crime of unauthorized possession, sale, or use of controlled precursors and essential chemicals in laboratories or clandestine laboratories?</t>
  </si>
  <si>
    <t>The crime of unauthorized possession, sale, or use of controlled precursors and essential chemicals in laboratories or clandestine laboratories in the Philippines is governed by the Comprehensive Dangerous Drugs Act of 2002 (Republic Act No. 9165). This law provides specific provisions to regulate the possession, sale, distribution, and use of controlled precursors and essential chemicals, particularly in the context of illegal drug manufacturing or production. Here are the key legal provisions:
1. **Regulation of Precursors and Essential Chemicals:**
- The Comprehensive Dangerous Drugs Act of 2002 regulates the possession, sale, distribution, and use of controlled precursors and essential chemicals, which are substances used in the manufacture, production, or processing of dangerous drugs.
- Controlled precursors and essential chemicals include substances such as ephedrine, pseudoephedrine, acetic anhydride, and other chemicals commonly used in the production of illegal drugs.
2. **Prohibition on Unauthorized Possession, Sale, or Use:**
- RA 9165 prohibits the unauthorized possession, sale, distribution, or use of controlled precursors and essential chemicals without lawful authority.
- Individuals found engaging in these activities without proper authorization may face criminal charges and prosecution under the law.
3. **Enhanced Penalties for Laboratories or Clandestine Laboratories:**
- The law provides for enhanced penalties for offenses involving the possession, sale, or use of controlled precursors and essential chemicals in laboratories or clandestine laboratories used for illegal drug manufacturing or production.
- Offenders may face increased penalties, including higher fines and longer terms of imprisonment, for operating or being involved in clandestine laboratories.
4. **Seizure and Forfeiture of Precursors and Essential Chemicals:**
- Law enforcement authorities have the power to seize controlled precursors and essential chemicals found in laboratories or clandestine laboratories used for illegal drug production.
- Seized substances may be used as evidence in criminal proceedings, and assets derived from or used in the commission of the offense may be subject to forfeiture to the government.
5. **Law Enforcement and Prosecution:**
- Law enforcement agencies, such as the Philippine Drug Enforcement Agency (PDEA) and the Philippine National Police (PNP), are responsible for enforcing laws related to controlled precursors and essential chemicals.
- Cases involving unauthorized possession, sale, or use of these substances are brought before the courts, where prosecutors present evidence against the accused, and legal proceedings are conducted in accordance with due process and the rule of law.
Overall, the Comprehensive Dangerous Drugs Act of 2002 provides a comprehensive legal framework for regulating the possession, sale, distribution, and use of controlled precursors and essential chemicals, particularly in laboratories or clandestine laboratories involved in illegal drug manufacturing or production. The law aims to prevent the diversion of these substances for illicit purposes and disrupt the operations of drug syndicates engaged in illegal drug production.</t>
  </si>
  <si>
    <t>How does the law address incidents of illegal drug manufacturing or production in residential areas or neighborhoods?</t>
  </si>
  <si>
    <t>The Philippine law addresses incidents of illegal drug manufacturing or production in residential areas through various regulations and acts:
1. **Republic Act No. 10918**: This act regulates and modernizes the practice of pharmacy in the Philippines. It stipulates that the application for opening and operating a retail drug outlet or similar business establishments must adhere to specific guidelines, including the supervision of duly registered and licensed pharmacists, adherence to Good Manufacturing Practice, and compliance with dispensing guidelines[1].
2. **Republic Act No. 9165**: Known as the Comprehensive Dangerous Drugs Act of 2002, this law imposes penalties for various drug-related offenses, including unlawful importation, sale, trading, administration, dispensation, delivery, distribution, transportation, or manufacture of dangerous drugs[2].
The Philippine government continues to combat drug abuse and trafficking through the efforts of agencies like the Philippine Drug Enforcement Agency (PDEA). PDEA enforces Republic Act No. 9165 to address the growing drug abuse problem in the country by deploying drug enforcement officers and forensic chemists to curb drug-related crimes[5]. Additionally, PDEA promotes interagency coordination during major operations to enhance enforcement efforts against drug trafficking[5].</t>
  </si>
  <si>
    <t>What penalties apply for engaging in the crime of illegal drug trafficking within 100 meters of a school, college, or university?</t>
  </si>
  <si>
    <t>Engaging in the crime of illegal drug trafficking within 100 meters of a school, college, or university in the Philippines carries severe penalties under Republic Act No. 9165, the Comprehensive Dangerous Drugs Act of 2002. The penalties for drug trafficking near educational institutions are as follows:
- **First Offense**: Not less than 10 years and not more than life imprisonment. If death or serious injury occurs, life imprisonment is imposed. A fine of not more than $10 million if an individual, $50 million if not an individual.
- **Second Offense**: Not less than 20 years and not more than life imprisonment. If death or serious injury occurs, life imprisonment is mandated. A fine of not more than $20 million if an individual, $75 million if not an individual.
- **2 or More Prior Offenses**: Life imprisonment. A fine of not more than $20 million if an individual, $75 million if not an individual.
These penalties are applicable for drug trafficking offenses involving specific substances and quantities within the proximity of schools, colleges, or universities in the Philippines[2].</t>
  </si>
  <si>
    <t>How is the offense of illegal drug manufacturing or production in places of worship regulated and punished?</t>
  </si>
  <si>
    <t>The Philippine law does not specifically address the offense of illegal drug manufacturing or production in places of worship. However, the Revised Penal Code of the Philippines does provide penalties for interfering with religious worship, such as preventing or disturbing ceremonies or manifestations of any religion, which can be punished with prision correccional in its minimum period[1]. Additionally, the Comprehensive Dangerous Drugs Act of 2002 penalizes the unlawful sale, trading, administration, dispensation, delivery, distribution, transportation, or manufacture of any dangerous drug[2].
The penalties for drug-related offenses, such as manufacturing or production, can range from prision correccional in its medium and maximum periods to life imprisonment, depending on the specific offense and the quantity of the drug involved[2]. The penalties for drug trafficking near educational institutions are particularly severe, with life imprisonment being the maximum penalty for repeat offenders[2].
However, the law does not explicitly mention the offense of drug manufacturing or production in places of worship. It is essential to consult with a legal expert or refer to the specific laws and regulations in the Philippines for a more accurate interpretation of the penalties for such offenses.</t>
  </si>
  <si>
    <t>Under what circumstances can a person be charged with the crime of illegal drug trafficking in public markets, plazas, or other similar areas?</t>
  </si>
  <si>
    <t>The offense of illegal drug trafficking in public markets, plazas, or similar areas can lead to charges under Philippine law. The penalties and circumstances surrounding this crime are governed by the Comprehensive Dangerous Drugs Act of 2002 (Republic Act No. 9165). According to this act:
- Drug trafficking in public markets, plazas, or similar areas is considered a serious offense that carries severe penalties.
- Individuals engaged in drug trafficking activities in these public spaces can face imprisonment ranging from 12 years and one day to life imprisonment, depending on the quantity of drugs involved and other aggravating circumstances[5].
- The law aims to combat the distribution and sale of illegal drugs in public areas to protect communities from the harmful effects of drug abuse and trafficking.
It is crucial to adhere to the provisions of Republic Act No. 9165 to prevent and address drug-related crimes effectively in public spaces like markets and plazas.
[5] https://www.ddb.gov.ph/images/downloads/Revised_PADS_as_of_Nov_9_2018.pdf</t>
  </si>
  <si>
    <t>What legal measures exist to combat the illegal drug trafficking in public spaces near healthcare facilities?</t>
  </si>
  <si>
    <t>The legal measures to combat illegal drug trafficking in public spaces near healthcare facilities in the Philippines are primarily governed by the Comprehensive Dangerous Drugs Act of 2002 (Republic Act No. 9165). This law imposes penalties for drug-related offenses, such as the unlawful sale, trading, administration, dispensation, delivery, distribution, transportation, or manufacture of any dangerous drug[2].
The Philippine Drug Enforcement Agency (PDEA) is the lead counternarcotics enforcement agency responsible for enforcing Republic Act 9165 to curb the growing problem of drug abuse in the country[3]. PDEA employs drug enforcement officers, forensic chemists, and drug detecting canines (K9) to assist in combating drug trafficking[3].
In addition to PDEA, other law enforcement agencies, such as the Philippine National Police (PNP), National Bureau of Investigation (NBI), Bureau of Customs, and Bureau of Immigration, collaborate to intercept and prosecute drug trafficking activities[3]. The Philippines also provides mutual legal assistance and extradition in criminal matters related to drug trafficking[3].
To address the issue of drug trafficking in public spaces near healthcare facilities, it is essential to enforce the provisions of Republic Act No. 9165 and ensure that law enforcement agencies work together effectively to combat drug-related crimes in these areas.</t>
  </si>
  <si>
    <t>How does the law address incidents of illegal drug trafficking in public spaces near government offices?</t>
  </si>
  <si>
    <t>The Philippine law addresses incidents of illegal drug trafficking in public spaces near government offices through various legal measures and enforcement actions. The Comprehensive Dangerous Drugs Act of 2002 (Republic Act No. 9165) plays a crucial role in combating drug trafficking in public areas. This act imposes penalties for drug-related offenses, including the unlawful sale, trading, administration, dispensation, delivery, distribution, transportation, or manufacture of dangerous drugs[2].
Law enforcement agencies in the Philippines, such as the Philippine Drug Enforcement Agency (PDEA), work to enforce Republic Act No. 9165 and combat drug trafficking activities near government offices and other public spaces. PDEA collaborates with other agencies like the Philippine National Police (PNP), National Bureau of Investigation (NBI), Bureau of Customs, and Bureau of Immigration to intercept and prosecute drug trafficking activities[3].
Efforts to address drug trafficking near government offices involve effective interagency coordination and enforcement actions to prevent the distribution and sale of illegal drugs in these sensitive areas. By enforcing existing laws and enhancing collaboration between law enforcement agencies, the Philippines aims to curb drug-related crimes in public spaces near government facilities.</t>
  </si>
  <si>
    <t>What penalties are imposed for engaging in the crime of illegal drug trafficking in public transportation vehicles or terminals?</t>
  </si>
  <si>
    <t>In the Philippines, engaging in the crime of illegal drug trafficking in public transportation vehicles or terminals is considered a serious offense. The penalties for such offenses are governed by the Comprehensive Dangerous Drugs Act of 2002 (Republic Act No. 9165). The act imposes penalties for drug-related offenses, such as the unlawful sale, trading, administration, dispensation, delivery, distribution, transportation, or manufacture of any dangerous drug[2].
The Philippine Drug Enforcement Agency (PDEA) is responsible for enforcing Republic Act No. 9165 to combat drug trafficking in the country[3]. PDEA collaborates with other law enforcement agencies, such as the Philippine National Police (PNP), National Bureau of Investigation (NBI), Bureau of Customs, and Bureau of Immigration, to intercept and prosecute drug trafficking activities[3].
The penalties for drug trafficking in public transportation vehicles or terminals can range from prision correccional in its medium and maximum periods to life imprisonment, depending on the specific offense and the quantity of the drug involved[2]. The penalties for drug trafficking near educational institutions are particularly severe, with life imprisonment being the maximum penalty for repeat offenders[2].
To address the issue of drug trafficking in public transportation vehicles or terminals, it is essential to enforce the provisions of Republic Act No. 9165 and ensure that law enforcement agencies work together effectively to combat drug-related crimes in these areas.</t>
  </si>
  <si>
    <t>How is the offense of illegal drug trafficking in public spaces near cultural heritage sites addressed under Philippine law?</t>
  </si>
  <si>
    <t>The offense of illegal drug trafficking in public spaces near cultural heritage sites in the Philippines is addressed under the Comprehensive Dangerous Drugs Act of 2002 (Republic Act No. 9165) and other relevant laws and regulations aimed at combating the illegal drug trade. While there may not be specific provisions within Philippine law that explicitly mention cultural heritage sites, drug trafficking offenses occurring in public spaces, including those near cultural heritage sites, are subject to the same legal framework as other drug-related offenses. Here's how the law addresses this issue:
1. **Comprehensive Dangerous Drugs Act of 2002 (RA 9165):**
- The Comprehensive Dangerous Drugs Act of 2002 is the primary law governing the illegal drug trade in the Philippines. It prohibits various drug-related activities, including trafficking, distribution, sale, and possession of dangerous drugs or controlled substances.
- Under the law, illegal drug trafficking in public spaces near cultural heritage sites is considered a criminal offense, punishable by severe penalties, including imprisonment and fines.
2. **Prohibition on Drug Trafficking:**
- RA 9165 prohibits the trafficking, distribution, sale, and transportation of dangerous drugs or controlled substances without lawful authority, regardless of the location where the offense occurs.
- This prohibition encompasses all public spaces, including areas near cultural heritage sites, where illegal drug trafficking activities may occur.
3. **Enhanced Penalties for Aggravating Circumstances:**
- The law provides for enhanced penalties for drug trafficking offenses involving aggravating circumstances, such as the proximity of the offense to cultural heritage sites.
- Trafficking drugs near cultural heritage sites may aggravate the offense due to the potential impact on public safety, tourism, and cultural preservation.
4. **Law Enforcement and Prosecution:**
- Law enforcement agencies, such as the Philippine Drug Enforcement Agency (PDEA) and the Philippine National Police (PNP), are responsible for investigating and prosecuting cases of illegal drug trafficking, including those occurring near cultural heritage sites.
- Cases are brought before the courts, where prosecutors present evidence against the accused, and legal proceedings are conducted in accordance with due process and the rule of law.
5. **Community Awareness and Engagement:**
- Local communities, government agencies, and law enforcement authorities may collaborate to raise awareness about the dangers of drug trafficking near cultural heritage sites and implement measures to prevent and deter such activities.
- Community engagement efforts may include public awareness campaigns, neighborhood watch programs, and collaboration with cultural heritage organizations to protect and preserve cultural sites from drug-related threats.
Overall, while there may not be specific provisions addressing drug trafficking near cultural heritage sites, existing laws and regulations provide a comprehensive legal framework for addressing illegal drug activities in public spaces, including those near culturally significant areas. By enforcing the law, raising awareness, and engaging with local communities, stakeholders work together to protect cultural heritage sites and promote a safe and drug-free environment for all.</t>
  </si>
  <si>
    <t>Under what circumstances can a person be charged with the crime of illegal drug trafficking in public spaces near schools, colleges, and universities?</t>
  </si>
  <si>
    <t>In the Philippines, a person can be charged with the crime of illegal drug trafficking in public spaces near schools, colleges, and universities under the Comprehensive Dangerous Drugs Act of 2002 (Republic Act No. 9165). The act imposes penalties for drug-related offenses, including the unlawful sale, trading, administration, dispensation, delivery, distribution, transportation, or manufacture of any dangerous drug[5].
Specifically, engaging in drug trafficking near educational institutions can lead to severe penalties, including imprisonment ranging from 12 years and one day to life imprisonment, depending on the quantity of drugs involved and other aggravating circumstances[5]. The law aims to protect educational environments from the harmful effects of drug trafficking and abuse by imposing strict penalties on offenders operating in close proximity to schools, colleges, and universities.</t>
  </si>
  <si>
    <t>What legal provisions govern the crime of unauthorized possession, sale, or use of controlled precursors and essential chemicals in laboratories or clandestine laboratories located within 100 meters of a school, college, or university?</t>
  </si>
  <si>
    <t>The crime of unauthorized possession, sale, or use of controlled precursors and essential chemicals in laboratories or clandestine laboratories located within 100 meters of a school, college, or university is governed by various legal provisions and penalties. In the Philippines, the Comprehensive Dangerous Drugs Act of 2002 (Republic Act No. 9165) plays a significant role in regulating such activities. This act imposes penalties for drug-related offenses, including the unlawful possession, sale, or use of controlled precursors and essential chemicals near educational institutions[5].
Individuals found engaging in unauthorized possession, sale, or use of controlled precursors and essential chemicals near schools, colleges, or universities can face severe penalties under Republic Act No. 9165. The law aims to protect educational environments from the risks associated with drug-related activities by imposing strict penalties on offenders operating in close proximity to these institutions. It is essential to enforce these legal provisions to prevent the unauthorized possession and use of controlled substances near educational facilities.</t>
  </si>
  <si>
    <t>How does the law address incidents of illegal drug manufacturing or production in residential areas or neighborhoods within 100 meters of a school, college, or university?</t>
  </si>
  <si>
    <t>The crime of illegal drug manufacturing or production in residential areas or neighborhoods within 100 meters of a school, college, or university is addressed through various legal measures and penalties under Philippine law. The Comprehensive Dangerous Drugs Act of 2002 (Republic Act No. 9165) plays a significant role in regulating drug-related activities in these sensitive areas. The act imposes penalties for drug-related offenses, including the unlawful manufacture or production of dangerous drugs near educational institutions[5].
Individuals found engaging in illegal drug manufacturing or production within 100 meters of schools, colleges, or universities can face severe penalties under Republic Act No. 9165. The law aims to protect educational environments from the risks associated with drug-related activities by imposing strict penalties on offenders operating in close proximity to these institutions. It is essential to enforce these legal provisions to prevent the unauthorized manufacturing and production of controlled substances near educational facilities and ensure the safety of communities and neighborhoods.</t>
  </si>
  <si>
    <t>In the Philippines, engaging in the crime of illegal drug trafficking within 100 meters of a school, college, or university is considered a serious offense with severe penalties. The penalties for drug trafficking near educational institutions are governed by the Comprehensive Dangerous Drugs Act of 2002 (Republic Act No. 9165). Offenders can face imprisonment ranging from 12 years and one day to life imprisonment, depending on the quantity of drugs involved and other aggravating circumstances[5].
Additionally, individuals convicted of drug trafficking within 1,000 feet of a university in the United States face penalties such as prison terms and fines under federal law[1]. The penalties for federal drug trafficking convictions vary based on the quantity of the controlled substance involved, with mandatory prison sentences and fines imposed for offenders operating near educational institutions[2].
It is crucial to enforce these legal provisions to deter drug trafficking activities near schools, colleges, and universities and ensure the safety of students and educational environments.</t>
  </si>
  <si>
    <t>How is the offense of illegal drug manufacturing or production in places of worship within 100 meters of a school, college, or university regulated and punished?</t>
  </si>
  <si>
    <t>In the Philippines, the offense of illegal drug manufacturing or production in places of worship within 100 meters of a school, college, or university is addressed under the Comprehensive Dangerous Drugs Act of 2002 (Republic Act No. 9165) and other relevant laws and regulations aimed at combating the illegal drug trade. Here's how the law regulates and punishes this offense:
1. **Comprehensive Dangerous Drugs Act of 2002 (RA 9165):**
- The Comprehensive Dangerous Drugs Act of 2002 is the primary law governing the illegal drug trade in the Philippines. It prohibits various drug-related activities, including the manufacturing, production, and cultivation of dangerous drugs or controlled substances.
- Under the law, illegal drug manufacturing or production in places of worship within 100 meters of a school, college, or university is considered a criminal offense, subject to severe penalties.
2. **Enhanced Penalties for Aggravating Circumstances:**
- The law provides for enhanced penalties for drug offenses committed within specified drug-free zones, including areas near schools, colleges, and universities.
- Drug manufacturing or production in places of worship within 100 meters of educational institutions aggravates the offense, resulting in increased penalties for offenders.
3. **Prohibition on Drug Manufacturing or Production:**
- RA 9165 prohibits the manufacturing, production, cultivation, processing, or trafficking of dangerous drugs or controlled substances without lawful authority.
- This prohibition extends to all locations, including places of worship, particularly those situated within 100 meters of schools, colleges, or universities.
4. **Law Enforcement and Prosecution:**
- Law enforcement agencies, such as the Philippine Drug Enforcement Agency (PDEA) and the Philippine National Police (PNP), are responsible for investigating and prosecuting cases of illegal drug manufacturing or production.
- Cases involving drug manufacturing or production in places of worship near educational institutions are treated with utmost seriousness, and offenders may face arrest, prosecution, and imposition of severe penalties.
5. **Seizure and Forfeiture of Assets:**
- Authorities have the power to seize assets, including properties or equipment used in the illegal drug manufacturing or production process.
- Assets derived from or used in the commission of the offense may be subject to forfeiture to the government following legal proceedings.
6. **Community Awareness and Engagement:**
- Efforts to combat drug manufacturing or production in places of worship near educational institutions may involve community awareness campaigns, collaboration with religious leaders, and mobilization of local communities to prevent and deter such activities.
Overall, the Comprehensive Dangerous Drugs Act of 2002 provides a comprehensive legal framework for regulating and punishing drug-related offenses, including illegal drug manufacturing or production in places of worship near schools, colleges, or universities. By enforcing the law, raising awareness, and engaging with local communities, stakeholders work together to promote a safe and drug-free environment for all.</t>
  </si>
  <si>
    <t>Under what circumstances can a person be charged with the crime of illegal drug trafficking in public markets, plazas, or other similar areas within 100 meters of a school, college, or university?</t>
  </si>
  <si>
    <t>In the Philippines, a person can be charged with the crime of illegal drug trafficking in public markets, plazas, or other similar areas within 100 meters of a school, college, or university under the Comprehensive Dangerous Drugs Act of 2002 (Republic Act No. 9165). The act imposes penalties for drug-related offenses, including the unlawful sale, trading, administration, dispensation, delivery, distribution, transportation, or manufacture of any dangerous drug[5].
The law aims to protect educational environments from the risks associated with drug trafficking and abuse by imposing strict penalties on offenders operating in close proximity to these institutions, including public markets, plazas, or other similar areas within 100 meters of a school, college, or university.</t>
  </si>
  <si>
    <t>What legal measures exist to combat the illegal drug trafficking in public spaces near healthcare facilities within 100 meters of a school, college, or university?</t>
  </si>
  <si>
    <t>In the Philippines, combatting illegal drug trafficking in public spaces near healthcare facilities within 100 meters of a school, college, or university is addressed under the Comprehensive Dangerous Drugs Act of 2002 (Republic Act No. 9165) and other relevant laws and regulations aimed at curbing the illegal drug trade. Here's how the law regulates and combats this issue:
1. **Comprehensive Dangerous Drugs Act of 2002 (RA 9165):**
- The Comprehensive Dangerous Drugs Act of 2002 is the primary legislation governing the illegal drug trade in the Philippines. It prohibits various drug-related activities, including trafficking, distribution, sale, and possession of dangerous drugs or controlled substances.
- Under the law, illegal drug trafficking in public spaces near healthcare facilities within 100 meters of educational institutions is considered a criminal offense, subject to severe penalties.
2. **Enhanced Penalties for Aggravating Circumstances:**
- The law provides for enhanced penalties for drug offenses committed within specified drug-free zones, including areas near healthcare facilities and educational institutions.
- Drug trafficking near healthcare facilities within 100 meters of schools, colleges, or universities aggravates the offense, resulting in increased penalties for offenders.
3. **Prohibition on Drug Trafficking:**
- RA 9165 prohibits the trafficking, distribution, sale, and transportation of dangerous drugs or controlled substances without lawful authority.
- This prohibition extends to all locations, including public spaces near healthcare facilities, particularly those situated within 100 meters of educational institutions.
4. **Law Enforcement and Prosecution:**
- Law enforcement agencies, such as the Philippine Drug Enforcement Agency (PDEA) and the Philippine National Police (PNP), are responsible for investigating and prosecuting cases of illegal drug trafficking.
- Cases involving drug trafficking in public spaces near healthcare facilities near educational institutions are treated seriously, and offenders may face arrest, prosecution, and imposition of severe penalties.
5. **Seizure and Forfeiture of Assets:**
- Authorities have the power to seize assets, including properties or assets derived from or used in the commission of drug trafficking offenses.
- Seized assets may be subject to forfeiture to the government following legal proceedings.
6. **Community Awareness and Engagement:**
- Efforts to combat illegal drug trafficking near healthcare facilities near educational institutions may involve community awareness campaigns, collaboration with healthcare providers, and mobilization of local communities to prevent and deter such activities.
Overall, the Comprehensive Dangerous Drugs Act of 2002 provides a legal framework for regulating and punishing drug-related offenses, including illegal drug trafficking near healthcare facilities within 100 meters of schools, colleges, or universities. By enforcing the law, raising awareness, and engaging with local communities, stakeholders work together to promote a safe and drug-free environment for all.</t>
  </si>
  <si>
    <t>How does the law address incidents of illegal drug trafficking in public spaces near government offices within 100 meters of a school, college, or university?</t>
  </si>
  <si>
    <t>Illegal drug trafficking in public spaces near government offices and educational institutions is a serious offense in the Philippines. Here's how the law addresses it:
**Combined Effect of Multiple Laws:**
There isn't a single law encompassing all these aspects. Instead, several pieces of legislation come into play to create stricter penalties for drug trafficking in sensitive areas:
* **Comprehensive Dangerous Drugs Act (Republic Act No. 648):** This is the primary law against illegal drugs in the Philippines. It defines and penalizes the manufacture, possession, sale, distribution, and use of dangerous drugs and related activities.
* **Dangerous Drugs Act Amendments (Republic Act No. 9165):** This law strengthens penalties under RA 648, particularly for large-scale drug trafficking.
* **Section 15 of RA 9165 (Illegal Drug Trafficking Around Schools):** This section specifically increases penalties for drug trafficking within 200 meters of a school, public playground, or dormitory. **Enhanced Penalties:**
Here's how the penalties are stacked for drug trafficking near government offices and schools (within 100 meters):
* **Standard Penalties under RA 648:** Depending on the quantity and type of drug involved, penalties can range from imprisonment for several years to life imprisonment, plus hefty fines.
* **Increased Penalty for Proximity to Schools (RA 9165):** An additional penalty is imposed on top of the standard penalties for trafficking within 200 meters of a school. This can significantly increase the jail time and fines.
* **Proximity to Government Offices:** While there's no specific distance mentioned in the law for government offices, trafficking near them can be considered an aggravating circumstance during the trial. This means the judge can impose a harsher sentence within the range allowed by RA 648.
**Additional Considerations:**
* **Public Spaces:** Public spaces near government offices and schools can also be covered by local government ordinances that may impose additional penalties for drug trafficking.
* **Intent to Distribute:** The penalties apply if there's evidence of intent to distribute the drugs, not just possession.
**In conclusion, drug trafficking near government offices and schools in the Philippines attracts harsher penalties due to a combination of laws. The proximity to a school (within 200 meters) triggers a specific penalty increase, while trafficking near government offices can lead to a harsher sentence through aggravating circumstances.**</t>
  </si>
  <si>
    <t>What penalties are imposed for engaging in the crime of illegal drug trafficking in public transportation vehicles or terminals within 100 meters of a school, college, or university?</t>
  </si>
  <si>
    <t>In the Philippines, illegal drug trafficking in public transportation vehicles or terminals near schools carries a hefty penalty due to a combination of laws. Here's a breakdown:
**Primary Laws Involved:**
* **Comprehensive Dangerous Drugs Act (Republic Act No. 648):** This is the cornerstone legislation against illegal drugs. It outlines offenses and penalties for the manufacture, possession, sale, distribution, and use of dangerous drugs. * **Dangerous Drugs Act Amendments (Republic Act No. 9165):** This law strengthens penalties under RA 648, particularly for large-scale drug trafficking.
**Penalty Stacking:**
* **Standard Penalties under RA 648:** The severity of punishment depends on the quantity and type of drug involved. It can range from several years of imprisonment to life, with substantial fines.
* **Increased Penalty for Proximity to Schools (RA 9165):** An additional penalty is imposed on top of the standard penalties if the trafficking happens within 200 meters of a school, public playground, or dormitory. This significantly increases the potential jail time and fines.
**Public Transportation and 100-meter Radius:**
While RA 9165 focuses on schools within 200 meters, there are factors that can lead to harsher penalties for public transportation near schools (within 100 meters):
* **Aggravating Circumstances:** Public transportation can be considered a place where the crime is "easily committed" or where there's a "grave abuse of authority" (if the driver or personnel are involved). These are aggravating circumstances under RA 648, allowing judges to impose a stricter sentence within the existing penalty range.
* **Local Ordinances:** Many localities have ordinances specifically prohibiting drug trafficking in public transportation areas. These ordinances might impose additional fines or penalties.
**Intent to Distribute:**
It's important to note that these penalties apply if there's proof of intent to distribute the drugs, not just possession for personal use.
**In essence, drug trafficking in public transportation near schools (within 100 meters) triggers a combination of penalties. The standard penalties from RA 648 are increased due to the proximity to a school (based on RA 9165) and the aggravating circumstance of the location (public transportation). Local ordinances might add further penalties.**</t>
  </si>
  <si>
    <t>How is the offense of illegal drug trafficking in public spaces near cultural heritage sites within 100 meters of a school, college, or university addressed under Philippine law?</t>
  </si>
  <si>
    <t>While there isn't a specific legal provision in the Philippines that directly addresses drug trafficking near cultural heritage sites, it can still be a serious offense due to existing laws and potential consequences. Here's a breakdown:
* **Applicable Laws:**
* **Comprehensive Dangerous Drugs Act (RA 648):** This is the main law against illegal drugs, outlining penalties for manufacture, possession, sale, distribution, and use.
* **Dangerous Drugs Act Amendments (RA 9165):** This law strengthens penalties under RA 648, particularly for large-scale trafficking. * **Cultural Heritage Act (RA 10066):** This law protects and promotes the Philippines' cultural heritage. It doesn't directly address drug trafficking, but it highlights the importance of these sites.
* **Penalty for Drug Trafficking:**
The penalties depend on the quantity and type of drugs involved under RA 648. It can range from several years of imprisonment to life, with significant fines.
* **Proximity to Schools (RA 9165):**
If the drug trafficking occurs within 200 meters of a school, an additional penalty is imposed on top of the standard penalties under RA 9165. This significantly increases the potential punishment.
* **Cultural Heritage Sites:**
There's no specific distance mentioned in the law for cultural heritage sites. However, trafficking near them can be considered an aggravating circumstance during the trial. This means a judge can impose a harsher sentence within the range allowed by RA 648 due to the location's significance.
* **Local Ordinances:**
Many localities have ordinances protecting cultural heritage sites. These ordinances might impose additional penalties for drug trafficking near them.
**In conclusion, drug trafficking near cultural heritage sites within 100 meters of a school can lead to enhanced penalties in the Philippines. The standard penalties under RA 648 are increased due to the proximity to a school (based on RA 9165) and the aggravating circumstance of disrespecting a cultural landmark. Local ordinances might add further penalties.**</t>
  </si>
  <si>
    <t>Under what circumstances can a person be charged with the crime of illegal drug trafficking in public spaces near schools, colleges, and universities within 100 meters of a school, college, or university?</t>
  </si>
  <si>
    <t>In the Philippines, someone can be charged with illegal drug trafficking in public spaces near schools, colleges, and universities within 100 meters under several circumstances:
**1. Possession with Intent to Distribute:**
The key element for a drug trafficking charge is evidence of **intent to distribute** illegal drugs, not just possession for personal use. This evidence can include:
* Possession of large quantities of drugs
* Possession of packaging materials (scales, baggies)
* Presence of drug paraphernalia (pipes, syringes)
* Witness testimony about sales or distribution activities
**2. Proximity to a School (within 200 meters):**
The Dangerous Drugs Act Amendments (RA 9165) specifically increases penalties for drug trafficking within 200 meters of a school, public playground, or dormitory. Even if the public space is within 100 meters of a school but not technically on school grounds, this law applies and triggers harsher penalties.
**3. Public Space:**
The public space where the trafficking occurs needs to be demonstrably public. This could include:
* Streets and sidewalks
* Parks and plazas
* Public transportation stations or terminals (considered an aggravating circumstance)
**4. Specific Drugs and Quantities:**
The type and quantity of drugs involved also affect the charges and penalties. Different classifications of drugs (e.g., shabu, marijuana) carry varying penalties based on weight. **5. Aggravating Circumstances (Within 100 meters):**
Even if trafficking happens slightly outside the 200-meter zone but within 100 meters of a school near a cultural heritage site or public transportation terminal, these factors can be considered aggravating circumstances during the trial:
* **Cultural Heritage Site:** Trafficking near a protected cultural site shows disrespect for the location's significance, potentially leading to a harsher sentence.
* **Public Transportation:** Public transportation can be seen as a place where the crime is "easily committed" or involves "grave abuse of authority" (if personnel are involved). These factors can lead to a stricter sentence within the existing penalty range.
**Additional Points:**
* Local government ordinances might impose further penalties for drug trafficking in specific public spaces.
* These are complex legal matters, and the specific circumstances of each case determine the charges and penalties.</t>
  </si>
  <si>
    <t>In the Philippines, several legal provisions address the unauthorized possession, sale, or use of controlled precursors and essential chemicals (CPECs) near schools. Here's a breakdown of the relevant laws:
**1. Dangerous Drugs Act (Republic Act No. 648):**
* This is the main legislation against illegal drugs, including CPECs. It defines and penalizes the manufacture, possession, sale, and use of these chemicals.
* Schedule I of RA 648 lists specific CPECs and their corresponding penalties.
**2. Implementing Regulations of RA 648 (Dangerous Drugs Board Regulation No. 1 Series of 2002):**
* This regulation provides a more detailed list of CPECs and classifies them according to their legitimate uses and potential for drug abuse.
* It outlines the licensing requirements for possessing, importing, exporting, manufacturing, or dealing with CPECs.
**3. Proximity to Schools (Republic Act No. 9165):**
* This law, also known as the Comprehensive Dangerous Drugs Act of 2002, strengthens penalties under RA 648, particularly for offenses committed near schools.
* Section 15 of RA 9165 specifically increases penalties for violations involving illegal drugs (including CPECs) within 200 meters of a school, public playground, or dormitory.
**Unauthorized Possession, Sale, or Use within 100 meters:**
While there's no specific distance mentioned for CPECs in relation to schools beyond 200 meters (RA 9165), other factors can lead to legal consequences within 100 meters:
* **Clandestine Laboratories:** Operating a clandestine lab (unauthorized drug manufacturing facility) within 100 meters of a school is a serious offense, and CPEC possession within such a lab would be considered illegal.
* **Intent:** If authorities find CPECs near a school (within 100 meters) and there's evidence of intent to use them for illegal drug production (e.g., presence of other drug-making materials, lab equipment), it can be considered a violation of RA 648.
* **Local Ordinances:** Many localities have ordinances regulating the storage and handling of hazardous materials, which might include CPECs. These ordinances could impose additional penalties for unauthorized possession near schools.
**Overall, the proximity to a school (especially within 200 meters) and the context of possession (clandestine lab, intent to produce illegal drugs) significantly increase the penalties for unauthorized possession, sale, or use of CPECs.**</t>
  </si>
  <si>
    <t>Philippine law treats illegal drug manufacturing or production harshly, especially when it happens near schools. Here's how the law addresses it:
**Comprehensive Dangerous Drugs Act (RA 9165):**
* **Section 6. Illegal Sale, Negotiation, or Transportation of Dangerous Drugs and/or Controlled Precursors and Chemicals:** This section prohibits the manufacture, selling, administration, dispensing, delivery, possession, or importation of dangerous drugs and/or controlled precursors and chemicals. * **Section 7. Illegal Cultivation of Marijuana:** This section specifically outlaws the cultivation of marijuana.
* **Section 18. Penalty Clause:** This section outlines the penalties for violations of RA 9165. The penalty increases depending on the quantity and type of illegal drugs involved.
**Section 20. Aggravating Circumstances:** This section identifies circumstances that make the crime more serious and warrant a harsher penalty. One such circumstance is:
* **Section 20(d). When the offense is committed within 100 meters of a school, college or university.** This increases the penalty by one (1) degree.
For example, the penalty for the possession of a small amount of illegal drugs might be imprisonment for six (6) months and a fine. However, if the possession happened within 100 meters of a school, the penalty could be increased to imprisonment for four (4) years and a day to eight (8) years, with a corresponding increase in the fine.
**Philippine Constitution (Article II, Section 15):**
The Constitution also supports the fight against illegal drugs. Article II, Section 15 states that the State shall protect and promote the right to health of the people and instill health consciousness among them. By penalizing illegal drug manufacturing and production, the government aims to protect the health and well-being of Filipino citizens, especially those near schools.
**Reporting Illegal Drug Activities:**
If you suspect illegal drug manufacturing or production in your neighborhood, especially near a school, you can report it to the following agencies:
* Philippine National Police (PNP)
* Philippine Drug Enforcement Agency (PDEA)
* Barangay authorities
Remember, these are just the highlights of the law. It's always best to consult with a lawyer for a more comprehensive understanding of the legal aspects and potential penalties involved.</t>
  </si>
  <si>
    <t>The penalties for illegal drug trafficking within 100 meters of a school, college, or university depend on the quantity and type of illegal drugs involved. Here's how Philippine law addresses it based on Republic Act 9165 (Comprehensive Dangerous Drugs Act):
**RA 9165, Section 18 (Penalty Clause):**
This section outlines the base penalties for violations of RA 9165. The specific penalty depends on the **weight** of the illegal drug and its classification under the law. Here's a breakdown:
* **Less than 50 grams of Methamphetamine Hydrochloride (Shabu) or Cocaine:**
* Imprisonment of **twelve (12) years and one (1) day to life imprisonment**
* Fine ranging from **Four hundred thousand pesos (P400,000.00) to Five hundred thousand pesos (P500,000.00)**
* **Less than 500 grams of Marijuana:**
* Imprisonment of **six (6) months to four (4) years**
* Fine ranging from **Five thousand pesos (P5,000.00) to Fifty thousand pesos (P50,000.00)**
**RA 9165, Section 20 (Aggravating Circumstances):**
This section identifies factors that increase the penalty for the crime. Here, the relevant aggravating circumstance is:
* **Section 20(d). When the offense is committed within 100 meters of a school, college or university.**
**How the Aggravating Circumstance Increases the Penalty:**
If illegal drug trafficking is committed within 100 meters of a school, the penalty is increased by **one (1) degree**. This means you need to refer back to Section 18 and find the penalty for the specific weight and type of drug involved, then increase it by one degree in the penalty range.
For example:
* Trafficking **less than 50 grams of Shabu** within 100 meters of a school would have a base penalty of 12 years and 1 day to life imprisonment. With the aggravating circumstance, the penalty is increased by one degree, resulting in a possible sentence of **life imprisonment**.
**Important Note:**
This is a simplified explanation, and the actual penalty can be determined by a court based on the specifics of the case and the judge's discretion. Consulting with a lawyer is highly recommended for a more precise understanding of the potential penalties in your situation.</t>
  </si>
  <si>
    <t>Philippine law treats illegal drug manufacturing or production very seriously, and the location adds another layer of offense. Here's how it's regulated and punished:
**Location as an Aggravating Circumstance:**
* While there's no specific law mentioning places of worship in relation to drug offenses, the location can be considered an aggravating circumstance under **RA 9165 (Comprehensive Dangerous Drugs Act) Section 20**.
**Section 20(e) - Aggravating circumstance:**
* "When the offense is committed in a public place where there is a large number of people gathered."
**Places of Worship as Public Places:**
* Although not explicitly mentioned, places of worship can be argued as public places, especially during religious gatherings. This strengthens the case for applying Section 20(e).
**Increased Penalty:**
* If the court agrees that the place of worship qualifies as a public place, the penalty for illegal drug manufacturing or production would be increased by **one (1) degree**.
**Base Penalty (RA 9165 Section 18):**
The base penalty depends on the quantity and type of illegal drugs involved. Refer to the explanation in the previous answer for details on the penalty structure based on weight and drug classification. **Combined Effect:**
* With the aggravating circumstance, the base penalty from Section 18 is increased by one degree. **Example:**
* Manufacturing a small amount of illegal drugs (falling under the lowest penalty tier) could result in imprisonment for a few years and a fine. * If this happened within a place of worship considered a public place, the penalty would be increased by one degree, potentially leading to a longer prison sentence and a higher fine.
**Reporting and Additional Considerations:**
* If you suspect illegal drug activity in a place of worship, report it to the authorities (PNP, PDEA, Barangay).
* This type of case might involve additional legal complexities depending on the specific circumstances. Consulting with a lawyer is highly recommended for a more comprehensive understanding of the legalities involved.
**Remember:**
This is just a general explanation, and the judge ultimately determines the penalty based on evidence and legal arguments presented in court.</t>
  </si>
  <si>
    <t>In the Philippines, a person can be charged with the crime of illegal drug trafficking in public markets, plazas, or similar areas within 100 meters of a school, college, or university under the following circumstances:
**Illegal Drug Activity:**
* The person must be involved in the **selling, negotiation, or transportation** of illegal drugs as defined under **RA 9165 (Comprehensive Dangerous Drugs Act)**. This includes activities like:
* Possessing illegal drugs with intent to sell
* Distributing or delivering illegal drugs
* Acting as a middleman in illegal drug transactions
**Proximity to Educational Institutions:**
* The illegal drug activity must take place within **100 meters** of a school, college, or university. This distance is measured radially from the school grounds.
**Public Areas:**
* The location of the activity must be considered a **public market, plaza, or similar area**. This includes places where people commonly gather and engage in commercial activity. **Examples:**
* Selling illegal drugs from a stall in a public market near a school.
* Participating in a drug deal on a park bench within 100 meters of a university.
* Transporting illegal drugs through a plaza located next to a college.
**Aggravating Circumstance:**
* The proximity to a school, college, or university acts as an aggravating circumstance under **RA 9165 Section 20(d)**. This means the penalty for the crime will be **increased by one degree** if convicted.
**Important Notes:**
* The specific type and quantity of illegal drugs involved will also affect the base penalty as outlined in **RA 9165 Section 18**. * Law enforcement officers have the authority to arrest individuals suspected of illegal drug trafficking based on probable cause. * The burden of proof lies with the prosecution to convince the court beyond a reasonable doubt that the accused committed the crime.
**If you suspect illegal drug activity in these areas, report it to the authorities:**
* Philippine National Police (PNP)
* Philippine Drug Enforcement Agency (PDEA)
* Barangay authorities</t>
  </si>
  <si>
    <t>The Philippines has several legal measures in place to combat illegal drug trafficking in public spaces near healthcare facilities within 100 meters of a school, college, or university. Here's a breakdown combining existing laws:
**Existing Laws:**
* **Comprehensive Dangerous Drugs Act (RA 9165):**
* This is the primary law against illegal drugs. It outlines offenses, penalties, and aggravating circumstances.
* **Section 18** establishes base penalties based on the type and quantity of illegal drugs involved.
* **Section 20(d)** considers the offense an aggravating circumstance "when committed within 100 meters of a school, college or university," increasing the penalty by one degree.
**Aggravating Circumstances for Public Spaces (Potential Argument):**
* While RA 9165 doesn't explicitly mention healthcare facilities, there could be grounds to argue for an aggravating circumstance due to the location:
* Public spaces near healthcare facilities are often frequented by vulnerable individuals, including patients, their families, and medical personnel.
* **Section 20(e)** might be applicable: "When the offense is committed in a public place where there is a large number of people gathered."
**Increased Penalties:**
* If the court agrees that the location qualifies as an aggravating circumstance (either due to proximity to a school or a public place with vulnerable people), the penalty would be increased by one degree under RA 9165 Section 20.
**Law Enforcement Measures:**
* **Philippine National Police (PNP):** They have the authority to conduct surveillance, arrest suspects, and investigate drug trafficking activities.
* **Philippine Drug Enforcement Agency (PDEA):** They focus on gathering intelligence, conducting controlled deliveries, and dismantling drug syndicates.
**Reporting:**
* Citizens can report suspected drug activity to the PNP, PDEA, or barangay authorities.
**Additional Considerations:**
* The specific penalty would depend on the type and quantity of drugs involved (refer to RA 9165 Section 18).
* Consulting a lawyer is recommended for a more detailed understanding of the legal aspects and potential arguments in a specific case.
**Enhancing the Fight Against Drugs:**
* While the legal framework exists, additional measures could be explored:
* Increased cooperation between law enforcement agencies and healthcare facilities to identify and address drug activity near healthcare centers.
* Community outreach programs to educate people about the dangers of drugs and encourage them to report suspicious activity.
By combining legal measures, law enforcement efforts, and community engagement, the Philippines can work towards combating illegal drug trafficking in these sensitive areas.</t>
  </si>
  <si>
    <t>You encounter a friend who is openly using illegal drugs during a public event. What legal actions can you take, and how should you report this incident to the authorities?</t>
  </si>
  <si>
    <t>While you can't directly take legal action against your friend, you can report the incident to the authorities and potentially help them get help. Here's what you can do:
**Your Safety First:**
* **Assess the Situation:** Is your friend a danger to themselves or others? If there's a risk of violence or erratic behavior, it's best to prioritize your safety and the safety of others.
**Options for Reporting:**
* **Call the Authorities:** If your friend is a danger or you feel uncomfortable intervening directly, discreetly call the Philippine National Police (PNP) hotline 186 or send a text message to their SMS hotline.
* **Report to Event Security:** Many public events have security personnel. Report the incident to them and let them handle the situation.
* **Report to Organizers:** If security isn't available, inform the event organizers. They might have protocols for handling such situations. **What Information to Provide:**
* When reporting, provide a clear description of your friend, including any distinctive clothing or physical features. * Describe the location where you saw them using drugs and the type of drugs (if you can identify them).
* Mention if they seem to be a danger to themselves or others.
**Maintain Anonymity (Optional):**
* You can report anonymously if you're concerned about repercussions. However, providing your information might help authorities investigate more effectively.
**Helping Your Friend (Optional):**
* Once the situation is under control, consider offering your friend help. They might be struggling with addiction, and you can guide them towards resources like rehabilitation centers or support groups.
**Important Notes:**
* You cannot perform a citizen's arrest in the Philippines for illegal drug use. Leave apprehension to law enforcement.
* Focus on reporting the act of using drugs, not apprehending your friend yourself.
* There might be legal consequences for your friend depending on the circumstances and the type/quantity of drugs involved.
Remember, your safety and the safety of others come first. By reporting the incident, you could potentially help your friend get the support they need and prevent harm to others.</t>
  </si>
  <si>
    <t>As a school official, you discover that a student is involved in drug trafficking within the school premises. What immediate steps should be taken in accordance with Philippine laws?</t>
  </si>
  <si>
    <t>Here are the immediate steps you should take as a school official in accordance with Philippine laws if you discover a student is involved in drug trafficking within the school premises:
**Prioritize Student Safety and Evidence Collection:**
1. **Ensure Safety:** The first priority is to ensure the safety of yourself, other students, and staff. If there's a potential for violence or danger, involve security personnel or the authorities immediately.
2. **Secure Evidence (Discreetly):** If possible, discreetly gather any evidence you can, such as paraphernalia, packaging, or witness testimonies (without putting yourself at risk). However, prioritize safety over collecting extensive evidence.
**Reporting and Investigation:**
3. **Report to School Authorities:** Inform the school principal or designated administrator about the situation. They will have protocols for handling such matters. 4. **Involve Appropriate Authorities:** Depending on the severity of the situation and the age of the student, you might need to involve the authorities. * For serious offenses or if the student is of legal age (18 and above), consider reporting to the Philippine National Police (PNP) or the Philippine Drug Enforcement Agency (PDEA).
* For younger students or less severe cases, the school might involve social services or barangay authorities depending on their established protocols.
**Student Welfare and Rehabilitation:**
5. **Student Support:** The school should prioritize the student's welfare. Depending on the circumstances, explore options for:
* **Counseling:** Offer guidance and support to the student to understand the gravity of their actions and encourage them to seek help.
* **Rehabilitation Programs:** The school can recommend or facilitate the student's entry into a rehabilitation program to address potential addiction.
**Following School Protocols:**
6. **School Policies:** Every school should have established policies and procedures for handling drug-related incidents. Follow the school's protocols to ensure a proper and legal course of action.
**Confidentiality:**
7. **Maintain Confidentiality:** While reporting is necessary, maintain confidentiality about the student's identity as much as possible, following school guidelines.
**Remember:**
* You are not expected to handle the situation alone. Seek guidance from the school administration and involve relevant authorities when necessary.
* The focus should be on ensuring student safety, gathering evidence, reporting the incident, and offering support and rehabilitation options for the student.
By following these steps and adhering to Philippine laws and school protocols, you can contribute to a safe learning environment and potentially help the student overcome drug-related issues.</t>
  </si>
  <si>
    <t>You witness a suspicious-looking transaction in a dark alley that appears to involve the sale of illegal drugs. What should you do to assist law enforcement and ensure your safety?</t>
  </si>
  <si>
    <t>Here's what you can do to assist law enforcement and ensure your safety while witnessing a suspected drug transaction in the Philippines:
**Prioritize Your Safety:**
* **Do not intervene directly.** Drug deals can be dangerous, and it's not recommended to approach or confront the people involved. * **Move to a well-lit, populated area.** Increase the distance between yourself and the suspected transaction.
**Report the Activity:**
* **Call the Philippine National Police (PNP) Hotline 186.** Report the suspicious activity, including the location (barangay, street), time, and a description of the people involved (number of people, clothing, physical descriptions if possible).
* **Report to the nearest police station.** If calling 186 is not possible, proceed directly to the nearest police station and report the incident. Provide details mentioned above.
**Information Gathering (Optional, if safe to do so):**
* **Discreetly take note of details.** From a safe distance, try to memorize descriptions of the people involved and any distinguishing features. Note the time of the transaction. * **If possible, take a picture without attracting attention.** This can be a valuable piece of evidence for the police. However, prioritize your safety and only do this if it can be done discreetly.
**Protecting Yourself Legally:**
* **Identify yourself only if requested by a police officer.** You are not obligated to disclose your identity to anyone else at the scene.
* **If you choose to report anonymously, you can ask the police to withhold your identity.**
**Relevant Philippine Laws:**
* **Comprehensive Dangerous Drugs Act (R.A. 9165):** This act defines and penalizes the illegal sale, possession, and use of dangerous drugs and controlled substances.
* **Philippine Constitution (Article III, Section 1):** This section guarantees the right to security of person. By reporting the crime, you are upholding this right for yourself and the community.
Remember, your safety is paramount. Report the suspicious activity and let the police handle the investigation.</t>
  </si>
  <si>
    <t>Your neighbor has been suspected of operating a clandestine drug laboratory within 100 meters of a school. What legal steps can you take to address this situation?</t>
  </si>
  <si>
    <t>Here are some legal steps you can take in the Philippines to address your suspicion of a clandestine drug laboratory operating near a school (within 100 meters):
**Reporting the Activity:**
* **Report to the Philippine National Police (PNP).** This is the primary course of action. You can report to your local police station or call the PNP Hotline 186. Provide details about your neighbor's activity, including:
* Address of your neighbor
* Specific observations that make you suspect a drug lab (unusual odors, heavy traffic at odd hours, suspicious chemicals)
* Any other relevant information (witnesses, unusual sounds)
* **Report to the Barangay Captain.** Barangay officials have a role in maintaining peace and order in the community. They can initiate their own investigation and coordinate with the PNP.
* **Report to the Philippine Drug Enforcement Agency (PDEA).** PDEA is the lead agency in the Philippines for illegal drugs. You can report your concerns through their website ([https://newsinfo.inquirer.net/1293074/pdea-urges-citizens-to-report-illegal-drug-activities-via-hotlines-facebook-page](https://newsinfo.inquirer.net/1293074/pdea-urges-citizens-to-report-illegal-drug-activities-via-hotlines-facebook-page)) or by calling their hotline 1333.
**Legal Basis:**
* **Comprehensive Dangerous Drugs Act (R.A. 9165):** This law prohibits the manufacture, possession, and distribution of illegal drugs and controlled substances. Section 6 of R.A. 9165 specifically penalizes the **Maintaining a Drug Den**. * **Section 15 of R.A. 9165** also increases the penalty for illegal drug activities if committed within 100 meters of a school. **Protecting Yourself:**
* **Do not confront your neighbor directly.** Clandestine drug labs can be dangerous. Report your suspicion to the authorities and let them handle the investigation.
* **Remain anonymous if you prefer.** You can request to withhold your identity when reporting to the PNP, PDEA, or barangay captain.
**Additional Tips:**
* **Document your observations.** If you see or smell suspicious activity, take notes with dates and times. * **Important Note:** While taking photos or videos can be helpful, prioritize your safety and only do so from a safe distance and without attracting attention.
By following these steps, you can help address the potential danger of a clandestine drug lab near a school and contribute to a safer community. Remember, reporting suspected illegal activity is your civic duty.</t>
  </si>
  <si>
    <t>You find out that a family member is using drugs at home. How can you approach this situation legally, considering the potential impact on family relationships?</t>
  </si>
  <si>
    <t>Here's how you can approach the situation of a family member using drugs at home, considering both legal aspects and potential impact on family relationships (based on Philippine law):
**Focus on Support and Recovery:**
* **Prioritize your family member's well-being.** Addiction is a disease, and your goal is to help them get the support they need.
* **Seek professional guidance.** A licensed therapist or addiction specialist can provide you with strategies for a supportive conversation and resources for treatment programs.
**Legal Considerations:**
While Philippine law (R.A. 9165) penalizes possession and use of illegal drugs, forcing someone into treatment can be counterproductive. However, the law does offer options for rehabilitation:
* **Voluntary and Compulsory Drug Rehabilitation:** * The Dangerous Drugs Board (DDB) offers voluntary rehabilitation programs. You can explore these options with your family member.
* R.A. 9165 also allows **court-mandated rehabilitation** for individuals caught with small quantities of illegal drugs for their first offense. This is not something you can directly enforce, but being aware of it might be helpful during your conversation.
**Open and Supportive Communication:**
* **Choose a calm and private moment for a conversation.** * **Express your concern for their well-being with "I" statements.** For example, "I'm worried about your recent behavior..."
* **Listen openly and avoid judgment.** The goal is to understand their struggle and offer support.
* **Focus on the negative consequences of drug use** on their health, relationships, and future.
**Protecting Yourself and Others:**
* **If there is a risk of violence or danger to yourself or others, involve the authorities.** * **You can report drug use anonymously** to the PNP hotline 186 or PDEA hotline 1333. * This is a last resort, and professional guidance is still recommended to navigate the situation constructively.
**Additional Resources:**
* **Dangerous Drugs Board (DDB):** [https://ddb.gov.ph/](https://ddb.gov.ph/) - Provides information on drug rehabilitation programs.
* **Department of Health (DOH):** [https://doh.gov.ph/](https://doh.gov.ph/) - Offers resources on mental health and addiction treatment.
* **Philippine National Police (PNP):** [https://pnp.gov.ph/](https://pnp.gov.ph/) - Provides hotlines for reporting crimes.
Remember, the goal is to help your family member overcome addiction, not to punish them. By prioritizing their well-being, seeking professional guidance, and communicating with love and support, you can increase the chances of a positive outcome.</t>
  </si>
  <si>
    <t>During a routine search in a public transportation vehicle, authorities discover passengers carrying illegal drugs. What legal procedures should be followed in handling the situation?</t>
  </si>
  <si>
    <t>The legality of a search during public transportation in the Philippines hinges on the nature of the search:
**Routine Baggage Checks vs. Body Searches:**
* **Routine Baggage Checks:** Limited inspections of bags for safety purposes may be allowed. However, probable cause is still required to further inspect a bag.
* **Body Searches:** The Philippine Constitution protects citizens from unreasonable searches and seizures (Article III, Section 1). **Body searches generally require a warrant** unless there is probable cause to believe a crime is being committed. Here's how the authorities should proceed if they discover illegal drugs during a routine search in public transportation:
**1. Verification and Initial Steps:**
* If suspicious items are found during a routine baggage check, officers should ask the passenger to explain the contents.
* **Officers cannot automatically assume the items are illegal drugs.**
**2. Probable Cause and Next Steps:**
* If the passenger's explanation or behavior raises **probable cause** to believe the items are illegal drugs, officers can conduct a more thorough search.
* Probable cause involves a reasonable belief that a crime is being committed, based on specific facts and circumstances.
* **If probable cause is not established, the items should be returned to the passenger.**
**3. Search Procedures and Documentation:**
* If there is probable cause, a more thorough search **should be conducted with a witness present, preferably another officer.**
* **The search and findings should be documented thoroughly.** This includes:
* A detailed description of the items found.
* The location of the search.
* The date and time.
* Witnesses present.
**4. Arrest and Detention:**
* **If illegal drugs are found, the passenger can be arrested.** * **The arrest and the basis for it must be documented.**
* The arrested passenger **has the right to remain silent and to legal counsel.**
**Important Reminders:**
* **Passengers have the right to question the legality of the search.** If they believe the search was unreasonable, they can consult a lawyer.
* **The following resources can provide further information:**
* Philippine National Police (PNP): [https://pnp.gov.ph/](https://pnp.gov.ph/)
* Commission on Human Rights (CHR): [https://chr.gov.ph/](https://chr.gov.ph/)
By following these procedures, law enforcement can ensure that the search and any potential arrest comply with Philippine law and respect the rights of passengers.</t>
  </si>
  <si>
    <t>Your workplace conducts a random drug testing, and a colleague tests positive for illegal drugs. What legal consequences may the colleague face, and how does this affect the workplace?</t>
  </si>
  <si>
    <t>Here's a breakdown of the potential legal consequences and workplace implications for your colleague testing positive for illegal drugs in a random drug test, based on Philippine law:
**Legal Consequences for the Colleague:**
* **Depends on the quantity and type of illegal drug detected.** The Comprehensive Dangerous Drugs Act (R.A. 9165) outlines penalties based on the amount of drugs found. * Possession of small quantities for personal use may be subject to **voluntary or court-mandated rehabilitation**.
* Possession of larger quantities or involvement in selling/distribution carries harsher penalties, including imprisonment.
* **No criminal charges may arise solely from the positive drug test.** The test result is primarily for the company's internal procedures. However, the company can report the findings to the authorities if they choose to do so. **Workplace Implications:**
* **The company's Drug-Free Workplace Policy will dictate the consequences.** Most companies have established policies outlining procedures for positive drug tests. These may include:
* **Disciplinary action:** This could range from a warning to suspension or termination, depending on the severity of the offense and the company's policy.
* **Mandatory rehabilitation:** The company may offer or require the employee to undergo a rehabilitation program as a condition of continued employment.
* **Confidentiality:** The company should maintain confidentiality regarding the employee's test results, except as required by law.
**Important Notes:**
* The company's random drug testing program should comply with Department of Labor and Employment (DOLE) Department Order No. 53, Series of 2003 (DO 53). This order outlines the guidelines for implementing Drug-Free Workplace Policies in the private sector. * The employee has the right to due process. This means they have the right to be informed of the allegations, present their side of the story, and appeal any disciplinary action taken against them.
* It's essential to consult a lawyer if your colleague wants to challenge the positive test result or the company's disciplinary action. **Overall:**
While a positive drug test can lead to legal consequences depending on the quantity and type of drug, the primary impact will likely be felt within the workplace based on the company's established policies.</t>
  </si>
  <si>
    <t>You come across a suspicious-looking package at a courier service that may contain illegal drugs. What legal steps should you take to report and handle this situation?</t>
  </si>
  <si>
    <t>Here's what you can do if you encounter a suspicious package at a courier service in the Philippines, following legal and safety protocols:
**Do Not Tamper with the Package:**
* **Your safety is the priority.** Do not touch, open, or move the package. Tampering with evidence can complicate investigations.
**Report the Package to a Supervisor:**
* Inform a supervisor or manager at the courier service immediately. They are trained to handle such situations.
**The Courier Service's Responsibility:**
* The courier service likely has procedures in place for handling suspicious packages. * They may have K-9 units trained to detect illegal drugs. * They may also have protocols for contacting law enforcement.
**Potential Law Enforcement Involvement:**
* Depending on the courier service's policy and their assessment of the package, they may involve the Philippine National Police (PNP) or the Philippine Drug Enforcement Agency (PDEA).
**Optional but Helpful (if safe to do so):**
* **Discreetly Note Details:** From a safe distance, try to memorize details about the package's size, shape, any labels or markings, and where it was located within the courier service.
**Legal Framework:**
* The courier service plays a vital role in preventing illegal drug trafficking. Philippine Drug Enforcement Agency (PDEA) collaborates with courier services to intercept illegal drugs sent through the mail system ([https://pdea.gov.ph/11-auxiliary?start=20](https://pdea.gov.ph/11-auxiliary?start=20)).
**Additional Tips:**
* **There's no legal obligation for you to personally report the package to law enforcement.** The courier service will handle that based on their procedures.
* **If you feel uncomfortable or unsafe, simply inform a supervisor and let them handle the situation.** By following these steps, you can contribute to a safer environment and potentially help authorities intercept illegal drugs. Remember, prioritize your safety and let the trained professionals handle the package itself.</t>
  </si>
  <si>
    <t>A person is caught in possession of illegal drugs during a party at your residence. What legal responsibilities do you have as the host, and what actions should be taken?</t>
  </si>
  <si>
    <t>In the Philippines, as the host of a residence where someone is caught with illegal drugs, you may not have direct legal consequences, but there are actions you should take to protect yourself and cooperate with authorities. Here's a breakdown:
**Direct Legal Consequences:**
Philippine law (Comprehensive Dangerous Drugs Act - R.A. 9165) typically penalizes possession and distribution of illegal drugs. However, unless there's evidence you knowingly allowed or facilitated drug use at your residence, you likely wouldn't face charges for someone else's possession. **Recommended Actions:**
1. **Prioritize Safety:** Ensure everyone at the party is safe. If there's a risk of violence, call the police immediately (emergency hotline 117).
2. **Contact Authorities:** Call the Philippine National Police (PNP Hotline 186) and report the situation. Explain that someone was caught with illegal drugs at your gathering.
3. **Cooperation:** Cooperate with the police investigation. Provide them with details about the party and the person caught with drugs (if known).
4. **Protect Yourself:** You don't have to answer any questions that might incriminate yourself. If unsure, politely ask if you need a lawyer.
**Mitigating Potential Issues:**
* **Preventative Measures:** While not a legal obligation, having clear house rules against drugs at your gathering can help deter illegal activity.
**Important Notes:**
* These are general guidelines. Specific situations might require consulting a lawyer for personalized advice.
* There's a difference between possession and distribution. If evidence suggests you were knowingly providing drugs, you could face legal repercussions.
**Remember:** * Your safety and the safety of others at the party are paramount.
* Cooperate with law enforcement to a reasonable extent.
* Seek legal counsel if unsure about your rights or responsibilities.</t>
  </si>
  <si>
    <t>You suspect that a hotel in your community is being used as a venue for illegal drug activities. How can you legally report this suspicion to the authorities?</t>
  </si>
  <si>
    <t>The Philippine Drug Enforcement Agency (PDEA) is the primary agency responsible for enforcing laws against illegal drugs. Here are two legal ways you can report your suspicion about the hotel to PDEA based on Philippine law:
**1. Reporting Through PDEA Hotlines (Republic Act No. 9165 - Comprehensive Dangerous Drugs Act of 2002):**
* Section 76 of RA 9165 allows concerned citizens to report illegal drug activities. PDEA maintains 24/7 hotlines for this purpose. You can anonymously report your suspicion by texting details (including the hotel name and address) to the appropriate number based on your network:
* Smart/Sun: 0999-888 PDEA (7332)
* Globe: 0927-9150616
**2. Reporting Through PDEA Facebook Page (Constitution of the Philippines - Article XIII, Section 3 [Right to Information]):**
* The Philippine Constitution guarantees the right to information (Article XIII, Section 3). PDEA utilizes this right to encourage citizen participation in the fight against illegal drugs through their Facebook page "Isumbong Mo Kay Wilkins!" You can send a private message with details about the hotel anonymously.
**Important Note:** While these methods allow anonymous reporting, ensure the information you provide is truthful and accurate. PDEA can conduct investigations based on your report (RA 9165, Section 76).</t>
  </si>
  <si>
    <t>As a teacher, you observe signs of drug use among students. What legal steps can you take within the educational institution to address and prevent this issue?</t>
  </si>
  <si>
    <t>Here are some legal steps you can take within the educational institution to address and prevent drug use among students based on Philippine law:
**1. Report to the School Administration (DepEd Order No. 4 s. 2012 - Implementing Guidelines on the National Drug Education Program in Basic Education):**
* DepEd Order No. 4 outlines the National Drug Education Program (NDEP). Schools must have a designated Drug Education Coordinator (DEC) to handle drug-related concerns. You are legally mandated to report your observations to the DEC or the school principal (RA 9165, Section 76).
**2. Refer Students for Guidance and Counselling (Republic Act No. 11232 - Mandatory Drug Testing in Schools Act):**
* RA 11232 mandates drug testing in schools. However, the law emphasizes an "anti-drug abuse" approach over punishment. If a student tests positive, you should refer them to the school counselor or guidance office for intervention and support (RA 11232, Section 8).
**3. Implement Drug Prevention Programs (DepEd Order No. 4 s. 2012):**
* DepEd Order No. 4 encourages schools to integrate drug prevention programs into the curriculum. You can collaborate with the DEC and guidance counselor to organize talks, workshops, or activities that promote healthy lifestyles and raise awareness about the dangers of drugs (RA 9165, Section 40). **4. Maintain Confidentiality (Republic Act No. 10173 - Data Privacy Act of 2012):**
* While reporting is necessary, you must maintain student confidentiality. The Data Privacy Act protects student information. Only share details with authorized personnel who can provide assistance (RA 10173, Section 13).
**Additional Resources:**
* Philippine Drug Enforcement Agency (PDEA): [https://pdea.gov.ph/](https://pdea.gov.ph/)
* Department of Education (DepEd): [https://deped.gov.ph/](https://deped.gov.ph/)
By following these legal steps, you can contribute to creating a safe and drug-free learning environment for your students. Remember, prevention and intervention are key in addressing drug use in schools.</t>
  </si>
  <si>
    <t>You encounter a person soliciting drugs in a public market. What legal actions can be taken to address the immediate threat and report the incident to law enforcement?</t>
  </si>
  <si>
    <t>Here's how you can address the immediate threat and report the incident to law enforcement when encountering someone soliciting drugs in a public market, based on Philippine law:
**1. Prioritize Your Safety (Constitution of the Philippines, Article II, Section 11 - Right to Life, Liberty and Security of Person):**
* The Philippine Constitution guarantees the right to life, liberty, and security of person. Engaging with someone soliciting drugs can be risky. If you feel unsafe, avoid confrontation and prioritize your safety.
**2. Gather Evidence (if possible) (Rule 130, Section 3 - Rules of Evidence):**
* While not mandatory, if the situation allows and you feel safe, try to gather discreet evidence. This could include noting the person's description, location within the market, or any specific details about the drugs being solicited (e.g., names, quantities).
**3. Report the Incident Immediately (Republic Act No. 9165 - Comprehensive Dangerous Drugs Act of 2002):**
* Section 76 of RA 9165 encourages citizens to report illegal drug activities. Here are two options for reporting:
* **Inform a police officer:** Public markets likely have police presence for security. Find a uniformed officer and report the incident, providing any evidence you gathered.
* **Call the Philippine National Police (PNP) Hotline:** The national emergency hotline is 117. Report the incident, including the location (market name and address) and a description of the person soliciting drugs.
**Additional Tips:**
* If you're uncomfortable approaching the police directly, consider reporting it to market security personnel. They may have protocols for handling such situations and can relay the information to the authorities. * Remember, reporting anonymously is allowed (RA 9165, Section 76). By following these steps, you can contribute to a safer public market environment and assist law enforcement in their efforts to combat illegal drug activities.</t>
  </si>
  <si>
    <t>A co-worker admits to you that they have been illegally using drugs to cope with work stress. What legal obligations do you have, and how can you encourage them to seek help?</t>
  </si>
  <si>
    <t>In the Philippines, as a co-worker, you don't have legal obligations to report your colleague's drug use. However, you do have a moral and ethical responsibility to help them and protect the workplace. Here's how you can navigate this situation:
**Maintain Confidentiality (Republic Act No. 10173 - Data Privacy Act of 2012):**
* The Data Privacy Act protects your co-worker's information. You cannot disclose their drug use to anyone, including superiors, unless they give you explicit permission.
**Focus on Support and Resources (Republic Act No. 9165 - Comprehensive Dangerous Drugs Act of 2002):**
* RA 9165 prioritizes rehabilitation over punishment for drug users. Encourage your co-worker to seek professional help. Here are some resources you can share:
* Philippine Drug Enforcement Agency (PDEA) Treatment and Rehabilitation Centers: [https://pdea.gov.ph/](https://pdea.gov.ph/) ([https://pdea.gov.ph/](https://pdea.gov.ph/))
* Department of Health (DOH) Accredited Treatment and Rehabilitation Centers: [https://trcbataan.doh.gov.ph/hello-world/](https://trcbataan.doh.gov.ph/hello-world/)
* National Bureau of Dangerous Drugs (NBDD) Hotline: 1-REHAB (1-73422)
**Express Concern and Offer Support:**
* Let your co-worker know you care about their well-being. Offer a listening ear without judgment. * Discuss how their drug use might be impacting their work performance or safety.
**Encourage Healthy Coping Mechanisms:**
* Suggest alternative stress management techniques like exercise, meditation, or spending time with loved ones.
**Seek Guidance from HR (Optional):**
* If you're unsure how to proceed or feel your co-worker's drug use poses a safety risk at work, you can confidentially discuss the situation with your Human Resources department. They can offer guidance and may have internal support programs available.
Remember, your goal is to encourage your co-worker to seek help and improve their well-being. By offering support and relevant resources, you can make a positive difference.</t>
  </si>
  <si>
    <t>During a community event, you notice drug paraphernalia in a nearby public restroom. What legal steps should you take to address this situation and protect the community?</t>
  </si>
  <si>
    <t>Here are the legal steps you can take to address drug paraphernalia found in a public restroom during a community event, with the goal of protecting the community:
1. **Prioritize Safety (Constitution of the Philippines, Article II, Section 11):**
Drug paraphernalia can be associated with used needles or other hazardous materials. Avoid touching the items directly to protect yourself from potential risks.
2. **Report the Incident to Authorities (Republic Act No. 9165 - Comprehensive Dangerous Drugs Act of 2002):**
* Section 76 of RA 9165 encourages citizens to report illegal drug activities. Here are two options:
* **Find a police officer:** Community events often have police presence for security. Locate a uniformed officer and report the discovery of drug paraphernalia in the restroom, specifying the location (stall number if applicable). * **Report to Event Organizers:** If police presence is limited, report the situation to the event organizers. They may have security personnel who can handle the situation and alert the authorities.
3. **Leave the Restroom Unusable (Optional):**
* If it's safe to do so, consider placing a sign or barrier on the restroom door indicating it's temporarily out of order to prevent others from entering until the authorities have investigated.
**Additional Tips:**
* While not required, you can discreetly note the type of paraphernalia observed (e.g., syringes, pipes) if comfortable doing so. This information might be helpful for the authorities.
* Remember, you can report anonymously (RA 9165, Section 76).
By following these steps, you can contribute to a safer community event and assist law enforcement in addressing potential drug activity.</t>
  </si>
  <si>
    <t>Your child's school is organizing an awareness program on illegal drugs, and you discover that the invited speaker has questionable credentials. What legal concerns should you raise?</t>
  </si>
  <si>
    <t>Here are some legal concerns you can raise if your child's school invites a speaker with questionable credentials for a drug awareness program:
* **Accuracy of Information (Republic Act No. 9165 - Comprehensive Dangerous Drugs Act of 2002):**
* RA 9165 aims to provide effective drug prevention and education. You can express concern that a speaker with questionable credentials might provide inaccurate or misleading information about drugs, potentially causing confusion or harm.
* **Student Welfare (Constitution of the Philippines, Article XIII, Section 13 - Right to Quality Education):**
* The Constitution guarantees the right to quality education. You can argue that a speaker with questionable credentials might not be qualified to deliver an effective drug awareness program, potentially hindering students' understanding of the dangers of illegal drugs.
* **Transparency and Accountability (Republic Act No. 6713 - Code of Conduct for Ethical Practices of Public Officials and Employees):**
* This law promotes transparency and accountability in public institutions. You can question the school's decision-making process in selecting the speaker. Did they properly vet the speaker's qualifications and experience in drug education?
**How to Raise Your Concerns:**
* **Schedule a Meeting with the School Principal or Guidance Counselor:** Discuss your concerns politely and professionally. Ask for details about the speaker's background and experience in drug education.
* **Suggest Alternative Resources:** If the speaker's credentials are truly questionable, suggest qualified alternatives. This could include government agencies like PDEA (Philippine Drug Enforcement Agency) or accredited drug rehabilitation centers.
* **Gather Support from Other Parents (Optional):** If other parents share your concerns, consider forming a group to advocate for a qualified speaker.
**Remember:**
* Approach the situation constructively. Your goal is to ensure your child and other students receive accurate and effective drug awareness education. * School officials have a responsibility to ensure the safety and well-being of students. By raising your concerns, you can contribute to a more informative and impactful drug awareness program.</t>
  </si>
  <si>
    <t>You witness a drug deal occurring within 100 meters of a school, involving both students and outsiders. What immediate actions can you take to protect the students and report the incident?</t>
  </si>
  <si>
    <t>Here are the immediate actions you can take to protect the students and report the incident witnessing a drug deal within 100 meters of a school:
**Prioritize Safety (Constitution of the Philippines, Article II, Section 11):**
* Drug deals can be dangerous situations. Do not intervene directly, especially if the people involved seem violent. **Protect the Students (Republic Act No. 9165 - Comprehensive Dangerous Drugs Act of 2002 &amp; Republic Act No. 11232 - Mandatory Drug Testing in Schools Act):**
* **Call the Police:** Dial 117, the national emergency hotline. Report the incident, describing the location (including the school name and address), the number of people involved (adults and students), and any details about their appearance or clothing. * **Alert School Security or Officials (Optional):** If it's safe to do so, notify school security or any nearby school officials. They can take steps to ensure the safety of students on school grounds.
**Report the Incident (Republic Act No. 9165):**
* You can report the incident anonymously. Section 76 of RA 9165 encourages citizens to report illegal drug activities. Here are two options:
* **PDEA Hotline:** If you prefer not to involve the police directly, consider reporting the incident to the Philippine Drug Enforcement Agency (PDEA) hotline. You can text details to the appropriate number based on your network:
* Smart/Sun: 0999-888 PDEA (7332)
* Globe: 0927-9150616
* **PDEA Website:** Alternatively, you can report the incident anonymously through the PDEA website: [https://pdea.gov.ph/](https://pdea.gov.ph/)
**Additional Tips:**
* If you feel comfortable doing so, try to discreetly note any details that might help identify the people involved (descriptions, clothing, direction they went). * Be prepared to answer questions from the police or PDEA if they contact you for more information.
By taking these immediate actions, you can help protect students from the dangers of drugs and contribute to law enforcement efforts to stop illegal drug activity near schools.</t>
  </si>
  <si>
    <t>While hiking in a protected natural area, you come across a group engaging in illegal drug use. What legal steps can be taken to report this incident and maintain environmental safety?</t>
  </si>
  <si>
    <t>Here's what you can do to report illegal drug use in a protected natural area and maintain environmental safety:
**Prioritize Safety (Constitution of the Philippines, Article II, Section 11):**
* Drug use can be unpredictable. Avoid approaching the group directly, especially if they seem intoxicated or aggressive.
**Report the Incident (Republic Act No. 9165 - Comprehensive Dangerous Drugs Act of 2002):**
* **Contact Authorities:** There are two primary options for reporting:
* **Park Rangers:** Most protected natural areas have park rangers responsible for maintaining order and safety. If you have cell service, call the park ranger station and report the incident, providing details about the location (trail name, landmarks), number of people involved, and any descriptions you can safely gather. * **DENR Hotline:** The Department of Environment and Natural Resources (DENR) has a hotline for reporting environmental violations, including illegal activities in protected areas. You can call 13173 (DENR) to report the incident.
* **Consider Anonymous Reporting (RA 9165):** You can report anonymously if you're uncomfortable revealing your identity.
**Maintain Environmental Safety:**
* **Leave No Trace:** Do not disturb the area where you witnessed the drug use. Avoid touching any drug paraphernalia or leaving any trash behind.
**Additional Tips:**
* **Take Photos (Optional):** If it can be done safely and discreetly, take pictures of the location (without capturing the people involved) to document the incident. This might be helpful for the authorities.
* **Report Environmental Damage (Optional):** If the group left any litter or caused any damage to the natural area, report it to the park rangers or DENR hotline in addition to the drug activity.
By following these steps, you can help ensure both the safety of yourself and others, while also protecting the environment from further harm. Remember, even if you report anonymously, your information can be valuable for authorities in investigating illegal activities in protected natural areas.</t>
  </si>
  <si>
    <t>A close friend confesses to you that they are struggling with drug addiction but are afraid to seek help due to legal consequences. What guidance can you provide to support them legally?</t>
  </si>
  <si>
    <t>Here's how you can provide legal guidance and support your friend struggling with drug addiction in the Philippines:
**Reassure Them About Legal Consequences (Republic Act No. 9165 - Comprehensive Dangerous Drugs Act of 2002):**
* RA 9165 prioritizes rehabilitation over punishment for drug users. Inform your friend that seeking help won't lead to legal trouble. Section 6 of RA 9165 provides for voluntary or compulsory drug abuse treatment and rehabilitation. **Highlight Available Resources:**
* The Philippines offers various government-supported treatment and rehabilitation programs with confidential options. Here are some resources you can share with your friend:
* Philippine Drug Enforcement Agency (PDEA) Treatment and Rehabilitation Centers: [https://pdea.gov.ph/](https://pdea.gov.ph/)
* Department of Health (DOH) Accredited Treatment and Rehabilitation Centers: [https://www.facebook.com/trcbataan/](https://www.facebook.com/trcbataan/)
* National Bureau of Dangerous Drugs (NBDD) Hotline: 1-REHAB (1-73422) - This hotline offers confidential information and referrals for drug rehabilitation programs.
**Offer Support and Accompaniment:**
* Finding help can be overwhelming. Offer to accompany your friend to a rehabilitation center or a trusted healthcare professional who can guide them through the process.
**Maintain Confidentiality (Republic Act No. 10173 - Data Privacy Act of 2012):**
* The Data Privacy Act protects your friend's information. You cannot disclose their drug addiction to anyone without their explicit consent. **Seek Additional Support:**
* Consider joining support groups for families and friends of people with addiction. These groups can provide valuable guidance and emotional support for you and your friend. **Important Note:**
* While I can provide legal information, I cannot give specific medical or rehabilitation advice. Encourage your friend to seek professional help from a qualified healthcare provider to develop a personalized recovery plan.
Remember, your support and encouragement can make a significant difference in your friend's journey to recovery.</t>
  </si>
  <si>
    <t>You suspect that a public transportation terminal is being used for drug trafficking. What legal steps can be taken to investigate and address this situation with the authorities?</t>
  </si>
  <si>
    <t>The Philippine legal system offers several avenues to investigate and address your suspicion of drug trafficking in a public transportation terminal. Here's what you can do:
**Report the Incident (Republic Act No. 9165 - Comprehensive Dangerous Drugs Act of 2002):**
* RA 9165 encourages citizen participation in the fight against illegal drugs. You can report your suspicion anonymously through the following methods:
* **PDEA Hotlines:** The Philippine Drug Enforcement Agency (PDEA) maintains 24/7 hotlines for anonymous reporting. Text details about the terminal (name, address) and any suspicious activity you've observed to the appropriate number based on your network:
* Smart/Sun: 0999-888 PDEA (7332)
* Globe: 0927-9150616
* **PDEA Website:** Alternatively, report anonymously through the PDEA website: [https://pdea.gov.ph/](https://pdea.gov.ph/)
**Gather Evidence (Optional):**
* While not mandatory, if you feel safe, try to discreetly gather some evidence:
* Note the specific areas within the terminal where suspicious activity occurs (e.g., specific stalls, waiting areas).
* If possible, take pictures (without capturing people's faces) of areas where drug transactions might be happening.
* Record specific times and dates when you witness suspicious activity.
**Report to the Terminal Management (Optional):**
* Many public transportation terminals have security personnel or a management office. Consider reporting your concerns to them. They might have internal protocols for handling such situations and can relay the information to the authorities. **Important Note:**
* If you witness an actual drug transaction or suspect violence is involved, prioritize your safety and avoid direct confrontation. Report the incident immediately by calling the police hotline (117).
**Remember:**
* Even anonymous reports are valuable for PDEA investigations. The more details you provide, the better equipped authorities are to investigate the situation. * By reporting your suspicion, you can contribute to a safer public transportation environment.</t>
  </si>
  <si>
    <t>A person arrested for illegal drug possession claims entrapment by law enforcement. How is the defense of entrapment handled under Philippine law?</t>
  </si>
  <si>
    <t>In the Philippines, the defense of entrapment in illegal drug cases is recognized but has a high burden of proof on the accused. Here's how Philippine law handles entrapment:
**Key Legislation:**
* The main legislation is Republic Act No. 9165, also known as the Comprehensive Dangerous Drugs Act of 2002 (RA 9165).
**Entrapment vs. Instigation:**
* Philippine law distinguishes between entrapment and instigation. * **Entrapment** occurs when law enforcement induces a law-abiding person to commit a crime they wouldn't have otherwise committed. * **Instigation** happens when law enforcement actively participates in the crime alongside a pre-disposed offender.
**Entrapment Defense:**
* To claim entrapment as a defense under RA 9165, the accused must prove all the following:
* **Prior Lack of Criminal Intent:** The accused must demonstrate they had no intention to commit the drug offense before being approached by law enforcement.
* **Inducement by Law Enforcement:** The accused must show that law enforcement officers induced or persuaded them to commit the crime through persuasion, pressure, or other coercive tactics.
* **Absence of Predisposition:** The accused needs to prove they were not already predisposed to commit the drug offense.
**High Burden of Proof:**
* The burden of proof for entrapment lies entirely with the accused. This means they must present convincing evidence to support their claims.
**Court Evaluation:**
* Courts will carefully evaluate the evidence presented by both the prosecution and the defense. Factors considered include:
* The accused's criminal history (if any)
* The nature and extent of inducement by law enforcement
* The accused's behavior during the alleged entrapment
**Possible Outcomes:**
* If the court finds entrapment is established, the charges against the accused may be dismissed.
* If entrapment is not proven, the accused will face prosecution for the illegal drug possession charges.
**Important to Note:**
* Entrapment is a complex legal defense. Consulting with a qualified lawyer is crucial if you are considering this defense in an illegal drug case.
* Philippine law enforcement agencies are authorized to conduct undercover operations to apprehend drug offenders. However, these operations must be conducted within legal boundaries to avoid claims of entrapment.</t>
  </si>
  <si>
    <t>You discover that a local convenience store is selling items that can be used as drug paraphernalia. What legal measures can you take to address this concern and report it?</t>
  </si>
  <si>
    <t>The sale of items that can be **primarily** used as drug paraphernalia is illegal in the Philippines. Here's what you can do to address your concern and report the convenience store:
**Report to the Philippine Drug Enforcement Agency (PDEA) (Republic Act No. 9165 - Comprehensive Dangerous Drugs Act of 2002):**
* PDEA is the primary agency responsible for enforcing laws against illegal drugs and related activities. You can report the store anonymously through two methods:
* **PDEA Hotlines:** Call or text details about the store (name, address, specific items being sold) to the appropriate number based on your network:
* Smart/Sun: 0999-888 PDEA (7332)
* Globe: 0927-9150616
* **PDEA Website:** Report anonymously through the PDEA website: [https://pdea.gov.ph/](https://pdea.gov.ph/)
**Gather Evidence (Optional):**
* While not required, if you feel safe, consider gathering some evidence to support your report:
* Take pictures (without capturing people's faces) of the specific items being sold that can be used as drug paraphernalia. * Note the names or brands of these items.
**Understanding "Primarily Used" for Drug Paraphernalia:**
* The key distinction is whether the items are designed and marketed **primarily** for drug use. Here are some examples:
* Items clearly designed for drug use (e.head pipes, bongs) would be illegal to sell.
* Items with legitimate alternative uses (e.g., rolling papers, small scales) might be allowed if the store primarily markets them for those alternative purposes.
**Reporting to Local Authorities (Optional):**
* You can also report the store to your local barangay captain or business permit licensing office. While they may not have direct enforcement power regarding drug paraphernalia, they can investigate the situation and potentially revoke the store's business permit if violations are confirmed.
**Remember:**
* Even anonymous reports are valuable for PDEA investigations. * By reporting your concern, you can help prevent the store from unknowingly contributing to illegal drug activity.</t>
  </si>
  <si>
    <t>During a routine inspection, authorities find an establishment using controlled precursors for illegal drug manufacturing. What legal consequences may the business owner face?</t>
  </si>
  <si>
    <t>In the Philippines, using controlled precursors for illegal drug manufacturing carries serious legal consequences. Here's a breakdown of what the business owner might face based on Philippine law:
**Legislation:**
* The primary legislation is Republic Act No. 9165, also known as the Comprehensive Dangerous Drugs Act of 2002 (RA 9165).
**Offenses and Penalties:**
* **Section 9: Illegal Chemical Diversion:** This section prohibits the illegal diversion of controlled precursors and essential chemicals. If authorities find the establishment using controlled precursors for illegal drug manufacturing, the owner would be violating this section.
* **Penalties:** The penalty for illegal chemical diversion under RA 9165, Section 9, is imprisonment ranging from twelve (12) years and one (1) day to twenty (20) years and a fine ranging from One hundred thousand pesos (P100,000.00) to Five hundred thousand pesos (P500,000.00).
**Additional Consequences:**
* **Confiscation:** Authorities will likely confiscate any controlled precursors found at the establishment.
* **Business Permit Revocation:** Depending on the severity of the offense, the government might revoke the business permit of the establishment.
* **Civil Lawsuits:** The business owner might face civil lawsuits from individuals or entities harmed by the illegal drug manufacturing activities.
**Important Notes:**
* The specific penalties may vary depending on the quantity and type of controlled precursors involved, as well as any evidence of intent or prior offenses. * The business owner has the right to legal representation and can contest the charges in court.
**Recommendations:**
* If you are a business owner and handle controlled precursors, it's crucial to have a strict internal control system to ensure these chemicals are used for legitimate purposes only. * Proper licensing and permits are required for handling controlled precursors. * Consulting with a lawyer specializing in business law and drug-related offenses is recommended for navigating such situations.</t>
  </si>
  <si>
    <t>You encounter a group of individuals using drugs openly in a public park. What legal actions can you take to ensure public safety and report the incident to the authorities?</t>
  </si>
  <si>
    <t>Here are the legal actions you can take to ensure public safety and report the incident of drug use in a public park:
**Prioritize Safety (Constitution of the Philippines, Article II, Section 11):**
* Public drug use can be unpredictable. Do not approach the group directly, especially if they seem intoxicated or aggressive. Your safety is paramount. **Protect the Public (Republic Act No. 9165 - Comprehensive Dangerous Drugs Act of 2002):**
* **Call the Police:** Dial 117, the national emergency hotline. Report the incident, describing the location (park name and address), the number of people involved, and any details about their appearance or clothing that can help identify them. **Report the Incident (Republic Act No. 9165):**
* You can report the incident anonymously. Section 76 of RA 9165 encourages citizens to report illegal drug activities. Here are two options for anonymous reporting:
* **PDEA Hotline:** The Philippine Drug Enforcement Agency (PDEA) maintains 24/7 hotlines. Text details about the incident to the appropriate number based on your network:
* Smart/Sun: 0999-888 PDEA (7332)
* Globe: 0927-9150616
* **PDEA Website:** Alternatively, report anonymously through the PDEA website: [https://pdea.gov.ph/](https://pdea.gov.ph/)
**Additional Tips:**
* If you feel comfortable, try to discreetly note any details that might help identify the people involved (descriptions, clothing, direction they went). * Be prepared to answer questions from the police or PDEA if they contact you for more information.
**Remember:** * By taking these steps, you can help ensure the safety of yourself and others in the park. * Even anonymous reports are valuable for authorities in investigating drug activity in public spaces.</t>
  </si>
  <si>
    <t>As a member of a homeowners' association, you receive reports of a resident operating a clandestine drug laboratory. What legal steps can the association take to address this issue?</t>
  </si>
  <si>
    <t>As a member of a homeowner's association (HOA), while you cannot directly address a suspected clandestine drug laboratory on your own, there are legal steps the HOA can take:
**Focus on Safety (Constitution of the Philippines, Article II, Section 11):**
* Clandestine drug labs pose a significant fire, explosion, and toxic hazard. The HOA's priority is to ensure the safety of residents.
**Report the Suspicion (Republic Act No. 9165 - Comprehensive Dangerous Drugs Act of 2002):**
* **Involve Law Enforcement:** The HOA board should file a report with the Philippine Drug Enforcement Agency (PDEA). PDEA is the primary agency responsible for investigating and dismantling clandestine drug labs. They can be contacted through:
* **PDEA Hotlines:** Call or text details about the suspected lab (resident's address, suspicious activity observed) to the appropriate number based on your network:
* Smart/Sun: 0999-888 PDEA (7332)
* Globe: 0927-9150616
* **PDEA Website:** Report anonymously through the PDEA website: [https://pdea.gov.ph/](https://pdea.gov.ph/)
**Gather Evidence (Optional):**
* While the HOA cannot directly enter the resident's property, they can encourage residents to document any suspicious activity observed near the suspect's house. This could include:
* Unusual odors
* Excessive coming and going of people at odd hours
* Chemical containers being brought into the house
**HOA Authority Limitations:**
* The HOA cannot conduct its own investigation or enter the resident's property without a warrant. * Eviction based solely on suspicion is not advisable.
**Work with Local Authorities:**
* The HOA can collaborate with the local barangay captain to express concerns and request increased police patrols in the neighborhood.
**Resident Safety Measures:**
* The HOA can remind residents of fire safety protocols and encourage them to report any suspicious activity to the authorities.
**Legal Advice:**
* Consider consulting a lawyer specializing in HOA regulations to understand the association's legal rights and limitations in handling this situation.
**Remember:**
* By reporting the suspicion and working with law enforcement, the HOA can take a proactive approach to ensure the safety of the community.</t>
  </si>
  <si>
    <t>You suspect that a religious gathering is being infiltrated for drug trafficking purposes. What legal steps can you take to report this suspicion and protect the congregation?</t>
  </si>
  <si>
    <t>The situation requires a delicate balance between protecting the congregation and respecting the right to religious freedom. Here's what you can do:
**Gather Evidence (Optional, prioritize safety):**
* Only if you can do so discreetly and safely, try to gather some evidence to support your suspicions. This could include:
* Noting specific times and dates of suspicious activity (unusual arrivals/departures, exchanges of goods).
* Observing any distinctive features or descriptions of people involved in suspected activity.
**Report to Religious Leaders:**
* The most sensitive approach is to first report your suspicions to the religious leaders of the gathering. They might be unaware of the situation and can take internal steps to address it while protecting their congregation.
**Report to Authorities (Republic Act No. 9165 - Comprehensive Dangerous Drugs Act of 2002):**
* If you're uncomfortable approaching the religious leaders directly, or if the suspicion persists, report it to the authorities. Here are two options for anonymous reporting:
* **PDEA Hotline:** The Philippine Drug Enforcement Agency (PDEA) maintains 24/7 hotlines. Text details about the gathering (location, name of religious group, suspicious activity) to the appropriate number based on your network:
* Smart/Sun: 0999-888 PDEA (7332)
* Globe: 0927-9150616
* **PDEA Website:** Alternatively, report anonymously through the PDEA website: [https://pdea.gov.ph/](https://pdea.gov.ph/)
**Provide Specific Information:**
* When reporting, be as specific as possible about the suspicious activity and the location of the gathering. This will help authorities investigate effectively.
**Maintain Anonymity (Optional):**
* You can report anonymously under RA 9165.
**Protecting the Congregation:**
* Consider suggesting additional security measures for the gathering, such as volunteer security personnel or increased vigilance among members.
**Remember:**
* Striking a balance between protecting the congregation and respecting religious freedom is crucial. By reporting your suspicion and providing details, you can help authorities investigate without disrupting the religious gathering itself.</t>
  </si>
  <si>
    <t>A colleague discloses that they have been pressured to engage in drug trafficking within the workplace. What legal support and advice can you provide to assist your colleague?</t>
  </si>
  <si>
    <t>Here's how you can provide legal support and advice to your colleague who's been pressured to engage in drug trafficking at work:
**Prioritize Safety and Confidentiality:**
* Reassure your colleague that they did the right thing by confiding in you. * Emphasize that you won't disclose this information to anyone without their consent (Republic Act No. 10173 - Data Privacy Act of 2012).
**Report the Incident (Optional):**
* Explain that drug trafficking is a serious crime, and they shouldn't be subjected to such pressure. * Discuss reporting options, keeping your colleague's comfort level in mind:
* **Police:** They can report the incident directly to the police by calling 117. * **Company HR Department:** Depending on your company's policies and your colleague's trust in HR, reporting internally might be an option. However, some colleagues might be hesitant to report internally for fear of retaliation. * **PDEA Hotline:** They can report anonymously to the Philippine Drug Enforcement Agency (PDEA) hotline. Text details about the incident (company name, location, description of the pressure) to the appropriate number based on their network:
* Smart/Sun: 0999-888 PDEA (7332)
* Globe: 0927-9150616
**Provide Support and Resources:**
* Let your colleague know they are not alone and offer emotional support. * Research and share resources:
* Government hotlines for reporting drug trafficking (mentioned above)
* Employee assistance programs (EAPs) offered by the company, if available. EAPs provide confidential counseling and support for employees facing various challenges.
* Legal aid organizations specializing in labor law, if your colleague fears retaliation and needs help navigating reporting internally.
**Maintain Workplace Safety:**
* Advise your colleague to avoid further contact with the people pressuring them.
* If the pressure continues or escalates within the workplace, encourage them to document the incidents (dates, times, details of what was said or done). Documentation can be helpful evidence if further action is needed.
**Important Note:**
* You cannot force your colleague to report the incident. Respect their decision, but emphasize the importance of seeking help and ensuring their safety.
**Disclaimer:** * I cannot provide specific legal advice. If your colleague needs legal counsel, recommend consulting a lawyer specializing in labor law or criminal defense.
**Remember:**
* By providing support and information, you can empower your colleague to make informed decisions about their safety and well-being. You can also help create a work environment free from harassment and coercion.</t>
  </si>
  <si>
    <t>You find out that a taxi driver has been facilitating drug deals during their rides. What legal actions can be taken to report this situation and protect public safety?</t>
  </si>
  <si>
    <t>Here's what you can do to report the taxi driver and protect public safety based on Philippine law:
**Reporting the Crime:**
* **Philippine National Police (PNP):** You can report the taxi driver to the nearest police station. Describe the situation in detail, including the driver's appearance, taxi details (taxi company, plate number), and any other relevant information. There are also PNP hotlines you can call for reporting: * 117 (PNP emergency hotline)
* (Area code) - 8822-2222 (Police station hotline for your area)
* **Philippine Drug Enforcement Agency (PDEA):** You can report the crime to PDEA through their hotline: 1333. * *If you're more comfortable reporting anonymously, you can use the PDEA anonymous hotline: 0918-444-2641.
**Relevant Laws:**
* **Comprehensive Dangerous Drugs Act of 2002 (Republic Act No. 9165):** This act prohibits the manufacture, possession, sale, distribution, and use of illegal drugs. Aiding or facilitating the sale or distribution of illegal drugs is a crime under this law.
* **Constitution of the Philippines (Article III, Section 3):** The Constitution guarantees the right to security of person and property. Reporting the crime helps protect public safety from illegal drugs.
**Protecting Yourself:**
* **Do not confront the taxi driver.** Report the crime to the authorities and let them handle the investigation.
* **If possible, gather evidence.** Note down details like the taxi plate number, driver's description, and any dates/times you witnessed suspicious activity. You can also consider getting the contact details of any other passengers who might be willing to be witnesses.
By reporting the crime, you can help take a dangerous actor off the streets and protect public safety. Remember, you can report anonymously if you prefer.</t>
  </si>
  <si>
    <t>A family member is arrested for drug trafficking, and you suspect that they were coerced into illegal activities. What legal steps can you take to address this suspicion?</t>
  </si>
  <si>
    <t>Here are some legal steps you can take to address your suspicion of coercion in your family member's drug trafficking case in the Philippines:
**1. Secure Legal Representation:**
* Your first and most crucial step is to secure a lawyer specializing in drug cases. They can advise you on the best course of action based on the specific details of your situation. **2. Gather Evidence of Coercion:**
* Work with your lawyer to gather evidence that your family member was forced into participating in drug trafficking. This evidence could include:
* **Witness testimonies:** Anyone who can attest to threats, intimidation, or other forms of coercion directed towards your family member.
* **Documentary evidence:** Texts, emails, or other documents that suggest coercion (threatening messages, debt records implying forced participation, etc.).
* **Medical records:** If your family member suffered physical or psychological abuse as a result of coercion, medical records can be valuable evidence.
**3. Cooperation with Authorities (if applicable):**
* In some cases, cooperating with the authorities by providing information about the actual perpetrators of the coercion might be considered. However, this is a complex decision that should be made only in consultation with your lawyer. They can advise on the potential benefits and risks involved in cooperation.
**4. Legal Strategies:**
* Your lawyer can explore various legal strategies based on the evidence of coercion. This may include:
* **Plea Bargaining:** If your family member admits guilt but presents evidence of coercion, they might receive a lighter sentence.
* **Defense Based on Coercion:** Your lawyer can argue that your family member's actions were not voluntary due to coercion, potentially leading to a dismissal of charges.
**Important Considerations:**
* The Philippine government takes a strong stance against illegal drugs. Building a strong case of coercion will require substantial evidence.
* **Republic Act No. 9165 (Comprehensive Dangerous Drugs Act of 2002)** recognizes the concept of "voluntary surrender" with potential benefits for those who cooperate with authorities. However, this doesn't directly address coercion. **Resources:**
* Public Attorney's Office (PAO): The PAO offers free legal assistance to indigent Filipinos. You can inquire if you qualify for their services. [https://pao.gov.ph/](https://pao.gov.ph/)
Remember, this is a general overview, and the specific steps will depend on your family member's situation. Consulting a qualified lawyer is crucial for navigating the legal process effectively and advocating for your family member's rights.</t>
  </si>
  <si>
    <t>A person is arrested for drug possession, claiming that they were unaware of the drugs in their possession. How does Philippine law address the defense of lack of knowledge or awareness?</t>
  </si>
  <si>
    <t>Philippine law acknowledges lack of knowledge or awareness as a potential defense in drug possession cases, but it's a challenging defense to establish. Here's a breakdown based on relevant Philippine law:
**Knowledge as an Element of the Crime:**
* Philippine law, particularly the **Comprehensive Dangerous Drugs Act of 2002 (Republic Act No. 9165)**, considers possession of illegal drugs a crime. However, to be found guilty, the prosecution must prove that the accused had knowledge (**animus possidendi**) of the illegal drugs in their possession.
**Lack of Knowledge Defense:**
* An accused can argue lack of knowledge as a defense. This means they were completely unaware of the presence of illegal drugs. Here's where it gets difficult:
* The burden of proof lies with the accused to establish lack of knowledge by presenting convincing evidence. * Mere denial of knowledge is generally insufficient. **Strengthening the Lack of Knowledge Defense:**
* Here are some factors that can strengthen a lack of knowledge defense:
* **Credible explanation for how the drugs ended in possession:** This could involve mistaken identity, planted evidence, or borrowing someone else's belongings unknowingly containing drugs.
* **Character witnesses:** People who can testify to the accused's good character and lack of involvement with illegal drugs.
* **Absence of prior drug offenses:** A clean criminal record regarding drugs can support the claim of unawareness. **Important Considerations:**
* Philippine courts tend to scrutinize lack of knowledge defenses heavily, especially when the quantity of drugs is significant. * **Constructive Possession:** Even if the drugs weren't physically on the person, if they had control over the place where the drugs were found (e.g., their bag), establishing lack of knowledge becomes more challenging.
**Recommendation:**
Consulting a lawyer specializing in drug cases is crucial. They can assess the specifics of the situation, advise on the viability of a lack of knowledge defense, and build a strong case considering the evidence available.</t>
  </si>
  <si>
    <t>You observe a person distributing pamphlets promoting drug use in a public space. What legal measures can be taken to address the dissemination of such materials?</t>
  </si>
  <si>
    <t>Here's how Philippine law addresses the dissemination of drug use pamphlets in public spaces:
**Relevant Laws:**
While there isn't a specific law directly prohibiting the distribution of drug use pamphlets, other laws can be used to address this issue:
* **Comprehensive Dangerous Drugs Act of 2002 (Republic Act No. 9165):** This law prohibits any act that encourages or induces the use of dangerous drugs. Distributing pamphlets promoting drug use could be interpreted as such.
* **Revised Penal Code (Act No. 3815):** * **Article 189 (Inducing another to commit a crime):** This article penalizes anyone who induces another person to commit a crime, which includes drug use. Distributing pamphlets promoting drug use could be seen as an act of inducement.
* **Article 190 (Abusing freedom of speech and press):** This article prohibits the abuse of freedom of speech and press by using it to "incite the people to violence, perturbation of the public order, or the commission of any crime." Promoting drug use through pamphlets could potentially fall under this category.
**Additional Considerations:**
* **Content of the Pamphlets:** The specific content of the pamphlets will be crucial in determining the appropriate legal response. Pamphlets with detailed instructions on obtaining or using drugs would likely be viewed more seriously than those containing vague references to drug use.
* **Local Ordinances:** Some localities might have ordinances prohibiting the distribution of materials promoting illegal activities in public spaces. Checking with your local barangay or city hall can provide more information.
**Taking Action:**
Here's what you can do to address the situation:
* **Report the incident:** Report the person distributing the pamphlets to the nearest police station. Describe the situation in detail, including the pamphlet's content (if possible), the person's appearance, and the location.
* **Gather evidence (if possible):** If safe to do so, try to take pictures or videos of the person distributing the pamphlets, without getting involved yourself.
* **Consult a lawyer (optional):** A lawyer specializing in media law or criminal law can provide more specific guidance based on the details of the case.
By reporting the incident and potentially gathering evidence, you can help authorities take action against the person distributing the pamphlets and deter similar activities in the future.</t>
  </si>
  <si>
    <t>A person is caught selling drugs to minors within a shopping mall. What legal actions can be taken to ensure the safety of the minors and address the situation?</t>
  </si>
  <si>
    <t>If a person is caught selling drugs to minors within a shopping mall in the Philippines, several legal actions can be taken to ensure the safety of the minors and address the situation effectively. Here's an overview of potential legal actions:
1. **Arrest and Detention:**
- Law enforcement authorities have the authority to arrest the individual caught selling drugs to minors within the shopping mall.
- The suspect can be detained pending further investigation and formal charges.
2. **Criminal Charges:**
- The individual can be charged with violations of Republic Act No. 9165, also known as the Comprehensive Dangerous Drugs Act of 2002, which prohibits the sale, distribution, and trafficking of illegal drugs.
- Selling drugs to minors may also constitute additional offenses under the Anti-Child Abuse Law (Republic Act No. 7610) or other relevant statutes aimed at protecting the rights and welfare of children.
3. **Evidence Collection:**
- Law enforcement authorities will collect evidence, including the drugs confiscated from the suspect, witness statements, surveillance footage, and any other relevant information.
- The evidence will be documented and preserved for use in criminal proceedings.
4. **Investigation:**
- Law enforcement agencies, such as the Philippine National Police (PNP) or the Philippine Drug Enforcement Agency (PDEA), will conduct a thorough investigation to identify any accomplices, suppliers, or other individuals involved in the illegal drug trade within the shopping mall.
5. **Protection of Minors:**
- Authorities will take measures to ensure the safety and welfare of the minors who were targeted or affected by the drug sale.
- Social welfare agencies may be involved to provide support services, counseling, and protection to the minors and their families.
6. **Prosecution and Trial:**
- The suspect will undergo legal proceedings, including arraignment, trial, and judgment by the appropriate court.
- If found guilty, the individual may face imprisonment, fines, and other penalties as prescribed by law.
7. **Community Awareness and Prevention:**
- Local authorities, shopping mall management, and community organizations may work together to raise awareness about the dangers of drug abuse and the importance of safeguarding minors from exposure to illegal drugs.
- Preventive measures, such as increased security, surveillance, and education programs, may be implemented to deter drug-related activities within the shopping mall and surrounding areas.
Overall, addressing the situation of someone caught selling drugs to minors within a shopping mall requires a coordinated response involving law enforcement, social welfare agencies, community stakeholders, and the justice system to ensure accountability, protect the welfare of minors, and prevent future incidents of drug-related harm.</t>
  </si>
  <si>
    <t>During a routine inspection of a public transportation vehicle, authorities discover that it has been modified for the transportation of illegal drugs. What legal measures can be taken?</t>
  </si>
  <si>
    <t>Authorities discovering a public transportation vehicle modified for illegal drugs would likely trigger several legal measures. Here are some of the potential consequences:
**1. Criminal Charges:**
* **Drug Trafficking:** Depending on the quantity and type of drugs found, individuals involved (driver, operator, anyone with knowledge of the modifications) could face serious drug trafficking charges.
* **Conspiracy:** Charges of conspiracy to distribute or transport illegal drugs could be brought against anyone who planned or participated in modifying the vehicle.
* **Money Laundering:** If evidence suggests the operation was financially motivated, money laundering charges might be pursued.
**2. Vehicle Impoundment:**
* The modified vehicle would likely be impounded as evidence and potentially forfeited by the court.
**3. Regulatory Actions:**
* The public transportation authority responsible for the vehicle could face fines and regulatory sanctions for failing to detect the modifications. * Depending on the severity, their license to operate might be suspended or revoked.
**4. Additional Investigations:**
* The authorities would launch an investigation to identify all parties involved, including the source of the drugs and the intended recipients. * This could involve questioning the driver, operator, and potentially reviewing security footage or passenger manifests.
**Important factors influencing these measures:**
* The type and quantity of drugs discovered.
* The extent of the modifications to the vehicle.
* Whether there's evidence linking specific individuals to the operation.
**It's important to note:** This is not legal advice. The specific laws and procedures would vary depending on the jurisdiction.</t>
  </si>
  <si>
    <t>A parent reports to you that their child's school is not taking appropriate action against drug-related incidents. What legal steps can be taken to ensure the school complies with regulations?</t>
  </si>
  <si>
    <t>Here are some steps a parent can take if they feel the school isn't handling drug incidents appropriately:
1. **Document Everything:** Advise the parent to keep a detailed record of all incidents, including dates, times, and who they spoke with at the school. 2. **Schedule a Meeting with the Principal:** Encourage the parent to schedule a meeting with the principal to discuss their concerns. They should come prepared to outline specific instances where they believe the school's response fell short.
3. **Review School Policies:** The parent should review the school handbook or website for their drug and safety policies. This will help them understand the school's expected course of action. 4. **Contact the School Board:** If the meeting with the principal is unproductive, the next step is to contact the school board. They can usually find contact information on the school district website. The parent should express their concerns and request the board investigate the school's handling of drug incidents.
5. **Report to Local Authorities:** If the drug activity seems dangerous or the school seems to be deliberately ignoring the issue, the parent can report it to the local police department or child protective services. **Legal Resources:**
* **Department of Education:** The Department of Education website might have resources regarding student safety and reporting procedures. "[https://www.ed.gov/](https://www.ed.gov/)"
* **Lawyer:** Consulting an education attorney might be helpful, especially if the situation seems complex or the school board is unresponsive.
**Remember:** * It's important to stay calm and professional throughout the process. * Focus on keeping the child safe and ensuring a drug-free learning environment.
* Documenting everything will be crucial if further action becomes necessary.</t>
  </si>
  <si>
    <t>You learn that a local government official is involved in protecting drug traffickers in your community. What legal actions can be taken to expose and address this corruption?</t>
  </si>
  <si>
    <t>Here are some legal actions you can take to expose and address a local government official suspected of protecting drug traffickers:
**Reporting the Corruption:**
1. **Anti-Corruption Agencies:** Many countries or regions have dedicated anti-corruption agencies. Look for one in your area and file a formal complaint. They will have the investigative power and resources to delve deeper into the allegations. 2. **Law Enforcement:** You can report the official to the local police department or another relevant law enforcement agency. Provide them with as much detail as possible, including any evidence you might have. 3. **Regulatory Bodies:** Depending on the official's position, there might be a specific regulatory body overseeing their conduct. For example, a planning commissioner might fall under an ethics commission. **Gathering Evidence (Do this cautiously and legally):**
* **Document Everything:** Keep detailed records of your observations, including dates, times, and any specific instances where you witnessed the official interacting with known drug traffickers. * **Anonymous Tips:** If you fear retaliation, consider submitting anonymous tips to investigative bodies or journalists (more on that below). **Working with Others:**
* **Community Organizations:** Reach out to community organizations or activist groups focused on anti-corruption or neighborhood safety. They might have experience dealing with similar situations and can offer support.
* **Media:** Consider contacting local investigative journalists and providing them with the information you have. They can conduct their own investigation and potentially expose the official's wrongdoings. **Important Considerations:**
* **Safety First:** Do not put yourself in danger while gathering evidence. If you fear retaliation, prioritize your safety and focus on anonymous reporting. * **Evidence is Key:** The stronger your evidence, the more likely it is that authorities will take action. However, avoid any illegal activities while trying to gather proof.
**Disclaimer:** These are just general suggestions, and the specific steps will vary depending on your location and the nature of the corruption.</t>
  </si>
  <si>
    <t>A person is found using drugs within a healthcare facility. What legal steps can be taken to address this situation within the healthcare setting?</t>
  </si>
  <si>
    <t>The legal steps taken in a healthcare facility when someone is found using drugs will depend on several factors, including:
* **Who is using drugs?** (Patient, staff member, visitor)
* **Type of drugs:** (Prescription medication misuse, illegal drugs)
* **Severity of the situation:** (Is the person a danger to themselves or others?)
Here's a breakdown of potential responses:
**For Patients:**
* **Medical Intervention:** If the patient is experiencing an overdose or other medical emergency, healthcare staff will prioritize their medical well-being and administer necessary treatment.
* **Assessment and Support:** Staff might assess if the drug use is due to addiction or a diverted prescription medication. They can connect the patient with addiction treatment resources. * **Security Involvement:** Security might be involved to ensure the safety of the patient and others, especially if the situation is disruptive.
* **Law Enforcement:** In extreme cases, involving illegal drugs or if the patient poses a threat, law enforcement might be notified. **For Staff Members:**
* **Disciplinary Action:** Healthcare facilities have policies regarding drug use by staff. Depending on the severity and the employee's record, this could range from counseling to termination. * **Referral to Treatment Programs:** Facilities might offer confidential employee assistance programs or resources for addiction treatment. * **Reporting Requirements:** Depending on the profession and the drug involved, there might be mandatory reporting requirements to licensing boards or regulatory bodies.
**For Visitors:**
* **Removal from the Facility:** Security might escort the visitor off the premises and potentially ban them from future visits. * **Law Enforcement:** If illegal drugs are involved or the visitor is disruptive, security might involve law enforcement. **Additionally:**
* **Facility Protocols:** The healthcare facility should have established protocols for handling drug use incidents. These protocols should consider patient safety, staff well-being, and legal compliance. * **Confidentiality:** Patient privacy is paramount. Information regarding drug use should be handled confidentially, with exceptions for mandatory reporting requirements. **Remember:** The primary focus will always be on ensuring the safety of everyone involved. The healthcare facility will take appropriate steps within the legal framework to address the situation and offer support when possible.</t>
  </si>
  <si>
    <t>You discover that a colleague is using illegal drugs to enhance performance at work. What legal actions can be taken to address this issue within the workplace?</t>
  </si>
  <si>
    <t>In most cases, there aren't legal actions you can directly take against your colleague for illegal drug use. However, there are ways to address the situation within the workplace framework:
**Report to Supervisor:**
* The most common approach is to report your concerns to a supervisor or Human Resources department. Express your observations and any safety hazards you perceive due to their drug use. * Focus on the potential danger to themselves, others, and the company's productivity, not necessarily the illegality of the drugs themselves.
**Company Policy:**
* Most companies have drug-free workplace policies that outline expectations and potential consequences for drug use. Familiarize yourself with these policies to understand the reporting procedures.
**Avoid Direct Confrontation:**
* Confronting your colleague directly is not recommended. It could create a hostile work environment and potentially put you at risk. **Focus on Solutions:**
* If you're concerned about your colleague's well-being, consider mentioning possible resources for addiction treatment anonymously through an Employee Assistance Program (EAP) if available at your company.
**Maintain Confidentiality:** * Unless there's an immediate threat to safety, avoid gossiping or spreading rumors about your colleague's suspected drug use. **Remember:**
* The goal is to address the potential risk of drug use on work performance and safety, not to get your colleague in legal trouble. * The company has the responsibility to investigate and take appropriate disciplinary action based on their policies.</t>
  </si>
  <si>
    <t>You receive information that a drug rehabilitation center is engaging in corrupt practices and enabling drug use. What legal measures can be taken to investigate and address this issue?</t>
  </si>
  <si>
    <t>Here are some legal measures you can take to investigate and address a drug rehabilitation center suspected of corrupt practices and enabling drug use:
**Reporting the Center:**
* **Licensing Agency:** Start by reporting the center to the government agency responsible for licensing and overseeing rehabilitation facilities in your area. They have the authority to investigate and potentially revoke the center's license. * **Law Enforcement:** If you have evidence of illegal activity, such as drug distribution within the facility, report it to the local police department. * **National Hotlines:** If unsure who to contact in your area, consider reporting to national hotlines focused on substance abuse or healthcare fraud. Examples include:
* The National Institute on Drug Abuse (NIDA) hotline: 1-800-662-HELP (4357)
* The Substance Abuse and Mental Health Services Administration (SAMHSA) National Helpline: 1-800-662-HELP (4357)
**Gathering Evidence (Do this cautiously and legally):**
* **Document Everything:** If you have any firsthand information or evidence, keep a detailed record. This could include dates, times, specific incidents you witnessed, or documentation received from whistleblowers. * **Seek Anonymous Sources:** If you know people connected to the center (former patients, staff), encourage them to report anonymously to authorities. **Supporting Whistleblowers:**
* **Confidentiality:** If someone working at the center wants to come forward, assure them of confidentiality protections offered by whistleblower laws. **Resources for Further Action:**
* **Legal Aid:** Consider consulting with a lawyer specializing in healthcare fraud or whistleblower rights. They can advise on the best course of action based on the specific situation.
* **Consumer Advocacy Groups:** Consumer advocacy groups focused on addiction treatment might offer resources or support with filing complaints.
**Important Considerations:**
* **Safety First:** Do not put yourself in danger while gathering evidence. Prioritize your safety and focus on anonymous reporting if necessary.
* **Evidence is Key:** The stronger your evidence, the more likely it is that authorities will take action. However, avoid any illegal activities while trying to gather proof. By reporting your concerns and gathering evidence, you can help hold the corrupt facility accountable and protect those seeking genuine help.</t>
  </si>
  <si>
    <t>A person is caught with a significant amount of illegal drugs, claiming that they are for personal use only. How does Philippine law distinguish between personal use and trafficking?</t>
  </si>
  <si>
    <t>Philippine law under Republic Act No. 9165, also known as the Comprehensive Dangerous Drugs Act of 2002, makes a clear distinction between possession for personal use and illegal drug trafficking. Here's how they differentiate:
**Possession for Personal Use:**
* **Quantity:** The law doesn't explicitly state a specific amount for personal use. However, implementing regulations issued by the Dangerous Drugs Board (DDB) provide a "quantifiable threshold." Exceeding this threshold suggests an intent to distribute and pushes the case towards trafficking. The exact quantities vary depending on the specific illegal drug. * **Nature of Possession:** The form in which the drugs are found can also be considered. Drugs divided into smaller doses or packaged with paraphernalia like scales or baggies might raise suspicion of intent to sell.
* **User Profile:** Factors like a person's history of drug use, medical records indicating dependence, and the absence of any evidence of selling can be taken into account. **Illegal Drug Trafficking:**
* **Quantity:** Possession exceeding the "quantifiable threshold" set by the DDB for a specific drug suggests trafficking. These quantities are updated periodically and are not publicly available.
* **Nature of Possession:** If the drugs are found divided into usable doses, packaged for sale, or accompanied by paraphernalia like scales or baggies, it strengthens the case for trafficking.
* **Evidence of Distribution:** Any proof that the person was selling or planning to sell the drugs, like text messages, transaction records, or witness testimonies, would be strong evidence of trafficking.
**Important Considerations:**
* The burden of proof lies with the prosecution to establish the accused's intent to distribute. * A person caught with a large amount of drugs can still argue for possession for personal use if they have a compelling case, but it becomes an uphill battle.
**Here are some resources for further information:**
* **Dangerous Drugs Board (DDB):** [https://ddb.gov.ph/](https://ddb.gov.ph/)
* **Republic Act No. 9165:** [https://www.officialgazette.gov.ph/downloads/2017/10oct/20171010-MEMO-RRD.pdf](https://www.officialgazette.gov.ph/downloads/2017/10oct/20171010-MEMO-RRD.pdf)
**Disclaimer:** This is not legal advice. If you are facing drug charges, it's crucial to consult with a lawyer specializing in Philippine drug laws. They can analyze your specific situation and offer the best course of defense.</t>
  </si>
  <si>
    <t>During a public event, you observe a person distributing free samples of drugs. What legal measures can be taken to prevent the distribution and report the incident?</t>
  </si>
  <si>
    <t>Here's what you can do to stop the distribution and report the incident at a public event:
**Immediate Action:**
1. **Alert Security:** The most immediate step is to find security personnel at the event. Inform them about the person distributing drugs and provide a description. 2. **Distract the Distributor:** If there's no immediate security presence, try to distract the person distributing drugs in a safe manner. This could involve asking them a question or politely requesting they move along. 3. **Warn Others:** Discreetly warn people nearby about the possibility of drugs being offered and advise them not to accept anything.
**Reporting the Incident:**
1. **Law Enforcement:** Once you've taken steps to stop the immediate distribution, contact the police. Describe the person, their location, and the type of drugs (if you can identify them). 2. **Event Organizers:** Report the incident to the event organizers. They might have additional security measures or want to issue a public announcement warning attendees.
**Additional Tips:**
* **Do Not Intervene Directly:** Do not attempt to apprehend the person yourself. Leave that to security or law enforcement. Your safety is paramount.
* **Gather Evidence (if possible):** If you can do so safely, try to take discreet photos or videos of the person distributing drugs. This can be helpful evidence for the police.
* **Be a Witness:** If contacted by law enforcement later, be prepared to provide a witness statement describing what you observed.
**Remember:** By taking action, you can help prevent others from being exposed to illegal drugs and contribute to a safer environment at the public event.</t>
  </si>
  <si>
    <t>A person is arrested for drug possession and claims that the drugs were planted by law enforcement. How is the defense of planting of evidence handled under Philippine law?</t>
  </si>
  <si>
    <t>In the Philippines, the defense of planting of evidence in drug possession cases is a complex issue. Here's a breakdown of how it's handled:
* **Burden of Proof:** The burden of proof lies with the **prosecution** to establish the accused's guilt beyond reasonable doubt. This includes proving that the drugs were indeed in the accused's possession and weren't planted by law enforcement.
* **Accusation vs. Evidence:** A mere accusation of planting evidence isn't enough. The accused needs to present **credible evidence** to support their claim. This could include:
* Witness testimonies from people who saw the arrest and can corroborate the accused's version of events.
* Security camera footage from the area of the arrest that contradicts the police narrative.
* Inconsistencies in police reports or procedures during the arrest.
* **Court Scrutiny:** Courts in the Philippines are generally **wary** of claims of planting evidence, especially in drug cases. However, they will consider any credible evidence presented by the defense.
**Here are some legal points to consider:**
* **Search and Seizure Procedures:** Philippine law mandates specific procedures for search and seizure operations. If the defense can demonstrate that these procedures were not followed correctly, it could cast doubt on the legitimacy of the evidence (drugs). * **Integrity of Law Enforcement:** The court will consider the **credibility and reputation** of the arresting officers. A history of misconduct by the officers involved could strengthen the planting claim.
**Important to Remember:**
* Fighting a planting of evidence defense can be difficult and requires strong evidence. Consulting with a lawyer specializing in Philippine drug laws is crucial. * Recent court decisions show a growing awareness of the possibility of planting evidence, but the burden of proof remains with the accused.
**Here are some resources for further information:**
* **LawPhil - Philippine Legal Information Institute:** [https://lawphil.net/](https://lawphil.net/) (Search for relevant court cases)
* **Public Attorney's Office:** The Philippines offers free legal assistance to those facing criminal charges. **Disclaimer:** This is not legal advice. If you are facing drug charges and considering a planting of evidence defense, consulting with a lawyer is essential.</t>
  </si>
  <si>
    <t>You suspect that a government official is involved in the cover-up of drug-related crimes in your locality. What legal actions can be taken to investigate and address this corruption?</t>
  </si>
  <si>
    <t>Here are some legal actions you can take to investigate and address a government official suspected of covering up drug-related crimes:
**Reporting the Official:**
* **Anti-Corruption Agencies:** The Philippines has dedicated anti-corruption agencies like the Office of the Ombudsman (Ombudsman) or the Sandiganbayan (anti-graft court). File a formal complaint with them, detailing your suspicions and any evidence you might have. * **Law Enforcement:** Report the official to the Philippine National Police (PNP) or the National Bureau of Investigation (NBI). Provide them with as much detail as possible about the alleged cover-up.
**Gathering Evidence (Do this cautiously and legally):**
* **Document Everything:** Keep a detailed record of your observations, including dates, times, and any specific instances where you witnessed the official's actions related to the cover-up. * **Anonymous Tips:** If you fear retaliation, consider submitting anonymous tips to investigative bodies or journalists (more on that below). **Working with Others:**
* **Community Organizations:** Reach out to community organizations or activist groups focused on anti-corruption or good governance. They might have experience dealing with similar situations and can offer support. * **Media:** Consider contacting local investigative journalists and providing them with the information you have. They can conduct their own investigation and potentially expose the official's wrongdoings. **Additional Resources:**
* **Philippine Commission on Good Government (PCGG):** [https://en.wikipedia.org/wiki/Presidential_Commission_on_Good_Government](https://en.wikipedia.org/wiki/Presidential_Commission_on_Good_Government) They can offer guidance on reporting corruption.
* **Lawyers:** Consulting a lawyer specializing in anti-corruption law might be helpful, especially if the situation seems complex.
**Important Considerations:**
* **Safety First:** Do not put yourself in danger while gathering evidence. If you fear retaliation, prioritize your safety and focus on anonymous reporting. * **Evidence is Key:** The stronger your evidence, the more likely it is that authorities will take action. However, avoid any illegal activities while trying to gather proof.
Remember, the Philippine legal system offers various avenues for reporting corruption. By utilizing these resources and documenting your observations, you can contribute to holding corrupt officials accountable and promoting transparency in your community.
**Disclaimer:** This is not legal advice. The specific steps will vary depending on the nature of the cover-up and the evidence available.</t>
  </si>
  <si>
    <t>You encounter a situation where a rehabilitation center is detaining individuals against their will. What legal measures can be taken to address this violation of human rights?</t>
  </si>
  <si>
    <t>Here are some legal measures you can take to address a situation where a rehabilitation center is detaining individuals against their will in the Philippines:
**Immediate Action:**
1. **Contact Authorities:** If you believe someone is in immediate danger, call the Philippine National Police (PNP) or your local police department. They can investigate the situation and ensure the safety of the individuals being held.
2. **Document Everything:** Keep a detailed record of everything you observe, including dates, times, and descriptions of the situation. You might also note down the names of any individuals being held or staff members you encounter.
**Reporting the Center:**
* **Department of Social Welfare and Development (DSWD):** The DSWD is responsible for licensing and overseeing rehabilitation centers. File a formal complaint with them, detailing the alleged forced detention. You can find their contact information and complaint procedures on their website: [https://www.dswd.gov.ph/](https://www.dswd.gov.ph/)
* **Commission on Human Rights (CHR):** The CHR is a government agency mandated to protect human rights in the Philippines. File a complaint with them regarding the alleged forced detention. You can find their contact information and complaint procedures on their website: [https://chr.gov.ph/about-us/](https://chr.gov.ph/about-us/)
**Supporting the Detained Individuals:**
* **Legal Aid:** If you know someone being held against their will, help them contact a lawyer specializing in human rights or detention. Legal aid organizations in the Philippines can offer free or low-cost assistance:
* Public Attorney's Office (PAO): [https://pao.gov.ph/](https://pao.gov.ph/)
* Integrated Bar of the Philippines (IBP): [https://www.ibp.ph/](https://www.ibp.ph/) * **Family and Friends:** Encourage the detained individual's family and friends to get involved. They can also file complaints and advocate for their release.
**Additional Considerations:**
* **Gather Evidence (if possible):** If you can do so safely, try to gather evidence to support your claims. This could include witness testimonies from people who have been held against their will at the center or have knowledge of the practices. * **Media:** Consider contacting local investigative journalists if you have strong evidence and believe the situation warrants public exposure. **Important to Remember:**
* **Detention against one's will is a serious violation of human rights.** Taking action can help protect those who are vulnerable and hold the rehabilitation center accountable.
* **Focus on Safety:** Do not put yourself at risk while gathering information or intervening. * **Seek Guidance:** Consulting with a lawyer experienced in human rights cases can provide valuable advice on the best course of action.
* **Documentation is Key:** The more evidence you can gather, the stronger your case will be.
By taking these steps, you can contribute to ensuring that rehabilitation centers operate ethically and respect the rights of those seeking help.</t>
  </si>
  <si>
    <t>A person is arrested for drug trafficking, and they claim to be acting under duress or threat. How does Philippine law address the defense of acting under duress?</t>
  </si>
  <si>
    <t>In the Philippines, the defense of duress in drug trafficking cases can be complex. Here's a breakdown of how it's handled:
**Elements of Duress:** For duress to be considered a valid defense, the accused needs to prove the following elements:
* **Threat of Serious Harm:** There must be a threat of imminent and serious harm to the accused or their loved ones if they refused to commit the crime.
* **No Reasonable Escape:** The accused must demonstrate they had no reasonable way to escape the threat or danger. * **Reluctant Participation:** The accused must show they acted unwillingly and only under the duress of the threat.
**Challenges in Drug Trafficking Cases:**
* **Stricter Standards:** Philippine courts often apply stricter standards to duress claims in drug trafficking cases. The threat must be grave, and the accused must have exhausted all reasonable escape options. * **Nature of Drug Trafficking:** The seriousness of drug trafficking itself might make it difficult to convince the court that the accused had no other choice. * **Evidence of Duress:** The burden of proof lies with the accused to present credible evidence supporting the duress claim. Witness testimonies or proof of the threat can be crucial.
**Important Considerations:**
* **Consulting a lawyer** specializing in Philippine criminal law is essential. They can assess the specific circumstances and advise on the viability of a duress defense in your case.
* **Strength of Evidence:** The stronger the evidence supporting the duress claim, the more likely it is to be considered by the court.
* **Alternatives:** Depending on the situation, exploring other defense strategies like mistaken identity or entrapment might be more successful. **Here are some resources for further information:**
* **LawPhil - Philippine Legal Information Institute:** [https://lawphil.net/](https://lawphil.net/) (Search for relevant court cases on duress)
**Disclaimer:** This is not legal advice. If you are facing drug trafficking charges and considering a duress defense, consulting with a lawyer is crucial. They can analyze your situation and offer the best course of defense.</t>
  </si>
  <si>
    <t>During a routine search in a public transportation vehicle, a passenger claims to be unaware of the drugs in their possession. How does Philippine law address the defense of lack of knowledge or awareness?</t>
  </si>
  <si>
    <t>In the Philippines, lack of knowledge or awareness (ignorancia legis o facto) can be a defense in some situations, but it's not a guaranteed defense for drug possession charges, especially during a routine search on public transportation. Here's a breakdown:
* **Limited Applicability:** Ignorance of the law (ignorancia legis) generally isn't a valid defense in the Philippines. You're expected to know and follow the law.
* **Ignorance of Fact (ignorancia facto) might be considered** under specific circumstances. This means the person genuinely didn't know they were in possession of illegal drugs.
**Factors Considered for Lack of Knowledge Defense:**
* **Nature of the Drugs:** If the drugs were cleverly concealed or disguised, it might strengthen the claim that the person wasn't aware of them. * **Circumstances of Possession:** How the person ended up with the drugs can be crucial. For example, if they unknowingly received a package containing drugs, it could support their claim.
* **Credibility of the Defense:** The person's explanation for their lack of knowledge needs to be believable and supported by evidence if possible. **Challenges with Lack of Knowledge Defense:**
* **Routine Search:** During a routine search on public transportation, authorities might argue that the passenger should have been more careful about their belongings, especially considering the prevalence of illegal drugs. * **Burden of Proof:** The burden of proof lies with the accused to establish their lack of knowledge by clear and convincing evidence.
**Here are some additional points to consider:**
* **Possession vs. Ownership:** Even if the person claims they didn't own the drugs, simply being in possession of them during a search can be enough for charges.
* **Quantity of Drugs:** The amount of drugs found can influence the court's perspective. A large quantity might make it harder to believe the person wasn't aware.
**Recommendations:**
* **Consulting a Lawyer:** If facing drug charges, even with a lack of knowledge defense, consulting a lawyer specializing in Philippine drug laws is crucial. They can analyze your specific situation and advise on the best course of action.
* **Cooperation with Authorities:** Cooperating with authorities during the search and investigation might be beneficial. **Disclaimer:** This is not legal advice. The specific legal considerations will depend on the details of the case. A lawyer can provide a more accurate assessment based on your situation.</t>
  </si>
  <si>
    <t>You discover that a public official is using their influence to protect drug traffickers in your community. What legal actions can be taken to expose and address this corruption?</t>
  </si>
  <si>
    <t>Here are some legal actions you can take to expose and address a public official suspected of using their influence to protect drug traffickers in your community:
**Reporting the Official:**
* **Anti-Corruption Agencies:** The Philippines has dedicated anti-corruption agencies like the Office of the Ombudsman (Ombudsman) or the Sandiganbayan (anti-graft court). File a formal complaint with them, detailing your suspicions and any evidence you might have. * **Law Enforcement:** Report the official to the Philippine National Police (PNP) or the National Bureau of Investigation (NBI). Provide them with as much detail as possible about the alleged scheme, including specific instances where the official used their influence to protect drug traffickers.
**Gathering Evidence (Do this cautiously and legally):**
* **Document Everything:** Keep a detailed record of your observations, including dates, times, and specific instances where you witnessed the official interacting with known drug traffickers or using their influence to help them. * **Anonymous Tips:** If you fear retaliation, consider submitting anonymous tips to investigative bodies or journalists (more on that below). **Working with Others:**
* **Community Organizations:** Reach out to community organizations or activist groups focused on anti-corruption or good governance. They might have experience dealing with similar situations and can offer support. * **Media:** Consider contacting local investigative journalists and providing them with the information you have. They can conduct their own investigation and potentially expose the official's corruption. **Additional Resources:**
* **Philippine Commission on Good Government (PCGG):** [https://en.wikipedia.org/wiki/Presidential_Commission_on_Good_Government](https://en.wikipedia.org/wiki/Presidential_Commission_on_Good_Government) They can offer guidance on reporting corruption.
* **Lawyers:** Consulting a lawyer specializing in anti-corruption law might be helpful, especially if the situation seems complex.
**Important Considerations:**
* **Safety First:** Do not put yourself in danger while gathering evidence. If you fear retaliation, prioritize your safety and focus on anonymous reporting. * **Evidence is Key:** The stronger your evidence, the more likely it is that authorities will take action. However, avoid any illegal activities while trying to gather proof.
**Here's a breakdown of the strengths of each approach:**
* **Anti-Corruption Agencies:** Ombudsman and Sandiganbayan have the legal authority to investigate and prosecute public officials for corruption. * **Law Enforcement:** The PNP and NBI have investigative resources and experience dealing with organized crime. * **Anonymous Tips:** This can be a safe option if you fear retaliation, but it may take longer for authorities to act without strong supporting evidence.
* **Media:** Investigative journalists can expose the corruption to a wider audience and put pressure on authorities to take action. * **Community Organizations:** They can offer support, network you with others who might have information, and potentially organize peaceful protests to raise awareness.
By utilizing these resources and documenting your observations, you can contribute to holding corrupt officials accountable and promoting transparency in your community.
**Disclaimer:** This is not legal advice. The specific steps will vary depending on the nature of the corruption and the evidence available.</t>
  </si>
  <si>
    <t>A person is caught with a large amount of illegal drugs within a hotel room. What legal measures can be taken to investigate and address drug-related activities within hotels?</t>
  </si>
  <si>
    <t>Here's a breakdown of the legal measures that can be taken to investigate and address drug-related activities within hotels in the Philippines:
**Upon Discovery of Drugs:**
* **Hotel Staff:**
* **Security:** Hotel security should be immediately notified. They will secure the scene and ensure the safety of guests and staff. * **Management:** Hotel management should be informed and cooperate with authorities throughout the investigation.
* **Authorities:** * **Law Enforcement:** The police will be called to investigate the situation. They will take possession of the drugs, arrest the person(s) involved, and potentially conduct a search of the hotel room for further evidence. **Investigation:**
* **Police Investigation:** The police will conduct an investigation to determine:
* The source of the drugs.
* Whether the person caught with the drugs was acting alone or part of a larger network.
* If there's evidence of drug dealing happening within the hotel (e.g., scales, packaging materials).
* **Hotel Cooperation:** The hotel is expected to cooperate fully with the police investigation. This might involve providing security footage, guest registration details, or access to the room for further examination.
**Addressing Drug Activities in Hotels:**
* **Security Measures:** After an incident, hotels might implement stricter security measures like:
* Increased security patrols in common areas.
* Random room checks (based on hotel policy and following legal guidelines).
* Guest ID verification procedures upon check-in.
* Training staff to identify suspicious behavior.
* **Reporting Requirements:** Hotels in the Philippines might have reporting requirements to relevant authorities if they suspect drug activity on their premises.
* **Public Awareness:** Some hotels might launch awareness campaigns to educate guests about the dangers of drugs and the hotel's zero-tolerance policy.
**Legal Considerations:**
* **Guest Rights:** Hotels must balance security measures with respecting guest privacy rights. Searches of rooms typically require a warrant unless exigent circumstances exist.
* **Hotel Liability:** The extent of a hotel's legal liability for drug activity on their premises depends on the specific circumstances and their adherence to security protocols.
**Remember:** This is a general overview. The specific legal measures and hotel responses might vary depending on the situation and local regulations.</t>
  </si>
  <si>
    <t>You suspect that a religious leader is involved in drug trafficking within their congregation. What legal actions can be taken to investigate and address this situation?</t>
  </si>
  <si>
    <t>Here's what you can do to investigate and address your suspicions about a religious leader involved in drug trafficking within their congregation:
**Gathering Information (Do this cautiously and legally):**
* **Document Everything:** Keep a detailed record of your observations, including dates, times, and specific instances where you witnessed suspicious behavior. This could include unusual meetings with known drug users, secretive money exchanges, or changes in the leader's lifestyle.
* **Witness Testimonies:** If others share your concerns, discreetly gather witness testimonies from other members of the congregation. **Reporting the Leader:**
* **Law Enforcement:** File a formal complaint with the Philippine National Police (PNP) or the National Bureau of Investigation (NBI) detailing your suspicions and any evidence you might have. * **Religious Authorities:** Depending on the religious hierarchy, you might consider reporting the leader to their superiors within the denomination. **Anonymous Reporting:**
* **Hotlines:** Consider reporting anonymously to hotlines focused on drug trafficking or suspicious religious activities. * Philippine Drug Enforcement Agency (PDEA) Hotline: 1333
**Working with Others:**
* **Community Organizations:** Reach out to community organizations or activist groups focused on anti-corruption or religious accountability. They might have experience dealing with similar situations and can offer support. **Important Considerations:**
* **Safety First:** Do not put yourself in danger while gathering evidence. If you fear retaliation, prioritize your safety and focus on anonymous reporting. * **Evidence is Key:** The stronger your evidence, the more likely it is that authorities will take action. However, avoid any illegal activities while trying to gather proof.
**Additional Resources:**
* **Lawyers:** Consulting a lawyer specializing in criminal law or religious organizations might be helpful, especially if the situation seems complex.
**Disclaimer:** This is not legal advice. The specific steps will vary depending on the nature of the suspicion and the evidence available.
**Challenges and Considerations:**
* **Gathering Evidence:** Gathering concrete evidence of drug trafficking within a religious setting can be difficult. Witness testimonies and circumstantial evidence might be crucial.
* **Religious Freedom:** Authorities need to be careful to avoid infringing on the religious freedom of the congregation while investigating a leader.
By utilizing these resources and documenting your observations responsibly, you can contribute to holding the religious leader accountable for illegal activities.</t>
  </si>
  <si>
    <t>A person is caught using drugs within a government office. What legal steps can be taken to address this issue and maintain the integrity of the government workplace?</t>
  </si>
  <si>
    <t>Here's how to address the situation of someone caught using drugs within a government office in the Philippines, aiming for both legal action and maintaining workplace integrity:
**Immediate Actions:**
1. **Secure the Scene:** The immediate priority is to ensure the safety of everyone in the office. Alert a supervisor or security personnel to handle the situation and remove any potential hazards associated with drug use.
2. **Identify the Individual:** Once the scene is secure, gather basic information about the person caught using drugs, including their name and department.
**Legal Measures:**
1. **Internal Investigation:** The government agency should initiate an internal investigation to determine the details of the incident and the appropriate course of action. This might involve questioning witnesses, reviewing security footage (if available), and potentially conducting a drug test (depending on agency policy and following proper procedures).
2. **Disciplinary Action:** Based on the investigation's findings, appropriate disciplinary action will be taken against the employee caught using drugs. This could range from a formal reprimand to termination of employment, depending on the severity of the offense and the agency's disciplinary policies.
3. **Law Enforcement Involvement:** Depending on the type of drug and the amount involved, law enforcement might be notified. The police would then handle the investigation and potential criminal charges.
**Maintaining Workplace Integrity:**
1. **Clear Policies:** Government agencies should have clear and well-communicated policies regarding drug use in the workplace. These policies should outline the consequences of drug use and the process for reporting such incidents.
2. **Employee Assistance Programs:** Agencies can consider establishing Employee Assistance Programs (EAPs) to provide support and resources for employees struggling with substance abuse. This promotes a more proactive approach to preventing drug use within the workplace.
3. **Training and Awareness:** Regular training sessions for employees about the dangers of drug use and the agency's drug-free workplace policy can increase awareness and deter potential drug use on government premises.
**Additional Considerations:**
* **Privacy Rights:** The investigation needs to be conducted fairly and respect the individual's privacy rights. * **Rehabilitation Options:** If the goal is to help the employee overcome drug use, the agency might explore rehabilitation program options alongside disciplinary measures.
* **Legal Counsel:** Consulting a lawyer specializing in employment law might be beneficial for the government agency to ensure proper procedures are followed during the investigation and disciplinary process.
By taking these steps, government agencies can address drug use incidents within the workplace effectively, uphold legal requirements, and promote a safe, drug-free environment for employees and the public they serve. **Disclaimer:** This is not legal advice. The specific actions will depend on the government agency's policies and the details of the situation.</t>
  </si>
  <si>
    <t>During a routine inspection of a cargo shipment, authorities discover a significant amount of illegal drugs. What legal measures can be taken to investigate and address drug trafficking through cargo?</t>
  </si>
  <si>
    <t>Here's how Philippine law allows authorities to investigate and address drug trafficking through cargo:
**Investigation:**
* **Constitution (Article III, Section 2):** This guarantees the right against unreasonable searches and seizures. Authorities need a warrant issued by a judge to inspect cargo unless there's probable cause.
* **Dangerous Drugs Act (RA 9165):** Section 11 authorizes law enforcement agencies like the Philippine Drug Enforcement Agency (PDEA) to conduct surveillance, search, and seizure operations. * Section 12 allows warrantless arrests if a person is caught in the act of possessing or transporting illegal drugs.
* **Customs Modernization and Tariff Act (RA 10863):** Section 1120 empowers the Bureau of Customs (BOC) to examine imported goods. They can hold shipments suspected of containing illegal drugs.
**Following discovery of illegal drugs:**
* **RA 9165 (Section 21):** This mandates the filing of a case against those involved in the illegal possession or transportation of dangerous drugs.
* **RA 10863 (Section 1121):** The BOC can seize the shipment containing the illegal drugs.
**Additional Measures:**
* **Controlled Delivery Operations:** PDEA, under RA 9165 Section 53, can conduct controlled deliveries to identify the consignee or recipient of the illegal drugs. * **International Cooperation:** The Philippines has Mutual Legal Assistance Treaties with other countries to facilitate investigations involving international drug trafficking.
**Important Notes:**
* **Presumption of Innocence:** Those accused are presumed innocent until proven guilty (Constitution, Article III, Section 14).
* **Right to Legal Counsel:** The accused has the right to be assisted by legal counsel of their choice (Constitution, Article III, Section 14, Section 15).
This is a general overview. Specific procedures and legalities may depend on the circumstances of the case. For a more in-depth analysis, consulting a lawyer specializing in criminal law and customs regulations is highly recommended.</t>
  </si>
  <si>
    <t>Terrorism</t>
  </si>
  <si>
    <t>You receive reports of a drug rehabilitation center engaging in unethical practices, including forced labor. What legal steps can be taken to investigate and address this violation of human rights within the rehabilitation center?</t>
  </si>
  <si>
    <t>Philippine law protects individuals undergoing rehabilitation, and forced labor is a serious offense. Here's how authorities can investigate and address human rights violations in a drug rehabilitation center:
**Reporting the Violations:**
* **Republic Act No. 7610 (Special Protection of Children Against Abuse, Exploitation and Discrimination Act):** Section 3(d) mandates reporting any suspected child abuse, exploitation, or endangerment. If children are involved in forced labor, this law applies. * **Republic Act No. 9208 (Anti-Trafficking in Persons Act):** Section 6 defines and penalizes trafficking in persons, which can include forced labor. This law can be invoked if people are forced to work at the center.
* **Department of Social Welfare and Development (DSWD):** Concerned individuals can report suspected violations directly to the DSWD, which oversees rehabilitation centers. You can contact their hotline at 1654 or visit their website [https://www.dswd.gov.ph/](https://www.dswd.gov.ph/).
**Investigation:**
* **Constitution (Article III, Section 2):** Authorities must respect the right against unreasonable searches and seizures. Warrants may be needed to fully investigate the center.
* **Dangerous Drugs Act (RA 9165, Section 55):** The DSWD, in coordination with PDEA, can conduct inspections of rehabilitation centers.
**Addressing Violations:**
* **RA 9208:** If trafficking is found, authorities can file charges against those responsible. Penalties include imprisonment and hefty fines.
* **RA 7610:** If child exploitation is involved, similar penalties apply.
* **Batas Pambansa Blg. 232 (Anti-Slavery Act):** This law prohibits slavery and debt bondage. People forcing residents to work can be prosecuted under this act.
* **Cancellation of License:** The DSWD can revoke the license of the rehabilitation center if violations are proven.
**Protecting Residents:**
* **RA 9165 (Section 60):** Residents have the right to be treated with respect and dignity during rehabilitation.
* **RA 11229 (Universal Health Care Act):** Residents have the right to access medical and mental health services.
* **Relocation:** The DSWD can relocate residents to safe and legitimate rehabilitation centers.
**Important Notes:**
* **Evidence Gathering:** Gathering witness testimonies, documenting working conditions, and preserving any evidence of forced labor is crucial.
* **Legal Representation:** Residents of the center have the right to legal counsel if they choose to press charges.
Remember, this is a general outline. The specific laws and procedures used will depend on the details of the case. For a more comprehensive strategy, involving a lawyer specializing in human rights and labor law is highly recommended.</t>
  </si>
  <si>
    <t>How is terrorism defined under Philippine law?</t>
  </si>
  <si>
    <t>The definition of terrorism in Philippine law is outlined in the **Anti-Terrorism Act of 2020 (Republic Act No. 11479)**. Here's the key excerpt (Section 4):
&gt;**Section 4. Definition of Terrorism.** As used in this Act, terrorism refers to:
&gt;
&gt;**a)** the planning, preparation, and execution of acts intended to cause death or serious bodily injury to any person or to endanger a person's life;
&gt;**b)** the planning, preparation, and execution of acts intended to cause extensive damage or destruction to a government or public facility, public place, or private property;
&gt;**c)** the planning, preparation, and execution of acts intended to cause extensive interference with, damage, or destruction to critical infrastructure;
&gt;**d)** the development, manufacturing, possession, acquisition, transporting, supplying, or using of weapons, explosives, or of nuclear, biological, chemical, or radiological materials for the purpose of causing death, serious bodily injury, or extensive damage or destruction to any person, property, critical infrastructure, or government or public facility;
&gt;**e)** the releasing of dangerous substances or causing fire, floods, or explosions when the purpose of such act is to intimidate the general public or a segment thereof, create a public emergency, coerce or intimidate a government or an international organization, or seriously destabilize or destroy the fundamental political, economic or social structures of a country or that may create a public emergency situation.
**Key aspects of the definition:**
* **Intent:** The act must be intended to achieve a specific outcome, such as causing fear, intimidation, or public emergency.
* **Targets:** The targets can be individuals, government facilities, public places, critical infrastructure, or property.
* **Methods:** The act can involve violence, explosives, weapons of mass destruction, or causing disasters.
Remember, this is just a summary. The full Act provides more details and context. If you'd like to learn more about specific provisions of the Anti-Terrorism Act, I can't provide the Act directly but I can help you find it through a web search.</t>
  </si>
  <si>
    <t>What legal measures are in place to prevent acts of terrorism?</t>
  </si>
  <si>
    <t>The Philippines has several legal measures in place to prevent acts of terrorism, including:
**Laws:**
* **Anti-Terrorism Act of 2020 (RA 11479):** * This is the primary law outlining terrorism offenses, investigation procedures, and the creation of the Anti-Terrorism Council (ATC) for coordination and oversight.
* It empowers law enforcement to conduct surveillance and investigations related to suspected terrorist activities.
* **Human Security Act of 2007 (RA 9372):** * This law defines terrorism and outlines measures to prevent it, including intelligence gathering, information sharing, and financial investigations.
* **Terrorism Financing Prevention and Suppression Act of 2012 (RA 10168):** * This law criminalizes the financing of terrorism and empowers authorities to track and freeze terrorist funds.
* **Dangerous Drugs Act (RA 9165):** * While not directly related to terrorism, this law helps disrupt drug trafficking, which can be a source of funding for terrorist organizations.
**Government Agencies:**
* **Anti-Terrorism Council (ATC):** This inter-agency body coordinates and supervises the implementation of anti-terrorism policies and plans.
* **Philippine National Police (PNP):** The PNP has a special unit, the Philippine National Police-Anti-Terrorism Task Force (PNP-ATTF), dedicated to counter-terrorism operations and investigations.
* **Armed Forces of the Philippines (AFP):** The AFP plays a role in securing borders and responding to terrorist threats.
**Other Measures:**
* **International Cooperation:** The Philippines collaborates with other countries through information sharing and joint operations to counter global terrorism threats.
* **Community Engagement:** Programs to promote peace education and address the root causes of radicalization are crucial for preventing terrorism.
**Important Notes:**
* These are just some of the legal measures in place. The specific laws and agencies involved will vary depending on the nature of the threat.
* The balance between national security and individual liberties is a critical consideration in anti-terrorism measures. Philippine law emphasizes upholding human rights while combating terrorism. **Disclaimer:** This is a general overview. For a more in-depth analysis of specific laws and their implementation, consulting a lawyer specializing in national security law is recommended.</t>
  </si>
  <si>
    <t>How are individuals designated as terrorists according to Philippine regulations?</t>
  </si>
  <si>
    <t>Designation of terrorists in the Philippines is a complex process outlined in the **Anti-Terrorism Act of 2020 (RA 11479)**. Here's a breakdown of the key points:
**Designation Authority:**
* The **Anti-Terrorism Council (ATC)** has the authority to designate individuals and groups as terrorists. **Designation Criteria:**
Individuals can be designated based on **two main criteria**:
1. **Probable Cause:** The ATC can designate someone if there's probable cause to believe they have committed, attempted to commit, or conspired to commit any of the acts defined as terrorism under Section 4 of RA 11479 (refer to previous answer on terrorism definition).
2. **UN Designation:** The ATC can adopt designations made by the United Nations Security Council (UNSC) under relevant UN Security Council Resolutions (UNSCR) on terrorism, provided the proposed designee meets the criteria of those resolutions.
**Designation Process:**
The specific procedures for designation aren't publicly available due to national security concerns. However, the law implies some level of due process:
* **For domestic designations:** There's no mention of a formal hearing before designation, but challenges to the designation are allowed in court (Section 37 of RA 11479).
* **For UN designations adopted by the Philippines:** The law doesn't specify how closely the Philippines follows UNSCR procedures, which may involve some form of notice and opportunity to respond.
**Important Considerations:**
* The Anti-Terrorism Act has been criticized for potentially enabling designations based on insufficient evidence and lacking safeguards against wrongful designation (source withheld due to being a specific legal critique).
* The Supreme Court has ruled certain provisions of the law unconstitutional, including the power of the ATC to designate based on requests from other countries without following proper procedures (source withheld due to being a specific legal case).
**Recommendation:**
For a more comprehensive understanding of the designation process and the ongoing legal debate surrounding it, consulting a lawyer specializing in national security law is highly recommended.</t>
  </si>
  <si>
    <t>What penalties apply for engaging in acts of terrorism?</t>
  </si>
  <si>
    <t>The penalties for engaging in acts of terrorism in the Philippines are severe, as outlined in the **Anti-Terrorism Act of 2020 (RA 11479)**. Here's a breakdown of the main categories:
**Main Penalty:**
* **Life imprisonment without parole:** This is the most severe penalty and applies to those who commit terrorism as defined under Section 4 of RA 11479 (refer to previous answer on terrorism definition).
**Other Penalties:**
* **Reclusion perpetua (life imprisonment) to 40 years imprisonment:** This applies to offenses related to:
* Conspiracy to commit terrorism (Section 7)
* Proposal to commit terrorism (Section 8)
* Inciting terrorism (Section 10)
* Threatening to commit terrorism (Section 11)
* Providing material support to terrorists (Section 13)
* **12 years imprisonment to life imprisonment:** This applies to:
* Voluntarily and knowingly joining a terrorist organization (Section 9)
* Acting as an accessory in the commission of terrorism (Section 14)
* **Other Penalties:** The law prescribes additional penalties for financing terrorism, recruiting members for terrorist groups, and other related offenses.
**Important Notes:**
* The specific penalty imposed will depend on the nature and severity of the offense, along with the discretion of the court.
* The Anti-Terrorism Act has been criticized for its broad definition of terrorism, which some argue could lead to unjust prosecutions (source withheld due to being a specific legal critique).
**Recommendation:**
For a more in-depth understanding of the penalties for specific terrorist acts and the ongoing legal debate surrounding the Act, consulting a lawyer specializing in criminal law and national security law is highly recommended.</t>
  </si>
  <si>
    <t>How does Philippine law address financing and support for terrorist activities?</t>
  </si>
  <si>
    <t>Philippine law takes a strong stance against financing and supporting terrorist activities. Here's a breakdown of the key legal measures:
**Main Law:**
* **Terrorism Financing Prevention and Suppression Act of 2012 (RA 10168):** This law criminalizes the financing of terrorism and empowers authorities to track and freeze terrorist funds. **Key Provisions:**
* **Financing of Terrorism:** The law defines various ways financing can occur, including providing funds, property, or services directly to a terrorist organization, a person planning a terrorist act, or someone acting on their behalf (Section 4).
* **Material Support:** Providing logistical or technological support, such as training or weapons, can also be considered financing of terrorism (Section 4).
* **Freezing and Forfeiture of Assets:** The law allows authorities to freeze the assets of suspected terrorists and terrorist organizations (Section 11). Confiscated assets can be forfeited to the government (Section 12).
* **Investigation and Prosecution:** The Anti-Money Laundering Council (AMLC) is the primary agency responsible for investigating and prosecuting terrorism financing cases (Section 14). They work in coordination with law enforcement agencies like the Philippine National Police (PNP).
**Additional Measures:**
* **Anti-Terrorism Act of 2020 (RA 11479):** This law reinforces the fight against terrorism financing by designating individuals and groups supporting terrorism (Section 25).
**Important Notes:**
* The definition of "financing of terrorism" is broad and can encompass a range of activities. * The law emphasizes international cooperation in combating terrorist financing (Section 18).
* The balance between national security and individual rights is a consideration. The law requires due process in investigations and prosecutions.
**Recommendations:**
For a more in-depth analysis of specific aspects of financing terrorism and the legal procedures involved, consulting a lawyer specializing in financial crimes or national security law is recommended.</t>
  </si>
  <si>
    <t>What legal provisions govern the freezing and forfeiture of assets related to terrorism?</t>
  </si>
  <si>
    <t>The primary legal provisions governing the freezing and forfeiture of assets related to terrorism in the Philippines come from two main laws:
**1. Terrorism Financing Prevention and Suppression Act of 2012 (RA 10168):**
* **Section 11: Freezing of Assets:**
* This empowers the Anti-Money Laundering Council (AMLC), either on its own initiative or at the request of the Anti-Terrorism Council (ATC), to issue an ex parte order to freeze property or funds suspected to be:
* In any way related to financing of terrorism or acts of terrorism.
* Belonging to any person, group of persons, or terrorist organization listed under the UN Security Council Resolutions on terrorism financing.
* The freeze order is effective for a maximum of 20 days, which can be extended for another 20 days upon petition to the Court of Appeals (Section 11(c)).
* **Section 12: Forfeiture of Assets:**
* If, after investigation, the property or funds are found to be related to terrorism financing, the AMLC can file a civil forfeiture case with the Court of Appeals (Section 12(a)).
* During the forfeiture proceedings, the court can order the continued freeze of the assets until a final decision is reached (Section 12(b)).
* If the court rules in favor of forfeiture, the assets become Eigentum (property) of the government (Section 12(d)).
**2. Implementing Rules and Regulations of Republic Act No. 10168 (AMLC Issuance):**
These rules provide more specific details on the freezing and forfeiture process, including:
* Procedures for requesting a freeze order
* Notice requirements for parties affected by the freeze order
* Procedures for filing a civil forfeiture case with the Court of Appeals
* Evidence needed to prove the connection of assets to terrorism financing
**Important Notes:**
* **Due Process:** The aggrieved party has the right to challenge the freeze order within 20 days before the Court of Appeals (Section 11(d) of RA 10168).
* **International Cooperation:** The Philippines cooperates with other countries in freezing and forfeiting assets linked to international terrorism financing.
* **Anti-Terrorism Act of 2020 (RA 11479):** While not directly focused on freezing and forfeiture, this Act strengthens the fight against terrorism financing by designating individuals and groups supporting terrorism (Section 25), which can lead to asset freezing measures.
**Recommendation:**
For a more comprehensive understanding of the intricacies of freezing and forfeiture procedures, including the specific requirements and legal challenges, consulting a lawyer specializing in financial crimes or asset recovery is highly recommended.</t>
  </si>
  <si>
    <t>How is the crime of recruitment to terrorist organizations regulated and punished?</t>
  </si>
  <si>
    <t>Philippine law takes recruitment for terrorist organizations very seriously. Here's how it's addressed:
**Main Laws:**
* **Human Security Act of 2007 (RA 9372):** This law defines terrorism and outlines measures to prevent it, including criminalizing the recruitment of individuals for terrorist activities (Section 19).
* **Anti-Terrorism Act of 2020 (RA 11479):** This Act strengthens the measures against terrorism, including recruitment. Here are key points:
* **Section 9:** Voluntarily and knowingly joining a terrorist organization is punishable by 12 years to life imprisonment. This implies that actively recruiting others can also be penalized.
* **Section 25:** Designation of individuals and groups supporting terrorism can be a basis for investigation and prosecution, potentially including recruitment activities.
**Other Relevant Laws:**
* **Revised Penal Code (RPC):** While not specifically focused on terrorism, the RPC can be used in conjunction with the above laws. For instance, Article 144 on Inciting to Rebellion can be applied if recruitment involves encouraging armed uprising against the government (source: Revised Penal Code of the Philippines).
**Penalties:**
* The specific penalty for recruitment will depend on the provisions used for prosecution (RA 9372 or RA 11479) and the discretion of the court. It can range from 12 years imprisonment to life imprisonment.
**Important Considerations:**
* The definition of "recruitment" in the context of terrorism can be broad and may encompass various activities, such as inducing someone to join a terrorist group, providing training or resources, or facilitating travel to join a terrorist organization abroad.
* There may be ongoing legal debate surrounding the specific elements that constitute "recruitment" and the level of evidence needed for prosecution. **Recommendations:**
For a more nuanced understanding of how recruitment is defined and prosecuted under Philippine law, consulting a lawyer specializing in national security law or criminal law is highly recommended.</t>
  </si>
  <si>
    <t>What measures are in place to prevent the use of weapons of mass destruction for terrorist purposes?</t>
  </si>
  <si>
    <t>The Philippines implements several measures to prevent the use of Weapons of Mass Destruction (WMDs) for terrorist purposes. Here's a breakdown of some key approaches:
**International Cooperation:**
* The Philippines is a signatory to various international treaties that promote global non-proliferation and control of WMDs, including:
* Treaty on the Non-Proliferation of Nuclear Weapons (NPT)
* Chemical Weapons Convention (CWC)
* Biological Weapons Convention (BWC)
* These treaties require member states to prevent the spread of WMDs and related materials, collaborate in peaceful uses of nuclear energy, and establish national measures for control and monitoring.
**National Legislation:**
* **Republic Act No. 10173 (Chemical Weapons Convention Implementing Act):** This law prohibits the development, production, acquisition, stockpiling, transfer, or use of chemical weapons. It also mandates the creation of a national authority to enforce the CWC.
* **Republic Act No. 10698 (Act to Enhance Philippine Capacity to Prevent, Detect, and Respond to Biological Threats):** This law strengthens biosecurity measures to prevent the misuse of biological agents and toxins for malicious purposes.
* **Philippine Nuclear Regulatory Commission (PNRC):** This government agency regulates all nuclear activities in the Philippines, ensuring the peaceful use of nuclear materials and preventing their diversion for WMD development.
**Law Enforcement and Security:**
* The Philippine National Police (PNP) and Armed Forces of the Philippines (AFP) work together to detect and prevent potential threats involving WMDs. This includes:
* Intelligence gathering and monitoring of terrorist groups
* Border security measures to prevent the smuggling of WMD materials
* Preparedness and response planning for potential WMD incidents
**Challenges and Considerations:**
* While the Philippines has a framework in place, enforcing these measures and maintaining vigilance against emerging threats is an ongoing challenge. * The potential for non-state actors to acquire WMD materials or develop improvised weapons remains a concern.
**Overall Approach:**
The Philippines employs a multi-layered strategy to prevent WMD terrorism. It combines international cooperation with national legislation, law enforcement efforts, and security measures. **Important Note:**
Due to the sensitive nature of WMDs, specific details about contingency plans or intelligence gathering methods may not be publicly available.
**Recommendation:**
For a deeper understanding of specific WMD-related legislation or the capabilities of Philippine agencies in countering WMD threats, consulting a security expert or a lawyer specializing in international law would be highly recommended.</t>
  </si>
  <si>
    <t>How does the law address the online dissemination of terrorist propaganda and recruitment materials?</t>
  </si>
  <si>
    <t>Philippine law doesn't have a single, specific law solely focused on online terrorist propaganda. However, several existing laws and regulations can be used to address the issue:
**Relevant Laws:**
* **Anti-Terrorism Act of 2020 (RA 11479):** * Section 4 defines terrorism broadly, potentially encompassing the online dissemination of materials that incite or glorify terrorist acts. * Section 18 emphasizes international cooperation in combating terrorism, which can include collaborating with other countries to take down online propaganda.
* **Revised Penal Code (RPC):**
* Article 144 (Inciting to Rebellion): This can be applied if online content encourages armed uprising against the government, a potential element of some terrorist ideologies.
* Article 154 (Alarms and Scandals): Spreading false information that could cause panic or endanger public safety could be relevant depending on the content.
* **Cybercrime Prevention Act of 2012 (RA 10175):**
* Section 19 (Cyber-proscribed content): This section deals with the removal of online content that is "offensive to morals, good taste, and decency." While not directly related to terrorism, it establishes a process for content takedown that could be relevant for some propaganda.
**Challenges:**
* **Balancing Security and Freedom of Speech:** Striking a balance between national security and the constitutional right to freedom of speech is a crucial challenge. * **Identifying and Defining Propaganda:** Distinguishing between legitimate expression of ideas and content that incites violence can be complex.
* **Jurisdictional Issues:** Online content may be hosted on servers outside the Philippines, making enforcement and takedown more difficult.
**Measures Taken:**
* **Law Enforcement Cooperation:** The Philippine National Police (PNP) works with international partners to identify and track online terrorist activity.
* **Cooperation with Social Media Platforms:** Collaboration with platforms like Facebook and YouTube to remove terrorist content is crucial.
**Important Notes:**
* The legal landscape surrounding online content and terrorism is constantly evolving. * The specific legal provisions used and their effectiveness will depend on the nature of the online content.
**Recommendation:**
For a more comprehensive understanding of the legal nuances and ongoing debates regarding online terrorist propaganda, consulting a lawyer specializing in cybercrime law or national security law is highly recommended.</t>
  </si>
  <si>
    <t>What legal actions can be taken against individuals providing material support to terrorists?</t>
  </si>
  <si>
    <t>Philippine law takes a strong stance against providing material support to terrorists. Here's how the law addresses it:
**Main Law:**
* **Terrorism Financing Prevention and Suppression Act of 2012 (RA 10168):** This law criminalizes the financing of terrorism and encompasses material support within its definition.
**Key Provisions:**
* **Section 4: Definition of Financing of Terrorism:**
* This section defines various ways financing can occur, including providing funds, property, or services directly to a terrorist organization, a person planning a terrorist act, or someone acting on their behalf. * **Material Support:** Providing logistical or technological support, such as training or weapons, can also be considered material support (Section 4).
* **Section 13: Penalty for Providing Material Support:** * This section prescribes a penalty of reclusion perpetua (life imprisonment) to 40 years imprisonment for anyone who knowingly provides material support to a terrorist organization or a person planning a terrorist act.
**Additional Considerations:**
* **Anti-Terrorism Act of 2020 (RA 11479):** While not directly focused on material support, this Act strengthens the fight against terrorism financing by designating individuals and groups supporting terrorism (Section 25). Providing material support could be a basis for designation.
* **Intent and Knowledge:** The law emphasizes that the individual must knowingly provide material support (Section 13 of RA 10168). This means they must be aware that the recipient is involved in terrorism.
**Investigation and Prosecution:**
* The Anti-Money Laundering Council (AMLC) is the primary agency responsible for investigating and prosecuting terrorism financing cases (Section 14 of RA 10168). They work in coordination with law enforcement agencies like the Philippine National Police (PNP).
**Important Notes:**
* The definition of "material support" can be broad and may encompass a range of activities. * There's a balance between national security and individual rights. The law requires due process in investigations and prosecutions.
**Recommendations:**
For a more in-depth analysis of what constitutes material support in a specific case and the legal process involved, consulting a lawyer specializing in national security law or terrorism financing is highly recommended.</t>
  </si>
  <si>
    <t>How are terrorist acts investigated and prosecuted in the Philippines?</t>
  </si>
  <si>
    <t>Investigating and prosecuting terrorist acts in the Philippines is a complex process involving various agencies and legal frameworks. Here's a breakdown of the key steps:
**Initial Response:**
* **Law Enforcement:** Authorities like the Philippine National Police (PNP) or Armed Forces of the Philippines (AFP) may be the first responders in case of a suspected terrorist attack. They secure the scene, gather evidence, and identify potential suspects.
**Investigation:**
* **Philippine National Police (PNP):** The PNP has a specialized unit, the Anti-Terrorism Task Force (PNP-ATTF), dedicated to investigating terrorism-related activities. They may:
* Conduct surveillance and gather intelligence on suspected terrorist groups.
* Analyze evidence, including forensic analysis and digital forensics.
* Interview witnesses and potential suspects.
* **Anti-Terrorism Council (ATC):** This inter-agency body can coordinate investigations involving multiple agencies and access classified intelligence.
**Legal Framework:**
* **Anti-Terrorism Act of 2020 (RA 11479):** This is the primary law outlining investigation procedures and the legal basis for charges related to terrorism.
* **Human Security Act of 2007 (RA 9372):** This law also provides guidelines for investigating and prosecuting terrorism offenses.
**Investigative Powers:**
* Law enforcement agencies may request warrants from a court to conduct searches, arrests, and electronic surveillance based on probable cause of a terrorism offense.
* **Important Note:** The Anti-Terrorism Act has been criticized for potentially enabling warrantless arrests and surveillance in some cases. This is a complex legal issue with ongoing debate (source withheld due to being a specific legal critique). **Prosecution:**
* **Department of Justice (DOJ):** The DOJ prosecutors handle the legal case against the suspects. They present evidence before a court to prove the charges.
* **Court System:** Depending on the severity of the charges, the case may be heard in a Regional Trial Court (RTC) or a specially designated terrorism court established under RA 11479.
* **Defendants' Rights:** The accused have the right to legal representation and due process throughout the legal proceedings.
**Challenges:**
* **Gathering Evidence:** Terrorism investigations can be complex, requiring various types of evidence, including witness testimony, digital forensics, and intelligence gathering.
* **Balancing Security and Rights:** Ensuring national security while upholding individual rights is crucial. * **International Cooperation:** Terrorist networks often operate across borders. Collaboration with other countries is essential for successful investigation and prosecution.
**Important Notes:**
* This is a general overview. The specific procedures and agencies involved may vary depending on the circumstances of the case.
* The legal framework surrounding terrorism is constantly evolving.
**Recommendation:**
For a more in-depth understanding of specific investigative techniques, legal proceedings, or ongoing legal debates, consulting a lawyer specializing in national security law or criminal law is highly recommended.</t>
  </si>
  <si>
    <t>What role do intelligence agencies play in counterterrorism efforts according to Philippine law?</t>
  </si>
  <si>
    <t>Philippine law doesn't explicitly outline the role of intelligence agencies in counterterrorism efforts. However, their crucial role is established through various mechanisms and legal frameworks:
**National Intelligence Coordinating Agency (NICA):**
* Established by Executive Order No. 111 in 2010, NICA is the primary agency tasked with coordinating and integrating all government activities involving national intelligence.
* While not a law enforcement agency, NICA plays a critical role in counterterrorism through:
* **Fusion Centers:** NICA oversees the Counter Terrorism Intelligence Center (CTIC) and Area CTICs. These centers gather, analyze, and share intelligence on terrorism from various agencies (administrative order mentioned but not quoted due to source type).
* **Situational Awareness and Knowledge Management (SAKM):** NICA leads the SAKM Cluster of the National Task Force Against Illegal Drugs (NTF-ELCAC), which can be applied to counterterrorism efforts as well.
* **Anti-Terrorism Act of 2020 (RA 11479):** * Though not directly mentioning NICA, this law strengthens the ATC, of which NICA is a member. * The ATC relies on intelligence from various agencies, including those coordinated by NICA.
**Overall Role of Intelligence Agencies:**
* **Intelligence Gathering:** Agencies like the Armed Forces of the Philippines (AFP) Intelligence Service and the Philippine National Police (PNP) Intelligence Group collect information on potential terrorist threats and activities.
* **Analysis and Reporting:** Intelligence is analyzed to assess threats, identify potential targets, and inform counterterrorism strategies.
* **Dissemination:** Analyzed intelligence is shared with relevant agencies, such as law enforcement and policymakers, to enable preventive or reactive measures.
* **Collaboration:** Philippine intelligence agencies collaborate with their counterparts in other countries to share information and combat international terrorism.
**Important Considerations:**
* The specific methods used by intelligence agencies in gathering intelligence may involve classified information and may not be publicly available.
* There's a balance between national security and individual privacy. While intelligence gathering is crucial, surveillance methods should be conducted within legal bounds. **Recommendations:**
Understanding the specific operations of intelligence agencies is complex and often involves classified information. However, for a broader analysis of the legal and policy landscape surrounding intelligence gathering in counterterrorism, consulting a lawyer specializing in national security law or a security expert would be highly recommended.</t>
  </si>
  <si>
    <t>How does the Anti-Terrorism Council contribute to counterterrorism efforts?</t>
  </si>
  <si>
    <t>The Anti-Terrorism Council (ATC) plays a central role in coordinating and overseeing counterterrorism efforts in the Philippines according to the Anti-Terrorism Act of 2020 (RA 11479). Here's a breakdown of its key functions:
**Composition:**
* The ATC is an inter-agency body chaired by the Executive Secretary. * Members include representatives from various government departments and agencies critical to counterterrorism, such as:
* Department of National Defense (DND)
* Department of Justice (DOJ)
* Department of Interior and Local Government (DILG)
* Department of Foreign Affairs (DFA)
* Philippine National Police (PNP)
* Armed Forces of the Philippines (AFP)
* National Intelligence Coordinating Agency (NICA)
**Key Functions:**
* **Policy Formulation:** * The ATC develops and recommends counterterrorism policies and strategies to the President.
* **Coordination:** * It facilitates information sharing and coordinated action between different government agencies involved in counterterrorism.
* **Oversight:** * The ATC supervises the implementation of counterterrorism plans and programs.
* **Designation of Terrorists:** * The ATC has the authority to designate individuals and groups as terrorists based on specific criteria outlined in the law (discussed previously in response about designating terrorists).
* **International Cooperation:** * The ATC plays a role in coordinating international cooperation on counterterrorism efforts with other countries and regional bodies.
**Additional Considerations:**
* The Anti-Terrorism Act has been criticized for potentially granting the ATC excessive power, including warrantless arrests and surveillance in some cases (source withheld due to being a specific legal critique). * There's an ongoing debate regarding the balance between national security and individual rights in the context of ATC operations.
**Overall Significance:**
* The ATC serves as a central hub for combining resources and expertise of various agencies to combat terrorism. * By fostering collaboration and information sharing, it aims to improve the effectiveness of counterterrorism measures in the Philippines.
**Recommendations:**
For a more nuanced understanding of the ATC's specific decision-making processes, its powers and limitations, or the ongoing legal debate surrounding it, consulting a lawyer specializing in national security law is highly recommended.</t>
  </si>
  <si>
    <t>What legal safeguards are in place to protect the rights of individuals accused of terrorism?</t>
  </si>
  <si>
    <t>The Philippines legal system aims to balance national security concerns with protecting the rights of individuals accused of terrorism. Here are some key safeguards:
**Due Process:**
* **Right to a Fair Trial:** Individuals accused of terrorism have the right to a fair and impartial trial before a regular court of law. This includes the right to be informed of the charges against them, present a defense, and confront witnesses.
* **Presumption of Innocence:** The accused is presumed innocent until proven guilty beyond a reasonable doubt. The burden of proof lies with the prosecution.
* **Right to Legal Counsel:** The accused has the right to legal representation throughout the legal proceedings. If they cannot afford a lawyer, the court will appoint one for them.
**Other Safeguards:**
* **Warrant Requirement:** Generally, law enforcement needs a warrant from a judge to conduct searches and arrests, except in specific situations where probable cause exists. The Anti-Terrorism Act itself is under debate regarding the extent of warrantless arrests and surveillance it allows (source withheld due to being a specific legal critique).
* **Habeas Corpus:** This legal remedy allows a person to challenge their detention and seek release if it's found to be unlawful.
* **Right to Speedy Trial:** The accused has the right to a reasonably prompt trial to avoid prolonged detention before a verdict is reached.
**Challenges and Considerations:**
* **Balancing Security and Rights:** Striking a balance between national security concerns and individual rights is an ongoing challenge. * **Potential for Abuse:** There are concerns that the Anti-Terrorism Act could be used to target critics of the government or stifle dissent, not just actual terrorists (source withheld due to being a specific legal critique). * **Length of Detention:** While the law guarantees a speedy trial, pre-trial detention can be lengthy, especially in complex cases. **Recommendations:**
For a more in-depth understanding of specific legal safeguards available to those accused of terrorism, the potential for abuse within the system, or the ongoing legal debates, consulting a lawyer specializing in criminal law or national security law is highly recommended.</t>
  </si>
  <si>
    <t>How is the offense of conspiracy to commit terrorism addressed under Philippine law?</t>
  </si>
  <si>
    <t>Conspiracy to commit terrorism is a serious offense in the Philippines, outlined in the **Anti-Terrorism Act of 2020 (RA 11479)**. Here's a breakdown of the key points:
**Definition of Conspiracy:**
* Section 7 of RA 11479 defines conspiracy as when two or more persons come to an agreement concerning the commission of terrorism and decide to commit it.
**Elements of the Offense:**
* **Agreement:** There must be a meeting of minds between the conspirators to commit a terrorist act. This agreement can be express (openly stated) or implied (inferred from their actions).
* **Specific Terrorist Act:** The agreement must involve a specific terrorist act as defined under Section 4 of RA 11479 (refer to previous answers on terrorism definition for details).
* **Intent:** The prosecution needs to prove that the conspirators intended to carry out the terrorist act.
**Penalty:**
* Anyone found guilty of conspiracy to commit terrorism can be penalized by life imprisonment without the benefit of parole (Section 7 of RA 11479).
**Challenges and Considerations:**
* **Gathering Evidence:** Proving a conspiracy can be difficult, as it often involves evidence of communication and planning between the accused. * **Distinguishing Agreement from Planning:** Authorities need to clearly differentiate between discussions or planning stages and a concrete agreement to commit a terrorist act.
* **Potential for Abuse:** The broad definition of terrorism in the Anti-Terrorism Act raises concerns about the potential for abuse of the conspiracy charge against individuals not involved in actual violence (source withheld due to being a specific legal critique).
**Legal Procedures:**
* **Investigation:** Philippine National Police (PNP) or other law enforcement agencies handle investigations. They may gather evidence through surveillance, witness testimonies, and other lawful means.
* **Prosecution:** The Department of Justice (DOJ) prosecutes the case before a court.
* **Trial:** The accused have the right to a fair trial with due process safeguards (discussed previously in response about rights of accused terrorists).
**Recommendations:**
For a deeper understanding of the specific legal elements required to prove conspiracy under Philippine law, the potential for abuse, or ongoing legal debates, consulting a lawyer specializing in criminal law or national security law is highly recommended.</t>
  </si>
  <si>
    <t>What legal measures exist to address acts of terrorism that occur outside Philippine territory?</t>
  </si>
  <si>
    <t>The Philippines has several legal measures to address acts of terrorism that occur outside its territory, although enforcement capabilities can be more complex in such situations. Here's a breakdown of the key approaches:
**International Cooperation:**
* **Treaties and Agreements:** The Philippines is a signatory to various international treaties and agreements that promote cooperation in combating terrorism. These include:
* International Convention for the Suppression of Financing of Terrorism
* Convention on the Prevention and Punishment of Offences against Internationally Protected Persons, including Diplomatic Agents
* Conventions on specific terrorist acts like hostage-taking and bomb attacks
* **Sharing Information and Intelligence:** These treaties require member states to collaborate by sharing information on suspected terrorist activities and individuals, regardless of location. * **Extradition and Mutual Legal Assistance:** Treaties may allow for the extradition of individuals suspected of terrorism to face trial in the affected country, or for mutual legal assistance in investigations and prosecutions.
**Domestic Laws with Extraterritorial Application:**
* **Anti-Terrorism Act of 2020 (RA 11479):** Section 15 of this law allows the prosecution of Filipinos who commit terrorism abroad, provided certain conditions are met, such as the act causing harm to Filipinos or Philippine interests.
**Challenges and Limitations:**
* **Enforcement:** Enforcing Philippine law overseas depends on cooperation with the country where the act occurred. * **Jurisdiction:** The Philippines cannot unilaterally enforce its laws in other countries. Jurisdictional issues and international cooperation become crucial factors.
* **Gathering Evidence:** Obtaining evidence for crimes committed abroad can be complex and time-consuming.
**Additional Considerations:**
* **United Nations Security Council Resolutions (UNSCRs):** The Philippines may adopt UNSCRs designating terrorist organizations or individuals. These designations can then be used to freeze assets or restrict travel of those listed, even if the activities occurred outside the Philippines.
**Recommendations:**
For a more in-depth analysis of the specific provisions in international treaties or limitations of extraterritorial application of Philippine law in terrorism cases, consulting a lawyer specializing in international law or national security law is highly recommended.</t>
  </si>
  <si>
    <t>How are international cooperation and information-sharing facilitated in counterterrorism efforts?</t>
  </si>
  <si>
    <t>International cooperation and information-sharing are crucial aspects of counterterrorism efforts in the Philippines. Here's how they are facilitated:
**International Frameworks:**
* **Treaties and Agreements:** As mentioned previously, the Philippines is a signatory to various international treaties that promote cooperation in combating terrorism. These treaties provide a legal framework for information exchange and joint operations. * **United Nations Security Council Resolutions:** The Philippines adheres to UNSCRs that designate terrorist organizations and individuals. This information helps identify potential threats and allows for coordinated action against them.
* **Regional Organizations:** The Philippines actively participates in regional organizations like the Association of Southeast Asian Nations (ASEAN) to counter transnational terrorism and share information about threats in the region. **Mechanisms for Information Sharing:**
* **Interpol:** The Philippines uses Interpol's secure communication network to share information on wanted terrorists and criminal activities.
* **Counterterrorism Finance (CTF) Information Sharing Channels:** The Philippines cooperates with the Financial Action Task Force (FATF) and regional CTF bodies to share intelligence on terrorist financing activities.
* **Law Enforcement Liaison Officers:** Many countries, including the Philippines, station liaison officers in partner countries to facilitate communication and information exchange between law enforcement agencies.
**Challenges and Considerations:**
* **National Security vs. Information Sharing:** Balancing the need for national security with concerns about sharing sensitive information with other countries can be a challenge.
* **Data Privacy:** Data privacy laws may limit the extent to which information can be shared, requiring careful procedures to ensure compliance.
* **Standardization and Compatibility:** Different countries may have varying data formats and communication systems, requiring efforts to ensure compatibility for efficient information exchange.
**The Role of Philippine Agencies:**
* **National Intelligence Coordinating Agency (NICA):** NICA plays a central role in coordinating intelligence gathering and information sharing among various Philippine agencies involved in counterterrorism.
* **Department of Foreign Affairs (DFA):** The DFA facilitates diplomatic channels for communication and information exchange with other countries.
**Overall Significance:**
* Effective international cooperation and information-sharing are critical for identifying and disrupting terrorist networks that often operate across borders.
* The Philippines actively participates in international frameworks and utilizes various mechanisms to share information and coordinate counterterrorism efforts with partner countries.
**Recommendations:**
For a deeper understanding of the specific details of international treaties, the functioning of specific information-sharing mechanisms, or ongoing challenges in international cooperation, consulting a security expert specializing in counterterrorism or a lawyer specializing in international law is highly recommended.</t>
  </si>
  <si>
    <t>What legal protections are provided to witnesses in terrorism-related cases?</t>
  </si>
  <si>
    <t>The Philippines offers several legal protections to witnesses in terrorism-related cases, aiming to encourage them to come forward with crucial information. Here's a breakdown of the key measures:
**Primary Legislation:**
* **Witness Protection, Security, and Benefit Act (Republic Act No. 6981):** This law is the cornerstone witness protection program in the Philippines. It allows individuals who possess information on serious crimes, including terrorism, to enter a witness protection program (WPP) in exchange for their testimony.
**Protections Offered by the WPP:**
* **Change of Identity:** The WPP may provide new identities for witnesses and their immediate family members to ensure their safety.
* **Relocation:** Witnesses may be relocated to a safe location within the Philippines or, in some cases, abroad.
* **Security Measures:** The WPP can offer security measures like safe houses and bodyguards for witnesses deemed to be at high risk.
* **Financial Assistance:** The program may provide financial assistance to witnesses to help them adjust to their new lives and meet basic needs.
**Additional Protections:**
* **Anti-Terrorism Act of 2020 (RA 11479):** While not solely focused on witness protection, Section 27 of this Act mandates courts to take measures to protect witnesses during court proceedings. This may involve witness anonymity or special arrangements to minimize the risk of identification.
* **Rules of Court:** The Philippines Rules of Court have provisions for witness protection, such as allowing witnesses to testify remotely or behind a screen in exceptional circumstances.
**Challenges and Considerations:**
* **Resource Limitations:** The effectiveness of the WPP can be limited by resource constraints. The program may not be able to accommodate all witnesses who request protection.
* **Fear of Retaliation:** Despite these measures, witnesses may still fear retaliation from terrorist groups or their associates. * **Balancing Security and Transparency:** Ensuring witness safety while maintaining a fair trial with due process can be a balancing act. * **Compliance with Due Process:** Witness protection measures should not unfairly prejudice the rights of the accused.
**Recommendations:**
For a more in-depth understanding of the specific application process for the WPP, the types of security measures offered, or ongoing debates about its effectiveness, consulting a lawyer specializing in criminal law or national security law is highly recommended. They can advise on the specific situation and the protections available to a witness in a terrorism-related case.</t>
  </si>
  <si>
    <t>How does Philippine law address the use of technology, such as encryption, in planning and executing terrorist acts?</t>
  </si>
  <si>
    <t>Philippine law doesn't have a specific legislation directly addressing the use of encryption technologies in terrorism. However, there are relevant approaches and ongoing discussions:
**Current Legal Landscape:**
* **Focus on Content and Activities:** Philippine law primarily focuses on the content of communications and the activities planned through technology, rather than the encryption itself. * The Anti-Terrorism Act of 2020 (RA 11479) criminalizes acts like inciting terrorism or providing material support, regardless of whether encryption was used.
* **Cybercrime Prevention Act (RA 10175):** This law addresses online content related to terrorism. While not directly related to encryption, it establishes a process for content takedown, which could be relevant for some propaganda (discussed previously).
**Challenges with Encryption:**
* **Balancing Security and Investigation:** Encryption protects privacy and secures online communications, but it can also make it difficult for law enforcement to intercept communications planning terrorist attacks.
* **Difficulties in Decryption:** Law enforcement agencies may not have the capability to decrypt all forms of encryption, especially if strong encryption methods are used.
**Potential Solutions and Ongoing Debates:**
* **Focus on User Data:** There's discussion about investigative approaches focusing on user data associated with suspicious activity, rather than trying to decrypt communications. * **Cooperation with Tech Companies:** Collaboration between law enforcement and technology companies is crucial. Tech companies may be able to provide some assistance in investigations without compromising user privacy entirely. * **Backdoor Access Debate:** There's ongoing debate about mandating "backdoor access" for law enforcement to bypass encryption. This raises significant privacy concerns and may not be technically feasible for all encryption methods.
**Important Considerations:**
* The legal landscape surrounding encryption and counterterrorism is constantly evolving. * Striking a balance between national security and individual privacy is a complex issue.
**Recommendations:**
For a more nuanced understanding of the ongoing legal debates regarding encryption and its use in terrorism, the technical aspects of encryption, or potential future legislative approaches, consulting a lawyer specializing in cybercrime law or national security law is highly recommended.</t>
  </si>
  <si>
    <t>What role do financial institutions play in preventing the financing of terrorism?</t>
  </si>
  <si>
    <t>Financial institutions in the Philippines play a crucial role in preventing terrorism financing by acting as gatekeepers for the financial system. Here's how they contribute:
**Anti-Money Laundering and Counter-Terrorism Financing (AML/CFT) Regulations:**
* The Philippines has a legal framework based on international standards to combat money laundering and terrorist financing. * The Bangko Sentral ng Pilipinas (BSP), the central bank, issues regulations mandating AML/CFT compliance for all covered institutions, including banks, money changers, remittance companies, and others.
**Key Responsibilities of Financial Institutions:**
* **Customer Due Diligence (CDD):** Financial institutions must conduct thorough CDD on customers, identifying and verifying their identities and the source of their funds. This helps identify suspicious activity that could be linked to terrorism financing.
* **Suspicious Activity Reporting (SAR):** Institutions are required to report any transactions suspected of being related to money laundering or terrorism financing to the Anti-Money Laundering Council (AMLC), a government body responsible for investigating these activities.
* **Record-Keeping:** Financial institutions must maintain detailed records of customer transactions for a specific period to facilitate investigations by law enforcement agencies. * **Training and Awareness:** Institutions must train their employees to identify and report suspicious activity related to terrorism financing.
**Benefits of Effective AML/CFT:**
* **Disrupting Terrorist Networks:** By identifying and reporting suspicious transactions, financial institutions can help to disrupt the flow of funds to terrorist organizations.
* **Protecting Financial System Integrity:** Effective AML/CFT measures protect the financial system from being misused for criminal activities.
* **International Cooperation:** The Philippines collaborates with other countries to share information on terrorist financing activities.
**Challenges and Considerations:**
* **Balancing Security and Convenience:** Strict AML/CFT measures can increase burden on legitimate customers, but this needs to be balanced with national security needs.
* **Evolving Methods:** Terrorist groups may use new and sophisticated methods to transfer funds, requiring financial institutions to adapt their detection methods.
* **Technological Advancements:** Leveraging technology for efficient transaction monitoring and risk assessment is crucial.
**Recommendations:**
For a more in-depth analysis of specific AML/CFT regulations applicable to financial institutions, the technical aspects of suspicious activity detection, or the challenges of staying ahead of evolving terrorist financing methods, consulting a lawyer specializing in financial law or a compliance officer at a financial institution is highly recommended.</t>
  </si>
  <si>
    <t>How are religious institutions monitored to prevent radicalization and support for terrorism?</t>
  </si>
  <si>
    <t>Monitoring religious institutions in the Philippines to prevent radicalization and support for terrorism is a complex issue with a focus on balancing security and religious freedom. Here's a breakdown of the key points:
**No Direct Monitoring:**
* The Philippines doesn't have a legal framework for directly monitoring the religious activities of institutions to prevent radicalization. **Focus on Outreach and Engagement:**
* The government's primary approach involves interfaith dialogue and promoting a culture of peace within religious communities. * This can involve:
* Collaboration with religious leaders to identify and address grievances that may make individuals vulnerable to radicalization.
* Promoting religious tolerance and understanding to counter extremist ideologies.
* Supporting programs that promote critical thinking and counter violent extremism narratives.
**Community-Based Approach:**
* Local communities play a crucial role in identifying potential signs of radicalization. * This can involve:
* Religious leaders and community members reporting suspicious activity to authorities.
* Building trust and open communication within communities to prevent isolation and vulnerability to extremist influences.
**Challenges and Considerations:**
* **Balancing Security and Freedom:** Striking a balance between national security concerns and the constitutional right to freedom of religion is crucial. * **Respecting Religious Autonomy:** The government must tread carefully to avoid infringing on the autonomy of religious institutions.
* **Identifying Radicalization:** Recognizing the early signs of radicalization can be difficult.
**The Role of Law Enforcement:**
* Law enforcement investigates credible threats of terrorism, regardless of the origin. This may involve investigating individuals suspected of radicalization within religious communities, but only based on specific evidence, not solely on religious affiliation.
**Important Considerations:**
* Religious profiling and generalizations about entire religious groups are ineffective and counterproductive.
* Open communication and collaboration between the government, religious leaders, and communities are key to preventing radicalization.
**Recommendations:**
For a more nuanced understanding of the ongoing debate about monitoring religious institutions, the specific programs used for interfaith dialogue and community engagement, or the challenges of balancing security and religious freedom, consulting a sociologist specializing in religion and security or a lawyer specializing in human rights law is highly recommended.</t>
  </si>
  <si>
    <t>What legal provisions govern the extradition of individuals involved in terrorism?</t>
  </si>
  <si>
    <t>The Philippines has legal provisions for the extradition of individuals involved in terrorism, following a framework established by both domestic law and international treaties. Here's a breakdown of the key points:
**Domestic Law:**
* **The Constitution:** The Philippine Constitution (Article III, Section 2, par. 2) allows for the extradition of individuals "pursuant to a treaty or international agreement."
* **Extradition Treaty with the United States:** A key example is the **Extradition Treaty between the Government of the Republic of the Philippines and the Government of the United States of America**, signed in 1994. This treaty outlines the specific offenses for which extradition can be requested, which includes terrorism-related crimes. **Key Provisions in Extradition Treaties:**
* **Dual Criminality:** The offense must be a crime in both the requesting country and the Philippines. Terrorism is typically defined similarly in many treaties, making it easier to meet this requirement for terrorism offenses.
* **Statute of Limitations:** The offense cannot fall outside the statute of limitations for prosecution in both countries.
* **Political Offenses:** Extradition is generally not granted for "political offenses." However, the definition and interpretation of "political offenses" can be complex, and some treaties, including the US-Philippines treaty, exclude terrorism from the political offense exception.
**Extradition Process:**
* **Formal Request:** The requesting country submits a formal extradition request to the Philippine government, outlining the charges against the individual and evidence supporting the request.
* **Judicial Review:** Philippine courts review the request to ensure it complies with the treaty and domestic law. This involves assessing the evidence, ensuring no political offense exception applies, and protecting the rights of the individual.
* **Ministerial Decision:** Based on the court's recommendation, the Department of Justice (DOJ) makes the final decision on whether to grant or deny the extradition request.
**Challenges and Considerations:**
* **Treaties with Different Countries:** The Philippines has extradition treaties with various countries, and the specific provisions may differ slightly.
* **Lengthy Process:** Extradition can be a lengthy and complex legal process, involving multiple stages and potential appeals.
* **Human Rights Concerns:** The Philippines must ensure that extradition does not violate the individual's human rights, including the right to a fair trial in the requesting country.
**Recommendations:**
For a deeper understanding of the specific provisions in a particular extradition treaty between the Philippines and another country, the intricacies of the legal process, or potential human rights considerations in a specific case, consulting a lawyer specializing in international law or extradition law is highly recommended.</t>
  </si>
  <si>
    <t>How is the crime of harboring or concealing terrorists regulated and punished?</t>
  </si>
  <si>
    <t>The Philippine legal system doesn't have a single, specific law that directly addresses harboring or concealing terrorists. However, there are several existing laws that can be used to prosecute such acts:
1. **Republic Act No. 9514 (Anti-Terrorism Act of 2007):**
* While the Act doesn't explicitly mention harboring terrorists, it penalizes providing material support to terrorists ([RA 9514], Section 4). "Material support" can be interpreted broadly to include acts that enable terrorists to operate, such as providing them with shelter.
2. **Revised Penal Code (RPC):**
* Depending on the circumstances, various provisions of the RPC can be applied. Here are some examples:
* **Accessory (RPC Article 18):** This applies if a person, with knowledge of the crime (harboring terrorists), helps a terrorist evade prosecution.
* **Obstruction of Justice (RPC Article 150):** This applies if a person conceals evidence related to a terrorist act or hides a terrorist to prevent their arrest.
3. **Philippine Constitution (Article II, Section 15):**
* The Constitution guarantees the right to security of person and property. Harboring terrorists can be seen as a violation of this right, potentially leading to charges against the person who provided shelter.
It's important to note that the specific law applied and the corresponding penalty will depend on the specific facts of the case. For a more definitive answer on how a particular situation would be handled in court, consulting with a lawyer is highly recommended.</t>
  </si>
  <si>
    <t>What legal measures are in place to protect critical infrastructure from terrorist attacks?</t>
  </si>
  <si>
    <t>The Philippines tackles critical infrastructure protection from terrorist attacks through a combination of existing laws and specialized government agencies. Here's a breakdown based on Philippine law:
**Laws:**
* **Republic Act No. 9514 (Anti-Terrorism Act of 2007):** * This act, though not explicitly mentioning critical infrastructure, criminalizes planning, preparing, and inciting terrorism ([RA 9514], Section 4). This deters attacks on critical infrastructure as they often aim to disrupt essential services.
* **Republic Act No. 8749 (Public-Private Partnership Act of 1998):**
* This Act encourages private sector participation in infrastructure development. It implicitly recognizes the importance of protecting these investments, including from terrorism ([RA 8749]).
**Government Agencies:**
* **National Security Council (NSC):**
* The NSC crafts national security policies, including those related to counter-terrorism. This indirectly contributes to critical infrastructure protection ([Executive Order No. 138, s. 2017]).
* **Anti-Terrorism Council (ATC):**
* The ATC implements the National Counter-Terrorism Plan, which likely includes measures to safeguard critical infrastructure ([RA 9514], Section 14).
* **Department of National Defense (DND) and Armed Forces of the Philippines (AFP):**
* The DND and AFP are tasked with national defense, which encompasses protecting critical infrastructure from threats like terrorism ([Constitution], Article XVI, Section 4).
**Limitations:**
* There's no single, comprehensive law solely dedicated to critical infrastructure protection. * The legal framework is constantly evolving to address new threats.
**Additional Points:**
* Specific government agencies might have their own internal regulations to secure critical infrastructure under their purview (e.g., Department of Energy for power plants).
Remember, this is a general overview. Consulting a legal professional can provide a more nuanced understanding of how these laws apply in specific situations.</t>
  </si>
  <si>
    <t>How does Philippine law address the threat of terrorism against transportation systems?</t>
  </si>
  <si>
    <t>Philippine law addresses the threat of terrorism against transportation systems through a multi-pronged approach, combining various legal mechanisms:
**1. Anti-Terrorism Act (RA No. 9514):**
* While not explicitly mentioning transportation systems, this act criminalizes planning, preparing, and inciting terrorism ([RA 9514], Section 4). This deters attacks on transportation as they are prime targets for causing mass casualties and disruption.
* The act also penalizes providing material support to terrorists ([RA 9514], Section 4). "Material support" can be interpreted broadly to include acts that enable terrorists to carry out attacks on transportation systems, such as providing bomb-making materials or logistical assistance.
**2. Specific Transportation Security Laws:**
* **Civil Aviation Security Act (RA No. 6235):** This act mandates the creation of a security program for civil aviation to prevent hijackings and other threats ([RA 6235]). * **Maritime Security Act (RA No. 9521):** This act establishes measures to ensure the security of Philippine ports and vessels against terrorism and other threats ([RA 9521]).
* **Land Transportation Security and Regulation Act (LT SRA) (RA No. 11479):** This relatively new law (2016) aims to strengthen security measures in land transportation systems like buses, trains, and terminals. It mandates the creation of a National Transportation Security Plan and empowers authorities to conduct security inspections ([RA 11479]).
**3. The Philippine Constitution:**
* **Article II, Section 15:** This guarantees the right to security of person and property. Terrorist attacks on transportation systems violate this right, potentially leading to legal action against perpetrators.
**4. Law Enforcement Agencies:**
* The Philippine National Police (PNP), Philippine Coast Guard (PCG), and other law enforcement agencies play a crucial role in preventing and responding to terrorist threats. They can conduct security checks, gather intelligence, and apprehend suspects.
**Limitations:**
* The effectiveness of these legal measures depends on proper enforcement and resource allocation.
* The legal framework may need to adapt to address emerging terrorist tactics.
Remember, this is a general overview. For a more specific understanding of how these laws apply in a particular situation, consulting with a legal professional is highly recommended.</t>
  </si>
  <si>
    <t>What penalties apply for the unauthorized possession and use of weapons in the context of terrorism?</t>
  </si>
  <si>
    <t>In the Philippines, the penalties for unauthorized possession and use of weapons in the context of terrorism are quite severe. Here's a breakdown based on relevant Philippine laws:
**1. Republic Act No. 9514 (Anti-Terrorism Act of 2007):**
* **Section 14:** This section defines terrorism as acts that cause widespread fear and serious risk to public safety.
* **Section 4:** This section penalizes the following acts related to terrorism:
* Planning, preparing, and inciting terrorism (penalty: Reclusion perpetua to death) ([RA 9514], Section 4)
* Providing material support to terrorists (penalty: Reclusion perpetua to 20 years imprisonment) ([RA 9514], Section 4)
**Unauthorized possession and use of weapons can be considered "material support" to terrorism** if they are intended to be used in a terrorist attack. This means someone caught with illegal weapons and linked to terrorist activities could face penalties as harsh as life imprisonment. **2. Revised Penal Code (RPC):**
* **Chapter VII (Crimes Against Public Order):** This chapter includes provisions on illegal possession of firearms (e.g., RPC Article 148) and explosives (e.g., RPC Article 149). The penalties for these offenses vary depending on the type and number of weapons involved.
**However, if the illegal possession of weapons is connected to a terrorist plot,** the penalties under the Anti-Terrorism Act (life imprisonment to death) would likely take precedence over the penalties under the RPC (typically imprisonment for several years).
**3. Additional Factors Affecting Penalties:**
* The specific type and quantity of weapons involved.
* Whether the person possessed the weapons for personal use or intended to supply them to terrorists.
* Any prior criminal offenses of the accused.
**Important to Note:**
* This is a general overview. The specific charges and penalties will depend on the detailed circumstances of each case. * Consulting a lawyer is highly recommended for a more definitive understanding of the potential legal consequences.</t>
  </si>
  <si>
    <t>How is the offense of providing safe havens for terrorists addressed under Philippine law?</t>
  </si>
  <si>
    <t>As mentioned earlier, Philippine law doesn't have a single, specific law that directly addresses harboring or concealing terrorists. However, there are existing laws that can be used to prosecute such acts:
1. **Republic Act No. 9514 (Anti-Terrorism Act of 2007):**
* **Section 4:** This section penalizes providing **material support** to terrorists. "Material support" can be interpreted broadly to potentially include acts that enable terrorists to operate, such as providing them with shelter. This interpretation would depend on the specific facts of the case. For example, if someone knowingly provides a safe house used by terrorists to plan attacks, they could be charged with material support.
2. **Revised Penal Code (RPC):**
* Depending on the circumstances, various provisions of the RPC can be applied:
* **Accessory (RPC Article 18):** This applies if a person, with knowledge of the crime (harboring terrorists), helps a terrorist evade prosecution by providing shelter.
* **Obstruction of Justice (RPC Article 150):** This applies if a person conceals evidence related to a terrorist act or hides a terrorist in their safe haven to prevent their arrest.
3. **Philippine Constitution (Article II, Section 15):**
* The Constitution guarantees the right to security of person and property. Harboring terrorists can be seen as a violation of this right, potentially leading to charges against the person who provided shelter.
Here's a key point to remember:
* The specific law applied and the corresponding penalty will depend heavily on the **specific facts of the case**. This includes:
* **Knowledge:** Did the person providing the safe haven know the individual(s) were terrorists?
* **Intent:** Did they intend to assist terrorist activities? * **Nature of the safe haven:** Was it a temporary hiding place or a long-term base for planning attacks?
**The strength of the prosecution's case will depend on the evidence** that demonstrates the person knowingly and intentionally provided a safe haven for terrorists.
**For a more definitive answer** on how a particular situation would be handled in court, consulting with a lawyer is highly recommended. They can analyze the specific facts and advise on the potential legal implications.</t>
  </si>
  <si>
    <t>What legal actions can be taken against individuals engaging in cyberterrorism activities?</t>
  </si>
  <si>
    <t>The Philippines addresses cyberterrorism through a combination of existing laws and new legislation specifically targeting online threats. Here's a breakdown of the legal options:
**1. Republic Act No. 10175 (Cybersecurity Act of 2012):**
* This act penalizes various cybercrimes, including:
* **Illegal Access (Section 14):** Gaining unauthorized access to a computer system or network. * **Data Interference (Section 15):** Interfering with data transmission or altering data without permission.
* **System Interference (Section 16):** Intentionally causing damage to a computer system.
These offenses can be applied to cyberterrorism activities that disrupt critical infrastructure or cause widespread fear through cyberattacks. **2. Republic Act No. 9514 (Anti-Terrorism Act of 2007):**
* While not specifically mentioning cyberattacks, the act criminalizes acts intended to cause widespread fear and serious risk to public safety ([RA 9514], Section 14). Cyberattacks that achieve this objective can be prosecuted under the Anti-Terrorism Act.
* **Section 4** penalizes providing material support to terrorists. A broad interpretation could include providing technical assistance or tools used in cyberterrorism.
**3. Revised Penal Code (RPC):**
* Depending on the nature of the cyberattack, some traditional RPC provisions might be applicable:
* **Destructive Arson (RPC Article 320):** If a cyberattack damages critical infrastructure to a degree comparable to physical arson.
* **Estafa (RPC Article 315):** If the cyberattack involves fraud or theft of data for financial gain.
**4. Other Laws:**
* **Republic Act No. 8424 (National Computerization Law):** This law promotes computerization but also emphasizes computer security. Violations can be used in conjunction with other cybercrime charges.
**Important Considerations:**
* The specific law(s) applied and the corresponding penalties will depend on the **specific details of the cyberattack**. * The relatively new field of cybercrime law is constantly evolving. * **Gathering strong digital evidence** is crucial for prosecuting cyberterrorism offenses. **Consulting a lawyer** with expertise in cybercrime law is highly recommended for a more comprehensive understanding of the legal options available in a specific case.</t>
  </si>
  <si>
    <t>How are measures such as surveillance and wiretapping regulated in counterterrorism efforts?</t>
  </si>
  <si>
    <t>Philippine law allows surveillance and wiretapping as tools in counterterrorism efforts, but with safeguards to protect individual rights. Here's a breakdown of the relevant legal framework:
**1. Constitution:**
* **Article III, Section 2 (Right to Privacy):** This guarantees the right to privacy of communication and correspondence. This right can potentially limit government surveillance activities.
**2. Anti-Terrorism Act (RA No. 9514):**
* **Section 16:** This section authorizes the issuance of a written order for surveillance and wiretapping of a suspected terrorist under **limited circumstances**. * **Safeguards:**
* Requires approval from the Court of Appeals.
* Only valid for a maximum of 90 days, subject to renewal with proper justification.
**3. Republic Act No. 486 (Anti-Wiretapping Law):**
* This older law also regulates surveillance and wiretapping but with broader applicability (not just counterterrorism).
* **Generally stricter requirements compared to RA 9514:** Needs a court order based on probable cause of a crime.
**Key Points:**
* The Anti-Terrorism Act provides law enforcement with **broader authority for surveillance and wiretapping in counterterrorism efforts** compared to the general wiretapping law.
* However, there are still safeguards to **prevent abuse**: judicial approval and time limits.
**4. Judicial Oversight:**
* Courts play a crucial role in ensuring lawful surveillance. They can:
* Review applications for surveillance orders.
* Reject applications that lack proper justification.
**5. Legal Challenges:**
* The balance between national security and individual privacy is a complex issue.
* The use of surveillance and wiretapping in counterterrorism efforts can be challenged in court if it's deemed to violate the Constitution or RA 486.
**Recommendation:**
For a more nuanced understanding of how surveillance and wiretapping laws are applied in specific situations, consulting with a lawyer is highly recommended. They can analyze the details of a case and provide insights on the legal considerations.</t>
  </si>
  <si>
    <t>What role do local government units play in supporting national counterterrorism strategies?</t>
  </si>
  <si>
    <t>The Philippine legal framework assigns a significant role to local government units (LGUs) in supporting national counterterrorism strategies. Here's a breakdown of their key functions based on Philippine law:
**1. Implementing National Counterterrorism Plans:**
* The Philippine National Counter-Terrorism Plan (PNCTP) outlines a comprehensive national strategy. * LGUs are expected to **align their local plans** with the PNCTP, focusing on their specific areas ([Republic Act No. 9514], Section 14).
**2. Information Sharing and Early Warning Systems:**
* LGUs play a crucial role in gathering and sharing local intelligence on potential terrorist activities with relevant national agencies ([RA 9514], Section 18).
* They can establish **early warning systems** to detect and report suspicious activities within their jurisdictions.
**3. Public Awareness and Community Engagement:**
* LGUs are tasked with **educating the public** about the dangers of terrorism and promoting vigilance within their communities ([Executive Order No. 138, s. 2017]).
* They can organize **community outreach programs** to foster trust and cooperation between citizens and law enforcement.
**4. Securing Critical Infrastructure:**
* LGUs share responsibility with national agencies in **protecting critical infrastructure** within their localities (e.g., power plants, transportation hubs). This might involve measures like increased security patrols and improved coordination with local police (various laws like RA 8749). **5. Crisis Response and Management:**
* In case of a terrorist attack, LGUs are expected to **participate in disaster response and recovery efforts** to minimize casualties and restore normalcy within their communities ([RA 10121] - Disaster Risk Reduction and Management Act).
**Legal Basis for LGU Roles:**
* The Anti-Terrorism Act (RA 9514) emphasizes the importance of a whole-of-nation approach to counterterrorism, which includes LGUs.
* The Local Government Code (RA 7160) empowers LGUs to enact ordinances and manage their resources for the general welfare of their constituents, which includes security.
**Challenges and Considerations:**
* LGUs might face **resource constraints** to effectively implement counterterrorism measures.
* There's a need for **capacity building** to equip LGU personnel with the skills and knowledge to handle counterterrorism issues.
* **Effective coordination** between LGUs and national agencies is crucial for a successful national counterterrorism strategy.
Remember, this is a general overview. The specific roles and responsibilities of LGUs in counterterrorism efforts may vary depending on the specific local context and existing policies.</t>
  </si>
  <si>
    <t>How does the law address the recruitment of minors into terrorist organizations?</t>
  </si>
  <si>
    <t>While there isn't a single, specific law solely focused on the recruitment of minors into terrorist organizations in the Philippines, several existing laws can be used to address this issue:
1. **Republic Act No. 9514 (Anti-Terrorism Act of 2007):**
* **Section 4:** This section penalizes providing material support to terrorists. "Material support" can be interpreted broadly to include acts that enable terrorists to operate, such as recruiting minors into their organizations.
2. **Republic Act No. 7610 (Special Protection of Children Against Abuse, Exploitation and Discrimination Act):**
* This law safeguards children from various forms of abuse and exploitation. * **Section 5:** This section specifically prohibits the recruitment and use of children in armed conflict. While not explicitly mentioning terrorism, it can be argued that terrorist organizations are a form of armed conflict and recruiting minors violates this section.
* **Other sections:** The law also addresses other forms of exploitation that could be relevant, such as child trafficking ([RA 7610], Sections 4, 6). 3. **Revised Penal Code (RPC):**
* Depending on the circumstances, some RPC provisions might be applicable:
* **Child Abuse (RPC Article 266-A):** This applies if a person uses a child to commit a crime, which could include being recruited for terrorism.
* **Slavery (RPC Article 277):** Forced recruitment into terrorism could potentially be considered a form of slavery.
4. **International Law:**
* The Philippines is a signatory to the **Optional Protocol to the Convention on the Rights of the Child on the involvement of children in armed conflict**. This protocol prohibits the recruitment and use of children under 18 in armed conflict by both government and non-government actors, which includes terrorist organizations.
**Important Considerations:**
* The specific law(s) applied and the corresponding penalty will depend on the **specific details of the recruitment case**. * The focus is on **protecting children** who are vulnerable to manipulation and exploitation by terrorist organizations.
* The emphasis might be on **rehabilitation and reintegration** of children who were already recruited.
**Consulting a lawyer** with expertise in child protection laws is highly recommended for a more in-depth understanding of how the law can be applied to address the recruitment of minors into terrorist organizations.</t>
  </si>
  <si>
    <t>What legal provisions govern the prosecution of foreign terrorists operating within Philippine territory?</t>
  </si>
  <si>
    <t>The Philippines prosecutes foreign terrorists operating within its territory under a combination of domestic laws and international agreements. Here's a breakdown of the key legal framework:
**Domestic Laws:**
* **Republic Act No. 9514 (Anti-Terrorism Act of 2007):** This act forms the cornerstone of counterterrorism efforts in the Philippines. While it doesn't explicitly mention foreign terrorists, its provisions can be applied to them:
* **Section 4:** This section penalizes acts like planning, preparing, and inciting terrorism, as well as providing material support to terrorists. These can be applied to foreign terrorists regardless of nationality.
* **Revised Penal Code (RPC):** Depending on the specific acts committed by the foreign terrorist, various RPC provisions might be used, such as:
* **Crimes against persons (e.g., murder, kidnapping):** If the terrorist commits violent acts.
* **Crimes against property (e.g., arson, damage to property):** If the terrorist damages infrastructure or property.
* **Illegal possession of firearms and explosives:** If the terrorist possesses weapons for terrorist activities.
* **Philippine Constitution (Article III, Section 2):** This guarantees the right to security of person and property. Foreign terrorists who violate this right can be prosecuted under relevant laws.
**International Agreements:**
* The Philippines is a party to various international treaties related to counterterrorism, such as:
* **International Convention for the Suppression of Financing of Terrorism:** This agreement criminalizes financing of terrorism activities.
* **Convention on the Prevention and Punishment of Offences against Internationally Protected Persons, including Diplomatic Agents:** This agreement ensures protection for diplomats and other internationally protected persons, even against foreign terrorists.
**Extradition:**
* If a foreign terrorist flees the Philippines, the government can request their extradition from the country where they are found. This process is governed by extradition treaties between the Philippines and the other country. **Challenges:**
* Gathering evidence against foreign terrorists, especially those who might operate in a clandestine manner, can be difficult.
* International cooperation is crucial for effectively prosecuting foreign terrorists, especially those with connections abroad.
**Important Note:**
* The specific legal provisions applied and the prosecution process will depend on the **specific circumstances of each case**. * Consulting a lawyer with expertise in counterterrorism law is highly recommended for a more detailed understanding of the legal aspects involved in prosecuting foreign terrorists in the Philippines.</t>
  </si>
  <si>
    <t>How are individuals rehabilitated and reintegrated into society after being involved in terrorism?</t>
  </si>
  <si>
    <t>The Philippines has a framework for the rehabilitation and reintegration of individuals involved in terrorism, but it's a complex and evolving process. Here's a breakdown based on relevant policies and practices:
**Legal Basis:**
* While there's no single, comprehensive law on rehabilitation and reintegration of terrorists, the Anti-Terrorism Act (RA No. 9514) lays some groundwork. * **Section 19:** This section emphasizes the importance of addressing the root causes of terrorism, which could pave the way for rehabilitation programs.
**Government Agencies:**
* **Department of Justice (DOJ):** The DOJ spearheads the overall government effort on countering violent extremism (CVE) which includes rehabilitation and reintegration programs. * **Office on Counterterrorism (OCT):** An attached agency of the DOJ, the OCT plays a key role in developing and implementing CVE programs, including rehabilitation initiatives.
* **Other Agencies:** Depending on the specific needs of the individual, other government agencies like the Department of Social Welfare and Development (DSWD) might also be involved in providing social support and skills training.
**Rehabilitation Programs:**
* **Focus on Deradicalization:** Programs aim to change the extremist ideology of individuals and promote peaceful values. This can involve religious counseling, educational workshops, and exposure to alternative narratives.
* **Psychological Support:** Addressing any underlying mental health issues that might have contributed to radicalization is crucial.
* **Vocational Skills Training:** Equipping individuals with marketable skills can help them secure employment and reintegrate into society.
**Challenges:**
* **Limited Resources:** Government funding for rehabilitation programs might be limited, hindering their effectiveness.
* **Community Acceptance:** Reintegration can be difficult due to public fear and suspicion towards former terrorists.
* **Sustainability:** Long-term support is crucial to prevent individuals from returning to extremism.
**The Role of Civil Society:**
* **Non-Governmental Organizations (NGOs):** NGOs can play a vital role by providing support services, promoting social inclusion, and fostering dialogue between former terrorists and communities.
**Important Considerations:**
* Rehabilitation and reintegration is a **voluntary process**. Individuals must genuinely choose to renounce violence and extremism.
* The effectiveness of these programs varies depending on the individual's circumstances and level of commitment to deradicalization.
* **Security Concerns:** Authorities need to balance rehabilitation efforts with public safety concerns, ensuring that individuals do not pose a threat after reintegration.
**Further Information:**
For a more comprehensive understanding of the rehabilitation and reintegration process for individuals involved in terrorism in the Philippines, consider consulting with experts in the field of CVE or by researching programs run by government agencies or NGOs.</t>
  </si>
  <si>
    <t>What legal safeguards exist to prevent the abuse of counterterrorism powers by law enforcement agencies?</t>
  </si>
  <si>
    <t>The Philippines has several legal safeguards in place to prevent the abuse of counterterrorism powers by law enforcement agencies. Here's a breakdown of some key measures:
* **Judicial Oversight:**
* Courts play a crucial role in scrutinizing the exercise of counterterrorism powers. This includes:
* Issuing warrants for surveillance and wiretapping (RA No. 9514, Section 16) based on probable cause.
* Reviewing the legality of arrests and detentions made under counterterrorism laws.
* Individuals who believe their rights have been violated by law enforcement can petition the courts for redress.
* **Safeguards in Anti-Terrorism Law (RA No. 9514):**
* **Limitations on surveillance and wiretapping:** Requires written orders, approval from the Court of Appeals, and time limits (RA No. 9514, Section 16).
* **Definition of terrorism:** The law defines terrorism with specific elements, helping to prevent the arbitrary designation of acts as terrorism (RA No. 9514, Section 4).
* **Habeas Corpus:** * This legal remedy allows individuals to challenge the legality of their detention before a court. This can be a crucial safeguard against arbitrary arrests under counterterrorism laws.
* **Right to Privacy (Philippine Constitution, Article III, Section 2):** * This constitutional right can be invoked to challenge unreasonable surveillance activities by law enforcement.
* **Accountability Mechanisms:**
* Law enforcement agencies are accountable for their actions. While details vary, mechanisms might include:
* Internal affairs investigations within police departments.
* Independent oversight commissions that can investigate complaints against law enforcement officers.
* Potential criminal or civil lawsuits against officers who abuse their powers. **Challenges and Considerations:**
* Striking a balance between national security and individual rights is an ongoing challenge.
* The effectiveness of safeguards depends on factors like judicial independence and the resources allocated to oversight bodies.
* Transparency is crucial. Clear guidelines and public reporting on the use of counterterrorism powers can help build trust and prevent abuse.
**Recommendations:**
* Staying informed about your rights under Philippine law.
* Knowing how to file a complaint if you believe your rights have been violated by law enforcement.
* Supporting organizations that promote civil liberties and hold law enforcement agencies accountable.
Remember, this is a general overview. For a more nuanced understanding of the specific legal safeguards and how they are applied in practice, consulting with a lawyer is highly recommended.</t>
  </si>
  <si>
    <t>How does Philippine law address the use of false information or hoaxes related to terrorism?</t>
  </si>
  <si>
    <t>Philippine law doesn't have a single, specific law solely focused on addressing the use of false information or hoaxes related to terrorism. However, several existing laws can be used to prosecute such acts, depending on the specific nature and potential consequences of the hoax:
**1. Cybercrime Act (RA No. 10175):**
* **Section 15 (Data Interference):** This provision penalizes altering, modifying, deleting, destroying computer data, or interfering with data transmission. Spreading false information about terrorism online could be considered data interference if it disrupts critical communication channels or creates panic.
**2. Revised Penal Code (RPC):**
* **Article 154 (Alarms and Scandals):** This article penalizes knowingly spreading false alarms that cause damage to property or endanger public safety. A hoax about a terrorist attack could potentially fall under this category if it creates widespread panic or disrupts normal activities.
* **Article 183 (Libel):** While not directly related to terrorism, libel can be applied if the false information targets a specific person or entity and damages their reputation. **3. Anti-Terrorism Act (RA No. 9514):**
* While a stretch, in some extreme cases, the act's focus on causing **widespread fear and serious risk to public safety** (Section 14) could be interpreted to encompass knowingly spreading dangerous hoaxes about terrorism. However, this would likely be applied in situations where the hoax itself incites violence or poses a clear threat.
**Important Considerations:**
* The specific law(s) applied and the corresponding penalty will depend on the **severity, intent, and the platform** used to spread the false information. A malicious hoax spread online with the intention of causing panic would likely be treated more seriously than a simple rumor.
* **Freedom of Speech:** The Philippines upholds freedom of speech (Philippine Constitution, Article III, Section 4). Authorities need to tread carefully to avoid infringing on this right while also protecting public safety.
**Role of Social Media Platforms:**
* Social media platforms have a growing responsibility to combat the spread of misinformation. The Philippines has enacted laws requiring these platforms to cooperate with law enforcement investigations ([RA 10175]).
**Consulting a Lawyer:**
For a more definitive understanding of how the law applies to a specific situation involving false information or hoaxes related to terrorism, consulting with a lawyer is highly recommended. They can analyze the details and advise on the potential legal implications.</t>
  </si>
  <si>
    <t>What role do community-based programs play in preventing radicalization and terrorism?</t>
  </si>
  <si>
    <t>Community-based programs play a crucial role in preventing radicalization and terrorism in the Philippines by addressing the root causes that make individuals susceptible to extremist ideologies. Here's a breakdown of their key functions:
**1. Promoting Social Integration:**
* Community programs can help foster a sense of belonging and acceptance for marginalized groups, reducing the appeal of extremist narratives that prey on feelings of isolation and alienation.
* They can create opportunities for interfaith dialogue and cultural exchange, promoting understanding and tolerance between different communities.
**2. Building Resilience:**
* Programs can equip individuals, especially young people, with critical thinking skills and media literacy to help them analyze information and challenge extremist propaganda.
* They can promote social and emotional learning (SEL) programs that teach healthy coping mechanisms and conflict resolution skills, making individuals less vulnerable to manipulation.
**3. Early Intervention:**
* Community programs can be instrumental in identifying individuals at risk of radicalization and providing them with support and resources before they become involved in extremist activities.
* This might involve working with families, religious leaders, and educators to identify warning signs and intervene early.
**4. Countering Narratives:**
* Community programs can promote positive narratives that celebrate peace, diversity, and social justice, offering an alternative to the violent ideologies espoused by extremist groups.
* They can empower community members to speak out against extremism and challenge hate speech within their communities.
**Examples of Community-Based Programs:**
* **Youth development programs** that provide educational opportunities, skills training, and positive role models.
* **Mentorship programs** that connect young people with positive adult figures.
* **Interfaith dialogue programs** that promote understanding and cooperation between different religious groups.
* **Media literacy workshops** that teach people how to critically evaluate information and identify propaganda.
* **Community outreach programs** that connect with at-risk populations and provide them with support and resources.
**Benefits of Community-Based Programs:**
* **Focus on Prevention:** By addressing the root causes of radicalization, these programs aim to prevent individuals from turning to terrorism in the first place.
* **Building Trust:** Community-based programs can build trust and cooperation between communities and law enforcement, fostering a more collaborative approach to counterterrorism.
* **Sustainability:** Locally-driven programs are often more sustainable than top-down government initiatives, as they are better attuned to the specific needs of their communities.
**Challenges:**
* **Funding:** Community-based programs often face resource constraints, limiting their reach and effectiveness.
* **Coordination:** Effective community-based programs require collaboration between various stakeholders, including government agencies, NGOs, and community leaders.
* **Measuring Impact:** It can be difficult to measure the long-term impact of community-based programs in preventing radicalization.
**Conclusion:**
Community-based programs are a vital component of a comprehensive counterterrorism strategy in the Philippines. By addressing the root causes of radicalization and fostering social cohesion, these programs can play a key role in creating a more secure and peaceful society.</t>
  </si>
  <si>
    <t>How are individuals involved in terrorist activities prevented from traveling or entering the country?</t>
  </si>
  <si>
    <t>The Philippines utilizes a multi-pronged approach to prevent individuals involved in terrorist activities from traveling or entering the country:
**Watchlists and Screening:**
* The Philippines maintains a national watchlist of suspected terrorists and terror organizations. This list is likely compiled by various intelligence agencies (e.g., Philippine National Police Intelligence Group).
* **Department of Foreign Affairs: [https://www.dfa.gov.ph/](https://www.dfa.gov.ph/)** (DFA) and Bureau of Immigration (BI) use this watchlist to screen passengers at airports and seaports. Individuals on the list may be denied entry or subjected to additional questioning.
* The Philippines also cooperates with international databases on terrorism maintained by organizations like Interpol and the United Nations Security Council (UNSC). This allows them to identify individuals flagged by other countries.
**Advance Passenger Information (API) System:**
* Airlines and other carriers are required to submit passenger information (API) to the Philippines before a flight arrives. This information can be compared to watchlists to identify potential threats.
**Travel Documents:**
* The Philippines has the authority to revoke or invalidate passports and other travel documents of individuals suspected of involvement in terrorism. This can prevent them from traveling internationally.
**Border Security:**
* The Bureau of Immigration (BI) is responsible for securing Philippine borders. They employ immigration officers trained to identify suspicious behavior and travel documents.
* K-9 units and advanced screening technologies like facial recognition systems might also be used to detect potential threats at border points.
**Information Sharing:**
* The Philippines cooperates with international partners in sharing intelligence about terrorist activities and individuals. This allows them to track the movements of suspected terrorists and prevent them from crossing borders. **Challenges:**
* Maintaining an accurate and up-to-date watchlist is crucial, but it can be difficult due to the constantly evolving nature of terrorist threats.
* Balancing security concerns with the rights of legitimate travelers is important. * Resource limitations can hinder the effectiveness of border security measures.
**Important to Note:**
* Specific details about the Philippine watchlist and screening procedures are often classified for security reasons.
* This is a general overview. The specific measures taken to prevent individuals involved in terrorism from traveling or entering the country may vary depending on the specific circumstances and the level of perceived threat.</t>
  </si>
  <si>
    <t>What legal actions can be taken against individuals using social media for terrorist propaganda and recruitment?</t>
  </si>
  <si>
    <t>In the Philippines, legal actions against individuals using social media for terrorist propaganda and recruitment can be pursued under several existing laws. Here's a breakdown of the options:
**1. Cybercrime Act (RA No. 10175):** * This act penalizes various cybercrimes, including those relevant to online terrorism:
* **Section 4(c)(4):** **Illegal Content:** This provision prohibits the posting or sharing of information that incites violence or endangers public safety. This could encompass online terrorist propaganda that promotes or glorifies terrorist acts.
* **Section 14 (Illegal Access):** This discourages unauthorized access to computer systems used for storing or transmitting terrorist propaganda.
* **Section 15 (Data Interference):** This penalizes altering or interfering with data transmission, potentially applicable if someone disrupts online efforts to counter terrorist propaganda.
**2. Anti-Terrorism Act (RA No. 9514):**
* While not explicitly mentioning social media, the act criminalizes acts intended to cause widespread fear and serious risk to public safety ([RA 9514], Section 14). Spreading terrorist propaganda online that aims to incite violence or inspire terror could be prosecuted under this section. * **Section 4:** This section penalizes providing material support to terrorists. A broad interpretation could encompass providing online platforms or technical assistance used for terrorist propaganda and recruitment.
**3. Revised Penal Code (RPC):**
* Depending on the content of the social media posts, some traditional RPC provisions might be applicable:
* **Inciting to Sedition (RPC Article 146):** This applies if the online content encourages rebellion or uprising against the government, which some terrorist groups might advocate for.
* **Illegal Possession of Explosives or Incendiary Devices (RPC Chapter 6, Title II):** If the social media posts promote the construction or use of explosives for terrorist purposes.
**Challenges and Considerations:**
* **Gathering Digital Evidence:** Prosecutors need to collect and preserve strong digital evidence to prove the content's nature and the user's intent. * **Freedom of Speech:** The Philippines upholds freedom of speech (Philippine Constitution, Article III, Section 4). Authorities need to strike a balance between national security and the right to express personal views. * **Role of Social Media Platforms:** These platforms have a responsibility to remove harmful content and cooperate with law enforcement investigations ([RA 10175]). Users can also report suspicious content to the platforms.
**Importance of Consulting a Lawyer:**
The specific law(s) applied and the corresponding penalty will depend on the **specific details of the social media activity**. A lawyer with expertise in cybercrime law can provide a more nuanced understanding of the legal options available in a specific case.</t>
  </si>
  <si>
    <t>How is the crime of providing material support to foreign terrorist organizations addressed under Philippine law?</t>
  </si>
  <si>
    <t>The Philippines considers providing material support to foreign terrorist organizations (FTOs) a serious crime. Here's how Philippine law addresses it:
**Key Legislation:**
* **Anti-Terrorism Act of 2007 (Republic Act No. 9514):** This act forms the cornerstone of counterterrorism efforts in the Philippines.
* **Section 4:** This section is crucial. It defines and penalizes a range of acts related to terrorism, including:
* Planning, preparing, inciting to commit terrorism.
* Providing material support to terrorists, which can encompass foreign terrorist organizations.
* **"Material Support" Definition:** The law doesn't provide an exhaustive list but mentions examples like funds, transportation, weapons, safe houses, communication equipment, logistical assistance, and recruitment.
**How Material Support is Interpreted:**
* Courts have some flexibility in interpreting "material support." * The key factors considered include:
* **Nature of the Assistance:** Direct financial aid, weapons, or training provided to an FTO would likely be considered material support.
* **Knowledge and Intent:** The person providing support must know or have a reason to believe the recipient is a terrorist organization. Unknowingly providing aid generally wouldn't be considered a crime.
**Examples of Material Support:**
* Funding an FTO through donations or fundraising activities.
* Supplying weapons, explosives, or other equipment to an FTO.
* Providing training in bomb-making, combat tactics, or other skills used for terrorist activities.
* Helping FTO members travel or hide by offering transportation, safe houses, or forged documents.
* Using social media platforms to spread FTO propaganda or recruit new members.
**Penalties:**
* The penalty for providing material support to terrorists depends on the severity of the offense and the potential harm caused. It can range from **reclusion perpetua (life imprisonment)** to a minimum of **six years imprisonment**.
**Challenges:**
* **Gathering Evidence:** Proving knowledge and intent can be difficult, especially when dealing with foreign organizations.
* **International Cooperation:** Effective prosecution might require cooperation with other countries where the FTO operates or where support originated.
* **Balancing Security and Rights:** Authorities need to ensure legitimate activities aren't mistakenly classified as material support.
**Important Considerations:**
* If you suspect someone is providing material support to an FTO, you can report it to the authorities. * Philippine law enforcement agencies have hotlines and online reporting mechanisms for such activities.
* Consulting a lawyer with expertise in counterterrorism law is recommended if you have questions about specific situations or the legal implications of providing certain types of assistance.</t>
  </si>
  <si>
    <t>What legal measures exist to address the radicalization of individuals within educational institutions?</t>
  </si>
  <si>
    <t>The Philippines addresses the radicalization of individuals within educational institutions through a combination of preventive and responsive legal measures. Here's a breakdown of the key approaches:
**Preventive Measures:**
* **DepEd Order No. 46, s. 2021 (Enhanced Countering Violent Extremism (CVE) Programs in Schools):** This Department of Education (DepEd) order mandates the implementation of CVE programs in all public and private schools. These programs aim to:
* Promote critical thinking skills and media literacy to help students identify and resist extremist ideologies.
* Foster tolerance, respect for diversity, and peaceful conflict resolution.
* Create a safe space for students to discuss sensitive topics and report concerns about potential radicalization.
* **Integration of CVE Concepts into Curriculum:** The DepEd, in collaboration with other government agencies, is integrating CVE concepts into various subjects like Social Studies, Values Education, and Filipino. This aims to equip students with the knowledge and tools to recognize and challenge extremist narratives.
* **Faculty Training:** Teachers, school counselors, and administrators are undergoing training to identify signs of radicalization in students and provide appropriate interventions or referrals. This can involve detecting changes in behavior, interest in extremist materials, or association with suspicious individuals.
* **Student Welfare and Protection Mechanisms:** Existing laws like the **Republic Act No. 10535 (Enhanced Basic Education Act of 2013)** and **DepEd Order No. 49, s. 2012 (Guidelines on Implementing the Child Protection Policy)** establish mechanisms for reporting and addressing child abuse, exploitation, and neglect. This framework can be used to identify and address potential radicalization, especially when it preys on vulnerable students.
**Responsive Measures:**
* **Reporting Obligations:** Teachers, school personnel, and students themselves are encouraged to report any suspicious activity or concerns about potential radicalization to school authorities or law enforcement agencies.
* **Law Enforcement Intervention:** Depending on the severity of the situation and the potential threat, law enforcement may be involved to investigate and potentially take legal action against individuals suspected of radicalizing students. This could involve charges under the Anti-Terrorism Act (RA No. 9514) or the Cybercrime Act (RA No. 10175) if online propaganda is involved.
* **Rehabilitation and Reintegration Programs:** For students who have already been radicalized, the government, in cooperation with NGOs, might offer rehabilitation and reintegration programs to help them renounce extremist ideologies and reintegrate into society.
**Challenges:**
* **Limited Resources:** Effectively implementing CVE programs requires adequate funding for training, resources, and personnel.
* **Balancing Security and Freedom:** Schools need to strike a balance between promoting national security and safeguarding academic freedom and freedom of expression for students.
* **Identifying Early Signs:** Detecting early signs of radicalization can be challenging, requiring ongoing vigilance and training for school personnel.
**Recommendations:**
* Schools should create a culture of open communication and trust where students feel comfortable reporting concerns about potential radicalization.
* Parents and guardians play a crucial role in monitoring their children's online activity and offline behavior for signs of radicalization.
* Collaboration between schools, law enforcement agencies, and mental health professionals is essential for a comprehensive approach to countering radicalization in educational institutions.
**Important Note:**
This is a general overview. The specific legal measures and their implementation may vary depending on the educational institution and the evolving nature of the threat.</t>
  </si>
  <si>
    <t>How does the law protect individuals from being falsely accused or wrongfully detained in terrorism-related cases?</t>
  </si>
  <si>
    <t>The Philippines has some legal safeguards in place to protect individuals from being falsely accused or wrongfully detained in terrorism-related cases. However, the effectiveness of these safeguards can vary, and there are ongoing challenges. Here's a breakdown of the key points:
**Safeguards:**
* **Judicial Oversight:** Courts play a crucial role in scrutinizing the actions of law enforcement. This includes:
* **Issuing warrants** for surveillance and wiretapping (RA No. 9514, Section 16) based on **probable cause**.
* **Reviewing the legality of arrests and detentions** made under counterterrorism laws. Individuals can petition the courts for **habeas corpus** if they believe their detention is unlawful.
* **Trials:** The accused has the right to a fair trial, including the right to legal representation and the presumption of innocence until proven guilty.
* **Anti-Terrorism Act (RA No. 9514):**
* **Limitations on surveillance and wiretapping:** Requires written orders, court approval, and time limits (RA No. 9514, Section 16).
* **Definition of terrorism:** The law defines terrorism with specific elements, helping to prevent the arbitrary designation of acts as terrorism (RA No. 9514, Section 4).
* **Right to Privacy (Philippine Constitution, Article III, Section 2):** This can be invoked to challenge unreasonable surveillance activities by law enforcement.
* **Accountability Mechanisms:** Law enforcement agencies are accountable for their actions. While details vary, mechanisms might include:
* Internal affairs investigations within police departments.
* Independent oversight commissions that can investigate complaints against law enforcement officers.
* Potential criminal or civil lawsuits against officers who abuse their powers.
**Challenges:**
* **Balancing Security and Rights:** Striking a balance between national security and individual rights is an ongoing challenge. In some cases, national security concerns might lead to prioritizing swift action over a lengthy legal process.
* **Limited Resources:** The effectiveness of safeguards depends on factors like judicial independence and the resources allocated to oversight bodies. An under-resourced judiciary can struggle to handle a high volume of cases efficiently. * **Transparency:** Clear guidelines and public reporting on the use of counterterrorism powers can help build trust and prevent abuse. However, there might be concerns about compromising sensitive information related to ongoing investigations.
**Recommendations:**
* **Knowing Your Rights:** Being informed about your rights under Philippine law is crucial. Resources are available from the Public Attorney's Office (PAO) and other legal aid organizations.
* **Seeking Legal Counsel:** If you are arrested or detained in connection with terrorism, it's vital to seek legal counsel immediately. A lawyer can advise you on your rights and represent you throughout the legal process.
**Additional Considerations:**
* **Witness Protection:** In some cases, witness protection measures might limit the ability of the accused to challenge evidence against them. This can be a necessary safeguard for witnesses who fear retaliation, but it also creates challenges for ensuring a fair trial.
* **Evolving Threats:** Terrorist tactics and methods are constantly evolving. This can make it difficult for legal frameworks to keep pace and effectively protect individuals from wrongful accusations while also addressing real security threats.
The Philippines is working to improve its counterterrorism measures while upholding individual rights. Staying informed, knowing your rights, and seeking legal counsel when necessary are important steps to take if you or someone you know is caught up in a terrorism-related case.</t>
  </si>
  <si>
    <t>What role does the judiciary play in reviewing and approving anti-terrorism measures?</t>
  </si>
  <si>
    <t>The Philippine judiciary plays a crucial role in reviewing and approving anti-terrorism measures, acting as a check on the power of the executive branch to ensure these measures comply with the Philippine Constitution and uphold individual rights. Here's a breakdown of their key functions:
**Reviewing Legislation:**
* The Supreme Court has the power of **judicial review**. This allows them to determine whether laws passed by Congress, including anti-terrorism legislation, are consistent with the Constitution.
* The Court can declare laws **unconstitutional** if they violate fundamental rights or principles enshrined in the Constitution, such as:
* Due process (right to a fair trial)
* Equal protection of the law
* Freedom of speech and expression
* Right to privacy
**Reviewing the Application of Laws:**
* Lower courts throughout the Philippines review the legality of actions taken by law enforcement under anti-terrorism laws. This includes:
* Issuing warrants for arrests, detentions, and surveillance based on probable cause.
* Examining the evidence presented by the prosecution in terrorism-related cases.
* Ensuring the rights of the accused are protected throughout the legal process.
**Landmark Cases:**
* The Philippine Supreme Court has issued rulings on several landmark cases concerning anti-terrorism measures, setting precedents and shaping the legal landscape. These rulings have:
* Emphasized the need for a **balance** between national security and individual rights.
* Defined the **scope of legitimate** law enforcement activities under anti-terrorism laws.
* Established **limitations** on the government's power to detain individuals suspected of terrorism.
**Limitations:**
* The power of judicial review is not absolute. The Supreme Court's decisions can be appealed, and Congress can sometimes rewrite laws to address constitutional concerns raised by the Court.
* The judiciary's effectiveness depends on its **independence**. If the judiciary is subject to undue influence from the executive branch or other political actors, its ability to act as an objective check on power can be compromised.
**Overall Significance:**
* The Philippine judiciary plays a vital role in ensuring that anti-terrorism measures are implemented in a way that respects human rights and the rule of law.
**Additional Considerations:**
* **Public Scrutiny:** Court decisions on anti-terrorism measures are often subject to public scrutiny and debate. This can help to ensure transparency and accountability in the application of these laws.
* **Evolving Landscape:** The nature of terrorism and the legal framework surrounding it are constantly evolving. The judiciary needs to be adaptable and responsive to these changes to continue fulfilling its crucial role.
* **International Law:** The Philippines is a signatory to various international human rights treaties. The judiciary may also consider these international legal obligations when reviewing anti-terrorism measures.</t>
  </si>
  <si>
    <t>How are individuals engaged in the training of terrorists regulated and prosecuted?</t>
  </si>
  <si>
    <t>The Philippines prosecutes individuals engaged in terrorist training through a combination of existing laws and specialized counterterrorism measures. Here's a breakdown of the key legal framework:
**Laws Addressing Training:**
* **Anti-Terrorism Act of 2007 (Republic Act No. 9514):**
* **Section 4:** This core provision criminalizes acts in preparation for or incitement of terrorism. Training others in terrorism skills would likely fall under this category.
* The law doesn't explicitly define "training," but it could encompass instruction in bomb-making, weapons handling, combat tactics, or other skills used for terrorist activities.
* **Revised Penal Code (RPC):**
* Depending on the specific content of the training, some RPC provisions might be applicable:
* **Illegal Possession of Explosives or Incendiary Devices (RPC Chapter 6, Title II):** If the training involves the construction or use of explosives for terrorist purposes.
* **Illegal Recruitment (RPC Article 149):** This applies if the training is part of a larger effort to recruit individuals into a terrorist organization.
**Prosecution Process:**
* Law enforcement agencies investigate suspected cases of terrorist training. This might involve gathering evidence, interviewing witnesses, and conducting surveillance.
* If sufficient evidence exists, the case is presented to prosecutors who decide whether to file charges in court.
* The specific charges will depend on the details of the training activity and the laws violated. * The accused has the right to a fair trial, including the presumption of innocence and the right to legal representation.
**Challenges:**
* **Gathering Evidence:** Collecting concrete proof of training activities can be difficult, especially if they occur in clandestine settings.
* **Defining "Training":** The legal definition of "training" in the context of terrorism can be ambiguous, requiring careful interpretation by law enforcement and the courts.
* **Balancing Security and Rights:** Authorities need to ensure legitimate self-defense training activities aren't mistakenly classified as terrorist training.
**International Cooperation:**
* The Philippines cooperates with international partners in sharing intelligence about terrorist activities and training methods. This can help identify individuals involved in training others and disrupt terrorist plots.
**Additional Considerations:**
* **Penalties:** Penalties for those convicted of training terrorists vary depending on the specific charges and the severity of the offense. They can range from several years of imprisonment to life sentences.
* **Deradicalization Programs:** In some cases, individuals who have been involved in terrorist training might be offered opportunities for rehabilitation and deradicalization programs, especially if they are deemed low-risk and willing to renounce violent extremism.
**Important Note:**
The specific legal provisions applied and the prosecution process will depend on the unique circumstances of each case. Consulting a lawyer with expertise in counterterrorism law is recommended for a more nuanced understanding of the legalities involved.</t>
  </si>
  <si>
    <t>What legal provisions govern the use of military force in counterterrorism operations?</t>
  </si>
  <si>
    <t>The Philippines utilizes a legal framework that combines domestic laws, military doctrines, and international norms to govern the use of military force in counterterrorism operations. Here's a breakdown of the key aspects:
**Domestic Laws:**
* **1987 Philippine Constitution:**
* **Article II, Section 1:** This section emphasizes the state's responsibility to uphold the "paramount security of the Republic." * **Article III, Bill of Rights:** While promoting national security, these rights (e.g., right to life, due process) must be considered during operations.
* **Republic Act No. 10354 (Revised Armed Forces of the Philippines Modernization Act):** This act outlines the mandate of the Armed Forces of the Philippines (AFP) to defend the country from external and internal threats, including terrorism.
* **Anti-Terrorism Act of 2007 (RA No. 9514):**
* **Section 15:** This section empowers the President, upon recommendation of the National Security Council, to call upon the AFP to assist law enforcement agencies in addressing terrorist threats.
**Military Doctrines:**
* The AFP adheres to established military doctrines for conducting operations, including those related to counterterrorism. These doctrines emphasize principles like:
* **Proportionality:** The use of force should be proportional to the threat posed by the terrorists.
* **Necessity:** Military force should only be used when other measures, such as law enforcement action, have proven ineffective or insufficient.
* **Discrimination:** The military must distinguish between combatants and civilians, and take all feasible precautions to minimize civilian casualties.
**International Norms:**
* The Philippines is a signatory to various international treaties related to armed conflict and human rights law. These norms apply to counterterrorism operations as well, requiring the AFP to:
* **International Humanitarian Law (IHL):** Principles like proportionality and distinction between civilians and combatants during armed conflict.
* **International Human Rights Law:** Respect for fundamental human rights even during counterterrorism operations.
**Oversight Mechanisms:**
* **Congress:** The Philippine Congress has oversight authority over the AFP and can review the use of military force in counterterrorism operations.
* **Commission on Human Rights (CHR):** This independent body investigates alleged human rights violations committed by state actors, including the military.
**Challenges and Considerations:**
* **Balancing Security and Rights:** Striking a balance between effectively addressing the terrorist threat and upholding human rights remains a challenge. * **Transparency and Accountability:** Ensuring transparency in military operations and holding violators accountable is crucial for maintaining public trust.
* **Urban Warfare:** The Philippines often faces terrorist threats in urban settings, raising complexities in minimizing civilian casualties during military operations.
**Important to Note:**
* The specific legal provisions and doctrines applied in a counterterrorism operation will depend on the specific circumstances, such as the nature of the threat, location, and potential risks involved.
* The details of military planning and operations are often classified for security reasons.
This provides a general framework for understanding the legal aspects of using military force in counterterrorism operations within the Philippines.</t>
  </si>
  <si>
    <t>How does Philippine law address the protection of human rights in the context of counterterrorism?</t>
  </si>
  <si>
    <t>The Philippines faces a complex challenge: balancing effective counterterrorism measures with the protection of human rights. Here's an overview of how Philippine law addresses this:
**Legal Framework:**
* **1987 Philippine Constitution:** The cornerstone, enshrining fundamental rights (right to life, due process) applicable even during counterterrorism operations (Article III).
* **Anti-Terrorism Act of 2007 (RA No. 9514):**
* **While aiming to deter terrorism, it also includes safeguards:**
* **Section 2:** Declares the state's commitment to upholding human rights and the rule of law in counterterrorism efforts.
* **Warrants:** Requires court approval for surveillance and detentions (Section 16).
* **Potential Tensions:** Balancing security concerns with safeguards can be challenging, and interpretations might vary.
* **International Obligations:** The Philippines is a signatory to various human rights treaties that inform its counterterrorism approach:
* **International Covenant on Civil and Political Rights (ICCPR):** Guarantees fundamental rights, even during emergencies.
* **Convention against Torture and Other Cruel, Inhuman or Degrading Treatment or Punishment:** Prohibits torture under any circumstances.
**Safeguards and Oversight:**
* **Judicial Review:** The judiciary plays a crucial role in reviewing the legality of actions taken under counterterrorism laws, ensuring they comply with the Constitution (e.g., issuing warrants based on probable cause).
* **Commission on Human Rights (CHR):** An independent body that investigates human rights violations committed by state actors, including the military and law enforcement.
**Challenges and Considerations:**
* **Balancing Act:** Striking the right balance between security and human rights remains a challenge. Concerns exist about:
* **Excessive Force:** Potential for military or law enforcement to use excessive force during counterterrorism operations. * **Due Process:** Ensuring suspects' rights are upheld during arrest, detention, and trial.
* **Freedom of Expression:** Concerns about using counterterrorism laws to stifle legitimate dissent or criticism. * **Resource Constraints:** Effectively implementing safeguards requires resources for training, investigations, and oversight mechanisms.
* **Transparency and Accountability:** Openness about counterterrorism operations and holding violators accountable builds public trust.
**Positive Developments:**
* **Landmark Cases:** The Philippine Supreme Court has issued rulings in landmark cases emphasizing the need for balance and setting limits on the government's power.
* **Community-Based Programs:** Efforts are underway to address the root causes of terrorism through community-based programs, promoting social integration and education as alternatives to violence.
**The Philippines is working to improve its counterterrorism strategy while upholding human rights. Here are some things to remember:**
* This is a complex and evolving issue.
* Striking the right balance is an ongoing challenge.
* Staying informed and seeking legal counsel when necessary are crucial steps for individuals caught up in terrorism-related cases.</t>
  </si>
  <si>
    <t>What measures are in place to ensure the effective coordination of various government agencies in counterterrorism efforts?</t>
  </si>
  <si>
    <t>The Philippines recognizes the importance of coordinated counterterrorism efforts and has established several measures to ensure different government agencies work together effectively. Here's a breakdown of the key mechanisms:
**National Security Council (NSC):**
* **Core Coordinating Body:** The NSC, chaired by the President, serves as the central coordinating body for all national security concerns, including counterterrorism.
* **Membership:** It includes representatives from various government agencies like the Department of National Defense (DND), Department of Interior and Local Government (DILG), Department of Foreign Affairs (DFA), Philippine National Police (PNP), and intelligence agencies.
* **Functions:**
* Develops and implements the National Counter-Terrorism Strategy (NCTS).
* Oversees the activities of various agencies involved in counterterrorism.
* Facilitates information sharing and intelligence exchange between agencies.
* Recommends the deployment of the Armed Forces of the Philippines (AFP) to assist law enforcement in counterterrorism operations (RA No. 9514, Section 15).
**Anti-Terrorism Council (ATC):**
* **Operational Level Coordination:** The ATC, under the NSC, manages the day-to-day operations of counterterrorism efforts.
* **Membership:** Similar to the NSC, but with a more operational focus. * **Functions:**
* Oversees the implementation of the NCTS at the operational level.
* Coordinates intelligence gathering and analysis from various agencies.
* Manages the Anti-Terrorism Financing (ATF) Countermeasures Unit.
* Maintains a watchlist of suspected terrorists and terrorist organizations.
**Joint Task Forces (JTFs):**
* **Situational Response:** For specific situations or ongoing threats, JTFs are formed. These temporary bodies bring together personnel from the PNP, AFP, and other relevant agencies for a focused response.
* **Example:** JTF Marawi was established to address the 2017 Marawi siege.
**Information Sharing Mechanisms:**
* **National Intelligence Coordinating Agency (NICA):** Leads the country's intelligence gathering efforts and facilitates information sharing between different agencies.
* **Memoranda of Agreement (MOAs):** Agencies involved in counterterrorism often have formal agreements outlining communication protocols and information-sharing procedures.
**Challenges and Considerations:**
* **Bureaucratic Hurdles:** Navigating complex bureaucratic structures can sometimes impede swift and efficient coordination.
* **Resource Constraints:** Limited resources can hinder effective communication and collaboration between agencies.
* **Data Sharing Concerns:** Balancing information sharing with privacy concerns is important.
**Overall, the Philippines is continuously working to improve its inter-agency coordination for counterterrorism. Here are some additional points to keep in mind:**
* **Civil Society Engagement:** Collaboration with civil society organizations (CSOs) can be crucial for gathering information and promoting community-based solutions.
* **International Cooperation:** Information sharing and collaboration with international partners play a vital role in combating transnational terrorism threats.
By fostering a coordinated approach, the Philippine government aims to be more effective in its counterterrorism efforts while upholding human rights and the rule of law.</t>
  </si>
  <si>
    <t>How are individuals involved in the production and dissemination of terrorist propaganda prosecuted?</t>
  </si>
  <si>
    <t>In the Philippines, individuals involved in the production and dissemination of terrorist propaganda can be prosecuted under several existing laws. Here's a breakdown of the key legal provisions:
**Cybercrime Act (RA No. 10175):**
* This act takes center stage in prosecuting online terrorist content. * **Section 4(c)(4):** **Illegal Content:** This provision criminalizes the posting or sharing of information that incites violence or endangers public safety. This could encompass online terrorist propaganda that promotes or glorifies terrorist acts. * **Section 14 (Illegal Access):** This discourages unauthorized access to computer systems used for storing or transmitting terrorist propaganda. * **Section 15 (Data Interference):** This penalizes altering or interfering with data transmission, potentially applicable if someone disrupts online efforts to counter terrorist propaganda. **Anti-Terrorism Act of 2007 (RA No. 9514):**
* While not explicitly mentioning "propaganda," the act criminalizes acts intended to cause widespread fear and serious risk to public safety (Section 14). Spreading terrorist propaganda online that aims to incite violence or inspire terror could be prosecuted under this section. * **Section 4:** Material Support for Terrorism: A broad interpretation could encompass providing online platforms or technical assistance used for terrorist propaganda and recruitment, depending on the specific circumstances.
**Revised Penal Code (RPC):**
* Depending on the content of the propaganda, some traditional RPC provisions might be applicable:
* **Inciting to Sedition (RPC Article 146):** This applies if the online content encourages rebellion or uprising against the government, a theme some terrorist groups advocate for.
* **Illegal Possession of Explosives or Incendiary Devices (RPC Chapter 6, Title II):** If the propaganda promotes the construction or use of explosives for terrorist purposes.
**Challenges and Considerations:**
* **Gathering Digital Evidence:** Prosecutors need to collect and preserve strong digital evidence to prove the content's nature and the user's intent. * **Freedom of Speech:** The Philippines upholds freedom of speech (Philippine Constitution, Article III, Section 4). Authorities need to strike a balance between national security and the right to express personal views. * **Role of Social Media Platforms:** These platforms have a responsibility to remove harmful content and cooperate with law enforcement investigations (RA No. 10175). Users can also report suspicious content to the platforms.
**Importance of Consulting a Lawyer:**
The specific law(s) applied and the corresponding penalty will depend on the **specific details of the propaganda activity**. A lawyer with expertise in cybercrime law can provide a more nuanced understanding of the legal options available in a specific case.
Here's an additional point to consider:
* **International Cooperation:** The Philippines might collaborate with international partners in investigating and prosecuting individuals involved in online terrorist propaganda, especially if the content originates from outside the country.</t>
  </si>
  <si>
    <t>What legal actions can be taken against individuals attempting to recruit members for a terrorist organization?</t>
  </si>
  <si>
    <t>In the Philippines, several laws address recruitment for terrorist organizations. Here's a breakdown based on relevant Philippine law:
**Philippine Constitution (1987):**
* **Article II, Section 14:** Guarantees the right to life, liberty and security of person. Recruitment for terrorism inherently threatens these rights.
**Republic Acts (RAs):**
* **RA 9372 (Human Security Act of 2007):**
* **Section 4:** Defines terrorism and terrorist organizations.
* **Section 6:** Penalizes inciting to commit terrorism, including recruitment. * **Section 7:** Covers financing of terrorism, which can be linked to recruitment efforts.
* **RA 10174 (Anti-Terrorism Act of 2020):**
* **Section 4:** Defines terrorism offenses, including recruitment. * **Section 6:** Outlines acts constituting recruitment to a terrorist organization. * **Section 25:** Defines and penalizes proposal to join a terrorist organization.
**Additionally:**
* **Revised Penal Code (RPC):** Certain provisions of the RPC, such as those related to rebellion or sedition, may apply depending on the specific goals of the terrorist organization.
**Who can take legal action?**
* Law enforcement agencies can initiate investigations and file charges.
* Private citizens may report suspected recruitment activities to authorities.
**Important to Remember:**
* The burden of proof lies with the prosecution. * The specific charges and penalties will depend on the details of the case.
**For further information:**
* You can find the full text of the Philippine Constitution and RAs mentioned above online through government websites.
**Disclaimer:** This is not a substitute for professional legal advice. If you suspect someone is recruiting for a terrorist organization, report it to the authorities immediately.</t>
  </si>
  <si>
    <t>How is the offense of planning and conducting drills for terrorist activities regulated and punished?</t>
  </si>
  <si>
    <t>The Philippine legal system doesn't have a single, specific law solely addressing planning and conducting drills for terrorist activities. However, several existing laws can be used to prosecute such activities:
**1. Republic Act No. 9372 (Human Security Act of 2007):**
* **Section 4:** Defines terrorism and a terrorist organization. While drills themselves might not be explicitly mentioned, planning and conducting them could be seen as **preparation** for a terrorist act, which falls under this section's scope.
* **Section 6:** This section penalizes **inciting to commit terrorism**. If the drills involve promoting or encouraging violence or intimidation, it could be considered incitement.
**2. Republic Act No. 10174 (Anti-Terrorism Act of 2020):**
* **Section 4:** This section defines various terrorism offenses, including **providing training for terrorist purposes**. Planning and conducting drills that provide training in bomb-making, hostage negotiation, or other terrorist tactics could be considered an offense under this section.
**3. Revised Penal Code (RPC):**
* Depending on the nature of the drills, some provisions of the RPC might be applicable. * **Conspiracy to commit rebellion or sedition (Article 139):** If the drills aim to overthrow the government or incite public disorder, this could be a relevant charge.
* **Illegal possession of firearms or explosives (Articles 168 &amp; 169):** If the drills involve using illegal weapons or explosives, these articles could apply.
**How it's Punished:**
The penalties for planning and conducting drills for terrorist activities will depend on the specific charges filed and the gravity of the offense, as determined by the court. Penalties can range from imprisonment to life sentences, depending on the specific law applied.
**Important to Remember:**
* The interpretation of the law plays a crucial role. The prosecution must prove that the drills were intended to support future terrorist acts.
* Having a lawyer is crucial to navigate the legal complexities involved.
**Disclaimer:** This is not a substitute for professional legal advice. If you suspect someone is planning or conducting drills for terrorist activities, report it to the authorities immediately.</t>
  </si>
  <si>
    <t>What role do international agreements and conventions play in shaping Philippine counterterrorism policies?</t>
  </si>
  <si>
    <t>While Philippine law (Constitution and RAs) forms the foundation of counterterrorism policies, international agreements and conventions play a significant role in shaping them. Here's how:
**International instruments create obligations:**
* By ratifying these agreements, the Philippines commits to upholding certain standards and cooperating with other countries on counterterrorism efforts. **Examples of relevant agreements:**
* **International Covenant on Civil and Political Rights (ICCPR):** Ensures basic human rights are respected even in counterterrorism measures.
* **International Convention for the Suppression of Financing of Terrorism:** Mandates cooperation to prevent and combat terrorist financing.
* **UN Security Council Resolutions on Counter-Terrorism:** Outline specific measures to address terrorist threats, which the Philippines is obligated to consider when crafting policies.
**How they influence Philippine policies:**
* **Alignment with International Standards:** Philippine counterterrorism policies are shaped to comply with the obligations outlined in these agreements. This helps ensure a balance between security and human rights.
* **Information Sharing and Cooperation:** These agreements facilitate information sharing and cooperation with other countries on terrorism investigations, financing, and disrupting terrorist activities. * **Best Practices and Capacity Building:** International organizations can provide technical assistance and share best practices in areas like counterterrorism financing, border security, and deradicalization programs.
**Limitations:**
* International agreements are not directly enforceable within the Philippines. They need to be translated into domestic law (e.g., RAs) to be implemented.
* The specific provisions and interpretations of these agreements can be complex and subject to debate.
**Conclusion:**
International agreements and conventions play a crucial role in shaping Philippine counterterrorism policies by promoting international cooperation, establishing international standards, and providing access to best practices. However, domestic laws ultimately govern how these agreements are implemented.</t>
  </si>
  <si>
    <t>You discover a group planning a terrorist attack within your community. What immediate legal actions can be taken to prevent the attack and apprehend the individuals involved?</t>
  </si>
  <si>
    <t>If you discover a group planning a terrorist attack in your community, the immediate priority is to prevent the attack and apprehend the individuals involved. Here are the legal actions you can take:
**1. Report to Authorities:**
* **Law Enforcement:** Contact your local police station or call the Philippine National Police (PNP) hotline 117. * **National Authorities:** You can also report to the National Bureau of Investigation (NBI) hotline (02) 820-04-00 or the Anti-Terrorism Council (ATC) through their website ([http://www.amlc.gov.ph/images/PDFs/ATC%20RESO%2010.pdf](http://www.amlc.gov.ph/images/PDFs/ATC%20RESO%2010.pdf) - functionality may be limited).
**2. Information Gathering (Only if Safe):**
* **Details:** While reporting, try to provide as much detail as possible about the group, their plans (date, target, etc.), and any evidence you might have (overheard conversations, suspicious activity, etc.). * **Remember:** **Your safety is paramount.** Don't put yourself at risk to gather information.
**3. Cooperation:**
* **Law Enforcement Follow-up:** Cooperate with law enforcement if they ask for further information or clarification. * **Witness Protection:** If you become a witness in any legal proceedings, inquire about witness protection programs offered by law enforcement agencies. **Important to Remember:**
* **Do not attempt to apprehend the individuals yourself.** This could be dangerous and hinder the investigation.
* **Do not share information publicly.** Spreading unverified information can create panic and jeopardize the investigation.
**Legal Actions by Authorities:**
Based on your report, law enforcement can take various legal actions:
* **Investigation:** Authorities will investigate your report and gather further evidence. * **Warrants:** If probable cause exists, they may seek warrants to arrest suspects, search for weapons or explosives, and access electronic data.
* **Arrest:** Individuals suspected of planning the attack may be arrested and charged under relevant laws like the Human Security Act or the Anti-Terrorism Act.
**Disclaimer:** This is not a substitute for professional legal advice. The specific legal actions will depend on the details of the situation and the decisions made by law enforcement agencies. By reporting your findings promptly and cooperating with authorities, you can play a crucial role in preventing a terrorist attack and bringing those responsible to justice.</t>
  </si>
  <si>
    <t>You witness a suspicious financial transaction that may be linked to terrorist financing. What legal steps should be taken to report this and freeze the assets involved?</t>
  </si>
  <si>
    <t>In the Philippines, reporting suspicious financial transactions potentially linked to terrorist financing has a specific procedure. Here's what you can do:
**1. Report to the Financial Intelligence Unit (FIU):**
* The FIU is the primary government body responsible for receiving and analyzing reports on suspicious transactions. You can file a Suspicious Transaction Report (STR) directly through their website ([http://www.amlc.gov.ph/](http://www.amlc.gov.ph/)) or by contacting their hotline: +632 886-20-70 local 270.
**2. Information Gathering (Optional):**
* While not mandatory, gathering some details can strengthen your report:
* Nature of the transaction (large cash deposit, wire transfer, etc.)
* Individuals or entities involved (names, account numbers, etc.)
* Reason for suspicion (unusual activity, doesn't match customer profile, etc.)
**Important to Remember:**
* You are not required to have conclusive proof of terrorist financing. Report any suspicion you have.
* You can report anonymously if you prefer. **Freezing Assets:**
* Freezing assets suspected of terrorist financing is a separate action. * The FIU, upon analyzing your STR, may recommend to the Anti-Terrorism Council (ATC) to freeze the assets. * The ATC has the authority to freeze assets for a limited period while investigations proceed.
**Additional Options:**
* **Report to your Bank:** You can also report your concerns directly to your bank's compliance officer. They have internal procedures for handling such situations and will likely forward it to the FIU.
**Disclaimer:** This is not a substitute for professional legal advice. For intricate details or specific situations, consult a lawyer specializing in financial transactions or anti-money laundering.
By reporting suspicious financial transactions, you can play a vital role in disrupting terrorist activities and protecting national security.</t>
  </si>
  <si>
    <t>A family member is showing signs of radicalization and expressing support for terrorist ideologies. What legal measures can be taken to intervene and prevent their involvement in terrorism?</t>
  </si>
  <si>
    <t>In the Philippines, there are no direct legal measures you can take against a family member simply for expressing radical views or supporting terrorist ideologies. However, there are steps you can take to intervene and hopefully prevent them from going down a dangerous path. Here are some options:
**1. Open Communication:**
* **Talk to them:** Try to understand the reasons behind their views. Engage in a calm and respectful conversation to learn about the sources influencing them. * **Challenge their beliefs:** Present counter-narratives that promote peace, tolerance, and respect for the law. * **Focus on shared values:** Remind them of core family values and highlight the negative impacts of terrorism on individuals and society. **2. Seek Support:**
* **Deradicalization Programs:** The government, through the National Counter-Terrorism Council (NCTC), offers deradicalization programs. You can explore if these programs could be a helpful resource for your family member ([https://www.dni.gov/index.php/nctc-home](https://www.dni.gov/index.php/nctc-home)).
* **Religious Leaders &amp; Community Figures:** Engage religious leaders or respected community figures who can offer guidance and challenge extremist interpretations.
* **Mental Health Professionals:** Consider seeking help from a mental health professional if your family member exhibits signs of depression, anxiety, or other mental health issues that might be fueling their radicalization.
**3. Report to Authorities (as a last resort):**
* Reporting to authorities should be a last resort, especially if there's no evidence of concrete plans to commit violence. * However, if your family member expresses a clear intent to join a terrorist organization or participate in an attack, report it to the authorities immediately. You can contact the Philippine National Police (PNP) hotline 117 or the National Bureau of Investigation (NBI) hotline (02) 820-04-00.
**Important to Remember:**
* **Safety First:** Your safety and well-being are paramount. If you feel threatened or in danger, prioritize your own safety and involve the authorities.
* **Patience and Empathy:** Deradicalization is a slow process requiring patience and empathy. * **Seek Legal Advice:** Consulting a lawyer specializing in counterterrorism issues can provide specific guidance based on your situation. By taking these steps, you can hopefully intervene and prevent your family member from getting involved in terrorism. Remember, communication, support, and seeking professional help are crucial in deradicalization efforts.</t>
  </si>
  <si>
    <t>You come across online content promoting terrorist activities. What legal actions can be taken to report and remove such content?</t>
  </si>
  <si>
    <t>In the Philippines, there are steps you can take to report and potentially remove online content promoting terrorist activities. Here's what you can do:
**1. Report to the Platform:**
* Most social media platforms and websites have mechanisms for reporting content that violates their terms of service. Look for the "report" button or link associated with the content. * Clearly state why the content promotes terrorism and provide details (specific language, imagery, etc.).
**2. Report to Government Agencies:**
* **Department of Justice (DOJ):** The DOJ has an online portal for reporting cybercrime ([https://cybercrime.doj.gov.ph/](https://cybercrime.doj.gov.ph/)). While not specifically designed for terrorism, you can report the content under "Online Threats or Intimidation."
* **Philippine National Police (PNP):** The PNP has a Cybercrime Complaint Center. You can contact them through their website ([https://acg.pnp.gov.ph/](https://acg.pnp.gov.ph/)) or by calling their hotline (02) 828-44-62.
**3. Provide Evidence (Optional but Helpful):**
* When reporting, consider including screenshots or links to the content for easier identification. **Important to Remember:**
* **Specificity is Key:** The more specific you are about the content and how it promotes terrorism, the better. * **No Guarantees:** There's no guarantee the content will be removed immediately. Platforms and agencies have review processes.
* **False Reports:** Don't misuse the reporting system for content you simply disagree with. **Additional Resources:**
* **Report.gov.ph:** A government website for reporting various online content violations ([https://reports.dole.gov.ph/](https://reports.dole.gov.ph/)).
* **DOJ Cybersecurity Bureau:** Provides information on cybercrime prevention and reporting ([https://cybercrime.doj.gov.ph/](https://cybercrime.doj.gov.ph/)).
Remember, by reporting such content, you can help create a safer online environment and potentially prevent the spread of extremist ideologies.</t>
  </si>
  <si>
    <t>During a routine check, authorities find a cache of weapons in a location suspected to be linked to terrorist activities. What legal measures can be taken to investigate and address this situation?</t>
  </si>
  <si>
    <t>When authorities discover a cache of weapons in a location suspected of terrorist links, several legal measures come into play to investigate and address the situation. Here's a breakdown based on Philippine law:
**Immediate Actions:**
* **Secure the Area:** Authorities will prioritize securing the area to prevent unauthorized access and potential danger.
* **Document the Scene:** This includes taking photographs, collecting fingerprints, and thoroughly documenting the type, quantity, and condition of the weapons found.
**Legal Basis for Investigation:**
* **Search Warrant:** If the authorities didn't have a warrant beforehand, they will likely seek a warrant after discovering the weapons. This warrant, based on probable cause, would legitimize the seizure and further investigation. * Republic Act No. 487 (Rules of Court): Provides guidelines for obtaining search warrants.
**Investigation:**
* **Ballistics Examination:** Weapons will likely undergo ballistics examination to determine if they have been used in previous crimes.
* **Traceability Investigations:** Authorities will attempt to trace the origin of the weapons to identify potential suppliers or networks involved.
* **Witness Interviews:** Anyone with knowledge about the location or the weapons will be interviewed to gather further information.
**Potential Charges:**
Depending on the investigation's findings, individuals linked to the weapons cache could face charges under various laws:
* **Illegal Possession of Firearms (RA 8499):** This is the most likely charge if authorities cannot directly connect the weapons to a planned attack.
* **Illegal Possession of Explosives (RA 9516):** If explosives are found alongside the weapons, this charge may apply.
* **Conspiracy to Commit Terrorism (RA 10174):** If evidence suggests the weapons were intended for a terrorist attack, this could be a more serious charge.
**Additional Considerations:**
* **Human Rights:** Throughout the investigation, authorities must respect the human rights of individuals involved.
* **Presumption of Innocence:** Those accused are presumed innocent until proven guilty in a court of law.
**Further Resources:**
* Philippine National Police Operational Procedures Manual ([https://pro4a.pnp.gov.ph/wp-content/uploads/2023/08/POP-Manual-2021.pdf](https://pro4a.pnp.gov.ph/wp-content/uploads/2023/08/POP-Manual-2021.pdf))
* Anti-Terrorism Act of 2020 (RA 10174) ([https://www.officialgazette.gov.ph/downloads/2020/06jun/20200703-RA-11479-RRD.pdf](https://www.officialgazette.gov.ph/downloads/2020/06jun/20200703-RA-11479-RRD.pdf))
**Disclaimer:** This is not a substitute for professional legal advice. The specific legal measures and charges will depend on the details of the situation and the evidence gathered during the investigation.</t>
  </si>
  <si>
    <t>You receive information about a potential terrorist threat targeting a religious institution. What immediate legal actions can be taken to enhance security and prevent the attack?</t>
  </si>
  <si>
    <t>If you receive information about a potential terrorist threat targeting a religious institution, immediate legal actions are crucial to enhance security and prevent the attack. Here's what you can do:
**1. Report to Law Enforcement:**
* **Priority:** Contacting law enforcement is the top priority. * **Options:** * Call the Philippine National Police (PNP) hotline: 117
* Report to your nearest police station.
* Contact the National Bureau of Investigation (NBI) hotline: (02) 820-04-00 (if you suspect a larger plot).
**2. Information Gathering (Only if Safe):**
* **Details:** While reporting, provide as much detail as possible about the threat:
* Nature of the threat (bombing, hostage-taking, etc.)
* Targeted religious institution (name, location, specific details if available)
* Source of the information (anonymous tip, overheard conversation, etc.)
* Date or timeframe mentioned (if any)
* **Important:** Only gather information if it doesn't put you at risk. **3. Cooperation:**
* **Answer Questions:** Cooperate fully with law enforcement if they have further questions or require clarification. * **Security Measures:** If contacted by the religious institution, encourage them to cooperate with law enforcement in implementing security measures. **Legal Actions by Authorities:**
Based on your report, law enforcement can take various legal actions:
* **Investigation:** Authorities will investigate your report and gather further evidence. This may involve interviewing you, witnesses, and visiting the targeted location.
* **Increased Security:** Law enforcement may increase security around the religious institution with patrols or temporary checkpoints.
* **Threat Assessment:** Authorities will assess the credibility of the threat and determine the appropriate level of response.
**Additional Considerations:**
* **False Reports:** Filing a false report is a crime. Only report information you believe to be true. * **Anonymity:** You can report anonymously if you prefer. **Disclaimer:** This is not a substitute for professional legal advice. The specific legal actions will depend on the details of the situation and the decisions made by law enforcement agencies.
By reporting the information promptly, you can potentially save lives and help prevent a terrorist attack. Remember, cooperation with law enforcement is crucial in such situations.</t>
  </si>
  <si>
    <t>A foreign national with known ties to a terrorist organization attempts to enter the country. What legal measures can be taken to prevent their entry and address the threat?</t>
  </si>
  <si>
    <t>Philippine immigration authorities have legal measures to prevent a foreign national with known ties to a terrorist organization from entering the country. Here's a breakdown of the process:
**Initial Screening:**
* **Bureau of Immigration (BI):** The BI conducts initial screening of all foreign nationals at ports of entry (airports, seaports).
* **Watchlists:** Foreign nationals on terrorism watchlists issued by the Philippine government or international partners (e.g., Interpol) will likely be flagged during this screening.
**Legal Measures to Prevent Entry:**
* **Refusal of Entry:** Based on the watchlist match or other intelligence, the BI has the legal authority to refuse entry to the foreign national. * **Republic Act No. 4102 (Alien Registration Act):** This law grants the BI the power to deny entry to individuals deemed a threat to national security or public safety.
**Additional Procedures:**
* **Explanation and Right to Appeal:** The foreign national will likely be informed of the reason for entry denial and their right to appeal the decision.
* **Deportation:** If the entry denial is upheld, deportation proceedings will be initiated to remove the individual from the country.
**Addressing the Threat:**
* **Information Sharing:** The BI will share information about the individual with relevant Philippine security agencies (e.g., PNP, NBI) for further investigation and threat assessment.
* **Cooperation with International Partners:** Depending on the individual's background and the terrorist organization involved, the Philippines may cooperate with international partners through information sharing or joint operations.
**Important Considerations:**
* **Due Process:** Even foreign nationals have the right to due process under Philippine law. Their right to appeal an entry denial must be respected.
* **Intelligence Sharing:** Effective information sharing between immigration, law enforcement, and intelligence agencies is crucial to preventing terrorist threats.
**Disclaimer:** This is not a substitute for professional legal advice. The specific legal measures and procedures may vary depending on the circumstances of each case.</t>
  </si>
  <si>
    <t>You encounter a group disseminating terrorist propaganda in a public space. What legal actions can be taken to stop the dissemination and apprehend the individuals involved?</t>
  </si>
  <si>
    <t>Here's what you can do if you encounter a group disseminating terrorist propaganda in a public space:
**Prioritize Your Safety:**
* **Do not approach the group.** Terrorist propaganda dissemination can be a tactic to recruit or incite violence. * **Maintain a safe distance and observe from afar.** **Document the Activity (if safe to do so):**
* **Take photos or videos (discreetly) of the group and their materials.** This can be valuable evidence for law enforcement.
* **Note down details like the location, time, number of people involved, and the type of propaganda being distributed.**
**Report to Authorities Immediately:**
* **Call the Philippine National Police (PNP) hotline: 117.** Inform them about the situation and provide the details you documented.
**Additional Options:**
* **Report to local authorities:** If you're unable to contact the PNP hotline, report the incident to your nearest police station.
* **Report online:** Some government agencies, like the National Bureau of Investigation (NBI), offer online reporting systems ([http://www.nbi.gov.ph/](http://www.nbi.gov.ph/)). However, calling the PNP hotline is the quickest way to get a response.
**Legal Measures by Authorities:**
Based on your report, law enforcement can take various legal actions:
* **Investigate:** Authorities will investigate your report and the location where the propaganda was being disseminated. * **Apprehend Individuals (if possible):** If caught in the act, the group might be apprehended for inciting to commit terrorism under Section 6 of the Human Security Act (RA 9372) or similar provisions of the Anti-Terrorism Act of 2020 (RA 10174).
* **Confiscate Propaganda Materials:** Law enforcement may confiscate the propaganda materials as evidence.
**What NOT to Do:**
* **Do not engage with the group.** Arguments or debates could escalate the situation.
* **Do not attempt to apprehend them yourself.** Leave that to law enforcement.
**Disclaimer:** This is not a substitute for professional legal advice. The specific legal actions will depend on the details of the situation and the decisions made by law enforcement agencies.
By reporting the activity promptly, you can potentially help disrupt terrorist activities and prevent the spread of extremist ideologies. Remember, your safety comes first.</t>
  </si>
  <si>
    <t>An individual is arrested for planning a terrorist attack but claims entrapment. How is the defense of entrapment handled under Philippine law in terrorism cases?</t>
  </si>
  <si>
    <t>In the Philippines, the defense of entrapment can be raised in terrorism cases, but it's a complex issue with a high burden of proof for the defendant. Here's a breakdown:
**Entrapment Defense:**
* This defense argues that law enforcement induced the defendant to commit a crime they wouldn't have otherwise committed. Essentially, the law enforcement agency "planted the seed" of the crime in the defendant's mind.
**Burden of Proof:**
* The burden of proof lies with the defendant to establish entrapment by a preponderance of the evidence. This means the defendant must convince the court that it's more likely than not that they were entrapped.
**How Courts Evaluate Entrapment:**
* **Government Conduct:** Courts will consider the conduct of law enforcement officers. Did they merely provide an opportunity for the crime, or did they pressure or coerce the defendant into committing it?
* **Predisposition of the Defendant:** The court will also evaluate the defendant's predisposition to commit such a crime. Did they already have the intent and willingness to carry out a terrorist attack, or were they persuaded by law enforcement tactics?
**Challenges of Entrapment Defense in Terrorism Cases:**
* **High Threshold:** The standard for proving entrapment is high in the Philippines. Simply showing some law enforcement involvement might not be enough.
* **National Security Concerns:** Balancing individual rights with national security concerns is a priority. Courts might be more reluctant to dismiss charges based on entrapment in terrorism cases. **Recommendations:**
* **Consultation with a Lawyer:** If facing terrorism charges and considering an entrapment defense, consulting with a lawyer experienced in criminal law and national security issues is crucial.
* **Gathering Evidence:** The defense will need to gather evidence to support their claim, such as recordings of interactions with law enforcement or witness testimonies.
**Important to Remember:**
* Entrapment is a complex legal defense with limited success rates, especially in terrorism cases. * The specific details of the case and the evidence presented will play a significant role in the court's decision. **Disclaimer:** This is not a substitute for professional legal advice. If facing terrorism charges, consult with a qualified lawyer immediately.</t>
  </si>
  <si>
    <t>You discover a network using technology to coordinate and plan terrorist activities. What legal actions can be taken to monitor and disrupt their online activities?</t>
  </si>
  <si>
    <t>Here's what you can do if you discover a network using technology to coordinate and plan terrorist activities:
**Report to Authorities:**
* **Primary Action:** Reporting the network to authorities is the most important step.
* **Options:**
* **Philippine National Police (PNP):** This is your first point of contact. Report it through their hotline (117) or online portal ([invalid URL removed]).
* **National Bureau of Investigation (NBI):** You can also report to the NBI hotline ((02) 820-04-00) or their online system ([http://www.nbi.gov.ph/](http://www.nbi.gov.ph/)), though the PNP might be better equipped for initial response.
**Evidence Gathering (Optional but Helpful):**
* While not mandatory, collecting some evidence can strengthen your report:
* **Screenshots or recordings of online activity:** If possible, capture evidence of the network's online presence (websites, forums, chat logs) without compromising your safety.
* **Technical details:** If you have technical expertise, note down any details about the online platforms they use (URLs, IP addresses) but avoid compromising the evidence itself.
**Legal Measures by Authorities:**
Based on your report, authorities may take various legal actions:
* **Investigation:** Law enforcement will investigate your report and the online network. This may involve cybercrime specialists and cooperation with internet service providers (ISPs) for access.
* **Electronic Surveillance (with Court Order):** If probable cause exists, authorities might seek a court order for electronic surveillance to monitor the network's online activities.
* **Disruption of Online Activities:** Depending on the evidence, authorities may collaborate with ISPs to disrupt the network's online presence (e.g., blocking access to specific websites or forums).
**Additional Considerations:**
* **Preservation of Evidence:** Authorities will prioritize preserving electronic evidence for potential legal proceedings.
* **International Cooperation:** For networks operating across borders, international cooperation with other law enforcement agencies might be necessary.
**What NOT to Do:**
* **Do not attempt to infiltrate the network yourself.** This could be dangerous and hinder the investigation.
* **Do not share your findings publicly.** Spreading unverified information can compromise the investigation and jeopardize your safety.
**Disclaimer:** This is not a substitute for professional legal advice. The specific legal measures will depend on the details of the situation and the decisions made by law enforcement agencies. By reporting the information promptly, you can potentially play a crucial role in disrupting terrorist activities and protecting national security. Remember, cooperating with authorities and prioritizing your safety are key.</t>
  </si>
  <si>
    <t>A religious leader is suspected of using their influence to support terrorism. What legal measures can be taken to investigate and address this situation within the religious community?</t>
  </si>
  <si>
    <t>The situation of a religious leader suspected of supporting terrorism requires a delicate approach that respects religious freedom while addressing potential security concerns. Here's how legal measures can be used for investigation and addressing the situation within the religious community:
**Initial Steps:**
* **Gather Evidence:** * Look for concrete evidence linking the leader's actions or pronouncements to support for terrorism (e.g., inciting violence, promoting terrorist organizations). * Witness testimonies, recordings of speeches, or online content can be helpful.
* **Report to Authorities:** * If evidence suggests a possible crime, report it to the authorities. * The Philippine National Police (PNP) hotline (117) is the primary point of contact.
**Legal Investigation:**
* **Law enforcement will investigate based on the report and gathered evidence.** * **Respect for Religious Freedom:** Authorities must ensure the investigation respects the religious freedom of the community and avoid generalizations about the religion itself.
**Addressing the Situation Within the Religious Community:**
* **Internal Mechanisms:** * Many religious communities have internal mechanisms for addressing misconduct by leaders. * Reporting concerns to religious authorities within the community can be a first step. * **Interfaith Dialogue:** * Dialogue with other religious leaders can help isolate extremist interpretations and promote a message of peace.
* **Community Outreach:** * Law enforcement or government agencies can collaborate with community leaders to counter extremist narratives and promote tolerance.
**Legal Considerations:**
* **Freedom of Speech vs. Incitement:** The Philippine Constitution protects freedom of speech, but inciting violence or hatred can be a crime. * **Due Process:** The religious leader is entitled to due process if charged with a crime.
**Disclaimer:** This is not a substitute for professional legal advice. The specific legal measures and approach will depend on the details of the situation and the evidence gathered.
**Additional Resources:**
* Office of the Presidential Adviser on the Peace Process, Reconciliation and Unity (OPAPP): [https://peace.gov.ph/author/administrator/](https://peace.gov.ph/author/administrator/) (focuses on interfaith dialogue and peacebuilding)
* National Commission on Muslim Filipinos (NCMF): [https://ncmf.gov.ph/](https://ncmf.gov.ph/) (promotes interfaith understanding)
By combining legal measures with community-based approaches, the situation can be addressed while respecting the religious community's rights. Remember, the goal is to counter extremist narratives and ensure the safety of the community.</t>
  </si>
  <si>
    <t>You receive reports of a school teacher promoting terrorist ideologies to students. What legal actions can be taken to investigate and address this radicalization within the educational setting?</t>
  </si>
  <si>
    <t>Here's what you can do if you receive reports of a school teacher promoting terrorist ideologies to students:
**1. Report to School Authorities:**
* **Direct Report:** If you work at the school, report the situation directly to the school principal or another administrator. * **External Report:** If you're a parent or external source, you can report it to the school principal but might also consider reporting to the Department of Education (DepEd). * **DepEd Reporting Channels:** * **Division Offices:** Contact your local DepEd Division Office ([https://deped.gov.ph/](https://deped.gov.ph/)) and explain your concerns. You can find contact details on the DepEd website.
* **Bureau of Learner Support Services (BLSS):** The BLSS hotline (164) focuses on child protection issues, and concerns about radicalization can fall under this category.
**2. Information Gathering (Optional but Helpful):**
* While reporting, provide details to support your claim:
* Specific instances of the teacher promoting terrorist ideologies (examples of statements, lessons, etc.)
* Names of witnesses (students, parents, other teachers) who might corroborate your report.
**3. Legal Measures by School and DepEd:**
* **Investigation:** The school and/or DepEd will investigate the allegations.
* **Teacher Reassignment or Suspension:** Depending on the investigation's findings, the teacher might be reassigned to non-teaching duties or suspended while further investigation occurs.
* **Legal Action:** If evidence suggests potential criminal activity, the authorities might be involved.
**4. Addressing Radicalization:**
* **Student Support:** The school may offer counseling or support programs for students potentially affected by the teacher's actions.
* **Teacher Training:** Schools or DepEd might initiate training programs for teachers to identify and counter extremist narratives.
**Important Considerations:**
* **Confidentiality:** Maintain confidentiality of sources who reported the situation.
* **False Reports:** Filing a false report can have legal consequences. Report only information you believe to be true.
**Disclaimer:** This is not a substitute for professional legal advice. The specific legal measures and approach will depend on the details of the situation and the evidence gathered.
By reporting this information, you can help protect students from radicalization and ensure a safe learning environment.</t>
  </si>
  <si>
    <t>A person is found in possession of materials for making explosive devices. What legal measures can be taken to investigate and address the potential terrorist threat?</t>
  </si>
  <si>
    <t>In the Philippines, possessing materials for making explosive devices is a serious offense and can be a sign of a potential terrorist threat. Here's what legal measures can be taken to investigate and address the situation:
**Immediate Actions:**
* **Secure the Area:** If you encounter someone with these materials, prioritize your safety and the safety of others. Leave the area immediately and contact authorities. * **Report to Authorities:** * **Philippine National Police (PNP):** This is the primary point of contact. Call the PNP hotline (117) and report the situation.
**Investigation:**
* **Law enforcement will investigate the scene and gather evidence.** * This includes collecting the materials, interviewing the person in possession, and searching for any additional evidence like bomb-making manuals or plans.
* **Ballistics Examination:** The materials will likely undergo examination to determine their exact nature and potential use.
* **Traceability Investigations:** Authorities may attempt to trace the origin of the materials to identify potential suppliers or networks involved.
**Potential Charges:**
Depending on the investigation's findings, the individual could face charges under various laws:
* **Illegal Possession of Firearms (RA 8499):** This is the most likely charge if authorities cannot directly connect the materials to a planned attack. * **Illegal Possession of Explosives (RA 9516):** This is a specific law dealing with explosives and would likely apply in this situation.
* **Conspiracy to Commit Terrorism (RA 10174):** If evidence suggests the materials were intended for a terrorist attack, this could be a more serious charge.
**Additional Considerations:**
* **Human Rights:** Authorities must respect the human rights of the individual throughout the investigation.
* **Presumption of Innocence:** The person is presumed innocent until proven guilty in a court of law.
**Disclaimer:** This is not a substitute for professional legal advice. The specific legal measures and charges will depend on the details of the situation and the evidence gathered.
By reporting the situation promptly, you can potentially prevent a terrorist attack and ensure public safety. Remember, your safety comes first.</t>
  </si>
  <si>
    <t>You encounter individuals engaging in military-style training for terrorist activities in a remote area. What legal actions can be taken to apprehend the individuals and disrupt their training?</t>
  </si>
  <si>
    <t>Here's what you can do if you encounter individuals engaging in military-style training for terrorist activities in a remote area:
**Do Not Approach:**
* **Prioritize your safety.** Engaging with these individuals could be dangerous. * **Maintain a safe distance and observe discreetly.** **Document the Activity (if safe to do so):**
* **Take photos or videos (discreetly) of the individuals and their training activities.** This can be valuable evidence for law enforcement.
* **Note down details like the location, time, number of people involved, and the type of training observed.**
**Report to Authorities Immediately:**
* **Call the Philippine National Police (PNP) hotline: 117.** Inform them about the situation and provide the details you documented.
**Additional Options:**
* **Report online:** While calling the PNP hotline is the quickest way, some government agencies like the National Bureau of Investigation (NBI) offer online reporting systems ([http://www.nbi.gov.ph/](http://www.nbi.gov.ph/)).
**Legal Measures by Authorities:**
* **Investigation:** Based on your report, the PNP will initiate an investigation. They might involve other law enforcement agencies depending on the situation's gravity.
* **Surveillance:** Authorities might establish surveillance in the area to gather further evidence and assess the threat level.
* **Apprehension:** Law enforcement may launch an operation to apprehend the individuals involved. This operation would aim to minimize risk to civilians and law enforcement personnel.
**What NOT to Do:**
* **Do not confront the individuals yourself.** This could put you in danger.
* **Do not share your findings publicly.** Spreading unverified information can compromise the investigation and jeopardize your safety.
**Disclaimer:** This is not a substitute for professional legal advice. The specific legal measures will depend on the details of the situation and the decisions made by law enforcement agencies. By reporting the activity promptly, you can potentially play a crucial role in disrupting terrorist activities and protecting national security. Remember, your safety comes first.</t>
  </si>
  <si>
    <t>During a public event, you notice individuals distributing recruitment materials for a terrorist organization. What legal steps should be taken to address this and prevent further recruitment?</t>
  </si>
  <si>
    <t>Here's what you can do if you notice individuals distributing recruitment materials for a terrorist organization at a public event:
**Prioritize Your Safety:**
* **Do not approach the individuals.** Recruitment efforts may be used to identify potential targets.
* **Maintain a safe distance and observe discreetly.** **Document the Activity (if safe to do so):**
* **Take photos or videos (discreetly) of the individuals and their materials.** This can be valuable evidence for law enforcement.
* **Note down details like the location, time, description of the individuals, and content of the materials.**
**Report to Authorities Immediately:**
* **Call the Philippine National Police (PNP) hotline: 117.** Inform them about the situation and provide the details you documented. **Additional Options:**
* **Report to Event Security:** If the event has security personnel, inform them about the situation.
* **Report online:** While calling the PNP hotline is the quickest way, some government agencies like the National Bureau of Investigation (NBI) offer online reporting systems ([http://www.nbi.gov.ph/](http://www.nbi.gov.ph/)). **Legal Measures by Authorities:**
Based on your report, law enforcement can take various legal actions:
* **Investigate:** Authorities will investigate your report and the location where the materials were being distributed.
* **Apprehend Individuals (if possible):** If caught in the act, the individuals might be apprehended for inciting to commit terrorism under Section 6 of the Human Security Act (RA 9372) or similar provisions of the Anti-Terrorism Act of 2020 (RA 10174).
* **Confiscate Propaganda Materials:** Law enforcement may confiscate the recruitment materials as evidence.
**Preventing Further Recruitment:**
* **Bystanders:** If you feel safe, you can subtly discourage others from approaching the recruitment table by informing them it's suspicious or a scam. * **Event Organizers:** If you know the event organizers, you can report the situation to them and request them to intervene and have the individuals removed.
**What NOT to Do:**
* **Do not engage with the individuals distributing materials.** Arguments or debates could escalate the situation.
* **Do not attempt to apprehend them yourself.** Leave that to law enforcement.
**Disclaimer:** This is not a substitute for professional legal advice. The specific legal measures will depend on the details of the situation and the decisions made by law enforcement agencies.
By reporting the activity promptly, you can potentially disrupt terrorist recruitment efforts and protect public safety. Remember, your safety comes first.</t>
  </si>
  <si>
    <t>A person is arrested for providing material support to a terrorist organization but claims lack of knowledge. How is the defense of lack of knowledge addressed under Philippine law in terrorism cases?</t>
  </si>
  <si>
    <t>I apologize for the mistake in the previous response. In the Philippines, lack of knowledge **is not a complete defense** to providing material support to a terrorist organization. Here's a corrected explanation:
**Material Support:**
* Philippine law, particularly the Anti-Terrorism Act of 2020 (RA 10174), criminalizes providing material support to terrorist organizations. This includes financial assistance, logistical support, recruitment, or any form of aid that strengthens a terrorist group.
**Knowledge Requirement:**
* The law requires the prosecution to prove that the defendant **knowingly** provided material support to a terrorist organization. This means the defendant must have been aware, at least to a certain degree, of the recipient's involvement in terrorism.
**Grading of Knowledge:**
* Philippine law doesn't explicitly define the level of knowledge required. However, courts might consider different degrees of knowledge:
* **Actual Knowledge:** The defendant knew for certain the recipient was a terrorist organization.
* **Reckless Disregard:** The defendant suspected the recipient might be involved in terrorism but willfully ignored red flags or failed to conduct reasonable inquiries.
* **Strict Liability (Not Applicable Here):** This is a legal concept where knowledge isn't required for conviction, but it's not typically applied in terrorism cases related to material support.
**Mitigating Factors:**
* Even if the defendant cannot entirely disprove knowledge, they can present evidence of mitigating factors to potentially lessen the penalty:
* **Mistake of Fact:** The defendant genuinely believed the recipient was a legitimate organization (evidence like receipts or communication can support this).
* **Minimal Support:** The nature and amount of material support provided was minimal.
**Recommendations:**
* **Consultation with a Lawyer:** If facing charges of material support, consulting with a lawyer experienced in terrorism cases is crucial. * **Gathering Evidence:** The defense will need to focus on proving a lack of knowledge or presenting mitigating factors.
**Important to Remember:**
* The burden of proof lies with the prosecution to establish the defendant's knowledge. However, the defendant may need to present evidence to support mitigating factors. * The specific details of the case, the nature of the support provided, and the evidence presented will significantly impact the court's decision.
**Disclaimer:** This is not a substitute for professional legal advice. If facing terrorism charges, consult with a qualified lawyer immediately.</t>
  </si>
  <si>
    <t>You receive information about a potential terrorist attack targeting critical infrastructure. What legal actions can be taken to secure the infrastructure and prevent the attack?</t>
  </si>
  <si>
    <t>Here's what you can do if you receive information about a potential terrorist attack targeting critical infrastructure:
**1. Report Immediately:**
* **Priority:** Reporting the information promptly is crucial. * **Authorities:** * **Philippine National Police (PNP):** This is your primary contact point. Call their hotline (117) and report the information in detail. * **Other Options:** * Local police station (if the target infrastructure is in your immediate area).
* National Bureau of Investigation (NBI) hotline: (02) 820-04-00 (if you suspect a larger plot).
**2. Information Gathering (Only if Safe):**
* **Details:** While reporting, provide as much detail as possible about the threat: * Nature of the attack (bombing, cyberattack, etc.)
* Targeted critical infrastructure (name, location, specific details if available) * Source of the information (anonymous tip, overheard conversation, etc.)
* Date or timeframe mentioned (if any)
* **Important:** Only gather information if it doesn't put you at risk.
**3. Cooperation:**
* **Answer Questions:** Cooperate fully with law enforcement if they have further questions or require clarification.
* **Infrastructure Owner/Operator:** If you have contact with the owner or operator of the targeted infrastructure, encourage them to cooperate with law enforcement in implementing security measures.
**Legal Measures by Authorities:**
Based on your report, law enforcement can take various legal actions:
* **Investigation:** Authorities will investigate your report and gather further evidence. This may involve interviewing you, witnesses, and visiting the targeted location. * **Increased Security:** Law enforcement may increase security around the critical infrastructure with patrols or temporary checkpoints. * **Threat Assessment:** Authorities will assess the credibility of the threat and determine the appropriate level of response. They might collaborate with the infrastructure owner/operator to identify vulnerabilities and implement additional security measures.
**Additional Considerations:**
* **False Reports:** Filing a false report is a crime. Only report information you believe to be true. * **Anonymity:** You can report anonymously if you prefer. **Critical Infrastructure Protection Laws:**
The Philippines has specific laws for critical infrastructure protection, including:
* **Republic Act No. 8170 (Philippine Nuclear Weapons Free Zone Act):** Focuses on security measures for nuclear facilities. * **Republic Act No. 9164 (The Electric Power Industry Reform Act of 2001):** Empowers the Department of Energy (DOE) to issue security regulations for power plants and the national grid.
These laws grant authorities additional legal tools to secure critical infrastructure and respond to potential threats.
**Disclaimer:** This is not a substitute for professional legal advice. The specific legal actions will depend on the details of the situation and the decisions made by law enforcement agencies.
By reporting the information promptly, you can potentially save lives and prevent a terrorist attack. Remember, cooperation with law enforcement is crucial in such situations.</t>
  </si>
  <si>
    <t>A community member is suspected of harboring terrorists. What legal measures can be taken to investigate and address this situation within the community?</t>
  </si>
  <si>
    <t>The situation of a community member suspected of harboring terrorists requires a balanced approach that respects individual rights while ensuring public safety. Here are legal measures for investigation and addressing the situation within the community:
**1. Reporting to Authorities:**
* **Initial Contact:** If you have credible evidence or strong suspicions, report it to the authorities. * **Authorities:** The Philippine National Police (PNP) is the primary point of contact. Call their hotline (117) and explain the situation in detail.
**2. Information Gathering (Optional but Helpful):**
* **Evidence:** While reporting, provide details to support your suspicion: * Specific instances suggesting the person is harboring terrorists (unusual guests, suspicious activities, etc.)
* Names of witnesses who might corroborate your report (if any).
**3. Legal Investigation by Authorities:**
* **Investigation:** Law enforcement will initiate an investigation based on your report. This may involve interviewing you, witnesses, and potentially the community member in question. * **Search Warrants:** If probable cause exists, authorities might seek a court order to search the individual's residence for evidence.
* **Respect for Individual Rights:** The investigation must respect the individual's right to privacy and due process.
**4. Community Engagement (if Applicable):**
* **Law Enforcement:** Authorities might engage with community leaders to gather information and address any potential anxieties within the community. * **Interfaith Dialogue:** If the situation involves religious tensions, promoting interfaith dialogue can help address misconceptions and foster cooperation within the community.
**5. Legal Considerations:**
* **Harboring Terrorists:** The Anti-Terrorism Act of 2020 (RA 10174) criminalizes providing material support to terrorists, which can include harboring them.
* **Presumption of Innocence:** The person is presumed innocent until proven guilty in a court of law.
**6. Resources:**
* **Philippine National Police (PNP):** [https://pnp.gov.ph/](https://pnp.gov.ph/) (website) or hotline (117)
* **Office of the Presidential Adviser on the Peace Process, Reconciliation and Unity (OPAPP):** [https://peace.gov.ph/](https://peace.gov.ph/) (focuses on interfaith dialogue and peacebuilding)
**Disclaimer:** This is not a substitute for professional legal advice. The specific legal measures and approach will depend on the details of the situation and the evidence gathered.
**Remember:**
* **Safety First:** If you feel unsafe reporting to the authorities directly, you can seek guidance from a trusted community leader or a lawyer.
* **Confidentiality:** Maintain confidentiality of sources who reported the situation.
* **False Reports:** Filing a false report can have legal consequences. Report only information you believe to be true.
By working with law enforcement and promoting community engagement, a balanced approach can be taken to address the situation while upholding the rule of law.</t>
  </si>
  <si>
    <t>You discover a clandestine laboratory producing chemical weapons for terrorist activities. What legal actions can be taken to investigate and address this significant threat?</t>
  </si>
  <si>
    <t>Here's what you can do if you discover a clandestine laboratory producing chemical weapons for terrorist activities:
**Immediate Actions:**
* **Do Not Enter:** Chemical weapons pose a serious health and safety risk. Entering the lab could expose you to toxic chemicals or trigger an explosion. * **Evacuate the Area:** If possible, safely evacuate yourself and anyone else in the immediate vicinity.
* **Contact Authorities Immediately:** Call the Philippine National Police (PNP) hotline (117) and report the situation in detail. Inform them it's a suspected chemical weapons lab.
**Investigation by Authorities:**
Based on your report, law enforcement will take several legal measures:
* **Secure the Area:** The PNP will likely establish a perimeter around the lab to prevent unauthorized access and ensure public safety.
* **Hazmat Teams:** Specialized Hazardous Materials (Hazmat) teams will be deployed to assess the situation and contain any potential hazards.
* **Investigation:** Law enforcement will conduct a thorough investigation, including collecting evidence, interviewing potential witnesses, and securing the lab site.
* **Forensic Analysis:** Samples from the lab will be sent for forensic analysis to identify the specific chemicals being produced.
* **Counter-Terrorism Units:** Depending on the severity of the threat, counter-terrorism units might be involved in the investigation to identify potential targets and apprehend those responsible.
**Additional Considerations:**
* **Confidentiality:** Maintain confidentiality if you reported the situation anonymously.
* **False Reports:** Filing a false report can have legal consequences. Report only information you believe to be true.
**Legal Framework:**
* **Chemical Weapons Convention:** The Philippines is a signatory to the Chemical Weapons Convention (CWC), which prohibits the development, production, stockpiling, and use of chemical weapons.
* **Anti-Terrorism Act (RA 10174):** This law criminalizes acts of terrorism, including the production of chemical weapons for terrorist purposes.
**Disclaimer:** This is not a substitute for professional legal advice. The specific legal measures will depend on the details of the situation and the decisions made by law enforcement agencies.
By reporting the situation promptly, you can potentially prevent a catastrophic event and save countless lives. Remember, your safety comes first. Don't attempt to enter the lab or handle any suspicious materials yourself.</t>
  </si>
  <si>
    <t>During an investigation, you find evidence of individuals planning terrorist activities abroad. What legal measures can be taken to prevent their travel and address the international threat?</t>
  </si>
  <si>
    <t>Here's what you can do if, during an investigation, you find evidence of individuals planning terrorist activities abroad:
**1. Report to Philippine Authorities:**
* **Priority:** Prompt reporting is crucial. * **Authorities:** * **Philippine National Police (PNP):** This is your primary point of contact. Call their hotline (117) and explain the situation.
* **National Bureau of Investigation (NBI):** This agency might be better suited for complex investigations with international connections. Contact their hotline ((02) 820-04-00) or online reporting system ([http://www.nbi.gov.ph/](http://www.nbi.gov.ph/)).
**2. Evidence Sharing:**
* **Detailed Report:** Provide a detailed report of your findings, including:
* Information about the individuals involved (names, descriptions, travel plans, etc.)
* Nature of the planned terrorist activity (target country, type of attack, etc.)
* Any evidence collected during the investigation (documents, communications, etc.)
**3. International Cooperation:**
* **Authorities will likely initiate international cooperation efforts.** This may involve:
* **Interpol:** Sharing information with Interpol, the international police organization, to track the individuals and alert authorities in the target country. * **Liaison Officers:** Philippine law enforcement might have liaison officers stationed in embassies of the target country who can facilitate information exchange and coordination.
* **Mutual Legal Assistance Treaties (MLATs):** The Philippines has MLATs with many countries, allowing for formal cooperation in investigations and potential extradition.
**4. Legal Measures to Prevent Travel:**
* **Philippine Authorities:** The Philippine government can take legal measures to prevent the individuals from leaving the country:
* **Passport Cancellation:** Authorities might request the Bureau of Immigration to cancel the individuals' passports, preventing them from traveling abroad.
* **Watchlist Placement:** The individuals might be placed on a watchlist, flagging them for additional screening at airports or border crossings.
**International Legal Framework:**
* **United Nations Security Council Resolutions:** The UN Security Council adopts resolutions to address international terrorism threats. The Philippines, as a UN member state, cooperates with these resolutions.
* **Counter-Terrorism Financing (CTF) Measures:** The Philippines works with international partners to counter terrorist financing, which can disrupt their ability to plan and execute attacks.
**Disclaimer:** This is not a substitute for professional legal advice. The specific legal measures will depend on the details of the situation, the evidence gathered, and the cooperation between Philippine authorities and the target country.
**Remember:** By reporting your findings promptly, you can potentially prevent a terrorist attack abroad and contribute to global security efforts.</t>
  </si>
  <si>
    <t>An individual is arrested for providing safe havens for terrorists but claims coercion. How is the defense of acting under duress addressed under Philippine law in terrorism cases?</t>
  </si>
  <si>
    <t>In the Philippines, the defense of coercion (duress) can be raised in terrorism cases for providing safe havens, but it's a complex defense with a high burden of proof on the defendant. Here's a breakdown:
**Providing Safe Havens:**
* Under the Anti-Terrorism Act of 2020 (RA 10174), providing safe havens to terrorists is considered material support for terrorism, a criminal offense.
**Defense of Coercion (Duress):**
* The defendant can claim they were forced to provide safe havens due to threats of violence or harm to themselves or loved ones.
**Burden of Proof:**
* Unlike entrapment where the defendant needs to prove they were induced to commit a crime, here, the defendant must prove coercion by a preponderance of the evidence. This means they must convince the court that it's more likely than not that they acted under duress.
**Elements of Duress:**
To raise a successful duress defense, the defendant needs to prove the following elements:
* **Threat of Imminent Harm:** The threat must be imminent, meaning it would happen right away or very soon.
* **Nature of the Threat:** The threat must be of serious bodily harm to the defendant or someone close to them.
* **Reasonable Belief in the Threat:** The defendant must have had a reasonable belief that the threat would be carried out.
* **No Reasonable Escape:** The defendant must have had no reasonable alternative but to comply with the threat.
**Challenges of Duress Defense:**
* **High Burden of Proof:** It's challenging to convince the court that the threat was real and there was no other option. * **Scrutiny of Motives:** The court might scrutinize the defendant's motives and actions to see if they genuinely feared for their safety. * **Evidence:** Strong evidence is crucial to support the claim, such as witness testimonies or proof of the alleged threats.
**Recommendations:**
* **Consultation with a Lawyer:** If facing charges with a duress defense, consulting with a lawyer experienced in terrorism cases is crucial. * **Gathering Evidence:** The defense will need to gather strong evidence to support the claim of coercion.
**Important to Remember:**
* Duress is a complex defense with limited success rates, especially in terrorism cases. * The specific details of the case, the nature of the threat, and the evidence presented will significantly impact the court's decision.
**Disclaimer:** This is not a substitute for professional legal advice. If facing terrorism charges, consult with a qualified lawyer immediately.</t>
  </si>
  <si>
    <t>You come across individuals distributing terrorist propaganda within a prison facility. What legal actions can be taken to address this radicalization within the prison system?</t>
  </si>
  <si>
    <t>Here's what you can do if you encounter individuals distributing terrorist propaganda within a prison facility:
**Prioritize Safety:**
- **Do not approach the individuals.** They may be trying to radicalize others or assess potential recruits.
- **Maintain a safe distance and observe discreetly.** **Report the Activity Immediately:**
- **Contact Prison Authorities:** Report the situation to prison guards or whoever is in charge of maintaining order within the facility. - **Provide Details:** Describe the individuals involved, the content of the propaganda, and any other relevant details.
**Investigation by Prison Authorities:**
- **Confiscation of Materials:** Prison authorities will likely confiscate the propaganda materials as evidence. - **Disciplinary Actions:** The individuals involved might face disciplinary actions within the prison system, such as solitary confinement or loss of privileges.
- **Further Investigation:** Depending on the severity of the situation, prison authorities may launch a further investigation to identify the source of the propaganda and assess the extent of radicalization within the facility.
**Additional Considerations:**
- **Reporting Upward:** If you're unsure who to report to within the prison, consider escalating the report to a higher authority or warden.
- **Anonymous Reporting:** Some prison facilities might offer anonymous reporting systems for security concerns.
**Preventing Radicalization:**
- **Rehabilitation Programs:** The prison system should ideally have established rehabilitation programs that address the root causes of extremism and provide inmates with opportunities for positive redirection. - **Counter-Narrative Programs:** Programs promoting tolerance, peacebuilding, and critical thinking can counter extremist narratives and ideologies.
**Legal Framework:**
While there might not be specific laws addressing the distribution of terrorist propaganda within prisons, prison regulations and disciplinary codes can be used to address such activities. Here are some relevant Philippine laws:
- **Anti-Terrorism Act of 2020 (RA 10174):** This law broadly criminalizes acts of terrorism and provides a framework for counter-terrorism efforts. - **The Bureau of Corrections Act of 1973 (RA 6124):** This law establishes the Bureau of Corrections (BuCor) and empowers it to maintain order and discipline within prison facilities.
**Disclaimer:** This is not a substitute for professional legal advice. The specific legal measures will depend on the internal regulations of the prison facility and the decisions made by prison authorities. By reporting the activity promptly, you can play a crucial role in disrupting radicalization efforts within the prison system and promoting a safer environment for inmates and staff. Remember, your safety comes first.</t>
  </si>
  <si>
    <t>A person is arrested for financing terrorist activities but claims they were unaware of the funds' purpose. How is the defense of lack of awareness addressed under Philippine law in terrorism cases?</t>
  </si>
  <si>
    <t>In the Philippines, lack of awareness **is not a complete defense** to financing terrorist activities. Here's a breakdown of how Philippine law addresses this situation:
**Financing Terrorism:**
The Anti-Terrorism Act of 2020 (RA 10174) criminalizes financing terrorist activities. This includes providing financial assistance to terrorist organizations or individuals, even if unaware of the intended use of the funds.
**Knowledge Requirement:**
The law **does not require full knowledge** of the funds' ultimate purpose for a conviction. The prosecution needs to prove the defendant:
* **Knew or should have known** the funds would be used for terrorism. This can involve:
* **Red Flags:** Ignoring red flags about the recipient or the intended use of the funds. (e.g., donating to an organization on a terror watchlist)
* **Reckless Disregard:** Willfully disregarding the possibility that the funds could be used for terrorism. (e.g., continuing to donate to an organization despite suspicions)
**Strict Liability (Not Applicable Here):**
Strict liability, where knowledge isn't required for conviction, is not typically applied in terrorism financing cases.
**Defenses with Lack of Awareness:**
* **Mistake of Fact:** The defendant genuinely believed the recipient was a legitimate organization (evidence like receipts or communication can support this). Here, the defendant might face a lesser penalty compared to someone who willfully ignored red flags.
* **Coercion (Duress):** The defendant can claim they were forced to provide financial assistance under threat of violence or harm (refer to previous explanation of duress defense for details).
**Recommendations:**
* **Consultation with a Lawyer:** If facing charges of financing terrorism, even with a lack of awareness claim, consulting with a lawyer experienced in terrorism cases is crucial. * **Gathering Evidence:** The defense will need to focus on proving a genuine mistake of fact or coercion (if applicable).
**Important to Remember:**
The burden of proof lies with the prosecution to establish the defendant's knowledge (or should have known) about the terrorist nature of the recipient or activity. However, the defendant may need to present evidence to support defenses like a mistake of fact. The specific details of the case, the nature of the financial transaction, the red flags present (if any), and the evidence presented will significantly impact the court's decision.
**Disclaimer:** This is not a substitute for professional legal advice. If facing terrorism charges, consult with a qualified lawyer immediately.</t>
  </si>
  <si>
    <t>You receive reports of a government official involved in the cover-up of terrorist-related crimes. What legal actions can be taken to investigate and address this corruption?</t>
  </si>
  <si>
    <t>The situation of a government official suspected of involvement in a cover-up of terrorist activities requires a multi-pronged approach to ensure a thorough investigation and address corruption. Here are some legal actions you can take:
**Reporting the Allegations:**
* **Multiple Channels:** Report the allegations to various entities to increase the chances of a proper investigation. Here are some options:
* **Office of the Ombudsman (OMB):** This government agency investigates complaints against public officials, including corruption ([https://www.ombudsman.gov.ph/docs/FOI/OMB_FOI_ContactInformation.pdf](https://www.ombudsman.gov.ph/docs/FOI/OMB_FOI_ContactInformation.pdf)).
* **Commission on Human Rights (CHR):** If the cover-up involves human rights violations, the CHR can investigate ([https://chr.gov.ph/](https://chr.gov.ph/)).
* **Philippine National Police (PNP) - Integrity Reporting Unit (IRU):** The PNP has a unit specifically for receiving reports of police misconduct. This could be an option if the official is suspected of collaborating with corrupt police officers ([https://acg.pnp.gov.ph/](https://acg.pnp.gov.ph/)).
* **Media:** Consider reporting the allegations to credible media outlets, but ensure the information is accurate and verifiable.
**Evidence Gathering (Optional but Helpful):**
* **Support Claims:** While reporting, present any evidence you might have to support your claims. This could include:
* Witness testimonies (if anonymous, explain how you obtained the information)
* Documents (e.g., emails, recordings) that suggest a cover-up
* Detailed accounts of the alleged incidents
**Protecting Yourself:**
* **Anonymity:** If you fear retaliation, consider reporting anonymously when possible. * **Record Keeping:** Maintain a record of your reports, including dates, times, and contact details of reporting entities.
**Legal Framework:**
* **The Constitution:** The Philippine Constitution guarantees the right to information and the right to petition the government for redress of grievances.
* **Anti-Wiretapping Law (RA 3875):** If you have recordings as evidence, ensure they were obtained legally (i.e., not through illegal wiretapping).
* **Republic Act No. 6713 (Code of Conduct and Ethical Standards for Public Officials and Employees):** This law outlines the standards of conduct expected from government officials and provides penalties for violations.
**Disclaimer:** This is not a substitute for professional legal advice. The specific legal measures and approach will depend on the details of the situation and the evidence gathered. **Additional Considerations:**
* **Seek Legal Guidance:** Consulting a lawyer experienced in whistleblower protection or anti-corruption cases can be helpful. * **Support Groups:** Whistleblower support groups can offer guidance and resources.
By taking these steps, you can help expose corruption and ensure a proper investigation is conducted. Remember, whistleblowers play a crucial role in promoting transparency and accountability in government.</t>
  </si>
  <si>
    <t>An individual is arrested for the online dissemination of terrorist propaganda and recruitment materials. How is the offense regulated and punished under Philippine law?</t>
  </si>
  <si>
    <t>The online dissemination of terrorist propaganda and recruitment materials is regulated and punished under several Philippine laws, including:
* **The Anti-Terrorism Act of 2020 (Republic Act No. 11479)**:
* Section 4. Inciting to Terrorism [(a) or (b)] prohibits the inciting of terrorism through any means, including online platforms. This could include the dissemination of propaganda that encourages or inspires others to commit terrorist acts.
* Section 6. Provision of Funds, Logistics or Other Material Support for Terrorism makes it illegal to knowingly provide material support to terrorists, including propaganda materials.
* **The Revised Penal Code (Act No. 3815)**:
* Article 138. Rebellion and Insurrection: This article penalizes acts that incite rebellion or insurrection, which could potentially be applied to the online dissemination of propaganda materials that advocate for violent overthrow of the government.
* **Cybercrime Act of 2012 (Republic Act No. 10175)**:
* Section 4(c)(4). Illegal Content: This section prohibits the online publication or distribution of information that incites violence or terrorism.
The penalties for these offenses can vary depending on the specific provisions violated and the severity of the offense. Here's a general breakdown:
* **Anti-Terrorism Act:** Life imprisonment to 24 years imprisonment
* **Revised Penal Code:** Reclusion perpetua (life imprisonment) to rebellion complexed with murder
* **Cybercrime Act:** Imprisonment of six (6) months to ten (10) years and a fine of Five hundred thousand pesos (P500,000.00) to One million pesos (P1,000,000.00)
**Important Note:** This is just a general overview, and the specific charges and penalties will depend on the specific circumstances of the case. It's always best to consult with a lawyer for a more detailed analysis.</t>
  </si>
  <si>
    <t>You discover a group planning a terrorist attack within a transportation system. What legal actions can be taken to enhance security and prevent the attack?</t>
  </si>
  <si>
    <t>Here are some legal actions that can be taken in the Philippines to enhance security and prevent a terrorist attack within a transportation system, based on Philippine law:
**Reporting the Threat:**
* **Republic Act No. 11479 (Anti-Terrorism Act of 2020):** * Section 19. Obligation to Report. This act requires any person who knows or has reasonable grounds to believe that an act of terrorism is about to be committed to report it immediately to the nearest law enforcement agency. * **Revised Penal Code (Act No. 3815):**
* Article 140. Mis prision of Rebellion or Insurrection. This article penalizes those who fail to report knowledge of an impending rebellion or insurrection. While not a direct equivalent to terrorism, it can be used as a legal basis for encouraging reporting of potential terrorist attacks.
**Law Enforcement Actions:**
* **Search Warrants:** Law enforcement can apply for search warrants based on probable cause to gather evidence and disrupt the attack plans. (Philippine Constitution, Article III, Section 2)
* **Arrest Warrants:** Warrants can be obtained to arrest individuals suspected of planning the attack. (Philippine Constitution, Article III, Section 2)
* **Surveillance:** Law enforcement can conduct legal surveillance within the bounds set by the Constitution (Article III, Section 2) and relevant laws to monitor the group and gather evidence.
**Enhancing Security Measures:**
* **Transportation Authorities:** Based on the reported threat, transportation authorities can legally implement increased security measures like stricter bag searches, random passenger checks, and deployment of additional security personnel. * **Local Government Units (LGUs):** LGUs can issue ordinances within their authority to enhance security measures within their jurisdiction, such as increased police presence near transportation hubs. **Important Notes:**
* It's crucial to report the threat to the proper authorities immediately. * Evidence collection and legal actions must comply with Philippine law to ensure the case holds up in court. * Balancing security needs with individual rights is essential.
**Additional Resources:**
* Philippine National Police (PNP): [https://pnp.gov.ph/](https://pnp.gov.ph/)
* National Intelligence Coordinating Agency (NICA): [https://nica.gov.ph/](https://nica.gov.ph/)
Remember, this is just a general overview. Consulting a lawyer can provide more specific guidance based on the details of the situation.</t>
  </si>
  <si>
    <t>A person is arrested for planning a terrorist attack but claims mental incapacity. How is the defense of mental incapacity addressed under Philippine law in terrorism cases?</t>
  </si>
  <si>
    <t>The defense of mental incapacity in terrorism cases under Philippine law is addressed through the Revised Penal Code (Act No. 3815) and jurisprudence (court decisions). Here's a breakdown:
**Revised Penal Code:**
* **Article 12. Circumstances Affecting Criminal Liability:** This article outlines various circumstances that can exempt a person from criminal liability or mitigate the penalty. Here are the relevant sections:
* **Paragraph 1. Exemption from Liability:** This exempts those who are entirely deprived of reason due to an illness or defect. * **Paragraph 5. Mitigating Circumstances:** This reduces the penalty for those who acted with incomplete reason or discernment due to a mental defect.
**Determining Mental Incapacity:**
The court will determine mental incapacity through:
* **Medical Evaluation:** The court can order a mental evaluation by qualified medical professionals to assess the accused's mental state at the time of the offense.
* **Evidence Presentation:** The defense lawyer can present evidence, including medical records and expert witness testimonies, to support the claim of mental incapacity.
**Burden of Proof:**
* The burden of proof for mental incapacity lies with the defense. They must convince the court by a preponderance of evidence that the accused lacked the necessary mental capacity to be criminally liable.
**Possible Outcomes:**
* **Acquittal:** If the court finds the accused entirely without reason, they may be acquitted. However, the court may order confinement in a mental institution. * **Reduced Penalty:** If the mental incapacity partially affects reason, the penalty might be reduced.
**Challenges:**
Successfully arguing mental incapacity in terrorism cases can be challenging. The prosecution will likely argue that the accused understood the consequences of their actions. **Important Note:**
This is just a general overview. The specific application of the law depends on the details of the case. Consulting a qualified lawyer is crucial for navigating the legal process and effectively presenting the defense of mental incapacity.</t>
  </si>
  <si>
    <t>During a routine inspection, authorities find a foreign terrorist operating within the country. What legal measures can be taken to prosecute and address the foreign threat?</t>
  </si>
  <si>
    <t>Philippine law offers several legal measures to prosecute and address a foreign terrorist threat discovered during a routine inspection:
**Deportation Proceedings:**
* **Immigration Act of 1950 (Republic Act No. 562):** This law allows authorities to initiate deportation proceedings against the foreign terrorist. National security is a legitimate ground for deportation under Philippine law.
**Prosecution under Anti-Terrorism Act:**
* **Republic Act No. 11479 (Anti-Terrorism Act of 2020):** Depending on the activities discovered during the inspection, the foreign terrorist can be charged with various offenses under this Act, such as:
* **Section 4. Inciting to Terrorism:** If evidence suggests the foreign national was inciting terrorism.
* **Section 6. Provision of Funds, Logistics or Other Material Support for Terrorism:** If the inspection reveals the foreign national was providing material support for terrorism.
**International Cooperation:**
* The Philippines can collaborate with other countries through:
* **Information Sharing:** Sharing intelligence about the foreign terrorist with their home country.
* **Extradition Treaties:** If applicable treaties exist, the Philippines can initiate extradition proceedings to have the foreign national face trial in their home country.
**Additional Points:**
* Evidence gathered during the inspection must be obtained legally to be admissible in court.
* The specific legal measures employed will depend on the specific circumstances surrounding the case.
**Recommendations:**
* Consult with legal counsel specializing in immigration and national security law for a more detailed analysis of the situation.
* Coordinate with relevant government agencies like the Bureau of Immigration (BI) and the National Intelligence Coordinating Agency (NICA) for proper procedures.</t>
  </si>
  <si>
    <t>You receive information about a potential terrorist attack targeting a shopping mall. What legal actions can be taken to secure the mall and prevent the attack?</t>
  </si>
  <si>
    <t>Here are some legal actions that can be taken to secure the mall and prevent a terrorist attack based on Philippine law:
**Immediate Reporting:**
* **Republic Act No. 11479 (Anti-Terrorism Act of 2020):** Section 19. Obligation to Report requires anyone with knowledge or reasonable suspicion of an impending terrorist attack to report it immediately to the nearest law enforcement agency.
**Law Enforcement Actions:**
* **Investigation:** Authorities can initiate an investigation to assess the credibility of the information and identify potential attackers.
* **Search Warrants:** Based on probable cause, law enforcement can apply for search warrants to locate weapons, explosives, or other materials related to the planned attack. (Philippine Constitution, Article III, Section 2)
* **Surveillance:** Authorities can conduct legal surveillance of the mall and individuals suspected of involvement, within the bounds set by the Constitution (Article III, Section 2) and relevant laws.
**Securing the Mall:**
* **Mall Management Cooperation:** Authorities can collaborate with mall management to implement increased security measures, such as:
* Stricter bag checks and access controls.
* Deployment of additional security personnel.
* Evacuation drills and emergency response plans.
* **Temporary Closure:** In extreme circumstances, authorities may, in coordination with the mall management, seek legal authorization for a temporary closure to ensure public safety. This would likely require court approval.
**Public Communication:**
* Maintaining a balance between public awareness and preventing panic is crucial. Authorities may, at their discretion, issue public advisories encouraging vigilance and reporting suspicious activity.
**Important Notes:**
* Gathering evidence and taking legal actions must comply with Philippine law to ensure actions hold up in court. * Balancing security needs with individual rights and avoiding unnecessary disruption to mall operations is important.
**Additional Resources:**
* Philippine National Police (PNP): [https://pnp.gov.ph/](https://pnp.gov.ph/)
* National Intelligence Coordinating Agency (NICA): [https://nica.gov.ph/](https://nica.gov.ph/)
Remember, this is just a general overview. Consulting with a lawyer can provide more specific guidance based on the details of the situation.</t>
  </si>
  <si>
    <t>A person is arrested for the recruitment of minors into a terrorist organization but claims lack of intent. How is the defense of lack of intent addressed under Philippine law in terrorism cases?</t>
  </si>
  <si>
    <t>Lack of intent, on its own, might not be a strong enough defense in a Philippine terrorism case involving recruitment of minors (Republic Act No. 11479 - Anti-Terrorism Act of 2020). Here's why:
* **Strict Liability Offense:** Section 10 of the Anti-Terrorism Act (ATA) criminalizes the recruitment into a terrorist organization. It specifically states that "knowledge that the organization is a terrorist organization is not an element of the offense." This means that even if the person didn't know they were recruiting for a terrorist organization, they can still be found guilty.
However, there might be ways to address lack of intent by arguing other defenses:
* **Mistake of Fact:** The person can argue they mistakenly believed the organization was not a terrorist group. This defense requires proof that the mistake was reasonable and in good faith. Evidence supporting this claim would be crucial.
* **Mistake of Law:** Less likely to succeed, but the person could argue they were unaware that recruiting for a certain organization was illegal. This defense is generally not favored in criminal cases. * **Entrapment by Law Enforcement:** If law enforcement induced or persuaded the person to commit the crime through manipulative tactics, this defense could potentially be used. **Mitigating Circumstances:**
Even if lack of intent doesn't completely absolve the accused, it might be used as a mitigating circumstance during sentencing. The court might consider it when deciding the penalty, potentially leading to a lighter sentence.
**Importance of Evidence:**
Regardless of the chosen defense, strong evidence is crucial. Witness testimonies, documents, or communication records that support the claim of lack of intent or another defense will be essential for the case.
**Recommendation:**
Consulting a qualified lawyer specializing in criminal and national security law is highly recommended. They can analyze the specific details of the case, advise on the most suitable defense strategy, and help navigate the legal process effectively.</t>
  </si>
  <si>
    <t>You discover a group planning a terrorist attack within an educational institution. What legal actions can be taken to enhance security and prevent the attack?</t>
  </si>
  <si>
    <t>Here are some legal actions you can take to enhance security and prevent a terrorist attack within an educational institution based on Philippine law:
**Immediate Reporting:**
* **Republic Act No. 11479 (Anti-Terrorism Act of 2020):** Section 19. Obligation to Report requires anyone with knowledge or reasonable suspicion of an impending terrorist attack to report it immediately to the nearest law enforcement agency. This is the most crucial step.
**Law Enforcement Actions:**
* **Investigation:** Authorities can initiate an investigation to assess the credibility of the information and identify potential attackers.
* **Search Warrants:** If probable cause exists, law enforcement can apply for search warrants to locate weapons, explosives, or other materials related to the planned attack. (Philippine Constitution, Article III, Section 2)
* **Surveillance:** Authorities can conduct legal surveillance of the educational institution and individuals suspected of involvement, within the bounds set by the Constitution (Article III, Section 2) and relevant laws.
**Securing the Educational Institution:**
* **School Administration Cooperation:** Authorities can collaborate with the school administration to implement increased security measures, such as:
* Stricter bag checks and access controls at entry points.
* Deployment of additional security personnel.
* Increased security patrols within the campus.
* Evacuation drills and emergency response plans practiced regularly with students and staff.
**Public Communication:**
* Maintaining a balance between public awareness and preventing panic is crucial. * The school administration, in coordination with authorities, may issue advisories to parents, students, and staff encouraging vigilance and reporting suspicious activity.
**Additional Considerations:**
* **Student Safety:** The safety of students and staff must be paramount throughout the process. Authorities should strive to minimize disruption to educational activities while ensuring security.
* **Mental Health Support:** The potential for anxiety and fear in the school community should be addressed. The school administration, in coordination with relevant agencies, can offer counseling services to students and staff.
**Important Notes:**
* Gathering evidence and taking legal actions must comply with Philippine law to ensure actions hold up in court. * Balancing security needs with individual rights and avoiding unnecessary disruption to school operations is important.
**Additional Resources:**
* Philippine National Police (PNP): [https://pnp.gov.ph/](https://pnp.gov.ph/)
* National Intelligence Coordinating Agency (NICA): [https://nica.gov.ph/](https://nica.gov.ph/)
Remember, this is just a general overview. Consulting with a lawyer can provide more specific guidance based on the details of the situation.</t>
  </si>
  <si>
    <t>An individual is arrested for providing material support to a foreign terrorist organization but claims coercion. How is the defense of acting under duress addressed under Philippine law in terrorism cases?</t>
  </si>
  <si>
    <t>The defense of acting under duress (being forced to commit a crime) can be a complex issue in Philippine terrorism cases, particularly when applied to material support for a foreign terrorist organization. Here's a breakdown of how Philippine law addresses this:
**Revised Penal Code (Act No. 3815):**
* Article 12. Circumstances Affecting Criminal Liability: This article outlines various circumstances that can exempt a person from criminal liability or mitigate the penalty. Here's the relevant section:
* Paragraph 6. **Compulsion:** This exempts a person from criminal liability who acted under the compulsion of an irresistible force or a grave threat that could not be resisted without endangering his life or that of his loved ones.
**Challenges in Duress Defense for Terrorism Cases:**
* **Strict Liability for Material Support:** The Anti-Terrorism Act (Republic Act No. 11479) doesn't explicitly mention duress as a defense for material support of terrorism. This makes it more challenging to argue compared to other crimes. * **Immediacy and Gravity of Threat:** The threat used as coercion must be immediate, grave, and could not be reasonably resisted. This can be difficult to prove in court.
* **Knowledge of Terrorist Organization:** While knowledge of the organization being a terrorist group might not be required for the prosecution (Section 10, Anti-Terrorism Act), it might weaken a duress defense if the accused didn't make a reasonable effort to avoid providing support.
**Possible Approaches:**
* **Focus on the Immediacy and Gravity of the Threat:** Evidence is crucial. Proof of the specific threat, the danger it posed, and the inability to resist it strengthens the duress defense. * **Cooperation with Authorities:** Showing cooperation with law enforcement after the threat subsided can demonstrate a lack of true allegiance to the terrorist organization.
* **Negotiate a Plea Bargain:** Depending on the circumstances, a plea bargain with the prosecution could be an option, potentially leading to a lesser charge or a reduced sentence.
**Recommendation:**
Consulting a qualified lawyer specializing in criminal and national security law is crucial. They can analyze the specific details of the case, assess the viability of a duress defense, and explore the best course of action for the individual's situation.</t>
  </si>
  <si>
    <t>You encounter individuals using encrypted communication to plan terrorist activities. What legal actions can be taken to monitor and disrupt their communication channels?</t>
  </si>
  <si>
    <t>Philippine law enforcement faces challenges in directly monitoring and disrupting encrypted communications used for terrorist activities. However, there are legal actions that can be taken within the framework of Philippine law:
* **Investigative Tools:** * **Warrants:** Based on probable cause demonstrating a threat of terrorism, authorities can apply for warrants to:
* Obtain subscriber information associated with suspicious communication channels. (Republic Act No. 10862 - Anti-Wiretapping Act)
* Conduct searches for physical evidence related to the terrorist plot, potentially leading to uncovered communication devices or unencrypted data. (Philippine Constitution, Article III, Section 2)
* **Intelligence Gathering:** * Authorities can focus on gathering intelligence through human sources, informant networks, and legal surveillance methods to understand the plot details and identify individuals involved.
* **Disruption Strategies:**
* While legal options for directly disrupting encrypted communication are limited, other measures can be employed:
* **Communication Network Analysis:** By analyzing existing communication patterns and identifying connections between individuals, authorities can disrupt the network and make communication more difficult for the terrorists.
* **Focus on Content:** If some unencrypted communication channels exist, monitoring them for incriminating content can aid investigations.
**Important Considerations:**
* **Privacy Rights:** Philippine law protects the right to privacy (Philippine Constitution, Article III, Section 7). Any legal actions must comply with these protections and obtain proper warrants when necessary.
* **Technical Expertise:** Investigating encrypted communication requires specialized technical expertise. Law enforcement may need to collaborate with technological experts to effectively gather evidence and analyze communication patterns.
**Alternative Approaches:**
* **International Cooperation:** For foreign-based terrorist organizations, collaboration with international law enforcement agencies might be necessary to track communication and disrupt their activities.
* **Legislative Measures:** The legal landscape regarding encryption and terrorism is evolving. Staying updated on potential legislative changes that could offer new tools for law enforcement is important.
**Disclaimer:** This is just a general overview based on Philippine law. The specific legal options available will depend on the details of the situation. Consulting with a lawyer specializing in national security law is highly recommended for a more comprehensive analysis and guidance on the most appropriate course of action.</t>
  </si>
  <si>
    <t>A person is arrested for using false information related to terrorism. How is the offense regulated and punished under Philippine law?</t>
  </si>
  <si>
    <t>The dissemination of false information related to terrorism can be regulated and punished under several Philippine laws, depending on the specific nature and platform used:
**Anti-Terrorism Act of 2020 (Republic Act No. 11479):**
* **Section 15. Inciting to Terrorism (a) or (b):** This prohibits the incitement of terrorism through any means, including online platforms. Spreading false information that incites panic or fear associated with a terrorist attack could potentially fall under this section.
**Cybercrime Act of 2012 (Republic Act No. 10175):**
* **Section 4(c)(4). Illegal Content:** This section prohibits the online publication or distribution of information that incites violence or terrorism. Spreading demonstrably false information that falsely claims an imminent attack or creates a sense of terror could be considered a violation.
**Revised Penal Code (Act No. 3815):**
* **Article 154. Alarms and Scandals:** This article penalizes those who knowingly spread false alarms or rumors that could cause public disturbances or panic. While not specifically related to terrorism, it could apply to situations where knowingly spreading false information about a terrorist attack disrupts public order.
**The penalty for these offenses can vary depending on the specific law and the severity of the offense.** Here's a general breakdown:
* **Anti-Terrorism Act:** Reclusion perpetua (life imprisonment) to six (6) years imprisonment
* **Cybercrime Act:** Imprisonment of six (6) months to ten (10) years and a fine of Five hundred thousand pesos (P500,000.00) to One million pesos (P1,000,000.00)
* **Revised Penal Code:** Arresto mayor (maximum of 6 months imprisonment) to prision correccional (up to 6 years imprisonment)
**Important Considerations:**
* **Intent and Knowledge:** The severity of the penalty often hinges on whether the person intentionally spread false information or did so recklessly without due diligence to verify its accuracy.
* **Public Impact:** The extent of public panic or disruption caused by the false information can influence the charges and penalties imposed.
**Additional Notes:**
* Depending on the platform used to spread the information (social media, news outlets, etc.), specific community guidelines or terms of service might also be violated, potentially leading to account suspension or removal of content.
* Consulting with a lawyer can provide a more detailed analysis of the specific situation and the most relevant laws that apply.</t>
  </si>
  <si>
    <t>You receive information about a potential terrorist attack targeting a healthcare facility. What legal actions can be taken to secure the facility and prevent the attack?</t>
  </si>
  <si>
    <t>Here are some legal actions you can take to secure a healthcare facility and prevent a potential terrorist attack based on Philippine law:
**Immediate Reporting:**
* **Republic Act No. 11479 (Anti-Terrorism Act of 2020):** Section 19. Obligation to Report requires anyone with knowledge or reasonable suspicion of an impending terrorist attack to report it immediately to the nearest law enforcement agency. This is the most crucial step.
**Law Enforcement Actions:**
* **Investigation:** Authorities can initiate an investigation to assess the credibility of the information and identify potential attackers.
* **Search Warrants:** If probable cause exists, law enforcement can apply for search warrants to locate weapons, explosives, or other materials related to the planned attack. (Philippine Constitution, Article III, Section 2)
* **Surveillance:** Authorities can conduct legal surveillance of the healthcare facility and individuals suspected of involvement, within the bounds set by the Constitution (Article III, Section 2) and relevant laws.
**Securing the Healthcare Facility:**
* **Hospital Administration Cooperation:** Authorities can collaborate with the hospital administration to implement increased security measures, such as:
* Stricter access controls at entry points, potentially including bag checks and identification verification.
* Deployment of additional security personnel, either hospital security or law enforcement depending on the situation's severity.
* Increased security patrols within the facility.
* Review and potential modification of emergency response plans for active shooter or hostage situations.
**Communication:**
* **Maintaining Calm:** While informing hospital staff and potentially patients of the situation may be necessary, ensuring clear communication that avoids unnecessary panic is crucial. Coordinate with the hospital administration and potentially public relations to craft a clear and concise message.
* **Law Enforcement Communication:** Consistent and transparent communication with law enforcement regarding the situation and any updates is essential.
**Additional Considerations:**
* **Patient Care Continuity:** Security measures should be implemented in a way that minimizes disruption to essential patient care services.
* **Mental Health Support:** The potential for anxiety and fear among staff and patients should be addressed. The hospital administration, in coordination with relevant agencies, can offer counseling services if needed.
**Important Notes:**
* Gathering evidence and taking legal actions must comply with Philippine law to ensure actions hold up in court. * Balancing security needs with patient privacy and staff/patient safety is essential.
**Additional Resources:**
* Philippine National Police (PNP): [https://pnp.gov.ph/](https://pnp.gov.ph/)
* National Intelligence Coordinating Agency (NICA): [https://nica.gov.ph/](https://nica.gov.ph/)
Remember, this is just a general overview. Consulting with a lawyer can provide more specific guidance based on the details of the situation.</t>
  </si>
  <si>
    <t>An individual is arrested for planning a terrorist attack but claims that they were coerced by a foreign terrorist organization. How is the defense of coercion addressed under Philippine law in terrorism cases?</t>
  </si>
  <si>
    <t>I previously addressed this scenario, but here's a more concise response focusing on the key points:
**Coercion Defense in Philippine Terrorism Cases:**
The defense of coercion in Philippine terrorism cases, particularly when involving foreign terrorist organizations, is challenging but not impossible. Here's how Philippine law addresses it:
* **Revised Penal Code (Act No. 3815):** Article 12, Paragraph 6 allows exemption from criminal liability due to "compulsion of an irresistible force or a grave threat."
**Challenges:**
* **Strict Liability:** Anti-Terrorism Act (RA 11479) doesn't explicitly mention duress as a defense for planning attacks.
* **Proving Coercion:** Demonstrating the immediacy, gravity, and inability to resist the foreign threat is difficult.
* **Intent and Knowledge:** Some level of intent or knowledge about the attack might weaken the defense.
**Possible Strategies:**
* **Strong Evidence:** Witness testimonies, intercepted communications, or proof of threats strengthen the coercion claim.
* **Cooperation:** Demonstrating cooperation with authorities after the threat subsided can help.
* **Plea Bargain:** Negotiate a lesser charge or reduced sentence in exchange for cooperation.
**Recommendation:**
Consult a qualified lawyer specializing in criminal and national security law. They can:
* Analyze the case details.
* Assess the viability of the coercion defense.
* Explore the best course of action.
**Additional Considerations:**
* **Foreign Element:** Proving coercion might be harder due to complexities of evidence collection from a foreign entity.
* **International Cooperation:** Collaboration with international law enforcement might be necessary to gather evidence.
**Disclaimer:** This is a general overview. A lawyer can provide a more comprehensive analysis and specific guidance based on the situation.</t>
  </si>
  <si>
    <t>You discover a group planning a terrorist attack within a cultural heritage site. What legal actions can be taken to enhance security and prevent the attack?</t>
  </si>
  <si>
    <t>Here are some legal actions you can take to enhance security and prevent a terrorist attack within a cultural heritage site based on Philippine law:
**Immediate Reporting:**
* **Republic Act No. 11479 (Anti-Terrorism Act of 2020):** Section 19. Obligation to Report requires anyone with knowledge or reasonable suspicion of an impending terrorist attack to report it immediately to the nearest law enforcement agency. This is the most crucial step.
**Law Enforcement Actions:**
* **Investigation:** Authorities can initiate an investigation to assess the credibility of the information and identify potential attackers.
* **Search Warrants:** If probable cause exists, law enforcement can apply for search warrants to locate weapons, explosives, or other materials related to the planned attack. (Philippine Constitution, Article III, Section 2)
* **Surveillance:** Authorities can conduct legal surveillance of the cultural heritage site and individuals suspected of involvement, within the bounds set by the Constitution (Article III, Section 2) and relevant laws.
**Securing the Cultural Heritage Site:**
* **Site Management Cooperation:** Authorities can collaborate with the site management to implement increased security measures, such as:
* Stricter access controls at entry points, potentially including bag checks and identification verification.
* Deployment of additional security personnel, either site security or law enforcement depending on the situation's severity.
* Increased security patrols within the site.
* Review and potential modification of emergency response plans for active shooter or hostage situations.
**Public Communication:**
* **Balancing Security and Public Awareness:** Maintaining a balance between public awareness and preventing panic is crucial. Authorities, in coordination with site management, may issue advisories to visitors and staff encouraging vigilance and reporting suspicious activity. However, avoid causing unnecessary alarm.
* **Protecting the Site:** Cultural heritage sites often contain irreplaceable artifacts. Authorities should strive to minimize damage to the site while implementing security measures.
**Additional Considerations:**
* **Cultural Sensitivity:** When implementing security measures, respect for the cultural significance of the site should be factored in. * **Security Training:** Site security personnel may require additional training in recognizing and responding to suspicious activity.
**Important Notes:**
* Gathering evidence and taking legal actions must comply with Philippine law to ensure actions hold up in court. * Balancing security needs with public access and preservation of the cultural heritage site is important.
**Additional Resources:**
* Philippine National Police (PNP): [https://pnp.gov.ph/](https://pnp.gov.ph/)
* National Intelligence Coordinating Agency (NICA): [https://nica.gov.ph/](https://nica.gov.ph/)
* National Museum of the Philippines: [https://www.nationalmuseum.gov.ph/](https://www.nationalmuseum.gov.ph/) (for potential consultation on cultural sensitivity)
Remember, this is just a general overview. Consulting with a lawyer can provide more specific guidance based on the details of the situation.</t>
  </si>
  <si>
    <t>A person is arrested for the use of technology in planning terrorist activities. How is the offense regulated and punished under Philippine law?</t>
  </si>
  <si>
    <t>The use of technology in planning terrorist activities can be regulated and punished under several Philippine laws, depending on the specific technology used and the nature of the planning activities. Here's a breakdown of the relevant laws:
**Anti-Terrorism Act of 2020 (Republic Act No. 11479):**
* **Section 4. Inciting to Terrorism:** Using technology to spread propaganda, incite violence, or justify terrorist acts can be penalized under this section. Examples include creating or sharing videos promoting terrorism or using social media to recruit others for a terrorist organization.
* **Section 6. Provision of Funds, Logistics or Other Material Support for Terrorism:** Using technology to facilitate the planning, such as transferring funds electronically or sharing encrypted messages with co-conspirators, could be considered material support.
**Cybercrime Act of 2012 (Republic Act No. 10175):**
* **Section 4(c)(4). Illegal Content:** This section prohibits the online publication or distribution of information that incites violence or terrorism. Uploading bomb-making instructions or violent extremist content online could be a violation.
* **Section 12. Hacking:** If the technology use involved hacking into computer systems to steal information or disrupt critical infrastructure in support of a terrorist attack, this section would apply.
**Revised Penal Code (Act No. 3815):**
* **Article 144. Illegal Use of Means of Communication:** While not specifically related to terrorism, this article penalizes those who use communication technologies for illegal purposes. If the technology use involved sending encrypted messages to coordinate an attack, this might be considered.
**Penalties:**
The penalties for these offenses can vary depending on the specific law and the severity of the offense. Here's a general breakdown:
* **Anti-Terrorism Act:** Reclusion perpetua (life imprisonment) to six (6) years imprisonment
* **Cybercrime Act:** Imprisonment of six (6) months to ten (10) years and a fine of Five hundred thousand pesos (P500,000.00) to One million pesos (P1,000,000.00)
* **Revised Penal Code:** Up to six (6) years imprisonment
**Important Considerations:**
* **Intent and Knowledge:** The severity of the penalty often hinges on whether the person intentionally used technology for terrorist activities or did so recklessly without due regard for the consequences.
* **Specific Technology Used:** The specific platform or technology used (social media, hacking tools, etc.) can influence the relevant law and the way evidence is collected.
**Additional Notes:**
* Depending on the platform used, specific community guidelines or terms of service might also be violated, potentially leading to account suspension or removal of content.
* Consulting with a lawyer can provide a more detailed analysis of the specific situation and the most relevant laws that apply.</t>
  </si>
  <si>
    <t>During an investigation, you find evidence of individuals planning terrorist activities within a labor union. What legal measures can be taken to prevent their activities within the union?</t>
  </si>
  <si>
    <t>Here are some legal measures you can take to prevent terrorist activities within a labor union based on the evidence you found during an investigation:
**Reporting and Investigation:**
* **Republic Act No. 11479 (Anti-Terrorism Act of 2020):** * Section 19: Obligation to Report - Immediately report the findings to the nearest law enforcement agency.
* Section 20: Authority to Conduct Investigation - Authorities have the legal right to investigate the suspected terrorist activities within the labor union. This might involve collecting evidence, interviewing individuals, and potentially obtaining warrants for searches or surveillance.
**Legal Actions:**
* **Prosecution under Anti-Terrorism Act:** Based on the evidence, authorities can determine if charges under the Anti-Terrorism Act are applicable. These might include:
* **Section 4: Inciting to Terrorism:** If individuals were spreading propaganda or recruiting others.
* **Section 6: Material Support for Terrorism:** If the evidence shows funding or logistical support for terrorism being planned within the union.
* **Labor Code of the Philippines (Republic Act No. 6715):** * If the investigation reveals the union leadership is knowingly involved in terrorist activities, legal action could be taken under the Labor Code. This could involve:
* Filing charges with the Department of Labor and Employment (DOLE) for violation of union regulations and potentially dissolving the leadership. * However, due process must be followed, allowing the union leaders the opportunity to defend themselves.
**Protecting the Union:**
* **Collaboration with Union Members:** Transparency is crucial. Inform responsible union members, not involved in the activities, about the investigation and the potential threat. * **Promoting Legitimate Union Activities:** Support legitimate activities like collective bargaining and worker welfare programs to prevent the union from becoming a breeding ground for extremism.
**Additional Considerations:**
* **Evidence Gathering:** Ensure evidence collected during the investigation adheres to proper legal procedures for admissibility in court.
* **Balancing Security and Union Rights:** The primary goal is to prevent terrorism, but the rights of innocent union members must also be respected.
* **Consultation with a Lawyer:** For specific guidance on the legal measures applicable to the situation and navigating the process effectively, consulting with a lawyer specializing in labor law and national security is highly recommended.
**Disclaimer:** This is a general overview based on Philippine law. The specific legal actions will depend on the details of the situation and the evidence gathered.</t>
  </si>
  <si>
    <t>An individual is arrested for the recruitment of minors into a terrorist organization but claims entrapment. How is the defense of entrapment addressed under Philippine law in terrorism cases?</t>
  </si>
  <si>
    <t>Entrapment, where law enforcement induces someone to commit a crime they wouldn't have otherwise, is a complex defense in Philippine terrorism cases, especially when applied to recruitment of minors. Here's a breakdown:
**Entrapment Defense:**
* Philippine law recognizes entrapment as a defense that can potentially negate criminal liability. (This is not explicitly mentioned in the Anti-Terrorism Act, but the general principles apply)
**Challenges of Entrapment Defense in Terrorism:**
* **High Burden of Proof:** The defendant has a high burden to prove:
* Law enforcement induced them to commit the crime (recruitment). * They wouldn't have committed it otherwise.
* **Government Deception:** Entrapment requires showing government deception that implanted the criminal intent in the defendant's mind, which can be difficult to prove in recruitment situations.
* **Public Policy Concerns:** * Protecting minors is a high priority. * Courts might be less likely to accept entrapment if a minor was involved.
**Possible Approaches for Entrapment Defense:**
* **Detailed Evidence:** Demonstrating the extent of law enforcement pressure or manipulation used to convince the defendant to recruit minors strengthens the defense. * This could include witness testimonies, recordings of interactions, or showing the defendant lacked prior involvement with such activities.
* **Cooperation with Authorities:** If the defendant cooperated with authorities after realizing they were manipulated, it can show a lack of true criminal intent.
* **Focus on Minors' Protection:** The defense can argue that even if the defendant was somewhat persuaded, the primary focus should be on protecting minors from recruitment, regardless of the entrapment tactics used.
**Recommendation:**
Consulting a qualified lawyer specializing in criminal and national security law is crucial. They can:
* Analyze the specific details of the case, including the nature of the alleged entrapment and the minor's involvement.
* Assess the viability of the entrapment defense based on Philippine law and relevant case precedents.
* Explore the best course of action, considering potential plea bargains or other options.
**Additional Considerations:**
* **International Law:** The Philippines is a signatory to the Convention on the Rights of the Child. A lawyer can explore how international legal principles regarding child protection might support the defense.
**Disclaimer:** This is a general overview. A lawyer can provide a more comprehensive analysis and specific guidance based on the situation. Entrapment is a complex defense, and its success in terrorism cases, especially involving minors, is not guaranteed.</t>
  </si>
  <si>
    <t>You receive information about a potential terrorist attack targeting a government office. What legal actions can be taken to secure the office and prevent the attack?</t>
  </si>
  <si>
    <t>Here are some legal actions you can take to secure a government office and prevent a terrorist attack based on Philippine law:
**Immediate Reporting:**
* **Republic Act No. 11479 (Anti-Terrorism Act of 2020):** Section 19. Obligation to Report requires anyone with knowledge or reasonable suspicion of an impending terrorist attack to report it immediately to the nearest law enforcement agency. This is the most crucial step.
**Law Enforcement Actions:**
* **Investigation:** Authorities can initiate an investigation to assess the credibility of the information and identify potential attackers.
* **Search Warrants:** If probable cause exists, law enforcement can apply for search warrants to locate weapons, explosives, or other materials related to the planned attack. (Philippine Constitution, Article III, Section 2)
* **Surveillance:** Authorities can conduct legal surveillance of the government office and individuals suspected of involvement, within the bounds set by the Constitution (Article III, Section 2) and relevant laws.
**Securing the Government Office:**
* **Government Security Collaboration:** Authorities can collaborate with the government office's security personnel to implement increased security measures, such as:
* Stricter access controls at entry points, including bag checks and identification verification.
* Deployment of additional security personnel, either government security or law enforcement depending on the situation's severity.
* Increased security patrols within the building.
* Review and potential modification of emergency response plans for active shooter or hostage situations.
**Communication:**
* **Maintaining Calm:** While informing government office staff of the situation and potential security measures may be necessary, ensuring clear communication that avoids unnecessary panic is crucial. Coordinate with appropriate government officials to craft a clear and concise message.
* **Law Enforcement Communication:** Consistent and transparent communication with law enforcement regarding the situation and any updates is essential.
**Additional Considerations:**
* **Continuity of Government Operations:** Security measures should be implemented in a way that minimizes disruption to essential government services.
* **Employee Well-being:** The potential for anxiety and fear among staff should be addressed. The government office administration, potentially in coordination with relevant agencies, can offer counseling services if needed.
**Important Notes:**
* Gathering evidence and taking legal actions must comply with Philippine law to ensure actions hold up in court. * Balancing security needs with public access and essential government operations is important.
**Additional Resources:**
* Philippine National Police (PNP): [https://pnp.gov.ph/](https://pnp.gov.ph/)
* National Intelligence Coordinating Agency (NICA): [https://nica.gov.ph/](https://nica.gov.ph/)
Remember, this is just a general overview. Consulting with a lawyer can provide more specific guidance based on the details of the situation.</t>
  </si>
  <si>
    <t>A person is arrested for planning a terrorist attack but claims that they were coerced by a domestic terrorist organization. How is the defense of coercion addressed under Philippine law in terrorism cases?</t>
  </si>
  <si>
    <t>The defense of coercion, when applied to a terrorism case in the Philippines involving a domestic terrorist organization, can be challenging but not impossible. Here's a breakdown of how Philippine law addresses it:
**Revised Penal Code (Act No. 3815):**
* Article 12. Circumstances Affecting Criminal Liability: This article outlines various circumstances that can exempt a person from criminal liability or mitigate the penalty. Here's the relevant section:
* Paragraph 6. **Compulsion:** This exempts a person from criminal liability who acted under the compulsion of an irresistible force or a grave threat that could not be resisted without endangering his life or that of his loved ones.
**Challenges of Coercion Defense in Domestic Terrorism:**
* **Strict Liability for Planning:** Philippine law, particularly the Anti-Terrorism Act (Republic Act No. 11479), doesn't explicitly mention duress (coercion) as a defense for planning a terrorist attack. This makes it more challenging compared to other crimes. * **Immediacy and Gravity of Threat:** The threat used as coercion must be immediate, grave, and could not be reasonably resisted. This can be difficult to prove in court, especially with a domestic organization. * **Intent and Knowledge:** While the accused may not have acted entirely on their own volition, they might still have had some level of intent or knowledge about the planned attack. This could weaken the defense.
**Possible Approaches:**
* **Evidence of Coercion:** Providing strong evidence of the threat, the danger it posed, and the inability to resist it strengthens the duress defense. This could include witness testimonies, recordings of threats, or proof of the domestic terrorist organization's history of violence.
* **Cooperation with Authorities:** Demonstrating cooperation with law enforcement after the threat subsided can show a lack of true allegiance to the terrorist organization. * **Negotiate a Plea Bargain:** Depending on the circumstances, a plea bargain with the prosecution could be an option, potentially leading to a lesser charge or a reduced sentence in exchange for cooperation.
**Recommendation:**
Consulting a qualified lawyer specializing in criminal and national security law is crucial. They can analyze the specific details of the case, assess the viability of a duress defense based on Philippine law, and explore the best course of action for the individual's situation. Here are some additional points to consider:
* **Domestic Terrorist Organization:** While the challenges remain, evidence collection within the Philippines might be easier compared to a foreign entity.
* **Cooperation with Law Enforcement:** Providing information about the domestic terrorist organization's structure, activities, and potential future threats can strengthen the coercion defense and benefit national security efforts.
**Disclaimer:** This is just a general overview based on Philippine law. The specific legal options available and the strength of the coercion defense will depend on the details of the situation. Consulting with a lawyer is highly recommended for a more comprehensive analysis and guidance on the most appropriate course of action.</t>
  </si>
  <si>
    <t>You encounter individuals disseminating terrorist propaganda within a workplace. What legal actions can be taken to address this radicalization within the workplace?</t>
  </si>
  <si>
    <t>Here are some legal actions you can take to address the dissemination of terrorist propaganda within a workplace in the Philippines:
**Confronting the Situation:**
* **Internal Reporting:** Report the incident to your supervisor or Human Resources department immediately. * **Evidence Gathering:** If possible, try to gather evidence discreetly, such as taking screenshots or noting down specific content being disseminated (without putting yourself at risk). However, prioritize your safety and don't attempt anything that could escalate the situation.
**Legal Measures:**
* **Depending on the severity of the propaganda and the actions of the individuals involved, legal options may include:**
* **Termination of Employment:** Most Philippine employment contracts allow termination for "gross misconduct" or violation of company policies. Disseminating terrorist propaganda could potentially fall under these categories. Consulting with a lawyer specializing in labor law is recommended to assess potential grounds for termination and ensure compliance with legal procedures.
* **Filing a Criminal Complaint:** For more serious cases involving incitement to violence or terrorism, filing a complaint with the police might be necessary. * Relevant laws include:
* Republic Act No. 11479 (Anti-Terrorism Act of 2020) - Section 4: Inciting to Terrorism
* Revised Penal Code (Act No. 3815) - Article 144: Illegal Use of Means of Communication (depending on the platform used for dissemination)
**Workplace Security Measures:**
* **Reviewing Company Policies:** Review and potentially revise company policies regarding internet and communication use within the workplace. This could include explicitly prohibiting the dissemination of terrorist propaganda or extremist content.
* **Employee Awareness Training:** Consider conducting employee awareness training programs on identifying and reporting suspicious activity, including the dangers of radicalization and terrorist propaganda.
**Additional Considerations:**
* **Employee Safety:** Prioritize your safety and the safety of others throughout the process. Don't attempt to directly confront the individuals involved.
* **Balance Free Speech and Security:** While freedom of expression is protected in the Philippines (Philippine Constitution, Article III, Section 4), disseminating content that incites violence is not. Striking a balance between protecting free speech and ensuring workplace security is important.
* **Legal Consultation:** Consulting with a lawyer specializing in labor law and potentially national security law can provide more specific guidance based on the situation and potential legal actions.
**Disclaimer:** This is a general overview. The specific legal options available will depend on the details of the situation and the severity of the propaganda being disseminated. Consulting with a lawyer is highly recommended for a more comprehensive analysis and tailored advice.</t>
  </si>
  <si>
    <t>During a routine check, authorities find evidence of individuals planning terrorist activities within a religious gathering. What legal measures can be taken to prevent their activities within the congregation?</t>
  </si>
  <si>
    <t>Here are some legal measures authorities can take to prevent terrorist activities within a religious gathering based on evidence found during a routine check in the Philippines:
**Immediate Actions:**
* **Further Investigation:** Based on the evidence, authorities can initiate a more thorough investigation to assess the credibility of the threat, identify potential attackers, and determine the extent of planned activities. This might involve surveillance, witness interviews, and potentially obtaining warrants for further investigation.
* **Securing the Gathering:** * Depending on the severity of the threat and the size of the gathering, securing the location might be necessary. This could involve increased police presence, stricter access controls, and potential evacuation if an immediate attack is deemed likely.
* Collaboration with religious leaders is crucial to ensure security measures minimize disruption to legitimate religious activities.
**Legal Considerations:**
* **Balancing Security and Religious Freedom:** The Philippine Constitution (Article III, Section 5) guarantees freedom of religion. Authorities must ensure any security measures taken respect this right.
* **Anti-Terrorism Act of 2020 (Republic Act No. 11479):** * Section 19: Obligation to Report - Authorities have a legal obligation to report the findings to their superiors.
* If the investigation reveals sufficient evidence, charges could be filed under the Anti-Terrorism Act, such as:
* Section 4: Inciting to Terrorism - If individuals were spreading propaganda or promoting violence.
* Section 6: Material Support for Terrorism - If the evidence shows funding or logistical support for terrorism being planned.
**Preventative Measures for the Congregation:**
* **Collaboration with Religious Leaders:** Engaging with religious leaders to create awareness about potential radicalization and to encourage them to report any suspicious activity to the authorities is crucial.
* **Security Training:** Consider offering security awareness training to the congregation on identifying suspicious activity and reporting it to designated personnel.
**Additional Considerations:**
* **Evidence Gathering:** Ensure evidence is collected according to proper legal procedures for admissibility in court, if necessary.
* **Transparency and Communication:** While maintaining public safety is critical, authorities should be transparent with the congregation within the bounds of security protocols. This could involve issuing public statements or announcements through religious leaders, ensuring clarity and avoiding unnecessary panic.
* **Legal Consultation:** Consulting with a lawyer specializing in national security law can provide more specific guidance on the legal framework applicable and the most effective course of action.
**Disclaimer:** This is a general overview based on Philippine law. The specific legal measures and their application will depend on the details of the situation, the nature of the evidence found, and the severity of the potential threat.</t>
  </si>
  <si>
    <t>An individual is arrested for providing material support to a terrorist organization but claims lack of awareness. How is the defense of lack of awareness addressed under Philippine law in terrorism cases?</t>
  </si>
  <si>
    <t>Lack of awareness, also known as mistake of fact, can be a defense in some Philippine terrorism cases, but it's a complex argument with varying degrees of success depending on the specific circumstances. Here's a breakdown:
**Revised Penal Code (Act No. 3815):**
* Article 36. Criminal Liability - Paragraph 1 states: "To be exempt from criminal liability, the following circumstances must concur:
* The act is voluntary; and
* There is lack of criminal intent."
**Anti-Terrorism Act of 2020 (Republic Act No. 11479):**
* The Act doesn't explicitly mention "lack of awareness" as a defense. However, the concept of criminal intent still applies.
**Challenges of Lack of Awareness Defense in Terrorism:**
* **Knowledge vs. Recklessness:** Philippine law differentiates between knowledge and recklessness. To succeed with a lack of awareness defense, the individual must demonstrate a complete lack of knowledge about the organization's true nature or their activities. * Simply claiming ignorance might not be enough. Prosecutors might argue the individual should have known, considering the nature of the support provided.
* **Material Support Definition:** The Anti-Terrorism Act defines "material support" broadly. This includes financial assistance, logistical help, or providing safe havens. Even if the individual was unaware of the organization's terrorist activities, they might have been reckless in providing support that could be misused.
* **Burden of Proof:** The burden of proof lies with the defendant to establish their lack of awareness by clear and convincing evidence. This can be difficult, especially when dealing with secretive organizations.
**Possible Approaches for Lack of Awareness Defense:**
* **Demonstrating Good Faith:** Evidence that the individual was genuinely deceived or misled about the organization's true purpose can strengthen the defense. This could include witness testimonies, documents, or communication records showing they believed the organization was engaged in legitimate activities.
* **Limited or Indirect Support:** If the material support was minimal or indirect, without knowledge of its potential use for terrorism, it could bolster the claim of lack of awareness.
**Recommendation:**
Consulting a qualified lawyer specializing in criminal and national security law is crucial. They can:
* Analyze the specific details of the case, including the nature of the material support provided and the evidence available to demonstrate lack of awareness.
* Assess the viability of the lack of awareness defense based on Philippine law and relevant case precedents.
* Explore alternative strategies, such as plea bargaining or cooperation with authorities, depending on the situation.
**Additional Considerations:**
* **Negligence vs. Recklessness:** The line between negligence (failing to exercise due care) and recklessness (conscious disregard for the potential consequences) is crucial. A lawyer can help navigate this distinction in the context of the case.
* **Cooperation with Authorities:** Demonstrating a willingness to cooperate with authorities after realizing they were unknowingly supporting a terrorist organization can be viewed favorably.
**Disclaimer:** This is a general overview. The success of a lack of awareness defense in a terrorism case hinges heavily on the specific details and the evidence presented. Consulting with a lawyer is highly recommended for a more comprehensive analysis and tailored legal advice.</t>
  </si>
  <si>
    <t>You receive information about a potential terrorist attack targeting a public transportation vehicle. What legal actions can be taken to secure the vehicle and prevent the attack?</t>
  </si>
  <si>
    <t>Here are some legal actions you can take to secure a public transportation vehicle and prevent a terrorist attack based on the information you received:
**Immediate Reporting:**
* **Republic Act No. 11479 (Anti-Terrorism Act of 2020):** Section 19. Obligation to Report requires anyone with knowledge or reasonable suspicion of an impending terrorist attack to report it immediately to the nearest law enforcement agency. This is the most crucial step.
**Law Enforcement Actions:**
* **Investigation:** Authorities can initiate an investigation to assess the credibility of the information and identify potential attackers. * Depending on the details received, this might involve:
* Reviewing passenger manifests or security footage from previous trips on the targeted vehicle (if available).
* Investigating known terrorist groups or individuals in the area.
* Conducting interviews with informants or individuals who might have additional information.
* **Surveillance:** Authorities can conduct legal surveillance of the public transportation system and potential targets within the bounds set by the Constitution (Article III, Section 2) and relevant laws.
**Securing the Public Transportation Vehicle:**
* **Collaboration with Transportation Authorities:** Work with the relevant transportation authority (e.g., bus company, train operator) to implement increased security measures. These may include:
* Increased security presence at stations or terminals, potentially involving police or security personnel.
* Random bag checks or security screenings for passengers boarding the vehicle.
* Increased patrols on board the vehicle during the trip.
**Communication:**
* **Balancing Security and Public Panic:** While informing the public about the potential threat might be necessary, avoiding panic is crucial. Coordinate with appropriate authorities and the transportation company to craft a clear and concise message that focuses on security measures being taken.
**Additional Considerations:**
* **Specificity of Information:** The effectiveness of legal actions depends heavily on the details of the information received. The more specific the information (e.g., time, location, target vehicle details, attacker descriptions), the more targeted the response can be.
* **Public Cooperation:** Encourage the public to report any suspicious activity or unattended packages on public transportation vehicles to authorities.
* **Adapting Security Measures:** Security measures should be adapted based on the evolving information and potential changes in the threat.
**Important Notes:**
* All evidence collection and legal actions must comply with Philippine law to ensure they hold up in court. * Balancing security needs with public safety and smooth operation of the transportation system is important.
**Additional Resources:**
* Philippine National Police (PNP): [https://pnp.gov.ph/](https://pnp.gov.ph/)
* National Intelligence Coordinating Agency (NICA): [https://nica.gov.ph/](https://nica.gov.ph/)
Remember, this is just a general overview. Consulting with a lawyer can provide more specific guidance based on the details of the information you received and the specific type of public transportation vehicle involved.</t>
  </si>
  <si>
    <t>A person is arrested for the use of false information related to terrorism but claims that they were coerced. How is the defense of coercion addressed under Philippine law?</t>
  </si>
  <si>
    <t>The defense of coercion, when applied to a case involving the use of false information related to terrorism, can be complex in Philippine law. Here's a breakdown of how it might be addressed:
**Revised Penal Code (Act No. 3815):**
* Article 12. Circumstances Affecting Criminal Liability: This article outlines various circumstances that can exempt a person from criminal liability or mitigate the penalty. Here's the relevant section:
* Paragraph 6. **Compulsion:** This exempts a person from criminal liability who acted under the compulsion of an irresistible force or a grave threat that could not be resisted without endangering his life or that of his loved ones.
**Challenges of Coercion Defense:**
* **Strict Liability for False Information:** Philippine law, particularly the Anti-Terrorism Act of 2020 (Republic Act No. 11479), doesn't explicitly mention coercion as a defense for using false information related to terrorism. This makes it more challenging compared to other crimes. * **Immediacy and Gravity of Threat:** The threat used as coercion must be immediate, grave, and could not be reasonably resisted. Proving this in court can be difficult, especially without clear evidence.
* **Intent and Knowledge:** While the accused may not have acted entirely on their own volition, they might still have had some level of intent or knowledge about the consequences of spreading false information. This could weaken the defense.
**Possible Approaches for Coercion Defense:**
* **Evidence of Coercion:** Providing strong evidence of the threat, the danger it posed, and the inability to resist it strengthens the duress defense. This could include witness testimonies, recordings of threats, or proof of the coercer's history of violence or intimidation.
* **Cooperation with Authorities:** Demonstrating cooperation with law enforcement after the threat subsided can show a lack of true malicious intent or desire to contribute to terrorism. * **Nature of False Information:** The nature of the false information can be relevant. If it was demonstrably harmless or unlikely to cause significant disruption, it might bolster the coercion claim.
**Recommendation:**
Consulting a qualified lawyer specializing in criminal and national security law is crucial. They can analyze the specific details of the case, assess the viability of a coercion defense based on Philippine law, and explore the best course of action for the individual's situation.
**Here are some additional points to consider:**
* **Content of False Information:** The severity of the penalty might depend on the content of the false information and its potential impact on public safety or national security.
* **Cooperation with Investigation:** Providing truthful information about the source of the coercion and cooperating with the investigation can be helpful in mitigating potential charges. **Disclaimer:** This is just a general overview based on Philippine law. The specific legal options available and the strength of the coercion defense will depend on the details of the situation. Consulting with a lawyer is highly recommended for a more comprehensive analysis and guidance on the most appropriate course of action.</t>
  </si>
  <si>
    <t>You discover a group planning a terrorist attack within a residential area. What legal actions can be taken to enhance security and prevent the attack?</t>
  </si>
  <si>
    <t>Here are some legal actions you can take to enhance security and prevent a terrorist attack within a residential area:
**Immediate Reporting:**
* **Republic Act No. 11479 (Anti-Terrorism Act of 2020):** Section 19. Obligation to Report requires anyone with knowledge or reasonable suspicion of an impending terrorist attack to report it immediately to the nearest law enforcement agency. This is the most crucial step.
**Law Enforcement Actions:**
* **Investigation:** Authorities can initiate an investigation to assess the credibility of the information and identify potential attackers. This might involve:
* Surveillance of the group and their activities within legal boundaries.
* Interviews with neighbors or individuals who might have additional information.
* Gathering evidence, potentially with warrants if necessary. * **Securing the Area:** Depending on the threat level and details of the planned attack, authorities might need to secure the residential area. This could involve:
* Increased police presence in the neighborhood.
* Evacuating residents from the immediate vicinity if an imminent attack is suspected.
* Setting up checkpoints at entry and exit points (with proper legal authorization).
**Community Engagement:**
* **Public Awareness:** Local authorities can collaborate with community leaders to raise awareness about the situation without creating unnecessary panic.
* **Neighborhood Watch Programs:** Encouraging and supporting existing neighborhood watch programs, or establishing them if they don't exist, can increase citizen awareness and reporting of suspicious activity.
**Legal Considerations:**
* **Balancing Security and Civil Liberties:** Security measures should comply with Philippine law and avoid unreasonable infringements on residents' rights to privacy and movement.
* **Search Warrants:** Obtaining search warrants might be necessary if authorities need to enter private property to gather evidence or disrupt the attack plan.
* **Transparency and Communication:** While maintaining public safety is critical, authorities should be transparent with the community within the bounds of security protocols. This could involve issuing public statements or announcements through community leaders.
**Additional Considerations:**
* **Evidence Gathering:** Ensure evidence is collected according to proper legal procedures for admissibility in court, if necessary.
* **Mental Health Resources:** If individuals involved in the planned attack appear to be struggling with radicalization or mental health issues, connecting them with appropriate resources might be beneficial to prevent future threats.
**Disclaimer:** This is a general overview based on Philippine law. The specific legal measures and their application will depend on the details of the situation, the severity of the threat, and the resources available to law enforcement. Consulting with a lawyer specializing in national security law can provide more specific guidance on the legal framework applicable.</t>
  </si>
  <si>
    <t>An individual is arrested for the online dissemination of terrorist propaganda and recruitment materials but claims lack of intent. How is the defense of lack of intent addressed under Philippine law in terrorism cases?</t>
  </si>
  <si>
    <t>In the Philippines, lack of intent, sometimes referred to as mistake of fact, can be a defense in some terrorism cases, but its success depends heavily on the specific circumstances. Here's a breakdown of how it might be addressed:
**Revised Penal Code (Act No. 3815):**
* Article 36. Criminal Liability - Paragraph 1 states: "To be exempt from criminal liability, the following circumstances must concur:
* The act is voluntary; and
* There is lack of criminal intent."
**Anti-Terrorism Act of 2020 (Republic Act No. 11479):**
* The Act doesn't explicitly mention "lack of intent" as a defense. However, the concept of criminal intent still applies.
**Challenges of Lack of Intent Defense:**
* **Defining Terrorist Propaganda:** The Anti-Terrorism Act broadly defines "terrorist propaganda" as materials that incite violence or promote terrorism. This makes it difficult to argue that the individual didn't understand the content they were disseminating. * **Knowledge vs. Recklessness:** Philippine law differentiates between knowledge and recklessness. To succeed with a lack of intent defense, the individual must demonstrate a complete lack of knowledge about the content being material used for terrorism or the organization's true nature. Simply claiming ignorance might not be enough.
* **Burden of Proof:** The burden of proof lies with the defendant to establish their lack of intent by clear and convincing evidence. This can be difficult, especially when dealing with online content that is often readily identifiable as extremist.
**Possible Approaches for Lack of Intent Defense:**
* **Misunderstanding the Content:** Evidence that the individual genuinely misunderstood the content or its purpose can strengthen the defense. This could involve showing they were misled by others, misinterpreted the material due to language barriers, or lacked knowledge about extremist symbols or terminology.
* **Accidental Sharing:** If the dissemination was accidental (e.g., unknowingly sharing a link), demonstrating this with technical evidence or witness testimonies could be helpful.
**Recommendation:**
Consulting a qualified lawyer specializing in criminal and national security law is crucial. They can:
* Analyze the specific details of the case, including the nature of the content disseminated, the online platform used, and the evidence available to demonstrate lack of intent.
* Assess the viability of the lack of intent defense based on Philippine law and relevant case precedents.
* Explore alternative strategies, such as plea bargaining or cooperation with authorities, depending on the situation.
**Additional Considerations:**
* **Nature of the Platform:** The online platform used for dissemination might be relevant. Sharing content on a personal social media page versus a known extremist forum could influence the court's view of intent.
* **Cooperation with Authorities:** Demonstrating a willingness to cooperate with authorities by removing the content, identifying the source of misinformation (if applicable), and denouncing terrorism can be viewed favorably.
**Disclaimer:** This is a general overview. The success of a lack of intent defense in a terrorism case hinges heavily on the specific details and the evidence presented. Consulting with a lawyer is highly recommended for a more comprehensive analysis and tailored legal advice.</t>
  </si>
  <si>
    <t>During an investigation, you find evidence of individuals planning terrorist activities within an online gaming community. What legal measures can be taken to prevent their activities within the gaming community?</t>
  </si>
  <si>
    <t>Here are some legal measures that can be taken to prevent terrorist activities within an online gaming community based on evidence found during an investigation in the Philippines:
**Investigative Actions:**
* **Identify and Target Individuals:** Analyze the evidence to identify the specific individuals involved in planning terrorist activities. This might involve usernames, IP addresses, chat logs, or voice recordings.
* **Evaluate Threat Level:** Assess the severity of the threat based on the evidence. Are they simply discussing ideas, actively planning an attack, or attempting to recruit others?
**Legal Measures:**
* **Reporting:** * **Republic Act No. 11479 (Anti-Terrorism Act of 2020):** * Section 19. Obligation to Report requires reporting the findings to law enforcement if a credible threat is identified.
* If the investigation reveals evidence of criminal activity beyond planning (e.g., funding, acquiring weapons), additional charges might be pursued under the Anti-Terrorism Act or the Revised Penal Code.
* **Preserving Evidence:** Ensure all evidence collected during the investigation adheres to proper legal procedures for admissibility in court, if necessary. This might involve cooperation with internet service providers (ISPs) to preserve chat logs or account information.
**Collaboration with Gaming Platforms:**
* **Reporting Users:** Report identified users to the online gaming platform's security team. Most platforms have mechanisms for reporting suspicious activity or users suspected of violating their terms of service, which often prohibit promoting violence or terrorism.
* **Platform Security Measures:** Work with the gaming platform to explore ways to enhance security measures within the online community. This could involve:
* Improved user identification and verification procedures.
* Content moderation tools to identify and flag potentially extremist content.
* Reporting mechanisms that are user-friendly and encourage responsible reporting of suspicious activity within the game.
**Additional Considerations:**
* **Freedom of Speech:** While preventing terrorism is crucial, freedom of speech is also protected under the Philippine Constitution (Article III, Section 4). The goal is to target individuals planning violence, not legitimate discussions or expressions of opinion.
* **International Cooperation:** If the online gaming platform or users involved are located outside the Philippines, international cooperation with law enforcement agencies might be necessary.
**Disclaimer:** This is a general overview. The specific legal measures applicable and their effectiveness will depend on the nature of the evidence, the online gaming platform involved, and their terms of service. Consulting with a lawyer specializing in cybercrime and national security law can provide more specific guidance on the legal framework applicable and the most effective course of action.</t>
  </si>
  <si>
    <t>Political and Activist-Related Crimes</t>
  </si>
  <si>
    <t>In a scenario where a group of activists organizes a protest that leads to property damage, what legal actions can be taken against them under Philippine law?</t>
  </si>
  <si>
    <t>Here's a breakdown of potential legal actions in the Philippines against activists who caused property damage during a protest:
**Civil vs. Criminal Charges:**
* The property owner(s) can potentially pursue both civil and criminal charges against the individuals who caused the damage. **Civil Charges:**
* **Civil Lawsuit:** The property owner can file a civil lawsuit seeking compensation for the damages caused during the protest. This would involve proving:
* Ownership of the property.
* The damage occurred during the protest.
* The specific individuals involved caused the damage (identification can be an issue in large protests).
**Criminal Charges:**
* Depending on the severity and nature of the damage, the following criminal charges might be applicable:
* **Destructive Trespass (Revised Penal Code, Article 358):** Entering a property without permission and causing damage.
* **Malicious Mischief (Revised Penal Code, Article 355):** Willfully damaging property.
* **Vandalism (Special Penal Code, Act No. 3815, Article 143):** Damaging private property with the purpose of insulting the owner or the public. (This might be applicable if the damage was intended to send a specific message)
**Factors Affecting Charges:**
* **Severity of Damage:** The extent of the damage (minor scratches vs. major destruction) will influence the type of charges pursued.
* **Intentionality:** Whether the damage was intentional (vandalism) or a result of accidental actions during the protest (malicious mischief) might impact the charges.
* **Identification of Culprits:** Identifying the specific individuals responsible for the damage can be challenging in large protests. Video footage, witness testimonies, or confessions can be crucial.
**Defenses for Activists:**
* **Right to Peaceful Assembly:** The Philippine Constitution (Article III, Section 4) guarantees the right to peaceful assembly. Activists might argue their protest was peaceful, and any damage was unintentional or a result of police actions.
* **Self-Defense:** If the property damage occurred during clashes with police or security personnel, activists might claim self-defense if they feared for their safety.
**Recommendation:**
* **Both the property owner and the activists might benefit from consulting with a lawyer.** * The property owner can explore legal options for filing civil lawsuits and potentially pursuing criminal charges. * The activists can receive legal guidance on potential defenses and representation in court.
**Additional Considerations:**
* **Protest Permits:** * While not always required, obtaining a permit for large protests can help manage them more effectively and potentially mitigate the risk of property damage.
* If a permit was obtained, the terms of the permit and adherence to them might be relevant in any legal proceedings.
* **Police Actions:** * The role of the police in managing the protest and their actions toward the activists might be relevant in some cases, particularly if self-defense is claimed.
**Disclaimer:** This is a general overview. The specific legal actions and their success depend on the details of the situation, the evidence available, and the specific charges pursued. Consulting with a lawyer is highly recommended for a comprehensive analysis and tailored legal advice.</t>
  </si>
  <si>
    <t>You witness an act of violence targeting a political figure during a public event. What immediate legal actions can be taken to address the situation?</t>
  </si>
  <si>
    <t>Here are some immediate legal actions that can be taken to address an act of violence targeting a political figure during a public event in the Philippines:
**Prioritize Safety:**
* **Ensure your own safety and the safety of others around you.** Assess the situation and move to a safe location if possible.
**Call for Help:**
* **Dial 117 (PNP Emergency Hotline) or approach the nearest police officer immediately.** Report the act of violence and provide details about the attacker, the victim, and your location.
**Secure the Scene:**
* **If it's safe to do so, and you have the proper training, you can assist in securing the scene.** This might involve helping to restrain the attacker (only if absolutely necessary and safe) or preventing others from entering the immediate vicinity. However, prioritize your safety and leave this to security personnel if available.
**Preserve Evidence:**
* **If possible, and without putting yourself at risk, try to document the scene.** This could involve taking pictures or videos of the attacker, the victim, and the aftermath of the violence. However, prioritize your safety and avoid interfering with emergency responders.
**Witness Testimony:**
* **If you witnessed the attack, cooperate with law enforcement by providing a clear and accurate account of what you saw.** **Additional Considerations:**
* **Medical Attention:** If the political figure or anyone else is injured, ensure they receive medical attention as soon as possible. * **Legal Representation:** The political figure might benefit from consulting with a lawyer to explore legal options, such as pressing charges against the attacker.
**Important Notes:**
* **Do not attempt to apprehend the attacker yourself.** Leave that to trained law enforcement personnel.
* **Be aware of your surroundings and remain calm.** * **Follow instructions from law enforcement officials.**
**Disclaimer:** This is a general overview. The specific legal actions and their application will depend on the details of the situation and the severity of the violence. Consulting with a lawyer can provide more specific guidance depending on the specific circumstances.</t>
  </si>
  <si>
    <t>A political activist is facing threats and harassment online. What legal steps should be taken to protect the activist and hold the perpetrators accountable?</t>
  </si>
  <si>
    <t>Here are some legal steps a political activist facing online threats and harassment can take in the Philippines to protect themselves and hold the perpetrators accountable:
**Evidence Gathering:**
* **Document the Threats:** * Save screenshots or recordings of the online threats and harassment. * Include timestamps and any information about the perpetrators' accounts (usernames, IDs).
* **Report to Platform:** Report the threats and harassment to the social media platform or online service where they occurred. Most platforms have reporting mechanisms for cyberbullying and harassment.
**Legal Actions:**
* **Cybercrime Complaint:** Consider filing a cybercrime complaint under the Republic Act No. 10175 or the Cybercrime Prevention Act of 2012. This Act defines and penalizes various online offenses, including:
* **Cyberbullying (Section 4 c):** Any acts that attack a person's reputation, causing distress, fear, or shame.
* **Threatening Violence (Section 5):** Threatening to inflict injury to a person or their property. * **Harassment (Section 6):** Acts that intend to annoy, abuse, or coerce a person.
* **Libel Complaint:** If the online threats involve defamatory statements that damage the activist's reputation, a libel complaint under the Revised Penal Code (Article 355) might be considered.
**Protection Measures:**
* **Account Security:** Review and strengthen account security settings on social media platforms and other online accounts. This might involve enabling two-factor authentication and using strong passwords.
* **Privacy Settings:** Adjust privacy settings on social media platforms to limit who can see posts and comments. * **Consider a Restraining Order:** Depending on the severity of the threats and the potential risk to safety, a lawyer can advise on the possibility of seeking a restraining order against the perpetrators.
**Additional Considerations:**
* **Law Enforcement Assistance:** Report the threats to law enforcement, especially if they involve real-world violence or stalking.
* **Support Network:** Surround yourself with a supportive network of friends, family, and colleagues. * **Mental Health Support:** Online harassment can take a toll on mental well-being. Consider seeking professional mental health support if needed.
**Recommendation:**
Consulting a lawyer specializing in cybercrime and media law is crucial. They can:
* Analyze the evidence collected and advise on the most appropriate legal course of action (cybercrime complaint, libel suit, etc.). * Assist with filing legal documents and navigating the legal process.
* Guide the activist on online safety measures and potential risk management strategies.
**Disclaimer:** This is a general overview. The specific legal options available and their success depend on the details of the online threats and harassment, the evidence collected, and the perpetrators' identities. Consulting with a lawyer is highly recommended for a comprehensive analysis and tailored legal advice.</t>
  </si>
  <si>
    <t>During an election, you observe individuals intimidating voters at a polling station. What legal actions can be taken to ensure a fair and transparent voting process?</t>
  </si>
  <si>
    <t>Legal Actions:
1. Immediately report the incident to the Commission on Elections (COMELEC) officials present at the polling station.
2. File a formal complaint with the COMELEC regarding the voter intimidation incident, providing any evidence or witness testimony available.
3. Request the assistance of law enforcement officers present at the polling station to intervene and address the voter intimidation.
4. If necessary, seek a temporary restraining order from the appropriate court to prevent further voter intimidation at the polling station.
5. Encourage affected voters to document the incident and provide statements to support the complaint filed with the COMELEC.
6. Cooperate with election watchdog organizations or civil society groups to monitor and report instances of voter intimidation during the election.
7. Advocate for increased security measures at the polling station to prevent future instances of voter intimidation.
8. Educate voters about their rights and the procedures for reporting voter intimidation to ensure a fair and transparent voting process.
9. Support efforts to prosecute individuals responsible for voter intimidation under relevant election laws and regulations.
10. Raise awareness about the importance of free and fair elections and the consequences of interfering with the voting process to deter future instances of voter intimidation.</t>
  </si>
  <si>
    <t>A journalist reporting on political issues is attacked and injured while covering a protest. What legal measures can be taken to address the assault and protect journalists in similar situations?</t>
  </si>
  <si>
    <t>Here are some legal measures that can be taken to address the assault on the journalist and protect journalists in similar situations:
**For the specific assault:**
* **File a police report:** This is the first step to get law enforcement involved in investigating the attack and apprehending the perpetrator(s). * **Press charges:** Depending on the severity of the injuries and the local legal system, the journalist may be able to press charges against the attacker. * **Civil lawsuit:** The journalist could also consider filing a civil lawsuit against the attacker to recover compensation for medical expenses, lost wages, and pain and suffering.
**To protect journalists in general:**
* **Advocacy for stronger legislation:** Journalist organizations and press freedom advocates can lobby for laws that specifically protect journalists from violence while reporting, particularly during protests. * **Investigate and prosecute attacks:** Authorities need to thoroughly investigate attacks on journalists and hold the perpetrators accountable. This sends a message that such violence will not be tolerated.
* **Training for law enforcement:** Law enforcement officers can be trained to recognize journalists and understand their role in covering protests. This can help to de-escalate situations and prevent violence.
* **Safety protocols for journalists:** News organizations can develop and implement safety protocols for journalists covering potentially risky events like protests. This might include things like wearing protective gear, having a buddy system, and having clear escape routes.
These are some of the legal measures that can be taken. The specific actions will vary depending on the location and the circumstances of the assault.
Here are some resources that can provide more information:
* Committee to Protect Journalists ([https://cpj.org/](https://cpj.org/))
* Reporters Without Borders ([https://rsf.org/en](https://rsf.org/en))</t>
  </si>
  <si>
    <t>You discover a disinformation campaign spreading false information about a political figure online. What legal actions can be taken to counteract the disinformation and hold the perpetrators accountable?</t>
  </si>
  <si>
    <t>Legal Actions:
1. Gather evidence of the disinformation campaign, including screenshots, URLs, and any other relevant information that proves the dissemination of false information.
2. Consult with legal experts or a lawyer specializing in cybercrime to assess the situation and determine the appropriate course of action.
3. Report the disinformation campaign to the relevant authorities, such as the Philippine National Police Cybercrime Division or the National Bureau of Investigation Cybercrime Division, providing all available evidence.
4. File a formal complaint with social media platforms or websites hosting the false information, requesting its removal based on violations of their terms of service or community guidelines.
5. Explore civil remedies such as filing a defamation lawsuit against the perpetrators of the disinformation campaign, seeking damages for any harm caused to the affected political figure's reputation.
6. Work with election monitoring organizations or civil society groups to raise awareness about the disinformation campaign and its potential impact on the electoral process.
7. Advocate for legislative measures to address the spread of disinformation online, including the implementation of stricter penalties for those found guilty of engaging in malicious online activities.
8. Collaborate with other affected parties, including political parties or candidates, to coordinate efforts in combating disinformation and promoting fact-based discourse.
9. Engage with media outlets and fact-checking organizations to debunk false information and provide accurate reporting on the issue.
10. Educate the public about the dangers of disinformation and the importance of critical thinking skills in evaluating online content, to prevent further dissemination of false information.</t>
  </si>
  <si>
    <t>A whistleblower exposes corruption within a political entity and faces threats of retaliation. What legal measures can be taken to protect the whistleblower and address the corruption allegations?</t>
  </si>
  <si>
    <t>Whistleblowers exposing corruption within a political entity face a difficult situation, but there are legal measures available:
**Protecting the Whistleblower:**
* **Whistleblower Protection Laws:** Many countries have laws protecting whistleblowers who report wrongdoing in good faith. These laws typically prohibit retaliation from employers or government entities. Research whistleblower protection laws in your specific location. * **Reporting the Retaliation:** If the whistleblower experiences retaliation, they can file a complaint with the agency responsible for enforcing whistleblower protection laws. * **Anonymous Reporting:** Some whistleblower hotlines and reporting mechanisms allow anonymous reports. * **Seek legal counsel:** An attorney specializing in whistleblower protection can advise on legal options and ensure proper procedures are followed.
**Addressing the Corruption Allegations:**
* **Reporting the Corruption:** Depending on the specific situation, the whistleblower can report the corruption to various entities:
* **Internal Reporting:** If the political entity has an internal oversight mechanism (e.g., inspector general's office), reporting internally might be a first step. * **Law Enforcement:** Report the wrongdoing to relevant law enforcement agencies. * **Independent Oversight Bodies:** Many countries have independent bodies that investigate government corruption.
* **Media:** If the other avenues fail or there are concerns about internal cover-up, consider going to the media outlets with a strong reputation for investigative journalism.
**Additional Tips:**
* **Document Everything:** Keep detailed records of the wrongdoing, retaliation attempts, and communication with reporting agencies. * **Seek Support:** Whistleblowing can be isolating. Consider contacting whistleblower advocacy organizations for support and guidance.
**It's important to note:**
* The effectiveness of these measures can vary depending on the specific jurisdiction and the severity of the corruption.
* The process of exposing corruption and seeking protection can be lengthy and challenging.
**Further Resources:**
* You can find resources and information on whistleblower protection laws and organizations through a web search for "[Your Country] Whistleblower Protection Laws."</t>
  </si>
  <si>
    <t>During a political rally, a group engages in acts of vandalism and destruction of property. What legal actions can be taken to address the crimes committed during the rally?</t>
  </si>
  <si>
    <t>Here's a breakdown of legal actions that can be taken to address vandalism and destruction of property during a political rally:
**Criminal Charges:**
* **Individual Liability:** Anyone directly involved in vandalism or destruction of property can be arrested and charged with criminal offenses. The severity of the charges will depend on the extent of the damage (e.g., misdemeanor for minor damage, felony for major destruction).
* **Aiding and Abetting:** If someone helps or encourages others to commit vandalism, they can also be charged with a crime. * **Identification:** Law enforcement will likely use video footage, witness statements, and other evidence to identify the perpetrators. **Civil Lawsuits:**
* **Property Owners:** The owners of the damaged property can file civil lawsuits against the individuals responsible for the damage to recover the costs of repairs or replacements. * **Event Organizers:** Depending on the circumstances, the organizers of the rally might be held partially liable for the damages, especially if they failed to take reasonable security measures to prevent such acts. **Additional Considerations:**
* **Rally Permits:** Violations of rally permit conditions, such as exceeding designated areas or causing damage, could lead to consequences for the organizers.
* **Investigation:** Law enforcement will likely conduct an investigation to determine who was responsible and the extent of the damages. * **Insurance:** Depending on the type of property damage, insurance might cover some or all of the repair costs. **It's important to note:**
* The specific legal actions taken will depend on the severity of the vandalism, the local laws, and the ability to identify the perpetrators.
* Gathering evidence is crucial for both criminal prosecution and civil lawsuits. If you witnessed vandalism or destruction of property during a rally, you can help by:
* **Reporting the Crime:** Report the incident to the police as soon as possible.
* **Providing Information:** If you have any information about the perpetrators, such as descriptions or video footage, share it with the authorities.
* **Cooperating with Investigation:** Cooperate with law enforcement if they request your information or testimony.
By taking these steps, you can help ensure that those responsible for the damage are held accountable.</t>
  </si>
  <si>
    <t>A political figure is falsely accused of a crime with the intent to damage their reputation. What legal steps should be taken to address the false accusations and hold those responsible accountable?</t>
  </si>
  <si>
    <t>Legal Steps:
1. Obtain legal counsel from a reputable lawyer specializing in defamation and reputation management.
2. Collect evidence disproving the false accusations, including witness testimonies, documentation, and any relevant alibis or evidence of innocence.
3. Issue a public statement denying the false accusations and providing evidence to support the political figure's innocence.
4. Consider sending a cease-and-desist letter to the individuals or entities spreading the false accusations, demanding the immediate retraction and cessation of further dissemination.
5. Explore the possibility of filing a defamation lawsuit against the individuals responsible for making and spreading the false accusations, seeking damages for harm to the political figure's reputation.
6. Engage with media outlets to provide accurate information and counteract the false accusations through interviews, press releases, or statements.
7. Coordinate with law enforcement authorities to investigate the origins of the false accusations and identify any malicious intent or conspiracy behind them.
8. Seek support from allies, political colleagues, and supporters to publicly defend the political figure and refute the false accusations.
9. Monitor and document any further instances of defamation or false accusations, taking appropriate legal action as necessary to protect the political figure's reputation.
10. Advocate for stronger legal protections against defamation and false accusations to prevent similar incidents from occurring in the future.</t>
  </si>
  <si>
    <t>You come across evidence of unauthorized surveillance targeting a political figure. What legal measures can be taken to investigate and address the invasion of privacy?</t>
  </si>
  <si>
    <t>Here are some legal measures that can be taken to investigate and address unauthorized surveillance targeting a political figure:
**1. Law Enforcement Involvement:**
* **File a police report:** This is the first step to get an official investigation started. The police will need details about the evidence of surveillance.
* **Contact relevant federal agencies:** Depending on the nature of the surveillance, agencies like the FBI or the Department of Justice might be involved in the investigation. **2. Civil Lawsuit:**
* **Sue for invasion of privacy:** The political figure can file a lawsuit against the perpetrator(s) for violating their privacy rights. This can be a complex process, but a successful lawsuit can result in financial compensation and potentially an injunction to stop the surveillance.
**3. Public Pressure and Transparency:**
* **Bring the issue to the media:** Exposing the surveillance publicly can put pressure on the authorities to investigate and hold those responsible accountable. * **Seek legal representation specializing in privacy law:** A lawyer can advise on the best course of action and ensure the legal rights of the political figure are protected.
**Additional Considerations:**
* **Preserving Evidence:** It's crucial to carefully preserve any evidence of surveillance, like recordings or bugged devices. A lawyer can advise on the best way to do this. * **National Security Concerns:** Authorities might be reluctant to investigate if they claim national security is at stake. However, even in such cases, there should be legal justification for the surveillance. **Remember:** Laws around privacy and surveillance can vary depending on your location. This is not a substitute for professional legal advice.</t>
  </si>
  <si>
    <t>An activist is arrested on politically motivated charges. What legal actions can be taken to ensure a fair trial and protect the activist's rights?</t>
  </si>
  <si>
    <t>Legal Actions:
1. Secure legal representation from a qualified lawyer experienced in defending individuals against politically motivated charges.
2. Ensure the activist's right to legal counsel is upheld and that they have access to competent legal assistance throughout the legal process.
3. Challenge the legality of the arrest and detention, particularly if there are indications of unlawful or arbitrary actions by law enforcement authorities.
4. Request a fair and impartial trial by asserting the activist's right to due process and a presumption of innocence until proven guilty.
5. Seek bail or other forms of pretrial release if the charges allow for it, to prevent prolonged detention and protect the activist's liberty.
6. File motions to suppress evidence obtained through illegal means or to exclude statements made under duress or coercion.
7. Gather evidence and witnesses to support the activist's defense, including alibis, character witnesses, and documentation of their activism and advocacy work.
8. Challenge any violations of the activist's rights, such as censorship, surveillance, or harassment, and seek legal remedies for such infringements.
9. Engage with local and international human rights organizations, legal aid groups, and advocacy networks to raise awareness of the activist's case and garner support for their defense.
10. Monitor the trial proceedings closely, document any irregularities or violations of fair trial standards, and appeal adverse rulings or judgments if necessary to ensure justice is served.</t>
  </si>
  <si>
    <t>You receive reports of a private company providing financial support to a political campaign in violation of regulations. What legal measures can be taken to investigate and address the campaign finance violation?</t>
  </si>
  <si>
    <t>Legal Measures:
1. Report the alleged campaign finance violation to the Commission on Elections (COMELEC) for investigation, providing any evidence or documentation available to support the claim.
2. Request the COMELEC to conduct an inquiry into the financial records and transactions of the political campaign suspected of receiving illegal funding from the private company.
3. Advocate for transparency and accountability by urging the COMELEC to disclose the findings of its investigation and take appropriate enforcement actions against any violators.
4. Collaborate with election watchdog organizations or civil society groups to monitor campaign finance activities and report any suspicious or unlawful practices to the authorities.
5. Encourage affected parties, such as rival political candidates or concerned citizens, to file formal complaints with the COMELEC regarding the alleged campaign finance violation.
6. Support efforts to strengthen campaign finance regulations and enforcement mechanisms to prevent future violations and ensure the integrity of electoral processes.
7. Seek legal remedies such as fines or penalties against both the political campaign and the private company found guilty of violating campaign finance regulations.
8. Advocate for public disclosure of campaign finance information to enhance transparency and accountability in the electoral system.
9. Engage with the media to raise awareness about the importance of adhering to campaign finance laws and the consequences of violating them.
10. Monitor the implementation of corrective measures or sanctions imposed by the COMELEC to address the campaign finance violation and ensure compliance with regulatory requirements.</t>
  </si>
  <si>
    <t>A political figure's family members face threats and harassment due to their association with the figure. What legal actions can be taken to protect the family members and address the harassment?</t>
  </si>
  <si>
    <t>Here are some legal actions that can be taken to protect the family members of a political figure from threats and harassment:
* **File a Police Report:** This is the first step to establish a record of the harassment. The police report will detail the nature of the threats and harassment, including dates, times, and any evidence available (e.g., screenshots, voice recordings).
* **Seek a Protection Order:** Depending on the severity of the harassment, a restraining order or protection order can be requested from the court. This order prohibits the harasser from contacting or coming near the family members. * **Press Charges:** If the harassment is criminal in nature (e.g., stalking, threats of violence), the police may press charges against the harasser. * **Civil Lawsuit:** A civil lawsuit can be filed against the harasser for emotional distress or defamation. This can be a way to recover damages for the harm caused by the harassment.
**Additionally:**
* **Security Measures:** Depending on the level of threat, increased security measures for the family members might be considered. This could involve home security systems, personal security detail, or changes in routine.
* **Public Statement:** A public statement condemning the harassment and expressing support for the family might be issued. **It's important to consult with a lawyer** specializing in harassment and protection orders to determine the best course of action based on the specific details of the situation. The lawyer can advise on the relevant laws and procedures in your jurisdiction.
Here are some resources that can help:
* National Center for Victims of Crime ([https://victimsofcrime.org/](https://victimsofcrime.org/)) * National Domestic Violence Hotline ([https://www.thehotline.org/](https://www.thehotline.org/))</t>
  </si>
  <si>
    <t>During a political demonstration, individuals engage in cyberattacks against government websites. What legal steps can be taken to investigate and address the cyberattacks?</t>
  </si>
  <si>
    <t>Here are some legal steps that can be taken to investigate and address cyberattacks against government websites during a political demonstration:
**Investigation:**
* **Law Enforcement:** Authorities will likely involve law enforcement agencies with cybercrime units. They'll analyze attack logs, network traffic data, and potentially compromised systems to identify the origin of the attacks. * **Digital Forensics:** Forensic analysis of affected systems can reveal clues about the attackers' methods and potential entry points. * **Subpoenas and Warrants:** Law enforcement may seek subpoenas from internet service providers (ISPs) to identify account holders associated with the attacks. Warrants may be needed to access specific user data.
**Legal Action:**
* **Federal Charges:** Depending on the severity of the attack and the information accessed or disrupted, federal charges under the Computer Fraud and Abuse Act (CFAA) can be pursued. * **State Charges:** Many states also have laws against cybercrime that can be applied. * **Civil Lawsuits:** The government could potentially file civil suits against the attackers to recover damages caused by the cyberattacks. **Additional Considerations:**
* **Attribution:** Attributing cyberattacks can be difficult, especially if attackers use anonymization tools. International cooperation might be necessary if the attacks originate from outside the country.
* **Freedom of Speech:** Authorities must balance the need to investigate and prosecute cybercrimes with the protection of free speech. Low-level disruptions, like denial-of-service attacks, might be treated differently from attacks that steal data or damage critical infrastructure.
**It's important to note that specific legal actions will depend on the nature of the cyberattacks and the laws of the jurisdiction.** Here are some resources that can provide more information:
* U.S. Department of Justice Computer Crime and Intellectual Property Section ([https://www.justice.gov/criminal/criminal-ccips](https://www.justice.gov/criminal/criminal-ccips))
* FBI Cyber Division ([https://www.fbi.gov/investigate/cyber](https://www.fbi.gov/investigate/cyber))</t>
  </si>
  <si>
    <t>A political party is accused of using public resources for its electoral campaign. What legal measures can be taken to investigate and address the misuse of public resources?</t>
  </si>
  <si>
    <t>Legal Measures:
1. Initiate a formal complaint with the Commission on Elections (COMELEC) regarding the alleged misuse of public resources by the political party for its electoral campaign.
2. Provide any available evidence or documentation supporting the accusation, such as financial records, witness testimonies, or photographs/videos showing the misuse of public resources.
3. Advocate for the COMELEC to conduct a thorough investigation into the allegations, including reviewing the political party's financial statements and campaign expenditures.
4. Request assistance from relevant government agencies, such as the Commission on Audit (COA) or the Department of the Interior and Local Government (DILG), to audit the use of public funds and resources by the accused political party.
5. Collaborate with election watchdog organizations or civil society groups to monitor the activities of the political party and gather additional evidence of misuse of public resources.
6. Encourage affected parties, including rival political parties or concerned citizens, to come forward with information or complaints about the alleged misuse of public resources.
7. Advocate for transparency and accountability in the use of public funds by political parties, including the implementation of stricter regulations and oversight mechanisms.
8. Support legal actions, such as filing a petition for disqualification or seeking judicial remedies, if the misuse of public resources by the political party is found to be in violation of election laws.
9. Engage with the media to raise public awareness about the issue and pressure authorities to take appropriate actions to address the misuse of public resources.
10. Monitor the outcome of the investigation and any disciplinary actions or sanctions imposed by the COMELEC or other relevant agencies to ensure accountability and deter future abuses of public resources by political parties.</t>
  </si>
  <si>
    <t>You discover a group engaged in the unauthorized access and tampering of election-related systems. What immediate legal actions can be taken to prevent interference with the electoral process?</t>
  </si>
  <si>
    <t>Immediate Legal Actions:
1. Contact the appropriate law enforcement authorities, such as the Philippine National Police Cybercrime Division or the National Bureau of Investigation Cybercrime Division, to report the unauthorized access and tampering of election-related systems.
2. Request emergency measures, such as a temporary restraining order or injunction, from the relevant court to halt any ongoing unauthorized activities and prevent further interference with the electoral process.
3. Secure the affected election-related systems and conduct a thorough assessment to determine the extent of the unauthorized access and tampering, documenting any evidence of wrongdoing.
4. Implement enhanced security measures, including strengthening passwords, encrypting sensitive data, and limiting access to critical election systems, to prevent future breaches.
5. Coordinate with the Commission on Elections (COMELEC) and other election management bodies to ensure that appropriate safeguards are in place to protect the integrity and security of the electoral process.
6. Notify relevant stakeholders, including political parties, candidates, and election monitoring organizations, about the incident and the actions being taken to address it, to maintain transparency and accountability.
7. Engage with cybersecurity experts and forensic analysts to assist in investigating the unauthorized access and tampering of election-related systems and identify any vulnerabilities that need to be addressed.
8. Educate election officials and personnel about cybersecurity best practices and the importance of vigilance in detecting and preventing unauthorized access to election systems.
9. Advocate for increased funding and resources for cybersecurity measures to enhance the resilience of election infrastructure against cyber threats and attacks.
10. Monitor the situation closely and provide regular updates to the public and relevant authorities on the status of the investigation and any remedial actions taken to safeguard the electoral process.</t>
  </si>
  <si>
    <t>A political figure is arrested on charges of illegal possession of firearms during a campaign. What legal actions can be taken to ensure a fair investigation and trial?</t>
  </si>
  <si>
    <t>Here are some legal actions that can be taken to ensure a fair investigation and trial for a political figure arrested on charges of illegal possession of firearms:
**Pre-Trial**
* **Secure Legal Representation:** The first and most crucial step is for the political figure to secure competent legal representation from a lawyer experienced in criminal defense. The lawyer can advise on the specifics of the case and navigate the legal system.
* **Challenge the Arrest or Evidence:** The defense attorney can analyze the circumstances of the arrest and potentially challenge its legality if proper procedures weren't followed. Additionally, they can examine the evidence collected and see if there are grounds to suppress it due to improper search and seizure techniques. * **Request a Change of Venue:** If there's a concern about biased jurors due to the political figure's status, the defense can request a change of venue to a more neutral location. * **Public Statements:** The defense team can strategically release public statements to counter any negative media coverage and ensure the public understands the accused has the right to a fair trial. **Trial**
* **Meticulous Defense:** The defense lawyer will build a strong case, potentially including arguments like mistaken identity, possession with a valid permit (depending on jurisdiction), or questioning the chain of custody of evidence.
* **Alibi or Explanation:** If the political figure has a credible alibi or explanation for possessing the firearms, the defense will present it in court. * **Character Witnesses:** Character witnesses can speak to the political figure's positive reputation and cast doubt on the prosecution's case.
**Additional Considerations**
* **Independent Investigation:** If concerns exist about a biased investigation, the defense might explore the possibility of requesting an independent investigation. * **Public Scrutiny:** Maintaining a focus on the legal process and the presumption of innocence can help ensure a fair trial.
**It's important to note** that these are general points, and the specific legal actions will depend on the details of the case, the jurisdiction, and the political landscape. Always consult with a qualified lawyer for specific legal advice.</t>
  </si>
  <si>
    <t>You witness a private entity releasing false information to manipulate public opinion in favor of a particular political figure. What legal steps can be taken to counteract the disinformation campaign and hold the entity accountable?</t>
  </si>
  <si>
    <t>Legal Steps:
1. Document the false information disseminated by the private entity, including screenshots, URLs, and any other evidence that proves the manipulation of public opinion.
2. Consult with legal experts or a lawyer specializing in defamation and media law to assess the legal options available for addressing the disinformation campaign.
3. Send a cease-and-desist letter to the private entity, demanding the immediate retraction and cessation of further dissemination of false information, citing applicable defamation laws.
4. File a formal complaint with the Philippine National Police Cybercrime Division or the National Bureau of Investigation Cybercrime Division, reporting the dissemination of false information online and providing evidence to support the claim.
5. Request the assistance of social media platforms or websites hosting the false information to remove the content based on violations of their terms of service or community guidelines.
6. Pursue civil remedies such as filing a defamation lawsuit against the private entity responsible for the disinformation campaign, seeking damages for any harm caused to the affected political figure's reputation.
7. Work with election monitoring organizations or civil society groups to raise awareness about the disinformation campaign and its potential impact on public opinion and democratic processes.
8. Advocate for legislative measures to address the spread of disinformation and misinformation, including the implementation of stricter penalties for those found guilty of engaging in malicious online activities.
9. Engage with media outlets and fact-checking organizations to debunk false information and provide accurate reporting on the issue.
10. Collaborate with other affected parties, including political parties, candidates, and advocacy groups, to coordinate efforts in combating disinformation and promoting fact-based discourse in the public sphere.</t>
  </si>
  <si>
    <t>An activist's online activities are monitored without their knowledge. What legal measures can be taken to investigate and address the unauthorized surveillance?</t>
  </si>
  <si>
    <t>The Philippine Constitution and several RAs can be used to investigate and address the unauthorized surveillance of an activist's online activities. Here's how:
**Philippine Constitution**
* **Article III, Section 1**: Right to privacy - This guarantees the right to be secure in one's person, houses, papers, and effects against unreasonable searches and seizures. Online activities can be considered part of one's "effects" depending on the nature of the information collected.
**Republic Acts (RAs)**
* **RA 10173 (Data Privacy Act of 2012)**: This law protects an individual's personal information. It grants individuals the right to be informed, access, object, rectify, and erase their personal data. Unauthorized online monitoring likely involves the collection of personal information, making this a potential violation.
* **RA 10175 (Cybersecurity Act of 2012)**: This law aims to protect the country's cyberspace. While its primary focus is on national security, it can be argued that unauthorized surveillance can be a form of cybercrime.
**Investigation and Legal Measures**
* **National Privacy Commission (NPC)**: The activist can file a complaint with the NPC for a potential violation of the Data Privacy Act. The NPC can investigate and order corrective actions, including the deletion of illegally collected data. [https://privacy.gov.ph/](https://privacy.gov.ph/)
* **Legal Action**: Depending on the nature and purpose of the surveillance, the activist might consider filing a lawsuit for violation of privacy rights or cybercrime offenses. Consulting a lawyer specializing in cyberlaw would be highly recommended in this case. **Additional Points**
* The success of these legal measures depends on gathering evidence of the unauthorized surveillance. This could involve screenshots, logs, or expert testimony.
* If the activist suspects a government agency is behind the surveillance, a petition for a writ of amparo (protection order) might be an option. However, this is a complex legal procedure and requires a lawyer's expertise.
**Remember:** This is not an exhaustive list, and the specific legal options will depend on the details of the case. Consulting a qualified lawyer specializing in cyberlaw is highly recommended for a more comprehensive legal strategy.</t>
  </si>
  <si>
    <t>A political figure is accused of accepting bribes from a corporation. What legal actions can be taken to investigate and address the allegations of bribery?</t>
  </si>
  <si>
    <t>Here's how Philippine law can be used to investigate and address allegations of bribery against a political figure:
**Philippine Constitution**
* **Article XI, Section 1**: Public Accountability - This provision emphasizes that public officers and employees must be accountable to the people. **Republic Acts (RAs)**
* **RA 3019 (Anti-Graft and Corrupt Practices Act)**: This is the primary law against corruption in the Philippines. It defines and penalizes various acts of bribery, including those involving public officials.
* **RA 6770 (Ombudsman Act of 1988)**: This law creates the Office of the Ombudsman, which investigates and prosecutes cases against government officials, including bribery.
**Investigation and Legal Actions:**
* **Ombudsman**: Anyone can file a verified complaint with the Office of the Ombudsman against the political figure. The complaint should detail the allegations of bribery, including any evidence available. [https://www.ombudsman.gov.ph/docs/FOI/OMB_FOI_ContactInformation.pdf](https://www.ombudsman.gov.ph/docs/FOI/OMB_FOI_ContactInformation.pdf) * **Sandiganbayan**: If the Ombudsman finds probable cause, it can file a case with the Sandiganbayan, a special court that handles cases against government officials with a penalty of at least four years imprisonment.
* **Senate or House of Representatives**: Depending on the political position of the accused, the Senate (for national officials) or the House of Representatives (for local officials) can conduct an impeachment process. This is a political process that can lead to removal from office.
**Evidence Gathering:**
A strong case hinges on gathering evidence like:
* **Witness testimonies**: This could include individuals with knowledge of the alleged bribe-giving or receiving.
* **Documentary evidence**: This could be financial records, emails, or other documents that suggest a bribe transaction.
**Additional Points:**
* **Whistleblower Protection Program**: The Whistleblower Protection Program under RA 6713 encourages individuals to report corruption. This program offers protection and benefits to whistleblowers who come forward with information.
* **Media**: Exposing the allegations through media outlets can put pressure on authorities to investigate.
**Important Note:**
The burden of proof lies with the complainant. Gathering strong evidence is crucial for a successful investigation and prosecution.
**Recommendation:**
Consulting a lawyer specializing in anti-corruption laws is highly recommended to navigate the legal process and build a strong case.</t>
  </si>
  <si>
    <t>During an election, you observe individuals engaging in doxxing against political candidates. What legal steps can be taken to address the doxxing and protect the privacy of the candidates?</t>
  </si>
  <si>
    <t>In the Philippines, doxxing, which involves the unauthorized disclosure of personal information with malicious intent, can be addressed through various legal avenues. Here are some steps that can be taken to address doxxing and protect the privacy of political candidates:
1. Cybercrime Prevention Act of 2012 (RA 10175): Under this law, doxxing may be considered a cybercrime, particularly under the provisions related to unauthorized access to computer systems and data interference. Complaints regarding doxxing can be filed with the Cybercrime Investigation and Coordinating Center (CICC) or with the Philippine National Police-Cybercrime Group (PNP-CCG).
2. Data Privacy Act of 2012 (RA 10173): This law regulates the processing of personal information in both government and private sectors. Doxxing involves the unauthorized disclosure of personal information, which may violate the rights of individuals under this law. Complaints can be filed with the National Privacy Commission (NPC) for violations of the Data Privacy Act.
3. Election laws: Doxxing may also violate election laws, particularly those that prohibit actions intended to discredit or destroy the reputation of political candidates. Violations of election laws can be reported to the Commission on Elections (COMELEC) for appropriate action.
4. Civil remedies: Political candidates who are victims of doxxing may also seek civil remedies, such as filing a complaint for damages against the individuals responsible for the unauthorized disclosure of their personal information.
5. Constitutional provisions: The right to privacy is protected under Article III, Section 3 of the Philippine Constitution. Political candidates can invoke this provision to seek legal protection against unauthorized disclosures of their personal information.
Overall, addressing doxxing against political candidates requires a comprehensive approach involving various legal mechanisms, including cybercrime laws, data privacy regulations, election laws, civil remedies, and constitutional protections of privacy rights.</t>
  </si>
  <si>
    <t>A political figure is facing threats and harassment from a rival political group. What legal actions can be taken to ensure the safety of the figure and hold the perpetrators accountable?</t>
  </si>
  <si>
    <t>Here are some legal actions a political figure facing threats and harassment can take:
**Report the threats to law enforcement:**
* This is the most crucial step. File a police report detailing the threats, including the nature of the threats, the platform they were made on (verbal, written, online), and any identifying information about the perpetrators. * Law enforcement can investigate the threats and determine if they rise to the level of criminal harassment or intimidation. **Seek a restraining order:**
* A restraining order can be a civil court order prohibiting the perpetrators from contacting or coming near the political figure. * This can provide some peace of mind and potentially deter future harassment.
**Work with a lawyer specializing in media law and security:**
* A lawyer can advise on the best course of action based on the specific details of the case. * They can also help with filing lawsuits against the perpetrators for defamation or intentional infliction of emotional distress (depending on the nature of the harassment).
**Document everything:**
* Keep a record of all threats, including screenshots, voice recordings, and any physical evidence. * This documentation will be crucial if legal action is pursued.
**Increase security measures:**
* Depending on the severity of the threats, consider increasing security measures around the political figure's home, office, and public appearances. * This could involve working with private security or requesting police escorts.
**Publicly denounce the harassment:**
* Bringing the harassment to light can put pressure on the rival group and discourage further threats. * It's important to strike a balance between raising awareness and not giving the perpetrators undue attention.
**Here are some additional resources:**
* Depending on your location, there might be specific government agencies or organizations that can offer support and resources for politicians facing threats.
* Consider contacting your local chapter of the American Civil Liberties Union (ACLU) which has a history of defending free speech but also protecting individuals from harassment and intimidation.
Remember, it's important to act swiftly when facing threats. By taking legal action, documenting everything, and increasing security, the political figure can hopefully ensure their safety and hold the perpetrators accountable.</t>
  </si>
  <si>
    <t>You receive reports of a political party engaging in voter coercion during an election. What legal measures can be taken to investigate and address the allegations of voter coercion?</t>
  </si>
  <si>
    <t>Allegations of voter coercion during an election are serious and should be addressed promptly to uphold the integrity of the electoral process. In the Philippines, there are several legal measures that can be taken to investigate and address such allegations:
1. Commission on Elections (COMELEC): The COMELEC is the primary agency responsible for ensuring free, fair, and credible elections in the Philippines. Reports of voter coercion should be submitted to the COMELEC for investigation. The COMELEC has the authority to conduct inquiries, summon witnesses, and gather evidence related to electoral offenses.
2. Omnibus Election Code (Batas Pambansa Blg. 881): The Omnibus Election Code contains provisions that prohibit various forms of election offenses, including voter coercion. Section 261 of the Omnibus Election Code enumerates acts that constitute election offenses, including intimidation, coercion, and threats to compel individuals to vote or refrain from voting for a particular candidate or political party. Complaints regarding voter coercion can be filed with the COMELEC, which has the authority to prosecute election offenses.
3. Witness Protection, Security, and Benefit Act (RA 6981, as amended by RA 9372): Witnesses who have information about voter coercion may be provided with protection and security under this law. The Witness Protection Program (WPP) aims to encourage witnesses to come forward and testify against individuals involved in criminal activities, including election offenses.
4. Criminal Code of the Philippines: Voter coercion may also constitute criminal offenses under the Criminal Code, such as coercion (Article 286), threats (Article 282), and intimidation (Article 133). Complaints regarding criminal offenses related to voter coercion can be filed with the appropriate law enforcement agencies for investigation and prosecution.
5. Civil remedies: Individuals who have been subjected to voter coercion may seek civil remedies, such as filing a complaint for damages against the individuals or political party responsible for the coercion.
Overall, addressing allegations of voter coercion during an election requires a coordinated effort among government agencies, law enforcement authorities, and electoral stakeholders to investigate the allegations, gather evidence, and hold accountable those responsible for violating election laws and undermining the integrity of the electoral process.</t>
  </si>
  <si>
    <t>A journalist reporting on political corruption is falsely accused of spreading disinformation. What legal steps can be taken to defend the journalist and address the false accusations?</t>
  </si>
  <si>
    <t>The journalist has several legal options to fight the false accusations and defend their reputation:
**1. Defamation Lawsuit:**
* This is the most common course of action. The journalist can sue the person or entity making the false claims for defamation. To win, they'll need to prove the statement is false, was made with malice (meaning knowing it was false or with reckless disregard for the truth), and damaged their reputation.
**2. Anti-SLAPP Law (if applicable):**
* Some countries (like the US) have Strategic Lawsuit Against Public Participation (SLAPP) laws. These protect people exercising their free speech rights from lawsuits meant to silence them through legal costs. If the journalist's reporting is considered public interest, this law might help dismiss the accusation.
**3. Right of Reply:**
* Many countries have laws granting individuals the right to respond to false or misleading information published about them. The journalist can use this to demand equal space or airtime to present their side of the story.
**4. Injunction:**
* In some cases, the journalist can seek a court order (injunction) to stop the spread of the false accusation. This is quicker than a lawsuit but requires a strong case for the accusation's harmfulness.
**Additional Steps:**
* **Public Statement:** Issue a clear and concise statement refuting the accusations, providing evidence supporting their reporting.
* **Media Outreach:** Share their story with other media outlets to gain wider coverage and counter the false narrative.
* **Press Freedom Organizations:** Seek support from journalist unions or press freedom organizations. These groups can offer legal advice, resources, and public advocacy.
**Remember:** * Consult a lawyer specializing in media law to determine the best course of action based on the specific situation and jurisdiction. * The burden of proof may differ. Sometimes the journalist needs to prove the truth of their reporting, while in other cases the accuser needs to prove the information is false.
By taking these steps, the journalist can defend their reputation, fight against attempts to silence them, and continue their important work of exposing corruption.</t>
  </si>
  <si>
    <t>A political activist is detained without proper legal grounds. What legal actions can be taken to challenge the unlawful detention and protect the activist's rights?</t>
  </si>
  <si>
    <t>If a political activist is detained without proper legal grounds in the Philippines, there are legal actions that can be taken to challenge the unlawful detention and protect the activist's rights. Here are some steps that can be pursued:
1. Writ of Habeas Corpus: The writ of habeas corpus is a legal remedy that can be used to challenge the legality of a person's detention. An application for a writ of habeas corpus can be filed with the appropriate court, alleging that the detention is unlawful and requesting the court to order the release of the detainee unless lawful grounds for detention are shown.
2. Filing of Petition for Writs of Amparo and Habeas Data: In cases where the unlawful detention is accompanied by threats to the life, liberty, or security of the detainee, a petition for writs of amparo and habeas data can be filed. The writ of amparo is a remedy available to protect the constitutional rights to life, liberty, and security, while the writ of habeas data is a remedy for the protection of the right to privacy and access to information about oneself.
3. Legal representation: The detainee should be provided with legal representation to challenge the unlawful detention and defend their rights. Legal assistance can be sought from human rights organizations, legal aid groups, or private lawyers specializing in human rights and constitutional law.
4. Reporting to human rights agencies: Allegations of unlawful detention should be reported to human rights agencies, such as the Commission on Human Rights (CHR), for investigation and intervention. The CHR has the authority to inquire into human rights violations, including arbitrary detention, and to recommend measures to address such violations.
5. Public advocacy and mobilization: Civil society organizations, advocacy groups, and concerned individuals can mobilize public support and raise awareness about the unlawful detention through campaigns, protests, and other forms of advocacy. Public pressure can help to bring attention to the case and exert pressure on authorities to respect the activist's rights and release them from detention.
Overall, challenging unlawful detention requires a multi-faceted approach involving legal remedies, human rights advocacy, and public mobilization to ensure that the activist's rights are protected and upheld in accordance with Philippine laws and international human rights standards.</t>
  </si>
  <si>
    <t>During a political rally, a group engages in hate speech and incitement to violence. What legal measures can be taken to address the hate speech and prevent violence?</t>
  </si>
  <si>
    <t>In the Philippines, hate speech and incitement to violence are prohibited by law, and there are legal measures that can be taken to address such behaviors and prevent violence during a political rally:
1. Revised Penal Code: The Revised Penal Code contains provisions that prohibit acts of inciting to sedition (Article 142) and illegal assembly (Article 146), among others. Hate speech and incitement to violence may constitute offenses under these provisions, and individuals engaging in such behaviors can be held criminally liable.
2. Cybercrime Prevention Act of 2012 (RA 10175): Hate speech and incitement to violence may also occur through online platforms. The Cybercrime Prevention Act prohibits acts of cybercrime, including those involving the transmission of hate speech or incitement to violence through the internet or other electronic means.
3. Human Security Act of 2007 (RA 9372): The Human Security Act addresses acts of terrorism, which may include incitement to violence during political rallies. Law enforcement authorities can take preventive and enforcement measures to address threats to public safety and prevent violence during rallies or other public gatherings.
4. Commission on Human Rights (CHR): The CHR has the authority to investigate human rights violations, including acts of hate speech and incitement to violence. Reports of hate speech and incitement to violence during political rallies can be submitted to the CHR for investigation and intervention.
5. Law enforcement intervention: Law enforcement authorities, such as the Philippine National Police (PNP), have the responsibility to maintain peace and order during political rallies and prevent acts of violence. Officers can take appropriate measures to disperse unruly crowds and arrest individuals engaging in hate speech or incitement to violence.
6. Civil remedies: Victims of hate speech or incitement to violence during political rallies may seek civil remedies, such as filing a complaint for damages against the individuals or groups responsible for the offensive behavior.
Overall, addressing hate speech and preventing violence during political rallies requires a combination of legal measures, law enforcement intervention, and public awareness campaigns to promote respect for human rights and peaceful political discourse.</t>
  </si>
  <si>
    <t>A political figure is accused of identity theft to discredit their campaign. What legal actions can be taken to investigate and address the false accusations of identity theft?</t>
  </si>
  <si>
    <t>If a political figure is falsely accused of identity theft to discredit their campaign in the Philippines, there are several legal actions that can be taken to investigate and address the false accusations:
1. Defamation Laws: False accusations of identity theft may constitute defamation, which is a civil offense under Philippine law. The aggrieved party can file a civil complaint for damages against the individuals or entities responsible for making the false accusations.
2. Cybercrime Prevention Act of 2012 (RA 10175): If the false accusations were made through electronic means, such as social media or online platforms, the Cybercrime Prevention Act may apply. The aggrieved party can file a complaint with the Cybercrime Investigation and Coordinating Center (CICC) or the Philippine National Police-Cybercrime Group (PNP-CCG) for investigation and prosecution of cyber libel or other cybercrimes.
3. Criminal Complaints: If the false accusations constitute criminal offenses, such as perjury or false testimony, criminal complaints can be filed with the appropriate law enforcement agencies for investigation and prosecution.
4. Commission on Human Rights (CHR): The Commission on Human Rights has the authority to investigate human rights violations, including false accusations intended to harass or discredit individuals. The aggrieved party can submit a complaint to the CHR for investigation and intervention.
5. Media Regulation: If the false accusations were disseminated through traditional media channels, such as newspapers or television, the aggrieved party can file a complaint with the Philippine Press Council or other relevant media regulatory bodies for violation of media ethics and standards.
6. Election Laws: False accusations made during an election campaign may also constitute violations of election laws, such as those prohibiting acts of disinformation or mudslinging. The aggrieved party can file a complaint with the Commission on Elections (COMELEC) for investigation and appropriate action.
Overall, investigating and addressing false accusations of identity theft requires a multifaceted approach, including legal remedies, law enforcement intervention, and regulatory measures to hold accountable those responsible for spreading false information and damaging the reputation of the political figure.</t>
  </si>
  <si>
    <t>You discover evidence of a political party engaging in bribery to influence election outcomes. What legal measures can be taken to investigate and address the allegations of bribery?</t>
  </si>
  <si>
    <t>If evidence of a political party engaging in bribery to influence election outcomes is discovered in the Philippines, there are several legal measures that can be taken to investigate and address the allegations:
1. Commission on Elections (COMELEC): The COMELEC is the primary agency responsible for ensuring free, fair, and credible elections in the Philippines. Reports of bribery during elections should be submitted to the COMELEC for investigation. The COMELEC has the authority to conduct inquiries, summon witnesses, and gather evidence related to electoral offenses, including bribery.
2. Omnibus Election Code (Batas Pambansa Blg. 881): The Omnibus Election Code contains provisions that prohibit various forms of election offenses, including bribery. Section 261 of the Omnibus Election Code enumerates acts that constitute election offenses, including bribery of public officials, voters, or candidates. Complaints regarding bribery during elections can be filed with the COMELEC, which has the authority to prosecute election offenses.
3. Witness Protection, Security, and Benefit Act (RA 6981, as amended by RA 9372): Witnesses who have information about bribery during elections may be provided with protection and security under this law. The Witness Protection Program (WPP) aims to encourage witnesses to come forward and testify against individuals or groups involved in criminal activities, including election offenses.
4. Criminal Code of the Philippines: Bribery is a criminal offense under the Criminal Code, particularly under the provisions related to corruption and bribery of public officials (Article 210). Complaints regarding bribery during elections can be filed with the appropriate law enforcement agencies for investigation and prosecution.
5. Civil remedies: Individuals or groups affected by bribery during elections may seek civil remedies, such as filing a complaint for damages against the political party or individuals responsible for the bribery.
Overall, addressing allegations of bribery during elections requires a comprehensive approach involving legal remedies, law enforcement intervention, and regulatory measures to ensure the integrity of the electoral process and hold accountable those responsible for violating election laws.</t>
  </si>
  <si>
    <t>A whistleblower exposes corruption within a political entity and faces threats of physical harm. What legal measures can be taken to protect the whistleblower and address the corruption allegations?</t>
  </si>
  <si>
    <t>Here are some legal measures a whistleblower facing threats and exposing political corruption can take:
**Report the Threats:**
* **Law Enforcement:** File a police report detailing the threats. This creates a record and may lead to investigation and protection measures like restraining orders.
* **Security:** Consider contacting a security professional to assess the risk and recommend personal safety measures.
**Report the Corruption:**
* **Whistleblower Hotline:** Many government agencies and some NGOs have hotlines specifically for whistleblowers. Here are some resources to find the appropriate hotline:
* **Government Accountability Project:** [Government Accountability Project whistleblower hotline ON Government Accountability Project governmentaccountability.org] (US-based but offers resources)
* **International Network of Whistleblowers:** [international network of whistleblower] ([INWB whistleblowers international network ON The International Network of Whistleblowers int-wb.org])
* **Independent Body:** Report the corruption to an independent oversight body with jurisdiction over the political entity. Researching your local laws will help identify the appropriate agency.
**Legal Protection:**
* **Whistleblower Lawyer:** An attorney specializing in whistleblower protection can advise on legal rights and navigate the reporting process. Often, these lawyers work on contingency, meaning they only get paid if your case is successful.
**Additional Considerations:**
* **Confidentiality:** When reporting, inquire about confidentiality options. Some hotlines allow anonymous reporting. * **Evidence:** Gather and document any evidence supporting the corruption allegations. **Remember:** Whistleblower protection laws vary by location. Researching the specific laws in your area is crucial.
Here are some resources for further information:
* **The Organization for Economic Co-operation and Development (OECD) Whistleblower Protection:** [https://www.oecd.org/corruption-integrity/explore/topics/whistleblower-protection.html](https://www.oecd.org/corruption-integrity/explore/topics/whistleblower-protection.html)
* **Transparency International:** [https://www.transparency.org/en/our-priorities/whistleblowing](https://www.transparency.org/en/our-priorities/whistleblowing)</t>
  </si>
  <si>
    <t>During a political rally, a private entity releases false information to manipulate public opinion. What legal actions can be taken to counteract the disinformation campaign and hold the entity accountable?</t>
  </si>
  <si>
    <t>If a private entity releases false information during a political rally to manipulate public opinion in the Philippines, there are several legal actions that can be taken to counteract the disinformation campaign and hold the entity accountable:
1. Cybercrime Prevention Act of 2012 (RA 10175): If the false information was disseminated through electronic means, such as social media or online platforms, the Cybercrime Prevention Act may apply. The aggrieved party can file a complaint with the Cybercrime Investigation and Coordinating Center (CICC) or the Philippine National Police-Cybercrime Group (PNP-CCG) for investigation and prosecution of cyber libel or other cybercrimes.
2. Defamation Laws: False information that damages the reputation of an individual or entity may constitute defamation, which is a civil offense under Philippine law. The aggrieved party can file a civil complaint for damages against the private entity responsible for disseminating false information.
3. Election Laws: False information disseminated during a political rally may also constitute violations of election laws, such as those prohibiting acts of disinformation or mudslinging. The aggrieved party can file a complaint with the Commission on Elections (COMELEC) for investigation and appropriate action.
4. Media Regulation: If the false information was disseminated through traditional media channels, such as newspapers or television, the aggrieved party can file a complaint with the Philippine Press Council or other relevant media regulatory bodies for violation of media ethics and standards.
5. Commission on Human Rights (CHR): The Commission on Human Rights has the authority to investigate human rights violations, including false information intended to manipulate public opinion or discredit individuals or groups. The aggrieved party can submit a complaint to the CHR for investigation and intervention.
6. Civil remedies: Individuals or groups affected by the dissemination of false information may seek civil remedies, such as filing a complaint for damages against the private entity responsible for the disinformation campaign.
Overall, addressing false information disseminated by a private entity during a political rally requires a multi-faceted approach, including legal remedies, regulatory measures, and public awareness campaigns to counteract the effects of disinformation and hold accountable those responsible for spreading false information.</t>
  </si>
  <si>
    <t>A political figure is accused of using public funds for personal gain. What legal measures can be taken to investigate and address the allegations of corruption?</t>
  </si>
  <si>
    <t>Here are some legal measures that can be taken to investigate and address allegations of corruption against a political figure who misused public funds:
**Investigations:**
* **Law Enforcement:** Police or a specialized anti-corruption agency may be called in to investigate. They will typically gather evidence through interviews, document collection, and potentially search warrants. * **Audits:** Financial auditors, either internal or external, can be brought in to examine the public funds in question. This can reveal discrepancies or misappropriation of funds.
* **Whistleblower Complaints:** Many jurisdictions have laws protecting whistleblowers who report corruption. These reports can be the starting point for an investigation. **Legal Actions:**
* **Criminal Charges:** Depending on the evidence collected, criminal charges like bribery, embezzlement, or fraud may be filed against the political figure. * **Civil Lawsuits:** The government or affected parties may file civil lawsuits to recover the misused funds.
**Additional Measures:**
* **Public Inquiry:** A public inquiry or commission of inquiry may be established to investigate the allegations. This can be helpful in gathering information and restoring public trust.
* **Disciplinary Action:** If the political figure holds an elected office, they may face disciplinary action by the legislative body, which could include censure or even expulsion.
**The specific legal measures will vary depending on the country's legal system and the nature of the allegations.** However, the measures above provide a general framework for how corruption investigations and prosecutions can occur.
Here are some resources for further information:
* The United Nations Office on Drugs and Crime (UNODC) has a module on investigating corruption: [https://www.unodc.org/](https://www.unodc.org/)
* Transparency International is a Non-Governmental Organization (NGO) that fights corruption globally: [https://www.transparency.org/en](https://www.transparency.org/en)</t>
  </si>
  <si>
    <t>An activist faces online harassment and doxxing due to their political activities. What legal steps can be taken to address the online harassment and protect the activist's privacy?</t>
  </si>
  <si>
    <t>Online harassment and doxxing are serious issues activists can face. Here are some legal steps they can take:
**Addressing Harassment:**
* **Report the Abuse:** Most social media platforms have reporting mechanisms for harassment. Report the abusive content to the platform where it appears. * **Preserve Evidence:** Save screenshots and document the harassment. This will be crucial if further legal action is needed.
* **Consider Legal Action:** Depending on the severity of the harassment, a lawyer can be consulted to explore options like defamation lawsuits or restraining orders.
**Protecting Privacy:**
* **Doxxing Removal Requests:** Many platforms have procedures for requesting removal of doxxed information. This could include home address, phone number, or other personal details.
* **Change Online Presence:** Consider increasing privacy settings on social media or even creating new accounts with stronger passwords. * **Law Enforcement:** If doxxing leads to threats of violence or stalking, report it to the police. **Additional Resources:**
* **Electronic Frontier Foundation (EFF):** The EFF offers resources and legal guidance on online privacy and harassment: [https://www.eff.org/](https://www.eff.org/) * **National Center for Victims of Crime:** This organization provides support and resources for victims of cyberstalking: [https://victimsofcrime.org/getting-help/](https://victimsofcrime.org/getting-help/)
**It's important to remember that specific laws and procedures will vary depending on your location.** Consider contacting a lawyer specializing in online harassment and privacy for tailored advice.
Here are some additional tips:
* **Seek Support:** Dealing with online harassment can be emotionally draining. Surround yourself with supportive people and consider talking to a therapist specializing in online trauma.
* **Be Careful Online:** While exercising free speech is important, avoid sharing overly personal information online that could be used for doxxing.
By taking these steps, activists can protect themselves from online harassment and doxxing while continuing their important work.</t>
  </si>
  <si>
    <t>A political party is accused of engaging in cyberattacks against its opponents. What legal measures can be taken to investigate and address the allegations of cyberattacks?</t>
  </si>
  <si>
    <t>If a political party is accused of engaging in cyberattacks against its opponents in the Philippines, several legal measures can be taken to investigate and address the allegations:
1. Cybercrime Prevention Act of 2012 (RA 10175): The Cybercrime Prevention Act criminalizes various forms of cybercrimes, including unauthorized access to computer systems, data interference, and computer-related identity theft. Cyberattacks perpetrated by a political party may fall under these provisions. The aggrieved party can file a complaint with the Cybercrime Investigation and Coordinating Center (CICC) or the Philippine National Police-Cybercrime Group (PNP-CCG) for investigation and prosecution of cybercrimes.
2. Data Privacy Act of 2012 (RA 10173): The Data Privacy Act regulates the processing of personal information in both government and private sectors. Cyberattacks may involve the unauthorized access or disclosure of personal information, which may violate the rights of individuals under this law. The aggrieved party can file a complaint with the National Privacy Commission (NPC) for violations of the Data Privacy Act.
3. Commission on Elections (COMELEC): The COMELEC is responsible for ensuring free, fair, and credible elections in the Philippines. Cyberattacks targeting electoral processes may constitute violations of election laws. The aggrieved party can report the cyberattacks to the COMELEC for investigation and appropriate action.
4. Civil remedies: Individuals or groups affected by cyberattacks perpetrated by a political party may seek civil remedies, such as filing a complaint for damages against the political party responsible for the cyberattacks.
5. Law enforcement intervention: Law enforcement authorities, such as the Philippine National Police (PNP), have the responsibility to investigate and prosecute cybercrimes. The aggrieved party can report the cyberattacks to the PNP for investigation and appropriate action.
6. International cooperation: Cyberattacks may involve cross-border elements, and international cooperation may be necessary to investigate and address such attacks. The Philippines can collaborate with other countries and international organizations to investigate cyberattacks and hold accountable those responsible for perpetrating them.
Overall, investigating and addressing allegations of cyberattacks perpetrated by a political party require a coordinated effort among government agencies, law enforcement authorities, and international partners to ensure accountability and protect the integrity of democratic processes.</t>
  </si>
  <si>
    <t>A journalist reporting on political issues is falsely accused of accepting bribes. What legal steps can be taken to defend the journalist and address the false accusations?</t>
  </si>
  <si>
    <t>If a journalist reporting on political issues is falsely accused of accepting bribes in the Philippines, there are several legal steps that can be taken to defend the journalist and address the false accusations:
1. Defamation Laws: False accusations of accepting bribes may constitute defamation, which is a civil offense under Philippine law. The journalist can file a civil complaint for damages against the individuals or entities responsible for making the false accusations.
2. Cybercrime Prevention Act of 2012 (RA 10175): If the false accusations were made through electronic means, such as social media or online platforms, the Cybercrime Prevention Act may apply. The journalist can file a complaint with the Cybercrime Investigation and Coordinating Center (CICC) or the Philippine National Police-Cybercrime Group (PNP-CCG) for investigation and prosecution of cyber libel or other cybercrimes.
3. Commission on Human Rights (CHR): The Commission on Human Rights has the authority to investigate human rights violations, including false accusations intended to harass or discredit individuals. The journalist can submit a complaint to the CHR for investigation and intervention.
4. Media Regulation: If the false accusations were disseminated through traditional media channels, such as newspapers or television, the journalist can file a complaint with the Philippine Press Council or other relevant media regulatory bodies for violation of media ethics and standards.
5. Public Statement and Advocacy: The journalist and their media organization can issue public statements denying the false accusations and clarifying the facts. Advocacy groups and civil society organizations can also mobilize support and raise awareness about the importance of press freedom and the dangers of false accusations against journalists.
6. Legal Representation: The journalist should seek legal representation to defend their rights and interests. Legal assistance can be sought from human rights organizations, media advocacy groups, or private lawyers specializing in media law and defamation cases.
Overall, defending a journalist falsely accused of accepting bribes requires a multi-faceted approach, including legal remedies, media advocacy, and public awareness campaigns to protect press freedom and uphold the journalist's credibility and integrity.</t>
  </si>
  <si>
    <t>During a political demonstration, a group engages in violence against law enforcement officers. What legal actions can be taken to address the crimes committed during the demonstration?</t>
  </si>
  <si>
    <t>Violence against law enforcement is a serious crime and will be addressed through the criminal justice system. Here are some potential legal actions:
**Criminal Charges:** Individual perpetrators can be arrested and charged with various crimes depending on the severity of the violence. These might include:
* Assault (against a police officer, this often carries a harsher penalty)
* Battery (causing physical harm)
* Rioting
* Resisting arrest
* Vandalism
**Federal Charges:** In some cases, federal charges might apply, such as:
* Assaulting a federal officer (if the officer represents a federal agency like the FBI)
**Increased Penalties:** Crimes committed against law enforcement officers often come with enhanced sentencing compared to similar offenses against civilians. **Civil Lawsuits:** In addition to criminal charges, law enforcement officers may also pursue civil lawsuits against the perpetrators for damages sustained due to the violence.
**Investigating the Incident:** Law enforcement will likely conduct a thorough investigation to identify all those involved. This might include reviewing video footage, witness statements, and collecting evidence from the scene.
**Departmental Actions:** The involved law enforcement agency might conduct an internal investigation to see if officers followed proper procedures during the demonstration. It's important to note that the specific legal actions will depend on the details of the case, such as the location (state laws may vary) and the nature of the violence.</t>
  </si>
  <si>
    <t>A political figure is accused of engaging in hate speech during a public speech. What legal measures can be taken to investigate and address the allegations of hate speech?</t>
  </si>
  <si>
    <t>If a political figure is accused of engaging in hate speech during a public speech in the Philippines, several legal measures can be taken to investigate and address the allegations:
1. Human Rights Commission: The Commission on Human Rights (CHR) has the authority to investigate human rights violations, including hate speech. The CHR can conduct inquiries, gather evidence, and recommend measures to address hate speech committed by public figures.
2. Anti-Discrimination Laws: Hate speech may violate anti-discrimination laws in the Philippines, such as the Anti-Discrimination Act of 2019 (RA 11313). The aggrieved parties can file complaints with the CHR or other relevant agencies tasked with enforcing anti-discrimination laws.
3. Cybercrime Prevention Act of 2012 (RA 10175): If the hate speech was disseminated through electronic means, such as social media or online platforms, the Cybercrime Prevention Act may apply. The aggrieved parties can file complaints with the Cybercrime Investigation and Coordinating Center (CICC) or the Philippine National Police-Cybercrime Group (PNP-CCG) for investigation and prosecution of cyber libel or other cybercrimes.
4. Criminal Code of the Philippines: Hate speech may also constitute criminal offenses under the Criminal Code, such as inciting to violence (Article 282), grave threats (Article 282), and inciting to sedition (Article 142). Complaints regarding hate speech can be filed with the appropriate law enforcement agencies for investigation and prosecution.
5. Civil Remedies: Individuals or groups affected by hate speech can seek civil remedies, such as filing a complaint for damages against the political figure responsible for the hate speech.
6. Public Condemnation: Civil society organizations, advocacy groups, and concerned individuals can publicly condemn hate speech and raise awareness about its harmful effects on society. Public pressure can encourage authorities to take action against hate speech and hold accountable those responsible for perpetrating it.
Overall, investigating and addressing allegations of hate speech by a political figure require a coordinated effort among government agencies, law enforcement authorities, and civil society organizations to uphold human rights, promote tolerance and diversity, and ensure accountability for those who engage in hate speech.</t>
  </si>
  <si>
    <t>An activist's family members face threats and harassment due to their association with the activist. What legal actions can be taken to protect the family members and address the harassment?</t>
  </si>
  <si>
    <t>In the Philippines, there are legal actions available to protect the activist's family members from harassment. Here are some possibilities:
* **Protection Order:** Republic Act No. 9262, also known as the Anti-Violence Against Women and their Children Act (VAWC Act) allows family members to petition for a protection order. This order can prohibit the harasser from contacting or coming near the family members, and may also require them to undergo counseling [https://lawphil.net/statutes/repacts/ra2004/ra_9262_2004.html](https://lawphil.net/statutes/repacts/ra2004/ra_9262_2004.html).
* **Safe Spaces Act:** Republic Act No. 11313, also known as the Safe Spaces Act, addresses acts of sexual harassment, including those that occur online. If the harassment involves a sexual nature, this act may be applicable [https://lawphil.net/statutes/repacts/ra2019/ra_11313_2019.html](https://lawphil.net/statutes/repacts/ra2019/ra_11313_2019.html).
* **Criminal Charges:** Depending on the nature of the harassment, the police may be able to file criminal charges against the harasser. This could include stalking, threats, or cybercrime offenses.
**Here are some additional steps that can be taken:**
* **Document the harassment:** Keep a record of all instances of harassment, including dates, times, and details of what happened. This will be important evidence if you decide to pursue legal action.
* **Increase security:** Consider increasing security measures at the activist's home, such as installing security cameras or changing locks. * **Report to authorities:** Report all incidents of harassment to the police.
* **Seek legal advice:** A lawyer can advise on the best course of action based on the specific circumstances of the case.
**Resources:**
* The Philippine National Police (PNP) Women and Children Protection Center (WCPC) can provide assistance with reporting harassment and abuse. You can find contact information for your local WCPC on the PNP website [https://pnp.gov.ph/](https://pnp.gov.ph/).
* The Department of Social Welfare and Development (DSWD) also offers support services for victims of violence and harassment. You can find contact information for your local DSWD office on their website [https://www.dswd.gov.ph/](https://www.dswd.gov.ph/).
It's important to remember that the specific laws and procedures may vary depending on the location. It's always best to consult with a lawyer who is familiar with the relevant laws in your area.</t>
  </si>
  <si>
    <t>During a political rally, individuals engage in voter coercion to influence election outcomes. What legal measures can be taken to investigate and address the allegations of voter coercion?</t>
  </si>
  <si>
    <t>If individuals are engaging in voter coercion during a political rally in the Philippines, several legal measures can be taken to investigate and address the allegations:
1. Commission on Elections (COMELEC): The COMELEC is the primary agency responsible for ensuring free, fair, and credible elections in the Philippines. Reports of voter coercion should be submitted to the COMELEC for investigation. The COMELEC has the authority to conduct inquiries, summon witnesses, and gather evidence related to electoral offenses, including voter coercion.
2. Omnibus Election Code (Batas Pambansa Blg. 881): The Omnibus Election Code contains provisions that prohibit various forms of election offenses, including voter coercion. Section 261 of the Omnibus Election Code enumerates acts that constitute election offenses, including intimidation, coercion, and threats to compel individuals to vote or refrain from voting for a particular candidate or political party. Complaints regarding voter coercion can be filed with the COMELEC, which has the authority to prosecute election offenses.
3. Law Enforcement Intervention: Law enforcement authorities, such as the Philippine National Police (PNP), have the responsibility to maintain peace and order during political rallies and prevent acts of voter coercion. Officers can take appropriate measures to intervene and stop instances of voter coercion, as well as arrest individuals engaging in such behavior.
4. Civil Remedies: Victims of voter coercion may seek civil remedies, such as filing a complaint for damages against the individuals or groups responsible for the coercion. Civil actions can be pursued in court to hold accountable those who engage in voter coercion and seek compensation for any harm caused.
5. Witness Protection: Witnesses who have information about voter coercion may be provided with protection and security under the Witness Protection Program (WPP). This program aims to encourage witnesses to come forward and testify against individuals involved in criminal activities, including election offenses such as voter coercion.
Overall, addressing allegations of voter coercion during a political rally requires a comprehensive approach involving legal remedies, law enforcement intervention, and measures to protect witnesses and ensure accountability for those who engage in electoral offenses.</t>
  </si>
  <si>
    <t>A political party is accused of using public funds for personal gain. What legal measures can be taken to investigate and address the allegations of corruption?</t>
  </si>
  <si>
    <t>If a political party is accused of using public funds for personal gain in the Philippines, several legal measures can be taken to investigate and address the allegations of corruption:
1. Commission on Audit (COA): The Commission on Audit is the government agency tasked with auditing the use of public funds by government agencies and entities, including political parties. The COA has the authority to conduct audits, examinations, and investigations to determine whether public funds were used in accordance with laws and regulations.
2. Ombudsman: The Office of the Ombudsman is responsible for investigating and prosecuting cases of graft and corruption in the government. Complaints regarding the misuse of public funds by a political party can be filed with the Ombudsman for investigation and appropriate action.
3. Anti-Corruption Laws: Various anti-corruption laws in the Philippines prohibit the misuse of public funds for personal gain. These include the Anti-Graft and Corrupt Practices Act (RA 3019), which penalizes corrupt practices by public officials, as well as the Code of Conduct and Ethical Standards for Public Officials and Employees (RA 6713), which sets standards of behavior for public servants.
4. Civil Remedies: Individuals or groups affected by the misuse of public funds by a political party may seek civil remedies, such as filing a complaint for damages against the political party or individuals responsible for the corruption. Civil actions can be pursued in court to hold accountable those who misuse public funds and seek compensation for any harm caused.
5. Media and Public Scrutiny: Media organizations and civil society groups can investigate and expose cases of corruption involving public funds. Public scrutiny and pressure can help to raise awareness about corruption issues and hold accountable those responsible for the misuse of public funds.
Overall, investigating and addressing allegations of corruption involving public funds by a political party requires a comprehensive approach involving government agencies, law enforcement authorities, civil society organizations, and the media to ensure accountability and transparency in the use of public resources.</t>
  </si>
  <si>
    <t>How are political and activist-related crimes defined under Philippine law?</t>
  </si>
  <si>
    <t>The definition of political and activist-related crimes in the Philippines can be quite complex and depend on the specific circumstances of the case. Here's a general overview:
* **Political Crimes:** These are offenses directed against the security of the State. The Revised Penal Code of the Philippines (RPC) defines several political crimes, such as rebellion, coup d'état, inciting to rebellion, sedition, and treason.
* **Activist-Related Crimes:** These are not classified under a single category but may involve activists exercising their right to free speech or assembly. However, their actions might be deemed illegal if they turn violent or disrupt public order. Some possible charges include:
* Illegal assembly: if a gathering is deemed unlawful due to its purpose or the way it's conducted (e.g., blocking roads without permit)
* Tumult: if a lawful assembly becomes violent
* Coercion: if activists pressure or intimidate others
* Obstruction of justice: if activists impede law enforcement
**Important to Note:**
* The Philippine government has been criticized for allegedly using these laws to stifle dissent. Activists have accused authorities of wrongfully detaining or filing charges against them.
* If you're interested in learning more about specific cases or legal interpretations, I recommend searching online legal resources or consulting a lawyer.</t>
  </si>
  <si>
    <t>What legal measures are in place to prevent and address crimes against political figures?</t>
  </si>
  <si>
    <t>The Philippines has several legal measures to prevent and address crimes against political figures:
**Prevention:**
* **Special Security Measures:** Politicians, especially high-ranking officials, are assigned security details by the Philippine National Police (PNP). * **Threat Assessment:** Law enforcement agencies like the PNP monitor potential threats and take preventive actions.
* **Gun Control Laws:** The Philippines has a relatively strict gun control law, which aims to limit the number of firearms in circulation and reduce the risk of gun violence, including against politicians.
**Legislation:**
* **Revised Penal Code (RPC) Provisions:** The RPC includes sections that specifically address crimes against persons in authority, including:
* Murder and Homicide (Articles 248-255)
* Physical Injuries (Articles 256-259)
* Threats (Article 148)
* Coercion (Article 149)
* **Special Laws:** * Anti-Murder Law (Republic Act No. 7659): This law imposes harsher penalties for the killing of certain individuals, including elected officials. * Witness Protection Program (Republic Act No. 6984): This program provides protection to witnesses, including those who may come forward with information on crimes against politicians.
**Investigation and Prosecution:**
* **Special Task Forces:** Law enforcement agencies may create task forces dedicated to investigating crimes against politicians, especially high-profile cases. * **Fast-Track Trial Lanes:** The court system may prioritize cases involving violence or threats against political figures. **Challenges:**
* **Enforcement:** Effective implementation of these laws is crucial. Resource limitations and potential political influence can hinder thorough investigations and prosecutions.
* **Balancing Security and Freedom:** Security measures need to be balanced with the right to free speech and assembly. Overly restrictive measures can stifle political discourse.
**Overall, the Philippines has a legal framework to address crimes against political figures. However, effective enforcement and ensuring a balance between security and democratic freedoms remain ongoing challenges.**</t>
  </si>
  <si>
    <t>How does the law protect activists from threats, harassment, and violence?</t>
  </si>
  <si>
    <t>The legal protections for activists in the Philippines from threats, harassment, and violence are a complex issue with some significant shortcomings. Here's a breakdown:
**Laws that Should Protect Activists:**
* **The Constitution:** The Philippine Constitution guarantees fundamental rights like freedom of speech, assembly, and association. These freedoms are crucial for activism.
* **Specific Laws:** A few laws offer some protection:
* Writ of Amparo (Protection Order): Activists can petition the Supreme Court for a writ of amparo to prevent threats, harassment, or violence.
* Anti-Enforced or Involuntary Disappearance Act (2012): This law criminalizes enforced disappearances, a tactic used against some activists.
**Challenges and Concerns:**
* **Limited Scope:** Laws like the Writ of Amparo can be a lengthy process and may not always be readily available. * **Red-Tagging:** The practice of falsely labeling activists as communist rebels ("red-tagging") can incite violence and make them vulnerable. The government hasn't effectively addressed this issue.
* **Anti-Terrorism Act (2020):** This law has been criticized for its broad definition of terrorism, which can be used to silence dissent and target activists. * **Weak Enforcement:** Investigating and prosecuting crimes against activists can be slow and ineffective. Authorities may be reluctant to pursue cases against powerful individuals or groups.
**The Result:**
* **Impunity:** Activists in the Philippines often face threats, harassment, and even violence with little legal recourse. This creates a climate of fear and discourages activism.
**What can be done?**
* **Strengthening existing laws:** Legislation could be clearer in defining and protecting activist rights.
* **Effective Implementation:** Law enforcement and the justice system need to effectively investigate and prosecute crimes against activists.
* **Addressing Red-Tagging:** The government should take a strong stance against red-tagging and hold those responsible accountable. **Overall, the Philippines has some laws on the books to protect activists, but significant challenges remain in effectively implementing them and creating a safe space for activism.**</t>
  </si>
  <si>
    <t>What penalties apply for crimes such as intimidation or coercion against political figures or activists?</t>
  </si>
  <si>
    <t>The penalties for intimidation or coercion against political figures and activists in the Philippines depend on the specific act and the law used to prosecute the crime. Here's a breakdown:
**General Laws:**
* **Revised Penal Code (RPC):**
* **Threats (Article 148):** Penalties range from arresto menor (1-30 days) to reclusion temporal minimum (6 months and 1 day to 4 years and 2 months) depending on the gravity of the threat.
* **Coercion (Article 149):** Similar penalties to threats, with additional considerations for the specific means of coercion used.
**Special Laws:**
* **Anti-Murder Law (Republic Act No. 7659):** For threats or intimidation that lead to the killing of a political figure, the penalties are much harsher, potentially including life imprisonment.
**Challenges in Determining Penalties:**
* **Intent:** Proving the intent to intimidate or coerce can be difficult. * **Severity:** The specific penalty depends on the severity of the intimidation or coercion. A veiled threat might receive a lighter sentence than a violent one.
**Additional Considerations:**
* **Witness Protection:** If an activist comes forward as a witness to intimidation against a politician, they might be eligible for protection under the Witness Protection Program (Republic Act No. 6984).
**It's important to note that these are just the potential penalties outlined in the law.** The actual sentence imposed by a court can vary depending on the circumstances of the case and the judge's discretion.
**Here are some resources for further information:**
* The Revised Penal Code of the Philippines: [https://chanrobles.com/revisedpenalcodeofthephilippines.htm](https://chanrobles.com/revisedpenalcodeofthephilippines.htm)
* Republic Act No. 7659 (Anti-Murder Law): [https://lawlibrary.chanrobles.com/](https://lawlibrary.chanrobles.com/)
* Republic Act No. 6984 (Witness Protection Program): [https://lawlibrary.chanrobles.com/](https://lawlibrary.chanrobles.com/)</t>
  </si>
  <si>
    <t>How are offenses like cyberattacks targeting political entities regulated and punished?</t>
  </si>
  <si>
    <t>The Philippines has a complex legal landscape when it comes to regulating and punishing cyberattacks targeting political entities. There are existing laws that touch upon the issue, but some gaps and challenges remain. Here's a breakdown:
**Relevant Laws:**
* **Revised Penal Code (RPC):** Some provisions might be applicable depending on the nature of the cyberattack. For instance:
* **Espionage (Article 82):** If the cyberattack aims to steal classified information.
* **Falsification of Public Documents (Article 171):** If the attack alters or manipulates official data.
* **Electronic Commerce Act (Republic Act No. 8792):** This law prohibits cybercrimes like data breaches and illegal access to computer systems. However, its application to politically motivated attacks might be less clear.
* **Cybersecurity Act of 2012 (Republic Act No. 10175):** This act focuses on establishing a national cybersecurity framework and incident response system. While not directly addressing punishment, it aims to improve detection and prevention of cyberattacks. **Challenges:**
* **Attribution:** Identifying the culprit behind a cyberattack can be difficult, especially if they operate from outside the Philippines. * **Evolving Threats:** Cyberattack methods are constantly changing, and existing laws might not fully capture new tactics.
* **International Cooperation:** Effectively prosecuting cybercrimes often requires international cooperation to track down attackers and enforce penalties.
**What's Being Done:**
* The Philippine government is working on strengthening its cybersecurity infrastructure and collaborating with international partners to address cybercrime.
* New legislation specifically targeting cyberattacks against political entities is a possibility, but no concrete plans have been announced yet.
**Overall, the Philippines is taking steps to address cyberattacks, but there's room for improvement. Clearer legislation, better attribution methods, and enhanced international cooperation are crucial to effectively deter and punish these crimes.**</t>
  </si>
  <si>
    <t>What legal actions can be taken against individuals engaging in disinformation campaigns to influence elections?</t>
  </si>
  <si>
    <t>Individuals engaging in disinformation campaigns to influence elections in the Philippines can face various legal actions to address their activities. Here are some of the legal measures that can be taken:
1. Cybercrime Prevention Act of 2012 (RA 10175): The Cybercrime Prevention Act criminalizes various forms of cybercrimes, including cyber libel, online harassment, and spreading false information. Individuals engaging in disinformation campaigns through electronic means can be held accountable under this law. Complaints can be filed with the Cybercrime Investigation and Coordinating Center (CICC) or the Philippine National Police-Cybercrime Group (PNP-CCG) for investigation and prosecution.
2. Election Laws: Disinformation campaigns may violate election laws, such as those prohibiting acts of disinformation, mudslinging, and spreading false information to deceive voters. The Commission on Elections (COMELEC) has the authority to investigate election offenses and prosecute individuals engaged in disinformation campaigns during elections.
3. Defamation Laws: False and defamatory statements made with the intent to harm the reputation of individuals or groups may constitute defamation, which is a civil offense under Philippine law. Individuals affected by disinformation campaigns can file civil complaints for damages against the individuals or entities responsible for spreading false information.
4. Media Regulation: If disinformation campaigns are disseminated through traditional media channels, such as newspapers, television, or radio, regulatory bodies such as the Philippine Press Council or the Movie and Television Review and Classification Board (MTRCB) can take action against violations of media ethics and standards.
5. Commission on Human Rights (CHR): The Commission on Human Rights has the authority to investigate human rights violations, including disinformation campaigns intended to manipulate public opinion or undermine democratic processes. Complaints can be submitted to the CHR for investigation and intervention.
Overall, addressing disinformation campaigns to influence elections requires a multi-faceted approach involving legal remedies, regulatory measures, and public awareness campaigns to promote truth, transparency, and accountability in the electoral process.</t>
  </si>
  <si>
    <t>How does Philippine law address crimes of violence committed against activists during protests or demonstrations?</t>
  </si>
  <si>
    <t>Philippine law has provisions that should protect activists from violence during protests, but there are also concerns about enforcement and loopholes. Here's a breakdown:
**Laws protecting activists:**
* **Constitution:** The Philippine Constitution guarantees freedom of speech, assembly, and petition (Article III).
* **Human Security Act:** This law (Republic Act No. 11705) criminalizes acts of violence and intimidation against individuals exercising their human rights, including those participating in protests.
**Challenges and Concerns:**
* **Enforcement:** Human rights groups have documented cases where activists are injured or killed during protests, with investigations and prosecutions being slow or non-existent. * **Labeling as "terrorists":** There have been instances where activists are red-tagged or labelled as terrorists, making them vulnerable to violence.
* **Anti-Terror Law:** While intended to fight terrorism, some critics argue the Anti-Terrorism Act of 2020 (Republic Act No. 11479) has a vague definition of terrorism which could be used to target activists.
**Overall:**
Philippine law has frameworks to protect activists, but concerns exist regarding enforcement and loopholes that may be exploited. Here are some resources for further reading:
* **Handbook of Public Pedagogy: Education and Learning Beyond Schooling Discusses freedom of assembly: books.google.com.ph
* **Philippine Constitution Article III on Freedom of Speech: officialgazette.gov.ph</t>
  </si>
  <si>
    <t>What measures are in place to prevent and address political and activist-related crimes carried out by state actors?</t>
  </si>
  <si>
    <t>Preventing and addressing state-sanctioned crimes against political actors and activists is a complex challenge. Here's a breakdown of some existing measures:
**Domestic Measures:**
* **Legal Frameworks:** Ideally, strong domestic laws exist that define these crimes and provide avenues for prosecution. This includes the Human Security Act in the Philippines as an example. * **Independent Judiciary:** A truly independent judiciary, free from political influence, is crucial for holding state actors accountable. * **National Human Rights Institutions (NHRIs):** These independent bodies can investigate allegations of abuse and make recommendations for reform. However, their effectiveness often depends on government cooperation.
**International Measures:**
* **Treaties:** International human rights treaties that a country has ratified can provide a framework for holding them accountable for violations. * **International Organizations:** Bodies like the UN Human Rights Council can investigate abuses and issue recommendations or condemnations. * **Targeted Sanctions:** Countries may impose sanctions on individuals or entities responsible for human rights violations.
**Challenges:**
* **Lack of Political Will:** Governments may be unwilling to investigate or prosecute their own officials.
* **Limited Leverage**: International pressure can be limited, especially against powerful states.
* **Fear of Retaliation**: Activists and witnesses may be afraid to come forward due to fear of reprisals.
**Additional Considerations:**
* **Independent Media:** A free and independent media plays a crucial role in exposing abuses and holding powerful actors accountable.
* **Civil Society Organizations (CSOs):** These groups can document abuses, advocate for reform, and raise awareness.
* **Technology:** Tools like digital documentation and secure communication channels can help activists gather evidence and protect themselves.
**It's important to remember that these measures are most effective when used in combination. Unfortunately, there's no single solution, and progress can be slow.**</t>
  </si>
  <si>
    <t>How are crimes like unlawful assembly or inciting to sedition regulated and punished?</t>
  </si>
  <si>
    <t>Unlawful assembly and inciting to sedition are crimes regulated by the Revised Penal Code of the Philippines (Act No. 3815). Here's a breakdown of each:
**Unlawful Assembly:**
* **Definition:** Defined under Article 146 of the Revised Penal Code. It refers to a gathering of people with a common purpose of committing a crime or disturbing the peace. * **Elements:** There must be an assembly (gathering of people), a common purpose of committing a crime or disturbing the peace, and an overt act showing the intent to commit the crime or disturb the peace. * **Penalty:** Imprisonment of one to six months or a fine of up to P200 pesos (around $4 USD). **Inciting to Sedition:**
* **Definition:** Covered under Article 142 of the Revised Penal Code. This crime involves urging people to rebel against the government or to disobey the law.
* **Elements:** There must be a public speech, proclamation, or writing that incites rebellion or disobedience against a lawful authority. The speech or writing must have a direct tendency to cause these actions.
* **Penalty:** Depending on the gravity of the incitement, the penalty can range from prision mayor (6 years and 1 day to 12 years imprisonment) to reclusion perpetua (life imprisonment).
**Important Points:**
* **Interpretation:** The definitions of these crimes can be somewhat vague, and their application can depend on the specific circumstances. This has led to concerns about freedom of speech and assembly. * **Criticism:** Critics argue that these laws can be used to stifle dissent against the government. **It's important to note that Philippine law is constantly evolving. If you have any concerns about specific situations, it's best to consult with a lawyer who can give you the most up-to-date information.**</t>
  </si>
  <si>
    <t>How does the law protect whistleblowers who expose corruption within political or government entities?</t>
  </si>
  <si>
    <t>The Philippines has mechanisms in place to protect whistleblowers who expose corruption within political or government entities, but there are limitations and ongoing discussions for improvement. Here's a breakdown:
**Existing Protections:**
* **Republic Act No. 6713 (Code of Conduct and Ethical Standards for Public Officials and Employees):** This law mandates government agencies to establish mechanisms for whistleblowing. It also prohibits retaliation against whistleblowers.
* **Office of the Ombudsman:** This independent body receives and investigates complaints against government officials, including those related to corruption. Whistleblowers can report corruption directly to the Ombudsman.
* **Witness Protection Program:** The government offers protection to witnesses, which can include whistleblowers, who fear retaliation for reporting crimes.
**Challenges and Limitations:**
* **Weak Enforcement:** There have been cases where whistleblowers faced retaliation despite legal protections. Investigation and prosecution of retaliation cases can be slow.
* **Fear of Retaliation:** A culture of silence and fear of reprisal can still deter potential whistleblowers from coming forward. * **Limited Scope:** The existing protections may not cover all types of whistleblowing or all government sectors.
**Current Efforts:**
* **Proposed Whistleblower Protection Act:** There have been efforts to enact a comprehensive Whistleblower Protection Act that would strengthen existing safeguards. These efforts are ongoing.
**Overall:**
While there are legal frameworks to protect whistleblowers in the Philippines, the system is not without its limitations. There's a need for stronger enforcement, a shift in culture to encourage whistleblowing, and potentially a more comprehensive legal framework.</t>
  </si>
  <si>
    <t>What legal provisions exist to address crimes committed against journalists reporting on political issues?</t>
  </si>
  <si>
    <t>The Philippines has some legal provisions to address crimes against journalists reporting on political issues, but there are significant concerns about their effectiveness. Here's a breakdown:
**Existing Provisions:**
* **The Constitution:** The Philippine Constitution guarantees freedom of the press (Article III, Section 7).
* **Cybercrime Law (Republic Act No. 10175):** This law includes penalties for online threats and harassment, which can be used against those targeting journalists online.
* **Murder and Assault Laws:** These general laws apply to any violent crime, including those committed against journalists.
* **Media Security Bills:** Several proposed bills aim to create a more secure environment for journalists, including a special unit to investigate attacks on journalists. (**Note:** These are still proposals and haven't been enacted yet)
**Challenges and Concerns:**
* **Impunity:** Investigations and prosecutions for crimes against journalists are often slow or non-existent, leading to a high rate of impunity for perpetrators.
* **Cyber libel law:** The Cybercrime Law's cyber libel provision has been criticized for chilling investigative journalism and free speech. A high-profile case involved journalist Maria Ressa being convicted of cyber libel.
* **Red-tagging:** Journalists critical of the government or who report on certain issues may be labelled as communists or terrorists ("red-tagged"), increasing their vulnerability to violence.
* **Lack of Political Will:** There have been concerns that some government officials may not prioritize investigating attacks on journalists critical of their actions.
**International Measures:**
* **The United Nations Educational, Scientific and Cultural Organization (UNESCO):** This international body promotes press freedom and safety of journalists. They maintain resources and advocate for journalist protection globally. **Looking Ahead:**
* The effectiveness of legal provisions depends on strong enforcement mechanisms and a commitment to press freedom.
* There's a need for ongoing efforts to address impunity, reform cyber libel laws, and combat red-tagging.
* Increased international pressure and support for press freedom can also play a role.
Overall, while the Philippines has some legal frameworks to address crimes against journalists, significant challenges remain. A multi-pronged approach is needed to ensure journalists can safely report on political issues.</t>
  </si>
  <si>
    <t>How are crimes such as vote-buying or voter coercion regulated and punished in the context of elections?</t>
  </si>
  <si>
    <t>In the Philippines, crimes such as vote-buying and voter coercion are regulated and punished through various legal mechanisms, particularly in the context of elections. Here's how these crimes are addressed:
1. Laws and Regulations: The primary legal framework governing elections in the Philippines is the Omnibus Election Code (Batas Pambansa Blg. 881). This law contains provisions that specifically address offenses related to electoral fraud, including vote-buying and voter coercion.
2. Vote-Buying: Vote-buying is prohibited under Section 261(a) of the Omnibus Election Code, which defines it as any offer or promise of money, valuable consideration, or other inducements to influence a voter's choice in an election. Violators of this provision can face criminal penalties, including imprisonment and disqualification from holding public office.
3. Voter Coercion: Voter coercion involves the use of force, intimidation, threats, or other means to compel a voter to vote or refrain from voting for a particular candidate or political party. Section 261(b) of the Omnibus Election Code prohibits acts of coercion, and violators can be prosecuted and penalized under election laws.
4. Commission on Elections (COMELEC): The COMELEC is the government agency responsible for overseeing elections in the Philippines. It has the authority to investigate complaints of vote-buying, voter coercion, and other electoral offenses, and to prosecute violators in coordination with law enforcement agencies.
5. Law Enforcement Intervention: Law enforcement authorities, such as the Philippine National Police (PNP), have the responsibility to enforce election laws and maintain peace and order during elections. They can investigate complaints of vote-buying and voter coercion, make arrests, and file charges against individuals engaged in these illegal activities.
6. Election Offenses: Violations of election laws, including vote-buying and voter coercion, are considered election offenses punishable under the Omnibus Election Code. Penalties for these offenses may include imprisonment, fines, and disqualification from holding public office.
Overall, addressing crimes such as vote-buying and voter coercion in the context of elections requires a combination of legal regulation, law enforcement intervention, and public awareness campaigns to uphold the integrity of the electoral process and ensure free and fair elections.</t>
  </si>
  <si>
    <t>What role do law enforcement agencies play in preventing and addressing political and activist-related crimes?</t>
  </si>
  <si>
    <t>Law enforcement agencies play a crucial role in both preventing and addressing political and activist-related crimes. Here's a breakdown of their key functions:
**Prevention:**
* **Intelligence gathering and analysis:** Law enforcement monitors potential threats through social media, informant networks, and investigations. This can help identify individuals or groups planning violence or illegal activities at protests. * **Community outreach:** Building trust and communication with activist groups allows for open dialogue and can help prevent misunderstandings that might escalate into violence. * **Crowd control:** Law enforcement has a responsibility to manage crowds at protests and demonstrations to ensure public safety and prevent violence. This involves planning traffic flow, designated protest areas, and utilizing trained crowd control tactics.
**Addressing Crimes:**
* **Investigation:** When political or activist-related crimes occur, law enforcement investigates to identify perpetrators and gather evidence. This can involve witness interviews, forensic analysis, and examining digital footprints. * **Arrest and prosecution:** Once enough evidence exists, law enforcement arrests individuals suspected of crimes. They work with prosecutors to ensure a fair trial process. * **De-escalation:** In tense situations, law enforcement officers are trained in de-escalation techniques to avoid unnecessary use of force and maintain public safety during protests. **Challenges and Considerations:**
* **Balancing security and freedom of expression:** Law enforcement needs to find a balance between protecting public safety and upholding the right to peaceful protest. * **Maintaining neutrality:** It's crucial for law enforcement to remain neutral in political matters and enforce the law equally, regardless of political affiliation. * **Community trust:** Building trust with diverse communities is essential. This allows for better communication and cooperation in preventing and addressing political crimes.
Overall, law enforcement plays a complex role in the realm of political and activist-related crimes. By employing preventative measures, fostering communication, and upholding the law fairly, they can help ensure a safe environment for political discourse and activism.</t>
  </si>
  <si>
    <t>How is the crime of graft and corruption within political entities addressed under Philippine law?</t>
  </si>
  <si>
    <t>The Philippines has several laws in place to address graft and corruption within political entities. Here's a breakdown of the key legal framework:
**Main Anti-Graft Law:**
* **Republic Act No. 3019, or the Anti-Graft and Corrupt Practices Act:** This is the cornerstone legislation against graft and corruption in the Philippines. It defines various prohibited acts by public officials, including:
* Direct or indirect bribery
* Unlawful use of public funds or property
* Nepotism in public office * Falsification of public documents
* Conflict of interest
**Other Relevant Laws:**
* **Republic Act No. 6713, or the Code of Conduct and Ethical Standards for Public Officials and Employees:** This law establishes ethical standards for public officials and employees, promoting transparency and accountability.
* **Republic Act No. 7080, or the Ombudsman Act of 1988:** This act creates the Office of the Ombudsman, an independent body with the power to investigate and prosecute public officials for violations of the Anti-Graft and Corrupt Practices Act.
**Enforcement Agencies:**
* **Office of the Ombudsman:** The Ombudsman is responsible for investigating complaints against public officials and employees. They have the power to conduct investigations, gather evidence, and file cases with the Sandiganbayan.
* **Sandiganbayan:** This special court is tasked with trying cases of graft and corruption involving government officials.
**Challenges:**
* **Red tape and lengthy processes:** The legal system can be slow, and complex procedures can sometimes hinder swift prosecution.
* **Culture of impunity:** The perception that some powerful individuals can evade consequences can discourage reporting and prosecution.
**Initiatives to Address Challenges:**
* **Philippine Commission on Good Government (PCGG):** This agency works to recover ill-gotten wealth accumulated through graft and corruption. * **Transparency initiatives:** Efforts are underway to promote transparency in government spending and procedures. * **Public awareness campaigns:** Campaigns educate citizens about their rights and encourage them to report corruption.
Despite the challenges, the Philippines has a legal framework to address graft and corruption. Continued efforts to strengthen enforcement, streamline processes, and foster a culture of accountability are crucial in combating this societal ill.</t>
  </si>
  <si>
    <t>What legal safeguards are in place to protect the rights of individuals accused of political or activist-related crimes?</t>
  </si>
  <si>
    <t>Several legal safeguards exist to protect the rights of individuals accused of political or activist-related crimes in many countries, including the Philippines:
**Due Process:**
* **Right to a fair trial:** The accused has the right to be tried before an impartial court of law and be present during the proceedings. * **Right to legal representation:** The accused has the right to legal counsel of their choice, or to be provided with one if they cannot afford it. This ensures they have someone who understands the legal process and can advocate for their rights.
* **Right to be presumed innocent:** The burden of proof lies with the prosecution to prove the accused's guilt beyond a reasonable doubt. The accused doesn't need to prove their innocence.
* **Right to speedy trial:** Unreasonable delays in trial can prejudice the accused's defense. The legal system should aim for a swift resolution.
**Specific Safeguards for Political and Activist Cases:**
* **Proportionality:** The punishment should be proportionate to the severity of the crime. Minor offenses during protests shouldn't result in excessive penalties.
* **Motive Test:** In some cases, courts may consider the motives of the accused, particularly if their actions stemmed from a political belief or desire for social change. * **Freedom of Speech and Assembly:** Laws should be narrowly tailored to address violence or property damage, not peaceful protests or expression of dissent.
**International Instruments:**
* **International Covenant on Civil and Political Rights (ICCPR):** This international treaty guarantees fundamental human rights, including those related to fair trial and freedom of expression. Countries that have ratified the ICCPR are obligated to uphold these rights.
**Challenges and Considerations:**
* **Selective Application:** There's a risk that laws may be used selectively to target activists or silence dissent. It's crucial for law enforcement and courts to apply the law fairly and impartially.
* **Abuse of Pre-Trial Detention:** Detention without trial can be a violation of due process rights. Laws should limit pre-trial detention to serious offenses and ensure detainees have access to legal counsel.
**The Philippines Context:**
The Philippines legal system incorporates many of the above-mentioned safeguards. However, concerns exist about lengthy pre-trial detentions and the potential for selective application of laws against activists. **Overall:**
While legal safeguards are in place, ensuring their consistent and fair application remains an ongoing challenge. Public awareness, strong institutions, and a vibrant civil society are crucial in upholding the rights of individuals accused of political or activist-related crimes.</t>
  </si>
  <si>
    <t>How does the law address the use of force or violence in suppressing political dissent or activism?</t>
  </si>
  <si>
    <t>The law generally prohibits the use of force or violence by any entity, including the government, to suppress political dissent or activism. Here's a breakdown of the key legal principles:
**International Law:**
* **Universal Declaration of Human Rights (UDHR):** This declaration, adopted by the United Nations, guarantees the right to peaceful assembly and freedom of expression (Article 19 &amp; 20). Suppressing dissent with violence violates these fundamental rights.
* **International Covenant on Civil and Political Rights (ICCPR):** Similar to the UDHR, the ICCPR guarantees these rights and obligates countries that have ratified it to uphold them.
**Domestic Laws:**
* **National Constitutions:** Most democratic constitutions enshrine freedom of expression and assembly. Using violence against peaceful dissenters contradicts these principles.
* **Specific Legislation:** Some countries may have laws that explicitly prohibit the use of excessive force by law enforcement during protests.
**Principles of Proportionality and Necessity:**
* **Proportionality:** The level of force used by authorities should be proportionate to the threat posed by the protesters. Force should only be used as a last resort and to a minimal extent necessary to maintain order.
* **Necessity:** Force can only be used if there's no other way to achieve a legitimate aim, such as preventing violence or property damage.
**International Oversight:**
* **Human Rights Organizations:** Organizations like Amnesty International and Human Rights Watch monitor and report on human rights abuses by governments, including excessive force against protesters.
**Challenges and Considerations:**
* **Defining "Peaceful Protest":** Sometimes, protests may turn violent. The line between a peaceful protest and one requiring intervention can be blurred, leading to disputes about the use of force.
* **Accountability:** Holding authorities accountable for excessive force can be difficult. Strong institutions and independent judiciaries are essential.
**Examples:**
* **The United Nations Basic Principles on the Use of Force and Firearms by Law Enforcement Officials:** This document outlines principles for law enforcement to use force proportionally and in a manner that respects human rights. **Overall:**
The law clearly discourages the use of force or violence to suppress dissent. However, enforcing these legal principles and holding violators accountable can be complex. International and domestic mechanisms play a crucial role in promoting peaceful discourse and protecting the rights of protesters.</t>
  </si>
  <si>
    <t>What measures are in place to prevent and address cyberbullying and online harassment against political figures or activists?</t>
  </si>
  <si>
    <t>Cyberbullying and online harassment against political figures and activists are concerning issues. Here's a look at some measures in place to prevent and address them:
**Platform-Level Measures:**
* **Content moderation:** Social media platforms have content moderation policies that may prohibit abusive language, threats, and hate speech. They can remove such content and suspend or ban repeat offenders. However, enforcement can be inconsistent and raise concerns about censorship.
* **Reporting mechanisms:** Platforms offer reporting tools for users to report harassment. Ideally, these systems should be user-friendly, with clear reporting guidelines and efficient response times. * **Transparency reports:** Some platforms publish transparency reports detailing the volume of content removed and accounts suspended for violating community guidelines. This can shed light on the extent of the problem and the platform's efforts.
**Legal Measures:**
* **Cyberbullying laws:** Many countries have laws against cyberbullying, which may apply to online harassment of public figures. However, these laws may not be specifically tailored to address the unique challenges faced by political figures and activists.
* **Defamation laws:** Defamation laws can be used to sue for reputational damage caused by online harassment. However, these laws can be complex and expensive to navigate, and may have a chilling effect on free speech.
**Individual Strategies:**
* **Thick skin:** Developing resilience and ignoring minor harassment can be a strategy. However, it can be difficult to ignore persistent or severe abuse.
* **Blocking and muting:** Platforms often provide options to block abusive accounts and mute keywords to limit exposure to negativity.
* **Taking breaks:** Stepping away from social media for a while can be necessary to maintain mental well-being.
**Challenges and Considerations:**
* **Anonymity:** Online anonymity empowers trolls and makes it difficult to identify and hold them accountable.
* **Rapid spread of content:** Harassment can spread quickly online, making it hard to contain the damage.
* **Difficulty in defining harassment:** The line between robust criticism and online harassment can be blurry. * **Chilling effect on free speech:** Measures to address harassment should not stifle legitimate criticism or dissent.
**Looking Forward:**
* **Platform accountability:** Increased pressure on social media platforms to enforce their policies effectively and develop better reporting systems.
* **Legislative solutions:** Developing legal frameworks that address online harassment specifically, while safeguarding freedom of expression.
* **Education and awareness campaigns:** Educating users about online etiquette and responsible online behavior.
Overall, there's no single solution to cyberbullying and online harassment. A combination of platform-level measures, legal frameworks, individual strategies, and public awareness campaigns is needed to create a safer online environment for political figures and activists to engage in public discourse.</t>
  </si>
  <si>
    <t>How does Philippine law regulate the use of public resources for political or electoral purposes?</t>
  </si>
  <si>
    <t>The Philippines has several measures in place to regulate the use of public resources for political or electoral purposes. Here's a breakdown of the key points:
**Constitutional Principle:**
* **The 1987 Philippine Constitution** embodies the principle that public funds should be used solely for the public good, not for personal gain or political advantage. **Main Legal Provisions:**
* **Republic Act No. 9006, or the Fair Election Act:** This law prohibits political parties from using state resources for campaigning, including:
* Government funds
* Public facilities and property
* Postal services
* Government vehicles, computers, and other equipment
**Other Relevant Laws:**
* **The Anti-Graft and Corrupt Practices Act (RA No. 3019):** This law prohibits public officials from using their position for personal gain, which can include using public resources for political purposes.
* **The Code of Conduct and Ethical Standards for Public Officials and Employees (RA No. 6713):** This law establishes ethical standards for public officials, promoting transparency and discouraging the use of public office for personal or political benefit.
**Enforcement Mechanisms:**
* **The Commission on Elections (COMELEC):** This body is responsible for enforcing election laws, including those related to the use of public resources. They can investigate complaints and impose sanctions, such as disqualification from office.
* **The Office of the Ombudsman:** This independent body investigates complaints against public officials for violations, including misuse of public resources.
**Challenges and Considerations:**
* **Difficulties in proving misuse:** It can be challenging to gather concrete evidence that public resources were used solely for political purposes. * **Culture of patronage politics:** A culture of patronage, where government resources are exchanged for political support, can be ingrained in some areas.
* **Selective enforcement:** Concerns exist about the potential for selective enforcement of laws, depending on the political affiliation of the accused.
**Looking Forward:**
* **Strengthening enforcement mechanisms:** Efforts to streamline investigations and ensure accountability for violations are crucial.
* **Public awareness campaigns:** Educating citizens about their rights and encouraging them to report misuse of public resources can strengthen enforcement.
* **Technology and transparency:** Utilizing technology to improve transparency in government spending can help deter misuse of public funds. The Philippines has a legal framework in place to regulate the use of public resources for political purposes. However, consistent enforcement, a shift in political culture, and public vigilance are necessary to ensure that public funds are used for their intended purpose – serving the Filipino people.</t>
  </si>
  <si>
    <t>What legal actions can be taken against individuals engaging in character assassination against political figures or activists?</t>
  </si>
  <si>
    <t>Character assassination, also known as defamation or libel, against political figures or activists in the Philippines can have legal consequences. Here are the legal actions that can be taken against individuals engaging in character assassination:
1. Civil Complaint for Libel: The victim of character assassination can file a civil complaint for libel against the individuals responsible for making defamatory statements. Libel is defined as the public and malicious imputation of a crime, or of a vice or defect, real or imaginary, or any act, omission, condition, status, or circumstance tending to cause the dishonor, discredit, or contempt of a natural or juridical person, or to blacken the memory of one who is dead. Victims can seek damages for harm to reputation, emotional distress, and other losses caused by the defamation.
2. Criminal Complaint for Libel: In addition to civil remedies, victims can also file criminal complaints for libel under the Revised Penal Code of the Philippines. Libel is considered a criminal offense punishable by imprisonment and fines. The aggrieved party can file a criminal complaint with the appropriate law enforcement authorities for investigation and prosecution of the individuals responsible for the defamatory statements.
3. Cyber Libel: If the defamatory statements were made through electronic means, such as social media or online platforms, the Cybercrime Prevention Act of 2012 (RA 10175) may apply. Cyber libel is defined as the unlawful or prohibited acts of libel as defined in Article 355 of the Revised Penal Code, as amended, committed through a computer system or any other similar means which may be devised in the future.
4. Human Rights Complaint: Victims of character assassination can file complaints with the Commission on Human Rights (CHR) if the defamation violates their human rights, including the right to reputation and dignity. The CHR has the authority to investigate human rights violations, including cases of defamation, and to recommend measures to address such violations.
5. Media Regulation: Defamatory statements made through traditional media channels, such as newspapers, television, or radio, may violate media ethics and standards. Victims can file complaints with media regulatory bodies, such as the Philippine Press Council or the Movie and Television Review and Classification Board (MTRCB), for violation of media ethics and standards.
Overall, victims of character assassination have legal recourse through civil and criminal remedies, as well as through regulatory mechanisms and human rights protections, to address defamation and protect their reputation and rights.</t>
  </si>
  <si>
    <t>How are crimes like illegal possession of firearms in the context of political activities regulated and punished?</t>
  </si>
  <si>
    <t>The regulation and punishment of illegal firearm possession during political activities depends heavily on location. Here's a breakdown:
**General Laws:**
* Most countries and regions have laws against illegal possession of firearms. These baseline laws apply regardless of the context, including political activities. Penalties can range from fines to imprisonment depending on the severity of the offense.
**Political Activity Specifics:**
* Some areas have stricter regulations around firearms during political gatherings, protests, or demonstrations. These might include temporary bans on carrying firearms in specific zones or during specific events. * Violating these regulations could result in additional charges on top of the general illegal possession ones. **Permit Considerations:**
* Permit holders might have restrictions on when and where they can carry their firearms. Political activities in certain areas might violate these permit limitations. **Intent Matters:**
* In some cases, the intent behind carrying the firearm plays a role. If authorities believe the individual intends to use the firearm for violence or intimidation, the charges could be even more serious.
**Difficulties in Enforcement:**
* It can be difficult for law enforcement to determine the legality of every firearm carried during political activities, especially in large gatherings. Here are some resources for further information:
* You can search for specific laws related to your country or region using terms like "firearm laws during protests" or "gun control in political events."
* Governmental websites often have detailed information on firearm regulations.
It's important to remember that laws are complex and can vary significantly. This is a general overview, and consulting a legal expert for specific situations is always recommended.</t>
  </si>
  <si>
    <t>How does the law address the use of hate speech and incitement to violence against political or activist groups?</t>
  </si>
  <si>
    <t>The law around hate speech and incitement to violence against political or activist groups walks a tightrope between protecting free speech and preventing harm. Here's a breakdown:
**Balancing Act:**
* International law, like the ICCPR (International Covenant on Civil and Political Rights), protects freedom of expression. However, it allows restrictions on speech that incites discrimination, hostility, or violence. * The challenge lies in defining the line between offensive speech and speech that creates a clear risk of violence.
**Focus on Incitement:**
* Many countries focus on criminalizing **incitement to violence** rather than simply hate speech. This means the speech must be likely to cause imminent violence against a specific group. * Threats against individuals or calls for violence are more likely to be prosecuted than general hateful rhetoric.
**Context Matters:**
* Courts consider the context of the speech when determining if it's incitement. Factors like the speaker's intent, the audience, and the likelihood of violence are all weighed. * Speech that might be tolerated in a public debate might be illegal if delivered at a protest where tensions are already high.
**Alternatives to Criminal Law:**
* Some countries address hate speech through education campaigns promoting tolerance and counter-narratives. This aims to prevent hate from escalating into violence.
**Challenges and Considerations:**
* Striking the right balance between free speech and protecting groups from violence is a complex issue.
* Laws can be misused to silence criticism of political views or activism.
* The rise of online hate speech presents new challenges for enforcement.
**Further Research:**
* To learn more about specific laws in your country, you can search for terms like "hate speech laws" or "incitement to violence legislation." * International organizations like the UN ([https://news.un.org/en/story/2023/01/1132612](https://news.un.org/en/story/2023/01/1132612)) and UNESCO ([https://www.unesco.org/en/countering-hate-speech](https://www.unesco.org/en/countering-hate-speech)) offer resources on this topic.
Remember, this is a general overview. Laws and their enforcement can vary significantly depending on location.</t>
  </si>
  <si>
    <t>What legal provisions govern the financing of political campaigns and parties to prevent corruption?</t>
  </si>
  <si>
    <t>In the Philippines, the financing of political campaigns and parties is regulated by various legal provisions aimed at preventing corruption and promoting transparency in the electoral process. Some of the key legal provisions governing campaign finance include:
1. Omnibus Election Code (Batas Pambansa Blg. 881): The Omnibus Election Code contains provisions regulating the financing of political campaigns and parties. Section 100 of the Omnibus Election Code limits the amount of campaign expenditures that candidates and political parties can incur during an election period. Candidates and political parties are required to submit reports of their campaign contributions and expenditures to the Commission on Elections (COMELEC) within specified periods.
2. Republic Act No. 7166: This law provides for synchronized national and local elections and contains provisions on campaign finance, including rules on the filing of statements of contributions and expenditures by candidates and political parties. It also establishes penalties for violations of campaign finance regulations.
3. Republic Act No. 10368 (The Anti-Money Laundering Act of 2001): This law aims to prevent and combat money laundering activities, including those related to the financing of political campaigns and parties. It requires financial institutions to report suspicious transactions and imposes penalties for money laundering offenses.
4. COMELEC Resolution No. 10420: The COMELEC issues resolutions and guidelines to implement campaign finance regulations effectively. Resolution No. 10420 provides guidelines on the filing of statements of contributions and expenditures by candidates and political parties, as well as rules on campaign finance reporting and auditing.
5. Code of Conduct for Public Officials (Republic Act No. 6713): Public officials, including candidates for elective office, are required to adhere to ethical standards and disclose their financial interests and assets. This law aims to prevent conflicts of interest and corruption in public service, including in the financing of political campaigns.
6. Supreme Court Decisions: The Supreme Court of the Philippines has issued rulings on campaign finance regulations and electoral spending limits to ensure compliance with constitutional principles of transparency, accountability, and equal access to public office.
Overall, the legal framework governing the financing of political campaigns and parties in the Philippines aims to prevent corruption, promote transparency, and ensure the integrity of the electoral process. Compliance with campaign finance regulations is essential to maintaining the fairness and credibility of elections.</t>
  </si>
  <si>
    <t>How are crimes such as assault or physical harm against political figures or activists regulated and punished?</t>
  </si>
  <si>
    <t>Crimes against political figures and activists are generally treated the same way as assaults or physical harm against any citizen. However, there can be additional factors considered:
* **Publicity:** Attacks on prominent figures are likely to receive more attention and resources from law enforcement. * **Intimidation:** If the crime is seen as an attempt to silence dissent or disrupt the political process, there might be harsher penalties. * **State vs. Non-State Actors:** If the perpetrator is linked to the government or a powerful entity, investigations can be more complex.
Here's a breakdown of how these crimes are regulated and punished:
* **Existing Laws:** Assault, battery, threats, and even homicide all have legal definitions and penalties depending on the severity. These laws apply to everyone, regardless of political affiliation.
* **Sentencing Enhancements:** Some jurisdictions have laws that increase penalties for crimes targeting specific groups, including political figures or activists. This deters attackers and acknowledges the chilling effect such violence can have on public discourse. * **Investigation Challenges:** In some countries, government involvement or intimidation can make investigations difficult. Human rights organizations often play a crucial role in documenting these crimes and pressuring authorities for accountability.
Here are some real-world examples:
* **The Philippines:** Activists critical of the government have faced **red-tagging**, being labelled as communists or terrorists, which puts them at risk of violence [HRF Report on Red-Tagging].
* **International Criminal Court (ICC):** The ICC is investigating killings in the Philippines' war on drugs, including those targeting activists [Amnesty International Report on Philippines].
It's important to note that legal frameworks can vary greatly depending on the country.</t>
  </si>
  <si>
    <t>What measures are in place to ensure fair and transparent elections and prevent electoral fraud?</t>
  </si>
  <si>
    <t>Several measures work together to ensure fair and transparent elections, preventing fraud and boosting public trust:
**Voter Registration and Eligibility:**
* **Clear Criteria:** There should be well-defined rules for who can vote, like age, citizenship, and residency. * **Accessible Registration:** The registration process should be easy to understand and complete, with resources for those needing assistance. * **Accurate Voter Rolls:** Regular maintenance of voter rolls is essential to remove deceased or ineligible individuals.
**Election Administration:**
* **Independent Body:** An impartial commission oversees elections, free from political influence. * **Trained Poll Workers:** Polls are staffed by well-trained individuals who understand voting procedures and can answer voter questions.
* **Standardized Procedures:** Clear and consistent procedures are established for voting, ballot counting, and result reporting.
**Voting Process:**
* **Secret Ballot:** Voters can cast their ballots in private, free from coercion or intimidation. * **Multiple Voting Methods:** Offering options like paper ballots, electronic voting machines with paper trails, and early voting can increase accessibility and reduce congestion. * **Security Measures:** Polls have security protocols in place to prevent unauthorized access to ballots or voting equipment.
**Transparency and Verification:**
* **Public Information:** Disseminating clear information about candidates, voting locations, and procedures is crucial. * **Independent Observers:** International and domestic observers can monitor the election process to identify any irregularities. * **Audits and Recounts:** Post-election audits and recounts can verify the accuracy of the results, especially in close races.
**Legal Framework:**
* **Clear Laws:** Anti-fraud laws should be clear and enforceable, with penalties for violations. * **Dispute Resolution:** A fair and impartial system should be in place to address complaints and challenges to election results.
**Technology:**
* **Security Standards:** Voting machines and electronic systems should meet rigorous security standards to prevent hacking or manipulation. * **Regular Testing:** Voting systems should undergo regular testing and audits to ensure functionality and prevent vulnerabilities.
**Public Education:**
* **Voter Education:** Educating voters about their rights, responsibilities, and the voting process is key to a healthy democracy.
* **Media Literacy:** Initiatives promoting media literacy can help voters critically evaluate information and identify potential misinformation.
By implementing a combination of these measures, countries can strengthen public trust in their elections and deter potential attempts at electoral fraud.</t>
  </si>
  <si>
    <t>How does the law address the intimidation or harassment of voters during elections?</t>
  </si>
  <si>
    <t>In the Philippines, the law addresses the intimidation or harassment of voters during elections through various legal provisions aimed at protecting the rights of voters and ensuring the integrity of the electoral process. Some of the key legal measures include:
1. Omnibus Election Code (Batas Pambansa Blg. 881): The Omnibus Election Code contains provisions that prohibit acts of intimidation or harassment of voters during elections. Section 261 (a) (1) (i) of the Omnibus Election Code defines the offense of coercion, which includes the use of force, intimidation, threats, or other means to compel a voter to vote or refrain from voting for a particular candidate or political party. Violators of this provision can face criminal penalties, including imprisonment and disqualification from holding public office.
2. COMELEC Resolutions and Guidelines: The Commission on Elections (COMELEC) issues resolutions and guidelines to implement election laws effectively and ensure the protection of voters' rights. These resolutions may include measures to prevent and address incidents of voter intimidation or harassment, such as providing for the deployment of law enforcement personnel to polling places and establishing procedures for reporting and investigating complaints of electoral offenses.
3. Law Enforcement Intervention: Law enforcement authorities, such as the Philippine National Police (PNP), have the responsibility to enforce election laws and maintain peace and order during elections. They can intervene to prevent incidents of voter intimidation or harassment, respond to complaints from voters, and take appropriate action against individuals or groups engaged in illegal activities.
4. Commission on Human Rights (CHR): The Commission on Human Rights has the authority to investigate human rights violations, including incidents of voter intimidation or harassment. Voters who experience intimidation or harassment during elections can file complaints with the CHR for investigation and intervention.
5. Public Awareness and Education: Public awareness campaigns and voter education initiatives play a crucial role in preventing voter intimidation or harassment. Educating voters about their rights and the electoral process can empower them to report incidents of intimidation or harassment and seek assistance from relevant authorities.
Overall, addressing the intimidation or harassment of voters during elections requires a multi-faceted approach involving legal measures, law enforcement intervention, public awareness campaigns, and institutional safeguards to protect the rights of voters and uphold the integrity of the electoral process.</t>
  </si>
  <si>
    <t>What role do government agencies play in monitoring and addressing political and activist-related crimes?</t>
  </si>
  <si>
    <t>Government agencies play a crucial role in monitoring and addressing political and activist-related crimes. Here's a breakdown of their key functions:
**Monitoring:**
* **Intelligence gathering:** Agencies collect information on potential threats from various sources, including social media monitoring, informant networks, and surveillance (with legal oversight). * **Tracking activities:** They keep tabs on groups and individuals suspected of planning violence or illegal activities during protests or political events.
* **Threat assessment:** Based on gathered information, they analyze the likelihood and severity of potential crimes. **Addressing:**
* **Investigation:** Once a crime occurs, they launch investigations to identify perpetrators, gather evidence, and build a case for prosecution. * **Law enforcement:** They deploy law enforcement personnel to maintain order during protests, prevent violence, and make arrests if necessary. * **Community outreach:** Some agencies work with communities to build trust, address grievances that might fuel activism, and encourage peaceful forms of protest.
**Balancing act:**
This role requires a delicate balance. Governments need to be vigilant against genuine threats but also avoid stifling legitimate dissent and activism. Here are some potential concerns:
* **Overreach:** Excessive monitoring or infiltration of activist groups can violate privacy rights and chill free speech. * **Targeting:** Selective monitoring or prosecution based on political affiliation undermines public trust.
* **Transparency:** Clear guidelines and oversight are crucial to ensure monitoring activities are legal and justified.
The specific authorities and approaches of government agencies vary depending on the country's legal framework and political system.</t>
  </si>
  <si>
    <t>How are crimes like illegal detention or enforced disappearances related to political activities addressed under Philippine law?</t>
  </si>
  <si>
    <t>Philippine law takes a strong stance against crimes like illegal detention and enforced disappearances, especially when connected to political activities. Here's how these acts are addressed:
**Relevant Laws:**
* **Revised Penal Code (RPC):** This core criminal code includes provisions against:
* **Illegal Detention (Article 124):** Punishes the act of depriving a person of liberty without legal grounds.
* **Acts of Violence and Threats (Articles 282-283):** Covers threats, intimidation, and violence used to silence or harm individuals.
* **Anti-Enforced or Involuntary Disappearance Act of 2012 (Republic Act No. 10354):** Specifically criminalizes enforced disappearances, defining it as the taking of a person by a state actor, group, or individual followed by a denial of recognition of the deprivation of liberty or by concealment of the fate or whereabouts of the person.
**Addressing the Crimes:**
* **Investigation:** Law enforcement agencies like the Philippine National Police (PNP) are mandated to investigate allegations of illegal detention and enforced disappearances. The Commission on Human Rights (CHR) can also conduct independent investigations.
* **Prosecution:** If evidence supports the charges, the perpetrators face prosecution in regular courts. Penalties can range from imprisonment to life sentences depending on the severity of the crime. * **Protection Measures:** The Anti-Enforced or Involuntary Disappearance Act provides for witness protection programs and other measures to safeguard those who come forward with information.
**Challenges:**
Despite legal frameworks, addressing these crimes can be difficult due to:
* **Culture of Impunity:** Perpetrators, especially those with power or connections, may evade accountability.
* **Witness Intimidation:** Fear of retaliation can discourage individuals from reporting these crimes.
* **Difficulty in Gathering Evidence:** Enforced disappearances by their nature make it hard to locate victims and collect proof.
**Seeking Help:**
* **Commission on Human Rights (CHR):** Accepts complaints regarding human rights violations, including illegal detention and enforced disappearances. They can investigate, recommend prosecutions, and provide legal assistance to victims.
* **Non-Governmental Organizations (NGOs):** Several NGOs in the Philippines work on human rights issues and can offer support and legal aid to victims.
By understanding the laws and avenues for seeking help, Filipinos can fight against these political offenses and ensure justice is served.</t>
  </si>
  <si>
    <t>What legal actions can be taken against individuals engaging in online disinformation campaigns to manipulate public opinion?</t>
  </si>
  <si>
    <t>In the Philippines, legal actions can be taken against individuals engaging in online disinformation campaigns to manipulate public opinion. Here are some of the legal measures that can be pursued:
1. Cybercrime Prevention Act of 2012 (RA 10175): The Cybercrime Prevention Act criminalizes various forms of cybercrimes, including cyber libel, online harassment, and spreading false information. Individuals engaging in online disinformation campaigns can be held accountable under this law. Complaints can be filed with the Cybercrime Investigation and Coordinating Center (CICC) or the Philippine National Police-Cybercrime Group (PNP-CCG) for investigation and prosecution of cyber libel or other cybercrimes.
2. Election Laws: Disinformation campaigns intended to manipulate public opinion may violate election laws, such as those prohibiting acts of disinformation, mudslinging, and spreading false information to deceive voters. The Commission on Elections (COMELEC) has the authority to investigate election offenses and prosecute individuals engaged in disinformation campaigns during elections.
3. Defamation Laws: False and defamatory statements made with the intent to harm the reputation of individuals or groups may constitute defamation, which is a civil offense under Philippine law. Victims of online disinformation campaigns can file civil complaints for damages against the individuals or entities responsible for spreading false information.
4. Media Regulation: Disinformation campaigns disseminated through traditional media channels, such as newspapers, television, or radio, may violate media ethics and standards. Complaints can be filed with media regulatory bodies, such as the Philippine Press Council or the Movie and Television Review and Classification Board (MTRCB), for violation of media ethics and standards.
5. Commission on Human Rights (CHR): The Commission on Human Rights has the authority to investigate human rights violations, including disinformation campaigns intended to manipulate public opinion or undermine democratic processes. Complaints can be submitted to the CHR for investigation and intervention.
Overall, legal actions against individuals engaging in online disinformation campaigns may involve a combination of criminal and civil remedies, as well as regulatory measures and human rights protections, to address the harmful effects of disinformation and protect the integrity of public discourse.</t>
  </si>
  <si>
    <t>How does Philippine law address the use of force or violence to influence political decision-making?</t>
  </si>
  <si>
    <t>Philippine law prohibits the use of force or violence to influence political decision-making. Here are some relevant provisions:
* **The Philippine Constitution** The Constitution guarantees the right to peaceable assembly and the right to petition the government for redress of grievances (Article III, Sections 4 and 15). This means that people can express their political views and advocate for their positions through peaceful means.
* **The Revised Penal Code** The Revised Penal Code defines and penalizes various crimes that involve violence or intimidation, such as:
* Rebellion (Article 134)
* Sedition (Article 136)
* Direct assault (Article 148)
* Tumultous demonstration (Article 146)
* Coercion (Article 132)
* **The Public Assemblies Act of 1985 (Batas Pambansa Blg. 880)** This law regulates the holding of assemblies, rallies, and demonstrations. It requires permits for certain types of assemblies and prohibits acts that can lead to violence or disorder.
Using force or violence to influence political decision-making is a crime in the Philippines and can result in imprisonment and other penalties.</t>
  </si>
  <si>
    <t>What measures are in place to prevent and address crimes committed by private individuals or groups against political figures or activists?</t>
  </si>
  <si>
    <t>The Philippines implements a combination of preventive and responsive measures to address violence against political figures and activists:
**Prevention:**
* **Security Detail:** High-profile political figures often receive security details from the Philippine National Police (PNP) or private security firms. * **Threat Assessment:** Law enforcement agencies like the PNP monitor potential threats and conduct risk assessments for individuals deemed vulnerable.
* **Community Policing:** Programs that foster trust and cooperation between the police and communities can help identify potential threats and deter violence.
* **Gun Control Laws:** The Philippines has gun control laws aimed at reducing the number of firearms in circulation, potentially lowering the risk of violence. * **Public Education Campaigns:** Campaigns promoting peaceful political discourse and condemning violence can reduce societal acceptance of such acts.
**Response:**
* **Investigation and Prosecution:** Law enforcement investigates crimes against political figures and activists, aiming to apprehend and prosecute perpetrators. * **Witness Protection Programs:** Programs exist to protect witnesses who come forward with information about these crimes. * **Special Courts:** Some regions with high rates of political violence have special courts to expedite trials of these cases.
**Challenges:**
* **Impunity:** Not all crimes are solved, and perpetrators may escape punishment, discouraging others from coming forward and weakening deterrence.
* **Corrupt Practices:** Corruption within law enforcement can hinder effective investigation and prosecution.
* **Political Motivations:** Investigations can be politicized, making it difficult to ensure a fair and impartial process.
**Additional Considerations:**
* **Online Threats:** The rise of social media has created new avenues for threats and harassment against political figures and activists. * **Role of Media:** Responsible media coverage can avoid amplifying hate speech or inciting violence. The effectiveness of these measures varies depending on the specific context. Continued efforts are needed to strengthen law enforcement, address corruption, and promote a culture of peaceful political discourse.</t>
  </si>
  <si>
    <t>How are crimes such as obstruction of justice or tampering with evidence related to political and activist-related cases regulated and punished?</t>
  </si>
  <si>
    <t>In the Philippines, obstruction of justice and tampering with evidence are serious offenses that apply equally to political and activist-related cases, and any other legal case. Here's how these are regulated and punished:
* **Relevant Laws:**
* **Revised Penal Code:** * Article 148 (Obstruction of Justice in Criminal Proceedings) - This applies to anyone who knowingly hinders or obstructs the apprehension, investigation, prosecution, or punishment of a crime.
* Article 185 (Tampering with Evidence) - This covers anyone who destroys, conceals, alters, or mutilates evidence in a criminal investigation or proceeding.
* **Special Laws:** In some instances, special laws may provide harsher penalties for tampering with evidence or obstructing justice in politically motivated crimes.
* **Penalties:** * Penalties for obstruction of justice and tampering with evidence vary depending on the severity of the offense and the underlying crime. They can range from imprisonment for a few months to several years.
* **Challenges:** * **Conviction Rates:** Obstruction of justice and tampering with evidence can be difficult to prove, potentially leading to lower conviction rates. * **Political Influence:** In politically charged cases, there may be pressure to downplay or ignore evidence tampering, hindering fair prosecution.
* **Importance in Political and Activist Cases:** * Obstruction of justice and tampering with evidence can significantly impact political and activist-related cases. If evidence is tampered with, it can be difficult to hold perpetrators accountable for crimes against political figures or activists. Conversely, a successful prosecution for obstruction or tampering can strengthen the overall case and ensure accountability.
* **Addressing Challenges:** * Strengthening law enforcement agencies and the justice system can improve investigation and prosecution capabilities. * Promoting judicial independence helps ensure political influence doesn't impede fair trials. * Public awareness campaigns can highlight the importance of upholding the rule of law and respecting judicial processes.
By effectively regulating and punishing obstruction of justice and tampering with evidence, the Philippines can work towards a more credible justice system that delivers equal results in all cases, including those involving political figures and activists.</t>
  </si>
  <si>
    <t>What legal provisions govern the accountability of public officials for crimes committed during political activities?</t>
  </si>
  <si>
    <t>The Philippines has several legal provisions that address the accountability of public officials for crimes committed during political activities. Here's a breakdown of the key aspects:
**Constitutional Provisions:**
* **Article III, Section 14:** This section enshrines the principle of public accountability by stating that "no officer or employee of the Government may engage in any other activity, profession, or business or be financially interested in any contract with the Government." This provision aims to prevent public officials from using their position for personal gain, which can sometimes lead to criminal activity during political campaigns.
* **Article XI, Section 1:** This section outlines the mandate of the impeachment process for public officials like the President, Vice President, members of Congress, Ombudsman, and Justices of the Supreme Court. Impeachment can be a consequence of betrayal of public trust, which can encompass crimes committed during political activities.
**Special Laws:**
* **Anti-Graft and Corrupt Practices Act (Republic Act No. 3019):** This law defines and penalizes various corrupt practices by public officials, including acts committed during political campaigns. For instance, bribery of voters or using government resources for personal political gain can fall under this Act.
* **The Omnibus Election Code (Comelec Code - Batas Pambansa Blg. 881):** This code outlines campaign finance regulations and prohibits certain activities during elections. Violations can lead to disqualification from running for office or even criminal charges.
**Other Relevant Laws:**
* **Revised Penal Code:** The general criminal code applies to public officials as well. Crimes like violence, coercion, or intimidation committed during political activities can be prosecuted under these provisions.
**Accountability Mechanisms:**
* **Ombudsman:** The Office of the Ombudsman investigates and prosecutes cases against public officials for violations of the Anti-Graft and Corrupt Practices Act and other laws.
* **Sandiganbayan:** This special court handles criminal and civil cases against government officials, including those stemming from political activities.
* **Civil Society Organizations (CSOs):** CSOs can play a crucial role in monitoring elections, filing complaints against erring officials, and advocating for reforms that enhance public accountability.
**Challenges:**
* **Political Influence:** The political process itself can sometimes be an obstacle to holding powerful officials accountable. Investigations and prosecutions can be delayed or impeded due to political pressure.
* **Lengthy Legal Processes:** The Philippine justice system can be slow, and cases against public officials can take years to resolve.
* **Weak Whistleblower Protection:** Fear of retaliation can discourage individuals from reporting wrongdoing by public officials.
**Looking Forward:**
Efforts to strengthen institutions like the Ombudsman and Sandiganbayan, enhance whistleblower protection, and promote a culture of political integrity are crucial steps towards ensuring that public officials in the Philippines are held accountable for crimes committed during political activities.</t>
  </si>
  <si>
    <t>How does the law address the unauthorized access to or tampering with election-related systems or infrastructure?</t>
  </si>
  <si>
    <t>In the Philippines, the law addresses unauthorized access to or tampering with election-related systems or infrastructure through various legal provisions aimed at protecting the integrity of the electoral process. Here are some of the key measures:
1. Cybercrime Prevention Act of 2012 (RA 10175): The Cybercrime Prevention Act criminalizes various forms of cybercrimes, including unauthorized access to computer systems, data interference, and computer-related identity theft. Unauthorized access to or tampering with election-related systems or infrastructure may fall under these provisions. Individuals engaged in such activities can be held criminally liable and prosecuted under this law.
2. Omnibus Election Code (Batas Pambansa Blg. 881): The Omnibus Election Code contains provisions that regulate the conduct of elections and protect the integrity of the electoral process. Section 261 (q) of the Omnibus Election Code prohibits acts of tampering with or altering election returns, ballots, or other election-related documents. Violators of this provision can face criminal penalties, including imprisonment and disqualification from holding public office.
3. Commission on Elections (COMELEC) Resolutions and Guidelines: The COMELEC issues resolutions and guidelines to implement election laws effectively and ensure the security of election-related systems and infrastructure. These resolutions may include measures to safeguard electronic voting machines, voter registration databases, and other election-related technology from unauthorized access or tampering.
4. Law Enforcement Intervention: Law enforcement authorities, such as the Philippine National Police (PNP), have the responsibility to enforce election laws and maintain peace and order during elections. They can investigate reports of unauthorized access to or tampering with election-related systems or infrastructure, make arrests, and file charges against individuals engaged in such activities.
5. Election Monitoring and Oversight: Election monitoring organizations and civil society groups play a crucial role in monitoring the conduct of elections and reporting any irregularities or violations of election laws, including unauthorized access to or tampering with election-related systems or infrastructure. Their reports can help to ensure accountability and transparency in the electoral process.
Overall, addressing unauthorized access to or tampering with election-related systems or infrastructure requires a comprehensive approach involving legal measures, law enforcement intervention, election monitoring and oversight, and public awareness campaigns to protect the integrity of the electoral process and uphold the democratic rights of voters.</t>
  </si>
  <si>
    <t>What legal safeguards exist to protect individuals from politically motivated arrests or detentions?</t>
  </si>
  <si>
    <t>The exact safeguards against politically motivated arrests vary depending on the country's legal system. Here are some general principles that exist in many democracies:
* **Due process:** This legal concept ensures that arrests and detentions follow a fair and established procedure. This typically involves presenting evidence before a neutral judge and allowing the accused the right to legal representation. Due process helps prevent arbitrary arrests based on political motives.
* **Independent judiciary:** A strong and independent judiciary, free from political influence, is crucial. Judges should be impartial and make decisions based on law and evidence, not political pressure.
* **Habeas corpus:** This is a legal procedure that allows a person to challenge the legality of their detention. If a court finds the detention unlawful, the person must be released.
* **Right to a fair trial:** An arrested individual has the right to a fair and public trial within a reasonable time. This includes the right to be represented by a lawyer, to present evidence, and to confront their accusers.
* **Freedom of expression and assembly:** These fundamental rights allow for dissent and political participation. While restrictions might exist for incitement of violence or hate speech, governments cannot use these restrictions to silence political opponents.
* **International law:** International human rights treaties can also provide safeguards. For example, the International Covenant on Civil and Political Rights (ICCPR) guarantees the right to liberty and security of person, as well as the right to a fair trial. It's important to note that these safeguards are not foolproof, and political arrests can still occur. However, a strong legal framework and a vibrant civil society can help hold governments accountable and protect individual rights.</t>
  </si>
  <si>
    <t>How are crimes like perjury or false testimony related to political investigations regulated and punished?</t>
  </si>
  <si>
    <t>Perjury and false testimony are serious offenses that are treated similarly regardless of whether they occur during a political investigation or a regular criminal case. Here's how they are regulated and punished:
**Regulation:**
* **Oath-taking:** Witnesses in investigations, including political ones, are typically required to take an oath to tell the truth, the whole truth, and nothing but the truth. This oath serves as a reminder of the seriousness of truthful testimony.
* **Laws against perjury and false testimony:** Most countries have specific laws that define and criminalize perjury and false testimony. These laws typically outline the elements of the crime, such as knowingly making a false statement under oath.
**Punishment:**
* **Severity:** Penalties for perjury and false testimony can vary depending on the jurisdiction and the severity of the offense. Punishments can range from fines and community service to imprisonment. * **Factors affecting punishment:** Several factors can influence the severity of the punishment, including:
* The materiality of the lie: Did the false statement impact the outcome of the investigation?
* Intent: Was the lie deliberate or made due to recklessness?
* Prior offenses: Does the person have a history of perjury or false testimony?
**Examples of consequences:**
* **Criminal charges:** Prosecutors can file criminal charges against individuals suspected of perjury or false testimony. If convicted, they could face jail time, fines, and a criminal record.
* **Loss of reputation:** A conviction for perjury can severely damage a person's reputation, impacting their career and public standing.
* **Civil lawsuits:** In some cases, individuals who are harmed by false testimony might file civil lawsuits against the person who lied.
**Important points:**
* The burden of proof lies with the prosecution to prove that the testimony was demonstrably false and made intentionally. * Because political investigations can be contentious, proving intent can be challenging. Overall, perjury and false testimony are serious offenses with significant consequences, regardless of the context of a political investigation. These laws aim to ensure the integrity of the investigative process and the justice system itself.</t>
  </si>
  <si>
    <t>What measures are in place to prevent and address threats or violence against the families of political figures or activists?</t>
  </si>
  <si>
    <t>Here are some measures that can be taken to prevent and address threats or violence against the families of political figures or activists:
**Preventative Measures:**
* **Threat assessments:** Law enforcement and security agencies can conduct threat assessments to identify potential risks to families. This might involve monitoring online activity, analyzing past incidents, and assessing the level of public discourse surrounding the political figure or activist.
* **Security briefings:** Families can be briefed on security protocols, including personal safety measures, home security upgrades, and communication strategies when dealing with threats.
* **Public awareness campaigns:** Promoting public awareness about the dangers faced by families of political figures and activists can help deter potential attackers and encourage bystanders to report suspicious activity.
* **Lobbying for stronger legal protection:** Advocacy efforts can push for legislation that specifically addresses threats and violence against families of political figures and activists. This could involve harsher punishments for perpetrators and increased resources for protective measures.
**Responsive Measures:**
* **Increased security:** Law enforcement can provide increased security for families, including patrols, surveillance, and personal security details depending on the level of threat.
* **Support services:** Psychological counseling and support services can be offered to families who have experienced threats or violence. This can help them cope with the trauma and develop resilience.
* **Investigations and prosecution:** Law enforcement should thoroughly investigate threats and violence against families. Perpetrators should be held accountable through prosecution and appropriate legal action.
* **Media responsibility:** Media outlets can play a role in de-escalating tensions by avoiding inflammatory language and protecting the privacy of families, especially minors.
**Challenges:**
* **Balancing security and privacy:** Implementing security measures should strike a balance between protecting families and maintaining their right to privacy. * **Resource limitations:** Providing adequate security and support services for all families at risk can be resource-intensive, especially in countries with limited budgets.
* **Political pressure:** Governments may be reluctant to implement strong protective measures for the families of their opponents.
**The effectiveness of these measures depends on the specific context, political climate, and available resources. However, a combination of preventive and responsive actions can help create a safer environment for families of political figures and activists.**</t>
  </si>
  <si>
    <t>How does Philippine law regulate the use of public spaces for political gatherings and protests?</t>
  </si>
  <si>
    <t>The Philippines protects the right to peaceful assembly, but there are regulations in place to ensure public order and safety during political gatherings and protests. Here's a breakdown of how Philippine law addresses this:
**Constitutional Right:**
* The Philippine Constitution (Article III, Section 4) guarantees the freedom of speech, of assembly, and the right to petition the Government for redress of grievances. This provides the foundation for Filipinos to hold political gatherings and protests in public spaces.
**Regulatory Framework:**
* **Public Assembly Act (Batas Pambansa Blg. 880):** This law outlines the process for notifying authorities about planned assemblies. It requires organizers to secure a permit from the local government unit (LGU) at least three days before the event. * **Local government ordinances:** LGUs may have their own ordinances that further regulate the use of specific public spaces for assemblies. These ordinances might specify limitations on noise levels, designated protest zones, and restrictions on blocking major thoroughfares. **Balancing Rights and Order:**
* The government has a legitimate interest in maintaining public order and safety. However, regulations cannot be so restrictive that they unreasonably inhibit the right to peaceful assembly.
* Courts have the power to review permit denials and ensure that the government's reasons for denying a permit are legitimate and necessary.
**Important Considerations:**
* **Permits are not absolute:** Even with a permit, authorities can still disperse assemblies if they become violent or pose a clear threat to public safety.
* **Right to peaceful assembly:** The right to assemble extends only to peaceful protests. Activities that involve violence, destruction of property, or incitement to violence are not protected.
**Additional Resources:**
* You can find the full text of the Public Assembly Act here: [Batas Pambansa Blg. 880 ON Chan Robles lawphil.net] (unofficial translation)
**Remember:** This is a general overview, and it's advisable to consult with a lawyer specializing in assembly rights for specific legal advice.</t>
  </si>
  <si>
    <t>What legal actions can be taken against individuals engaging in doxxing or releasing private information to harm political figures or activists?</t>
  </si>
  <si>
    <t>Doxxing a political figure or activist can lead to legal consequences depending on the nature of the information revealed and the intent behind it. Here's a breakdown of potential legal actions:
**Civil Lawsuits:**
* **Intentional infliction of emotional distress:** If the doxxing caused emotional distress to the political figure or activist, they could sue for damages. This would involve proving the doxxing was intentional and resulted in significant emotional harm.
* **Invasion of privacy:** The release of private information without consent could be considered an invasion of privacy, allowing the individual to sue for compensation.
* **Defamation:** If the doxxed information is false and damages the reputation of the political figure or activist, a defamation lawsuit might be possible.
**Criminal Charges:**
The specific criminal charges will depend on the details of the doxxing and the harm it caused. Here are some possibilities:
* **Stalking:** Repeatedly releasing private information to harass or intimidate a political figure or activist could be considered stalking, a criminal offense. * **Cyberbullying:** In some jurisdictions, cyberbullying laws might apply if the doxxing is part of a broader pattern of online harassment.
* **Threats:** If the doxxing is accompanied by threats of violence, it could be a criminal offense.
**Additionally:**
* **Depending on the content of the information doxxed:** Releasing private information obtained illegally (e.g., hacking) or information related to certain protected categories (e.g., social security number) could lead to separate charges.
* **Anti-harassment laws:** Some jurisdictions have specific laws against harassing or intimidating political figures or activists. These laws might encompass doxxing in certain situations.
**Challenges:**
* **Proving intent:** It can be difficult to prove that the doxxing was done with malicious intent, especially if the information is publicly available from other sources.
* **Anonymisity online:** The anonymous nature of the internet can make it difficult to identify the individuals responsible for doxxing.
**Overall, while there may not be a specific law against doxxing in the Philippines, the actions mentioned above can provide legal recourse for those targeted.** It's important to consult with a lawyer specializing in cybercrime or privacy law to determine the best course of legal action in a specific doxxing case.</t>
  </si>
  <si>
    <t>How are crimes like arson or destruction of property during political activities regulated and punished?</t>
  </si>
  <si>
    <t>Arson and destruction of property during political activities are treated as serious crimes, separate from the political message the act might be trying to convey. Here's how these acts are regulated and punished:
**General Criminal Laws Apply:**
* The specific laws will vary depending on the jurisdiction, but most countries have laws against arson, vandalism, and destruction of property. These laws typically apply regardless of the motive behind the crime, including political motivations.
**Increased Penalties:**
* In some cases, the penalty for these crimes might be harsher if committed during political activities. This is because such acts can disrupt public order, create a climate of fear, and damage public property. Judges might consider the context of the crime when sentencing, with politically motivated destruction potentially leading to longer jail time or higher fines.
**Examples of Relevant Laws:**
* **Philippines:** The Revised Penal Code (Article 318) criminalizes arson, with penalties ranging from imprisonment to death depending on the severity of the damage and resulting injuries. Vandalism and destruction of property also fall under the Penal Code (Articles 355 and 357) with varying penalties based on the value of the damage caused.
**Challenges:**
* **Intent vs. Protest:** The line between destruction as part of a protest and a criminal act can be blurry. Judges need to consider the nature of the destruction, the level of violence involved, and if it was directed at property or people. * **Gathering Evidence:** Identifying and apprehending perpetrators can be difficult, especially in chaotic situations during protests. **Preventative Measures:**
* Law enforcement can take steps to de-escalate situations and prevent violence during protests. This might involve maintaining a visible presence, mediating between protesters and authorities, and ensuring clear communication channels exist.
**Overall, arson and destruction of property are serious crimes with significant consequences, even if committed during political activities. These acts can undermine the legitimacy of political movements and create a climate of fear. Legal frameworks exist to deter such actions and punish those responsible.**</t>
  </si>
  <si>
    <t>How does the law address the manipulation or suppression of information to influence political outcomes?</t>
  </si>
  <si>
    <t>In the Philippines, the law addresses the manipulation or suppression of information to influence political outcomes through various legal provisions aimed at protecting the integrity of the electoral process and promoting freedom of expression. Here are some key measures:
1. Omnibus Election Code (Batas Pambansa Blg. 881): The Omnibus Election Code contains provisions that regulate the conduct of elections and prohibit acts of manipulation or suppression of information to influence political outcomes. Section 261 (a) (1) (xvi) of the Omnibus Election Code prohibits any person from "publishing, displaying or exhibiting any list of candidates for the purpose of soliciting votes, pledges or support except as authorized by the Commission." This provision aims to prevent the manipulation of information by unauthorized parties to influence voters.
2. Cybercrime Prevention Act of 2012 (RA 10175): The Cybercrime Prevention Act criminalizes various forms of cybercrimes, including cyber libel, online harassment, and spreading false information. Individuals engaged in the manipulation or suppression of information through online platforms can be held criminally liable and prosecuted under this law.
3. Defamation Laws: False and defamatory statements made with the intent to harm the reputation of individuals or groups may constitute defamation, which is a civil offense under Philippine law. Victims of the manipulation or suppression of information can file civil complaints for damages against the individuals or entities responsible for spreading false information.
4. Media Regulation: Media organizations and journalists are subject to regulations and standards of conduct aimed at ensuring the accuracy and fairness of reporting. Regulatory bodies, such as the Philippine Press Council or the Movie and Television Review and Classification Board (MTRCB), oversee compliance with media ethics and standards and may take action against violations.
5. Commission on Human Rights (CHR): The Commission on Human Rights has the authority to investigate human rights violations, including cases of censorship or suppression of information that undermine freedom of expression and democratic processes. Complaints can be submitted to the CHR for investigation and intervention.
Overall, addressing the manipulation or suppression of information to influence political outcomes requires a combination of legal measures, media regulation, and human rights protections to safeguard the integrity of the electoral process and uphold democratic principles of transparency, accountability, and freedom of expression.</t>
  </si>
  <si>
    <t>What role do international agreements and conventions play in shaping Philippine laws on political and activist-related crimes?</t>
  </si>
  <si>
    <t>International agreements and conventions play a significant role in shaping Philippine laws on political and activist-related crimes, though it's not always a straightforward influence. Here's how:
**Setting Standards:** The Philippines is a signatory to several key human rights treaties, including the International Covenant on Civil and Political Rights (ICCPR) These treaties establish international standards for fair trials, freedom of expression, and freedom of assembly. These standards can be invoked in Philippine courts to challenge laws or practices deemed overly restrictive.
**Obligations and Scrutiny:** By becoming a party to these agreements, the Philippines takes on obligations to uphold the enshrined rights. This creates international pressure to ensure domestic laws comply with these standards. Human rights organizations and other countries can raise concerns if Philippine laws or their application appear to violate these agreements. **Interpretation and Legal Challenges:** International agreements can influence how Philippine courts interpret existing laws. Lawyers can argue that domestic laws should be interpreted in a way that aligns with the Philippines' international commitments. This can lead to legal challenges against overly broad or vaguely defined laws related to political activity.
**Limitations:** It's important to note that international agreements are not directly enforceable within the Philippines. They require domestic legislation to be implemented. Additionally, enforcement mechanisms are often weak, making it challenging to hold the Philippines accountable for violations.
**Overall Impact:** Despite the limitations, international agreements and conventions play a crucial role in shaping the Philippine legal landscape for political and activist-related crimes. They serve as a reference point for crafting laws, interpreting existing ones, and pressuring the government to uphold human rights standards.</t>
  </si>
  <si>
    <t>How are crimes like extortion or bribery in the context of political activities regulated and punished?</t>
  </si>
  <si>
    <t>Extortion and bribery, even in the context of political activities, are illegal and punishable offenses in the Philippines. Here's how they are regulated and punished:
**Extortion:**
* Defined as obtaining money, property, or any other thing from another person through threats or intimidation (Philippine Penal Code: [https://lawphil.net/judjuris/juri2020/jun2020/gr_246580_caguioa.html](https://lawphil.net/judjuris/juri2020/jun2020/gr_246580_caguioa.html)).
* Applies equally to political figures or anyone who uses threats or intimidation to gain something from a candidate, politician, or activist.
* Penalties can be severe, ranging from imprisonment of several months to life depending on the severity of the threat and the value of what was extorted.
**Bribery:**
* Defined as offering, giving, receiving, or soliciting something of value (money, gifts, etc.) in exchange for an official act or omission (Philippine Penal Code: [https://lawphil.net/judjuris/juri2010/feb2010/gr_181409_2010.html](https://lawphil.net/judjuris/juri2010/feb2010/gr_181409_2010.html)).
* Covers attempts to bribe politicians or activists to influence their actions or decisions.
* Penalties vary depending on the nature of the bribe and the office involved. It can involve imprisonment and disqualification from holding public office.
**Additional Laws:**
* The Anti-Graft and Corrupt Practices Act ([Republic Act No. 3019]) further strengthens the fight against corruption in public office.
* The Code of Conduct and Ethical Standards for Public Officials ([Executive Order No. 292, s. 2016]) outlines expected ethical behavior for government officials, including refraining from bribery.
**Challenges:**
* While the laws exist, enforcing them can be challenging due to complex investigations and potential political influence.
* There may be pressure to settle extortion or bribery cases out of court, hindering prosecution.
**Importance:**
* Addressing these crimes is crucial for maintaining a fair and democratic political system.
* It ensures that political decisions are based on merit rather than undue influence.
**Reporting:**
* Filipinos can report suspected extortion or bribery to law enforcement agencies like the Philippine National Police (PNP) or the Office of the Ombudsman.
**Citizen Participation:**
* Public awareness and participation are vital in holding politicians and officials accountable.
* By reporting these crimes and advocating for transparency, Filipinos can help ensure a cleaner political environment.</t>
  </si>
  <si>
    <t>What legal actions can be taken against individuals engaging in online stalking or harassment against political figures or activists?</t>
  </si>
  <si>
    <t>The Philippines has several legal options to address online stalking and harassment against political figures and activists. Here's a breakdown of the relevant laws and potential actions:
**Cybercrime Law (Republic Act No. 10175):**
* This is the primary legal weapon against online stalking and harassment.
* Relevant provisions include:
* **Cyberstalking:** Repeated acts of sending messages that cause undue alarm or distress (Section 4(c)(2)).
* **Online Harassment:** Acts aimed at annoying, bothering, alarming, or molesting any person (Section 4(c)(4)).
* **Slander via Cyberspace:** False information that damages a person's reputation (Section 4(c)(5)).
* **Penalties:** Can include imprisonment and fines depending on the severity of the offense.
**Other Laws:**
* **Anti-Violence Against Women and Children Act (Republic Act No. 9262):** While primarily focused on physical violence, it can be applied in cases where online harassment involves threats or violence against women or children activists/politicians. * **Revised Penal Code:** Traditional offenses like threats (Article 148) and libel (Article 355) can be relevant depending on the nature of the online content.
**Challenges:**
* **Gathering Evidence:** Preserving online communication and identifying anonymous accounts can be difficult.
* **Interpretation:** The definition of "undue alarm or distress" might require clear evidence of harm caused to the victim.
**Recommendations:**
* **Document Everything:** Political figures and activists should document harassing messages and online threats. Screenshots and recordings can be crucial evidence.
* **Report to Authorities:** File a formal complaint with the Philippine National Police (PNP) or the National Bureau of Investigation (NBI).
* **Seek Legal Counsel:** A lawyer can advise on the most appropriate legal action based on the specific circumstances.
**Additionally:**
* Platforms like Facebook and Twitter have their own community guidelines against harassment. Reporting the abuse directly to the platform might lead to account suspension or removal of content.
**Importance:**
* Taking legal action against online stalking and harassment sends a strong message that such behavior will not be tolerated.
* It protects the right to free expression of political figures and activists by ensuring a safe online space for them to engage in public discourse.</t>
  </si>
  <si>
    <t>How does Philippine law address the abuse of surveillance or intelligence-gathering against political figures or activists?</t>
  </si>
  <si>
    <t>The Philippines has some legal mechanisms to address the abuse of surveillance or intelligence-gathering against political figures and activists, but it's an evolving area with limitations. Here's a breakdown:
**Available Legal Tools:**
* **Writ of Habeas Data:** Issued by the Supreme Court, this writ allows individuals to challenge the unlawful collection or storage of their personal data by public officials or private entities (A.M. No. 08-1-16-SC). This could be relevant if surveillance involves gathering excessive personal information.
* **Data Privacy Act (DPA) (Republic Act No. 10173):** This law protects the privacy of personal information, including the right to access and control one's data. It might be applicable if surveillance methods involve collecting and storing personal data without proper consent or justification. (Note: DPA primarily focuses on data privacy, not necessarily communication surveillance).
* **Right to Privacy (Philippine Constitution):** The Constitution guarantees the right to privacy in communication and correspondence (Article III, Section 7). This right can be invoked to challenge unreasonable surveillance practices.
**Challenges and Limitations:**
* **Weak Oversight:** Laws often lack clear guidelines on legitimate intelligence gathering versus abuse. Overlapping jurisdictions between agencies can make it difficult to hold them accountable.
* **Secrecy Concerns:** Intelligence operations are often shrouded in secrecy, making it hard to gather evidence of abuse.
* **Limited Scope:** Existing laws might not address specific surveillance methods like facial recognition or social media monitoring.
* **Chilling Effect:** The fear of being monitored can lead to self-censorship and hinder free expression. **What can be done?**
* **Legislative Reforms:** Pushing for laws that clearly define legitimate intelligence gathering and establish strong oversight mechanisms.
* **Judicial Activism:** Courts playing a more active role in interpreting privacy rights and setting limitations on surveillance powers.
* **Public Awareness:** Educating citizens about their privacy rights and how to challenge potential abuse.
**The Situation:** The Philippines is facing ongoing debate about the balance between national security and individual privacy. While these legal tools offer some protection, advocating for stronger safeguards and increased transparency remains crucial.</t>
  </si>
  <si>
    <t>What measures are in place to protect the privacy and security of political figures or activists?</t>
  </si>
  <si>
    <t>The Philippines has a mixed bag of measures in place to protect the privacy and security of political figures and activists. Here's a breakdown of existing safeguards and their limitations:
**Physical Security:**
* **State Security Detail:** High-profile political figures may be assigned security details by government agencies.
* **Threat Assessments:** Security agencies might conduct threat assessments to identify potential risks.
**Legal Protections:**
* **Anti-Violence Laws:** Laws like Anti-Violence Against Women and Children (RA 9262) can offer some protection if threats turn violent.
* **Cybercrime Law:** Protects against online harassment and stalking (RA 10175).
**Challenges:**
* **Resource Constraints:** Providing security details for all political figures or activists can be resource-intensive.
* **Limited Scope:** Existing laws might not address all security threats, like online disinformation campaigns.
* **Selective Enforcement:** Concerns exist about the potential for selective application of security measures based on political affiliation.
**Privacy Protections:**
* **Data Privacy Act (DPA):** Grants individuals some control over their personal data (RA 10173).
* **Writ of Habeas Data:** Allows challenging unlawful data collection (A.M. No. 08-1-16-SC).
**Limitations:**
* **Focus on Data:** DPA primarily focuses on data privacy, not necessarily communication surveillance.
* **Enforcement Challenges:** Weak oversight mechanisms can hinder effective enforcement of privacy rights.
**Additional Considerations:**
* **Self-Security Practices:** Political figures and activists can take personal steps like digital hygiene and varying routines to enhance security.
* **Media Scrutiny:** A free and independent media can play a role in exposing potential abuses of surveillance or threats against political figures or activists.
**Overall:**
The Philippines has a developing framework for protecting political figures and activists. While some legal tools exist, limitations remain in terms of resources, enforcement, and addressing new security threats. Continued advocacy for stronger safeguards, increased transparency, and public awareness is crucial.</t>
  </si>
  <si>
    <t>How are crimes like identity theft or impersonation in the context of political activities regulated and punished?</t>
  </si>
  <si>
    <t>In the Philippines, crimes like identity theft or impersonation in the context of political activities are regulated and punished through various legal provisions aimed at protecting the integrity of the electoral process and preventing fraudulent activities. Here's how these crimes are addressed:
1. Cybercrime Prevention Act of 2012 (RA 10175): The Cybercrime Prevention Act criminalizes various forms of cybercrimes, including identity theft, online impersonation, and other fraudulent activities perpetrated through electronic means. Individuals engaged in identity theft or impersonation for political purposes can be held criminally liable and prosecuted under this law.
2. Omnibus Election Code (Batas Pambansa Blg. 881): The Omnibus Election Code contains provisions that regulate the conduct of elections and prohibit fraudulent practices, including identity theft and impersonation. Section 261 (a) (1) (xv) of the Omnibus Election Code prohibits "using the name of another, whether living or dead, or fictitious name, or who causes confusion" for the purpose of influencing the outcome of an election. Violators of this provision can face criminal penalties, including imprisonment and disqualification from holding public office.
3. Anti-Identity Theft Act (Republic Act No. 10173): This law aims to prevent and penalize identity theft, defined as the unauthorized use of another person's personal information to commit fraudulent activities. Individuals engaged in identity theft for political purposes can be prosecuted under this law.
4. Criminal Code of the Philippines: Identity theft and impersonation may also constitute criminal offenses under the Criminal Code, such as fraud (Article 315), falsification of documents (Article 172), and usurpation of authority or official functions (Article 177). Violators of these provisions can face criminal penalties, including imprisonment and fines.
5. Law Enforcement Intervention: Law enforcement authorities, such as the Philippine National Police (PNP), have the responsibility to investigate reports of identity theft or impersonation and prosecute individuals engaged in fraudulent activities. They can make arrests, gather evidence, and file charges against perpetrators of these crimes.
Overall, addressing crimes like identity theft or impersonation in the context of political activities requires a combination of legal measures, law enforcement intervention, and public awareness campaigns to safeguard the integrity of the electoral process and uphold democratic principles of transparency and accountability.</t>
  </si>
  <si>
    <t>What legal provisions govern the accountability of private entities or corporations involved in political or electoral activities?</t>
  </si>
  <si>
    <t>In the Philippines, private entities or corporations involved in political or electoral activities are governed by various legal provisions aimed at ensuring transparency, accountability, and fairness in the electoral process. Here are some key legal provisions that regulate the accountability of private entities or corporations in this context:
1. Omnibus Election Code (Batas Pambansa Blg. 881): The Omnibus Election Code contains provisions that regulate the conduct of elections and political activities, including those involving private entities or corporations. Section 95 of the Omnibus Election Code prohibits contributions or expenditures by foreign corporations, entities, or individuals for the purpose of influencing the outcome of an election. Violators of this provision can face criminal penalties, including imprisonment and fines.
2. Campaign Finance Regulations: Private entities or corporations involved in funding political campaigns or activities are subject to campaign finance regulations administered by the Commission on Elections (COMELEC). These regulations include limits on campaign contributions and expenditures, disclosure requirements for donors, and penalties for violations of campaign finance laws.
3. Corporate Governance Laws: Private entities or corporations engaged in political or electoral activities are subject to corporate governance laws and regulations, which govern their internal management, operations, and accountability to shareholders and stakeholders. These laws may include requirements for transparency, accountability, and ethical conduct in corporate affairs.
4. Anti-Corruption Laws: Private entities or corporations involved in political or electoral activities are also subject to anti-corruption laws, such as the Anti-Graft and Corrupt Practices Act (Republic Act No. 3019) and the Code of Conduct and Ethical Standards for Public Officials and Employees (Republic Act No. 6713). These laws prohibit bribery, graft, and other forms of corruption in public and private sector dealings.
5. Regulatory Oversight: Regulatory bodies, such as the Securities and Exchange Commission (SEC) and the COMELEC, oversee the activities of private entities or corporations engaged in political or electoral activities to ensure compliance with relevant laws and regulations. These bodies may conduct audits, investigations, and enforcement actions to address violations of election laws and campaign finance regulations.
Overall, private entities or corporations involved in political or electoral activities in the Philippines are subject to a range of legal provisions aimed at promoting transparency, accountability, and integrity in the electoral process. Compliance with these laws and regulations is essential to safeguarding the integrity of democratic institutions and processes.</t>
  </si>
  <si>
    <t>How does the law address the use of state resources for the benefit of specific political figures or parties?</t>
  </si>
  <si>
    <t>In the Philippines, the use of state resources for the benefit of specific political figures or parties is regulated and restricted to prevent abuse of power, maintain fairness in elections, and uphold the principles of democracy. Here are some key ways the law addresses this issue:
1. Omnibus Election Code (Batas Pambansa Blg. 881): The Omnibus Election Code contains provisions that regulate the conduct of elections and prohibit the use of public funds, facilities, or resources for the benefit of any candidate or political party. Section 261 (o) of the Omnibus Election Code prohibits the use of government funds, equipment, facilities, or resources for partisan political activity. Violators of this provision can face criminal penalties, including imprisonment and disqualification from holding public office.
2. Commission on Elections (COMELEC) Resolutions and Guidelines: The COMELEC issues resolutions and guidelines to implement election laws effectively and ensure compliance with restrictions on the use of state resources for political purposes. These resolutions may include measures to prevent government officials or agencies from engaging in partisan political activities or using public resources to benefit specific candidates or parties.
3. Code of Conduct and Ethical Standards for Public Officials and Employees (Republic Act No. 6713): Public officials and employees are required to adhere to ethical standards and principles of conduct that prohibit the use of public resources for personal or political gain. This law establishes guidelines for the proper use of government funds, facilities, and resources and imposes penalties for violations, including administrative sanctions and disciplinary action.
4. Anti-Graft and Corrupt Practices Act (Republic Act No. 3019): This law aims to prevent and penalize corrupt practices in government, including the misuse of public funds or resources for personal or political purposes. Government officials or employees who engage in graft or corruption by using state resources for partisan political activities can be prosecuted and held accountable under this law.
5. Transparency and Accountability Mechanisms: Oversight bodies, such as the Commission on Audit (COA) and the Ombudsman, play a crucial role in monitoring government spending and investigating allegations of misuse of public funds or resources for political purposes. These bodies conduct audits, inquiries, and investigations to ensure transparency, accountability, and integrity in the use of state resources.
Overall, addressing the use of state resources for the benefit of specific political figures or parties requires strict enforcement of election laws, ethical standards for public officials, and mechanisms for transparency and accountability in government spending. Compliance with these legal provisions is essential to safeguarding the integrity of the electoral process and upholding democratic principles in the Philippines.</t>
  </si>
  <si>
    <t>What legal actions can be taken against individuals engaging in doxing or releasing private information to harm political figures or activists?</t>
  </si>
  <si>
    <t>In the Philippines, legal actions can be taken against individuals engaging in doxing or releasing private information to harm political figures or activists through various legal avenues. Here are some of the legal measures that can be pursued:
1. Cybercrime Prevention Act of 2012 (RA 10175): The Cybercrime Prevention Act criminalizes various forms of cybercrimes, including identity theft, online harassment, and unauthorized access to computer systems. Doxing or releasing private information with the intent to harm political figures or activists can be prosecuted under this law. Complaints can be filed with the Cybercrime Investigation and Coordinating Center (CICC) or the Philippine National Police-Cybercrime Group (PNP-CCG) for investigation and prosecution.
2. Data Privacy Act of 2012 (RA 10173): The Data Privacy Act regulates the processing of personal information in the Philippines and provides protection against unauthorized disclosure or misuse of personal data. Releasing private information without consent to harm political figures or activists may violate the provisions of this law. Victims of doxing can file complaints with the National Privacy Commission (NPC) for investigation and enforcement of data privacy rights.
3. Anti-Cyberbullying Act (Republic Act No. 10627): This law aims to prevent and address cyberbullying, defined as the act of using information and communication technology to intimidate, harass, or threaten individuals. Releasing private information to harm political figures or activists may constitute cyberbullying under this law. Victims can file complaints with law enforcement authorities for investigation and prosecution of cyberbullying offenses.
4. Defamation Laws: False and defamatory statements made with the intent to harm the reputation of individuals or groups may constitute defamation, which is a civil offense under Philippine law. Victims of doxing can file civil complaints for damages against the individuals or entities responsible for releasing private information.
5. Commission on Human Rights (CHR): The Commission on Human Rights has the authority to investigate human rights violations, including cases of privacy infringement and harassment. Victims of doxing can file complaints with the CHR for investigation and intervention to protect their rights and seek redress for any harm caused.
Overall, legal actions against individuals engaging in doxing or releasing private information to harm political figures or activists require a multi-faceted approach involving criminal prosecution, civil remedies, data privacy enforcement, and human rights protection to address the harmful effects of privacy infringement and uphold democratic principles of transparency, accountability, and respect for human dignity.</t>
  </si>
  <si>
    <t>Suicide Legislation</t>
  </si>
  <si>
    <t>How are crimes like bribery or corruption within political parties regulated and punished?</t>
  </si>
  <si>
    <t>In the Philippines, crimes like bribery or corruption within political parties are regulated and punished through various legal mechanisms aimed at promoting transparency, accountability, and integrity in the political process. Here are some of the key measures:
1. Anti-Graft and Corrupt Practices Act (Republic Act No. 3019): This law aims to prevent and penalize graft and corrupt practices in the government, including political parties. It prohibits public officials, including political party officials, from receiving or giving gifts, favors, or benefits in exchange for favors or influence. Violations of this law are subject to criminal penalties, including imprisonment and fines.
2. Campaign Finance Regulations: Political parties are subject to campaign finance regulations administered by the Commission on Elections (COMELEC). These regulations include limits on campaign contributions and expenditures, disclosure requirements for donors, and penalties for violations of campaign finance laws. Political parties found guilty of bribery or corruption in the context of campaign finance can face penalties, including fines and disqualification from participating in future elections.
3. Code of Conduct and Ethical Standards for Public Officials and Employees (Republic Act No. 6713): Public officials, including those affiliated with political parties, are required to adhere to ethical standards and principles of conduct that prohibit bribery, corruption, and other forms of misconduct. Violations of this law are subject to administrative sanctions, including suspension or dismissal from public office.
4. Ombudsman: The Office of the Ombudsman is responsible for investigating and prosecuting cases of graft and corruption in the government, including political parties. Complaints regarding bribery or corruption within political parties can be filed with the Ombudsman for investigation and appropriate action.
5. Civil Remedies: Individuals or groups affected by bribery or corruption within political parties may seek civil remedies, such as filing a complaint for damages against the political party or individuals responsible for the corruption. Civil actions can be pursued in court to hold accountable those who engage in bribery or corruption and seek compensation for any harm caused.
Overall, addressing bribery or corruption within political parties requires a comprehensive approach involving legal regulation, enforcement, and accountability mechanisms to ensure transparency, integrity, and fairness in the political process. Compliance with anti-corruption laws and ethical standards is essential to maintaining public trust and confidence in democratic institutions.</t>
  </si>
  <si>
    <t>How is suicide defined under Philippine law?</t>
  </si>
  <si>
    <t>The Philippines actually doesn't have a legal definition of suicide itself. There are however relevant resources:
* **Focus on Prevention:** The Philippines leans towards viewing suicide as a public health concern. You can find this reflected in Senate bills aimed at prevention, like the proposed "Student Suicide Prevention Act of 2005".
* **Reporting:** The Philippine National Police includes suicide incidents in their Crime Information, Reporting and Analysis System (CIRAS), categorized alongside self-inflicted accidents [ID 2022-001 Encoding of Suicide and Self Accident in the Crime Information, Reporting and Analysis System (CIRAS)].
If you're looking for help or resources regarding suicide prevention, here are some Philippine organizations that can help:
* Department of Health (DOH): [https://doh.gov.ph/](https://doh.gov.ph/)
* National Center for Mental Health (NCMH): [https://ncmh.gov.ph/](https://ncmh.gov.ph/)</t>
  </si>
  <si>
    <t>What legal measures are in place to prevent suicide and provide support to individuals at risk?</t>
  </si>
  <si>
    <t>While the Philippines doesn't have specific laws criminalizing suicide attempts, there's a strong focus on prevention and support:
**Legislative Efforts:**
* **Proposed Bills:** The Philippines recognizes suicide as a public health issue. You can find evidence in proposed Senate bills like the "Student Suicide Prevention Act of 2005" which aimed to establish preventive measures.
**Public Health Approach:**
* **Focus on Mental Health:** The Department of Health (DOH)菲律賓衛生部 (Pi-li-pin Wei-sheng Pu) plays a crucial role. They provide resources and raise awareness about mental health issues which can be underlying factors for suicide. [https://doh.gov.ph/](https://doh.gov.ph/)
* **National Center for Mental Health (NCMH):** This government agency [https://ncmh.gov.ph/](https://ncmh.gov.ph/) provides mental health services and crisis intervention. **Additionally:**
* **Suicide Reporting:** The Philippine National Police includes suicide data in their Crime Information, Reporting and Analysis System (CIRAS) categorized alongside self-inflicted accidents. This helps track trends and identify areas needing support.
These measures highlight the Philippines' approach to preventing suicide through mental health focus and improved data collection.</t>
  </si>
  <si>
    <t>Are there specific laws addressing assisted suicide or euthanasia in the Philippines?</t>
  </si>
  <si>
    <t>No, there are currently **no specific laws** addressing assisted suicide or euthanasia in the Philippines. **Both are considered illegal**.
Here's a breakdown of the legal situation:
* **Anti-Suicide Stance:** The Philippines, with a strong Catholic influence, generally views suicide negatively.
* **No Legalization Efforts:** Unlike some countries, there haven't been successful legislative attempts to legalize assisted suicide or euthanasia.
* **Existing Law:** The closest legal reference is the **Revised Penal Code**, which considers acts of euthanasia as a form of murder. Doctors assisting suicide could be charged with malpractice. **Right-to-Die Discussions:**
* **Limited Discussions:** Discussions around right-to-die issues exist, but they haven't gained widespread traction due to ethical and religious concerns.
* **Advance Directives:** The Philippines has a law (Republic Act No. 6124) related to patient rights, but it doesn't explicitly address assisted suicide or euthanasia. It focuses more on informed consent and the right to refuse treatment.
**Overall:**
Currently, assisted suicide and euthanasia are illegal in the Philippines. If you or someone you know is considering these options, it's crucial to seek professional medical advice and explore alternative solutions for pain management and end-of-life care.</t>
  </si>
  <si>
    <t>How does the law protect individuals with mental health issues who may be at risk of suicide?</t>
  </si>
  <si>
    <t>The Philippines has taken a significant step towards protecting individuals with mental health issues, particularly those at risk of suicide, through the enactment of Republic Act No. 11036, also known as the **Mental Health Act**. Here's how the law provides safeguards:
* **Right to protection:** The Act guarantees the right of individuals with mental health conditions to be free from discrimination and cruel, inhumane, and degrading treatment [R.A. 11036, Sec. 3(b)].
* **Availability of Services:** The law mandates the provision of accessible and affordable mental health services, including suicide prevention and intervention strategies [R.A. 11036, Sec. 21]. This includes establishing 24/7 hotlines to provide assistance specifically to those at risk of suicide [R.A. 11036, Sec. 21].
* **Focus on Youth:** The Act recognizes the specific concerns of young people and emphasizes the need for suicide prevention strategies tailored towards them [R.A. 11036, Sec. 21]. 
* **Informed Consent:** Individuals have the right to be adequately informed about their mental health assessments and participate in their treatment plans [R.A. 11036, Sec. 10(b)]. This ensures they understand the options available and can make informed decisions about their care.
* **Confidentiality:** The Act protects the confidentiality of mental health information, promoting trust and encouraging individuals to seek help without fear of stigma [R.A. 11036, Sec. 11].
**It's important to note:**
* The Mental Health Act focuses on providing support and resources, not involuntary commitment. Compulsory treatment is limited to hospital settings [R.A. 11036].
* While the Act provides a legal framework, the effectiveness of these protections relies on sufficient funding, infrastructure, and trained mental health professionals.
**Additional Resources:**
* Department of Health - Mental Health Program: [https://www.who.int/philippines/news/detail/12-10-2023-doh--who-launch-philippine-council-for-mental-health-strategic-framework-2024-2028](https://www.who.int/philippines/news/detail/12-10-2023-doh--who-launch-philippine-council-for-mental-health-strategic-framework-2024-2028)
If you or someone you know is struggling with suicidal thoughts, please reach out for help. Here are some Philippine hotlines:
* National Center for Mental Health Crisis Hotline: 1554
* HOPELINE Philippines: 0928-HOPE (4673)
* In Touch Community Services Crisis Line: (02) 893-7606
Remember, you are not alone. There is help available.</t>
  </si>
  <si>
    <t>What legal actions can be taken against individuals who encourage or assist others in committing suicide?</t>
  </si>
  <si>
    <t>Laws regarding encouraging or assisting suicide vary around the world. In the Philippines, there isn't a specific law that directly criminalizes this act. However, there are a couple of ways legal repercussions could arise:
* **Aiding Suicide:** Philippine law doesn't explicitly define "aiding suicide," but it has a general law on abetment of crimes (Article 18 of the Revised Penal Code). This means if someone provides the means or instructions for suicide and the act is completed, they could potentially be charged as an accessory to the crime of suicide.
* **Reckless Imprudence Resulting in Death:** Another possibility is prosecution under Article 365 of the Revised Penal Code for Reckless Imprudence Resulting in Death. This applies if someone's actions, done with reckless disregard for the consequences, lead to another person's death, including suicide.
**The key factors for these charges would be:**
* **Intent:** The prosecution would need to prove the person intended to encourage or assist the suicide.
* **Causation:** There needs to be a clear link between the individual's actions and the suicide.
**Additionally, there could be civil lawsuits:**
* **Wrongful Death:** If someone acts in a way that encourages suicide and the person dies, the family might sue for wrongful death.
**Here are some things to consider:**
* These are complex legal issues, and the outcome depends on the specific circumstances. * The burden of proof lies with the prosecution. **It's important to remember that the focus in the Philippines is on promoting mental health services and crisis intervention to prevent suicide.** Here are some resources that can help:
* **National Center for Mental Health Philippines:** [https://www.facebook.com/ncmhcrisishotline/](https://www.facebook.com/ncmhcrisishotline/) (crisis hotline and mental health services information)
* **The Natasha Goulbourn Foundation:** [https://www.ngf-hope.org/about-ngf/what-we-do/](https://www.ngf-hope.org/about-ngf/what-we-do/) (Philippine mental health advocacy group)
If you're concerned about someone who might be suicidal, please reach out to a crisis hotline or mental health professional.</t>
  </si>
  <si>
    <t>Are there legal provisions for the involuntary commitment of individuals at risk of suicide?</t>
  </si>
  <si>
    <t>Yes, the Philippines has legal provisions for the involuntary commitment of individuals at risk of suicide under Republic Act No. 11036, also known as the Mental Health Act of 2018 [https://lawphil.net/statutes/repacts/ra2018/ra_11036_2018.html](https://lawphil.net/statutes/repacts/ra2018/ra_11036_2018.html).
Here's a relevant section of the Act:
* **Chapter IV, Section 21. Admission to a Mental Health Facility:** This section outlines the grounds for involuntary admission, including:
* **Danger to Self:** A person who, as a result of a mental disorder, is likely to cause serious physical harm to himself/herself. This provision allows for involuntary commitment if a mental health professional determines that someone with suicidal thoughts poses a significant risk of harming themselves due to their mental state.
**However, there are safeguards in place:**
* **Least Restrictive Alternative:** The Act emphasizes using the least restrictive alternative to involuntary commitment whenever possible. This might involve outpatient treatment or other interventions before resorting to hospitalization.
* **Medical Certification:** An involuntary admission requires a medical certificate from a qualified mental health professional who has assessed the individual. * **Judicial Review:** The Act provides for judicial review of involuntary commitment orders, ensuring a legal check on the process.
**It's important to note that involuntary commitment should be a last resort.** The focus of the Mental Health Act is on providing accessible and appropriate mental health services to prevent such situations.</t>
  </si>
  <si>
    <t>How does Philippine law address suicide prevention efforts in educational institutions?</t>
  </si>
  <si>
    <t>There isn't a single law in the Philippines that directly mandates suicide prevention efforts in educational institutions. However, there are several pieces of legislation and government initiatives that indirectly address this issue. Here's a breakdown:
* **Republic Act No. 11035 or the Mental Health Act of 2018:** This law promotes mental health awareness and strengthens service delivery. It emphasizes the importance of integrating mental health services in various settings, including schools. While not specific to suicide prevention, it lays the groundwork for creating a supportive environment in educational institutions.
* **Department of Education (DepEd) Order No. 34, s. 2012 or the Guidelines on the Implementation of the School Mental Health Program in Public Elementary and Secondary Schools:** This DepEd order establishes a School Mental Health Program (SMHP) within public schools. The program aims to identify students with mental health concerns and provide them with appropriate interventions, which could help prevent suicide.
* **DepEd Memorandum No. 2020-015 or the Strengthening of Social-Emotional Learning (SEL) Programs in DepEd Schools:** This DepEd memorandum promotes the integration of Social-Emotional Learning (SEL) in schools. SEL programs equip students with skills to manage emotions, build healthy relationships, and make responsible decisions. These skills can contribute to resilience and potentially reduce suicide risk.
**In summary, while there's no single law mandating suicide prevention programs in schools, the Philippines has a framework through the Mental Health Act and DepEd issuances that encourages mental health support and creates a more supportive environment for students, potentially reducing suicide risk.** **Here are some resources for further information:**
* Department of Education Philippines: [https://deped.gov.ph/](https://deped.gov.ph/)
* The Natasha Goulbourn Foundation: [https://pcnc.com.ph/certified_ngo/natasha-goulbourn-foundation-inc/](https://pcnc.com.ph/certified_ngo/natasha-goulbourn-foundation-inc/) (Philippine mental health advocacy group)</t>
  </si>
  <si>
    <t>What role do mental health professionals play in the context of suicide prevention and intervention?</t>
  </si>
  <si>
    <t>Mental health professionals are on the front lines of suicide prevention and intervention due to their expertise in mental health conditions and how they can contribute to suicidal thoughts. Here's a breakdown of their crucial role:
* **Risk Assessment and Intervention:** They can assess an individual's risk factors for suicide through screenings and interviews. This helps them develop a personalized plan to reduce the risk, which might involve therapy, medication, or safety planning.
* **Therapy and Support:** Therapists can provide individual, group, or family therapy to address underlying issues like depression, anxiety, or trauma that can increase suicide risk. They equip individuals with coping mechanisms and emotional regulation skills.
* **Crisis Intervention:** Mental health professionals can be trained to handle situations where someone is actively suicidal. They can de-escalate the situation, provide immediate support, and connect the person with resources.
* **Postvention:** In the aftermath of a suicide attempt, therapists can support the individual and their loved ones through the grieving process and help them adjust to life after the crisis. * **Education and Awareness:** Mental health professionals can play a role in educating the public about suicide prevention, including recognizing warning signs and how to talk to someone who might be struggling.
**Overall, mental health professionals play a vital role in identifying those at risk, intervening in crisis situations, and providing ongoing support to individuals struggling with suicidal thoughts.**</t>
  </si>
  <si>
    <t>Are there legal repercussions for spreading suicide-related content or encouraging self-harm online?</t>
  </si>
  <si>
    <t>In most cases, there aren't direct criminal charges for simply spreading suicide-related content online. However, there can be legal consequences depending on the specific situation. Here's a breakdown:
* **Encouragement/Instructions:** Encouraging or instructing someone to commit suicide can be considered aiding suicide, which is a crime in many jurisdictions. * **Cyberbullying:** If the content is part of cyberbullying that leads to suicide, the person responsible might face harassment or bullying charges.
* **Civil Lawsuits:** If someone acts on the suicidal content and harm comes to them, the person who spread it could be sued for wrongful death or emotional distress. **Additionally, most social media platforms have terms of service that prohibit content that promotes or glorifies suicide.** Violating these terms can lead to account suspension or removal of the content. Here are some resources that can help:
* **National Suicide Prevention Lifeline:** 988 (US)
* **Crisis Text Line:** Text HOME to 741741 (US)
* **International Association for Suicide Prevention:** International Association for Suicide Prevention website: [https://www.iasp.info/](https://www.iasp.info/)
If you're concerned about someone who might be suicidal, please reach out to a crisis hotline or mental health professional.</t>
  </si>
  <si>
    <t>How are suicide notes or communication indicating suicidal intent treated under the law?</t>
  </si>
  <si>
    <t>In the Philippines, suicide notes or communication indicating suicidal intent are not specifically addressed under a separate legal framework. However, they may be considered as evidence in legal proceedings, particularly in cases where suicide or attempted suicide is involved. Here's how suicide notes or communication indicating suicidal intent may be treated under the law:
1. **Criminal Investigations:**
- Suicide notes or communication indicating suicidal intent may be collected as evidence during criminal investigations, particularly in cases where the death is suspected to be a suicide.
- Law enforcement agencies may consider suicide notes as part of their investigation to establish the circumstances surrounding the death and determine whether foul play was involved.
2. **Legal Proceedings:**
- Suicide notes may be presented as evidence in legal proceedings, such as coroner's inquests or court hearings, to establish the deceased individual's state of mind and intentions leading up to their death.
- Courts may consider suicide notes as relevant evidence in cases involving contested wills, insurance claims, or allegations of criminal wrongdoing.
3. **Mental Health Assessments:**
- Mental health professionals may analyze suicide notes or communication indicating suicidal intent as part of their assessment of the deceased individual's mental state and psychological well-being.
- Suicide notes may provide insights into the individual's motives, emotional state, and mental health history, which may inform clinical assessments and treatment planning.
4. **Prevention and Intervention:**
- Suicide notes or communication indicating suicidal intent may prompt interventions by mental health professionals, crisis hotlines, or support services to provide immediate assistance and support to individuals in distress.
- Mental health professionals may conduct risk assessments and take appropriate measures to ensure the safety and well-being of individuals who express suicidal thoughts or intentions.
While suicide notes or communication indicating suicidal intent may be considered as evidence in legal proceedings and mental health assessments, it's essential to approach these documents with sensitivity and confidentiality, respecting the privacy and dignity of the individuals involved. Additionally, efforts should focus on preventive measures, early intervention, and providing support to individuals struggling with mental health issues to reduce the risk of suicide and promote well-being.</t>
  </si>
  <si>
    <t>What legal measures are in place to protect individuals who intervene to prevent someone from committing suicide?</t>
  </si>
  <si>
    <t>In the Philippines, there aren't any specific laws directly focused on protecting individuals who intervene to prevent suicide. However, there are existing legal provisions that can offer some safeguards:
**1. The Philippine Constitution (1987):**
* **Article II, Section 1:** Guarantees the right to life. This could be interpreted to support actions taken to save someone's life, including intervening in a suicide attempt.
* **Article II, Section 15:** Guarantees the right to health. This can be seen as supporting efforts to protect mental health, which includes preventing suicide.
**2. Good Samaritan Law (Republic Act No. 11582):**
* This law, enacted in 2021, provides some protection for individuals who render assistance in emergency situations, including medical emergencies. While not explicitly mentioning suicide, a strong argument can be made that intervening in a suicide attempt falls under this category. The law offers some protection from lawsuits as long as the intervention was done in good faith and without expecting compensation. **3. Self-Defense (Article 11, Paragraph 1 of the Revised Penal Code):**
* This provision allows individuals to use reasonable force to defend themselves or others from imminent danger. In some situations, intervening in a suicide attempt could be considered self-defense, particularly if the person is a threat to themselves or others.
**Important Considerations:**
* The Good Samaritan Law and self-defense have limitations. The intervention must be done in good faith and with a reasonable belief that it's necessary to save the person's life. Using excessive force could still lead to legal repercussions.
* The specific legal interpretation would depend on the details of the situation. **Recommendations:**
* When intervening in a suicide attempt, prioritize your safety and the safety of the person at risk. * If possible, call emergency services or seek help from others.
* Once the immediate danger has passed, consider connecting the person with mental health professionals for further support.
**Remember, this is not legal advice.** If you're unsure about the legal implications of intervening in a suicide attempt, it's always best to consult a lawyer.</t>
  </si>
  <si>
    <t>How does the law address the reporting and investigation of suicides?</t>
  </si>
  <si>
    <t>Philippine law doesn't have a single, specific provision that outlines a mandatory reporting and investigation process for suicides. However, there are existing legal guidelines and practices that can be relevant:
**Reporting:**
* **No Mandatory Reporting:** Currently, there's no legal mandate for medical professionals, law enforcement, or the public to report suicides to any specific authority. **Investigation:**
* **Standard Law Enforcement Procedures:** If a suicide is suspected, law enforcement would likely conduct an investigation following standard procedures for unnatural deaths. This might involve scene investigation, witness interviews, and potentially, an autopsy.
* **Coroner's Inquiries:** In some cases, a coroner's inquiry might be conducted to officially determine the cause of death (suicide or otherwise). This is usually done when the cause of death is unclear.
**Mental Health Act (Republic Act No. 11036):**
* **Section 20:** While not directly related to reporting, this section mandates the DOH to establish a National Suicide Prevention Surveillance System. This system could potentially collect data on suicides to inform future prevention strategies.
**Department of Health (DOH):**
* The DOH might have internal guidelines or protocols related to suicide reporting and data collection within their healthcare facilities.
**Important Considerations:**
* The reporting and investigation of suicides can vary depending on the specific circumstances of the case and the local authorities involved. * There might be a growing emphasis on data collection related to suicides, but a uniform national reporting system isn't yet in place.
**For further information:**
* You can check the DOH website [https://doh.gov.ph/](https://doh.gov.ph/) for any updates on suicide prevention initiatives or data collection practices.
**Remember, this is not legal advice.** If you have specific questions about a suicide investigation, it's recommended to consult a lawyer familiar with criminal law procedures.</t>
  </si>
  <si>
    <t>Are there legal protections for individuals who disclose their suicidal thoughts seeking help?</t>
  </si>
  <si>
    <t>There isn't a single, specific law in the Philippines that offers blanket legal protection for people who disclose suicidal thoughts while seeking help. However, there are reasons to believe they would generally be protected, along with some nuances to consider:
**Protections based on existing laws:**
* **Right to Privacy (Article III, Section 1 of the 1987 Constitution):** This constitutional provision safeguards the privacy of communication, which can potentially cover disclosures of suicidal thoughts made while seeking help. * **Doctor-Patient Confidentiality (Republic Act No. 10801 or the Philippine Medical Act of 2013):** This law protects the confidentiality of communications between a doctor and their patient. Information about suicidal thoughts revealed to a doctor or licensed mental health professional would likely be covered under this law.
* **The Mental Health Act (Republic Act No. 11036):** Sections 14 and 15 of this Act emphasize the importance of confidentiality in mental health services. This strengthens the case for protecting individuals who disclose suicidal thoughts while seeking help from qualified professionals.
**Important Considerations:**
* **Limited Scope:** These protections are likely strongest when disclosing suicidal thoughts to licensed medical professionals or qualified mental health service providers.
* **Exceptions:** There might be situations where confidentiality could be breached, such as imminent danger to oneself or others, or a court order compelling disclosure.
* **No Guarantee:** While the laws mentioned above provide a framework for protecting confidentiality, it's not an absolute guarantee.
**Additional Recommendations:**
* When seeking help, prioritize licensed medical professionals or qualified mental health service providers bound by ethical codes that emphasize confidentiality. * If unsure about confidentiality practices, it's always advisable to ask the professional directly before disclosing sensitive information.
**Overall:**
While there's no single legal shield, the Philippines has a developing legal framework that supports protecting individuals who disclose suicidal thoughts while seeking help, particularly from licensed professionals. However, it's always best to prioritize qualified providers and inquire about their confidentiality practices for peace of mind.</t>
  </si>
  <si>
    <t>What legal provisions exist for postvention efforts, providing support to those affected by suicide?</t>
  </si>
  <si>
    <t>Philippine law doesn't have a single, specific legal provision solely focused on postvention efforts, which is the practice of providing support to those affected by suicide. However, there are existing laws and initiatives that can be seen as indirectly addressing this need:
**1. Republic Act No. 11036 or the Mental Health Act of 2018:**
* **Section 11:** This section mandates the establishment of crisis hotlines and other mental health support services. While not exclusive to those affected by suicide, it can be a crucial resource for individuals dealing with grief and trauma after a loss.
* **Section 10:** This section focuses on integrating mental health services into government health programs. While not directly related to postvention, it highlights the growing recognition of mental health and could pave the way for including postvention support programs in the future. **2. The Philippine Constitution (1987):**
* **Article II, Section 15:** Guarantees the right to health, which can be interpreted to include mental health services for those bereaved by suicide.
**3. Department of Health (DOH) Programs and Initiatives:**
* The DOH might have existing programs or initiatives that offer support services for survivors of suicide, such as grief counseling or support groups. You can find information on the DOH website [https://doh.gov.ph/](https://doh.gov.ph/).
**4. Local Government Unit (LGU) Initiatives:**
* Some LGUs might have mental health programs or crisis hotlines that can provide support to those affected by suicide. It's recommended to check with your local government for any available resources.
**Additional Considerations:**
* The availability and accessibility of postvention support services can vary greatly across different regions in the Philippines.
* There's a growing emphasis on mental health, and the development of more specific legal frameworks addressing postvention efforts is a possibility.
**For further information:**
* Contact the DOH or your local government for details on available mental health support services. * Consider reaching out to mental health organizations that might offer bereavement support or grief counseling services.
Remember, this is not legal advice. This response aims to provide a general understanding of the current landscape and potential resources for postvention support.</t>
  </si>
  <si>
    <t>How does Philippine law address workplace suicide prevention and mental health support?</t>
  </si>
  <si>
    <t>Philippine law currently takes an indirect approach to workplace suicide prevention and mental health support. There's no single, comprehensive law mandating specific programs. However, several legal provisions create a framework that can be used to encourage or require employers to take action:
**1. Republic Act No. 11036 or the Mental Health Act of 2018:**
* **Section 26:** This section compels employers to develop **appropriate policies and programs** on mental health issues. While not explicitly mentioning suicide prevention, it can be interpreted to include programs that identify at-risk employees and provide support mechanisms.
* **Section 10:** This section mandates the integration of mental health services into all government health programs. While not directly applicable to workplaces, it highlights the growing recognition of mental health and could push employers to offer or facilitate access to mental health resources for their employees.
**2. The Philippine Constitution (1987):**
* **Article XIII, Section 3:** This section guarantees the right to self-organization. This allows employees to form unions and potentially bargain for mental health benefits or programs as part of their collective bargaining agreements.
**3. Department of Labor and Employment (DOLE) issuances:**
* DOLE may have issued department orders or regulations that encourage or require employers to implement mental health and wellness programs in the workplace. You can find these on the DOLE website [https://www.officialgazette.gov.ph/section/briefing-room/department-of-labor-and-employment/](https://www.officialgazette.gov.ph/section/briefing-room/department-of-labor-and-employment/).
**Additional Considerations:**
* The specific content and implementation of these programs would be left to the discretion of employers within the legal framework.
* The lack of a clear legal mandate might result in uneven implementation across different workplaces.
**Looking Forward:**
* The passage of a law specifically focused on workplace mental health and suicide prevention is a possibility.
* Increased awareness and advocacy efforts could push for stronger legal mandates and better implementation of existing provisions.
**It's important to remember that this is not legal advice.** If you have specific concerns about workplace mental health support or suspect a hostile work environment, it's always recommended to consult a lawyer specializing in labor law.</t>
  </si>
  <si>
    <t>Are there legal obligations for educational institutions to have suicide prevention programs?</t>
  </si>
  <si>
    <t>There isn't a single, specific law in the Philippines that mandates suicide prevention programs in educational institutions. However, there are existing legal provisions that can be interpreted to encourage or require such programs:
**1. The Philippine Constitution (1987):**
* **Article II, Section 13:** Guarantees the right to health, which can be interpreted to include mental health services for students. Suicide prevention programs can be seen as part of such services.
* **Article XIII, Section 13:** Mandates that all educational institutions shall provide for the teaching of the love of country, **ethical behavior,** obedience to the laws of the land, and the development of moral character. Suicide prevention programs can be argued to contribute to students' ethical behavior and moral character development.
**2. Republic Act No. 11036 or the Mental Health Act of 2018:**
* **Section 10:** Mandates the integration of mental health services into all government health programs. The Department of Education (DepEd) could potentially collaborate with the Department of Health (DOH) to develop and implement mental health programs, including suicide prevention initiatives, in schools.
**3. Republic Act No. 10535 or the Enhanced Basic Education Act of 2013:**
* **Section 15:** Emphasizes the importance of guidance and counseling services in schools. Suicide prevention programs can be incorporated within these services.
**4. Department of Education (DepEd) Orders and Memoranda:**
* DepEd might have issued department orders or memoranda that encourage or mandate suicide prevention programs in schools. You can find these on the DepEd website [https://deped.gov.ph/](https://deped.gov.ph/).
**Important Considerations:**
* While there's no clear legal mandate yet, the Mental Health Act and potential DepEd regulations suggest a growing emphasis on mental health and suicide prevention in educational institutions.
* The specific requirements for suicide prevention programs might vary depending on the type of educational institution (public, private, elementary, etc.).
For the most up-to-date information, it's recommended to:
* Check the DepEd website for any existing orders or memoranda related to suicide prevention programs.
* Consult with a lawyer specializing in education law for a more detailed legal analysis.</t>
  </si>
  <si>
    <t>How are mental health services integrated into the criminal justice system to address suicide risks among inmates?</t>
  </si>
  <si>
    <t>The Philippines currently lacks a single, comprehensive law mandating how mental health services are integrated into the criminal justice system to specifically address suicide risk among inmates. However, there are initiatives and legal provisions that lay the groundwork for such integration:
**1. The Philippine Constitution (1987):**
* **Article II, Section 15:** Guarantees the right to health, which can be interpreted to include mental health services for inmates.
**2. Republic Act No. 11036 or the Mental Health Act of 2018:**
* **Section 10:** Mandates the integration of mental health services into all government health programs. While the Bureau of Jail Management and Penology (BJMP) and the Bureau of Corrections (BuCor) fall under the Department of Justice, there's potential for collaboration with the Department of Health (DOH) to provide mental health services for inmates.
**3. Republic Act No. 10575 or the Bureau of Jail Management and Penology (BJMP) Law of 2016:**
* **Section 20 (h):** Tasks the BJMP with establishing a healthcare service delivery system that includes "mental health services." **4. Republic Act No. 10707 or the Amendatory Law to the Act Creating the Bureau of Corrections (BuCor):**
* **Section 5 (g):** Similar to the BJMP Law, this section mandates BuCor to provide healthcare services, including "mental health services" for inmates under their custody.
**5. Department of Justice (DOJ) Administrative Orders and Bureau Policies:**
* The DOJ, BJMP, and BuCor may have issued administrative orders or internal policies detailing the specific procedures for integrating mental health services within their facilities. These might include screening processes for suicide risk and protocols for intervention. **Challenges and Considerations:**
* Budgetary constraints and lack of mental health professionals within the criminal justice system can hinder the effective implementation of mental health programs.
* Stigma surrounding mental health issues might prevent inmates from seeking help.
**Looking Forward:**
* The continuing development of mental health legislation and the allocation of resources could improve the integration of mental health services within the criminal justice system.
* Increased collaboration between the DOJ, DOH, and other relevant agencies could be crucial for better addressing suicide risk among inmates.
It's important to note that the information above provides a general overview. For the latest developments and specific protocols, it's advisable to consult with government agencies like the BJMP, BuCor, or the DOH.</t>
  </si>
  <si>
    <t>What legal actions can be taken against employers who contribute to a hostile work environment leading to suicide?</t>
  </si>
  <si>
    <t>While the Philippines doesn't have a law specifically addressing workplace bullying, there are legal provisions you can potentially use to hold employers accountable in situations where a hostile work environment leads to suicide. Here's a breakdown of possible legal actions:
**1. Under the Labor Code (RA No. 6715) and its Implementing Rules:**
* **Article 132:** This article guarantees the right to security of tenure. If an employer's actions created a hostile work environment that forced the employee to resign, it could be seen as a violation of this right.
* **Article 133:** This article prohibits illegal dismissal. While suicide itself wouldn't constitute dismissal, if the hostile work environment led to the employee quitting and the employer's actions can be proven to be the primary cause, it could be argued as an illegal dismissal. * **Article 151:** This article mandates that employers provide a workplace free from unsafe conditions that can injure the employee's health. A hostile work environment can be argued to be a hazardous condition to mental health.
**2. Under the Civil Code (RA No. 386):**
* **Article 21:** This article covers obligations arising from acts or omissions causing damage to another. If the employer's actions can be proven to have directly caused significant mental distress leading to suicide, this article could be used to claim damages from the employer. * **Article 22:** This article covers fault or negligence on the part of another person. If the employer failed to take reasonable steps to address a hostile work environment despite reports or complaints, it could be seen as negligence contributing to the employee's suicide.
**3. Under Republic Act No. 10627 or the Anti-Bullying Act (although not directly applicable):**
* While this Act focuses on bullying in educational institutions, it sets a precedent against abusive environments. It can be used to argue for the importance of creating safe workplaces free from bullying.
**Important Considerations:**
* Proving that the hostile work environment directly caused the suicide can be extremely difficult. Evidence of the work environment, the employee's mental state, and attempts to address the situation with the employer would be crucial.
* These are just potential legal actions, and the success of a case would depend on the specific circumstances. Consulting a lawyer experienced in labor law is highly recommended.
Remember, this is not legal advice. This response aims to provide a general understanding of possible legal options.</t>
  </si>
  <si>
    <t>How does the law address suicide risk assessments and interventions in healthcare settings?</t>
  </si>
  <si>
    <t>Philippine law doesn't have a single, specific provision that directly mandates suicide risk assessments and interventions in healthcare settings. However, there are relevant laws and regulations that can be interpreted to encourage or require such practices:
**1. Republic Act No. 11036 or the Mental Health Act of 2018:**
* **Section 10:** This section mandates the integration of mental health services into all government health programs. Suicide prevention is a crucial aspect of mental health services, and risk assessments and interventions could be included under this mandate.
* **Section 15:** This section requires healthcare professionals to undergo mental health training. While not explicitly mentioning suicide assessment, improved mental health knowledge could equip healthcare providers to identify and address suicide risk.
**2. Department of Health (DOH) Department Orders and Circulars:**
* The DOH issues Department Orders (DOs) and Department Circulars (DCs) that provide specific guidelines for healthcare practice. These might address suicide risk assessment and intervention protocols for healthcare settings. You can find these on the DOH website [https://doh.gov.ph/](https://doh.gov.ph/).
**3. Professional Codes of Ethics:**
* Professional regulations for doctors, nurses, and psychologists often include duties related to patient safety and well-being. This could be interpreted to include identifying and addressing suicide risk.
**Important Considerations:**
* The specific requirements for suicide risk assessments and interventions might vary depending on the healthcare setting (hospital, clinic, etc.) and the type of healthcare professional involved.
* While there's no legal mandate yet, the Mental Health Act and potential DOH regulations suggest a growing emphasis on integrating suicide prevention into healthcare practices.
**For further information:**
* Contact the DOH for the latest guidelines on mental health services in healthcare settings.
* Consult a lawyer specializing in healthcare law for a more detailed legal analysis.</t>
  </si>
  <si>
    <t>Are there specific legal provisions for the protection of minors at risk of suicide?</t>
  </si>
  <si>
    <t>While there isn't a law solely dedicated to suicide prevention for minors, there are Philippine laws that can be used for their protection:
1. **Republic Act No. 7610 or the Special Protection of Children Against Abuse, Exploitation and Discrimination Act:**
* **Section 10:** Defines "psychological abuse" which can include acts or omissions that deliberately or unintentionally inflict mental or psychological suffering on a child. This could be interpreted to include situations that might increase a child's risk of suicide.
* **Section 15:** Mandates the reporting of any form of child abuse, including psychological abuse. This would require adults to report any signs a minor might be at risk of suicide.
* **Section 17:** Requires the State to intervene on behalf of the child when the parent or guardian fails to protect them from abuse. This can be applied to situations where a child's mental state is neglected, potentially increasing suicide risk.
2. **The Philippine Constitution (1987):**
* **Article XIII, Section 11:** States that the State shall prioritize the health and well-being of the youth. This can be interpreted to include mental health services that could help prevent suicide among minors.
**Additional Considerations:**
* **Department of Education (DepEd) Policies:** DepEd may have policies or programs focused on mental health and suicide prevention in schools.
* **Potential Future Legislation:** The passage of a law specifically focused on suicide prevention for minors is a possibility.
While there are no specific legal provisions solely for suicide prevention, the laws mentioned above can be used to protect minors at risk. It's always best to consult a lawyer for specific legal interpretations.</t>
  </si>
  <si>
    <t>What legal measures are in place to address suicide prevention in the military and law enforcement agencies?</t>
  </si>
  <si>
    <t>While there isn't a specific law solely focused on suicide prevention in the military and law enforcement, there are relevant provisions that can be applied:
**1. The Philippine Constitution (1987):**
* **Article II, Section 15:** Guarantees the right to health. This can be interpreted to include mental health services, which could be beneficial for suicide prevention.
**2. Republic Act No. 11036 or the Mental Health Act of 2018:**
* **Section 10:** Mandates the integration of mental health services in all government health programs, including those offered by the Department of Health (DOH). Military and law enforcement agencies could potentially partner with the DOH to provide mental health services to their personnel.
* **Section 14:** Requires the establishment of mental health hotlines. While not exclusive to military and law enforcement, personnel in crisis could potentially utilize these hotlines.
**3. Republic Act No. 9745 or the An Act Creating the Department of Health (DOH):**
* **Section 4 (e):** Empowers the DOH to formulate, implement, and enforce policies, guidelines, plans, and programs for mental health. This could include collaborating with military and law enforcement agencies on suicide prevention initiatives.
**4. Potential Application of RA 11332 or the Mandatory Basic Mental Health Services in Health Facilities Act:**
* This Act mandates all health facilities to provide basic mental health services. While not directly applicable, it highlights the growing recognition of mental health and could encourage military and law enforcement agencies to invest in mental health resources within their healthcare facilities. It's important to note that these are just potential interpretations and there's no current law directly mandating suicide prevention programs within the military and law enforcement. **Additional Considerations:**
* Some military and law enforcement agencies might have internal policies or programs related to suicide prevention. * The passage of a law specifically focused on suicide prevention in these sectors is a possibility. I hope this information is helpful! Remember, this is not legal advice, so consulting a lawyer for specific details is always recommended.</t>
  </si>
  <si>
    <t>How does the law protect individuals with a history of suicide attempts from discrimination?</t>
  </si>
  <si>
    <t>Laws protecting individuals with a history of suicide attempts from discrimination vary, but there are some general principles and legal frameworks that offer some protection:
**Anti-Disability Discrimination Laws:**
* **Focus:** Many countries have laws prohibiting discrimination based on disability. Mental health conditions, including depression or anxiety that might have led to a suicide attempt, could be considered disabilities under these laws. * **Protections:** These laws can protect individuals from discrimination in various areas, such as:
* Employment: They might prevent employers from firing or refusing to hire someone based solely on a history of a suicide attempt, as long as the individual is qualified for the job and their condition doesn't pose a direct threat. * Housing: These laws might prevent landlords from rejecting someone as a tenant based on their mental health history.
* **Limitations:** Protections can vary depending on the specific law and the severity of the mental health condition. **Focus on Reasonable Accommodation:**
* **Employment:** Employers might be required to provide reasonable accommodations, such as flexible work schedules or time off for treatment, to allow an employee with a history of suicide attempts to perform their job duties.
**Privacy Laws:**
* **Medical Records:** Laws protecting the confidentiality of medical records, including mental health records, can prevent employers or other entities from accessing this information without consent. This can help prevent discrimination based on a past suicide attempt.
**Challenges and Considerations:**
* **Burden of Proof:** The burden of proof often falls on the individual to demonstrate that discrimination occurred based on their mental health history. This can be difficult.
* **Limited Scope:** These laws might not apply to all situations, such as discrimination in the justice system or by private individuals.
**The Importance of Disclosure:**
* **Confidentiality vs. Transparency:** While privacy laws are important, there might be situations where disclosing a history of suicide attempts to an employer or other entity is necessary to request reasonable accommodations or explain limitations. This should be done on a case-by-case basis, considering the potential benefits and risks.
**Moving Forward:**
* **Raising Awareness:** Increasing public awareness about mental health and suicide prevention can help reduce stigma and discrimination.
* **Strengthening Anti-Discrimination Laws:** Advocacy efforts can focus on strengthening anti-discrimination laws to offer clearer protections for individuals with mental health conditions, including those with a history of suicide attempts.
**Conclusion:**
The legal landscape is evolving, but there are currently indirect legal protections for individuals with a history of suicide attempts through anti-discrimination laws and privacy regulations. Understanding these protections and how to access them can be empowering, but it's important to remember that limitations and challenges exist.</t>
  </si>
  <si>
    <t>Are there legal requirements for mental health education and training for professionals dealing with suicide prevention?</t>
  </si>
  <si>
    <t>The legal requirements for mental health education and training on suicide prevention for professionals vary depending on location. Here's a breakdown of the situation:
**No Universal Mandate:**
There's currently no single, **universal legal requirement** for suicide prevention training for mental health professionals. However, the landscape is changing, and there are several initiatives moving in this direction:
**Some Countries Have Mandates:**
* **Examples:** A few countries, like the United States state of Washington, have passed legislation mandating suicide prevention training for certain mental health professionals like psychologists, social workers, and counselors. **Focus on Best Practices and Recommendations:**
* **Professional Associations:** Many mental health professional organizations have ethical codes that encourage or mandate suicide risk assessment and intervention training for their members. These recommendations can have a significant impact on training practices. * **National Guidelines:** National organizations might publish best practice guidelines that emphasize the importance of suicide prevention training for mental health professionals.
**The Trend is Moving Towards Training:**
* **Increased Recognition:** The importance of suicide prevention training for mental health professionals is becoming increasingly recognized. * **State-Level Initiatives:** More states and local jurisdictions are considering or implementing mandates for suicide prevention training.
**Here's a breakdown of the actors involved:**
* **Federal Level:** Some countries might have federal recommendations or funding for suicide prevention training, but mandates are typically at the state level. (US Example: The Garrett Lee Smith Memorial Act provides funding for suicide prevention programs, but doesn't mandate training)
* **State Level:** Individual states might have laws mandating suicide prevention training for specific mental health professions. * **Professional Organizations:** These organizations establish ethical codes and training standards for their members, which can include suicide prevention.
* **Training Institutions:** Universities and training programs for mental health professionals might incorporate suicide prevention training into their curriculum.
**Finding Specific Requirements:**
* To learn more about the legal and ethical obligations in your area, you can try:
* Searching for your state's mental health laws or licensing board regulations.
* Looking up resources from mental health professional organizations in your country.
**The Importance of Training:**
Even in the absence of legal mandates, suicide prevention training is crucial for mental health professionals to effectively assess risk, intervene in crisis situations, and connect individuals with appropriate resources.</t>
  </si>
  <si>
    <t>How does the law address suicide prevention in the LGBTQ+ community, considering higher risk factors?</t>
  </si>
  <si>
    <t>Laws don't directly address suicide prevention specific to the LGBTQ+ community, but several legal principles and initiatives create an indirect supportive framework:
**Anti-Discrimination Laws:**
* **Protections:** Laws prohibiting discrimination based on sexual orientation and gender identity can create a safer and more accepting environment for LGBTQ+ individuals, potentially reducing risk factors for suicide. This can encompass areas like housing, employment, and healthcare.
* **Equal Access to Care:** These laws can indirectly promote access to mental health services for LGBTQ+ individuals who might face discrimination or fear judgment in traditional healthcare settings.
**Limitations:**
* **Focus on Discrimination:** Anti-discrimination laws don't directly mandate specific suicide prevention strategies for LGBTQ+ communities.
**Addressing Risk Factors:**
* **Mental Health Funding:** General funding for mental health services can be directed towards programs that address the specific needs of LGBTQ+ youth and adults. These programs might focus on issues like:
* Coming-out stress
* Minority stress from stigma and discrimination
* Difficulty accessing affirming healthcare
* **Best Practices and Training:** Mental health organizations are developing best practices for serving LGBTQ+ clients. While not mandated by law, these guidelines encourage culturally competent care that considers the unique challenges faced by this population.
**Legal Recognition:**
* **Gender Identity Recognition:** Laws allowing transgender individuals to change their legal gender identity documents can improve their well-being and reduce stigma, potentially lowering suicide risk.
**Challenges and Considerations:**
* **Limited Resources:** Funding for mental health services in general is often insufficient, with even fewer resources dedicated specifically to LGBTQ+ mental health.
* **Stigma:** Stigma surrounding mental health and LGBTQ+ identities can still be a significant barrier to help-seeking behavior.
**Looking Ahead:**
* **Increased Funding:** Allocating more resources towards mental health services specifically tailored to the needs of LGBTQ+ populations is crucial. * **Data Collection:** Collecting data on suicide rates and risk factors within the LGBTQ+ community can help develop targeted prevention strategies. * **Public Awareness Campaigns:** Raising awareness about mental health issues in the LGBTQ+ community and promoting help-seeking behaviors can play a significant role in suicide prevention.
**Conclusion:**
The legal framework creates an indirect supportive environment for LGBTQ+ suicide prevention through anti-discrimination laws and by promoting access to mental health services. However, increased funding, culturally competent care, and targeted programs are essential for addressing the specific needs of this high-risk population.</t>
  </si>
  <si>
    <t>What legal measures are in place to ensure culturally sensitive approaches to suicide prevention?</t>
  </si>
  <si>
    <t>Culturally sensitive suicide prevention is a growing concern, but there are currently no **universal legal measures** mandating specific approaches. However, several legal principles and initiatives create a framework that can be culturally sensitive:
**Focus on Non-Discrimination:**
* **Disability Rights Acts:** Many countries have laws promoting equal access to healthcare, including mental health services. This can indirectly benefit culturally diverse populations by ensuring they aren't discriminated against when seeking suicide prevention support.
* **Human Rights Laws:** International human rights frameworks may emphasize the right to health and well-being without discrimination based on ethnicity, religion, or cultural background.
**Challenges:**
* **Limited Scope:** These laws often don't explicitly address cultural sensitivity in suicide prevention. **Indirect Support for Culturally Sensitive Approaches:**
* **Funding:** Funding allocated for mental health services and suicide prevention programs could be directed towards initiatives that cater to specific cultural needs.
* **Training:** Training programs for mental health professionals on cultural competency can equip them with the skills to understand and work effectively with diverse populations. While not mandated by law, these programs are becoming increasingly recognized as essential.
**Community Engagement:**
* **Collaboration:** Suicide prevention efforts that involve and collaborate with community leaders and cultural organizations can lead to more culturally sensitive approaches. This might involve developing culturally appropriate outreach programs, hotlines with interpreters, or incorporating traditional healing practices alongside modern mental health services.
**Looking Ahead:**
* **Best Practices:** Developing and disseminating best practices for culturally sensitive suicide prevention can provide guidance for mental health professionals and policymakers.
* **Data Collection:** Collecting data on suicide rates and risk factors within diverse communities can help tailor prevention strategies to specific cultural contexts.
**Conclusion:**
While there are no direct legal mandates for culturally sensitive approaches, the legal framework for suicide prevention can indirectly support it through non-discrimination laws and funding. Increased focus on cultural competency training, community engagement, and best practice development are crucial for creating inclusive and effective suicide prevention strategies for all populations.</t>
  </si>
  <si>
    <t>How are religious and cultural beliefs taken into account in the legal framework for suicide prevention?</t>
  </si>
  <si>
    <t>Religious and cultural beliefs are **indirectly** considered in the legal framework for suicide prevention, but there's no single, universal approach. Here's a breakdown of how it plays out:
**Respecting Individual Beliefs:**
* **Confidentiality:** Laws protecting the privacy of mental health records can indirectly accommodate religious beliefs by allowing individuals to keep their mental health struggles confidential if they fear judgment from religious communities.
**Challenges and Considerations:**
* **Focus on Secular Law:** Suicide prevention laws are primarily based on secular principles and aim to protect the right to life. This can sometimes create tension with religious beliefs that view suicide differently.
* **Cultural Competency:** Mental health professionals are encouraged to develop cultural competency to understand how religious and cultural beliefs might influence a person's thoughts about suicide and help-seeking behaviors. However, legal systems don't typically mandate specific accommodations based on religion or culture.
**Examples of Accommodation:**
* **Advance Directives:** Some countries allow individuals to create advance directives specifying their wishes regarding medical treatment in case of mental health emergencies. This could potentially include preferences related to religious rituals or clergy involvement. However, these directives aren't universally recognized, and suicide prevention might still override some wishes.
**The Role of Religious Leaders:**
* **Collaboration:** Suicide prevention efforts can benefit from collaboration with religious leaders who can provide support and encourage help-seeking behaviors within their communities. However, legal frameworks don't typically mandate such collaboration. **Looking Ahead:**
* **Training and Education:** Increased training for mental health professionals and law enforcement on cultural competency can improve their ability to understand and respect diverse religious and cultural beliefs related to suicide.
* **Community Engagement:** Suicide prevention programs that consider and address the concerns of religious and cultural communities might be more effective in reaching vulnerable populations. **Conclusion:**
The legal framework for suicide prevention prioritizes protecting life, but it can indirectly acknowledge religious and cultural beliefs through confidentiality laws and by encouraging culturally competent care. Further efforts towards training and community engagement can lead to more inclusive and effective suicide prevention strategies.</t>
  </si>
  <si>
    <t>Are there legal provisions for the confidentiality of mental health records related to suicide risk?</t>
  </si>
  <si>
    <t>Yes, the Philippines has legal provisions for the confidentiality of mental health records, including those related to suicide risk. Here's a breakdown of the key points:
* **The Patients' Rights:** The Department of Health (DOH) promulgates "Patients' Rights" which emphasizes a patient's right to privacy and confidentiality [invalid URL patient rights mental health ON Department of Health doh.gov.ph]. This includes the right to demand that information in their medical or clinical records, including mental health records, be treated as confidential. * **The Mental Health Act (Republic Act No. 11036):** This 2018 law strengthens the legal framework for protecting the rights of people with mental health conditions. Section 22 (r) of the Act states a service user's right to access their clinical records "unless, in the opinion of the attending mental health professional, revealing such information would cause harm to the service user's health or put the safety of others at risk" [invalid URL republic act 11036 ON Senate of the Philippines senate.gov.ph].
**Confidentiality with Exceptions:**
While confidentiality is the norm, there are legal exceptions where disclosure of mental health records might be allowed:
* **Harm to Self or Others:** If the mental health professional believes revealing information about suicide risk is necessary to prevent the service user from harming themself or others, disclosure might be permitted. * **Legal Proceedings:** Court orders or subpoenas may compel disclosure of mental health records in certain legal proceedings.
**The Importance of Informed Consent:**
* Patients have the right to provide informed consent before their mental health information is disclosed, except in emergency situations where harm to self or others is imminent.
**Limitations and Considerations:**
* **Implementation:** The Mental Health Act is relatively new, and full implementation across all healthcare facilities might still be ongoing. * **Interpretation:** The "harm to self or others" exception can be open to interpretation. Mental health professionals should use their judgment and err on the side of confidentiality unless there's a clear and imminent risk.
**Conclusion:**
The Philippines has legal provisions protecting the confidentiality of mental health records, including those related to suicide risk. However, there are some exceptions for situations where disclosure might be necessary to prevent harm. It's important for mental health professionals to obtain informed consent and use their judgment when considering disclosure.</t>
  </si>
  <si>
    <t>How does the law address suicide prevention efforts in correctional facilities?</t>
  </si>
  <si>
    <t>While there isn't a single universal law on suicide prevention in correctional facilities, several legal principles and initiatives work together to address this issue:
**Constitutional Right to Protection:**
* **Eighth Amendment (US):** In the US, the Eighth Amendment's protection against cruel and unusual punishment prohibits deliberate indifference to a prisoner's serious medical needs, which can include mental health needs and suicide risk. This places some legal responsibility on correctional facilities to take reasonable steps to prevent suicide.
**Mandatory Reporting:**
* **Some States:** Some states have laws mandating that certain professionals, including prison staff, report suspected suicide attempts or threats. This can trigger interventions and assessments to prevent future attempts.
**Standards and Best Practices:**
* **National Commissions:** National organizations like the National Commission on Correctional Health Care (NCCHC) establish best practice standards for suicide prevention in correctional settings. These standards cover areas like screening, intervention, staff training, and crisis response. * **Lawsuits:** Lawsuits filed by inmates or their families over preventable suicides can highlight deficiencies in a facility's suicide prevention protocol and lead to court-ordered improvements.
**Challenges and Limitations:**
* **Funding Shortages:** Correctional facilities often face budget limitations, which can restrict resources for mental health services and suicide prevention programs.
* **Staff Training:** Adequate training for correctional staff in suicide risk assessment, intervention, and crisis response is crucial, but training programs might be limited due to budget or time constraints.
* **Overcrowding:** Overcrowding in correctional facilities can create a stressful environment that can exacerbate mental health problems and increase suicide risk.
**Moving Forward:**
* **Increased Funding:** Allocating more resources towards mental health services and suicide prevention programs in correctional facilities is essential.
* **Data Collection and Analysis:** Collecting data on suicide attempts and completions within correctional facilities can help identify risk factors and improve prevention strategies.
* **Collaboration:** Collaboration between mental health professionals, correctional staff, and inmates themselves is crucial for creating a safer environment and promoting help-seeking behavior.
**Conclusion:**
The law plays a role in suicide prevention within correctional facilities by establishing a framework for protecting inmates from deliberate indifference and encouraging best practices. However, adequate funding, staff training, and a focus on mental health are all crucial for creating a comprehensive and effective suicide prevention system.</t>
  </si>
  <si>
    <t>Are there legal consequences for individuals who exploit suicide for entertainment or shock value?</t>
  </si>
  <si>
    <t>There typically aren't direct legal consequences for exploiting suicide for entertainment or shock value. Here's why:
* **Freedom of Speech:** Many countries have strong protections for freedom of speech, which can make it difficult to regulate content, even offensive content, related to suicide. * **Vague Definitions:** Defining "exploitation" for entertainment or shock value can be subjective. What one person finds exploitative, another might see as dark humor or social commentary.
**However, there can be indirect repercussions:**
* **Civil Lawsuits:** In some cases, families of suicide victims might file lawsuits against individuals or media outlets for defamation or invasion of privacy if the portrayal of the suicide is seen as particularly egregious. * **Social and Ethical Pressures:** Public outcry and social media criticism can create negative consequences for individuals or media outlets that exploit suicide. Social media platforms might also remove content deemed exploitative.
* **Professional Codes of Ethics:** Journalists and other professionals might face repercussions from their employers or professional organizations for violating codes of ethics related to sensitive reporting.
**Focus on Self-Regulation:**
The focus on preventing exploitative portrayals of suicide is primarily on self-regulation and social pressure. Media outlets and individuals are encouraged to follow best practices for suicide reporting, which emphasize:
* Avoiding graphic details or glorification of suicide.
* Providing resources for help and support.
* Reporting on suicide in a way that is respectful of the victim and their family.
**Examples of Legal Issues:**
* **Defamation:** Falsely portraying someone as suicidal and damaging their reputation could lead to a defamation lawsuit. However, this wouldn't address the content related to the actual suicide victim.
* **Privacy Laws:** Privacy laws might protect the identities of deceased individuals, restricting media outlets from disclosing certain details. This wouldn't necessarily address the exploitative nature of the reporting, but rather the respect for the deceased.
**The Importance of Awareness:**
Raising awareness about the potential harm of exploitative suicide portrayals is crucial. Even without direct legal consequences, the impact on vulnerable individuals and those struggling with suicidal thoughts can be significant.</t>
  </si>
  <si>
    <t>What role do law enforcement agencies play in responding to suicide-related emergencies?</t>
  </si>
  <si>
    <t>Law enforcement agencies play a vital role in responding to suicide-related emergencies. Here's a breakdown of their key functions:
**Immediate Intervention and Safety:**
* **Responding to Calls:** Police are often the first responders to calls for suicidal individuals. Their primary function is to ensure the safety of the person at risk and anyone else involved. This might involve de-escalation tactics, removing access to lethal means, and potentially using force if necessary to prevent self-harm or harm to others.
* **Scene Assessment:** Law enforcement officers need to assess the situation quickly to determine the level of risk and take appropriate action. This includes evaluating the individual's mental state, presence of weapons, and potential for self-harm.
**Connecting with Mental Health Professionals:**
* **Collaboration:** Ideally, law enforcement should work collaboratively with mental health professionals during a suicide crisis. This can involve requesting a mental health professional to the scene or transporting the individual to a facility for evaluation and treatment.
* **Co-response Programs:** Some police departments have implemented co-response programs where specially trained officers are paired with mental health professionals to respond to crisis calls. This can lead to a more nuanced approach that addresses both the immediate safety concerns and the underlying mental health issues.
**Investigation and Support:**
* **Investigating the Incident:** Law enforcement might need to investigate the circumstances surrounding a suicide attempt, especially if a crime is suspected. This can involve witness interviews, evidence collection, and reporting procedures.
* **Referral and Support:** Law enforcement can play a role in connecting individuals with mental health resources after a crisis. This might involve providing information on hotlines, support groups, or treatment options.
**Challenges and Considerations:**
* **De-escalation Training:** Effective communication and de-escalation skills are crucial for law enforcement officers responding to suicide calls. Training in active listening, crisis intervention, and recognizing mental health warning signs is essential.
* **Mental Health System Strain:** Law enforcement might face limitations due to strained mental health resources. Long wait times for evaluation or a lack of available treatment facilities can complicate their role in connecting individuals with long-term support.
**Overall, law enforcement plays a critical role in the initial response to suicide emergencies by ensuring safety, but collaboration with mental health professionals is essential for long-term support and suicide prevention.**</t>
  </si>
  <si>
    <t>How does the law address the role of media in responsible reporting on suicide to prevent contagion?</t>
  </si>
  <si>
    <t>There are generally no direct laws mandating how the media reports on suicide. However, there are several indirect ways the law influences responsible suicide reporting:
* **Professional Codes of Ethics:** Many journalist organizations have established codes of ethics that encourage responsible reporting on suicide. These codes might outline recommendations for avoiding graphic details, sensationalization, and glorification of suicide.
* **Best Practices and Guidelines:** Organizations like the World Health Organization (WHO) or the American Foundation for Suicide Prevention (AFSP) publish best practice guidelines for media reporting on suicide. While not legally binding, these guidelines offer a framework for journalists to follow and can influence newsroom protocols.
* **Potential Legal Issues:** Irresponsible reporting on suicide could lead to legal repercussions in some cases. For instance, if a media outlet discloses identifying information about a suicide victim in a way that could be seen as disrespectful or intrusive, there could be privacy law concerns. * **Public Pressure and Reputation:** Media outlets are sensitive to public criticism and their reputation. Negative public perception or boycotts can be a powerful motivator for journalists and news organizations to follow responsible reporting practices.
**The Focus is on Self-Regulation:**
The emphasis on responsible suicide reporting is primarily on self-regulation by media outlets. Laws typically don't dictate specific reporting styles due to concerns about freedom of the press. **Examples of Legal Issues:**
* **Defamation Laws:** If a media report falsely portrays someone as suicidal and it damages their reputation, defamation laws might be invoked. However, this wouldn't directly address the reporting style regarding suicide itself.
* **Privacy Laws:** In some jurisdictions, there might be privacy laws protecting the identities of deceased individuals, which could restrict the media from disclosing certain details about a suicide victim.
**The Importance of Awareness:**
While legal enforcement might be limited, raising awareness about the negative impact of irresponsible suicide reporting is crucial. Media outlets have a social responsibility to avoid content that could contribute to suicide contagion, especially among vulnerable populations.</t>
  </si>
  <si>
    <t>Are there legal provisions for the training of law enforcement personnel in recognizing and responding to suicide risks?</t>
  </si>
  <si>
    <t>In the United States, there are currently no **federal** legal provisions mandating suicide risk recognition and response training for law enforcement personnel. However, there are several initiatives that encourage and support such training:
* **Federal Legislation:** The Law Enforcement Mental Health and Wellness Act (LEMHWA) of 2018 acknowledges the importance of mental health for law enforcement officers and encourages the development of mental health and wellness programs, which could include suicide prevention training. * **Recommendations and Best Practices:** The President's Executive Order on Safe Policing for Safe Communities (2016) emphasizes the importance of crisis intervention training for law enforcement, which can include suicide risk identification and de-escalation techniques. **Training at the State and Local Level:**
* The responsibility for training law enforcement officers falls primarily on **state and local agencies**. Many states do incorporate suicide prevention training into their police academy curriculum or offer it as continuing education for officers. * **Examples:** Some states, like California and Texas, have passed legislation that encourages or mandates suicide prevention training for law enforcement. **National Organizations:**
* Organizations like the International Association of Chiefs of Police (IACP) and the National Alliance on Mental Illness (NAMI) offer resources and training programs on suicide prevention for law enforcement.
**The Landscape is Changing:**
* While not mandated by federal law, suicide prevention training for law enforcement is becoming increasingly recognized as a valuable skillset. More states and local agencies are likely to adopt such training in the future.
Here are some resources for further information:
* The National Alliance on Mental Illness (NAMI): [https://www.nami.org/Home](https://www.nami.org/Home) * The International Association of Chiefs of Police (IACP): [https://www.theiacp.org/](https://www.theiacp.org/) * The Law Enforcement Mental Health and Wellness Act (LEMHWA): [https://www.justice.gov/opa/pr/justice-department-announces-funding-promote-law-enforcement-mental-health-and-wellness](https://www.justice.gov/opa/pr/justice-department-announces-funding-promote-law-enforcement-mental-health-and-wellness)</t>
  </si>
  <si>
    <t>How does Philippine law address suicide prevention among vulnerable populations, such as indigenous communities?</t>
  </si>
  <si>
    <t>The Philippines has made some strides in addressing suicide prevention, though there's still room for improvement, especially for vulnerable populations like indigenous communities. Here's a breakdown of how Philippine law approaches this issue:
**National Legislation:**
* **The Mental Health Act (Republic Act No. 11036):** This 2018 law is a key piece of legislation. It emphasizes the right of all Filipinos to mental health services, including those at risk of suicide [invalid URL removed]. The act also mandates the creation of a comprehensive mental health program, which could include suicide prevention initiatives.
**Limitations:**
* **Implementation:** The Mental Health Act is relatively new, and its full implementation across the Philippines, particularly in remote areas, is still ongoing. Resource allocation and infrastructure development are crucial for effective implementation.
* **Focus on General Population:** The Act doesn't have specific provisions directly targeting vulnerable populations like indigenous communities. Their unique cultural considerations and potential language barriers might not be fully addressed by general programs. **Addressing the Gap:**
* **Indigenous Peoples' Rights Act (Republic Act No. 8371):** This act recognizes the rights and welfare of indigenous cultural communities. It could potentially be used to advocate for culturally appropriate mental health services, including suicide prevention programs, for these populations.
* **Department of Health (DOH) Initiatives:** The DOH has launched mental health programs that target specific vulnerable groups, though not all communities are covered yet. **Challenges for Indigenous Communities:**
* **Limited Access to Services:** Indigenous communities often reside in remote areas with limited access to healthcare facilities and mental health professionals.
* **Cultural Considerations:** Traditional healing practices might coexist with modern mental health services. Culturally sensitive approaches are vital to build trust and encourage help-seeking behavior.
* **Stigma:** Stigma surrounding mental health issues might be particularly strong in some indigenous communities. **Moving Forward:**
* **Community Engagement:** Collaborating with indigenous communities to understand their needs and develop culturally appropriate suicide prevention programs is crucial.
* **Training for Mental Health Professionals:** Mental health professionals who work with indigenous communities need training in cultural competency to deliver effective services. * **Increased Funding:** Allocating more resources towards mental health services in remote areas would improve accessibility for vulnerable populations.
**Conclusion:**
Philippine law provides a framework for suicide prevention, but reaching vulnerable populations like indigenous communities requires additional focus. Culturally sensitive programs, improved access to services, and community engagement are key to addressing this gap.</t>
  </si>
  <si>
    <t>What legal measures are in place to ensure access to mental health services for individuals at risk of suicide?</t>
  </si>
  <si>
    <t>There isn't a single, universal legal measure guaranteeing access to mental health services for suicide prevention. However, several legal strategies work together to create a framework that increases accessibility:
**Mental Health Legislation:**
* **Mandated Services:** Many countries have mental health acts that mandate specific services, sometimes including suicide prevention programs. These programs might require healthcare providers to offer mental health screenings or establish referral networks for at-risk individuals.
* **Funding Mechanisms:** Mental health legislation may allocate funding for mental health services, potentially increasing the availability of resources for suicide prevention programs and treatment options. **Disability Rights Acts:**
* **Equal Access:** These laws often advocate for equal access to healthcare, which can indirectly benefit those at risk of suicide by ensuring they have the resources they need. This might include provisions for mental health insurance coverage or non-discrimination in healthcare settings.
**Specific Examples:**
* **The United States:** The Affordable Care Act (ACA) requires most health insurance plans to cover mental health services, which can improve access for some individuals. However, there are still significant disparities in access due to factors like cost and availability of providers.
* **The Philippines:** The Mental Health Act (Republic Act No. 11036) emphasizes the right of all Filipinos to mental health services and includes specific mention of suicide prevention [invalid URL removed].
**Limitations of Legal Measures:**
* **Funding Shortages:** Even with legal mandates, funding for mental health services can be insufficient, creating access limitations. * **Workforce Shortages:** There might not be enough mental health professionals in some areas to meet the demand, especially in rural or underserved communities.
* **Stigma:** Social stigma surrounding mental health can still prevent people from seeking help, regardless of legal protections. **Additional Strategies:**
* **Public Awareness Campaigns:** Efforts to educate the public about mental health and suicide prevention can encourage people to seek help and reduce stigma.
* **Telehealth Services:** Expanding access to mental health services through telehealth options can help bridge geographical gaps and make services more convenient.
**Remember:** Legal measures are just one piece of the puzzle. If you or someone you know is struggling, there are resources available to help. Here are some examples:
* National Suicide Prevention Lifeline (USA): 988
* Crisis Text Line (USA): Text HOME to 741741
* International Association for Suicide Prevention: [https://www.iasp.info/](https://www.iasp.info/)
* Befrienders Worldwide (Provides contact information for suicide prevention hotlines around the world): [https://befrienders.org/](https://befrienders.org/)</t>
  </si>
  <si>
    <t>Are there legal obligations for mental health professionals to report suicidal ideation in their patients?</t>
  </si>
  <si>
    <t>The legal obligations for mental health professionals to report suicidal ideation vary depending on location. Here's a breakdown:
* **Duty to Protect:** Most mental health professionals have a legal and ethical duty to protect their patients from harm, including self-harm. This can include reporting suicidal ideation if the professional believes the patient is at imminent risk.
* **Confidentiality vs. Duty to Report:** There's a tension between patient confidentiality and the duty to protect. Generally, confidentiality is maintained, but there are exceptions when a patient poses a danger to themself or others. **Reporting Requirements Can Differ:**
* **State Laws:** Specific laws mandating reporting of suicidal ideation can vary by state. Some states require reporting if the patient poses a threat to themself or others, while others might have stricter or looser requirements. * **Professional Guidelines:** Professional organizations for mental health professionals often have ethical codes that address suicide risk assessment and reporting. These guidelines can supplement or inform state laws.
**Finding Specific Requirements:**
* To learn more about the legal and ethical obligations in your area, you can try:
* Searching for your state's mental health laws or licensing board regulations.
* Looking up resources from mental health professional organizations in your country.
**Here are some additional points to consider:**
* **Risk Assessment:** The decision to report often hinges on the professional's assessment of the patient's risk of acting on suicidal thoughts. Factors like a specific plan or access to means can elevate the risk.
* **Least Restrictive Intervention:** Mental health professionals will generally try the least restrictive interventions first, such as safety planning with the patient or contacting emergency services if necessary. Reporting to authorities is typically a last resort.
**If you are concerned about someone who might be suicidal, here are some resources:**
* National Suicide Prevention Lifeline: 988
* Crisis Text Line: Text HOME to 741741</t>
  </si>
  <si>
    <t>How does the law address suicide prevention in the context of domestic violence or abusive relationships?</t>
  </si>
  <si>
    <t>Laws don't directly address suicide prevention in the context of domestic violence, but they can indirectly create a safer environment that reduces risk factors. Here's how:
* **Protection Orders:** Restraining orders or emergency protective orders issued in domestic violence cases can create physical distance between the victim and the abuser. This can be crucial for someone feeling suicidal due to the abuse.
* **Criminal Charges:** Depending on the severity of the domestic violence, criminal charges against the abuser can lead to their removal from the home. This again provides physical space and can help the victim feel safer. * **Mandatory Reporting:** Some jurisdictions have laws mandating professionals like doctors or therapists to report suspected domestic violence. Early intervention by social services or law enforcement can connect victims with support systems and resources that might help manage suicidal feelings.
* **Increased Scrutiny:** Police responding to domestic violence calls might be trained to assess suicide risk in both the victim and the abuser. This heightened awareness can lead to referrals for mental health services.
**Limitations:**
* Legal protections can be a powerful tool, but they aren't foolproof. Abusers may violate restraining orders, and leaving an abusive relationship can be incredibly difficult for many reasons.
* The focus of domestic violence laws is primarily on preventing violence, not directly on suicide prevention.
**It's important to remember:**
* If you are experiencing domestic violence and suicidal thoughts, there is help available. Leaving an abusive relationship is the single biggest risk factor for homicide by an intimate partner. * Support resources like hotlines and shelters can provide immediate assistance and safety planning.
Here are some resources that can help:
* The National Domestic Violence Hotline: 1-800-799-7233
* The National Sexual Assault Hotline: 1-800-656-HOPE You can also get help online at [https://www.thehotline.org/search-our-resources/](https://www.thehotline.org/search-our-resources/)</t>
  </si>
  <si>
    <t>What legal provisions exist for the protection of individuals with disabilities who may be at risk of suicide?</t>
  </si>
  <si>
    <t>Specific legal provisions for individuals with disabilities at risk of suicide can vary depending on your location. However, some general principles are often included in mental health legislation and disability rights acts. Here's a breakdown:
**International Laws:**
* **The Convention on the Rights of Persons with Disabilities (CRPD):** This UN convention emphasizes the right of people with disabilities to mental health and well-being, including suicide prevention [https://www.ohchr.org/en/instruments-mechanisms/instruments/convention-rights-persons-disabilities](https://www.ohchr.org/en/instruments-mechanisms/instruments/convention-rights-persons-disabilities).
**National Laws:**
* **Mental Health Acts:** Many countries have legislation dedicated to mental health, often mandating suicide prevention strategies and accessible mental healthcare services. These might include provisions for identifying and supporting individuals with disabilities at risk. 
* **Disability Rights Acts:** Laws promoting disability rights often advocate for equal access to healthcare, including mental health services. This can indirectly protect individuals with disabilities at risk of suicide by ensuring they have the resources they need.
**Example:**
* **The Philippines Republic Act No. 11036 (Mental Health Act):** This act highlights the right of all Filipinos to mental health services and includes specific mention of suicide prevention with attention to vulnerable groups [https://lawphil.net/statutes/repacts/ra2018/ra_11036_2018.html](https://lawphil.net/statutes/repacts/ra2018/ra_11036_2018.html).
**Finding Specific Laws:**
To learn about the legal framework in your area, you can try:
* Searching for your country's mental health act or disability rights act on a government website.
* Looking up resources from mental health organizations in your country.
Remember, legal provisions are only part of the solution. If you or someone you know is struggling with suicidal thoughts, please reach out for help. Here are some resources that can provide immediate support: 
* International Association for Suicide Prevention: [https://www.iasp.info/](https://www.iasp.info/)
* Befrienders Worldwide: [https://befrienders.org/](https://befrienders.org/) (Provides a list of contact information for suicide prevention hotlines around the world)</t>
  </si>
  <si>
    <t>How are schools and universities legally required to address student mental health and suicide prevention?</t>
  </si>
  <si>
    <t>In the Philippines, while there isn't a specific national law that mandates schools and universities to address student mental health and suicide prevention, there are various legal frameworks, policies, and guidelines that promote the promotion of mental health and well-being among students. Here's an overview of how schools and universities are legally required to address student mental health and suicide prevention:
1. **Department of Education (DepEd) Policies:**
- The Department of Education (DepEd) issues policies and guidelines aimed at promoting mental health and well-being in schools. These policies emphasize the integration of mental health education, psychosocial support services, and positive school environments to support student well-being.
- DepEd Order No. 48, s. 2018, titled "Policy and Guidelines on Comprehensive Mental Health Education," provides guidance on integrating mental health education into the school curriculum and promoting mental health awareness and resilience among students.
2. **Higher Education Institutions (HEIs) Policies:**
- Higher Education Institutions (HEIs) may have their own policies and initiatives to address student mental health and suicide prevention. These may include counseling services, mental health awareness campaigns, and training programs for faculty and staff.
- HEIs may also collaborate with mental health institutions, NGOs, and government agencies to provide mental health services and support to students.
3. **Mental Health Services:**
- Schools and universities are encouraged to provide access to mental health services, including counseling, psychological assessment, and referrals to mental health professionals.
- Some institutions may have on-campus counseling centers or partnerships with external mental health service providers to address the mental health needs of students.
4. **Awareness and Prevention Programs:**
- Schools and universities may implement awareness and prevention programs to educate students, faculty, and staff about mental health issues, suicide prevention, and available support services.
- These programs may include workshops, seminars, peer support groups, and campaigns to reduce stigma, increase help-seeking behaviors, and promote mental health literacy.
5. **Crisis Intervention and Response:**
- In cases of mental health crises or suicidal behavior, schools and universities are expected to have protocols in place for crisis intervention and response.
- This may involve training staff members to recognize signs of distress, providing immediate support and assistance to students in crisis, and coordinating with mental health professionals and emergency services when necessary.
6. **Data Collection and Monitoring:**
- Schools and universities may be required to collect data on student mental health issues, suicide attempts, and related concerns to inform policy development, program planning, and resource allocation.
- Monitoring and evaluation mechanisms may be established to assess the effectiveness of mental health initiatives and identify areas for improvement.
While there are legal frameworks and guidelines in place to promote student mental health and suicide prevention in schools and universities, implementation may vary across institutions. Collaborative efforts between government agencies, educational institutions, mental health professionals, and community stakeholders are essential to effectively address student mental health concerns and create supportive environments for student well-being.</t>
  </si>
  <si>
    <t>Are there legal consequences for individuals who bully or harass others, contributing to suicidal ideation?</t>
  </si>
  <si>
    <t>Yes, there are legal consequences for individuals who bully or harass others in the Philippines, especially if it contributes to suicidal ideation. Here's how Philippine law addresses this:
* **Anti-Bullying Act of 2013 (Republic Act No. 10627)**: This law prohibits bullying in elementary and secondary schools. Bullying is defined as any severe or repeated use of physical or verbal force, or any threat to use such force, against a student by another student or group of students that has the effect of actually causing or placing the victim in reasonable fear of physical or emotional harm. It also includes causing a hostile environment at school for the victim, infringing on their rights, or materially disrupting their education (Section 2).
While this law specifically applies to schools, the concept of bullying can be applied in other contexts as well.
* **Revised Penal Code (Act No. 3815)**: This law covers various crimes that can be committed through bullying or harassment. These include:
* **Acts of Violence and Threats (Articles 282-289)**: This covers physical harm or threats of physical harm.
* **Libel (Article 355)**: This applies if the bullying involves spreading false information that damages the reputation of the victim.
* **Slander (Article 358)**: Similar to libel, but applies to spoken defamation.
* **Harassment (Article 283)**: This covers acts that intend to annoy, pester, or coerce another person.
* **Cybercrime Prevention Act of 2012 (Republic Act No. 10175)**: This law applies if the bullying or harassment happens online. It covers cyberstalking and online libel, which can be penalties for online bullying.
**Suicidal Ideation:** While Philippine law doesn't explicitly mention suicidal ideation as a consequence of bullying, it can be considered under the emotional harm aspect of the Anti-Bullying Act. If bullying can be proven to have caused the victim emotional distress severe enough to consider suicide, it can strengthen the case against the bully.
Remember, this is not legal advice. If you or someone you know is being bullied or is considering suicide, here are some resources that can help:
* Department of Education (DepEd) Child Protection Committee
* The National Center for Mental Health Crisis Hotline: 0917 899 8777</t>
  </si>
  <si>
    <t>How does Philippine law address suicide prevention in the context of substance abuse and addiction?</t>
  </si>
  <si>
    <t>The Philippines recognizes the complex relationship between substance abuse and suicide risk. While there's no single law solely focused on this specific issue, several legal aspects work together to address it:
**1. Focus on Substance Abuse Treatment:**
* **Comprehensive Dangerous Drugs Act (RA 9165):** This law aims to deter illegal drug use but also mandates the creation of treatment and rehabilitation programs [RA 9165, Sec. 36]. Addressing the underlying addiction can be a crucial step in preventing suicide linked to substance abuse.
* **Dangerous Drugs Board (DDB):** This government agency oversees drug prevention and treatment efforts. They establish guidelines for rehabilitation programs and support facilities [RA 9165, Sec. 15].
**2. Integration with Mental Health Services:**
* **Mental Health Act (RA 11229):** This law recognizes the need for integrated treatment for co-occurring disorders, including mental health issues and substance abuse [RA 11229, Sec. 13]. Ideally, this can lead to more comprehensive treatment approaches that address both conditions.
**3. Court-Diversion Programs:**
* **RA 10028 or the Expanded Anti-Dummy Law:** This law offers court-diversion programs for first-time, non-violent drug offenders. These programs often involve drug rehabilitation alongside other interventions. * By diverting individuals from the criminal justice system and focusing on treatment, the potential for suicide due to legal consequences can be reduced.
**Challenges and Considerations:**
* **Availability of Treatment:** Access to high-quality, evidence-based treatment programs for both substance abuse and mental health can be limited, especially in remote areas.
* **Stigma:** The stigma surrounding both mental health and addiction can prevent individuals from seeking help.
* **Funding:** Funding for treatment programs and mental health services can be a challenge.
**Looking Forward:**
* Increased investment in building a robust network of accessible treatment facilities is crucial.
* Raising awareness about the link between substance abuse, mental health, and suicide can encourage help-seeking behavior.
* Promoting integrated treatment approaches for co-occurring disorders can improve overall patient outcomes. **Important Note:**
If you or someone you know is struggling with substance abuse or suicidal thoughts, here are some resources that can help:
* National Center for Mental Health Crisis Hotline: 0917 558 HOPE (4673)
* Department of Health Crisis Hotline: 02 894-2671 loc 1117
* Philippine Dangerous Drugs Board Helpline: 1325
In Touch Crisis Lines: * GLOBE: 2919 (toll-free for Globe subscribers)
* TM: 0917 800-1123
* Sun: 0922 891-1223
By working together to address both substance abuse and mental health, the Philippines can create a more supportive environment and prevent suicide tragedies.</t>
  </si>
  <si>
    <t>What legal measures are in place to ensure access to crisis helplines and mental health support services?</t>
  </si>
  <si>
    <t>The Philippines has taken steps to improve access to crisis helplines and mental health support services, but there's no single, comprehensive law guaranteeing this right. Here's an overview of the legal landscape:
**Laws that Promote Access (Indirectly):**
* **The Mental Health Act (RA 11036):** * This 2018 law mandates the creation of a Mental Health Care Delivery System (MHCD System) [RA 11036, Sec. 10]. Ideally, this system would improve access to mental health services, including crisis hotlines.
* It emphasizes the importance of crisis intervention strategies for suicide prevention [RA 11036, Sec. 15(i)].
* **The Magna Carta for Older Persons (RA 10868):**
* This law emphasizes access to health services for senior citizens, which could potentially encompass mental health services and crisis hotlines [RA 10868, Sec. 12(a)].
**Government Initiatives:**
* **Department of Health (DOH):**
* The DOH operates a crisis hotline (02 894-2671 loc 1117) and supports other mental health helplines.
* They also have initiatives promoting mental health awareness and potentially increasing help-seeking behavior.
**Challenges and Considerations:**
* **Implementation:** The Mental Health Act is still relatively new, and the full implementation of the MHCD System is ongoing. * **Resource limitations:** There may be a lack of mental health professionals and crisis hotline resources, particularly in remote areas.
* **Stigma:** The stigma surrounding mental health can still prevent people from seeking help.
**Looking Forward:**
* Continued investment in mental health infrastructure, including helplines and personnel, is crucial. * Public awareness campaigns can help reduce stigma and encourage help-seeking behavior.
**Conclusion:**
While there's no single legal guarantee, the Philippines is working towards improving access to crisis helplines and mental health support services. Continued efforts are needed to ensure everyone has the resources they need during a crisis.</t>
  </si>
  <si>
    <t>Are there legal protections for individuals who disclose their suicidal thoughts during therapy sessions?</t>
  </si>
  <si>
    <t>Yes, there are legal protections for individuals who disclose suicidal thoughts during therapy sessions in the Philippines. These protections are based on the ethical codes that govern mental health professionals and the doctor-patient confidentiality principle. Here's a breakdown:
**Doctor-Patient Confidentiality:**
* This is a cornerstone of the therapeutic relationship. It ensures that patients can openly share their thoughts and feelings with their therapist without fear of disclosure to third parties.
* In the Philippines, this principle is not explicitly enshrined in law, but it is a well-established ethical principle followed by mental health professionals.
**Ethical Codes:**
* The Philippine Psychological Association (PPA) Code of Ethics and the Code of Ethics for Nurses both emphasize the importance of confidentiality. * These codes require therapists to keep patient information confidential, except in specific situations.
**Exceptions to Confidentiality:**
* There are some legal exceptions to confidentiality, where a therapist may be required to disclose information, including:
* **Imminent harm to self or others:** If the therapist believes the patient poses a serious threat of suicide or harm to another person, they may be required to report this to the authorities or take other steps to ensure safety.
* **Child abuse or neglect:** Therapists are mandated by law to report suspected child abuse or neglect. * **Court order:** A court order can compel a therapist to disclose confidential information.
**Therapist's Duty to Warn:**
* Beyond legal mandates, therapists have a professional duty to warn potential victims if they believe the patient poses a serious threat to another person.
* This duty to warn can sometimes outweigh confidentiality.
**Conclusion:**
While there are some exceptions, therapists in the Philippines are legally and ethically bound to maintain the confidentiality of information disclosed during therapy sessions, including suicidal thoughts. This helps create a safe space for individuals to seek help without fear of judgment or disclosure.
**Important Note:**
The information above is intended for general knowledge and shouldn't be a substitute for professional legal advice. If you have specific questions or concerns, you should consult with a qualified lawyer.
Here are some resources that can help with mental health and suicide prevention:
* National Center for Mental Health Crisis Hotline: 0917 558 HOPE (4673)
* Department of Health Crisis Hotline: 02 894-2671 loc 1117
* In Touch Crisis Lines: GLOBE: 2919 (toll-free for Globe subscribers) TM: 0917 800-1123 Sun: 0922 891-1223</t>
  </si>
  <si>
    <t>How does the law address suicide prevention in the context of unemployment and economic hardships?</t>
  </si>
  <si>
    <t>The Philippines faces the challenge of balancing economic development with the well-being of its citizens. While there's no single law directly addressing suicide prevention due to unemployment and economic hardships, there's a framework of laws and initiatives that can indirectly contribute:
**1. The Right to Health (Article II, Section 15 of the Constitution):**
* This constitutional provision guarantees Filipinos the right to access quality health services. Ideally, this includes mental health services that can be crucial for individuals struggling with unemployment or economic hardship. **2. Mental Health Act (RA 11229):**
* This relatively new law (2018) emphasizes the importance of mental healthcare and mandates the creation of a Mental Health Care Delivery System [RA 11229, Sec. 10]. While not solely focused on economic hardship, this system could improve access to mental health services for those facing unemployment or financial difficulties.
**3. Department of Labor and Employment (DOLE):**
* DOLE has programs aimed at assisting unemployed Filipinos, including job search assistance and skills training. * While not directly related to suicide prevention, increased employability can be a protective factor against suicidal thoughts.
**4. Social Amelioration Programs:**
* The government implements various social amelioration programs to provide financial assistance to low-income families and those affected by economic crises. * These programs can offer some temporary relief from financial hardship, potentially reducing stress levels.
**Challenges and Considerations:**
* The implementation of the Mental Health Act is still in its early stages. Access to quality mental health services, especially in remote areas, may be limited.
* The effectiveness of social amelioration programs can vary depending on the specific program and its reach.
* The stigma surrounding mental health can still be a barrier for some individuals to seek help.
**Looking Forward:**
* Continued investment in mental health infrastructure and personnel is crucial to make mental health services more accessible. * Raising awareness about mental health and encouraging help-seeking behavior can be particularly important for those facing unemployment and financial difficulties.
**Important Note:**
If you or someone you know is struggling with suicidal thoughts due to unemployment or economic hardship, please reach out for help. Here are some resources:
* National Center for Mental Health Crisis Hotline: 0917 558 HOPE (4673)
* Department of Health Crisis Hotline: 02 894-2671 loc 1117
* In Touch Crisis Lines: GLOBE: 2919 (toll-free for Globe subscribers) TM: 0917 800-1123 Sun: 0922 891-1223
Remember, suicide is a preventable tragedy. By working together and providing a comprehensive approach that addresses both economic hardship and mental health, the Philippines can create a more supportive environment for its citizens.</t>
  </si>
  <si>
    <t>What role do public awareness campaigns play in suicide prevention, and are they legally mandated?</t>
  </si>
  <si>
    <t>Public awareness campaigns can play a significant role in suicide prevention, but they are not legally mandated in the Philippines. Here's a breakdown of their impact and legal considerations:
**Impact of Public Awareness Campaigns:**
* **Raising awareness:** Campaigns can help educate the public about suicide risk factors, warning signs, and available resources. * **Reducing stigma:** By openly discussing suicide, campaigns can help reduce the stigma surrounding mental health issues and encourage help-seeking behavior.
* **Empowering communities:** Campaigns can empower communities to recognize and address potential suicide risks in their surroundings.
**Limitations of Public Awareness Campaigns:**
* **Quality matters:** The effectiveness of campaigns depends on their quality, messaging, and target audience. Poorly designed campaigns might have unintended consequences. * **Focus on behavior change:** Campaigns alone might not be enough to significantly reduce suicide rates. They need to be part of a comprehensive suicide prevention strategy that includes access to mental health services and crisis intervention resources.
**Legality of Public Awareness Campaigns:**
* There's no legal mandate for public awareness campaigns on suicide prevention in the Philippines. * However, the government, through the Department of Health (DOH), recognizes their importance and may launch or support such campaigns.
* Some local government units (LGUs) might also implement public awareness initiatives within their jurisdictions.
**Additional Considerations:**
* Public awareness campaigns should be based on evidence-based practices and developed in consultation with mental health experts.
* They should prioritize messages of hope, recovery, and available support systems.
* Trigger warnings might be necessary when discussing suicide methods.
**Conclusion:**
Public awareness campaigns are a valuable tool in suicide prevention, but they are most effective when used as part of a larger strategy that addresses the root causes of suicide and provides accessible help to those in need.</t>
  </si>
  <si>
    <t>Are there legal provisions for the protection of whistleblowers reporting suicide risks within institutions?</t>
  </si>
  <si>
    <t>Philippine law offers some, but not complete, protection for whistleblowers reporting suicide risks within institutions. Here's a breakdown of the relevant aspects:
**1. No Specific Whistleblower Law:**
* The Philippines currently lacks a comprehensive whistleblower protection law. **2. Republic Act No. 6713 or the Code of Conduct and Ethical Standards for Public Officials and Employees:**
* This law applies to government employees. It mandates them to report any unlawful or unethical conduct they witness within their agencies. However, it doesn't explicitly mention suicide risks. **3. Limited Protections in Existing Laws:**
* Some existing laws in specific sectors, like the Special Program for Employment of Students (SPES), offer some whistleblower protections. But these may not be all-encompassing.
**4. The Securities and Exchange Commission (SEC) Rules:**
* The SEC has issued rules protecting whistleblowers who report violations of securities laws. This can be indirectly relevant if a company's financial misconduct contributes to employee suicide risk.
**5. The Potential for Retaliation:**
* Despite these fragmented legal protections, whistleblowers in the Philippines can still face retaliation from their employers for reporting suicide risks. This can be through termination, demotion, or a hostile work environment.
**What You Can Do:**
* If you suspect someone is at risk of suicide within your institution, prioritize their safety. Report the concern to a supervisor or Human Resources department. * Try to document your report and any potential retaliation you experience.
* Consider seeking guidance from a lawyer specializing in labor law to understand your rights and options. **Looking Forward:**
* The Philippines is currently considering a comprehensive Whistleblower Protection Act. If passed, this could offer stronger legal safeguards for reporting suicide risks or other work-related dangers.
**Recommendations:**
* Institutions can create a safe and confidential reporting system for employees to voice concerns about suicide risks or other safety issues.
* Promoting a culture of open communication and mental health awareness within institutions can go a long way in preventing workplace-related suicides.
**Remember:** The legal landscape can be complex. If you have specific concerns, consulting with a lawyer is recommended.</t>
  </si>
  <si>
    <t>How does Philippine law address suicide prevention in the context of natural disasters and emergencies?</t>
  </si>
  <si>
    <t>The Philippines, being prone to natural disasters, recognizes the mental health impact of such events. While there's no single law solely focused on suicide prevention in these situations, several legal aspects and initiatives contribute:
**1. Disaster Risk Reduction Management Act (RA 10121):**
* This law mandates the creation of a National Disaster Risk Reduction and Management Framework (NDRRMF) [RA 10121, Sec. 4(g)]. This framework includes measures for mental health and psychosocial support (MHPSS) after disasters [NDRRMF].
**2. Mental Health Act (RA 11229):**
* This act recognizes the need for mental health services in crisis situations [RA 11229, Sec. 15(i)]. It lays the groundwork for integrating MHPSS into disaster response efforts.
**3. Department of Health (DOH):**
* The DOH has a Bureau of Mental Health (BMH) which plays a key role in providing MHPSS during disasters. The BMH develops guidelines and deploys mental health professionals to affected areas [DOH-Bureau of Mental Health].
**4. Local Government Units (LGUs):**
* LGUs (cities, municipalities, etc.) have a crucial role in disaster preparedness and response. The Mental Health Act encourages LGUs to allocate resources for mental health services, including during emergencies [RA 11229, Sec. 22].
**How the Law Works in Practice:**
* After a natural disaster, the NDRRMF gets activated, coordinating relief efforts.
* The DOH-BMH deploys mental health professionals to provide:
* **Crisis counseling:** Offering immediate support to individuals struggling with emotional distress.
* **Psychosocial support:** Helping communities cope with the psychological impact of the disaster.
* **Referral services:** Connecting individuals with ongoing mental health care if needed.
**Challenges and Considerations:**
* The availability of mental health resources in remote areas or after major disasters can be limited.
* The stigma surrounding mental health can prevent people from seeking help.
* Long-term mental health support after disasters may not be readily available.
**Looking Forward:**
* Continued investment in mental health infrastructure and training for disaster response is crucial.
* Raising awareness about mental health and encouraging help-seeking behavior can save lives.
**Important Note:**
If you or someone you know is struggling after a natural disaster, here are some resources that can help:
* National Center for Mental Health Crisis Hotline: 0917 558 HOPE (4673)
* Department of Health Crisis Hotline: 02 894-2671 loc 1117
* In Touch Crisis Lines: GLOBE: 2919 (toll-free for Globe subscribers) TM: 0917 800-1123 Sun: 0922 891-1223
By understanding the legal framework and available resources, Filipinos can cope better with the aftermath of natural disasters and prevent suicides.</t>
  </si>
  <si>
    <t>What legal measures are in place to address suicide prevention in the elderly population?</t>
  </si>
  <si>
    <t>The Philippines currently lacks a single, comprehensive law solely focused on suicide prevention in the elderly population. However, there are existing legal frameworks and initiatives that indirectly contribute to this goal:
**1. The Mental Health Act (RA 11229):**
* This act, passed in 2018, is a significant step forward. It recognizes mental health as a vital part of overall health and well-being [RA 11229, Sec. 2]. * It mandates the establishment of a mental health care delivery system, which ideally would provide better access to mental health services for the elderly [RA 11229, Sec. 10].
* The act also promotes the integration of mental health services into primary care, potentially making it easier for older adults to receive mental health support during regular check-ups [RA 11229, Sec. 14].
**2. The Magna Carta for Older Persons (RA 10868):**
* This law aims to promote and protect the rights of older persons [RA 10868, Sec. 2]. It includes provisions on:
* **Access to health services:** This could encompass access to mental health services for elderly individuals struggling with suicidal thoughts [RA 10868, Sec. 12(a)].
* **Social protection:** The law emphasizes the importance of social support systems for older adults, which can be a crucial factor in suicide prevention [RA 10868, Sec. 13].
**3. The Batas Pambansa Bilang 881 or the Social Security Law:**
* This law provides social security benefits to qualified Filipinos, including pensions for retirees. Financial security can be a protective factor against suicide for some elderly individuals [Batas Pambansa Bilang 881].
**4. The Department of Health (DOH):**
* The DOH has a National Mental Health Program that includes initiatives focused on promoting mental health awareness and access to mental health services. While not exclusively targeting the elderly, these programs can still benefit this population [DOH National Mental Health Program].
**Challenges and Considerations:**
* The implementation of the Mental Health Act and the full integration of mental health services into primary care are still ongoing processes. * There may be a lack of awareness among elderly Filipinos about mental health issues and available resources. * The stigma surrounding mental health can also be a barrier to seeking help.
**Looking Forward:**
* Continued efforts to implement the Mental Health Act and raise awareness about mental health in the elderly population are crucial.
* Encouraging open communication about mental health within families and communities can also play a significant role in suicide prevention.
**Important Note:**
If you know an elderly person who might be struggling with suicidal thoughts, here are some resources that can help:
* National Center for Mental Health Crisis Hotline: 0917 558 HOPE (4673)
* Department of Health Crisis Hotline: 02 894-2671 loc 1117
* In Touch Crisis Lines: GLOBE: 2919 (toll-free for Globe subscribers) TM: 0917 800-1123 Sun: 0922 891-1223
Remember, suicide is a preventable tragedy. By working together and promoting mental health awareness, we can create a more supportive environment for the elderly population in the Philippines.</t>
  </si>
  <si>
    <t>Are there legal consequences for individuals who share explicit self-harm content on social media?</t>
  </si>
  <si>
    <t>The legal consequences for sharing explicit self-harm content on social media in the Philippines are not entirely clear-cut. There's currently no specific law that directly addresses this issue. However, depending on the nature of the content and its potential impact, some existing laws might be applicable:
**1. Cybercrime Prevention Act (RA 10175):**
* This law penalizes various cybercrimes, including:
* **Aiding or Abetting Suicide (Section 15):** If the self-harm content explicitly encourages or instructs someone to commit suicide, the person who shared it could be charged with this offense.
* Proving intent to aid suicide can be difficult. **2. Anti-Bullying Act (RA 10627):**
* This law focuses on traditional bullying but may be interpreted to extend to cyberbullying in some instances. Sharing self-harm content could be considered a form of cyberbullying if it targets a specific person and intends to cause emotional distress.
**3. Safe Spaces Act (RA 11313):**
* This law protects against online violence against women and their children. Sharing self-harm content depicting minors could potentially be an offense under this act.
**4. Republic Act No. 9994 or the Protection Against Child Pornography Act:**
* This law strictly prohibits the sharing of child pornography. If the self-harm content involves a minor, it could be considered child pornography.
**Challenges and Considerations:**
* The specific legal interpretation and application of these laws to self-harm content can vary depending on the details of the content and the context in which it's shared.
* Intent plays a crucial role. Sharing self-harm content to raise awareness or seek help might be viewed differently than sharing it to encourage or glorify self-harm.
**The Bigger Picture:**
* While legal consequences exist in some scenarios, the primary concern should be the well-being of the person engaging in self-harm and those potentially influenced by the content.
**Recommendations:**
* If you encounter explicit self-harm content, avoid sharing it further. * Report the content to the social media platform where you saw it. Most platforms have reporting mechanisms for harmful content.
* If you're concerned about someone who might be self-harming, reach out to them and offer support. Here are some resources that can help:
* National Center for Mental Health Crisis Hotline: 0917 558 HOPE (4673)
* Department of Health Crisis Hotline: 02 894-2671 loc 1117
* In Touch Crisis Lines: GLOBE: 2919 (toll-free for Globe subscribers) TM: 0917 800-1123 Sun: 0922 891-1223
Remember, sharing self-harm content can have negative consequences, even if legal repercussions aren't always clear-cut. It's important to be mindful of the potential impact on vulnerable individuals.</t>
  </si>
  <si>
    <t>How does the law address suicide prevention in the context of cyberbullying and online harassment?</t>
  </si>
  <si>
    <t>The Philippines recognizes the growing threat of cyberbullying and online harassment, and while there isn't a specific law solely focused on suicide prevention in this context, there are existing legal measures that can be used to address it:
**1. Cybercrime Prevention Act (RA 10175):**
* This act penalizes various cybercrimes, including cyberstalking, which can be a form of online harassment [RA 10175]. This can provide some legal recourse for victims and potentially deter online harassment.
**2. Anti-Bullying Act (RA 10627):**
* This law, primarily focused on traditional bullying in schools, has been interpreted to extend its scope to cyberbullying in some instances. Schools have a responsibility to address cyberbullying incidents involving their students [RA 10627, Sec. 15]. **3. The Safe Spaces Act (RA 11313):**
* This relatively new law (2018) aims to ensure a safe and inclusive online environment for all Filipinos. It prohibits acts of violence against women and their children, which can potentially encompass severe cyberbullying and online harassment [RA 11313].
**4. The Mental Health Act (RA 11229):**
* This law promotes access to mental health services, which are crucial for suicide prevention, including those impacted by cyberbullying and online harassment [RA 11229, Sec. 15].
**Challenges in Addressing Online Harms:**
* Attributing online harassment or cyberbullying to a specific individual can be difficult. * The anonymity associated with online activity can make investigations and enforcement complex. * Mental health resources and support systems specifically designed to address cyberbullying's impact are still evolving.
**The Role of Technology Companies:**
* The law can place some responsibility on social media platforms and other technology companies to create safer online environments. * This might involve implementing reporting mechanisms for online harassment or cooperating with law enforcement investigations. **Conclusion:**
While the legal framework isn't perfect, Philippine law offers some tools to combat cyberbullying and online harassment and potentially prevent cyberbullying-related suicides. Continued development of the legal framework and improved access to mental health resources are crucial in this evolving area.
**Important Note:** If you or someone you know is struggling with suicidal thoughts due to cyberbullying or online harassment, please reach out for help. Here are some resources:
* National Center for Mental Health Crisis Hotline: 0917 558 HOPE (4673)
* Department of Health Crisis Hotline: 02 894-2671 loc 1117
* In Touch Crisis Lines: GLOBE: 2919 (toll-free for Globe subscribers) TM: 0917 800-1123 Sun: 0922 891-1223</t>
  </si>
  <si>
    <t>Psychiatric Illness and Criminality</t>
  </si>
  <si>
    <t>What legal measures are in place to ensure the accountability of mental health professionals in suicide prevention?</t>
  </si>
  <si>
    <t>While there isn't a single, comprehensive law in the Philippines solely focused on the accountability of mental health professionals in suicide prevention, there are existing legal frameworks that indirectly address this concern. Here's a breakdown:
**1. The Philippine Constitution (Article II, Section 15):**
* This section guarantees the right to health. This can be interpreted to include the right to access quality mental health services, which should consider suicide prevention as a crucial aspect.
**2. Republic Act No. 11036 or the Mental Health Act:**
* This law mandates the provision of mental health services, including suicide prevention strategies [RA 11036, Sec. 15]. It also emphasizes the importance of ethical practice for mental health professionals [RA 11036, Sec. 29].
**3. Professional Codes of Ethics:**
* The Philippine Psychological Association (PPA) and the Philippine Psychiatric Association (PPA) have their own Code of Ethics that mental health professionals must adhere to. These codes outline ethical standards for practice, including aspects like competence and patient well-being. Breaching these codes can lead to disciplinary actions.
**4. Malpractice Lawsuits:**
* While not as common in the Philippines compared to other countries, mental health professionals can potentially be held liable through civil lawsuits for malpractice if their actions (or inactions) are found to have contributed to a suicide. To win such a case, evidence of negligence or breach of professional standards would be necessary.
**5. The Role of the Professional Regulation Commission (PRC):**
* The PRC licenses and regulates mental health professionals. If there are complaints against a professional regarding a potential role in a suicide, the PRC can investigate and potentially revoke licenses or impose sanctions.
**Accountability Challenges:**
* Proving a direct link between a mental health professional's actions and a suicide can be difficult.
* The mental health field is still developing in the Philippines, and access to resources for effective suicide prevention may vary.
**Looking Forward:**
* The Mental Health Act is a relatively new law (2018), and its implementation regarding accountability standards for suicide prevention is still evolving. **Remember:** This is a simplified explanation, and the legal landscape can be complex. If you have specific concerns, consulting with a lawyer specializing in healthcare law is recommended.</t>
  </si>
  <si>
    <t>How is the relationship between psychiatric illness and criminality addressed in Philippine law?</t>
  </si>
  <si>
    <t>Philippine law recognizes the connection between psychiatric illness and criminality, but it doesn't have a single, overarching legal framework. Instead, the approach is multifaceted, involving various laws and legal principles:
**1. Insanity Defense (Article 12, Paragraph 1 of the Revised Penal Code):**
This is the most direct legal link. It states that an "imbecile or an insane person, unless the latter has acted during a lucid interval," is exempt from criminal liability. This means someone with a severe mental illness **may not be held criminally responsible** for their actions if they were unable to understand the nature and consequences of their act due to their illness. **2. Determining Insanity (Rule 112 of the Rules of Court):**
This rule establishes the process for determining if an accused is mentally fit to stand trial. If the court suspects a mental illness might affect the ability to understand the charges or participate in the defense, a mental evaluation can be ordered.
**3. Mental Illness and Mitigating Circumstances (Article 63 of the Revised Penal Code):**
The law acknowledges that mental illness can be a mitigating circumstance, potentially reducing the penalty for a crime. This doesn't eliminate criminal responsibility but allows the court to consider the mental state of the accused when sentencing.
**4. Mental Health Act (RA 11229):**
This broader law protects the rights of individuals with mental disabilities, including access to treatment and respectful treatment within the legal system. **Key Points:**
* The burden of proving insanity lies with the defense. * The specific legal implications depend on the severity of the illness and its impact on the accused's mental state at the time of the crime.
**Beyond Legal Issues:**
* Judges have some discretion in considering the relationship between mental illness and criminal behavior.
* The availability of mental health resources within the criminal justice system can also play a role.
**Remember:** This is a simplified explanation, and the legal aspects can be complex. If you have any concerns or are involved in a specific case, consulting with a qualified lawyer is crucial.</t>
  </si>
  <si>
    <t>What legal standards exist for determining the criminal responsibility of individuals with psychiatric illnesses?</t>
  </si>
  <si>
    <t>In the Philippines, the determination of criminal responsibility of individuals with psychiatric illnesses is guided by legal standards derived from statutory law, case law precedents, and international legal principles. While there isn't a specific statutory framework outlining the legal standards for determining criminal responsibility in cases involving psychiatric illnesses, courts typically consider several factors and legal principles. Here are some key considerations:
1. **Capacity to Appreciate the Wrongfulness of Actions:**
- One of the primary factors considered in determining criminal responsibility is whether the accused individual had the capacity to appreciate the wrongfulness of their actions at the time the offense was committed.
- This involves assessing the individual's mental state, understanding of moral and legal norms, and ability to comprehend the consequences of their behavior.
2. **Ability to Form Criminal Intent:**
- Courts may consider whether the accused individual had the capacity to form the requisite criminal intent or mens rea required for the commission of the offense.
- This involves assessing the individual's mental state, cognitive functioning, and capacity to understand the nature and consequences of their actions, as well as their ability to exercise control over their behavior.
3. **Presence of Mental Illness or Impairment:**
- The presence of a diagnosed mental illness or impairment may be relevant in determining criminal responsibility. Courts may consider psychiatric evaluations, medical records, and expert testimony regarding the accused individual's mental health status and its potential impact on their behavior.
4. **Voluntariness of Actions:**
- Courts may assess whether the accused individual's actions were voluntary or the result of involuntary impulses, delusions, or other manifestations of their mental illness.
- Individuals whose actions are deemed to be the product of involuntary impulses or mental illness may have diminished culpability or may be found not criminally responsible for their actions.
5. **Substantial Impairment of Mental Capacity:**
- In cases where an accused individual's mental illness or impairment substantially impairs their ability to appreciate the wrongfulness of their actions or to conform their behavior to the requirements of the law, courts may consider mitigating factors in determining criminal responsibility.
- This may include considering whether the individual's mental illness or impairment substantially affected their decision-making abilities or ability to control their behavior at the time of the offense.
6. **Case-Specific Considerations:**
- Determinations of criminal responsibility are made on a case-by-case basis, taking into account the specific facts and circumstances of each case, as well as relevant legal standards and principles.
- Courts may consider the totality of circumstances, including the accused individual's mental health history, behavior at the time of the offense, and expert opinions from mental health professionals, in making determinations regarding criminal responsibility.
Overall, while there isn't a specific statutory framework outlining the legal standards for determining criminal responsibility in cases involving psychiatric illnesses in the Philippines, courts consider various factors and legal principles to assess the mental state and culpability of accused individuals in accordance with principles of justice and due process.</t>
  </si>
  <si>
    <t>How does the law define insanity or diminished capacity in the context of criminal cases?</t>
  </si>
  <si>
    <t>In the Philippines, the legal definitions of insanity or diminished capacity in the context of criminal cases are primarily derived from legal principles established through jurisprudence and interpretations of relevant laws. While there isn't a specific statutory definition of insanity or diminished capacity in Philippine law, these concepts are generally understood within the context of criminal responsibility. Here's an overview:
1. **Insanity Defense:**
- Insanity, as a legal defense in criminal cases, typically refers to a mental state in which the accused individual lacks the capacity to understand the nature and consequences of their actions or to distinguish right from wrong at the time of committing the alleged offense.
- Insanity may be caused by a severe mental illness, such as psychosis, schizophrenia, or severe mood disorders, that impairs the individual's cognitive functioning and decision-making abilities.
2. **Diminished Capacity:**
- Diminished capacity, also known as partial insanity or diminished responsibility, refers to a mental state in which the accused individual's mental capacity is impaired to a degree that affects their ability to form specific criminal intent or to fully appreciate the wrongfulness of their actions.
- Diminished capacity may result from factors such as mental illness, developmental disorders, cognitive impairments, or intoxication that reduce the individual's ability to exercise full control over their behavior.
3. **Burden of Proof:**
- In criminal cases where insanity or diminished capacity is raised as a defense, the burden of proof typically rests with the defense to establish, by clear and convincing evidence, that the accused individual meets the criteria for insanity or diminished capacity at the time of the offense.
- The defense may present psychiatric evaluations, expert testimony, medical records, and other evidence to support their claim of insanity or diminished capacity.
4. **Legal Tests and Standards:**
- While there isn't a specific legal test for insanity or diminished capacity codified in Philippine law, courts may consider legal principles derived from common law precedents and international legal standards.
- Courts may apply tests such as the M'Naghten Rule, the Durham Rule, or the Model Penal Code test to determine insanity or diminished capacity, depending on the circumstances of the case and prevailing legal principles.
5. **Judicial Discretion:**
- Ultimately, the determination of insanity or diminished capacity in criminal cases is subject to the discretion of the court, which evaluates the evidence presented by both the prosecution and the defense and applies relevant legal principles in reaching a decision.
- Courts may consider the totality of circumstances, including the accused individual's mental health history, behavior at the time of the offense, and expert opinions from mental health professionals, in making determinations regarding insanity or diminished capacity.
Overall, while there isn't a specific statutory definition of insanity or diminished capacity in Philippine law, these concepts are recognized within the context of criminal responsibility, and courts may apply legal tests and standards derived from common law principles to assess the mental state of accused individuals in criminal cases.</t>
  </si>
  <si>
    <t>Are there specific legal provisions for the psychiatric evaluation of individuals accused of crimes?</t>
  </si>
  <si>
    <t>Yes, in the Philippines, specific legal provisions exist for the psychiatric evaluation of individuals accused of crimes. These provisions are primarily outlined in the Rules of Court and the Mental Health Act of 2018. Here's a breakdown of the relevant legal provisions:
1. **Rules of Court:**
- Rule 116, Section 14 of the Rules of Court provides for the examination of the mental condition of the accused in criminal cases. It states that when the mental condition of the accused becomes an issue in the case, the court may order their examination by one or more psychiatrists or psychologists.
2. **Mental Health Act of 2018 (Republic Act No. 11036):**
- The Mental Health Act of 2018 includes provisions related to the assessment and treatment of individuals with mental health conditions, including those accused of crimes.
- Section 19 of the Mental Health Act specifies that when an individual with a mental health condition is accused of a crime, the court may order their evaluation by one or more psychiatrists or psychologists to determine their mental health status and competency to participate in legal proceedings.
3. **Involuntary Psychiatric Evaluation:**
- In cases where there are indications that the accused individual's mental condition may affect their fitness to stand trial or their criminal responsibility, the court may order an involuntary psychiatric evaluation.
- The evaluation may include interviews, psychological assessments, cognitive testing, and review of medical records to assess the accused individual's mental health status and competency.
4. **Evaluation Report:**
- Following the psychiatric evaluation, the appointed mental health professionals prepare a report detailing their findings, conclusions, and recommendations regarding the accused individual's mental health condition and competency to stand trial.
- The evaluation report may be submitted to the court and made part of the official court records, and it may inform decisions regarding the accused individual's legal status and the need for mental health treatment or intervention.
5. **Use of Evaluation in Legal Proceedings:**
- The findings of the psychiatric evaluation may be used as evidence in legal proceedings to inform decisions regarding the accused individual's fitness to stand trial, criminal responsibility, and sentencing.
- Mental health professionals may be called upon to provide expert testimony based on their evaluation findings to assist the court in making informed decisions regarding the accused individual's mental health status and legal rights.
Overall, these legal provisions establish the framework for the psychiatric evaluation of individuals accused of crimes in the Philippines, ensuring that their mental health needs are addressed, and their legal rights are protected within the criminal justice system.</t>
  </si>
  <si>
    <t>What role do mental health professionals play in the criminal justice system regarding psychiatric evaluations?</t>
  </si>
  <si>
    <t>In the criminal justice system, mental health professionals play a crucial role in conducting psychiatric evaluations to assess the mental health status, competency, and culpability of individuals involved in legal proceedings. Here's a breakdown of the roles mental health professionals play in the criminal justice system regarding psychiatric evaluations:
1. **Psychiatric Assessment:**
- Mental health professionals, such as psychiatrists, psychologists, and psychiatric nurses, conduct psychiatric assessments of individuals involved in the criminal justice system.
- These assessments aim to evaluate the mental health status, cognitive functioning, and psychiatric symptoms of individuals, including defendants, victims, and witnesses.
2. **Competency to Stand Trial:**
- Mental health professionals assess the competency of defendants to stand trial, which involves determining whether they have a sufficient understanding of the legal proceedings against them and the ability to assist in their defense.
- Competency evaluations may involve interviews, psychological testing, and review of medical records to assess the defendant's cognitive abilities and mental capacity.
3. **Criminal Responsibility:**
- Mental health professionals may assess the criminal responsibility of defendants, particularly in cases where mental illness or impairment may affect their ability to appreciate the nature and consequences of their actions or to conform their behavior to the requirements of the law.
- Evaluations of criminal responsibility may consider factors such as the presence of psychiatric disorders, substance abuse, cognitive impairments, and mitigating circumstances.
4. **Risk Assessment:**
- Mental health professionals conduct risk assessments to evaluate the potential risk of harm posed by individuals involved in the criminal justice system, including defendants, offenders, and individuals awaiting trial or sentencing.
- Risk assessments may consider factors such as the presence of mental illness, substance abuse, history of violence, and other risk factors relevant to public safety.
5. **Treatment Recommendations:**
- Based on their evaluations, mental health professionals may provide treatment recommendations for individuals involved in the criminal justice system.
- Recommendations may include psychiatric treatment, counseling, therapy, medication management, substance abuse treatment, and other interventions aimed at addressing mental health needs and reducing the risk of future harm.
6. **Expert Testimony:**
- Mental health professionals may be called upon to provide expert testimony in court regarding their psychiatric evaluations and findings.
- Expert testimony may help inform legal proceedings, assist the court in making informed decisions, and educate judges, jurors, and attorneys about complex mental health issues.
Overall, mental health professionals play a critical role in the criminal justice system by conducting psychiatric evaluations, assessing mental health status and competency, and providing expert testimony to inform legal proceedings and promote fair and just outcomes. Their expertise contributes to the understanding of mental health issues within the context of the law and facilitates the delivery of appropriate treatment and interventions for individuals involved in the criminal justice system.</t>
  </si>
  <si>
    <t>How does the law address the treatment and rehabilitation of individuals with psychiatric illnesses in correctional facilities?</t>
  </si>
  <si>
    <t>In the Philippines, the treatment and rehabilitation of individuals with psychiatric illnesses in correctional facilities are governed by various laws, regulations, and policies aimed at ensuring humane treatment, access to healthcare, and rehabilitation services for incarcerated individuals. Here's how the law addresses the treatment and rehabilitation of individuals with psychiatric illnesses in correctional facilities:
1. **Philippine Mental Health Act (Republic Act No. 11036):**
- The Philippine Mental Health Act of 2018 recognizes the rights of individuals with mental health conditions, including those who are incarcerated.
- Section 14 of the Mental Health Act mandates the provision of mental health services in correctional facilities and other places of confinement, ensuring access to psychiatric assessment, treatment, and rehabilitation for individuals with mental health conditions.
2. **Rules and Regulations for the Treatment of Prisoners (Department of Justice):**
- The Department of Justice (DOJ) sets guidelines and standards for the treatment and rehabilitation of prisoners, including those with psychiatric illnesses, through rules and regulations governing correctional facilities.
- These rules outline the rights of prisoners to receive adequate medical care, including mental health services, and establish protocols for the assessment, treatment, and management of psychiatric illnesses within correctional settings.
3. **Mental Health Services in Correctional Facilities:**
- Correctional facilities are required to provide mental health services, including psychiatric assessment, counseling, therapy, and medication management, to incarcerated individuals with psychiatric illnesses.
- Qualified mental health professionals, such as psychiatrists, psychologists, and psychiatric nurses, may be employed or contracted to provide mental health care within correctional facilities.
4. **Collaboration with Mental Health Institutions:**
- Correctional facilities may collaborate with mental health institutions and agencies to access specialized mental health services and expertise for the assessment and treatment of individuals with psychiatric illnesses.
- Referrals to mental health institutions may be made for individuals requiring intensive psychiatric treatment, rehabilitation, or forensic psychiatric evaluations.
5. **Rehabilitation Programs:**
- Correctional facilities may offer rehabilitation programs tailored to the needs of individuals with psychiatric illnesses, focusing on skill-building, psychoeducation, cognitive-behavioral therapy, and support groups.
- These programs aim to facilitate the reintegration of individuals with psychiatric illnesses into society upon release and to reduce the risk of recidivism.
6. **Oversight and Monitoring:**
- Government agencies, non-governmental organizations (NGOs), and human rights advocates may conduct oversight and monitoring of correctional facilities to ensure compliance with laws and regulations regarding the treatment and rehabilitation of individuals with psychiatric illnesses.
- Reports of abuse, neglect, or inadequate mental health care in correctional facilities may prompt investigations and corrective actions by relevant authorities.
Overall, the treatment and rehabilitation of individuals with psychiatric illnesses in correctional facilities in the Philippines are guided by laws, regulations, and policies aimed at upholding their rights, ensuring access to healthcare, and promoting their well-being and rehabilitation. Efforts to improve mental health services in correctional settings contribute to the humane treatment and effective rehabilitation of incarcerated individuals with psychiatric illnesses.</t>
  </si>
  <si>
    <t>Are there legal safeguards in place to protect the rights of individuals with psychiatric illnesses during criminal proceedings?</t>
  </si>
  <si>
    <t>Yes, Philippine law recognizes the need to protect the rights of individuals with psychiatric illnesses during criminal proceedings. Here's a breakdown of some key legal safeguards:
**1. The Philippine Constitution (Article III, Section 14):**
* This section guarantees the right to due process, which includes the right to a fair and impartial trial. This right can be especially important for individuals with psychiatric illnesses who may need accommodations to understand the proceedings or participate effectively in their defense. **2. Rule 112 of the Rules of Court:**
* This rule outlines the process for determining the mental fitness of an accused to stand trial. If a court has reason to believe the accused has a mental illness that could impair their ability to understand the charges against them or assist in their defense, a mental evaluation can be ordered. **3. Republic Act No. 11229 or the Mental Health Act:**
* This law recognizes the rights of persons with mental disabilities, including the right to access appropriate medical treatment and the right to be treated with dignity and respect.
**Here's how these safeguards work together:**
* During pre-trial proceedings, the court can order a mental evaluation if there's doubt about the accused's mental fitness. * If the evaluation finds the accused unfit to stand trial, the court may order treatment until they are deemed competent. * The court can appoint a guardian ad litem (a legal representative) to protect the rights of the accused during the proceedings if necessary.
**Additional Considerations:**
* The burden of proof to establish mental incapacity lies with the defense. * The specific accommodations provided to an individual with a mental illness will depend on the nature of their illness and the specific circumstances of the case. **It's important to note:**
* These are just some of the legal safeguards in place. * The legal process can be complex, and it's always recommended to consult with a lawyer experienced in handling cases involving individuals with mental illnesses.</t>
  </si>
  <si>
    <t>What legal provisions govern involuntary psychiatric commitment for individuals involved in criminal cases?</t>
  </si>
  <si>
    <t>In the Philippines, involuntary psychiatric commitment for individuals involved in criminal cases is governed by various laws and legal procedures aimed at safeguarding the rights of individuals with mental health conditions while ensuring public safety. Here are the key legal provisions that govern involuntary psychiatric commitment in criminal cases:
1. **Mental Health Act (Republic Act No. 11036):**
- The Mental Health Act of 2018 provides the legal framework for the protection of the rights of individuals with mental health conditions, including those involved in criminal cases.
- Section 19 of the Mental Health Act outlines the procedures for involuntary admission or commitment of individuals with mental health conditions for treatment and care.
2. **Rules of Court:**
- The Rules of Court govern the procedures for involuntary commitment in criminal cases, including the issuance of court orders for psychiatric evaluation and admission to mental health facilities.
- Rule 113 of the Rules of Court provides for the examination of the mental condition of the accused in criminal cases and the procedures for requesting and conducting psychiatric examinations.
3. **Court Order for Psychiatric Evaluation:**
- In criminal cases where there is reason to believe that the accused may have a mental health condition that affects their fitness to stand trial or their criminal responsibility, the court may issue an order for psychiatric evaluation.
- The evaluation may be conducted by court-appointed mental health professionals or experts in forensic psychiatry.
4. **Commitment to Mental Health Facility:**
- If the psychiatric evaluation determines that the accused requires involuntary psychiatric commitment for treatment and care, the court may issue an order for their admission to a designated mental health facility.
- The commitment may be temporary or indefinite, depending on the individual's mental health needs and the recommendations of mental health professionals.
5. **Legal Representation and Due Process:**
- Individuals subject to involuntary psychiatric commitment in criminal cases have the right to legal representation and due process.
- They may challenge the necessity of involuntary commitment, request independent psychiatric evaluations, and seek review of court orders through appropriate legal avenues.
6. **Treatment and Rehabilitation:**
- Individuals involuntarily committed to mental health facilities for treatment and care receive appropriate psychiatric care, counseling, therapy, and rehabilitation services.
- The goal of involuntary commitment is to address the individual's mental health needs, promote recovery, and reduce the risk of future harm to themselves or others.
7. **Periodic Review and Discharge:**
- Involuntary psychiatric commitment orders are subject to periodic review by the court to assess the individual's mental health status and treatment progress.
- If mental health professionals determine that the individual no longer requires involuntary commitment, the court may order their discharge from the mental health facility.
Overall, involuntary psychiatric commitment for individuals involved in criminal cases in the Philippines is governed by legal provisions that prioritize the protection of individuals' rights, access to mental health care, and public safety considerations. The procedures for involuntary commitment are conducted in accordance with due process and legal safeguards to ensure fairness and respect for the rights of individuals with mental health conditions.</t>
  </si>
  <si>
    <t>How is the fitness to stand trial determined for individuals with psychiatric illnesses?</t>
  </si>
  <si>
    <t>In the Philippines, the determination of fitness to stand trial for individuals with psychiatric illnesses follows established legal procedures and principles aimed at ensuring fair trials and protecting the rights of the accused. Here's how fitness to stand trial is typically determined for individuals with psychiatric illnesses:
1. **Court Evaluation:**
- When there is reason to believe that an accused individual may be unfit to stand trial due to a psychiatric illness or mental incapacity, the court may order an evaluation to assess their mental health status and competency to participate in legal proceedings.
- The evaluation may be conducted by court-appointed mental health professionals, psychiatrists, or psychologists with expertise in forensic psychiatry.
2. **Criteria for Fitness:**
- The evaluation typically assesses whether the accused individual possesses the mental capacity to understand the nature and purpose of the legal proceedings against them, to comprehend the charges and allegations, and to assist in their defense.
- Fitness to stand trial is based on the accused individual's present mental state and their ability to meaningfully participate in their defense and comprehend the consequences of the legal process.
3. **Evaluation Process:**
- The evaluation process may involve interviews, psychological assessments, cognitive testing, and review of medical records and psychiatric history.
- Mental health professionals may also consider factors such as the accused individual's ability to communicate effectively with their legal counsel, to recall relevant events, and to make decisions regarding their defense strategy.
4. **Court Hearing:**
- After the evaluation is completed, the court holds a hearing to review the findings and determine the accused individual's fitness to stand trial.
- Both the prosecution and the defense may present evidence and arguments regarding the accused individual's mental health status and competency.
5. **Court Decision:**
- Based on the evidence presented during the hearing, the court makes a determination regarding the accused individual's fitness to stand trial.
- If the court finds the individual unfit to stand trial, legal proceedings may be suspended, and the individual may be referred for mental health treatment and rehabilitation until they are deemed competent to participate in the trial.
- If the court finds the individual fit to stand trial, legal proceedings continue, and the case moves forward according to standard criminal trial procedures.
6. **Continued Monitoring:**
- In cases where an accused individual's mental health condition may fluctuate over time, the court may order periodic evaluations to monitor their fitness to stand trial and to ensure ongoing adherence to legal standards.
Overall, the determination of fitness to stand trial for individuals with psychiatric illnesses in the Philippines involves a thorough evaluation process conducted by qualified mental health professionals, with the goal of safeguarding the accused individual's right to a fair trial and ensuring that legal proceedings are conducted in a manner consistent with principles of justice and due process.</t>
  </si>
  <si>
    <t>Are there legal consequences for individuals found not criminally responsible due to psychiatric illness?</t>
  </si>
  <si>
    <t>In the Philippines, individuals found not criminally responsible due to psychiatric illness may face legal consequences, although these consequences may differ from those imposed on individuals found criminally responsible for their actions. Here are some key points regarding legal consequences for individuals found not criminally responsible due to psychiatric illness:
1. **Mental Health Treatment and Rehabilitation:**
- Instead of facing criminal prosecution and incarceration, individuals found not criminally responsible due to psychiatric illness may be ordered to undergo mental health treatment and rehabilitation.
- The court may direct the individual to receive psychiatric care, counseling, therapy, or other forms of treatment aimed at addressing their mental health condition and reducing the risk of future harm to themselves or others.
2. **Commitment to Mental Health Facility:**
- In some cases, individuals found not criminally responsible due to psychiatric illness may be committed to a mental health facility for evaluation and treatment.
- The commitment may be temporary or indefinite, depending on the severity of the individual's mental illness and the recommendations of mental health professionals.
3. **Supervision and Monitoring:**
- Individuals found not criminally responsible due to psychiatric illness may be subject to supervision and monitoring by mental health professionals, social workers, or court-appointed guardians.
- This supervision aims to ensure compliance with treatment and rehabilitation plans and to monitor the individual's progress and behavior.
4. **Conditional Release and Community-Based Programs:**
- In some cases, individuals found not criminally responsible due to psychiatric illness may be conditionally released from a mental health facility and placed in community-based programs.
- Conditional release may be contingent upon compliance with treatment, adherence to court-ordered conditions, and ongoing supervision by mental health professionals and probation officers.
5. **Disability Rights Protections:**
- Individuals found not criminally responsible due to psychiatric illness are entitled to legal protections under disability rights laws and regulations.
- These protections may include safeguards against discrimination, access to mental health services and supports, and advocacy for their rights and interests.
6. **Periodic Review and Reevaluation:**
- The court may periodically review and reevaluate the status of individuals found not criminally responsible due to psychiatric illness to assess their mental health condition, treatment progress, and risk of harm.
- The court may modify conditions of release or treatment plans based on the individual's changing circumstances and needs.
Overall, while individuals found not criminally responsible due to psychiatric illness may not face traditional criminal penalties such as imprisonment, they may still be subject to legal consequences aimed at ensuring public safety, protecting their well-being, and addressing their mental health needs. These consequences typically involve treatment, rehabilitation, supervision, and ongoing support to promote recovery and reintegration into the community.</t>
  </si>
  <si>
    <t>How does the law address the use of psychiatric evidence in criminal trials?</t>
  </si>
  <si>
    <t>In the Philippines, the use of psychiatric evidence in criminal trials is governed by various laws, rules of court, and legal principles designed to ensure fair trials and protect the rights of the accused. Here's how the law addresses the use of psychiatric evidence:
1. **Rules of Evidence:**
- The Rules of Court govern the admission and presentation of evidence in Philippine courts, including psychiatric evidence. Rule 132 of the Rules of Court outlines the general rules for presenting evidence, including expert testimony, in criminal trials.
2. **Competency and Qualifications of Experts:**
- Psychiatric experts called to testify in criminal trials must possess the necessary qualifications and expertise in the field of psychiatry. Their competence to provide expert opinions may be evaluated by the court based on their education, training, experience, and professional credentials.
3. **Relevance and Materiality:**
- Psychiatric evidence must be relevant and material to the issues being litigated in the criminal trial. It must directly relate to the mental state of the accused at the time of the alleged offense, their capacity to form intent, or their mental condition relevant to the elements of the crime charged.
4. **Admissibility:**
- Psychiatric evidence may be admitted in court if it meets the standards of admissibility under the Rules of Court. The party seeking to introduce psychiatric evidence must establish its relevance, reliability, and probative value through proper foundation and authentication.
5. **Burden of Proof:**
- The burden of proof in criminal trials rests with the prosecution, which must establish the guilt of the accused beyond a reasonable doubt. Psychiatric evidence presented by either the prosecution or the defense may be used to support or challenge the elements of the offense and the mental state of the accused.
6. **Defense of Insanity or Diminished Capacity:**
- Psychiatric evidence may be particularly relevant in cases where the defense raises issues of insanity or diminished capacity. The accused may present psychiatric evidence to demonstrate that they lacked the mental capacity to understand the nature and consequences of their actions or to conform their behavior to the requirements of the law.
7. **Judicial Discretion:**
- Ultimately, the admissibility and weight given to psychiatric evidence in criminal trials are subject to the discretion of the presiding judge. The judge may consider various factors, including the reliability of the evidence, the qualifications of the expert witness, and the potential prejudice to the parties.
Overall, the use of psychiatric evidence in criminal trials in the Philippines is guided by legal principles aimed at ensuring fairness, reliability, and adherence to due process. Psychiatric evidence may play a significant role in assessing the mental state of the accused and in determining their culpability or mitigating factors in criminal cases.</t>
  </si>
  <si>
    <t>What legal measures exist to prevent the wrongful conviction of individuals with psychiatric illnesses?</t>
  </si>
  <si>
    <t>To prevent the wrongful conviction of individuals with psychiatric illnesses, various legal measures and safeguards are in place within the Philippine legal system. These measures aim to ensure fair treatment, protect the rights of individuals with psychiatric illnesses, and prevent miscarriages of justice due to their mental health condition. Here are some key legal measures:
1. **Competency Evaluations:**
- Before proceeding with criminal proceedings, individuals with psychiatric illnesses may undergo competency evaluations conducted by mental health professionals. These evaluations assess the individual's mental state, capacity to understand the charges against them, and ability to participate in their defense.
2. **Legal Representation:**
- Individuals with psychiatric illnesses have the right to legal representation throughout the criminal justice process. Legal counsel can advocate for their rights, ensure fair treatment, and provide assistance in understanding legal proceedings.
3. **Right to a Fair Trial:**
- Individuals with psychiatric illnesses are entitled to a fair trial, including the right to present evidence, cross-examine witnesses, and challenge the prosecution's case against them. Legal proceedings must adhere to principles of due process and fairness.
4. **Specialized Courts or Diversion Programs:**
- Some jurisdictions may have specialized courts or diversion programs for individuals with psychiatric illnesses. These programs aim to address the underlying mental health issues contributing to criminal behavior and provide alternatives to traditional incarceration.
5. **Expert Testimony:**
- Expert testimony from mental health professionals may be presented in court to provide insights into the individual's mental health condition, its impact on their behavior, and any mitigating factors relevant to the case.
6. **Review of Evidence:**
- Courts carefully review evidence presented in cases involving individuals with psychiatric illnesses to ensure its reliability and relevance. Judges may consider the individual's mental health condition when weighing the evidence and determining guilt or innocence.
7. **Post-Conviction Review:**
- Individuals convicted of crimes and later diagnosed with psychiatric illnesses may seek post-conviction review or appeals to challenge their convictions based on new evidence related to their mental health condition.
8. **Training for Legal Professionals:**
- Legal professionals, including judges, prosecutors, and defense attorneys, may receive training on mental health issues to enhance their understanding of how psychiatric illnesses may affect legal proceedings and decision-making.
9. **Awareness and Education:**
- Public awareness campaigns and educational initiatives may be conducted to increase understanding and reduce stigma surrounding mental health issues, promoting fair treatment and support for individuals with psychiatric illnesses within the criminal justice system.
Overall, these legal measures work together to prevent the wrongful conviction of individuals with psychiatric illnesses, uphold their rights, and ensure that justice is served while taking into account their mental health needs and circumstances.</t>
  </si>
  <si>
    <t>How are individuals with psychiatric illnesses treated differently in terms of sentencing and incarceration?</t>
  </si>
  <si>
    <t>In the Philippines, individuals with psychiatric illnesses are treated differently in terms of sentencing and incarceration due to considerations of their mental health and capacity. The legal framework for handling cases involving individuals with psychiatric illnesses includes provisions aimed at ensuring fair treatment and appropriate care for these individuals. Here's how they are treated differently:
1. **Evaluation of Mental Health:**
- During criminal proceedings, individuals with psychiatric illnesses may undergo evaluation by mental health professionals to assess their mental state, capacity, and fitness to stand trial.
- The evaluation may consider factors such as the individual's understanding of the charges against them, their ability to participate in their defense, and their mental health history.
2. **Consideration of Diminished Capacity:**
- If an individual's psychiatric illness affects their capacity to understand the nature and consequences of their actions or to conform their behavior to the requirements of the law, this may be taken into account during sentencing.
- Courts may consider mitigating factors related to the individual's mental health when determining the appropriate sentence, taking into consideration the principle of diminished capacity.
3. **Alternative Measures and Diversion Programs:**
- In some cases, individuals with psychiatric illnesses may be diverted from traditional criminal justice processes to alternative measures or diversion programs aimed at addressing the underlying issues contributing to their criminal behavior.
- These programs may include mental health treatment, counseling, rehabilitation, or community service, with the goal of addressing the individual's mental health needs while reducing the likelihood of reoffending.
4. **Treatment in Mental Health Facilities:**
- Instead of incarceration in traditional correctional facilities, individuals with severe psychiatric illnesses may be placed in mental health facilities where they can receive appropriate treatment and care.
- These facilities may provide psychiatric evaluation, medication management, psychotherapy, and other mental health services tailored to the individual's needs.
5. **Legal Safeguards and Protections:**
- Individuals with psychiatric illnesses are entitled to legal safeguards and protections to ensure their rights are upheld throughout the criminal justice process.
- This may include access to legal representation, the right to a fair trial, and protections against discrimination based on their mental health status.
Overall, the treatment of individuals with psychiatric illnesses in the criminal justice system aims to balance considerations of justice, public safety, and the individual's mental health needs. By recognizing the unique circumstances and challenges faced by these individuals, the legal system seeks to provide fair and equitable treatment while addressing their mental health concerns.</t>
  </si>
  <si>
    <t>Are there legal provisions for diversion programs for individuals with psychiatric illnesses in the criminal justice system?</t>
  </si>
  <si>
    <t>Yes, in the Philippines, there are legal provisions for diversion programs for individuals with psychiatric illnesses in the criminal justice system. These programs aim to provide alternative approaches to traditional prosecution and incarceration for individuals with mental health needs, with a focus on rehabilitation, treatment, and community-based support. Here are some key legal provisions and mechanisms for diversion programs for individuals with psychiatric illnesses:
Mental Health Act (Republic Act No. 11036): This law, enacted in 2018, includes provisions for diversion programs for individuals with mental health needs who come into contact with the criminal justice system. Section 28 of the Mental Health Act mandates the establishment of diversion programs, such as mental health courts or specialized treatment programs, to provide alternatives to incarceration for individuals with mental health issues.
Revised Penal Code (Act No. 3815): The Revised Penal Code of the Philippines allows for the suspension of criminal proceedings or the imposition of alternative penalties for certain offenses, including those committed by individuals with psychiatric illnesses. Courts have the discretion to consider the defendant's mental health condition and may opt for diversion or alternative sentencing options, such as probation or community service, instead of incarceration.
Department of Justice Circular No. 087 (Guidelines on the Operationalization of the Mental Health Law): This circular issued by the Department of Justice provides guidelines for the operationalization of the Mental Health Act, including the establishment of diversion programs for individuals with mental health needs in conflict with the law. The circular outlines procedures for identifying eligible individuals, assessing their mental health needs, and referring them to appropriate diversion programs.
Community-Based Rehabilitation and Support Services: Diversion programs for individuals with psychiatric illnesses often involve collaboration with community-based mental health services, rehabilitation programs, and support networks. These programs may include outpatient treatment, counseling, vocational training, housing assistance, and other services aimed at promoting recovery and reintegration into the community.
Interagency Collaboration and Coordination: Effective diversion programs for individuals with psychiatric illnesses require collaboration and coordination among various government agencies, including law enforcement, courts, mental health services, social welfare agencies, and community organizations. Interagency partnerships help ensure that individuals receive comprehensive and coordinated support tailored to their individual needs.
Overall, diversion programs for individuals with psychiatric illnesses in the Philippines are guided by legal provisions and mechanisms aimed at providing alternatives to incarceration, promoting rehabilitation and recovery, and addressing the underlying mental health needs of individuals in conflict with the law. These programs reflect a recognition of the complex relationship between mental health and criminal justice and emphasize the importance of adopting holistic and compassionate approaches to addressing mental health issues within the legal system.</t>
  </si>
  <si>
    <t>How does the law address the confidentiality of psychiatric records in criminal cases?</t>
  </si>
  <si>
    <t>In the Philippines, the confidentiality of psychiatric records in criminal cases is generally protected by legal and ethical standards aimed at safeguarding the privacy and confidentiality of individuals' mental health information. While there is no specific law solely dedicated to the confidentiality of psychiatric records in criminal cases, several legal provisions and principles apply to ensure the protection of such records. Here's how the law addresses the confidentiality of psychiatric records in criminal cases:
Medical Confidentiality: The confidentiality of psychiatric records is governed by the general principles of medical confidentiality, which protect the privacy of individuals' medical information, including mental health records. Medical professionals, including psychiatrists and clinical psychologists, are bound by ethical and professional standards to maintain the confidentiality of patient information and to disclose such information only with the patient's consent or as required by law.
Republic Act No. 10173 (Data Privacy Act of 2012): This law regulates the processing of personal information, including health-related data, and establishes principles and standards for data privacy and protection. While the Data Privacy Act does not specifically mention psychiatric records, it applies to the processing of any personal information, including mental health information, and imposes obligations on data controllers to ensure the confidentiality and security of such information.
Confidentiality in Court Proceedings: In criminal cases, psychiatric records may be subject to disclosure and examination as part of legal proceedings, such as during trial or sentencing hearings. However, there are legal safeguards and procedures in place to protect the confidentiality of such records and restrict their disclosure only to authorized parties, such as the court, legal representatives, and relevant experts.
Court Orders and Legal Requirements: The disclosure of psychiatric records in criminal cases may be subject to court orders or legal requirements. For example, a court may issue a subpoena or order for the production of psychiatric records as evidence in a criminal proceeding. However, such orders typically require compliance with strict confidentiality safeguards and may limit the disclosure of sensitive information only to the extent necessary for the administration of justice.
Professional Ethics and Standards: Mental health professionals, including psychiatrists and clinical psychologists, are bound by ethical standards and codes of conduct that require them to maintain the confidentiality of patient information, including psychiatric records. These standards emphasize the importance of respecting patient privacy and confidentiality rights and impose obligations on professionals to secure and protect confidential information from unauthorized access or disclosure.
Overall, while the law in the Philippines does not have specific provisions exclusively addressing the confidentiality of psychiatric records in criminal cases, various legal and ethical standards apply to protect the privacy and confidentiality of such records and ensure their appropriate handling and disclosure in accordance with legal requirements and professional ethics.</t>
  </si>
  <si>
    <t>What legal actions can be taken if it is determined that a defendant's psychiatric illness was not considered during the trial?</t>
  </si>
  <si>
    <t>If it is determined that a defendant's psychiatric illness was not considered during the trial, several legal actions can be taken to address this oversight and potentially rectify any resulting injustice. These actions may vary depending on the specific circumstances of the case and the legal remedies available under Philippine law. Here are some possible legal actions:
Appeal: If a defendant believes that their psychiatric illness was not adequately considered or addressed during the trial, they may appeal the verdict or sentence to a higher court. The appellate court can review the trial proceedings, including any evidence related to the defendant's mental health, and determine whether there were errors or omissions that warrant a new trial or a different outcome.
Post-Conviction Relief: The defendant may seek post-conviction relief through legal mechanisms such as a petition for habeas corpus, a motion for reconsideration, or a petition for a writ of certiorari. These legal procedures allow the defendant to challenge the legality or constitutionality of their conviction or sentence, including any failure to consider their psychiatric illness as a mitigating factor.
Motion for New Trial: The defendant or their legal representative may file a motion for a new trial based on newly discovered evidence, including evidence related to the defendant's psychiatric illness that was not previously presented or considered during the trial. A new trial may be granted if the court determines that the newly discovered evidence could have a material impact on the outcome of the case.
Request for Mental Health Evaluation: The defendant may request a mental health evaluation or assessment to be conducted by qualified mental health professionals to determine the extent of their psychiatric illness and its relevance to the case. The results of the evaluation may be presented to the court as part of a motion for reconsideration or other legal proceedings.
Civil Action for Ineffective Assistance of Counsel: If the defendant believes that their defense attorney failed to adequately represent their interests, including by not considering or presenting evidence of their psychiatric illness during the trial, they may pursue a civil action for ineffective assistance of counsel. This legal claim asserts that the defendant's constitutional right to effective assistance of counsel was violated, leading to an unjust outcome in the trial.
Policy Reform and Advocacy: In addition to pursuing legal remedies in their individual case, the defendant or advocacy groups may engage in policy reform efforts to address systemic issues related to the consideration of psychiatric illness in criminal proceedings. This may involve advocating for changes to laws, court rules, or legal practices to ensure that individuals with mental health issues receive fair and appropriate treatment within the criminal justice system.
Overall, if it is determined that a defendant's psychiatric illness was not considered during the trial, various legal actions can be pursued to address the oversight and seek remedies for any resulting injustice. These actions may involve challenging the conviction or sentence through appellate or post-conviction proceedings, advocating for policy reform, and seeking redress for violations of the defendant's legal rights.</t>
  </si>
  <si>
    <t>How are psychiatric evaluations conducted within the criminal justice system, and what standards apply?</t>
  </si>
  <si>
    <t>In the Philippines, psychiatric evaluations within the criminal justice system are conducted by qualified mental health professionals, typically psychiatrists or clinical psychologists. These evaluations are conducted to assess various aspects of an individual's mental health status, including their mental competence to stand trial, their criminal responsibility at the time of the offense, and their mental health needs for treatment and rehabilitation. Here's an overview of how psychiatric evaluations are conducted and the standards that apply:
Referral and Assessment: Psychiatric evaluations may be initiated at various stages of the criminal justice process, including during pre-trial proceedings, sentencing hearings, or post-conviction evaluations. The evaluation may be requested by the court, defense counsel, prosecution, or correctional authorities, based on concerns about the individual's mental health status and its relevance to the case.
Interview and Examination: The psychiatric evaluation typically involves an interview and examination of the individual by the mental health professional conducting the evaluation. During the interview, the evaluator may gather information about the individual's personal and medical history, mental health symptoms, behavior, and functioning. The evaluation may also include a review of relevant documents, such as medical records, court documents, and witness statements.
Assessment Tools and Techniques: Mental health professionals may use standardized assessment tools and techniques to evaluate the individual's mental health status and assess specific aspects of their mental functioning. These may include psychological tests, structured clinical interviews, and observation of behavior in various settings.
Diagnostic Criteria and Classification Systems: Psychiatric evaluations are conducted in accordance with established diagnostic criteria and classification systems, such as the Diagnostic and Statistical Manual of Mental Disorders (DSM) or the International Classification of Diseases (ICD). These systems provide guidelines for identifying and diagnosing mental health disorders based on specific criteria and symptoms.
Clinical Judgment and Expertise: In addition to using standardized assessment tools, mental health professionals rely on their clinical judgment and expertise to interpret the findings of the evaluation and formulate diagnostic impressions and recommendations. This involves integrating information from multiple sources, considering the individual's unique circumstances and cultural background, and applying professional standards and guidelines.
Ethical and Professional Standards: Psychiatric evaluations within the criminal justice system are conducted in accordance with ethical and professional standards established by professional organizations, such as the Philippine Psychiatric Association or the Psychological Association of the Philippines. These standards emphasize principles such as objectivity, integrity, confidentiality, and respect for the rights and dignity of the individual being evaluated.
Documentation and Reporting: Mental health professionals are required to document their findings and recommendations in a written report, which may be submitted to the court or other relevant authorities. The report should clearly summarize the results of the evaluation, provide diagnostic impressions, and offer recommendations for further assessment or intervention, as appropriate.
Overall, psychiatric evaluations within the criminal justice system in the Philippines are conducted in a systematic, thorough, and ethical manner by qualified mental health professionals. These evaluations play a critical role in informing legal proceedings, assessing the mental health needs of individuals involved in the criminal justice system, and promoting fair and just outcomes.</t>
  </si>
  <si>
    <t>Are there legal provisions for the release or parole of individuals with psychiatric illnesses from correctional facilities?</t>
  </si>
  <si>
    <t>Yes, in the Philippines, there are legal provisions for the release or parole of individuals with psychiatric illnesses from correctional facilities. These provisions are aimed at promoting rehabilitation, reintegration into society, and ensuring the humane treatment of individuals with mental health needs. Here are some key legal mechanisms for the release or parole of such individuals:
Republic Act No. 10592 (Expanded Good Conduct Time Allowance Law): This law, enacted in 2013, provides for the expansion of the good conduct time allowance (GCTA) for inmates, including those with psychiatric illnesses. Under this law, eligible inmates may have their sentences reduced based on good behavior and participation in rehabilitation programs. Inmates with psychiatric illnesses may be eligible for release or parole under this law if they meet the criteria for GCTA.
Republic Act No. 4136 (Indeterminate Sentence Law): This law, enacted in 1933 and amended several times, allows for the imposition of indeterminate sentences for certain offenses. The law provides for the minimum and maximum terms of imprisonment, with the possibility of parole for eligible inmates after serving the minimum term. Individuals with psychiatric illnesses who are serving indeterminate sentences may be considered for parole based on their eligibility and rehabilitation progress.
Parole and Executive Clemency: The President of the Philippines has the authority to grant parole and executive clemency to individuals convicted of crimes, including those with psychiatric illnesses. Parole may be granted to eligible inmates who have demonstrated good behavior and rehabilitation progress, while executive clemency may involve the commutation or reduction of sentences based on humanitarian or other grounds.
Medical Parole or Release on Recognizance: In cases where individuals with psychiatric illnesses have severe or terminal medical conditions that require specialized care or treatment outside of correctional facilities, medical parole or release on recognizance may be considered. These measures allow for the temporary or permanent release of inmates for medical reasons, subject to appropriate conditions and supervision.
Review by the Board of Pardons and Parole: The Board of Pardons and Parole, under the Department of Justice, is responsible for reviewing applications for parole and executive clemency and making recommendations to the President. The Board may consider factors such as the inmate's behavior, rehabilitation progress, and mental health condition in determining eligibility for release or parole.
Overall, there are legal provisions and mechanisms in the Philippines for the release or parole of individuals with psychiatric illnesses from correctional facilities. These provisions aim to promote rehabilitation, reintegration into society, and the humane treatment of individuals with mental health needs while also ensuring public safety and the administration of justice.</t>
  </si>
  <si>
    <t>How does the law address the responsibility of mental health professionals who provide expert testimony in criminal cases?</t>
  </si>
  <si>
    <t>In the Philippines, mental health professionals who provide expert testimony in criminal cases are subject to certain legal responsibilities and ethical standards. These responsibilities are aimed at ensuring the integrity and reliability of expert testimony, as well as protecting the rights of the accused and upholding the principles of justice. Here are some ways in which the law addresses the responsibility of mental health professionals in this context:
Professional Competence and Qualifications: Mental health professionals who provide expert testimony in criminal cases are expected to possess the necessary competence, qualifications, and expertise in their respective fields. They should have relevant training, education, and experience to assess and evaluate mental health issues effectively and provide accurate and reliable testimony in court.
Objectivity and Impartiality: Mental health professionals are required to maintain objectivity and impartiality in their expert testimony, regardless of their personal opinions or biases. They should base their opinions and conclusions on sound scientific principles, empirical evidence, and professional standards, rather than personal beliefs or interests.
Ethical Standards and Codes of Conduct: Mental health professionals are bound by ethical standards and codes of conduct established by their respective professional organizations. These standards may include guidelines for providing expert testimony, maintaining confidentiality, avoiding conflicts of interest, and upholding the rights and welfare of the individuals involved in the case.
Adherence to Legal Procedures and Requirements: Mental health professionals providing expert testimony in criminal cases are expected to adhere to legal procedures and requirements governing the presentation of expert evidence in court. This may include submitting written reports, undergoing cross-examination by opposing counsel, and complying with rules of evidence and court procedures.
Professional Accountability and Liability: Mental health professionals may be held accountable for the accuracy and reliability of their expert testimony in criminal cases. If a mental health professional provides false or misleading testimony, acts negligently, or breaches professional standards, they may be subject to disciplinary action by their professional licensing board, civil liability, or even criminal charges.
Continuing Education and Training: Mental health professionals are encouraged to engage in continuing education and training to stay updated on developments in their field and enhance their knowledge and skills related to providing expert testimony in criminal cases. This helps ensure the quality and reliability of their testimony and promotes the effective administration of justice.
Overall, mental health professionals who provide expert testimony in criminal cases are expected to adhere to high ethical and professional standards, maintain objectivity and impartiality, and uphold the integrity of the legal process. By fulfilling these responsibilities, mental health professionals contribute to the fair and just resolution of criminal cases and the protection of the rights of all individuals involved.</t>
  </si>
  <si>
    <t>What legal measures are in place to ensure the appropriate treatment of individuals with psychiatric illnesses in correctional facilities?</t>
  </si>
  <si>
    <t>In the Philippines, several legal measures are in place to ensure the appropriate treatment of individuals with psychiatric illnesses in correctional facilities. These measures are designed to uphold the rights and well-being of inmates with mental health needs and provide them with access to necessary mental health care and support. Here are some key legal provisions and mechanisms:
Mental Health Act (Republic Act No. 11036): This law, enacted in 2018, includes provisions related to the mental health care and treatment of individuals in correctional facilities. It mandates the provision of mental health services, including assessment, treatment, and rehabilitation, to all individuals in need, including those in correctional settings.
Minimum Standards for the Treatment of Prisoners: The Philippine government has established minimum standards for the treatment of prisoners, which include provisions for the care and treatment of individuals with psychiatric illnesses. These standards aim to ensure that inmates with mental health needs receive appropriate medical and psychiatric care, including access to mental health professionals and psychosocial support services.
Health Care Services in Correctional Facilities: Correctional facilities are required to provide health care services to all inmates, including mental health care. This includes ensuring access to mental health professionals, psychiatric medications, counseling, and other necessary interventions to address the mental health needs of inmates.
Training for Correctional Staff: Correctional staff may receive training on mental health awareness, crisis intervention techniques, and the appropriate treatment of individuals with psychiatric illnesses. This training helps ensure that staff members are equipped to recognize and respond effectively to mental health issues among inmates and provide appropriate support and assistance.
Collaboration with Mental Health Professionals: Correctional facilities may collaborate with mental health professionals and organizations to provide specialized mental health services to inmates with psychiatric illnesses. This may involve establishing partnerships with local mental health facilities, hiring mental health professionals to work within correctional settings, or providing training and support to correctional staff in managing mental health issues.
Monitoring and Oversight: Government agencies, civil society organizations, and independent bodies may provide monitoring and oversight of the treatment of individuals with psychiatric illnesses in correctional facilities. This helps ensure compliance with legal standards, identify any instances of mistreatment or neglect, and advocate for the rights and well-being of inmates with mental health needs.
Overall, the Philippine legal system includes various measures to ensure the appropriate treatment of individuals with psychiatric illnesses in correctional facilities, including provisions for mental health care, staff training, collaboration with mental health professionals, and monitoring and oversight mechanisms. These measures aim to uphold the rights and dignity of inmates with mental health needs and provide them with the necessary support and care to promote their well-being and rehabilitation.</t>
  </si>
  <si>
    <t>How are individuals with psychiatric illnesses protected from undue influence or coercion within the criminal justice system?</t>
  </si>
  <si>
    <t>In the Philippines, individuals with psychiatric illnesses are protected from undue influence or coercion within the criminal justice system through various legal provisions and safeguards aimed at ensuring their rights and well-being. Here are some ways in which these protections are implemented:
Right to Legal Representation: Individuals with psychiatric illnesses have the right to legal representation throughout the criminal justice process. This includes the right to be represented by a competent and impartial lawyer who can advocate on their behalf, protect their rights, and ensure that their interests are safeguarded.
Mental Health Assessments: The criminal justice system may conduct mental health assessments to evaluate the mental competence of individuals with psychiatric illnesses. These assessments help determine whether the individual is capable of understanding the nature and consequences of the legal proceedings and participating effectively in their defense.
Access to Mental Health Services: Individuals with psychiatric illnesses have the right to access mental health services, including assessment, treatment, and support, within the criminal justice system. This may involve providing appropriate accommodations and interventions to address their mental health needs while ensuring their fair treatment and participation in legal proceedings.
Protection of Rights During Interrogation and Questioning: Individuals with psychiatric illnesses are entitled to the same legal protections afforded to all individuals during police interrogation and questioning. This includes the right to remain silent, the right to be informed of their rights, and protection against coercion, intimidation, or undue influence during questioning.
Specialized Court Procedures and Protocols: The criminal justice system may establish specialized court procedures and protocols for cases involving individuals with psychiatric illnesses. These procedures aim to ensure that the rights of the accused are protected, that their mental health needs are addressed, and that they receive a fair trial consistent with the principles of due process and procedural fairness.
Monitoring and Oversight Mechanisms: Government agencies, civil society organizations, and independent bodies may provide monitoring and oversight of the treatment of individuals with psychiatric illnesses within the criminal justice system. This helps ensure compliance with legal standards, identify any instances of abuse or mistreatment, and advocate for the rights and well-being of individuals with psychiatric illnesses.
Overall, the Philippine legal system incorporates various safeguards and protections to prevent undue influence or coercion of individuals with psychiatric illnesses within the criminal justice system. These protections aim to uphold the rights, dignity, and well-being of individuals with mental health issues and ensure that they receive fair treatment and access to justice.</t>
  </si>
  <si>
    <t>Are there legal consequences for individuals found feigning psychiatric illnesses to avoid criminal responsibility?</t>
  </si>
  <si>
    <t>Yes, there are legal consequences for individuals found to be feigning psychiatric illnesses to avoid criminal responsibility in the Philippines. Feigning psychiatric illnesses in an attempt to evade criminal responsibility is considered a form of deception and can result in serious legal repercussions. Here's how Philippine law addresses this issue:
Perjury: If an individual knowingly makes false statements or presents false evidence, including feigning psychiatric illnesses, during legal proceedings, they may be charged with perjury under Philippine law. Perjury is punishable by imprisonment and/or fines, as stipulated in the Revised Penal Code of the Philippines (Act No. 3815).
Obstruction of Justice: Feigning psychiatric illnesses to avoid criminal responsibility may also constitute obstruction of justice, particularly if it hinders or interferes with the proper administration of justice. Obstruction of justice is a criminal offense under Philippine law and can lead to imprisonment and/or fines.
Contempt of Court: Individuals who engage in deceitful behavior, such as feigning psychiatric illnesses, in court proceedings may be held in contempt of court. Contempt of court can result in penalties such as fines or imprisonment, as determined by the court.
Fraudulent Claims for Mental Health Treatment: Feigning psychiatric illnesses to obtain benefits or privileges, such as access to mental health treatment or disability benefits, may constitute fraud under Philippine law. Fraudulent claims for mental health treatment can lead to civil liability, including the requirement to repay any unlawfully obtained benefits or compensation.
Professional Sanctions: In cases where feigning psychiatric illnesses involves the participation of mental health professionals, such as psychiatrists or psychologists, professional sanctions may apply. Mental health professionals who knowingly provide false diagnoses or corroborate false claims of psychiatric illnesses may face disciplinary action, including suspension or revocation of their professional licenses.
Overall, feigning psychiatric illnesses to avoid criminal responsibility is considered a serious offense under Philippine law and can result in various legal consequences, including criminal charges, civil liability, and professional sanctions. The legal system is designed to deter and punish such deceitful behavior in order to uphold the integrity of the justice system and protect the rights of victims and society as a whole.</t>
  </si>
  <si>
    <t>How does Philippine law address the rights of victims when the perpetrator has a psychiatric illness?</t>
  </si>
  <si>
    <t>In the Philippines, the rights of victims are protected under various laws and policies, regardless of whether the perpetrator has a psychiatric illness. However, the presence of a psychiatric illness in the perpetrator may influence how the legal system addresses the rights of victims. Here are some ways Philippine law addresses the rights of victims when the perpetrator has a psychiatric illness:
Access to Justice: Victims of crimes committed by individuals with psychiatric illnesses have the right to access justice and seek remedies for the harm they have suffered. They can file complaints with law enforcement agencies, participate in criminal proceedings, and seek compensation for damages through the courts.
Fair Treatment: Victims are entitled to fair treatment and respect for their dignity throughout the legal process. This includes being informed about their rights, receiving support and protection as necessary, and being provided with opportunities to express their views and concerns during court proceedings.
Safety and Protection: Victims have the right to safety and protection from further harm, including measures to prevent contact or proximity to the perpetrator, especially if there are concerns about the individual's mental health and potential risk of reoffending.
Victim Assistance and Support Services: Philippine law recognizes the importance of providing victim assistance and support services to individuals affected by crime, including those victimized by perpetrators with psychiatric illnesses. This may include access to counseling, legal aid, medical services, and other forms of support to help victims cope with the physical, emotional, and psychological effects of the crime.
Restitution and Compensation: Victims have the right to restitution and compensation for the harm they have suffered as a result of the crime. This may involve the payment of damages by the perpetrator, either through court-ordered restitution or compensation schemes administered by government agencies or other entities.
Consideration of Victim Impact Statements: Victim impact statements may be considered by the court during sentencing proceedings to assess the harm caused to the victim and the appropriate punishment for the perpetrator. Victims may have the opportunity to provide input on the impact of the crime on their lives and express their views on the sentencing of the perpetrator.
Overall, Philippine law aims to uphold the rights of victims of crime, including those victimized by individuals with psychiatric illnesses, by ensuring access to justice, fair treatment, safety, support services, and opportunities for restitution and compensation. These provisions are designed to protect the rights and interests of victims while also addressing the complex issues surrounding mental health and criminal responsibility.</t>
  </si>
  <si>
    <t>What role do psychiatric evaluations play in determining the sentencing of individuals with psychiatric illnesses?</t>
  </si>
  <si>
    <t>In the Philippines, psychiatric evaluations can play a significant role in determining the sentencing of individuals with psychiatric illnesses, particularly in cases where mental health issues may have influenced the commission of the crime or may affect the individual's culpability. Here are the key roles that psychiatric evaluations may play in the sentencing process:
Assessment of Mental Competence: Psychiatric evaluations can assess the mental competence of the accused individual to stand trial. If a person is found to be mentally incompetent, they may not be fit to undergo trial proceedings until their mental health improves or until they can sufficiently understand the charges against them and participate in their defense.
Evaluation of Criminal Responsibility: Psychiatric evaluations can assess the mental state of the accused at the time the offense was committed. This evaluation can help determine whether the individual had the mental capacity to understand the nature and consequences of their actions and whether they were able to distinguish between right and wrong at the time of the offense.
Mitigating Factors in Sentencing: If a psychiatric evaluation reveals that the accused has a psychiatric illness or mental disorder that may have contributed to the commission of the offense, this information may be considered as a mitigating factor during sentencing. The court may take into account the individual's mental health condition as a factor in determining an appropriate sentence, potentially leading to a more lenient punishment.
Recommendations for Treatment and Rehabilitation: Psychiatric evaluations may include recommendations for the treatment and rehabilitation of individuals with psychiatric illnesses. These recommendations may influence the court's decision regarding sentencing by highlighting the need for mental health treatment and support as part of the individual's rehabilitation process.
Protection of the Rights of the Accused: Psychiatric evaluations help ensure that the rights of individuals with psychiatric illnesses are protected throughout the legal process. By assessing mental competence and evaluating the impact of mental health issues on criminal responsibility, these evaluations contribute to a fair and just legal system that considers the unique circumstances of each case.
Overall, psychiatric evaluations play a crucial role in the sentencing process for individuals with psychiatric illnesses in the Philippines by providing insights into their mental health status, assessing their criminal responsibility, and recommending appropriate interventions to address their needs.</t>
  </si>
  <si>
    <t>Are there legal provisions for specialized training for law enforcement officers dealing with individuals with psychiatric illnesses?</t>
  </si>
  <si>
    <t>Yes, there are legal provisions in the Philippines that address the need for specialized training for law enforcement officers dealing with individuals with psychiatric illnesses. These provisions are aimed at ensuring that law enforcement personnel have the necessary knowledge and skills to handle situations involving individuals with mental health issues in a humane and appropriate manner. Here are some relevant legal provisions:
Mental Health Act (Republic Act No. 11036): This law, enacted in 2018, includes provisions for the training of law enforcement officers, as well as other frontline personnel, in recognizing and responding to mental health issues. Section 33 of the law specifically mandates the Department of the Interior and Local Government (DILG) and the Philippine National Police (PNP) to provide appropriate training programs for law enforcement personnel on mental health awareness and crisis intervention techniques.
PNP Operational Procedures: The Philippine National Police, through its operational procedures and guidelines, may establish protocols and training requirements for officers dealing with individuals with psychiatric illnesses. These procedures may include guidelines on de-escalation techniques, crisis intervention, and referral to mental health professionals.
Professionalization of the PNP: Efforts to professionalize the Philippine National Police may include training initiatives related to handling situations involving individuals with mental health issues. The PNP may develop specialized training modules or collaborate with mental health professionals and organizations to provide relevant training to its personnel.
Collaborative Efforts with Mental Health Professionals: Law enforcement agencies may collaborate with mental health professionals and organizations to develop and implement training programs tailored to the specific needs of officers dealing with individuals with psychiatric illnesses. This collaboration may involve joint training sessions, workshops, and capacity-building activities.
International Standards and Best Practices: The Philippines may also look to international standards and best practices in training law enforcement officers on mental health issues. This could include drawing from guidelines and training programs developed by organizations such as the World Health Organization (WHO) and the International Association of Chiefs of Police (IACP).
Overall, legal provisions in the Philippines recognize the importance of providing specialized training for law enforcement officers dealing with individuals with psychiatric illnesses. These provisions aim to ensure that officers are equipped to handle such situations effectively, with sensitivity and respect for the rights and dignity of individuals with mental health issues.</t>
  </si>
  <si>
    <t>How does the law address the reintegration of individuals with psychiatric illnesses into society after serving their sentences?</t>
  </si>
  <si>
    <t>In the Philippines, the reintegration of individuals with psychiatric illnesses into society after serving their sentences is addressed primarily through various laws and policies related to mental health, criminal justice, and rehabilitation. Here are some key points regarding how the law addresses this issue:
Mental Health Act (Republic Act No. 11036): This law, enacted in 2018, provides for the promotion and protection of the mental health of all Filipinos. It emphasizes the rights of persons with mental health needs, including access to treatment and rehabilitation services. Under this law, individuals with psychiatric illnesses who have served their sentences should have access to mental health services to support their reintegration into society.
Penal System Laws: The Philippine penal system includes laws and regulations governing the incarceration and rehabilitation of individuals convicted of crimes, including those with psychiatric illnesses. While serving their sentences, inmates with mental health issues may receive appropriate medical and psychiatric care within correctional facilities.
Rehabilitation Programs: The government may implement rehabilitation programs aimed at facilitating the reintegration of individuals with psychiatric illnesses into society after they have completed their sentences. These programs may include vocational training, counseling, job placement assistance, and community-based support services.
Community-Based Mental Health Services: The government, through various agencies and organizations, may provide community-based mental health services to support the ongoing rehabilitation and reintegration of individuals with psychiatric illnesses. These services may include outpatient psychiatric care, psychosocial support, and community reintegration programs.
Anti-Discrimination Laws: Laws such as the Magna Carta for Disabled Persons (Republic Act No. 7277) and the Mental Health Act include provisions aimed at protecting the rights of individuals with disabilities, including psychiatric illnesses, against discrimination in various aspects of life, including employment, education, and access to services.
Overall, the approach to addressing the reintegration of individuals with psychiatric illnesses into society after serving their sentences involves a combination of mental health support services, rehabilitation programs, and anti-discrimination measures outlined in Philippine laws and policies.</t>
  </si>
  <si>
    <t>What legal actions can be taken if it is discovered that a defendant's psychiatric evaluation was conducted improperly?</t>
  </si>
  <si>
    <t>If it is discovered that a defendant's psychiatric evaluation was conducted improperly in the Philippines, several legal actions can be taken to address the situation and rectify any errors or deficiencies in the evaluation process. These actions aim to uphold the defendant's rights, ensure the integrity of the legal proceedings, and facilitate fair and just outcomes. Here are some possible legal actions that can be taken:
Challenging the Evaluation Findings: The defendant or their legal representative may challenge the findings of the psychiatric evaluation by raising objections or filing motions with the court. This may involve questioning the qualifications or impartiality of the evaluating mental health professional, challenging the validity of the evaluation methods used, or disputing the accuracy of the evaluation report.
Requesting a Reevaluation: If there are concerns about the validity or impartiality of the initial psychiatric evaluation, the defendant may request a reevaluation by an independent and qualified mental health professional. The court may grant the request for a reevaluation to ensure that the defendant's mental health status is accurately assessed and to address any deficiencies or biases in the initial evaluation.
Seeking Expert Testimony: The defendant may seek expert testimony from other qualified mental health professionals to challenge or rebut the findings of the initial evaluation. Expert testimony can provide additional perspectives on the defendant's mental health condition, treatment needs, and capacity to stand trial or be held criminally responsible.
Filing Motions or Appeals: If the defendant believes that the improper psychiatric evaluation has prejudiced their case or violated their rights, they may file motions with the court to suppress or exclude the evaluation findings from consideration, seek a new trial, or appeal the court's decision based on grounds of procedural irregularities or due process violations.
Requesting Remedial Measures: The defendant may request remedial measures to address the effects of the improper psychiatric evaluation, such as reopening the evaluation process, conducting additional evaluations, or providing access to alternative mental health services or treatment options.
Reporting Ethical Violations: If the improper conduct or biases of the evaluating mental health professional constitute ethical violations, the defendant or their legal representative may report the violations to the appropriate regulatory bodies or professional associations for investigation and disciplinary action.
Asserting Constitutional Rights: The defendant may assert their constitutional rights to due process, fair trial, and access to competent legal representation in challenging the improper psychiatric evaluation and seeking remedies for any resulting injustices or infringements on their rights.
Overall, the legal actions taken in response to an improperly conducted psychiatric evaluation aim to address any deficiencies or biases in the evaluation process, protect the defendant's rights, and ensure that the legal proceedings are conducted fairly and in accordance with the law. By challenging improper evaluations and seeking remedial measures, defendants can work to achieve fair and just outcomes in their cases.</t>
  </si>
  <si>
    <t>Are there legal provisions for the involuntary medication of individuals with psychiatric illnesses within correctional facilities?</t>
  </si>
  <si>
    <t>In the Philippines, legal provisions for the involuntary medication of individuals with psychiatric illnesses within correctional facilities exist, but they are subject to strict legal and procedural safeguards to protect the rights and dignity of the individuals involved. Involuntary medication may be considered in cases where individuals with psychiatric illnesses pose a danger to themselves or others, or when they are unable to make informed treatment decisions due to their mental health condition. Here's how the legal framework addresses involuntary medication in correctional facilities:
Mental Health Act: The Mental Health Act of the Philippines (Republic Act No. 11036) provides the legal framework for the protection and promotion of the rights of individuals with mental health conditions, including those who are detained or incarcerated. The law emphasizes the principles of respect for human rights, non-discrimination, and the provision of appropriate mental health care and treatment.
Informed Consent: The Mental Health Act recognizes the right of individuals with mental health conditions to make informed decisions about their treatment, including the right to refuse medication. Involuntary medication is generally considered a measure of last resort and is subject to stringent legal and procedural requirements, including obtaining informed consent from the individual or, if they lack capacity to consent, from their legal guardian or representative.
Judicial Review: In cases where individuals with psychiatric illnesses refuse medication and their refusal poses a risk to their own health or safety, or the safety of others, correctional authorities may seek judicial authorization for involuntary medication. The court reviews the evidence and determines whether involuntary medication is justified based on the individual's treatment needs, the risks posed by their refusal, and the least restrictive means necessary to address those risks.
Best Interest Standard: The court applies a best interest standard in determining whether involuntary medication is warranted, weighing the potential benefits and risks of treatment against the individual's autonomy and rights. The decision takes into account the individual's mental capacity, treatment history, preferences, and the availability of alternative interventions.
Independent Evaluation: Before authorizing involuntary medication, the court may require an independent psychiatric evaluation to assess the individual's mental health condition, treatment needs, and capacity to make informed decisions about their care. The evaluation helps inform the court's decision and ensures that involuntary medication is based on sound medical and legal considerations.
Periodic Review: Involuntary medication orders are subject to periodic review to assess their ongoing necessity and effectiveness. The court may review the individual's treatment progress, response to medication, and any changes in their mental health status to determine whether continued involuntary medication is justified.
Procedural Safeguards: Legal and procedural safeguards are in place to protect the rights of individuals subjected to involuntary medication, including the right to legal representation, the right to challenge the decision through legal recourse, and the right to appeal the court's decision.
Overall, while involuntary medication of individuals with psychiatric illnesses within correctional facilities is permitted under certain circumstances, it is governed by strict legal and procedural safeguards to ensure that it is used as a measure of last resort and in the individual's best interests. By upholding these safeguards, the law seeks to balance the need for effective treatment with respect for the autonomy and dignity of individuals with mental health conditions.</t>
  </si>
  <si>
    <t>How is the principle of proportionality applied in sentencing individuals with psychiatric illnesses?</t>
  </si>
  <si>
    <t>In the Philippines, the principle of proportionality in sentencing individuals with psychiatric illnesses is applied to ensure that the severity of the punishment imposed is commensurate with the gravity of the offense committed and the culpability of the offender, taking into account their mental health condition. This principle is enshrined in legal frameworks and judicial practices to promote fairness, justice, and rehabilitation in sentencing. Here's how the principle of proportionality is applied in sentencing individuals with psychiatric illnesses:
Consideration of Mitigating Factors: Courts consider mitigating factors, including the defendant's mental health condition, as part of the sentencing process. Mitigating factors are circumstances that may justify a reduction in the severity of the sentence imposed, such as diminished mental capacity, impaired judgment, or the presence of mental illness. Judges take into account the impact of the defendant's psychiatric illness on their culpability and ability to control their behavior when determining an appropriate sentence.
Individualized Sentencing: Sentencing for individuals with psychiatric illnesses is often tailored to their individual circumstances, including their mental health history, treatment needs, and risk of recidivism. Judges may take into consideration the defendant's mental health assessment, treatment recommendations, and support systems in crafting a sentence that addresses their rehabilitation needs while ensuring public safety.
Alternatives to Incarceration: The principle of proportionality may lead courts to consider alternatives to incarceration for individuals with psychiatric illnesses, particularly for non-violent offenses or offenses stemming from untreated mental health conditions. Alternative sentencing options may include diversion programs, mental health treatment, probation with treatment conditions, community service, or restorative justice programs.
Treatment and Rehabilitation Emphasis: Sentencing for individuals with psychiatric illnesses often prioritizes treatment and rehabilitation over punitive measures. Courts may order defendants to undergo mental health treatment, counseling, medication management, or other interventions aimed at addressing their mental health needs and reducing the risk of reoffending. Rehabilitation programs are designed to help individuals address the underlying factors contributing to their criminal behavior and promote their successful reintegration into society.
Judicial Discretion: Judges have discretion in sentencing individuals with psychiatric illnesses, allowing them to consider all relevant factors and circumstances in determining the appropriate sentence. Judicial discretion enables judges to weigh the competing interests of punishment, deterrence, rehabilitation, and public safety in light of the defendant's mental health condition and rehabilitation potential.
Periodic Review and Adjustment: Sentences for individuals with psychiatric illnesses may be subject to periodic review and adjustment based on their progress in treatment, compliance with court orders, and rehabilitation outcomes. Courts may modify or terminate sentences, impose additional conditions, or order further treatment based on the individual's changing circumstances and rehabilitation needs.
Overall, the principle of proportionality in sentencing individuals with psychiatric illnesses seeks to balance the objectives of punishment, rehabilitation, and public safety while taking into account the unique circumstances and treatment needs of individuals with mental health conditions. By applying this principle, courts aim to achieve fair, just, and effective outcomes that promote the rehabilitation and well-being of individuals with psychiatric illnesses involved in the criminal justice system.</t>
  </si>
  <si>
    <t>How does Philippine law address the competency of individuals with psychiatric illnesses to enter into plea agreements?</t>
  </si>
  <si>
    <t>In the Philippines, the competency of individuals with psychiatric illnesses to enter into plea agreements is addressed through legal principles and procedural safeguards aimed at ensuring that defendants understand the nature and consequences of their actions and can make informed decisions. Competency to enter into a plea agreement involves the defendant's ability to understand the charges against them, the consequences of pleading guilty or no contest, and the rights they are waiving by entering into the agreement. Here's how Philippine law addresses this issue:
Competency Evaluation: If there are concerns about a defendant's competency to enter into a plea agreement due to their psychiatric illness, the court may order a competency evaluation by qualified mental health professionals. The evaluation assesses the defendant's mental capacity to understand the legal proceedings, participate in their defense, and make decisions regarding plea agreements.
Legal Representation: Defendants with psychiatric illnesses have the right to legal representation throughout the criminal proceedings, including during plea negotiations. Defense counsel plays a crucial role in advising the defendant on their legal rights, explaining the implications of plea agreements, and ensuring that the defendant's interests are protected.
Informed Decision-Making: Before accepting a plea agreement, the court must ensure that the defendant understands the terms of the agreement, the consequences of pleading guilty or no contest, and the rights they are giving up by entering into the agreement. The court may engage in a colloquy with the defendant to ascertain their understanding and willingness to enter into the plea agreement voluntarily and knowingly.
Review of Competency Findings: If a competency evaluation raises doubts about the defendant's ability to enter into a plea agreement, the court may hold a competency hearing to determine the defendant's competency. The court considers evidence, including expert testimony and psychiatric evaluations, in making its determination.
Protection of Rights: Philippine law prohibits the coercion or undue influence of defendants in entering into plea agreements. Defendants must enter into plea agreements voluntarily and without coercion, intimidation, or improper inducements. The court ensures that defendants are fully informed of their rights and have the opportunity to consult with legal counsel before making decisions regarding plea agreements.
Judicial Oversight: The court retains oversight over plea agreements to ensure that they are fair, lawful, and in the interests of justice. The court has the authority to reject plea agreements that are not entered into voluntarily or are not supported by sufficient evidence. The court may also withdraw acceptance of a plea agreement if it determines that the defendant's competency was compromised.
Overall, Philippine law seeks to protect the competency of individuals with psychiatric illnesses to enter into plea agreements by ensuring that they understand the legal proceedings, are represented by legal counsel, make informed decisions, and are not subject to coercion or undue influence. By upholding these principles, the law aims to safeguard the rights of defendants and promote fair and just outcomes in criminal cases involving individuals with psychiatric illnesses.</t>
  </si>
  <si>
    <t>What legal measures are in place to protect individuals with psychiatric illnesses from harsh or inappropriate sentencing?</t>
  </si>
  <si>
    <t>In the Philippines, several legal measures are in place to protect individuals with psychiatric illnesses from harsh or inappropriate sentencing. These measures are aimed at ensuring that individuals with psychiatric illnesses receive fair treatment, appropriate consideration of their mental health needs, and access to rehabilitative opportunities. Here are some key legal measures:
Mitigating Circumstances: Philippine law recognizes certain mitigating circumstances that may warrant a reduction in the severity of the sentence imposed on an individual convicted of a crime. These circumstances include those that affect the offender's mental or emotional state, such as mental illness, intoxication, or emotional disturbance. Courts are required to consider mitigating circumstances in determining the appropriate sentence, taking into account the individual's mental health condition and its impact on their culpability.
Mental Health Assessments: Courts may order mental health assessments or evaluations to determine the defendant's mental health status, treatment needs, and potential mitigating factors. Qualified mental health professionals, such as psychiatrists or psychologists, conduct these assessments and provide expert opinions to the court regarding the defendant's mental health condition and its relevance to sentencing.
Alternative Sentencing Options: Philippine law provides for alternative sentencing options for individuals with psychiatric illnesses who are convicted of crimes. These options may include diversion programs, mental health courts, drug courts, community-based treatment programs, or probation with mental health treatment conditions. Alternative sentencing aims to address the underlying causes of criminal behavior, promote rehabilitation, and reduce the likelihood of reoffending.
Specialized Courts: Some jurisdictions in the Philippines have established specialized courts, such as mental health courts or drug courts, to handle cases involving individuals with psychiatric illnesses or substance abuse disorders. These courts are equipped with specialized knowledge and resources to address the unique needs of defendants with mental health issues and to tailor sentencing and treatment options accordingly.
Access to Mental Health Treatment: Individuals with psychiatric illnesses have the right to access mental health treatment and support services, including while incarcerated or serving their sentence. Correctional facilities and probation departments may provide mental health treatment, counseling, medication management, and other services to address the individual's mental health needs and promote rehabilitation.
Judicial Discretion: Judges have discretion in sentencing individuals convicted of crimes, allowing them to consider all relevant factors, including the defendant's mental health condition, personal circumstances, and potential for rehabilitation. Judges may take into account expert testimony, psychiatric evaluations, mitigating circumstances, and other factors in determining the appropriate sentence.
Overall, these legal measures aim to protect individuals with psychiatric illnesses from harsh or inappropriate sentencing by ensuring that their mental health needs are considered, appropriate interventions are provided, and sentencing decisions are fair, proportionate, and tailored to address the individual's circumstances. By integrating mental health considerations into the sentencing process, the law seeks to promote justice, rehabilitation, and the well-being of individuals with psychiatric illnesses involved in the criminal justice system.</t>
  </si>
  <si>
    <t>Are there legal provisions for the monitoring and supervision of individuals with psychiatric illnesses released on parole or probation?</t>
  </si>
  <si>
    <t>Yes, in the Philippines, there are legal provisions for the monitoring and supervision of individuals with psychiatric illnesses who are released on parole or probation. These provisions are designed to ensure the safety of the community, support the rehabilitation of the individual, and promote their successful reintegration into society. Here are some key aspects of the legal framework for monitoring and supervising individuals with psychiatric illnesses on parole or probation:
Parole and Probation Laws: The Philippine Parole and Probation Administration (PPPA) is responsible for supervising individuals who are granted parole or placed on probation. Parole and probation are forms of conditional release from incarceration, allowing individuals to serve part of their sentence in the community under supervision, subject to compliance with certain conditions and requirements.
Conditions of Release: Individuals with psychiatric illnesses who are released on parole or probation are typically required to adhere to specific conditions imposed by the parole or probation board. These conditions may include regular reporting to a parole or probation officer, participation in treatment or counseling programs, refraining from criminal behavior, and abstaining from drugs or alcohol.
Risk Assessment and Case Management: The PPPA conducts risk assessments and case management to evaluate the individual's level of risk to public safety and to develop appropriate supervision and intervention plans. This may involve assessing the individual's mental health status, treatment needs, support system, and compliance with parole or probation conditions.
Supervision by Parole/Probation Officers: Individuals released on parole or probation are assigned to parole or probation officers who monitor their compliance with the conditions of release and provide support, guidance, and oversight. Parole/probation officers conduct regular check-ins with the individual, conduct home visits, verify employment or participation in treatment programs, and address any issues or concerns that arise.
Treatment and Support Services: Individuals with psychiatric illnesses on parole or probation may be referred to mental health treatment, counseling, or support services to address their mental health needs and promote rehabilitation. The PPPA collaborates with mental health providers, community organizations, and other stakeholders to ensure that individuals receive appropriate services and support while under supervision.
Violation and Revocation Proceedings: If an individual violates the conditions of their parole or probation, the parole or probation board may initiate violation and revocation proceedings. This may result in the individual's return to custody or the imposition of additional conditions or sanctions. Violation proceedings are conducted in accordance with due process requirements, and individuals have the right to legal representation and a hearing before any sanctions are imposed.
Overall, the legal provisions for monitoring and supervising individuals with psychiatric illnesses on parole or probation aim to balance public safety concerns with the rehabilitation and reintegration needs of the individual. By providing structured supervision, support services, and intervention strategies, the goal is to reduce the risk of recidivism and promote successful community reintegration for individuals with psychiatric illnesses involved in the criminal justice system.</t>
  </si>
  <si>
    <t>How does the law address the potential impact of psychiatric medications on a defendant's criminal responsibility?</t>
  </si>
  <si>
    <t>In the Philippines, the law addresses the potential impact of psychiatric medications on a defendant's criminal responsibility through various legal principles and considerations. Here are some key ways in which the law addresses this issue:
Mental State at the Time of the Offense: Philippine law recognizes that an individual's mental state at the time of the offense is a crucial factor in determining criminal responsibility. This includes considering the individual's capacity to appreciate the wrongfulness of their actions or to conform their behavior to the requirements of the law. Psychiatric medications may affect an individual's mental state, cognition, and behavior, which could potentially influence their criminal responsibility.
Diminished Capacity Defense: The use of psychiatric medications may be relevant to a diminished capacity defense, which involves a claim that the defendant's mental state was impaired at the time of the offense due to mental illness or medication side effects. The defense argues that the defendant's capacity to form the requisite criminal intent was diminished, leading to reduced culpability for the offense.
Expert Testimony and Evidence: In cases where psychiatric medications are believed to have influenced the defendant's mental state or behavior, expert testimony from qualified mental health professionals may be presented to the court. Mental health experts can provide insights into the effects of psychiatric medications on cognition, mood, and behavior, helping the court understand the potential impact of medication on the defendant's criminal responsibility.
Mitigating Factors: The use of psychiatric medications may be considered as a mitigating factor in sentencing if it is determined that the defendant's mental health condition or medication regimen contributed to the commission of the offense. Mitigating factors are circumstances that may justify a lesser sentence or leniency from the court, taking into account the defendant's personal circumstances and potential for rehabilitation.
Judicial Discretion: Ultimately, it is up to the court to weigh the evidence, including the potential impact of psychiatric medications, in determining the defendant's criminal responsibility and appropriate disposition of the case. Judges have discretion to consider all relevant factors, including the defendant's mental health history, medication regimen, and expert testimony, in reaching a just and equitable decision.
Treatment and Rehabilitation Options: If it is determined that psychiatric medications played a role in the offense, the court may consider alternative dispositions that prioritize treatment and rehabilitation over punitive measures. This may involve ordering the defendant to undergo mental health treatment, counseling, or medication management as part of their sentence, with the goal of addressing underlying mental health issues and reducing the risk of future criminal behavior.
Overall, Philippine law recognizes the potential impact of psychiatric medications on a defendant's criminal responsibility and provides mechanisms for addressing this issue within the criminal justice system. By considering the effects of medication on the defendant's mental state, behavior, and culpability, the law seeks to ensure fair and equitable treatment of individuals with psychiatric illnesses involved in criminal cases.</t>
  </si>
  <si>
    <t>What legal actions can be taken if it is determined that a defendant's psychiatric evaluation was biased or influenced?</t>
  </si>
  <si>
    <t>If it is determined that a defendant's psychiatric evaluation was biased or influenced, several legal actions can be taken to address the situation and safeguard the integrity of the legal process. These actions aim to rectify any potential injustice resulting from biased or compromised evaluations and ensure that the defendant's rights are protected. Here are some possible legal actions:
Motion to Exclude or Suppress Evidence: Defense counsel may file a motion to exclude or suppress the biased or influenced psychiatric evaluation from being admitted as evidence in the case. The motion would argue that the evaluation is unreliable and prejudicial to the defendant's right to a fair trial, citing the bias or influence that compromised its validity.
Motion for a New Evaluation: Defense counsel may request a new psychiatric evaluation of the defendant by an independent and impartial mental health professional. This motion would seek to replace the biased or influenced evaluation with a new assessment that adheres to proper standards of objectivity and impartiality.
Challenge the Expert Witness: During trial proceedings, defense counsel may challenge the credibility and impartiality of the mental health professional who conducted the biased evaluation through cross-examination and presentation of contradictory evidence. This could undermine the weight and credibility of the evaluation in the eyes of the court.
Request for Judicial Review: The court may conduct a judicial review of the biased or influenced psychiatric evaluation to assess its reliability and admissibility. The court could scrutinize the evaluation, consider any evidence of bias or influence, and determine whether it should be admitted as evidence in the case.
Ethics Complaint: If the mental health professional who conducted the evaluation is found to have engaged in unethical conduct or professional misconduct, defense counsel or the defendant may file a formal complaint with the relevant licensing or regulatory authority. The complaint could lead to disciplinary action against the professional, such as suspension or revocation of their license.
Appeal: If the defendant is convicted based on the biased or influenced psychiatric evaluation and believes that their rights were violated, they may appeal the conviction to a higher court. The appellate court could review the trial proceedings, including the admission of the evaluation as evidence, and determine whether errors occurred that warrant reversal or modification of the conviction.
Civil Lawsuit for Damages: In cases where the biased or influenced psychiatric evaluation results in harm to the defendant, such as wrongful conviction or loss of liberty, the defendant may pursue a civil lawsuit for damages against the responsible parties. This could include the mental health professional, the institution where the evaluation was conducted, or other entities involved in the evaluation process.
Overall, these legal actions aim to address the consequences of biased or influenced psychiatric evaluations and ensure that defendants receive fair treatment and due process of law in criminal proceedings. By challenging the validity of biased evaluations and holding accountable those responsible for misconduct, the integrity of the legal process is upheld, and justice is served.</t>
  </si>
  <si>
    <t>Are there legal consequences for individuals who exploit their psychiatric illnesses to manipulate legal outcomes?</t>
  </si>
  <si>
    <t>Yes, individuals who exploit their psychiatric illnesses to manipulate legal outcomes may face legal consequences under Philippine law. While the specific legal consequences may vary depending on the circumstances of the case, there are several potential avenues through which such individuals could be held accountable. Here are some possible legal consequences:
Perjury: If an individual falsely claims to have a psychiatric illness or exaggerates the severity of their condition in order to manipulate legal outcomes, they may be charged with perjury. Perjury involves knowingly making false statements under oath or affirmation in a judicial proceeding. It is a criminal offense punishable under Philippine law.
Obstruction of Justice: Individuals who exploit their psychiatric illnesses to delay or obstruct legal proceedings, manipulate evidence, or deceive the court may be charged with obstruction of justice. This offense involves interfering with the administration of justice or the lawful functions of government agencies, including courts and law enforcement authorities.
Contempt of Court: Engaging in behavior that undermines the integrity of the court or disrespects its authority, including falsely claiming a psychiatric illness to manipulate legal outcomes, may constitute contempt of court. Contempt of court refers to disobedience or disrespect toward the court's orders, rulings, or processes and can result in sanctions such as fines, imprisonment, or other penalties.
Fraudulent Claims: Making fraudulent claims or representations about one's psychiatric condition, such as fabricating symptoms or medical history, for the purpose of obtaining legal benefits or favorable outcomes may constitute fraud. Fraud involves deceitful conduct intended to gain an unfair advantage or cause harm to others and may lead to civil liability or criminal prosecution.
Abuse of Legal Process: Individuals who misuse legal proceedings or exploit their psychiatric illnesses to manipulate the legal process may be held accountable for abuse of legal process. This includes filing frivolous or malicious claims, making false statements, or engaging in other deceptive practices to achieve improper ends.
Professional Disciplinary Action: Mental health professionals who collude with individuals to falsely diagnose or exaggerate psychiatric illnesses for legal purposes may face professional disciplinary action. This could result in sanctions such as suspension or revocation of their professional license, fines, or other penalties imposed by regulatory bodies.
It's important to note that each case involving alleged manipulation of psychiatric illnesses to influence legal outcomes is unique, and the legal consequences may vary depending on factors such as the severity of the misconduct, the impact on the administration of justice, and the applicable laws and regulations. Individuals who suspect that someone is exploiting their psychiatric illness for improper purposes should report their concerns to the appropriate authorities for investigation and possible legal action.</t>
  </si>
  <si>
    <t>How does Philippine law address the cultural competence of mental health professionals in the evaluation of individuals with psychiatric illnesses?</t>
  </si>
  <si>
    <t>In the Philippines, addressing the cultural competence of mental health professionals in the evaluation of individuals with psychiatric illnesses is crucial to ensure effective and culturally sensitive assessment and treatment. While specific legal provisions directly addressing cultural competence may be limited, several broader legal and regulatory frameworks help promote culturally competent mental health care. Here's how Philippine law addresses this aspect:
Professional Standards and Licensing: Mental health professionals, including psychiatrists, psychologists, and counselors, are regulated by professional bodies such as the Professional Regulation Commission (PRC) and the Philippine Mental Health Association (PMHA). These organizations establish professional standards, codes of ethics, and continuing education requirements that emphasize cultural competence and sensitivity in mental health practice.
Education and Training Requirements: Mental health professionals undergo formal education and training programs that include coursework on cultural diversity, cultural competence, and cross-cultural communication. Educational institutions offering mental health programs are encouraged to integrate cultural competence training into their curricula to prepare future professionals for diverse patient populations.
Continuing Education and Professional Development: Mental health professionals are required to engage in continuing education and professional development activities to maintain their licensure and stay abreast of developments in the field. Continuing education opportunities often include workshops, seminars, and conferences focused on cultural competence and addressing the needs of diverse communities.
Institutional Policies and Guidelines: Mental health institutions and facilities are encouraged to develop policies and guidelines that promote cultural competence and sensitivity in the delivery of mental health services. These policies may address issues such as language access, interpreter services, respectful communication, and the incorporation of cultural beliefs and practices into treatment approaches.
Community Engagement and Collaboration: Mental health professionals are encouraged to engage with local communities and collaborate with community leaders, advocates, and cultural brokers to better understand the cultural context of mental health and address the unique needs of diverse populations. Community-based approaches to mental health care often involve partnerships with community organizations and cultural institutions to promote trust, acceptance, and accessibility of services.
Cultural Awareness and Sensitivity: Mental health professionals are expected to demonstrate cultural awareness, sensitivity, and humility in their interactions with clients from diverse cultural backgrounds. This includes recognizing and respecting cultural differences, acknowledging the impact of culture on mental health beliefs and practices, and adapting assessment and treatment approaches to meet the individual needs of clients.
Advocacy for Cultural Competence: Mental health professionals, professional organizations, and advocacy groups play a role in promoting cultural competence within the mental health field and advocating for policies and initiatives that address cultural disparities in access to care. This may involve advocating for increased funding for culturally responsive services, supporting cultural competency training initiatives, and raising awareness of cultural factors in mental health.
While Philippine law may not explicitly mandate cultural competence training or accreditation for mental health professionals, the broader legal and regulatory frameworks emphasize the importance of culturally sensitive care and provide avenues for promoting cultural competence within the mental health profession. By integrating cultural competence principles into education, training, practice, and policy, the Philippines seeks to ensure that mental health services are accessible, inclusive, and responsive to the diverse needs of its population.</t>
  </si>
  <si>
    <t>What legal measures exist to ensure the proper documentation and communication of psychiatric evaluations within the criminal justice system?</t>
  </si>
  <si>
    <t>In the Philippines, several legal measures exist to ensure the proper documentation and communication of psychiatric evaluations within the criminal justice system. These measures are essential for maintaining accurate records, facilitating effective communication among relevant parties, and promoting fairness and transparency in legal proceedings involving individuals with psychiatric illnesses. Here are some key legal measures:
Documentation Requirements: Psychiatric evaluations conducted as part of criminal proceedings must be documented thoroughly and accurately. This includes documenting the assessment process, findings, conclusions, and recommendations in a comprehensive report prepared by qualified mental health professionals, such as psychiatrists or psychologists.
Court Orders and Requests: Psychiatric evaluations may be conducted pursuant to court orders or requests from relevant parties, such as defense counsel, prosecutors, or the court itself. These orders or requests specify the purpose of the evaluation, the scope of assessment, and any specific issues to be addressed by the evaluating mental health professionals.
Confidentiality Protections: Philippine law protects the confidentiality of psychiatric evaluations and related information, including the individual's mental health diagnosis, treatment history, and other sensitive personal information. Mental health professionals, law enforcement authorities, court personnel, and other parties involved in the criminal justice system are bound by confidentiality requirements and must handle psychiatric evaluations with care to prevent unauthorized disclosure.
Disclosure to Relevant Parties: Psychiatric evaluations may be disclosed to relevant parties involved in the criminal proceedings, including the prosecution, defense counsel, judges, and other court personnel, as necessary for the administration of justice. However, disclosure is typically limited to those with a legitimate need to know the information and is subject to confidentiality protections.
Admissibility in Court: Psychiatric evaluations may be admitted into evidence in court proceedings to assist the trier of fact in understanding the defendant's mental health status and its relevance to the case. Admissibility of psychiatric evaluations is subject to legal standards governing the admissibility of expert testimony and may require authentication, qualification of the evaluating mental health professionals, and compliance with procedural requirements.
Expert Testimony: Mental health professionals who conduct psychiatric evaluations may be called upon to provide expert testimony in court proceedings to explain their findings, conclusions, and recommendations. Expert testimony helps elucidate complex mental health issues for the court and assists in making informed decisions regarding the defendant's legal capacity, criminal responsibility, or treatment needs.
Judicial Review and Consideration: Courts review psychiatric evaluations and consider their findings and recommendations in making decisions related to the case, such as competency to stand trial, insanity defense, sentencing, or treatment disposition. Judges weigh the probative value of psychiatric evaluations against other evidence presented in the case and make determinations based on the totality of the circumstances.
Overall, these legal measures ensure the proper documentation and communication of psychiatric evaluations within the criminal justice system, promoting transparency, fairness, and effective decision-making in cases involving individuals with psychiatric illnesses. By adhering to these measures, the Philippines seeks to uphold the integrity of the legal process and protect the rights of all parties involved.</t>
  </si>
  <si>
    <t>How are individuals with psychiatric illnesses protected from discrimination within the criminal justice system?</t>
  </si>
  <si>
    <t>In the Philippines, individuals with psychiatric illnesses are protected from discrimination within the criminal justice system through various legal provisions and principles aimed at upholding their rights, promoting fairness, and preventing stigmatization based on their mental health condition. Here are some key ways in which individuals with psychiatric illnesses are protected from discrimination within the criminal justice system:
Equal Treatment: The principle of equal treatment under the law ensures that individuals with psychiatric illnesses are entitled to the same legal rights and protections as any other accused person. They cannot be discriminated against or treated unfairly solely on the basis of their mental health condition.
Right to Due Process: Individuals with psychiatric illnesses have the right to due process of law, including the right to a fair and impartial trial, the right to legal representation, the right to confront witnesses, and the right to present evidence in their defense. These rights help safeguard individuals' procedural fairness and ensure that they are treated fairly throughout the criminal justice process.
Prohibition of Discrimination: Philippine law prohibits discrimination based on disability, including mental illness, under Republic Act No. 7277, also known as the Magna Carta for Disabled Persons. This law prohibits discriminatory practices in all areas of life, including employment, education, access to services, and participation in public activities, which extends to the criminal justice system.
Access to Mental Health Services: Individuals with psychiatric illnesses have the right to access mental health services, including assessment, treatment, and support, regardless of their involvement in the criminal justice system. Access to mental health services helps individuals address their mental health needs and reduces the risk of discrimination and stigmatization within the criminal justice system.
Training for Criminal Justice Personnel: Law enforcement officers, judges, prosecutors, defense attorneys, and other criminal justice personnel receive training and education on mental health awareness, stigma reduction, and best practices for interacting with individuals with psychiatric illnesses. This training helps ensure that criminal justice personnel are equipped to treat individuals with psychiatric illnesses with dignity, respect, and sensitivity.
Confidentiality of Medical Information: Philippine law protects the confidentiality of individuals' medical information, including their mental health diagnosis and treatment history. Law enforcement authorities, detention facilities, and court personnel are prohibited from disclosing or using individuals' medical information without their consent, except as permitted by law.
Access to Legal Representation: Individuals with psychiatric illnesses have the right to legal representation throughout the criminal justice process. Legal representation helps protect their rights, advocate for their interests, and ensure that they are treated fairly and equitably under the law.
Overall, these legal provisions and principles help protect individuals with psychiatric illnesses from discrimination within the criminal justice system and promote their rights, dignity, and well-being throughout the legal process. By upholding these protections, the Philippines seeks to ensure that justice is administered fairly and that individuals with psychiatric illnesses are treated with respect and compassion.</t>
  </si>
  <si>
    <t>Are there legal provisions for the use of psychiatric defenses, such as insanity or diminished capacity, in criminal trials?</t>
  </si>
  <si>
    <t>Yes, in the Philippines, there are legal provisions for the use of psychiatric defenses, such as insanity or diminished capacity, in criminal trials. These defenses are recognized under Philippine law and may be raised by the accused to mitigate or excuse criminal liability based on their mental health condition at the time of the offense. Here are the key provisions and concepts related to psychiatric defenses in criminal trials:
Insanity Defense: The insanity defense, also known as the defense of mental incapacity or insanity, is recognized under Philippine law as a defense against criminal liability. It is based on the principle that individuals who were insane at the time of the offense lacked the mental capacity to understand the nature and consequences of their actions or to conform their behavior to the requirements of the law.
Diminished Capacity Defense: The diminished capacity defense, sometimes referred to as the partial responsibility defense, involves a claim that the accused's mental condition at the time of the offense impaired their capacity to form the requisite intent for the crime charged. Unlike the insanity defense, which focuses on the defendant's overall mental state, diminished capacity defense acknowledges that the defendant may have had some mental capacity but argues that it was diminished due to mental illness or impairment.
Burden of Proof: In criminal trials where the insanity or diminished capacity defense is raised, the burden of proof rests on the accused to establish the defense by clear and convincing evidence. This means that the accused must present sufficient evidence to demonstrate that they were legally insane or had diminished capacity at the time of the offense.
Evaluation by Mental Health Professionals: The evaluation of the defendant's mental health condition is typically conducted by qualified mental health professionals, such as psychiatrists or psychologists. These professionals may assess the defendant's mental health history, conduct psychological testing, and evaluate the defendant's mental state at the time of the offense to determine their mental capacity and culpability.
Court Determination: Ultimately, it is up to the court to determine whether the defendant's mental health condition meets the legal criteria for insanity or diminished capacity and whether the defense is valid. The court may consider expert testimony, psychiatric evaluations, witness testimony, and other evidence in reaching its decision.
Effects on Criminal Liability: If the insanity or diminished capacity defense is successful, it may result in a verdict of not guilty by reason of insanity or a reduction in the severity of the charges or penalties imposed. In some cases, defendants found not guilty by reason of insanity may be subject to involuntary commitment to a mental health facility for treatment and rehabilitation.
Overall, the use of psychiatric defenses in criminal trials in the Philippines allows for consideration of the defendant's mental health condition and its potential impact on their criminal liability. These defenses provide a mechanism for addressing the complex interplay between mental illness and criminal behavior and ensuring that justice is served in cases involving defendants with psychiatric illnesses.</t>
  </si>
  <si>
    <t>How does the law address the potential impact of psychiatric illnesses on an individual's ability to comprehend legal proceedings?</t>
  </si>
  <si>
    <t>In the Philippines, the law addresses the potential impact of psychiatric illnesses on an individual's ability to comprehend legal proceedings through various legal provisions and principles aimed at safeguarding the rights of the accused and ensuring fair treatment in the criminal justice system. Here are some key ways in which the law addresses this issue:
Competency to Stand Trial: Philippine law recognizes that individuals must be competent to stand trial, meaning they must have the mental capacity to understand the nature and consequences of the legal proceedings against them and to assist in their own defense. Section 11, Rule 116 of the Rules of Court provides that a person cannot be brought to trial if they are suffering from an unsound mind, unless they have already been declared competent by the court.
Competency Evaluation: If there are concerns about an individual's competency to stand trial due to their psychiatric illness, the court may order a competency evaluation by qualified mental health professionals. The purpose of the evaluation is to assess the individual's mental capacity to understand the legal proceedings and to determine whether they are capable of participating in their defense effectively.
Appointment of Legal Guardian: In cases where an individual is found to be incompetent to stand trial due to their psychiatric illness, the court may appoint a legal guardian or representative to act on their behalf and protect their interests in the legal proceedings. The legal guardian may be responsible for making decisions related to the individual's defense and ensuring that their rights are upheld.
Right to Legal Representation: Individuals with psychiatric illnesses have the right to legal representation throughout the legal proceedings, including during competency evaluations and hearings. Legal counsel plays a crucial role in advocating for the individual's rights, ensuring that their interests are protected, and facilitating their understanding of the legal process.
Right to Due Process: Individuals with psychiatric illnesses are entitled to due process of law, including the right to a fair and impartial trial. This includes the right to be informed of the charges against them, the right to present evidence and witnesses in their defense, and the right to confront and cross-examine witnesses against them.
Treatment and Rehabilitation: The law recognizes the importance of addressing the underlying mental health needs of individuals with psychiatric illnesses to facilitate their understanding of legal proceedings. Treatment and rehabilitation services may be provided to individuals to improve their mental health and cognitive functioning, enabling them to participate more effectively in their defense.
Overall, the law in the Philippines seeks to ensure that individuals with psychiatric illnesses receive fair treatment and protection of their rights in legal proceedings by addressing the potential impact of their mental health condition on their ability to comprehend and participate in the legal process. These legal provisions aim to uphold the principles of justice, fairness, and respect for human dignity in the administration of justice.</t>
  </si>
  <si>
    <t>What role do psychiatric evaluations play in determining the eligibility of individuals with psychiatric illnesses for alternative sentencing programs?</t>
  </si>
  <si>
    <t>Psychiatric evaluations play a significant role in determining the eligibility of individuals with psychiatric illnesses for alternative sentencing programs in the Philippines. Alternative sentencing programs offer alternatives to traditional incarceration for individuals whose criminal behavior is influenced by mental health issues. Psychiatric evaluations help assess the individual's mental health status, treatment needs, and suitability for alternative sentencing options. Here's how psychiatric evaluations contribute to determining eligibility for alternative sentencing programs:
Assessment of Mental Health Needs: Psychiatric evaluations provide a comprehensive assessment of the individual's mental health needs, including the nature and severity of their psychiatric illness, co-occurring conditions, and treatment history. This assessment helps identify underlying mental health issues contributing to the individual's criminal behavior and informs the development of appropriate treatment plans.
Identification of Treatment Options: Based on the findings of the psychiatric evaluation, mental health professionals can recommend specific treatment options tailored to the individual's needs. These may include psychotherapy, medication management, substance abuse treatment, vocational training, or other interventions aimed at addressing the root causes of the individual's criminal behavior and promoting rehabilitation.
Evaluation of Risk and Recidivism: Psychiatric evaluations may include assessments of the individual's risk of reoffending and likelihood of successful rehabilitation. Mental health professionals consider factors such as the individual's mental health stability, treatment adherence, support system, and potential barriers to successful reintegration into the community when evaluating their suitability for alternative sentencing programs.
Determining Appropriateness of Alternatives: Psychiatric evaluations help determine the appropriateness of alternative sentencing programs, such as diversion programs, mental health courts, drug courts, or community-based treatment programs. Mental health professionals assess whether the individual's mental health needs can be effectively addressed in these programs and whether they are likely to benefit from the rehabilitative opportunities offered.
Informing Court Decisions: The findings of psychiatric evaluations are presented to the court to inform decisions regarding alternative sentencing options. Judges may consider the recommendations of mental health professionals, along with other factors such as the nature of the offense, the individual's criminal history, and input from the prosecution and defense, in determining the most appropriate disposition for the case.
Overall, psychiatric evaluations play a crucial role in determining the eligibility of individuals with psychiatric illnesses for alternative sentencing programs by providing a comprehensive assessment of their mental health needs, treatment options, risk factors, and suitability for rehabilitation in community-based settings. These evaluations help ensure that individuals receive appropriate care and support while addressing the underlying issues contributing to their involvement in the criminal justice system.</t>
  </si>
  <si>
    <t>Are there legal safeguards in place to prevent the overreliance on psychiatric evidence in criminal trials?</t>
  </si>
  <si>
    <t>Yes, there are legal safeguards in place in the Philippines to prevent the overreliance on psychiatric evidence in criminal trials. These safeguards aim to ensure that psychiatric evidence is used appropriately and effectively, without unduly influencing the outcome of the trial or unfairly prejudicing the accused. Here are some key safeguards:
Rules of Evidence: The Philippine Rules of Court govern the admissibility of evidence in criminal trials, including psychiatric evidence. The rules outline the requirements for the admissibility of expert testimony, including psychiatric evaluations and opinions, ensuring that such evidence meets certain standards of reliability, relevance, and credibility.
Expert Qualifications: Psychiatric evidence must be presented by qualified mental health professionals who have the necessary expertise, training, and experience to provide reliable opinions in court. The court may assess the qualifications and credibility of expert witnesses to ensure that their testimony meets the standards required for admissibility.
Cross-Examination: The adversarial nature of criminal trials allows for cross-examination of witnesses, including expert witnesses presenting psychiatric evidence. Defense counsel has the opportunity to challenge the reliability, credibility, and conclusions of psychiatric testimony through vigorous cross-examination, allowing for a balanced presentation of evidence.
Judicial Scrutiny: The court plays a critical role in evaluating the relevance and reliability of psychiatric evidence presented during trial. Judges are tasked with assessing the probative value of such evidence, weighing its importance against potential prejudicial effects, and ensuring that it is used appropriately to assist the trier of fact in reaching a just decision.
Limiting Instructions: Judges may issue limiting instructions to the jury or trier of fact regarding the use of psychiatric evidence. These instructions clarify the purpose and scope of the evidence, caution against overreliance on psychiatric opinions, and remind jurors to consider all evidence in context when reaching their verdict.
Legal Standards for Admissibility: Philippine law sets legal standards for the admissibility of psychiatric evidence, requiring that such evidence be relevant, material, and based on reliable scientific principles. Evidence that fails to meet these standards may be excluded from trial under rules governing the admissibility of expert testimony.
Independent Evaluation: In some cases, the court may order an independent evaluation of psychiatric evidence to assess its validity and reliability. This may involve appointing a neutral expert to review the evidence and provide an impartial assessment of its merits.
Overall, these legal safeguards help prevent the overreliance on psychiatric evidence in criminal trials, ensuring that such evidence is used judiciously, fairly, and in accordance with the principles of justice and due process.</t>
  </si>
  <si>
    <t>How does Philippine law address the rights of individuals with psychiatric illnesses during pre-trial detention?</t>
  </si>
  <si>
    <t>In the Philippines, the rights of individuals with psychiatric illnesses during pre-trial detention are protected by various legal provisions aimed at safeguarding their well-being, ensuring fair treatment, and upholding their fundamental rights. Here are some key aspects of how Philippine law addresses the rights of individuals with psychiatric illnesses during pre-trial detention:
Right to Legal Counsel: Individuals with psychiatric illnesses have the right to legal representation during pre-trial detention. They are entitled to consult with and be represented by legal counsel throughout the detention process, including during police interrogations, court proceedings, and any other interactions with the criminal justice system.
Presumption of Innocence: Individuals with psychiatric illnesses, like all accused persons, are presumed innocent until proven guilty beyond a reasonable doubt. This presumption of innocence applies throughout the pre-trial detention period, and individuals must be treated as such by law enforcement authorities, detention facilities, and the judiciary.
Prohibition of Torture and Ill-Treatment: Philippine law prohibits the use of torture, cruel, inhuman, or degrading treatment or punishment in all circumstances, including during pre-trial detention. Individuals with psychiatric illnesses must be protected from any form of abuse, coercion, or mistreatment while in detention, and their rights to humane treatment must be respected at all times.
Access to Medical Care: Individuals with psychiatric illnesses in pre-trial detention have the right to access medical care, including mental health treatment, medication, and other necessary interventions. Detention facilities must ensure that individuals receive appropriate medical attention for their psychiatric conditions and that their mental health needs are adequately addressed.
Regular Review of Detention: Philippine law mandates regular review of pre-trial detention to prevent arbitrary or prolonged detention. Individuals with psychiatric illnesses detained pending trial must be afforded the same procedural protections as other detainees, including the right to periodic review of their detention status by the courts to determine the necessity and legality of continued detention.
Protection of Confidentiality: Individuals with psychiatric illnesses have the right to confidentiality of their medical information, including their mental health diagnosis and treatment history. Law enforcement authorities, detention facilities, and court personnel must respect the privacy and confidentiality of individuals' medical records and information related to their psychiatric conditions.
Reasonable Accommodations: Detention facilities are required to make reasonable accommodations for individuals with psychiatric illnesses to ensure their safety, well-being, and access to justice. This may include providing specialized housing arrangements, mental health services, therapeutic interventions, and other accommodations tailored to the individual's needs.
Overall, Philippine law recognizes the importance of protecting the rights of individuals with psychiatric illnesses during pre-trial detention and mandates measures to ensure their fair treatment, access to medical care, and protection from abuse or mistreatment while in custody. These legal provisions aim to uphold the dignity and rights of all detainees, including those with psychiatric illnesses, in accordance with national and international human rights standards.</t>
  </si>
  <si>
    <t>What legal measures exist to prevent the unnecessary institutionalization of individuals with psychiatric illnesses in correctional facilities?</t>
  </si>
  <si>
    <t>In the Philippines, several legal measures exist to prevent the unnecessary institutionalization of individuals with psychiatric illnesses in correctional facilities. These measures aim to ensure that individuals with psychiatric illnesses receive appropriate mental health treatment and support in settings that are conducive to their well-being and rehabilitation. Here are some key legal measures:
Diversion Programs: The law allows for the diversion of individuals with psychiatric illnesses away from the criminal justice system and into community-based mental health treatment programs. Diversion programs provide alternatives to incarceration for individuals whose offenses are related to their mental health condition, allowing them to receive treatment and support in community settings rather than being institutionalized in correctional facilities.
Mental Health Courts: Some jurisdictions in the Philippines have established specialized mental health courts or diversionary courts to handle cases involving individuals with psychiatric illnesses. These courts focus on addressing the underlying mental health needs of defendants and promoting their rehabilitation and reintegration into society through tailored treatment plans and support services.
Treatment Facilities: The law mandates the establishment and operation of mental health treatment facilities, including psychiatric hospitals, halfway houses, and community-based treatment centers. These facilities provide specialized mental health care and support services for individuals with psychiatric illnesses, offering an alternative to incarceration in correctional facilities.
Screening and Assessment: Correctional facilities are required to conduct screening and assessment of incoming inmates to identify individuals with psychiatric illnesses and assess their mental health needs. This allows for appropriate referrals to mental health treatment facilities or diversion programs, ensuring that individuals receive the necessary care and support outside of the correctional system.
Collaboration with Mental Health Professionals: Correctional facilities often collaborate with mental health professionals, including psychiatrists, psychologists, social workers, and counselors, to provide mental health services to inmates with psychiatric illnesses. This interdisciplinary approach ensures that individuals receive comprehensive care and support tailored to their individual needs.
Monitoring and Oversight: Government agencies, advocacy groups, and civil society organizations play a role in monitoring and overseeing the treatment of individuals with psychiatric illnesses in correctional facilities. They may conduct regular inspections, audits, and reviews to ensure that inmates receive appropriate mental health care and that their rights are protected.
Training and Education: Correctional staff receive training and education on how to effectively interact with and support inmates with psychiatric illnesses. Training programs cover topics such as mental health awareness, crisis intervention techniques, de-escalation strategies, and trauma-informed care, enabling staff to provide appropriate care and support to individuals with psychiatric illnesses.
By implementing these legal measures, the Philippines seeks to prevent the unnecessary institutionalization of individuals with psychiatric illnesses in correctional facilities and promote their access to appropriate mental health treatment and support in settings that prioritize their well-being and rehabilitation.</t>
  </si>
  <si>
    <t>How are individuals with psychiatric illnesses protected from coercive or involuntary confessions within the criminal justice system?</t>
  </si>
  <si>
    <t>In the Philippines, individuals with psychiatric illnesses are protected from coercive or involuntary confessions within the criminal justice system through various legal safeguards and principles. These protections are aimed at upholding the rights of the accused and ensuring that any statements made by individuals with psychiatric illnesses are voluntary, informed, and not obtained through coercion or undue influence. Here are some key measures:
Right to Counsel: Individuals with psychiatric illnesses have the right to legal representation during police interrogations and throughout the criminal proceedings. Defense counsel plays a crucial role in protecting the rights of the accused, advising them of their rights, and ensuring that any statements made are voluntary and informed.
Miranda Rights: The Miranda warning, which informs individuals of their right to remain silent and their right to legal representation, applies in the Philippines. Law enforcement officers must inform individuals of their Miranda rights before questioning them, including individuals with psychiatric illnesses.
Prohibition of Torture and Cruel, Inhuman, or Degrading Treatment or Punishment: The Philippine Constitution prohibits the use of torture, force, violence, threats, intimidation, or any other means that vitiate the free will of the accused, including individuals with psychiatric illnesses. Any statements obtained through such methods are considered inadmissible as evidence in court.
Video and Audio Recording: Philippine law mandates the recording of custodial interrogations in capital offenses and cases involving life imprisonment to ensure transparency and accountability in the interrogation process. Recording interrogations can help prevent coercion or abuse and provide a clear record of the proceedings.
Competency to Understand and Waive Rights: Individuals with psychiatric illnesses must have the mental capacity to understand their rights, including the right to remain silent and the right to legal representation, and to knowingly and voluntarily waive those rights. If there are concerns about the individual's competency, the court may order a competency evaluation before admitting any statements into evidence.
Judicial Review: Statements obtained from individuals with psychiatric illnesses may be subject to judicial review to determine their admissibility as evidence. The court will assess the voluntariness of the statements, considering factors such as the individual's mental state, the circumstances of the interrogation, and any evidence of coercion or undue influence.
Exclusionary Rule: Philippine courts may exclude statements obtained in violation of the accused's constitutional rights, including statements obtained through coercion or involuntary means. The exclusionary rule prohibits the use of unlawfully obtained evidence against the accused in court proceedings.
Overall, the Philippine legal system provides protections for individuals with psychiatric illnesses to ensure that any statements they make within the criminal justice system are voluntary, informed, and obtained in accordance with their rights under the law. These protections help safeguard the integrity of the legal process and promote fairness in criminal proceedings.</t>
  </si>
  <si>
    <t>Are there legal consequences for individuals found guilty of crimes committed while experiencing a temporary psychiatric disturbance?</t>
  </si>
  <si>
    <t>In the Philippines, individuals found guilty of crimes committed while experiencing a temporary psychiatric disturbance may still face legal consequences, but the specific outcomes can vary depending on several factors, including the severity of the offense, the circumstances of the case, and the individual's mental health status. Here's a breakdown of potential legal consequences:
Criminal Liability: Individuals found guilty of committing a crime, even during a temporary psychiatric disturbance, can be held criminally liable under Philippine law. The court will consider factors such as the individual's mental state at the time of the offense, the severity of the crime, and any mitigating circumstances in determining the appropriate legal consequences.
Penalties and Sentencing: If convicted, individuals may face penalties and sentencing in accordance with the Philippine Revised Penal Code or other relevant statutes. The court may impose fines, imprisonment, or other punitive measures based on the nature and gravity of the offense, regardless of the individual's mental health status at the time of the crime.
Mitigating Factors: Individuals with temporary psychiatric disturbances may present mitigating factors that can influence the court's decision on sentencing. Mitigating factors, such as the individual's lack of intent or diminished capacity due to their mental state, may lead to reduced penalties or alternative sentencing options.
Treatment and Rehabilitation: In cases where the court recognizes the role of mental illness in the commission of the offense, individuals may be ordered to undergo treatment and rehabilitation as part of their sentencing. This can include mental health counseling, therapy, medication, or participation in mental health programs aimed at addressing underlying issues and reducing the risk of reoffending.
Supervision and Monitoring: The court may impose conditions of supervision or monitoring as part of the individual's sentence, especially if their mental health condition is considered a risk factor for future criminal behavior. This can involve regular check-ins with probation officers, compliance with treatment plans, or other measures aimed at ensuring public safety and supporting the individual's rehabilitation.
Review and Appeals: Individuals found guilty of crimes committed during a temporary psychiatric disturbance have the right to appeal their convictions or seek review of their cases through legal channels. They may challenge the legality or fairness of their convictions, present new evidence or arguments, or seek modifications to their sentences based on changed circumstances or developments in their mental health status.
Overall, while individuals experiencing temporary psychiatric disturbances may face legal consequences for crimes they commit, the legal system in the Philippines also recognizes the importance of considering mental health factors in determining appropriate responses and ensuring fair and just outcomes for all parties involved.</t>
  </si>
  <si>
    <t>How does the law address the role of psychiatric evaluations in determining the credibility of witnesses with psychiatric illnesses?</t>
  </si>
  <si>
    <t>In the Philippines, the law addresses the role of psychiatric evaluations in determining the credibility of witnesses with psychiatric illnesses through various legal provisions and principles. Here are some key aspects:
Admissibility of Expert Testimony: Philippine law allows for the admissibility of expert testimony, including psychiatric evaluations, to assist the court in understanding the mental health status and credibility of witnesses with psychiatric illnesses. Section 49 of the Rules of Court provides for the admission of expert testimony on matters requiring special knowledge, skill, experience, or training, including psychiatric assessments.
Assessment of Competency and Credibility: Psychiatric evaluations may be used to assess the competency and credibility of witnesses with psychiatric illnesses. Evaluations may include assessments of the witness's mental health status, cognitive functioning, ability to perceive and recall events accurately, and susceptibility to factors that may affect their credibility, such as delusions or hallucinations.
Corroboration of Testimony: Psychiatric evaluations may corroborate or support the testimony of witnesses with psychiatric illnesses by providing evidence of their mental health condition and its potential impact on their ability to perceive, recall, and communicate information accurately. Evaluations may also identify any inconsistencies or discrepancies in the witness's testimony that may be attributed to their psychiatric illness.
Consideration of Expert Opinion: The court may consider expert opinions provided through psychiatric evaluations in assessing the credibility of witnesses with psychiatric illnesses. Expert testimony may help the court understand the nature and severity of the witness's psychiatric condition, the potential effects of their illness on their ability to testify truthfully, and any factors that may affect the reliability of their testimony.
Weighing of Evidence: In weighing the evidence presented, including the testimony of witnesses with psychiatric illnesses, the court must carefully consider the credibility and reliability of the evidence in light of all the circumstances of the case. The court may give appropriate weight to psychiatric evaluations and expert testimony in determining the credibility of witnesses with psychiatric illnesses.
Protection of Witness Rights: It is essential to ensure that witnesses with psychiatric illnesses are treated fairly and respectfully throughout the legal process. The court must safeguard their rights, including the right to due process, the right to be heard, and the right to access mental health support services as needed.
Overall, the law in the Philippines recognizes the role of psychiatric evaluations in assessing the credibility of witnesses with psychiatric illnesses and emphasizes the importance of fair and impartial consideration of all evidence, including expert testimony, in the administration of justice.</t>
  </si>
  <si>
    <t>What legal provisions govern the communication between legal representatives and individuals with psychiatric illnesses during criminal proceedings?</t>
  </si>
  <si>
    <t>In the Philippines, the communication between legal representatives and individuals with psychiatric illnesses during criminal proceedings is governed by several legal provisions aimed at protecting the rights of the accused. Here are some key provisions:
Right to Counsel: Article III, Section 14(2) of the 1987 Philippine Constitution guarantees the right of every person under investigation for the commission of an offense to have competent and independent counsel preferably of their own choice. This right extends to individuals with psychiatric illnesses and ensures that they have access to legal representation throughout the criminal proceedings.
Confidentiality of Communications: The lawyer-client privilege protects the confidentiality of communications between a client and their legal representative. This privilege allows individuals with psychiatric illnesses to freely communicate with their lawyers without fear of disclosure to third parties, including the prosecution or the court.
Competency to Stand Trial: Under Philippine law, individuals must be competent to stand trial, meaning they must have the mental capacity to understand the nature and consequences of the proceedings against them and to assist in their own defense. If there are concerns about the individual's competency due to their psychiatric illness, the court may order a competency evaluation and take appropriate measures to protect their rights.
Informed Consent: Legal representatives have a duty to ensure that individuals with psychiatric illnesses understand the legal proceedings against them and the implications of their decisions. This includes obtaining informed consent from the client before making decisions or taking actions on their behalf, such as entering into plea agreements or waiving rights.
Access to Treatment and Support: Individuals with psychiatric illnesses have the right to access mental health treatment and support services, including access to medical professionals, therapy, medication, and other interventions. Legal representatives may advocate for their clients' access to appropriate mental health care to ensure their well-being and ability to participate effectively in the proceedings.
Protection of Vulnerable Witnesses: In cases where individuals with psychiatric illnesses are called as witnesses, the court may take measures to protect their rights and ensure their testimony is given in a manner that is fair and respectful. This may include allowing accommodations for communication difficulties or providing support from mental health professionals.
Overall, the legal provisions governing the communication between legal representatives and individuals with psychiatric illnesses during criminal proceedings aim to protect the rights, dignity, and well-being of the accused while ensuring a fair and just legal process.</t>
  </si>
  <si>
    <t>How are individuals with psychiatric illnesses protected from undue influence or coercion during plea negotiations?</t>
  </si>
  <si>
    <t>In the Philippines, individuals with psychiatric illnesses are protected from undue influence or coercion during plea negotiations through various legal safeguards and principles. Here are some key ways in which Philippine law addresses this issue:
Right to Counsel: Individuals with psychiatric illnesses have the right to legal representation during plea negotiations. Defense counsel plays a crucial role in advocating for the client's interests, ensuring that any decisions made during negotiations are voluntary and informed.
Competency to Participate: Before engaging in plea negotiations, the court may assess the individual's competency to participate in the process. If there are concerns about the individual's ability to understand the proceedings or make decisions due to their psychiatric illness, the court may take appropriate measures to ensure their rights are protected.
Informed Consent: Any decisions made during plea negotiations must be voluntary and based on informed consent. This means that individuals must understand the nature and consequences of the plea agreement, including the potential legal ramifications and the rights they are waiving by entering into the agreement.
Presence of Counsel: Defense counsel must be present during plea negotiations to provide guidance, advice, and assistance to the individual. Counsel can help ensure that the individual's rights are protected, that any plea agreement is fair and equitable, and that the individual's mental health needs are considered in the negotiation process.
Judicial Oversight: The court has a duty to ensure that plea negotiations are conducted fairly and in accordance with the law. Judges may inquire into the voluntariness of the plea agreement, the individual's understanding of the terms, and any factors that may affect the validity of the agreement, including the individual's mental health status.
Review of the Record: Before accepting a plea agreement, the court may review the record to ensure that the individual's rights were protected during negotiations. This includes confirming that the individual was represented by counsel, that they voluntarily entered into the agreement, and that there were no signs of coercion or undue influence.
Appeal and Post-Conviction Relief: If there are allegations of coercion or undue influence during plea negotiations, individuals with psychiatric illnesses have the right to appeal or seek post-conviction relief. This allows them to challenge the validity of the plea agreement and raise any issues related to their mental health or the fairness of the negotiation process.
Overall, Philippine law seeks to protect individuals with psychiatric illnesses from undue influence or coercion during plea negotiations by ensuring that their rights are respected, that they have access to legal representation, and that any decisions made are voluntary and based on informed consent.</t>
  </si>
  <si>
    <t>How does Philippine law address the responsibility of the legal system to provide mental health treatment to individuals with psychiatric illnesses involved in criminal cases?</t>
  </si>
  <si>
    <t>In the Philippines, the responsibility of the legal system to provide mental health treatment to individuals with psychiatric illnesses involved in criminal cases is primarily addressed through various laws, policies, and legal principles aimed at promoting access to mental health services and ensuring the rights of individuals with mental illnesses. Here are some key aspects of how Philippine law addresses this responsibility:
Mental Health Act (Republic Act No. 11036): Enacted in 2018, the Mental Health Act of the Philippines provides for the promotion and protection of mental health and the rights of individuals with mental illnesses. The law mandates the integration of mental health services into the general healthcare system, including the provision of mental health treatment and support services for individuals in various settings, including correctional facilities.
Principle of Rehabilitation and Treatment: The Philippine legal system recognizes the principle of rehabilitation and treatment as a core component of the criminal justice system. This principle emphasizes the importance of addressing the underlying causes of criminal behavior, including mental health issues, and providing appropriate treatment and support to promote rehabilitation and reintegration into society.
Right to Health and Access to Treatment: The Philippine Constitution guarantees the right to health, including access to healthcare services, as a fundamental human right. Individuals with psychiatric illnesses involved in criminal cases have the right to receive mental health treatment and support services, regardless of their legal status or circumstances.
Mental Health Services in Correctional Facilities: Philippine law mandates the provision of mental health services in correctional facilities to address the mental health needs of inmates, including those with psychiatric illnesses. This includes access to psychiatric evaluations, medication management, therapy, counseling, and other mental health interventions tailored to the individual's needs.
Diversion and Alternative Sentencing Programs: The legal system in the Philippines recognizes diversion and alternative sentencing programs as mechanisms for addressing the mental health needs of individuals involved in criminal cases. These programs may offer alternatives to incarceration, such as mental health treatment, rehabilitation, or community-based interventions, for individuals with psychiatric illnesses who are deemed suitable candidates.
Legal Safeguards and Protections: Philippine law includes legal safeguards and protections to ensure that individuals with psychiatric illnesses involved in criminal cases receive fair treatment and access to appropriate mental health services. This includes safeguards against discrimination, stigmatization, and abuse based on mental health status, as well as mechanisms for enforcing the rights of individuals with mental illnesses within the legal system.
Overall, Philippine law recognizes the responsibility of the legal system to provide mental health treatment to individuals with psychiatric illnesses involved in criminal cases, emphasizing the importance of promoting mental health, ensuring access to treatment, and upholding the rights and dignity of individuals with mental illnesses within the criminal justice system.</t>
  </si>
  <si>
    <t>You are a defense attorney representing a client with a diagnosed psychiatric illness. What legal steps can you take to ensure a fair trial for your client?</t>
  </si>
  <si>
    <t>As a defense attorney representing a client with a diagnosed psychiatric illness in the Philippines, ensuring a fair trial for your client is paramount. Here are several legal steps you can take to achieve this:
Thorough Assessment of Mental Health: Conduct a comprehensive assessment of your client's mental health condition, including obtaining relevant medical records, psychiatric evaluations, and other documentation to understand the nature and impact of their illness on their behavior and cognition.
Competency Evaluation: If there are concerns about your client's competency to stand trial due to their psychiatric illness, request a competency evaluation by qualified mental health professionals. Advocate for your client's right to a fair trial and legal proceedings that they can meaningfully participate in.
Legal Representation: Provide zealous and competent legal representation for your client, ensuring that they understand their rights, legal options, and the implications of their psychiatric illness on the case. Advocate for their interests and ensure that their voice is heard throughout the proceedings.
Challenges to Evidence: Scrutinize the prosecution's evidence against your client, including any psychiatric evaluations or expert testimony. Challenge the admissibility, reliability, and relevance of evidence that may be prejudicial or based on flawed assumptions about your client's mental health.
Mitigation Strategies: Develop mitigation strategies that take into account your client's psychiatric illness and its impact on their behavior. Present evidence of mitigating factors, such as the role of the illness in the alleged offense, the client's treatment history, and their potential for rehabilitation.
Expert Testimony: Retain qualified mental health experts to provide expert testimony on your client's behalf. These experts can help educate the court about the nature of psychiatric illnesses, their impact on behavior, and the potential implications for the case.
Jury Selection and Voir Dire: Use jury selection and voir dire to identify potential biases or prejudices among jurors related to mental illness. Advocate for a fair and impartial jury that can objectively consider the evidence and render a verdict based on the law and facts of the case.
Appeals and Post-Conviction Relief: If your client is convicted, pursue appeals or post-conviction relief proceedings based on legal errors, constitutional violations, or ineffective assistance of counsel. Advocate for your client's rights and pursue all available avenues for relief under the law.
By taking these legal steps, you can ensure a fair trial for your client with a diagnosed psychiatric illness, uphold their rights, and advocate for the best possible outcome in their case.</t>
  </si>
  <si>
    <t>As a judge, a defendant with a known psychiatric illness is brought before you. What legal considerations should guide your decisions in this case?</t>
  </si>
  <si>
    <t>As a judge presiding over a case involving a defendant with a known psychiatric illness in the Philippines, several legal considerations should guide your decisions to ensure fairness, justice, and respect for the defendant's rights. Here are key considerations:
Presumption of Innocence: Uphold the principle of presumption of innocence, recognizing that the defendant is entitled to a fair trial and should not be prejudged based on their psychiatric illness.
Competency to Stand Trial: Assess the defendant's competency to stand trial, ensuring that they have the capacity to understand the nature and consequences of the proceedings against them and to assist in their own defense. Consider ordering a competency evaluation if there are concerns about the defendant's ability to participate in the trial due to their psychiatric illness.
Fairness and Due Process: Ensure that the defendant's rights to due process, including the right to a fair trial, legal representation, and a competent defense, are upheld throughout the proceedings. Avoid any actions or decisions that may unfairly disadvantage the defendant or undermine the integrity of the legal process.
Consideration of Mitigating Factors: Take into account any mitigating factors related to the defendant's psychiatric illness that may affect their culpability or the severity of the charges against them. Consider evidence of the defendant's mental state at the time of the alleged offense, their capacity for understanding and controlling their actions, and the impact of their illness on their behavior.
Treatment and Rehabilitation: Consider alternatives to incarceration for defendants whose psychiatric illness contributed to their criminal behavior. Explore options for mental health treatment, rehabilitation, or diversion programs that address the underlying issues driving the defendant's conduct while promoting their rehabilitation and reintegration into society.
Protection of Rights and Dignity: Ensure that the defendant's rights and dignity are protected throughout the legal process, including their right to privacy, confidentiality of medical information, and freedom from discrimination based on their psychiatric diagnosis.
Best Interest of the Defendant and Society: Balance the interests of the defendant with those of society in determining an appropriate outcome in the case. Strive to achieve a just and equitable resolution that promotes public safety while also addressing the defendant's needs and ensuring their rights are respected.
Legal Precedents and Applicable Laws: Apply relevant legal precedents, statutes, and case law to guide your decisions in the case. Consider how similar cases involving defendants with psychiatric illnesses have been handled in the past and ensure consistency and fairness in your rulings.
By considering these legal considerations, you can ensure that your decisions in cases involving defendants with psychiatric illnesses are guided by principles of fairness, justice, and respect for the rights and dignity of all parties involved.</t>
  </si>
  <si>
    <t>A law enforcement officer encounters an individual with a psychiatric illness during an arrest. What legal measures can the officer take to ensure the individual's rights are protected?</t>
  </si>
  <si>
    <t>When a law enforcement officer encounters an individual with a psychiatric illness during an arrest in the Philippines, it's crucial to take specific legal measures to ensure the individual's rights are protected. Here are some steps the officer can take:
Maintain Calm and Non-Threatening Approach: Approach the individual calmly and non-threateningly, taking care to avoid escalating the situation. Use clear and respectful communication to establish rapport and build trust with the individual.
Assess the Situation: Assess the individual's behavior and mental state, taking note of any signs or symptoms of psychiatric distress or crisis. Remain observant and attentive to cues that may indicate the need for specialized intervention or support.
Ensure Safety of Everyone Involved: Prioritize the safety and well-being of both the individual with the psychiatric illness and other individuals present at the scene. Take appropriate measures to de-escalate the situation and prevent harm to anyone involved, including the use of verbal de-escalation techniques and seeking assistance from mental health professionals if necessary.
Respect Rights and Dignity: Treat the individual with respect, dignity, and sensitivity to their condition. Avoid stigmatizing language or behavior and refrain from making assumptions about their behavior based on their psychiatric diagnosis.
Provide Information and Assistance: Provide the individual with clear and accurate information about the reasons for their arrest, their rights, and the legal process. Offer assistance, such as access to legal counsel, medical attention, or mental health support services, as appropriate.
Consideration of Alternative Responses: Consider alternative responses to arrest, such as diversion to mental health treatment or crisis intervention programs, where appropriate. Explore options for addressing the individual's underlying mental health needs while ensuring accountability for any criminal behavior.
Document the Encounter: Document the encounter with the individual, including any observations, actions taken, and communication exchanged. Maintain detailed and accurate records of the interaction to provide a clear account of the circumstances surrounding the arrest and any subsequent actions taken.
Seek Guidance and Collaboration: Seek guidance and collaboration from mental health professionals, crisis intervention teams, or other relevant authorities when encountering individuals with psychiatric illnesses during arrests. Collaborate with these professionals to develop effective strategies for managing the situation and ensuring the individual's needs are addressed appropriately.
By taking these legal measures, law enforcement officers can help ensure that the rights of individuals with psychiatric illnesses are protected during arrests, promoting a fair and humane approach to law enforcement in the Philippines.</t>
  </si>
  <si>
    <t>As a mental health professional asked to provide expert testimony in a criminal trial, how do you ensure that your evaluation is conducted impartially and professionally?</t>
  </si>
  <si>
    <t>As a mental health professional asked to provide expert testimony in a criminal trial in the Philippines, ensuring that your evaluation is conducted impartially and professionally is essential. Here are some key steps to achieve this:
Adherence to Ethical Standards: Follow the ethical guidelines and professional standards set forth by your licensing body or professional organization. This includes maintaining objectivity, honesty, and integrity in your evaluation and testimony.
Objective Assessment: Conduct a thorough and unbiased assessment of the individual's mental health status, considering all available information and relevant factors. Use standardized assessment tools and evidence-based practices to gather data and form your conclusions.
Avoidance of Bias: Guard against personal biases or preconceptions that may influence your evaluation. Remain open-minded and objective throughout the assessment process, considering multiple perspectives and avoiding assumptions about the individual's guilt or innocence.
Consideration of Context: Take into account the specific context of the case and the legal standards for insanity or competency to stand trial in the Philippines. Ensure that your evaluation addresses the legal criteria relevant to the issues at hand, rather than solely focusing on clinical factors.
Transparency and Documentation: Clearly document your evaluation process, including the methods used, the data collected, and the reasoning behind your conclusions. Be transparent about any limitations or uncertainties associated with your evaluation and provide a clear rationale for your opinions.
Professional Independence: Maintain professional independence and autonomy in your evaluation and testimony, free from undue influence or pressure from either the prosecution or the defense. Your duty is to provide impartial and objective expert opinion based on your expertise and the available evidence.
Clear and Concise Communication: Clearly communicate your findings, opinions, and conclusions in a manner that is understandable to the court and jury. Use plain language and avoid jargon or technical terminology that may be confusing or misleading.
Preparation and Review: Prepare thoroughly for your testimony, reviewing your evaluation findings, supporting evidence, and relevant legal standards. Anticipate potential challenges or questions from opposing counsel and be prepared to defend your evaluation and conclusions under cross-examination.
Continuing Education and Training: Stay informed about developments in your field of expertise through continuing education, training, and professional development activities. This ensures that your evaluation practices remain up-to-date and aligned with current best practices.
By adhering to these principles and practices, mental health professionals can ensure that their evaluation is conducted impartially and professionally, contributing to the fair administration of justice in criminal trials in the Philippines.</t>
  </si>
  <si>
    <t>A defendant claims to have a psychiatric illness that impacted their ability to understand the criminal proceedings. What legal steps can the court take to assess and address this claim?</t>
  </si>
  <si>
    <t>When a defendant claims to have a psychiatric illness that impacted their ability to understand the criminal proceedings in the Philippines, the court can take several legal steps to assess and address this claim. Here are some options:
Psychiatric Evaluation: The court may order a comprehensive psychiatric evaluation of the defendant by qualified mental health professionals. This evaluation aims to assess the defendant's mental health status, including any psychiatric diagnoses, cognitive impairments, or other conditions that may affect their understanding of the proceedings.
Competency Assessment: Conduct a competency assessment to determine the defendant's capacity to understand the nature and consequences of the criminal proceedings against them and to participate effectively in their defense. This assessment evaluates the defendant's ability to communicate with their legal counsel, make informed decisions, and assist in their defense.
Appointment of Defense Counsel: Ensure that the defendant has access to legal representation, including the appointment of defense counsel if they are unable to afford one. Defense counsel can advocate for the defendant's rights, raise concerns about their mental health, and facilitate communication with the court and mental health professionals.
Court Hearing on Competency: Hold a court hearing to address the issue of the defendant's competency to stand trial. This hearing allows both the prosecution and defense to present evidence, call witnesses, and make arguments regarding the defendant's mental health status and its impact on their ability to participate in the proceedings.
Guardian ad Litem or Legal Representative: If the defendant is deemed incompetent to participate in their own defense due to mental illness or cognitive impairment, the court may appoint a guardian ad litem or legal representative to advocate for their interests and ensure a fair trial.
Treatment for Mental Health Conditions: If the defendant's mental health condition is found to impair their ability to understand the proceedings, the court may order appropriate treatment or intervention to address the condition and restore competency. This may include medication, therapy, or other interventions aimed at stabilizing the defendant's mental health.
Continued Monitoring and Review: Implement mechanisms for continued monitoring and review of the defendant's mental health status throughout the proceedings. This allows for ongoing assessment of their competency and ensures that appropriate measures are taken to address any changes in their mental health condition.
Ruling on Competency: Based on the evidence presented during the competency assessment and hearing, the court will make a ruling on the defendant's competency to stand trial. If the defendant is found incompetent, the court may suspend the proceedings until competency is restored or take other appropriate measures to address the situation.
By taking these legal steps, the court can assess and address the defendant's claim of psychiatric illness impacting their ability to understand the criminal proceedings, ensuring a fair and just trial process in accordance with the law.</t>
  </si>
  <si>
    <t>An inmate with a psychiatric illness is experiencing difficulties in a correctional facility. What legal actions can be taken to ensure the inmate receives appropriate mental health treatment?</t>
  </si>
  <si>
    <t>When an inmate with a psychiatric illness is experiencing difficulties in a correctional facility in the Philippines, several legal actions can be taken to ensure they receive appropriate mental health treatment. Here are some options:
Medical Evaluation and Assessment: Conduct a comprehensive medical evaluation and assessment of the inmate's mental health condition by qualified mental health professionals. This assessment should identify the nature and severity of the psychiatric illness and inform the development of an appropriate treatment plan.
Access to Mental Health Services: Ensure that the inmate has access to adequate mental health services within the correctional facility. This includes provision of psychiatric evaluations, medication management, therapy, counseling, and other mental health interventions tailored to their individual needs.
Transfer to a Mental Health Facility: If the correctional facility is unable to provide adequate mental health treatment for the inmate, consider transferring them to a specialized mental health facility or unit where they can receive more intensive care and support from trained professionals.
Reasonable Accommodations: Provide reasonable accommodations for the inmate's mental health needs within the correctional facility, such as access to quiet spaces, therapeutic activities, and appropriate medication management. Accommodations should be tailored to the inmate's specific symptoms and limitations.
Collaboration with Mental Health Professionals: Collaborate with external mental health professionals, including psychiatrists, psychologists, and social workers, to provide specialized care and support for the inmate's mental health needs. This may involve arranging for consultations, assessments, and treatment planning with external providers.
Regular Monitoring and Review: Implement mechanisms for regular monitoring and review of the inmate's mental health status and treatment progress within the correctional facility. This includes ongoing assessments of their symptoms, response to treatment, and any changes in their condition that may require adjustments to their care plan.
Staff Training and Education: Provide training and education for correctional staff on how to effectively interact with and support inmates with psychiatric illnesses. This includes training on recognizing signs of mental distress, de-escalation techniques, and strategies for promoting a therapeutic environment within the facility.
Advocacy and Legal Representation: Engage in advocacy efforts and seek legal representation to ensure that the inmate's rights to appropriate mental health treatment are upheld within the correctional system. This may involve filing grievances, petitions, or legal actions to address deficiencies in mental health care provision.
By taking these legal actions, correctional facilities in the Philippines can ensure that inmates with psychiatric illnesses receive appropriate mental health treatment and support, promoting their well-being and rehabilitation while maintaining safety and security within the facility.</t>
  </si>
  <si>
    <t>During a psychiatric evaluation, a defendant refuses to cooperate. What legal options are available to ensure a thorough evaluation while respecting the individual's rights?</t>
  </si>
  <si>
    <t>When a defendant refuses to cooperate during a psychiatric evaluation, it presents challenges to ensuring a thorough evaluation while respecting the individual's rights. However, there are legal options available to address this situation:
Court Order for Evaluation: The court may issue an order requiring the defendant to undergo a psychiatric evaluation, compelling their cooperation. This order must be based on legal grounds and supported by evidence showing the necessity of the evaluation for the fair administration of justice.
Appointment of a Guardian ad Litem: If the defendant is deemed incompetent to participate in their own defense due to mental illness, the court may appoint a guardian ad litem to represent their interests during the evaluation process. The guardian ad litem can facilitate communication between the defendant and the evaluator and ensure that the defendant's rights are protected.
Informal Engagement Strategies: Mental health professionals conducting the evaluation can employ various strategies to encourage the defendant's cooperation, such as building rapport, providing reassurance, and explaining the purpose and benefits of the evaluation in a clear and non-threatening manner.
Scheduled Breaks and Accommodations: Allow for scheduled breaks and accommodations during the evaluation to alleviate any anxiety or discomfort experienced by the defendant. This can help facilitate a more productive and cooperative interaction between the defendant and the evaluator.
Voluntary Participation Incentives: Offer incentives for voluntary participation in the evaluation process, such as assurances of confidentiality, opportunities for input into treatment planning, or consideration of their cooperation in sentencing decisions.
Exploration of Underlying Issues: If the defendant's refusal to cooperate is related to underlying issues such as fear, distrust, or trauma, mental health professionals can explore these issues and address them in a sensitive and supportive manner to promote cooperation.
Documentation of Refusal: Document the defendant's refusal to cooperate in the evaluation report, including the reasons provided, any observed behaviors or symptoms, and the potential impact on the evaluation's reliability and validity. This documentation can inform the court's decision-making process regarding the evaluation's use in legal proceedings.
Review of Existing Records and Collateral Information: In cases where direct participation in the evaluation is not possible, mental health professionals can review existing records, collateral information, and input from other sources to gather relevant data and insights into the defendant's mental health status and needs.
Overall, the goal is to balance the need for a thorough evaluation with the individual's rights and autonomy, ensuring that the evaluation process is conducted in a fair, respectful, and legally sound manner.</t>
  </si>
  <si>
    <t>A prosecutor is preparing to present psychiatric evidence in a trial. What legal considerations should guide the presentation of this evidence to ensure fairness and accuracy?</t>
  </si>
  <si>
    <t>In presenting psychiatric evidence in a trial in the Philippines, prosecutors must adhere to legal considerations to ensure fairness and accuracy. Here are key legal considerations that should guide the presentation of psychiatric evidence:
Admissibility of Evidence: Ensure that the psychiatric evidence being presented is admissible under the rules of evidence in the Philippines. The evidence should be relevant to the issues in the case, reliable, and obtained through legally permissible means.
Qualified Experts: Only present psychiatric evidence from qualified mental health professionals, such as psychiatrists or psychologists, who have the necessary training, expertise, and credentials to provide reliable opinions on mental health issues. The credibility and qualifications of the expert witness should be established before the court.
Basis for Opinion: Require the expert witness to provide a clear and thorough explanation of the basis for their psychiatric opinion, including the methods used, the data considered, and the reasoning behind their conclusions. The evidence should be based on sound scientific principles and supported by relevant research and clinical evidence.
Fair Presentation: Present psychiatric evidence in a fair and balanced manner, avoiding any attempts to unfairly prejudice the jury or mislead the court. The evidence should be presented objectively, without exaggeration or distortion, to ensure a fair trial for all parties involved.
Cross-Examination: Allow the defense the opportunity to cross-examine the expert witness on their psychiatric opinions and the evidence supporting them. This ensures that the reliability and credibility of the psychiatric evidence are thoroughly tested and scrutinized by both sides.
Relevance and Probative Value: Ensure that the psychiatric evidence presented is relevant to the issues in the case and has probative value in helping the court reach a just decision. Irrelevant or speculative psychiatric evidence should be excluded to prevent confusion and prejudice.
Limitations and Uncertainties: Acknowledge any limitations or uncertainties associated with the psychiatric evidence, including the possibility of diagnostic errors, differing professional opinions, or incomplete information. Prosecutors should be transparent about the strengths and weaknesses of the evidence presented.
Jury Instructions: Provide clear and accurate jury instructions regarding the role of psychiatric evidence in the trial, the weight to be given to expert opinions, and the relevance of mental health issues to the legal issues at hand. This helps ensure that jurors properly consider the psychiatric evidence in their deliberations.
By adhering to these legal considerations, prosecutors can present psychiatric evidence in a manner that promotes fairness, accuracy, and reliability in criminal trials in the Philippines.</t>
  </si>
  <si>
    <t>A defendant is found not criminally responsible due to a psychiatric illness. What legal measures can be taken to ensure public safety while addressing the individual's mental health needs?</t>
  </si>
  <si>
    <t>When a defendant is found not criminally responsible due to a psychiatric illness in the Philippines, it means that they cannot be held fully accountable for their actions because of their mental health condition. In such cases, it's essential to balance public safety with addressing the individual's mental health needs. Here are some legal measures that can be taken to achieve this balance:
Psychiatric Evaluation and Treatment Plan: Following the determination of not being criminally responsible, the court may order a comprehensive psychiatric evaluation to assess the individual's mental health condition and develop a treatment plan tailored to their needs. This may include medication, therapy, counseling, and other interventions aimed at stabilizing their condition.
Involuntary Commitment to a Mental Health Facility: If the individual poses a risk to themselves or others due to their mental illness, the court may order their involuntary commitment to a secure mental health facility for treatment and rehabilitation. This ensures that they receive the necessary care and supervision while protecting public safety.
Conditional Release with Supervision: In cases where the individual's mental health condition improves and they no longer pose a significant risk to public safety, the court may consider conditional release with supervision. This may involve regular monitoring by mental health professionals, compliance with treatment plans, and other conditions aimed at ensuring public safety while supporting the individual's reintegration into society.
Community Treatment Orders: The court may issue community treatment orders that require the individual to undergo mental health treatment while residing in the community under supervision. This allows them to receive necessary care while remaining in their community, provided they comply with treatment and other conditions set by the court.
Risk Assessment and Management Plans: Mental health professionals and forensic experts can conduct risk assessments to evaluate the individual's likelihood of reoffending and develop management plans to mitigate potential risks. This may involve ongoing monitoring, support, and interventions aimed at reducing the risk of harm to the individual and the community.
Collaboration with Law Enforcement and Mental Health Agencies: Establish collaboration between law enforcement agencies, mental health professionals, and community organizations to ensure coordinated efforts in managing the individual's mental health needs and addressing public safety concerns. This includes sharing information, coordinating interventions, and providing support services as needed.
Regular Review and Monitoring: Implement mechanisms for regular review and monitoring of the individual's mental health status, treatment progress, and risk level. This allows for adjustments to be made to their treatment and supervision plans as needed to ensure ongoing public safety and support for their mental health needs.
By implementing these legal measures, the Philippines can ensure public safety while addressing the mental health needs of individuals found not criminally responsible due to psychiatric illness, promoting their rehabilitation and successful reintegration into society.</t>
  </si>
  <si>
    <t>An individual with a psychiatric illness is facing a long sentence in a correctional facility. What legal options exist to advocate for alternative sentencing or mental health treatment?</t>
  </si>
  <si>
    <t>In the Philippines, there are legal options available to advocate for alternative sentencing or mental health treatment for an individual with a psychiatric illness facing a long sentence in a correctional facility. Here are some possible avenues:
Petition for Mitigation of Sentence: The individual's legal representative can petition the court for mitigation of sentence based on the defendant's mental health condition. This involves presenting evidence of the individual's psychiatric illness, its impact on their behavior, and the potential for rehabilitation with appropriate mental health treatment.
Request for Psychiatric Evaluation and Assessment: The defense can request a comprehensive psychiatric evaluation and assessment of the individual's mental health condition. The evaluation can provide evidence to support the argument for alternative sentencing or mental health treatment based on the individual's specific needs and circumstances.
Advocacy for Diversion Programs: The defense can advocate for diversion programs that offer alternatives to incarceration for individuals with psychiatric illnesses. This may include mental health courts, drug courts, or specialized treatment programs designed to address the underlying issues contributing to the individual's involvement in criminal behavior.
Collaboration with Mental Health Professionals: The defense can collaborate with mental health professionals to develop a sentencing plan that prioritizes the individual's mental health needs while ensuring public safety. This may involve proposing a treatment plan that includes mental health counseling, medication management, and other interventions aimed at addressing the individual's psychiatric illness.
Negotiated Plea Agreements: The defense may negotiate plea agreements with the prosecution that take into account the individual's mental health condition and advocate for alternative sentencing options, such as probation, community service, or participation in mental health treatment programs, in lieu of incarceration.
Appeal for Compassionate Release or Parole: If the individual is already serving a sentence in a correctional facility, the defense can appeal for compassionate release or parole based on their mental health condition and the need for specialized mental health treatment outside of the prison system.
Advocacy for Legislative Reforms: Advocacy efforts can be directed towards legislative reforms aimed at improving access to mental health treatment and support for individuals involved in the criminal justice system. This may involve lobbying for the development of specialized mental health courts, diversion programs, or funding for mental health services in correctional facilities.
By pursuing these legal options, individuals with psychiatric illnesses facing long sentences in correctional facilities in the Philippines can advocate for alternative sentencing or mental health treatment that takes into account their unique needs and circumstances.</t>
  </si>
  <si>
    <t>A correctional facility is dealing with a high number of inmates with psychiatric illnesses. What legal measures can be implemented to address the unique needs of this population?</t>
  </si>
  <si>
    <t>In addressing the unique needs of inmates with psychiatric illnesses in correctional facilities in the Philippines, several legal measures can be implemented to ensure their rights are protected and their mental health needs are appropriately addressed. Here are some key measures:
Screening and Assessment: Implement comprehensive screening and assessment procedures to identify inmates with psychiatric illnesses upon intake into the correctional facility. This includes mental health screenings conducted by qualified professionals to identify individuals in need of specialized mental health care.
Access to Mental Health Services: Ensure that inmates with psychiatric illnesses have access to adequate mental health services within the correctional facility. This includes provision of psychiatric evaluations, medication management, psychotherapy, counseling, and other mental health interventions tailored to their individual needs.
Specialized Mental Health Units: Establish specialized mental health units within correctional facilities to provide intensive care and treatment for inmates with severe psychiatric illnesses. These units should be staffed with trained mental health professionals and equipped to meet the unique needs of this population.
Training for Correctional Staff: Provide training and education for correctional staff on how to effectively interact with and support inmates with psychiatric illnesses. This includes training on de-escalation techniques, crisis intervention, and recognizing signs of mental distress.
Integration of Mental Health into Rehabilitation Programs: Integrate mental health components into rehabilitation programs and services offered within correctional facilities. This includes addressing mental health issues as part of reintegration planning and providing support for inmates transitioning back into the community.
Collaboration with External Mental Health Providers: Establish partnerships and collaborations with external mental health providers, including community mental health centers and psychiatric hospitals, to ensure continuity of care for inmates with psychiatric illnesses. This may involve facilitating referrals for specialized care and coordinating treatment plans between correctional and community-based mental health services.
Monitoring and Oversight: Implement mechanisms for monitoring and oversight to ensure that the rights of inmates with psychiatric illnesses are protected and that they receive appropriate care and treatment. This may involve regular reviews of mental health services, adherence to treatment protocols, and addressing any concerns or complaints raised by inmates or their advocates.
Advocacy and Policy Development: Advocate for the development and implementation of policies and legislation that prioritize the mental health needs of inmates within correctional facilities. This includes advocating for adequate funding, staffing, and resources to support mental health services for this population.
By implementing these legal measures, correctional facilities in the Philippines can better address the unique needs of inmates with psychiatric illnesses and promote their well-being while ensuring public safety and security.</t>
  </si>
  <si>
    <t>A defendant's psychiatric evaluation is conducted by a professional with potential biases. What legal steps can be taken to address concerns about the impartiality of the evaluation?</t>
  </si>
  <si>
    <t>In the Philippines, if there are concerns about the impartiality of a defendant's psychiatric evaluation conducted by a professional with potential biases, several legal steps can be taken to address these concerns and ensure a fair assessment. Here are some options:
Request for a Second Opinion: The defendant or their legal representative can request a second psychiatric evaluation from an independent and impartial mental health professional. This allows for a fresh assessment by a different evaluator, potentially mitigating any biases present in the initial evaluation.
Challenge the Evaluation in Court: The defendant's legal representative can challenge the validity of the psychiatric evaluation during court proceedings. This may involve presenting evidence of potential biases or inconsistencies in the evaluation process and arguing for its exclusion or reconsideration by the court.
Cross-Examination of the Evaluator: During court proceedings, the defendant's legal representative can cross-examine the evaluator to probe for biases or inconsistencies in their assessment. This allows the defense to challenge the credibility of the evaluation and highlight any factors that may affect its impartiality.
Motion to Exclude or Supplement Evidence: The defendant's legal representative can file a motion to exclude or supplement the psychiatric evaluation as evidence based on concerns about its impartiality. The court will review the motion and make a determination on whether to admit, exclude, or supplement the evaluation in light of the presented arguments and evidence.
Request for a Hearing or Inquiry: The defendant's legal representative can request a hearing or inquiry to investigate allegations of bias or misconduct on the part of the evaluator. This may involve presenting evidence, calling witnesses, and allowing both parties to present their arguments before the court.
Appeal to Higher Courts: If the defendant believes that their rights were violated due to a biased psychiatric evaluation and the lower court fails to address the issue satisfactorily, they can appeal the court's decision to higher courts. Appellate courts have the authority to review the case and remedy any errors or injustices, including those related to the evaluation process.
By taking these legal steps, defendants in the Philippines can address concerns about the impartiality of psychiatric evaluations and seek a fair assessment of their mental health status during legal proceedings.</t>
  </si>
  <si>
    <t>An individual with a psychiatric illness is involuntarily committed to a mental health facility. What legal safeguards are in place to protect the individual's rights during the commitment?</t>
  </si>
  <si>
    <t>In the Philippines, individuals with psychiatric illnesses who are involuntarily committed to a mental health facility are entitled to certain legal safeguards to protect their rights. These safeguards are outlined in various laws and regulations, including the Mental Health Act (Republic Act 11036) and other relevant legislation. Here are some key legal safeguards:
Right to Due Process: Individuals subject to involuntary commitment have the right to due process, which includes being informed of the reasons for their commitment, the duration of their confinement, and their right to contest the commitment through legal procedures.
Judicial Review: The law provides for judicial review of involuntary commitments, where individuals have the right to challenge their confinement before a court. The court will assess the legality and necessity of the commitment and may order the individual's release if it is deemed unjustified.
Legal Representation: Individuals undergoing involuntary commitment have the right to legal representation. They may engage the services of a lawyer to advocate for their interests and defend their rights during legal proceedings related to their commitment.
Medical Examination and Assessment: Before being involuntarily committed, individuals must undergo a comprehensive medical examination and assessment by qualified mental health professionals. The assessment aims to determine the necessity and appropriateness of the commitment based on the individual's mental health condition.
Least Restrictive Alternative: Mental health facilities must adhere to the principle of the least restrictive alternative when providing care and treatment to involuntarily committed individuals. This means that interventions should be tailored to meet the individual's needs while minimizing restrictions on their liberty and autonomy.
Right to Treatment and Care: Involuntarily committed individuals have the right to receive appropriate treatment and care for their mental health condition. Mental health facilities are required to provide access to medical, psychiatric, psychological, and social interventions aimed at promoting recovery and well-being.
Regular Review and Monitoring: Mental health facilities must conduct regular reviews of the status and progress of involuntarily committed individuals. This includes monitoring their treatment, reevaluating the necessity of their confinement, and ensuring that their rights are respected throughout the commitment period.
Protection from Abuse and Neglect: Involuntarily committed individuals are entitled to protection from abuse, neglect, and exploitation while under the care of mental health facilities. Any allegations of mistreatment should be thoroughly investigated, and appropriate measures should be taken to address and prevent further harm.
By upholding these legal safeguards, the Philippines seeks to ensure that individuals with psychiatric illnesses who are involuntarily committed to mental health facilities receive appropriate care and treatment while safeguarding their rights and dignity.</t>
  </si>
  <si>
    <t>A defendant with a psychiatric illness is found guilty. What legal measures can be taken during sentencing to ensure an appropriate balance between justice and mental health considerations?</t>
  </si>
  <si>
    <t>When a defendant with a psychiatric illness is found guilty in the Philippines, the court must consider both justice and mental health considerations during sentencing. Here are some legal measures that can be taken to ensure an appropriate balance:
Psychiatric Evaluation and Assessment: The court may order a comprehensive psychiatric evaluation and assessment of the defendant to determine the extent of their mental illness, its impact on their behavior, and any mitigating factors that may affect sentencing.
Consideration of Mitigating Circumstances: The court should take into account any mitigating circumstances related to the defendant's psychiatric illness, such as diminished capacity, lack of intent, or impaired judgment at the time of the offense. These factors may warrant a more lenient sentence or alternative sentencing options.
Mental Health Treatment and Rehabilitation: Instead of or in addition to imprisonment, the court may consider ordering mental health treatment and rehabilitation for the defendant. This could include therapy, counseling, medication, and other interventions aimed at addressing their mental health needs and reducing the risk of reoffending.
Community-Based Sentencing Programs: The court may opt for community-based sentencing programs that allow the defendant to receive mental health treatment and supervision while remaining in the community. These programs offer alternatives to incarceration and focus on rehabilitation and reintegration into society.
Conditional Release or Probation: Depending on the circumstances of the case and the defendant's mental health status, the court may impose a sentence of conditional release or probation, subject to compliance with mental health treatment and other conditions.
Collaboration with Mental Health Professionals: The court should collaborate with mental health professionals, including psychiatrists, psychologists, and social workers, to develop an appropriate sentencing plan that addresses both the defendant's mental health needs and the interests of justice.
Continued Monitoring and Review: The court should establish mechanisms for continued monitoring and review of the defendant's mental health status and progress during the sentencing period. Adjustments to the sentencing plan may be made as necessary based on changes in the defendant's condition or circumstances.
By integrating these legal measures into the sentencing process, the court can strive to achieve a balance between justice and mental health considerations, ensuring that the defendant receives appropriate treatment and support while also being held accountable for their actions.</t>
  </si>
  <si>
    <t>A law enforcement officer is responding to a crisis involving an individual with a known psychiatric illness. What legal guidelines should the officer follow to de-escalate the situation and protect everyone involved?</t>
  </si>
  <si>
    <t>In responding to a crisis involving an individual with a known psychiatric illness, a law enforcement officer in the Philippines should follow the legal guidelines outlined in various laws and regulations. Here are some key points they should consider:
RA 11036 or the Mental Health Act: This law recognizes the rights of individuals with mental health conditions and mandates the promotion of mental health, the prevention of mental health conditions, and the provision of accessible and quality mental health services. The officer should be mindful of respecting the rights and dignity of the individual with a psychiatric illness.
RA 9262 or the Anti-Violence Against Women and Their Children Act: If the individual in crisis is a woman or a child with a psychiatric illness, the officer should be aware of this law, which provides protection and support to victims of violence, including psychological abuse.
RA 7877 or the Anti-Sexual Harassment Act of 1995: If there are allegations or indications of sexual harassment or abuse within the crisis situation, the officer should handle the situation in accordance with this law.
RA 6713 or the Code of Conduct and Ethical Standards for Public Officials and Employees: This law outlines ethical standards for public officials and employees, including law enforcement officers. The officer should conduct themselves professionally and ethically while dealing with the crisis situation.
Philippine National Police (PNP) Operational Procedures: The officer should adhere to the operational procedures and guidelines set by the PNP, which may include protocols for handling crisis situations involving individuals with mental health issues.
In de-escalating the situation and ensuring the safety of everyone involved, the officer should prioritize communication, empathy, and understanding. They should aim to peacefully resolve the crisis without resorting to unnecessary force or violence, while also taking appropriate measures to protect themselves and others from harm. If necessary, they should seek assistance from mental health professionals or other relevant authorities to provide appropriate support and intervention for the individual in crisis.</t>
  </si>
  <si>
    <t>A defendant's psychiatric evaluation reveals that they were not aware of the criminal nature of their actions at the time of the offense. What legal consequences should follow this evaluation?</t>
  </si>
  <si>
    <t>If a defendant's psychiatric evaluation reveals that they were not aware of the criminal nature of their actions at the time of the offense, this may indicate that they lacked the mental state required to form criminal intent. In legal terms, this defense is often referred to as the insanity defense or lack of criminal responsibility by reason of insanity. The legal consequences that follow this evaluation may vary depending on the jurisdiction and the specific circumstances of the case, but generally include the following possibilities:
Insanity Defense: The defendant may raise an insanity defense, arguing that they were not criminally responsible for their actions due to a mental illness or defect. This defense typically requires proof that, at the time of the offense, the defendant did not understand the nature and consequences of their actions or that they were unable to conform their behavior to the requirements of the law.
Trial Proceedings: If the insanity defense is raised, the case may proceed to trial, where the prosecution and defense will present evidence and arguments regarding the defendant's mental state at the time of the offense. The judge or jury will then determine whether the defendant meets the legal standard for insanity and, if so, whether they should be found not guilty by reason of insanity.
Verdict of Not Guilty by Reason of Insanity: If the judge or jury finds that the defendant meets the legal standard for insanity, they may return a verdict of not guilty by reason of insanity (NGRI). This verdict means that the defendant is not criminally responsible for the offense and cannot be convicted of the crime charged.
Commitment to Mental Health Facility: Instead of being sentenced to prison, a defendant found NGRI may be committed to a mental health facility for treatment and evaluation. The length of commitment and conditions of release will vary depending on the jurisdiction and the individual's treatment needs.
Periodic Reviews: Defendants committed to mental health facilities following an NGRI verdict may be subject to periodic reviews by mental health professionals and the court to assess their treatment progress, risk of harm to themselves or others, and eligibility for release.
Conditional Release or Discharge: In some cases, defendants found NGRI may be conditionally released or discharged from mental health facilities if they no longer pose a significant risk to public safety and are deemed to be in stable condition. Conditions of release may include continued treatment, supervision, and adherence to court orders.
It's important to note that the legal consequences of an insanity defense can vary significantly depending on the jurisdiction and the specific circumstances of the case. Additionally, the determination of criminal responsibility and the appropriate disposition of defendants found NGRI are complex legal and clinical matters that require careful consideration of the individual's mental health needs, public safety concerns, and legal principles of justice and fairness.</t>
  </si>
  <si>
    <t>A judge is determining the competency of a defendant with a psychiatric illness to stand trial. What legal standards should guide the judge's decision-making process?</t>
  </si>
  <si>
    <t>When a judge is determining the competency of a defendant with a psychiatric illness to stand trial, they must follow legal standards that guide their decision-making process. These legal standards vary by jurisdiction but generally include the following key principles:
Understanding of Proceedings: The defendant must have a sufficient understanding of the nature and purpose of the legal proceedings against them. This includes understanding the charges they are facing, the roles of the judge, jury, prosecutor, and defense attorney, and the possible consequences of the trial.
Ability to Assist in Defense: The defendant must have the ability to assist their defense attorney in preparing and presenting their case. This requires the capacity to communicate with their attorney, provide relevant information, make decisions about legal strategies, and participate in the defense process.
Rational Decision-Making: The defendant must have the ability to engage in rational decision-making regarding their defense. This includes weighing the potential risks and benefits of different legal strategies, making informed decisions about plea agreements, and understanding the consequences of their choices.
Competence Evaluation: The judge may order a competency evaluation to assess the defendant's mental state and capacity to stand trial. This evaluation is typically conducted by qualified mental health professionals, such as psychiatrists or clinical psychologists, who assess the defendant's cognitive functioning, understanding of legal proceedings, and ability to assist in their defense.
Legal Presumption of Competence: There is a legal presumption that defendants are competent to stand trial unless proven otherwise. The burden of proof is typically on the party challenging the defendant's competence, such as the defense attorney or prosecutor, to provide evidence that the defendant lacks the capacity to stand trial.
Rights of the Defendant: The judge must ensure that the defendant's rights are protected throughout the competency determination process. This includes the right to be represented by counsel, the right to a fair and impartial evaluation, the right to challenge the competency evaluation findings, and the right to a hearing before any determination of incompetence is made.
Least Restrictive Alternative: If the defendant is found incompetent to stand trial, the judge must consider the least restrictive alternative to trial proceedings. This may include involuntary commitment to a mental health facility for treatment until the defendant is deemed competent to stand trial or dismissal of charges if restoration to competency is unlikely.
Overall, judges must adhere to these legal standards to ensure that competency determinations are made fairly and accurately, and that defendants with psychiatric illnesses receive the necessary support and accommodations to participate effectively in the legal process.</t>
  </si>
  <si>
    <t>A defendant with a psychiatric illness is released on parole. What legal measures can be implemented to ensure the individual's successful reintegration into society while addressing their mental health needs?</t>
  </si>
  <si>
    <t>When a defendant with a psychiatric illness is released on parole, it's crucial to implement legal measures to support their successful reintegration into society while addressing their mental health needs. Here are some key legal measures that can be implemented:
Individualized Reentry Plan: Develop an individualized reentry plan that addresses the individual's mental health needs, including access to treatment, medication management, counseling, and support services. This plan should be tailored to the individual's specific circumstances and risk factors.
Access to Mental Health Services: Ensure that the individual has access to mental health services upon release, including psychiatric evaluation, medication management, therapy, and other necessary treatments. This may involve connecting the individual with community mental health providers or arranging for follow-up care.
Case Management and Support Services: Provide case management and support services to help the individual navigate the transition from incarceration to community living. This may include assistance with housing, employment, education, transportation, healthcare, and social services.
Mental Health Court or Specialty Courts: Consider enrolling the individual in a mental health court or specialty court program, if available, that is specifically designed to address the needs of individuals with mental illness involved in the criminal justice system. These courts offer alternative sentencing options, intensive supervision, and access to treatment and support services.
Supportive Housing: Arrange for supportive housing options for individuals with mental illness who may struggle to secure stable housing upon release. Supportive housing programs provide affordable housing coupled with supportive services, such as case management, counseling, and peer support.
Community-Based Treatment Programs: Encourage the individual to participate in community-based treatment programs, such as outpatient mental health clinics, day treatment programs, or peer support groups. These programs can help the individual maintain stability, manage their symptoms, and build social connections in the community.
Crisis Intervention Planning: Develop a crisis intervention plan in collaboration with mental health professionals, family members, and support networks to address potential mental health crises or relapses. This plan should outline steps to take in case of an emergency and identify resources for immediate assistance.
Regular Monitoring and Supervision: Provide regular monitoring and supervision of the individual's progress and compliance with parole conditions, including adherence to treatment recommendations and participation in support services. This may involve regular check-ins with parole officers, mental health providers, and other stakeholders.
Overall, successful reintegration of individuals with psychiatric illnesses into society requires a holistic approach that addresses their mental health needs, provides access to support services, and promotes stability and self-sufficiency in the community. By implementing legal measures to support reintegration and address mental health needs, individuals with psychiatric illnesses can have a better chance of achieving successful outcomes upon release from incarceration.</t>
  </si>
  <si>
    <t>An individual with a psychiatric illness claims to have committed a crime due to the influence of their mental health condition. What legal steps should be taken to assess the validity of this claim?</t>
  </si>
  <si>
    <t>When an individual with a psychiatric illness claims to have committed a crime due to the influence of their mental health condition, it's important to take several legal steps to assess the validity of this claim. Here are some key actions that should be considered:
Evaluation by Mental Health Professionals: The first step is to have the individual evaluated by qualified mental health professionals, such as psychiatrists or clinical psychologists. These professionals can assess the individual's mental health condition, determine whether it played a role in the commission of the alleged crime, and provide an expert opinion on the individual's mental state at the time of the offense.
Psychological Assessment: A comprehensive psychological assessment should be conducted to evaluate the individual's cognitive functioning, emotional state, and any psychiatric symptoms they may be experiencing. This assessment may include interviews, psychological testing, and review of medical records and other relevant information.
Consideration of Legal Standards: The assessment should consider legal standards for assessing mental state in criminal cases, such as the insanity defense or diminished capacity. These standards may vary depending on the jurisdiction but generally require proof that the individual lacked the capacity to understand the nature and consequences of their actions or to conform their behavior to the requirements of the law.
Review of Case History: It's important to review the individual's case history, including any prior diagnoses, treatment records, and history of mental health treatment or hospitalization. This can provide valuable insight into the individual's mental health history and any patterns of behavior that may be relevant to the current case.
Consultation with Legal Experts: Defense attorneys should consult with legal experts, such as forensic psychologists or psychiatrists, who specialize in the intersection of mental health and the law. These experts can provide guidance on legal standards, case law, and strategies for presenting evidence of the individual's mental health condition in court.
Presentation of Evidence: If the assessment supports the individual's claim of a mental health defense, the defense attorney can present evidence of the individual's mental health condition during legal proceedings. This may include expert testimony, medical records, and other relevant evidence to support the defense's argument.
Negotiation with Prosecution: In some cases, the defense attorney may negotiate with the prosecution to reach a plea agreement that takes into account the individual's mental health condition. This may involve reduced charges, alternative sentencing options, or diversion to mental health treatment programs.
Overall, assessing the validity of a claim of committing a crime due to the influence of a mental health condition requires a thorough evaluation by qualified professionals, consideration of legal standards, and strategic legal advocacy to ensure that the individual's rights are protected and their mental health needs are addressed effectively within the criminal justice system.</t>
  </si>
  <si>
    <t>Human Trafficking</t>
  </si>
  <si>
    <t>A defense attorney is representing a client with a psychiatric illness who is facing discrimination within the legal system. What legal actions can the attorney take to address these issues?</t>
  </si>
  <si>
    <t>When representing a client with a psychiatric illness who is facing discrimination within the legal system, a defense attorney can take several legal actions to address these issues and ensure that their client's rights are protected. Here are some potential steps the attorney can take:
Request Accommodations: The defense attorney can request accommodations for their client in accordance with disability rights laws. This may include accommodations such as providing a quiet space for meetings, allowing additional time for communication or comprehension, or providing alternative formats for court documents.
Challenge Discriminatory Treatment: If the defense attorney believes that their client is being discriminated against due to their psychiatric illness, they can challenge such treatment through legal means. This may involve filing complaints with relevant authorities, such as the court's administrative office or a human rights commission, and advocating for the client's rights to be upheld.
Educate Court Personnel: The defense attorney can educate court personnel, including judges, clerks, and bailiffs, about psychiatric illnesses and the accommodations needed to ensure fair treatment for their client. This may involve providing information about the client's condition, the impact it has on their ability to participate in legal proceedings, and the legal obligations to provide reasonable accommodations.
Seek Expert Testimony: The defense attorney can seek expert testimony from mental health professionals to support their client's case. Expert testimony can help to educate the court about the nature of psychiatric illnesses, the impact they have on individuals' behavior and decision-making, and the need for accommodations to ensure fair treatment in legal proceedings.
File Motions for Relief: If the client's psychiatric illness is significantly impairing their ability to participate in legal proceedings or to receive a fair trial, the defense attorney can file motions for relief. This may include motions for continuance, motions to suppress evidence obtained through discriminatory treatment, or motions to dismiss the case altogether.
Advocate for Treatment: The defense attorney can advocate for their client to receive appropriate treatment for their psychiatric illness, both within the legal system and in the community. This may involve working with mental health professionals, treatment providers, and social service agencies to ensure that the client's needs are met and that they are able to participate effectively in their defense.
Overall, the defense attorney's role is to zealously advocate for their client's rights and interests, including ensuring that they are treated fairly and without discrimination due to their psychiatric illness. By taking proactive legal actions and advocating for their client's needs, the defense attorney can help to address discriminatory treatment within the legal system and ensure that their client receives a fair trial.</t>
  </si>
  <si>
    <t>How is human trafficking defined under Philippine law?</t>
  </si>
  <si>
    <t>In the Philippines, human trafficking is defined and addressed under Republic Act No. 9208, also known as the "Anti-Trafficking in Persons Act of 2003," and its subsequent amendments. This law provides a comprehensive framework for preventing and combating human trafficking, as well as protecting and assisting victims. Under Philippine law, human trafficking is defined as follows:
Acts of Trafficking in Persons: Human trafficking encompasses a range of acts involving the recruitment, transportation, transfer, harboring, or receipt of persons, both domestically and internationally. These acts may be carried out through various means, including coercion, deception, fraud, abuse of power, or exploitation of vulnerability.
Purpose of Exploitation: Trafficking in persons involves the exploitation of individuals for various purposes, including forced labor, sexual exploitation, slavery, involuntary servitude, debt bondage, or organ trafficking. The law recognizes that trafficking victims may be subjected to different forms of exploitation and criminalizes all such acts.
Consent Irrelevant: Importantly, under Philippine law, the consent of the victim is irrelevant in determining whether an offense of trafficking in persons has been committed. Even if a person appears to consent to being trafficked, if they are subjected to exploitation through coercive or deceptive means, it is still considered human trafficking.
Aggravating Circumstances: The law identifies aggravating circumstances that may increase the severity of the offense, such as trafficking of minors, trafficking committed by public officials or employees, trafficking involving violence, threats, or intimidation, and trafficking committed by syndicates or organized groups.
Penalties: Perpetrators of human trafficking offenses face significant penalties under Philippine law, including imprisonment, fines, and other sanctions. Penalties are proportionate to the severity of the offense and may be enhanced for aggravating circumstances.
Overall, the definition of human trafficking under Philippine law is broad and encompasses various forms of exploitation and means of coercion or deception. The law aims to combat trafficking in persons comprehensively by criminalizing all aspects of the trafficking process, providing protection and assistance to victims, and promoting cooperation among government agencies and other stakeholders in addressing this crime.</t>
  </si>
  <si>
    <t>What legal measures are in place to prevent and combat human trafficking?</t>
  </si>
  <si>
    <t>Legal measures to prevent and combat human trafficking vary by jurisdiction, but they generally include a combination of criminal laws, victim protection measures, prevention efforts, and international cooperation. Here are some common legal measures in place to address human trafficking:
Criminalization: Laws specifically criminalize human trafficking activities, including recruitment, transportation, transfer, harboring, or receipt of persons for exploitation. These laws often carry severe penalties for perpetrators, such as imprisonment, fines, and asset forfeiture.
Victim Protection: Legal provisions ensure the protection and assistance of trafficking victims, including access to shelter, medical care, counseling, legal assistance, and other support services. Victims are often provided with immigration relief, confidentiality, and safeguards against further exploitation.
Prevention Programs: Governments implement prevention programs to raise awareness about human trafficking, educate communities about the risks and signs of trafficking, and promote reporting of suspected cases. Prevention efforts may target vulnerable populations, such as migrants, women, children, and marginalized groups.
International Cooperation: Countries cooperate with each other and with international organizations to combat human trafficking through information-sharing, joint investigations, capacity-building, and the exchange of best practices. Bilateral and multilateral agreements facilitate cooperation in addressing trafficking networks that operate across borders.
Regulation of Labor and Migration: Governments regulate labor recruitment and migration to prevent exploitation and trafficking of workers. This includes licensing and oversight of recruitment agencies, enforcement of labor standards, and measures to protect the rights of migrant workers.
Protection of Children: Legal measures focus on protecting children from trafficking and exploitation, including laws prohibiting child labor, child sex trafficking, and child marriage. Governments implement child protection policies, provide access to education, and strengthen child welfare systems to prevent and respond to trafficking of children.
Corporate Accountability: Some jurisdictions impose legal obligations on corporations to address human trafficking in their operations and supply chains. This may include requirements for due diligence, transparency, and reporting on efforts to prevent and mitigate the risk of trafficking.
Trafficking in Persons Reports: Many countries produce annual Trafficking in Persons (TIP) reports to assess efforts to combat trafficking and provide recommendations for improvement. These reports serve as a tool for accountability and monitoring progress in addressing trafficking at the national and international levels.
Overall, legal measures to prevent and combat human trafficking aim to disrupt trafficking networks, protect victims, hold perpetrators accountable, and promote collaboration among governments, civil society, and other stakeholders in the fight against this crime.</t>
  </si>
  <si>
    <t>How does the law address the recruitment, transportation, transfer, or harboring of persons for exploitation?</t>
  </si>
  <si>
    <t>The recruitment, transportation, transfer, or harboring of persons for exploitation is typically addressed by laws specifically targeting human trafficking. These laws aim to criminalize and prevent various forms of exploitation, such as forced labor, sexual exploitation, slavery, and involuntary servitude. Here are some common ways in which the law addresses these activities:
Criminalization: Human trafficking laws explicitly criminalize the recruitment, transportation, transfer, or harboring of persons for the purpose of exploitation. These activities are often defined broadly to encompass various forms of exploitation and may include elements such as coercion, deception, fraud, or abuse of power.
Specific Offenses: Human trafficking laws may delineate specific offenses related to different aspects of trafficking, such as recruitment, transportation, transfer, or harboring. These offenses may carry distinct penalties based on the severity of the crime and the specific circumstances involved.
Penalties: Perpetrators of human trafficking offenses face significant penalties under the law, including imprisonment, fines, and asset forfeiture. Penalties are typically proportionate to the severity of the offense and may be enhanced for aggravating factors such as the involvement of minors, use of violence, or involvement of organized crime.
Extraterritorial Jurisdiction: Many human trafficking laws provide for extraterritorial jurisdiction, allowing for the prosecution of trafficking offenses committed abroad by nationals or residents of the prosecuting country. This enables authorities to pursue traffickers who operate across international borders.
Protection of Victims: Human trafficking laws often include provisions for the protection of trafficking victims, including measures to ensure their safety, provide access to support services, and prevent further exploitation. Victims may be granted immigration relief, access to shelter, medical care, legal assistance, and other forms of support.
Prevention and Awareness: In addition to criminalizing trafficking offenses, laws may include provisions for prevention efforts and public awareness campaigns to educate communities about the signs of trafficking, promote reporting of suspected cases, and deter potential traffickers.
Overall, human trafficking laws play a critical role in combating exploitation and protecting the rights and dignity of vulnerable individuals. By criminalizing recruitment, transportation, transfer, and harboring for exploitation, these laws aim to hold perpetrators accountable, prevent further victimization, and promote justice for trafficking survivors.</t>
  </si>
  <si>
    <t>What role do law enforcement agencies play in investigating and prosecuting human trafficking cases?</t>
  </si>
  <si>
    <t>Law enforcement agencies play a crucial role in investigating and prosecuting human trafficking cases. Their responsibilities include identifying and apprehending traffickers, rescuing victims, gathering evidence, and collaborating with other agencies and stakeholders to bring traffickers to justice. Here are some key aspects of law enforcement's role in combating human trafficking:
Investigation: Law enforcement agencies are responsible for investigating allegations of human trafficking. This involves conducting interviews, gathering evidence, conducting surveillance, and gathering intelligence to identify trafficking networks and perpetrators.
Rescue Operations: Law enforcement agencies often lead rescue operations to liberate trafficking victims from exploitative situations. These operations may involve coordinated efforts with other agencies, such as social services, immigration, and non-governmental organizations (NGOs).
Arrest and Prosecution: Once traffickers are identified, law enforcement agencies work to apprehend and arrest them. This may involve gathering sufficient evidence to support criminal charges, obtaining arrest warrants, and executing arrests.
Victim Identification and Assistance: Law enforcement agencies are tasked with identifying trafficking victims among individuals encountered during investigations or operations. They also play a key role in connecting victims with support services, such as shelter, medical care, counseling, legal assistance, and immigration relief.
Interagency Cooperation: Law enforcement agencies often collaborate with other government agencies, such as immigration authorities, labor departments, and child protection agencies, as well as international partners, to combat human trafficking. This cooperation enhances information-sharing, facilitates joint operations, and strengthens efforts to disrupt trafficking networks.
Training and Capacity Building: Law enforcement agencies provide training and capacity-building programs for their personnel to enhance their understanding of human trafficking dynamics, victim-centered approaches, and effective investigative techniques. This helps ensure that law enforcement officers are equipped to identify and respond to trafficking cases effectively.
Public Awareness and Outreach: Law enforcement agencies may engage in public awareness campaigns to educate communities about the signs of human trafficking and encourage reporting of suspicious activities. They also conduct outreach activities to build trust with vulnerable populations and encourage victims to come forward for assistance.
Overall, law enforcement agencies play a critical role in investigating, prosecuting, and preventing human trafficking, working alongside other stakeholders to dismantle trafficking networks, rescue victims, and hold perpetrators accountable for their crimes.</t>
  </si>
  <si>
    <t>Are there specific legal provisions for the protection of victims of human trafficking?</t>
  </si>
  <si>
    <t>Yes, the Philippines has specific legal provisions for the protection of victims of human trafficking. These provisions are outlined primarily in Republic Act No. 9208, also known as the "Anti-Trafficking in Persons Act of 2003," and its subsequent amendments. Some key provisions for the protection of trafficking victims under Philippine law include:
Protection Orders: The law allows courts to issue protection orders to ensure the safety and well-being of trafficking victims. These orders may include provisions such as restraining orders, no-contact orders, and orders to prevent further exploitation or harm to the victim.
Confidentiality and Privacy: The law protects the confidentiality and privacy of trafficking victims throughout legal proceedings. Victims have the right to anonymity, and their identities must be kept confidential to prevent further harm or retaliation.
Access to Services: Trafficking victims are entitled to access a range of services to support their recovery and rehabilitation. These services may include shelter, medical and psychological care, legal assistance, education and vocational training, and reintegration support.
Non-Penalization: Victims of trafficking are not to be prosecuted or penalized for their involvement in unlawful activities that were a direct result of their trafficking situation. This provision aims to prevent further victimization and ensure that victims are treated as such, rather than as criminals.
Immigration Relief: Trafficking victims are eligible for immigration relief, including temporary or permanent residency status, if they meet certain criteria outlined in the law. This provision allows victims to remain in the country legally and access support services without fear of deportation.
Witness Protection: Victims who cooperate with law enforcement authorities in the investigation and prosecution of trafficking cases may be eligible for witness protection measures to ensure their safety and security.
Restitution and Compensation: Trafficking victims have the right to seek restitution and compensation for the damages they have suffered as a result of their trafficking experience. This may include compensation for lost wages, medical expenses, counseling costs, and other damages.
Overall, these legal provisions aim to ensure that trafficking victims are protected from further harm, provided with the support they need to recover from their experiences, and empowered to seek justice against their traffickers.</t>
  </si>
  <si>
    <t>How does Philippine law address the international dimension of human trafficking?</t>
  </si>
  <si>
    <t>The Philippines has laws in place to address the international dimension of human trafficking, particularly concerning the trafficking of Filipino nationals to other countries and the trafficking of foreign nationals into the Philippines. Here are some key aspects of Philippine law regarding the international dimension of human trafficking:
Republic Act No. 9208, the Anti-Trafficking in Persons Act of 2003: This law criminalizes all forms of human trafficking, including trafficking for the purposes of sexual exploitation, forced labor, slavery, involuntary servitude, debt bondage, or organ trafficking. It also provides for the protection and assistance of victims of trafficking, regardless of their nationality.
Extraterritorial Jurisdiction: Philippine law allows for the prosecution of Filipino citizens and residents who engage in human trafficking offenses abroad. This means that Filipino traffickers can be prosecuted in the Philippines for crimes committed outside the country's borders.
International Cooperation: The Philippines participates in international efforts to combat human trafficking through cooperation with other countries, international organizations, and law enforcement agencies. This includes sharing information, coordinating investigations, and extraditing traffickers to face prosecution.
Bilateral and Multilateral Agreements: The Philippines has entered into bilateral and multilateral agreements with other countries to strengthen cooperation in combating human trafficking. These agreements may include provisions for mutual legal assistance, extradition, and the repatriation of trafficking victims.
Prevention and Protection Measures: The Philippine government has implemented measures to prevent human trafficking, protect vulnerable populations, and provide assistance to trafficking victims. This includes awareness-raising campaigns, training for law enforcement and immigration officials, and the establishment of shelters and support services for victims.
Regulation of Recruitment Agencies: The Philippine government regulates the recruitment and deployment of overseas workers to protect them from exploitation and trafficking. This includes licensing and monitoring of recruitment agencies, as well as the imposition of sanctions for violations of labor and migration laws.
Overall, Philippine law recognizes the importance of addressing the international dimension of human trafficking and has implemented various measures to prevent trafficking, prosecute offenders, protect victims, and cooperate with other countries in combating this crime.</t>
  </si>
  <si>
    <t>What penalties apply to individuals convicted of engaging in human trafficking activities?</t>
  </si>
  <si>
    <t>Penalties for individuals convicted of engaging in human trafficking activities vary widely depending on the jurisdiction and the specific circumstances of the case. However, human trafficking is universally considered a serious crime, and perpetrators can face significant penalties, including lengthy prison sentences and substantial fines. Here are some common penalties that may apply:
Prison Sentences: Individuals convicted of human trafficking offenses can face lengthy prison sentences, often ranging from several years to life imprisonment, depending on the severity of the crime, the age of the victims, and other aggravating factors. In some jurisdictions, mandatory minimum sentences may apply to certain trafficking offenses.
Fines: Traffickers may also be ordered to pay fines as part of their sentence. These fines can be substantial and may be imposed in addition to imprisonment or other penalties.
Restitution: Courts may order traffickers to pay restitution to their victims to compensate them for the harm they have suffered, including lost wages, medical expenses, and other damages resulting from the trafficking experience.
Asset Forfeiture: In cases where traffickers have profited financially from their criminal activities, courts may order the forfeiture of assets obtained through trafficking, such as money, property, vehicles, or other assets.
Registration as Sex Offender: Traffickers convicted of sexual exploitation offenses, particularly those involving child victims, may be required to register as sex offenders, subjecting them to additional monitoring and restrictions after their release from prison.
Enhanced Penalties for Aggravating Factors: In cases involving aggravating factors such as violence, coercion, use of weapons, or trafficking of minors, perpetrators may face enhanced penalties, including longer prison sentences or higher fines.
Immigration Consequences: Traffickers who are non-citizens may face deportation or removal proceedings following their conviction, in addition to any criminal penalties imposed.
Civil Penalties: In addition to criminal penalties, traffickers may also face civil lawsuits filed by their victims seeking compensation for damages resulting from the trafficking, such as pain and suffering, emotional distress, and loss of earnings.
Overall, the penalties for human trafficking are designed to be severe in order to deter future offenses, punish perpetrators, and provide justice for victims of this heinous crime. Additionally, many jurisdictions have enacted laws and policies aimed at preventing human trafficking, prosecuting offenders, and providing support and assistance to trafficking survivors.</t>
  </si>
  <si>
    <t>How are individuals involved in child trafficking treated differently under the law?</t>
  </si>
  <si>
    <t>Individuals involved in child trafficking are treated differently under the law due to the recognition of children's unique vulnerabilities and the severity of the crime. Here are several ways in which the law typically treats child trafficking differently:
Age of Consent: In cases of child trafficking, the age of consent is often irrelevant because minors lack the legal capacity to consent to their exploitation. Therefore, even if a child appears to consent to being trafficked, it is still considered a crime.
Protection as Victims: Children who are trafficked are recognized as victims of exploitation rather than criminals themselves. The focus is on their protection, rehabilitation, and support rather than punishment. This approach reflects the understanding that children are often coerced or manipulated into trafficking situations and are not capable of making informed decisions about their exploitation.
Strict Penalties for Offenders: Perpetrators of child trafficking typically face harsher penalties under the law compared to trafficking adults. This is because trafficking children is considered an aggravated offense due to the vulnerability of minors and the severe impact of exploitation on their physical, emotional, and psychological well-being.
Specialized Legal Procedures: Legal procedures for cases involving child trafficking may be specialized to accommodate the unique needs and vulnerabilities of child victims. This may include the use of child-friendly interview techniques, protection of the child's privacy and confidentiality, and access to support services such as counseling and advocacy.
Mandatory Reporting Laws: Many jurisdictions have mandatory reporting laws that require professionals who work with children, such as teachers, healthcare providers, and social workers, to report suspected cases of child trafficking to the authorities. Failure to report can result in legal consequences for the mandated reporter.
Focus on Best Interest of the Child: Legal decisions related to child trafficking prioritize the best interest of the child, taking into account factors such as their safety, well-being, and need for care and protection. This principle guides decisions regarding child protection, custody, and rehabilitation.
Overall, the law recognizes the unique vulnerabilities of children and aims to provide them with enhanced protection, support, and legal remedies in cases of trafficking. The focus is on holding perpetrators accountable, preventing further harm to children, and promoting their recovery and well-being.</t>
  </si>
  <si>
    <t>Are there legal provisions for the rehabilitation and support of victims of human trafficking?</t>
  </si>
  <si>
    <t>Yes, many jurisdictions have legal provisions in place to ensure the rehabilitation and support of victims of human trafficking. These provisions aim to address the complex needs of trafficking survivors and help them recover from their experiences. Some common legal measures for the rehabilitation and support of trafficking victims include:
Victim Assistance Programs: Many countries have established victim assistance programs or services specifically tailored to the needs of trafficking survivors. These programs may provide a range of services, including housing, medical care, counseling, legal assistance, education, vocational training, and job placement support.
Access to Healthcare: Trafficking victims may be entitled to receive medical care and treatment for physical and psychological injuries resulting from their trafficking experiences. Some jurisdictions provide free or subsidized healthcare services for trafficking survivors.
Legal Support: Trafficking victims may have access to legal assistance and representation to help them navigate the legal system, understand their rights, and seek justice against their traffickers. This may include assistance with obtaining legal status, pursuing compensation or restitution, and participating in criminal proceedings.
Shelter and Housing: Victims of trafficking may be provided with safe and secure shelter or housing options to escape from their traffickers and rebuild their lives. This may include emergency shelters, transitional housing, or longer-term accommodation options.
Financial Assistance: Some jurisdictions provide financial assistance or compensation to trafficking survivors to help them meet their immediate needs and support their rehabilitation process. This may include funds for housing, living expenses, education, vocational training, or other essential needs.
Reintegration and Social Services: Trafficking survivors may receive support and assistance with reintegrating into society and rebuilding their lives. This may include access to social services, support groups, community-based organizations, and other resources to help them develop life skills, build social connections, and achieve independence.
Child Welfare Services: Trafficking victims who are children may be entitled to additional protections and support services through child welfare agencies. This may include placement in foster care, counseling, educational support, and other services to ensure their safety and well-being.
Overall, the aim of these legal provisions is to provide comprehensive support and assistance to trafficking victims, empowering them to recover from their experiences, rebuild their lives, and move forward towards a brighter future.</t>
  </si>
  <si>
    <t>How does the law address the liability of corporations or entities involved in human trafficking?</t>
  </si>
  <si>
    <t>The liability of corporations or entities involved in human trafficking can vary depending on the jurisdiction and the specific circumstances of the case. Generally, laws addressing corporate liability for human trafficking focus on holding corporations accountable for their actions or lack of action that contribute to or facilitate trafficking, such as:
Criminal Liability: In many jurisdictions, corporations can face criminal charges if they are found to have knowingly benefited from or participated in human trafficking activities. This could include charges of conspiracy, aiding and abetting, or being an accessory to trafficking.
Civil Liability: Victims of human trafficking may bring civil lawsuits against corporations for their role in facilitating trafficking. This could include claims for damages based on negligence, premises liability, or violations of labor and employment laws.
Regulatory Liability: Corporations may also face regulatory penalties or sanctions for failing to prevent human trafficking within their operations or supply chains. Many countries have enacted laws requiring corporations to implement measures to identify and address human trafficking risks in their business activities.
Corporate Social Responsibility (CSR) Standards: In addition to legal liability, corporations may face reputational damage and loss of business if they are found to be associated with human trafficking. Many companies have adopted CSR policies that include commitments to combatting human trafficking and other forms of exploitation in their operations and supply chains.
International Standards and Treaties: Several international treaties and standards address the responsibility of corporations in preventing and combating human trafficking. For example, the United Nations Guiding Principles on Business and Human Rights outline the responsibility of corporations to respect human rights and take steps to prevent and address human rights abuses, including trafficking, in their operations.
Overall, the liability of corporations or entities involved in human trafficking is increasingly being recognized and addressed through a combination of legal, regulatory, and voluntary mechanisms aimed at preventing exploitation and holding perpetrators accountable.</t>
  </si>
  <si>
    <t>What legal measures are in place to ensure the confidentiality and safety of human trafficking victims during legal proceedings?</t>
  </si>
  <si>
    <t>Legal measures aimed at ensuring the confidentiality and safety of human trafficking victims during legal proceedings can vary by jurisdiction, but there are several common approaches and protections in place:
Confidentiality Orders: Courts may issue confidentiality orders to protect the identity of trafficking victims during legal proceedings. These orders typically restrict the dissemination of identifying information about the victim, such as their name, address, or any other details that could lead to their identification.
Closed Courtrooms: In some cases, courts may hold closed hearings or limit access to the courtroom to protect the privacy and safety of trafficking victims. This helps prevent the victim's identity from being publicly disclosed during proceedings.
Use of Pseudonyms: Victims may be allowed to use pseudonyms or initials instead of their real names in court documents and proceedings to further protect their identity.
Restrictions on Cross-Examination: Courts may place restrictions on the cross-examination of trafficking victims to prevent re-traumatization or harassment. This can include limiting the scope of questioning or requiring that certain topics be addressed in a more sensitive manner.
Witness Protection Programs: Some jurisdictions have witness protection programs in place to provide additional security and support to trafficking victims who are testifying in court. This may include relocation assistance, security measures, and ongoing support services.
Victim Advocates: Courts may appoint victim advocates or support personnel to assist trafficking victims throughout the legal process. These advocates can provide emotional support, help victims understand their rights, and connect them with appropriate services.
Trauma-Informed Approaches: Legal professionals may receive training on trauma-informed approaches to working with trafficking victims, which emphasizes understanding the impact of trauma on victims and adapting legal proceedings accordingly.
Restricting Public Access to Records: Courts may restrict public access to certain records or documents related to trafficking cases to protect the confidentiality of victims and other sensitive information.
Overall, the goal of these legal measures is to ensure that trafficking victims can participate in legal proceedings without fear of retaliation, re-victimization, or further harm, while still upholding the principles of due process and fairness in the legal system.</t>
  </si>
  <si>
    <t>How does the law address the smuggling of migrants in the context of human trafficking?</t>
  </si>
  <si>
    <t>Philippine law distinguishes between Smuggling of Migrants and Trafficking in Persons, although the two can be linked. Here's how they are addressed:
**Smuggling of Migrants**
* **Republic Act No. 9208 or the Anti-Trafficking in Persons Act of 2003 (ATIP Act)**: While the primary focus is on trafficking, **Section 6** also penalizes acts of migrant smuggling. This includes the facilitation of the illegal entry of foreign nationals for financial or other gain.
* **Article 183 of the Revised Penal Code (RPC)** on Conspiracy to commit a crime: This can apply to migrant smuggling if two or more people agree to facilitate the illegal entry and carry out the plan.
**Trafficking in Persons**
* **Republic Act No. 9208 or the Anti-Trafficking in Persons Act of 2003 (ATIP Act)**: This is the main law that defines and penalizes all forms of trafficking, including:
* **Section 3** defines trafficking which involves recruitment, transportation, harboring, or receipt of persons for exploitation, including forced labor, sexual exploitation, servitude, or organ removal. * **Section 4** outlines the different acts of trafficking, which can involve fraud, coercion, abuse of power, or a position of vulnerability.
**The Link Between Smuggling and Trafficking**
While migrant smuggling focuses on illegal entry, the smuggled migrants become vulnerable to trafficking during the process. If threats, violence, or coercion are used to exploit them after they enter the country, the crime becomes trafficking under the ATIP Act.
**Important to Note**
* Both migrant smuggling and trafficking are serious crimes with significant penalties under Philippine law.
* The ATIP Act prioritizes the protection and assistance of victims.
For further information on these laws, you can refer to the official government websites:
* Philippine Commission on Women (PCW): [https://pcw.gov.ph/](https://pcw.gov.ph/) * Inter-Agency Council Against Trafficking (IACAT): [https://iacat.gov.ph/](https://iacat.gov.ph/)</t>
  </si>
  <si>
    <t>What role do non-governmental organizations (NGOs) play in the prevention and intervention of human trafficking cases?</t>
  </si>
  <si>
    <t>Non-governmental organizations (NGOs) play a crucial role in preventing and intervening in human trafficking cases in the Philippines. Here's a breakdown of their key contributions:
**Raising Awareness:**
* NGOs conduct educational campaigns in communities most vulnerable to trafficking. * They inform potential victims and the public about red flags to identify trafficking situations.
* They may also advocate for legislative reforms to strengthen anti-trafficking laws.
**Victim Identification and Support:**
* Some NGOs operate hotlines or shelters where victims can seek help. * They can provide psychological support, legal aid, and assistance with reintegration back into society.
* They can also connect victims with government agencies for further support and protection.
**Empowering Vulnerable Populations:**
* NGOs may work with women's groups, indigenous communities, or migrant workers** to increase their awareness of trafficking risks and enhance their economic opportunities**, thereby reducing their vulnerability.
**Supporting Law Enforcement:**
* Some NGOs collaborate with law enforcement agencies** by providing information on suspected trafficking activities. * They may also offer training to law enforcement on victim identification and investigation techniques.
**Challenges and Considerations:**
* **Funding:** NGOs often rely on donations and grants, which can be inconsistent**. * **Sustainability:** Long-term funding is crucial for NGOs to maintain their anti-trafficking efforts.
* **Reaching Remote Areas:** Reaching geographically isolated communities most vulnerable to trafficking can be challenging.
**Examples of NGOs in the Philippines:**
* Visayan Forum Foundation (VVF)
* La Salle Institute for Studies on Migration and Social Development (LSIS)
* Gabriela Women's Network
**Overall, NGOs play a vital role in supplementing government efforts to combat human trafficking. Their work in raising awareness, supporting victims, and empowering communities strengthens the Philippines' response to this complex crime.**
Here are some additional resources:
* Inter-Agency Council Against Trafficking (IACAT): [https://iacat.gov.ph/](https://iacat.gov.ph/)
* Alliance Against Trafficking in Persons (AATIP): [https://en.wikipedia.org/wiki/Advanced_Aerospace_Threat_Identification_Program](https://en.wikipedia.org/wiki/Advanced_Aerospace_Threat_Identification_Program)</t>
  </si>
  <si>
    <t>How are cross-border cooperation and international agreements utilized in combating human trafficking?</t>
  </si>
  <si>
    <t>The Philippines recognizes the transnational nature of human trafficking and utilizes various mechanisms for cross-border cooperation and international agreements to combat this crime. Here's how these efforts work:
**Importance of Collaboration:**
* Trafficking networks often operate across borders, making international cooperation crucial for effective investigation and prosecution. **Mechanisms for Cooperation:**
* **Bilateral Agreements:** The Philippines has bilateral agreements with numerous countries** specifically focused on combating human trafficking. These agreements outline cooperation frameworks for information sharing, joint investigations, capacity building, and victim protection.
* **Multilateral Agreements:** The Philippines is a signatory to international conventions like the UN Protocol to Prevent, Suppress and Punish Trafficking in Persons, Especially Women and Children (Palermo Protocol). These agreements establish global standards for cooperation and obligations for member states to work together against trafficking. **Benefits of International Cooperation:**
* **Information Sharing:** Law enforcement agencies can share information about trafficking networks, suspects, and victim identification. * **Joint Investigations:** Countries can collaborate on investigations** that involve cross-border activities. * **Victim Protection:** International cooperation can ensure consistent support for victims, regardless of where they are rescued. * **Capacity Building:** Developed countries can provide training and resources** to help strengthen the Philippines' anti-trafficking efforts.
**Challenges and Considerations:**
* **Differences in Legal Systems:** Varying legal frameworks across countries can create challenges for extradition, evidence sharing, and prosecution.
* **Resource Constraints:** Effective international cooperation often requires adequate resources** for travel, communication, and joint operations. * **Political Will:** The commitment of governments** to prioritize anti-trafficking efforts is crucial for sustained cooperation.
**The Role of the Philippines:**
* The Philippines actively participates in international forums on human trafficking and shares best practices.
* The Inter-Agency Council Against Trafficking (IACAT)** coordinates anti-trafficking efforts within the Philippines and acts as a liaison for international cooperation.
**Overall, cross-border cooperation and international agreements are essential tools in the fight against human trafficking. By working together, countries can disrupt trafficking networks, protect victims, and hold perpetrators accountable on a global scale.**
Here are some resources for further information:
* Inter-Agency Council Against Trafficking (IACAT): [https://iacat.gov.ph/](https://iacat.gov.ph/)
* United Nations Office on Drugs and Crime (UNODC): [https://www.unodc.org/unodc/human-trafficking/](https://www.unodc.org/unodc/human-trafficking/)</t>
  </si>
  <si>
    <t>What legal provisions govern the investigation and prosecution of human trafficking cases involving online platforms?</t>
  </si>
  <si>
    <t>The Philippines has legal provisions that can be applied to investigate and prosecute human trafficking cases involving online platforms, though specific legislation solely focused on online trafficking is still under development. Here's a breakdown of what exists:
**Existing Laws:**
* **Anti-Trafficking in Persons Act (RA 9208):** This act remains the core legal framework for trafficking cases. While not explicitly mentioning online platforms, its definition of trafficking (acts, means, and purpose) can be applied to online activities.
* **Acts:** Recruitment, transportation, transfer, harboring, or receipt of a person can all occur online through social media, messaging apps, or deceptive websites.
* **Means:** Threats, force, coercion, deception, and abuse of vulnerability can all be facilitated online. * **Purpose:** Exploitation, including sex trafficking and forced labor, can be advertised or coordinated online.
* **Republic Act No. 10175 (Cybercrime Prevention Act of 2012):** This law can be used in conjunction with RA 9208 for online aspects of trafficking.
* **Content Offenses:** This act penalizes the production, possession, and distribution of online content related to child sexual exploitation. * **Online Recruitment:** Provisions against online fraud and deception can be applied to situations where victims are recruited online through false promises.
* **Other Relevant Laws:** Depending on the specific content or activity, other laws like the Revised Penal Code (e.g., pornography) may also be applicable. **Challenges and Considerations:**
* **Evolving Technology:** Traffickers constantly adapt their methods online, requiring law enforcement to stay up-to-date with technological advancements.
* **Jurisdictional Issues:** Online platforms often operate across borders, making investigations and prosecution complex, especially in transnational trafficking cases.
* **Preserving Evidence:** Collecting and preserving digital evidence online is crucial for building a strong case. **What's Being Done:**
* **RA 11930 (Anti-Trafficking in Persons Act of 2022):** This recently enacted law strengthens RA 9208 and specifically targets the online aspect of trafficking. * While implementing regulations are still under development, it highlights the growing recognition of online trafficking.
* **Cooperation with Online Platforms:** Law enforcement agencies are increasingly working with social media companies and other online platforms to identify suspicious activity and remove content related to trafficking.
**Overall, the Philippines has a legal framework that can be used to address human trafficking cases involving online platforms. However, the evolving nature of online activity and jurisdictional complexities require ongoing efforts to strengthen legal frameworks, improve law enforcement capabilities, and foster cooperation with online platforms.**
**Here are some resources for further information:**
* Inter-Agency Council Against Trafficking (IACAT): [https://iacat.gov.ph/](https://iacat.gov.ph/)
* National Bureau of Investigation (NBI) Anti-Trafficking in Persons Division (ATPD): [https://www.doj.gov.ph/](https://www.doj.gov.ph/)
**Remember, if you suspect a case of online human trafficking, report it immediately** to the NBI-ATPD hotline or your local PNP-WCPC office.</t>
  </si>
  <si>
    <t>How does Philippine law address the issue of forced labor and exploitation in the context of human trafficking?</t>
  </si>
  <si>
    <t>Philippine law directly addresses forced labor and exploitation as core elements of human trafficking in the Anti-Trafficking in Persons Act of 2003 (Republic Act No. 9208), amended by the Expanded Anti-Trafficking in Persons Act of 2012 (Republic Act No. 10364). Here's a breakdown of how the law tackles this issue:
**Defining Trafficking:**
* Section 4 of RA 9208 defines trafficking in persons** based on three key elements:
1. **Acts:** Recruitment, transportation, transfer, harboring, or receipt of a person.
2. **Means:** Threats, force, coercion, abduction, fraud, deception, abuse of power or vulnerability, or the giving or receiving of payments/benefits to control another person.
3. **Purpose:** Exploitation, which includes **forced labor**, slavery, servitude, or practices similar to slavery.
**Forced Labor as Exploitation:**
* The law specifically mentions **forced labor** as a form of exploitation within the definition of trafficking. * This means any situation where a person is forced to work through threats, coercion, debt bondage, withholding of travel documents, or restriction of movement constitutes trafficking. **Examples of Forced Labor:**
* Individuals forced to work long hours under poor conditions with little or no pay.
* People deceived into jobs abroad and then forced into labor to pay off fabricated debts.
* Children exploited in labor-intensive activities, like mining or agriculture.
**Penalties for Forced Labor Trafficking:**
* Those convicted of trafficking for forced labor face severe penalties**, including imprisonment and fines. The severity depends on the specific circumstances of the case.
**Protection for Victims:**
* RA 9208 mandates **government agencies** to provide protection programs for victims of trafficking, including those exploited through forced labor. * This may involve shelter, medical care, psychological support, and assistance with reintegration back into their communities.
**Importance of Identifying Forced Labor:**
* Recognizing the indicators of forced labor is crucial for law enforcement to investigate potential trafficking cases**. * These indicators can include restrictions on movement, excessive working hours, debt bondage, poor living conditions, and physical or verbal abuse**.
**Challenges and Considerations:**
* **Hidden Nature:** Forced labor situations can be difficult to detect** as they may occur in private settings or disguised as legitimate employment.
* **Vulnerable Populations:** Certain populations, like migrant workers or children**, are more susceptible to forced labor trafficking.
* **Law Enforcement Training:** Law enforcement agencies need ongoing training** to identify and investigate forced labor trafficking effectively.
**Overall, the Philippines has a legal framework that criminalizes forced labor within the context of human trafficking. However, continued efforts are needed to strengthen enforcement mechanisms, raise awareness of forced labor indicators, and protect vulnerable populations.**
If you suspect a situation of forced labor trafficking, report it to the authorities** immediately. You can contact the NBI-ATPD hotline or your local PNP-WCPC office.</t>
  </si>
  <si>
    <t>Are there specific legal provisions for the protection of vulnerable populations from human trafficking?</t>
  </si>
  <si>
    <t>Yes, the Philippines recognizes the increased vulnerability of certain populations to human trafficking and has legal provisions for their specific protection. Here's a breakdown of some key aspects:
**Focus on Vulnerability:**
The **Anti-Trafficking in Persons Act (RA 9208)**, as amended by **RA 10364**, acknowledges that certain factors can make individuals more susceptible to trafficking. The law considers factors like:
* **Age:** Children (below 18 years old) are presumed vulnerable due to their age and development stage. * **Gender:** Women and girls are statistically more at risk of trafficking for sexual exploitation.
* **Economic Disadvantage:** Poverty and lack of employment opportunities can increase vulnerability.
* **Indigenous Peoples:** Marginalized communities may have limited access to resources and support.
**Enhanced Protections:**
* **Identification:** Law enforcement and social service agencies are trained to identify potential victims considering vulnerability factors.
* **Prevention Programs:** Government agencies may develop targeted programs to address the specific needs and risks faced by vulnerable populations. * This could involve education campaigns, livelihood support, or skills training to empower individuals and reduce vulnerability.
**Specific Examples:**
* **RA 10028:** This act strengthens the protection of overseas Filipino workers (OFWs)**, a population vulnerable to trafficking for labor exploitation. * **RA 7610:** The Special Protection of Children Against Abuse, Exploitation and Discrimination Act focuses on protecting children from various forms of abuse and exploitation, including trafficking.
* **Indigenous Peoples Rights Act (RA 8371):** This act recognizes the rights and welfare** of indigenous communities, including protections against exploitation and trafficking.
**Challenges and Considerations:**
* **Reaching Vulnerable Populations:** Ensuring outreach programs** effectively reach and empower vulnerable populations can be challenging.
* **Resource Allocation:** Adequate resources and support are essential to implement effective prevention and protection programs.
* **Data Collection:** Reliable data on the specific vulnerabilities faced by different groups is crucial for tailoring protection measures.
**Overall, the Philippines has legal measures in place to address the vulnerability of certain populations to human trafficking. However, continued efforts are required to ensure these provisions translate into effective action and provide targeted support to those most at risk.**
Here are some resources for further information:
* Inter-Agency Council Against Trafficking (IACAT): [https://iacat.gov.ph/](https://iacat.gov.ph/)
* Department of Social Welfare and Development (DSWD): [https://www.dswd.gov.ph/](https://www.dswd.gov.ph/)
* Commission on Indigenous Peoples (CIP): [invalid URL removed]</t>
  </si>
  <si>
    <t>How are individuals involved in the financing or facilitation of human trafficking held accountable under the law?</t>
  </si>
  <si>
    <t>The Philippines holds individuals accountable for their involvement in human trafficking financing and facilitation through various legal mechanisms:
**Republic Act No. 9208 (Anti-Trafficking in Persons Act of 2003), as amended by RA 10364:**
* **Acts Constituting Trafficking in Persons:** Section 4 of this act defines trafficking in persons. It criminalizes not only the direct acts of recruitment, transportation, harboring, etc. of victims, but also acts that **facilitate** these activities. * **Financing:** The law doesn't explicitly mention financing as a separate offense. However, providing financial resources used to commit trafficking can be interpreted as facilitation. For example, funding the recruitment of victims or transportation costs could be considered facilitation.
**Other Relevant Laws:**
* **Money Laundering:** Republic Act No. 9160 (Anti-Money Laundering Act) can be applied in human trafficking cases. This law criminalizes laundering money derived from illegal activities, including trafficking. If someone knowingly finances human trafficking activities, they could be charged with money laundering.
* **Conspiracy:** The Revised Penal Code also has provisions on conspiracy. Individuals who agree to plan or cooperate in committing trafficking, even if they don't directly carry out the acts, can be held liable as co-conspirators.
**Levels of Accountability:**
The extent of legal consequences depends on the specific role and level of involvement in financing or facilitation. * **Direct Financiers:** Those who knowingly provide financial resources directly used for trafficking activities might face the harshest penalties**, including imprisonment and fines.
* **Indirect Support:** Individuals who unknowingly contribute to financing, such as through businesses used for money laundering by traffickers, might face lesser penalties**. **Investigation and Evidence:**
Building strong cases against facilitators and financiers often requires in-depth investigation** by law enforcement agencies like the NBI-ATPD and PNP-WCPC. This may involve financial record analysis, witness testimonies, and tracing financial flows.
**Importance of Cooperation:**
* International cooperation is crucial in tracking down and holding accountable individuals involved in transnational trafficking networks. The Philippines works with other countries to disrupt financial channels used by traffickers.
**Remember:** The legal interpretation of financing and facilitation can be complex. If you have information about individuals involved in these aspects of human trafficking, reporting it to the authorities is crucial. You can contact the NBI-ATPD hotline or your local PNP-WCPC office. **By working together, law enforcement and the public can hold those who profit from human trafficking accountable and disrupt the financial networks that enable this crime.**</t>
  </si>
  <si>
    <t>What legal measures are in place to ensure the protection of child victims of human trafficking?</t>
  </si>
  <si>
    <t>The Philippines has various legal measures in place to ensure the protection of child victims of human trafficking. Here's a breakdown of some key aspects:
**Focus on Children:**
* Several laws prioritize the protection of children from trafficking. This includes the **Anti-Trafficking in Persons Act (RA 9208)**, as amended by **RA 10364**, and the **Special Protection of Children Against Abuse, Exploitation and Discrimination Act (RA 7610)**.
**Special Protections:**
* **Lower Age Threshold:** RA 9208 lowers the age for considering a situation as trafficking to **below 18 years old**. This acknowledges children's vulnerability and the heightened need for protection. * **Presumption of Vulnerability:** The law presumes children to be especially vulnerable to trafficking due to their age and development stage. This strengthens the case against traffickers who exploit children.
**Victim Identification and Assistance:**
* **Mandatory Reporting:** Professionals like doctors, teachers, and social workers are mandated by RA 7610 to report suspected cases of child abuse or exploitation, which can include trafficking. * **Protection Programs:** RA 9208 mandates government agencies to provide protection programs for victims of trafficking, with special measures tailored to the needs of children. * This may include shelter, medical care, psychological support, and assistance with reintegration back into their families or communities.
**Law Enforcement and Prosecution:**
* **Enhanced Penalties:** The penalties for trafficking involving children are generally harsher than those for adult victims. This deters crimes against children and ensures significant consequences for perpetrators.
* **Special Procedures:** Law enforcement agencies are trained on child-sensitive investigation techniques**. This helps gather evidence and protect children from further trauma during the investigation process.
**Challenges and Considerations:**
* **Implementation:** While legal frameworks exist, effective implementation is crucial. Ensuring adequate resources and training for law enforcement and social service agencies is essential.
* **Prevention:** Public awareness campaigns and education programs can help prevent child trafficking by empowering children and communities to identify and report suspicious situations.
**Overall, the Philippines has a legal framework that prioritizes the protection of child victims of human trafficking. However, continued efforts are needed to ensure these legal measures translate into effective action and provide comprehensive support to vulnerable children.**
Here are some additional resources:
* National Bureau of Investigation (NBI) Anti-Trafficking in Persons Division (ATPD): [https://www.doj.gov.ph/](https://www.doj.gov.ph/)
* Department of Social Welfare and Development (DSWD): [https://www.dswd.gov.ph/](https://www.dswd.gov.ph/)</t>
  </si>
  <si>
    <t>How does the law address the issue of consent in cases of human trafficking, particularly concerning adults?</t>
  </si>
  <si>
    <t>In the Philippines, the law on human trafficking takes a strong stance against using consent as a defense. Here's a breakdown of how it applies to adults:
* **Focus on Acts, Means, and Purpose:** Republic Act No. 9208 (Anti-Trafficking in Persons Act of 2003), as amended by RA 10364, defines trafficking in persons based on three key elements: acts, means, and purpose (exploitation).
* **Acts:** This includes recruitment, transportation, transfer, harboring, or receipt of a person.
* **Means:** This involves threats, force, coercion, abduction, fraud, deception, abuse of power, or vulnerability, or the giving or receiving of payments/benefits to control another person.
* **Purpose:** This focuses on exploitation, including forced labor, prostitution, sexual exploitation, slavery, servitude, or organ removal.
* **Consent Irrelevant:** Section 17 of RA 9208 clarifies that **consent of the trafficked person is irrelevant** if the situation involves the acts, means, and purpose outlined in the definition of trafficking.
**Why Consent Doesn't Matter:**
* **Coercion and Vulnerability:** Traffickers often use various methods to manipulate or coerce individuals, even if there's no apparent physical force. The law recognizes situations where someone might appear to consent due to threats, deception, or a position of vulnerability.
* **Exploitation Focus:** The core concern is the exploitative purpose of trafficking. Even if an adult seemingly agrees to a situation, the law protects them from being forced into labor, prostitution, organ removal, or other forms of exploitation.
**Examples:**
* A person might be recruited for a job abroad with false promises, then forced into labor with restricted movement and threats of violence. Even if they initially agreed to go abroad, the use of coercion and the exploitative purpose make it human trafficking.
* An adult might be deceived into a marriage situation that turns out to be domestic servitude. The initial consent to marry becomes irrelevant due to the exploitative purpose (servitude) achieved through fraud.
**Importance of Protection:**
This approach to consent ensures that adults are protected from situations where their vulnerability or lack of full understanding is exploited. It prioritizes preventing individuals from being forced into circumstances that endanger their safety and well-being.
**It's important to remember:**
* If you believe you or someone you know is a victim of trafficking, report it to the authorities immediately. You can contact the NBI-ATPD hotline or your local PNP-WCPC office. * Law enforcement can investigate the situation and provide support to victims. While the law focuses on the exploitative nature of trafficking, it's still a complex issue. If you have any further questions or concerns, consulting with a lawyer can provide more specific guidance based on your situation.</t>
  </si>
  <si>
    <t>Are there legal consequences for individuals who knowingly benefit from the proceeds of human trafficking?</t>
  </si>
  <si>
    <t>Yes, in the Philippines, there are legal consequences for individuals who knowingly benefit from the proceeds of human trafficking. Here's how the law addresses this:
**Republic Act No. 9208 (Anti-Trafficking in Persons Act of 2003):**
* Section 14 of RA 9208 mandates **confiscation and forfeiture** of all **proceeds and properties derived from the commission of the crime** of trafficking in persons. * This means any assets or benefits gained through human trafficking can be seized by the government.
**Knowing Benefit:**
The law doesn't explicitly mention "knowingly benefiting" from the proceeds. However, courts can interpret the intent of the beneficiary based on the circumstances. For example, if someone purchases a product or service knowingly produced or provided through human trafficking, they could be considered to have benefitted from the proceeds. **Money Laundering:**
The Philippines also has **Republic Act No. 9160 (Anti-Money Laundering Act)** which can be applied in human trafficking cases. * This law criminalizes the act of **laundering money** derived from illegal activities, including trafficking. * If someone knowingly receives or invests money they suspect comes from human trafficking, they could be charged with money laundering.
**Penalties:**
The penalties for benefiting from the proceeds of human trafficking or money laundering can be severe. They may include **imprisonment** and **fines** depending on the specific circumstances of the case.
**Importance of Reporting:**
If you suspect someone is benefiting from human trafficking, it's crucial to report it to the authorities**. This can be done by contacting the NBI-ATPD, PNP-WCPC, or any law enforcement agency. By reporting such activities, you can help disrupt the financial networks that enable human trafficking and hold those who profit from it accountable.
**Remember:**
The legal interpretation of "knowingly benefiting" can be complex. If you have any concerns about a specific situation, it's always best to consult with a lawyer for legal advice.</t>
  </si>
  <si>
    <t>What role do labor agencies and recruiters play in the prevention of human trafficking in the employment sector?</t>
  </si>
  <si>
    <t>Labor agencies and recruiters can play a significant role in preventing human trafficking in the Philippines' employment sector. Here's how:
**Through Regulations and Licensing:**
* The Philippine Overseas Employment Administration (POEA) regulates and licenses all agencies involved in overseas Filipino worker (OFW) recruitment. * These agencies must comply with stringent requirements to ensure ethical practices and prevent trafficking risks.
**By Providing Accurate Information:**
* Legal recruitment agencies educate and inform potential workers about job opportunities, terms of employment, and their rights. * This empowers workers to make informed decisions and avoid situations that might be exploitative.
**Following Fair Recruitment Practices:**
* Ethical recruiters do not charge exorbitant placement fees or withhold essential documents like passports. * They should also ensure transparency about salary expectations, working conditions, and any associated costs.
**Identifying Red Flags:**
* Recruiters can be trained to identify potential trafficking situations based on red flags such as promises of unrealistic wages, confiscation of travel documents, or restrictions on movement. * By reporting such concerns to authorities, they can help prevent trafficking before it occurs.
**Collaboration with Law Enforcement:**
* Legitimate agencies can collaborate with law enforcement agencies like the POEA, NBI-ATPD, and PNP-WCPC to identify and report suspected trafficking activities.
**Limitations:**
* It's important to acknowledge that not all recruitment agencies operate legally**. * Some might engage in deceptive practices or even be fronts for trafficking operations.
**Overall, responsible labor agencies and recruiters can act as a critical line of defense against human trafficking in the employment sector.** However, a multi-pronged approach involving government agencies, law enforcement, and public awareness is necessary for effective prevention.</t>
  </si>
  <si>
    <t>How does the law address the trafficking of persons for the purpose of organ removal or illegal adoption?</t>
  </si>
  <si>
    <t>The Philippine law addresses trafficking of persons for the purpose of organ removal or illegal adoption through the following mechanisms:
**1. Republic Act No. 9208 (Anti-Trafficking in Persons Act of 2003, as amended):**
* **Acts constituting Trafficking in Persons (TIP):** Section 4 of RA 9208 defines trafficking in persons. It includes **recruitment, transportation, transfer, harboring or receipt of persons** **for the purpose of** **removal or sale of organs** of the person. This explicitly criminalizes trafficking for organ removal.
* **Consent Irrelevant:** Section 17 of RA 9208 clarifies that the **consent of the trafficked person is irrelevant** if the act falls under the definition of trafficking. This means even if a person seemingly agrees to give up an organ, if they were trafficked into the situation, it is still considered a crime.
* **Illegal Adoption:** While RA 9208 doesn't explicitly mention illegal adoption, Section 5(h) criminalizes the **recruitment, transport or adoption of a child to engage in armed activities**. This can be interpreted to cover situations where children are trafficked for purposes that exploit them, including illegal adoption that could lead to servitude or other forms of abuse.
**2. Republic Act No. 10364 (Expanded Anti-Trafficking in Persons Act of 2012):**
* This act amends RA 9208 and strengthens the legal framework against trafficking. * Section 4-B specifically mentions **organ trafficking** as a form of exploitation within the definition of trafficking in persons. * Additionally, Section 17 of this act emphasizes that **conviction for any offense under this Act** (including trafficking) **by a final judgment of the adopter** **results in the immediate rescission of the decree of adoption**. This discourages illegal adoption by highlighting the legal consequences.
**Penalties:**
Both RA 9208 and RA 10364 outline **severe penalties** for those convicted of trafficking in persons, including trafficking for organ removal or illegal adoption. Penalties range from **imprisonment** to finances depending on the specific circumstances of the case.
**Additional Points:**
* Law enforcement agencies like the NBI-ATPD and PNP-WCPC play a crucial role in investigating human trafficking cases, including those involving organ removal or illegal adoption.
* Victims of trafficking are entitled to **protection and support** under these laws.
By establishing a legal framework that criminalizes trafficking for organ removal and illegal adoption, the Philippines aims to deter such crimes and protect vulnerable individuals.</t>
  </si>
  <si>
    <t>Are there legal safeguards for witnesses and whistleblowers in human trafficking cases?</t>
  </si>
  <si>
    <t>Yes, the Philippines has legal safeguards in place to protect witnesses and whistleblowers in human trafficking cases. Here's a breakdown of some key provisions:
**1. Republic Act No. 9208 (Anti-Trafficking in Persons Act of 2003):**
* Section 15 of RA 9208 mandates the government to provide protection programs for witnesses and whistleblowers involved in trafficking cases. * This includes measures to ensure their safety and security, such as relocation, change of identity, and witness protection orders.
**2. Republic Act No. 6986 (An Act Providing Protection to Witnesses):**
* This act establishes the Witness Protection Program (WPP) under the Department of Justice (DOJ). * Witnesses in any criminal case, including human trafficking, can apply for inclusion in the WPP if they meet certain criteria and are deemed to be under threat. * The WPP can provide various forms of protection, including safe houses, financial assistance, and security measures.
**3. Other Safeguards:**
* Law enforcement agencies like the NBI-ATPD and PNP-WCPC have a responsibility to protect the identities of witnesses and whistleblowers during investigations and court proceedings.
* This may involve witness confidentiality measures or redactions in public documents.
**It's important to note:**
* The availability and extent of protection will vary depending on the specific circumstances of the case and the level of threat faced by the witness or whistleblower.
* If you are considering coming forward with information about human trafficking, it's crucial to consult with law enforcement or a lawyer to understand your rights and the protection measures available to you.
Here are some resources that can provide more information:
* Inter-Agency Council Against Trafficking (IACAT): [https://iacat.gov.ph/](https://iacat.gov.ph/)
* National Bureau of Investigation (NBI) Anti-Trafficking in Persons Division (ATPD): [https://www.doj.gov.ph/](https://www.doj.gov.ph/)
* Philippine National Police (PNP) Women and Children's Protection Center (WCPC): [https://wcpc.pnp.gov.ph/downloads/](https://wcpc.pnp.gov.ph/downloads/)</t>
  </si>
  <si>
    <t>What legal actions can be taken against individuals involved in the creation, distribution, or possession of materials related to human trafficking?</t>
  </si>
  <si>
    <t>In the Philippines, several laws can be used against individuals involved in materials related to human trafficking, depending on the specific content and purpose:
**1. Republic Act No. 9208 (Anti-Trafficking in Persons Act of 2003):**
* Section 6 prohibits acts promoting trafficking, including the **production, possession, publication, and distribution** of materials that advertise or facilitate trafficking. This applies to materials promoting sex trafficking and labor trafficking. **2. Republic Act No. 11930 (Anti-Trafficking in Persons Act of 2022):**
* This act strengthens RA 9208 and specifically targets the online aspect of trafficking.
* Section 5(q) prohibits the **advertisement, publication, printing, broadcasting, or distribution** of materials promoting **Online Sexual Abuse and Exploitation of Children (OSAEC)** and child sexual abuse.
* Section 5(r) criminalizes the **possession** of any form of **Child Sexual Abuse Material (CSAM)**, with possession of three (3) or more items considered prima facie evidence of intent to distribute.
* Section 5(s) prohibits the **willful access** to any form of CSAM.
**3. Other Relevant Laws:**
* Depending on the content of the materials, other laws may also be applicable. * For example, the Revised Penal Code may have provisions against pornography or obscene materials, especially if they involve children.
**Important Points:**
* The specific legal action taken will depend on the type of material (e.g., involving adults or children), its content (e.g., advertisement, recruitment, or depiction of abuse), and the purpose of possession or distribution (e.g., personal use or commercial gain).
* Law enforcement agencies like the NBI-ATPD and PNP-WCPC play a crucial role in investigating these cases and filing appropriate charges.
**Remember:**
These are complex legal matters. If you encounter suspected materials related to human trafficking, it's best to report them to the authorities immediately. You can contact the NBI-ATPD hotline or your local PNP-WCPC office.</t>
  </si>
  <si>
    <t>You are a law enforcement officer investigating a suspected human trafficking case. What legal steps should be taken during the initial stages of the investigation?</t>
  </si>
  <si>
    <t>Here are some legal steps you can take during the initial stages of a suspected human trafficking case according to Philippine law:
**1. Gather Information and Assess the Situation:**
* Secure the scene and ensure the safety of any potential victims and yourself. * Identify potential witnesses and gather their statements. * Look for any evidence that could support human trafficking, such as travel documents, recruitment materials, or signs of confinement.
**2. Report the Case:**
* Report the suspected trafficking case to your superior officer and the Inter-Agency Council Against Trafficking (IACAT) through the National Bureau of Investigation (NBI) Anti-Trafficking in Persons Division (ATPD) hotline or their regional office. * You can also report to the Philippine National Police (PNP) Women and Children's Protection Center (WCPC).
**3. Conduct a Preliminary Investigation:**
* With a warrant, if necessary, conduct a search of the suspected trafficking location. * This can involve looking for victims, evidence, and documentation related to the trafficking activities.
* Document your findings thoroughly, following proper procedures for evidence collection.
**4. Victim Identification and Protection:**
* Identify potential victims using indicators outlined in Republic Act No. 9208, also known as the "Anti-Trafficking in Persons Act of 2003" (RA 9208). * These indicators include restriction of movement, deception, coercion, abuse of vulnerability, and the promise of jobs or opportunities that turn out to be exploitative.
* Prioritize the safety and well-being of potential victims. * This may involve providing access to medical care, shelter, and psychological support as mandated by RA 9208. **5. Document Everything:**
* Maintain detailed records of your investigation, including witness statements, timelines, and evidence logs. * This will be crucial for building a strong case for prosecution.
**Additional Considerations:**
* Throughout the investigation, respect the privacy and dignity of potential victims. * You may need to work with social workers and other specialists to ensure the victims receive proper care. * If the case involves potential juvenile victims, coordinate with the Department of Social Welfare and Development (DSWD).
**Remember:**
* You are not alone in this process. There are government agencies specifically tasked with handling human trafficking cases.
* Cooperate with IACAT, NBI-ATPD, PNP-WCPC, and other relevant agencies to ensure a comprehensive and effective investigation.
While this provides a general framework, legal procedures can be complex. If you have any doubts or need further guidance, consult with your superior or a legal professional within your law enforcement agency.</t>
  </si>
  <si>
    <t>A victim of human trafficking seeks refuge at a local shelter. What legal measures can be implemented to ensure their safety and protection?</t>
  </si>
  <si>
    <t>Here are some legal measures that can be implemented to ensure the safety and protection of a victim of human trafficking who seeks refuge at a local shelter in the Philippines:
**Immediate Steps:**
* **Safety Assessment:** Shelter staff should conduct a safety assessment to identify any immediate threats the victim might face from the traffickers. This assessment will help determine the level of security needed.
* **Medical Attention:** Ensure the victim receives any necessary medical attention, addressing injuries or health concerns related to the trafficking experience.
* **Psychological Support:** Connect them with trauma-informed psychological support services to help them cope with the emotional impact of the experience. **Legal Protections:**
* **Reporting:** Shelter staff are mandated reporters and should report the case to the Inter-Agency Council Against Trafficking (IACAT) or the nearest police station. * **Witness Protection Program:** Depending on the severity of the threat and the victim's willingness to cooperate with law enforcement, they may be eligible for inclusion in a witness protection program. This program provides them with a new identity and secure location to minimize the risk of retaliation from traffickers.
* **Legal Assistance:** The shelter should connect the victim with a lawyer specializing in human trafficking cases. The lawyer can advise them of their legal rights and options, such as pursuing legal action against the traffickers or seeking compensation for damages.
**Support Services:**
* **Safe Accommodation:** The shelter should provide a safe and secure living environment where the victim feels protected.
* **Needs Assessment:** Conduct a comprehensive needs assessment to identify the victim's individual needs, such as language assistance, vocational training, or educational opportunities. * **Life Skills Training:** Provide life skills training to help the victim develop skills necessary for independent living and reintegration into society. **Respecting Rights and Autonomy:**
* **Informed Consent:** Obtain informed consent from the victim before taking any legal actions. Explain their rights and options clearly and allow them to make choices about their legal process.
* **Confidentiality:** Maintain the confidentiality of the victim's identity and details of their case, balancing with legal reporting requirements.
**Collaboration:**
* **Inter-Agency Coordination:** Shelters should work closely with law enforcement, social services, and relevant government agencies to ensure the victim receives comprehensive support services and access to justice.
**Long-Term Considerations:**
* **Repatriation Assistance:** For foreign national victims, coordinate repatriation assistance with their embassies or consulates to facilitate a safe return home, if that's their desire.
* **Reintegration Support:** Provide reintegration support to help the victim rebuild their life. This could include housing assistance, job placement assistance, or educational opportunities to help them achieve long-term stability.
By implementing these legal measures, shelters can create a safe haven for human trafficking victims and empower them to rebuild their lives. Remember, the well-being and safety of the victim is the top priority. A holistic approach that addresses their physical, emotional, and legal needs is crucial for their successful recovery.</t>
  </si>
  <si>
    <t>You encounter a suspicious recruitment agency believed to be involved in human trafficking. What legal actions can be taken to investigate and address the situation?</t>
  </si>
  <si>
    <t>If you encounter a suspicious recruitment agency potentially involved in human trafficking, here are some legal actions you can take to investigate and address the situation:
**Reporting the Agency:**
* **Authorities:** Report your concerns to the Inter-Agency Council Against Trafficking (IACAT). IACAT is a Philippine government body tasked with coordinating anti-trafficking efforts. You can report online through their website ([https://iacat.gov.ph/](https://iacat.gov.ph/)) or by calling their hotline (1343).
* **Philippine Overseas Employment Administration (POEA):** If the agency focuses on overseas recruitment, report it to the POEA. They regulate recruitment agencies and investigate potential violations.
**Gathering Evidence:**
* **Document Details:** Record details about the agency, such as their name, address, contact information, and website (if they have one).
* **Suspicious Practices:** Document any specific practices that raise red flags, like:
* Unrealistic salary promises for low-skilled jobs abroad.
* Demanding exorbitant placement fees or passport confiscation.
* Vague job descriptions or lack of transparency about working conditions.
* **Collect Flyers or Brochures:** Take photos or collect any recruitment materials they distribute. **Spreading Awareness:**
* **Public Awareness:** Raise awareness among potential victims by sharing information about trafficking red flags and resources available to them. * **Social Media:** Utilize social media platforms to warn others about the suspicious agency, but avoid revealing personally identifiable information about potential victims.
**What to Avoid:**
* **Direct Confrontation:** Do not confront the agency directly. Leave the investigation to the authorities.
* **Sharing Unverified Information:** Avoid spreading rumors or unverified information. Focus on reporting facts and suspicious practices you've observed.
**Government Investigation:**
* **IACAT or POEA Investigation:** The authorities will investigate the agency based on your report and any evidence you provide. This may involve inspections, interviews with agency staff, and verification of job offers.
* **Legal Consequences:** If the investigation reveals trafficking activities, the agency can face legal consequences, including license revocation and criminal charges against the owners or operators.
**Additional Resources:**
* **NGOs:** Connect with NGOs specializing in anti-trafficking efforts. They can provide further guidance and support throughout the process.
**Remember:** * Your vigilance can help prevent potential trafficking situations.
* Provide accurate information and let the authorities handle the investigation.
By reporting your concerns and collaborating with relevant authorities, you can play a crucial role in combating human trafficking and protecting vulnerable individuals from exploitation.</t>
  </si>
  <si>
    <t>A child is rescued from human trafficking, and their family members are suspected of involvement. What legal measures can be taken to protect the child and address the family's role?</t>
  </si>
  <si>
    <t>Here's how legal measures can be taken to protect the rescued child and address the family's suspected involvement in human trafficking in the Philippines:
**Prioritizing the Child's Well-Being:**
* **Emergency Care:** The child's immediate needs are paramount. They will receive medical attention, psychological support, and safe accommodation in a child protection facility or foster care placement.
* **Best Interests Assessment:** Social workers will conduct an assessment to determine the child's best interests. This might involve considering the child's safety, family background, emotional well-being, and potential for reunification with a safe and supportive family member.
**Investigating Family Involvement:**
* **Fact-Finding:** Law enforcement will conduct a thorough investigation to determine the extent of the family's involvement. This might involve:
* Interviewing the child and family members * Reviewing financial records or communication evidence
* Seeking information from neighbors or other individuals who may have knowledge of the situation.
**Legal Considerations:**
* **Innocence Until Proven Guilty:** Family members are presumed innocent until proven guilty. The investigation will determine if there's sufficient evidence to press charges.
**Potential Charges:**
* **Trafficking in Persons:** If family members knowingly participated in trafficking the child, they will face charges under RA 9208.
* **Child Abuse or Neglect:** If the family subjected the child to neglect or abuse, they could face charges under the Republic Act No. 7610 or the Special Protection of Children Against Abuse, Exploitation and Discrimination Act (SPCAD).
* **Other Charges:** Depending on the specifics, other charges like child endangerment or illegal recruitment may be considered.
**Addressing the Family's Situation:**
* **Rehabilitation Programs:** If family members were coerced or manipulated into trafficking the child, rehabilitation programs could be offered to address their vulnerabilities and prevent future involvement in trafficking activities.
* **Loss of Parental Rights:** If the investigation reveals the family poses a continued threat to the child's safety, legal action to terminate parental rights might be necessary. This would allow the child to be placed for adoption or permanent guardianship with a safe and loving family.
**Protecting the Child's Identity:**
* **Confidentiality:** The child's identity and details of the case will be kept confidential to protect them from further harm or social stigma.
**Importance of Collaboration:**
* **Inter-Agency Cooperation:** Collaboration between law enforcement, social services, child protection agencies, and legal professionals is crucial to ensure the child's safety and well-being, while holding perpetrators accountable.
* **Support for the Child:** Provide access to trauma-informed therapy, educational opportunities, and life skills training to help the child heal and build a secure future.
**Remember:** * The child's safety and well-being are the top priorities.
* Complexities arise when family is involved. A thorough investigation is needed to determine the extent of their involvement and the most appropriate course of action.
By taking these legal measures, ensuring victim protection, and fostering collaboration between different agencies, authorities can address the trafficking situation and safeguard the future of the rescued child.</t>
  </si>
  <si>
    <t>A trafficker is apprehended in the act of transporting victims across borders. What legal consequences should follow the arrest?</t>
  </si>
  <si>
    <t>If a trafficker is apprehended in the act of transporting victims across borders, they face significant legal consequences in the Philippines. Here's what could happen:
**Immediate Actions:**
* **Arrest and Detention:** Law enforcement will arrest the trafficker and take them into custody.
* **Victim Rescue:** The primary concern will be rescuing the victims and ensuring their safety. They will be removed from the trafficking situation and receive immediate medical attention and support if needed.
* **Evidence Gathering:** Law enforcement will collect evidence at the scene, such as travel documents, communication devices, and potential signs of coercion (e.g., restraints, confiscated passports).
**Potential Charges:**
The trafficker will likely face charges under the Anti-Trafficking in Persons Act (RA 9208):
* **Trafficking in Persons:** This is the core offense, carrying significant penalties depending on the age of the victim and the specific circumstances. Penalties range from life imprisonment to lengthy prison terms.
* **Illegal Recruitment:** If the trafficker recruited the victims with false promises or deceptive means, they may face additional charges for illegal recruitment.
* **Harboring or Transporting:** The act of transporting the victims across borders itself constitutes a crime under RA 9208.
**Additional Charges:**
Depending on the specific circumstances, other charges may be considered:
* **Forced Labor:** If the victims were destined for forced labor, the trafficker may face additional charges related to forced labor offenses.
* **Sex Trafficking:** If the victims were being trafficked for sexual exploitation, additional charges related to sex trafficking may be pursued.
* **Illegal Detention:** If the victims were restrained or their freedom of movement was restricted, this could be considered illegal detention.
**Investigation and Prosecution:**
* **Investigation:** Law enforcement will conduct a thorough investigation to gather evidence, interview witnesses, and establish the full scope of the trafficking operation.
* **Prosecution:** The case will be presented to the prosecutor's office for review and potential filing of formal charges against the trafficker. The prosecutor will work with law enforcement to build a strong case.
**International Cooperation:**
* **Foreign Nationals Involved:** If the victims or the destination country is outside the Philippines, authorities may need to collaborate with foreign law enforcement agencies to facilitate victim repatriation, provide witness assistance, and potentially pursue additional charges in other jurisdictions.
**Outcomes and Consequences:**
* **Trial and Sentencing:** If convicted, the trafficker will face the penalties outlined under RA 9208 and potentially other applicable laws. These penalties can be severe and are intended to deter human trafficking.
* **Victim Recovery:** Victims will receive support services to help them recover from the trauma of the experience and reintegrate back into society.
* **Disruption of Trafficking Ring:** Apprehending a trafficker in the act can lead to dismantling a larger trafficking operation. Law enforcement can use the information gathered to identify other perpetrators and victims.
**Importance of Evidence:**
A strong case hinges on securing and preserving evidence. This includes:
* Victim testimonies (if they are able and willing to provide them)
* Witness statements from anyone who observed the trafficking activities
* Travel documents and identification of the victims and trafficker
* Financial records or communication records that link the trafficker to the victims
* Physical evidence from the scene of the arrest (e.g., restraints, confiscated passports)
By apprehending a trafficker in the act and collecting strong evidence, Philippine authorities can deliver a significant blow to human trafficking operations and hold perpetrators accountable for their egregious crimes.</t>
  </si>
  <si>
    <t>You are a prosecutor handling a human trafficking case. What legal challenges might arise during the prosecution, and how can they be addressed?</t>
  </si>
  <si>
    <t>As a prosecutor handling a human trafficking case, you'll likely encounter several legal challenges. Here are some common ones and how you can address them:
**Challenges Related to Evidence:**
* **Victim Reluctance to Testify:** As discussed previously, victims may be hesitant to testify due to fear of retaliation or trauma. Utilize the strategies mentioned earlier, such as witness protection programs, alternative testimony methods, and building trust to encourage their cooperation. * **Difficulty Obtaining Evidence:** Traffickers often operate in secrecy. Gathering evidence can be challenging, especially in cases involving forced labor where victims may not leave their workplace or have limited communication access. You can address this by:
* Issuing search warrants for electronic devices or business records.
* Obtaining witness testimonies from individuals who may have observed suspicious activity (neighbors, co-workers).
* Utilizing financial records to track money transfers or payments to traffickers.
**Legal Challenges:**
* **Proving Coercion:** An essential element of human trafficking is establishing the use of force, fraud, or coercion. You'll need to present evidence that demonstrates the victim's lack of free will and control over their situation. This may involve evidence of threats, debt bondage, restrictions on movement, or physical abuse.
* **Proving Knowledge or Intent:** In some cases, depending on the specific charges, you may need to prove the defendant knew they were involved in trafficking or intentionally benefited from the exploitation of the victim. Carefully analyze communication records, financial transactions, or witness testimonies that establish the defendant's awareness of the situation.
**Other Challenges:**
* **Complexities of International Trafficking:** If the case involves cross-border trafficking, legal procedures become more complex. You'll need to navigate international cooperation with law enforcement and legal systems of other countries involved.
* **Lengthy Trials:** Human trafficking cases can be lengthy due to complex legal issues and witness considerations. Be prepared for a long haul and ensure victim support services remain available throughout the process.
**Strategies for Overcoming Challenges:**
* **Strong Case Building:** Thorough investigation and a well-prepared case with a clear legal theory are crucial. * **Collaboration:** Work closely with law enforcement, victim support services, and potentially immigration officials (if the case involves foreign nationals) to build a strong case.
* **Trauma-Informed Approach:** Recognize the victim's trauma and handle them with sensitivity throughout the process.
* **Staying Up-to-Date:** Maintain your knowledge of current human trafficking trends, legal precedents, and available resources for victims.
**Remember:** * Human trafficking cases can be emotionally demanding. Seek support and resources for your own well-being as you navigate these challenging prosecutions.
* Your role is to seek justice for the victim and dismantle trafficking operations. Prioritize victim safety and hold perpetrators accountable for their crimes.</t>
  </si>
  <si>
    <t>A victim of human trafficking is reluctant to testify due to fear of reprisals. What legal measures can be taken to encourage their cooperation while ensuring their safety?</t>
  </si>
  <si>
    <t>Here are some legal measures that can be taken to encourage a reluctant human trafficking victim to cooperate with authorities and testify in court, while ensuring their safety in the Philippines:
**Building Trust and Rapport:**
* **Trauma-Informed Approach:** Law enforcement and prosecutors should be trained in trauma-informed practices to interact with victims sensitively and build trust. This involves creating a safe space, validating their experiences, and avoiding pressure to testify immediately.
* **Victim Support Services:** Connect the victim with specialized support services provided by NGOs or government agencies. This could include:
* Legal aid
* Psychological counseling
* Safe shelter placement
* Livelihood training
**Protecting the Victim's Identity:**
* **Witness Protection Programs:** The Department of Justice (DOJ) offers witness protection programs that can relocate victims and provide them with new identities if they face a significant threat of retaliation.
* **Closed-Circuit Television (CCTV):** Utilize CCTV technology to allow victims to testify remotely from a secure location, minimizing their interaction with the defendant and the public.
* **Screen Barriers:** Courtrooms can be modified with screen barriers to allow victims to testify without seeing the defendant directly.
* **Protective Orders:** Courts can issue protective orders against the trafficker or their associates, prohibiting them from contacting or approaching the victim.
**Alternative Means of Testimony:**
* **Video-Recorded Statements:** In some cases, video-recorded statements taken during the investigation phase can be admitted as evidence at trial, reducing the need for the victim to testify in person.
* **Written Statements:** Written statements outlining the details of the trafficking experience can be submitted to the court, potentially reducing the emotional stress of testifying in person.
**Addressing the Victim's Concerns:**
* **Security Measures:** Law enforcement can assess the specific threats the victim fears and implement appropriate security measures, such as increased patrols in their neighborhood or security escorts.
* **Confidentiality:** Assure the victim that their identity and personal information will be kept confidential as much as possible within legal limitations.
* **Explanation of Legal Rights:** Explain the victim's rights as a witness, including the right to have a support person present during questioning or testimony.
**Focus on Safety and Empowerment:**
* **Empowerment Through Choice:** Frame cooperation as a way to hold the perpetrator accountable and help prevent others from experiencing the same abuse. * **Focus on Long-Term Well-Being:** While testimony is important, prioritize the victim's overall well-being and recovery from the trafficking experience.
**Additional Considerations:**
* **Prosecutorial Discretion:** Prosecutors may consider alternative strategies if a victim is absolutely unwilling to testify. This might involve relying on other forms of evidence or pursuing a plea bargain with the defendant.
* **Community Support:** Connecting the victim with a supportive community of survivors or NGOs specializing in trafficking can empower them and provide emotional support throughout the legal process.
**Remember:** * The goal is to ensure the safety and well-being of the victim.
* Cooperation with law enforcement should always be a voluntary choice for the victim.
By implementing these legal measures, prioritizing victim safety, and fostering a supportive environment, authorities can encourage victims to participate in the legal process and hold traffickers accountable.</t>
  </si>
  <si>
    <t>A suspected human trafficker is operating within an online platform. What legal steps can be taken to investigate and address online human trafficking activities?</t>
  </si>
  <si>
    <t>The rise of online platforms has unfortunately created new avenues for human trafficking. Here's how legal steps can be taken to investigate and address online human trafficking activities in the Philippines:
**Identifying Online Trafficking:**
* **Red Flags:** Law enforcement and relevant agencies should be trained to identify red flags in online activity, such as:
* Suspicious job postings with unrealistic promises or poor working conditions.
* Coded language or euphemisms used in advertisements for commercial sex or forced labor.
* Profiles of individuals seemingly under control of another person.
* Social media groups promoting activities linked to trafficking, such as child exploitation.
**Collaboration is Key:**
* **Public-Private Partnerships:** Effective investigations require collaboration between law enforcement agencies (NBI, PNP), the Department of Justice (DOJ), and online platforms themselves. * **Reporting Mechanisms:** Establish clear and accessible reporting mechanisms for users to flag suspected trafficking activity on online platforms.
* **International Cooperation:** For trafficking rings operating across borders, international cooperation with law enforcement and online platforms in other countries is crucial.
**Utilizing Legal Tools:**
* **Preservation Orders:** Courts can issue preservation orders to online platforms, requiring them to preserve relevant data (user profiles, messages, financial transactions) connected to suspected traffickers.
* **Search Warrants:** Based on probable cause, law enforcement can obtain search warrants to access and analyze online data associated with the suspected trafficker. * **Cybercrime Laws:** The Philippines has cybercrime laws (Republic Act No. 10175 or the Cybercrime Prevention Act of 2012) that can be used to investigate online trafficking activities. These laws address content related to child sexual abuse and online sexual exploitation.
**Protecting Victims:**
* **Victim Identification:** Law enforcement should prioritize identifying potential victims through online investigations. This might involve analyzing online postings, communication patterns, or location data.
* **Victim Rescue:** Once victims are identified, swift action is necessary to rescue them from a trafficking situation. This may involve coordination with local authorities and NGOs specializing in victim protection.
* **Preserving Evidence:** Careful collection and preservation of digital evidence can be pivotal in prosecuting traffickers.
**Challenges and Considerations:**
* **Encryption and Anonymity:** Encryption and the ability to remain anonymous online can make it difficult to track traffickers and gather evidence.
* **Cross-Border Issues:** Investigating trafficking rings operating across borders requires complex legal procedures and international cooperation.
* **Respecting User Privacy:** Finding a balance between investigating trafficking activities and respecting user privacy is crucial.
**The Role of Online Platforms:**
* **Content Moderation:** Online platforms have a responsibility to actively moderate content and remove any that promotes or facilitates human trafficking.
* **User Education:** Platforms can educate users about the signs of online trafficking and encourage them to report suspicious activity.
* **Transparency and Cooperation:** Open communication and cooperation with law enforcement agencies are essential for online platforms to effectively combat trafficking on their platforms.
By implementing these legal measures, fostering collaboration between stakeholders, and prioritizing victim protection, Philippine authorities can tackle the evolving landscape of online human trafficking and bring perpetrators to justice.</t>
  </si>
  <si>
    <t>A corporation is implicated in human trafficking practices. What legal actions can be taken to hold the corporate entity accountable?</t>
  </si>
  <si>
    <t>Several legal avenues can be pursued to hold a corporation accountable for human trafficking practices in the Philippines:
**Criminal Charges:**
* **Anti-Trafficking in Persons Act (RA 9208):** Section 5 of RA 9208 penalizes any person, including corporations, who participate in trafficking activities. This can include:
* Trafficking itself
* Harboring or transporting trafficked persons
* Acts promoting or facilitating trafficking
* **Other Criminal Laws:** Depending on the specific circumstances, the corporation may also be charged with related crimes, such as:
* Forced labor offenses
* Illegal recruitment
* Money laundering **Civil Lawsuits:**
* **Victims' Claims:** Victims of human trafficking can file civil lawsuits against the corporation for damages, including:
* Compensation for physical and emotional injuries
* Lost wages
* Medical expenses
* **Negligence or Recklessness:** Shareholders or other parties harmed by the corporation's involvement in trafficking may bring lawsuits alleging negligence or recklessness in corporate governance.
**Administrative Actions:**
* **Government Sanctions:** The government can impose administrative sanctions on the corporation, such as fines, suspension of business licenses, or even blacklisting.
**Challenges and Considerations:**
* **Corporate Liability:** Establishing a corporation's direct involvement in trafficking can be challenging. Proving knowledge of trafficking activities by high-level corporate officials is often required.
* **Supply Chain Issues:** Trafficking can occur within a corporation's supply chain. Holding the corporation liable for the actions of its suppliers can be complex.
* **Lengthy Process:** Criminal and civil cases can be lengthy and expensive.
**Additional Considerations:**
* **Whistleblower Protections:** The Philippines has laws protecting whistleblowers who report corporate wrongdoing, including human trafficking. This can encourage employees to come forward with evidence.
* **Focus on Evidence:** Building a strong case relies on gathering evidence like financial records, communication between the corporation and traffickers, or internal company documents.
**Recent Developments:**
* **Modern Slavery Act (MSA):** While not directly applicable in the Philippines, the UK's Modern Slavery Act (MSA) requires certain large companies to report on the steps they take to prevent slavery and human trafficking in their operations and supply chains. This can put pressure on multinational corporations with operations in the Philippines to improve their practices.
By utilizing these legal measures and prioritizing a thorough investigation, Philippine authorities can hold corporations accountable for their role in human trafficking and deter such practices in the future. Remember, complex legal issues are involved, so consulting with a lawyer experienced in corporate criminal liability is crucial for building a strong case.</t>
  </si>
  <si>
    <t>You are a judge presiding over a human trafficking case. What legal considerations should guide your decisions during the trial?</t>
  </si>
  <si>
    <t>Here are some key legal considerations to guide your decisions during a human trafficking trial:
**Protecting Victim Rights:**
* **Trauma-Informed Approach:** Recognize the victim may be traumatized by the experience. Allow them to testify in a comfortable setting and avoid overly aggressive questioning from the defense. * **Preserving Dignity:** Ensure the courtroom proceedings maintain the victim's dignity and privacy. You may consider allowing the use of screens or other measures to minimize emotional distress during testimony.
* **Balancing Rights:** While protecting the victim, ensure the defendant has a fair trial with the right to confront their accuser. **Evidence and Burden of Proof:**
* **Understanding Trafficking:** Have a thorough understanding of the definition of human trafficking under Philippine law (RA 9208) and its different forms (e.g., forced labor, sex trafficking).
* **Evaluating Evidence:** Carefully analyze all evidence presented, including witness testimonies, expert opinions, medical records, financial transactions, and communication records. * **Burden of Proof:** The prosecution has the burden of proving the elements of the crime beyond a reasonable doubt. **Specific Legal Considerations:**
* **Coercion:** A crucial element in trafficking is establishing the use of force, fraud, coercion, or deception to exploit the victim. Assess evidence that demonstrates the victim's lack of free will. * **Vulnerability:** Consider the victim's vulnerabilities, such as age, economic hardship, or lack of immigration status, that made them susceptible to trafficking.
* **Mens Rea (Guilty Mind):** In some cases, the defendant's intent or knowledge of the victim's trafficking situation needs to be established. Evaluate evidence related to their awareness of the circumstances.
**Fairness and Due Process:**
* **Right to a Fair Trial:** Ensure both the prosecution and the defense are given a fair opportunity to present their case and question witnesses. * **Presumption of Innocence:** The defendant is presumed innocent until proven guilty.
* **Rulings on Admissibility of Evidence:** Uphold the rules of evidence when deciding whether to admit or exclude witness statements, documents, or other evidence presented. **Sentencing:**
* **Severity of the Crime:** If a conviction is reached, consider the severity of the crime and the impact on the victim when determining the appropriate sentence. RA 9208 outlines penalties based on the nature of trafficking and the age of the victim.
* **Victim Impact Statements:** Allow the victim to submit impact statements detailing the physical, emotional, and psychological harm they suffered due to the trafficking experience.
* **Restitution and Compensation:** Consider ordering the defendant to provide restitution to the victim for any financial losses incurred or contribute to a victim compensation fund. **Additional Considerations:**
* **Witness Protection:** If witnesses, especially victims, fear retaliation, consider witness protection programs to ensure their safety. * **Human Trafficking Trends:** Stay informed about current trends in human trafficking to better understand the methods used by traffickers.
By carefully considering these legal principles and prioritizing the protection of victims while ensuring a fair trial for the defendant, you can preside over a human trafficking case that upholds justice for all parties involved.</t>
  </si>
  <si>
    <t>A victim of human trafficking is a foreign national. What legal provisions exist to address the international aspects of the case and protect the victim's rights?</t>
  </si>
  <si>
    <t>The Philippines has several legal provisions to address the international aspects of human trafficking cases and protect the rights of foreign national victims:
**Legal Frameworks:**
* **Anti-Trafficking in Persons Act (RA 9208):** This law guarantees foreign trafficking victims the same rights and protection as Filipino victims. * **Republic Act No. 8042 or the Migrant Workers and Overseas Filipinos Act:** This law protects the rights of overseas Filipino workers (OFWs), who can be vulnerable to trafficking.
* **International Conventions:** The Philippines is a signatory to several international conventions on human trafficking, including the UN Palermo Protocol and its Protocol to Prevent, Suppress and Punish Trafficking in Persons Especially Women and Children (Optional Protocol on Trafficking in Persons). These conventions create a framework for international cooperation and victim protection.
**Protection for Foreign National Victims:**
* **Safe Accommodation and Assistance:** Foreign victims are entitled to safe accommodation, medical care, legal assistance, and psychological support. * **Continued Presence:** Victims can be granted temporary stay permits to assist with investigations and prosecutions.
* **Repatriation:** Victims can choose to be repatriated to their home countries with government assistance.
* **Access to Justice:** They have the right to pursue legal action against their traffickers in the Philippines.
**International Cooperation:**
* **Inter-Agency Council Against Trafficking (IACAT):** IACAT can coordinate with foreign embassies and international organizations to facilitate victim identification, repatriation, and witness assistance in cross-border trafficking cases.
* **Mutual Legal Assistance Treaties (MLATs):** These treaties allow the Philippines to cooperate with other countries in investigations, gathering evidence, and sharing information related to trafficking cases.
* **Law Enforcement Cooperation:** The Philippines can collaborate with law enforcement agencies in the victim's home country to apprehend traffickers operating across borders.
**Challenges:**
* **Language Barriers:** Communication difficulties can hinder effective communication with foreign victims and authorities in their home countries.
* **Lengthy Repatriation Process:** Repatriating victims to their home countries can be a lengthy and complex process.
* **Lack of Resources:** Providing adequate support services and legal assistance to foreign victims can be challenging due to resource constraints.
**Additional Considerations:**
* **Trafficking for Forced Marriage:** In cases involving forced marriage, consider the Philippines' laws on violence against women and children, which can offer additional protections.
* **Asylum Claims:** If a foreign victim fears persecution in their home country, they may be eligible to apply for asylum in the Philippines. By utilizing these legal provisions and fostering international cooperation, Philippine authorities can effectively address the international aspects of human trafficking and ensure the protection of foreign national victims. Remember, a victim-centered approach that prioritizes safety, well-being, and access to justice is crucial for all trafficking victims, regardless of nationality.</t>
  </si>
  <si>
    <t>You are a legislator working on amendments to human trafficking laws. What legal reforms could enhance the effectiveness of existing legislation in preventing and combating trafficking?</t>
  </si>
  <si>
    <t>As a legislator working on amendments to human trafficking laws in the Philippines, here are some potential legal reforms to consider:
**Strengthening Prevention Measures:**
* **Public Awareness Campaigns:** Allocate resources for national campaigns to raise awareness about trafficking methods, red flags, and resources for potential victims and bystanders. * **Demand Reduction Strategies:** Address the root causes of trafficking, such as poverty and lack of education, to reduce the demand for cheap labor or forced commercial sex. * **Training for Law Enforcement and Professionals:** Provide comprehensive training for law enforcement, immigration officials, social workers, and medical professionals on identifying and responding to trafficking cases. **Enhancing Victim Protection:**
* **Specialized Support Services:** Increase funding for establishing and maintaining specialized shelters with trauma-informed care, legal assistance, and reintegration programs specifically for trafficking victims.
* **Witness Protection Programs:** Strengthen witness protection programs to encourage victims to cooperate with investigations and prosecutions without fear of retaliation. * **Compensation Mechanisms:** Explore the creation of a more efficient mechanism for victims to receive compensation or restitution from traffickers or a government-funded victim compensation fund. **Improving Investigation and Prosecution:**
* **Multi-Agency Task Forces:** Establish permanent multi-agency task forces at the national and regional levels to coordinate anti-trafficking efforts and investigations.
* **Financial Investigation Tools:** Equip law enforcement agencies with advanced financial investigation tools to track and seize traffickers' assets derived from their crimes.
* **Specialization in Trafficking Prosecutions:** Allocate resources for training prosecutors to specialize in handling trafficking cases, leading to more effective prosecutions and convictions. **Technology and Data Collection:**
* **Online Monitoring Systems:** Develop and implement online monitoring systems to identify potential trafficking activity on social media platforms and recruitment websites.
* **Centralized Data Repository:** Establish a centralized data repository for trafficking cases to improve information sharing between agencies, identify trends, and allocate resources effectively.
* **Cybercrime Investigation Units:** Strengthen cybercrime investigation units within law enforcement agencies to address the increasing online dimension of human trafficking. **International Cooperation:**
* **Strengthen Bilateral Agreements:** Collaborate with other countries to enhance information sharing, joint investigations, and victim repatriation processes. * **Ratification of International Protocols:** Consider ratification of additional international protocols related to human trafficking, such as the Protocol to Prevent, Suppress and Punish Trafficking in Persons Especially Women and Children, supplementing the Palermo Protocol (Optional Protocol on Forced Labor).
**Accountability and Transparency:**
* **Regular Reporting:** Mandate regular reporting by government agencies on their anti-trafficking efforts, including the number of investigations, prosecutions, convictions, and victim assistance provided.
* **Independent Monitoring:** Establish an independent body to monitor the government's compliance with anti-trafficking laws and identify areas for improvement.
* **Public Disclosure of Convictions:** Consider public disclosure of convictions for trafficking offenses, while protecting victim identities, to deter potential traffickers.
By implementing these legal reforms, the Philippines can strengthen its existing anti-trafficking framework. Remember, an effective approach requires a multi-pronged strategy that focuses on prevention, protection, prosecution, and partnerships to truly eradicate human trafficking.</t>
  </si>
  <si>
    <t>An individual claims to have unknowingly become involved in human trafficking. What legal considerations should be taken into account in determining their level of responsibility?</t>
  </si>
  <si>
    <t>Philippine law recognizes the possibility of someone unknowingly becoming involved in human trafficking. Here are legal considerations to determine their level of responsibility:
**Investigating the Claim:**
* **Fact-Finding:** Authorities will conduct a thorough investigation to assess the individual's claims. This will involve:
* Reviewing their involvement with the suspected trafficking operation.
* Interviewing the individual and potentially other witnesses.
* Examining evidence like communication records or financial transactions.
**Levels of Involvement:**
* **Unwitting Involvement:** If the investigation reveals the individual had no knowledge of the trafficking activities and did not participate knowingly, they are not considered culpable. For example, someone recruited for legitimate work who unknowingly ends up in a trafficking situation.
* **Negligence or Recklessness:** In some cases, the individual may have displayed negligence or recklessness. For example, if they ignored red flags or warnings about the potential for trafficking. The level of culpability in this case would depend on the specific circumstances.
* **Knowing Involvement:** If the investigation reveals the individual was aware of the trafficking activities and participated knowingly, they can be held accountable as a trafficker themself, facing prosecution under RA 9208. **Factors to Consider:**
* **Nature of Involvement:** The specific role the individual played in the trafficking operation is crucial. Were they simply a low-level recruiter or someone actively profiting from the exploitation?
* **Knowledge and Intent:** The key question is whether the individual knew or should have known they were involved in trafficking. Did they have any reason to suspect the activity was illegal?
* **Cooperation with Authorities:** If the individual cooperates with the investigation and helps identify other traffickers or rescue victims, it can demonstrate a lack of malicious intent and potentially lessen their culpability.
**Importance of Legal Counsel:**
* **Complexities of the Case:** Human trafficking cases can be complex. The individual should seek legal counsel from a lawyer specializing in trafficking law to navigate the legal process and ensure their rights are protected.
**Focus on Victim Protection:**
* **Presumption of Innocence:** The individual is presumed innocent until proven guilty. The investigation and any potential legal proceedings should prioritize victim protection and ensure the traffickers are held accountable.
**Remember:** This information cannot be a substitute for professional legal advice. If someone finds themself in this situation, consulting with a lawyer is crucial to understand their legal standing and potential consequences.</t>
  </si>
  <si>
    <t>A suspected trafficker is exploiting individuals for forced labor in a legitimate business. What legal measures can be taken to address this form of human trafficking?</t>
  </si>
  <si>
    <t>Several legal measures can be taken to address forced labor within a legitimate business in the Philippines:
**Identifying Forced Labor:**
* **Signs of Exploitation:** Look for indicators that suggest forced labor, such as:
* Long working hours with minimal or no breaks
* Withholding of passports or travel documents
* Debt bondage or threats of violence
* Poor working conditions or lack of safety equipment
* Restriction of movement or freedom
* Physical or emotional abuse
**Reporting and Investigation:**
* **Report to Authorities:** Report suspected forced labor to the Department of Labor and Employment (DOLE), Inter-Agency Council Against Trafficking (IACAT), or the Philippine National Police (PNP).
* **Labor Inspections:** DOLE can conduct inspections of the business premises to verify working conditions and employee testimonies.
* **Evidence Gathering:** Investigators will gather evidence like payroll records, employee interviews, and witness statements. **Legal Actions:**
* **Anti-Trafficking in Persons Act (RA 9208):** If evidence confirms forced labor, the trafficker can be prosecuted under RA 9208. This law defines forced labor as a form of trafficking and prescribes penalties for perpetrators.
* **Labor Laws:** Violations of labor laws, such as minimum wage violations or illegal confiscation of salaries, can also be pursued. **Protecting Victims:**
* **Rescue and Shelter:** Authorities can rescue victims from the forced labor situation and place them in safe shelters.
* **Medical and Legal Assistance:** Victims can receive medical care to address any injuries or health problems and legal assistance to pursue claims against the trafficker.
**Addressing the Business:**
* **Business Permit Revocation:** If the business is found to be a front for forced labor, authorities can pursue legal action to revoke its permits.
* **Blacklisting:** The business may be blacklisted, making it difficult to operate legally.
**Challenges and Considerations:**
* **Gathering Evidence:** Obtaining concrete evidence of forced labor, especially within a seemingly legitimate business, can be challenging. * **Witness Cooperation:** Victims may be hesitant to come forward due to fear of retaliation or dependence on the trafficker.
**Additional Considerations:**
* **Community Outreach:** Raising awareness about forced labor can encourage bystanders or potential victims to report suspicious activity.
* **Workplace Inspections:** Regular inspections by DOLE can help deter businesses from engaging in forced labor practices.
By utilizing these legal measures and fostering collaboration between agencies, Philippine authorities can dismantle forced labor operations hidden within legitimate businesses and hold the perpetrators accountable. If you encounter a situation of suspected forced labor, reporting it to the proper authorities is crucial to stopping the exploitation and helping the victims.</t>
  </si>
  <si>
    <t>A victim of human trafficking has been identified, and their immediate safety is a concern. What legal actions can be taken to ensure their protection and prevent retraumatization?</t>
  </si>
  <si>
    <t>The immediate safety of a human trafficking victim is paramount. Here are several legal actions you can take to ensure their protection and prevent retraumatization in the Philippines:
**1. Secure Emergency Shelter:**
* **Inter-Agency Council Against Trafficking (IACAT):** Contact IACAT, the lead government agency for anti-trafficking efforts in the Philippines. They can arrange for safe shelter placement in collaboration with NGOs or government facilities.
* **Temporary Protection Order (TPO):** If the victim fears their trafficker or someone associated with them, consider pursuing a Temporary Protection Order (TPO) through the court system. This can help establish a safe distance from the perpetrator.
**2. Law Enforcement Involvement:**
* **Report to Authorities:** Report the case to the Philippine National Police (PNP) or the National Bureau of Investigation (NBI). They can investigate the situation and ensure the victim's safety.
* **Witness Protection Program:** If the victim expresses willingness to cooperate with law enforcement, explore the possibility of enrolling them in the Witness Protection Program (WPP) managed by the Department of Justice (DOJ). This program provides security measures and relocation if necessary. **3. Respecting Victim Autonomy:**
* **Victim Consent:** Always obtain the victim's consent before taking any legal actions. Explain the options available and respect their choices.
* **Trauma-Informed Approach:** Recognize the victim may be traumatized and overwhelmed. Be patient, empathetic, and avoid pressuring them to make decisions before they are ready.
**4. Legal and Medical Assistance:**
* **Legal Aid:** Connect the victim with legal assistance through IACAT or NGOs specializing in anti-trafficking. A lawyer can advise them on their legal rights and navigate the legal process.
* **Medical Care:** Ensure access to medical care to address any physical or psychological injuries sustained during the trafficking experience. **Preventing Retraumatization:**
* **Minimize Interviews:** Limit the number of times the victim needs to recount their experience. Law enforcement and social service providers should coordinate to avoid repetitive questioning.
* **Safe Interview Techniques:** Use trauma-informed interview techniques when interacting with the victim. This involves creating a safe space, using plain language, and allowing them to control the pace of the interaction.
* **Support Network:** Help the victim establish a support network of trusted individuals, such as social workers, therapists, or support groups for trafficking survivors.
By prioritizing these legal actions and adopting a trauma-informed approach, you can help ensure the immediate safety and well-being of the victim while minimizing the risk of retraumatization. Remember, collaboration between various agencies and a focus on victim autonomy are crucial in protecting trafficking victims in the Philippines.</t>
  </si>
  <si>
    <t>You are a legal professional providing assistance to human trafficking victims. What legal avenues are available for seeking compensation or restitution on behalf of the victims?</t>
  </si>
  <si>
    <t>As a legal professional assisting human trafficking victims in the Philippines, here are several legal avenues you can explore to seek compensation or restitution:
**1. Civil Case Against Traffickers:**
* **Basis:** File a civil lawsuit against the traffickers under the provisions of the Philippine Civil Code. * **Damages:** You can claim various damages, including:
* **Moral damages:** Compensation for the mental and emotional suffering caused by the trafficking experience.
* **Exemplary damages:** Punitive damages to deter future trafficking activities by the defendant.
* **Actual damages:** Reimbursement for financial losses incurred, such as medical expenses, lost wages, or recruitment fees paid to traffickers.
**2. Anti-Trafficking in Persons Act (RA 9208):**
* **Section 15(f):** This section mandates the creation of a **Trafficking in Persons Trust Fund**. This fund can be a source of compensation for victims. * **Eligibility:** Victims who have cooperated in investigations or prosecutions are prioritized for receiving assistance from the Trust Fund.
**3. Labor Laws:**
* **If trafficking involved forced labor:** You can explore claims under Philippine labor laws.
* Victims may be entitled to unpaid wages, benefits, and overtime pay.
* This can be particularly relevant in cases of domestic servitude or overseas Filipino workers (OFWs) subjected to trafficking.
**4. Government Assistance Programs:**
* **Various government agencies** offer assistance programs for trafficking victims. These programs might include:
* Medical care
* Psychological counseling
* Legal assistance
* Livelihood training
* Temporary shelter
**Challenges and Considerations:**
* **Financial Resources of Traffickers:** Often, traffickers lack the resources to pay significant compensation. * **Lengthy Legal Process:** Civil lawsuits can be time-consuming and expensive. * **Evidence Gathering:** Proving the extent of damages can be challenging.
**Additional Tips:**
* **Collaboration:** Work with NGOs specializing in anti-trafficking to access resources and support for victims.
* **Victim-Centered Approach:** Prioritize the victim's well-being throughout the legal process. * **Focus on Restitution:** While compensation is important, focus on helping victims regain control of their lives through access to healthcare, education, or vocational training. Remember, the primary goal is to help victims recover and rebuild their lives. While seeking compensation can be a part of the healing process, explore all available options and prioritize the victim's well-being throughout the legal journey.</t>
  </si>
  <si>
    <t>A suspected trafficker is arrested, and their assets are believed to be derived from human trafficking proceeds. What legal measures can be taken to seize and forfeit these assets?</t>
  </si>
  <si>
    <t>Philippine law allows authorities to seize and forfeit assets suspected to be derived from human trafficking proceeds. Here's how:
**Legal Basis:**
* **Republic Act No. (RA) 9208 or the Anti-Trafficking in Persons Act of 2003 (ATIP):**
* Section 14 outlines the authority to freeze, seize, or confiscate assets obtained through trafficking.
* **Rule 108 of the Rules of Court:** This rule details the legal procedures for forfeiture proceedings.
**Process for Asset Forfeiture:**
1. **Investigation and Evidence Gathering:** Law enforcement investigates the suspected trafficker's financial activities. This might involve:
* Following money trails
* Examining bank records and financial transactions
* Identifying properties acquired during the suspected trafficking period
2. **Lodge a Petition for Forfeiture:** The government, through the Department of Justice (DOJ), files a petition with the court requesting the forfeiture of the identified assets.
3. **Burden of Proof:** The burden of proof typically lies with the government. However, under RA 9208 Section 14(b), if the assets cannot be satisfactorily accounted for, the court can presume they were obtained through trafficking.
4. **Court Hearing:** A court hearing is held to determine whether sufficient evidence exists to link the assets to human trafficking activities.
5. **Forfeiture Order:** If the court rules in favor of forfeiture, an order is issued transferring ownership of the assets to the government.
**Proceeds from Forfeiture:**
The proceeds from forfeited assets are typically used for:
* **Victim Rehabilitation:** Funding programs that provide medical care, psychological support, and reintegration assistance to victims of human trafficking.
* **Anti-Trafficking Efforts:** Supporting government initiatives and programs aimed at preventing and combating human trafficking.
**Challenges and Considerations:**
* **Gathering Evidence:** Demonstrating a clear link between the assets and trafficking activities can be challenging. * **Lengthy Process:** Forfeiture proceedings can take time, delaying the use of recovered assets for victim support.
**Additional Considerations:**
* **Restraining Orders:** To prevent the dissipation of assets before a forfeiture order is issued, authorities can request restraining orders to freeze bank accounts or prevent the sale of properties.
* **International Cooperation:** In cases involving assets located abroad, international cooperation with other countries' legal systems may be necessary.
By utilizing these legal measures, Philippine authorities can deprive traffickers of their ill-gotten gains, deter future trafficking activities, and generate resources to support victims. This is a complex legal area, so if you have a specific case, consultation with a lawyer specializing in asset forfeiture is recommended.</t>
  </si>
  <si>
    <t>A victim of human trafficking is identified in a foreign jurisdiction. What legal mechanisms can be utilized for the repatriation and support of the victim?</t>
  </si>
  <si>
    <t>When a Filipino victim of human trafficking is identified in a foreign jurisdiction, several legal mechanisms can be used to facilitate their repatriation and support:
**International Cooperation:**
* **International Agreements:** The Philippines is a signatory to various international agreements against human trafficking, such as the UN Protocol to Prevent, Suppress and Punish Trafficking in Persons, Especially Women and Children (Palermo Protocol). These agreements promote international cooperation in repatriation and victim support.
* **Bilateral Agreements:** The Philippines may have specific bilateral agreements with the foreign country where the victim is found. These agreements may outline specific procedures for repatriation and support services.
**Government Agencies Involved:**
* **Department of Foreign Affairs (DFA):** The DFA plays a critical role in coordinating repatriation efforts. They can work with the Philippine embassy or consulate in the foreign country to establish contact with the victim and local authorities.
* **Inter-Agency Council Against Trafficking (IACAT):** IACAT works with the DFA to ensure the victim receives appropriate assistance upon return to the Philippines.
**Repatriation Process:**
* **Voluntary Repatriation:** The victim's consent is crucial for repatriation. The DFA and local authorities will ensure the victim understands their options and feels safe returning to the Philippines. * **Travel Documents:** If the victim's passport is missing or confiscated, the Philippine embassy or consulate can issue emergency travel documents to facilitate their return.
* **Security Arrangements:** Depending on the circumstances, security arrangements might be necessary to ensure the victim's safety during travel.
**Support Services in the Philippines:**
* **Safe Shelters:** IACAT, in collaboration with NGOs, can arrange safe shelter for the victim upon their return. * **Medical Care:** The victim can receive medical and psychological care to address any physical or emotional trauma.
* **Legal Assistance:** The victim may need legal assistance to pursue charges against the traffickers or address other legal issues arising from their experience.
* **Reintegration Programs:** Programs can help victims rebuild their lives, find employment, and reintegrate into their communities.
**Additional Considerations:**
* **Victim's Needs and Wishes:** The repatriation and support process should prioritize the victim's specific needs and wishes. * **Safety from Traffickers:** Measures should be taken to ensure the victim's safety from potential retaliation by the traffickers upon return.
* **Long-Term Support:** Addressing the trauma of trafficking is an ongoing process. The victim may require long-term support services to fully recover and reintegrate into society.
Remember, this is a complex situation, and the specific process will vary depending on the circumstances. The Philippine government, through the DFA and IACAT, aims to ensure a safe and supportive return for Filipino victims of human trafficking identified abroad. If you encounter such a case, contacting the Philippine embassy or consulate in the foreign country is the first step.</t>
  </si>
  <si>
    <t>You are a customs official detecting suspicious activities at a border crossing related to human trafficking. What legal actions can be taken to intervene and investigate?</t>
  </si>
  <si>
    <t>As a Philippine customs official suspecting human trafficking at a border crossing, you have several legal actions at your disposal to intervene and investigate:
**1. Identify Red Flags:**
The first step is to identify indicators that suggest human trafficking. Here are some red flags to watch out for:
* **Travel documents:** Inconsistent or falsified travel documents, individuals traveling with passports not belonging to them, or minors traveling without a legal guardian.
* **Inconsistent stories:** Travelers providing inconsistent or contradictory accounts of their purpose of travel or relationship to each other. * **Demeanor:** Signs of fear, anxiety, or physical abuse on the travelers, or individuals appearing overly submissive or controlled by another person.
* **Financial discrepancies:** Large sums of money carried by individuals with seemingly limited means, or suspicious money transfers linked to the travelers.
**2. Initial Intervention:**
* **Separate Interviews:** Discreetly separate suspected victims from potential traffickers and conduct private interviews. Ask open-ended questions to assess their understanding of their situation and identify any coercion. * **Offer Assistance:** Inform them of their rights and the availability of assistance programs for trafficking victims. * **Document Everything:** Record details of the interaction, including observations of behavior, inconsistencies in stories, and any physical injuries.
**3. Reporting and Collaboration:**
* **Alert Authorities:** Immediately report your suspicions to the Inter-Agency Council Against Trafficking (IACAT) or the Philippine National Police (PNP) Anti-Trafficking in Persons Unit (ATPU).
* **Hold for Further Investigation:** Depending on the severity of the case, you may be authorized to hold the travelers for a reasonable period to allow further investigation by law enforcement.
* **Coordinate with Other Agencies:** Work with immigration officials, social workers, and medical professionals if needed, to ensure the safety and well-being of potential victims.
**4. Legal Framework:**
Your actions are supported by the following Philippine laws:
* **Republic Act No. (RA) 9208 or the Anti-Trafficking in Persons Act of 2003:** Defines trafficking in persons and outlines investigative procedures.
* **Bureau of Customs (BOC) Rules and Regulations:** These may include specific guidelines for identifying and reporting suspected trafficking at border crossings.
**Important Considerations:**
* **Respect for Rights:** While detaining individuals for investigation is an option, prioritize explanations and treat everyone with respect.
* **Protecting Victims:** The primary concern is ensuring the safety and well-being of potential trafficking victims.
* **Confidentiality:** Maintain confidentiality to protect potential victims from retaliation.
By following these steps and utilizing the legal framework, you can play a crucial role in identifying and disrupting human trafficking operations at Philippine borders. Remember, collaboration with other agencies and prioritizing victim safety are key to a successful intervention.</t>
  </si>
  <si>
    <t>A trafficker uses a legitimate business front to conceal their activities. What legal measures can be taken to uncover and address this type of trafficking operation?</t>
  </si>
  <si>
    <t>Philippine law enforcement has several tools to investigate and address trafficking operations hidden behind legitimate businesses:
**Authority and Agencies Involved:**
* **Inter-Agency Council Against Trafficking (IACAT):** IACAT is the lead agency in coordinating anti-trafficking efforts in the Philippines. They can gather intelligence and collaborate with other agencies during investigations.
* **Philippine National Police (PNP):** The PNP has special units dedicated to investigating human trafficking, such as the Women and Children Protection Center (WCPC). * **National Bureau of Investigation (NBI):** The NBI can conduct undercover operations and gather evidence related to trafficking activities.
**Legal Measures for Investigation:**
* **Search Warrants:** Based on probable cause, law enforcement can obtain warrants to search the business premises for evidence of trafficking activities. This might include hidden rooms, false documentation, or communication records with victims.
* **Financial Investigations:** Authorities can track financial transactions of the business to identify suspicious activity. Unexplained cash deposits or large transfers to individuals associated with trafficking can be red flags.
* **Witness Testimonies:** Testimonies from victims, former employees, or even disgruntled customers who suspect something amiss can be crucial in building a case.
* **Business Registration and Licensing Checks:** Inconsistencies between the business's registered activities and its actual operations can raise suspicion and warrant further investigation. **Challenges and Considerations:**
* **Gathering Evidence:** Uncovering a hidden trafficking operation can be challenging. Evidence may be well-concealed, and victims might be fearful of coming forward.
* **Cooperation Between Agencies:** Effective information sharing and collaboration between IACAT, PNP, NBI, and other relevant agencies is crucial for a successful investigation.
**Addressing the Business Facade:**
* **Anti-Money Laundering (AML) Laws:** The Philippines has AML laws that require businesses to report suspicious financial activity. Financial institutions can flag suspicious transactions linked to the business, which can trigger investigations.
* **Business Permit Revocation:** If evidence confirms the business is a front for trafficking, authorities can pursue legal action to revoke its permits and shut it down.
By utilizing these legal measures and fostering collaboration between agencies, Philippine law enforcement can dismantle trafficking operations disguised as legitimate businesses and hold the perpetrators accountable.</t>
  </si>
  <si>
    <t>A victim of human trafficking is pregnant. What legal measures can be implemented to address the specific needs and vulnerabilities of pregnant trafficking victims?</t>
  </si>
  <si>
    <t>The Philippines has several legal measures that address the specific needs and vulnerabilities of pregnant trafficking victims:
**Republic Act No. (RA) 9208 or the Anti-Trafficking in Persons Act of 2003 (ATIP):**
* **Section 15(d):** This section guarantees **access to medical care** for all victims of trafficking. This includes prenatal care, childbirth services, and postnatal care for pregnant victims. * **Section 15(g):** This section mandates the provision of **psycho-social support services** to victims. This is crucial for pregnant victims who may be experiencing trauma, anxiety, and depression.
**Other Relevant Laws:**
* **Republic Act No. (RA) 11110 or the Philippine Reproductive Health Law:** This law guarantees **access to reproductive health services**, including prenatal care, safe delivery, and family planning options. Pregnant trafficking victims have the right to make informed decisions about their reproductive health.
* **Department of Health (DOH) Administrative Order 2015-001:** This order outlines the **National Guidelines for Minimum Standards for Maternity Care Facilities**. This ensures pregnant victims receive quality care, regardless of their situation.
**Additional Considerations:**
* **Confidentiality:** **Respecting the privacy** of pregnant victims is crucial. Medical professionals and social workers should adhere to confidentiality protocols.
* **Trauma-Informed Care:** Healthcare providers should be trained in **trauma-informed care** to ensure sensitive and supportive interactions with victims.
* **Shelter Facilities:** Shelters for trafficking victims should be equipped to handle the needs of pregnant women. This may include providing comfortable sleeping arrangements, nutritious meals, and access to prenatal vitamins.
* **Social Support:** Pregnant victims may be isolated from their families or support networks. Shelters and social workers can help connect them with support groups or other resources to combat loneliness and anxiety.
**Collaboration is Key:**
Effective implementation of these legal measures requires collaboration between different stakeholders:
* **Law enforcement agencies** need to identify pregnant victims during rescue operations.
* **Social welfare agencies** should provide safe shelters with appropriate facilities.
* **The Department of Health (DOH)** can ensure access to quality medical care.
* **NGOs specializing in women's health and trafficking** can provide additional support services.
By working together, these entities can ensure the physical and mental well-being of pregnant trafficking victims in the Philippines. Remember, this information cannot be a substitute for professional legal advice. If you encounter a situation involving a pregnant trafficking victim, consider contacting IACAT (Inter-Agency Council Against Trafficking) or NGOs specializing in anti-trafficking for further guidance.</t>
  </si>
  <si>
    <t>An individual is rescued from human trafficking but refuses to cooperate with law enforcement. What legal consequences, if any, should they face for non-cooperation?</t>
  </si>
  <si>
    <t>In the Philippines, there are **no legal consequences** for a victim of human trafficking who refuses to cooperate with law enforcement. Here's why:
* **Understanding the Trauma:** Human trafficking is a horrific crime that can leave lasting psychological scars. Victims may be fearful of retaliation, distrustful of authorities due to past experiences, or in a state of shock that makes cooperation difficult.
* **Focus on Victim Protection:** Philippine law prioritizes victim protection and recovery. **RA 9208 (Anti-Trafficking in Persons Act)**, specifically **Section 15**, emphasizes ensuring the safety, well-being, and recovery of victims. * **Respecting Victim Autonomy:** Even though cooperation can be helpful in prosecuting traffickers, forcing a victim to participate can retraumatize them. The law recognizes the victim's right to choose how they want to proceed. **What Can Be Done?**
* **Support and Assistance:** Law enforcement and social service agencies should focus on providing **support and assistance** to the victim. This could include:
* Safe shelter
* Medical care
* Psychological counseling
* Legal assistance (even if they don't want to press charges)
* **Alternative Means of Investigation:** Law enforcement should explore **alternative ways to gather evidence** to prosecute the trafficker. This might involve witness testimonies from others who escaped or leveraging existing investigative leads.
**Additional Considerations:**
* **Reasons for Non-Cooperation:** Understanding why the victim is hesitant to cooperate can help tailor support and address any underlying fears. * **Building Trust:** Law enforcement officials can build trust with the victim by being patient, respectful, and prioritizing their safety.
* **Long-Term Support:** Even if the victim doesn't initially cooperate, offering ongoing support services keeps the door open for future cooperation if they change their mind.
The Philippine legal system recognizes the vulnerability of trafficking victims and prioritizes their well-being. While cooperation is valuable, it should never come at the expense of the victim's safety and recovery.</t>
  </si>
  <si>
    <t>A victim of human trafficking is identified as a witness in multiple cases. What legal provisions exist to streamline the legal process and protect the victim's rights?</t>
  </si>
  <si>
    <t>The Philippine legal system offers several provisions to streamline the legal process and protect the rights of a victim of human trafficking who is identified as a witness in multiple cases:
**Protection Measures under RA 9208 (Anti-Trafficking in Persons Act):**
* **Section 15(e):** This section guarantees **witness protection** for victims who cooperate with investigations and prosecutions. The government, through IACAT (Inter-Agency Council Against Trafficking), can provide various forms of protection, including:
* Secure accommodation in shelters
* Security measures to ensure safety from traffickers
* Change of identity (in extreme cases)
* **Section 17:** This section mandates **legal assistance** to victims throughout the entire judicial process. The government can provide a lawyer to represent the victim in all related cases.
**Special Procedures for Vulnerable Witnesses:**
* **Rule 119, Section 10 of the Rules of Court:** This rule allows for the conduct of **closed-circuit television (CCTV) depositions** for vulnerable witnesses, including trafficking victims. This protects them from intimidation by testifying in a separate location from the accused.
* **Rule 138, Section 1 of the Rules of Court:** This rule allows the court to **use video recordings or transcripts of testimonies** taken during the investigation stage as evidence during the trial. This reduces the number of times the victim needs to recount their experience.
**Additional Considerations:**
* **Victim-Friendly Procedures:** Courts are encouraged to adopt **victim-friendly procedures** that minimize the trauma of testifying. This may include allowing breaks, using simple language, and providing emotional support.
* **Coordination between Agencies:** **IACAT and law enforcement agencies** should work together to ensure a smooth and coordinated process for the victim as they participate in multiple cases.
* **Psychological Support:** Access to **trauma-informed psychological services** is crucial for victims to cope with the experience and participate effectively in the legal process. By utilizing these legal provisions and fostering a supportive environment, the Philippine justice system can protect the rights of trafficking victims who act as witnesses while ensuring a more efficient process for holding traffickers accountable.</t>
  </si>
  <si>
    <t>A trafficker is exploiting individuals within the domestic setting. What legal challenges and considerations should be taken into account when addressing trafficking within households?</t>
  </si>
  <si>
    <t>Here are some legal challenges and considerations when addressing trafficking within households in the Philippines:
**Challenges:**
* **Limited Scope of RA 9208:** While RA 9208 defines trafficking broadly, it primarily focuses on commercial sex trafficking and forced labor. Exploitation within households might fall into a grey area, making prosecution more difficult.
* **Proof of Coercion:** Evidence is crucial in any legal case. Gathering proof of coercion within a household can be challenging, especially when victims are hesitant to come forward due to fear or dependence on the trafficker (often a family member).
* **Jurisdictional Issues:** Trafficking within a household can be seen as a domestic concern, making law enforcement intervention delicate. Police might be hesitant to get involved in seemingly "private" matters. **Considerations:**
* **Vulnerable Groups:** Children, elderly, and people with disabilities are particularly vulnerable to domestic trafficking. Look for signs of exploitation specific to these groups. * **Psychological Coercion:** Threats, isolation, and emotional manipulation can be powerful tools of control. Consider these forms of coercion alongside physical threats.
* **Evidence Gathering:** Witness testimonies, medical records, and communication records (if victims have access to phones) can be valuable evidence. Encourage victims to confide in someone they trust who can corroborate their story. * **Victim Protection:** Victims may be hesitant to leave a familiar environment, even an abusive one. Ensure access to safe shelters and trauma-informed support services.
* **Community Outreach:** Raise awareness of domestic trafficking in communities to encourage victims to come forward and for bystanders to report suspicious activity.
**Additional Resources:**
* **Inter-Agency Council Against Trafficking (IACAT):** [https://iacat.gov.ph/](https://iacat.gov.ph/)
* **NGOs specializing in Anti-Trafficking:** Several NGOs work to combat trafficking in the Philippines. A quick internet search can help you find one in your area.
By understanding these challenges and considerations, authorities and advocates can work more effectively to identify and address domestic trafficking in the Philippines. Remember, the safety and well-being of victims is paramount.</t>
  </si>
  <si>
    <t>Cattle Rustling</t>
  </si>
  <si>
    <t>A suspected trafficker is using the threat of deportation to control victims. What legal measures can be implemented to address this form of coercion and protect the victims?</t>
  </si>
  <si>
    <t>Several Philippine laws address the situation you described and provide legal measures to protect victims:
**Republic Act No. (RA) 9208 or the Anti-Trafficking in Persons Act of 2003:**
* **Section 6** defines Trafficking in Persons (TIP) which can include threats to ensure the victim's compliance. * **Section 11** outlines Acts Constituting Trafficking in Persons. This could include threats of deportation used as a means of coercion. * **Section 15** details the Protection Measures for Trafficked Persons. This includes providing shelter, legal assistance, and repatriation if needed.
**Republic Act No. (RA) 7610 or the Special Protection of Children Against Abuse, Exploitation and Discrimination Act:**
* **Section 5** defines Trafficking in Persons where a child is the victim.
* **Section 10** details the Acts Constituting Trafficking in Persons of a Child. Similar to RA 9208, threats can be a part of this crime.
* **Section 15** outlines the Protection Programs and Mechanisms for Children Victims of Trafficking.
**Philippine Constitution:**
* **Article XIII, Section 2** protects the right to life, liberty and security of person. Threats of deportation can be seen as a violation of this right.
**Procedures to take:**
* **Report the crime:** Victims or anyone with knowledge of the situation can report it to the Inter-Agency Council Against Trafficking (IACAT), Philippine National Police (PNP), or any social welfare office.
* **Legal Assistance:** Victims are entitled to legal assistance under RA 9208 (Section 15) and RA 7610 (Section 15).
**Important Notes:**
* This is not an exhaustive list of all potentially applicable laws. * For specific legal advice, it's recommended to consult a lawyer specializing in human trafficking or a government agency that handles these cases like IACAT.</t>
  </si>
  <si>
    <t>How is cattle rustling defined under Philippine law?</t>
  </si>
  <si>
    <t>Philippine law defines cattle rustling under the **Anti-Cattle Rustling Law (Presidential Decree No. 533)**. Here's the key provision:
* **Section 3 (c):** Cattle rustling is defined as the taking away by any means, method or scheme, without the consent of the owner/raiser, of any of the following animals: cow, carabao, horse, mule, ass, or other domesticated member of the bovine family, whether or not for profit or gain, or whether committed with or without violence against or intimidation of any person or force upon things.
**Key Points:**
* The definition focuses on the **taking away** of cattle, regardless of the specific method or motivation behind it (profit or not).
* It applies to a broad range of large cattle, including cows, carabaos, horses, mules, asses, and other domesticated bovines.
* The owner's consent is crucial. If the owner allows someone to take their cattle, it wouldn't be considered cattle rustling under this law.
**Additional Considerations:**
* The law also clarifies that the **owner/raiser** includes herdsmen, caretakers, employees, tenants of a large cattle-raising firm, or other persons in lawful possession of the animals. This ensures broader protection for those entrusted with livestock.
* The law goes beyond just taking the cattle. It includes the **killing of large cattle** or taking its meat or hide without the owner's consent within the definition of cattle rustling.
**In essence, the Anti-Cattle Rustling Law casts a wide net to capture various forms of cattle theft and protect livestock owners in the Philippines.**</t>
  </si>
  <si>
    <t>What legal measures are in place to prevent and combat cattle rustling?</t>
  </si>
  <si>
    <t>The Philippines has a multi-pronged approach to preventing and combating cattle rustling, combining legal measures, enforcement strategies, and ongoing initiatives. Here's a breakdown of the key aspects:
**Legal Framework:**
* **Anti-Cattle Rustling Law (PD 533):** This cornerstone law defines cattle rustling, establishes a presumption of cattle rustling (shifting the burden of proof to those in possession of large cattle), and imposes harsher penalties compared to simple theft under the Revised Penal Code (RPC).
* **Revised Penal Code (RPC):** Articles on qualified theft (Articles 309 &amp; 310) apply in cattle theft cases, with penalties based on the stolen cattle's value.
* **Comprehensive Dangerous Drugs Act (RA 9160):** If cattle rustling involves organized crime (potentially linked to drug trafficking), charges under RA 9160 can be pursued, carrying even harsher penalties.
**Prevention Measures:**
* **Livestock Registration (Limited Scope):** Some local government units (LGUs) have livestock registration programs with identification tags or earmarks for cattle within their jurisdiction. While not national, it can aid local law enforcement.
* **Breed Association Registries:** Certain breed associations maintain registries of their members' animals, potentially including identification details. * **Microchipping (Optional):** While not mandatory, some livestock owners choose microchipping for their cattle. This allows for identification and ownership tracing.
**Enforcement Strategies:**
* **Investigation and Prosecution:** Law enforcement investigates reports, gathers evidence, and works with prosecutors to build strong cases against cattle rustlers. * **Market Inspections:** Law enforcement agencies can conduct surprise inspections of livestock markets to check for stolen cattle and verify adherence to potential verification procedures (brand marks, microchip scans).
* **Inter-Agency Cooperation:** Collaboration between local law enforcement, the National Bureau of Investigation (NBI) for complex cases, and veterinary services (for animal identification) is crucial.
**Ongoing Initiatives:**
* **Strengthening Law Enforcement Capacity:** Providing resources and training to investigate and prosecute cattle rustling effectively.
* **Enhancing Collaboration:** Encouraging collaboration between agencies to tackle cattle rustling networks.
* **National Livestock Registry (Potential):** Discussions are underway to develop a centralized system for tracking cattle movement and ownership nationwide.
**Challenges:**
* **Limited Resources:** Law enforcement, especially in remote areas, might face resource constraints.
* **Organized Crime:** Cattle rustling by organized crime groups requires enhanced investigation techniques.
* **Lack of National Registry:** A national system would facilitate tracking and deter movement of stolen cattle.
**Overall Impact:**
The legal framework and ongoing efforts aim to:
* **Deter Cattle Rustling:** Strict laws and penalties aim to discourage cattle rustling.
* **Recover Stolen Cattle:** The presumption of cattle rustling simplifies investigations and increases the chances of recovery.
* **Hold Perpetrators Accountable:** Harsher penalties ensure those involved face justice.
* **Protect Livelihoods:** Safeguarding livestock protects the livelihoods of farmers and ranchers.
By combining legal measures, enforcement strategies, and continuous improvement efforts, the Philippines aims to create a more secure environment for the livestock industry and deter cattle rustling activities.</t>
  </si>
  <si>
    <t>How does the law address the theft, illegal slaughter, or trafficking of cattle?</t>
  </si>
  <si>
    <t>The Philippine legal system tackles the theft, illegal slaughter, and trafficking of cattle through a combination of laws and enforcement strategies. Here's a breakdown of how the law addresses each aspect:
**Theft of Cattle:**
* **Anti-Cattle Rustling Law (PD 533):** This primary legislation defines cattle rustling as the taking of large cattle (cows, carabaos, horses, etc.) without the owner's consent. It establishes a presumption of cattle rustling (Section 7) and imposes harsher penalties compared to simple theft under the Revised Penal Code (RPC).
* **Revised Penal Code (RPC):** Articles on qualified theft (Articles 309 &amp; 310) can be applied in cattle theft cases. Penalties depend on the value of the stolen cattle, ranging from arresto mayor (short jail term) for low-value theft to prision mayor (several years of imprisonment) for higher-value cattle.
**Illegal Slaughter:**
* **Meat Inspection Code (MIC) and Implementing Regulations:** These regulations establish guidelines for animal slaughter and processing facilities. Slaughtering animals outside of licensed facilities or without proper inspection is illegal.
* **Local Government Ordinances:** Many LGUs have ordinances regulating animal slaughter within their jurisdiction. These ordinances might specify designated slaughterhouses, animal health inspection requirements, and proper waste disposal procedures.
* **Penalties:** Violations of the MIC or local ordinances can result in fines, confiscation of illegally slaughtered meat, and potential business license revocation for slaughterhouses operating without proper permits.
**Trafficking of Cattle:**
* **Movement Permits:** The Bureau of Animal Industry (BAI) requires permits for the movement of large cattle across provinces or regions. This helps track cattle movement and deter illegal trafficking.
* **Anti-Cattle Rustling Law (PD 533):** If the trafficking involves stolen cattle, PD 533 applies, leading to penalties for cattle rustling.
* **Comprehensive Dangerous Drugs Act (RA 9160):** If the trafficking is part of a larger organized crime operation (potentially linked to drug trafficking), charges under RA 9160 can be pursued, with even harsher penalties.
**Challenges and Enforcement:**
* **Remote Areas:** Enforcing regulations in remote areas can be difficult due to limited resources and manpower.
* **Organized Crime:** Cattle trafficking rings require enhanced investigation techniques and inter-agency cooperation.
* **Fake Documentation:** Traffickers might use forged permits or brand markings, making identification challenging.
**Measures to Address Challenges:**
* **Strengthening Law Enforcement:** Providing resources and training to law enforcement agencies to investigate and prosecute cattle theft, illegal slaughter, and trafficking effectively.
* **Inter-Agency Cooperation:** Collaboration between law enforcement, the BAI, local government units, and veterinary services is crucial for effective enforcement.
* **Technology Utilization:** Exploring the use of technology like radio frequency identification (RFID) tags for cattle to enhance tracking and deter trafficking.
**The Overall Impact:**
These laws and enforcement measures aim to:
* **Deter Crime:** The strict laws and penalties aim to discourage theft, illegal slaughter, and trafficking of cattle.
* **Protect Animal Welfare:** Regulations on slaughter ensure proper hygiene and humane treatment of animals.
* **Promote Food Safety:** Proper inspection of slaughtered animals minimizes the risk of diseases entering the food chain.
* **Safeguard Livelihoods:** By protecting livestock from theft and illegal activities, the law helps farmers and ranchers maintain their livelihoods.
By addressing these different aspects, the Philippine legal system strives to create a more secure environment for the livestock industry, promote responsible practices, and ensure the safety of consumers.</t>
  </si>
  <si>
    <t>What penalties apply to individuals convicted of engaging in cattle rustling activities?</t>
  </si>
  <si>
    <t>The penalties for cattle rustling in the Philippines depend on the specific circumstances of the case, primarily governed by the Anti-Cattle Rustling Law (Presidential Decree No. 533) and the Revised Penal Code (RPC). Here's a breakdown of the potential penalties:
**Anti-Cattle Rustling Law (PD 533):**
* **Presumption of Cattle Rustling (Section 7):** This key provision simplifies the prosecution process. If someone is found in possession of large cattle (cows, carabaos, horses, etc.) and cannot provide a satisfactory explanation for having them, the burden of proof shifts to them. They must demonstrate they acquired the animals legally.
* **Penalties:** PD 533 outlines penalties based on the presence of violence and the value of the cattle:
* **Without violence and undetermined value:** prision mayor (6 years and 1 day to 8 years imprisonment)
* **With violence or significant value:** reclusion temporal (12 years and 1 day to 20 years imprisonment)
**Revised Penal Code (RPC):**
* **Qualified Theft (Articles 309 &amp; 310):** These articles target theft involving large cattle. * The specific penalty depends on the value of the stolen cattle:
* Less than ₱12,000: arresto mayor (1 month and 1 day to 6 months imprisonment)
* ₱12,000 to ₱18,000: destierro (banishment from a specific place or territory)
* ₱18,000 to ₱30,000: prision correccional (6 months and 1 day to 6 years imprisonment)
* Over ₱30,000: prision mayor (6 years and 1 day to 8 years imprisonment)
* Factors like prior convictions for theft can also lead to harsher penalties under the RPC.
**Additional Considerations:**
* **Organized Crime (RA 9160):** If the investigation reveals a structured criminal organization involved in cattle rustling (potentially linked to drug trafficking or other illegal activities), charges under RA 9160 (Comprehensive Dangerous Drugs Act) can be pursued. This law carries even harsher penalties for organized crime activities compared to PD 533.
**Important Notes:**
* The specific penalties are determined by the court based on the evidence presented and the specific circumstances of the case. * Convicted individuals might also face additional penalties, such as fines and restitution (ordering the offender to compensate the owner for the stolen cattle).
By establishing clear penalties, the legal framework aims to deter cattle rustling and ensure those involved are held accountable for their actions. The severity of the penalties increases with factors like violence, higher cattle value, and involvement in organized crime. This tiered approach sends a strong message to potential rustlers about the significant consequences they face if caught.</t>
  </si>
  <si>
    <t>Are there specific legal provisions for the protection of livestock owners and their property?</t>
  </si>
  <si>
    <t>Yes, the Philippines has several legal provisions specifically designed to protect livestock owners and their property, with a particular focus on deterring and addressing cattle rustling. Here's a breakdown of the key measures:
**Primary Legislation:**
* **Anti-Cattle Rustling Law (Presidential Decree No. 533):** This is the cornerstone legislation for protecting livestock owners from cattle rustling. It defines the crime, outlines penalties for offenders, and establishes a presumption of cattle rustling (Section 7). This presumption shifts the burden of proof to someone found in possession of large cattle (cows, carabaos, horses, etc.) to demonstrate they acquired the animals legally. **Key Features of PD 533:**
* **Broad Definition:** Cattle rustling is defined as taking away large cattle without the owner's consent, regardless of the means or motivation (profit or not).
* **Stiffer Penalties:** Compared to simple theft under the Revised Penal Code (RPC), PD 533 imposes harsher penalties, ranging from prision mayor (6 years and 1 day to 8 years imprisonment) to reclusion temporal (12 years and 1 day to 20 years imprisonment) depending on the presence of violence or the value of the cattle.
* **Presumption of Cattle Rustling:** This provision simplifies investigations and strengthens the case against those possessing stolen cattle.
**Additional Laws:**
* **Revised Penal Code (RPC):** Articles like qualified theft (Articles 309 &amp; 310) can be applied in cattle rustling cases depending on the specific circumstances, potentially leading to additional charges.
* **Comprehensive Dangerous Drugs Act (RA 9160):** If an investigation reveals a structured criminal organization involved in cattle rustling across regions, charges under RA 9160 can be pursued, carrying even harsher penalties for organized crime activities.
**Other Measures:**
* **Local Government Initiatives:** Some LGUs might have ordinances or programs for livestock registration, potentially involving identification tags or earmarks for cattle within their jurisdiction.
* **Breed Associations:** Certain breed associations might maintain registries of their members' animals, including details about breed, lineage, and potentially identification markings. While not national, these registries can be valuable for registered animals.
* **Microchipping:** While not mandatory, some livestock owners opt to microchip their cattle. Microchips store unique identification information that can be scanned to identify the animal and potentially trace ownership.
**Challenges and Ongoing Efforts:**
* **Limited Resources:** Law enforcement agencies, especially in remote areas, might face resource constraints in tackling complex cattle rustling cases. * **Organized Crime:** Cattle rustling by organized crime groups requires enhanced investigation techniques and inter-agency cooperation.
* **Lack of National Livestock Registry:** The absence of a centralized system makes national tracking of cattle movement and ownership more difficult.
**The Philippine government is actively exploring potential solutions, including:**
* **Strengthening Law Enforcement Capacity:** Providing resources and training to law enforcement to investigate and prosecute cattle rustling cases effectively.
* **Enhancing Collaboration:** Encouraging collaboration between local law enforcement, NBI, and other agencies to tackle cattle rustling networks. * **Establishing a National Livestock Registry:** Discussions are ongoing to develop a system for centralizing livestock identification and tracking cattle movement nationwide.
**Overall, the legal framework and ongoing efforts aim to:**
* **Deter Cattle Rustling:** The strict laws and penalties aim to discourage individuals from engaging in cattle rustling.
* **Recover Stolen Cattle:** The presumption of cattle rustling simplifies investigations and increases the chances of recovering stolen animals.
* **Hold Perpetrators Accountable:** Harsher penalties for cattle rustling and organized crime serve as a deterrent and ensure those involved face justice.
* **Protect Livelihoods:** By safeguarding livestock, these measures help protect the livelihoods of farmers and ranchers who rely on their animals for income and food security.
While challenges remain, the legal provisions and ongoing efforts demonstrate the Philippines' commitment to protecting livestock owners and their property, promoting rural security, and ensuring a fairer environment for those involved in the livestock industry.</t>
  </si>
  <si>
    <t>How does the law address the sale or disposal of stolen cattle in the market?</t>
  </si>
  <si>
    <t>The sale or disposal of stolen cattle in the market is a serious offense in the Philippines, and the law addresses it through several means:
**Targeting Sellers:**
* **Anti-Cattle Rustling Law (PD 533):** This law doesn't directly target sellers, but its provisions can be applied depending on the circumstances. * If the seller knew or had reason to believe the cattle were stolen (e.g., missing brand markings, suspiciously low price, behavior of the seller), they could be considered accomplices to the crime of cattle rustling and face similar penalties as the rustlers themselves.
* **Revised Penal Code (RPC):** Articles related to theft and accessory liability can be applied:
* **Accessory (Article 19):** An accessory is someone who, with knowledge of the crime, cooperates in the execution of the act by selling the stolen cattle. They could face a penalty lower than the principal offenders (cattle rustlers).
* **Knowing Possession of Stolen Property (Article 316):** If the seller knew the cattle were stolen and sold them for their own benefit, they could be charged with this offense, facing imprisonment and potential fines.
**Market Regulations:**
* **Livestock Licensing:** Some local government units (LGUs) might require livestock markets to obtain licenses for operation. These licenses might be revoked if the market knowingly facilitates the sale of stolen cattle. * **Verification Procedures:** Markets with established protocol for verifying cattle ownership through brand markings, microchip scans, or documentation can help deter the sale of stolen animals. **Challenges in Market Enforcement:**
* **Limited Resources:** Verifying the origin of every cattle at the market can be resource-intensive, especially in large or informal markets.
* **Fake Documentation:** Rustlers might use forged documents or tampered brand markings, making identification difficult.
**Role of Law Enforcement:**
* **Market Inspections:** Law enforcement agencies can conduct surprise inspections of livestock markets to check for stolen cattle and verify adherence to potential verification procedures.
* **Following Leads:** If a report of stolen cattle surfaces, law enforcement can investigate the market where they suspect the animals might be sold.
* **Cooperation with Market Management:** Collaboration with market management can be crucial in identifying suspicious sellers and establishing preventive measures.
**Role of Buyers:**
* **Due Diligence:** Buyers can exercise caution by requesting proper documentation (brand certificates, microchip scans) and avoiding suspiciously low prices for cattle.
* **Reporting Suspicious Activity:** If a buyer suspects cattle might be stolen, they can report it to market authorities or law enforcement.
**Overall Impact:**
The legal framework and enforcement efforts aim to discourage the sale of stolen cattle in markets. By holding sellers accountable, implementing market regulations, and promoting responsible buying practices, the law can create a more secure marketplace for legitimate livestock trade and discourage cattle rustling activities.</t>
  </si>
  <si>
    <t>What role do law enforcement agencies play in investigating and prosecuting cattle rustling cases?</t>
  </si>
  <si>
    <t>Law enforcement agencies play a crucial role in investigating and prosecuting cattle rustling cases in the Philippines. Here's a breakdown of their key responsibilities:
**Initial Response:**
* **Responding to Reports:** Upon receiving a report of cattle rustling, law enforcement officers will be dispatched to the scene to gather initial information.
* **Securing the Scene:** They will secure the area to preserve evidence, such as tracks, broken fences, or stray hair from the missing cattle.
* **Interviewing the Victim:** The officers will interview the livestock owner to understand the details of the theft, including the number, description, and any identification markings of the missing cattle.
**Investigation:**
* **Evidence Collection:** Officers will collect any physical evidence found at the scene, like footprints, tire tracks, and potential witness statements.
* **Following Leads:** They will investigate potential leads based on the information gathered, including questioning people in the vicinity, checking for security camera footage, and looking for individuals who might have recently sold cattle.
* **Cooperation with Other Agencies:** For complex cases or those involving stolen cattle potentially moved across borders, collaboration with other law enforcement agencies (e.g., NBI) is crucial.
**Building a Case:**
* **Documenting the Investigation:** Officers will thoroughly document their findings through detailed reports, photographs, and a chain of custody for collected evidence. * **Identifying Suspects:** Based on the investigation, they will attempt to identify and locate potential suspects involved in the cattle rustling.
* **Preparing for Prosecution:** They will work with prosecutors to ensure a strong case can be built against the suspects, adhering to legal procedures and respecting the rights of all individuals involved.
**Apprehension and Prosecution:**
* **Arrest and Charges:** If sufficient evidence exists, law enforcement officers will arrest the suspects and press charges under relevant laws, such as the Anti-Cattle Rustling Law (PD 533) and potentially the Revised Penal Code (RPC) depending on the circumstances.
* **Following Up:** Law enforcement might continue to assist prosecutors during the court case by providing necessary evidence and witness testimony.
**Additional Considerations:**
* **Community Outreach:** Law enforcement agencies can play a role in educating rural communities about cattle rustling prevention strategies and encouraging residents to report suspicious activity.
* **Inter-Agency Coordination:** Collaboration with local government units, veterinary services (for animal identification), and agricultural agencies can be valuable in tackling cattle rustling more effectively.
**Importance of Law Enforcement:**
By conducting thorough investigations, collecting robust evidence, and working collaboratively with the justice system, law enforcement agencies play a critical role in:
* **Deterring Cattle Rustling:** The presence of active investigation and prosecution can deter potential rustlers and make cattle rustling a riskier crime.
* **Recovering Stolen Cattle:** Successful investigations can lead to the recovery of stolen cattle and their return to the rightful owners, minimizing the financial losses for livestock raisers.
* **Holding Perpetrators Accountable:** Bringing cattle rustlers to justice ensures they are punished for their crimes and discourages future offenses.
* **Promoting Rural Security:** Addressing cattle rustling contributes to a safer environment for rural communities that rely heavily on livestock for their livelihoods. Law enforcement's role in investigating and prosecuting cattle rustling cases is essential for protecting farmers and ranchers, preventing economic losses, and promoting a more secure and just society for rural communities.</t>
  </si>
  <si>
    <t>Are there legal measures in place to compensate livestock owners for losses incurred due to cattle rustling?</t>
  </si>
  <si>
    <t>In the Philippines, there aren't direct legal provisions requiring the government to compensate livestock owners for cattle rustling losses. However, there are legal measures that can help owners recover their stolen animals or seek compensation from those convicted of the crime:
**Recovering Stolen Cattle:**
* **Anti-Cattle Rustling Law (PD 533):** This law prioritizes the return of stolen cattle to their rightful owners. If the investigation locates the animals, law enforcement can help with their recovery, potentially relying on brand markings, microchips, or ownership documentation.
* **Civil Lawsuit:** Livestock owners can file a civil lawsuit against those convicted of cattle rustling. The lawsuit can seek the return of the stolen animals (if not already recovered) or compensation for their value. **Obtaining Compensation:**
* **Restitution:** During sentencing, the court might order the convicted individuals to pay restitution to the owner. This essentially forces the offender to compensate the owner for the financial losses caused by the theft.
* **Damages in Civil Lawsuit:** If a civil lawsuit is successful, the court might award damages to the livestock owner. These damages can cover the fair market value of the stolen cattle, potential breeding value (for breeding animals), and any other associated losses demonstrably caused by the theft.
**Challenges in Obtaining Compensation:**
* **Conviction of Perpetrators:** Obtaining compensation relies heavily on successfully prosecuting those responsible for the cattle rustling. This can be challenging, especially if the case involves organized crime or lack of strong evidence.
* **Financial Resources of Convicted Individuals:** Even if a court orders restitution, recovering the money from convicted individuals can be difficult if they lack the financial resources.
**Insurance Options:**
* **Livestock Insurance:** While not widespread in the Philippines, some livestock owners might consider optional livestock insurance to mitigate losses due to theft or other unforeseen events. **Importance of Documentation:**
* **Proper Records:** Maintaining accurate records of livestock (number, breed, description, brand markings, microchip IDs if applicable) strengthens claims of ownership and helps with recovery efforts.
* **Receipts and Certificates:** Keeping purchase receipts and any relevant certificates (breeding records, lineage documentation) can be valuable evidence in both criminal and civil cases.
**Government Initiatives:**
* **Potential Programs:** The Philippine government has explored the possibility of establishing programs to assist livestock owners who suffer losses due to cattle rustling. However, no such nationwide program exists yet.
By understanding these legal options and the importance of documentation, livestock owners can increase their chances of recovering stolen cattle or seeking compensation for their losses. Collaborating with law enforcement and pursuing legal avenues can hold perpetrators accountable and hopefully deter future cattle rustling activities.</t>
  </si>
  <si>
    <t>How does the law address the involvement of organized crime groups in cattle rustling?</t>
  </si>
  <si>
    <t>The Philippine legal system takes a multi-pronged approach to address the involvement of organized crime groups in cattle rustling. Here's how the law tackles this complex issue:
**Traditional Cattle Rustling Laws:**
* **Anti-Cattle Rustling Law (PD 533):** This primary law applies to all forms of cattle rustling, including those perpetrated by organized crime. It establishes the presumption of cattle rustling (Section 7) and imposes harsher penalties compared to simple theft under the Revised Penal Code (RPC).
**Challenges with Traditional Laws:**
While PD 533 is a strong deterrent, organized crime groups can present unique challenges:
* **Sophistication:** These groups might operate across regions, making investigation and prosecution more complex.
* **Intimidation:** Witness intimidation and fear of retaliation can hinder investigations.
**Additional Laws Targeting Organized Crime:**
* **Comprehensive Dangerous Drugs Act (RA 9160):** If the investigation reveals a structured criminal organization involved in cattle rustling (potentially linked to drug trafficking or other illegal activities), charges under RA 9160 can be pursued. This law carries even harsher penalties for organized crime activities compared to PD 533.
**Strategies for Dismantling Organized Cattle Rustling:**
* **Enhanced Investigation:** Law enforcement agencies like the National Bureau of Investigation (NBI) with broader investigative powers play a crucial role in tackling organized crime rings.
* **Inter-Agency Cooperation:** Collaboration between local police, NBI, and potentially even customs officials (if trafficking involves crossing borders) is essential. * **Following the Money Trail:** Tracing financial transactions related to the sale of stolen cattle can lead to key figures within the organization. * **Witness Protection:** Programs to protect witnesses who provide information are crucial to dismantling organized crime networks.
**Benefits of Addressing Organized Crime:**
* **Disrupting Networks:** By targeting the leaders and financial infrastructure of these groups, law enforcement can disrupt their operations and deter future cattle rustling activities.
* **Protecting Communities:** Successfully dismantling organized crime rings not only protects farmers and ranchers from cattle theft but also fosters a safer environment for rural communities.
**Challenges and Ongoing Efforts:**
* **Limited Resources:** Law enforcement agencies might face resource constraints in tackling complex organized crime operations.
* **Evolving Tactics:** Organized crime groups can adapt their methods, requiring continuous vigilance and adjustments in law enforcement strategies.
The Philippines is actively addressing the issue of organized crime involvement in cattle rustling. By combining traditional cattle rustling laws with legislation targeting organized crime activities, along with enhanced investigation and inter-agency cooperation, authorities can dismantle these networks and protect the livelihoods of farmers and ranchers in rural communities.</t>
  </si>
  <si>
    <t>What legal actions can be taken against individuals found in possession of stolen cattle?</t>
  </si>
  <si>
    <t>Individuals found in possession of stolen cattle in the Philippines can face legal consequences under several laws, depending on the specific circumstances of the case. Here's an overview of potential legal actions:
**Primary Laws:**
1. **Anti-Cattle Rustling Law (PD 533):** This law directly addresses the issue of cattle rustling.
* **Presumption of Cattle Rustling (Section 7):** A key provision establishes a presumption of cattle rustling. If someone is found in possession of large cattle (cows, carabaos, horses, etc.) and cannot provide a satisfactory explanation for having them, the burden of proof shifts to them. They must demonstrate they acquired the animals legally. This eases the prosecution's burden and strengthens the case against those possessing stolen cattle.
* **Penalties:** PD 533 outlines penalties for cattle rustling based on the presence of violence and the value of the cattle:
* **Without violence and undetermined value:** prision mayor (6 years and 1 day to 8 years imprisonment)
* **With violence or significant value:** reclusion temporal (12 years and 1 day to 20 years imprisonment)
2. **Revised Penal Code (RPC):** Articles related to theft can be applied depending on the situation:
* **Qualified Theft (Articles 309 &amp; 310):** These articles target theft involving large cattle. The specific penalty depends on the value of the stolen cattle and the offender's criminal history.
**Factors Affecting Charges:**
* **Explanation for Possession:** The individual's explanation for possessing the cattle is crucial. If they can provide legitimate documentation (purchase receipts, brand certificates) and a verifiable source for the animals, charges might be dropped.
* **Tampering with Identification:** If the cattle have tampered brand markings or microchip identifiers, it strengthens the case against the possessor, suggesting they knew or suspected the animals were stolen.
* **Cooperation with Authorities:** If the individual cooperates with the investigation, provides information about the source of the cattle, or helps identify the actual rustlers, they might receive a lighter sentence or charges might be reduced.
**Potential Outcomes:**
* **Direct Charges:** Based on the investigation and evidence, the individual might face charges under PD 533 (cattle rustling) or the relevant articles of the RPC (qualified theft).
* **Confiscation of Cattle:** The court might order the confiscation of the stolen cattle and their return to the rightful owners.
* **Fines and Imprisonment:** If convicted, the individual might face imprisonment based on the specific charges and penalties.
**Additional Considerations:**
* **Civil Lawsuit:** The rightful owner of the stolen cattle might file a separate civil lawsuit to recover damages for the loss of their animals.
* **Witness Statements:** Statements from individuals who saw the cattle in the rightful owner's possession or witnessed suspicious behavior surrounding the acquisition of the cattle can be valuable evidence.
By applying these legal measures, law enforcement can hold individuals accountable for possessing stolen cattle, deter cattle rustling activities, and ensure justice for the victims. The presumption of cattle rustling under PD 533 plays a vital role in this process, making it difficult for those in possession of stolen animals to evade responsibility.</t>
  </si>
  <si>
    <t>How are individuals involved in transporting stolen cattle held accountable under the law?</t>
  </si>
  <si>
    <t>In the Philippines, individuals involved in transporting stolen cattle can be held accountable under the law in several ways, depending on their specific involvement and the circumstances of the case. Here's a breakdown of the potential legal implications:
**Primary Laws:**
* **Anti-Cattle Rustling Law (PD 533):** This law doesn't explicitly target transporters, but its provisions can be applied depending on the situation. * If the transporter knew or had reason to believe the cattle were stolen (e.g., missing brand markings, suspicious behavior of the seller), they could be considered accomplices to the crime of cattle rustling and face similar penalties.
* **Revised Penal Code (RPC):** Articles related to theft and accessory liability can be applied:
* **Accessory (Article 19):** An accessory is someone who, with knowledge of the crime, cooperates in the execution of the act by providing means to transport the stolen cattle. They could face a penalty lower than the principal offenders (cattle rustlers).
* **Knowing Possession of Stolen Property (Article 316):** If the transporter knew the cattle were stolen and possessed them for their own benefit, they could be charged with this offense, facing imprisonment and potential fines.
**Factors Affecting Charges:**
* **Knowledge of Theft:** The key factor influencing charges is whether the transporter knew or had reason to suspect the cattle were stolen. * Evidence like communication with known rustlers, unusual payment methods for transporting the cattle, or cattle with tampered identification markings can suggest knowledge of the crime.
* **Level of Involvement:** The extent of the transporter's involvement also matters. Simply transporting cattle without knowledge of their origin might not result in charges, while actively participating in the logistics of moving stolen cattle likely leads to harsher penalties.
**Investigative Considerations:**
* **Gathering Evidence:** Law enforcement will gather evidence to prove the transporter's knowledge of the crime. This might include witness statements, financial records of the transportation transaction, and communication records if they suggest coordination with the rustlers.
**Potential Outcomes:**
* **Direct Charges:** If sufficient evidence exists, the transporter might face charges under PD 533 (as an accomplice) or relevant articles of the RPC.
* **Plea Bargain:** Depending on the case, the transporter might negotiate a plea bargain to receive a lesser charge or sentence in exchange for cooperation with the investigation.
**Importance of Transparency:**
* **Legitimate Transporters:** Livestock transporters with proper licensing and documentation can minimize the risk of unknowingly transporting stolen cattle. * **Verifying Documentation:** Verifying cattle ownership documents and brand markings before transport can help avoid involvement in illegal activities.
By understanding these legal implications, individuals involved in transporting cattle can ensure they are not aiding cattle rustling activities. Law enforcement, with a focus on evidence collection and identifying the transporter's knowledge of the crime, can hold those involved accountable and disrupt the operations of cattle rustlers.</t>
  </si>
  <si>
    <t>Are there legal provisions for the registration and identification of livestock to prevent cattle rustling?</t>
  </si>
  <si>
    <t>The Philippines does not have a single, centralized national registry for livestock specifically designed to prevent cattle rustling. However, there are existing measures and initiatives that partially address animal identification:
* **Local Government Initiatives:** * Some local government units (LGUs) have ordinances or programs for livestock registration. These might involve issuing identification tags or earmarks for cattle within their jurisdiction. This can be helpful for local law enforcement in tracing stolen animals within the specific area.
* **Breed Associations:**
* Breed associations for specific breeds of cattle (like Philippine Carabao Center for carabaos) might maintain registries of their members' animals. These registries can include details about breed, lineage, and potentially identification markings. While not national in scope, they can be valuable for registered animals.
* **Microchipping:**
* While not mandatory, some livestock owners opt to microchip their cattle. Microchips store unique identification information that can be scanned to identify the animal and potentially trace ownership. This can be particularly helpful in recovering stolen cattle if they are moved across regions.
**Limitations of Existing Measures:**
* **Lack of Centralization:** The absence of a national registry makes it difficult to comprehensively track cattle ownership and movement across the Philippines.
* **Limited Scope:** Local government initiatives and breed association registries only cover specific areas or breeds, leaving a gap in nationwide identification.
* **Voluntary Microchipping:** Microchipping is not mandatory, and its effectiveness depends on scanners being available during investigations and enforcement. **Potential Benefits of a National Registry:**
* **Improved Tracking:** A national registry could track cattle movement and ownership more effectively, making it harder for rustlers to sell stolen animals.
* **Faster Recovery:** With a central database, stolen cattle could be identified and returned to their rightful owners more quickly.
* **Deterrence:** The existence of a national registry could deter cattle rustling by making it a riskier crime.
**Discussions and Initiatives:**
* The Philippine government has recognized the limitations of the current system and discussed the possibility of establishing a national livestock identification system. * The Bureau of Animal Industry (BAI) under the Department of Agriculture (DA) explores implementing such a system.
**Conclusion:**
While a centralized national registry for livestock identification doesn't exist yet in the Philippines, various initiatives at local and individual levels partially address animal identification. Efforts are underway to potentially establish a national system that could be a valuable tool in preventing cattle rustling and protecting the livelihoods of Filipino farmers and ranchers.</t>
  </si>
  <si>
    <t>How does Philippine law address the issue of cattle rustling in the context of rural and agricultural communities?</t>
  </si>
  <si>
    <t>Philippine law recognizes the significant impact of cattle rustling on rural and agricultural communities. Here's how the legal system addresses this issue:
**Primary Law:**
* **Presidential Decree No. 533 (Anti-Cattle Rustling Law of 1974):** This is the primary legislation that governs cattle rustling in the Philippines. It defines the crime, outlines penalties, and establishes procedures for investigation and prosecution.
**Key Features of PD 533:**
* **Broad Definition:** The law defines cattle rustling as the taking away of large cattle (cows, carabaos, horses, etc.) without the owner's consent. The means of taking and the motivation behind it (profit or not) are irrelevant.
* **Presumption of Cattle Rustling (Section 7):** This provision creates a presumption that a person found in possession of large cattle cannot explain their lawful acquisition is considered a thief. The burden of proof then shifts to the defendant to demonstrate they obtained the animals legally. This is particularly helpful in rural areas where cattle ownership might not always be meticulously documented.
* **Stiffer Penalties:** PD 533 imposes harsher penalties compared to simple theft under the Revised Penal Code (RPC). Penalties range from prision mayor (6 years and 1 day to 8 years imprisonment) to reclusion temporal (12 years and 1 day to 20 years imprisonment) depending on the presence of violence or the value of the cattle involved.
**Additional Considerations:**
* **Revised Penal Code (RPC):** Articles like qualified theft (Articles 309 &amp; 310) can be applied in cattle rustling cases depending on the specific circumstances, potentially leading to additional charges.
* **Organized Crime:** If the investigation reveals a structured criminal organization involved in cattle rustling across regions, charges under the RA 9160 (Comprehensive Dangerous Drugs Act) can be pursued, carrying even harsher penalties.
**Challenges in Rural Areas:**
* **Limited Resources:** Law enforcement agencies in remote rural areas might have limited resources for extensive investigations. * **Witness Intimidation:** Fear of retaliation from rustlers can deter witnesses from coming forward.
**Addressing Rural Challenges:**
* **Collaboration:** Cooperation between local law enforcement, the National Bureau of Investigation (NBI) for complex cases, and the community is crucial for successful investigations.
* **Witness Protection:** Programs to protect witnesses who provide information can encourage cooperation and build stronger cases.
* **Community Awareness:** Raising public awareness about cattle rustling and encouraging people to report suspicious activities can help deter thefts and assist investigations.
**Overall Impact:**
While challenges exist, Philippine law provides a robust framework for addressing cattle rustling and protecting the livelihoods of farmers and ranchers in rural communities. The emphasis on the presumption of cattle rustling and stiffer penalties can deter potential rustlers and ensure a more just outcome for affected communities.</t>
  </si>
  <si>
    <t>You are a law enforcement officer responding to a report of suspected cattle rustling. What legal steps should be taken during the initial stages of the investigation?</t>
  </si>
  <si>
    <t>As a law enforcement officer responding to a report of suspected cattle rustling, here are the key legal steps to take during the initial stages of the investigation:
**Securing the Scene:**
1. **Isolating the Area:** Upon arrival, prioritize your safety and the safety of others. Secure the area where the alleged theft occurred to prevent further tampering with evidence.
2. **Initial Interview with Reporting Party:**
* Interview the livestock owner who reported the theft. Gather details about:
* Number and description of missing cattle (breed, markings, any identification features)
* Timeframe of when the cattle were last seen
* Any potential witnesses or suspicious activity noticed
* Brand certificates, receipts or microchip identification records (if available)
**Evidence Collection:**
1. **Scene Examination:**
* Look for any physical evidence at the scene, such as:
* Tracks (footprints, tire tracks)
* Broken fences or signs of forced entry
* Stray hair or droppings from the missing cattle
* Witness statements from neighbors or people in the vicinity
2. **Documentation:**
* Thoroughly document the scene with photographs and detailed notes. * Collect any physical evidence found for further analysis.
**Preliminary Investigation:**
1. **Investigative Leads:**
* Based on the initial interview and scene examination, start developing leads:
* Interview potential witnesses to gather additional information.
* Check for any security camera footage in the area that might have captured relevant activity.
* If the livestock owner suspects someone specific, investigate their alibi and potential involvement.
2. **Information Sharing:**
* Share initial findings and any relevant details with other law enforcement units, especially if the case involves potential movement of stolen cattle across borders.
**Legal Considerations:**
* **Search Warrants:** If you need to enter private property beyond the initial scene (e.g., suspect's property), obtain a search warrant before proceeding.
* **Respect for Rights:** Ensure the investigation respects the rights of all individuals involved, including the reporting party and potential suspects.
**Next Steps:**
1. **Reporting and Follow-Up:**
* Prepare a detailed report outlining the initial findings, evidence collected, and investigative leads.
* Continue following up on leads, witness statements, and potential forensic analysis of evidence collected.
2. **Collaboration with Prosecutors:**
* Maintain communication with prosecutors and keep them updated on the progress of the investigation. Share evidence that might be helpful in building a strong case.
By following these steps, you can lay a solid foundation for a successful cattle rustling investigation. Remember, thorough documentation, evidence collection, and following legal procedures are crucial for building a strong case that can hold the perpetrators accountable.</t>
  </si>
  <si>
    <t>A livestock owner discovers that their cattle have been stolen and sold in a nearby market. What legal actions can be taken to recover the stolen property and hold the perpetrators accountable?</t>
  </si>
  <si>
    <t>Here's what the livestock owner can do to recover their stolen cattle and hold the perpetrators accountable:
**Immediate Actions:**
1. **Contact Authorities:**
* File a police report immediately. Provide a detailed description of the stolen cattle (number, breed, markings) and any details about the last time they were seen on your property.
* Inform the police about your suspicion that the cattle might have been sold in a nearby market.
2. **Gather Evidence:**
* If you have any brand certificates, receipts, or microchip identification records for your cattle, bring copies to the police station. * If possible, try to visit the market mentioned and see if you can identify your stolen cattle. Take photos or videos of any cattle that match the description, but be cautious not to trespass on private property.
**Cooperation with Law Enforcement:**
* Work closely with the police investigators. Provide any additional information that might be helpful, like witnesses who saw the cattle on your property or anyone suspicious around the time they went missing.
**Recovering the Cattle:**
1. **Police Assistance:**
* If the police locate your stolen cattle at the market, they can assist you in recovering them. They might need to verify ownership through brand markings, microchips, or your documentation.
2. **Civil Lawsuit:**
* If you find your cattle at the market but the seller resists returning them, you can file a civil lawsuit to reclaim your property. The police report and ownership documentation will be crucial evidence.
**Holding Perpetrators Accountable:**
1. **Investigation and Charges:**
* The police will investigate who sold the cattle and potentially track down the individuals involved in the theft. * Depending on the evidence, the authorities might press charges under the Anti-Cattle Rustling Law (PD 533) and/or the Revised Penal Code (RPC) for qualified theft (Articles 309 &amp; 310).
2. **Legal Representation:**
* Consider consulting a lawyer specializing in agricultural law or criminal cases. They can advise you on your legal options for recovering your cattle and pursuing compensation for damages. They can also represent you in court if necessary.
**Additional Tips:**
* **Market Security:**
* If the market has security personnel, inform them about the stolen cattle and request their assistance in identifying the seller.
* **Public Awareness:**
* You can spread awareness in the community about the stolen cattle, including details and photos, to help with identification and recovery efforts.
By following these steps and working collaboratively with law enforcement, the livestock owner can increase their chances of recovering their stolen cattle and holding those responsible accountable.</t>
  </si>
  <si>
    <t>A suspected cattle rustler is apprehended while in possession of stolen cattle. What legal consequences should follow the arrest?</t>
  </si>
  <si>
    <t>Here's a breakdown of the potential legal consequences that might follow the arrest of a suspected cattle rustler found in possession of stolen cattle in the Philippines:
**Initial Procedures:**
* **Booking and Charges:** Following the arrest, the suspect will be booked at the police station. Law enforcement will likely press charges under the Anti-Cattle Rustling Law (Presidential Decree No. 533). Depending on the circumstances, additional charges under the Revised Penal Code (RPC) might be included, such as qualified theft (Articles 309 &amp; 310) or even cattle-killing and stealing of meat/hide (if applicable).
**Presumption of Cattle Rustling:**
* **Section 7 of PD 533:** This law includes a presumption of cattle rustling. If the suspect is found in possession of large cattle (cows, carabaos, horses, etc.) and cannot provide a satisfactory explanation for having them, the burden of proof shifts to them to demonstrate they acquired the animals legally. **Potential Penalties:**
* **PD 533:** The penalties for cattle rustling under PD 533 depend on the presence of violence or the value of the cattle involved. * Without violence and for cattle of undetermined value: prision mayor (6 years and 1 day to 8 years imprisonment)
* With violence or for cattle with significant value: reclusion temporal (12 years and 1 day to 20 years imprisonment)
**Severity of Charges:**
The severity of the charges and potential penalties can be influenced by several factors:
* **Presence of Violence:** If the suspect used violence or intimidation during the cattle rustling, the charges and penalties will be more severe.
* **Value of the Cattle:** The higher the value of the stolen cattle, the harsher the potential penalties.
* **Previous Offenses:** If the suspect has a history of cattle rustling or other criminal offenses, it can impact sentencing.
**Trial and Sentencing:**
* **Presumption of Innocence:** It's important to remember that the suspect is presumed innocent until proven guilty beyond a reasonable doubt in court. * **Trial Process:** Both the prosecution and the defense will present evidence and arguments during the trial. The judge will then weigh the evidence and deliver a verdict.
* **Sentencing:** If found guilty, the court will determine the appropriate sentence based on the charges, aggravating and mitigating factors, and applicable laws.
**Additional Considerations:**
* **Confession:** If the suspect confesses to the crime and cooperates with authorities, they might receive a lighter sentence.
* **Restitution:** The court might order the convicted individual to return the stolen cattle to the rightful owners or compensate them for their value.
**Remember:** The specific legal consequences will depend on the details of the case and the final court decision. This information provides a general overview of the potential legal process and outcomes.</t>
  </si>
  <si>
    <t>You are a prosecutor handling a cattle rustling case. What legal challenges might arise during the prosecution, and how can they be addressed?</t>
  </si>
  <si>
    <t>As a prosecutor handling a cattle rustling case, you might face several legal challenges. Here are some potential hurdles and strategies to overcome them:
**Challenges Related to Evidence:**
* **Lack of Eyewitnesses:** Cattle rustling often occurs in remote areas, and there might be a lack of eyewitnesses to directly observe the theft. * **Circumstantial Evidence:** Your case might rely heavily on circumstantial evidence, like finding the stolen cattle in the possession of the accused or tracing their movement through branding or microchips. * **Tampering with Evidence:** In some cases, the rustlers might attempt to tamper with branding or identification markings on the cattle, making it difficult to prove ownership.
**Strategies:**
* **Thorough Investigation:** Work closely with law enforcement to conduct a comprehensive investigation. This might involve collecting physical evidence (cattle markings, tire tracks), analyzing phone records to track communication between suspects, and searching for any video surveillance footage from nearby locations.
* **Building a Strong Circumstantial Case:** Carefully present all available circumstantial evidence. Demonstrate a clear connection between the stolen cattle, the accused, and their activities. * **Expert Testimony:** Consider bringing in experts like veterinarians or animal identification specialists to verify branding or microchip data and explain the significance of such evidence.
**Challenges Related to Witness Credibility:**
* **Witness Bias:** Witnesses might be biased against the accused due to personal conflicts or community tensions.
* **Witness Intimidation:** In some cases, witnesses might be fearful of retaliation from the accused or their associates.
**Strategies:**
* **Corroborating Evidence:** Support witness testimonies with other forms of evidence to strengthen their credibility. * **Witness Protection:** If witnesses are concerned about their safety, work with law enforcement to provide witness protection programs or anonymized testimonies.
**Challenges Related to Legal Presumptions:**
* **Presumption of Innocence:** The burden of proof lies with the prosecution. You must demonstrate the guilt of the accused beyond a reasonable doubt.
**Strategies:**
* **Clear and Compelling Case:** Present a clear and compelling case that leaves no room for reasonable doubt about the accused's guilt. **Additional Considerations:**
* **Alibi Defense:** The accused might present an alibi defense, claiming they were not present at the scene of the crime. Be prepared to counter such defenses by presenting evidence that undermines their alibi.
* **Legal Representation for the Accused:** The accused will likely have legal representation. Anticipate their arguments and prepare counter-arguments based on your evidence.
**Remember:** * Work collaboratively with law enforcement to build a strong case. * Focus on clear and compelling evidence to overcome challenges related to witness testimony and circumstantial evidence.
* Be prepared to address potential defense strategies and legal presumptions. By proactively addressing these challenges and presenting a well-prepared case, you can increase your chances of obtaining a successful prosecution in the cattle rustling case.</t>
  </si>
  <si>
    <t>A livestock owner witnesses a neighbor stealing their cattle. What legal measures can be taken to ensure a fair and just resolution of the case?</t>
  </si>
  <si>
    <t>The livestock owner can take several legal measures to ensure a fair and just resolution of the case when they witness their neighbor stealing their cattle:
**Immediate Actions:**
1. **Contact Authorities:** * Call the police or report the crime to the nearest police station. Provide a detailed description of the stolen cattle (number, breed, markings) and any details about the neighbor involved. * If the theft is in progress, emphasize the urgency and request immediate response.
2. **Gather Evidence (if safe):**
* If possible, try to take photos or videos of the stolen cattle and the neighbor involved (from a safe distance and without trespassing). * Note down the time and any other details that might be helpful, like witnesses or the direction the neighbor took the cattle. * **Safety First:** Do not put yourself in danger to collect evidence.
**Following Up:**
1. **File a Formal Complaint:** * Once at the police station, file a formal complaint. Provide a written statement with all the details of the incident, including the description of the stolen cattle, the actions witnessed, and any evidence gathered. 2. **Gather Additional Evidence:**
* If you have any brand certificates, receipts, or microchip identification records for your cattle, provide copies to the police.
* Talk to any potential witnesses who might have seen the neighbor near your property or with the cattle. Request them to provide statements to the police.
**Ensuring Fairness:**
1. **Legal Representation:**
* Consider consulting a lawyer specializing in agricultural law or criminal cases. They can advise you on your rights, assist with gathering evidence, and represent you in court if necessary.
2. **Cooperation with Authorities:**
* Cooperate fully with the police investigation. Respond promptly to requests for information or attend lineups if needed.
3. **Patience:** * Investigations can take time. Maintain communication with the police and inquire about the progress of the case.
**Potential Outcomes:**
* **Out-of-Court Settlement:**
* If sufficient evidence exists, the police might attempt to mediate an out-of-court settlement where the neighbor returns the cattle and potentially compensates for damages.
* **Court Case:**
* If a settlement is not reached or the evidence supports prosecution, the case will move to court. The livestock owner might be required to testify and present evidence. **Additional Tips:**
* **Document Everything:** Maintain copies of police reports, filed complaints, and any communication with authorities.
* **Security Measures:** After this incident, consider implementing additional security measures on your property to deter future thefts, such as improved fencing, security cameras, or guard animals (if allowed in your area).
By taking these steps, the livestock owner can increase their chances of recovering their stolen cattle and holding the neighbor accountable for their actions. Legal representation can provide valuable guidance and ensure a fair and just resolution through the legal system.</t>
  </si>
  <si>
    <t>A group of individuals is involved in the organized theft and trafficking of cattle across multiple regions. What legal actions can be taken to dismantle the criminal operation?</t>
  </si>
  <si>
    <t>Dismantling an organized cattle rustling and trafficking operation requires a multi-pronged legal approach. Here's a breakdown of potential actions:
**Law Enforcement Investigations:**
* **Filing Police Reports:** Cattle owners who discover missing animals should immediately file police reports with detailed descriptions of the stolen cattle. This provides a starting point for the investigation.
* **National Bureau of Investigation (NBI):** Due to the organized and potentially multi-regional nature of the crime, consider involving the NBI. They have broader investigative powers and experience handling complex criminal activities.
* **Gathering Evidence:** Law enforcement will collect evidence through witness interviews, surveillance, tracking stolen cattle (branding, microchips), financial records (tracing the sale of stolen cattle), and electronic communications (if any).
**Legal Charges:**
* **Anti-Cattle Rustling Law (PD 533):** This law applies directly to the theft and possession of stolen cattle. Penalties can be severe, especially for organized operations.
* **Revised Penal Code (RPC):** Articles like qualified theft, cattle-killing and stealing of meat/hide (RPC 309 &amp; 310) can be applied depending on the specific actions of the individuals involved.
* **Organized Crime Syndicates (RA 9160):** If the investigation reveals a structured criminal organization, charges under the RA 9160 (Comprehensive Dangerous Drugs Act) can be pursued, carrying even harsher penalties.
**Disrupting the Network:**
* **Asset Forfeiture:** Authorities can freeze and seize assets acquired through the illegal cattle trade, dismantling the financial foundation of the operation.
* **Arrests and Detention:** Apprehending key figures in the organization can disrupt their activities and deter others involved.
* **Following the Money Trail:** Tracing financial transactions related to the sale of stolen cattle can lead to other members of the network.
**Additional Considerations:**
* **Inter-Agency Cooperation:** Collaboration between local police, NBI, and potentially even customs officials (if trafficking involves crossing borders) is crucial for a successful investigation.
* **Witness Protection:** Protecting witnesses who come forward with information is important to ensure their safety and encourage cooperation.
* **Public Awareness:** Raising public awareness about cattle rustling and encouraging people to report suspicious activities can help deter thefts and assist investigations.
**Legal Representation for Cattle Owners:**
* **Civil Lawsuits:** Cattle owners can file civil lawsuits against those convicted to recover damages for the stolen animals.
By combining these legal measures, law enforcement can dismantle the criminal network, hold those responsible accountable, and deter future cattle rustling activities.
**Important Note:**
This is a general overview, and the specific legal actions will depend on the details of the case and the evidence gathered during the investigation. Consulting with a lawyer specializing in criminal law can provide more specific guidance based on the situation in the Philippines.</t>
  </si>
  <si>
    <t>You are a judge presiding over a cattle rustling case. What legal considerations should guide your decisions during the trial?</t>
  </si>
  <si>
    <t>In the Philippines, if you were presiding over a cattle rustling case, here are some key legal considerations to guide your decisions during the trial:
**Understanding the Law:**
* **Presidential Decree No. 533 (Anti-Cattle Rustling Law of 1974):** This is the primary law that governs cattle rustling in the Philippines. It defines the crime, outlines penalties, and establishes procedures for investigation and prosecution.
* **Revised Penal Code (RPC):** Articles 309 and 310 of the RPC deal with qualified theft, which can be applicable in some cattle rustling cases, depending on the circumstances.
**Elements of Cattle Rustling (PD 533):**
* **Taking Away Large Cattle:** This includes cows, carabaos, horses, mules, asses, or other domesticated members of the bovine family. * **Without the Consent of the Owner/Raiser:** The act of taking must be done without the permission of the rightful owner or caretaker of the animal.
* **Manner of Taking is Immaterial:** The law doesn't specify the method used for taking the cattle. * **For Profit or Gain (not required):** The motivation behind the cattle rustling is irrelevant under PD 533. * **Violence or Intimidation (not required):** The crime can be committed even without violence or threats against people or property.
* **Killing Large Cattle or Taking Meat/Hide:** The law also covers the killing of large cattle or stealing their meat or hide without the owner's consent.
**Presumption of Cattle Rustling (PD 533, Section 7):**
* **Possession of Large Cattle:** If a large cattle is found in the possession of a person who cannot provide a satisfactory explanation for having it, they are presumed to be the thief. The burden of proof then shifts to the defendant to demonstrate they acquired the animal legally.
**Penalties:**
* **PD 533:** Depending on the presence of violence or the value of the cattle involved, penalties can range from prision mayor (6 years and 1 day to 8 years imprisonment) to reclusion temporal (12 years and 1 day to 20 years imprisonment).
**Trial Procedures:**
* **Presentation of Evidence:** Both the prosecution and the defense will present evidence to support their arguments. This can include witness testimonies, police reports, physical evidence (e.g., brands on the cattle), and alibis.
* **Evaluation of Evidence:** You, as the judge, will weigh the evidence presented by both sides and determine whether the prosecution has proven the guilt of the accused beyond a reasonable doubt.
**Important Considerations:**
* **Fairness and Due Process:** Ensure a fair trial by allowing both sides to present their case and by following established legal procedures.
* **Witness Credibility:** Carefully assess the credibility of witnesses, considering factors like potential biases and the consistency of their testimonies.
* **Circumstantial Evidence:** In some cases, circumstantial evidence might be crucial for establishing guilt. Analyze all available evidence to reach a sound conclusion.
* **Previous Offenses:** While a defendant's criminal history cannot solely determine guilt in this case, it can be a factor to consider during sentencing if the accused is found guilty.
**Relying on Experts:**
In complex cases, you might consider seeking expert testimony from veterinarians or animal identification specialists to assist in evaluating evidence related to the cattle. By carefully considering these legal aspects and following fair trial procedures, you can ensure a just and well-informed decision in the cattle rustling case.</t>
  </si>
  <si>
    <t>A suspected cattle rustler claims to have purchased the animals without knowledge of their stolen status. What legal steps can be taken to investigate the claim and determine liability?</t>
  </si>
  <si>
    <t>Here's how law enforcement can investigate the claim of a suspected cattle rustler and determine liability according to Philippine laws:
**Initial Investigation:**
* **Verify the Claim:** Law enforcement can start by verifying the suspect's claim of purchase. This involves:
* **Obtaining receipts or sales invoices:** If the suspect has any documentation proving the purchase, their authenticity needs to be verified. * **Interviewing the seller:** Talking to the person who allegedly sold the cattle can provide details about the transaction. * **Tracing the Cattle Movement:** Verifying the origin of the cattle through livestock registration records maintained by the Bureau of Animal Industry (BAI) under the Department of Agriculture (RA 9053).
**Further Investigation based on findings:**
* **If the claim seems credible:** If the documentation checks out, the seller cooperates, and the cattle movement aligns with the suspect's story, further investigation into the seller might be necessary to determine if they were unknowingly in possession of stolen cattle.
* **If the claim seems fabricated:** Here are some investigative steps:
* **Matching the cattle with reported stolen animals:** Authorities can compare the recovered cattle with descriptions and markings in reports of stolen livestock.
* **Gathering witness testimonies:** Talking to witnesses who might have seen the suspect acquiring the cattle through suspicious means.
* **Examining the suspect's background:** Investigating for any past involvement in cattle rustling or connections to known rustlers.
**Determining Liability:**
Based on the investigation's findings, liability can be determined:
* **Suspect:** If evidence points to the suspect knowingly acquiring stolen cattle, charges under RA 8974 (An Act Prohibiting the Killing, Mutilation or Destructive Injury of Large Cattle, and Providing Penalty Therefor) can be filed. * **Seller:** If the seller is found to be knowingly involved in selling stolen cattle, they can be charged under the same law.
* **No charges:** If the investigation reveals the suspect purchased the cattle in good faith and the seller was also unaware of the stolen status, no charges may be filed. **Additional Considerations:**
* **Presumption of Innocence:** The suspect is presumed innocent until proven guilty beyond a reasonable doubt. * **Right to Legal Counsel:** The suspect has the right to legal counsel throughout the investigation and any potential court proceedings.
By following these legal steps, law enforcement can thoroughly investigate the claim, determine liability, and ensure justice is served.</t>
  </si>
  <si>
    <t>A livestock owner takes the law into their own hands to recover stolen cattle. What legal consequences might they face for vigilantism?</t>
  </si>
  <si>
    <t>The Philippine legal system frowns upon vigilantism, and a livestock owner who takes the law into their own hands to recover stolen cattle faces potential legal consequences. Here's a breakdown based on Philippine RAs and the Constitution:
* **Republic Act No. 3815 (The Revised Penal Code):**
* **Article 142 (Usurpation of Authority):** This applies if the livestock owner pretends to be a law enforcement officer while recovering their cattle. * **Article 248 (Direct Assault):** If the act of recovering the cattle involves violence or threats of violence against the suspected rustlers, this could be a violation. * **Article 249 (Indirect Assault):** This applies if the owner uses violence or threats against anyone aiding the rustlers. * **Article 286 (Grave Coercion):** If the owner uses intimidation or threats to compel the return of the cattle. * **Philippine Constitution (Article III, Bill of Rights):**
* **Section 1 (Right to Life, Liberty and Security of Person):** The owner cannot inflict harm on the suspected rustlers.
* **Section 2 (Right to Due Process):** The owner cannot deprive the suspected rustlers of their right to a fair trial.
**Possible penalties:**
The specific penalties will depend on the exact actions taken by the livestock owner. However, they could face imprisonment, fines, or both.
**Recommendations:**
* **Report the Cattle Rustling:** The owner should immediately report the theft to the nearest police station (RPC Article 150). * **Cooperate with Law Enforcement:** Providing details about the stolen cattle and any leads can help authorities recover the animals.
* **Seek Legal Counsel:** A lawyer can advise the owner on their legal rights and options for recovering their livestock.
**Remember:** While the urge to take immediate action is understandable, vigilantism puts the owner at risk of legal trouble. Cooperating with law enforcement offers a safer and more effective path to recovering stolen cattle.</t>
  </si>
  <si>
    <t>A suspected cattle rustler is caught in the act but claims to be unaware of the legal protections for livestock owners. What legal measures can be taken to educate the public about these protections?</t>
  </si>
  <si>
    <t>To educate the public about legal protections for livestock owners and address situations where individuals claim ignorance, a proactive approach involving various channels and strategies can be implemented. Here are legal measures that can be taken to enhance public awareness:
1. **Public Awareness Campaigns:**
- Government agencies, non-governmental organizations (NGOs), and agricultural associations can initiate public awareness campaigns to inform the community about the legal protections afforded to livestock owners. This can include distributing informational pamphlets, organizing workshops, and utilizing social media for dissemination.
2. **Barangay Level Engagement:**
- Collaborate with barangay officials to conduct localized awareness programs. Barangay assemblies and community meetings provide opportunities to educate residents about the legal rights and protections for livestock owners.
3. **School Programs:**
- Integrate information about livestock ownership rights and legal protections into school curricula. Educational programs in schools can help instill awareness from a young age.
4. **Media Outreach:**
- Work with media outlets to feature stories, articles, and advertisements that highlight the legal rights of livestock owners. Utilize radio, television, newspapers, and online platforms to reach a wide audience.
5. **Collaboration with Agricultural Extension Services:**
- Partner with agricultural extension services to incorporate information about legal protections into their outreach programs. These services often have direct contact with farmers and can serve as valuable conduits for information.
6. **Online Platforms:**
- Create and maintain informative websites or online portals that provide resources on livestock ownership rights, legal protections, and relevant laws. Ensure that the information is easily accessible and understandable.
7. **Community Workshops and Seminars:**
- Organize workshops and seminars in rural and farming communities to provide in-depth information about the legal rights of livestock owners. Invite legal experts, government representatives, and advocates to speak at these events.
8. **Partnership with Agricultural Cooperatives:**
- Collaborate with agricultural cooperatives to disseminate information to their members. These cooperatives often have direct connections with farmers and can facilitate educational programs within their networks.
9. **Legal Aid Clinics:**
- Establish legal aid clinics in rural areas where individuals can seek information about their rights as livestock owners. Legal professionals can provide guidance and answer questions about relevant laws.
10. **Multilingual Materials:**
- Ensure that educational materials are available in multiple languages to cater to diverse communities. This is especially important in areas with indigenous populations or linguistic diversity.
11. **Public Service Announcements (PSAs):**
- Develop and broadcast PSAs on radio and television networks to reach a broad audience quickly. These announcements can convey key information about legal protections for livestock owners in a concise and memorable manner.
By implementing these legal measures, policymakers and stakeholders can contribute to a more informed public, reducing the likelihood of individuals claiming ignorance when caught engaging in illegal activities such as cattle rustling. Regular and targeted communication efforts can enhance overall awareness and compliance with the legal framework protecting livestock owners.</t>
  </si>
  <si>
    <t>You are a legislator working on amendments to cattle rustling laws. What legal reforms could enhance the effectiveness of existing legislation in preventing and combating cattle rustling?</t>
  </si>
  <si>
    <t>As a legislator working on amendments to cattle rustling laws in the Philippines, here are several legal reforms that could enhance the effectiveness of existing legislation in preventing and combating cattle rustling:
1. **Stricter Penalties:**
- Increase the penalties for cattle rustling to serve as a deterrent. Consider imposing higher fines and longer prison sentences for those convicted of stealing and slaughtering cattle.
2. **Mandatory Minimum Sentences:**
- Implement mandatory minimum sentences for individuals convicted of cattle rustling to ensure consistency in the punishment for such offenses.
3. **Enhanced Enforcement Powers:**
- Grant law enforcement agencies enhanced powers to investigate and prosecute cattle rustlers. This may include the authority to conduct surveillance, search and seizure operations, and the use of advanced technology to track stolen cattle.
4. **Establishment of Specialized Units:**
- Create specialized units within law enforcement agencies dedicated to investigating and preventing cattle rustling. These units can focus on developing expertise in dealing with livestock-related crimes.
5. **Community Involvement:**
- Encourage community involvement in preventing cattle rustling by establishing community watch programs. Provide incentives for reporting suspicious activities related to livestock theft.
6. **Database and Identification Systems:**
- Implement a comprehensive database and identification system for livestock. This system can include tagging, microchipping, or other identification methods to track and trace cattle more effectively.
7. **Cross-Agency Collaboration:**
- Foster collaboration between law enforcement agencies, agricultural agencies, and local government units to ensure a coordinated approach to combatting cattle rustling.
8. **Strengthening Legal Framework for Prosecution:**
- Review and strengthen the legal framework to ensure that prosecution for cattle rustling is robust and that loopholes are closed. Clarify legal definitions, elements of the offense, and procedures for prosecution.
9. **Educational Campaigns:**
- Conduct educational campaigns to raise awareness among livestock owners, farmers, and communities about the risks of cattle rustling and the importance of implementing security measures.
10. **Technology Integration:**
- Embrace and integrate modern technologies, such as GPS tracking, surveillance cameras, and other monitoring systems, to aid in the prevention and detection of cattle rustling.
11. **Reward System:**
- Establish a reward system for information leading to the arrest and conviction of cattle rustlers. This can encourage individuals to come forward with valuable information.
12. **Victim Compensation Fund:**
- Create a compensation fund to support victims of cattle rustling. This can help alleviate the financial burden on livestock owners who suffer losses due to theft.
13. **Review and Update of Existing Laws:**
- Regularly review and update existing laws to adapt to evolving challenges and address emerging issues related to cattle rustling.
These legal reforms can contribute to a more comprehensive and effective framework for preventing and combating cattle rustling in the Philippines. Collaborative efforts among legislators, law enforcement agencies, and stakeholders in the agricultural sector are crucial for the successful implementation of these reforms.</t>
  </si>
  <si>
    <t>A livestock owner discovers that their cattle have been stolen and slaughtered for meat. What legal measures can be taken to address the illegal slaughter and ensure public safety?</t>
  </si>
  <si>
    <t>In the Philippines, if a livestock owner discovers that their cattle have been stolen and slaughtered for meat, there are legal measures that can be taken to address the illegal slaughter and ensure public safety. Here are some steps that can be considered:
1. **Report to the Police:**
- The livestock owner should immediately report the theft and illegal slaughter to the local police. Provide them with details such as the location of the incident, description of the stolen cattle, and any other relevant information.
2. **Filing a Complaint:**
- File a formal complaint with the police, providing all available evidence, such as witness statements, photographs, or any documentation related to the stolen cattle.
3. **Anti-Cattle Rustling Laws:**
- Cattle theft is addressed under various laws, including the Anti-Cattle Rustling Act of 1974 (Presidential Decree No. 533). Authorities can use this law to prosecute individuals involved in cattle theft.
4. **Collaboration with Barangay Officials:**
- Work with barangay officials to gather information and coordinate efforts. Barangay officials play a crucial role in community-related matters and may assist in resolving disputes or providing support during investigations.
5. **Public Safety Measures:**
- If the stolen cattle were slaughtered for meat, there may be concerns about public safety, especially if the meat has been distributed. Authorities may need to issue advisories or warnings to the public to avoid consuming meat from unknown sources.
6. **Food Safety Regulations:**
- If there are suspicions that the meat from the stolen cattle has entered the local food supply, relevant agencies, such as the Department of Agriculture or the Food and Drug Administration (FDA), may be involved to ensure compliance with food safety regulations.
7. **Coordination with the National Meat Inspection Service (NMIS):**
- Collaborate with the NMIS to investigate the illegal slaughter and assess the safety of the meat. The NMIS is responsible for regulating and inspecting meat establishments to ensure the quality and safety of meat products.
8. **Legal Action Against Offenders:**
- Pursue legal action against those involved in the theft and illegal slaughter. This may involve criminal charges under relevant laws and seeking compensation for damages through civil actions.
9. **Public Awareness Campaigns:**
- Authorities can conduct public awareness campaigns to inform the community about the incident and the potential risks associated with consuming meat from unknown sources.
It's crucial to involve law enforcement agencies, agricultural authorities, and other relevant agencies to address both the criminal aspect of the theft and slaughter, as well as the potential public health concerns related to the consumption of the meat. Consultation with legal professionals and local authorities is advised to ensure that the legal measures are carried out in accordance with Philippine laws.</t>
  </si>
  <si>
    <t>An individual is found in possession of stolen cattle but claims to have purchased them in good faith. What legal actions can be taken to investigate the legitimacy of the claim?</t>
  </si>
  <si>
    <t>In the Philippines, if an individual is found in possession of stolen cattle but claims to have purchased them in good faith, the legal actions that can be taken to investigate the legitimacy of the claim may involve the following:
1. **Police Investigation:** The local police can conduct an investigation into the alleged stolen cattle. This may include gathering evidence, interviewing witnesses, and checking records related to the stolen property.
2. **Filing a Complaint:** The owner of the stolen cattle or the authorities can file a complaint with the police, providing details about the theft and the alleged possessor.
3. **Prosecution under Anti-Fencing Law:** Republic Act No. 10863, also known as the Customs Modernization and Tariff Act, has provisions that penalize fencing, which involves the act of buying and selling stolen property. This law may be invoked to prosecute individuals found in possession of stolen cattle.
4. **Civil Action for Recovery of Property:** The owner of the stolen cattle may also file a civil action for the recovery of the stolen property. This legal avenue allows the owner to seek the return of the cattle and claim damages.
5. **Presumption of Knowledge:** Under Philippine laws, there is a presumption that a person in possession of stolen property knew that it was stolen unless proven otherwise. This presumption may strengthen the case against the individual claiming to have purchased the cattle in good faith.
6. **Verification of Sale Transaction:** Authorities may investigate the documentation and circumstances surrounding the alleged sale transaction. This may involve checking the authenticity of sales documents, receipts, and other relevant records.
7. **Cooperation with Barangay Officials:** Local barangay officials may be involved in mediating disputes and facilitating communication between parties. They can also provide assistance in gathering information relevant to the case.
It's essential to consult with legal professionals and law enforcement officers to ensure that the investigation and legal actions are conducted in accordance with Philippine laws and regulations. If the person claiming to have purchased the cattle in good faith can provide legitimate evidence supporting their claim, it may impact the outcome of the investigation and subsequent legal proceedings.</t>
  </si>
  <si>
    <t>Animal Abuse</t>
  </si>
  <si>
    <t>You are a law enforcement officer patrolling rural areas prone to cattle rustling. What legal measures can be implemented to enhance preventive efforts and protect livestock owners?</t>
  </si>
  <si>
    <t>As a law enforcement officer in the Philippines patrolling a cattle rustling prone area, here are some legal measures you can implement to enhance prevention and protect livestock owners:
**Based on the Revised Penal Code (RPC):**
* **Increased Police Presence:** Patrolling areas with high incidents of cattle rustling deters potential thieves and increases the likelihood of apprehension (Article 150 - Duties of Police Officers).
* **Gathering Information:** Proactive intelligence gathering through community engagement and informant networks can help identify potential rustlers and planned activities (Article 148 - Authority of Peace Officers to Make Inquiries in Case of Crimes Committed or About to be Committed).
**Collaboration with Local Government Units (LGUs) and Communities:**
* **Barangay Ordinances:** Encourage the creation of barangay ordinances that regulate animal movement within the area. These ordinances can require permits for transporting livestock and identification of animals (Section 179 of the Local Government Code). Community leaders can also be deputized as barangay tanods to assist law enforcement (Section 387 of the Local Government Code).
* **Livestock Registration:** Promote the registration of livestock with the Bureau of Animal Industry (BAI) under the Department of Agriculture (RA 9053 or the Meat Inspection Code of the Philippines). This establishes ownership and aids in tracing stolen cattle.
* **Community Watch Programs:** Organize community watch programs where residents collaborate with law enforcement to report suspicious activities (RA 9262 or the The Expanded Anti-Trafficking in Persons Act of 2003). **Enforcing Existing Laws:**
* **Anti-Cattle Rustling Law (RA 8974):** This law specifically penalizes cattle rustling with increased penalties for organized criminal syndicates. You can enforce this law to deter theft and hold criminals accountable.
* **Concerted Efforts Against Illegal Drugs (RA 9165):** A connection may exist between cattle rustling and illegal drug activities. Enforcing this law can disrupt these criminal networks.
**Remember:** * **Always adhere to proper procedures:** Document all activities, including patrols, interviews, and apprehensions. Secure warrants when necessary.
* **Respect the rights of citizens:** While maintaining vigilance, avoid violating the rights of residents during patrols and checkpoints.
* **Community engagement is key:** Building trust and cooperation with the community is crucial for gathering information and receiving support for preventive measures.
By implementing these legal measures and fostering collaboration, you can significantly deter cattle rustling and protect the livelihood of livestock owners in the area.</t>
  </si>
  <si>
    <t>How is animal abuse defined under Philippine law?</t>
  </si>
  <si>
    <t>Animal abuse is defined under Philippine law, particularly in the Animal Welfare Act (Republic Act 8485), as amended by Republic Act 10631. The law provides a comprehensive definition of what constitutes animal abuse. The relevant provisions are found in Section 6, which enumerates specific acts that are considered as acts of cruelty to animals. The key provisions include:
1. **Torture and Neglect:**
- Torturing any animal, or causing or inflicting undue suffering on the animal.
- Neglecting to provide adequate care, sustenance, or shelter to animals under one's custody.
2. **Mutilation or Killing Without Justifiable Purpose:**
- Mutilating or killing animals without justifiable purpose.
- Killing animals in a manner not allowed by law or custom.
3. **Participation in Animal Fighting:**
- Forcing animals to fight for amusement or gain.
- Organizing, promoting, or participating in animal fighting activities.
4. **Abandonment of Pet Animals:**
- Abandoning pet animals, thereby exposing them to danger.
5. **Carrying Animals in a cruel manner:**
- Carrying animals in a way that would cause them unnecessary suffering or discomfort.
6. **Failure to Act:**
- Failure to act to prevent the suffering of animals when it is within one's control to do so.
7. **Confining Animals in a Manner that Restricts Movement:**
- Confining animals in a way that restricts their movement so as to cause them unnecessary suffering.
The law emphasizes the humane treatment of animals and imposes penalties for individuals found guilty of committing acts of cruelty. Penalties include imprisonment and fines, the severity of which depends on factors such as the nature of the offense and the presence of aggravating circumstances.
It's important to refer directly to the specific provisions of the Animal Welfare Act for the most accurate and up-to-date information, as legal definitions can be subject to amendments or revisions. Additionally, legal interpretations may evolve over time through court decisions and legal updates.</t>
  </si>
  <si>
    <t>What legal measures are in place to prevent and combat animal abuse?</t>
  </si>
  <si>
    <t>In the Philippines, several legal measures are in place to prevent and combat animal abuse. The key legislative framework addressing animal welfare is the Animal Welfare Act (Republic Act 8485), as amended by Republic Act 10631. Here are some of the legal measures aimed at preventing and combating animal abuse:
1. **Animal Welfare Act (RA 8485, as amended by RA 10631):**
- The primary law addressing animal welfare in the Philippines, emphasizing the humane treatment of all animals.
- Prohibits acts of cruelty, neglect, abandonment, and abuse toward animals.
- Sets standards for the care, treatment, and housing of animals.
- Establishes penalties for violations, including fines and imprisonment.
2. **Bureau of Animal Industry (BAI) Regulations:**
- BAI, under the Department of Agriculture, issues regulations and guidelines related to the welfare of farm animals.
- Regulates the transport, handling, and slaughter of livestock.
3. **Wildlife Resources Conservation and Protection Act (RA 9147):**
- Addresses the conservation and protection of wildlife, prohibiting the hunting, trading, and possession of threatened and endangered species without proper permits.
- Imposes penalties for violations, including fines and imprisonment.
4. **Local Government Ordinances:**
- Some local government units (LGUs) may have ordinances that complement national laws on animal welfare.
- LGUs may address specific concerns in their areas, such as the regulation of pet ownership, stray animal control, and other animal-related issues.
5. **Philippine National Police (PNP) and National Bureau of Investigation (NBI) Enforcement:**
- Law enforcement agencies play a crucial role in investigating and prosecuting cases related to animal abuse.
- Collaboration with other government agencies and animal welfare organizations is common to enhance enforcement efforts.
6. **Collaboration with Animal Welfare Organizations:**
- Animal welfare organizations actively contribute to the prevention and combatting of animal abuse.
- They work to raise awareness, provide education, rescue animals in distress, and collaborate with authorities in reporting and addressing cases of abuse.
7. **Public Awareness and Education:**
- Government agencies and animal welfare organizations conduct public awareness campaigns to educate the public about responsible pet ownership, the consequences of animal abuse, and the importance of animal welfare.
8. **Reporting Mechanisms:**
- Hotlines and reporting mechanisms are established for individuals to report cases of animal abuse or cruelty.
- Authorities, including the police and animal welfare organizations, respond to reports and take appropriate actions.
9. **International Collaboration:**
- The Philippines collaborates with international organizations, such as the Convention on International Trade in Endangered Species of Wild Fauna and Flora (CITES), to address issues related to illegal wildlife trade.
It's important to note that the legal landscape may evolve, and new legislation or amendments to existing laws could occur. Individuals and organizations working on animal welfare should stay informed about the latest legal developments and collaborate to ensure effective implementation and enforcement of these measures.</t>
  </si>
  <si>
    <t>How does the law address cruelty, neglect, or abandonment of animals?</t>
  </si>
  <si>
    <t>The Animal Welfare Act (Republic Act 8485), as amended by Republic Act 10631, addresses cruelty, neglect, or abandonment of animals in the Philippines. The law provides specific provisions to prevent and penalize acts that cause harm to animals. Here's how the law addresses these issues:
1. **Cruelty to Animals (Section 6 of RA 8485, as amended by RA 10631):**
- The law prohibits the following acts of cruelty to animals:
- Torturing animals
- Inflicting unnecessary pain or suffering
- Mutilating animals without any good reason
- Killing animals in a manner not allowed by law or custom
- Individuals found guilty of committing acts of cruelty to animals may face penalties, including imprisonment and fines.
2. **Penalties for Cruelty:**
- Individuals convicted of cruelty to animals may face imprisonment for a period ranging from six (6) months to two (2) years.
- The court may also impose a fine ranging from P1,000 to P5,000, or both, depending on the discretion of the court.
3. **Aggravating Circumstances:**
- If the court finds aggravating circumstances, such as the use of cruel methods or substances, the penalties may be more severe.
- The law allows for higher penalties, including imprisonment of up to four (4) years and a fine of up to P300,000, when aggravating circumstances are present.
4. **Neglect of Animals (Section 7 of RA 8485, as amended by RA 10631):**
- The law prohibits the neglect of animals by their owners or keepers. Neglect includes failure to provide adequate care, sustenance, or shelter to animals under one's care.
- Neglecting animals can lead to penalties, and the court may order the confiscation or seizure of the neglected animals.
5. **Abandonment of Pets (Section 7 of RA 8485, as amended by RA 10631):**
- The law explicitly prohibits the abandonment of pet animals by their owners. Abandonment is considered a form of neglect.
- Individuals who abandon their pets may face penalties, and the court may order the confiscation or seizure of the abandoned animals.
6. **Seizure and Forfeiture of Animals:**
- In cases of cruelty, neglect, or abandonment, the court may order the seizure and forfeiture of animals involved in the commission of the offense.
- The disposition of the animals will be carried out in a manner consistent with their welfare.
It's crucial to stay updated on any changes or amendments to existing laws, as the legal landscape may evolve. Always refer to the latest legal sources or consult legal professionals for the most current information on how the law addresses cruelty, neglect, or abandonment of animals in the Philippines.</t>
  </si>
  <si>
    <t>What penalties apply to individuals convicted of engaging in animal abuse activities?</t>
  </si>
  <si>
    <t>Individuals convicted of engaging in animal abuse activities in the Philippines may face penalties outlined in the Animal Welfare Act (RA 8485, as amended by RA 10631). The severity of penalties depends on the specific nature and gravity of the offense. As of my last knowledge update in January 2022, here are the general penalties specified by the law:
1. **Section 6 of the Animal Welfare Act:**
- This section of the law outlines various acts that are considered as animal cruelty offenses. These acts include but are not limited to:
- Torturing or causing the unjust suffering of animals
- Inflicting harm upon animals without justification
- Abandoning a pet animal
- Failing to provide adequate care and attention to animals
- Penalties for violations may include imprisonment and fines.
2. **Penalties for Animal Cruelty:**
- Individuals convicted of animal cruelty may face imprisonment ranging from six (6) months to two (2) years.
- The court may impose a fine ranging from P1,000 to P5,000, or both, at the discretion of the court.
3. **Aggravating Circumstances:**
- In cases where aggravating circumstances are present, such as the use of cruel methods or substances, the court may impose higher penalties.
- Aggravating circumstances can lead to imprisonment of up to four (4) years and a fine of up to P300,000.
4. **Seizure and Forfeiture of Animals:**
- Convicted individuals may also face the seizure and forfeiture of animals found to be involved in the commission of the offense.
- The court may order the disposition of the animals in a manner consistent with their welfare.
It's important to note that the legal landscape may evolve, and there could be changes or amendments to existing laws since my last update in January 2022. Always refer to the latest legal sources or consult legal professionals for the most current information on penalties for animal abuse activities in the Philippines.</t>
  </si>
  <si>
    <t>Are there specific legal provisions for the protection of different types of animals, such as pets, farm animals, or wildlife?</t>
  </si>
  <si>
    <t>Yes, Philippine laws include specific provisions for the protection of different types of animals, covering pets, farm animals, and wildlife. Here's an overview of legal provisions for each category:
### 1. Pets:
**Animal Welfare Act (RA 8485, as amended by RA 10631):**
- This law addresses the welfare of all animals, including pets. It outlines the responsibilities of pet owners to ensure proper care, treatment, and protection for their animals.
- Cruelty, neglect, and abuse of pets are prohibited under the Animal Welfare Act.
**Local Government Ordinances:**
- Some local government units (LGUs) may have ordinances specific to the welfare and regulation of pets within their jurisdiction. These ordinances can include provisions on licensing, vaccination, and responsible pet ownership.
### 2. Farm Animals:
**Animal Welfare Act (RA 8485, as amended by RA 10631):**
- The Animal Welfare Act extends to farm animals, emphasizing the humane treatment of animals in agricultural settings.
- Standards for the housing, transport, and slaughter of farm animals are covered by the law.
**Bureau of Animal Industry (BAI) Regulations:**
- BAI, under the Department of Agriculture, regulates the health and welfare of farm animals. It establishes guidelines for the transport, handling, and slaughter of livestock.
### 3. Wildlife:
**Wildlife Resources Conservation and Protection Act (RA 9147):**
- This law focuses on the conservation and protection of wildlife. It prohibits the hunting, trading, and possession of threatened and endangered species without the necessary permits.
- RA 9147 aims to safeguard the diversity of wildlife species and their habitats.
**CITES Compliance:**
- The Philippines is a signatory to the Convention on International Trade in Endangered Species of Wild Fauna and Flora (CITES). Compliance with CITES permits is required for the international trade of certain wildlife species.
### Additional Notes:
- **Animal Fighting:**
- Animal fighting, including cockfighting and dog fighting, is specifically addressed under the Animal Welfare Act. Such activities are prohibited, and the law imposes penalties on those involved.
- **Exotic Pets:**
- The possession and trade of certain exotic pets are regulated to prevent the illegal trade of endangered species. Permits from the Department of Environment and Natural Resources (DENR) may be required for the possession of certain exotic animals.
While the legal framework exists, effective enforcement and public awareness are crucial for the proper implementation of these laws. It's essential to stay updated on any amendments or new regulations that may have been introduced after my last knowledge update in January 2022. Always refer to the latest legal sources or consult legal professionals for the most current information on animal protection laws in the Philippines.</t>
  </si>
  <si>
    <t>How does Philippine law address the illegal trade of animals and wildlife trafficking?</t>
  </si>
  <si>
    <t>The illegal trade of animals and wildlife trafficking in the Philippines is addressed through various laws and regulations aimed at the conservation and protection of wildlife. Key legislative measures include:
1. **Wildlife Resources Conservation and Protection Act (RA 9147):**
- RA 9147 is the primary law addressing the conservation and protection of wildlife in the Philippines. It outlines provisions specifically aimed at preventing and penalizing the illegal trade of animals and wildlife trafficking.
- The law prohibits the hunting, trading, and possession of threatened and endangered species without the necessary permits.
2. **Penalties for Violations:**
- RA 9147 imposes severe penalties for violations related to the illegal trade of wildlife. Penalties may include imprisonment, fines, and the confiscation of illegally traded wildlife and their by-products.
3. **CITES Compliance:**
- The Philippines is a signatory to the Convention on International Trade in Endangered Species of Wild Fauna and Flora (CITES). CITES is an international treaty aimed at ensuring that international trade in wild animals and plants does not threaten their survival.
- RA 9147 aligns with CITES guidelines, and compliance with CITES permits is required for the import and export of certain species.
4. **Bureau of Fisheries and Aquatic Resources (BFAR) Regulations:**
- BFAR, under the Department of Agriculture, regulates the trade and export of aquatic species. BFAR has specific guidelines and regulations to prevent the illegal trade of marine wildlife.
5. **Customs and Tariff Code:**
- The Bureau of Customs (BOC) plays a crucial role in preventing the illegal trade of wildlife by enforcing regulations related to the import and export of goods, including live animals.
- Customs authorities collaborate with other relevant agencies to detect and confiscate wildlife products being smuggled across borders.
6. **Collaboration with Law Enforcement Agencies:**
- The Philippine National Police (PNP) and the National Bureau of Investigation (NBI) are involved in investigating and prosecuting cases related to wildlife trafficking.
- Joint efforts between law enforcement agencies, environmental organizations, and international bodies are often necessary to combat the transnational nature of wildlife trafficking.
7. **Public Awareness and Education:**
- Educational campaigns and public awareness programs are conducted to inform the public about the consequences of wildlife trafficking and the importance of conservation.
Efforts to combat wildlife trafficking involve a multi-agency approach, with coordination between environmental, law enforcement, and customs authorities. While the legal framework is in place, effective enforcement, international collaboration, and public awareness are crucial to addressing the complex issue of illegal trade in animals and wildlife trafficking.</t>
  </si>
  <si>
    <t>What role do law enforcement agencies play in investigating and prosecuting animal abuse cases?</t>
  </si>
  <si>
    <t>Law enforcement agencies play a critical role in investigating and prosecuting animal abuse cases in the Philippines. The primary law addressing animal welfare in the country is the Animal Welfare Act (Republic Act 8485), as amended by Republic Act 10631. Here's an overview of the role of law enforcement agencies in dealing with animal abuse:
1. **Receiving Reports and Complaints:**
- Law enforcement agencies, including the Philippine National Police (PNP) and the National Bureau of Investigation (NBI), receive reports and complaints related to animal abuse.
- Reports can be filed by concerned citizens, animal welfare organizations, or other entities that witness or suspect cases of animal cruelty.
2. **Investigation:**
- Law enforcement agencies conduct investigations into reported cases of animal abuse. This may involve gathering evidence, interviewing witnesses, and collaborating with other relevant agencies or experts.
- Investigators may also work closely with veterinarians to assess the condition of abused animals and gather medical evidence.
3. **Enforcement of Animal Welfare Laws:**
- Law enforcement agencies are responsible for enforcing the Animal Welfare Act and other related laws pertaining to the humane treatment of animals
. This includes identifying and apprehending individuals involved in animal abuse activities.
4. **Coordination with Animal Welfare Organizations:**
- Law enforcement agencies often collaborate with animal welfare organizations to enhance their understanding of animal welfare issues and to receive assistance in investigations.
- Cooperation with these organizations can provide additional resources, expertise, and support in addressing animal abuse cases.
5. **Prosecution:**
- After completing the investigation, law enforcement agencies may recommend the filing of charges against individuals involved in animal abuse.
- Prosecutors and legal professionals play a role in the legal proceedings, working with law enforcement to build a case for the court.
6. **Court Proceedings:**
- Law enforcement agencies may be required to testify in court during animal abuse trials. They present evidence and provide information to support the prosecution's case.
- The court evaluates the evidence and, if the accused is found guilty, imposes appropriate penalties.
7. **Enforcement of Penalties:**
- Law enforcement agencies are responsible for ensuring that the penalties imposed by the court are carried out. This may involve overseeing the payment of fines, the confiscation of animals, or other court-ordered actions.
8. **Prevention and Education:**
- Beyond investigation and prosecution, law enforcement agencies may engage in prevention and education efforts. This includes raising awareness about animal welfare laws, conducting outreach programs, and promoting responsible pet ownership.
The effectiveness of law enforcement efforts in addressing animal abuse depends on the collaboration with other stakeholders, including animal welfare organizations, legal professionals, and concerned citizens. Additionally, ongoing training for law enforcement personnel on animal welfare laws and best practices can contribute to more effective handling of cases.</t>
  </si>
  <si>
    <t>Are there legal measures in place to compensate owners for losses incurred due to animal abuse?</t>
  </si>
  <si>
    <t>As of my knowledge cutoff in January 2022, there are no specific legal provisions in the Philippines that directly address compensation for owners who incur losses due to animal abuse. However, owners of animals subjected to abuse may seek legal remedies through existing laws that address animal welfare and cruelty. Here are relevant points:
1. **Animal Welfare Act (RA 8485, as amended by RA 10631):**
- The Animal Welfare Act criminalizes acts of cruelty and neglect towards animals. While the law focuses on penalizing offenders, it does not explicitly outline compensation provisions for owners.
- Owners of abused animals, however, may be involved in legal proceedings seeking restitution for damages during the prosecution of individuals responsible for the abuse.
2. **Civil Remedies:**
- In cases of animal abuse causing financial losses (e.g., veterinary expenses, loss of income from a working animal), owners may explore civil remedies.
- Owners could potentially file a civil case seeking compensation for damages incurred as a result of the abuse. Legal principles related to property damage, negligence, or intentional infliction of harm may be considered.
3. **Local Ordinances:**
- Some local government units (LGUs) may have ordinances that complement national laws on animal welfare. These ordinances could potentially include provisions related to compensation for owners in cases of animal abuse.
- Owners should check the specific ordinances in their locality to determine if such provisions exist.
4. **Collaboration with Animal Welfare Organizations:**
- Animal welfare organizations may provide support and guidance to owners in seeking compensation or restitution through legal avenues.
- These organizations may have expertise in navigating legal processes and can offer assistance in reporting cases and ensuring proper documentation.
It's crucial to note that legal landscapes can evolve, and new legislation or amendments to existing laws may have occurred since my last update in January 2022. Owners seeking compensation for losses due to animal abuse should consult with legal professionals to understand their specific legal options and any recent developments in the law. Additionally, local ordinances and regulations may vary, so checking with local authorities is advisable.</t>
  </si>
  <si>
    <t>How does the law address the use of animals in entertainment and research?</t>
  </si>
  <si>
    <t>In the Philippines, the use of animals in entertainment and research is regulated by various laws and regulations that aim to ensure the welfare and ethical treatment of animals. As of my last update in January 2022, here are key points related to the use of animals in these contexts:
### Use of Animals in Entertainment:
1. **Animal Welfare Act (RA 8485, as amended by RA 10631):**
- The Animal Welfare Act includes provisions addressing the use of animals in entertainment. It emphasizes the need to provide animals with proper care, treatment, and protection from harm.
- Activities that cause pain, suffering, or distress to animals for entertainment purposes are prohibited.
2. **Philippine Animal Welfare Society (PAWS) Guidelines:**
- The PAWS, an animal welfare organization in the Philippines, has developed guidelines for the ethical treatment of animals in the entertainment industry. While not a legal document, these guidelines are considered by some as best practices.
3. **Local Government Ordinances:**
- Some local government units (LGUs) may have ordinances that regulate or restrict the use of animals in entertainment within their jurisdiction.
- These ordinances may set specific standards for the treatment, housing, and transportation of animals used in shows or performances.
### Use of Animals in Research:
1. **Animal Welfare Act (RA 8485, as amended by RA 10631):**
- The Animal Welfare Act also addresses the use of animals in research. It recognizes the necessity of scientific research but imposes a duty to ensure the welfare of animals involved.
- Researchers are required to use alternative methods whenever possible and minimize pain, suffering, and distress during experiments.
2. **Institutional Animal Care and Use Committee (IACUC):**
- Institutions conducting research involving animals are encouraged to establish an Institutional Animal Care and Use Committee (IACUC).
- The IACUC oversees and evaluates the ethical and welfare aspects of research involving animals, ensuring compliance with relevant guidelines.
3. **Philippine Council for Health Research and Development (PCHRD) Guidelines:**
- The PCHRD, under the Department of Science and Technology, provides guidelines for the ethical use of animals in health research.
- These guidelines aim to ensure the humane treatment of animals and promote the responsible conduct of research.
4. **Ethics Review:**
- Research proposals involving animals often undergo ethics review to assess the necessity, methods, and ethical considerations.
- Researchers are expected to adhere to ethical standards, and approval from ethics committees may be required before conducting experiments.
It's important to note that the legal landscape may evolve, and new legislation or amendments to existing laws could occur after my last update in January 2022. Always refer to the latest legal sources or consult legal professionals for the most current information regarding the use of animals in entertainment and research in the Philippines.</t>
  </si>
  <si>
    <t>What legal actions can be taken against individuals found in possession of illegal animal products or engaged in illegal hunting?</t>
  </si>
  <si>
    <t>In the Philippines, individuals found in possession of illegal animal products or engaged in illegal hunting can face legal actions under various laws aimed at protecting wildlife and the environment. Some key legal measures include:
1. **Wildlife Resources Conservation and Protection Act (RA 9147):**
- RA 9147 is a comprehensive law that regulates the collection, trade, possession, and transportation of wildlife and their by-products.
- Penalties for violations can include fines, imprisonment, and the forfeiture of the confiscated wildlife and related products.
2. **Penalties for Violations:**
- The penalties for illegal possession of wildlife and wildlife products vary based on the severity of the offense. These may range from fines to imprisonment, depending on the species involved and the scale of the illegal activity.
- The law also provides for the confiscation and forfeiture of the illegally obtained wildlife and their by-products.
3. **Protected Areas and Wildlife Bureau (PAWB):**
- PAWB, under the Department of Environment and Natural Resources (DENR), is responsible for implementing and enforcing the provisions of RA 9147.
- PAWB works with law enforcement agencies to investigate and prosecute cases related to the illegal possession of wildlife and wildlife products.
4. **Local Ordinances:**
- Some local government units (LGUs) may have ordinances that complement national laws for the protection of wildlife and the prevention of illegal hunting.
- Local authorities may collaborate with national agencies to enforce these ordinances and address specific concerns in their areas.
5. **Biodiversity Management Bureau (BMB):**
- BMB, also under the DENR, plays a role in biodiversity conservation and management.
- BMB is involved in the formulation of policies and regulations related to wildlife conservation and protection.
6. **Anti-Poaching Measures:**
- Anti-poaching efforts may involve collaboration between government agencies, law enforcement, and conservation organizations to address illegal hunting activities.
- Strict surveillance and monitoring of protected areas are often implemented to prevent and deter illegal hunting.
7. **Informing Authorities:**
- Concerned citizens can report cases of illegal possession of wildlife or illegal hunting to relevant authorities, such as the DENR, PAWB, or local law enforcement agencies.
It's important to note that the legal landscape may evolve, and new legislation or amendments to existing laws could occur after my last update in January 2022. Always refer to the latest legal sources or consult legal professionals for the most current information regarding legal actions against individuals involved in illegal possession of animal products or engaged in illegal hunting in the Philippines.</t>
  </si>
  <si>
    <t>How are individuals involved in organizing or participating in animal fights held accountable under the law?</t>
  </si>
  <si>
    <t>Individuals involved in organizing or participating in animal fights are held accountable under Philippine law, specifically under the Animal Welfare Act (Republic Act 8485), as amended by Republic Act 10631. Here are key points related to the accountability of individuals engaged in animal fights:
1. **Animal Welfare Act (RA 8485, as amended by RA 10631):**
- The Animal Welfare Act criminalizes activities related to animal fights, including organizing, promoting, or participating in such events.
- Section 6 of the law explicitly prohibits animal fighting and imposes penalties for violations.
2. **Penalties for Violations:**
- Individuals found guilty of violating the Animal Welfare Act, particularly regarding animal fights, may face fines and imprisonment.
- Penalties can range from fines of varying amounts to imprisonment for a specific duration, depending on the gravity of the offense.
3. **Seizure and Forfeiture:**
- The law allows for the seizure of animals involved in fights, as well as any implements, equipment, or devices used for such activities.
- Forfeiture of these items may occur upon conviction, and the court may order the disposal of animals in a manner consistent with the welfare of the animals.
4. **Responsibility of Organizers and Participants:**
- Both individuals organizing and participating in animal fights can be held criminally liable under the law.
- This includes individuals who promote, wager on, or attend such events, as well as those directly involved in training, breeding, or handling animals for fighting purposes.
5. **Reporting and Enforcement:**
- Law enforcement agencies, animal welfare organizations, and concerned citizens can report instances of animal fights to the appropriate authorities.
- Authorities, such as the Philippine National Police (PNP) and the National Bureau of Investigation (NBI), are responsible for investigating and prosecuting cases related to animal fighting.
6. **Collaboration with Animal Welfare Organizations:**
- Animal welfare organizations play a role in advocating for the enforcement of laws against animal fights.
- They may collaborate with law enforcement agencies to provide information, support investigations, and raise awareness about the cruelty and illegality of such activities.
It's important to note that the legal landscape may evolve, and new legislation or amendments to existing laws could occur after my last update in January 2022. Always refer to the latest legal sources or consult legal professionals for the most current information regarding the accountability of individuals involved in animal fights in the Philippines.</t>
  </si>
  <si>
    <t>Are there legal provisions for the registration and identification of pets to prevent animal abuse?</t>
  </si>
  <si>
    <t>As of my knowledge cutoff in January 2022, the Philippines does not have a national law specifically requiring the registration and identification of pets for the prevention of animal abuse. However, there are general animal welfare laws and local government ordinances that address the humane treatment of animals, including provisions related to responsible pet ownership. It's essential to check for any updates or new legislation beyond my last training data in January 2022.
Here are some key points related to the registration and identification of pets:
1. **Animal Welfare Act (RA 8485, as amended by RA 10631):**
- While the Animal Welfare Act focuses on the general welfare of animals, it does not specifically mandate the registration and identification of pets.
- The law emphasizes responsible pet ownership and the duty of owners to provide proper care, shelter, and humane treatment to their animals.
2. **Local Government Ordinances:**
- Some local government units (LGUs) may have ordinances that require the registration and identification of pets.
- These ordinances may include provisions for pet licensing, which can contribute to better control and monitoring of the pet population within a specific area.
3. **Anti-Rabies Act (RA 9482):**
- The Anti-Rabies Act emphasizes responsible pet ownership as a measure to prevent the spread of rabies.
- While the law primarily focuses on vaccination requirements, some LGUs may integrate pet registration and identification measures into their rabies control programs.
4. **Collaboration with Animal Welfare Organizations:**
- Animal welfare organizations and advocacy groups may promote the importance of pet registration and identification as part of responsible pet ownership.
- These organizations may work with local communities to encourage the adoption of measures that help prevent animal abuse and ensure the welfare of pets.
It's crucial to check the specific laws and ordinances in the relevant locality, as requirements for pet registration and identification can vary. Additionally, changes to existing laws or the introduction of new legislation may have occurred after my last training data in January 2022. Always consult the latest legal sources or seek advice from local authorities for the most up-to-date information.</t>
  </si>
  <si>
    <t>How does the law address the issue of stray animals in urban areas and their humane treatment?</t>
  </si>
  <si>
    <t>In the Philippines, the issue of stray animals in urban areas and their humane treatment is addressed by various laws and regulations. Here are some key points regarding this matter:
1. **Animal Welfare Act (RA 8485, as amended by RA 10631):**
- The Animal Welfare Act is a comprehensive law that addresses the humane treatment of animals, including stray animals.
- It prohibits the maltreatment, neglect, abandonment, and cruel acts against animals, emphasizing the responsibility of animal owners to provide proper care.
2. **Local Government Codes:**
- Local government units (LGUs) are empowered to address issues related to stray animals through their respective local ordinances.
- Many LGUs have ordinances that regulate the control and management of stray animals within their jurisdiction.
3. **Impounding and Redemption:**
- Local ordinances often include provisions for the impounding of stray animals found in public areas.
- The owners of impounded animals may be required to pay fines or redemption fees to reclaim their pets.
4. **Anti-Rabies Act (RA 9482):**
- The Anti-Rabies Act mandates the control and prevention of rabies, which includes measures to manage stray dogs in urban areas.
- LGUs are tasked with implementing programs to control the population of stray dogs, often through vaccination and responsible pet ownership campaigns.
5. **Collaboration with Animal Welfare Organizations:**
- Local government units may collaborate with animal welfare organizations to address the issue of stray animals.
- Joint efforts may include initiatives for the humane treatment, rescue, and rehoming of stray animals.
6. **Educational Campaigns:**
- Laws and local initiatives often include educational campaigns to raise public awareness about responsible pet ownership and the consequences of abandoning animals.
7. **Humane Euthanasia Practices:**
- In cases where stray animals pose a threat to public safety or cannot be safely rehomed, local ordinances may allow for humane euthanasia practices. However, this should be carried out with sensitivity and adherence to established guidelines.
It's important to note that the specifics of laws and ordinances related to stray animals may vary among different LGUs in the Philippines. As of my knowledge cutoff in January 2022, it's recommended to check the most recent local ordinances and regulations in the specific area of concern for the latest information on the humane treatment of stray animals.</t>
  </si>
  <si>
    <t>What role do animal welfare organizations play in the prevention and intervention of animal abuse cases?</t>
  </si>
  <si>
    <t>In the Philippines, animal welfare organizations play a crucial role in the prevention and intervention of animal abuse cases. Several laws and regulations focus on the protection of animals, and these organizations actively contribute to the enforcement and promotion of these measures. Here are some ways in which they contribute:
1. **Advocacy and Education:**
- Animal welfare organizations work to raise awareness about the rights and needs of animals through educational programs and campaigns.
- They conduct seminars, workshops, and awareness campaigns to inform the public about the legal obligations and ethical considerations regarding the treatment of animals.
2. **Legislation and Policy Advocacy:**
- These organizations actively participate in advocating for the creation and improvement of laws related to animal welfare.
- They collaborate with government bodies and legislators to push for stricter regulations and penalties for animal abuse.
3. **Rescue and Rehabilitation:**
- Many animal welfare organizations are involved in rescuing and rehabilitating animals that have been subjected to abuse or neglect.
- They provide shelter, medical care, and rehabilitation services to ensure the well-being of rescued animals.
4. **Monitoring and Reporting:**
- Animal welfare organizations often work to monitor and report cases of animal abuse to relevant authorities.
- They act as a bridge between the community and law enforcement agencies, helping ensure that cases are properly documented and addressed.
5. **Collaboration with Law Enforcement:**
- These organizations collaborate with law enforcement agencies to facilitate the investigation and prosecution of animal abuse cases.
- They may provide expertise, resources, or support to authorities dealing with such cases.
6. **Promotion of Ethical Practices:**
- Animal welfare organizations promote ethical treatment of animals by encouraging responsible pet ownership and humane farming practices.
- They may provide guidance on proper care, nutrition, and living conditions for animals.
7. **Legal Assistance:**
- Some organizations offer legal assistance to ensure that cases of animal abuse are properly pursued in accordance with existing laws.
- They may also engage in litigation to seek justice for abused animals.
Overall, animal welfare organizations play a vital role in fostering a culture of compassion and responsibility towards animals, actively contributing to the prevention and intervention of animal abuse cases in the Philippines.</t>
  </si>
  <si>
    <t>How are individuals involved in transporting animals inhumanely held accountable under the law?</t>
  </si>
  <si>
    <t>The Philippines has laws and regulations to address the inhumane transport of animals, but enforcement can be challenging. Here's how the legal system holds individuals accountable:
**Key Laws and Regulations:**
* **Republic Act No. 8485 (The Animal Welfare Act of 1998):** This Act prohibits inflicting unnecessary suffering or pain on any animal. Transporting animals in a way that causes them excessive stress, injury, dehydration, or suffocation clearly falls under this prohibition. * **Department of Agriculture Administrative Order No. 13 (DAO 13):** Issued in 2013, this order provides specific guidelines for the humane handling of domestic and farm animals during transport. It specifies requirements regarding:
* Vehicle suitability (ventilation, space allocation)
* Rest periods and watering schedules during long journeys
* Weather considerations (avoiding extreme heat or cold during transport)
**Penalties for Violations:**
* **Fines:** The fines for violating the Animal Welfare Act and DAO 13 can range from One Thousand Pesos (Php 1,000.00) to Twenty Five Thousand Pesos (Php 25,000.00) for the first offense. Penalties increase for subsequent offenses.
* **Confiscation of Animals:** Authorities might confiscate animals being transported under inhumane conditions. These animals would be sheltered by government agencies or animal welfare organizations.
**Challenges and Enforcement Issues:**
* **Limited Resources:** The Department of Agriculture (DA) might face resource constraints limiting the number of personnel available to conduct inspections at transport terminals and checkpoints.
* **Difficulty in Detection:** Inhumane practices during transport might not always be evident during brief inspections. * **Lack of Public Awareness:** Public awareness about the regulations for humane animal transport is important for reporting suspected violations.
**What You Can Do:**
* **Report Suspected Abuse:** If you witness animals being transported in overcrowded vehicles, without proper ventilation, or showing signs of distress, report it to the barangay officials, the DA, or animal welfare organizations like PAWS.
* **Gather Evidence:** If possible, take photos or videos of the inhumane transport conditions as evidence for the authorities.
**The Way Forward:**
* **Strengthening Enforcement:** Increasing resources allocated to the DA for animal welfare enforcement can improve monitoring of animal transport practices.
* **Public Awareness Campaigns:** Raising public awareness about humane animal transport standards can encourage people to report suspected violations.
* **Improved Animal Welfare Training:** Training personnel involved in livestock transport on humane handling practices can help ensure better compliance with regulations.
By addressing these challenges and working together, the Philippines can move towards a system that ensures the humane transport of all animals.</t>
  </si>
  <si>
    <t>Are there legal consequences for individuals found dumping hazardous materials that harm animals?</t>
  </si>
  <si>
    <t>Yes, there are legal consequences for individuals found dumping hazardous materials that harm animals in the Philippines. Here's how the law approaches this issue:
**Environmental and Animal Welfare Concerns:**
Dumping hazardous materials is a violation of environmental laws and can also have negative consequences for animal welfare. The Philippines has legislation addressing both aspects.
**Environmental Laws:**
* **Philippine Clean Water Act (RA 3933):** This is the primary law governing water pollution control. It prohibits the discharge of pollutants without a permit and sets standards for water quality. Violations can result in:
* **Fines:** Fines can range from Twenty Thousand Pesos (Php 20,000.00) to Three Million Pesos (Php 3,000,000.00) depending on the severity of the offense and the environmental damage caused.
* **Imprisonment:** In serious cases, imprisonment of up to six (6) years can be imposed.
* **Clean-up Orders:** The polluter might be ordered to clean up the polluted area and restore it to its previous condition.
* **Environmental Management and Protection Act (RA 8749):** This Act establishes a framework for environmental impact assessments and pollution control. Violations can result in similar penalties as the Clean Water Act.
**Animal Welfare Considerations:**
* **Republic Act No. 8485 (The Animal Welfare Act of 1998):** While primarily focusing on companion animals, some argue it can be extended to aquatic animals suffering due to environmental damage. It prohibits inflicting unnecessary suffering or pain on any animal.
**Legal Process:**
* **Reporting the Incident:** Report the dumping of hazardous materials to the Department of Environment and Natural Resources (DENR) and possibly the Philippine Animal Welfare Society (PAWS). Provide details about the location, type of material dumped, and any evidence you might have (photos, videos).
* **DENR Investigation:** The DENR will investigate the complaint and gather evidence. They might collect water samples for analysis to identify the pollutant and its source.
* **Legal Action:** Based on their investigation, the DENR can:
* Issue administrative sanctions against the polluter.
* File a lawsuit against the individual or entity responsible for the dumping.
**Additional Considerations:**
* **Civil Lawsuit:** Environmental NGOs or concerned citizens might consider filing a civil lawsuit against the polluter for environmental damage. * **Animal Cruelty Charges:** Depending on the specific circumstances and the harm caused to animals, animal cruelty charges under the Animal Welfare Act might also be considered.
**Importance of Evidence:**
A strong case against the perpetrator relies heavily on evidence of the dumping and the harm caused to animals. This could include:
* Witness testimonies of the dumping activity
* Photographs or videos of the polluted area and any affected animals
* Lab analysis results (if water samples were collected)
By gathering evidence and reporting the incident, you can help hold the perpetrator accountable and protect animals from harmful hazardous materials.</t>
  </si>
  <si>
    <t>How does the law address the humane slaughter of animals for consumption?</t>
  </si>
  <si>
    <t>The Philippines has a legal framework for ensuring the humane slaughter of animals for consumption, but there's room for improvement. Here's a breakdown of the key aspects:
**Relevant Laws and Regulations:**
* **Republic Act No. 9296 (The Meat Inspection Code of the Philippines):** This Act establishes a meat inspection system to ensure the safety and quality of meat for human consumption. An important aspect is humane slaughter practices. The law requires:
* **Ante-mortem Inspection:** Vets or authorized personnel must examine animals before slaughter to identify any health conditions that might affect meat safety or cause unnecessary suffering during slaughter.
* **Humane Slaughter Methods:** The law mandates the use of humane slaughter methods that minimize pain and suffering to animals. However, the specific methods aren't explicitly defined in the law.
* **Department of Agriculture Administrative Order No. 35 Series of 2021 (DAO 35/2021):** This order provides more specific guidelines on the humane slaughter of rabbits for food. It might serve as a reference point for developing broader guidelines for other animals.
**Enforcement and Challenges:**
* **Department of Agriculture (DA):** The DA has the responsibility for enforcing humane slaughter regulations through meat inspection services. * **Limited Resources:** The DA might face resource constraints limiting the availability of trained personnel to conduct thorough inspections of slaughter facilities and ensure compliance with humane slaughter methods.
* **Lack of Clear Definitions:** The absence of clear definitions regarding "humane slaughter methods" in the main law (RA 9296) can lead to variations in interpretation and implementation across slaughterhouses.
**The Role of Animal Welfare Organizations:**
* **Advocacy:** Animal welfare organizations advocate for clearer definitions of humane slaughter methods and improved enforcement of existing regulations.
* **Promoting Best Practices:** These organizations might work with slaughterhouses to encourage the adoption of best practices for humane slaughter techniques.
**The Way Forward:**
* **Strengthening Regulations:** Pushing for amendments to RA 9296 to include clear definitions of humane slaughter methods based on scientific evidence and international standards.
* **Increased Resources:** Allocating more resources to the DA would allow them to improve training for meat inspectors on humane slaughter practices and conduct more frequent inspections of slaughterhouses.
* **Adoption of Best Practices:** Encouraging slaughterhouses to adopt internationally recognized humane slaughter methods like stunning animals before slaughter to minimize suffering.
By addressing these weaknesses and strengthening the legal framework, the Philippines can ensure more humane treatment of animals destined for food consumption.</t>
  </si>
  <si>
    <t>What legal measures are in place to regulate and inspect facilities where animals are kept or bred?</t>
  </si>
  <si>
    <t>The Philippines has a framework for regulating and inspecting facilities where animals are kept or bred, but there are gaps and room for improvement. Here's a breakdown of the key aspects:
**Relevant Laws and Regulations:**
* **Republic Act No. 8485 (The Animal Welfare Act):** This Act sets minimum animal welfare standards for facilities housing animals. However, the details regarding inspections are limited.
* **Department of Agriculture Administrative Order No. 13 (DAO 13):** Issued in 2013, this order provides specific guidelines for the humane handling of animals in various facilities, including:
* Breeding facilities
* Pet shops
* Zoos
* Animal shelters
* Slaughterhouses
* **DAO 13 outlines minimum requirements for these facilities regarding** aspects like:
* Space requirements per animal
* Shelter and housing conditions (ventilation, sanitation)
* Food and water availability
* Veterinary care provisions
**Enforcement and Inspections:**
* **Department of Agriculture (DA):** The DA has the primary responsibility for enforcing animal welfare regulations and conducting inspections of animal facilities. * **Challenges:** The DA might face resource constraints limiting the frequency and thoroughness of inspections. * **Local Government Units (LGUs):** LGUs can also play a role in animal welfare enforcement within their jurisdiction. However, their level of involvement and capacity can vary significantly.
**Role of Animal Welfare Organizations:**
* **Advocacy:** Animal welfare organizations advocate for stronger regulations and more frequent inspections of animal facilities.
* **Public Awareness:** Raising public awareness about animal welfare issues can put pressure on facilities to improve their standards. Consumers can choose to patronize businesses that demonstrate responsible animal care practices.
**Limitations and Areas for Improvement:**
* **Limited Scope of DAO 13:** DAO 13 focuses primarily on basic animal welfare needs like space, food, and water. It might not address more complex issues like enrichment activities or psychological well-being of the animals.
* **Unannounced Inspections:** Currently, inspections might not always be unannounced. This can allow facilities to temporarily improve conditions before inspections occur.
* **Transparency and Accountability:** A more transparent system for reporting inspection results and holding facilities accountable for violations is needed.
**The Way Forward:**
* **Strengthening Regulations:** Advocacy efforts can push for more detailed and comprehensive regulations regarding animal welfare in various facilities. This could include aspects like behavioral needs and enrichment.
* **Increased Resources:** Allocating more resources to the DA would allow them to conduct more frequent and thorough inspections of animal facilities. * **Collaboration:** Stronger collaboration between the DA, LGUs, and animal welfare organizations can improve enforcement and ensure better welfare for animals kept in breeding facilities, pet shops, and other settings.
By addressing these limitations and strengthening the existing framework, the Philippines can move towards a system that ensures higher standards of animal welfare in all facilities where animals are kept or bred.</t>
  </si>
  <si>
    <t>How does the law address the involvement of minors in animal abuse activities?</t>
  </si>
  <si>
    <t>The Philippines recognizes the distinction between minors and adults when it comes to criminal culpability. Here's how the law addresses the involvement of minors in animal abuse activities:
**Minors and Criminal Responsibility:**
* **Minimum Age of Criminal Responsibility:** The Philippines currently has a debate regarding the Minimum Age of Criminal Responsibility (MACR). As of now, it stands at 15 years old. This means children below 15 are generally presumed not to have criminal intent and cannot be charged with a crime like animal cruelty under the Animal Welfare Act.
**Legal Approaches for Minors:**
* **Parental Responsibility:** While minors themselves might not be criminally liable, their parents or guardians can be held accountable for their actions through civil lawsuits filed by animal welfare organizations or the animal's owner (if applicable).
* **Diversion Programs:** For minors who commit acts of animal cruelty, the courts might consider diversion programs instead of criminal prosecution. These programs focus on rehabilitation and education on animal welfare to prevent future incidents.
**Importance of Intervention:**
* **Addressing the Root Cause:** It's crucial to understand the reasons behind a minor's involvement in animal abuse. This could be lack of empathy, witnessing animal cruelty themselves, or simply not understanding the consequences of their actions.
* **Counseling and Education:** Counseling and educational programs on animal welfare can help minors develop compassion and respect for animals.
**Legislative Efforts:**
* **Raising the MACR:** There are ongoing efforts to raise the Minimum Age of Criminal Responsibility. This could mean holding older minors more directly accountable for their actions in animal abuse cases.
**Challenges and Limitations:**
* **Enforcement:** Enforcing parental responsibility laws can be challenging, especially in cases of neglect or lack of financial resources within the family.
* **Limited Resources:** Diversion programs and counseling services might have limited availability depending on the location. **Conclusion:**
The legal system in the Philippines recognizes the developmental stage of minors when addressing animal abuse. While direct criminal charges against minors might be limited, holding parents accountable and focusing on rehabilitation and education are crucial steps in preventing future animal cruelty.</t>
  </si>
  <si>
    <t>Are there legal provisions for the rehabilitation and rehoming of animals rescued from abusive situations?</t>
  </si>
  <si>
    <t>The Philippines doesn't have explicit legal provisions solely dedicated to the rehabilitation and rehoming of animals rescued from abusive situations. However, there are frameworks and initiatives that facilitate this process:
**Legal Framework:**
* **Republic Act No. 8485 (The Animal Welfare Act):** This Act, while not directly addressing rehabilitation and rehoming, prohibits inflicting unnecessary suffering or pain on any animal. Rescued animals often require rehabilitation to recover from physical and psychological trauma inflicted during the abuse. * **Authority Figures:** The law empowers barangay officials and law enforcement agencies to seize animals from abusive situations. These authorities often work with animal welfare organizations for the animals' care and potential rehoming.
**Role of Animal Welfare Organizations:**
* **PAWS and Other NGOs:** The Philippine Animal Welfare Society (PAWS) and other NGOs play a vital role in rescuing abused animals. They often provide temporary shelter, veterinary care, behavioral rehabilitation (if needed), and foster or adoption programs to find permanent homes for the animals.
**Challenges:**
* **Limited Resources:** Animal welfare organizations often face limited resources to accommodate a large number of rescued animals. * **Rehabilitation Needs:** The extent of rehabilitation required varies depending on the severity of the abuse and the animal's individual needs. * **Finding Suitable Homes:** Matching rescued animals with responsible and compatible forever homes can be challenging.
**Initiatives and Best Practices:**
* **Collaboration:** Collaboration between law enforcement, barangay officials, and animal welfare organizations is crucial for a smooth rescue, rehabilitation, and rehoming process.
* **Public Awareness Campaigns:** Raising public awareness about animal welfare issues encourages responsible pet ownership and increases adoption rates for rescued animals.
* **Volunteer Support:** Animal welfare organizations rely heavily on volunteers to provide care and socialization for rescued animals during their rehabilitation journey.
**The Way Forward:**
* **Legislative Advocacy:** Advocacy efforts can push for legislation specifically addressing animal rehabilitation and rehoming programs. This could allocate resources and establish clear guidelines for the process.
* **Increased Funding:** Increased funding for animal welfare organizations would allow them to expand their capacity to care for rescued animals and improve rehabilitation programs.
In conclusion, while the Philippines lacks specific laws focused on rehabilitation and rehoming, existing frameworks and the dedicated work of animal welfare organizations facilitate this process for animals rescued from abusive situations. Continued advocacy efforts and increased resources can further strengthen this system and ensure a brighter future for animals who have endured cruelty.</t>
  </si>
  <si>
    <t>How are individuals involved in the illegal trade of exotic pets held accountable under the law?</t>
  </si>
  <si>
    <t>The illegal trade of exotic pets in the Philippines is addressed through a combination of laws and regulations. Here's how individuals involved can be held accountable:
**Key Laws and Regulations:**
* **Republic Act No. 9147 (Wildlife Resources Conservation and Protection Act):** This Act regulates the collection, possession, transport, and trade of wildlife, including exotic pet species. It requires permits for any activity involving these animals. Violations can result in:
* **Fines:** Fines can range from Ten Thousand Pesos (Php 10,000.00) to Three Hundred Thousand Pesos (Php 300,000.00) depending on the offense. * **Imprisonment:** Imprisonment of up to two (2) years can be imposed for serious violations.
* **Confiscation of Animals:** The illegally traded animals will be confiscated by authorities.
* **Convention on International Trade in Endangered Species of Wild Fauna and Flora (CITES):** The Philippines is a signatory to CITES, which regulates international trade in endangered species. Individuals involved in smuggling CITES-listed exotic pets can face additional penalties under CITES implementation laws.
**Challenges and Enforcement:**
* **Difficulties in Detection:** The illegal trade often operates underground, making detection challenging. * **Limited Resources:** Law enforcement agencies might have limited resources for investigating wildlife trafficking cases.
**Taking Action:**
* **Reporting Suspicious Activity:** Report suspected illegal trade activities to the Department of Environment and Natural Resources (DENR) or the Philippine National Police (PNP).
* **Supporting Wildlife Rescue Organizations:** Organizations like PAWS or wildlife rescue centers play a crucial role in caring for confiscated animals. Consider donating or volunteering with these organizations.
**The Role of Public Awareness:**
* **Raising awareness** about the dangers of the illegal exotic pet trade can discourage people from purchasing exotic pets sourced illegally. This can reduce demand and ultimately disrupt the trade.
**Conclusion:**
While challenges exist, the Philippines has laws in place to hold individuals accountable for the illegal trade of exotic pets. Reporting suspicious activity, supporting wildlife rescue organizations, and promoting public awareness are all crucial steps in combating this illegal practice and protecting wildlife.</t>
  </si>
  <si>
    <t>What legal actions can be taken against individuals involved in poisoning or intentionally harming animals?</t>
  </si>
  <si>
    <t>The Philippines has several legal actions that can be taken against individuals involved in poisoning or intentionally harming animals. Here's a breakdown of the relevant laws and potential consequences:
**Primary Laws:**
* **Republic Act No. 8485 (The Animal Welfare Act of 1998):** This is the primary law concerning animal welfare in the Philippines. Section 5 prohibits any person from inflicting unnecessary suffering or pain on any animal. Poisoning or intentionally harming an animal clearly falls under this prohibition.
**Potential Penalties:**
* **Fines:** The fines for violating the Animal Welfare Act can range from One Thousand Pesos (Php 1,000.00) to Twenty Five Thousand Pesos (Php 25,000.00) for the first offense. Penalties increase for subsequent offenses.
* **Imprisonment:** In some cases, imprisonment of up to six (6) months can be imposed, particularly for severe acts of cruelty or repeat offenses.
**Additional Considerations:**
* **Severity of the Act:** The severity of the penalties will depend on various factors, such as:
* Whether the animal died or suffered significant injuries.
* The premeditated nature of the act (intentional poisoning vs. accidental poisoning).
* Prior offenses by the perpetrator.
* **Confiscation of Animals:** Authorities might confiscate any animals in the possession of the individual if their welfare is deemed at risk.
**Other Applicable Laws:**
* **Depending on the circumstances, additional charges might be filed under other laws:**
* **Environmental Laws:** If the poisoning pollutes a water source harming aquatic life, laws like the Philippine Clean Water Act (RA 3933) might be relevant.
* **Property Damage:** If the animal belonged to someone else, the perpetrator might face charges for property damage.
**Taking Legal Action:**
* **Reporting the Crime:** Report the incident to the barangay officials and the Philippine Animal Welfare Society (PAWS). They can provide guidance on filing a formal complaint.
* **Evidence Gathering:** If possible, gather evidence of the poisoning or intentional harm. This could include:
* Witness testimonies * Photographs or videos of the injured animal or the poison used
* Veterinarian reports (if the animal received medical attention)
**Importance of Witness Testimony and Evidence:**
A strong case against the perpetrator relies heavily on witness testimonies and physical evidence. The more evidence you can gather, the stronger your case will be in holding the individual accountable for their actions.
**Conclusion:**
Animal cruelty is a punishable offense in the Philippines. By reporting incidents of poisoning or intentional harm, gathering evidence, and pursuing legal action, you can help ensure animal welfare is protected and perpetrators are held responsible for their actions.</t>
  </si>
  <si>
    <t>How does Philippine law address animal abuse in the context of agricultural practices?</t>
  </si>
  <si>
    <t>Philippine law regarding animal abuse in agriculture has some coverage but presents complexities and room for improvement. Here's a breakdown of the situation:
**Relevant Laws:**
* **Republic Act No. 8485 (The Animal Welfare Act of 1998):** This is the primary law on animal welfare. It prohibits inflicting unnecessary suffering or pain on any animal. In theory, it applies to farmed animals as well.
* **Department of Agriculture Administrative Order No. 13 (DAO 13):** Issued in 2013, this order provides specific guidelines for the humane handling of domestic and farm animals during transport, slaughter, and other related activities. **Challenges and Loopholes:**
* **Limited Scope:** The Animal Welfare Act's provisions regarding farm animals are less detailed compared to those protecting companion animals. * **Focus on Slaughter:** DAO 13 primarily focuses on humane slaughter practices rather than broader welfare concerns during animal breeding, housing, and farming practices.
* **Vague Definitions:** The definitions of "cruelty" and "unnecessary suffering" in the context of agricultural practices can be subjective and open to interpretation. **Limited Enforcement:**
* **Resources and Prioritization:** The Department of Agriculture (DA) might face resource constraints that limit enforcement of animal welfare regulations in agricultural settings. Other priorities like ensuring food security might take precedence.
* **Industry Influence:** The agricultural industry might lobby against stricter animal welfare regulations citing concerns about increased production costs.
**Positive Developments:**
* **Growing Public Awareness:** Public awareness about animal welfare in agriculture is increasing. This can put pressure on the agricultural industry and the government to improve standards.
* **Alternative Farming Practices:** Some farmers are adopting more humane farming practices that improve animal welfare while maintaining productivity.
**The Way Forward:**
* **Strengthening Legislation:** Advocacy efforts can push for clearer definitions of animal cruelty in agricultural settings and stronger enforcement mechanisms.
* **Improved Enforcement:** Increased resources allocated to the DA for animal welfare enforcement can ensure better compliance with existing regulations.
* **Promoting Humane Practices:** Encouraging the adoption of more humane farming practices through incentives and educational programs can improve animal welfare without crippling agricultural productivity.
In conclusion, the Philippines has a legal framework addressing animal abuse in agriculture, but significant gaps remain. Strengthening legislation, improving enforcement, and promoting humane farming practices are crucial steps towards ensuring better welfare for animals raised for food production.</t>
  </si>
  <si>
    <t>Are there legal safeguards for witnesses and whistleblowers in animal abuse cases?</t>
  </si>
  <si>
    <t>The Philippines has some legal safeguards for witnesses and whistleblowers in animal abuse cases, but there's room for improvement. Here's a breakdown of the current situation:
**Existing Safeguards:**
* **Witness Protection Program (WPP):** The Department of Justice (DOJ) manages a Witness Protection Program (WPP). While not exclusively for animal abuse cases, witnesses who fear retaliation for reporting animal cruelty can apply to the WPP for protection measures like relocation or security detail (subject to eligibility requirements and program resources).
* **Republic Act No. 6986 (An Act Providing for Witness Protection, Security and Benefits):** This Act establishes the legal framework for the WPP. It outlines the eligibility criteria and protection measures that can be provided to witnesses in various cases, including potentially animal cruelty if threats are deemed credible.
**Challenges and Limitations:**
* **Limited Scope:** The WPP prioritizes cases involving grave threats or danger to the witness. Animal abuse cases might not always meet this threshold for inclusion in the program.
* **Resource Constraints:** The WPP has budgetary limitations which can restrict the availability of protection measures for all eligible witnesses.
* **Lack of Anonymity:** While the WPP offers protection, it often requires the witness's identity to be disclosed during the investigation and court proceedings, which might discourage some from coming forward.
**Potential Improvements:**
* **Specific Whistleblower Protections for Animal Abuse:** Legislative efforts are underway to establish clear whistleblower protections specifically for animal abuse cases. This could include measures like anonymity during investigations, immunity from lawsuits filed by the abuser, and anti-retaliation provisions to protect a witness's job or housing situation.
* **Increased Funding for WPP:** Increased allocation of resources to the WPP would allow them to expand protection measures and accommodate more witnesses from various cases, including animal abuse.
**Role of Animal Welfare Organizations:**
* **Support for Whistleblowers:** Some animal welfare organizations offer support services for whistleblowers in animal abuse cases. This might include legal advice, referral to the WPP, and emotional support during the investigation and court process.
**Conclusion:**
While the Philippines has some safeguards for witnesses and whistleblowers in animal abuse cases, gaps remain. Advocacy efforts pushing for stronger legal protections and increased resources for the WPP are crucial to encourage witnesses to come forward without fear of retaliation and ensure justice for abused animals.</t>
  </si>
  <si>
    <t>What legal actions can be taken against individuals found to be polluting water sources that harm aquatic animals?</t>
  </si>
  <si>
    <t>In the Philippines, polluting water sources that harm aquatic animals can be addressed through a combination of environmental and animal welfare laws. Here's a breakdown of potential legal actions:
**Environmental Laws:**
* **Philippine Clean Water Act (RA 3933):** This is the primary law governing water pollution control. It prohibits the discharge of pollutants without a permit and sets standards for water quality. Violations can result in:
* **Fines:** Fines can range from Twenty Thousand Pesos (Php 20,000.00) to Three Million Pesos (Php 3,000,000.00) depending on the severity of the offense.
* **Imprisonment:** In serious cases, imprisonment of up to six (6) years can be imposed.
* **Clean-up Orders:** The polluter might be ordered to clean up the polluted water source and restore it to its previous condition.
* **Environmental Management and Protection Act (RA 8749):** This Act establishes a framework for environmental impact assessments and pollution control. Violations can result in similar penalties as the Clean Water Act.
**Animal Welfare Considerations:**
* **Republic Act No. 8485 (The Animal Welfare Act of 1998):** While primarily focusing on companion animals, some argue it can be extended to aquatic animals suffering due to environmental damage. It prohibits inflicting unnecessary suffering or pain on any animal.
**Legal Process:**
* **Reporting the Pollution:** Report the water source pollution to the Department of Environment and Natural Resources (DENR). Provide details about the location, type of pollutant observed, and any evidence you might have (photos, videos).
* **DENR Investigation:** The DENR will investigate the complaint and gather evidence. They might collect water samples for analysis to identify the pollutant and its source.
* **Filing a Legal Case:** Based on their investigation, the DENR can:
* Issue administrative sanctions against the polluter.
* File a lawsuit against the individual or entity responsible for the pollution. **Additional Considerations:**
* **Civil Lawsuit:** Environmental NGOs or concerned citizens might consider filing a civil lawsuit against the polluter for environmental damage.
* **Public Awareness:** Raising public awareness about the incident and its impact on aquatic life can pressure authorities to take action and deter future environmental crimes.
By applying both environmental and animal welfare considerations, a stronger case can be built against the polluter. This approach can hold them accountable for environmental damage and the suffering inflicted upon aquatic animals.</t>
  </si>
  <si>
    <t>You are a law enforcement officer responding to a report of suspected animal abuse. What legal steps should be taken during the initial stages of the investigation?</t>
  </si>
  <si>
    <t>Here are the legal steps you should take during the initial stages of investigating a suspected animal abuse case in the Philippines:
**Securing the Scene:**
* **Scene Assessment:** Upon arrival, ensure your own safety and assess the situation. Look for potential dangers like aggressive animals, hazardous materials, or unstable structures.
* **Witness Interviews:** Talk to the person who reported the abuse and any other witnesses present. Get their statements about what they observed, including dates, times, and specific details of the alleged abuse.
* **Identify the Pet Owner(s):** Determine who owns the animal and attempt to locate them.
**Animal Welfare Check:**
* **Animal's Condition:** Assess the animal's overall well-being. Look for signs of neglect or abuse like:
* Thinness, dehydration
* Injuries (wounds, broken bones)
* Unsanitary living conditions (filth, lack of water/food)
* Signs of fear or aggression
**Evidence Gathering:**
* **Photographs and Videos:** If safe to do so, take photographs or videos of the animal and its living environment. Document any injuries, unsanitary conditions, or items potentially used for abuse.
* **Witness Statements:** Obtain written statements from witnesses detailing their observations. Include their contact information for further investigation.
* **Seizure of Evidence (if necessary):** If you find clear evidence of abuse or the animal's life is in immediate danger, you might need to seize the animal for its safety. Consult with your superiors and potentially animal control or a veterinarian before proceeding.
**Legal Considerations:**
* **Animal Welfare Act (RA 8485):** This Act prohibits inflicting unnecessary suffering or pain on any animal. Consider if the situation appears to violate this law.
* **Warrants:** For more intrusive measures like entering a private property to seize an animal, a search warrant might be necessary. Consult with a prosecutor to determine the legal necessity of a warrant.
**Taking Action:**
* **Verbal Warning:** If the abuse seems minor, consider issuing a verbal warning to the pet owner outlining the potential consequences of further neglect or abuse. Explain the Animal Welfare Act and the importance of proper animal care.
* **Citations:** If the evidence suggests a violation of the Animal Welfare Act, you might issue a citation to the pet owner. This citation outlines the offense and potential penalties.
* **Arrest:** In severe cases with clear evidence of intentional cruelty or neglect, arresting the pet owner might be necessary. **Collaboration:**
* **Animal Control:** Depending on your jurisdiction, there might be a dedicated animal control unit. Collaborate with them for animal seizure, transport, and temporary sheltering if necessary.
* **Veterinarian:** Consult a veterinarian to assess the animal's injuries and determine its immediate medical needs. They can also provide expert opinions on the cause of the animal's condition.
* **Animal Welfare Organizations:** Animal welfare organizations can offer support with sheltering animals, foster care programs, and legal resources for pursuing animal cruelty charges. By following these steps, you can conduct a thorough initial investigation, ensure the animal's welfare is addressed, and gather necessary evidence to build a strong case against the perpetrator if animal cruelty is confirmed. Remember to prioritize the safety of yourself, the animal, and witnesses during your investigation.</t>
  </si>
  <si>
    <t>A witness observes a neighbor mistreating their pet. What legal measures can be taken to ensure the safety and welfare of the animal?</t>
  </si>
  <si>
    <t>Here are some legal measures a witness can take to ensure the safety and welfare of an animal being mistreated by a neighbor in the Philippines:
**Documenting the Abuse:**
* **Gather Evidence:** If possible, collect evidence of the mistreatment. This can include: * Photos or videos of the animal's condition (thinness, injuries, unsanitary living conditions). * Recordings of loud noises or yelling potentially associated with abuse (avoid audio recording conversations without consent).
* **Dates and Times:** Note the specific dates and times you witness the mistreatment. **Reporting the Abuse:**
* **Barangay Officials:** The first point of contact should be your barangay officials. They might be able to mediate the situation or advise on further steps. Explain what you witnessed and provide any evidence you collected.
* **Philippine Animal Welfare Society (PAWS):** PAWS is a well-respected animal welfare organization. Report the suspected neglect to them. They can offer guidance, collaborate with authorities, and potentially assist with temporary sheltering of the animal if needed.
* **Department of Agriculture - Bureau of Animal Industry (DA-BAI):** The DA-BAI is responsible for animal welfare. File a formal complaint with them detailing the situation and providing any evidence you may have.
**Additional Considerations:**
* **Direct Communication (Optional):** If you feel comfortable, consider a polite conversation with the neighbor expressing your concerns about the animal's well-being. Offer helpful resources on proper pet care.
**Remember:**
* **Safety First:** Do not put yourself at risk while intervening or collecting evidence.
* **Anonymous Reporting:** If you fear retaliation, you can report the abuse anonymously to PAWS or the DA-BAI. **Importance of Witness Testimony:**
By documenting the abuse and reporting it to the proper authorities, a witness can play a crucial role in triggering an investigation and potentially rescuing the animal from a neglectful situation. The evidence you gather can be instrumental in holding the pet owner accountable for their actions.</t>
  </si>
  <si>
    <t>A group of individuals is organizing an illegal cockfighting event. What legal actions can be taken to prevent and address this form of animal abuse?</t>
  </si>
  <si>
    <t>Cockfighting is a complex issue in the Philippines, with legal allowances under specific circumstances and a large cultural following. However, illegal cockfighting events still occur. Here's how legal actions can be taken to prevent and address such events:
**Preventing Illegal Cockfighting:**
* **Intelligence Gathering:** Barangay officials, law enforcement (Philippine National Police - PNP), and concerned citizens can work together to gather information about planned illegal cockfighting events. This might involve surveillance, anonymous tips, or monitoring social media for event announcements.
* **Cease and Desist Orders:** If authorities have credible information about a planned event, they can issue a cease and desist order to the organizers. This order warns them of the legal consequences of proceeding with the event.
* **Community Outreach:** Local government units and animal welfare organizations can launch campaigns to educate the public about the cruelty inherent in cockfighting and the legal ramifications of organizing or participating in illegal events.
**Addressing Ongoing Illegal Cockfighting:**
* **Police Raids:** If a cockfighting event is happening, the PNP can conduct a raid to shut it down. This would involve seizing the fighting cocks, arresting the organizers and participants, and confiscating any related equipment (blades, cages).
* **Filing Charges:** Those arrested can be charged under Presidential Decree No. 449 (The Cockfighting Law of 1974) for holding cockfights outside of licensed cockpits or on unauthorized days. Penalties include fines and imprisonment.
* **Animal Cruelty Charges:** While cockfighting might be culturally ingrained, the Animal Welfare Act (RA 8485) prohibits inflicting unnecessary suffering or pain on any animal. Consider filing additional charges of animal cruelty against the organizers.
**Additional Considerations:**
* **Evidence Gathering:** During raids, strong evidence collection is crucial. This includes:
* Photos/videos of the cockfighting and the animals involved
* Confiscated equipment
* Witness statements from people present at the event
* **Animal Welfare Organizations:** Animal welfare organizations can assist with the care of the confiscated fighting cocks and potentially find them permanent homes through adoption programs. * **Public Pressure:** Generating public pressure against illegal cockfighting through media campaigns and social media advocacy can help discourage organizers and participants.
**Remember:** * The safety of law enforcement and citizens should be prioritized during interventions.
* While cultural traditions warrant respect, animal cruelty aspects within those traditions need to be addressed.
* A multi-pronged approach involving law enforcement, community outreach, and animal welfare organizations can effectively prevent and address illegal cockfighting.</t>
  </si>
  <si>
    <t>You are a prosecutor handling an animal abuse case. What legal challenges might arise during the prosecution, and how can they be addressed?</t>
  </si>
  <si>
    <t>As a prosecutor handling an animal abuse case in the Philippines, you might face several legal challenges. Here are some common ones and how you can address them:
**Challenges with Evidence:**
* **Limited Physical Evidence:** Animal abuse often occurs behind closed doors, making it difficult to obtain physical evidence like witnesses directly observing the act.
* **Veterinary Interpretation:** Veterinary opinions on the cause and severity of injuries might be subjective, requiring careful presentation to establish a clear link between the defendant's actions and the animal's suffering (corpus delicti).
**Addressing Evidence Challenges:**
* **Witness Testimony:** Build a strong case with witness testimonies from neighbors, groomers, or anyone who observed concerning behavior towards the animal. Focus on witnesses who can testify to:
* The animal's condition before and after the alleged abuse * The defendant's interactions with the animal
* Statements made by the defendant about the animal
* **Veterinarian Expertise:** Work closely with a veterinarian experienced in animal cruelty cases. They can:
* Analyze the animal's injuries and provide a detailed report linking them to potential causes (e.g., blunt force trauma, malnutrition).
* Explain the animal's suffering in clear and understandable language for the court.
* **Photographs and Videos:** Use photographs or videos of the animal's injuries or poor living conditions as evidence. **Challenges with Defining Abuse:**
* **Subjectivity in Cruelty:** The definition of "cruelty" can be subjective. Clearly establish how the defendant's actions violated the Animal Welfare Act's (RA 8485) prohibition of inflicting unnecessary suffering or pain on any animal. **Addressing Challenges with Defining Abuse:**
* **Expert Opinions:** Supplement witness testimonies and veterinary reports with expert opinions from animal behaviorists who can explain normal animal behavior and how the defendant's actions deviated from acceptable animal husbandry practices. **Challenges with Intent:**
* **Mens Rea:** In some cases, proving the defendant's intent (mens rea) to inflict suffering can be challenging. **Addressing Challenges with Intent:**
* **Pattern of Behavior:** Present evidence of a pattern of neglect or abuse. This might include past animal control complaints, veterinary records indicating repeated injuries, or statements made by the defendant disregarding the animal's well-being.
* **Failure to Provide Care:** Demonstrate that the defendant deliberately failed to provide basic necessities like food, water, shelter, or veterinary care, resulting in the animal's suffering.
**Additional Considerations:**
* **Public Advocacy:** Consider generating public awareness about the case, which can put pressure on the court for a just outcome. * **Collaboration:** Collaborate with animal welfare organizations who might offer support, expertise, or even financial assistance to strengthen the prosecution's case.
By anticipating these challenges, methodically gathering strong evidence, and effectively presenting your case, you can increase your chances of successfully prosecuting animal abuse and holding the perpetrator accountable for their actions.</t>
  </si>
  <si>
    <t>An individual is found in possession of endangered species without proper permits. What legal consequences should follow the discovery?</t>
  </si>
  <si>
    <t>The legal consequences for possessing endangered species without proper permits in the Philippines depend on the specific circumstances of the case. Here's a breakdown of the potential repercussions:
**Relevant Laws:**
* **Republic Act No. 9147 (Wildlife Resources Conservation and Protection Act):** This is the primary law governing wildlife conservation in the Philippines. Sections 24 and 25 specifically deal with the illegal hunting, gathering, and transport of wildlife.
* **Executive Order No. 578:** This order establishes a list of threatened Philippine flora and fauna. Possessing a species on this list without a permit would be a clear violation.
**Penalties:**
* **Fines:** Fines can range from One Hundred Thousand Pesos (Php 100,000.00) to Three Hundred Thousand Pesos (Php 300,000.00) for a first offense. Penalties increase for subsequent offenses. * **Imprisonment:** The individual could face imprisonment of six (6) months to two (2) years for the first offense. Penalties increase for subsequent offenses.
**Additional Considerations:**
* **Severity of the Offense:** The severity of the penalties will depend on various factors, such as:
* The number and type of endangered species involved. * Whether the animals were alive or dead.
* The intended purpose of possessing the endangered species (e.g., personal collection, trade). * **Confiscation of Animals:** The Department of Environment and Natural Resources (DENR) has the authority to confiscate the endangered species to ensure their protection.
* **Disposition of Confiscated Animals:** Confiscated animals might be:
* Released back into the wild if deemed healthy and suitable for reintroduction to their natural habitat.
* Placed in rehabilitation centers for care and possible future release.
* Housed in sanctuaries if reintroduction or release isn't feasible.
**Further Legal Action:**
* **Charges for Related Offenses:** Depending on the circumstances, the individual might face additional charges for related offenses, such as:
* Illegal transport (if the animals were moved from their natural habitat)
* Falsification of documents (if they attempted to forge permits)
**Role of the DENR:**
* **Investigation:** The DENR will investigate the case and determine the appropriate course of legal action based on the evidence gathered.
* **Collaboration:** The DENR might collaborate with the Philippine National Police or wildlife enforcement agencies to apprehend the perpetrator and gather evidence.
**Importance of Enforcement:**
* **Deterring Wildlife Trafficking:** Strict enforcement of these laws sends a strong message that illegal possession of endangered species is a serious crime and helps deter wildlife trafficking.
* **Protecting Endangered Species:** Effective enforcement contributes to the conservation of endangered species by preventing them from being exploited or taken from their natural habitat.
By enforcing these laws and imposing appropriate penalties, the Philippines can protect its endangered wildlife and ensure a future for these precious species.</t>
  </si>
  <si>
    <t>A stray animal is found injured in a public area. What legal measures can be taken to ensure its prompt and humane treatment?</t>
  </si>
  <si>
    <t>In the Philippines, there are no specific laws solely addressing injured stray animals. However, several options can be explored to ensure the stray receives prompt and humane treatment:
**Immediate Action:**
* **Animal Welfare Organizations:** Contact your local animal welfare organization like the Philippine Animal Welfare Society (PAWS) or a nearby veterinary clinic known for helping stray animals. They might have personnel who can transport the injured animal or advise on the best course of action.
* **Barangay Officials:** Inform your barangay officials about the injured stray. Some barangays might have designated personnel or partnerships with animal welfare organizations to handle such cases.
**Securing Medical Attention:**
* **Veterinary Care:** The priority is to get the stray veterinary attention. If you have the means, you can take the animal to a veterinary clinic yourself. Some animal welfare organizations might offer financial assistance or have partnerships with clinics to provide care for strays.
* **Public Animal Shelters:** Public animal shelters might accept injured strays and provide necessary medical care. However, space limitations in shelters are a concern. **Long-Term Care:**
* **Adoption:** If the animal recovers well, explore adoption options. Consider reaching out to animal welfare organizations or animal shelters to find a responsible and loving home for the stray. * **Trap-Neuter-Return (TNR):** If adoption isn't feasible, consider programs that advocate for Trap-Neuter-Return (TNR) initiatives for stray animals. TNR involves humanely trapping stray animals, neutering or spaying them to control the population, and then releasing them back into their territory after recovery. **Legal Considerations:**
* **Animal Welfare Act (RA 8485):** While not specifically focused on strays, the general principles of preventing unnecessary suffering or pain on any animal can be considered. Reporting animal cruelty (including neglect of injured strays) to authorities falls under this Act.
* **Local Ordinances:** Some cities or municipalities might have local ordinances related to animal control or stray animal management. Check with your barangay officials to understand any specific regulations in your area.
**Additional Considerations:**
* **Your Ability to Care:** If you are unable to take the injured animal to a vet yourself, consider seeking help from neighbors, animal lovers online, or crowdfunding platforms to raise funds for veterinary care. * **Safety:** When approaching an injured stray, prioritize your safety. If the animal is aggressive due to pain or fear, seek help from animal control or experienced animal welfare personnel for safe capture and transport.
By taking prompt action, collaborating with animal welfare organizations, and exploring available resources, you can ensure the injured stray animal receives veterinary care and potentially finds a loving home or rejoins its colony in a managed way through TNR programs.</t>
  </si>
  <si>
    <t>You are a judge presiding over an animal abuse case. What legal considerations should guide your decisions during the trial?</t>
  </si>
  <si>
    <t>As a judge presiding over an animal abuse case, several legal considerations should guide your decisions throughout the trial:
**Understanding the Law:**
* **Animal Welfare Act (RA 8485):** This is the primary law in the Philippines concerning animal welfare. Rely on this Act's provisions regarding prohibited acts of cruelty and the potential penalties for violations. * **Other Relevant Laws:** Consider if any other laws might apply depending on the specifics of the case. For example, if protected wildlife species were harmed, the Wildlife Resources Conservation and Protection Act (RA 9147) might be relevant.
**Evaluating Evidence:**
* **Witness Testimony:** Carefully assess the credibility and reliability of witness testimonies regarding the alleged animal abuse. Consider factors like their opportunity to observe the events, potential biases, and consistency of their statements.
* **Expert Opinions:** Expert witnesses, such as veterinarians or animal behavior specialists, can be called upon to provide insights on the animal's injuries, the potential cause of suffering, and accepted animal husbandry practices. * **Physical Evidence:** Photographs, videos, veterinary records, or confiscated items like tools used for abuse can be crucial evidence to consider.
**Burden of Proof:**
* **Presumption of Innocence:** The defendant is presumed innocent until proven guilty beyond a reasonable doubt. The burden of proof lies with the prosecution to present a compelling case demonstrating animal abuse occurred. **Severity of Abuse:**
* **Nature of the Abuse:** Consider the type of abuse inflicted on the animal (e.g., physical violence, neglect, improper confinement) and the level of suffering caused.
* **Intent and Mens Rea:** In some cases, the prosecution might need to prove the defendant's intent to inflict suffering (mens rea). Explore the evidence related to the defendant's knowledge of the potential consequences of their actions.
**Mitigating Factors:**
* **Age or Mental State of Defendant:** If the defendant is a minor or has a diagnosed mental illness that might have contributed to the abuse, these factors can be considered when determining sentencing (not necessarily guilt).
**Sentencing:**
* **Available Penalties:** Refer to the relevant laws to understand the range of penalties for the specific offense. These can include fines, imprisonment, or both.
* **Proportionality:** The sentence should be proportionate to the severity of the abuse and the defendant's culpability.
**Animal's Well-being:**
* **Custody of the Animal:** Consider the long-term well-being of the animal involved. Determine if it should be placed in a shelter, rehabilitated and rehomed, or humanely euthanized if deemed necessary due to the severity of injuries.
**Setting a Precedent:**
* **Deterrence:** Your decisions should deter future animal cruelty by sending a clear message that such acts will be prosecuted to the full extent of the law.
**Fairness and Due Process:**
* **Right to a Fair Trial:** Ensure both the prosecution and the defense have a fair opportunity to present their cases and that the defendant's rights are upheld throughout the trial.
By carefully considering these legal factors and ensuring a fair trial process, you can make informed decisions that protect animals from abuse, hold perpetrators accountable, and set a positive precedent for future animal welfare cases.</t>
  </si>
  <si>
    <t>An individual is witnessed dumping toxic waste into a water source that harms aquatic animals. What legal actions can be taken to address both environmental pollution and animal abuse?</t>
  </si>
  <si>
    <t>The act of dumping toxic waste into a water source harming aquatic animals falls under two categories of Philippine law: environmental damage and animal cruelty. Here's what legal actions can be taken:
**Environmental Damage:**
* **Department of Environment and Natural Resources (DENR):** The DENR is the primary government agency responsible for environmental protection. File a formal complaint with them, detailing the incident, including the location, date, and time of the dumping, and any evidence you might have (e.g., witness statements, photos or videos).
* **Lawsuits:** Aside from administrative sanctions, the DENR can also file a lawsuit against the individual for violating environmental laws. * **Penalties:** The penalties for illegal waste disposal can include fines and potential imprisonment depending on the severity of the damage caused. The DENR can also order the individual to undertake cleanup and rehabilitation efforts for the affected water source.
**Animal Abuse:**
* **Republic Act No. 8485 (The Animal Welfare Act of 1998):** While this Act primarily focuses on companion animals, some argue it can be extended to aquatic animals suffering due to environmental damage. It prohibits inflicting unnecessary suffering or pain on any animal.
* **Philippine Animal Welfare Society (PAWS):** PAWS can offer guidance and potentially collaborate with the DENR to strengthen the animal cruelty aspect of the case. They can help document the harm caused to aquatic life.
**Evidence Gathering:**
* **Witness Statements:** If anyone witnessed the dumping or the immediate aftermath (dead fish), encourage them to provide written statements. * **Photographs or Videos:** If possible, take pictures or videos of the polluted water source and any dead or injured aquatic animals.
* **Water Samples:** If possible, collect water samples from the polluted source for laboratory analysis to identify the type of toxic waste dumped. However, prioritize your safety and avoid contact with potentially hazardous materials.
**Additional Considerations:**
* **Public Awareness:** Raise public awareness about the incident through social media or environmental advocacy groups. This can put pressure on authorities to take action and deter future environmental crimes.
* **Civil Lawsuit:** In some cases, environmental NGOs or concerned citizens might consider filing a civil lawsuit against the individual for environmental damage.
By reporting the incident, gathering evidence, and working with relevant authorities, you can address both the environmental and animal cruelty aspects of this crime. Holding the perpetrator accountable can help protect the environment and aquatic life from future harm.</t>
  </si>
  <si>
    <t>A pet owner is suspected of neglecting their animals. What legal measures can be taken to intervene and protect the well-being of the pets?</t>
  </si>
  <si>
    <t>Here's a breakdown of legal measures you can take to intervene and protect the well-being of pets suspected of being neglected by their owner in the Philippines:
**Gathering Evidence:**
* **Document Your Observations:** If you witness signs of animal neglect (e.g., excessive thinness, lack of water or food, unsanitary living conditions, untreated injuries), take photographs or videos as evidence. * **Witness Statements:** If anyone else has observed similar signs of neglect, encourage them to provide written statements to support your concerns.
**Initial Steps:**
* **Direct Communication (Optional):** If you feel comfortable, consider a polite conversation with the pet owner expressing your concerns about the animal's well-being. Offer helpful resources on proper pet care.
**Reporting the Neglect:**
* **Barangay Officials:** Your first point of contact can be your barangay officials. They might be able to mediate the situation or advise on further steps.
* **Philippine Animal Welfare Society (PAWS):** PAWS is a well-respected animal welfare organization. Report the suspected neglect to them. PAWS can offer guidance, collaborate with authorities, and potentially assist with temporary sheltering of the animals if needed.
* **Department of Agriculture - Bureau of Animal Industry (DA-BAI):** The DA-BAI is responsible for animal welfare. File a formal complaint with them detailing the situation and providing any evidence you may have collected.
**Legal Measures:**
* **Republic Act No. 8485 (The Animal Welfare Act of 1998):** This Act prohibits inflicting unnecessary suffering or pain on any animal. Neglecting an animal's basic needs can be considered a violation.
* **DA-BAI Investigation:** Based on your report and evidence, the DA-BAI might investigate the situation. They can:
* Issue warnings for minor violations.
* Impose fines for more serious violations. * Order the owner to improve the animal's living conditions within a specific timeframe.
* In extreme cases, seize the animals if they are at immediate risk of suffering and place them in a shelter or with a responsible caretaker.
**Additional Considerations:**
* **Animal Welfare Organizations:** Many animal welfare organizations offer resources for pet owners who might be struggling to care for their animals due to financial constraints or lack of knowledge. Providing such resources to the owner can potentially resolve the situation without legal action. * **Animal Shelters:** If the animals are removed from the owner's care, they might be placed in animal shelters. * Consider fostering an animal to free up space in shelters for other animals in need.
* Donate to support shelters that care for rescued animals.
**Remember:** * Prioritize the safety of yourself and others when intervening in a suspected animal neglect case. * Documenting evidence and reporting the situation to the proper authorities are crucial steps in protecting neglected animals.
* Working collaboratively with animal welfare organizations can create a network of support to ensure the animals' well-being.</t>
  </si>
  <si>
    <t>You are a legislator working on amendments to animal welfare laws. What legal reforms could enhance the effectiveness of existing legislation in preventing and combating animal abuse?</t>
  </si>
  <si>
    <t>As a legislator working on amendments to animal welfare laws in the Philippines, here are some legal reforms you can consider to enhance the effectiveness of existing legislation in preventing and combating animal abuse:
**Strengthening Enforcement:**
* **Increased Penalties:** Consider raising the fines and potential prison sentences for violations of animal cruelty laws. This can serve as a stronger deterrent.
* **Improved Enforcement Mechanisms:** Allocate more resources to the DA-BAI and DENR for enforcement activities. This could include hiring more inspectors and equipping them with proper training and investigative tools.
* **Whistleblower Protection:** Strengthen whistleblower protections for individuals who report animal cruelty, especially those working in industries that use animals (e.g., research facilities, factory farms). **Expanding the Scope of Protection:**
* **Clarify Definitions:** Refine the definitions of animal cruelty within the law to leave less room for interpretation and ensure all forms of abuse are covered (e.g., neglect, improper transport, fighting).
* **Include All Animals:** Broaden the scope of the law to explicitly protect all animals, including farm animals, not just traditionally considered "companion animals." * **Ban Specific Cruel Practices:** Outlaw specific cruel practices like declawing cats, tail docking in dogs, or cruel training methods used in some industries. **Promoting Responsible Pet Ownership:**
* **Mandatory Pet Registration:** Implement mandatory pet registration programs. This can help track animal ownership and potentially deter abandonment.
* **Spaying/Neutering Incentives:** Offer subsidies or tax breaks to encourage pet owners to spay or neuter their animals to control pet overpopulation and reduce the number of animals ending up in shelters.
* **Public Education Campaigns:** Launch public education campaigns to promote responsible pet ownership, including proper care, training, and the importance of reporting animal cruelty.
**Additional Considerations:**
* **Collaboration:** Encourage collaboration between animal welfare organizations, veterinarians, and law enforcement agencies to create a more comprehensive response system for addressing animal abuse.
* **Data Collection:** Improve data collection on animal cruelty cases to identify trends, understand the scope of the problem, and track the effectiveness of implemented reforms.
* **Animal Welfare Standards:** Consider establishing minimum animal welfare standards for various sectors that use animals, such as research facilities, factory farms, and pet shops. By implementing these legal reforms, you can create a more robust legal framework for protecting animals in the Philippines. This will equip authorities with better tools to investigate and prosecute animal cruelty cases, while also promoting responsible pet ownership and a culture of animal welfare within the country.</t>
  </si>
  <si>
    <t>An individual is involved in the illegal trade of exotic pets. What legal actions can be taken to confiscate the animals and hold the perpetrator accountable?</t>
  </si>
  <si>
    <t>Here's a breakdown of legal actions you can take to confiscate the animals and hold the individual accountable for the illegal trade of exotic pets in the Philippines:
**Reporting the Crime:**
* **Department of Environment and Natural Resources (DENR):** The DENR is the primary government agency responsible for wildlife conservation and regulating the trade of exotic pets. File a formal complaint with them, detailing the information you have about the illegal activity. * **Philippine Animal Welfare Society (PAWS):** PAWS can offer guidance and potentially collaborate with the DENR on your case. They may also be able to assist with temporary sheltering of the animals if confiscated. **Gathering Evidence:**
While undercover operations might be conducted by authorities, here's what you can do:
* **Photographs or Videos:** If possible, try to collect photographic or video evidence of the exotic animals being offered for sale or kept illegally. * **Witness Statements:** If anyone else has knowledge of the illegal activity (e.g., people who purchased exotic pets from this individual), encourage them to provide written statements. **Legal Measures:**
* **Republic Act No. 9147 (Wildlife Resources Conservation and Protection Act):** This Act regulates the trade, possession, and transport of wildlife, including exotic species. Selling exotic pets without proper permits is a violation.
* **Confiscation of Animals:** If the DENR gathers sufficient evidence, they have the authority to seize the exotic animals involved in the illegal trade. * **Charges Against the Individual:** Based on the evidence, the individual can be charged under RA 9147. Penalties can include:
* Fines ranging from One Hundred Thousand Pesos (Php 100,000.00) to Three Hundred Thousand Pesos (Php 300,000.00)
* Imprisonment of six (6) months to two (2) years for the first offense. Penalties increase for subsequent offenses.
**Additional Considerations:**
* **Permits and Licenses:** Legitimate traders of exotic pets must have permits and licenses from the DENR. Verify if the individual possesses the necessary documentation. * **Animal Welfare:** The confiscated animals might require veterinary care and rehabilitation due to improper care or transport conditions. PAWS or other animal welfare organizations can assist with this.
* **Public Awareness:** Raising awareness about the dangers of the illegal exotic pet trade can deter others from engaging in this activity and encourage responsible pet ownership.
By reporting the crime, gathering evidence, and working with relevant authorities, you can help dismantle illegal pet trade operations and ensure the exotic animals involved receive proper care.</t>
  </si>
  <si>
    <t>A laboratory is accused of conducting inhumane experiments on animals. What legal measures can be taken to investigate and address the allegations?</t>
  </si>
  <si>
    <t>Here's a breakdown of legal measures that can be taken to investigate and address allegations of a laboratory conducting inhumane experiments on animals in the Philippines:
**Reporting the Allegations:**
* **Philippine Animal Welfare Society (PAWS):** PAWS is a recognized animal welfare organization. Report the allegations to them. They have experience handling animal cruelty cases involving laboratories and can provide guidance on next steps. * **Department of Agriculture - Bureau of Animal Industry (DA-BAI):** The DA-BAI is responsible for overseeing animal welfare in research facilities. File a formal complaint with them outlining the specific accusations against the laboratory.
**Gathering Evidence:**
While gathering direct evidence from within the laboratory might be difficult, consider these options:
* **Whistleblowers:** If anyone has firsthand knowledge of animal cruelty at the laboratory (e.g., former employees, concerned scientists), encourage them to come forward as whistleblowers. PAWS can offer guidance on whistleblower protections.
* **Public Records:** Request any publicly available documents related to the laboratory's animal research activities. This might include animal use protocols submitted for government approval or inspection reports from the DA-BAI.
* **Expert Opinions:** Consult with veterinarians or animal welfare experts who can analyze any available evidence and provide opinions on whether the laboratory practices could be considered inhumane.
**Legal Measures:**
* **Republic Act No. 8485 (The Animal Welfare Act of 1998):** This Act prohibits inflicting unnecessary suffering or pain on any animal. Experiments that cause undue pain or distress to animals would violate this Act.
* **DA-BAI Investigation:** The DA-BAI will investigate the complaint based on the evidence provided. This might involve inspecting the laboratory facilities, reviewing protocols for animal handling and research procedures, and interviewing laboratory personnel. Depending on their findings, they can take various actions:
* Issue warnings for minor violations.
* Impose fines for more serious violations.
* Suspend or revoke the laboratory's license to conduct animal research.
* Seize animals if they are at immediate risk of suffering.
**Public Advocacy:**
* **Raise Awareness:** Raise public awareness about the allegations through social media, petitions, or contacting media outlets. Public pressure can encourage stricter investigations and potential sanctions. * **Lobbying:** Advocate for stricter regulations and enforcement of animal welfare laws in research facilities. **Additional Considerations:**
* **The 3Rs Principle:** Animal research should adhere to the 3Rs principle: Replacement (alternatives to using animals), Reduction (minimizing the number of animals), and Refinement (minimizing animal suffering). Investigate if the laboratory follows these principles.
* **Ethical Review Boards:** Research institutions typically have ethical review boards to assess the necessity and ethical implications of animal research proposals. Push for transparency in these review boards and their decision-making processes.
The fight against alleged animal cruelty in research facilities requires a multi-pronged approach. By reporting the allegations, gathering evidence, advocating for stricter regulations, and applying pressure through public awareness, you can help ensure animals used in research are treated with respect and that only necessary and humane experiments are conducted.</t>
  </si>
  <si>
    <t>A farmer is reported for engaging in cruel practices towards livestock. What legal actions can be taken to ensure the humane treatment of animals in agricultural settings?</t>
  </si>
  <si>
    <t>Here's a breakdown of legal actions that can be taken to address a farmer reported for engaging in cruel practices towards livestock in the Philippines:
**Reporting the Incident:**
* **Department of Agriculture - Bureau of Animal Industry (DA-BAI):** This is the primary government agency responsible for animal welfare, including farm animals. File a formal complaint with them detailing the observed cruel practices towards the livestock. * **Philippine Animal Welfare Society (PAWS):** PAWS can offer guidance and potentially collaborate with the DA-BAI on your complaint. They can also provide assistance with documenting evidence.
**Evidence Gathering:**
* **Photos and Videos:** If possible, take pictures or videos documenting the cruel practices, such as overcrowded and unsanitary living conditions, lack of proper food or water, or signs of injuries on the animals. * **Witness Statements:** If anyone else witnessed the animal cruelty, encourage them to provide written statements to support your complaint.
**Legal Measures:**
* **Republic Act No. 8485 (The Animal Welfare Act of 1998):** While not explicitly focused on farm animals, Section 5 of this Act prohibits inflicting unnecessary suffering or pain on any animal. Cruel practices towards livestock can be argued as a violation.
* **DA-BAI Investigation:** The DA-BAI will investigate the complaint and inspect the farm. Based on their findings, they can take various actions:
* Issue warnings for minor violations.
* Impose fines for more serious violations.
* Order the farmer to implement improvements in animal welfare practices within a specific timeframe.
* In extreme cases, seize the animals and place them in the care of a reputable animal sanctuary or organization if their welfare is at immediate risk.
* **Civil Lawsuit:** While less common, concerned individuals or organizations could explore filing a civil lawsuit against the farmer for animal cruelty. **Additional Considerations:**
* **Public Awareness:** Raising awareness about the farmer's practices through social media or responsible agriculture advocacy groups can put pressure on them to improve animal welfare standards.
* **Consumer Awareness:** Encourage consumers to seek out products from farms known for humane animal welfare practices. This can create a market incentive for ethical treatment of livestock.
**Challenges and Considerations:**
* **Balancing Animal Welfare with Economic Concerns:** There might be arguments that stricter animal welfare regulations could impact farm profitability. Finding a balance between animal treatment and economic viability for farmers is important.
* **Educational Approach:** In some cases, educating farmers about humane animal welfare practices and the benefits of improved animal well-being (e.g., healthier animals, better product quality) might be more effective than solely relying on enforcement actions.
By taking these steps and working with relevant agencies and organizations, you can help ensure that farm animals are treated with more respect and encourage the adoption of humane practices within the agricultural sector.</t>
  </si>
  <si>
    <t>You are a law enforcement officer patrolling an area known for illegal hunting. What legal measures can be implemented to prevent and address wildlife poaching?</t>
  </si>
  <si>
    <t>As a law enforcement officer patrolling an area known for illegal hunting, here are some legal measures you can take to prevent and address wildlife poaching:
**Preventative Measures:**
* **Increased Patrols:** Regularly patrolling known poaching hotspots can deter illegal activity and increase the chance of catching poachers in the act. * **Community Outreach:** Engage with local communities to educate them about the importance of wildlife conservation and the negative consequences of poaching. Encourage them to report any suspicious activity.
* **Informational Campaigns:** Work with the Department of Environment and Natural Resources (DENR) to organize informational campaigns in the area. These campaigns can raise awareness about protected species, the illegality of poaching, and the potential penalties involved.
**Addressing Poaching Activities:**
* **Stop and Frisk:** If you encounter individuals in areas known for poaching, you have the right to conduct a stop and frisk based on reasonable suspicion. Look for signs of hunting activity like firearms, traps, or freshly killed wildlife.
* **Search Warrants:** If you have probable cause to believe poaching is occurring on a specific property (e.g., witnessing poachers entering with hunting gear), you can apply for a search warrant to enter the premises and gather evidence.
* **Arrests and Charges:** Apprehend individuals caught poaching wildlife. They can be charged under various laws depending on the specifics:
* **Republic Act No. 9147 (Wildlife Resources Conservation and Protection Act):** This is the primary law for wildlife conservation. Sections 24 and 25 deal with illegal hunting, gathering, and transport of wildlife. Penalties include fines and imprisonment.
* **Executive Order No. 578:** This order establishes a list of threatened Philippine flora and fauna. Poaching a species on this list would be a clear violation.
* **National Integrated Protected Areas System (NIPAS) Act:** If poaching occurs within a protected area, additional charges under the NIPAS Act might apply.
**Evidence Collection:**
* **Document the Scene:** If you encounter a poaching scene, take detailed notes and photographs of the evidence. This might include:
* Location
* Date and time
* Description of any animal carcasses or body parts
* Poaching tools or equipment seized
* Witness statements (if applicable)
**Collaboration:**
* **DENR:** Work closely with the DENR. They have expertise in wildlife conservation and can provide support in identifying animal species, assessing the ecological impact of poaching, and building strong legal cases.
* **Barangay Officials:** Coordinate with barangay officials to monitor suspicious activities and encourage them to report any information related to poaching in their communities.
**Additional Considerations:**
* **Safety:** Always prioritize your safety and the safety of your team when patrolling or confronting suspected poachers.
* **Undercover Operations:** In some cases, undercover operations might be necessary to infiltrate poaching rings and gather evidence. These operations require proper planning and authorization from superiors.
By implementing these legal measures and collaborating with relevant authorities, you can play a crucial role in preventing wildlife poaching and protecting endangered species in your patrol area.</t>
  </si>
  <si>
    <t>A group of individuals is suspected of organizing dogfighting activities in a secluded location. What legal actions can be taken to investigate and address this form of animal abuse?</t>
  </si>
  <si>
    <t>Several legal actions can be taken to investigate and address suspected dogfighting activities in the Philippines:
**Gathering Evidence:**
* **Witness Statements:** If anyone has witnessed suspicious activity near the secluded location, like people carrying fighting dogs, sounds of dogfights, or training equipment being used, encourage them to provide written statements to authorities. Anonymous tips can also be submitted through some local government hotlines.
* **Undercover Investigation:** Law enforcement agencies, with proper authorization, might conduct undercover operations to infiltrate the dogfighting ring and gather firsthand evidence.
**Surveillance and Search Warrant:**
* **Surveillance:** Authorities can conduct surveillance of the suspected location to observe activities and identify individuals involved. * **Search Warrant:** If sufficient evidence suggests dogfighting is happening, a judge can authorize a search warrant for the property. This allows law enforcement to enter the premises and look for evidence like:
* Fighting pits
* Injured or scarred dogs
* Training equipment (e.g., treadmills, muzzles)
* Veterinary supplies used for treating injuries sustained during fights **Legal Measures:**
* **Republic Act No. 8485 (The Animal Welfare Act of 1998):** This law prohibits animal cruelty, including using animals for fighting. Those involved in organizing dogfighting activities can be charged under this Act. Penalties include fines and possible imprisonment depending on the severity of the offense.
* **Animal Seizure and Care:** If dogs used for fighting are found, authorities can seize them and place them in the care of PAWS or other animal welfare organizations for rehabilitation and potential rehoming.
**Collaboration with Animal Welfare Organizations:**
* **Philippine Animal Welfare Society (PAWS):** PAWS has experience handling animal cruelty cases. They can collaborate with law enforcement in planning the investigation and assist with:
* Providing safe haven for rescued dogs
* Veterinary care for injured animals
* Gathering evidence (e.g., photographs of dog injuries)
**Additional Considerations:**
* **Building a Strong Case:** A strong case relies on evidence. Witness testimonies, photographic evidence from surveillance, and veterinary reports on dog injuries are crucial.
* **Public Awareness:** Raising awareness in the community about dogfighting and encouraging others to report suspected activities can put pressure on authorities to take action.
**Remember:** Dogfighting is a serious crime, and intervening can protect animals from cruelty. By working together with law enforcement and animal welfare organizations, you can help dismantle these operations and ensure the dogs involved receive the care they need.</t>
  </si>
  <si>
    <t>An individual intentionally harms a protected species in a protected habitat. What legal consequences should they face for violating conservation laws?</t>
  </si>
  <si>
    <t>An individual who intentionally harms a protected species in a protected habitat in the Philippines faces severe legal consequences under several laws. Here's a breakdown of the potential penalties:
**Relevant Laws:**
* **Republic Act No. 9147 (Wildlife Resources Conservation and Protection Act):** This is the primary law for wildlife conservation in the Philippines.
* Section 24. Illegal Killing, Hunting, Gathering, or Possession of Wildlife. * This section specifically prohibits the killing, hunting, gathering, or possession of wildlife, especially those listed as threatened or critically endangered.
* Section 25. Illegal Transport of Wildlife.
* This section covers the illegal transport of wildlife, including those from protected habitats.
* **Penalties:** These sections prescribe fines ranging from One Hundred Thousand Pesos (Php 100,000.00) to Three Hundred Thousand Pesos (Php 300,000.00) and imprisonment of six (6) months to two (2) years for the first offense. Penalties increase for subsequent offenses.
* **Executive Order No. 578:** This order establishes a national list of threatened Philippine flora and fauna. Harming a species on this list would be a clear violation.
**Additional Penalties:**
* **Republic Act No. 7586 (National Integrated Protected Areas System (NIPAS) Act):** This law governs protected areas in the Philippines. Intentionally harming wildlife within a NIPAS area can also be a violation. Penalties can include additional fines or imprisonment.
* **Confiscation of Equipment:** Any tools or equipment used in the act (e.g., firearms, traps) can be confiscated by authorities.
**Severity of Consequences:**
The severity of the legal consequences can depend on several factors:
* **Species Harmed:** The specific penalties may be higher for harming critically endangered or endemic species.
* **Extent of Harm:** Killing an animal versus injuring it will likely result in different penalties.
* **Prior Offenses:** Repeat offenders face harsher punishments.
**Additional Considerations:**
* **Civil Lawsuit:** Aside from criminal charges, environmental NGOs or concerned citizens can potentially file a civil lawsuit against the individual for damages caused to the environment.
* **Public Awareness:** Making the case public can deter future wildlife crimes and encourage stricter enforcement of conservation laws.
**Reporting the Crime:**
* **Department of Environment and Natural Resources (DENR):** Report the incident to the DENR, providing as much detail as possible about the location, species involved, and any evidence you might have. * **Philippine Animal Welfare Society (PAWS):** PAWS can offer guidance and potentially collaborate with the DENR on the case.
By understanding the relevant laws and potential consequences, you can advocate for the protection of wildlife and ensure those who harm protected species are held accountable.</t>
  </si>
  <si>
    <t>You are a veterinarian treating animals rescued from an abusive situation. What legal steps can be taken to document and report the condition of the animals for legal purposes?</t>
  </si>
  <si>
    <t>As a veterinarian treating animals rescued from an abusive situation, your role is crucial in documenting their condition and potentially aiding legal action against the abuser. Here's what you can do:
**Comprehensive Medical Examination:**
* Conduct a thorough physical examination of each animal. Document all injuries, signs of neglect (malnutrition, dehydration), and any existing health conditions.
* Include details like the animal's weight, body condition score, and presence of parasites or external injuries.
**Detailed Medical Records:**
* Maintain detailed medical records for each animal. Include:
* Date of examination
* Description of the animal (species, breed, age, sex, identifying features)
* Detailed findings from the physical examination
* Photographs of any injuries or signs of neglect (with owner consent if possible)
* Treatment plan and any medications prescribed
**Collaboration with Animal Rescue/Welfare Organizations:**
* Partner with the animal rescue organization or authorities who rescued the animals. * Provide them with a written report summarizing your findings and the overall condition of the animals. These reports can be critical evidence in animal cruelty cases.
**Legal Considerations:**
* **Professional Obligation:** Veterinarians in the Philippines have a professional obligation to report suspected animal cruelty. You may be required to testify in court about your findings if a case is pursued.
* **Confidentiality:** Maintain client confidentiality. However, suspected animal cruelty is an exception where reporting is necessary. **Additional Measures:**
* **Witness Testimony:** If you witnessed any signs of abuse during the examination, document your observations in the medical records and be prepared to testify as a witness if needed.
* **Chain of Custody:** If possible, establish a chain of custody for any physical evidence, such as photographs, to ensure they are admissible in court. **Resources:**
* **Philippine Animal Welfare Society (PAWS):** PAWS offers resources and guidance on animal cruelty cases. They can connect you with legal professionals experienced in animal welfare law.
* **Department of Agriculture - Bureau of Animal Industry (DA-BAI):** The DA-BAI is the primary government agency responsible for animal welfare. They can provide information on the legal process for reporting animal cruelty.
By following these steps and documenting the animals' condition thoroughly, you can provide valuable evidence for legal proceedings against the abuser. Your efforts can help hold them accountable and ensure the animals receive the justice they deserve.</t>
  </si>
  <si>
    <t>A pet store is reported for selling animals without proper care and conditions. What legal actions can be taken to ensure the welfare of the animals in commercial establishments?</t>
  </si>
  <si>
    <t>Here are some legal actions that can be taken to ensure the welfare of animals in commercial establishments like pet stores in the Philippines:
**Reporting the Violations:**
* **Department of Agriculture - Bureau of Animal Industry (DA-BAI):** The DA-BAI is the primary government agency responsible for animal welfare in commercial establishments. File a formal complaint with them detailing the observed violations at the pet store.
* **Philippine Animal Welfare Society (PAWS):** PAWS is a recognized animal welfare organization. Report the incident to them. They can provide guidance and potentially collaborate with the DA-BAI on your complaint.
* **Local Government Unit (LGU):** Some LGUs have their own animal welfare ordinances. Report the issue to the appropriate LGU office to see if they have jurisdiction and can conduct inspections.
**Evidence Gathering:**
* **Photos and Videos:** If possible, take pictures or videos documenting the poor conditions in the pet store, such as overcrowded cages, lack of clean water or proper food, or sick animals. * **Witness Statements:** If anyone else witnessed the animal welfare violations, encourage them to provide written statements to support your complaint.
**Legal Measures:**
* **Republic Act No. 8485 (The Animal Welfare Act of 1998):** This Act outlines animal welfare standards and prohibits subjecting animals to unnecessary suffering or pain. Selling animals without proper care and conditions would violate this law.
* **DA-BAI Investigation:** The DA-BAI will investigate the complaint and inspect the pet store. Based on their findings, they can take various actions:
* Issue warnings for minor violations.
* Impose fines for more serious violations.
* Suspend or revoke the pet store's license to operate in severe cases.
* Seize animals and place them in the care of a reputable animal shelter or organization if their welfare is at immediate risk.
**Additional Considerations:**
* **Public Awareness:** Raising awareness about the pet store's practices through social media or responsible pet ownership groups can put pressure on them to improve animal welfare standards.
* **Boycott:** Encourage others to consider alternative pet stores with a reputation for ethical treatment of animals.
**Remember:** Protecting animal welfare requires collaborative efforts. By reporting violations, providing evidence, and advocating for responsible pet ownership practices, you can help ensure animals in commercial establishments are treated with the care and respect they deserve.</t>
  </si>
  <si>
    <t>An individual is found poisoning community cats. What legal measures can be taken to address this act of intentional harm to animals?</t>
  </si>
  <si>
    <t>Here's a breakdown of legal measures that can be taken in the Philippines to address the act of intentionally harming animals, specifically the poisoning of community cats:
**Reporting the Incident:**
* **Barangay Officials:** The first step is to report the incident to the barangay captain or animal warden. They might have knowledge of previous complaints or be able to identify potential witnesses. * **Philippine Animal Welfare Society (PAWS):** PAWS is a recognized animal welfare organization. Contact them to report the poisoning and discuss potential next steps. They can offer guidance and potentially assist with collecting evidence.
* **Local Law Enforcement:** File a police report detailing the incident, including the location, date, time, and any evidence of animal poisoning (e.g., poisoned food or dead cats).
**Evidence Collection:**
* **Witness Statements:** If anyone witnessed the poisoning or has information about the suspect, their statements should be documented. * **Veterinarian Reports:** If any cats are injured or killed by the poison, have them examined by a veterinarian. The vet's report can document the cause of death (poisoning) and be used as evidence.
* **Physical Evidence (if available):** If possible, collect any remaining poisoned food or other physical evidence related to the poisoning for analysis.
**Legal Measures:**
* **Republic Act No. 8485 (The Animal Welfare Act of 1998):** This Act prohibits any person from inflicting unnecessary suffering or pain on any animal. Poisoning community cats would fall under this provision. * **Charges:** The individual can be charged with animal cruelty under RA 8485. Penalties can include:
* Fines of up to Five Thousand Pesos (Php 5,000.00)
* Imprisonment of up to two (2) years
* Disqualification from owning animals
**Additional Considerations:**
* **Animal Care for Survivors:** If any cats survive the poisoning, ensure they receive proper veterinary care. PAWS or other animal welfare organizations can potentially assist with this.
* **Community Awareness:** Raising awareness in the community about animal cruelty and the specific incident can help gather information about the suspect and deter future animal abuse.
By taking these legal measures, reporting the incident, and collecting evidence, you can help hold the individual accountable for their actions and potentially save the lives of other community cats.</t>
  </si>
  <si>
    <t>A construction project is causing harm to the habitat of endangered species. What legal actions can be taken to prevent and address the environmental impact on wildlife?</t>
  </si>
  <si>
    <t>Here's a breakdown of legal actions that can be taken in the Philippines to prevent and address the environmental impact of a construction project on the habitat of endangered species:
**Preventing the Damage:**
* **Environmental Impact Assessment (EIA):** The project should have undergone a proper EIA process as mandated by Presidential Decree No. 1586. This process identifies potential environmental impacts and proposes mitigation measures. * If the EIA wasn't conducted or was inadequate, concerned individuals or organizations can challenge its validity.
* **Department of Environment and Natural Resources (DENR):** The DENR has the authority to review EIAs and issue Environmental Compliance Certificates (ECC) with specific conditions to minimize environmental damage. * If the construction is violating the conditions of an existing ECC, a complaint can be filed with the DENR.
**Legal Actions to Address the Damage:**
* **Temporary Environmental Protection Order (TEPO):** The DENR can issue a TEPO to halt construction activities if there's imminent danger to the endangered species' habitat.
* **Cease and Desist Order (CDO):** The DENR can issue a CDO to permanently stop the construction project if it's causing significant harm to the endangered species' habitat and no effective mitigation measures are possible.
**Legal Challenges:**
* **Mandamus Petition:** A petition can be filed to compel the DENR to fulfill its duty to protect the environment and endangered species. This could be relevant if the DENR fails to take action despite clear violations.
* **Civil Lawsuit:** Environmental NGOs or concerned citizens can file a civil lawsuit against the construction company for damages caused to the environment and potential harm to endangered species.
**Additional Considerations:**
* **Gathering Evidence:** Strong evidence is crucial. This might include photographs of the habitat destruction, reports from biologists or environmental experts, and proof of the presence of endangered species in the area.
* **Legal Representation:** Environmental law can be complex. Consulting a lawyer experienced in environmental litigation is recommended.
* **Public Awareness:** Raising public awareness about the issue can put pressure on authorities and the construction company to take action.
**Remember:** Endangered species are protected under Philippine law. The following are some key legal resources:
* **Republic Act No. 9147 (Wildlife Resources Conservation and Protection Act):** This Act protects wildlife, including endangered species, and their habitat.
* **Executive Order No. 578:** This order establishes a national list of threatened Philippine flora and fauna.
By taking these legal actions and leveraging relevant laws, concerned individuals and organizations can help prevent further damage to the habitat of endangered species and hold the construction project accountable.</t>
  </si>
  <si>
    <t>You are a law enforcement officer responding to a case of animal hoarding. What legal steps should be taken to address the situation and ensure the welfare of the animals?</t>
  </si>
  <si>
    <t>As a law enforcement officer responding to a case of animal hoarding, here are the key legal steps you should take to address the situation and ensure the welfare of the animals:
**Initial Assessment:**
1. **Scene Safety:** Before entering the property, ensure your safety and the safety of others. Assess potential hazards like loose or aggressive animals, unsanitary conditions, or structural issues in the building.
2. **Identify Responsible Party:** Locate the individual responsible for the animals and assess their mental state. They might require medical evaluation or assistance from social services depending on the situation.
**Animal Welfare Assessment:**
1. **Animal Welfare Check:** Evaluate the general condition of the animals. Look for signs of:
* Malnutrition
* Dehydration
* Disease
* Injuries
* Overcrowding
* Unsanitary living conditions
2. **Number and Species:** Count the animals and identify the species involved. This helps determine the resources needed for their care.
**Legal Considerations:**
1. **Search Warrant:** If immediate intervention is necessary to prevent animal suffering, and the hoarder refuses access, a search warrant might be required to enter the property and remove the animals.
2. **Animal Cruelty Laws:** If evidence suggests animal neglect or cruelty (e.g., starvation, dehydration, untreated injuries), charges can be filed under Republic Act No. 8485 (The Animal Welfare Act of 1998). **Animal Removal and Care:**
1. **Contact Animal Welfare Organizations:** Coordinate with animal welfare organizations like the Philippine Animal Welfare Society (PAWS) or government veterinary services. They can provide assistance with:
* Animal transport
* Emergency veterinary care * Shelter and rehabilitation * Potential rehoming for healthy animals
2. **Seizure and Custody:** If the animals need to be removed due to their welfare, they can be seized into protective custody by animal control or a designated animal welfare organization.
**Documentation:**
1. **Detailed Report:** Prepare a comprehensive report documenting the scene, animal observations, interactions with the individual, and any actions taken.
2. **Photographic Evidence:** Take photographs of the animals, their living conditions, and any evidence of neglect or cruelty.
**Follow-Up Actions:**
1. **Citations or Charges:** Depending on the severity of the case, citations for animal welfare violations or criminal charges can be filed against the individual responsible.
2. **Court Hearing:** The court will determine the appropriate outcome, which might include fines, imprisonment (for severe cases), or restrictions on future animal ownership.
**Additional Considerations:**
* **Prioritization:** If a large number of animals are involved, prioritize removing those in the most critical condition for immediate veterinary care.
* **Public Health Concerns:** Be aware of potential public health risks associated with animal hoarding, such as zoonotic diseases or unsanitary living conditions. Coordinate with health authorities if necessary.
* **Compassionate Approach:** While enforcing the law, remember the animals are victims in this situation. Handle them with care and minimize additional stress during removal and transport.
By following these legal steps and working collaboratively with animal welfare organizations, law enforcement can effectively address animal hoarding situations, ensure the welfare of the animals, and hold those responsible accountable.</t>
  </si>
  <si>
    <t>An individual is suspected of conducting dogfighting activities in their backyard. What legal actions can be taken to investigate and intervene in this form of animal cruelty?</t>
  </si>
  <si>
    <t>Several legal actions can be taken in the Philippines to investigate and intervene in suspected dogfighting activities:
**Reporting the Suspicious Activity:**
* **Philippine Animal Welfare Society (PAWS):** PAWS is a recognized animal welfare organization with experience handling animal cruelty cases. They can be contacted to report the suspected dogfighting and potentially assist with gathering evidence. * **Local Law Enforcement:** The authorities should be notified about the suspected dogfighting activity. While animal cruelty may not be their top priority, a police report creates a record and establishes a timeline for potential future intervention. **Gathering Evidence:**
* **Witness Testimonies:** Anyone who has witnessed suspicious activity like injuries on dogs, fighting pits in the backyard, or training equipment can provide witness statements to PAWS or law enforcement. * **Anonymous Tips:** If someone fears retaliation, anonymous tips can be submitted to PAWS or through hotlines provided by some local government units.
**Legal Measures for Intervention:**
* **Search Warrant:** If sufficient evidence suggests dogfighting is occurring, a judge can authorize a search warrant for the property. This would allow law enforcement to enter the premises and investigate the presence of fighting dogs, equipment, or injuries on animals. * **Republic Act No. 8485 (The Animal Welfare Act of 1998):** This Act prohibits animal cruelty, including using animals for fighting. If dogfighting is confirmed, the individual can be charged under this Act. * Penalties include fines and possible imprisonment depending on the severity of the offense.
* **Animal Seizure and Care:** If dogs used for fighting are found, authorities can seize them and place them in the care of PAWS or other animal welfare organizations for rehabilitation and potential rehoming.
**Additional Considerations:**
* **Building a Strong Case:** Evidence is crucial. Witness testimonies, photographs (if possible), and veterinary reports on dog injuries can strengthen the case against the dogfighting operation.
* **Community Action:** Raising awareness in the community about dogfighting and encouraging others to report suspected activities can put pressure on authorities to take action.
**Remember:** Dogfighting is a serious crime, and intervening can protect animals from cruelty. By reporting your suspicions and working with animal welfare organizations and law enforcement, you can help dismantle these operations and ensure the welfare of the dogs involved.</t>
  </si>
  <si>
    <t>A witness observes a person abandoning a pet in a remote area. What legal measures can be taken to hold the individual accountable for animal abandonment?</t>
  </si>
  <si>
    <t>The witness can take several legal measures in the Philippines to hold the individual accountable for animal abandonment, based on Republic Act No. 10631 or the Animal Welfare Act of 1998:
**Reporting the Incident:**
* **Barangay Animal Pound:** The witness can report the abandoned animal to the nearest barangay animal pound. Barangay officials have a responsibility to care for abandoned animals.
* **Philippine Animal Welfare Society (PAWS):** PAWS is a recognized animal welfare organization. They can be contacted to report the incident and potentially assist with rescuing the animal. * **Local Law Enforcement:** While not their primary duty, the witness can report the incident to the local police station. Law enforcement can document the case and potentially identify the owner through the animal's microchip or collar information (if available).
**Legal Action Against the Abandoner:**
* **Anyone can file a complaint** with the Department of Agriculture – Bureau of Animal Industry (DA-BAI) against the person who abandoned the animal. PAWS can also assist with filing the complaint.
* **Section 7 of RA 10631** prohibits the abandonment of animals. The complaint should detail the incident, including the date, time, location, and any description of the person who abandoned the pet.
* **The DA-BAI will investigate** the complaint and gather evidence. This might involve witness testimonies, witness statements from the barangay or animal pound, and potentially veterinary records if the animal received care.
**Potential Penalties:**
* If found guilty of animal abandonment, the violator can face:
* **Fines** ranging from Three Thousand Pesos (Php 3,000.00) to Five Thousand Pesos (Php 5,000.00) for the first offense.
* **Imprisonment** of up to six (6) months to one (1) year for subsequent offenses.
* The court can also order the violator to **pay for the impoundment and care** of the abandoned animal.
**Additional Considerations:**
* **Witness Protection:** If the witness fears retaliation from the pet owner, they can request anonymity when filing the complaint with the DA-BAI.
By taking these legal measures, the witness can help hold the animal abuser accountable and potentially improve the welfare of the abandoned pet.</t>
  </si>
  <si>
    <t>A corporation is accused of causing pollution that harms marine life. What legal actions can be taken to address both environmental concerns and animal welfare?</t>
  </si>
  <si>
    <t>Here's a breakdown of legal actions that can be taken in the Philippines to address environmental concerns and animal welfare when a corporation is accused of causing pollution that harms marine life:
**Environmental Laws:**
* **Republic Act No. 8749 (Clean Air Act):** If the pollution includes air emissions harmful to marine ecosystems, violations of this Act can be pursued.
* **Republic Act No. 9275 (Clean Water Act):** This is the primary legislation for water quality management. Violations related to discharging pollutants into marine waters can be enforced.
* **Presidential Decree No. 1586 (Philippine Environmental Impact Statement System):** If the corporation failed to secure the necessary environmental permits or violated the conditions of an existing Environmental Compliance Certificate (ECC), this decree can be used.
**Penalties for Environmental Violations:**
* Fines based on the severity of the offense and the damage caused.
* Imprisonment of company officials in case of gross negligence or deliberate violation.
* Cancellation or suspension of business permits and/or ECC.
* Issuance of a Clean-Up Order for the corporation to address the pollution and restore the environment.
**Animal Welfare:**
* **Republic Act No. 8485 (The Animal Welfare Act of 1998):** While not directly addressing marine life, some argue this Act can be applied indirectly. * Section 5 prohibits inflicting unnecessary suffering or pain on any animal. Marine life can be considered "animals" under a broad interpretation.
**Additional Legal Options:**
* **Civil Klage (Civil Lawsuit):** Fisherfolk, coastal communities, or NGOs can file a civil lawsuit against the corporation for damages caused by the pollution to their livelihood and the marine environment.
* **Mandamus Petition:** A petition can be filed to compel government agencies tasked with environmental protection to enforce environmental laws against the corporation.
**Government Agencies:**
* **Department of Environment and Natural Resources (DENR):** The primary agency responsible for enforcing environmental laws. They can investigate the pollution, issue violation notices, and impose penalties.
* **Bureau of Fisheries and Aquatic Resources (BFAR):** BFAR plays a role in protecting marine resources and can be involved in investigations related to harm caused to marine life.
**Challenges and Considerations:**
* **Gathering Evidence:** Building a strong case requires scientific evidence linking the corporation's pollution to the harm caused to marine life.
* **Legal Representation:** Environmental and animal welfare law can be complex. Consulting a lawyer experienced in these areas is advisable.
* **Lengthy Process:** Legal proceedings can be lengthy. Persistence is key in pursuing environmental justice.
**Overall, a combination of legal tools under Philippine law can be used to address both environmental damage and the harm caused to marine life by corporate pollution.**</t>
  </si>
  <si>
    <t>You are a prosecutor handling a case where a pet owner is accused of intentionally causing harm to their animals. What legal considerations should guide the prosecution to ensure justice for the animals?</t>
  </si>
  <si>
    <t>## Legal Considerations for Prosecuting Animal Cruelty in the Philippines
As a prosecutor handling a case of animal cruelty, your primary goal is to achieve justice for the animals by securing a conviction based on relevant Philippine laws. Here are some key legal considerations to guide you:
**Legislation:**
* **Republic Act No. 8485 (The Animal Welfare Act of 1998):** This is the primary law for animal welfare in the Philippines. Focus on relevant sections like:
* **Section 5:** Prohibits any person from inflicting unnecessary suffering or pain on any animal. * **Section 6:** Defines specific acts of cruelty, including torture, mutilation, neglect, abandoning animals in public places, and using animals for fights or research without proper authority.
* **Presidential Decree No. 16:** This decree also penalizes animal cruelty.
**Building a Strong Case:**
* **Evidence Collection:** Gather strong evidence to prove the animal's injuries and the owner's intentional act of causing harm. This might include:
* **Veterinarian Reports:** Medical records documenting the animal's injuries, cause (if possible), and treatment needs.
* **Witness Testimonies:** Statements from individuals who witnessed the abuse or have knowledge of the owner's neglect.
* **Photographs or Videos:** Visual evidence of the animal's injuries or the abusive conditions.
**Aggravating Factors:**
* Highlight any aggravating factors that could increase the penalty for the accused. These might include:
* **Severity of Injuries:** The extent of the animal's suffering caused by the abuse. * **Prior Offenses:** If the owner has a history of animal cruelty.
* **Endangered Species:** If the animal belongs to a protected or endangered species.
**Legal Representation for Animals:**
* While animals don't have legal standing in court, the Philippine Animal Welfare Society (PAWS) can act as a representative for the animal's welfare. Consider collaborating with PAWS for legal support and expertise.
**Sentencing Options:**
* Depending on the severity of the offense and the specific provisions of RA 8485 violated, the court can impose penalties such as:
* Imprisonment of up to two (2) years
* Fines of up to Five Thousand Pesos (Php 5,000.00)
* Disqualification from owning animals
**Public Awareness:**
* Consider ways to raise public awareness about the case. This can deter future animal cruelty and encourage responsible pet ownership. **Ethical Considerations:**
* Remember your ethical obligation to ensure the animal receives proper veterinary care and potential rehabilitation, even if a conviction is not secured. Partner with animal welfare organizations for appropriate placement if necessary.
By following these legal considerations and building a strong case, you can increase the chances of a successful prosecution and achieve justice for the animals involved.</t>
  </si>
  <si>
    <t>A group of individuals is discovered engaging in the illegal trade of wildlife, including endangered species. What legal measures can be taken to dismantle the trafficking operation and protect the welfare of the trafficked animals?</t>
  </si>
  <si>
    <t>Dismantling a wildlife trafficking operation requires a multi-pronged legal approach. Here are some potential measures:
**1. Law Enforcement Actions:**
* **Investigation:** Wildlife authorities, potentially in collaboration with other law enforcement agencies, can initiate an investigation to gather evidence against the traffickers. This might involve undercover operations, surveillance, and financial tracking. (e.g., Philippine National Bureau of Investigation (NBI))
* **Arrests and Charges:** Based on gathered evidence, authorities can arrest those involved in the trafficking operation. Depending on the severity of the offense and the species involved, charges could include:
* Violations of national laws on wildlife trade (e.g., Republic Act No. 9147 or the Wildlife Resources Conservation and Protection Act in the Philippines)
* International wildlife trafficking agreements (e.g., Convention on International Trade in Endangered Species of Wild Fauna and Flora - CITES)
* Money laundering charges, if applicable
**2. Seizure and Confiscation:**
* **Animals:** The trafficked animals should be seized and taken into the care of qualified wildlife rehabilitation centers or zoos with experience handling confiscated animals. * **Assets:** Any assets linked to the trafficking operation, such as vehicles, money, or property used to facilitate the crime, could be subject to confiscation by the authorities.
**3. Prosecution and Penalties:**
* **Court Case:** The apprehended individuals will face prosecution in court. The severity of the penalties will depend on the specific charges and the legislation applied. Penalties can include:
* Imprisonment
* Fines
* Bans on future involvement in wildlife trade activities
**4. International Cooperation:**
* **Wildlife trafficking is often transnational.** If the operation involves international borders, cooperation with wildlife enforcement agencies in other countries may be crucial for dismantling the entire network.
* **Information sharing and coordinated actions** can be facilitated through international agreements like CITES.
**5. Protecting the Trafficked Animals:**
* **Veterinary Care:** Confiscated animals often require immediate veterinary care due to injuries, malnutrition, or diseases contracted during transport.
* **Rehabilitation and Release:** The ultimate goal is to rehabilitate confiscated animals whenever possible and release them back into their natural habitat. * **Sanctuary Care:** For animals who cannot be released due to permanent injuries or the lack of a safe habitat, placement in reputable sanctuaries is an option. **Additional Considerations:**
* **Public Awareness Campaigns:** Raising public awareness about the dangers of wildlife trafficking can help reduce demand for illegal wildlife products and deter potential traffickers.
* **Strengthening Legislation:** Regular review and potential strengthening of national wildlife protection laws can help address emerging threats and close loopholes exploited by traffickers.
By taking these legal measures, authorities can dismantle wildlife trafficking operations, hold perpetrators accountable, and ensure the welfare of the trafficked animals.</t>
  </si>
  <si>
    <t>Employment</t>
  </si>
  <si>
    <t>While not directly set by the Constitution or a single Republic Act, the minimum wage in the Philippines is determined by regional wage boards following guidelines set by the Department of Labor and Employment (DOLE). These wage orders are issued under Republic Act No. 6727, also known as the Wage Rationalization Act.</t>
  </si>
  <si>
    <t>What are the basic rights of employees under Philippine labor laws?</t>
  </si>
  <si>
    <t>Philippine labor law guarantees several basic rights to employees. Here's a breakdown based on the Constitution and relevant Republic Acts:
**The 1987 Philippine Constitution:**
* **Article XIII, Section 3:** The State shall protect labor, promote full employment, provide equal work opportunity regardless of gender, race, or creed [1].
**Security of Tenure:**
* **Article XIII, Section 3:** This section also guarantees security of tenure, meaning employees cannot be dismissed without just or authorized cause and following proper due process [1].
**Republic Act No. 6715 (Minimum Wages Law):**
* While not setting the exact minimum wage, this RA empowers regional wage boards to set minimum wages for different regions [2].
**Wage and Wage-Related Benefits:**
* **RA No. 8188 (Minimum Wage Order):** This law, along with regional wage orders issued by the DOLE, sets the minimum wage for different types of workers and industries [2].
* **RA No. 10521 (Mandatory Provident Fund System in the Philippines):** This RA mandates membership in the Social Security System (SSS), PhilHealth, and Pag-IBIG for most employees, providing social security and benefits [2].
**Work Days and Work Hours:**
* **DOLE Department Order No. 138-s. 2018:** This order sets the standard work week at 40 hours, with a daily rest period of at least one hour and a 24-hour rest period for every six consecutive workdays [2].
**Rights to Self-Organization and Collective Bargaining:**
* **The Constitution, Article XIII, Section 3:** This guarantees the right of workers to self-organization and collective bargaining [1].
* **RA No. 8424 (Collective Bargaining Agreement Law):** This RA protects the right of workers to form unions and bargain collectively with employers regarding terms and conditions of employment [2]. **Safe Working Conditions:**
* **DOLE Department Order No. 198:** This order mandates employers to provide a safe and healthy workplace and train employees on workplace hazards [3].
**Other Important Rights:**
* **Right to equal work opportunities:** This prohibits discrimination based on gender, race, or creed [1]. * **Right to wages for all hours worked:** Employees must be paid for all hours they render service [2].
* **Right to receive a payslip:** Employees are entitled to a detailed breakdown of their wages and deductions [2].
Remember, this is not an exhaustive list, and Philippine labor law is quite comprehensive. If you have a specific concern, consulting a lawyer is always recommended.</t>
  </si>
  <si>
    <t>What is the difference between regular and probationary employment in the Philippines?</t>
  </si>
  <si>
    <t>Here's a breakdown of the key differences between regular and probationary employment in the Philippines, based on the Labor Code (RA No. 386):
**Regular Employment:**
* Defined in **Article 280** of the Labor Code: An employee is considered regular if their tasks are "necessary or desirable in the usual business or trade of the employer" [1].
* **Security of Tenure:** Regular employees enjoy security of tenure, meaning they cannot be terminated without just or authorized cause and due process (**Article 283**).
* **Benefits:** Regular employees are entitled to a wider range of benefits mandated by law, such as SSS, PhilHealth, Pag-IBIG contributions, and paid leaves [1, 2].
**Probationary Employment:**
* Defined in **Article 296** of the Labor Code: A period where the employer can assess an employee's skills and suitability for the job [1].
* **Maximum Duration:** The maximum probationary period is **six (6) months** (**Article 281**). Any extension beyond this requires justification and agreement from both parties. 
* **Standards for Regularization:** The employer must inform the employee of the standards for regularization at the start of the probationary period [1].
* **Termination:** During probation, an employee can be terminated without just cause, but they must still be paid for services rendered (**Article 281**).
* **Benefits:** Probationary employees may receive some benefits, but typically not the full range offered to regular employees [1].
**Key Points to Remember:**
* **Automatic Regularization:** If an employee continues working after the probationary period without any contrary agreement, they are considered regularized (**Article 281**). Employers cannot just keep re-hiring someone on probationary terms to avoid granting regular employee benefits.
* **Probationary Period Not Applicable to All:** Probationary employment does not apply to project-based, seasonal, or fixed-term employment [1].
**For further reference:**
* Department of Labor and Employment (DOLE): [https://www.officialgazette.gov.ph/section/briefing-room/department-of-labor-and-employment/](https://www.officialgazette.gov.ph/section/briefing-room/department-of-labor-and-employment/)
I hope this clarifies the distinction between regular and probationary employment in the Philippines!</t>
  </si>
  <si>
    <t>Can an employer terminate an employee without just cause in the Philippines?</t>
  </si>
  <si>
    <t>No, in the Philippines, an employer generally cannot terminate an employee without just cause. Philippine law guarantees employees "security of tenure," meaning they can only be dismissed for reasons defined as "just" or "authorized" causes as outlined in the Labor Code (RA No. 386) [1].
Here's a breakdown of the legal framework:
* **Security of Tenure:** Article 283 of the Labor Code prohibits dismissing a regular employee without just or authorized cause and due process [1].
* **Just Causes:** These are grounds for termination attributable to the employee's wrongful conduct or negligence, as defined in Article 296 of the Labor Code [1]. Examples include gross insubordination, frequent absences without leave, or inefficiency.
* **Authorized Causes:** These are reasons beyond the employee's control that necessitate termination, as outlined in Article 282 of the Labor Code [1]. Examples include redundancy due to business closure or economic downturn.
**Exceptions for Probationary Employees:**
There is an exception for probationary employees (those on a fixed-term contract to assess their suitability). During the probationary period (maximum of six months), an employer can terminate an employee without just cause, though they must still pay for services rendered [1].
**Importance of Due Process:**
Even for just or authorized causes, employers must follow due process before terminating an employee. This typically involves:
* **Written Notice:** Providing the employee with a written notice specifying the cause for termination [2].
* **Opportunity to Explain:** Giving the employee a chance to explain their side or contest the allegations [2].
**Penalties for Illegal Termination:**
If an employer terminates an employee illegally (without just or authorized cause and due process), the employee may be entitled to reinstatement, back wages, and other damages [2].
**Recommendation:**
If you are facing termination from your employment, it's advisable to consult a labor lawyer to understand your rights and options under Philippine law.</t>
  </si>
  <si>
    <t>What is the process for filing a complaint for unfair labor practices in the Philippines?</t>
  </si>
  <si>
    <t>Here's an outline of the process for filing a complaint for unfair labor practices (ULP) in the Philippines, based on Department of Labor and Employment (DOLE) guidelines:
**1. Gather Evidence:**
* Document the alleged unfair labor practice (ULP). This could involve witness statements, emails, pay slips, or other relevant proof.
**2. Know the Agency with Jurisdiction:**
* The appropriate agency to file your complaint with depends on your situation:
* **National Conciliation and Mediation Board (NCMB):** Handles ULP complaints involving non-agricultural workers in the private sector [1].
* **Regional Tripartite Marine and Industrial Relations Boards (RT-MIRBs):** Address ULP complaints for workers in the maritime and industrial sectors [1].
* **Bureau of Labor Relations (BLR):** Takes on ULP complaints involving government employees [1].
**3. File a Request for Assistance (RFA):**
* Submit an RFA to your chosen agency. The RFA form should detail the nature of the ULP, the parties involved, and your desired outcome [1].
* You can get the RFA form and inquire about filing procedures at the nearest DOLE field office [2].
**4. Conciliation-Mediation:**
* The agency will attempt to settle the complaint through conciliation-mediation. A designated officer will meet with both parties to discuss and try to reach an agreement [1].
**5. Arbitration (if conciliation-mediation fails):**
* If conciliation-mediation fails, you or the employer may request arbitration. An arbiter will hear the case, issue a decision, and order appropriate remedies (e.g., reinstatement, back wages) if the ULP is proven [1].
**Additional Resources:**
* DOLE Field Offices: [https://www.officialgazette.gov.ph/section/briefing-room/department-of-labor-and-employment/](https://www.officialgazette.gov.ph/section/briefing-room/department-of-labor-and-employment/)
* National Conciliation and Mediation Board (NCMB): [https://ncmb.gov.ph/](https://ncmb.gov.ph/)
**Important Notes:**
* It's advisable to seek legal assistance, especially for complex cases. A lawyer can guide you through the process, represent you in hearings, and ensure your rights are protected.
* There are specific timeframes for filing ULP complaints. Consult with DOLE or a lawyer for details on these deadlines.
Remember, this is a general guideline, and the specific process may vary depending on your situation. Always consult with DOLE or a legal professional for the most accurate and up-to-date information.</t>
  </si>
  <si>
    <t>What is the legal maximum number of working hours per day in the Philippines?</t>
  </si>
  <si>
    <t>The legal maximum number of working hours per day in the Philippines is **eight (8) hours**, exclusive of rest periods [1, 2]. This is mandated by the Philippine Labor Code:
* **Article 83:** "The normal hours of work of any employee shall not exceed eight (8) hours a day." [1]
**Important to Remember:**
* This applies to all employees covered by the Labor Code, with some exceptions like government employees and certain managerial staff [2].
* Working hours include all the time an employee is required to be on duty, at the workplace, or permitted to work [1]. Even short rest periods during working hours are counted.
* There are provisions for overtime work, but this requires additional compensation for the employee [1].
Here are some helpful references:
* Department of Labor and Employment (DOLE): [https://www.officialgazette.gov.ph/](https://www.officialgazette.gov.ph/)
* Kittelson &amp; Carpo Law Offices: [https://kittelsoncarpo.com/services/](https://kittelsoncarpo.com/services/)</t>
  </si>
  <si>
    <t>Are employers required to provide benefits such as health insurance or retirement plans?</t>
  </si>
  <si>
    <t>In the Philippines, employers are **not directly required by law** to provide benefits like health insurance or retirement plans beyond those mandated by social security contributions. However, there are some key points to consider:
**Mandatory Social Security Contributions:**
* **Republic Act No. 10521 (Mandatory Provident Fund System in the Philippines):** This law mandates membership in the Social Security System (SSS), PhilHealth, and Pag-IBIG for most employees [1]. These programs provide some level of health insurance, retirement benefits, and housing benefits.
**Offering Additional Benefits is Common:**
* While not required, it's quite common for Filipino employers, especially larger companies, to offer additional benefits beyond mandatory contributions. This can include:
* **Health Insurance:** Supplemental health insurance that provides broader coverage than PhilHealth [2].
* **Retirement Plans:** Company-sponsored retirement plans that supplement SSS benefits [2].
* **Other Benefits:** Life insurance, educational assistance, vacation leave beyond the legal minimum, and more [2].
**Benefits Can Be a Competitive Advantage:**
* Offering a comprehensive benefits package can be a significant advantage for employers in attracting and retaining qualified employees [2].
**Conclusion:**
Employers in the Philippines are not legally obligated to provide health insurance or retirement plans beyond social security contributions. However, offering these benefits is a common practice and can be a key factor in attracting and retaining talent.</t>
  </si>
  <si>
    <t>What are the legal requirements for hiring foreign nationals in the Philippines?</t>
  </si>
  <si>
    <t>Hiring foreign nationals in the Philippines involves obtaining two key permits:
**1. Alien Employment Permit (AEP):**
* Issued by the Department of Labor and Employment (DOLE) [1].
* Required for foreign nationals who intend to work in the Philippines for **more than 6 months**. [2]
* Employer must petition for the foreign worker, demonstrating that the job requires skills not readily available locally [2, 3].
**2. Pre-arranged Employee Commercial Visa (9[g] work visa):**
* Issued by the Bureau of Immigration (BI) [4].
* Required for all foreign nationals who plan to work in the Philippines, regardless of the length of their stay [2].
* May be accompanied by a Provisional Work Permit (PWP) if the AEP application is still pending [5]. The PWP allows the foreign worker to begin work for a limited period (usually 3 months) while the AEP is being processed [2].
Here are some additional requirements and considerations:
* **Tax Identification Number (TIN):** Foreign nationals who plan to work in the Philippines are required to secure a TIN from the Bureau of Internal Revenue (BIR) [6]. * **Work Visa and AEP Validity:** The validity period of the work visa and AEP will typically be tied to the duration of the employment contract [2].
* **Compliance with Labor Code:** Employers must still comply with Philippine labor laws regarding wages, benefits, and working conditions for all employees, including foreign nationals [7].
**Resources for further information:**
* Department of Labor and Employment (DOLE): [https://www.officialgazette.gov.ph/section/briefing-room/department-of-labor-and-employment/](https://www.officialgazette.gov.ph/section/briefing-room/department-of-labor-and-employment/)
* Bureau of Immigration (BI): [https://immigration.gov.ph/](https://immigration.gov.ph/)
* The Guide to Employment Permits for Foreign Workers in the Philippines: [https://www.dejudomlaw.com/work-permits-and-visas-for-asean-countries/](https://www.dejudomlaw.com/work-permits-and-visas-for-asean-countries/)
Remember, this is a general overview, and it's advisable to consult with a lawyer specializing in Philippine immigration and labor law for specific guidance on your situation. They can help navigate the legal requirements and ensure a smooth process for hiring foreign workers.</t>
  </si>
  <si>
    <t>Can an employee refuse to work overtime in the Philippines?</t>
  </si>
  <si>
    <t>In the Philippines, an employee's ability to refuse overtime work depends on the situation. Here's a breakdown based on Philippine labor law:
**General Rule: Voluntary Overtime**
* The Philippines follows the principle that overtime work should be **voluntary**. Employers cannot compel employees to work beyond the standard 8-hour workday unless certain exceptions apply (Article 83 of the Labor Code) [1, 2].
**Exceptions: When Overtime Work is Mandatory**
There are limited situations where an employer can require overtime work, provided they pay the appropriate compensation:
* **Emergency Overtime Work:** This applies during emergencies like war, natural disasters, or other calamities declared by the government (Article 89 of the Labor Code) [1].
* **Undertaking Necessary Work to Prevent Loss or Serious Obstruction of Business:** In certain urgent situations, overtime may be necessary to complete essential tasks and avoid significant harm to the business (Article 89 of the Labor Code) [1]. This requires justification from the employer.
**Refusal During Mandatory Overtime:**
If an employee refuses to work overtime during these mandatory situations, they could face disciplinary action, depending on the severity of the situation and whether the refusal was justified. **Employee's Right to Rest:**
Employees have the right to rest and leisure. While overtime pay compensates for extended work hours, continuously demanding excessive overtime could be seen as a violation of this right [3].
**Importance of Communication:**
Open communication between employer and employee is crucial. Employees who have valid reasons for refusing overtime (e.g., prior commitments, health concerns) should discuss them with their employer. **Conclusion:**
In most cases, employees in the Philippines have the right to refuse overtime work as long as it's not an emergency or absolutely necessary to prevent serious harm to the business. However, communication and a valid reason for refusal are important. If you have concerns about being pressured to work excessive overtime, consulting a labor lawyer is recommended.
Here are some helpful references:
* Department of Labor and Employment (DOLE): [https://www.officialgazette.gov.ph/section/briefing-room/department-of-labor-and-employment/](https://www.officialgazette.gov.ph/section/briefing-room/department-of-labor-and-employment/)
* Kittelson &amp; Carpo Law Offices: [https://kittelsoncarpo.com/services/](https://kittelsoncarpo.com/services/)</t>
  </si>
  <si>
    <t>What is the procedure for conducting disciplinary actions against employees in the Philippines?</t>
  </si>
  <si>
    <t>The Philippines upholds the concept of "security of tenure" for employees, making it crucial for employers to follow proper procedures when taking disciplinary actions. Here's a breakdown of the typical process:
**1. Grounds for Disciplinary Action:**
The Labor Code (RA No. 386) outlines just cause and authorized causes for disciplinary action (Articles 296 &amp; 282) [1]. Examples include:
* **Just Causes:** Gross insubordination, frequent absences without leave, inefficiency.
* **Authorized Causes:** Redundancy due to business closure, economic downturn.
**2. Notice of Investigation:**
* The employer must provide a written notice to the employee informing them of the alleged offense(s) and the intention to conduct an investigation [2].
* The notice should be clear, specific, and provide a reasonable timeframe for the employee to respond.
**3. Investigation:**
* The employer conducts a fair and impartial investigation to gather evidence. This may involve interviews with witnesses, reviewing documents, and giving the employee the opportunity to explain their side.
**4. Notice of Disciplinary Action:**
* If the investigation finds sufficient evidence, the employer issues a written notice of the disciplinary action (e.g., suspension, termination) [2]. * This notice should explain the basis for the decision and the effective date of the penalty.
**5. Right to Appeal:**
* The employee has the right to appeal the decision. This could involve submitting a written counter-explanation or requesting a hearing with appropriate company personnel. **Due Process Considerations:**
* **Opportunity to Be Heard:** Throughout the process, the employee must be given a chance to explain their side and present any evidence that refutes the allegations [2].
* **Progressive Discipline:** In most cases, employers should follow a progressive discipline system, starting with less severe penalties for minor offenses and escalating to termination for serious or repeated misconduct [3].
**Importance of Documentation:**
Maintaining thorough documentation of each step in the disciplinary process is crucial for the employer. This documentation can be used as evidence in case of any legal disputes.
**Alternatives to Disciplinary Action:**
Employers may explore alternative solutions like counseling or additional training before resorting to disciplinary action.
**Seeking Legal Advice:**
Both employers and employees may consider seeking legal advice to ensure proper procedures are followed and rights are protected.
**Resources:**
* Department of Labor and Employment (DOLE): [https://www.officialgazette.gov.ph/section/briefing-room/department-of-labor-and-employment/](https://www.officialgazette.gov.ph/section/briefing-room/department-of-labor-and-employment/)
* Brillantes &amp; Singson Law Offices: [invalid URL removed]
Remember, this is a general overview, and specific situations may require a different approach. Always consult with a lawyer specializing in Philippine labor law for detailed guidance.</t>
  </si>
  <si>
    <t>How does the Philippine Labor Code define sexual harassment in the workplace?</t>
  </si>
  <si>
    <t>The Philippine Labor Code itself doesn't directly define sexual harassment. However, the Philippines has a separate law specifically addressing this issue: **Republic Act No. 7877, also known as the Anti-Sexual Harassment Act of 1995** (RA 7877) [1].
**RA 7877 defines sexual harassment** in work-related or training environments as:
* **An act committed by an employer, employee, manager, supervisor, agent of the employer, teacher, instructor, professor, coach, trainor, or any person who, having authority, influence or moral ascendancy over another in a work or training or education environment.** [1]
* **Demands, requests or otherwise requires any sexual favor from the other, regardless of whether the demand, request or requirement for submission is accepted or not by the object of said act.** [1]
**Key Points:**
* The law applies to a broader range of individuals than just employers and employees. Anyone with authority or influence over another in a work or training environment can be liable for sexual harassment. * The harassment can be verbal, nonverbal, physical, or sexual advances. * The employee's acceptance or rejection of the sexual advances doesn't determine whether it constitutes sexual harassment. **Additionally:**
* The law prohibits retaliation against an employee who complains about sexual harassment [1]. * Employers are mandated to have policies and procedures for preventing and addressing sexual harassment complaints [1].
**Resources:**
* Philippine Commission on Women (PCW): [https://pcw.gov.ph/](https://pcw.gov.ph/)
* Department of Labor and Employment (DOLE): [https://www.dol.gov/](https://www.dol.gov/)</t>
  </si>
  <si>
    <t>Are employers required to provide maternity leave to female employees?</t>
  </si>
  <si>
    <t>Yes, absolutely. In the Philippines, employers are required by law to provide maternity leave to female employees. Here's a breakdown of the specific provisions:
* **Republic Act No. 11210 or the 105-Day Expanded Maternity Leave Law:** This law, enacted in 2019, significantly increased the mandated maternity leave for female workers [1].
**Maternity Leave Entitlement:**
* **105 days of maternity leave with full pay,** regardless of whether the childbirth is a normal delivery or caesarian section [1]. This is a significant increase from the previous requirement of 60 days.
* **Solo mothers** qualify for an additional **15 days of maternity leave with full pay**, bringing their total entitlement to **120 days** [1].
**Additional Considerations:**
* **Miscarriage or Emergency Termination:** In case of miscarriage or emergency termination of pregnancy, female employees are entitled to **60 days of maternity leave with full pay** [1].
* **Option to Extend Leave:** While the mandated leave is 105 days (or 120 days for solo mothers), employees may opt to extend their leave **without pay** by up to 30 days, subject to certain conditions [1].
**Employer Obligations:**
* Employers are legally obligated to comply with these provisions and grant their female employees the mandated maternity leave [1]. * They are also required to provide **medical and health care benefits** during the employee's pregnancy and postpartum period [2].
**Resources:**
* **Department of Labor and Employment (DOLE):** [https://www.officialgazette.gov.ph/section/briefing-room/department-of-labor-and-employment/](https://www.officialgazette.gov.ph/section/briefing-room/department-of-labor-and-employment/)
* **Philippine Commission on Women (PCW):** [https://pcw.gov.ph/](https://pcw.gov.ph/)
**Remember:** This is a general overview. If you have specific questions about maternity leave in the Philippines, consult with a lawyer specializing in Philippine labor law.</t>
  </si>
  <si>
    <t>Can an employee be terminated due to pregnancy in the Philippines?</t>
  </si>
  <si>
    <t>No, an employee in the Philippines cannot be terminated due to pregnancy. Philippine law strongly protects the rights of pregnant women in the workplace. Here's a breakdown of the key points:
* **Anti-discrimination:** The Philippine Constitution prohibits discrimination against women based on their sex or civil status [1]. Pregnancy falls under this protection.
* **Security of Tenure:** The Labor Code upholds the concept of "security of tenure" for employees, making it difficult for employers to terminate them without just cause [2]. Pregnancy is not a just cause for termination.
* **Maternity Leave Law:** Republic Act No. 11210 (Expanded Maternity Leave Law) protects a woman's right to maternity leave and prohibits termination due to pregnancy [3]. **Employer Consequences:**
* Terminating an employee because of pregnancy is considered an illegal dismissal. * The employee can file an unfair labor practice (ULP) complaint with the Department of Labor and Employment (DOLE) [4].
* If the ULP complaint is successful, the employee may be reinstated to their job and awarded back wages and other benefits they would have received if not illegally terminated [4].
**Additional Protections:**
* Employers are required to provide reasonable workplace accommodations for pregnant employees, such as flexible work arrangements or modified duties when necessary [5].
**If You Are Pregnant and Facing Termination:**
* Seek legal advice from a lawyer specializing in Philippine labor law.
* You can also file a complaint with the DOLE [4].
**Resources:**
* Department of Labor and Employment (DOLE): [https://www.officialgazette.gov.ph/section/briefing-room/department-of-labor-and-employment/](https://www.officialgazette.gov.ph/section/briefing-room/department-of-labor-and-employment/)
* Philippine Commission on Women (PCW): [https://pcw.gov.ph/](https://pcw.gov.ph/)
**Remember:** This is a general overview, and it's always best to consult with a lawyer for specific legal advice regarding your situation.</t>
  </si>
  <si>
    <t>What are the legal requirements for implementing a collective bargaining agreement (CBA) in the Philippines?</t>
  </si>
  <si>
    <t>Here's a breakdown of the legal requirements for implementing a Collective Bargaining Agreement (CBA) in the Philippines:
**Key Players:**
* **Labor Union:** A legitimate labor union registered with the Department of Labor and Employment (DOLE) must represent the employees in the bargaining process [1].
* **Employer:** This can be a single company, a group of companies, or an industry association representing multiple employers [1].
* **National Conciliation and Mediation Board (NCMB):** This government agency facilitates and assists in negotiations between labor unions and employers [1]. **Negotiation Process:**
* **Notice of Intent to Bargain:** The labor union files a Notice of Intent to Bargain with the NCMB [1].
* **Bargaining Conference:** Representatives from both sides meet to discuss and negotiate the terms and conditions of employment [1]. This may involve multiple sessions.
* **Collective Bargaining Agreement (CBA):** Once an agreement is reached, it's formalized into a written document, the CBA [1].
* **Registration with the DOLE:** The CBA needs to be registered with the DOLE for legal recognition [1].
**Content of a CBA:**
A CBA typically covers a wide range of aspects related to employment, including:
* Wages, salaries, and other forms of compensation (e.g., allowances, bonuses) [2]
* Hours of work, overtime pay, and rest periods [2]
* Leave of absence policies (e.g., sick leave, vacation leave) [2]
* Seniority rights, promotions, and layoffs [2]
* Occupational safety and health standards [2]
* Grievance procedures for resolving workplace disputes [2]
**Timeline and Validity:**
* The negotiation process can take weeks or even months depending on the complexity of the issues involved [3].
* A CBA typically has a validity period of **five years** for its representational aspect (bargaining rights) and longer for the economic provisions (wages, benefits) [4]. A recent bill proposes reducing the validity period for bargaining rights to three years [4].
**Additional Considerations:**
* **Non-unionized workplaces:** While CBAs are most common in unionized workplaces, non-unionized companies can also have similar agreements with their employees, referred to as "Policy Statements" [5]. * **Compliance with Labor Laws:** The CBA must comply with Philippine labor laws, which set minimum standards for wages, benefits, and working conditions [2].
**Resources:**
* Department of Labor and Employment (DOLE): [https://www.officialgazette.gov.ph/section/briefing-room/department-of-labor-and-employment/](https://www.officialgazette.gov.ph/section/briefing-room/department-of-labor-and-employment/)
* National Conciliation and Mediation Board (NCMB): [https://ncmb.gov.ph/](https://ncmb.gov.ph/)
* House of Representatives (recently passed bill reducing CBA validity): [https://www.congress.gov.ph/](https://www.congress.gov.ph/)
Remember, this is a simplified overview, and specific legalities may vary depending on the circumstances. Consider seeking legal guidance from a lawyer specializing in Philippine labor law for a more comprehensive understanding and assistance with the CBA process.</t>
  </si>
  <si>
    <t>Is it legal for employers to implement drug testing on employees in the Philippines?</t>
  </si>
  <si>
    <t>Yes, drug testing can be legal for employers to implement in the Philippines, but there are regulations and limitations. Here's a breakdown:
**Legal Basis:**
* While there's no single law solely focused on workplace drug testing, several provisions allow it under certain conditions:
* **Republic Act No. 9165 (Comprehensive Dangerous Drugs Act of 2002):** This law mandates random drug testing for officers and employees of public and private offices, subject to company work rules and regulations [1].
* **Dangerous Drugs Board (DDB) Regulation No. 3, Series of 2003:** This regulation provides specific guidelines for mandatory drug testing in various settings, including workplaces [2].
**Who Can Be Tested:**
* **Random Testing:** Companies can conduct random drug testing on all employees, provided the selection process is fair and impartial [2].
* **Pre-employment Testing:** Drug testing can be part of the pre-employment screening process, but applicants must be notified in advance and written consent is required [2].
* **Reasonable Cause Testing:** Employers can conduct drug testing if they have a reasonable suspicion an employee is using drugs, such as observing job performance issues or behavioral changes suggestive of drug use [2].
**Following Proper Procedures:**
* Employers must adhere to the guidelines set by the Dangerous Drugs Board (DDB) regarding:
* Selection of employees for random testing [2].
* Confidentiality of test results [2].
* Use of accredited laboratories and qualified personnel for conducting the tests [2].
**Employee Rights:**
* Employees have the right to be informed about the company's drug testing policy [2].
* They can refuse drug testing, but this may result in disciplinary action depending on the company policy [2]. However, such action should be reasonable and follow due process.
**Alternatives to Drug Testing:**
* Some companies may opt for Employee Assistance Programs (EAPs) to help employees struggling with substance abuse before resorting to drug testing [3]. **Resources:**
* Dangerous Drugs Board (DDB): [https://ddb.gov.ph/](https://ddb.gov.ph/)
* Philippine Chamber of Commerce and Industry (PCCI): [https://www.philippinechamber.com/](https://www.philippinechamber.com/)
**Important Note:**
It's recommended to consult with a lawyer specializing in Philippine labor law for a comprehensive understanding of drug testing legalities and how they apply to your specific situation.</t>
  </si>
  <si>
    <t>What is the legal age for employment in the Philippines?</t>
  </si>
  <si>
    <t>The minimum legal age for employment in the Philippines is generally **15 years old**. This is established by the following:
* **Republic Act No. 7658 (An Act Prohibiting the Employment of Children Below 15 Years of Age in Public and Private Undertakings):** This law prohibits the employment of children below 15 years old in most workplaces [1].
* **Department of Labor and Employment (DOLE) Regulations:** DOLE regulations reiterate the minimum age of 15 and outline exceptions where younger children can be employed [2].
**Exceptions to the Minimum Age Limit:**
There are limited exceptions where a child below 15 can be employed:
* **Work directly under the sole responsibility of parents or guardians:** This applies to family businesses where children help out with tasks but are not formally employed [2]. * **Employment in public entertainment or information:** This exception applies to children in the entertainment industry (e.g., acting, singing) or information dissemination (e.g., modeling), but specific regulations and safeguards apply to protect these children [2].
**Important Considerations:**
* Even for the exceptions, the work performed by the child should not interfere with their schooling or overall development [2]. * Child labor laws in the Philippines are strictly enforced to protect children from exploitation and ensure their well-being.
**Resources:**
* Department of Labor and Employment (DOLE): [https://www.officialgazette.gov.ph/section/briefing-room/department-of-labor-and-employment/](https://www.officialgazette.gov.ph/section/briefing-room/department-of-labor-and-employment/)
* International Labour Organization (ILO): [https://www.ilo.org/](https://www.ilo.org/) (The Philippines has ratified key ILO Conventions related to child labor)</t>
  </si>
  <si>
    <t>Can employees be subjected to mandatory retirement in the Philippines?</t>
  </si>
  <si>
    <t>In the Philippines, retirement is **optional** at a certain age and **mandatory** at another. Here's a breakdown of the legalities:
* **Optional Retirement:** An employee can choose to retire upon reaching the age of **60 years old or more**, provided they have served at least **five (5) years** in the establishment [1, 2]. * There's no legal obligation for an employer to keep an employee beyond this age.
* **Mandatory Retirement:** An employer can **mandatorily retire** an employee upon reaching the age of **65 years old**, provided there's **no existing retirement plan or agreement** offering a different retirement age [1, 2].
**Key Points:**
* **Employer Discretion:** For private sector employees, the decision of when to retire between 60 and 65 ultimately lies with the employee, unless there's a specific company policy on mandatory retirement before 65 (which would need to be legal and reasonable).
* **Government Employees:** There have been recent proposals to lower the optional retirement age for government employees to 56. As of now (March 15, 2024), the mandatory retirement age for government workers remains 65 [3].
* **Exceptions:** Underground mining employees have a lower mandatory retirement age of 60, with the option to retire at 50 after five years of service [4].
**Resources:**
* Department of Labor and Employment (DOLE): [https://www.officialgazette.gov.ph/](https://www.officialgazette.gov.ph/) (Specifically look at Articles 287 and 442 of the Labor Code)
* House of Representatives (news on proposed lower retirement age for government workers): [https://www.congress.gov.ph/](https://www.congress.gov.ph/)</t>
  </si>
  <si>
    <t>Are employers required to provide meal and rest breaks to employees?</t>
  </si>
  <si>
    <t>Yes, employers in the Philippines are required by law to provide meal and rest breaks to their employees. Here's a breakdown of the specific requirements:
**Meal Breaks:**
* **Minimum Duration:** Every employee is entitled to **not less than 60 minutes** of **unpaid** break for their regular meals [1, 2].
* **Shorter Breaks with Compensation:** In certain circumstances, the meal break can be shortened, but with specific conditions:
* **Non-manual or light physical work:** For employees performing work that is not physically demanding, the break can be reduced to **at least 20 minutes**, but the shortened time must be **compensated as worked hours** [1, 2].
* **16-hour workday operations:** For businesses operating for 16 hours a day, the meal break can be shortened, provided alternative rest periods are provided throughout the extended workday to ensure sufficient rest for employees [2]. * **Emergency situations:** During emergencies or when fixing machinery or equipment, shorter meal breaks may be implemented, but employees should still be compensated for the shortened break time [2].
**Rest Breaks:**
* While not explicitly mandated by law, short rest periods or "coffee breaks" are common in Philippine workplaces. These breaks are typically **5 to 20 minutes long** and are considered **compensated working time** since they provide brief periods of rest during the workday [3].
**Importance of Breaks:**
* Meal and rest breaks are essential for employee well-being and productivity. They allow employees to recharge and return to their work tasks with renewed focus and energy [4].
**Resources:**
* Department of Labor and Employment (DOLE): [https://blr.dole.gov.ph/2014/12/11/labor-code-of-the-philippines/](https://blr.dole.gov.ph/2014/12/11/labor-code-of-the-philippines/) (Articles 85 &amp; 87 of the Labor Code)
* Kittelson &amp; Carpo Law Offices: [invalid URL removed]
**Remember:** This is a general overview, and specific situations may have different considerations. If you have questions about meal and rest break requirements in the Philippines, consult with a lawyer specializing in Philippine labor law.</t>
  </si>
  <si>
    <t>What are the legal grounds for constructive dismissal in the Philippines?</t>
  </si>
  <si>
    <t>Philippine law recognizes constructive dismissal as a form of illegal dismissal. While there's no single law defining it, the concept is established through various court decisions. Here's how the Philippine legal framework recognizes constructive dismissal:
**Concept:**
* Constructive dismissal is considered an involuntary resignation due to unbearable work conditions imposed by the employer [Aranas Cruz Araneta Parker &amp; Faustino Law Offices, Termination of employment - Aranas Cruz Araneta Parker &amp; Faustino Law Offices, [https://aranaslawph.com/](https://aranaslawph.com/)]
**Legal Basis:**
* **Constitution:** The right to security of tenure is enshrined in the Philippine Constitution (Article XIII, Section 3) [Constitution of the Republic of the Philippines, Chan Robles Virtual Law Library, [https://lawlibrary.chanrobles.com/](https://lawlibrary.chanrobles.com/)]
* **Labor Code:** While not explicitly defining constructive dismissal, the Labor Code (RA No. 6715) protects employees from illegal dismissal through provisions guaranteeing security of tenure and fair treatment [DOLE Philippines, Department of Labor and Employment, [https://blr.dole.gov.ph/2014/12/11/labor-code-of-the-philippines/](https://blr.dole.gov.ph/2014/12/11/labor-code-of-the-philippines/)]
**Determining Constructive Dismissal:**
Case law establishes the following conditions for a situation to be considered constructive dismissal:
* **Employer's Act**: The employer must be responsible for creating working conditions that render continued employment unreasonable, impossible, or unlikely for the employee [G.R. No. 234575 - RENATO C. TACIS AND DIONICIO LAMIS III, Petitioners, v. SHIELDS SECURITY SERVICES, INC., TERESITA SOLIMAN, PRESIDENT AND DIONEFEL MORANTE, GENERAL MANAGERS, Respondents, Chan Robles Virtual Law Library, [https://chanrobles.com/](https://chanrobles.com/)]
* **Unbearable Work Conditions**: Examples include significant pay cuts, demotion without cause, threats, hostility, unsafe working environment, and موارد (Arabic for "cases") of clear discrimination [mcmer corporation, inc., macario d. roque, jr. and cecilia r. alvestir, petitioners, vs. national labor relations commission and feliciano c. libunao, jr., respondent. decision, Supreme Court E-Library, [https://elibrary.judiciary.gov.ph/thebookshelf/showdocs/1/66116](https://elibrary.judiciary.gov.ph/thebookshelf/showdocs/1/66116)]
**Test of Constructive Dismissal:**
* Courts consider whether a reasonable person in the employee's position would be forced to resign under the circumstances [G.R. No. 240484 - ARVIN A. PASCUAL, PETITIONER, V. SITEL PHILIPPINES CORPORATION, MICHAEL LEE, ASWIN SUKUMAR, PHOEBE MONICA ARGANA, REMIL CANDA AND AMOR REYES, RESPONDENTS, Supreme Court E-Library, [https://elibrary.judiciary.gov.ph/thebookshelf/showdocs/1/66116](https://elibrary.judiciary.gov.ph/thebookshelf/showdocs/1/66116)]
**Remember:** * The burden of proof lies with the employee to establish constructive dismissal [G.R. No. 231859, LawPhil, [https://lawphil.net/judjuris/juri2020/aug2020/gr_207059_2020.html](https://lawphil.net/judjuris/juri2020/aug2020/gr_207059_2020.html)]
* Consulting a lawyer is highly recommended for navigating specific situations and legal claims.</t>
  </si>
  <si>
    <t>Can employees form labor unions in the Philippines?</t>
  </si>
  <si>
    <t>Yes, absolutely. Philippine law strongly protects the right of employees to form labor unions. Here's how the legal framework supports this:
* **Constitution:** The Philippine Constitution guarantees the right to self-organization (Article III, Section 8) [Constitution of the Republic of the Philippines, Chan Robles Virtual Law Library, [https://lawlibrary.chanrobles.com/](https://lawlibrary.chanrobles.com/)]
* **Republic Act (RA) 875:** This law, also known as the "An Act to Promote Industrial Peace," explicitly protects the right of employees to form, join, or assist labor organizations for purposes of collective bargaining (Section 3) [RA 875, LawPhil.net, [https://lawphil.net/statutes/repacts/ra1953/ra_875_1953.html](https://lawphil.net/statutes/repacts/ra1953/ra_875_1953.html)]
**Key Points:**
* Employees can choose the labor organization they want to join [RA 875, Section 3]
* There are limitations on who can be members of a union. Supervisors cannot be part of the same bargaining unit as rank-and-file employees, but they can form their own unions [RA No. 9481, an act strengthening the Workers' Constitutional Right to Self-Organization, Supreme Court E-Library, [https://elibrary.judiciary.gov.ph/](https://elibrary.judiciary.gov.ph/)]
* The Department of Labor and Employment (DOLE) plays a crucial role in facilitating the registration of labor unions [DOLE Philippines, Department of Labor and Employment, [https://www.officialgazette.gov.ph/section/briefing-room/department-of-labor-and-employment/](https://www.officialgazette.gov.ph/section/briefing-room/department-of-labor-and-employment/)]
**In essence, Philippine law encourages the formation of labor unions as a mechanism for promoting industrial peace and protecting the rights and welfare of employees.**</t>
  </si>
  <si>
    <t>Are there specific laws regarding the employment of minors in hazardous occupations?</t>
  </si>
  <si>
    <t>Absolutely. Here's how Philippine law restricts the employment of minors in hazardous occupations:
* **Minimum Age for Hazardous Work:** The Labor Code (RA No. 6715), as amended by RA 9231, prohibits the employment of a person below eighteen (18) years of age in an undertaking which is hazardous or deleterious in nature [https://blr.dole.gov.ph/2014/12/11/labor-code-of-the-philippines/](https://blr.dole.gov.ph/2014/12/11/labor-code-of-the-philippines/)]
* **List of Hazardous Occupations:** The specific hazardous occupations are determined by the Department of Labor and Employment (DOLE) [Mywage.com, Minors and Youth - Labour Law, [https://www.moneymax.ph/personal-finance/articles/hazard-pay-philippines](https://www.moneymax.ph/personal-finance/articles/hazard-pay-philippines)] This ensures the list stays updated based on evolving workplace hazards.
**Additional Protections:**
* **Children Under 15:** Generally, children below 15 years old are not allowed to work [invalid URL removed]] There are exceptions, but they require parental supervision and ensure the work is not harmful to the child's health, education, or development [PD No. 603, Child and Youth Welfare Code]
* **Working Hours:** For children allowed to work (aged 15-18 years old and not in hazardous occupations), there are restrictions on working hours:
* Below 15 years old: 20 hours per week * 15-18 years old: 40 hours per week * Night Work is prohibited for children under 18 years old [RA No. 679, An Act to Regulate the Employment of Women and Children and to Establish Special Units in the Department of Labor to Enforce This Act, LawPhil.net, [[invalid URL removed])]
**Penalties:**
Employers who violate these child labor laws can face significant fines and imprisonment [Mywage.com, Minors and Youth - Labour Law, [https://www.moneymax.ph/personal-finance/articles/hazard-pay-philippines](https://www.moneymax.ph/personal-finance/articles/hazard-pay-philippines)].
**Remember:** This is just a general overview. For the latest regulations and specific details, it's always best to consult the official sources like the Department of Labor and Employment (DOLE).</t>
  </si>
  <si>
    <t>What are the penalties for employers who violate labor laws in the Philippines?</t>
  </si>
  <si>
    <t>The penalties for employers who violate Philippine labor laws can vary depending on the specific violation. Here's a breakdown of some common scenarios:
* **Monetary Fines:** Fines are a common penalty, ranging from a few thousand pesos to hundreds of thousands, depending on the offense.
* **Imprisonment:** In some cases, particularly serious violations, employers may face jail time, typically ranging from a few months to several years.
* **Back Wages and Indemnity:** If an employee is illegally dismissed or their rights are violated, the employer may be ordered to pay back wages, separation pay, and other forms of monetary compensation.
* **Administrative Sanctions:** The Department of Labor and Employment (DOLE) can impose administrative sanctions on companies, such as the cancellation of business permits in severe cases.
Here are some resources for specific violations:
* **Minimum Wage Violations:** Increased penalties and double indemnity for violations of minimum wage rates are mandated under RA No. 6727 [ILO: Increase in penalty and double indemnity for violation of minimum wage rates 1996, [https://www.dev.ilo.org/media/383286/download](https://www.dev.ilo.org/media/383286/download)]
* **Unlawful Hiring Practices:** Fines of up to PHP 10,000 or imprisonment of up to three years can be imposed for unlawful hiring practices [7 things employers need to know about Philippine labor and employment laws | Rippling, [https://www.rippling.com/blog/how-to-pay-employees-in-philippines](https://www.rippling.com/blog/how-to-pay-employees-in-philippines)]
**Important to Note:**
* The information provided is a general overview. Specific penalties depend on the nature and gravity of the offense.
* Legal procedures are involved in enforcing these penalties. Employees can file complaints with the DOLE or initiate legal action through the National Labor Relations Commission (NLRC).
* Consulting a lawyer is highly recommended for navigating specific situations and understanding the appropriate course of action.</t>
  </si>
  <si>
    <t>How does the Philippines define and regulate outsourcing and contractualization?</t>
  </si>
  <si>
    <t>The Philippines doesn't have a single, unified law specifically defining and regulating outsourcing and contractualization. However, the concept is addressed through various laws, regulations, and court decisions. Here's a breakdown:
**What is Outsourcing and Contractualization?**
* **Outsourcing:** Involves contracting a third-party company to provide services traditionally performed by in-house employees.
* **Contractualization:** Refers to various arrangements where workers are hired through manpower agencies or service providers instead of being directly employed by the company needing their services.
**Regulation Through Different Measures:**
* **Labor Code (RA No. 6715):** This core law establishes the rights and benefits of employees. While not directly addressing outsourcing, it sets standards for working conditions, wages, and security of tenure, which indirectly impact contractualization practices.
* **Department of Labor and Employment (DOLE) Issuances:** DOLE issues department orders, advisories, and interpretations that provide guidelines on the proper implementation of labor laws related to outsourcing and contractualization. For example, Department Order No. 10 clarifies the distinction between legitimate outsourcing and labor-only contracting, which is prohibited.
* **Special Laws:** Certain industries have specific regulations. For instance, the Security Agency Regulation Act (RA No. 5068) governs the operation of security agencies that provide contractual security personnel.
* **Court Decisions:** Landmark Supreme Court decisions have played a significant role in defining the boundaries of legitimate outsourcing and prohibiting practices that undermine employee rights. These decisions focus on ensuring that contractualization doesn't become a way to circumvent core labor standards.
**Key Issues in Outsourcing and Contractualization:**
* **Security of Tenure:** A major concern is whether contractual arrangements deny workers the security of tenure guaranteed by the Constitution. * **Benefits and Protections:** Contractual workers may not receive the same benefits and protections as regular employees.
* **Fake Cooperatives:** Some companies create bogus cooperatives to avoid employer-employee obligations.
**The Philippine government has implemented reforms to address these issues, but the debate on outsourcing and contractualization remains ongoing.**
**Recommendations:**
* For the latest information and specific regulations, consult the Department of Labor and Employment (DOLE) website: [DOLE Philippines, Department of Labor and Employment, [[invalid URL removed]]]([invalid URL removed])
* Consider seeking legal counsel for a more comprehensive understanding of how these concepts apply to a specific situation.</t>
  </si>
  <si>
    <t>Can employees be terminated during a state of calamity or emergency in the Philippines?</t>
  </si>
  <si>
    <t>Philippine law recognizes the challenges faced by both employers and employees during a state of calamity or emergency. Here's how the legal framework protects workers while acknowledging the business limitations caused by such circumstances:
* **Security of Tenure:** The Constitution guarantees the right to security of tenure for employees (Article XIII, Section 3) [https://lawlibrary.chanrobles.com/](https://lawlibrary.chanrobles.com/)]. This right generally protects employees from termination without just cause.
* **Special Emergency Leave:** However, Republic Act No. 10154 (An Act Granting Special Emergency Leave Privileges to Employees) acknowledges emergencies and provides special leave benefits for employees [invalid URL removed]!.
* **Suspension of Work:** The law also allows employers to suspend work due to a calamity (Section 10). During such suspensions, employees are not required to use their special emergency leave [RA No. 10154, Section 10].
**Termination During Calamity/Emergency:**
* Terminating employees solely due to a state of calamity or emergency might be considered illegal dismissal if there's no clear justification beyond the circumstances.
* However, employers can still resort to termination if there's a valid ground like redundancy, company closure, or serious misconduct by the employee. The burden of proof will be on the employer to establish a legitimate reason for termination, separate from the calamity or emergency.
**Recommended Course of Action:**
* If facing termination during a state of calamity or emergency, consult the Department of Labor and Employment (DOLE) for guidance on your rights as an employee [https://www.officialgazette.gov.ph/section/briefing-room/department-of-labor-and-employment/](https://www.officialgazette.gov.ph/section/briefing-room/department-of-labor-and-employment/)].
* Consider seeking legal advice to understand your specific situation and the appropriate legal response.</t>
  </si>
  <si>
    <t>Are there laws in the Philippines that protect whistleblowers in the workplace?</t>
  </si>
  <si>
    <t>There isn't a single, comprehensive law on whistleblower protection in the Philippines yet. However, there are several legal mechanisms that offer some degree of protection for whistleblowers:
* **The Constitution:** The right to information (Article III, Section 3) and the right to due process (Article III, Section 14) can be interpreted to indirectly protect whistleblowers who expose wrongdoing [https://lawlibrary.chanrobles.com/](https://lawlibrary.chanrobles.com/)].
* **Republic Acts (RAs):** Certain existing laws provide partial protection in specific contexts. * **The Anti-Red Tape Act (RA No. 8750):** Protects individuals who report government corruption [invalid URL removed] * **The Code of Corporate Governance (Securities and Exchange Commission Memorandum No. 19-2019):** Listed companies are encouraged to establish whistleblowing programs [https://www.sec.gov.ph/](https://www.sec.gov.ph/) issuances/memorandum/memorandum-no-19-2019/]
* **Jurisprudence:** Court decisions have recognized the importance of whistleblowing and provided some protection against retaliation in specific cases _"J.V. vs. Court of Appeals and NLRC", G.R. No. 128112 | March 22, 1999| | SCRA: [*].
**Limitations of the Current Framework:**
* The lack of a specific Whistleblower Protection Act creates uncertainties and potential gaps in safeguarding whistleblowers.
* The existing mechanisms offer limited coverage and may not guarantee confidentiality or comprehensive protection from retaliation.
**What to Expect:**
* Several Whistleblower Protection Bills have been filed in Congress, but none have been enacted yet (as of March 15, 2024).
* These proposed bills typically aim to provide a legal framework for whistleblowing, including:
* Clear definitions of whistleblowing and protected disclosures
* Procedures for reporting wrongdoing
* Confidentiality protections for whistleblowers
* Prohibition against retaliation by employers
**Recommendations:**
* If you're considering whistleblowing, carefully evaluate the potential risks and benefits.
* Seek guidance from organizations advocating for transparency and accountability.
* Consider consulting a lawyer specializing in labor law for specific advice on your situation.
The Philippines is moving towards a more robust legal framework for whistleblower protection, but for now, navigating this area requires a cautious approach.</t>
  </si>
  <si>
    <t>A company wants to terminate an employee due to poor performance. What steps should they take to ensure legality?</t>
  </si>
  <si>
    <t>Terminating an employee due to poor performance in the Philippines requires following a legal process to ensure it's considered a valid termination and avoid potential complaints of illegal dismissal. Here are the steps a company should take:
**1. Document Performance Issues:**
* **Performance Standards:** Clearly define performance expectations for the role through a written job description or employee handbook. * **Performance Monitoring:** Establish a system for documenting the employee's performance, including specific examples of shortcomings, dates, and any corrective actions taken.
**2. Implement Progressive Discipline:**
* **Verbal Warning:** Provide a verbal warning outlining the performance issues and the necessary improvements.
* **Written Warning:** If the performance doesn't improve, issue a written warning outlining the specific areas of concern, expected improvements, and potential consequences for continued underperformance.
**3. Opportunity for Improvement:**
* Provide the employee with a reasonable opportunity to improve their performance. This might involve additional training, coaching, or mentoring.
**4. Notice of Termination:**
* If performance remains unsatisfactory after progressive discipline, a final written notice of termination can be issued. * The notice should clearly state the reason for termination (poor performance) and cite specific examples documented throughout the process.
* It's advisable to provide at least 30 days' notice before the termination date [What you need to know before hiring in the Philippines: A guide to terminations | Rippling, [https://www.rippling.com/blog/international-terminations](https://www.rippling.com/blog/international-terminations)].
**5. Separation Pay:**
* Depending on the employee's length of service and the reason for termination, separation pay might be required by law. Consult the Department of Labor and Employment (DOLE) for specific guidelines [https://www.officialgazette.gov.ph/section/briefing-room/department-of-labor-and-employment/](https://www.officialgazette.gov.ph/section/briefing-room/department-of-labor-and-employment/)].
**Additional Considerations:**
* **Due Process:** Ensure the employee is given due process throughout the disciplinary process, including the right to be heard and defend themselves.
* **Legal Consultation:** Consulting a lawyer experienced in labor law is highly recommended to ensure compliance with legal requirements and minimize the risk of legal challenges.
Following these steps helps the company demonstrate they acted fairly and gave the employee a chance to improve before resorting to termination. This strengthens the legal defensibility of the termination decision if challenged by the employee.</t>
  </si>
  <si>
    <t>What legal provisions govern employment contracts in the Philippines, and what are the key rights and obligations of employers and employees under Philippine labor law?</t>
  </si>
  <si>
    <t>## Legal Framework for Employment Contracts in the Philippines
Employment contracts in the Philippines are governed by a combination of legal provisions, including:
* **The Constitution:** The Philippine Constitution (Article XIII, Section 3) guarantees the right to security of tenure for employees. [Constitution of the Republic of the Philippines, Chan Robles Virtual Law Library, [https://lawlibrary.chanrobles.com/](https://lawlibrary.chanrobles.com/)] * **The Labor Code (RA No. 6715):** This is the primary law governing employer-employee relations in the Philippines. It sets out minimum standards for wages, working hours, benefits, and termination procedures. [DOLE Philippines, Department of Labor and Employment, [https://blr.dole.gov.ph/2014/12/11/labor-code-of-the-philippines/](https://blr.dole.gov.ph/2014/12/11/labor-code-of-the-philippines/)]
* **Department of Labor and Employment (DOLE) Issuances:** DOLE issues department orders, advisories, and interpretations that provide further guidance on implementing the Labor Code and other labor-related laws.
These provisions, along with relevant jurisprudence (court decisions), establish a framework for fair and balanced employment relationships.
## Key Rights and Obligations
**Employee Rights:**
* **Security of Tenure:** Employees have the right to be free from dismissal without just cause or due process.
* **Minimum Wage:** They are entitled to receive wages at or above the government-mandated minimum wage.
* **Working Hours and Rest Periods:** The law limits working hours and mandates rest periods to prevent overwork and ensure employee well-being.
* **Benefits:** Employees are entitled to certain benefits such as sick leave, vacation leave, and maternity leave.
* **Safe Working Conditions:** Employers must provide a safe and healthy work environment.
* **Unionization:** Employees have the right to form or join labor unions for collective bargaining.
**Employer Obligations:**
* **Compliance with Labor Laws:** Employers must comply with all labor laws and regulations.
* **Payment of Wages:** Timely payment of wages at the agreed-upon rate is required.
* **Provision of Benefits:** Employers must provide the mandated benefits to their employees.
* **Maintaining Safe Working Conditions:** Creating and maintaining a safe work environment is an employer's responsibility.
* **Good Faith in Dealings:** Employers must act in good faith throughout the employment relationship.
* **Respect for Employee Rights:** Upholding employee rights to fair treatment, due process, and freedom of association is crucial.
**Important Note:**
This is a general overview. Specific rights and obligations may vary depending on the type of employment, industry, and any existing collective bargaining agreements.
For comprehensive and up-to-date information, it's always recommended to consult the Department of Labor and Employment (DOLE) or seek legal advice from a lawyer specializing in labor law.</t>
  </si>
  <si>
    <t>How should an employer handle complaints of harassment in the workplace?</t>
  </si>
  <si>
    <t>Here's how an employer in the Philippines should handle complaints of harassment in the workplace:
**Take the Complaint Seriously:**
* **Confidentiality:** Assure the complainant that confidentiality will be maintained to the best possible extent throughout the investigation. * **Support and Empathy:** Treat the complainant with respect and offer support. Let them know you take their complaint seriously and will investigate thoroughly.
**Gather Information:**
* **Details:** Gather details from the complainant about the alleged harassment, including specific incidents, dates, witnesses, and any evidence they might have.
* **Anti-Harassment Policy:** Review your company's anti-harassment policy (if you have one) and explain the investigation process to the complainant. If you don't have one, consider developing a policy that outlines what constitutes harassment, the reporting process, and disciplinary actions.
**Conduct an Investigation:**
* **Impartial Investigator:** Assign an impartial investigator, ideally someone from HR or someone not directly involved with the complainant or the accused.
* **Gather Evidence:** Interview the accused and any potential witnesses. Collect and analyze any relevant evidence like emails, text messages, or video recordings.
* **Fairness:** Ensure a fair and objective investigation that considers both sides of the story.
**Take Appropriate Action:**
* **Disciplinary Measures:** Depending on the severity of the harassment and the findings of the investigation, appropriate disciplinary action may be taken against the accused. This could include warnings, suspension, or termination of employment.
* **Prevention:** Implement measures to prevent future harassment, such as anti-harassment training for all employees and revising policies to address any shortcomings.
**Additional Considerations:**
* **Legal Consultation:** Consulting a lawyer experienced in labor law is highly recommended, especially for complex cases. They can advise on legal requirements and ensure compliance with anti-discrimination laws.
* **Government Agencies:** The Department of Labor and Employment (DOLE) and the Commission on Women (CWC) offer resources and assistance in resolving workplace harassment complaints.
**Remember:**
Preventing and addressing workplace harassment is crucial for maintaining a safe and respectful work environment for all employees. By following a fair and thorough process, employers can fulfill their legal obligations and create a positive work culture.</t>
  </si>
  <si>
    <t>What actions can an employer take if an employee is found stealing from the company?</t>
  </si>
  <si>
    <t>Here's how an employer in the Philippines can handle a situation where an employee is found stealing from the company:
**1. Gather Evidence and Secure the Scene:**
* **Preliminary Investigation:** Conduct an initial investigation to gather evidence supporting the suspicion of theft. This might involve reviewing security footage, witness testimonies, or internal records.
* **Secure the Scene:** If physical evidence like stolen items is present, secure it to prevent tampering.
**2. Confrontation and Investigation:**
* **Confrontation:** Once you have a reasonable basis for suspicion, confront the employee in a private and professional manner. Allow them to explain their side of the story, but maintain a neutral stance.
* **Detailed Investigation:** Regardless of the employee's response, conduct a thorough investigation to confirm or dispel the allegations. Be mindful of the employee's right to due process.
**3. Legal Considerations:**
* **Consult a Lawyer:** Consulting a lawyer experienced in labor law is highly recommended. They can advise on the legal implications, appropriate course of action, and ensure compliance with Philippine labor laws.
* **Right to Legal Counsel:** The employee has the right to legal counsel during the investigation process. **4. Potential Courses of Action:**
* **Disciplinary Action:** Depending on the severity of the theft and the findings of the investigation, disciplinary action can be taken. This could range from a warning to termination of employment.
* **Police Involvement:** For serious cases of theft, involving the police might be necessary. They can conduct their own investigation and potentially file criminal charges against the employee.
* **Civil Suit:** The company may also consider filing a civil suit against the employee to recover the stolen property or claim damages.
**5. Importance of Documentation:**
* **Document Everything:** Document all stages of the process, including the initial suspicion, investigation findings, and any disciplinary actions taken. This documented trail will be crucial if the case goes to court. **Remember:**
The appropriate course of action depends on the specific circumstances of the case. Following these steps ensures a fair and legally sound approach to handling employee theft.</t>
  </si>
  <si>
    <t>A pregnant employee requests accommodations at work due to her condition. What are the employer's obligations?</t>
  </si>
  <si>
    <t>Philippine law mandates that employers provide reasonable accommodations for pregnant employees. Here's a breakdown of the relevant provisions and your obligations as an employer:
**Legal Basis:**
* **The Constitution:** The right to health (Article II, Section 15) and security of tenure (Article XIII, Section 3) are enshrined in the Constitution [https://lawlibrary.chanrobles.com/](https://lawlibrary.chanrobles.com/)].
* **Republic Act No. 9710 (Magna Carta for Working Women):** This law guarantees specific rights and benefits for pregnant workers, including the right to reasonable workplace accommodations [invalid URL removed]]. * **Department of Labor and Employment (DOLE) Issuances:** DOLE may issue department orders or advisories providing further guidance on implementing these provisions.
**Employer's Obligations:**
* **Engage in Interactive Process:** Once an employee informs you about their pregnancy and requests accommodation, engage in an interactive process to discuss their specific needs and explore potential solutions.
* **Provide Reasonable Accommodations:** The law requires providing "reasonable accommodations" to help the employee continue working safely and comfortably throughout their pregnancy. This is determined on a case-by-case basis, but some examples include:
* Modified work schedule or lighter duties
* More frequent breaks
* Temporary transfer to a less physically demanding position
* Provision of ergonomic furniture or equipment
* **Undue Hardship:** You can deny the requested accommodation only if it can be demonstrably proven to cause "undue hardship" to the operation of your business. * The burden of proof lies with the employer to establish undue hardship. Consider the nature of the accommodation, the size and resources of your business, and potential alternative arrangements.
* **Non-Discrimination:** Pregnant employees cannot be discriminated against in terms of wages, promotions, or other benefits due to their pregnancy or request for accommodation.
**Additional Considerations:**
* **Medical Documentation:** While you can request medical documentation to support the need for accommodation, it should be limited to the essential details related to the requested accommodation. You cannot demand the employee's entire medical history.
* **Maintaining Confidentiality:** Maintain the confidentiality of the employee's medical information.
* **Seeking Legal Counsel:** Consulting a lawyer can be helpful to navigate specific situations and ensure compliance with labor laws.
By fulfilling these obligations, you create a supportive work environment for pregnant employees and potentially reduce the risk of legal challenges.</t>
  </si>
  <si>
    <t>How should an employer handle a situation where an employee is continuously absent without leave?</t>
  </si>
  <si>
    <t>An employee continuously absent without leave (AWOL) can be a frustrating situation for employers in the Philippines. Here's a recommended approach to handle it effectively and legally:
**Initial Steps:**
1. **Attempt to Contact the Employee:** Try to reach the employee through their phone number, emergency contact information, or even personal visits if feasible. Leave clear messages requesting them to contact you as soon as possible and explain their absence. 2. **Document Everything:** Keep a record of all your attempts to contact the employee, including dates, times, and the content of any messages left. This documented trail will be crucial if disciplinary action becomes necessary.
**Assessing the Situation:**
1. **Consider Potential Reasons:** While absence without permission is a serious concern, consider if there might be a legitimate explanation. The employee could be facing a personal emergency, illness, or other unexpected circumstances.
2. **Severity of Absence:** Evaluate the duration and frequency of the unauthorized absences. A single isolated incident might warrant a different approach than a repeated pattern.
**Taking Action:**
1. **Formal Communication:** If you can't reach the employee or their absence remains unexplained, send a formal written notice via registered mail or traceable courier service. * The notice should clearly state the employee's absence without leave and the potential consequences of continued non-communication. * It should also request a written explanation for their absence within a specific timeframe (typically a few days).
2. **Investigate Further:** If you receive a response explaining the absence, investigate the explanation's validity. Consider requesting documentation if appropriate (e.g., medical certificate for illness).
3. **Disciplinary Action:** In cases where the absence remains unexplained or is deemed unjustified, you may have to initiate disciplinary action. This could range from a verbal or written warning to suspension or even termination of employment.
* The severity of the disciplinary action should be proportionate to the seriousness of the offense, considering the employee's past record and the company's policies.
**Legal Considerations:**
* **Due Process:** Always ensure you follow due process throughout the process. This includes providing the employee with the opportunity to explain their absence before taking disciplinary action.
* **Consult a Lawyer:** Consulting a lawyer experienced in labor law is advisable, especially before taking disciplinary action. They can guide you on legally compliant procedures and minimize the risk of wrongful termination claims.
**Remember:**
The goal is to address the unauthorized absence while ensuring fair treatment of the employee. By following these steps and seeking legal guidance when needed, you can navigate this situation effectively and protect your business interests.</t>
  </si>
  <si>
    <t>An employee has been diagnosed with a contagious illness. What are the employer's responsibilities?</t>
  </si>
  <si>
    <t>When an employee is diagnosed with a contagious illness in the Philippines, an employer has several key responsibilities to protect the health and safety of the workplace while also considering the employee's well-being. Here's a breakdown of what you should do:
**Immediate Steps:**
1. **Gather Information:** Confidentially discuss the situation with the employee. Learn about the specific illness, potential severity, and any recommendations from their doctor regarding work restrictions or isolation.
2. **Review Policies:** Refer to your company's sick leave policy, health and safety protocols, and any relevant guidelines from the Department of Health (DOH) regarding the specific contagious illness [https://doh.gov.ph/](https://doh.gov.ph/).
3. **Protect Employee Privacy:** Maintain confidentiality regarding the employee's illness while taking necessary measures to safeguard others.
**Balancing Employee Needs and Workplace Safety:**
1. **Consider Options:** Depending on the illness, severity, and doctor's recommendations, explore possibilities like:
* **Paid Sick Leave:** Allow the employee to use paid sick leave to recover at home if appropriate.
* **Work from Home:** If feasible for the employee's role and their condition allows it, consider temporary work-from-home arrangements.
* **Medical Leave:** For extended absences, unpaid medical leave might be an option, following relevant company policies and government regulations.
2. **Workplace Hygiene Practices:** Emphasize proper hygiene practices for all employees, such as frequent handwashing, cough etiquette, and appropriate use of personal protective equipment (PPE) if necessary. 3. **Cleaning and Disinfection:** Ensure thorough cleaning and disinfection of the work areas used by the sick employee, following guidelines from the DOH.
4. **Communication and Transparency:** Communicate clearly with your employees about the situation without disclosing sensitive medical information. Encourage them to report any potential symptoms they might experience.
5. **Accommodation and Non-Discrimination:** Make reasonable accommodations for the employee upon their return, considering any limitations arising from their illness. Avoid any discrimination based on their medical condition.
**Importance of Legal Compliance:**
* **Consult a Lawyer:** Consulting a lawyer experienced in labor law is highly recommended. They can advise on specific legal requirements regarding leaves of absence, disability accommodations, and ensuring compliance with health and safety regulations.
**Additional Resources:**
* Department of Health (DOH) Philippines: [https://doh.gov.ph/](https://doh.gov.ph/)
By following these steps and seeking professional guidance when needed, you can demonstrate a responsible approach to handling a contagious illness in the workplace, prioritizing employee well-being and ensuring a safe work environment.</t>
  </si>
  <si>
    <t>What steps should an employer take if an employee refuses to follow safety protocols in the workplace?</t>
  </si>
  <si>
    <t>Here are the steps an employer in the Philippines should take if an employee refuses to follow safety protocols in the workplace:
**Focus on Safety and Correction:**
* **Immediate Intervention:** The primary concern is ensuring a safe work environment. Stop the employee from the unsafe activity immediately and address the situation calmly but firmly.
* **Explain the Risks:** Clearly explain the potential hazards associated with their actions and the importance of following safety protocols. Refer to specific company policies or regulations if applicable.
**Progressive Discipline:**
1. **Verbal Warning:** If it's a first-time offense, a verbal warning is a good starting point. Document the incident, including the date, details of the unsafe behavior, and the employee's response to your explanation.
2. **Written Warning:** For repeated violations or serious safety breaches, a written warning is necessary. This formal documentation serves as a record and emphasizes the gravity of the situation.
3. **Suspension or Termination:** Continued disregard for safety protocols, especially after warnings, may warrant harsher consequences like suspension or even termination of employment. The severity of the disciplinary action should be proportionate to the offense.
**Maintaining Fairness and Documentation:**
* **Due Process:** Throughout the process, ensure the employee receives due process. This includes the right to be heard and explain their actions before any disciplinary action is taken.
* **Consistent Enforcement:** Enforce safety protocols consistently for all employees to maintain a culture of safety. Selective enforcement can create resentment and undermine the effectiveness of the safety program.
* **Thorough Documentation:** Document every incident of non-compliance, including the details of the unsafe behavior, the corrective actions taken, and the employee's response. This documented record is crucial for future reference and protects the company in case of legal disputes.
**Additional Considerations:**
* **Identify Root Cause:** Sometimes, non-compliance might stem from a lack of understanding, inadequate training, or faulty safety equipment. Investigate the root cause and address any systemic issues within the safety protocols.
* **Positive Reinforcement:** Recognize and appreciate employees who consistently follow safety protocols. This positive reinforcement encourages a culture of safety awareness.
* **Legal Consultation:** Consulting a lawyer experienced in labor law is advisable, especially for complex situations or when considering termination of employment. They can ensure compliance with legal requirements and minimize legal risks.
**Remember:**
The goal is to create a work environment where safety is a top priority for everyone. By following a clear process, enforcing protocols fairly, and fostering a culture of safety awareness, employers can effectively address employee non-compliance and minimize the risk of workplace accidents.</t>
  </si>
  <si>
    <t>Can an employer change an employee's work schedule without their consent?</t>
  </si>
  <si>
    <t>In the Philippines, an employer's ability to change an employee's work schedule without their consent depends on the circumstances. Here's a breakdown of the key points:
* **General Rule:** The Philippine Labor Code (RA No. 6715) emphasizes the right of employees to security of tenure (Article XIII, Section 3). This generally protects employees from unilateral changes to their employment terms and conditions, including work schedules.
* **Exceptions with Notice:** Employers can change work schedules in some instances, but typically with notice to the employee.
* **Management Prerogative:** Employers have some management prerogative to adjust work schedules due to business needs. However, such changes should be reasonable and done with sufficient notice to allow employees to adjust their personal lives accordingly.
* **Collective Bargaining Agreement (CBA):** If a CBA exists between the employer and a union representing the employees, the CBA might outline specific procedures or limitations on changing work schedules.
* **Changing Work Schedule vs. Flexible Work Arrangements:** The concept of flexible work arrangements, like flexi-time or compressed workweeks, is gaining traction. These arrangements typically involve mutual agreement between the employer and employee regarding changes to the standard work schedule.
* **Employee Consent:** Obtaining the employee's consent for a work schedule change is always the best practice. This fosters a more positive and collaborative work environment.
**What if the Employee Doesn't Agree?**
* **Negotiation:** Employers should attempt to negotiate a mutually agreeable solution considering both business needs and the employee's situation.
* **Legal Considerations:** If an agreement can't be reached, consulting a lawyer experienced in labor law is highly recommended. They can advise on the legality of the proposed schedule change and potential courses of action.
Here are some resources for further information:
* Department of Labor and Employment (DOLE) Philippines: [https://www.officialgazette.gov.ph/section/briefing-room/department-of-labor-and-employment/](https://www.officialgazette.gov.ph/section/briefing-room/department-of-labor-and-employment/)
**Remember:** While employers have some flexibility in managing work schedules, striking a balance between business needs and employee well-being is crucial. Open communication, negotiation, and obtaining consent whenever possible will contribute to a more harmonious and productive work environment.</t>
  </si>
  <si>
    <t>How should an employer address conflicts between employees in the workplace?</t>
  </si>
  <si>
    <t>Addressing conflicts between employees in the workplace is essential for maintaining a productive and positive work environment. Here's a recommended approach for employers in the Philippines:
**Early Intervention:**
* **Observe and Address Early Signs:** Be mindful of potential conflicts through employee behavior, communication patterns, or changes in work performance. Early intervention is crucial to prevent minor disagreements from escalating into bigger issues.
**Promoting Open Communication:**
* **Encourage Open Communication:** Foster a work environment where employees feel comfortable raising concerns about interpersonal conflicts. This allows for early identification and resolution of issues.
**Conflict Resolution Strategies:**
1. **Informal Mediation:**
* **Facilitation:** In less serious cases, an impartial manager can act as a facilitator, encouraging open communication between the conflicting employees to find a mutually agreeable solution.
* **Confidentiality:** Maintain confidentiality throughout the process to encourage honest communication from both sides.
2. **Formal Grievance Procedure:**
* **Established Process:** If the informal approach fails or the conflict is more serious, follow a pre-established grievance procedure outlined in your employee handbook. This procedure should detail steps for filing a complaint, investigation, and potential resolutions.
* **Fairness and Objectivity:** Ensure a fair and objective process throughout the grievance procedure. This might involve appointing a neutral committee to investigate the issue.
3. **External Mediation:** In complex situations, consider involving external mediators who are trained conflict resolution professionals.
**Addressing Underlying Issues:**
* **Root Cause Analysis:** Go beyond the surface-level conflict and try to identify the underlying reasons for the disagreement. This could be personality clashes, differing work styles, or misunderstandings about roles and responsibilities.
* **Addressing Systemic Issues:** If the conflict stems from systemic issues within the workplace, such as unclear communication channels or high workload pressure, take steps to address those issues as well.
**Following Through:**
* **Clear Expectations and Consequences:** Once a resolution is reached, clearly communicate expectations for future interactions between the employees. Outline potential consequences for further violations.
* **Follow-up:** Follow up with the involved employees after some time to ensure the conflict is truly resolved and there are no lingering issues.
**Prevention is Key:**
* **Team Building:** Promote team-building activities and foster a sense of collaboration among employees.
* **Effective Communication:** Train managers on effective communication skills to address issues constructively and mediate conflicts fairly.
* **Anti-Harassment Policy:** Having a clear and well-communicated anti-harassment policy can help prevent conflicts arising from bullying or inappropriate behavior.
By following these steps and prioritizing a proactive approach to conflict resolution, employers can create a work environment where disagreements are addressed constructively, and positive working relationships are fostered. Remember, seeking legal counsel can be helpful for navigating complex situations or ensuring compliance with labor laws.</t>
  </si>
  <si>
    <t>An employee reports unsafe working conditions. What actions should the employer take?</t>
  </si>
  <si>
    <t>Here's what an employer in the Philippines should do when an employee reports unsafe working conditions:
**Take the Report Seriously:** * **Acknowledge and Thank the Employee:** Thank the employee for bringing the issue to your attention. This shows you value their safety concerns.
* **Immediate Action:** For imminent dangers, take immediate action to protect employees. This might involve stopping the activity, evacuating the area, or providing necessary safety equipment.
**Investigate the Report:**
* **Gather Information:** Conduct a thorough investigation to assess the reported unsafe conditions. This includes:
* Interviewing the employee who reported the issue and any potential witnesses.
* Inspecting the workplace to verify the reported hazards.
* Reviewing relevant safety protocols and regulations.
* **Document Everything:** Document all aspects of the investigation, including the details of the report, your findings, and any corrective actions taken.
**Take Corrective Action:**
* **Address the Hazard:** Based on the investigation, prioritize and take steps to eliminate or control the identified hazard. This could involve:
* Repairing faulty equipment.
* Implementing new safety procedures.
* Providing proper training or Personal Protective Equipment (PPE)
* **Communicate with Employees:** Keep employees informed throughout the process. Communicate the nature of the reported hazard, the corrective actions taken, and any precautions they need to take in the meantime.
**Legal Considerations:**
* **Compliance with DOLE:** Ensure compliance with Department of Labor and Employment (DOLE) regulations regarding workplace safety [https://blr.dole.gov.ph/](https://blr.dole.gov.ph/).
* **Legal Consultation:** Consulting a lawyer experienced in labor law is advisable, especially for complex situations. They can advise on legal obligations and minimize potential liabilities.
**Preventing Future Incidents:**
* **Safety Culture:** Promote a strong safety culture in your workplace. This involves:
* Regularly reviewing and updating safety protocols.
* Providing ongoing safety training for employees.
* Encouraging open communication about safety concerns.
* **Employee Participation:** Involve employees in safety discussions and encourage them to report any potential hazards they encounter.
**Remember:** Taking a proactive approach to addressing unsafe working conditions protects employee safety, reduces the risk of accidents, and demonstrates your commitment to a safe work environment. By following these steps and prioritizing employee well-being, you can foster a positive work culture and avoid potential legal complications.</t>
  </si>
  <si>
    <t>What are the legal considerations for terminating an employee who is on sick leave?</t>
  </si>
  <si>
    <t>Terminating an employee on sick leave in the Philippines requires careful consideration of legal aspects to avoid wrongful termination claims. Here's a breakdown of the key points:
**General Rule: Difficulty in Termination**
* **Security of Tenure:** The Philippine Constitution and Labor Code (RA No. 6715) guarantee employees' security of tenure (Article XIII, Section 3) [https://lawlibrary.chanrobles.com/](https://lawlibrary.chanrobles.com/). This makes it generally difficult to terminate an employee without a valid reason and due process.
**Possible Grounds for Termination During Sick Leave:**
* **Just Cause:** Termination during sick leave might be possible if there's a valid "just cause" as defined by law, independent of the employee's illness. Just causes include:
* Gross misconduct
* Willful disobedience
* Habitual negligence
* Fraud or dishonesty
* **Redundancy:** If a genuine company restructuring necessitates eliminating the employee's position due to redundancy, termination might be an option. However, strict retrenchment procedures must be followed.
**Burden of Proof:**
* **The employer has the burden of proof** to demonstrate a valid reason for termination and that it was not due to the employee's illness.
**Due Process:**
* **Right to be Heard:** Even when there might be grounds for termination, the employee has the right to be heard and defend themselves before any final decision is made.
**Importance of Documentation:**
* **Detailed Records:** Maintain detailed records of the employee's illness, including medical certificates (if provided), communication regarding their sick leave, and any incidents leading to potential grounds for termination.
**Recommended Steps:**
1. **Consult a Lawyer:** Consulting a lawyer experienced in labor law is highly recommended. They can assess the specific situation, advise on the legality of termination during sick leave, and guide you through the appropriate procedures.
2. **Exhaust Other Options:** Before considering termination, explore alternative solutions like extending sick leave, offering modified duties upon return (if medically possible), or even considering separation agreements with appropriate severance pay.
3. **Follow Due Process:** If termination seems unavoidable, ensure you follow due process, including issuing written notices and providing the employee with the opportunity to respond.
**Additional Considerations:**
* **Company Policies:** Review your company policies regarding sick leave and termination procedures.
* **DOLE Guidelines:** The Department of Labor and Employment (DOLE) might issue guidelines or advisories regarding employee rights during sick leave. Refer to their website for updates [https://blr.dole.gov.ph/](https://blr.dole.gov.ph/).
**Remember:** Terminating an employee on sick leave is a complex issue. By prioritizing legal compliance, seeking legal counsel, and exploring alternative solutions, employers can minimize the risk of wrongful termination claims and ensure fair treatment of employees during their time of illness.</t>
  </si>
  <si>
    <t>How should an employer handle allegations of discrimination in the workplace?</t>
  </si>
  <si>
    <t>Here's how an employer in the Philippines should handle allegations of discrimination in the workplace:
**Take the Allegation Seriously:**
* **Confidentiality and Empathy:** Assure the employee who reported the discrimination that confidentiality will be maintained to the best possible extent throughout the investigation. Approach them with empathy and respect.
* **Prompt Investigation:** Initiate a prompt and impartial investigation into the alleged discrimination.
**Investigative Process:**
* **Internal Investigator:** Assign an impartial investigator, ideally someone from HR or someone not directly involved with the complainant or the accused.
* **Gather Information:** Gather information from the complainant, including specific details of the alleged discriminatory behavior, dates, witnesses, and any evidence they might have.
* **Review Policies:** Review your company's anti-discrimination policy (if you have one) and explain the investigation process to the complainant. If you don't have one, consider developing a policy that prohibits discrimination based on protected characteristics like race, religion, gender, age, disability, etc.
* **Interview Witnesses:** Interview any potential witnesses who might have relevant information about the alleged incident.
**Taking Action:**
* **Disciplinary Measures:** Depending on the severity of the discrimination and the findings of the investigation, appropriate disciplinary action may be taken against the accused. This could range from warnings to termination of employment.
* **Preventative Measures:** Implement measures to prevent future discrimination in the workplace. This might include:
* Conducting anti-discrimination training for all employees.
* Revising policies to address any shortcomings identified during the investigation.
* Fostering a culture of inclusion and respect for diversity.
**Legal Considerations:**
* **Legal Consultation:** Consulting a lawyer experienced in labor law is highly recommended, especially for complex cases. They can advise on legal requirements and ensure compliance with anti-discrimination laws like Republic Act No. 10354 (Expanded Anti-Discrimination Act).
* **DOLE and CHR:** The Department of Labor and Employment (DOLE) and the Commission on Human Rights (CHR) offer resources and assistance in resolving workplace discrimination complaints [https://blr.dole.gov.ph/](https://blr.dole.gov.ph/) [https://www.chr.gov.ph/](https://www.chr.gov.ph/).
**Transparency and Communication:**
* **Keep the Complainant Informed:** While maintaining confidentiality, keep the complainant informed about the progress of the investigation.
* **Clear Communication:** Communicate the results of the investigation to both the complainant and the accused in a clear and professional manner.
**Remember:**
Discrimination in the workplace is a serious issue that can have a negative impact on employees' well-being and morale. By following a fair and thorough process, employers can fulfill their legal obligations, create a more inclusive work environment, and minimize the risk of legal challenges.</t>
  </si>
  <si>
    <t>Can an employer require employees to work on holidays? If so, what compensation is required?</t>
  </si>
  <si>
    <t>Yes, an employer can require employees to work on holidays in the Philippines, but with specific compensation mandates according to the Labor Code [RA No. 6715]. Here's a breakdown:
* **Regular Holidays:** * Employees are entitled to their regular daily wage even if they don't work on a regular holiday (Article 94). * Exceptions exist for retail and service establishments with less than 10 employees (Article 94).
* If an employee works on a regular holiday, they must be paid double their regular rate (twice their regular wage + regular daily wage) (Article 94).
* **Special (Non-working) Holidays:**
* There's no obligation for employers to pay employees if they don't work on a special non-working day (DOLE Labor Advisory No. 02- Series of 2023).
* However, a collective bargaining agreement or company policy can provide pay for such days.
* If an employee works on a special non-working day, they are entitled to their basic wage for the first 8 hours, with an additional 30% (Article 94 and DOLE Labor Advisory No. 02- Series of 2023).
* If the work exceeds 8 hours on a special non-working day, the employee gets an additional 30% of their hourly rate for the overtime hours (Article 94 and DOLE Labor Advisory No. 02- Series of 2023).
Remember, the Philippine Constitution (Article XIII, Section 3) guarantees workers the right to just and favorable terms of employment. If you feel your employer is not following proper holiday pay regulations, you can reach out to the Department of Labor and Employment (DOLE) for assistance.</t>
  </si>
  <si>
    <t>How should an employer handle requests for religious accommodations in the workplace?</t>
  </si>
  <si>
    <t>Philippine law doesn't have a specific code dedicated to religious accommodation in the workplace. However, the following principles from the Constitution and existing laws can guide employers:
* **Religious Freedom (Constitution, Article III, Section 5):** This guarantees Filipinos the right to free exercise of religion. This includes the right to observe religious practices and beliefs without undue government interference. By extension, it applies to the workplace. * **Right to Equality (Constitution, Article XIV, Section 1):** This guarantees equal protection of the law, regardless of religion. Employers should not discriminate against employees based on their religious beliefs.
* **Reasonable Accommodation (RA No. 10022 or the Anti-Discrimination Act):** While not explicitly stated for religion, this law prohibits discrimination based on a person's "religious profession or affiliation." The concept of reasonable accommodation can be applied here. Employers must consider adjustments to accommodate religious practices unless it poses an undue hardship to the business operations (Section 25).
Here's how an employer can handle requests for religious accommodations based on these principles:
* **Interactive Process:** Engage in a conversation with the employee to understand their religious needs and the potential impact on work. * **Consider the Request:** Evaluate the accommodation request fairly and explore possibilities. Examples of reasonable accommodations could be flexible scheduling, modified dress codes, or time off for religious observances.
* **Undue Hardship:** If the accommodation creates significant difficulty or expense for the business, discuss alternative solutions with the employee. **Additional Resources:**
* You can find more information on the Philippine Constitution here: [https://lawphil.net/consti/cons1987.html](https://lawphil.net/consti/cons1987.html)
* The DOLE website also has resources on labor laws: [https://www.officialgazette.gov.ph/section/briefing-room/department-of-labor-and-employment/](https://www.officialgazette.gov.ph/section/briefing-room/department-of-labor-and-employment/)
Remember, this is a simplified explanation. If you require more specific guidance on a religious accommodation situation, it's recommended to consult a lawyer specializing in labor law.</t>
  </si>
  <si>
    <t>What steps should an employer take if an employee is found to be under the influence of drugs or alcohol at work?</t>
  </si>
  <si>
    <t>Here are the steps an employer can take in the Philippines if an employee is found to be under the influence of drugs or alcohol at work, following Philippine law:
**1. Ensure Safety:**
* The top priority is to ensure the safety of the employee, other employees, and anyone else who might be affected. * If the employee is in a safety-sensitive position (operating machinery, driving), remove them from the situation immediately. * Depending on the severity, consider escorting the employee home or calling a taxi/ride-sharing service.
**2. Documentation and Witness Statements:**
* Document the situation objectively, including the date, time, observed behavior, and any witnesses present. * If possible, obtain signed statements from witnesses who can corroborate your observations.
**3. Follow Company Policy:**
* Most companies have established policies regarding drug and alcohol use in the workplace. Refer to this policy to guide the next steps. * The policy should outline procedures for addressing suspected use and potential consequences.
**4. Reasonable Suspicion Drug Testing:**
* The Philippines allows for reasonable suspicion drug testing under Department Order No. 13 Series of 2018 issued by the Dangerous Drugs Board (DDB). * This means an employer can require a drug test if there is a reasonable suspicion that the employee is under the influence based on observable behavior and/or job performance. * The DDB also regulates the process for drug testing, including using a DOH-accredited facility and maintaining confidentiality.
**5. Disciplinary Action:**
* Based on the documented observations, witness statements (if applicable), and potential positive drug test results, the employer can initiate disciplinary action according to company policy and the Labor Code (RA No. 6715).
* This could range from a verbal warning for a first offense to termination for severe cases or repeated offenses, especially if it poses a safety risk.
**6. Employee Assistance Program (EAP):**
* Some companies offer EAPs to assist employees with substance abuse problems. * If your company has an EAP, you can encourage the employee to seek help through the program as part of the disciplinary process.
**Important Considerations:**
* **Employee Rights:** Employees have rights under the Constitution (right to privacy) and the Labor Code (just cause for termination). * **Legal Counsel:** It's recommended to consult with a lawyer specializing in labor law to ensure the company's actions comply with legal requirements, especially regarding drug testing procedures and potential disciplinary actions.
**Resources:**
* Dangerous Drugs Board (DDB): [https://ddb.gov.ph/](https://ddb.gov.ph/)
* Department of Labor and Employment (DOLE): [https://www.officialgazette.gov.ph/section/briefing-room/department-of-labor-and-employment/](https://www.officialgazette.gov.ph/section/briefing-room/department-of-labor-and-employment/)</t>
  </si>
  <si>
    <t>An employee refuses to sign a contract that includes a non-compete clause. Can the employer enforce it?</t>
  </si>
  <si>
    <t>In the Philippines, the enforceability of non-compete clauses in employment contracts is a nuanced issue. Here's what you need to know:
**Non-Compete Clauses Can Be Included, But...**
* Philippine law doesn't explicitly prohibit non-compete clauses. You can include them in employment contracts.
**...They Must Be Reasonable**
However, the Supreme Court has ruled that non-compete clauses must be reasonable to be enforceable. This means they should not be overly restrictive on the employee's ability to find future employment in their field. Here are some factors considered for reasonableness:
* **Scope of Restriction:** * The clause shouldn't restrict the employee from working in a similar role across all industries. It should be limited to protecting the employer's legitimate business interests, such as trade secrets or client relationships.
* **Geographic Scope:**
* The geographic area the clause restricts the employee from working in should be reasonable. A nationwide ban for a common job role might be excessive.
* **Time Period:**
* The duration of the non-compete clause should be limited. There's no specific legal limit, but courts may consider a longer period unreasonable.
**Employee's Refusal to Sign**
* An employee's refusal to sign a contract with a non-compete clause doesn't automatically make the clause unenforceable. * The employer can still enforce the clause if it's deemed reasonable by a court, considering the factors mentioned above.
**Alternatives for Employers**
* If the main concern is protecting confidential information, consider a separate confidentiality agreement instead of a non-compete clause.
* **Seeking Legal Advice**
* This is a complex area of law. It's highly recommended to consult a lawyer specializing in labor law to draft a reasonable non-compete clause and understand its enforceability in your specific situation.
Here are some resources for further reference:
* Non-compete covenants in Philippine employment agreements [invalid URL removed]
* Non-Compete Agreements [https://laborlaw.ph/non-compete-agreements/](https://laborlaw.ph/non-compete-agreements/)</t>
  </si>
  <si>
    <t>How should an employer address rumors of layoffs in the workplace?</t>
  </si>
  <si>
    <t>Here's how an employer can address rumors of layoffs in the workplace according to best practices:
**Transparency and Honesty (When Possible):**
* If layoffs are confirmed or seriously under consideration, address the situation promptly. Transparency builds trust and reduces anxiety. * However, if the situation is still uncertain or decisions haven't been finalized, acknowledge the rumors and assure employees you'll communicate updates as soon as possible.
**Open Communication:**
* Hold a town hall meeting or send a company-wide email to address the rumors directly. * Explain the current business situation and the factors leading to potential layoffs (if applicable). * Be honest but avoid unnecessary details that might cause panic.
**Focus on Facts, Not Speculation:**
* Don't engage in speculation or provide false hope. Stick to the facts and the current situation. * Address employee questions openly and honestly, but avoid disclosing confidential information.
**Empathy and Support:**
* Acknowledge the stress and uncertainty rumors can cause. * If layoffs are happening, express empathy for those impacted. * Consider offering outplacement services or severance packages to support departing employees.
**Maintain Focus on Work:**
* While addressing the rumors, encourage employees to maintain focus on their work. * Emphasize the importance of continued productivity for the company's future.
**Legal Considerations:**
* In the Philippines, there's no legal obligation to disclose potential layoffs unless they're confirmed. * However, it's always best practice to communicate openly and honestly with employees.
* If layoffs do occur, ensure compliance with Philippine labor laws regarding termination pay and other employee rights. Consider consulting a lawyer specializing in labor law for guidance.
**Remember:**
* Clear and timely communication is key. * Be honest and empathetic, but avoid creating unnecessary panic. * Focus on facts and prioritize maintaining a productive work environment.</t>
  </si>
  <si>
    <t>Can an employer monitor employee communications and internet usage in the workplace?</t>
  </si>
  <si>
    <t>In the Philippines, an employer's ability to monitor employee communications and internet usage in the workplace is a balancing act between legitimate business interests and employee privacy rights. Here's a breakdown based on Philippine law:
* **Data Privacy Act (DPA):** This law (RA No. 10173) protects the privacy of personal information. It applies to the processing of employee data, including communication and internet activity.
* **Legitimate Interest:** Employers can monitor employee activities if it serves a legitimate business interest. Examples include:
* Ensuring company resources are used for work purposes and not personal browsing.
* Preventing the spread of malware or security breaches.
* Monitoring employee compliance with company policies.
* **Transparency and Notification:** Employees must be aware they are being monitored. The employer should have a clear policy outlining the types of monitoring conducted, the purpose, and how data is stored and accessed.
* **Proportionality:** Monitoring should be proportionate to the legitimate business interest. For example, employers shouldn't monitor personal emails or social media accounts unless there's a strong suspicion of misuse.
**Key Resources:**
* National Privacy Commission (NPC): [https://privacy.gov.ph/](https://privacy.gov.ph/)
* NPC Advisory Opinion No. 2018-084: [https://privacy.gov.ph/npc-phe-bulletin-no-14-updated-frequently-asked-questions-faqs/](https://privacy.gov.ph/npc-phe-bulletin-no-14-updated-frequently-asked-questions-faqs/) (This provides a more detailed legal analysis on employee monitoring)
**Recommendations:**
* Develop a clear and comprehensive Electronic Communications Acceptable Use Policy (ECAP) that outlines permitted and prohibited uses of company resources.
* Inform employees about the ECAP and obtain their acknowledgment. * Ensure monitoring practices comply with the Data Privacy Act principles, particularly transparency, legitimate purpose, and proportionality.
**Consulting a Lawyer:**
Labor law can be complex, and seeking guidance from a lawyer specializing in data privacy and labor law is highly recommended. They can help you draft an ECAP and ensure your monitoring practices comply with Philippine law.</t>
  </si>
  <si>
    <t>What actions should an employer take if an employee is continuously tardy?</t>
  </si>
  <si>
    <t>Here's a guideline on how an employer in the Philippines can address a chronically tardy employee:
**1. Documentation and Private Discussion:**
* Start by documenting the employee's tardiness. Keep a record of dates, times, and any explanations provided.
* Schedule a private meeting with the employee to discuss the issue. * Explain how their tardiness is affecting their work and potentially the team's performance.
**2. Understand the Reason:**
* During the discussion, try to understand the root cause of the tardiness. It could be due to transportation issues, personal problems, or misunderstandings about work hours. **3. Explore Solutions:**
* Collaborate with the employee to find solutions. * This might involve flexible work arrangements, adjusted start times (if feasible), or carpooling options (if applicable).
**4. Progressive Discipline (if necessary):**
* If tardiness persists after exploring solutions, implement a progressive disciplinary approach.
* This typically involves a verbal warning followed by a written warning if the behavior continues.
* **Content of Warnings:** The warnings should clearly outline expectations, the consequences of continued tardiness, and a timeframe for improvement.
**5. Consider Legal Action (as a last resort):**
* In severe cases with consistent tardiness despite warnings and neglecting proposed solutions, termination of employment might be a last resort. * However, ensure proper documentation and adherence to termination procedures outlined in the Labor Code (RA No. 6715) to avoid legal complications. **Additional Tips:**
* Maintain a fair and consistent approach to tardiness across all employees.
* Emphasize the importance of punctuality and professionalism in the workplace.
* Offer support if the tardiness stems from personal problems the employee is willing to disclose.
Remember, open communication and exploring solutions before resorting to disciplinary measures are key. **Resources:**
* Department of Labor and Employment (DOLE): [https://www.officialgazette.gov.ph/section/briefing-room/department-of-labor-and-employment/](https://www.officialgazette.gov.ph/section/briefing-room/department-of-labor-and-employment/)</t>
  </si>
  <si>
    <t>How should an employer handle a situation where an employee's performance is affected by mental health issues?</t>
  </si>
  <si>
    <t>Here's how an employer in the Philippines can handle a situation where an employee's performance is affected by mental health issues:
**1. Prioritize Open Communication:**
* Encourage a safe space for open communication. This allows the employee to disclose their mental health struggles if they feel comfortable. * You can initiate a conversation by expressing concern about their performance and well-being. **2. Maintain Confidentiality:**
* Respect the employee's privacy. Assure them that any information disclosed regarding their mental health will be kept confidential, within the boundaries of the law.
**3. Explore Reasonable Accommodations (if applicable):**
* The Philippine Constitution (Article XIII, Section 3) guarantees the right to just and favorable terms of employment. * If the employee discloses a mental health condition, explore reasonable accommodations that can support their work performance without undue hardship to the business. This could include:
* Flexible work schedules
* Modified workloads or deadlines
* Short-term leave for treatment
**4. Consider Employee Assistance Programs (EAPs):**
* If your company has an EAP, encourage the employee to utilize its services. * EAPs offer confidential counseling and support for employees facing personal or work-related challenges, including mental health issues.
**5. Manage Expectations and Set Goals:**
* Collaborate with the employee (and potentially HR) to set realistic and achievable performance goals. * Regular check-ins can track progress and adjust the plan as needed. **6. Maintain a Supportive Work Environment:**
* Promote a workplace culture that fosters mental health awareness and reduces stigma. * Train managers and supervisors on recognizing signs of mental health struggles and how to offer support.
**7. Seek Legal Guidance (if necessary):**
* Complex situations or potential legal implications might require consulting a lawyer specializing in labor law. * They can offer guidance on appropriate accommodations or potential legal requirements based on the specific situation.
**Resources:**
* Department of Labor and Employment (DOLE): [https://www.officialgazette.gov.ph/section/briefing-room/department-of-labor-and-employment/](https://www.officialgazette.gov.ph/section/briefing-room/department-of-labor-and-employment/)
* Philippine Mental Health Association: [https://pmha.org.ph/](https://pmha.org.ph/)
**Remember:** * Empathy and understanding are crucial.
* Focus on supporting the employee's well-being and finding solutions that benefit both the employee and the company.
* When in doubt, prioritize open communication and seek legal guidance if necessary.</t>
  </si>
  <si>
    <t>Can an employer require employees to work overtime during emergencies without additional compensation?</t>
  </si>
  <si>
    <t>In the Philippines, the answer depends on the type of emergency. Here's a breakdown based on Philippine law (Labor Code - RA No. 6715):
**General Rule: Overtime Requires Additional Pay**
* Overtime work is defined as any work performed beyond the regular working hours, which is typically 8 hours per day (Article 87).
* Employees are entitled to additional compensation for overtime work (Article 90).
**Exception: Emergency Overtime Work**
There are exceptions where employers can require overtime work without additional compensation, but only under specific emergency situations (Article 89):
* **War or National Emergency:** When the country is at war or a national emergency has been declared by the National Assembly or the Chief Executive.
* **Actual or Impending Emergencies:** In cases of actual or impending emergencies caused by serious accidents, fire, flood, typhoon, earthquake, epidemic, or other disasters or calamities to prevent loss of life or property or imminent danger to public safety.
**Emergency Overtime vs. Other Situations**
It's important to distinguish emergency overtime from other situations that might require extra work:
* **Meeting Deadlines:** If overtime work is due to regular workload or meeting deadlines, overtime pay applies. * **Urgent but Not Emergencies:** Even urgent work that doesn't fall under the emergency categories listed above (e.g., fixing a machine breakdown) requires overtime pay.
**Key Points:**
* Emergency overtime is a limited exception. * For most overtime work, even during challenging circumstances, employees are entitled to additional compensation.
* If you're unsure if a situation qualifies for emergency overtime, consulting a lawyer specializing in labor law is recommended.
**Resources:**
* Department of Labor and Employment (DOLE): [https://www.officialgazette.gov.ph/](https://www.officialgazette.gov.ph/)</t>
  </si>
  <si>
    <t>What steps should an employer take if an employee is accused of violating company policies on social media?</t>
  </si>
  <si>
    <t>Here's a guideline for how an employer in the Philippines can address an employee accused of violating company social media policies:
**1. Gather Information:**
* **Investigate the Accusation:** Before taking any action, investigate the alleged violation. This might involve gathering evidence like screenshots or witness statements (if applicable). * **Review the Social Media Policy:** Ensure you understand the specific company policy on social media use and the potential consequences of violations. * **Consider the Context:** Evaluate the context of the employee's social media activity. Was it on their personal account during non-work hours? Did it directly identify the company or colleagues? Severity can vary depending on these factors.
**2. Maintain Confidentiality:**
* Throughout the process, prioritize confidentiality. * Limit discussions about the situation to those directly involved in the investigation. **3. Due Process:**
* **Employee Discussion:** Once you have gathered information, schedule a private meeting with the employee to discuss the accusation. * **Right to Explanation:** Provide them with a chance to explain their actions and present their perspective.
**4. Decision and Potential Actions:**
* **Based on the investigation and employee explanation, decide on appropriate action.** This could range from:
* **Informal Warning:** A verbal or written warning reminding the employee of the policy and potential consequences of future violations.
* **Disciplinary Action:** Depending on the severity of the violation, disciplinary measures could be implemented according to company policy, potentially including suspension or termination.
**Important Considerations:**
* **Balance Legitimate Interests:** The company has a right to protect its reputation and enforce policies. However, balance this with the employee's right to freedom of expression on their personal social media accounts outside of work hours. * **Proportionality:** The disciplinary action should be proportionate to the severity of the violation.
**Legal Considerations:**
* Philippine law doesn't have specific regulations on social media conduct outside of work. However, the Constitution (Article III, Section 5) guarantees freedom of speech. * Consulting a lawyer specializing in labor law is recommended to ensure your actions comply with Philippine law and avoid potential legal disputes.
**Additional Resources:**
* Department of Labor and Employment (DOLE): [https://www.officialgazette.gov.ph/section/briefing-room/department-of-labor-and-employment/](https://www.officialgazette.gov.ph/section/briefing-room/department-of-labor-and-employment/)
Remember, a clear and well-defined social media policy helps manage expectations and provides a framework for addressing potential violations.</t>
  </si>
  <si>
    <t>How should an employer handle a situation where an employee refuses to sign a performance improvement plan?</t>
  </si>
  <si>
    <t>Here's how an employer in the Philippines can handle a situation where an employee refuses to sign a performance improvement plan (PIP):
**Understanding the Reasons for Refusal:**
* Before taking further action, try to understand why the employee is hesitant to sign the PIP. * Schedule a private meeting to discuss their concerns. * It could be due to disagreements with the performance assessment, unrealistic improvement goals, or a lack of clarity about the consequences of not meeting the plan.
**Addressing Concerns and Open Communication:**
* Address the employee's specific concerns openly and honestly. * Be willing to clarify the PIP and adjust specific points if necessary, as long as it maintains the overall goal of performance improvement.
* Encourage open communication and focus on finding a solution that works for both parties.
**Options When Negotiation Fails:**
* If discussions fail to reach an agreement on the PIP, the employer has a few options:
* **Document the Refusal:** Maintain a record of the discussions and the employee's refusal to sign the PIP.
* **Proceed with the PIP (without signature):** The PIP can still be implemented even without the employee's signature. However, ensure clear communication about the expectations and potential consequences.
* **Consider Alternative Solutions:** Depending on the situation, explore alternative solutions like additional training or reassignment (if applicable) before resorting to disciplinary action.
**Legal Considerations:**
* In the Philippines, there's no legal requirement for an employee to sign a PIP. * The focus should be on documented performance issues, clear improvement goals, and fair implementation of the plan.
**Importance of Documentation:**
* Proper documentation is crucial throughout the process. * This includes documenting performance concerns, discussions with the employee, the PIP itself, and any attempts to address their concerns regarding the plan.
**Seeking Legal Guidance:**
* Consulting a lawyer specializing in labor law is recommended, especially in complex situations. * They can advise on the best course of action considering the specific details of the case and ensure compliance with Philippine labor laws. **Remember:**
* Prioritize clear communication and address the employee's concerns. * Focus on achieving a collaborative solution for performance improvement. * Maintain proper documentation throughout the process. * Consider seeking legal guidance for complex situations.</t>
  </si>
  <si>
    <t>Can an employer withhold salary for employees who are on strike?</t>
  </si>
  <si>
    <t>In the Philippines, the answer regarding withholding salary for striking employees is **not a simple yes or no**. Here's a breakdown based on Philippine law:
**No Work, No Pay Principle:**
* There's no explicit law prohibiting employers from withholding salaries during strikes. * The general principle of "no work, no pay" applies (Article 94 of the Labor Code). **However, consider these points:**
* **Legality of the Strike:** The employer can only withhold salary if the strike is declared illegal by the proper authorities (e.g., National Labor Relations Commission - NLRC). * **Good Faith Efforts:** Even in legal strikes, complete withholding of salary might be challenged if the employer didn't engage in good faith efforts to resolve the labor dispute before the strike began.
**Possible Scenarios:**
* **Legal Strike and No Good Faith Efforts:** In this case, withholding salary might be legal.
* **Legal Strike with Good Faith Efforts:** Withholding full salary might be challenged. The employer might be required to pay a portion for the days not worked.
* **Illegal Strike:** The employer can withhold salary, but the striking workers might have other legal claims depending on the circumstances.
**Additional Considerations:**
* **Employee Right to Strike:** The Philippine Constitution (Article XIII, Section 3) guarantees workers the right to strike in accordance with law.
* **Balance of Interests:** Courts balance the employer's right to operate the business with the employee's right to strike and fair treatment.
**Recommendations:**
* **Consult a Lawyer:** Labor law can be complex, especially regarding strikes. Consulting a lawyer specializing in labor law is highly recommended to understand your rights and obligations in a specific situation. * **Maintain Documentation:** Document all efforts taken to resolve the labor dispute before the strike and any communication with striking employees.
**Resources:**
* Department of Labor and Employment (DOLE): [https://www.officialgazette.gov.ph/section/briefing-room/department-of-labor-and-employment/](https://www.officialgazette.gov.ph/section/briefing-room/department-of-labor-and-employment/)
* National Labor Relations Commission (NLRC): [https://www.nlrb.gov/](https://www.nlrb.gov/)</t>
  </si>
  <si>
    <t>What should an employer do if an employee files a false harassment complaint against a colleague?</t>
  </si>
  <si>
    <t>Here's a guideline on how an employer in the Philippines can handle a situation where an employee files a false harassment complaint against a colleague:
**1. Take the Complaint Seriously:**
* Even if you suspect the complaint might be false, it's crucial to take it seriously. * Avoid dismissing the accusation without proper investigation. This shows your commitment to providing a safe and harassment-free workplace.
**2. Conduct a Thorough Investigation:**
* Appoint a neutral and objective investigator to handle the case. * The investigation should gather evidence from both the complainant (accuser) and the accused employee, including witness statements and any relevant documentation.
**3. Protect Confidentiality:**
* Maintain confidentiality throughout the investigation process to protect the privacy of both parties involved. **4. Consider Potential Outcomes:**
* The investigation might reveal several possibilities:
* **Substantiated Harassment:** If harassment is proven, appropriate disciplinary action should be taken against the perpetrator according to company policy, potentially including termination.
* **Unsubstantiated Complaint:** If the investigation reveals the complaint is unsubstantiated or false, document the findings clearly. * **In some cases,** disciplinary action against the complaining employee **might** be possible, but tread cautiously here. Philippine law protects whistleblowers, and even a false complaint might stem from a genuine (but mistaken) belief of harassment. Consult with a lawyer to understand if disciplinary action is appropriate in this specific case. **5. Importance of Documentation:**
* Throughout the process, maintain thorough documentation of the complaint, investigation steps taken, witness statements, and the final findings. * This protects the company in case of legal challenges.
**Legal Considerations:**
* Filing a false complaint can be considered a form of abuse of process. * However, legal action against the complaining employee should be a last resort and only after consulting with a lawyer specializing in labor law. * You need to ensure your actions comply with Philippine anti-retaliation laws to avoid potential legal issues.
**Additional Recommendations:**
* **Clear Anti-Harassment Policy:** Having a clear and well-communicated anti-harassment policy can help prevent such situations and establish a process for reporting and investigating complaints.
* **Employee Training:** Regular training on workplace harassment and proper complaint procedures can educate employees about respectful behavior and responsible reporting.
**Resources:**
* Department of Labor and Employment (DOLE): [https://www.officialgazette.gov.ph/section/briefing-room/department-of-labor-and-employment/](https://www.officialgazette.gov.ph/section/briefing-room/department-of-labor-and-employment/)
* Philippine Commission on Women (PCW): [https://pcw.gov.ph/](https://pcw.gov.ph/)
**Remember:** * Take all harassment complaints seriously and conduct fair investigations.
* Protect confidentiality.
* Seek legal guidance for complex situations regarding potential disciplinary actions and navigating anti-retaliation laws.</t>
  </si>
  <si>
    <t>Infrastructure, Housing and Developmental Management</t>
  </si>
  <si>
    <t>What are the legal requirements for obtaining permits for infrastructure projects in the Philippines?</t>
  </si>
  <si>
    <t>Obtaining permits for infrastructure projects in the Philippines involves multiple government agencies and regulations. Here's a general overview, but remember this is not an exhaustive list, and the specific requirements can vary depending on the project type, location, and scale:
**National Agencies:**
* **National Economic and Development Authority (NEDA):** Projects with significant economic impact typically require approval from NEDA through the Investment Coordination Committee (ICC).
* **Department of Public Works and Highways (DPWH):** Most infrastructure projects require permits from DPWH, especially for construction on public roads or affecting national infrastructure. They issue permits like:
* **Clearance/Permit to Construct:** Authorizes construction activities within DPWH right-of-way.
* **Environmental Compliance Certificate (ECC):** Issued by the Environmental Management Bureau (EMB) under DPWH, but the process often involves public consultations and impact assessments.
**Other Potentially Involved Agencies:**
* **Department of Environment and Natural Resources (DENR):** Projects impacting natural resources or protected areas may require permits from DENR, such as:
* **Tree Cutting Permit**
* **Ground Disturbance Permit**
* **Wildlife Clearance**
* **Local Government Units (LGUs):** LGUs (cities, municipalities) have zoning regulations and may require additional permits like:
* **Building Permits**
* **Locational Clearance**
* **Right-of-Way Permits** (for construction affecting local roads or areas)
* **Other Agencies (depending on the project):** Depending on the specific project type, additional permits from agencies like the Department of Transportation (DOTr) for railways or aviation projects, National Water Resources Board (NWRB) for water-related projects, or National Commission on Indigenous Peoples (NCIP) for projects affecting indigenous communities might be necessary.
**General Process:**
1. **Project Feasibility Study and Planning:** This initial stage involves defining the project scope, location, and potential environmental and social impacts.
2. **Securing Endorsements:** Depending on the project type, endorsements from various agencies like NEDA or LGUs might be required during the planning stage.
3. **Permit Applications:** Formal applications with necessary technical documents and fees are submitted to the relevant agencies.
4. **Public Consultations and Impact Assessments:** Some projects might require public consultations and environmental impact assessments depending on the regulations of specific agencies (e.g., EMB for ECC).
5. **Permit Issuance:** After a thorough review process, agencies may grant permits with specific conditions.
**Important Considerations:**
* Allow sufficient time for the permitting process, as it can involve multiple agencies and consultations.
* Consulting with a professional familiar with Philippine infrastructure project permitting is highly recommended to ensure you obtain all the necessary permits and comply with regulations.
* Environmental and social impact assessments might be crucial depending on the project scale and potential impact.
**Resources:**
* National Economic and Development Authority (NEDA): [https://neda.gov.ph/](https://neda.gov.ph/) * Department of Public Works and Highways (DPWH): [https://www.dpwh.gov.ph/](https://www.dpwh.gov.ph/)
* Environmental Management Bureau (EMB): [https://emb.gov.ph/](https://emb.gov.ph/)
* Department of Environment and Natural Resources (DENR): [https://www.denr.gov.ph/](https://www.denr.gov.ph/)
* Local Government Units (LGUs): Contact your specific city or municipal government for their requirements.</t>
  </si>
  <si>
    <t>Explain the role of the National Housing Authority in regulating housing developments.</t>
  </si>
  <si>
    <t>The National Housing Authority (NHA) in the Philippines plays a vital role in regulating housing developments, but it's important to understand that its role has evolved since its creation. Here's a breakdown of its key functions:
**Historical Context:**
* Originally (established in 1975), the NHA was the sole government agency responsible for housing production, including developing and financing housing projects.
**Current Role (Post-2019):**
* The Department of Human Settlements and Urban Development (DHSUD) was established in 2019. It took over the policy-making and planning functions for housing development from the NHA.
* However, the NHA remains an important attached agency under DHSUD, focusing on specific regulatory and implementation aspects:
* **Socialized Housing Development:** The NHA plays a crucial role in developing and regulating housing projects for low-income families. This includes:
* Identifying and acquiring land for socialized housing projects.
* Setting standards and guidelines for socialized housing units.
* Partnering with private developers for the construction of socialized housing projects.
* **Resettlement Programs:** The NHA is involved in resettling families affected by infrastructure projects, natural disasters, or other circumstances requiring relocation. This involves:
* Identifying resettlement sites.
* Developing resettlement plans.
* Providing support services to relocated families.
* **Monitoring and Compliance:** The NHA monitors private housing developments to ensure compliance with building codes, environmental regulations, and socialized housing program standards.
**NHA vs. HLURB:**
* It's important to distinguish the NHA from the Housing and Land Use Regulatory Board (HLURB). * HLURB is an attached agency under DHSUD with a broader role in regulating the housing and land use sector. * HLURB issues licenses to developers, regulates the sale of subdivision lots and condominiums, and enforces fair housing practices. **In Summary:**
While the NHA no longer has sole responsibility for housing development, it remains a key player in regulating socialized housing projects, resettlement programs, and ensuring compliance within the housing sector. It works in conjunction with DHSUD and HLURB for a comprehensive approach to housing development and regulation in the Philippines.</t>
  </si>
  <si>
    <t>How does Philippine law address issues of land acquisition for infrastructure projects?</t>
  </si>
  <si>
    <t>Philippine law addresses land acquisition for infrastructure projects through a combination of the Constitution, general legal principles, and specific legislative acts. Here's a breakdown of the key aspects:
**Constitutional Right to Private Property:**
* The Philippine Constitution (Article III, Section 9) guarantees the right to private property, but it also allows for the taking of private property for public use upon payment of just compensation. **Modes of Acquisition:**
The government can acquire land for infrastructure projects through several methods, as outlined in Republic Act No. 8974 (An Act to Facilitate the Acquisition of Right-of-Way, Site or Location for National Government Infrastructure Projects and for Other Purposes):
* **Negotiated Sale:** This is the preferred method where the government negotiates a fair price with the landowner.
* **Donation:** Landowners can voluntarily donate land for infrastructure projects.
* **Expropriation:** If a negotiated sale fails, the government can resort to expropriation through legal proceedings. Just compensation must still be paid to the landowner.
**Just Compensation:**
* A crucial aspect is ensuring "just compensation" for the land acquired. This is not just the market value of the land but also considers factors like:
* Improvements on the land (buildings, crops, etc.)
* Potential loss of income due to the acquisition
* Market trends in the area
**Legal Framework:**
Several laws govern land acquisition for infrastructure projects, with Republic Act No. 8974 providing a general framework:
* **Republic Act No. 8974 (mentioned above):** This act streamlines the process for acquiring land for national government infrastructure projects.
* **Republic Act No. 10752:** This act allows local government units (LGUs) to adopt the provisions of RA 8974 for acquiring land for local infrastructure projects. * **Commonwealth Act No. 141:** This act, also known as the Public Service Law, provides the legal basis for expropriation proceedings.
**Additional Considerations:**
* **Social Safeguards:** For projects affecting indigenous communities, the Indigenous Peoples Rights Act (Republic Act No. 8371) mandates free and prior informed consent (FPIC) from the affected communities.
* **Environmental Impact Assessments:** Depending on the project and potential environmental impact, environmental impact assessments might be required before land acquisition can proceed.
**Legal Expertise Recommended:** Land acquisition for infrastructure projects can be complex, and navigating the legal framework is crucial. Consulting a lawyer specializing in property law and expropriation is highly recommended to ensure compliance with Philippine law and protect the rights of both the government and the landowners.</t>
  </si>
  <si>
    <t>What are the environmental impact assessment requirements for large-scale infrastructure projects?</t>
  </si>
  <si>
    <t>The Philippines has a well-defined process for assessing the environmental impact of large-scale infrastructure projects. Here's a breakdown of the key requirements:
**Environmental Impact Statement System (EIS System):**
* The primary framework for environmental impact assessment is the Philippine Environmental Impact Statement System (EIS System) established by Presidential Decree No. 1586.
**Classifying Projects:**
* Projects are classified based on their potential environmental impact. This classification determines the level of environmental assessment required.
* **Category A (ECPs or Environmentally Critical Projects):** These projects have potentially significant adverse environmental impacts and require a full Environmental Impact Statement (EIS).
* **Category B:** Projects with potential environmental impacts, but considered less significant compared to Category A. These might require an Environmental Examination (IEE) or a simpler Initial Environmental Examination Checklist (IEEC). * **Category C:** Projects that are environmentally beneficial or unlikely to have significant negative impacts. These typically require minimal documentation, such as a Project Description (PD).
**Environmental Impact Statement (EIS):**
* An EIS is a comprehensive document required for Category A projects. It includes:
* Project Description
* Baseline Environmental Conditions
* Potential Environmental Impacts (positive and negative)
* Mitigation Measures to Address Impacts
* Environmental Management Plan (EMP)
* Public Consultation Documentation
**Environmental Examination (IEE):**
* An IEE is a less detailed document compared to an EIS, needed for some Category B projects. It assesses potential environmental impacts and proposes mitigation measures.
**Public Participation:**
* Public consultations are a crucial part of the EIS System. * Project proponents are required to conduct consultations with potentially affected communities to gather feedback and address concerns.
**Department of Environment and Natural Resources (DENR):**
* The DENR, specifically the Environmental Management Bureau (EMB), plays a central role in the EIS System. * They review and approve EIS, IEE, and other documents submitted by project proponents.
**Other Potentially Involved Agencies:**
* Depending on the project type and location, other government agencies might be involved in the environmental impact assessment process. * Examples include the Department of Public Works and Highways (DPWH) for infrastructure projects, or the National Commission on Indigenous Peoples (NCIP) for projects affecting indigenous communities.
**Key Resources:**
* Department of Environment and Natural Resources (DENR): [https://www.denr.gov.ph/](https://www.denr.gov.ph/)
* Environmental Management Bureau (EMB): [https://emb.gov.ph/](https://emb.gov.ph/)
* Philippine Environmental Impact Statement System (EIS System): [https://emb.gov.ph/mandates-functions/](https://emb.gov.ph/mandates-functions/)
**Remember:** * The specific requirements can vary depending on the project's classification, location, and potential environmental impact.
* Consulting with environmental professionals familiar with the Philippine EIS System is highly recommended for large-scale infrastructure projects.</t>
  </si>
  <si>
    <t>Describe the legal framework for public-private partnerships in infrastructure development.</t>
  </si>
  <si>
    <t>The Philippines has a well-established legal framework for Public-Private Partnerships (PPPs) in infrastructure development. Here's a breakdown of the key laws and regulations:
**Main Legal Framework:**
* **Republic Act No. 6957 (Build-Operate-Transfer Law or BOT Law):** This is the cornerstone legislation enacted in 1990, establishing the legal framework for PPPs. It outlines different modes of PPP arrangements, including Build-Operate-Transfer (BOT), Build-Own-Operate (BOO), and Build-Transfer-Operate (BTO).
* **Implementing Rules and Regulations (IRR) of RA 6957:** These provide detailed guidelines for implementing the BOT Law.
**Additional Supporting Regulations:**
* **National Economic and Development Authority (NEDA) Guidelines:** NEDA, the government's planning agency, issues guidelines on project identification, prioritization, and selection for PPP development. * **Guidelines for unsolicited proposals:** The government allows private entities to submit unsolicited proposals for PPP projects, subject to specific guidelines and approvals.
**Key Institutions:**
* **Public-Private Partnership Center (PPP Center):** The PPP Center, established under RA 6957, serves as the central agency responsible for promoting, facilitating, and regulating PPP projects in the Philippines. It assists government agencies in developing, awarding, and managing PPP projects.
* **National Economic and Development Authority (NEDA):** As mentioned earlier, NEDA plays a crucial role in identifying priority infrastructure projects suitable for PPP development.
* **Line Ministries:** The government agencies responsible for specific infrastructure sectors (e.g., Department of Public Works and Highways for roads) are involved in initiating and managing PPP projects within their respective sectors.
**Ensuring Transparency and Accountability:**
* The legal framework emphasizes transparency and accountability in PPP transactions. This includes:
* Public bidding processes for PPP project awards.
* Disclosure requirements for project information and awarded contracts.
* Mechanisms for monitoring and evaluating PPP projects.
**Dispute Resolution:**
* The legal framework establishes mechanisms for resolving disputes that may arise between the government and private partners in PPP projects. This includes:
* Negotiation and mediation.
* Arbitration.
**Recent Developments:**
* **Executive Order No. 100 (2018):** This Executive Order streamlined the approval process for PPP projects, aimed at expediting implementation.
**Conclusion:**
The Philippines' PPP legal framework provides a comprehensive structure for infrastructure development through public and private sector collaboration. It emphasizes transparency, accountability, and efficient project implementation while safeguarding the interests of both parties.</t>
  </si>
  <si>
    <t>What measures does Philippine law provide for the protection of informal settlers during urban development projects?</t>
  </si>
  <si>
    <t>Philippine law offers several measures to protect informal settlers during urban development projects. Here's a breakdown of the key legal provisions:
**Right to Adequate Housing:**
* The Philippine Constitution (Article XIII, Section 9) recognizes the right to adequate housing. This lays the groundwork for legal measures protecting informal settlers.
**Urban Development and Housing Act (RA 7279):**
* This is the primary law governing urban development and housing in the Philippines. It includes provisions for informal settlers:
* **Moratorium on Eviction and Demolition:** RA 7279 places a moratorium on eviction of informal settlers and demolition of their dwellings for a specific period (originally 3 years, applicability may depend on the specific case). Exceptions exist for constructions built after the law's enactment or cases posing safety hazards.
* **Resettlement Programs:** The law emphasizes relocation over eviction. The government, in cooperation with private developers, must formulate resettlement plans for informal settlers affected by development projects. These plans should provide decent housing with basic services like water and electricity.
* **Security of Tenure:** While not explicitly mentioned in RA 7279, the concept of security of tenure is increasingly recognized in Philippine law. This implies some level of protection against arbitrary eviction for informal settlers who have occupied an area for a significant period.
**Department of Human Settlements and Urban Development (DHSUD):**
* DHSUD, established in 2019, is the government agency responsible for overseeing urban development and housing policies. They play a crucial role in:
* Identifying and developing relocation sites.
* Implementing resettlement programs for informal settlers.
**Challenges and Considerations:**
* While the legal framework offers protections, implementation can be challenging. Factors like lack of funding, availability of suitable relocation sites, and coordination between government agencies can hinder effective resettlement programs.
* Informal settlers themselves may face difficulty proving their residency or qualifying for specific government programs.
* **Not all informal settlers are covered equally:** RA 7279's moratorium might not apply to all cases, and security of tenure remains a developing concept.
**Recommendations:**
* **Early Engagement:** Open communication and engagement between government agencies, developers, and informal settler communities from the planning stages of development projects are crucial.
* **Community Participation:** Meaningful participation of affected communities in the planning and implementation of resettlement programs can improve their effectiveness and acceptance.
* **Legal Assistance:** Informal settler communities may benefit from seeking legal assistance to understand their rights and navigate the legal system.
**Conclusion:**
Philippine law offers a framework for protecting informal settlers during urban development projects. However, effective implementation and ensuring fair treatment remain ongoing challenges.</t>
  </si>
  <si>
    <t>Discuss the legal mechanisms for resolving disputes related to housing and land ownership.</t>
  </si>
  <si>
    <t>The Philippines has several legal mechanisms for resolving disputes related to housing and land ownership. Here's an overview of the key options:
**1. Barangay Justice System (Lupong Tagapamayapa):**
* This is the most accessible option for resolving minor housing and land ownership disputes at the community level. * Barangay captains (community leaders) head Lupong Tagapamayapa (Council of Peacemakers) and attempt to mediate a settlement between parties.
* If a settlement is reached, a Lupong Tagapamayapa certificate is issued, becoming binding on both parties. * Advantages: Free, quick, and less formal compared to court proceedings.
* Disadvantages: Limited jurisdiction for complex cases and may not be effective for serious disputes.
**2. Housing and Land Use Regulatory Board (HLURB):**
* HLURB is an attached agency under the Department of Human Settlements and Urban Development (DHSUD). * It has original jurisdiction over several housing and land ownership disputes, including:
* Developer violations (e.g., delays in construction, substandard materials)
* Issues with homeowners' associations
* Double sales of property
* Advantages: Specialized knowledge of housing and land use issues, faster resolution compared to courts.
* Disadvantages: May have case backlogs, fees involved in filing complaints.
**3. Regular Courts:**
* The regular court system is an option for more complex disputes or those not covered by Lupong Tagapamayapa or HLURB jurisdiction.
* **Mediatation:** Courts often encourage mediation before trial to attempt an amicable settlement.
* **Litigation:** If mediation fails, the case proceeds to a formal trial with a judge issuing a decision. * Advantages: Binding judgment enforceable by law, suitable for complex cases and serious disputes. * Disadvantages: Most expensive option, can be time-consuming due to court backlogs, requires legal representation for proper navigation of the court system.
**4. Alternative Dispute Resolution (ADR):**
* Voluntary ADR mechanisms like private mediation or arbitration can be an alternative to court proceedings. * A neutral third-party facilitates a settlement between disputing parties, potentially leading to a faster and less adversarial resolution.
* Advantages: Potentially faster and more cost-effective than litigation, parties have more control over the process.
* Disadvantages: Not all disputes are suitable for ADR, enforcement of settlements might require court action.
**Choosing the Right Mechanism:**
The best option depends on the nature of the dispute, its complexity, and the resources available. Here are some general considerations:
* **Severity of the Dispute:** Minor issues might be suitable for Lupong Tagapamayapa, while complex ownership conflicts might require regular courts.
* **Cost and Time:** Informal options like Lupong Tagapamayapa are free and faster, while courts are expensive and time-consuming.
* **Legal Representation:** Complex cases in regular courts often require legal representation to navigate the legal system effectively. **Seeking Legal Advice:**
Consulting a lawyer specializing in housing and land property law is highly recommended, especially for complex disputes. They can advise you on the most appropriate legal mechanism based on your specific situation and help you navigate the chosen process effectively.</t>
  </si>
  <si>
    <t>Explain the regulatory framework for condominium development in the Philippines.</t>
  </si>
  <si>
    <t>The Philippines has a comprehensive regulatory framework for condominium development, ensuring consumer protection and proper project execution. Here's a breakdown of the key institutions and regulations involved:
**Key Institutions:**
* **Housing and Land Use Regulatory Board (HLURB):** HLURB is the primary government agency overseeing condominium development. Their responsibilities include:
* Granting licenses to developers.
* Reviewing project plans and enforcing construction standards.
* Protecting buyer rights through sales regulations and dispute resolution.
* **Securities and Exchange Commission (SEC):** For condominium projects with securitization (selling units before completion), the SEC regulates the process to safeguard investors. * **Professional Regulation Commission (PRC):** Architects, engineers, and other professionals involved in condominium development must be licensed by the PRC to ensure qualifications.
**Key Regulations:**
* **Republic Act No. 4726 (Condominium Law):** This is the cornerstone legislation governing condominiums in the Philippines. It defines condominiums, establishes HLURB's authority, and outlines rights and obligations for developers, unit owners, and homeowners' associations (HOAs).
* **HLURB Rules and Regulations:** HLURB issues detailed regulations outlining developer requirements throughout the process. These include:
* Project planning and licensing procedures.
* Prescribed standards for building design, construction, and amenities.
* Sales and marketing regulations, including the required prospectus (detailed project information document) for developers.
* Formation and operation of HOAs responsible for managing the condominium after turnover.
**HLURB Licensing Process:**
* Developers must obtain a License to Sell from HLURB before offering condominium units for sale. * This involves submitting project plans, technical documents, and proof of the developer's track record for HLURB's review and approval.
**Consumer Protection Measures:**
* The framework includes measures to protect condominium buyers:
* **Prospectus:** Developers must provide a comprehensive prospectus disclosing project details, unit prices, and payment terms.
* **HLURB Oversight:** HLURB monitors the sales process to prevent misrepresentation and ensure consumer rights are upheld.
**Homeowners' Associations (HOAs):**
* HLURB plays a role in establishing and managing HOAs:
* HOAs are responsible for maintaining common areas and facilities within the condominium development.
* HLURB regulations guide HOA formation, officer elections, and management practices to promote transparency and accountability.
**Dispute Resolution:**
* HLURB has a mechanism for addressing disputes between condominium developers, unit owners, and HOAs. * Options include mediation or adjudication within HLURB before resorting to regular courts.
**Conclusion:**
The Philippine condominium development regulatory framework aims for a well-structured process, from planning to project completion and management. HLURB plays a central role, and understanding these regulations is crucial for both developers and potential condominium unit buyers.</t>
  </si>
  <si>
    <t>What are the rights and responsibilities of homeowners in gated communities under Philippine law?</t>
  </si>
  <si>
    <t>Homeowners in gated communities in the Philippines have specific rights and responsibilities outlined by a combination of laws, homeowners' association (HOA) rules, and sometimes even contracts with the developer. Here's a breakdown of the key aspects:
**Rights of Homeowners:**
* **Enjoyment of Amenities and Common Areas:** Homeowners have the right to use and enjoy the amenities and common areas within the gated community, like swimming pools, gyms, and parks, as per the HOA rules and regulations.
* **Participation in HOA:** Homeowners have the right to participate in HOA meetings, vote in elections for HOA officers, and hold the HOA board accountable for its decisions. * **Access to Information:** Homeowners have the right to access HOA records and financial statements, within reasonable limits defined by the HOA rules.
* **Peaceful Living Environment:** Homeowners have the right to live in a safe and peaceful environment free from unreasonable disturbances caused by other residents or the HOA itself.
* **Dispute Resolution:** Homeowners have the right to a fair and transparent process for resolving disputes with the HOA or other residents, often through mediation offered by the HOA or legal action as a last resort.
**Magna Carta for Homeowners and Homebuyers Association (HOAs):**
* This law (not a separate Magna Carta but provisions within existing laws) protects homeowners' rights by prohibiting HOAs from depriving members of basic community services or facilities if they have paid dues, and preventing HOAs from hindering participation in meetings and elections for members in good standing.
**Responsibilities of Homeowners:**
* **Payment of Dues and Assessments:** Homeowners are responsible for paying monthly HOA dues and special assessments as established by the HOA and approved by the majority of homeowners. * **Compliance with HOA Rules:** Homeowners must comply with the reasonable rules and regulations established by the HOA regarding maintaining their property, parking, noise levels, pet ownership, etc.
* **Maintaining Property:** Homeowners are responsible for maintaining their property within the gated community according to HOA guidelines to preserve the overall aesthetics and value of the community.
* **Participation in HOA Activities:** While not always mandatory, homeowners are encouraged to participate in HOA activities like community events or volunteering for committees, which strengthens the community spirit.
**Finding the Balance:**
* There can be tension between individual homeowner rights and the need for the HOA to maintain order within the community. * Striking a balance through open communication, participation in HOA activities, and understanding the legal framework is crucial.
**Important Resources:**
* **Magna Carta for Homeowners and Homebuyers Associations (provisions within existing laws):** [https://legacy.senate.gov.ph/](https://legacy.senate.gov.ph/)
* **Housing and Land Use Regulatory Board (HLURB):** [https://www.dbm.gov.ph/wp-content/uploads/OPCCB/OPIF2010/OEO/HLURB.pdf](https://www.dbm.gov.ph/wp-content/uploads/OPCCB/OPIF2010/OEO/HLURB.pdf)
**Remember:**
* Specific rights and responsibilities can vary depending on the governing documents of each gated community, including the HOA Declaration of Restrictions, Bylaws, and House Rules. * Consulting these documents and seeking legal advice if needed is recommended to fully understand your rights and responsibilities as a homeowner in a gated community in the Philippines.</t>
  </si>
  <si>
    <t>Discuss the government's role in providing low-cost housing for marginalized communities.</t>
  </si>
  <si>
    <t>The Philippine government plays a significant role in providing low-cost housing for marginalized communities. Here's a breakdown of its key interventions and the challenges faced:
**Government Initiatives:**
* **National Housing Authority (NHA):** The NHA is the primary government agency responsible for developing and regulating socialized housing projects for low-income families. This includes:
* Identifying and acquiring land for socialized housing developments.
* Setting standards and providing subsidies for constructing low-cost housing units.
* Partnering with private developers for building socialized housing projects.
* **Socialized Housing Programs:** The government offers various programs to make homeownership more accessible for low-income earners. These programs often involve:
* Subsidies on interest rates for housing loans.
* Flexible payment schemes with longer repayment terms.
* Community mortgage programs where groups apply for housing loans together.
* **Resettlement Programs:** The NHA is also involved in resettling families displaced by infrastructure projects, natural disasters, or other circumstances requiring relocation. This involves:
* Identifying relocation sites.
* Developing resettlement plans with basic infrastructure and amenities.
* Providing support services to relocated families to help them adjust to their new surroundings.
**Challenges:**
* **Limited Budget:** Government funding for socialized housing programs is often limited, leading to a shortage of available units compared to the vast demand.
* **Land Availability:** Identifying suitable land within urban areas for socialized housing development can be challenging due to high land costs and competition from private developers.
* **Sustainability of Resettlement Programs:** Resettlement programs not only require building houses but also providing access to jobs, livelihood opportunities, and essential services in the new location for long-term success.
* **Targeting the Most Vulnerable:** Ensuring that the most marginalized communities who truly need assistance are identified and prioritized for socialized housing programs can be complex.
**The Role of Other Stakeholders:**
* **Private Sector:** Public-private partnerships (PPPs) can play a role in increasing the supply of low-cost housing. * **Civil Society Organizations (CSOs):** CSOs can work with communities to raise awareness about government programs, facilitate applications, and empower communities to participate in planning processes.
**Looking Forward:**
The Philippine government's role in providing low-cost housing remains crucial for addressing the needs of marginalized communities. Continuous efforts are needed to:
* **Increase Funding:** Explore innovative financing mechanisms to maximize resources for socialized housing programs.
* **Promote Public-Private Partnerships:** Attract private sector investment in low-cost housing development while ensuring affordability for target beneficiaries.
* **Community Participation:** Ensure meaningful participation of target communities in the planning and implementation of housing programs to create sustainable solutions.
By addressing these challenges and fostering collaboration with various stakeholders, the Philippine government can strive towards a future where decent and affordable housing is a reality for all Filipinos.</t>
  </si>
  <si>
    <t>Explain the legal requirements for subdivision development projects.</t>
  </si>
  <si>
    <t>The Philippines has a well-defined legal framework for subdivision development projects, ensuring proper planning, infrastructure, and consumer protection. Here's a breakdown of the key legal requirements:
**Prior Approval and Licensing:**
* All subdivision projects require prior approval and licensing from the Housing and Land Use Regulatory Board (HLURB). This ensures projects comply with regulations and contribute to orderly urban development.
**Location and Suitability:**
* Projects must be located in designated residential zones or areas suitable for housing based on zoning ordinances and comprehensive land use plans. * Sites prone to hazards like flooding or landslides are generally not allowed.
**Accessibility and Infrastructure:**
* The subdivision must be readily accessible from public transportation routes. * Internal road networks within the subdivision must meet specific standards to accommodate expected traffic and emergency vehicle access.
* The developer is responsible for providing essential infrastructure within the subdivision, such as:
* Water supply system
* Drainage system
* Sanitary disposal system
**Minimum Design Standards:**
* The layout, lot sizes, and infrastructure design must comply with HLURB's minimum design standards. These standards ensure adequate space for housing units, essential amenities, and open areas.
**Environmental Considerations:**
* Developers must consider the potential environmental impact of the project and comply with environmental regulations. This might involve obtaining clearances from the Department of Environment and Natural Resources (DENR) for projects with significant environmental impact.
**Socialized Housing Component:**
* In some cases, developers may be required to allocate a portion of the subdivision for socialized housing units, depending on the project's location and size. This promotes social inclusivity and caters to the needs of low-income communities.
**Sales and Marketing:**
* Developers must follow HLURB regulations for marketing and selling subdivision lots. This includes:
* Preparing and submitting a prospectus - a detailed document outlining the project details, amenities, and pricing.
* Obtaining a License to Sell from HLURB before offering lots for sale.
* Providing accurate and truthful information to potential buyers.
**Homeowners' Association (HOA):**
* The developer is responsible for establishing a Homeowners' Association (HOA) before turning over the subdivision to the residents. * The HOA manages the common areas, amenities, and enforces subdivision rules and regulations.
**Compliance with Building Codes and Other Laws:**
* The development project must adhere to the National Building Code and other relevant laws and regulations, ensuring the structural integrity and safety of buildings within the subdivision.
**Obtaining Necessary Permits:**
* Aside from HLURB approval, developers might need to secure permits from other government agencies depending on the project specifics. Examples include permits for electrical installations, water connections, and sanitation systems.
**Penalties for Non-Compliance:**
* Failure to comply with legal requirements can result in penalties from HLURB, including project suspension, fines, or license revocation.
**Conclusion:**
The legal framework for subdivision development projects aims to ensure orderly development, infrastructure provision, and consumer protection. Understanding these requirements is crucial for both developers and potential buyers of subdivision lots in the Philippines.</t>
  </si>
  <si>
    <t>How does Philippine law address issues of urban sprawl and sustainable development?</t>
  </si>
  <si>
    <t>The Philippines faces challenges with urban sprawl and aims to promote sustainable development through a combination of legal and policy measures. Here's an overview of how Philippine law addresses these issues:
**Land Use Planning and Zoning:**
* **The Local Government Code:** This empowers local government units (LGUs) to enact comprehensive land use plans (CLUPs) zoning ordinances. * **CLUPs:** These plans designate areas for residential, commercial, industrial, and agricultural uses. This guides development towards designated areas and discourages sprawl.
* **Zoning Ordinances:** These regulations further specify permitted land uses within each zone, controlling building heights, densities, and setbacks.
**Urban Development and Housing Act (RA 7279):**
* This act encourages compact and sustainable urban development.
* It promotes densification within existing urban areas through measures like:
* Transit-oriented development (TOD): Encouraging development near public transportation hubs.
* Vertical housing construction: Promoting multi-storey buildings to accommodate more residents within a limited area.
**Environmental Laws:**
* The Philippine Environmental Impact Statement System (EIS System) requires environmental impact assessments (EIA) for large-scale development projects. * EIAs consider potential environmental impacts of projects like sprawl and encourage sustainable development practices like resource conservation and pollution mitigation.
**Urban Renewal Programs:**
* The government supports programs for revitalizing existing urban areas. * This aims to reduce pressure on undeveloped land at the city fringes and encourage infill development within established urban areas.
**Challenges and Limitations:**
* **Implementation Issues:** Effective implementation of land use plans and zoning ordinances can be challenging due to:
* Lack of enforcement capacity by LGUs.
* Pressure from developers for land use conversions.
* Informal settlements existing in areas designated for other uses.
* **Limited Funding:** Government resources allocated for sustainable development initiatives and infrastructure projects can be constrained.
**Looking Forward:**
* The Philippines continues to develop its legal framework to address urban sprawl. * Recent initiatives include:
* The National Urban Development and Housing Framework (NUDHF): A roadmap for sustainable urbanization.
* The Streamlining of Permits Processing for Barangay Micro, Small, and Medium Enterprises (BMSMEs): Aims to facilitate business development within existing urban areas.
**Conclusion:**
Philippine law recognizes the need for sustainable development and aims to curb urban sprawl. While challenges remain in implementation, a combination of legal and policy measures provides a framework for more compact, efficient, and environmentally conscious urban development.</t>
  </si>
  <si>
    <t>Describe the legal process for expropriating private property for public use.</t>
  </si>
  <si>
    <t>The Philippines upholds the principle that private property cannot be taken without just compensation. If the government needs private land for public use, they must follow a legal process of expropriation, also known as eminent domain. Here's a breakdown of the key steps:
**Initiation:**
1. **Identifying the Need:** The government agency or entity requiring the land for a public purpose (e.g., road construction, school building) first initiates the process. 2. **Negotiation Attempts:** The government may attempt to negotiate with the landowner for a voluntary purchase agreement. This is not mandatory, but can save time and resources.
**Filing the Complaint:**
1. **Venue:** If negotiations fail, the government files a complaint for expropriation with the appropriate court. This can be the Regional Trial Court (RTC) where the land is located or a specialized court like the Metropolitan Trial Court (MeTC) in certain cases.
2. **Content of the Complaint:** The complaint details the justification for expropriation, the public purpose it serves, and a description of the property.
**Court Proceedings:**
1. **Notice to Landowner:** The court issues a notice to the landowner informing them of the expropriation case.
2. **Hearings:** The court conducts hearings to:
* Determine the validity of the public purpose for expropriation.
* Assess the necessity of taking the specific property. * Establish the just compensation for the landowner.
3. **Just Compensation:** Just compensation is the fair market value of the property at the time of the taking. The court considers factors like location, size, and potential uses to determine the value.
4. **Possible Defenses:** The landowner may present arguments against the expropriation, such as:
* The purpose is not truly public.
* A less intrusive alternative exists.
* The government did not follow proper procedures.
**Court Decision:**
1. **Ruling:** The court issues a decision on the case. It can either:
* **Grant the Expropriation:** If the court approves the expropriation, it determines the just compensation amount.
* **Deny the Expropriation:** The court may reject the government's request if the public purpose is not justified or proper procedures were not followed.
2. **Payment of Compensation:** The government must pay the court-determined just compensation to the landowner before taking possession of the property. **Taking Possession:**
* Once payment is made, the court issues an order allowing the government to take possession of the land. **Right to Appeal:**
* Both the government and the landowner have the right to appeal the court's decision to a higher court.
**Additional Considerations:**
* **Republic Act No. 8974:** This law governs the expropriation of private property for national government infrastructure projects. It outlines specific procedures and timelines for these cases. * **Speeding Up the Process:** Executive Order No. 100 (2018) aims to streamline the expropriation process for government projects to expedite implementation.
**Conclusion:**
The legal process for expropriating private property ensures a balance between the government's right to acquire land for public use and the landowner's right to just compensation. It involves a series of steps, including court hearings and the right to appeal, to ensure fairness and due process.</t>
  </si>
  <si>
    <t>What measures does Philippine law provide for disaster risk reduction and management in infrastructure projects?</t>
  </si>
  <si>
    <t>The Philippines, being highly susceptible to natural disasters, prioritizes disaster risk reduction and management (DRRM) in infrastructure projects. Here's a breakdown of the key measures enshrined in Philippine law:
**National Framework and Policies:**
* **Republic Act (RA) 10121 or the Philippine Disaster Risk Reduction and Management Act of 2010:** This law establishes the National Disaster Risk Reduction and Management Framework (NDRRMF) which promotes a "safer, adaptive and disaster-resilient Filipino communities towards sustainable development". It mandates the integration of DRRM into all development plans and programs, including infrastructure projects.
* **National Building Code of the Philippines:** This code sets minimum standards for the design, construction, use, occupancy, and maintenance of all buildings and other structures. These standards aim to ensure structural integrity during disasters like earthquakes and typhoons.
**Institutional Roles and Responsibilities:**
* **National Disaster Risk Reduction and Management Council (NDRRMC):** This council, chaired by the Secretary of National Defense, coordinates national DRRM efforts. It sets policies, establishes mechanisms for monitoring and early warning, and allocates resources for DRRM initiatives. * **Local Government Units (LGUs):** LGUs, particularly the City/Provincial Disaster Risk Reduction and Management Councils (CDRRMCs and PDRRMCs), play a crucial role in implementing DRRM measures at the local level. They conduct risk assessments, prepare disaster preparedness plans, and manage resources for local response and recovery efforts.
* **Department of Public Works and Highways (DPWH):** As the primary agency responsible for public infrastructure, the DPWH integrates DRRM principles into infrastructure project planning, design, and construction. They issue specific guidelines for incorporating disaster-resilient features in different types of infrastructure projects. **Key Legal Measures for Infrastructure Projects:**
* **Hazard Mapping and Risk Assessment:** Before embarking on any infrastructure project, a comprehensive hazard mapping and risk assessment is mandatory. This identifies potential threats like typhoons, earthquakes, floods, and landslides in the project area.
* **Engineering Design Standards:** Infrastructure projects must adhere to engineering design standards that consider identified hazards and incorporate disaster-resilient features. These features may include:
* Flood-proofing measures for buildings and roads in flood-prone areas.
* Earthquake-resistant design and construction techniques.
* Use of disaster-resistant materials.
* **Environmental Impact Assessment System (EIA System):** Large-scale infrastructure projects often require an EIA to assess potential environmental impacts, including increased vulnerability to certain disasters due to project construction. Mitigation measures may be required to address these concerns.
* **Building Permits and Construction Supervision:** LGUs issue building permits only after ensuring compliance with disaster-resilient design standards. Construction is also supervised to ensure adherence to approved plans.
**Challenges and Looking Forward:**
* **Funding Constraints:** Allocating sufficient budget for incorporating DRRM features in infrastructure projects can be challenging. * **Capacity Building:** Ensuring technical expertise of engineers, planners, and construction workers in disaster-resilient construction is an ongoing effort.
* **Enforcement Mechanisms:** Strengthening enforcement mechanisms to ensure compliance with DRRM regulations is crucial.
**Conclusion:**
Philippine law emphasizes the importance of DRRM in infrastructure projects. A combination of legal mandates, institutional roles, and specific measures like hazard mapping and disaster-resilient design standards aims to create more resilient infrastructure that can withstand natural disasters and protect communities. Continuous efforts are needed to address funding constraints, enhance capacity building, and strengthen enforcement to make these measures even more effective.</t>
  </si>
  <si>
    <t>Discuss the legal considerations for the rehabilitation of heritage structures during urban development.</t>
  </si>
  <si>
    <t>## Legal Considerations for Rehabilitating Heritage Structures During Urban Development
Balancing urban development with the preservation of heritage structures is a complex issue. The Philippines has legal and regulatory frameworks to guide this process. Here's a breakdown of the key considerations:
**Laws and Regulations:**
* **Republic Act No. 10066 (National Cultural Heritage Act of 2009):** This is the primary law protecting cultural heritage in the Philippines. It defines heritage structures and outlines the responsibilities of various government agencies in their identification, conservation, and rehabilitation.
* **Executive Order No. 115 (2018):** This order strengthens the National Commission for Culture and the Arts' (NCCA) role in integrating cultural heritage considerations into development planning. * **Local Government Unit (LGU) Cultural Ordinances:** Many LGUs have enacted their own cultural ordinances that complement national laws and identify specific heritage structures within their jurisdiction.
**Roles and Responsibilities:**
* **National Commission for Culture and the Arts (NCCA):** The NCCA is the primary government agency responsible for cultural heritage preservation. They identify, document, and issue clearances for rehabilitation projects involving heritage structures. * **Local Government Units (LGUs):** LGUs play a crucial role in implementing national cultural heritage laws within their jurisdiction. They issue permits for construction and rehabilitation projects and may provide financial assistance for heritage conservation efforts.
* **Private Developers:** Developers undertaking projects in areas with heritage structures need to comply with relevant laws and consult with the NCCA and LGUs to ensure proper integration of heritage considerations into their development plans.
**Rehabilitation vs. Demolition:**
Philippine law generally discourages demolition of heritage structures. Rehabilitation is the preferred approach, with different levels depending on the condition and significance of the structure:
* **Restoration:** Aims to return the structure to its original state based on historical documentation.
* **Rehabilitation:** Preserves the essential historical features while adapting the structure for a new use.
* **Conservation:** Focuses on stabilizing the structure and minimizing deterioration.
**Key Legal Considerations:**
* **Heritage Impact Assessment (HIA):** Before undertaking any development project near a heritage structure, an HIA must be conducted. This assesses potential impacts of the project on the heritage value of the structure and proposes mitigation measures.
* **Adaptive Reuse:** When rehabilitation is not feasible, adaptive reuse may be considered. This involves converting the heritage structure for a new compatible use while preserving its heritage significance.
* **Demolition Permits:** Demolition of a heritage structure is a last resort and requires a special permit from the NCCA. Only granted in exceptional circumstances with justification and no viable alternatives.
**Challenges and Opportunities:**
* **Balancing Development and Preservation:** Striking a balance between economic development needs and heritage conservation remains challenging.
* **Funding:** Securing adequate funding for heritage rehabilitation projects can be difficult. * **Public-Private Partnerships (PPPs):** Encouraging partnerships between government and private entities can provide funding and expertise for heritage rehabilitation. * **Community Engagement:** Involving local communities in heritage preservation efforts builds awareness and increases support for these initiatives.
**Conclusion:**
The Philippines recognizes the importance of heritage structures in preserving cultural identity. A legal framework exists to guide rehabilitation efforts during urban development. Collaboration among government agencies, developers, and communities is crucial to ensure both economic progress and preservation of the Philippines' rich cultural heritage.</t>
  </si>
  <si>
    <t>Explain the role of barangays in managing community infrastructure projects.</t>
  </si>
  <si>
    <t>## Barangay's Role in Managing Community Infrastructure Projects
Barangays, the smallest unit of local government in the Philippines, play a significant but supportive role in managing community infrastructure projects. Their involvement focuses on the initial stages and community aspects of the project, while implementation often falls under national agencies or local government units (LGUs). Here's a breakdown of their key functions:
**1. Identifying Needs and Prioritization:**
* Barangay officials, through consultations with residents, identify priority infrastructure needs within the community. This can involve projects like improvements to roads, drainage systems, water supply, or barangay halls.
* Barangay Development Plans (BDPs): Barangays formulate Barangay Development Plans (BDPs) which outline development priorities, including needed infrastructure projects. **2. Project Proposal and Advocacy:**
* Barangay officials can initiate proposals for infrastructure projects, often seeking funding from higher levels of government or private donors. * They play a role in advocating for these projects with local representatives and relevant agencies.
**3. Community Mobilization and Participation:**
* Barangay officials can mobilize residents to participate in community consultations regarding infrastructure projects. * They can also encourage residents to contribute through volunteer labor or resource sharing for smaller-scale projects.
**4. Beneficiary Identification and Monitoring:**
* Barangay officials can play a role in identifying the intended beneficiaries of infrastructure projects to ensure the project serves the community's needs.
* They can also monitor the progress of the project and communicate any concerns to relevant authorities.
**5. Maintenance and Sustainability:**
* Once a project is completed, barangays may assist in mobilizing the community to maintain the infrastructure and ensure its sustainability. * This could involve cleaning canals, reporting damage, or educating residents on proper usage.
**Limitations of Barangay Role:**
* **Limited Resources:** Barangays often have limited financial resources to undertake significant infrastructure projects on their own.
* **Technical Expertise:** Barangay officials may not have the technical expertise required to manage complex infrastructure projects.
**Collaboration is Key:**
Barangays effectively manage community infrastructure projects through collaboration with:
* **Higher Levels of Government:** Seeking funding and technical assistance from national agencies or provincial/municipal governments.
* **Private Sector:** Partnering with NGOs or private companies for funding or expertise.
* **Community Members:** Encouraging resident participation and ownership of the project.
**Conclusion:**
While not the primary implementers, barangays play a crucial supportive role in managing community infrastructure projects. Their contributions in needs identification, advocacy, community mobilization, and project monitoring ensure that these projects address local needs and are implemented with community participation.</t>
  </si>
  <si>
    <t>What are the legal remedies available for individuals affected by illegal land grabbing?</t>
  </si>
  <si>
    <t>Individuals affected by illegal land grabbing in the Philippines have several legal remedies available to them. Here's a breakdown of the options:
**1. File a Case with the Department of Agrarian Reform (DAR):**
* The DAR oversees agrarian reform and adjudicates land disputes involving agricultural land.
* If the land grabbed falls under agrarian reform coverage (e.g., owned by a farmer-beneficiary), individuals can file a complaint with the DAR's adjudication board.
* The DAR can issue orders for the return of possession to the rightful owner and impose penalties on the land grabber.
**2. File a Civil Case in Court:**
* Individuals can file a civil case for recovery of possession or quieting of title against the land grabber in court.
* A civil case focuses on establishing ownership and regaining possession of the land.
* This option can be used regardless of whether the land is agricultural or not.
**3. File a Criminal Case:**
* Depending on the circumstances of the land grabbing, a criminal case may be filed against the perpetrator.
* Possible criminal charges include:
* **Forcible Entry:** Illegal entry into the property.
* **Illegal Detainer:** Withholding possession of the property from the rightful owner.
* **Estafa:** Deception used to acquire the property.
* Success in a criminal case may lead to imprisonment of the land grabber, but doesn't automatically guarantee the return of the land.
**4. File an Administrative Case with the Housing and Land Use Regulatory Board (HLURB):**
* If the land grabbed is part of a subdivision or condominium project, a complaint can be filed with HLURB. * HLURB can investigate and sanction developers who engage in illegal land sales practices related to land grabbing.
**Additional Considerations:**
* **Legal Assistance:** Due to the complexities of land disputes, seeking legal assistance from a lawyer specializing in land law is highly recommended.
* **Free Legal Aid:** Government agencies like the Public Attorney's Office (PAO) can provide free legal assistance to qualified individuals.
* **Gathering Evidence:** Strong evidence documenting ownership (land titles, receipts, etc.) and proof of illegal activity by the land grabber strengthens the case.
* **Lengthy Process:** Land disputes can take considerable time to resolve through legal channels. Patience and perseverance are key.
**Citizen Participation and Advocacy:**
* Aside from legal remedies, joining community organizations fighting against land grabbing can provide support and a collective voice.
* Advocating for stronger law enforcement and legal reforms to deter land grabbing can be a long-term strategy.
**Conclusion:**
While illegal land grabbing is a serious issue, individuals have legal options to fight back. Understanding the available remedies, seeking legal assistance, and gathering evidence are crucial steps in regaining possession of land and holding perpetrators accountable. Working with communities and advocating for reform can contribute to a larger effort towards preventing future land grabbing incidents.</t>
  </si>
  <si>
    <t>Describe the regulatory framework for telecommunications infrastructure development in the Philippines.</t>
  </si>
  <si>
    <t>The Philippines has a comprehensive regulatory framework for telecommunications infrastructure development, aiming to balance the need for network expansion with fair competition and consumer protection. Here's a breakdown of the key institutions and regulations involved:
**Key Institutions:**
* **Department of Information and Communications Technology (DICT):** The DICT is the primary government agency responsible for formulating and implementing telecommunications policies. It focuses on:
* Developing the National Telecommunications Development Plan (NTDP) to guide infrastructure development.
* Streamlining permitting processes for infrastructure deployment.
* **National Telecommunications Commission (NTC):** The NTC is the regulatory body overseeing the telecommunications sector. Its responsibilities include:
* Issuing licenses to telecommunications companies.
* Approving interconnection agreements between different service providers.
* Ensuring fair competition and protecting consumer rights.
* Enforcing technical standards for telecommunications infrastructure. * **Local Government Units (LGUs):** LGUs, particularly city and municipal governments, have a role in granting permits for the construction of cell towers and other telecommunications infrastructure within their jurisdiction. **Key Regulatory Policies and Laws:**
* **Republic Act No. 7925 (Public Telecommunications Policy Act of 1995):** This act establishes the legal framework for the development and operation of telecommunications services in the Philippines. It promotes:
* Development of a privatized, competitive telecommunications sector.
* Expansion of telecommunications services to unserved and underserved areas.
* Consumer protection and fair pricing.
* **Memorandum Order No. 30 (Series of 2016):** This policy streamlines the permitting process for the deployment of telecommunications infrastructure. It aims to reduce the number of permits required and shorten the processing time.
* **Common Tower Policy:** The NTC encourages the co-location of telecommunications equipment through a common tower policy. This reduces redundancy in infrastructure development and promotes efficient use of resources.
**Challenges and Opportunities:**
* **Balancing Competing Interests:** Balancing the need for rapid infrastructure deployment with protecting aesthetics, environmental concerns, and public safety can be challenging.
* **Right-of-Way Issues:** Obtaining permits and negotiating right-of-way access with property owners can delay infrastructure deployment.
* **Investment Climate:** Creating a stable and predictable regulatory environment is crucial to attract investment in telecommunications infrastructure development.
**Looking Forward:**
The Philippines continues to refine its regulatory framework to encourage rapid and efficient deployment of telecommunications infrastructure. Efforts are underway to:
* **Further streamline permitting processes.**
* **Promote investment in new technologies like fiber optics and 5G.**
* **Address right-of-way challenges through legislation.**
**Conclusion:**
The Philippines' regulatory framework for telecommunications infrastructure development aims to create a competitive and dynamic environment. Collaboration among government agencies, LGUs, and the private sector is essential to ensure widespread access to reliable and affordable telecommunications services for Filipinos nationwide.</t>
  </si>
  <si>
    <t>Discuss the legal provisions for the maintenance and repair of public infrastructure.</t>
  </si>
  <si>
    <t>The Philippines has a framework for maintaining and repairing public infrastructure, spread across various laws, regulations, and agency mandates. Here's a breakdown of the key aspects:
**Funding and Responsibility:**
* **National Government Budget:** The national government allocates funds for infrastructure maintenance and repair in the annual General Appropriations Act (GAA). These funds are distributed to various government agencies responsible for specific infrastructure types (e.g., DPWH for roads and bridges).
* **Local Government Unit (LGU) Share:** LGUs receive a share of national taxes (Internal Revenue Allotment - IRA) that can be used for infrastructure maintenance within their jurisdiction. * **Build-Operate-Transfer (BOT) Projects:** For some infrastructure projects developed under Public-Private Partnership (PPP) schemes like BOT, private concessionaires may be responsible for maintenance during the concession period. **Laws and Regulations:**
* **Republic Act No. 6957 (An Act Establishing the Department of Public Works and Highways):** This law tasks the Department of Public Works and Highways (DPWH) with "undertaking the construction, maintenance, and repair of national roads, bridges, dikes, seawalls, public buildings, and other public works."
* **Department of Public Works and Highways (DPWH) Departmental Issuances:** The DPWH issues department orders and memoranda detailing specific policies and procedures for the maintenance of different types of infrastructure under their purview.
* **LGU Ordinances:** Many LGUs enact ordinances specifying their processes for identifying, prioritizing, and funding maintenance needs of local infrastructure. **Maintenance Strategies:**
* **Preventive Maintenance:** The government prioritizes preventive maintenance to extend the lifespan of infrastructure and avoid costly repairs later. This includes regular inspections, cleaning, and minor repairs.
* **Corrective Maintenance:** When infrastructure problems arise, corrective maintenance is undertaken to address the damage and restore functionality.
* **Infrastructure Management Systems (IMS):** These computerized systems help track infrastructure condition, plan maintenance activities, and optimize resource allocation. **Challenges and Opportunities:**
* **Limited Budget:** The budget allocated for infrastructure maintenance is often insufficient to address all needs, leading to a backlog of repairs.
* **Prioritization:** Prioritizing which infrastructure projects receive maintenance resources can be complex, balancing urgency of repairs with overall network condition.
* **Public-Private Partnerships (PPPs):** Further utilizing PPPs can attract private sector investment for infrastructure maintenance, easing the burden on the government budget.
* **Technology and Innovation:** Adopting new technologies like drone inspections and advanced materials can improve efficiency and reduce costs of maintenance activities.
**Accountability and Transparency:**
* **Commission on Audit (COA):** The COA audits government agencies to ensure proper allocation and utilization of funds allocated for infrastructure maintenance. * **Citizen Participation:** Community engagement can hold government agencies accountable for maintaining infrastructure in their areas.
**Conclusion:**
Maintaining and repairing public infrastructure is crucial for public safety, economic activity, and overall quality of life. The Philippines' legal framework provides a foundation for these activities, but continuous efforts are needed to secure adequate funding, prioritize effectively, and explore innovative approaches to ensure the Philippines' infrastructure remains functional and serves the needs of its citizens.</t>
  </si>
  <si>
    <t>How does Philippine law address issues of informal settlements in urban areas?</t>
  </si>
  <si>
    <t>The Philippines recognizes the challenges of informal settlements in urban areas and has a multi-pronged legal approach to address them:
**Constitutional Right to Housing:**
* **The 1987 Philippine Constitution:** Article XIII, Section 11 guarantees the right of all citizens to "decent housing and basic services." This lays the groundwork for government intervention in addressing the housing needs of informal settlers.
**Urban Development and Housing Act (RA 7279):**
* This act establishes a "balanced approach" to informal settlements, aiming for both:
* **Upgrading existing settlements:** Providing basic services like water, sanitation, and drainage within existing informal settlements.
* **Relocation:** Resettlement programs to move residents to areas with better living conditions, if upgrading is not feasible.
**Implementing Agencies:**
* **Department of Human Settlements and Urban Development (DHSUD):** The DHSUD oversees national housing development policies and programs. * **National Housing Authority (NHA):** The NHA is a government agency tasked with implementing socialized housing programs, including resettlement projects for informal settlers.
* **Local Government Units (LGUs):** LGUs play a crucial role in:
* Identifying and prioritizing informal settlements. * Developing and implementing local housing development plans that address informal settlements.
* Collaborating with national agencies on upgrading and relocation programs.
**Challenges and Limitations:**
* **Limited Funding:** Government resources allocated for housing programs can be insufficient to meet the vast need. * **Land Availability:** Finding suitable land for relocation projects, particularly near urban centers where informal settlements often arise, can be challenging.
* **Community Resistance:** Informal settlers may resist relocation due to concerns about losing access to livelihood opportunities or social networks established in their current location.
**Looking Forward:**
* **Focus on In-Situ Development:** A growing trend is in-situ development, which focuses on upgrading existing informal settlements rather than relocation. This can be more cost-effective and less disruptive for communities.
* **Public-Private Partnerships (PPPs):** The government is exploring partnerships with the private sector to leverage additional resources and expertise for developing housing solutions for informal settlers.
* **Community Participation:** Involving informal settler communities in the planning and implementation of housing programs can increase their ownership and improve the success of these initiatives.
**Conclusion:**
The Philippines' legal framework recognizes the need to address informal settlements and improve housing conditions for all citizens. While challenges remain, a combination of legal mandates, government agencies, and efforts to secure additional funding and encourage community participation provide a foundation for progress.</t>
  </si>
  <si>
    <t>Explain the requirements for obtaining permits for the construction of roads and bridges.</t>
  </si>
  <si>
    <t>Obtaining permits for constructing roads and bridges in the Philippines involves a multi-step process with various agencies depending on the project's scale and location. Here's a breakdown of the key requirements:
**Project Classification and Lead Agency:**
* **Project Scale:** The scale and purpose of the road or bridge project determine the lead agency responsible for permit issuance.
* **National Roads and Bridges:** The Department of Public Works and Highways (DPWH) handles permits for national roads and major bridges identified in the national development plan.
* **Local Roads and Bridges:** LGUs (Local Government Units) handle permits for local roads and smaller bridges within their jurisdiction. **Environmental Considerations:**
* **Environmental Impact Assessment System (EIS System):** Most road and bridge projects require an Environmental Impact Assessment (EIA) conducted by an accredited EIA preparer. * The EIA identifies potential environmental impacts of the project and proposes mitigation measures.
* The level of detail in the EIA depends on the project's size and potential environmental risks.
* **Barangay Clearance:** A barangay clearance is usually required, indicating the barangay's (smallest local government unit) awareness and no objection to the project.
**Land Acquisition and Right-of-Way:**
* **Proof of Land Ownership or Right-of-Way:** * For projects on private land, proof of land ownership or a negotiated right-of-way agreement with landowners is necessary.
* The DPWH or LGU may assist in acquisition or negotiations for government-funded projects.
* **Land Conversion (if applicable):** If the project involves converting agricultural land to another use, a land conversion clearance may be required from the Department of Agrarian Reform (DAR).
**Engineering Plans and Specifications:**
* **Detailed Engineering Plans and Specifications (Plans &amp; Specs):** The project proponent (government agency or private developer) must submit detailed engineering plans and specifications approved by a licensed civil engineer.
* These plans detail the design, materials, and construction methods for the road or bridge.
**Building Permits and Construction Supervision:**
* **Building Permits:** Once other permits are obtained, building permits are issued by the DPWH or LGU depending on the project's scale.
* **Construction Supervision:** The DPWH or LGU may assign construction supervisors to monitor compliance with approved plans and safety regulations during construction.
**Additional Considerations:**
* **Public Consultations:** Public consultations may be required, especially for large-scale projects, to gather community feedback and address concerns.
* **Cultural Heritage Impact Assessment (CHIA):** If the project area has potential to impact cultural heritage sites, a CHIA may be required.
* **Fire Safety Clearance:** For bridges with designated use for vehicles, a fire safety clearance may be needed from the Bureau of Fire Protection (BFP). **Timeline and Fees:**
The processing time and fees for permits can vary depending on the project complexity, the agencies involved, and compliance with requirements. **Conclusion:**
Obtaining permits for road and bridge construction requires careful planning and coordination with various government agencies. Securing the necessary permits ensures the project adheres to environmental regulations, safety standards, and respects community concerns.</t>
  </si>
  <si>
    <t>Discuss the legal mechanisms for regulating land use in urban areas.</t>
  </si>
  <si>
    <t>The Philippines employs a combination of legal mechanisms to regulate land use in urban areas, aiming to promote orderly development and efficient utilization of space. Here's a breakdown of the key aspects:
**National Policy Framework:**
* **The 1987 Philippine Constitution:** The Constitution lays the groundwork for land use regulation by mandating the State to "promote a just and dynamic social order that will ensure the prosperity and independence of the nation and guarantee the enjoyment of a beneficial life by all citizens."
**Urban Development and Housing Act (RA 7279):**
* This act establishes the legal framework for urban development in the Philippines. It promotes:
* **Compact and sustainable development:** Encourages densification within existing urban areas through measures like transit-oriented development (TOD) and vertical housing construction.
* **Zoning:** Mandates the creation of comprehensive land use plans (CLUPs) by LGUs to designate areas for residential, commercial, industrial, and agricultural uses.
**Implementing Agencies:**
* **Department of Human Settlements and Urban Development (DHSUD):** The DHSUD formulates national urban development policies and provides technical assistance to LGUs for land use planning.
* **Housing and Urban Development Coordinating Council (HUDCC):** This inter-agency council coordinates urban development efforts between different government agencies.
* **Local Government Units (LGUs):** LGUs, particularly city and municipal governments, play a crucial role in land use regulation through:
* **Zoning Ordinances:** Enacting zoning ordinances to further specify permitted land uses within each zone, regulating building heights, densities, and setbacks.
* **Issuing Permits:** LGUs issue permits for construction projects based on compliance with CLUPs and zoning ordinances.
* **Enforcement:** LGUs have the responsibility to enforce land use regulations and take action against violations.
**Other Legal Mechanisms:**
* **National Building Code:** This code sets minimum standards for the design, construction, occupancy, and maintenance of all buildings and structures. * **Environmental Laws:** Environmental Impact Assessment (EIA) may be required for certain development projects to assess potential environmental impacts and ensure sustainable land use practices.
**Challenges and Opportunities:**
* **Implementation Issues:** Effective implementation of CLUPs and zoning ordinances can be challenging due to:
* Lack of enforcement capacity by LGUs.
* Pressure from developers for land use conversions.
* Existence of informal settlements in areas designated for other uses.
* **Limited Funding:** Allocating sufficient resources for urban planning initiatives and infrastructure development can be difficult.
**Looking Forward:**
* **Streamlining Processes:** Efforts are underway to streamline the permitting process for construction projects while maintaining compliance with land use regulations.
* **Public Participation:** Encouraging citizen participation in the land use planning process can improve transparency and community buy-in for development plans.
* **Innovative Solutions:** Exploring innovative solutions like mixed-use developments and transit-oriented communities can contribute to more efficient land use in urban areas.
**Conclusion:**
The Philippines' legal framework for regulating land use in urban areas aims to balance development needs with sustainable practices. Collaboration between national government agencies, LGUs, and the community is crucial to ensure effective implementation and achieve a balance between economic growth and a livable urban environment.</t>
  </si>
  <si>
    <t>What are the legal obligations of developers regarding the provision of basic utilities in housing projects?</t>
  </si>
  <si>
    <t>In the Philippines, developers have legal obligations regarding the provision of basic utilities in housing projects. Here's a breakdown of the key points:
**Laws and Regulations:**
* **Urban Development and Housing Act (RA 7279):** This is the primary law governing housing development. Section 21 of this act states that housing projects, especially socialized housing, must be provided with "basic services" which include:
* Potable water supply
* Sewerage disposal system
* Drainage system
* Power supply
* Access roads
* **Revised Rules and Standards for Economic and Socialized Housing Projects (DHSUD Department Order No. 2019-07):** This department order provides detailed technical standards for socialized housing projects, including specifications for basic utilities like water pressure, sewage system capacity, and road width.
* **Local Government Unit (LGU) Ordinances:** Many LGUs enact ordinances supplementing national laws and specifying requirements for basic utilities in housing projects within their jurisdiction.
**Obligations of Developers:**
* **Planning and Design:** Developers must integrate the provision of basic utilities into the planning and design of the housing project. This includes allocating space for utility lines and treatment facilities.
* **Connection to Main Lines:** Developers are responsible for ensuring the housing project connects to main utility lines provided by water districts, electric cooperatives, or other service providers. In some cases, developers may construct their own water treatment plants or sewage treatment facilities, depending on project size and location.
* **Internal Distribution System:** Developers must install an internal distribution system within the project to deliver basic utilities to individual housing units. This includes water pipelines, sewerage lines, electrical wiring, and internal roads. * **Functionality and Maintenance:** The developer must ensure the functionality of the basic utilities upon turnover of the housing units. In some cases, developers may have maintenance responsibilities for a certain period before handing over maintenance responsibility to a homeowners' association.
**Considerations and Exceptions:**
* **Project Type and Location:** The specific requirements for basic utilities may vary depending on the type of housing project (socialized, economic, or high-end) and its location. * In some remote areas, connecting to existing utility grids may not be feasible. Developers may explore alternative solutions like water wells or septic tanks, subject to government approval.
* **Completion Stages:** The availability of all basic utilities may be phased according to the development stages of the project. **Enforcement:**
* The Department of Human Settlements and Urban Development (DHSUD) is responsible for enforcing compliance with RA 7279 and its implementing regulations.
* LGUs also play a role in monitoring housing projects and taking action against developers who violate regulations regarding basic utilities.
**Conclusion:**
Developers in the Philippines have a legal obligation to ensure their housing projects are equipped with basic utilities necessary for a decent living environment. Following national laws, regulations, and LGU ordinances is crucial to fulfill this obligation and protect the welfare of future residents.</t>
  </si>
  <si>
    <t>Describe the process for securing financing for large-scale infrastructure projects in the Philippines.</t>
  </si>
  <si>
    <t>Securing financing for large-scale infrastructure projects in the Philippines involves navigating several steps and actors. Here's a breakdown of the key aspects:
**Project Development and Planning:**
1. **Feasibility Study:** The project proponent (government agency or private company) conducts a feasibility study to assess the project's economic viability, technical feasibility, and environmental impact. 2. **Project Design and Documentation:** Detailed engineering plans, construction schedules, and cost estimates are prepared.
**Financing Options:**
The Philippines utilizes a multi-pronged approach to financing infrastructure projects, with options depending on the project's nature and risk profile:
* **Government Budget:** The national government allocates funds for priority infrastructure projects in the annual General Appropriations Act (GAA). * **Official Development Assistance (ODA):** Loans and grants from foreign governments or multilateral institutions like the World Bank or Asian Development Bank can be a source of financing.
* **Public-Private Partnerships (PPPs):** The government partners with private companies for project financing, construction, and sometimes operation under schemes like Build-Operate-Transfer (BOT) or Build-Own-Operate-Transfer (BOOT).
* **Private Sector Investment:** Private companies may directly invest in infrastructure projects, particularly those with potential for user fees or toll collection.
**Financing Approval Process:**
The specific approval process varies depending on the chosen financing option:
* **Government Funding:** Project proposals compete for allocation in the national budget through a process managed by the Department of Budget and Management (DBM).
* **ODA Loans:** The national government negotiates loan terms with foreign lenders, ensuring compliance with loan agreements. * **PPPs:** Project proposals go through a competitive bidding process managed by the Public-Private Partnership Center (PPP Center). The winning bidder arranges financing based on project feasibility and risk allocation between the public and private sectors.
**Additional Considerations:**
* **Loan Guarantees:** The government may provide loan guarantees to reduce the risk for private lenders and attract more investment in infrastructure projects.
* **Collateral Requirements:** Depending on the financing option, the project itself or government assets may serve as collateral for loans. * **Financial Due Diligence:** Lenders conduct due diligence on the project's financial viability before committing funds.
* **Environmental and Social Safeguards:** Compliance with environmental impact assessment and social safeguard requirements is essential for securing financing.
**Challenges:**
* **Limited Government Budget:** The government budget for infrastructure projects can be insufficient to meet all needs.
* **Project Complexity:** Large-scale infrastructure projects can be complex, increasing financing risks and deterring private investment.
* **Bureaucracy:** Navigating multiple government agencies during the approval process can be time-consuming.
**Looking Forward:**
* **Streamlining Processes:** Efforts are underway to streamline the PPP approval process and improve the investment climate for infrastructure projects.
* **Innovation in Financing:** Exploring innovative financing models, including blended finance (combining public and private funds), can diversify funding sources.
* **Focus on Sustainability:** Financing increasingly prioritizes projects that consider environmental and social sustainability.
**Conclusion:**
Securing financing for large-scale infrastructure projects in the Philippines requires careful planning, exploring various financing options, and navigating government regulations. Collaboration between the public and private sectors is essential to bridge the infrastructure gap and contribute to the Philippines' economic development.</t>
  </si>
  <si>
    <t>Explain the legal principles governing land titling and registration in the context of housing development.</t>
  </si>
  <si>
    <t>In the Philippines, land titling and registration play a crucial role in housing development. Here's a breakdown of the key legal principles:
**Land Registration System:**
* **Torrens System:** The Philippines utilizes the Torrens system of land registration, based on a certificate of title as definitive proof of ownership.
* **Benefits:** A Torrens title provides security of tenure for landowners and developers, facilitating transactions like securing loans for housing projects.
**Process of Land Titling for Housing Development:**
* **Verification of Land Ownership:** Developers must verify ownership of the land intended for the project. * This may involve acquiring land with existing Torrens titles or undergoing land registration if the land is unregistered.
* **Land Registration (if necessary):** For unregistered land, the developer must file an application with the proper court for original registration of title under the Land Registration Act. * This process involves establishing ownership, publication of notices, and court proceedings to confirm the title.
* **Subdivision and Condominium Laws:** Developers subdividing land or constructing condominiums must comply with specific laws:
* **Subdivision and Condominium Buyers Protective Act (RA 6552):** Protects buyers by requiring developers to register projects and disclose essential information like land ownership and project details.
* ** Condominium Corporation Law (RA 6446):** Governs the creation, management, and operation of condominium projects.
**Titling for Individual Housing Units:**
* **Subdivisions:** Upon project completion, the developer subdivides the land and issues individual titles to homebuyers. * Titles may be issued directly to homebuyers upon full payment, or held in escrow until certain conditions are met (e.g., full development of the subdivision).
* **Condominiums:** Homebuyers in condominiums don't own the land but acquire ownership of a unit within the development. * They receive a Certificate of Condominium Ownership (CCO) serving as proof of ownership of the unit and a share of ownership in the common areas of the condominium project.
**Mortgage Considerations:**
* **Land titling is crucial for securing mortgages** from banks or other lending institutions for homebuyers.
* **Banks rely on the Torrens title** as collateral for housing loans.
**Government Agencies Involved:**
* **Land Registration Authority (LRA):** Maintains the national land titling registry and processes land registration applications.
* **Housing and Urban Development Coordinating Council (HUDCC):** Oversees housing development policies and ensures compliance with Subdivision and Condominium Buyers Protective Act.
* **Securities and Exchange Commission (SEC):** Registers developers and oversees the sale of condominium units.
**Challenges:**
* **Backlogs in Land Titling:** The Philippines faces a backlog in land titling, which can delay housing development projects.
* **Informal Settlements:** The presence of informal settlements on land intended for development can complicate the land titling process.
* **Fraudulent Land Titles:** Although uncommon, instances of fraudulent land titles can pose risks for developers and homebuyers.
**Conclusion:**
A well-functioning land titling system is essential for housing development in the Philippines. Understanding the legal principles governing land registration, subdivision and condominium laws, and the roles of relevant government agencies empowers both developers and homebuyers to navigate the process securely and efficiently.</t>
  </si>
  <si>
    <t>Discuss the role of the Department of Public Works and Highways in infrastructure development and management.</t>
  </si>
  <si>
    <t>The Department of Public Works and Highways (DPWH) plays a critical role in the Philippines' infrastructure development and management. Here's a breakdown of its key functions:
**Planning and Design:**
* **National Infrastructure Development:** The DPWH formulates and implements the national infrastructure development plan, aligned with the country's overall economic and social development goals.
* **Project Feasibility Studies:** The DPWH conducts feasibility studies to assess the technical and economic viability of potential infrastructure projects before construction begins. * **Engineering Design:** The DPWH has engineering bureaus responsible for designing national roads, bridges, flood control systems, and other public works projects. **Construction and Implementation:**
* **Bidding and Contracting:** The DPWH conducts public bidding processes to select qualified contractors to undertake construction of government-funded infrastructure projects.
* **Project Management:** The DPWH oversees the construction of national roads, bridges, and other infrastructure projects, ensuring adherence to plans, specifications, and budget.
* **Quality Control:** The DPWH implements quality control measures to guarantee the durability and safety of constructed infrastructure.
**Maintenance and Rehabilitation:**
* **Preventative Maintenance:** The DPWH conducts regular inspections and maintenance activities to extend the lifespan of existing infrastructure and prevent costly repairs.
* **Corrective Maintenance:** The DPWH addresses deterioration of infrastructure through repair and rehabilitation works.
* **Budget Allocation:** The DPWH advocates for budget allocation for infrastructure maintenance activities in the annual General Appropriations Act (GAA).
**Regulation and Standards:**
* **Technical Standards:** The DPWH establishes technical standards for construction materials, design practices, and workmanship for infrastructure projects.
* **Construction Permitting:** The DPWH issues permits for construction of certain infrastructure projects, ensuring compliance with technical standards and safety regulations.
**Collaboration:**
* **Local Government Units (LGUs):** The DPWH collaborates with LGUs on infrastructure projects within their jurisdiction, providing technical assistance and funding for local roads and other public works.
* **Private Sector:** The DPWH partners with the private sector through Public-Private Partnership (PPP) schemes to leverage private sector investment for infrastructure development.
**Challenges:**
* **Limited Budget:** The budget allocated for infrastructure development is often insufficient to meet all needs, leading to a backlog of projects.
* **Geographical Challenges:** The Philippines' archipelagic geography presents challenges in constructing and maintaining infrastructure across islands.
* **Disaster Resilience:** The DPWH needs to balance development needs with ensuring infrastructure can withstand natural disasters like typhoons and earthquakes.
**Conclusion:**
The DPWH plays an indispensable role in the Philippines' infrastructure development and management. By planning, designing, constructing, maintaining, and regulating infrastructure, the DPWH contributes to economic growth, improved connectivity, and enhanced living standards for Filipinos nationwide.</t>
  </si>
  <si>
    <t>What legal protections are in place for tenants in rental housing?</t>
  </si>
  <si>
    <t>The Philippines has several legal protections in place for tenants in rental housing, primarily established in the **Rent Control Act of 2009 (Republic Act No. 9653)**. Here's a breakdown of the key protections:
**Security of Tenure:**
* **Right to Peaceful Possession:** Tenants have the right to occupy the rental property peacefully and without disturbance from the landlord during the lease period.
* **Eviction Requirements:** Landlords cannot evict tenants without a valid reason and due process. Eviction can only occur through a court order based on grounds outlined in the law, such as non-payment of rent, damage to the property, or the landlord's intention to personally use the property.
**Rent Regulation:**
* **Rent Increases:** Rent increases are limited by the Rent Control Act. The specific allowable increase depends on the location and type of housing:
* **Metro Manila and Highly Urbanized Cities:** Increases are generally limited to adjustments based on a prescribed housing price index. * **Other Areas:** Rent increases may be negotiated between landlord and tenant, but excessive hikes can be challenged in court. * **Maximum Advance Rent and Deposit:** Landlords can only require a maximum of two months' advance rent and one month's security deposit from tenants. **Rights Regarding Repairs and Maintenance:**
* **Landlord's Responsibility for Repairs:** The landlord is generally responsible for major repairs needed to maintain the habitability of the property. * **Tenant's Responsibility for Minor Repairs:** Tenants are typically responsible for minor repairs caused by their negligence or ordinary wear and tear.
**Additional Protections:**
* **Right to Withhold Rent:** In some cases, tenants may withhold rent if the landlord fails to make necessary repairs that compromise the habitability of the property.
* **Prohibition on Discrimination:** Landlords are prohibited from discriminating against tenants based on factors like race, religion, or marital status.
**Enforcement Mechanisms:**
* **Housing and Urban Development Regulatory Commission (HUDRC):** The HUDRC is responsible for adjudicating rental disputes between landlords and tenants. * **Legal Action:** Tenants can file a case in court if their rights are violated.
**It's important to note:**
* These protections primarily apply to residential rental housing, not commercial spaces.
* Specific details may vary depending on the type of lease agreement between the landlord and tenant.
* Tenants are responsible for fulfilling their obligations under the lease agreement, such as paying rent on time and taking care of the property.
**Conclusion:**
The Rent Control Act and other legal provisions provide a framework to protect tenants from unfair treatment and ensure a balance between the rights of landlords and tenants in the Philippines' rental housing market. Knowing these protections empowers tenants to advocate for their rights and enjoy a secure and habitable living environment.</t>
  </si>
  <si>
    <t>Explain the requirements for obtaining environmental clearances for infrastructure projects.</t>
  </si>
  <si>
    <t>Securing environmental clearances is crucial for infrastructure projects in the Philippines. The process involves various documents, approvals, and compliance with environmental regulations. Here's a breakdown of the key requirements:
**Environmental Impact Assessment (EIA) System:**
* The Philippines follows a mandatory Environmental Impact Assessment (EIA) System governed by the Department of Environment and Natural Resources (DENR) through the Environmental Management Bureau (EMB).
* The EIA system aims to identify, assess, and mitigate potential environmental impacts of proposed infrastructure projects.
**Project Classification and Lead Agency:**
* **Project Scale and Significance:** The scale and potential environmental impact of the project determine the lead agency responsible for reviewing the EIA report and issuing clearances.
* **Major Infrastructure Projects:** The EMB of the DENR serves as the lead agency for large-scale projects with potentially significant environmental impacts.
* **Smaller Projects:** The EMB may delegate the Environmental Impact Statement (EIS) review and clearance issuance to accredited Environmental Impact Assessment Review Committees (EIARCs) operating at the regional level. **Environmental Impact Statement (EIS) Preparation:**
* The project proponent (government agency or private developer) must commission an accredited EIA preparer to conduct the environmental impact assessment and prepare a comprehensive Environmental Impact Statement (EIS) report.
* The EIS report should detail:
* Project description and location
* Potential environmental impacts (air, water, land, biodiversity)
* Mitigation measures to address negative impacts
* Environmental Management Plan (EMP) outlining actions to minimize and manage environmental risks during construction and operation
**Public Participation:**
* Public consultations are mandatory to gather feedback from affected communities and incorporate their concerns into the EIA process.
**Clearance Process:**
* Once completed, the EIS report is submitted to the lead agency along with other required documents like project feasibility studies and engineering plans.
* The lead agency conducts a technical review of the EIS report and may request additional information or revisions.
* Public hearings may be conducted to address public concerns and ensure transparency.
* Upon satisfactory review, the lead agency issues an Environmental Compliance Certificate (ECC) or a Certificate of Non-Coverage (CNC) depending on the project's environmental impact:
* **Environmental Compliance Certificate (ECC):** Issued for projects with potential environmental impacts that can be mitigated through the proposed mitigation measures outlined in the EIS report and Environmental Management Plan (EMP).
* **Certificate of Non-Coverage (CNC):** Issued for projects deemed to have minimal environmental impacts.
**Additional Permits and Considerations:**
* Aside from the ECC or CNC, other permits related to specific environmental aspects may be required, such as:
* **Forestry permits** for projects involving forest land use.
* **Water permits** for projects affecting water resources.
* **Clearance from the National Commission on Indigenous Peoples (NCIP)** for projects in ancestral domains.
**Compliance Monitoring:**
* The DENR conducts compliance monitoring activities to ensure adherence to the mitigation measures outlined in the approved EIS and EMP. **Conclusion:**
Obtaining environmental clearances is an essential step for ensuring infrastructure projects in the Philippines are environmentally responsible. The EIA System encourages sustainable development by identifying and addressing potential environmental impacts before, during, and after construction.</t>
  </si>
  <si>
    <t>Discuss the legal provisions for the resettlement of communities affected by infrastructure development.</t>
  </si>
  <si>
    <t>The Philippines has several legal provisions in place to address the resettlement of communities displaced by infrastructure development projects. Here's a breakdown of the key points:
**Right to Decent Resettlement:**
* The Philippine Constitution recognizes the right to a decent standard of living, which includes safe and adequate housing. This principle forms the foundation for legal protections regarding resettlement.
**Urban Development and Housing Act (RA 7279):**
* This act establishes a framework for resettlement of persons living in danger areas or areas affected by government infrastructure projects. * It emphasizes planning and consultation with affected communities to ensure a dignified resettlement process.
**Key Requirements:**
* **Social Preparation and Consultation:** Project proponents must conduct meaningful consultations with affected communities throughout the resettlement process. This includes informing residents about their rights, gathering feedback on their needs and preferences, and involving them in resettlement planning.
* **Inventory and Valuation of Affected Properties:** A fair and transparent inventory and valuation of affected properties (land and structures) must be conducted to determine compensation for displaced persons.
* **Replacement Housing:** Resettlement plans must include provision of replacement housing units that meet minimum decent living standards. * This may involve relocation to government-built housing projects or provision of financial assistance to allow residents to purchase or build their own replacement housing.
* **Livelihood Assistance:** The resettlement process should consider the livelihood of affected communities and provide assistance in restoring or developing new income-generating opportunities in the resettlement site.
* **Infrastructure and Social Services:** Resettlement sites should be equipped with basic infrastructure and social services like water supply, sanitation, schools, and healthcare facilities.
**Other Relevant Laws:**
* **Right-of-Way Act (RA 10752):** This act mandates just compensation for land acquired by the government for infrastructure projects. * **Local Government Code (RA 7160):** Empowers LGUs (Local Government Units) to participate in resettlement planning and implementation within their jurisdiction.
**Challenges and Enforcement:**
* **Limited Budget:** Government funding for resettlement can be limited, affecting the provision of adequate compensation and replacement housing.
* **Community Participation:** Ensuring meaningful participation of affected communities in the planning process can be challenging.
* **Monitoring and Grievance Redress:** Effective monitoring of resettlement implementation and mechanisms for addressing grievances of displaced communities are crucial.
**Moving Forward:**
* **Public-Private Partnerships (PPPs):** PPPs can potentially provide additional resources for resettlement programs.
* **Community Empowerment:** Empowering affected communities through capacity building and legal assistance can improve their participation in the resettlement process.
* **Social Impact Assessment:** Integrating social impact assessment into infrastructure project planning can help identify potential resettlement needs early on.
**Conclusion:**
The Philippines' legal framework recognizes the need for just and humane resettlement of communities affected by infrastructure development. Ensuring compliance with existing laws and strengthening enforcement mechanisms are crucial to achieve dignified resettlement outcomes that minimize social disruption and promote long-term well-being of displaced communities.</t>
  </si>
  <si>
    <t>Describe the legal framework for the construction and operation of airports and seaports in the Philippines.</t>
  </si>
  <si>
    <t>The Philippines has a multifaceted legal framework governing the construction and operation of airports and seaports. Here's a breakdown of the key aspects:
**Regulatory Bodies:**
* **Department of Transportation (DOTr):** The DOTr holds overall responsibility for the transportation sector, including airports and seaports. * It formulates policies, sets standards, and oversees the performance of attached agencies.
* **Civil Aviation Authority of the Philippines (CAAP):** The CAAP is responsible for the regulation of civil aviation in the Philippines. * It issues permits for the construction and operation of airports, certifies airlines and aircraft, and ensures compliance with aviation safety regulations.
* **Maritime Industry Authority (MARINA):** MARINA regulates the maritime industry in the Philippines. * It issues permits for the construction and operation of seaports, licenses ships and seafarers, and enforces maritime safety regulations.
**Legal Framework:**
* **Philippine Constitution:** The Constitution grants the government the power to establish, operate, and maintain air and sea transportation facilities.
* **Air Transportation Office Act (RA 6776):** This law establishes the CAAP and defines its powers and functions regarding airport regulation.
* **Special Laws for Major Airports:** Some major Philippine airports may have special laws enacted to govern their development and operation (e.g., Mactan-Cebu International Airport Authority Act).
* **Philippine Ports Authority Act (RA 6173):** This law creates the Philippine Ports Authority (PPA), responsible for the construction, development, operation, and maintenance of national seaports.
* **Local Government Code (RA 7160):** Empowers LGUs (Local Government Units) to develop, operate, and maintain small domestic ports within their jurisdiction.
**Key Requirements for Construction and Operation:**
* **Land Acquisition:** Project proponents must secure land through purchase, negotiation, or exercise of eminent domain powers granted by the government.
* **Environmental Impact Assessment (EIA):** Most airport and seaport projects require an EIA to assess potential environmental impacts and implement mitigation measures.
* **Permits and Licenses:** Obtaining necessary permits from DOTr, CAAP (for airports), or MARINA (for seaports) is mandatory for construction and operation.
* **Safety Regulations:** Compliance with strict safety regulations set by CAAP for airports and MARINA for seaports is essential.
* **Security Measures:** Implementing security plans to ensure passenger and cargo safety is a priority.
**Public-Private Partnerships (PPPs):**
* The government encourages PPPs to leverage private sector investment for the development and operation of new airports and modernization of existing ones.
**Conclusion:**
The Philippines' legal framework aims to ensure safe, efficient, and environmentally conscious development of airports and seaports. Collaboration between various government agencies, compliance with regulations, and consideration of private sector participation are crucial for a modernized transportation network supporting the Philippines' economic growth.</t>
  </si>
  <si>
    <t>You are a developer planning to build a residential condominium complex. What legal steps do you need to take to ensure compliance with Philippine regulations?</t>
  </si>
  <si>
    <t>To ensure compliance with Philippine regulations when building a residential condominium complex, here are the key legal steps you'll need to take:
**Pre-Development:**
1. **Land Acquisition and Verification:**
* Secure the land for your project. This could involve purchasing land with an existing Torrens Title or undergoing land registration if the land is untitled. * Verify land ownership through proper documentation and title search.
2. **Project Feasibility Study and Planning:**
* Conduct a feasibility study to assess the project's financial viability, technical feasibility, and environmental impact.
* Develop detailed engineering plans, construction schedules, and cost estimates for the condominium complex.
3. **Registration with Housing and Urban Development Coordinating Council (HUDCC):**
* Register your project with HUDCC to comply with the Subdivision and Condominium Buyers Protective Act (RA 6552).
* This requires submitting project details, architectural plans, and disclosure documents for review and approval.
4. **Environmental Impact Assessment (EIA) if necessary:**
* Depending on the project's size and location, an EIA may be necessary to identify and mitigate potential environmental impacts. Secure the necessary clearances from the Department of Environment and Natural Resources (DENR).
**Development Stage:**
5. **Building Permits and Licenses:**
* Obtain building permits and licenses from the proper authorities, typically the Local Government Unit (LGU) Engineering Office, based on approved plans and compliance with the National Building Code.
6. **Construction in Accordance with Regulations:**
* Ensure construction adheres to the National Building Code, focusing on structural integrity, safety standards, accessibility, and fire safety measures.
7. **Securing Utilities and Services:**
* Coordinate with utility providers to connect the condominium complex to essential services like water, electricity, and sewage systems. **Pre-Selling and Sales Phase:**
8. **Registration with Securities and Exchange Commission (SEC):** * Register your project with the SEC as a developer selling condominium units. This involves submitting project documents and marketing materials for approval. 9. **Sales and Marketing Compliance:**
* Ensure all marketing and sales materials accurately represent the project and comply with the Subdivision and Condominium Buyers Protective Act. Disclose essential details like amenities, unit sizes, payment terms, and potential risks.
10. **Standard Condominium Sale Contract:**
* Utilize a standard condominium sale contract approved by HUDCC, outlining the rights and obligations of both the developer and the buyer.
11. **Escrow Account Management:** * Establish an escrow account with a reputable bank to hold buyer payments until specific construction milestones are met, protecting buyer investments. **Post-Construction:**
12. **Turnover of Units and Formation of Homeowners Association:**
* Upon completion, deliver units to buyers and facilitate the formation of a Homeowners Association (HOA) as mandated by the Condominium Corporation Law (RA 6446). * The HOA will be responsible for the administration, maintenance, and repairs of common areas in the condominium complex.
13. **Issuing Condominium Certificates of Ownership (CCOs):**
* Once full payment for a unit is received, issue individual Condominium Certificates of Ownership (CCOs) to buyers, certifying their ownership of a specific unit and a share of ownership in the common areas.
**Ongoing Compliance:**
* Maintain open communication with the HOA and address any concerns regarding maintenance or common areas. * Comply with future regulations and amendments to relevant laws.
**Additional Considerations:**
* Consult with a lawyer specializing in real estate and construction law throughout the development process to ensure adherence to legal requirements.
* Secure necessary insurance coverage for construction risks and potential liabilities.
By following these legal steps, you can minimize risks, protect the interests of future residents, and ensure a smooth development process for your residential condominium complex in the Philippines.</t>
  </si>
  <si>
    <t>As a local government official, how would you address complaints from residents about inadequate public transportation infrastructure?</t>
  </si>
  <si>
    <t>As a local government official addressing resident complaints about inadequate public transportation, here's a multi-pronged approach you can consider:
**1. Gather Information and Assess the Situation:**
* **Organize Public Forums:** Hold open forums or town hall meetings to hear residents' specific grievances. * **Data Collection:** Conduct surveys or partner with transport agencies to analyze ridership data, identifying areas with limited access or service gaps.
* **Identify Root Causes:** Analyze the information gathered to understand the root causes of the issues. Is it a lack of buses/trains? Inefficient routes? Unreliable schedules? Unsuitable infrastructure (e.g., narrow roads)?
**2. Develop a Multi-Faceted Strategy:**
* **Short-Term Solutions:** * **Optimize Existing Routes:** Work with transport agencies to adjust routes to better serve high-demand areas or consider rerouting underutilized routes. * **Extend Operating Hours:** If feasible, advocate for extending public transport operating hours to cater to early morning or late-night commuters.
* **Improve Information Dissemination:** Ensure clear and accessible schedules are displayed at bus stops and online. Consider real-time tracking apps if possible.
* **Mid-Term Solutions:**
* **Explore Alternative Modes:** Investigate the feasibility of introducing alternative transport options like bike-sharing programs, jeepney modernization, or well-maintained, designated tricycle routes.
* **Infrastructure Improvements:** Advocate for improvements to existing infrastructure like dedicated bus lanes, wider roads, or well-lit walkways to improve safety and efficiency.
* **Long-Term Solutions:**
* **Public-Private Partnerships (PPPs):** Explore PPPs to attract private investment for building new transport infrastructure like light rail systems or bus rapid transit (BRT) lines. * **Sustainable Urban Planning:** Integrate public transportation needs into future urban planning projects to create walkable, bike-friendly communities with easy access to public transit hubs.
**3. Communication and Transparency:**
* **Regular Updates:** Keep residents informed about ongoing efforts to address their concerns through community meetings, social media, or local publications.
* **Manage Expectations:** Be transparent about timelines and limitations, explaining the complexities of infrastructure projects and potential funding constraints.
* **Open Communication Channels:** Establish clear channels for residents to report issues, ask questions, and provide feedback throughout the process.
**4. Collaboration and Advocacy:**
* **Work with Transport Agencies:** Collaborate with regional transport agencies to ensure your city's needs are considered in their planning and resource allocation.
* **National Government Advocacy:** Lobby national government agencies for funding to support local public transport infrastructure development projects.
* **Private Sector Partnerships:** Explore partnerships with private companies to potentially sponsor infrastructure improvements or subsidize public transport fares.
**5. Monitoring and Evaluation:**
* **Track Progress:** Regularly monitor the effectiveness of implemented solutions, analyzing ridership data and resident feedback to measure improvement. * **Be Adaptable:** Be prepared to adjust strategies based on data and resident feedback. Public transportation needs can evolve, and solutions may require ongoing modification.
By taking a comprehensive approach that prioritizes gathering information, developing a multi-faceted strategy, transparent communication, collaboration, and ongoing evaluation, you can demonstrate commitment to improving public transportation infrastructure for your residents. Remember, this may be a long-term process, but through consistent effort and resident engagement, you can work towards a more accessible and efficient public transportation system.</t>
  </si>
  <si>
    <t>You are a lawyer representing a community facing eviction due to a government infrastructure project. What legal arguments would you present to protect their rights?</t>
  </si>
  <si>
    <t>As a lawyer representing a community facing eviction due to a government infrastructure project, here are some legal arguments you could present to protect their rights:
**Right to Decent Resettlement:**
* The Philippine Constitution recognizes the right to a decent standard of living, which includes safe and adequate housing. This forms the foundation for arguing against forced eviction without proper resettlement.
* **Urban Development and Housing Act (RA 7279):** This law mandates planning and consultation with affected communities to ensure a dignified resettlement process, including:
* **Fair Compensation:** Residents have the right to fair compensation for their homes and properties lost due to the project. * **Replacement Housing:** The government should provide replacement housing units that meet minimum decent living standards. * **Livelihood Assistance:** The resettlement plan should consider the livelihood of affected communities and provide assistance in restoring or developing new income-generating opportunities in the resettlement site.
* **Infrastructure and Social Services:** Resettlement sites should be equipped with basic infrastructure like water supply, sanitation, schools, and healthcare facilities.
**Procedural Fairness and Consultation:**
* **Lack of Meaningful Consultation:** You can argue that the government failed to conduct meaningful consultations with the community before deciding on the eviction. * This consultation should involve informing residents of their rights, gathering feedback on their needs and preferences, and incorporating them into the resettlement planning process.
* **Right-of-Way Act (RA 10752):** This act mandates just compensation for land acquired by the government for infrastructure projects. You can argue that the offered compensation is insufficient or doesn't reflect the true value of the properties.
**Environmental Impact Assessment (EIA) Concerns:**
* **Alternative Locations:** If the EIA process identified alternative locations with less social impact, you can argue that the chosen location disproportionately burdens the community.
**Other Legal Arguments:**
* **Deprivation of Property Without Due Process:** Eviction without proper compensation and resettlement can be argued as a violation of due process rights.
* **International Law:** You can explore referencing international human rights law regarding adequate housing and protection from forced evictions.
**Course of Action:**
* **Negotiation:** Attempting negotiation with the government to improve resettlement terms is often the first step.
* **Legal Action:** If negotiations fail, filing a petition with the court to challenge the eviction or demand fair compensation and resettlement benefits may be necessary.
**Additional Considerations:**
* **Gather Evidence:** Document the community's residency status, property ownership, and any promises made by government officials regarding resettlement.
* **Community Mobilization:** Empower the community to advocate for their rights through peaceful protests, petitions, and media engagement.
By presenting these arguments and taking strategic action, you can increase the chances of a fair outcome for the community facing eviction. Remember, the specific legal arguments will depend on the unique circumstances of the case.</t>
  </si>
  <si>
    <t>As a judge, how would you balance the need for urban development with the protection of cultural heritage sites in a landmark case?</t>
  </si>
  <si>
    <t>As a judge presiding over a landmark case balancing urban development with cultural heritage protection, I would strive for a solution that considers both sides while prioritizing the public interest. Here's a framework for approaching this complex issue:
**1. Evaluating the Significance of Both Sides:**
* **Urban Development Project:** Analyze the economic and social benefits of the proposed development project. Consider factors like job creation, infrastructure improvement, and potential for revitalizing the surrounding area.
* **Cultural Heritage Significance:** Assess the historical, cultural, and architectural importance of the heritage site. This can involve considering its age, past use, symbolic value to the community, and potential educational benefits.
**2. Exploring Alternatives:**
* **Project Redesign:** Consider if the development project can be redesigned to minimize the impact on the heritage site. Explore options like:
* Modifying the project footprint to avoid direct impact.
* Integrating the heritage site into the development plan in a respectful way.
* Utilizing underground construction techniques where feasible.
* **Relocation of the Project:** If redesign is not viable, evaluate the possibility of relocating the development project to a less culturally significant location, considering economic feasibility and potential alternative sites.
**3. Mitigation Measures:**
* **Data Recording and Preservation:** If some impact on the heritage site is unavoidable, mandate thorough data recording of the site through archaeological surveys, architectural documentation, and photographic records. * **Artifacts and Materials Preservation:** Ensure proper salvage and preservation of any artifacts or materials uncovered during construction. These can be stored in museums or used for educational purposes.
* **Public Education and Interpretation:** Develop educational programs and signage to explain the historical significance of the heritage site and the mitigation measures taken during development. **4. Public Interest and Transparency:**
* **Community Input:** Consider testimonies from historians, architects, and community members regarding the value of the heritage site and the potential impact of the development project.
* **Transparency in Decision-Making:** Clearly articulate the reasoning behind the final decision, demonstrating a fair consideration of all interests involved.
**5. Legal Framework:**
* **National Cultural Heritage Laws:** Uphold national laws and regulations protecting cultural heritage sites. The Philippines has laws like Republic Act 10066 (National Cultural Heritage Act) that guide conservation efforts.
* **Balancing Test:** Apply a balancing test to weigh the benefits of development against the irreversible damage to the cultural heritage site. **Ruling and Long-Term Considerations:**
The final ruling should demonstrate a commitment to sustainable development that balances economic growth with cultural heritage preservation. This may involve stipulations for monitoring the construction process to ensure mitigation measures are followed and potential penalties for non-compliance. The case should serve as a precedent for future decisions, encouraging developers to integrate cultural heritage considerations into project planning from the outset. By prioritizing creativity and innovative solutions, urban development can coexist with the preservation of irreplaceable cultural heritage for future generations.</t>
  </si>
  <si>
    <t>You are a government official tasked with overseeing a public-private partnership for the construction of a major highway. How would you ensure transparency and accountability in the project?</t>
  </si>
  <si>
    <t>Here's how I, as a government official overseeing a public-private partnership (PPP) for a major highway construction project, would ensure transparency and accountability:
**Pre-Bidding Stage:**
* **Clear Project Definition and Scope:** Clearly define the project's objectives, technical specifications, and expected deliverables. This establishes a benchmark for evaluating proposals and monitoring progress.
* **Open and Competitive Bidding Process:** Advertise the PPP project openly, inviting a wide range of qualified private sector companies to participate in the bidding process. This fosters competition and potentially reduces costs.
* **Disclosure of Bidding Documents:** Make bidding documents publicly available, allowing scrutiny by the public, media, and civil society organizations. This discourages favoritism and promotes fairness.
**Bidding and Award Stage:**
* **Evaluation Criteria:** Establish clear and objective evaluation criteria for bidding proposals. These criteria should go beyond just price and consider factors like technical expertise, experience in similar projects, and financial strength.
* **Selection Process Transparency:** Publicly announce the shortlisted bidders and the rationale behind the final selection of the winning consortium. This enhances public trust in the decision-making process.
**Project Implementation Stage:**
* **Project Monitoring Committee:** Establish a Project Monitoring Committee comprising representatives from government agencies, civil society organizations, and independent experts. This committee should oversee project implementation, monitor compliance with contractual terms, and identify potential issues.
* **Regular Reporting:** Mandate the private sector partner to submit regular progress reports detailing construction milestones achieved, expenditures, and any challenges encountered. These reports should be made publicly available whenever possible.
* **Grievance Redress Mechanism:** Establish a clear grievance redress mechanism for affected communities or stakeholders to voice concerns about environmental impact, labor practices, or other issues related to the project.
**Technology and Communication:**
* **Project Website:** Create a dedicated project website to disseminate information about the PPP project, including contract details, construction updates, environmental impact assessments, and contact information for the Project Monitoring Committee. * **Public Forums and Town Hall Meetings:** Organize regular public forums and town hall meetings to engage with affected communities and address their concerns throughout the construction process.
**Post-Construction Stage:**
* **Performance Audits:** Conduct independent performance audits after project completion to evaluate whether the PPP achieved its intended objectives and delivered value for money.
* **Knowledge Sharing:** Document lessons learned during the PPP project and share these best practices with other government agencies to improve future infrastructure development initiatives.
By implementing these measures, I can strive for a transparent and accountable PPP project. This fosters public trust in the government's use of public funds and resources, attracts qualified private sector partners, and increases the likelihood of a successful and sustainable infrastructure project.</t>
  </si>
  <si>
    <t>As a homeowner in a subdivision, what legal recourse do you have if the developer fails to provide promised amenities?</t>
  </si>
  <si>
    <t>If you're a homeowner in a subdivision where the developer fails to deliver promised amenities, you have several legal recourse options in the Philippines:
**1. Review your Sales and Purchase Agreement:**
* This document outlines the agreed-upon terms between you and the developer, including a description of the promised amenities. This serves as proof of the developer's obligation to provide these amenities.
**2. Demand Letter:**
* Start by sending a demand letter to the developer, clearly stating the unfulfilled promises regarding amenities. Set a reasonable timeframe for the developer to remedy the situation and commence construction or completion of the promised amenities.
**3. Homeowners Association (HOA):**
* If your subdivision has a homeowners association (HOA), work collectively with other residents facing the same issue. The HOA can leverage its collective power to confront the developer and seek solutions.
**4. Complaint with Housing and Urban Development Regulatory Commission (HUDCC):**
* The HUDCC governs the regulation, licensing, and monitoring of developers and subdivision projects in the Philippines. You can file a formal complaint with HUDCC detailing the developer's failure to deliver promised amenities. HUDCC can investigate the complaint and issue directives to the developer to comply with their obligations.
**5. Legal Action:**
* If the developer remains unresponsive after the demand letter and HUDCC complaint, consider filing a civil lawsuit against them. A lawyer can advise on the specific legal grounds for your case, such as breach of contract or misrepresentation. **Potential Legal Claims:**
* **Breach of Contract:** If the developer fails to deliver amenities explicitly stated in the Sales and Purchase Agreement, this constitutes a breach of contract. You may seek court orders to compel the developer to complete the amenities or be awarded damages for the unfulfilled promises.
* **Misrepresentation:** If the developer used amenities as a selling point to induce you to purchase a property and then failed to deliver them, this could be considered misrepresentation. You may seek rescission of the contract (allowing you to cancel the purchase) or damages for the misrepresentation.
**Additional Tips:**
* **Gather Evidence:** Maintain copies of your Sales and Purchase Agreement, marketing materials highlighting the amenities, and any communication with the developer regarding the unfulfilled promises.
* **Seek Legal Advice:** Consult a lawyer specializing in real estate to understand your legal options and the strengths of your case based on the specific details of your situation.
By following these steps and exploring your legal options, you can increase your chances of holding the developer accountable and securing the promised amenities for your subdivision. Remember, collective action through the HOA can be a powerful tool in negotiating with the developer.</t>
  </si>
  <si>
    <t>You are a legal advisor to a telecommunications company planning to expand its network infrastructure. What legal challenges might you anticipate, and how would you address them?</t>
  </si>
  <si>
    <t>As a legal advisor to a telecommunications company planning a network infrastructure expansion, here are some potential legal challenges you can anticipate and how to address them:
**1. Permitting and Right-of-Way Issues:**
* **Challenge:** Obtaining permits from various government agencies (LGUs, DOTr, CAAP/MARINA for specific locations) and securing right-of-way (ROW) can be time-consuming and complex.
* **Solution:** Proactively engage with relevant government agencies early in the planning stage. Understand their specific requirements and timelines for permit applications. Work with landowners or local government units to secure permits for cell tower construction or laying underground cables on public or private properties. Consider offering compensation for using private ROW. **2. Environmental Impact Assessment (EIA):**
* **Challenge:** Depending on the project's scale and location, an EIA may be necessary. This can add time and cost to the project.
* **Solution:** Conduct a preliminary environmental assessment to determine if a full EIA is required. If necessary, cooperate with qualified environmental consultants to prepare a comprehensive EIA report and secure necessary clearances from DENR.
**3. Cultural Heritage Concerns:**
* **Challenge:** New infrastructure might disrupt cultural heritage sites or impact areas of archaeological significance.
* **Solution:** Conduct thorough due diligence regarding the presence of cultural heritage sites in the planned expansion areas. If necessary, consult with the National Commission on Culture and Arts (NCCA) and adjust plans to minimize impact.
**4. Community Opposition and Negotiations:**
* **Challenge:** Residents may raise concerns about health risks associated with cell towers or disruption caused by construction activities.
* **Solution:** Proactively engage with communities through public consultations and information sessions. Address residents' concerns with factual information about safety standards and potential benefits of improved connectivity. Negotiate mutually agreeable solutions such as tower placement considerations or community development initiatives.
**5. Legal Disputes with Existing Providers:**
* **Challenge:** Existing telecom providers may challenge your company's right to expand into their territory or accuse you of anti-competitive practices.
* **Solution:** Ensure compliance with competition laws set by the National Telecommunications Commission (NTC). Maintain transparent business practices and avoid actions that could be construed as stifling competition. If disputes arise, seek mediation through NTC or the courts.
**Additional Considerations:**
* **Data Privacy:** Ensure compliance with the Data Privacy Act (DPA) regarding user data collection, storage, and security throughout the network expansion process.
* **Labor and Employment Laws:** Comply with labor and employment laws when contracting workers for construction and maintenance activities. * **Staying Informed:** Monitor changes in government regulations and industry best practices related to telecommunications infrastructure development.
By anticipating these potential legal challenges and proactively addressing them, your company can navigate the telecommunications network expansion process more efficiently and minimize legal risks. Remember, open communication with stakeholders, adherence to regulations, and a commitment to responsible development practices are key to a successful network expansion.</t>
  </si>
  <si>
    <t>As a lawmaker, how would you propose legislation to address the growing problem of informal settlements in urban areas?</t>
  </si>
  <si>
    <t>## Addressing Informal Settlements: A Multi-Pronged Legislative Approach
Informal settlements, while posing challenges, represent a complex issue with underlying causes like poverty, lack of affordable housing options, and rural-urban migration. As a lawmaker, I propose a legislative approach that tackles both the immediate needs of residents in informal settlements and the long-term goal of creating a more sustainable urban environment. Here are some key proposals:
**1. Upgrading and Regularization:**
* **National Upgrading Program:** Establish a national program to identify and prioritize informal settlements for upgrading. This program would provide funding and technical assistance for basic infrastructure development like water supply, sanitation, and waste management.
* **Security of Tenure:** Enact legislation to grant security of tenure to qualified residents of informal settlements. This would provide them with greater protection against eviction and encourage investment in their homes. * **Incremental Upgrading:** Promote an "incremental upgrading" approach, allowing residents to improve their dwellings progressively with technical guidance and access to affordable building materials.
**2. Affordable Housing Development:**
* **Public-Private Partnerships (PPPs):** Incentivize PPPs to develop affordable housing projects near employment centers and public transportation hubs. * **Socialized Housing Programs:** Increase funding for socialized housing programs targeted towards low-income families residing in informal settlements.
* **Inclusionary Zoning:** Implement inclusionary zoning policies that mandate developers to allocate a certain percentage of units in new projects for affordable housing.
**3. Social Services and Livelihood Opportunities:**
* **Improved Social Services:** Expand access to basic social services like healthcare, education, and childcare within or near informal settlements.
* **Skills Training Programs:** Offer skills training programs to residents of informal settlements to enhance their employability and income-generating opportunities.
* **Microfinance Initiatives:** Facilitate microfinance initiatives to provide residents with access to loans for starting small businesses and improving their livelihoods.
**4. Land Management and Urban Planning:**
* **Urban Land Reform:** Consider legislation promoting urban land reform to address unequal land distribution and make land more accessible for affordable housing development.
* **Integrated Urban Planning:** Develop integrated urban planning policies that incorporate informal settlements into future city development plans. * **Disaster Risk Reduction Planning:** Integrate disaster risk reduction strategies into slum upgrading programs to improve resilience in informal settlements prone to natural disasters.
**5. Community Participation and Transparency:**
* **Community Engagement:** Ensure meaningful community engagement throughout the entire process of upgrading informal settlements. Residents should have a voice in decision-making that affects their communities.
* **Transparency and Accountability:** Maintain transparency and accountability in the allocation and use of funds for slum upgrading programs. Regular monitoring and evaluation are crucial for ensuring effectiveness.
**Conclusion:**
Addressing informal settlements effectively requires a multi-faceted approach focusing on both upgrading existing conditions and preventing the growth of new ones. By combining these legislative proposals with collaboration between national and local government, community organizations, and the private sector, we can work towards creating more inclusive and sustainable urban environments for all.</t>
  </si>
  <si>
    <t>You are a judge presiding over a case involving allegations of corruption in a major infrastructure project. How would you ensure a fair trial and uphold the rule of law?</t>
  </si>
  <si>
    <t>Here's how I, as a judge presiding over a case involving allegations of corruption in a major infrastructure project, would ensure a fair trial and uphold the rule of law:
**Pre-Trial Stage:**
* **Presumption of Innocence:** Remind all parties involved (prosecution, defense, and the public) that the defendants are presumed innocent until proven guilty beyond a reasonable doubt.
* **Disclosure of Evidence:** Ensure both the prosecution and defense have full disclosure of all relevant evidence to allow for proper preparation and cross-examination.
* **Selection of an Impartial Jury:** Preside over a fair and transparent jury selection process to ensure the chosen jurors are impartial and have no conflicts of interest.
* **Clear Instructions on Jury Duties:** Provide clear instructions to the jury on their responsibilities, including the burden of proof, the standards of evidence, and the importance of following the law during their deliberations.
**Trial Stage:**
* **Upholding Rules of Evidence:** Strictly uphold the rules of evidence to ensure only admissible evidence is presented to the jury. This protects the rights of both parties and prevents unfair prejudice.
* **Fairness and Due Process:** Ensure all parties have a fair opportunity to present their case and challenge the opposing side's evidence through cross-examination.
* **Maintaining Order and Decorum:** Maintain order and decorum in the courtroom, preventing emotional outbursts or tampering with witnesses. A controlled environment allows for rational legal arguments to be presented.
**Post-Trial Stage:**
* **Clear and Impartial Verdict:** Deliver a clear and impartial verdict based solely on the evidence presented in court and the law as applied to the case. * **Right to Appeal:** Inform the parties of their right to appeal the decision, ensuring access to higher courts if necessary.
**Additional Measures:**
* **Protection of Witnesses:** If necessary, provide protection for witnesses who may fear retaliation for coming forward with information about corruption.
* **Transparency in Proceedings:** Promote transparency in the court proceedings to the extent allowed by law. This builds public trust in the judicial system's ability to uphold the rule of law.
By following these principles, I can strive to ensure a fair trial and uphold the rule of law. A just outcome in this case sends a powerful message that corruption will not be tolerated, regardless of the individuals involved or the scale of the project. It also strengthens public confidence in the judicial system as a reliable defender of accountability and justice.</t>
  </si>
  <si>
    <t>As a government official, how would you respond to criticisms about delays and cost overruns in a large-scale infrastructure project under your jurisdiction?</t>
  </si>
  <si>
    <t>As a government official overseeing a large-scale infrastructure project facing criticisms about delays and cost overruns, here's how I would respond:
**Acknowledge the Concerns:**
* Start by publicly acknowledging the concerns of citizens and stakeholders. Show empathy and understanding regarding the inconvenience caused by the delays and increased costs.
**Transparency and Communication:**
* Be transparent about the situation. Hold a press conference or public forum to explain the reasons behind the delays and cost overruns. This could include unforeseen geological challenges, supply chain disruptions, or changes in the project scope deemed necessary during construction.
* Provide regular updates on the project's progress, sharing revised timelines and budgets through official government websites and social media channels. **Accountability and Corrective Measures:**
* Demonstrate accountability. If mismanagement or neglect contributed to the issues, publicly admit these mistakes and outline corrective measures taken to prevent recurrence. * Investigate the reasons for the delays and cost overruns. If corruption is suspected, launch a thorough investigation and hold those responsible accountable.
**Focus on Solutions:**
* Shift the focus towards solutions. Outline a clear plan to get the project back on track, including revised completion dates and mitigation strategies to control costs.
* Engage with stakeholders, including construction companies, labor unions, and local communities, to collaborate on finding solutions to expedite construction while maintaining quality standards.
**Lessons Learned:**
* Emphasize the importance of lessons learned. Explain how the experience will inform future infrastructure projects to improve planning, risk management, and budget estimations.
**Maintaining Public Trust:**
* Throughout the process, maintain open communication and demonstrate a commitment to transparency and accountability. This helps rebuild public trust and confidence in government's ability to deliver on infrastructure projects. * Be available to answer questions from the public and address concerns through town hall meetings and hotlines.
By following these steps, I can show the public that the government is taking the situation seriously, working to address the issues, and committed to completing the project for the public good.</t>
  </si>
  <si>
    <t>You are a mediator tasked with resolving a dispute between a community and a developer over land ownership issues. How would you facilitate a mutually beneficial agreement?</t>
  </si>
  <si>
    <t>As a mediator in a land ownership dispute between a community and a developer, my goal is to facilitate a mutually beneficial agreement that respects the rights of both parties. Here's how I would approach the situation:
**Preparation:**
* **Gather Information:** Before the mediation session, I would independently gather information from both parties. This could include land titles, historical documents, and any previous agreements or communications related to the land in question.
* **Separate Meetings:** Schedule separate meetings with each party to understand their perspectives, needs, and fears. This confidentiality allows for open communication and identification of underlying interests beyond stated positions.
**Joint Mediation Session:**
* **Ground Rules:** Establish ground rules for respectful communication, active listening, and a commitment to exploring mutually beneficial solutions.
* **Joint Fact-Finding:** Facilitate a joint fact-finding discussion where both parties present their evidence and perspectives on land ownership. I would ask clarifying questions to ensure understanding and identify areas of potential agreement.
* **Interests vs. Positions:** Help both parties move beyond their stated positions (e.g., "We own the land") and explore their underlying interests (e.g., "We need secure housing", "We need the land for development"). Focusing on interests can reveal common ground and potential solutions that satisfy both parties' needs.
* **Brainstorming Solutions:** Encourage brainstorming of creative solutions that address the interests of both parties. These could include land sharing agreements, compensation packages, or community development projects funded by the developer.
* **Evaluating Options:** Evaluate the proposed solutions jointly with both parties. Consider the feasibility, sustainability, and long-term impact of each option.
**Reaching an Agreement:**
* **Negotiation and Compromise:** Facilitate negotiation and compromise to reach an agreement that both parties can accept. This may involve concessions from both sides but should ultimately benefit both the community and the developer.
* **Formalizing the Agreement:** Once an agreement is reached, memorialize it in a written document signed by all parties. This document should clearly outline the terms of the agreement and the obligations of each party.
**Additional Considerations:**
* **Power Imbalance:** Be mindful of the potential power imbalance between a community and a developer. Ensure the negotiation process is fair and that the community has a voice in the decision-making.
* **Community Representation:** If the community lacks legal representation, encourage them to seek legal advice before signing any agreement.
* **Sustainable Solutions:** Promote sustainable solutions that consider the long-term environmental and social impact of the land use.
By employing active listening, facilitating open communication, and focusing on interests, I can create an environment conducive to finding a mutually beneficial agreement that respects the rights of both the community and the developer.</t>
  </si>
  <si>
    <t>As a legal advisor to a foreign investor, what legal considerations would you highlight regarding investing in Philippine infrastructure projects?</t>
  </si>
  <si>
    <t>Here are some key legal considerations I would highlight for a foreign investor interested in Philippine infrastructure projects:
**Investment Climate:**
* **Foreign Investment Laws:** The Philippines has recently relaxed foreign investment restrictions in certain infrastructure sectors, such as railways, airports, expressways, and telecommunications. However, restrictions may still apply depending on the specific project and the investor's country of origin. Review the Foreign Investments Act (FIA) and its amendatory laws to understand the current framework.
* **Public-Private Partnership (PPP) Programs:** Many infrastructure projects are developed through PPP schemes. Familiarize yourself with the different PPP models used by the Philippine government and the legal framework governing these partnerships.
**Project-Specific Considerations:**
* **Due Diligence:** Conduct thorough due diligence on the proposed infrastructure project, including land ownership issues, environmental permits, and potential legal challenges.
* **Contract Review:** Carefully review all project contracts, including concession agreements, construction contracts, and operation and maintenance agreements. Ensure they clearly outline the rights and obligations of all parties involved.
* **Taxation:** Understand the tax implications of investing in a Philippine infrastructure project. This may include corporate income tax, value-added tax (VAT), and customs duties.
**Regulatory Environment:**
* **Permits and Licenses:** Identify all necessary permits and licenses required for the project and understand the process for obtaining them. This could involve several government agencies depending on the nature of the project.
* **Environmental Regulations:** The Philippines has strict environmental regulations. Ensure the project complies with all environmental impact assessment (EIA) requirements and environmental laws.
* **Labor and Employment Laws:** Be familiar with Philippine labor and employment laws regarding worker rights, wages, and benefits.
**Dispute Resolution:**
* **Choice of Law:** Consider including a choice of law provision in your contracts specifying which country's laws will govern in case of a dispute.
* **Dispute Resolution Mechanism:** Include a dispute resolution mechanism in your contracts, such as arbitration, to provide a neutral forum for settling disagreements.
**Additional Considerations:**
* **Political Risk:** The Philippines is a relatively stable democracy, but like any country, it carries some degree of political risk. Consider mitigating these risks through political risk insurance.
* **Corruption:** While the Philippine government is taking steps to combat corruption, it remains a concern. Partner with reputable local companies and conduct proper due diligence on all business partners.
By understanding these legal considerations and seeking advice from qualified legal counsel in the Philippines, your foreign investor client can make informed decisions and minimize risks when entering the Philippine infrastructure market.</t>
  </si>
  <si>
    <t>You are a lawyer representing a group of tenants facing eviction from their rented homes. What legal arguments would you make to protect their rights?</t>
  </si>
  <si>
    <t>Here are some legal arguments I, as a lawyer representing tenants facing eviction, could make to protect their rights:
**Challenging the Eviction Notice:**
* **Procedural Defects:** Review the eviction notice for any procedural defects. Landlords must follow specific procedures for eviction notices, including proper service and stating a valid ground for eviction. If there are errors, we can argue the notice is invalid.
* **Unlawful Ground for Eviction:** Eviction can only be based on legal grounds, such as non-payment of rent, lease violations, or landlord's intent to occupy the property. We can challenge the stated ground for eviction if it's unfounded or in bad faith (e.g., retaliation for tenant complaints).
**Tenant Rights Defenses:**
* **Right to Quiet Enjoyment:** Tenants have the right to quiet enjoyment of their rented premises. If the landlord is interfering with this right through harassment or failing to provide essential services, it could weaken the eviction case.
* **Rent Control Laws (if applicable):** In areas with rent control, landlords may be limited in the amount they can raise rent and the grounds for eviction. We can explore these protections if they apply.
* **Warranty of Habitability:** Landlords have a duty to maintain habitable premises. If essential repairs go unaddressed, it may constitute a breach of the warranty of habitability and potentially a defense against eviction.
**Seeking Alternatives to Eviction:**
* **Curing Lease Violations:** If the eviction stems from a curable lease violation (e.g., late rent payment), we can negotiate with the landlord to cure the violation and remain in the property.
* **Mediation:** Mediation with the landlord might lead to a mutually agreeable solution, such as a payment plan for back rent or a voluntary move-out date with compensation for the tenants.
**Additional Considerations:**
* **Fair Housing Laws:** Discrimination based on race, religion, national origin, disability, or familial status is illegal in eviction proceedings. If we suspect discrimination, we can raise this as a defense.
* **Tenant Rights Organizations:** Seek support from tenant rights organizations that can provide legal advice and resources.
It's important to gather all relevant documents, such as the lease agreement, rent payment records, and communication with the landlord. Early action is key. The sooner we respond to the eviction notice, the stronger our defense will be.
By utilizing these legal arguments and exploring all options, I can fight for the tenants' right to stay in their homes and ensure their rights are protected throughout the legal process.</t>
  </si>
  <si>
    <t>As a government official, how would you address concerns about environmental degradation caused by rapid urbanization and infrastructure development?</t>
  </si>
  <si>
    <t>As a government official concerned about environmental degradation caused by rapid urbanization and infrastructure development, here's a multifaceted approach I would take:
**Environmental Impact Assessments (EIAs):**
* **Strengthen EIA Requirements:** Enforce strict and transparent EIA processes for all infrastructure projects. EIAs should assess the full environmental impact (air, water, soil, biodiversity) and consider alternative solutions with lesser environmental impact.
* **Public Participation in EIAs:** Ensure public participation in EIA processes. This allows communities to voice concerns and contribute to mitigation strategies.
**Sustainable Urban Development:**
* **Smart Growth Policies:** Implement smart growth policies that encourage compact, mixed-use development, reducing urban sprawl and protecting natural areas.
* **Green Infrastructure:** Promote green infrastructure solutions like urban parks, green roofs, and permeable pavement to manage stormwater runoff, improve air quality, and create wildlife corridors.
* **Public Transportation Investment:** Invest in public transportation systems (buses, trains, light rail) to reduce reliance on private vehicles and consequent traffic congestion and air pollution.
**Environmental Protection and Enforcement:**
* **Strengthen Environmental Laws:** Review and strengthen environmental laws and regulations to better address the challenges of urbanization.
* **Effective Enforcement:** Increase enforcement efforts against environmental violations by developers and construction companies. Penalties should be strong enough to deter non-compliance.
* **Environmental Restoration Programs:** Develop programs for environmental restoration and conservation in areas impacted by past development projects.
**Community Engagement and Education:**
* **Public Awareness Campaigns:** Launch public awareness campaigns to educate citizens on sustainable living practices and the importance of environmental protection in urban areas.
* **Community Participation in Planning:** Involve communities in urban planning processes to ensure development projects consider environmental sustainability and meet community needs.
**Collaboration and Innovation:**
* **Public-Private Partnerships:** Partner with the private sector to develop and implement innovative technologies for sustainable infrastructure and urban development.
* **Inter-Agency Cooperation:** Foster collaboration between different government agencies dealing with urbanization, infrastructure, environment, and transportation to ensure coordinated policies focused on sustainable development.
By implementing these strategies, we can address environmental concerns and promote a balance between urban development, economic growth, and environmental protection. The key is to plan proactively, enact strong environmental regulations with effective enforcement, and encourage innovation and community participation in creating more sustainable cities for the future.</t>
  </si>
  <si>
    <t>You are a member of a legislative committee tasked with drafting regulations for the licensing of construction companies. What key provisions would you include to ensure safety and quality standards?</t>
  </si>
  <si>
    <t>## Key Provisions for Construction Company Licensing Regulations:
As a member of a legislative committee drafting construction company licensing regulations, I would focus on **safety** and **quality standards** through the following provisions:
**Qualifications and Experience:**
* **Minimum Licensing Requirements:** Establish minimum experience requirements for key personnel like project managers, engineers, and safety officers. These requirements could vary based on the complexity of projects the company wishes to undertake.
* **Proof of Professional Qualifications:** Require proof of professional qualifications through licensing or certification from relevant engineering bodies for key personnel.
* **Continuing Education:** Mandate continuing education requirements for key personnel to ensure they stay up-to-date with the latest building codes, safety protocols, and technologies. **Company Practices and Procedures:**
* **Safety Management Plan:** Require construction companies to develop and implement a comprehensive safety management plan that identifies potential hazards, establishes safety procedures, and outlines emergency response protocols.
* **Quality Control Program:** Mandate a quality control program to ensure construction activities meet building codes, specifications, and industry standards. This should include regular inspections and testing of materials and workmanship.
* **Financial Stability:** Consider requiring construction companies to demonstrate a certain level of financial stability to ensure they have the resources to complete projects safely and according to specifications.
**Licenses and Classifications:**
* **Tiered Licensing System:** Establish a tiered licensing system with different classifications based on the size, complexity, and type of projects a construction company is qualified to undertake.
* **Regular License Renewal:** Require regular renewal of licenses with periodic reviews to ensure companies continue to meet qualification and safety standards.
* **Disciplinary Action:** Outline a clear process for disciplinary action against companies that violate safety regulations or fail to meet quality standards. This could include fines, license suspension, or revocation.
**Transparency and Public Safety:**
* **Publicly Available Licensing Information:** Maintain a publicly accessible database of licensed construction companies that includes information about their classification, insurance coverage, and disciplinary history (if any).
* **Mandatory Reporting of Safety Incidents:** Mandate construction companies to report all safety incidents to a central authority for investigation and analysis to identify patterns and implement preventive measures. **Additional Considerations:**
* **Environmental Regulations:** Consider integrating environmental regulations into the licensing process to ensure construction companies are aware of and comply with environmental protection requirements.
* **Worker Safety Training:** Promote worker safety training programs to equip construction workers with the knowledge and skills to work safely on construction sites.
By including these provisions, the committee can create a robust licensing system that prioritizes safety and quality in the construction industry. This will protect workers, the public, and ensure that construction projects are completed to a high standard.</t>
  </si>
  <si>
    <t>As a judge, how would you interpret ambiguous provisions in a contract for a public-private partnership in infrastructure development?</t>
  </si>
  <si>
    <t>As a judge interpreting ambiguous provisions in a PPP contract for infrastructure development, my primary goal would be to **determine the intent of the parties** involved when they entered into the agreement. Here's a framework I would follow:
1. **Look to the Contract Itself:**
* **Context:** First, I would carefully consider the ambiguous provision in the context of the entire contract. This means reading the ambiguous provision in conjunction with surrounding clauses and considering the overall purpose and objectives of the agreement.
* **Definitions:** I would check if the contract includes a definitions section that defines key terms used throughout the document. A clear definition could resolve ambiguities related to specific terms.
* **Plain Meaning Rule:** In the absence of a clear definition, I would apply the "plain meaning rule." This rule states that ambiguous language should be interpreted according to its ordinary meaning and common usage.
2. **Consider Extrinsic Evidence (if necessary):**
* **Negotiation History:** If the ambiguity persists after examining the contract itself, I may consider extrinsic evidence, such as the negotiation history between the parties. This could include meeting minutes, emails, or other documents that shed light on the parties' original intent during contract formation.
* **Industry Standards:** I may also consider established industry standards and customs relevant to PPP infrastructure projects. These standards can provide context for interpreting ambiguous language.
3. **Fairness and Reasonableness:**
* **Risk Allocation:** When multiple interpretations are possible, I would consider which interpretation best reflects the fair allocation of risks and responsibilities between the public and private partners. The allocation of risk should be consistent with the overall structure of the PPP agreement.
* **Public Interest:** In cases where the ambiguous provision impacts the public interest, I would give weight to an interpretation that best serves the public good and the successful completion of the infrastructure project.
**Additional Considerations:**
* **Precedents:** I would consult relevant legal precedents and court decisions related to PPP contracts to see how similar ambiguities have been interpreted in the past.
* **Expert Testimony:** In complex cases, I may appoint expert witnesses to explain technical terms or industry practices relevant to the ambiguous provision.
By following this framework, I can strive to interpret ambiguous provisions in a PPP contract in a fair, reasonable, and objective manner that reflects the intent of the parties and serves the public interest. It's important to note that contract interpretation can be fact-specific, and the specific weight given to each factor may vary depending on the unique circumstances of the case.</t>
  </si>
  <si>
    <t>You are a legal consultant advising a community affected by flooding caused by inadequate drainage infrastructure. What legal actions could they take against responsible parties?</t>
  </si>
  <si>
    <t>Here are some legal actions a community affected by flooding caused by inadequate drainage infrastructure could take against responsible parties:
**1. Identifying the Responsible Party:**
* **Government Agencies:** The most likely responsible party is the government agency responsible for maintaining drainage infrastructure in the area. This could be a local government department, a drainage district, or a water management authority.
* **Private Developers:** In some cases, private developers may be responsible for drainage systems within their developments. If the flooding is caused by inadequate drainage within a specific development, the developer could be liable.
**2. Legal Options:**
* **Administrative Complaint:** The community can file an administrative complaint with the relevant government agency responsible for drainage infrastructure. The complaint should detail the flooding issues and demand action to improve the drainage system.
* **Lawsuit:** If the administrative complaint is unsuccessful, the community may consider filing a lawsuit against the responsible party. There are a few potential claims they could pursue:
* **Negligence:** The community could argue that the responsible party failed to maintain the drainage infrastructure properly, which led to the flooding and resulting damage.
* **Nuisance:** If the flooding is a recurring problem that significantly impacts the community's quality of life, they could sue for nuisance.
* **Inverse Condemnation:** In some jurisdictions, a community may be able to sue for inverse condemnation if the government's failure to maintain the drainage system constitutes a "taking" of their property value.
**3. Strengthening the Case:**
* **Evidence Gathering:** The community should gather evidence to support their case. This could include photos and videos of the flooding, damage reports, and expert testimony from engineers or hydrologists.
* **Community Involvement:** A strong community showing of support for legal action will demonstrate the extent of the problem and the impact on residents.
**Additional Considerations:**
* **Cost and Time:** Taking legal action can be expensive and time-consuming. The community should weigh the costs and benefits carefully before deciding to proceed.
* **Alternative Dispute Resolution (ADR):** In some cases, the community may be able to resolve the issue through ADR, such as mediation or arbitration. This can be a quicker and less expensive way to reach a settlement.
**Seeking Legal Advice:**
It is highly advisable for the community to consult with a lawyer experienced in environmental law and government liability to discuss their legal options and the best course of action for their specific situation.</t>
  </si>
  <si>
    <t>As a lawmaker, how would you propose legislation to incentivize private investment in affordable housing projects?</t>
  </si>
  <si>
    <t>Here's some legislation I, as a lawmaker, would propose to incentivize private investment in affordable housing projects:
**Tax Incentives:**
* **Low-Income Housing Tax Credits (LIHTC):** Expand and extend the LIHTC program, which provides tax credits to developers who build affordable housing units. Consider increasing credit amounts or streamlining the application process to make LIHTC more attractive to investors.
* **Tax-Exempt Bonds:** Increase the issuance of tax-exempt bonds for affordable housing projects. These bonds allow investors to earn interest exempt from federal income tax, making affordable housing projects more competitive with other investments.
* **Property Tax Abatements:** Authorize local governments to offer property tax abatements for affordable housing developments. This would reduce operating costs for developers and potentially increase profit margins.
**Financial Incentives:**
* **Direct Grants and Subsidies:** Allocate grants and subsidies to developers of affordable housing projects. These funds could help offset construction costs and make projects more financially viable.
* **Loan Guarantee Programs:** Establish loan guarantee programs for affordable housing projects. These programs would reduce the risk for lenders and encourage them to provide financing for affordable housing developments.
* **Infrastructure Development Grants:** Provide grants to support infrastructure development around affordable housing projects. This could include funding for roads, sewers, and schools, making affordable housing developments more attractive to residents.
**Regulatory Streamlining:**
* **Permitting Expeditions:** Expedite the permitting process for affordable housing projects. This would reduce development costs and time to market for investors.
* **Zoning Reform:** Encourage zoning reform to allow for higher density development in certain areas. This would increase the number of affordable housing units that can be built on a single plot of land.
* **Reduced Fees:** Reduce or eliminate certain fees associated with affordable housing development, such as impact fees and inspection fees.
**Additional Strategies:**
* **Public-Private Partnerships (PPPs):** Encourage PPPs between the public sector and private developers to finance and develop affordable housing projects.
* **Community Development Financial Institutions (CDFIs):** Provide support to CDFIs that specialize in financing affordable housing projects in underserved communities.
* **Data and Research:** Collect and disseminate data on the affordable housing market to help investors identify opportunities and make informed decisions.
By implementing a combination of these incentives, we can create a more favorable environment for private investment in affordable housing. This will increase the supply of affordable housing units and help meet the needs of low-income and moderate-income families and individuals.</t>
  </si>
  <si>
    <t>You are a government official overseeing a project to upgrade public transportation infrastructure. How would you address concerns about accessibility for persons with disabilities?</t>
  </si>
  <si>
    <t>As a government official overseeing a public transportation infrastructure upgrade project, here's how I would address concerns about accessibility for persons with disabilities:
**Planning and Design:**
* **Early Collaboration:** Include representatives from disability advocacy groups and accessibility experts from the planning stages of the project. Their input is critical in designing a truly accessible system.
* **Universal Design Principles:** Adhere to Universal Design principles to create a system usable by everyone, regardless of ability. This means considering needs of people with visual impairments, hearing impairments, mobility limitations, and cognitive differences.
* **Accessibility Standards:** Ensure all upgrades comply with national and international accessibility standards such as the Americans with Disabilities Act (ADA) Accessibility Guidelines for Transportation Vehicles or relevant local regulations. **Specific Accessibility Features:**
* **Physical Accessibility:** This includes low-floor buses or vehicles with accessible ramps, elevator access at stations, wide doorways, and designated seating areas for wheelchairs and mobility aids.
* **Auditory &amp; Visual Aids:** Install audible announcements for station arrivals and departures, visual displays with real-time information, and braille signage for the visually impaired.
* **Tactile Guidance:** Implement textured surfaces on walking surfaces to warn of upcoming hazards like platform edges or changes in elevation for the visually impaired.
* **Assistive Technologies:** Explore integrating assistive technologies like touchscreen information kiosks with accessibility features or induction loops for hearing aids in stations and vehicles.
**Information and Communication:**
* **Accessible Information:** Provide information about routes, schedules, and accessibility features in multiple formats, including text, audio, and sign language. * **Real-time Information:** Offer real-time information on service disruptions and delays through accessible channels like text alerts, mobile apps with accessibility features, and accessible public announcement systems.
* **Staff Training:** Train public transportation staff on providing assistance to passengers with disabilities. This includes sensitivity training and instruction on using assistive equipment like wheelchair lifts.
**Monitoring and Evaluation:**
* **Performance Monitoring:** Continuously monitor the effectiveness of accessibility features and identify areas for improvement. Gather feedback from riders with disabilities to ensure their needs are being met.
* **Maintenance and Repair:** Prioritize the maintenance and repair of accessibility features like elevators or ramps to ensure continued accessibility.
By implementing these strategies, we can ensure our public transportation infrastructure upgrade project truly serves everyone in the community, including persons with disabilities. This will promote greater independence and inclusion for all citizens.</t>
  </si>
  <si>
    <t>You are a mediator facilitating negotiations between a government agency and a private landowner for the acquisition of land for a national highway. How would you ensure a fair and mutually beneficial agreement?</t>
  </si>
  <si>
    <t>As a mediator facilitating negotiations between a government agency and a private landowner for a highway project, my goal is to ensure a **fair and mutually beneficial agreement**. Here's how I would approach the negotiation process:
**Preparation:**
* **Gather Information:** Before the negotiation begins, I would gather information from both parties. This includes the government agency's needs for the land, the landowner's property value assessment, and any potential impacts on the landowner's operations (if applicable).
* **Set Ground Rules:** Establish ground rules for the negotiation to ensure a respectful and productive discussion. These rules may include active listening, avoiding interruptions, and focusing on interests rather than positions.
**Facilitation:**
* **Separate Meetings:** I may conduct separate meetings with each party initially to understand their individual needs and concerns. This confidential space allows for open communication and identification of underlying interests.
* **Joint Discussions:** Once I have a better understanding of each party's position, I will facilitate joint discussions to encourage constructive dialogue. I will use active listening skills to summarize positions and reframe them to find common ground.
* **Creative Options:** I will explore creative solutions that benefit both parties. This could include land swaps, conservation easements, or phased acquisition of the land if feasible.
**Communication:**
* **Clear Communication:** I will ensure clear communication between the parties throughout the negotiation process. This means explaining complex concepts in understandable language and avoiding legal jargon.
* **Transparency:** I will encourage both parties to be transparent about their needs and interests. Open communication is essential for building trust and finding mutually agreeable solutions.
**Evaluation and Agreement:**
* **Identify BATNA (Best Alternative To a Negotiated Agreement):** I will help each party identify their BATNA. This is their best alternative if no agreement is reached. Knowing their BATNA will encourage realistic offers and compromises.
* **Formalize Agreement:** Once an agreement is reached, I will assist in formalizing it in a written contract that clearly outlines the terms of the acquisition, including compensation, timeline, and access rights (if any).
**Additional Considerations:**
* **Fair Market Value:** The compensation offered to the landowner should be based on a fair market value assessment of the land.
* **Appraiser Independence:** If appraisals are needed, I would recommend using independent and qualified appraisers to ensure fairness and avoid bias.
* **Relocation Assistance:** If the land acquisition displaces the landowner or their business, the government agency should consider providing relocation assistance.
By following these steps, I can facilitate a negotiation process that is fair, respectful, and leads to a mutually beneficial agreement between the government agency and the private landowner.</t>
  </si>
  <si>
    <t>As a lawyer, how would you advise a client who wants to challenge the constitutionality of a law allowing the expropriation of private property for infrastructure projects?</t>
  </si>
  <si>
    <t>If a client approached me wanting to challenge a law allowing expropriation of private property for infrastructure projects on the grounds of unconstitutionality, here's how I would advise them:
**Initial Assessment:**
1. **Review the Law:** First, I would thoroughly review the specific law your client wishes to challenge. This involves identifying the provisions related to expropriation and understanding the process outlined in the law.
2. **Constitutional Grounds:** We would then explore potential constitutional grounds for challenge. The most common challenges to expropriation laws relate to:
* **Violation of Due Process:** Does the law provide a fair and reasonable process for landowners to challenge the expropriation? Does it guarantee the right to be heard and present evidence?
* **Public Use Clause:** Is the stated purpose of the expropriation truly for "public use"? Can the government demonstrate a legitimate public benefit from the infrastructure project?
* **Just Compensation:** Does the law ensure the landowner receives "just compensation" for their property? This generally means fair market value at the time of taking.
**Building the Case:**
1. **Gather Evidence:** If we identify potential grounds for challenge, we would need to gather evidence to support our case. This could include:
* **Expert Opinions:** Testimony from legal experts on eminent domain and constitutional law.
* **Appraisals:** Independent appraisals of the land to demonstrate the fair market value.
* **Impact Studies:** Evidence demonstrating the lack of a compelling public purpose or excessive harm caused to the landowner.
**Strategic Options:**
1. **Negotiation:** Depending on the specific circumstances, we might consider negotiation with the government agency responsible for the infrastructure project. This could lead to a mutually agreeable solution that avoids litigation.
2. **Litigation:** If negotiation is unsuccessful, we would likely file a lawsuit challenging the constitutionality of the law. This process can be lengthy and expensive, so we would carefully weigh the costs and benefits before proceeding.
**Important Considerations:**
* **Likelihood of Success:** I would advise my client on the likelihood of success based on legal precedents related to expropriation challenges. Court decisions in similar cases can be indicative of how a judge might rule in your client's case.
* **Alternative Remedies:** We would explore whether there are alternative remedies available to your client before pursuing a constitutional challenge. This could include administrative appeals within the expropriation process itself.
Expropriation law is complex, and the success of a constitutional challenge depends on the specific law and facts of the case. It's crucial to have a qualified lawyer analyze the situation and advise your client on the best course of action.</t>
  </si>
  <si>
    <t>You are a member of a government task force responsible for coordinating disaster response and recovery efforts following a major infrastructure collapse. What legal measures would you prioritize to ensure swift and effective action?</t>
  </si>
  <si>
    <t>As a member of a government task force coordinating disaster response and recovery following a major infrastructure collapse, here are some legal measures I would prioritize to ensure swift and effective action:
**Emergency Response:**
* **Emergency Orders:** The government may need to issue emergency orders to suspend normal regulations and procedures to facilitate rapid response efforts. This could include measures like expediting contracting procedures for debris removal and emergency repairs.
* **Mutual Aid Agreements:** Activate mutual aid agreements with neighboring jurisdictions to secure additional emergency personnel and resources needed for search and rescue, medical care, and shelter provision.
**Resource Mobilization:**
* **Emergency Funding:** Authorize emergency funding to support immediate response activities and procurement of essential supplies. This may involve allocating funds from disaster relief budgets or seeking federal assistance.
* **Eminent Domain:** Consider the use of eminent domain as a last resort to expeditiously acquire private property needed for critical infrastructure repairs or temporary housing solutions, ensuring just compensation is provided to property owners.
**Public Safety and Order:**
* **Curfews and Evacuations:** Implement curfews and mandatory evacuations in areas deemed unsafe due to structural damage or hazards like gas leaks or potential flooding.
* **Price Gouging Prevention:** Enact temporary price gouging restrictions on essential goods like food, water, and medical supplies to protect disaster-stricken residents from exploitation.
**Long-Term Recovery:**
* **Building Code Review:** Initiate a thorough review of building codes and infrastructure standards to identify areas for improvement and prevent similar disasters in the future.
* **Environmental Regulations:** Ensure compliance with environmental regulations during debris removal and reconstruction activities to minimize environmental damage.
* **Long-Term Funding and Assistance:** Establish long-term funding mechanisms for recovery efforts, including individual assistance programs for housing repairs and business recovery.
**Transparency and Communication:**
* **Public Information:** Regularly communicate essential information to the public regarding the situation, available resources, and recovery progress through multiple channels, including press conferences, emergency alert systems, and translated materials.
* **Debris Removal and Disposal Plans:** Clearly communicate plans for debris removal and disposal to minimize confusion and ensure transparency in the process.
**Accountability and Oversight:**
* **Independent Review:** Establish an independent review committee to investigate the cause of the infrastructure collapse and identify areas for improvement in disaster preparedness and prevention strategies.
* **Audit of Emergency Funds:** Conduct a transparent audit of emergency funds allocated for disaster response and recovery to ensure accountability and prevent misuse of resources.
By prioritizing these legal measures, the task force can create a framework for swift and effective disaster response and recovery. Following these measures will help mitigate the impact of the disaster on citizens and facilitate a smooth transition toward long-term recovery and rebuilding. It's important to note that specific legal measures may vary depending on the severity of the disaster, existing legal frameworks, and the resources available.</t>
  </si>
  <si>
    <t>As a government official, how would you balance the need for urban development with preserving agricultural land for food security?</t>
  </si>
  <si>
    <t>Balancing urban development with preserving agricultural land for food security is a complex challenge. Here's a multi-pronged approach I, as a government official, would take:
**Data-Driven Planning:**
1. **Land Inventory and Analysis:** Conduct a comprehensive inventory of land resources within the region. This analysis should consider soil quality, agricultural productivity, existing urban areas, and infrastructure needs.
2. **Urban Growth Projections:** Develop realistic projections of future urban growth based on population trends and economic forecasts. This will help identify areas where development pressure is most likely to occur.
**Prioritizing and Protecting Agricultural Land:**
1. **Agricultural Land Zoning:** Implement agricultural land zoning regulations to discourage non-agricultural development on prime farmland. This protects the most productive soils for food production.
2. **Purchase of Development Rights (PDRs):** Establish PDR programs where the government purchases development rights from landowners. This allows farmers to retain ownership of their land while limiting its development potential.
3. **Urban Growth Boundaries:** Designate urban growth boundaries to concentrate development within specific areas and channel growth away from valuable agricultural land. **Encouraging Sustainable Practices:**
1. **Urban Agriculture:** Promote urban agriculture initiatives like rooftop gardening and vertical farming to increase food production within urban areas.
2. **Precision Agriculture:** Support the adoption of precision agriculture technologies by farmers. These technologies allow for more efficient use of water, fertilizers, and pesticides, potentially increasing yields on existing agricultural land.
3. **Reducing Food Waste:** Implement initiatives to reduce food waste throughout the supply chain. This can lessen the overall demand for agricultural land to produce food.
**Economic Incentives:**
1. **Tax Breaks and Subsidies:** Provide tax breaks and subsidies to farmers who practice sustainable agricultural techniques and conserve agricultural land.
2. **Farmer's Markets and Local Food Systems:** Support the development of farmer's markets and local food systems to connect consumers with local producers. This can increase farm profits and incentivize continued agricultural use of land.
**Collaboration and Public Engagement:**
1. **Stakeholder Engagement:** Foster collaboration among government agencies, developers, farmers, environmental groups, and the public to develop a comprehensive plan for balanced development.
2. **Public Education:** Educate the public about the importance of food security and the environmental impacts of urban sprawl. This can build public support for policies that protect agricultural land.
By implementing these strategies, we can strive to achieve a balance between meeting the needs of a growing urban population and preserving valuable agricultural land for long-term food security. It's an ongoing process that requires careful planning, collaboration, and a commitment to sustainable development.</t>
  </si>
  <si>
    <t>You are a legal advisor to a non-profit organization advocating for the rights of informal settlers. What legal strategies would you recommend to advance their cause?</t>
  </si>
  <si>
    <t>As a legal advisor to a non-profit advocating for informal settlers, here are some legal strategies I would recommend:
**Legal Representation and Advocacy:**
* **Individual Legal Aid:** Provide legal aid to informal settlers facing eviction or demolition of their homes. Challenge eviction orders in court if due process was not followed or alternative housing was not provided.
* **Public Interest Litigation:** File public interest litigation cases to challenge discriminatory laws and policies that disadvantage informal settlers. This could focus on restrictive zoning laws or lack of access to basic services like water and sanitation.
* **Lobbying and Law Reform:** Lobby government officials to enact laws that protect the rights of informal settlers. Advocate for inclusive housing policies that recognize informal settlements and provide a path to security of tenure.
**Community Empowerment and Legal Education:**
* **Know Your Rights Workshops:** Organize workshops to educate informal settlers about their legal rights, including tenant rights and rights related to eviction processes.
* **Community Organizing and Negotiation:** Support community organizing efforts to empower informal settlers to collectively advocate for their rights. Train residents on negotiation skills to bargain with landowners or government agencies for improved living conditions or land tenure regularization.
* **Documentation of Land Use and Eviction Practices:** Assist residents in documenting their history of residence in the informal settlement. This documentation can be valuable evidence in court cases challenging evictions.
**Strategic Use of International Law:**
* **International Human Rights Law:** Advocate for the application of international human rights law, such as the right to adequate housing. This can put pressure on governments to improve living conditions in informal settlements.
* **UN Guiding Principles on Business and Human Rights:** Hold private companies accountable for their impacts on informal settlements. The UN Guiding Principles on Business and Human Rights outline corporate responsibility to respect human rights throughout their operations.
**Public Awareness and Media Advocacy:**
* **Public Relations Campaigns:** Raise public awareness about the plight of informal settlers and the importance of recognizing their rights to housing and security of tenure.
* **Media Advocacy:** Work with the media to bring attention to issues faced by informal settlements, such as forced evictions, lack of basic services, and discrimination.
These are just some of the legal strategies a non-profit could use to advocate for the rights of informal settlers. The specific approach will depend on the local context and the needs of the community. It's important to work closely with the community to develop a strategy that is effective and sustainable.</t>
  </si>
  <si>
    <t>As a lawmaker, how would you propose legislation to address the lack of affordable housing options for low-income families?</t>
  </si>
  <si>
    <t>Here's some legislation I, as a lawmaker, would propose to address the lack of affordable housing options for low-income families:
**Increasing Supply:**
* **Inclusionary Zoning:** Mandate developers of large residential projects to set aside a percentage of units as affordable housing. This increases the supply of affordable units in desirable locations.
* **Public Land Development:** Allocate underutilized public land for the development of affordable housing projects. Partnerships with non-profit housing organizations can facilitate efficient development.
* **Low-Income Housing Tax Credits (LIHTC):** Expand and extend the LIHTC program, which provides tax credits to developers who build affordable housing units. Consider increasing credit amounts or streamlining the application process to make LIHTC more attractive to investors.
**Preserving Existing Stock:**
* **Rental Assistance Programs:** Increase funding for rental assistance programs like Housing Choice Vouchers, which help low-income families afford rent in the private market.
* **Foreclosure Prevention Programs:** Provide financial counseling and loan modification programs to help at-risk homeowners avoid foreclosure. This preserves existing affordable housing stock.
**Financial Incentives for Tenants and Landlords:**
* **Tenant Rehabilitation Grants:** Offer grants to low-income tenants to make repairs and improvements to their rental units. This can improve living conditions and incentivize landlords to maintain affordable housing.
* **Property Tax Abatements:** Authorize property tax abatements for landlords who keep rents affordable for low-income tenants. This reduces operating costs for landlords and encourages them to participate in affordable housing programs.
**Addressing Zoning and Regulations:**
* **Streamlining Permitting:** Expedite the permitting process for affordable housing developments. Excessive bureaucracy can delay construction and increase costs.
* **Zoning Reform:** Encourage zoning reform to allow for higher density development in certain areas. This can increase the number of housing units available on a single plot of land.
**Data and Research:**
* **National Housing Trust Fund:** Establish a national housing trust fund to provide long-term funding for affordable housing initiatives. * **Data Collection and Analysis:** Collect and disseminate data on the affordable housing market to help inform policy decisions and target resources effectively.
**Addressing Displacement Issues:**
* **Anti-displacement Measures:** Include anti-displacement measures in affordable housing legislation to protect existing residents from rent increases or eviction due to neighborhood redevelopment.
* **Relocation Assistance:** Provide relocation assistance to low-income families who are displaced by development projects. This can help them find new affordable housing options.
By implementing a combination of these strategies, we can increase the supply of affordable housing, preserve existing stock, and make housing more affordable for low-income families. This will help ensure that everyone has access to safe, decent, and affordable housing.</t>
  </si>
  <si>
    <t>You are a judge presiding over a case involving allegations of bribery in the awarding of contracts for infrastructure projects. How would you ensure the integrity of the judicial process?</t>
  </si>
  <si>
    <t>Here are some steps I would take as a judge presiding over a case involving allegations of bribery in the awarding of contracts for infrastructure projects to ensure the integrity of the judicial process:
**Recusal:**
* **Self-Assessment:** I would carefully assess any potential conflicts of interest. If I have any personal connections to the parties involved in the case or the infrastructure projects themself, I would recuse myself from the case. This avoids any appearance of bias.
**Transparency and Fairness:**
* **Open Proceedings:** Ensure that the court proceedings are open to the public, except in limited circumstances where protecting witness safety or sensitive information is necessary. * **Fair Hearing for Both Sides:** Guarantee a fair hearing for both the prosecution and the defense. This includes allowing both sides to present their evidence and arguments without undue interference.
**Presiding Over the Case:**
* **Upholding Rules of Evidence:** Strictly uphold the rules of evidence to ensure that only admissible evidence is presented in court. This protects the rights of all parties involved.
* **Impartiality:** Maintain a neutral and impartial attitude throughout the proceedings. I will avoid expressing personal opinions or prejudices about the case.
* **Clear Instructions to the Jury (if applicable):** If a jury is involved, I will provide clear and unbiased instructions on the law applicable to the case and the burden of proof.
**Security Measures:**
* **Witness Protection:** If necessary, implement witness protection measures to ensure the safety of those who come forward with information about the bribery.
* **Court Security:** Heighten court security to deter any attempts to intimidate witnesses or influence the outcome of the case.
**Collaboration with Law Enforcement:**
* **Cooperation with Investigations:** Maintain open communication with law enforcement agencies conducting investigations related to the bribery allegations. * **Reporting Potential Threats:** Report any attempts to tamper with evidence, bribe the court, or threaten those involved in the case to the appropriate authorities. By following these measures, I can strive to ensure a fair and impartial trial that upholds the integrity of the judicial process. It's important to send a strong message that bribery will not be tolerated and that those accused of such crimes will face the full force of the law.</t>
  </si>
  <si>
    <t>As a government official, how would you address concerns about the displacement of indigenous communities due to infrastructure development projects?</t>
  </si>
  <si>
    <t>Here's how I, as a government official, would address concerns about the displacement of indigenous communities due to infrastructure development projects:
**Prioritizing Free, Prior, and Informed Consent (FPIC):**
* **Early Engagement:** Ensure indigenous communities are identified and engaged early in the planning process of infrastructure projects. This includes providing all relevant information in their preferred languages.
* **Culturally Appropriate Communication:** Use culturally appropriate communication methods to ensure understanding and meaningful participation by indigenous communities. This may involve utilizing traditional communication channels and elders as respected voices.
* **Respecting Self-Determination:** Recognize the right of indigenous communities to self-determination and respect their decisions regarding the project's impact on their lands and livelihoods. Development should proceed only with their Free, Prior, and Informed Consent (FPIC).
**Minimizing Displacement and Protecting Livelihoods:**
* **Exploring Alternative Routes:** Carefully explore alternative routes for infrastructure projects that minimize displacement of indigenous communities. Technology and environmental impact assessments should be used to identify the least disruptive options.
* **Livelihood Restoration Programs:** Develop programs to support the restoration of traditional livelihoods impacted by the project or facilitate transition to new opportunities that respect cultural identity and values.
**Compensation and Benefit Sharing:**
* **Fair and Just Compensation:** Offer fair and just compensation to indigenous communities for any loss of land or resources. This compensation should be negotiated with the community and consider cultural significance beyond monetary value.
* **Benefit Sharing Agreements:** Establish benefit sharing agreements with indigenous communities that ensure they participate in the project's economic benefits. This could include employment opportunities, infrastructure development within their communities, or revenue sharing agreements.
**Protecting Cultural Heritage and Sacred Sites:**
* **Cultural Impact Assessments:** Conduct thorough cultural impact assessments to identify potential impacts on cultural heritage sites and practices. Modify project plans if necessary to protect these important aspects of indigenous identity.
* **Preservation and Management Plans:** Develop preservation and management plans for sacred sites and cultural resources in collaboration with indigenous communities. Indigenous knowledge and perspectives should be central to these plans.
**Monitoring and Accountability:**
* **Independent Monitoring:** Establish independent monitoring mechanisms to oversee compliance with agreements and mitigation measures put in place to protect indigenous communities.
* **Grievance Redress Mechanisms:** Create clear grievance redress mechanisms that allow indigenous communities to voice concerns and seek solutions if their rights are not being upheld during the project development and construction phases.
By implementing these strategies, we can work towards infrastructure development that respects the rights and livelihoods of indigenous communities. It's critical to strike a balance between economic development and protecting the cultural heritage and well-being of indigenous peoples. This requires ongoing communication, collaboration, and a commitment to achieving equitable outcomes.</t>
  </si>
  <si>
    <t>You are a mediator facilitating negotiations between a labor union and a construction company over labor disputes on a major infrastructure project. How would you encourage cooperation and reach a resolution?</t>
  </si>
  <si>
    <t>As a mediator facilitating negotiations between a labor union and a construction company, here's how I would encourage cooperation and reach a resolution:
**Pre-Negotiation:**
* **Separate Meetings:** Before a joint session, I would hold separate meetings with each party to understand their core concerns, interests, and "walk-away" points (the minimum acceptable outcome). This confidential space allows for honest discussions.
* **Setting Ground Rules:** Establish ground rules for respectful communication, active listening, and a focus on problem-solving rather than blame.
**Joint Negotiation Sessions:**
* **Neutral Environment:** Facilitate negotiations in a neutral and comfortable environment to foster open communication. * **Active Listening and Reframing:** Actively listen to both sides, summarizing key points and reframing positions to highlight common ground and potential areas of compromise. * **Identify Underlying Interests:** Help both parties move beyond positions (specific demands) and focus on underlying interests (needs and concerns). For example, a union demanding higher wages might have an underlying interest in worker safety and financial security, while a company resisting wages might have an interest in staying within budget.
* **Brainstorming Solutions:** Encourage brainstorming of mutually beneficial solutions that address the underlying interests of both parties. This could involve creative solutions like bonuses tied to safety performance or profit-sharing agreements.
* **Focus on Long-Term Gains:** Remind both parties of the benefits of reaching an agreement, such as timely project completion, improved worker morale, and a stronger working relationship for future projects.
* **Reality Checks:** Offer reality checks on proposed solutions, ensuring they are feasible within budgetary constraints and industry standards.
* **Caucus Meetings:** If impasse occurs, hold separate caucus meetings to reassess options and encourage concessions. **Reaching an Agreement:**
* **Drafting a Memorandum of Understanding (MOU):** Once an agreement is reached, help draft a clear Memorandum of Understanding (MOU) outlining the agreed-upon terms and conditions.
* **Next Steps and Follow-up:** Establish a clear plan for implementing the agreement and schedule follow-up meetings to monitor progress and address any arising issues.
**Maintaining Neutrality:**
Throughout the process, I would maintain neutrality, avoiding favoring one side over the other. My role is to facilitate communication and guide the parties towards a mutually agreeable resolution.
By employing these strategies, I can create an environment conducive to cooperation and encourage both the labor union and the construction company to reach a fair and sustainable agreement that benefits all parties involved.</t>
  </si>
  <si>
    <t>As a lawyer representing a company planning to invest in renewable energy infrastructure, what legal considerations would you emphasize regarding regulatory compliance and permitting?</t>
  </si>
  <si>
    <t>As a lawyer representing a company planning to invest in renewable energy infrastructure, here are some key legal considerations regarding regulatory compliance and permitting I would emphasize:
**Project Siting and Zoning:**
* **Land Use Regulations:** Ensure the project site complies with all local zoning regulations and land-use plans. This may involve acquiring zoning variances or conditional use permits if the project doesn't align perfectly with existing zoning.
* **Environmental Impact Assessments (EIAs):** Determine if the project triggers the need for an Environmental Impact Assessment (EIA) under national environmental laws. EIAs assess potential environmental impacts and propose mitigation measures.
**Permitting and Approvals:**
* **Federal Permits:** Identify all necessary federal permits required for construction and operation. This may involve permits related to clean water, clean air, endangered species, and historical preservation, depending on the specific project details.
* **State and Local Permits:** Research state and local permitting requirements that may apply to your project. These could include building permits, electrical permits, and connection permits to the local power grid.
* **Streamlining Permitting:** Explore opportunities to expedite the permitting process. Some government agencies offer programs to streamline permits for renewable energy projects.
**Grid Interconnection:**
* **Interconnection Agreements:** Negotiate interconnection agreements with the local transmission system operator (TSO) to connect your renewable energy generation facility to the power grid. These agreements specify technical requirements and compensation for electricity fed into the grid.
**Tax Incentives and Financing:**
* **Renewable Energy Tax Credits:** Research available federal and state tax credits and incentives for renewable energy projects. These incentives can significantly reduce project costs and improve financial returns.
* **Project Financing:** Identify potential funding sources for your project. This could include loans from specialized renewable energy lenders, green bonds, or government grants. Understanding financing options helps structure your project to meet lender requirements.
**Construction and Operation:**
* **Construction Standards:** Ensure compliance with all applicable construction standards and building codes for your specific renewable energy technology (e.g., solar, wind).
* **Decommissioning Plans:** Develop a decommissioning plan that outlines the process for safely removing the renewable energy infrastructure at the end of its useful life. Some permits may require evidence of a funded decommissioning plan.
**Additional Considerations:**
* **Project Labor Agreements (PLAs):** Consider the potential benefits and drawbacks of entering into a Project Labor Agreement (PLA) with local labor unions. PLAs can help ensure a skilled workforce and labor peace during construction but may also affect construction costs.
* **Community Engagement:** Proactively engage with local communities potentially impacted by the project. Address their concerns and seek their support for the project. This can help smooth the permitting process and build positive community relations.
By carefully considering these legal considerations and seeking legal advice throughout the development process, your company can increase the chances of successfully obtaining all necessary permits and approvals for your renewable energy infrastructure project.</t>
  </si>
  <si>
    <t>You are a member of a legislative committee reviewing proposed amendments to the laws governing urban planning and development. What changes would you recommend to promote sustainable and inclusive growth?</t>
  </si>
  <si>
    <t>## Recommendations to Promote Sustainable and Inclusive Growth in Urban Planning and Development
Here are some changes I would recommend to the laws governing urban planning and development in the Philippines, based on the Constitution and relevant RAs, to promote sustainable and inclusive growth:
**1. Strengthening the Role of Local Government Units (LGUs) (RA 7160 &amp; Constitution)**
* **Amending RA 7160 (Local Government Code):** Grant LGUs more autonomy and resources for urban planning and development. This could involve:
* **Increased Funding:** Allocate a specific percentage of national taxes to LGUs for urban development projects aligned with national and regional plans.
* **Technical Assistance:** Provide LGUs with technical expertise and capacity building programs in urban planning and sustainable development.
* **Integration with the Constitution:** Align urban planning efforts with the constitutional mandate of LGUs to:
* Ensure the efficient use of their resources and promote the general welfare of the inhabitants (Article X, Section 1)
* Protect the environment and promote ecological balance (Article II, Section 16)
**2. Prioritizing Public Participation (Constitution &amp; RA 6734)**
* **Amending RA 6734 (The Philippine Participation Act):** Strengthen citizen participation in the planning process by:
* **Mandating Public Consultations:** Require LGUs to conduct open and accessible public consultations throughout the planning process. * **Transparency:** Ensure clear and timely dissemination of information on proposed development projects.
* **Integration with the Constitution:** Uphold the right of the people to information and participation in decision-making processes as stated in Article XIII, Section 1.
**3. Encouraging Sustainable Development Practices**
* **New Legislation:** Consider enacting a separate law on Sustainable Urban Development that would:
* **Promote Green Infrastructure:** Incentivize development projects that incorporate green spaces, renewable energy sources, and sustainable building practices.
* **Climate Change Adaptation:** Mandate LGUs to integrate climate risk assessments and adaptation strategies into their development plans.
* **Integration with Existing Laws:** Ensure consistency with RA 8749 (Clean Air Act), RA 9003 (Ecological Solid Waste Management Act), and other environmental laws.
**4. Addressing Housing Needs and Social Equity (RA 11201)**
* **Amending RA 11201 (Department of Human Settlements and Urban Development Act):** Strengthen the mandate of the DHSUD to:
* **Socialized Housing Programs:** Expand and improve access to affordable and decent housing for low-income families.
* **Inclusive Development:** Promote development projects that cater to the needs of all residents, including persons with disabilities and vulnerable sectors.
**5. Fostering Transparency and Accountability**
* **New Legislation:** Consider enacting a law on Transparency and Accountability in Urban Development that would:
* **Conflict of Interest:** Establish clear guidelines to prevent conflicts of interest in the approval process for development projects.
* **Monitoring and Evaluation:** Implement a system for monitoring and evaluating the effectiveness of urban development plans.
**Remember:** This is not an exhaustive list, and further research into specific legislative proposals is recommended.</t>
  </si>
  <si>
    <t>Indigenous People Rights</t>
  </si>
  <si>
    <t>What is the significance of the Indigenous Peoples' Rights Act (IPRA) in the Philippines?</t>
  </si>
  <si>
    <t>The Indigenous Peoples' Rights Act of 1997 (IPRA), officially designated as Republic Act No. 8371 [RA 8371], is a significant law in the Philippines for the following reasons:
* **Recognition of Rights:** IPRA recognizes and promotes the rights of Indigenous Cultural Communities/Indigenous Peoples (ICCs/IPs) ([RA 8371], Chapter I). This includes their:
* Right to ancestral domains ([RA 8371], Chapter III)
* Self-Governance and Empowerment ([RA 8371], Chapter IV)
* Social Justice and Human Rights ([RA 8371], Chapter V)
* Cultural Integrity ([RA 8371], Chapter VI)
* **Protection of Ancestral Domains:** IPRA grants ICCs/IPs ownership and control over their ancestral domains, which are the lands they have traditionally occupied, owned, and used ([RA 8371], Chapter III). This is a key aspect of preserving their way of life and cultural heritage.
* **National Commission on Indigenous Peoples (NCIP):** IPRA establishes the NCIP as a government agency tasked with overseeing the implementation of the Act and protecting ICCs/IPs rights ([RA 8371], Chapter VII).
**While IPRA is a landmark legislation, it's important to note some ongoing discussions:**
* **Ancestral Land Claims:** Section 56 of IPRA has been criticized for prioritizing existing titles over ancestral land claims pre-dating 1997 ([RA 8371], Section 56). Overall, IPRA is a crucial piece of Philippine law that upholds the rights and well-being of ICCs/IPs.</t>
  </si>
  <si>
    <t>How does the IPRA protect the ancestral domains of indigenous peoples?</t>
  </si>
  <si>
    <t>IPRA protects the ancestral domains of indigenous peoples in the Philippines through several provisions:
* **Recognition of Ancestral Domain Ownership:** IPRA recognizes ancestral domains as territories traditionally occupied, owned, and used by ICCs/IPs ([RA 8371], Section 3). This establishes their legal claim to the land.
* **Self-Determination in Delineation:** IPRA upholds the "self-delineation" principle, where ICCs/IPs have a decisive role in identifying and delineating the boundaries of their ancestral domains ([reference Understanding the indigenous people's rights to their ancestral domain | Inquirer Business, business.inquirer.net]). This empowers them to define their territory based on their traditions and customary practices.
* **Rights within Ancestral Domains:** IPRA grants ICCs/IPs specific rights within their ancestral domains, including: * Ownership of lands, bodies of water, sacred places, and traditional hunting/fishing grounds ([RA 8371], Section 5)
* Development Rights: ICCs/IPs can develop their lands and natural resources sustainably, subject to existing property rights within the domain ([RA 8371], Section 5)
* Right to Remain: ICCs/IPs have the right to stay in their ancestral domains unless they voluntarily leave ([RA 8371], Section 7)
* **Restriction on Encroachment:** The government is mandated to take steps to prevent encroachment on ancestral domains by entities like corporations or individuals ([RA 8371], Section 15).
* **National Commission on Indigenous Peoples (NCIP):** The NCIP is tasked with overseeing the ancestral domain application process, investigating violations of ICCs/IPs rights, and recommending redress ([RA 8371], Chapter VII). It's important to remember that legal implementation can be complex. While IPRA offers a legal framework for protection, challenges regarding ancestral land claims and enforcement persist.</t>
  </si>
  <si>
    <t>What are the legal mechanisms in place for indigenous communities to secure their rights over ancestral lands?</t>
  </si>
  <si>
    <t>Here's a breakdown of the legal mechanisms in IPRA for securing ancestral land rights:
**1. Ancestral Domain Claim Process:**
* **Initiation:** Indigenous communities can initiate the process by filing a claim with the National Commission on Indigenous Peoples (NCIP) ([RA 8371], Section 38).
* **Self-Delineation:** The community plays a crucial role in identifying and delineating the ancestral domain boundaries based on their traditional knowledge and customary practices ([reference Understanding the indigenous people's rights to their ancestral domain | Inquirer Business, business.inquirer.net]).
* **Verification and Validation:** The NCIP verifies and validates the ancestral domain claim through consultations with the community, technical surveys, and historical research ([RA 8371], Section 39).
* **Ancestral Domain Sustainable Development and Protection Plan (ADSDPP):** The community develops a plan outlining how they will manage and utilize their ancestral domain sustainably ([RA 8371], Section 40).
* **Issuance of Ancestral Domain Title (CADT):** Upon successful completion of the process, the NCIP issues a Certificate of Ancestral Domain Title (CADT) which officially recognizes the community's ownership rights ([RA 8371], Section 41).
**2. Alternative Mechanism: Certificate of Ancestral Land Title (CALT):**
* IPRA offers an alternative mechanism for individual ICC/IP members who can prove continuous possession and occupation of specific lands within the ancestral domain ([RA 8371], Section 12).
* These individuals can secure a Certificate of Ancestral Land Title (CALT) under existing land registration laws ([RA 8371], Section 12). **3. Protection Mechanisms:**
* **NCIP Oversight:** The NCIP plays a key role in protecting ancestral domains by:
* Investigating and mediating disputes related to ancestral land claims ([RA 8371], Section 47)
* Recommending sanctions for violations of ICCs/IPs rights ([RA 8371], Section 50)
* **Restriction on Encroachment:** The government is mandated to prevent encroachment by outsiders through measures like:
* Zoning and ancestral land use restrictions ([RA 8371], Section 14)
* Environmental Impact Assessment requirements for projects within ancestral domains ([RA 8371], Section 16)
**Remember:**
* Legal implementation can be complex, and ancestral land claims disputes may arise.
* Consulting with legal professionals specializing in indigenous peoples' rights is recommended for navigating specific situations.</t>
  </si>
  <si>
    <t>What is the process for obtaining Free, Prior, and Informed Consent (FPIC) from indigenous communities for development projects?</t>
  </si>
  <si>
    <t>While IPRA itself doesn't explicitly outline the FPIC process, it recognizes the concept ([RA 8371], Section 2). Here's what we can glean from relevant sources:
**General Principles:**
* **Free:** The consent should be given without coercion or manipulation.
* **Prior:** ICC/IPs must be consulted and informed before any project commences on their ancestral domains.
* **Informed:** ICC/IPs must have access to all relevant information about the proposed project, including potential risks and benefits, in a language they understand. **Following NCIP Guidelines:**
The National Commission on Indigenous Peoples (NCIP) plays a crucial role in facilitating the FPIC process. While a specific law might not exist, NCIP has issued guidelines to be followed ([reference NCIP Administrative Order No. 3, Series of 2010]). These guidelines likely include steps like:
1. **Initiation:** The project proponent approaches the NCIP and the affected ICC/IP community.
2. **Community Mobilization:** The NCIP facilitates meetings and information dissemination to ensure all community members are aware of the project.
3. **Information Sharing:** The proponent presents detailed information about the project, including potential social, cultural, and environmental impacts, in a language understandable to the community.
4. **Dialogue and Negotiation:** Open discussions are held to address community concerns and negotiate mutually beneficial agreements. 5. **Consent Gathering:** The community expresses their consent or rejection of the project through a free and informed decision-making process. **Recommendations:**
* The FPIC process should be culturally appropriate and respectful of ICC/IP traditions.
* Sufficient time should be allocated for the community to understand the project and make informed decisions.
**It's important to note:**
* FPIC is an ongoing process, not a one-time event. * ICC/IPs have the right to withdraw their consent at any stage of the project.
Remember, consulting with legal professionals specializing in indigenous peoples' rights can provide more specific guidance for navigating the FPIC process.</t>
  </si>
  <si>
    <t>How does the IPRA address the issue of indigenous cultural heritage and intellectual property rights?</t>
  </si>
  <si>
    <t>The IPRA recognizes the importance of indigenous cultural heritage but doesn't provide specific provisions for protecting cultural property itself like artworks or traditional knowledge. However, the act lays the groundwork for future legislation by acknowledging "community intellectual rights" ([RA 8371], Section 32).
Here's a breakdown of how IPRA approaches indigenous cultural heritage and intellectual property:
* **Right to Cultural Preservation:** IPRA recognizes the right of ICCs/IPs to "practice and revitalize their own cultural traditions and customs" ([RA 8371], Section 32). This includes their languages, music, stories, artistic expressions, and traditional knowledge systems.
* **Community Intellectual Rights:** The concept of "community intellectual rights" is introduced, highlighting the collective ownership and control ICCs/IPs have over their cultural heritage ([RA 8371], Section 32).
* **Protection from Exploitation:** IPRA prohibits the "defacing, removing or otherwise destroying artifacts which are of great importance to the ICCs/IPs for the preservation of their cultural heritage" without their consent ([RA 8371], Section 32). **Limitations and Need for Further Legislation:**
* IPRA doesn't address misappropriation of cultural heritage by outsiders who may commercially exploit indigenous knowledge, designs, or expressions.
* The concept of "community intellectual rights" lacks a clear legal framework for enforcement.
**The Way Forward:**
* The Philippines is currently considering legislation specifically focused on protecting indigenous cultural heritage and intellectual property rights. * These efforts aim to give ICCs/IPs greater control over their cultural heritage and ensure they benefit from its use.
**In Conclusion:**
IPRA lays the foundation for protecting indigenous cultural heritage, but further legal development is needed to provide a more robust framework for intellectual property rights within the context of indigenous communities.</t>
  </si>
  <si>
    <t>What are the penalties for violating the rights of indigenous peoples under the IPRA?</t>
  </si>
  <si>
    <t>The IPRA outlines penalties for violating the rights of indigenous peoples, but the specific repercussions can vary depending on the nature of the offense. Here's a breakdown of what the law entails:
**General Penalty Clause:**
* Section 10 of IPRA states that "unauthorized and unlawful intrusion upon, or use of any portion of the ancestral domain, or any violation of the rights hereinbefore enumerated, shall be punishable under this law" ([RA 8371], Section 10).
**Types of Penalties:**
1. **Fines:** The National Commission on Indigenous Peoples (NCIP) has the authority to impose fines for violations specified under IPRA. The amount can range from **not less than Five Hundred Thousand Pesos (P500,000) nor more than One Million Five Hundred Thousand Pesos (P1,500,000)** ([reference MARI~~CY S. BINAY - Senate of the Philippines, legacy.senate.gov.ph]).
2. **Customary Law Penalties:** IPRA allows ICC/IPs to enforce penalties based on their customary laws for violations occurring within their ancestral domains. However, these penalties cannot be cruel, degrading, inhuman, or involve the death penalty or excessive fines ([RA 8371], Section 72).
3. **Cancellation of Permits/Licenses:** For violations committed by entities with government permits or licenses to operate within ancestral domains, IPRA allows for the cancellation of those permits/licenses ([RA 8371], Section 51).
**Important Considerations:**
* The type of penalty imposed depends on the severity of the violation.
* The NCIP plays a crucial role in investigating violations, adjudicating complaints, and recommending penalties.
* ICC/IPs can also pursue civil lawsuits to seek compensation for damages caused by rights violations.
**It's important to note:**
* Legal procedures can be complex, and seeking legal advice from a professional specializing in indigenous peoples' rights is recommended for navigating specific situations.
While IPRA establishes a framework for penalties, ongoing challenges exist in ensuring effective enforcement and protecting indigenous communities from rights violations.</t>
  </si>
  <si>
    <t>How does the IPRA promote the self-governance of indigenous communities?</t>
  </si>
  <si>
    <t>The Indigenous Peoples' Rights Act (IPRA) promotes self-governance of indigenous communities in the Philippines through several key provisions:
**Recognition of Indigenous Political Structures:**
* IPRA acknowledges the inherent right of ICCs/IPs to self-governance and self-determination ([RA 8371], Section 14). This validates their traditional political structures and decision-making processes.
**Ancestral Domain Rights:**
* Granting ownership and control over ancestral domains empowers ICCs/IPs to manage their lands and resources according to their customary laws and practices ([RA 8371], Chapter III). This allows them to make decisions regarding development, resource utilization, and environmental protection within their territories.
**Customary Law Recognition:**
* IPRA recognizes the validity of customary laws governing property rights and social relations within ICC/IP communities ([RA 8371], Section 18). This allows them to enforce their own legal systems alongside national laws, promoting self-governance in internal matters.
**Representation and Participation:**
* IPRA establishes mechanisms for ICC/IP representation in government processes that affect their rights and interests. This includes reserved seats for indigenous peoples in the House of Representatives ([RA 8371], Section 14) and mandatory consultations with ICC/IPs before implementing development projects in their ancestral domains. **National Commission on Indigenous Peoples (NCIP):**
* While not a self-governing body itself, the NCIP plays a crucial role in supporting and facilitating the self-governance of ICC/IPs. They do this by:
* Upholding ICC/IP rights and settling disputes ([RA 8371], Chapter VII)
* Providing technical assistance and capacity building for ICC/IP communities
* Promoting and protecting indigenous cultures and traditions
**Limitations and Challenges:**
* The extent of self-governance varies depending on the specific ICC/IP community and their existing governance structures.
* Integrating customary laws with national legal systems can be complex.
* Ensuring effective participation in national processes requires ongoing efforts to bridge communication gaps and empower ICC/IPs.
**Overall:**
IPRA provides a framework for self-governance of indigenous communities in the Philippines. It recognizes their inherent right to self-determination and empowers them to manage their own affairs within their ancestral domains. However, ongoing challenges require continued efforts to strengthen self-governance mechanisms and ensure full participation in national decision-making processes.</t>
  </si>
  <si>
    <t>What are the rights of indigenous peoples in terms of education and cultural preservation according to Philippine law?</t>
  </si>
  <si>
    <t>The Philippine Constitution and the Indigenous Peoples' Rights Act (IPRA) work together to guarantee indigenous peoples' rights in terms of education and cultural preservation. Here's a breakdown of the key points:
**1. The 1987 Philippine Constitution:**
* **Article XIV, Section 17:** The State recognizes, respects, and protects the rights of indigenous cultural communities (ICCs) to preserve and develop their cultures, traditions, and institutions. This establishes a foundation for cultural preservation and education that respects indigenous ways of knowing and learning.
* **Article XIV, Section 18(1):** The State ensures equal access to cultural opportunities through the educational system. This ensures ICCs/IPs have access to education that incorporates their cultural heritage.
**2. Indigenous Peoples' Rights Act (IPRA) - Republic Act No. 8371:**
* **Chapter VI - Cultural Integrity:** This chapter focuses on protecting and promoting indigenous cultures.
* **Section 29:** Recognizes and protects the right of ICCs/IPs to preserve and protect their culture, traditions, and institutions.
* **Section 30:** Provides for:
* **Equal access to cultural opportunities through education:** ICCs/IPs have the right to access education in their own language and through methods appropriate to their cultural traditions. * **Right to establish and control their educational systems:** ICCs/IPs can develop their own educational systems that reflect their cultural values and knowledge.
**Key Points on Education and Cultural Preservation:**
* **Focus on Cultural Relevance:** Education should be culturally relevant, incorporating indigenous languages, knowledge systems, and teaching methods.
* **Right to Self-Determination:** ICCs/IPs have the right to decide how their cultures are preserved and transmitted through education.
* **Equal Access:** The government must ensure equal access to education for ICCs/IPs, including opportunities for higher education and cultural learning.
**Challenges and Considerations:**
* **Implementation:** Ensuring effective implementation of these rights requires adequate resources, teacher training, and collaboration between government agencies and ICC/IP communities.
* **Funding:** Sufficient funding is needed to support culturally relevant education programs and resources for ICC/IP communities.
* **Respecting Diversity:** The diverse cultures and educational needs of different ICC/IPs need to be considered when developing educational programs.
**In Conclusion:**
Philippine law recognizes the importance of education and cultural preservation for indigenous peoples. IPRA provides a framework for ensuring ICCs/IPs have access to culturally relevant education and can control how their cultures are transmitted through educational systems. However, ongoing efforts are needed to overcome implementation challenges and ensure these rights are fully realized for all indigenous communities.</t>
  </si>
  <si>
    <t>How does the IPRA address the issue of indigenous peoples' participation in decision-making processes that affect their communities?</t>
  </si>
  <si>
    <t>The Indigenous Peoples' Rights Act (IPRA) recognizes the critical role of indigenous peoples in decision-making processes that affect their communities. Here's a breakdown of the key mechanisms:
**1. Self-governance and Self-Determination:**
* IPRA acknowledges the inherent right of ICCs/IPs to self-governance and self-determination ([RA 8371], Section 14). This empowers them to make decisions regarding their own development, resources, and traditional practices within their ancestral domains.
**2. Ancestral Domain Delineation and Management:**
* ICCs/IPs play a central role in identifying and delineating the boundaries of their ancestral domains ([reference Understanding the indigenous people's rights to their ancestral domain | Inquirer Business, business.inquirer.net]). This ensures their voices are heard regarding the management and utilization of their lands and resources. **3. Free, Prior and Informed Consent (FPIC):**
* IPRA recognizes the concept of FPIC, although it doesn't have a specific law laying out the process. NCIP guidelines emphasize FPIC as a crucial step before implementing any development project within ancestral domains ([reference NCIP Administrative Order No. 3, Series of 2010]). Through FPIC, ICCs/IPs have the right to be informed, consulted, and give their consent regarding projects that might impact their communities.
**4. Representation in Government:**
* IPRA establishes mechanisms for indigenous representation in government processes that affect them. * Reserved seats for IPs in the House of Representatives allow them to directly participate in national lawmaking ([RA 8371], Section 14).
* Mandatory consultations with ICC/IPs are required before implementing laws, policies, and programs that affect their rights and ancestral domains ([RA 8371], Section 37).
**5. National Commission on Indigenous Peoples (NCIP):**
* The NCIP acts as a facilitator for ICC/IP participation in decision-making. They do this by:
* Upholding ICC/IP rights and ensuring their voices are heard in consultations ([RA 8371], Chapter VII).
* Providing technical assistance to ICC/IPs in understanding complex issues and preparing for negotiations.
* Mediating disputes that may arise during decision-making processes.
**Challenges and Considerations:**
* **Effective Implementation:** Ensuring genuine participation requires overcoming communication gaps, cultural sensitivities, and power imbalances between ICC/IPs and government bodies.
* **Capacity Building:** Empowering ICC/IPs through capacity building programs can enhance their ability to effectively participate in decision-making processes.
* **Respecting Diversity:** The diverse political structures and decision-making processes of different ICC/IP communities require flexible approaches to ensure their meaningful participation. **Overall:**
IPRA establishes a framework for indigenous participation in decision-making. However, ongoing efforts are needed to bridge communication gaps, strengthen ICC/IP capacities, and ensure their voices are genuinely considered in processes that affect their lives and well-being.</t>
  </si>
  <si>
    <t>What are the mechanisms for resolving disputes within indigenous communities under the IPRA?</t>
  </si>
  <si>
    <t>The Indigenous Peoples' Rights Act (IPRA) prioritizes the resolution of disputes within indigenous communities through customary laws and traditional mechanisms ([RA 8371], Section 8.d). Here's a breakdown of how IPRA approaches dispute resolution for ICCs/IPs:
**1. Emphasis on Customary Law:**
* IPRA recognizes the validity of customary laws in resolving disputes related to property rights, inheritance, and other matters within ancestral domains ([RA 8371], Section 18). This empowers communities to utilize their traditional conflict resolution processes.
**2. Role of Elders and Traditional Leaders:**
* Dispute resolution often involves elders, traditional leaders, or respected individuals within the community who act as mediators and facilitators based on customary laws and practices.
**3. The Role of the National Commission on Indigenous Peoples (NCIP):**
* IPRA establishes the NCIP as a key player in facilitating dispute resolution for ICCs/IPs ([RA 8371], Chapter VII). * **Mediation and Conciliation:** The NCIP prioritizes mediating disputes and facilitating settlements based on customary laws and mutually agreeable terms. * **Respecting Customary Processes:** The NCIP respects the autonomy of ICC/IPs and avoids imposing external solutions on their disputes.
**4. Amicable Settlement and Court System (as a last resort):**
* IPRA outlines alternative options if customary law resolution fails. * Parties can attempt to settle disputes amicably through negotiations with the assistance of the NCIP.
* If amicable settlement doesn't work, the legal system becomes an option, but only as a last resort after exhausting all efforts to resolve the dispute within the community or with the NCIP's mediation. **Benefits of Customary Law-Based Resolution:**
* **Culturally Appropriate:** Utilizing customary laws ensures disputes are resolved in a manner that considers traditional values and practices.
* **Community-Driven Solutions:** Empowers communities to find solutions that are relevant to their specific context and social fabric.
* **Promotes Reconciliation:** Focuses on restoring harmony within the community rather than solely on punishment.
**Challenges and Considerations:**
* **Limited Scope:** Customary laws might not address all contemporary issues faced by communities.
* **Power Dynamics:** Ensuring fairness requires vigilance against power imbalances within communities.
* **Access to Justice:** ICC/IPs should still have access to the national legal system for serious offenses beyond the scope of customary law. **Conclusion:**
IPRA prioritizes resolving disputes within indigenous communities through customary law and traditional mechanisms. The NCIP plays a crucial role in facilitating mediation and upholding the autonomy of ICC/IPs in conflict resolution. However, ongoing efforts are needed to address limitations and ensure fairness within customary processes, while still guaranteeing access to the national justice system when necessary.</t>
  </si>
  <si>
    <t>What is the significance of the Philippine Constitution in the legal system?</t>
  </si>
  <si>
    <t>The Philippine Constitution of 1987 is the **supreme law of the land** in the Philippines. It occupies the **highest position** within the hierarchy of Philippine laws. Here's why it's so significant:
* **Foundation for All Laws:** The Constitution serves as the **foundation** upon which all other laws in the Philippines are based. Any law contradicting the Constitution is considered **invalid**.
* **Guaranteeing Fundamental Rights:** The Constitution defines the **fundamental rights** of Filipino citizens, including freedom of speech, religion, and assembly. It establishes a framework to protect these rights and ensure a just and humane society. * **Structure of Government:** The Constitution outlines the **structure of the Philippine government**. It defines the **three branches** (Executive, Legislative, and Judiciary) and establishes a system of checks and balances to prevent any one branch from becoming too powerful.
* **Principles of Governance:** The Constitution enshrines **principles of governance** such as democracy, republicanism, and separation of powers. These principles guide how the government operates and upholds the rule of law.
* **Amending the Constitution:** The Constitution itself establishes a **process for amendments**. This ensures the document can evolve to address changing needs of the nation while maintaining its core principles.
**Here's an analogy:** Think of the Philippine Constitution as the **blueprint** for the country. It defines the foundations, walls, and structure of the Philippines' legal system and government. All other laws must conform to this blueprint to ensure a stable and just society.</t>
  </si>
  <si>
    <t>How does the Philippine legal system address the protection of indigenous peoples' rights to their ancestral domains in the face of development projects initiated by private entities or the government?</t>
  </si>
  <si>
    <t>The Philippine legal system addresses the protection of indigenous peoples' rights to their ancestral domains in the face of development projects through a combination of the Philippine Constitution and Republic Act No. 8371, also known as the Indigenous Peoples' Rights Act (IPRA). Here's a breakdown of the key mechanisms:
**1. Recognition of Ancestral Domain Rights:**
* The 1987 Philippine Constitution recognizes the rights of indigenous cultural communities/indigenous peoples (ICCs/IPs) to their ancestral domains ([Constitution], Article XIV, Section 17).
* IPRA builds on this by recognizing and protecting ICCs/IPs' rights to ownership and control over their ancestral domains ([RA 8371], Chapter III). This establishes a legal foundation for their claims to the land.
**2. Free, Prior and Informed Consent (FPIC):**
* While IPRA doesn't have a specific law outlining the FPIC process, it recognizes the concept ([RA 8371], Section 2). NCIP guidelines emphasize FPIC as a crucial step before development projects ([reference NCIP Administrative Order No. 3, Series of 2010]). ICCs/IPs have the right to be informed about proposed projects, understand potential impacts, and give their consent freely before projects proceed within their ancestral domains.
**3. Ancestral Domain Sustainable Development and Protection Plan (ADSDPP):**
* ICCs/IPs have a role in shaping development within their ancestral domains. IPRA requires the development of an ADSDP which outlines how the community plans to manage and utilize their land sustainably ([RA 8371], Section 40). **4. National Commission on Indigenous Peoples (NCIP):**
* The NCIP plays a crucial role in protecting ICCs/IPs' rights during development projects. They facilitate consultations with ICCs/IPs, ensure adherence to FPIC principles, and mediate any disputes that may arise ([RA 8371], Chapter VII).
**5. Legal Challenges and Enforcement:**
* Indigenous communities may need to pursue legal action if their rights are violated during development projects. * The legal process can be complex, and access to legal representation can be a challenge for many ICC/IPs.
**Challenges and Gaps:**
* **Balance Between Development and Rights:** Striking a balance between economic development needs and protecting indigenous rights remains a challenge.
* **Limited Resources:** The NCIP may lack resources to effectively monitor development projects and ensure compliance with IPRA. * **Ancestral Land Claims Backlog:** The process of recognizing and titling ancestral domains can be slow and complex, leaving some ICC/IPs vulnerable during development projects.
**Conclusion:**
The Philippine legal system offers a framework for protecting indigenous peoples' rights to their ancestral domains during development projects. However, ongoing efforts are needed to strengthen enforcement mechanisms, improve access to legal resources for ICC/IPs, and ensure FPIC is conducted meaningfully and in a way that respects indigenous cultures and decision-making processes.</t>
  </si>
  <si>
    <t>How are laws enacted in the Philippines?</t>
  </si>
  <si>
    <t>The Philippines follows a bicameral system, meaning there are two houses in Congress that deliberate and approve bills before they become laws. Here's a breakdown of the lawmaking process:
1. **Initiation:** A bill can be filed by either the Senate or the House of Representatives. Senators, Representatives, or authorized committees can introduce bills.
2. **Committee Hearings:** The bill is assigned to a relevant committee in the originating house. The committee conducts hearings to gather public input, expert opinions, and assess the bill's merits. The committee can recommend revisions, endorse the bill for further consideration, or reject it.
3. **Plenary Debates:** If the committee endorses the bill, it goes to the floor of the originating house for debates. Legislators can propose amendments, debate the bill's provisions, and vote on its approval. Three readings are required, with a voting after each reading.
4. **Transmission to the Other House:** After approval by the originating house, the bill is transmitted to the other house for their consideration. The process in the second house mirrors the first house, with committee hearings, plenary debates, and voting.
5. **Bi-cameral Approval:** If both houses approve the bill with identical versions, it's ready for submission to the President for his signature.
6. **Presidential Action:** The President has three options:
* **Sign the Bill:** If the President signs the bill, it becomes a law after publication in the Official Gazette.
* **Veto the Bill:** The President can veto the entire bill or specific provisions, returning it to Congress with his objections. Congress can override a veto by a two-thirds vote in both houses. * **Pocket Veto:** If the President does nothing within 30 days from receipt (excluding Sundays and holidays), the bill lapses into law.
**Additional Points:**
* **Originating House:** Certain bills have designated originating houses based on their subject matter. For example, tax bills typically originate in the House of Representatives.
* **Concurrent Resolutions:** These resolutions express the sentiment of both houses on a particular issue but don't become laws. * **Role of the Judiciary:** The Philippine judicial system, particularly the Supreme Court, plays a crucial role in interpreting laws and ensuring they conform to the Constitution. The Supreme Court can declare laws unconstitutional through the process of judicial review. By following these steps, bills are carefully considered and debated before becoming laws in the Philippines. This process helps ensure that laws are well-crafted, address the needs of the people, and comply with the country's Constitution.</t>
  </si>
  <si>
    <t>What is the difference between a statute and a regulation in Philippine law?</t>
  </si>
  <si>
    <t>In the Philippines, both statutes and regulations play a role in shaping the legal landscape, but they differ in their origin and authority. Here's a breakdown of the key distinctions:
**Statutes:**
* **Source:** Enacted by the Philippine Congress through the bicameral process we discussed earlier (House of Representatives and Senate) (reference How are laws enacted in the Philippines?: your previous answer).
* **Higher Authority:** Statutes represent the highest form of legislation, established directly by the legislative branch of government.
* **Broad Scope:** Statutes often set broad legal principles, policies, and frameworks that govern specific areas. Examples include the Family Code, the Revised Penal Code, and the Indigenous Peoples' Rights Act (IPRA).
**Regulations:**
* **Source:** Issued by executive departments, agencies, or local government units **pursuant to a specific statute**. The authority to create regulations is **delegated** by Congress through the enabling provisions found within statutes.
* **Lower Authority:** Regulations must conform to existing statutes and cannot contradict them. They provide more specific details and guidelines for implementing the broader principles laid out in statutes.
* **Examples:** The Department of Education might issue regulations on the curriculum for elementary schools based on the Education Act. The Securities and Exchange Commission might create regulations on stock market disclosure requirements based on the Securities Regulation Code.
**Analogy:**
Think of **statutes** as the **foundation** of a house. They establish the main structure and pillars. **Regulations** are like the **bricks and mortar** that fill in the gaps and provide the specific details needed for a functional building. **In Conclusion:**
Statutes set the broader legal framework, while regulations provide the specific details for implementation. Understanding the distinction between these two legal sources is important for navigating the Philippine legal system.</t>
  </si>
  <si>
    <t>How does the doctrine of stare decisis apply in the Philippine legal system?</t>
  </si>
  <si>
    <t>The doctrine of stare decisis is a fundamental principle in the Philippine legal system. It translates to "to stand by things decided" and emphasizes the importance of following judicial precedent set by previous court decisions. Here's how it functions:
**Following Precedent:**
* Lower courts are generally bound by the rulings of higher courts in similar cases. * This promotes consistency and predictability in legal outcomes. **Hierarchy of Courts:**
* The Philippines has a court hierarchy, with the Supreme Court at the apex. Lower courts (Court of Appeals, Regional Trial Courts, etc.) should adhere to precedents established by higher courts in their jurisdiction when dealing with similar legal issues.
**Not a Rigid Rule:**
* Stare decisis is not a mechanical formula. Courts can depart from precedent under certain circumstances, such as:
* **Substantial Change in Circumstances:** If social, economic, or legal conditions have significantly changed since the original precedent was set, the court might reconsider the ruling.
* **Erroneous Precedent:** If the court finds a previous decision was clearly based on an error, it may choose to overturn it.
* **New Issue of Law:** When a novel legal issue arises not addressed in past precedents, the court needs to establish new jurisprudence.
**Importance of Stare Decisis:**
* **Predictability:** Businesses and individuals can make informed decisions based on a relatively predictable legal environment.
* **Stability:** Stare decisis promotes stability in the legal system by avoiding frequent shifts in legal interpretations.
* **Efficiency:** Courts can resolve cases more efficiently by relying on established precedents rather than re-litigating the same issues repeatedly.
**Finding Precedent:**
* Lawyers and judges research legal precedents using court decisions published in official reports and online legal databases. * The Supreme Court publishes its decisions in the "Official Gazette" and on the Supreme Court website.
**In Conclusion:**
Stare decisis plays a vital role in ensuring consistency and predictability within the Philippine legal system. While precedent is respected, courts retain the discretion to depart from it under justified circumstances.</t>
  </si>
  <si>
    <t>What are the rights protected under the Bill of Rights in the Philippine Constitution?</t>
  </si>
  <si>
    <t>The Bill of Rights, enshrined in Article III of the 1987 Philippine Constitution, guarantees a wide range of fundamental rights and liberties for Filipino citizens. Here's a breakdown of some key protections:
**Right to Life, Liberty, and Security of Person:**
* This is the cornerstone of the Bill of Rights. It protects individuals from being deprived of life, liberty, or property without due process of law. **Due Process:**
* Due process ensures fairness in legal proceedings. It requires proper notice, the right to be heard, and the opportunity to defend oneself before being deprived of life, liberty, or property.
**Equal Protection of the Laws:**
* The government cannot discriminate against individuals or groups without a valid reason. Everyone is entitled to equal treatment under the law.
**Right to Privacy:**
* The Constitution protects the privacy of communication and correspondence. Unreasonable searches and seizures are also prohibited.
**Freedom of Speech, Religion, and Assembly:**
* Filipinos have the right to express their views and opinions freely, practice their religion without government interference, and peacefully assemble to petition the government.
**Right to Information:**
* The government is obligated to provide access to information, except in cases of national security, public order, or public safety. **Right to Travel:**
* Filipinos can travel freely within the Philippines and may leave the country unless limited by law or necessary to protect national security, public safety, or public health.
**Protection Against Self-Incrimination:**
* No one can be compelled to be a witness against themselves in a criminal case.
**Right to Bail:**
* The right to bail is generally guaranteed, except in specific cases like capital offenses (crimes punishable by death).
**Protection Against Cruel, Inhuman, or Degrading Treatment:**
* Torture, cruel or inhuman treatment, and other degrading punishments are prohibited.
**Right to Habeas Corpus:**
* This allows individuals to challenge their detention and seek release if it's unlawful.
**Writ of Amparo:**
* A special remedy to protect individuals whose right to life, liberty, and security is violated or threatened by an executive official, agent of law enforcement, or lawless elements.
**Right to Speedy Trial:**
* Accused individuals have the right to a speedy and impartial trial.
**Right to Choose One's Representative:**
* This guarantees the right to suffrage and to participate in elections.
**These are some of the core rights protected under the Bill of Rights. It's important to note that this is not an exhaustive list, and the Constitution includes other significant guarantees.**
Understanding these rights empowers Filipino citizens and serves as a benchmark for just governance.</t>
  </si>
  <si>
    <t>What is the process for amending the Philippine Constitution?</t>
  </si>
  <si>
    <t>Amending the Philippine Constitution is a complex process designed to ensure stability while allowing for necessary changes. Here's a breakdown of the two methods for proposing amendments:
**1. Congress:**
* **Three-fourths Vote:** A proposal for amendment can be initiated by Congress through a vote of at least three-fourths (3/4) of all members of both the Senate and the House of Representatives ([Constitution], Article XVII, Section 1). This high threshold indicates the seriousness of amending the fundamental law.
**2. Constitutional Convention:**
* **Two-thirds Vote or People's Initiative:** A constitutional convention can be called in two ways:
* A vote of two-thirds (2/3) of all members of Congress ([Constitution], Article XVII, Section 3).
* A petition by at least twelve percent (12%) of the total number of registered voters, with every legislative district represented by at least three percent (3%) of its registered voters ([Constitution], Article XVII, Section 2). This method allows for citizen participation in proposing amendments.
**Following either method, the proposed amendments go through the following stages:**
* **Publication:** The proposed amendments must be published for three months before they can be voted upon ([Constitution], Article XVII, Section 4). This allows for public awareness and discussion.
* **Plebiscite:** After publication, a nationwide plebiscite (ratification by the people) is held. For the amendments to be adopted, a majority of the votes cast must be **affirmative** ([Constitution], Article XVII, Section 4).
**Important Considerations:**
* **Restrictions:** Certain provisions of the Constitution **cannot** be amended. These include the articles on national territory, the Bill of Rights, and the provisions on the separation of Church and State ([Constitution], Article XVIII).
* **Complex Process:** Amending the Constitution is a **lengthy and challenging** process due to the high voting thresholds and requirements. * **Citizen Participation:** While the people can indirectly propose amendments through a petition for a constitutional convention, amending the Constitution remains primarily a **decision by Congress**.
**In Conclusion:**
The Philippine Constitution establishes a deliberate process for amendments, balancing the need for stability with the possibility of adapting to changing circumstances. Understanding this process is crucial for anyone interested in how the Philippine government functions and evolves.</t>
  </si>
  <si>
    <t>How are judges appointed in the Philippines?</t>
  </si>
  <si>
    <t>Judges in the Philippines are appointed through a merit-based system with two key players:
1. **Judicial and Bar Council (JBC):** This body is **responsible for recommending qualified nominees** for vacancies in the judiciary ([Constitution], Article VIII, Section 8). The JBC is composed of:
* Chief Justice (Chairperson)
* Secretary of Justice (ex-officio member)
* Congressional Representatives (ex-officio members)
* A representative of the Integrated Bar of the Philippines
* A law professor
* A retired member of the Supreme Court
* A representative of the private sector
2. **President of the Philippines:** The President has the power to appoint judges **from the list of at least three nominees** submitted by the JBC for every vacancy ([Constitution], Article VIII, Section 9). The President **does not need approval** from the Senate or any other body to finalize the appointment.
Here's a breakdown of the selection process:
* **JBC Receives Applications:** Qualified lawyers can apply for vacancies announced by the JBC.
* **JBC Screening and Evaluation:** The JBC thoroughly evaluates each applicant's qualifications, including their legal experience, integrity, competence, and performance.
* **Shortlisting and Public Hearings:** The JBC shortlists the most qualified applicants and conducts public hearings to assess their qualifications and suitability for the position.
* **Recommendation to the President:** The JBC submits a list of at least three nominees to the President, ranked according to their qualifications.
* **Presidential Appointment:** The President chooses a nominee from the list and appoints them as judge.
**Merit-based System:**
The involvement of the JBC, composed of legal experts and representatives from various sectors, aims to ensure a **meritocratic selection process**. **Presidential Discretion:**
While the President is limited to choosing from the JBC's shortlist, they still have **discretion** in selecting the final appointee.
**Accountability:**
The Commission on Appointments, a body composed of members of Congress, can **impeach** judges for betrayal of public trust, corruption, or other offenses. However, impeachment is a complex process, and removing a judge through this route is relatively rare.
**Overall, the Philippine judicial appointment process strikes a balance between meritocratic selection and presidential power. The JBC plays a crucial role in recommending qualified individuals, while the President retains the ultimate authority in making the final appointments.**</t>
  </si>
  <si>
    <t>What is the jurisdiction of the Supreme Court of the Philippines?</t>
  </si>
  <si>
    <t>The Supreme Court of the Philippines is the highest court in the judicial system and holds **extensive jurisdiction**, meaning it can hear a wide range of cases. Here's a breakdown of its key authorities:
**Original Jurisdiction:**
* **Cases Affecting Ambassadors and Other Diplomats:** The Supreme Court has **exclusive jurisdiction** over legal cases involving ambassadors, other public ministers, and consuls accredited to the Philippines.
* **Petitions for Writs:** The Supreme Court can directly hear petitions for writs like certiorari, prohibition, mandamus, quo warranto, and habeas corpus. These writs challenge the legality of actions taken by lower courts or government entities. * **Additional Writs:** The Constitution empowers the Supreme Court to issue other writs necessary to **enforce its jurisdiction** or **protect fundamental rights**. Examples include the writ of amparo (protecting rights against unlawful acts) and the writ of kalikasan (protecting the environment).
**Appellate Jurisdiction:**
* **Review of Lower Court Decisions:** The Supreme Court reviews, revises, modifies, affirms, or reverses final rulings and orders from lower courts throughout the Philippines. This ensures consistency in legal interpretations and corrects potential errors made by lower courts.
**Specifically, the Supreme Court hears appeals on:**
* **Constitutionality of Laws:** Cases where the constitutionality or validity of any law, presidential decree, or regulation is questioned.
* **Taxation:** Cases involving the legality of any tax, impost, assessment, or toll.
* **Jurisdiction of Lower Courts:** Cases where the jurisdiction of any lower court is in dispute.
* **Serious Criminal Cases:** Criminal cases with a penalty of reclusion perpetua (imprisonment for at least 20 years and 1 day) or higher.
* **Questions of Law:** Cases where only an error or question of law is involved.
**Limitations:**
* **Generally Doesn't Hear Facts-Based Appeals:** The Supreme Court typically focuses on legal questions and doesn't re-evaluate findings of fact made by lower courts unless proven clearly erroneous.
**Importance of the Supreme Court:**
The Supreme Court plays a critical role in **interpreting the Constitution**, ensuring **justice** through its appellate function, and safeguarding **fundamental rights** through original jurisdiction over writs. Its decisions set legal precedents that bind lower courts and shape the legal landscape of the Philippines.</t>
  </si>
  <si>
    <t>What is the difference between civil and criminal law in the Philippines?</t>
  </si>
  <si>
    <t>The Philippine legal system categorizes cases into civil law and criminal law, with distinct purposes and procedures. Here's a breakdown of the key differences:
**Nature of the Dispute:**
* **Civil Law:** Deals with disputes between private individuals, organizations, or both. These disputes often involve disagreements over rights, obligations, or compensation for damages. Examples include breach of contract, property disputes, and family law matters.
* **Criminal Law:** Focuses on offenses against the state and society. Criminal cases involve the government prosecuting individuals who allegedly committed crimes like theft, assault, or illegal drug possession. **Purpose:**
* **Civil Law:** Aims to resolve disputes, restore rights, and provide compensation to wronged parties. In some cases, it might also aim to compel a specific action, like fulfilling a contractual obligation.
* **Criminal Law:** Maintains public order, deters crime, and punishes offenders. Criminal sanctions can include imprisonment, fines, or community service.
**Burden of Proof:**
* **Civil Law:** The burden of proof lies on the **plaintiff** (the party filing the case) to prove their claims by a **preponderance of evidence** (more likely than not true).
* **Criminal Law:** The burden of proof rests with the **prosecution** (representing the state). They must prove the defendant's guilt **beyond a reasonable doubt**. This is a higher standard, requiring a very strong case against the accused.
**Parties Involved:**
* **Civil Law:** The parties involved are typically the **plaintiff** and the **defendant**. In some cases, there might be additional parties with a stake in the outcome.
* **Criminal Law:** The parties involved are the **prosecution** representing the state and the **defendant**. The victim may also be involved in the case but doesn't hold the same legal standing as the prosecution.
**Outcomes:**
* **Civil Law:** Outcomes can involve monetary awards (damages), orders to comply with agreements, or divisions of property.
* **Criminal Law:** Outcomes can include imprisonment, fines, probation, or community service. A defendant found not guilty faces no punishment. **Here's an analogy:**
Think of civil law as a way to **settle disagreements** between neighbors (private individuals). Criminal law functions like the **police force**, upholding public order and punishing those who violate the law.
**In Conclusion:**
Understanding the distinction between civil and criminal law is crucial for navigating the Philippine legal system. Civil law focuses on resolving disputes between private parties, while criminal law addresses offenses against the state and society.</t>
  </si>
  <si>
    <t>How does the Philippine legal system handle cases involving minors?</t>
  </si>
  <si>
    <t>The Philippine legal system handles cases involving minors through two key mechanisms:
1. **Special Procedures and Courts:**
* **Juvenile Justice and Welfare System (JJWS):** Established by Republic Act No. 9344 (RA 9344), also known as the "Juvenile Justice Act," this system **diverts children in conflict with the law (CICLs)** from the regular criminal justice system and focuses on **rehabilitation and reintegration**.
* **Court Jurisdiction:** Regional Trial Courts (RTCs), Family Courts (where available), and Metropolitan Trial Courts (MeTCs) designated as Juvenile Courts handle cases under RA 9344.
* **Focus on Rehabilitation:** JJWS prioritizes **intervention programs** addressing the **root causes** of a minor's delinquency. These programs aim to help minors reintegrate into society as productive citizens.
2. **Exemption from Criminal Liability and Age Considerations:**
* **Minimum Age of Criminal Responsibility (MACR):** Currently, the Philippines **does not have a defined MACR**. This is a point of ongoing debate and legislative proposals.
* **Exemption Based on Age:** RA 9344 exempts a child **below 15 years old** from criminal liability. Such children are considered **neglected** and may be subjected to intervention programs under the JJWS.
* **Exemption Based on Discernment:** A child **between 15 and 18 years old** may be exempt from criminal liability if they acted **without discernment**. Discernment refers to a child's mental and emotional capacity to understand the consequences of their actions. * **Evaluation for Discernment:** Courts evaluate a child's discernment through psychological assessments and consider the specific circumstances of the case.
**Additional Considerations:**
* **Rights of Minors:** The Philippine Constitution and RA 9344 guarantee the rights of minors involved in the legal system. These rights include the right to legal counsel, the right to be informed of the charges, and the right to a speedy trial. * **Protection from Exploitation:** The legal system aims to protect minors from exploitation during the legal process. Special procedures may be followed to minimize trauma and ensure fairness.
* **Confidentiality:** Juvenile court proceedings are generally confidential to protect the minor's privacy and future opportunities.
**Overall, the Philippine legal system recognizes the developmental stages of minors** and attempts to balance accountability with rehabilitation when dealing with children involved in legal issues.</t>
  </si>
  <si>
    <t>Suppose a mining company wishes to operate in an area claimed by an indigenous community. What legal steps must the company take to ensure compliance with the IPRA?</t>
  </si>
  <si>
    <t>Here are the legal steps a mining company must take to ensure compliance with the Indigenous Peoples' Rights Act (IPRA) if they wish to operate in an area claimed by an indigenous community:
**1. Verification and Ancestral Domain Claim:**
* The company must first **verify if the targeted area falls within an ancestral domain** claimed by an indigenous community. This can be done through ancestral domain titles, certificates of ancestral land claim (CALC), or certifications issued by the National Commission on Indigenous Peoples (NCIP).
**2. Free and Prior Informed Consent (FPIC):**
* If the area falls within an ancestral domain, the company **must obtain the Free and Prior Informed Consent (FPIC)** of the affected indigenous community. This is a cornerstone principle of IPRA.
* **Meaningful Dialogue:** The company must engage in **meaningful dialogue** with the indigenous community to explain the proposed mining project in a language they understand. This includes explaining the potential benefits and risks associated with the project.
* **Community Decision-Making:** The FPIC process must respect the indigenous community's **traditional decision-making processes**. This may involve consultations with elders, tribal councils, and general assemblies. * **Right to Refuse:** The indigenous community has the **right to refuse** their consent to the mining project. The company cannot coerce or manipulate their decision.
**3. NCIP Approval:**
* The NCIP plays a crucial role in **facilitating the FPIC process** and ensuring it complies with IPRA regulations. The company must secure the NCIP's **approval** of the FPIC process and the resulting agreement with the indigenous community.
**4. Environmental Impact Assessment (EIA):**
* Beyond IPRA compliance, the company must also conduct an **Environmental Impact Assessment (EIA)** as mandated by Philippine law. This assesses the potential environmental and social impacts of the mining project.
**5. Social Development and Management Plan (SDMP):**
* The company should develop a **Social Development and Management Plan (SDMP)** in consultation with the indigenous community. This plan should outline measures to address the social impacts of the project and promote the sustainable development of the community.
**Following these steps helps ensure respect for the rights of indigenous peoples** and promotes responsible mining practices in the Philippines. **Additional Considerations:**
* **Respect for Indigenous Culture:** Companies should demonstrate respect for the indigenous community's culture and traditional practices throughout the process.
* **Transparency and Communication:** Open and honest communication is essential for building trust with the indigenous community.
* **Conflict Resolution:** Mechanisms should be in place to address any conflicts that may arise during the FPIC process or the mining operation itself.
By following a legal and ethical approach, mining companies can operate in ancestral domains while respecting the rights and well-being of indigenous communities.</t>
  </si>
  <si>
    <t>What legal mechanisms are in place in the Philippines to ensure the participation of indigenous peoples in decision-making processes that affect their rights and welfare, particularly in matters concerning resource management and development projects in their ancestral lands?</t>
  </si>
  <si>
    <t>The Philippines has several legal mechanisms to ensure indigenous participation in decision-making processes, particularly regarding resource development projects in their ancestral lands. Here are the key ones:
**1. Indigenous Peoples' Rights Act (IPRA):**
* **Cornerstone Legislation:** The **Indigenous Peoples' Rights Act of 1997 (Republic Act No. 8371)** is the central legal framework protecting the rights of indigenous peoples in the Philippines. * **Right to Self-Determination:** IPRA recognizes the **right of indigenous peoples to self-determination** (Section 3, Article XIII). This includes the right to participate in decisions affecting their lands, resources, and development.
* **Free and Prior Informed Consent (FPIC):** A cornerstone principle of IPRA is **Free and Prior Informed Consent (FPIC)** (Section 2, Article XIII). This mandates obtaining the consent of indigenous communities before undertaking any project affecting their ancestral domains. The FPIC process must be meaningful and respect their traditional decision-making processes.
**2. National Commission on Indigenous Peoples (NCIP):**
* **Government Agency:** The **National Commission on Indigenous Peoples (NCIP)** is a government agency responsible for upholding the rights and welfare of indigenous cultural communities (ICCs) in the Philippines.
* **Facilitating FPIC:** The NCIP plays a crucial role in **facilitating the FPIC process** between indigenous communities and proponents of development projects (Section 5, Article XIV). * **Ensuring Compliance:** The NCIP **monitors compliance** with IPRA provisions and ensures the FPIC process is conducted fairly and in accordance with the law.
**3. Ancestral Domain Sustainable Development and Protection Plan (ADSDPP):**
* **Community-Driven Development:** The **Ancestral Domain Sustainable Development and Protection Plan (ADSDPP)** is a community-driven plan developed by indigenous communities with technical assistance from the NCIP.
* **Identifying Development Priorities:** The ADSDPP identifies the **development priorities** and aspirations of the indigenous community for their ancestral domain. This plan serves as a guide for resource management and development projects within the ancestral domain.
**4. Ancestral Domain Management Plan (ADMAP):**
* **Project-Specific Plan:** In addition to the community-wide ADSDPP, specific development projects may require an **Ancestral Domain Management Plan (ADMAP)**.
* **Detailed Project Design:** The ADMAP provides a more detailed plan for a specific resource development project within an ancestral domain. It should be developed with the participation of the affected indigenous community.
**5. Legal Challenges and Importance of Enforcement:**
* **Unequal Power Dynamics:** Despite these mechanisms, ensuring meaningful indigenous participation remains a challenge. Indigenous communities often face unequal power dynamics compared to government agencies and resource development companies.
* **Importance of Enforcement:** Strong enforcement of IPRA provisions by the NCIP and the courts is critical to ensure indigenous participation is not merely a procedural formality but a substantive right that leads to positive outcomes for indigenous communities.
**In Conclusion:**
The Philippine legal framework recognizes the right of indigenous communities to participate in decisions affecting their ancestral lands and resources. However, ongoing efforts are needed to ensure effective implementation and enforcement of these mechanisms to guarantee meaningful participation and protect the rights of indigenous peoples in the Philippines.</t>
  </si>
  <si>
    <t>Imagine a situation where a government infrastructure project threatens the ancestral land of an indigenous group. What legal recourse do the indigenous people have under the IPRA?</t>
  </si>
  <si>
    <t>Here's how an indigenous community can utilize IPRA if a government infrastructure project threatens their ancestral land:
**1. Assert Ancestral Domain Claim:**
* The indigenous community must first establish their claim to the ancestral land impacted by the project. This can be demonstrated through ancestral domain titles, certificates of ancestral land claim (CALC), or certifications issued by the National Commission on Indigenous Peoples (NCIP).
**2. Verify Compliance with FPIC:**
* Investigate whether the government agency undertook the **Free and Prior Informed Consent (FPIC)** process as mandated by IPRA (Section 2, Article XIII). This process requires:
* **Meaningful Dialogue:** The government agency should have explained the project details in a language the community understands, including potential benefits and risks.
* **Community Decision-Making:** The FPIC process must have respected the community's traditional decision-making processes (consultations with elders, tribal councils, general assemblies).
* **Right to Refuse:** The community has the right to refuse consent for the project. **3. Legal Options if FPIC Violated:**
* If the community believes the FPIC process **wasn't conducted properly or their consent wasn't obtained**, they have several legal options:
* **Negotiation and Mediation:** The community can attempt to negotiate with the government agency to address their concerns and potentially reach an agreement. The NCIP can facilitate mediation efforts.
* **Legal Action:** The community can file a legal complaint with the NCIP or seek judicial review through the court system. They may argue that the project violates their rights under IPRA and the Philippine Constitution.
**4. Right to Compensation:**
* Even if proper FPIC was obtained, the community may still be entitled to **just compensation** for any loss of land or resources due to the project (Section 19, Article XIII). The amount of compensation should be negotiated through the FPIC process.
**5. Ancestral Domain Sustainable Development and Protection Plan (ADSDPP):**
* The community can refer to their **Ancestral Domain Sustainable Development and Protection Plan (ADSDPP)** developed with NCIP assistance. This plan should reflect their development priorities and visions for their ancestral domain, potentially influencing how the infrastructure project is designed and implemented.
**NCIP's Role:**
* The **National Commission on Indigenous Peoples (NCIP)** plays a crucial role in supporting indigenous communities throughout this process. They can:
* **Verify FPIC Compliance:** Investigate allegations of improper FPIC procedures.
* **Facilitate Negotiation and Mediation:** Assist both parties in reaching an amicable solution.
* **Legal Assistance:** Provide legal advice and representation to indigenous communities pursuing legal action.
**Challenges and Importance of Enforcement:**
* **Unequal Power Dynamics:** Indigenous communities often face unequal power dynamics compared to government agencies. Strong advocacy and legal support may be necessary.
* **Importance of Enforcement:** Effective enforcement of IPRA provisions by the NCIP and courts is critical to ensure the legal recourse outlined above translates into meaningful protection for indigenous communities and their ancestral lands.
By understanding their rights under IPRA and utilizing available legal mechanisms, indigenous communities can have a stronger voice in protecting their ancestral lands from government infrastructure projects.</t>
  </si>
  <si>
    <t>If a developer plans to build a resort on ancestral land, how can they ensure they obtain valid consent from the indigenous community under the IPRA?</t>
  </si>
  <si>
    <t>Here's how a developer can ensure they obtain valid consent from an indigenous community for a resort project on their ancestral land, complying with the Indigenous Peoples' Rights Act (IPRA):
**1. Verification of Ancestral Domain Claim:**
* Before proceeding, the developer must **verify if the targeted area falls within an ancestral domain** claimed by an indigenous community. This can be done by checking ancestral domain titles, certificates of ancestral land claim (CALC), or certifications issued by the National Commission on Indigenous Peoples (NCIP).
**2. Free and Prior Informed Consent (FPIC):**
* IPRA mandates obtaining **Free and Prior Informed Consent (FPIC)** from the affected indigenous community for any project on their ancestral land (Section 2, Article XIII). This is a crucial step to ensure respect for their rights and self-determination.
**Meaningful Dialogue:**
* The developer must engage in **meaningful dialogue** with the community throughout the FPIC process. This involves:
* **Clear Communication:** Explaining the **details of the resort project** in a language the community understands. This includes explaining the potential benefits (e.g., jobs, infrastructure development) and risks (e.g., environmental impact, cultural disruption) associated with the project.
* **Cultural Sensitivity:** Demonstrating **respect for the indigenous community's culture and traditional practices**.
* **Addressing Concerns:** Actively listening to the community's concerns and addressing them in a transparent manner.
**Respecting Decision-Making Processes:**
* The FPIC process should respect the community's **traditional decision-making processes**. This may involve consultations with elders, tribal councils, and general assemblies. The developer should not bypass these established structures.
**Right to Refuse:**
* It's critical to understand that the community has the **right to refuse** consent for the resort project. The developer cannot coerce or manipulate their decision.
**3. NCIP Facilitation and Approval:**
* The NCIP plays a vital role in **facilitating the FPIC process** and ensuring it complies with IPRA regulations. The developer should work closely with the NCIP throughout this stage.
* Once the FPIC process is completed, the NCIP will review it and provide its **approval**. This approval indicates the NCIP recognizes the FPIC was obtained through a fair and transparent process.
**4. Additional Considerations:**
* **Social Development and Management Plan (SDMP):** The developer, in consultation with the community, should develop a **Social Development and Management Plan (SDMP)**. This plan should outline measures to address the social impacts of the resort project and promote the sustainable development of the community. * **Environmental Impact Assessment (EIA):** Beyond IPRA compliance, the developer must also conduct an **Environmental Impact Assessment (EIA)** as mandated by Philippine law. This assesses the potential environmental and social impacts of the resort project.
By following these steps, the developer demonstrates **respect for the rights of the indigenous community** and increases the likelihood of obtaining their valid consent for the resort project. This approach can also help build trust and foster a more sustainable development relationship with the community.
**Remember:**
* **Focus on Benefits and Community Development:** The project should demonstrate tangible benefits for the community, such as employment opportunities, infrastructure development, and support for community projects.
* **Long-Term Partnership:** A successful resort project on ancestral land requires a long-term</t>
  </si>
  <si>
    <t>In a scenario where a logging company is accused of encroaching on indigenous territory, what legal avenues are available for the affected community to seek redress?</t>
  </si>
  <si>
    <t>Here are the legal avenues available for an indigenous community to seek redress if a logging company is accused of encroaching on their territory in the Philippines:
**1. Administrative Action with the NCIP:**
* The **National Commission on Indigenous Peoples (NCIP)** is the primary government agency tasked with upholding the rights and welfare of indigenous cultural communities (ICCs) in the Philippines.
* **Complaint Filing:** The community can file a formal **complaint with the NCIP** accusing the logging company of encroaching on their ancestral domain. The NCIP will investigate the allegation and gather evidence.
* **Mediation and Negotiation:** The NCIP may attempt to facilitate **mediation and negotiation** between the community and the logging company to reach an amicable settlement. This could involve the logging company ceasing operations and potentially providing compensation to the community.
* **Cease and Desist Order (CDO):** If the investigation confirms encroachment, the NCIP can issue a **Cease and Desist Order (CDO)** against the logging company. This order mandates the company to stop logging activities within the ancestral domain.
**2. Legal Action in Court:**
* **Civil Klage:** The community can file a civil lawsuit against the logging company for **illegal logging** and **trespassing** on their ancestral land. This lawsuit can seek compensation for damages to the environment and the community's resources.
* **Temporary Environmental Protection Order (TEPO):** The community can petition the court for a **Temporary Environmental Protection Order (TEPO)**. This order can halt logging activities while the legal case is ongoing.
* **Ancestral Domain Title (ADT) Case:** If the community doesn't have a recognized Ancestral Domain Title (ADT), they can file a case in court to have their ancestral domain officially recognized and titled. This strengthens their claim to the land in future legal disputes.
**3. Criminal Charges:**
* Depending on the severity of the encroachment and environmental damage, the community may consider filing **criminal charges** against the logging company and individuals involved. These charges could include illegal logging, destruction of property, or violation of environmental laws.
**Seeking Legal Help:**
* Due to the complexities of ancestral domain laws and environmental regulations, it's advisable for the indigenous community to seek legal assistance from lawyers experienced in indigenous rights and environmental law. **Importance of Evidence:**
* Gathering strong evidence is crucial for the community's case. This evidence may include ancestral domain titles, maps, witness testimonies, photos and videos documenting logging activities within their territory.
**Challenges and Advocacy:**
* Indigenous communities often face challenges in legal battles against powerful companies. Building alliances with environmental NGOs and advocacy groups can provide support and resources for their legal pursuit.
By utilizing these legal avenues and seeking appropriate support, indigenous communities can fight for their rights and hold logging companies accountable for encroachment on their ancestral territories.</t>
  </si>
  <si>
    <t>Suppose an indigenous group claims ownership over a piece of land that has been titled to another individual or entity. How can this dispute be resolved under Philippine law?</t>
  </si>
  <si>
    <t>Philippine law provides mechanisms to resolve land disputes involving ancestral domain claims, even when another party holds a title. Here's how such a situation could be addressed:
**1. Ancestral Domain Claim Verification:**
* The indigenous group must first establish their claim to the land as part of their ancestral domain. Evidence for this can include:
* **Ancestral Domain Title (ADT):** If the community possesses a recognized ADT, it strongly supports their claim.
* **Certificates of Ancestral Land Claim (CALC):** If an ADT isn't available, a CALC issued by the National Commission on Indigenous Peoples (NCIP) can serve as evidence.
* **Historical and Cultural Ties:** Demonstrating a long history of occupation, traditional practices, and cultural significance attached to the land strengthens their claim.
**2. Negotiation and Dialogue:**
* The NCIP can facilitate **negotiation and dialogue** between the indigenous community and the current land title holder. This may lead to a mutually agreeable solution, such as:
* **Land Sharing Agreement:** The parties could agree on sharing the land use and benefits.
* **Compensation Agreement:** The current title holder may agree to relinquish the land in exchange for compensation.
**3. Legal Processes:**
* If negotiation fails, either party can pursue legal options:
* **Indigenous Community:** They can file a petition in court to **cancel the existing land title** based on their ancestral domain claim. This process may involve presenting evidence of ancestral occupation predating the issuance of the current title.
* **Current Land Title Holder:** They can defend their title and challenge the ancestral domain claim in court.
**4. Role of the NCIP:**
* The NCIP plays a crucial role in these disputes by:
* **Technical Assistance:** Providing technical assistance to indigenous communities in preparing their ancestral domain claims.
* **Legal Representation:** In some cases, the NCIP may provide legal representation to indigenous communities pursuing their ancestral domain claims.
**5. Importance of Evidence:**
* Strong evidence is critical for both parties. The indigenous community should gather historical documents, anthropological studies, and witness testimonies supporting their ancestral ties to the land. The current title holder should present proof of a legal acquisition process for their title.
**Time Considerations:**
* Resolving land disputes can be a lengthy process in the Philippine legal system. Patience and perseverance are essential for both parties. **Overall, resolving land disputes involving ancestral domain claims requires careful consideration of historical evidence, legal procedures, and the potential for negotiated settlements. The NCIP plays a crucial role in assisting indigenous communities in asserting their rights.**</t>
  </si>
  <si>
    <t>If a multinational corporation wishes to conduct scientific research in an indigenous territory, what legal considerations must be addressed regarding the community's rights?</t>
  </si>
  <si>
    <t>Here are the key legal considerations a multinational corporation must address regarding an indigenous community's rights when conducting scientific research in their territory:
**1. Free and Prior Informed Consent (FPIC):**
* The **Indigenous Peoples' Rights Act (IPRA)** mandates obtaining **Free and Prior Informed Consent (FPIC)** from the affected indigenous community for any activity affecting their ancestral domain (Section 2, Article XIII). This includes scientific research.
**Meaningful Dialogue:**
* The corporation must engage in **meaningful dialogue** with the community throughout the FPIC process. This involves:
* **Explaining the Research:** Clearly explaining the **purpose and methods of the scientific research** in a language the community understands. This includes explaining potential benefits and risks associated with the research.
* **Cultural Sensitivity:** Demonstrating **respect for the indigenous community's culture and traditional practices**. This may involve seeking permission for research activities that could impact sacred sites or traditional knowledge.
* **Benefit Sharing:** Discussing potential **benefits sharing agreements** with the community. This could include sharing research findings, capacity building programs, or investments in community development projects.
**Respecting Decision-Making Processes:**
* The FPIC process should respect the community's **traditional decision-making processes**. This may involve consultations with elders, tribal councils, and general assemblies. The corporation should not bypass these established structures.
**Right to Refuse:**
* It's critical to understand that the community has the **right to refuse** consent for the scientific research. The corporation cannot coerce or manipulate their decision.
**2. NCIP Facilitation and Approval:**
* The NCIP plays a vital role in **facilitating the FPIC process** and ensuring it complies with IPRA regulations. The corporation should work closely with the NCIP throughout this stage.
* Once the FPIC process is completed, the NCIP will review it and provide its **approval**. This approval indicates the NCIP recognizes the FPIC was obtained through a fair and transparent process.
**3. Nagoya Protocol on Access to Genetic Resources:**
* The Philippines is a party to the **Nagoya Protocol on Access to Genetic Resources and the Fair and Equitable Sharing of Benefits Arising from their Utilization** (Nagoya Protocol). This protocol promotes fair and equitable sharing of benefits arising from the utilization of genetic resources found in indigenous territories.
* The corporation must comply with the Nagoya Protocol by negotiating **benefit-sharing agreements** with the indigenous community if the research involves accessing genetic resources within their ancestral domain.
**4. Intellectual Property Rights and Traditional Knowledge:**
* The corporation must be mindful of the community's **intellectual property rights** associated with their traditional knowledge. * Research activities should not misappropriate indigenous knowledge systems. Agreements regarding intellectual property rights and potential joint ownership of research findings may be negotiated with the community. **5. Transparency and Capacity Building:**
* The corporation should maintain **transparency throughout the research process**. This includes sharing research findings with the community in a culturally appropriate manner and building capacity within the community to understand the research and its implications.
**By addressing these legal considerations and demonstrating respect for the indigenous community's rights, multinational corporations can conduct ethical and successful scientific research in ancestral territories.**
**Additional Considerations:**
* **Environmental Impact Assessment (EIA):** Beyond IPRA compliance, the corporation may</t>
  </si>
  <si>
    <t>Imagine a case where an indigenous person is arrested for a crime committed within their ancestral domain. How does their indigenous status affect their legal rights and proceedings?</t>
  </si>
  <si>
    <t>An indigenous person's arrest for a crime within their ancestral domain **does not negate their basic legal rights**. However, their indigenous status **can influence** certain aspects of the legal proceedings:
**1. Jurisdiction:**
* **Regular Courts vs. Indigenous Courts:** The **jurisdiction** over the case depends on the severity of the crime and the presence of a functional **Indigenous Peoples' Mandatory Representative (IPMR)** court in the area.
* **Regular Courts:** Serious crimes like murder, rape, and drug trafficking generally fall under the jurisdiction of regular courts.
* **IPMR Courts:** Lesser offenses can be tried in **IPMR courts**, which apply customary law alongside national laws, considering cultural traditions and practices of the indigenous community. **2. Right to Legal Counsel:**
* The arrested indigenous person has the **right to legal counsel**. They should be informed of this right in a language they understand. The NCIP can assist them in accessing legal representation.
* **Understanding of Legal Processes:** Due to potential language barriers and limited exposure to the legal system, the indigenous person may not fully understand the charges against them or the legal proceedings. The lawyer should ensure clear communication and explain their rights throughout the process.
**3. Cultural Considerations:**
* Courts should consider the **cultural context** of the crime allegedly committed. Certain actions may have different interpretations within the indigenous community's customary law compared to national law.
* **Cultural Sensitivity:** Judges and court personnel should demonstrate **cultural sensitivity** during the proceedings. This includes respecting dress codes, religious practices, and communication styles of the indigenous person. **4. Role of the NCIP:**
* The NCIP can play a supportive role by:
* **Verifying Indigenous Status:** Confirming the arrested person's membership in an indigenous community.
* **Legal Aid:** Helping the person access legal representation.
* **Cultural Representation:** Providing cultural context and mediation services during the court proceedings, if needed.
* **Monitoring Fairness:** Monitoring the legal process to ensure it is fair and adheres to the rights of the indigenous person.
**Overall, while an indigenous person's legal rights remain the same, their cultural background and potential lack of familiarity with the legal system necessitate cultural sensitivity and support from the NCIP during criminal proceedings occurring within their ancestral domain.**</t>
  </si>
  <si>
    <t>In a scenario where an indigenous community wishes to establish their own system of governance, what legal framework can they utilize under Philippine law?</t>
  </si>
  <si>
    <t>While Philippine law doesn't provide a direct path for indigenous communities to establish entirely separate governance systems, it does offer a framework for them to **integrate aspects of their customary law and governance practices within the existing legal structure**. Here's how:
**1. Recognition and Rights under IPRA:**
* The **Indigenous Peoples' Rights Act (IPRA)** (Republic Act No. 8371) recognizes the **right of indigenous cultural communities/indigenous peoples (ICCs/IPs)** to **"practice their customary laws, which regulate their relations inter se and with the outside world"** (Section 22, Article XII).
* IPRA also grants ICCs/IPs the right to **"manage and control their territories, and all resources therein"** (Section 5, Article XIII) with the qualification that the exercise of these rights should be consistent with national laws.
**2. Ancestral Domain Sustainable Development and Protection Plan (ADSDPP):**
* The IPRA establishes the **Ancestral Domain Sustainable Development and Protection Plan (ADSDPP)** as a tool for ICCs/IPs to define their development aspirations and priorities within their ancestral domain.
* The ADSDPP can **integrate customary laws and governance practices** related to land use, resource management, conflict resolution, and social organization. This becomes a reference point for local government units (LGUs) and national agencies when dealing with the indigenous community.
**3. Indigenous Peoples' Mandatory Representative (IPMR):**
* The IPRA mandates the establishment of **Indigenous Peoples' Mandatory Representative (IPMR)** courts in areas with a significant indigenous population.
* IPMR courts can adjudicate certain **civil cases** based on customary laws of the indigenous community, alongside national laws. This allows for dispute resolution within the framework of their own cultural norms. **4. Integration with Local Governance:**
* The LGU Code (Republic Act No. 7160) encourages **ancestral domain communities to participate in local governance**. This can involve representation in local legislative bodies and participation in planning and decision-making processes related to their ancestral domain.
* By engaging with local government, indigenous communities can advocate for policies that respect their customary laws and governance practices within the broader national framework.
**Challenges and Negotiation:**
* **Balancing Customary Law and National Law:** Finding a balance between upholding customary practices and adhering to national laws can be challenging. Negotiation and dialogue are crucial.
**Importance of Documentation:**
* Strong documentation of customary laws and governance practices is essential for indigenous communities to effectively advocate for their integration within the existing legal structure.
**Overall, while a completely separate system isn't possible, IPRA and the LGU Code provide a framework for indigenous communities to **incorporate aspects of their customary governance within the existing legal system**. Through active participation, documentation, and negotiation, ICCs/IPs can **influence local governance and ensure their voices are heard in decisions affecting their ancestral domain.**</t>
  </si>
  <si>
    <t>Suppose a conflict arises within an indigenous community regarding the use of resources. What legal mechanisms exist to resolve such disputes?</t>
  </si>
  <si>
    <t>Indigenous communities in the Philippines have several options to resolve internal conflicts regarding resource use:
**1. Traditional Conflict Resolution Mechanisms:**
* Many indigenous communities have **established customary law and conflict resolution mechanisms**. These mechanisms may involve:
* **Elders and Tribal Councils:** Disputes may be brought before respected elders or tribal councils for mediation and judgment based on customary law and traditions.
* **Dialogue and Consensus Building:** Emphasis may be placed on facilitating dialogue between disputing parties to reach a consensus solution that benefits the entire community.
* These traditional mechanisms are often preferred by indigenous communities as they are familiar, culturally appropriate, and promote social harmony within the community.
**2. Indigenous Peoples' Mandatory Representative (IPMR) Courts:**
* The **Indigenous Peoples' Rights Act (IPRA)** established **IPMR courts**. These courts have jurisdiction over certain civil cases within ancestral domains, including disputes related to resource use.
* IPMR courts can adjudicate these cases based on a combination of national laws and the customary law of the indigenous community. This allows for resolving disputes within a legal framework that recognizes their cultural norms.
**3. The National Commission on Indigenous Peoples (NCIP):**
* The NCIP plays a vital role in facilitating conflict resolution among indigenous communities. They can provide mediation services and assist communities in navigating the legal system if needed.
* The NCIP can also help communities **strengthen their customary conflict resolution mechanisms** to effectively address future disputes.
**Choosing the Right Mechanism:**
* The **severity of the dispute** and the **community's preferences** will influence the choice of conflict resolution mechanism.
* **Minor disputes:** May be effectively resolved through traditional mechanisms.
* **Complex disputes:** May involve IPMR courts or NCIP facilitation.
**Importance of Consensus and Community Harmony:**
* Regardless of the mechanism chosen, the ultimate goal is to reach a resolution that is acceptable to all parties involved and promotes harmony within the community.
**Additional Considerations:**
* **Legal Representation:** In complex cases involving IPMR courts, parties may seek legal representation to ensure their rights are protected.
* **Transparency and Fairness:** The chosen conflict resolution process should be transparent and fair to all involved.
By utilizing a combination of traditional mechanisms, IPMR courts, and NCIP support, indigenous communities in the Philippines have options to resolve conflicts regarding resource use in a culturally appropriate and effective manner.</t>
  </si>
  <si>
    <t>If an indigenous child is removed from their community due to allegations of neglect, how does the Philippine legal system balance the child's rights with respect for indigenous culture and identity?</t>
  </si>
  <si>
    <t>The Philippine legal system **strikes a balance between protecting the child's welfare and respecting indigenous culture and identity** when an indigenous child is removed from their community due to allegations of neglect. Here's how this balance is achieved:
**1. Best Interests of the Child Principle:**
* The **paramount consideration** is always the **best interests of the child**. If there's evidence of neglect that threatens the child's safety and well-being, the legal system may order removal from the home and placement in protective custody.
**2. Respect for Indigenous Culture and Identity:**
* The legal system recognizes the importance of **preserving the child's cultural identity**. Efforts are made to place the child with a foster family from the same or a similar indigenous community whenever possible. * This minimizes disruption to the child's cultural upbringing and sense of belonging.
* **Cultural Considerations in Placement:** When determining placement, factors like language, traditions, and religious beliefs are considered to ensure a culturally appropriate environment for the child.
**3. Role of the DSWD and NCIP:**
* The Department of Social Welfare and Development (DSWD) has the primary responsibility for child protection services. However, they must consult with the National Commission on Indigenous Peoples (NCIP) in cases involving indigenous children.
* The NCIP advises the DSWD on **culturally appropriate placements** and ensures that the child's connection with their family and community is maintained whenever possible.
**4. Family Reunification Efforts:**
* The goal of the legal system is **family reunification** when it is deemed safe for the child to return home. The DSWD may work with the family to address the underlying issues that led to the child's removal.
* The NCIP can provide cultural context and facilitate communication between social workers and the indigenous family during this process.
**5. Legal Representation and Due Process:**
* Both the parents/guardians and the child have the right to legal representation throughout the legal proceedings.
* This ensures all parties understand their rights and that decisions are made fairly and according to due process.
**Challenges and Balancing Act:**
* Striking a balance between protecting the child and respecting cultural norms can be challenging. Social workers and the courts need cultural sensitivity in handling these cases.
* The availability of culturally appropriate foster care placements within indigenous communities can also be limited.
**Overall, the Philippine legal system recognizes the complexities involved in cases of indigenous children and strives to protect the child's well-being while respecting their cultural heritage.** Collaboration between the DSWD, NCIP, and indigenous communities is essential to achieve positive outcomes for these children.</t>
  </si>
  <si>
    <t>Energy Sustainability</t>
  </si>
  <si>
    <t>What are the key provisions of the Renewable Energy Act of the Philippines?</t>
  </si>
  <si>
    <t>The Renewable Energy Act of 2008, also known as Republic Act No. 9513, aims to accelerate the exploration and development of renewable energy sources in the Philippines. Here are its key provisions:
**1. Declaration of Policy:**
* The Act **prioritizes renewable energy** as a means to achieve energy security, lessen dependence on fossil fuels, and **reduce harmful emissions**.
**2. Renewable Energy Sources:**
* The Act defines and promotes various renewable energy sources, including:
* **Solar:** Solar energy from photovoltaic systems and concentrated solar power plants.
* **Wind:** Wind farms to harness kinetic energy from wind.
* **Hydro:** Hydropower plants that convert falling water into electricity.
* **Geothermal:** Geothermal energy derived from the heat beneath the Earth's surface.
* **Biomass:** Energy from organic matter like plant material and waste.
* **Ocean:** Ocean energy from waves, tides, and ocean currents.
**3. Incentives for Renewable Energy:**
* The Act provides **fiscal and non-fiscal incentives** to encourage investment in renewable energy projects. These include:
* **Income Tax Holiday:** Up to seven years of income tax exemption for developers of renewable energy projects.
* **Reduced Corporate Income Tax:** Lower corporate income tax rates after the income tax holiday period.
* **Tax-Exempt Importation:** Exemption from customs duties and taxes on equipment imported for renewable energy projects.
* **Feed-in-Tariff (FIT) System:** A guaranteed price for electricity generated from renewable energy sources.
* **Net Metering:** Allows consumers with renewable energy systems to sell excess electricity back to the grid.
**4. Renewable Energy Management Bureau (REMB):**
* The Act establishes the Renewable Energy Management Bureau (REMB) under the Department of Energy (DOE). The REMB is responsible for:
* **Formulating policies and regulations** for the renewable energy sector.
* **Monitoring the development and implementation** of renewable energy projects.
* **Promoting public awareness** about the benefits of renewable energy.
**5. Renewable Energy Portfolio Standards (REPS):**
* The Act mandates the establishment of Renewable Energy Portfolio Standards (REPS). The REPS set gradually increasing targets for the percentage of electricity generation to come from renewable energy sources.
**6. Local Government Unit (LGU) Participation:**
* The Act encourages local government units (LGUs) to integrate renewable energy development into their plans and programs. This can involve zoning regulations that facilitate renewable energy projects and incentive programs at the local level.
**Overall, the Renewable Energy Act of 2008 provides a comprehensive framework to promote and accelerate the development and utilization of renewable energy sources in the Philippines.** By offering incentives and creating a supportive policy environment, the Act aims to contribute to energy security, environmental protection, and sustainable development in the country.</t>
  </si>
  <si>
    <t>How does the Renewable Energy Act promote the development of renewable energy sources in the Philippines?</t>
  </si>
  <si>
    <t>The Renewable Energy Act of 2008, formally Republic Act No. 9513 [RA 9513], promotes the development of renewable energy sources in the Philippines through several provisions:
**1. Declaration of Policy (Section 2):**
* **Energy Self-Sufficiency and Reduced Dependence on Fossil Fuels:** RA 9513 establishes it as national policy to accelerate exploration and development of renewable energy sources like solar, wind, geothermal, and hydro. This aims to lessen dependence on imported fossil fuels and achieve energy self-reliance (Section 2(a)).
* **Increased Utilization Through Capacity Building:** The Act promotes the development of local and national capabilities for using renewable energy systems. This includes promoting efficient and cost-effective commercial applications (Section 2(b)).
* **Environmental Protection and Economic Growth:** RA 9513 recognizes renewable energy's role in reducing harmful emissions. This helps balance economic development with environmental protection (Section 2(c)).
**2. Framework for Development (Section 3):**
RA 9513 establishes a framework to:
* **Encourage Investments:** The Act lays the groundwork for creating mechanisms and infrastructure to fulfill its mandates. This includes offering fiscal and non-fiscal incentives to attract investments in the renewable energy sector (Section 3).
**3. Additional Provisions:**
* **Renewable Portfolio Standards (RPS):** RA 9513 empowers the Department of Energy (DOE) to set a Renewable Portfolio Standard (RPS). This policy requires electricity distribution utilities to source a specific percentage of their electricity from renewable energy sources [Separate Implementing Rules].
* **Feed-in-Tariff System:** The Act allows the DOE to establish a Feed-in-Tariff System. This system provides guaranteed prices for electricity generated from renewable energy sources [Separate Implementing Rules].
**In summary,** RA 9513 promotes renewable energy through a combination of policy directives, capacity building initiatives, and the creation of an enabling environment for investment. This framework allows the Philippines to tap into its vast renewable energy potential and achieve its goals of energy security, environmental protection, and sustainable economic development.</t>
  </si>
  <si>
    <t>What are the penalties for non-compliance with the Renewable Energy Act?</t>
  </si>
  <si>
    <t>The Renewable Energy Act of 2008 (RA 9513) prescribes penalties for non-compliance through a combination of criminal and administrative sanctions:
**1. Criminal Penalties (Section 35 and 36):**
* **Willful Violations:** RA 9513 imposes a penalty of imprisonment of **one (1) year to five (5) years** or a fine ranging from a minimum of **One Hundred Thousand Pesos (PhP100,000.00) to One Hundred Million Pesos (PhP100,000,000.00)** for any person who **willfully commits** any of the prohibited acts under the Act. These acts can be found in Section 35 of RA 9513.
* **Increased Penalty:** The penalty is even steeper if the non-compliance results in damages. In such cases, the fine can be **twice the amount of damages caused** or the costs avoided for non-compliance, whichever is higher.
* **Liability:** The penalty can be imposed on the responsible officers and directors of a corporation, not just the individual who committed the violation.
**2. Administrative Penalties (Section 36):**
* The Department of Energy (DOE) is empowered to impose **administrative fines and penalties** for any violation of the provisions of RA 9513, its Implementing Rules and Regulations (IRR), and other issuances related to the Act. * The specific details regarding the type and amount of administrative fines are not specified in RA 9513 itself, but are likely to be outlined in the Department of Energy's issuances.
**In summary,** RA 9513 discourages non-compliance through a combination of potential imprisonment, significant fines, and the possibility of administrative sanctions imposed by the DOE.</t>
  </si>
  <si>
    <t>How does the Energy Efficiency and Conservation Act contribute to energy sustainability in the Philippines?</t>
  </si>
  <si>
    <t>The Energy Efficiency and Conservation Act (RA 11285) contributes to energy sustainability in the Philippines through various provisions aimed at promoting efficient energy use and reducing overall energy consumption. Here's how the Act fosters sustainability:
**1. Prioritizing Efficiency (Section 3):**
* **Policy Framework:** RA 11285 establishes a policy framework for promoting energy efficiency and conservation (EEC) as a national way of life. This prioritizes efficient energy use across sectors (Section 3).
**2. Setting Standards (Sections 6 &amp; 7):**
* **Performance Standards:** The Department of Energy (DOE) is mandated to develop and enforce performance and labeling standards for appliances, equipment, and buildings. These standards encourage the production, import, and use of more energy-efficient products (Sections 6 &amp; 7).
**3. Government Leadership (Section 8):**
* **Government-wide EEC Program (GEMP):** RA 11285 establishes a GEMP to reduce energy consumption in government offices through efficient practices and use of renewable energy (Section 8). This sets an example for the private sector.
**4. Incentives for Efficiency (Sections 13 &amp; 14):**
* **Fiscal and Non-Fiscal Incentives:** The Act provides various incentives for entities that invest in and adopt energy-efficient technologies and practices. These incentives can include tax breaks, subsidies, and streamlined permitting processes (Sections 13 &amp; 14).
**5. Building Capacity (Section 15):**
* **Skills Development:** RA 11285 emphasizes the importance of training and skills development related to EEC technologies and practices. This empowers Filipinos to contribute to a more energy-efficient future (Section 15).
**6. Information and Awareness (Section 16):**
* **Public Education:** The Act mandates government agencies to promote public awareness and education about EEC. This encourages Filipinos to adopt energy-saving behaviors in their daily lives (Section 16).
**In essence,** RA 11285 promotes energy sustainability by:
* **Reducing Demand:** By making energy use more efficient, the Act lessens the overall demand for energy resources, reducing pressure on the environment and our reliance on imported fuels.
* **Promoting Innovation:** The focus on standards and incentives encourages the development and adoption of new energy-efficient technologies, paving the way for a more sustainable energy future.
By implementing these strategies, RA 11285 contributes significantly to the Philippines' goal of achieving energy security, economic growth, and environmental protection.</t>
  </si>
  <si>
    <t>Explain the roles and responsibilities of the Department of Energy in promoting energy sustainability.</t>
  </si>
  <si>
    <t>The Department of Energy (DOE) plays a pivotal role in promoting energy sustainability in the Philippines through a multi-pronged approach established by various laws, including the Renewable Energy Act (RA 9513) and the Energy Efficiency and Conservation Act (RA 11285). Here's a breakdown of the DOE's key responsibilities:
**1. Policy Development and Implementation (RA 9513 &amp; RA 11285):**
* The DOE takes the lead in formulating and implementing national policies and programs related to renewable energy (RE) and energy efficiency and conservation (EEC) (RA 9513 &amp; RA 11285). * This includes setting targets, developing roadmaps, and issuing implementing rules and regulations to ensure effective execution of these policies.
**2. Renewable Energy Promotion (RA 9513):**
* The DOE actively promotes the development and utilization of renewable energy sources like solar, wind, geothermal, and hydro. * This involves creating an attractive environment for investments in the RE sector through mechanisms like:
* **Feed-in-Tariff Scheme:** Establishing a system for guaranteed prices for electricity generated from renewable sources.
* **Renewable Portfolio Standards (RPS):** Enforcing a policy that requires electricity providers to source a specific percentage of their electricity from renewable sources.
* **Fiscal and Non-Fiscal Incentives:** Offering tax breaks, grants, and streamlined permitting processes to incentivize RE investments.
**3. Energy Efficiency and Conservation (RA 11285):**
* The DOE spearheads initiatives to promote efficient energy use across all sectors. This includes:
* **Setting Performance Standards:** Developing and enforcing mandatory energy efficiency standards for appliances, equipment, and buildings.
* **Government-wide EEC Program (GEMP):** Leading by example by implementing energy-saving measures and utilizing renewable energy in government offices.
* **Incentive Programs:** Administering programs that provide financial and non-financial incentives for entities that adopt energy-efficient technologies and practices.
**4. Capacity Building and Awareness (RA 9513 &amp; RA 11285):**
* The DOE recognizes the importance of building a skilled workforce and raising public awareness in achieving energy sustainability. This involves:
* **Skills Development:** Supporting training programs for professionals and technicians in the RE and EEC fields.
* **Public Education:** Implementing public awareness campaigns to educate Filipinos about the benefits and practices of using energy efficiently and adopting renewable energy sources.
**5. Monitoring and Enforcement (RA 9513 &amp; RA 11285):**
* The DOE monitors compliance with RE and EEC policies and enforces relevant laws and regulations. This includes imposing penalties for non-compliance.
**In summary,** the DOE acts as a central driver for a sustainable energy future in the Philippines. By formulating policies, promoting clean energy sources, encouraging efficiency, and fostering public awareness, the department strives to balance the country's energy needs with environmental protection and economic development.</t>
  </si>
  <si>
    <t>How does the Philippines encourage foreign investment in renewable energy projects?</t>
  </si>
  <si>
    <t>The Philippines has taken significant steps to attract foreign investment in renewable energy projects. Here's a breakdown of the key strategies:
**1. Full Foreign Ownership (RA No. 11659 &amp; DOE Circular 2022-11-0034):**
* A major reform came through Republic Act No. 11659, which redefined "public utilities." This change allows **100% foreign ownership** in specific renewable energy sectors like solar, wind, hydro, and ocean or tidal energy (previously subject to limitations). * This policy, implemented through Department of Energy (DOE) Circular 2022-11-0034, aims to make the Philippines more attractive to foreign investors with greater control over their projects.
**2. Fiscal and Non-Fiscal Incentives (RA 9513 &amp; SIPP):**
* The Renewable Energy Act (RA 9513) lays the groundwork for offering incentives to entice foreign investors. * The Strategic Investment Priority Plan (SIPP) further categorizes renewable energy projects as a **priority sector**, qualifying them for various benefits such as:
* **Income Tax Holidays (ITH):** Partial or full exemption from income taxes for a specific period.
* **Reduced Corporate Income Tax (RCIT):** Lower tax rates on income generated by the project.
* **Duty-Free Importation of Equipment:** Exemption from customs duties for importing machinery and equipment needed for the project.
* **Simplified Permitting Process:** Streamlined procedures for obtaining permits and licenses.
**3. Stable Regulatory Environment:**
* The government aims to provide a stable and predictable regulatory environment for renewable energy investments. This includes clear and transparent policies, efficient dispute resolution mechanisms, and a commitment to honoring existing agreements.
**4. Strong Renewable Energy Potential:**
* The Philippines boasts abundant natural resources for renewable energy generation, including sunshine, wind, geothermal potential, and vast coastlines for harnessing wave and tidal energy. This strong potential offers foreign investors promising opportunities for project development. **In conclusion,** the Philippines has become increasingly open to foreign investment in renewable energy. Through a combination of relaxed ownership restrictions, attractive incentives, and a commitment to a stable regulatory environment, the country is actively seeking foreign partnerships to achieve its clean energy goals.</t>
  </si>
  <si>
    <t>What mechanisms are in place to promote energy efficiency in industries in the Philippines?</t>
  </si>
  <si>
    <t>The Philippines utilizes a multi-pronged approach to promote energy efficiency in industries, as mandated by the Energy Efficiency and Conservation Act (RA 11285). Here's a look at some key mechanisms:
**1. Setting Standards and Labeling (RA 11285):**
* The Department of Energy (DOE) establishes mandatory **minimum energy performance standards (MEPS)** for appliances and equipment commonly used in industries. These standards aim to phase out inefficient models and encourage the adoption of more energy-saving technologies [Separate Implementing Rules].
* The DOE also implements **energy labeling** programs. These labels provide information on the energy consumption of equipment, allowing industries to make informed choices and prioritize energy-efficient options.
**2. Fiscal and Non-Fiscal Incentives (RA 11285):**
* The government offers various incentives to encourage industries to invest in energy-efficient technologies and practices. These incentives can include:
* **Income tax reductions** for companies that implement energy-saving measures.
* **Accelerated depreciation** allowances for investments in energy-efficient equipment.
* **Grants and subsidies** to support energy audits and feasibility studies for industrial energy efficiency projects.
* **Streamlined permitting processes** for industries adopting clean technologies.
**3. Green Building Programs:**
* The Philippine Green Building Program encourages the construction and operation of energy-efficient industrial facilities. This program provides certification for buildings that meet specific green building standards, potentially leading to:
* **Lower operating costs** due to reduced energy consumption.
* **Enhanced brand image** for companies demonstrating environmental responsibility.
**4. Energy Efficiency Financing Mechanisms:**
* The government, in collaboration with financial institutions, promotes financing mechanisms to ease the initial cost burden associated with energy efficiency upgrades. These mechanisms can include:
* **Green loan programs** with lower interest rates for energy efficiency projects.
* **Energy performance contracting (EPC)**, where a third party finances and implements energy-saving measures, sharing the cost savings with the industry.
**5. Capacity Building and Awareness Programs (RA 11285):**
* The DOE and other agencies conduct training programs and workshops to equip industrial professionals with the knowledge and skills to identify and implement energy-saving strategies within their facilities.
* Public awareness campaigns encourage a culture of energy efficiency within industries, promoting employee participation in conservation efforts.
**6. Industrial Energy Management Systems (EnMS):**
* The DOE promotes the adoption of **ISO 50001** - a globally recognized standard for energy management systems (EnMS). Implementing an EnMS helps industries establish a systematic approach to managing energy use, leading to continuous improvement in energy efficiency.
By implementing these mechanisms, the Philippines aims to create a conducive environment for industries to embrace energy-efficient practices. This not only reduces energy consumption and costs but also contributes to a cleaner and more sustainable future for the country.</t>
  </si>
  <si>
    <t>Discuss the incentives provided to businesses for adopting energy-efficient technologies.</t>
  </si>
  <si>
    <t>The Philippines offers a range of incentives to businesses that adopt energy-efficient technologies, aiming to make energy-saving choices more attractive financially and strategically. Here's a breakdown of the key incentive categories:
**1. Fiscal Incentives:**
* **Income Tax Breaks:** Businesses can qualify for **income tax reductions** or even **income tax holidays (ITH)** for a specific period. This translates to significant savings on their corporate income tax obligations.
* **Reduced Corporate Income Tax (RCIT):** The government may offer lower tax rates on income generated by projects that utilize energy-efficient technologies. * **Accelerated Depreciation:** Businesses can claim depreciation on energy-efficient equipment at a faster rate, allowing them to recover their initial investment costs quicker and benefit from tax deductions.
**2. Non-Fiscal Incentives:**
* **Duty-Free Importation:** Businesses can enjoy exemption from customs duties when importing machinery and equipment specifically designed for energy-efficient operations. This reduces the upfront cost of adopting these technologies.
* **Simplified Permitting Process:** The government may streamline the process for obtaining permits and licenses needed to install and operate energy-efficient technologies. This saves businesses time and resources associated with navigating bureaucratic procedures.
* **Green Building Certification:** Businesses that construct or renovate facilities to meet specific green building standards can achieve certification. This certification can lead to:
* **Lower operating costs:** due to the energy-saving features of the building.
* **Marketing and branding benefits:** by showcasing their commitment to environmental sustainability.
**3. Financial Mechanisms:**
* **Green Loan Programs:** Financial institutions, often in collaboration with the government, offer loan programs with lower interest rates specifically for projects that involve adopting energy-efficient technologies. This makes financing energy upgrades more accessible for businesses.
* **Energy Performance Contracting (EPC):** Under this arrangement, a third-party company finances, installs, and maintains energy-saving measures in a business facility. The business then shares the cost savings achieved through reduced energy consumption with the EPC provider. This model allows businesses to benefit from energy efficiency improvements without a significant upfront investment.
**4. Additional Considerations:**
* **Specific Programs:** The availability and details of incentives can vary depending on the specific industry, technology adopted, and project scale. Businesses are encouraged to consult with relevant government agencies like the Department of Energy (DOE) to determine the most applicable incentive programs.
* **Beyond Cost:** While financial incentives play a significant role, businesses should also consider the long-term benefits of energy efficiency, such as:
* **Reduced Operating Costs:** Lower energy bills lead to improved profitability over time.
* **Enhanced Brand Image:** Consumers are increasingly drawn to companies that demonstrate environmental responsibility.
* **Compliance with Regulations:** Energy efficiency standards are becoming stricter, and adopting these technologies now can help businesses avoid future non-compliance issues.
By implementing these incentive programs, the Philippines aims to create a strong foundation for businesses to embrace energy-efficient practices. These incentives not only benefit companies financially but also contribute to the country's overall goal of a more sustainable and energy-independent future.</t>
  </si>
  <si>
    <t>What regulations govern the exploration and development of geothermal energy in the Philippines?</t>
  </si>
  <si>
    <t>Here's a breakdown of the key regulations governing geothermal exploration and development in the Philippines:
**1. Republic Act No. 5092 (An Act to Promote and Regulate the Exploration, Development, Exploitation and Utilization of Geothermal Energy, Natural Gas and Methane Gas):**
* This Act, also known as the "Geothermal Act", establishes the legal framework for geothermal exploration and development. It defines geothermal energy and outlines the permitting process for exploration and utilization.
* **Permits:** The Act requires that exploration and development activities be conducted under permits or leases granted by the government. These permits specify the area covered, the duration of exploration, and the rights and obligations of the permit holder. * **Exploration Permits:** These permits grant the holder the exclusive right to explore a specific block of land for geothermal resources. Activities typically involve geological and geophysical surveys, and some exploratory drilling.
* **Geothermal Service Contracts (GSCs) or Geothermal Resource Operating Contracts (GREOCs):** Upon successful exploration, companies can apply for these contracts, which grant them the exclusive right to develop and utilize geothermal resources within a designated area for a specific period, with the possibility of renewal. **2. Department of Energy (DOE) Regulations:**
* The DOE, as the primary government agency responsible for geothermal energy, issues various regulations that provide more detailed guidelines for:
* **Technical Requirements:** These regulations specify technical standards for exploration activities like drilling, well construction, and environmental protection measures.
* **Safety Regulations:** These regulations establish safety protocols for geothermal operations to protect workers and the environment from potential hazards like blowouts or toxic emissions. * **Environmental Impact Assessment (EIA) Process:** The DOE mandates conducting EIAs to assess the potential environmental impact of geothermal projects and implement mitigation measures.
**3. Other Relevant Laws:**
* **Philippine Constitution:** The Constitution guarantees the right to a healthy environment and mandates the state to protect it (Article II, Section 16). Geothermal development projects must comply with these constitutional provisions.
* **Environmental Impact Statement System Act (EIS Law - Presidential Decree No. 1586):** This law requires projects with potentially significant environmental impacts to undergo a full Environmental Impact Statement (EIS) process before obtaining permits.
**4. International Agreements:**
* The Philippines may also be a party to international agreements related to geothermal energy development, such as those concerning environmental protection or sustainable resource management. These agreements can add another layer of regulations that geothermal projects need to comply with.
**In summary,** geothermal exploration and development in the Philippines are governed by a combination of laws, regulations, and international agreements. The Geothermal Act establishes the overall framework, while the DOE regulations provide detailed technical and safety requirements. Environmental considerations are crucial, requiring compliance with the Constitution, the EIS Law, and potentially relevant international agreements.</t>
  </si>
  <si>
    <t>How does the Philippines address environmental concerns related to energy production, particularly in renewable energy projects?</t>
  </si>
  <si>
    <t>The Philippines recognizes the environmental benefits of renewable energy but acknowledges there can still be potential downsides. Here's how the country addresses environmental concerns related to renewable energy projects:
**1. Environmental Impact Assessment (EIA) Process:**
* A cornerstone regulation is the Environmental Impact Statement System Act (EIS Law - Presidential Decree No. 1586). This law mandates that renewable energy projects with potentially significant environmental impacts undergo a rigorous EIA process before obtaining permits.
* The EIA process involves:
* **Scoping:** Identifying potential environmental impacts of the project.
* **Baseline Studies:** Assessing the existing environmental conditions in the project area.
* **Impact Assessment:** Evaluating the project's potential negative effects on air, water, land, flora, fauna, and socio-economic aspects.
* **Environmental Management Plan (EMP):** Developing a plan to mitigate identified negative impacts and enhance positive ones.
* Public participation is a key element of the EIA process. Communities living near the project site have the right to be informed and express their concerns.
**2. Regulatory Framework:**
* The Department of Environment and Natural Resources (DENR) sets environmental regulations for renewable energy projects. These regulations address concerns specific to each technology, such as:
* **Hydropower:** Regulations may focus on minimizing impacts on water flow, fisheries, and downstream communities.
* **Geothermal:** Regulations may address wastewater disposal, air emissions, and potential for induced seismicity.
* **Solar and Wind:** Regulations may consider land use changes, habitat disruption for birds and bats, and potential visual impacts.
**3. Spatial Planning and Zoning:**
* The government promotes planning and zoning measures to identify suitable areas for renewable energy development while minimizing environmental and social impacts. This can involve:
* Identifying areas with high resource potential and minimal environmental risks.
* Establishing buffer zones around protected areas and sensitive ecosystems.
**4. Technological Advancements:**
* The Philippines encourages the use of advanced renewable energy technologies that have a lower environmental footprint. Examples include:
* **High-efficiency solar panels:** These require less land area to generate the same amount of energy.
* **Floating solar farms:** These minimize land-use impacts by utilizing reservoirs or water bodies.
* **Closed-loop geothermal systems:** These reduce water usage and minimize the risk of contamination.
**5. Promoting Citizen Participation:**
* The government acknowledges the importance of public awareness and participation in ensuring environmentally responsible renewable energy development. This can involve:
* **Community consultations:** Ensuring local communities understand projects and have a say in decision-making.
* **Environmental education programs:** Raising awareness about the potential environmental impacts of renewable energy and how to mitigate them.
**In conclusion,** the Philippines strives to balance the benefits of renewable energy with environmental protection. The EIA process, regulatory framework, spatial planning, technological advancements, and citizen participation all play a role in this ongoing effort.</t>
  </si>
  <si>
    <t>Explain the Feed-in Tariff system and its role in promoting renewable energy projects.</t>
  </si>
  <si>
    <t>The Feed-in Tariff (FIT) system is a policy mechanism designed to accelerate the development and adoption of renewable energy sources. It works by offering **guaranteed prices** to electricity producers for the clean energy they generate and feed into the power grid. Here's how it functions and its role in promoting renewable energy:
**How it Works:**
1. **Government Establishes Rates:** The government, often through the Department of Energy (DOE), sets FIT rates for different renewable energy sources like solar, wind, geothermal, or hydro. These rates are typically higher than the prevailing market price for electricity.
2. **Power Producers Sign Contracts:** Renewable energy project developers can enter into long-term contracts (typically 10-20 years) with electricity utilities or a designated off-taking entity. These contracts guarantee the FIT rate for the electricity produced by the project.
3. **Producers Feed Clean Energy into the Grid:** Renewable energy projects generate electricity and supply it to the grid. This clean energy helps diversify the energy mix and reduce reliance on fossil fuels.
4. **Utilities Purchase and Distribute:** Electricity utilities purchase the electricity generated by renewable energy projects at the pre-determined FIT rate. This purchased clean energy is then distributed to consumers through the power grid.
5. **Cost Recovery:** The additional cost of the FIT program may be recovered in various ways, depending on the specific design. Common methods include:
* **A surcharge added to electricity bills of all consumers.**
* **Government subsidies to bridge the gap between FIT rates and market prices.**
**Role in Promoting Renewable Energy:**
* **Reduced Investment Risk:** The guaranteed, long-term FIT rates provide financial security for renewable energy project developers. This makes renewable energy projects more attractive investments by lowering the perceived risk. * **Increased Project Viability:** The higher FIT rates compared to market prices improve the financial viability of renewable energy projects, making them more competitive with traditional fossil fuel-based generation.
* **Attracting Investment:** The FIT system helps attract private sector investment into the renewable energy sector, which is crucial for large-scale development and deployment of clean energy technologies.
* **Market Signal:** By establishing higher prices for clean energy, the FIT system sends a market signal that renewable energy is a valuable commodity. This incentivizes innovation and cost reductions in the renewable energy sector.
* **Stable and Predictable Environment:** The long-term contracts offered through FIT programs provide a stable and predictable environment for renewable energy developers, facilitating long-term planning and project development.
**While the FIT system offers significant advantages, it's important to consider potential drawbacks:**
* **Increased Electricity Costs:** The FIT program can lead to higher electricity costs for consumers due to the surcharges or subsidies needed to cover the program's costs.
* **Market Distortion:** Guaranteed FIT rates can potentially distort the electricity market by making renewable energy artificially competitive compared to fluctuating market prices.
* **Administrative Burden:** Designing and implementing an effective FIT system can be administratively complex for the government.
**In conclusion,** the Feed-in Tariff system serves as a valuable tool for promoting renewable energy development. By offering financial incentives and reducing investment risks, it encourages the private sector to participate in the clean energy transition. However, careful design and ongoing evaluation are essential to ensure the program remains sustainable and cost-effective in the long run.</t>
  </si>
  <si>
    <t>What legal frameworks are in place to ensure the integration of renewable energy into the national grid?</t>
  </si>
  <si>
    <t xml:space="preserve">The Philippines has established several legal frameworks to ensure the smooth integration of renewable energy (RE) into the national grid. Here's a breakdown of the key mechanisms:
**1. Renewable Portfolio Standards (RPS) - Republic Act No. 9513 (RA 9513):**
* The Renewable Energy Act (RA 9513) empowers the Department of Energy (DOE) to establish Renewable Portfolio Standards (RPS).  These standards mandate electricity distribution utilities (DUs) to source a specific percentage of their electricity supply from qualified renewable energy sources. 
* The RPS policy creates a guaranteed market for renewable energy by requiring DUs to purchase clean energy. This incentivizes RE project developers to invest in building new renewable energy capacity.
**2. Grid Integration Studies and Planning - DOE and National Transmission Corporation (TransCo):**
* The DOE, in collaboration with the National Transmission Corporation (TransCo), the operator of the Philippine power grid, conducts studies to assess the grid's capacity to integrate increasing amounts of RE. These studies help identify potential grid bottlenecks and develop strategies for grid modernization to accommodate the variable nature of some renewable energy sources like solar and wind.
**3. Grid Code and Dispatch Protocols - Department of Energy (DOE):**
* The DOE establishes grid codes and dispatch protocols that govern the operation of the power grid. These regulations ensure the safe, reliable, and efficient integration of RE sources. 
* Grid codes may address technical requirements for connecting renewable energy plants to the grid, managing power fluctuations from variable sources, and ensuring system stability.
* Dispatch protocols establish the order in which power plants are called upon to generate electricity, considering factors like cost, efficiency, and real-time grid conditions.  
**4. Renewable Energy Certificates (RECs) - Department of Energy (DOE):**
* The DOE  may  implement a Renewable Energy Certificate (REC) scheme.  RECs are tradable instruments that represent the environmental benefits associated with one unit of electricity generated from a renewable energy source.
*  While not yet fully implemented in the Philippines, RECs can incentivize RE development by creating a market for the environmental attributes of clean energy. DUs that cannot directly source their RPS requirement from renewable energy projects  can potentially purchase RECs to meet their compliance obligations.
**5. Wheeling Arrangements:**
* The legal framework allows for "wheeling arrangements" where electricity generated from renewable energy plants located in remote areas can be transmitted over long distances to population centers. This facilitates the utilization of RE resources even if they are not located near major load centers.  
**In conclusion,** the Philippines utilizes a combination of legal frameworks to ensure the successful integration of renewable energy into the national grid. The RPS policy creates a market for clean energy, grid studies guide necessary upgrades, grid codes  ensure smooth operation, and RECs (when implemented) provide additional market mechanisms.  Wheeling arrangements allow geographically dispersed RE resources to contribute to the national grid.  By implementing these frameworks, the country aims to achieve a more sustainable and secure energy future.
</t>
  </si>
  <si>
    <t>Discuss the environmental impact assessment requirements for energy projects in the Philippines.</t>
  </si>
  <si>
    <t xml:space="preserve">The Philippines adheres to a stringent Environmental Impact Assessment (EIA) process for energy projects, recognizing the potential environmental consequences of both traditional and renewable energy sources. Here's a breakdown of the key requirements:
**Primary Legal Framework:**
* The cornerstone legislation is the **Environmental Impact Statement System Act** (Presidential Decree No. 1586), also known as the **EIS Law**. This law mandates that projects with potentially significant environmental impacts undergo a comprehensive EIA before securing permits.
**Implementing Agency:**
* The **Department of Environment and Natural Resources (DENR)**, through its Environmental Management Bureau (EMB), is the primary government agency responsible for overseeing the EIA process for energy projects.
**Project Categories and EIA Requirements:**
* The DENR categorizes projects based on their scale, location, and potential environmental impact. This categorization determines the level of EIA required:
    * **Category A:** Projects with potentially significant adverse environmental impacts require a full **Environmental Impact Statement (EIS)**. This is the most comprehensive level of assessment, involving detailed studies and public consultations. Examples include large hydropower dams, geothermal projects, and large-scale solar farms with significant land-use changes.
    * **Category B:** Projects with potentially moderate environmental impacts may require an **Initial Environmental Examination (IEE)** or a simpler form of EIA depending on the specific project and the DENR's determination.  This is a less-detailed assessment compared to a full EIS. Examples include smaller hydropower plants, wind farms with minimal ecological impacts, and biomass energy projects using sustainable feedstock.
    * **Category C:** Projects with minimal or no significant environmental impacts may be exempt from a formal EIA but may still require permits and clearances from relevant government agencies. Examples include small solar rooftop installations or minor upgrades to existing energy infrastructure.
**Key Stages of the EIA Process:**
1. **Project Notification:** The project proponent submits a project description and preliminary environmental information to the DENR.
2. **Scoping:** The DENR, in consultation with stakeholders, identifies the key environmental issues that need to be addressed in the EIA study.
3. **Environmental Impact Study (EIS) or Initial Environmental Examination (IEE) Preparation:** The project proponent conducts environmental studies and prepares the required EIA report (EIS or IEE) based on the scoping process.
4. **Public Participation:** Opportunities are provided for the public to review the EIA report and express their concerns during public hearings.
5. **Review and Evaluation:** The DENR reviews the EIA report and considers public comments before issuing an Environmental Compliance Certificate (ECC) or recommending its denial.
6. **Environmental Compliance Certificate (ECC):** If the project is deemed environmentally acceptable with appropriate mitigation measures, the DENR issues an ECC. This certificate authorizes the project to proceed with construction and operation under the condition that the project proponent adheres to the  environmental protection and management plan outlined in the EIA report.
**Additional Considerations for Specific Energy Sources:**
* While the general EIA process applies,  specific regulations  issued by the DENR  may  add  additional requirements  for  certain energy sources.  These  may  address  particular environmental concerns associated with:
    * Hydropower - Focus on impacts on water flow,  fisheries, and downstream communities.
    * Geothermal - Address wastewater disposal, air emissions, and potential for induced seismicity.
    * Solar and Wind - Consider land use changes,  habitat disruption for birds and bats, and potential visual impacts.
**In conclusion,**  the EIA process in the Philippines plays a vital role in ensuring that energy projects are developed and operated in an environmentally responsible manner.  By requiring  comprehensive  impact assessments, public participation, and adherence to mitigation measures, the Philippines strives to balance its energy needs with environmental protection.
</t>
  </si>
  <si>
    <t>How does the Philippines promote the use of clean and sustainable transportation fuels?</t>
  </si>
  <si>
    <t xml:space="preserve">The Philippines implements a multi-pronged approach to promote clean and sustainable transportation fuels, aiming to reduce dependence on fossil fuels and air pollution. Here's a breakdown of the key strategies:
**1. Biofuels Act (RA 8479):**
* This act establishes a framework for the development, production, and utilization of biofuels. It mandates a **Biofuels Blend Mandate** requiring a minimum percentage of biofuels to be blended with gasoline and diesel. This creates a guaranteed market for bioethanol and biodiesel, incentivizing their production.
* The current blend mandate requires a minimum of 10% bioethanol (E10) for gasoline and 5% biodiesel (B5) for diesel. The government may adjust these percentages based on factors like biofuel availability and economic considerations.
**2. Alternative Fuels and Vehicles Program (AFVLP):**
* The Department of Energy (DOE), in collaboration with other government agencies, spearheads the Alternative Fuels and Vehicles Program (AFVLP). This program offers various incentives to encourage the adoption of alternative fuel vehicles and infrastructure. Incentives may include:
    * **Fiscal incentives:** Reduced excise taxes and import duties on clean vehicles like electric vehicles (EVs) and hybrid electric vehicles (HEVs).
    * **Non-fiscal incentives:** Streamlined registration processes, dedicated parking slots, and exemption from vehicle coding schemes for clean vehicles.
    * **Support for infrastructure development:**  Grants and subsidies for establishing charging stations for EVs and refueling stations for alternative fuels.
**3. Public Utility Vehicle Modernization Program (PUVMP):**
* The PUVMP aims to modernize the public transportation system by phasing out old and polluting jeepneys (public utility vehicles). The program promotes the adoption of cleaner and more efficient alternatives such as:
    * **Euro-4 standard diesel jeepneys:** These newer models have stricter emission standards compared to older jeepneys.
    * **Electric jeepneys (e-jeepneys):**  These zero-emission vehicles significantly reduce tailpipe emissions and contribute to cleaner air quality.
    * **Hybrid electric jeepneys (HEV jeepneys):** These combine an electric motor with a gasoline engine, offering improved fuel efficiency and lower emissions compared to traditional jeepneys.
**4. Research and Development (R&amp;D):**
* The government supports research and development efforts for advanced biofuels and alternative fuel technologies. This includes exploring options like second-generation biofuels derived from non-food sources and hydrogen fuel cell technology.
**5. Public Awareness Campaigns:**
* The government and advocacy groups conduct public awareness campaigns to educate Filipinos about the benefits of clean transportation fuels.  These campaigns aim to:
    * Inform the public about the environmental and health advantages of clean fuels.
    * Promote the economic benefits of using cleaner and more efficient vehicles.
    * Address potential concerns about the cost or availability of clean fuels and clean vehicles.
**Challenges and Considerations:**
* **Biofuel Sustainability:**  Ensuring biofuel production is sustainable and doesn't lead to deforestation or competition with food production remains a challenge.
* **Cost Competitiveness:**  Clean vehicles and alternative fuels can sometimes be more expensive than traditional options.  Government incentives and falling battery costs for EVs are helping bridge this gap.
* **Infrastructure Development:** Expanding the network of charging stations for EVs and refueling stations for alternative fuels is crucial for wider adoption.
**In conclusion,**  the Philippines is actively promoting clean and sustainable transportation fuels through a combination of policies, incentives, and infrastructure development.  The Biofuels Act, AFVLP, PUVMP, and R&amp;D initiatives demonstrate the government's commitment to a cleaner and more sustainable transportation sector. Overcoming cost competitiveness challenges and ensuring biofuel sustainability require ongoing efforts, but the Philippines is making strides towards a greener transportation future. </t>
  </si>
  <si>
    <t>Explain the net metering policy and its significance for energy sustainability.</t>
  </si>
  <si>
    <t xml:space="preserve">Net metering is a policy mechanism designed to incentivize the adoption of distributed renewable energy generation, particularly solar power. Here's how it works and its role in promoting energy sustainability:
**How Net Metering Works:**
1. **Solar Panel Installation:**  A customer installs a solar photovoltaic (PV) system on their property to generate electricity.
2. **Bi-Directional Meter:**  A special bi-directional meter is installed to track both the electricity consumed from the grid and the excess electricity exported back to the grid by the solar panels.
3. **Energy Consumption and Generation:**  The customer uses the solar energy generated during the day. When solar generation is insufficient, they draw electricity from the grid.
4. **Net Metering Billing:**  At the end of the billing period, the net difference between the electricity consumed from the grid and the surplus electricity exported back to the grid is used for billing.
    * If the customer generates more electricity than they consume (net generation), they receive credits on their electricity bill for the excess electricity exported.
    * If the customer consumes more electricity than they generate (net consumption), they are billed for the net amount used from the grid, minus any credits earned from previous surpluses.
**Significance for Energy Sustainability:**
Net metering offers several benefits that contribute to energy sustainability:
* **Increased Renewable Energy Generation:**  By incentivizing solar installations, net metering promotes the growth of distributed renewable energy sources. This reduces reliance on fossil fuel-based power plants and contributes to a cleaner energy mix.
* **Reduced Greenhouse Gas Emissions:**  As more solar energy is generated and used, overall greenhouse gas emissions from the power sector decrease. This helps mitigate climate change.
* **Reduced Peak Demand:**  Solar energy generation typically peaks during the daytime, coinciding with peak electricity demand periods. This can help reduce strain on the grid during peak hours.
* **Increased Energy Independence:**  Homes and businesses with solar panels become less reliant on the traditional grid for their electricity needs, fostering a more decentralized and resilient energy system.
* **Cost Savings for Consumers:**  Net metering allows consumers to offset their electricity bills with credits earned from excess solar generation. This can lead to significant cost savings over time.
**Potential Challenges:**
* **Cost of Solar Panel Installation:**  The upfront cost of installing a solar PV system can be a barrier for some consumers. However, government incentives and falling solar panel prices are making solar more accessible.
* **Limited Net Metering Benefits for High-Energy Users:**  Net metering benefits are maximized for customers who can generate enough solar energy to offset their consumption.  High-energy users may not see significant cost savings.
* **Grid Management Concerns:**  A large number of distributed solar generators can potentially pose challenges for grid stability.  Utilities  may need to implement measures to manage the intermittent nature of solar energy generation.
**Overall, net metering is a valuable policy tool for promoting energy sustainability. By incentivizing renewable energy adoption and encouraging energy conservation, it paves the way for a cleaner and more decentralized energy future. However, addressing cost barriers and ensuring grid stability are crucial considerations for maximizing the benefits of net metering.** </t>
  </si>
  <si>
    <t>What are the legal provisions for the establishment of energy cooperatives in the Philippines?</t>
  </si>
  <si>
    <t>The establishment of energy cooperatives in the Philippines is primarily governed by two key pieces of legislation:
1. **Republic Act No. 9520 (Philippine Cooperative Code of 2008):**
   This Act establishes the overall framework for cooperatives in the Philippines, including energy cooperatives. It defines the principles, types, organization, and operation of cooperatives. Here are some key provisions relevant to energy cooperatives:
    * **Declaration of Policy:** The Act promotes the creation and growth of cooperatives, including those involved in energy production and distribution.
    * **Types of Cooperatives:** The Act recognizes various cooperative types, and energy cooperatives typically fall under the category of "producer cooperatives" or "service cooperatives."
    * **Membership:** The Act specifies the requirements for membership in cooperatives, including minimum age, residency, and character qualifications.
    * **Organizational Requirements:** The Act outlines the process for organizing a cooperative, including the preparation of Articles of Cooperation and By-Laws. These documents define the cooperative's purpose, structure, governance, and membership rights and obligations.
    * **Registration:** The Act mandates the registration of cooperatives with the Cooperative Development Authority (CDA), the government agency responsible for overseeing the cooperative sector.
2. **Presidential Decree No. 269 (Cooperative Non-Stock, Non-Profit Membership Corporations Engaged in the Supply of Electric Light and Power):**
   This decree, while older than the Philippine Cooperative Code, remains relevant for establishing energy cooperatives. It provides specific regulations for cooperatives involved in supplying and promoting electric power. Key provisions include:
    * **Purpose:** The decree focuses on the formation and operation of cooperatives for supplying electricity to members and promoting electrification in their service areas.
    * **Structure and Governance:** The decree outlines the recommended structure for energy cooperatives, including a Board of Directors and management team.
    * **Franchising:** The decree establishes a process for energy cooperatives to obtain franchises from the government for electricity distribution within a specific territory.  (Note: This franchising process may be subject to further regulations or updates).
    * **Conversion of Existing Cooperatives:** The decree allows existing non-agricultural cooperatives to convert into electric cooperatives under the provisions of this decree.
**Additional Considerations:**
* **Other Relevant Laws and Regulations:**  Depending on the specific scope of the energy cooperative's activities, additional laws and regulations  may apply.  These could include regulations  related to environmental impact assessment, safety standards for power generation or distribution, or renewable energy policies.
* **Consultation with CDA and DOE:**  It's highly recommended for aspiring energy cooperatives to consult with both the Cooperative Development Authority (CDA) and the Department of Energy (DOE) during the planning and establishment process. These agencies can provide guidance on navigating the legal requirements, obtaining necessary permits, and ensuring compliance with relevant regulations.
By understanding these legal provisions and seeking guidance from relevant government agencies, individuals interested in establishing energy cooperatives in the Philippines can navigate the process effectively and contribute to a more decentralized and potentially more democratic energy sector.</t>
  </si>
  <si>
    <t>Discuss the challenges faced by the Philippines in achieving energy sustainability goals.</t>
  </si>
  <si>
    <t xml:space="preserve">The Philippines faces a complex set of challenges in its pursuit of energy sustainability. Here's a breakdown of some of the key hurdles:
**1. Reliance on Fossil Fuels:**
* The Philippines remains heavily reliant on fossil fuels, particularly imported coal, for its power generation. This dependence on fossil fuels contributes to greenhouse gas emissions and air pollution. 
* Transitioning to cleaner energy sources like renewables requires significant investments in infrastructure and grid modernization to accommodate their intermittent nature.
**2. Limited Renewable Energy Capacity:**
* While the Philippines has a strong renewable energy potential, particularly in solar and geothermal, the current installed capacity is insufficient to  meet the country's growing energy demand.
* Scaling up renewable energy deployment requires overcoming challenges  related to:
    * **Financing:** Securing sufficient funding for large-scale renewable energy projects.
    * **Permitting:** Streamlining  the permitting process for renewable energy projects to reduce delays.
    * **Grid Integration:** Upgrading the power grid to handle the variable nature of renewable energy sources.
**3. Energy Poverty:**
* A significant portion of the Philippine population still lacks access to reliable and affordable electricity. This energy poverty hinders economic development and  limits opportunities for Filipinos, particularly in rural areas.
* Expanding access to clean and affordable energy while ensuring affordability for low-income households remains a challenge.
**4. Policy and Regulatory Uncertainty:**
*  Inconsistencies or frequent changes in government policies and regulations  can create uncertainty for investors in the renewable energy sector. 
*  A stable and predictable policy environment  is crucial to attract long-term investments and promote sustained growth of the renewable energy sector.
**5. Public Perception and Awareness:**
*  Limited public awareness about the benefits of clean energy and energy efficiency can hinder wider adoption of these solutions.
*  Raising public awareness and promoting behavior changes  towards more sustainable energy consumption patterns are crucial for long-term success. 
**6. Natural Disasters:**
* The Philippines is highly vulnerable to natural disasters like typhoons and earthquakes. These  events can damage energy infrastructure and disrupt power supply.
* Building climate-resilient energy infrastructure is essential to ensure energy security  in the face of these challenges.
**Despite these challenges, the Philippines is taking steps to address them.** The government has implemented policies and programs that promote renewable energy development, energy efficiency, and improved grid management. Additionally, there's a growing public awareness about the importance of  environmental sustainability.
**By:**
* **Diversifying the energy mix:**  Investing in more renewable energy sources like solar, wind, geothermal, and hydro.
* **Improving energy efficiency:**  Promoting energy-saving technologies and practices in households, businesses, and industries.
* **Expanding grid access:**  Connecting more Filipinos to a reliable and affordable electricity grid.
* **Enhancing policy and regulatory frameworks:** Providing a stable and predictable environment for renewable energy investments.
* **Investing in climate-resilient infrastructure:** Building energy systems that can withstand natural disasters.
* **Raising public awareness:** Educating Filipinos about the benefits of clean energy and energy conservation.
The Philippines can chart a path towards a more sustainable energy future. Overcoming these challenges will require a multi-pronged approach involving government initiatives, private sector investments, and public participation. </t>
  </si>
  <si>
    <t>How does the government regulate the production and distribution of biofuels in the Philippines?</t>
  </si>
  <si>
    <t xml:space="preserve">The Philippines regulates biofuel production and distribution through a combination of legislation, policies, and implementing regulations issued by various government agencies. Here's a breakdown of the key regulatory framework:
**Legal Framework:**
* **Biofuels Act of 2006 (Republic Act No. 9367):** This Act serves as the cornerstone legislation for biofuels development and utilization in the Philippines. It mandates the **Biofuels Blend Mandate**, requiring a minimum percentage of biofuels to be blended with gasoline and diesel. The Act also establishes the **National Biofuels Board (NBB)**, responsible for developing and implementing the biofuels program.
* **Department of Energy (DOE) Circulars:** The DOE issues various circulars to provide detailed  implementing  regulations for the Biofuels Act. These regulations  address aspects like:
    * **Feedstock Sourcing:**  Regulations may specify sustainability criteria for biofuel feedstock to ensure it doesn't contribute to deforestation or competition with food production.
    * **Production Standards:**  Regulations may establish quality and safety standards for biofuels to ensure they meet specific performance criteria and don't harm engines or the environment.
    * **Blending Requirements:**  Regulations  detail the  minimum percentages  of bioethanol  to be blended  with gasoline (currently E10) and biodiesel to be blended with diesel (currently B5). These percentages may be adjusted by the government based on factors like biofuel availability and economic considerations.
    * **Licensing and Accreditation:**  Regulations may outline the  licensing and accreditation processes for biofuel producers, blenders, and retailers to ensure they comply with established standards.
**Key Regulatory Agencies:**
* **Department of Energy (DOE):** The DOE is the primary government agency responsible for overseeing the biofuels program. It formulates policies, issues regulations, and monitors the implementation of the Biofuels Act.
* **National Biofuels Board (NBB):** Established under the Biofuels Act, the NBB is an inter-agency body tasked with developing and implementing the biofuels program. It recommends adjustments to the Biofuels Blend Mandate, conducts research and development activities, and promotes biofuel adoption.
* **Department of Agriculture (DA):** The DA plays a role in regulating biofuel feedstock production, ensuring its sustainability and compliance with agricultural regulations.
* **Bureau of Customs (BOC):** The BOC enforces customs regulations  related to the import and export of biofuels and biofuel feedstock.
**Enforcement Mechanisms:**
* The government  may conduct inspections of biofuel production facilities, blending facilities, and retail stations to ensure compliance with regulations.
* Penalties may be imposed for violations of the Biofuels Act and its implementing regulations, including fines and suspension or cancellation of licenses.
**In conclusion,**  the Philippine government maintains a comprehensive regulatory framework for biofuel production and distribution. This framework aims to ensure the sustainable development of the biofuels industry,  protect consumers and the environment, and achieve the objectives outlined in the Biofuels Act. </t>
  </si>
  <si>
    <t>Explain the role of local government units in promoting energy sustainability initiatives.</t>
  </si>
  <si>
    <t>Local government units (LGUs) in the Philippines play a crucial role in promoting energy sustainability initiatives at the grassroots level. Their proximity to communities and understanding of local needs empower them to implement targeted programs and influence resident behavior. Here's how LGUs contribute to a more sustainable energy future:
**1. Policy and Planning:**
* **Land Use Planning:** LGUs can integrate energy sustainability considerations into land-use planning. This can involve zoning regulations that favor energy-efficient buildings, allocating space for renewable energy installations like solar panels, and promoting compact and walkable communities that reduce reliance on private vehicles.
* **Building Codes:** LGUs can adopt stricter building codes that mandate energy-efficient features in new constructions. This can include requirements for insulation, energy-efficient lighting and appliances, and passive cooling techniques.
* **Waste Management:** LGUs can develop and implement effective waste management plans that promote waste-to-energy solutions. This can help reduce reliance on landfills and potentially generate renewable energy from organic waste.
**2. Project Implementation and Financing:**
* **Renewable Energy Microgrids:** LGUs can facilitate the development of renewable energy microgrids in remote areas not connected to the national grid. This can provide clean and reliable electricity to these communities.
* **Energy Efficiency Programs:** LGUs can launch initiatives to promote energy efficiency in households and businesses. This can involve public awareness campaigns, subsidies for energy-efficient appliances, and retrofitting programs for existing buildings.
* **Public-Private Partnerships:** LGUs can collaborate with the private sector to co-finance and implement energy sustainability projects. This can leverage private sector expertise and resources for larger-scale initiatives.
**3. Community Engagement and Capacity Building:**
* **Public Awareness Campaigns:** LGUs can raise public awareness about the importance of energy conservation and the benefits of renewable energy. This can encourage residents to adopt sustainable practices in their daily lives.
* **Community Mobilization:** LGUs can  mobilize  community  participation  in  energy  sustainability initiatives.  This  could  involve  programs like  community gardens  that  promote  local food production and reduce reliance on transportation for groceries.
* **Skills Development:** LGUs can support  skills development programs  to train  local  residents  in  areas  like  solar panel installation or energy auditing. This can create green jobs and empower communities to participate in the clean energy transition.
**4. Regulation and Enforcement:**
* **Energy Efficiency Building Codes:** LGUs can enforce stricter energy efficiency codes for new constructions and potentially incentivize retrofits for existing buildings.
* **Renewable Energy Installations:** LGUs  can streamline  permitting processes  for  installing  rooftop solar panels  or  small-scale  renewable energy systems  in  homes  and  businesses.
* **Sustainable Practices:** LGUs can promote sustainable practices within their own operations by adopting energy-efficient technologies and practices in public buildings and facilities.
**Challenges and Opportunities:**
* **Limited Resources:** LGUs  often  face  limited financial  and  human  resources  to  implement  comprehensive  energy  sustainability  initiatives. 
* **Capacity Building:** Building  the  technical  expertise  within  LGUs  to   effectively   plan   and   manage   energy   sustainability   programs   is   essential.
* **Public Participation:**  Encouraging  community  buy-in  and  active  participation  in  sustainability  initiatives  requires  ongoing  outreach  and  engagement  efforts.
**Despite these challenges, LGUs in the Philippines have the potential to be powerful drivers of change towards a more sustainable energy future. By utilizing their unique position, fostering collaboration with various stakeholders, and implementing innovative solutions, they can make a significant contribution to a cleaner and more energy-secure Philippines.**</t>
  </si>
  <si>
    <t>Discuss the legal frameworks for promoting energy conservation in residential buildings.</t>
  </si>
  <si>
    <t xml:space="preserve">The Philippines has a partially established legal framework for promoting energy conservation in residential buildings. While there's no single, comprehensive law, several policies and regulations work together to incentivize and nudge residents towards more energy-efficient practices. Here's a breakdown of the key elements:
**1. Building Codes and Standards:**
* **National Building Code of the Philippines (NBCP):** The NBCP sets minimum standards for the design, construction, and safety of buildings in the Philippines. It includes some provisions that indirectly promote energy conservation, such as:
    * **Building Envelope Requirements:** These may specify insulation standards for walls and roofs to minimize heat transfer and reduce reliance on heating or cooling systems.
    * **Natural Ventilation and Lighting Design:**  The code may encourage  design  considerations  that  maximize  natural  ventilation  and  daylighting  to  reduce  dependence  on  artificial  lighting  and  air conditioning.
**2. Department of Energy (DOE) Regulations:**
* The DOE issues regulations and guidelines that promote energy efficiency in buildings. These may include:
    * **Energy Efficiency Design Standards for New Buildings:**  These  standards  could  specify  minimum  energy performance  requirements  for  new  residential buildings.  While not yet fully implemented, they are under development.
    * **Green Building Rating Systems:** The DOE may  encourage  the  adoption  of  voluntary  green building rating systems  like Leadership in Energy and Environmental Design (LEED) for new constructions. These systems  provide  a  framework  for  designing  and  constructing  highly  energy-efficient buildings.
**3. Local Government Unit (LGU) Initiatives:**
* **LGU Building Codes:** Some progressive LGUs may  adopt stricter  building codes  that  exceed  the  minimum  requirements  of  the  NBCP.  These  may  include  more  stringent  energy efficiency provisions.
* **Incentive Programs:**  LGUs  may  offer  incentives  like  permitting  expediting  or  tax breaks  for  new  residential  constructions  that  meet  certain  energy  efficiency  standards.
**4. Loan and Financing Programs:**
* **Government Financial Institutions (GFIs):** Some government financial institutions may offer loan programs with lower interest rates for  purchasing  energy-efficient appliances  or  retrofitting  homes  with  energy-saving  technologies. 
* **Green Bond Market:** The development of a green bond market in the Philippines could provide financing for  energy-efficient  residential  projects, although this market is still in its early stages.
**Challenges and Opportunities:**
* **Limited Scope:** The existing framework lacks a comprehensive and mandatory approach to energy conservation in all residential buildings.
* **Enforcement Mechanisms:**  The  enforcement  of  existing  building  codes  and  standards  related  to  energy  efficiency  can  be  weak,  particularly  for  individual  homes.
* **Public Awareness:**  Homeowners  may  not  be  fully  aware  of  the  benefits  of  energy-efficient  technologies  or  the  long-term  cost  savings  they  offer.
**Despite these challenges, there's an opportunity to strengthen the legal framework for promoting energy conservation in residential buildings.  Here are some potential improvements:**
* **Mandatory Energy Efficiency Standards:** Implementing mandatory energy efficiency standards for new residential buildings would significantly improve overall building stock performance.
* **Building Labeling Program:**  A  national  building labeling program  could  rate  the  energy  efficiency  of  existing  and  new  homes,  providing  valuable  information  to  homeowners  and  potential buyers.
* **Public Awareness Campaigns:**  Raising  public  awareness  about  the  benefits  of  energy  conservation  technologies  and  practices  can  encourage  greater  investment  in  efficiency  upgrades.
* **Financing Mechanisms:** Expanding  access  to  financing  options  for  energy-efficient  retrofits  and  technologies  can  make  them  more  affordable  for  homeowners.
By addressing these challenges and pursuing these improvements, the Philippines can create a more robust legal framework that effectively promotes energy conservation in residential buildings, ultimately leading to a more sustainable and energy-secure future.
</t>
  </si>
  <si>
    <t>What measures are in place to ensure the protection of indigenous communities in energy development projects?</t>
  </si>
  <si>
    <t xml:space="preserve">The Philippines has several measures in place to protect indigenous communities (ICs)  during energy development projects, but challenges remain in ensuring full and effective implementation. Here's a breakdown of the key aspects:
**Legal Framework:**
* **The Indigenous Peoples Rights Act (IPRA) - Republic Act No. 8371:**  This landmark law recognizes and protects the ancestral domain rights of IPs, including their right to be informed about, participate in, and give or withhold their free and prior informed consent (FPIC) to projects affecting their lands and resources.
* **Environmental Impact Assessment (EIA) Process:**  The EIA process, mandated by Presidential Decree No. 1586, requires considering potential social and cultural impacts on communities, including IPs. Public consultations are a part of the process.
**Government Agencies:**
* **National Commission on Indigenous Peoples (NCIP):**  The NCIP is the primary government agency responsible for upholding the rights and welfare of IPs. They play a crucial role in:
    * **Ancestral Domain Delineation and Titling:**  Delimiting ancestral domains and issuing certificates of ancestral land title (CALTs) to IPs, which strengthen their claims to their land.
    * **Facilitating FPIC:**  The NCIP plays a crucial role in facilitating the FPIC process, ensuring IPs understand the potential impacts of projects and can make informed decisions.
**Challenges and Considerations:**
* **Ancestral Domain Titling Backlog:**  A significant backlog exists in ancestral domain titling, leaving many IPs without the formal documentation to fully assert their rights.
* **Power Imbalances and Coercion:**  Power imbalances between project developers and ICs can make it difficult for communities to  provide genuine free and prior informed consent.
* **Benefit-Sharing Agreements:**  Negotiating fair benefit-sharing agreements with ICs  to ensure they  receive  a  just  share  of  the  project's  benefits  requires  transparency  and  community  participation.
* **Capacity Building for IPs:**  Strengthening the capacity of ICs to understand complex technical information and effectively participate in decision-making processes is crucial.
**Moving Forward:**
* **Effective Implementation of IPRA:**  Ensuring  strict  compliance  with  IPRA  and  upholding  the  right  to  FPIC  are  critical  for  protecting  indigenous  communities.
* **Strengthening NCIP:**  Providing the NCIP with adequate resources and capacity to effectively fulfill its mandate is essential.
* **Raising Awareness:**  Raising awareness among government agencies, project developers, and IPs themselves  about  rights,  processes,  and  best practices  for  ensuring  meaningful  participation  of  ICs  in  energy  development projects.
By addressing these challenges and strengthening the existing framework, the Philippines can strive towards a more just and sustainable approach to energy development that respects the rights and interests of indigenous communities. </t>
  </si>
  <si>
    <t>Explain the legal mechanisms for promoting energy efficiency in government agencies.</t>
  </si>
  <si>
    <t xml:space="preserve">The Philippines utilizes a combination of legal mechanisms to promote energy efficiency within government agencies. Here's a breakdown of the key instruments:
**1. Laws and Policies:**
* **Republic Act No. 11285 (Energy Efficiency and Conservation Act):** This Act establishes a national framework for promoting energy efficiency across all sectors, including government. It mandates the creation of an **Energy Efficiency and Conservation (EE&amp;C) Master Plan** outlining strategies and targets for government agencies to achieve.
* **Executive Order No. 26 (Enhancing Energy Efficiency and Conservation in Government Operations):** This Executive Order strengthens the implementation of energy efficiency practices in government agencies. It mandates actions such as:
    * **Energy Audits:** Requiring regular energy audits of government buildings to identify areas for improvement.
    * **Energy Performance Contracting (EPC):**  Encouraging  government agencies  to  explore  EPC  projects,  where  private  companies  invest  in  upgrading  energy  infrastructure  and  share  the  cost  savings  achieved.
    * **Procurement of Energy-Efficient Equipment:** Mandating government agencies to prioritize energy-efficient equipment and appliances when making new purchases.
**2. Regulatory Agencies:**
* **Department of Energy (DOE):**  The DOE plays a central role in promoting energy efficiency in government. It:
    * Develops and implements the national EE&amp;C Master Plan for government agencies.
    * Provides technical assistance and capacity building programs to government agencies on energy management practices.
    * Monitors and evaluates the progress of government agencies in achieving energy efficiency targets.
* **Commission on Audit (COA):**  The COA incorporates energy efficiency considerations into its audit processes for government agencies. This encourages responsible resource management and identifies areas for improvement.
**3. Performance Management Systems:**
* **Government Performance Management System (GPMS):**  The  GPMP  system  integrates  energy  efficiency  as  a  performance  indicator  for  government  agencies. This holds agencies accountable for achieving specific energy-saving targets.
**4. Budgetary Considerations:**
* **Budgetary Allocations:**  The government  may allocate  budgets  specifically  for  energy  efficiency projects  within  government agencies. This  could  include  funds  for  retrofitting  buildings,  purchasing  energy-efficient  equipment,  or  investing  in  renewable energy sources.
* **Cost Savings Reinvestment:**  Agencies  that  achieve  significant  energy  cost  savings  may  be  allowed  to  reinvest  a  portion  of  these  savings  in  further  energy  efficiency  upgrades, creating a positive feedback loop.
**Challenges and Opportunities:**
* **Limited Resources:**   Government  agencies  may  face  limited  budgets  to  invest  in  upfront  costs  associated  with  energy-efficiency  upgrades.
* **Technical Expertise:**   Building  capacity  within  government  agencies  to  implement  and  manage  energy-efficiency  programs  requires  ongoing  training  and  support.
* **Monitoring and Evaluation:**   Effective  monitoring  and  evaluation  systems  are  crucial  to  track  progress  and  identify  areas  for  improvement.
**Despite these challenges, the Philippines has a legal framework in place to promote energy efficiency in government agencies. By strengthening implementation, building capacity, and ensuring adequate funding, the government can lead by example and contribute significantly to the country's overall energy efficiency goals.** </t>
  </si>
  <si>
    <t>Discuss the role of public-private partnerships in advancing energy sustainability goals.</t>
  </si>
  <si>
    <t xml:space="preserve">While Philippine law doesn't explicitly address public-private partnerships (PPPs) for energy sustainability, the Constitution and some Republic Acts provide a framework that enables them. Here's how:
**Constitution**
* **Article XII, Section 2**:  This section recognizes the "vital role of the private sector in providing social services and promoting productivity." This opens the door for private companies to participate in initiatives that address national needs, like energy sustainability.
* **Article XVI, Section 9**: The State shall prioritize "the development of a self-reliant and independent national economy effectively integrated with the world market."  This can be interpreted to include fostering public-private partnerships to achieve energy security and sustainability through innovation and collaboration.
**Potentially Relevant Republic Acts**
* **Republic Act No. 6938 -  The Department of Energy Act of 1992**: This RA establishes the Department of Energy (DOE) and empowers it to "formulate, recommend, and implement policies, plans and programs for the entire energy sector." The DOE can potentially utilize PPPs as a strategy to achieve energy sustainability goals outlined in their plans and programs.  
* **Republic Act No. 9514 - The Renewable Energy Act of 2008**:  This RA promotes the development, utilization, and commercialization of renewable energy sources. It creates incentives for private companies to invest in renewable energy projects, fostering a possible environment for PPPs.
**Overall, Philippine law allows for public-private partnerships to play a role in advancing energy sustainability goals, but there might not be a specific legal framework governing them yet.**
Here are some potential benefits of PPPs for energy sustainability based on general principles:
* **Increased Investment:** Private sector funding can supplement government resources for renewable energy projects.
* **Technological Innovation:** Private companies often have the expertise and resources to develop and implement new technologies for clean energy.
* **Efficiency and Expertise:**  Collaboration can leverage the strengths of both public and private sectors for efficient project execution.
**It's important to note that PPPs also have potential drawbacks that need careful consideration:**
* **Profit Motive vs. Public Good:** Private companies might prioritize profit over long-term sustainability goals.
* **Transparency and Accountability:**  Clear guidelines are needed to ensure transparency and accountability in PPP agreements.
* **Equity and Accessibility:**  PPPs should be designed to ensure energy sustainability benefits all Filipinos, not just a select few.
For a more comprehensive understanding of how PPPs can be implemented within the Philippine legal framework for advancing energy sustainability, further research on specific programs or legal developments related to PPPs in the energy sector might be necessary. </t>
  </si>
  <si>
    <t>How does the Philippines address issues of energy poverty and access to electricity in remote areas?</t>
  </si>
  <si>
    <t xml:space="preserve">The Philippines tackles energy poverty and remote area electrification through a combination of legal frameworks and government programs. Here's a breakdown based on Philippine law:
**Philippine Constitution**
* **Article XII, Section 16**: This section mandates the State to "promote the preferential use of renewable energy sources, including hydro, wind, geothermal, biomass, solar and tidal energies in the development of the country's natural resources."  This constitutional provision lays the groundwork for prioritizing clean and sustainable energy sources that can potentially be more accessible in remote areas.
**Republic Acts**
* **Republic Act No. 9136 - The Electric Power Industry Reform Act of 2001 (EPIRA)**: This law restructured the electricity sector, creating a competitive market environment.  While EPIRA itself doesn't directly address remote areas, it provides a framework for potential private sector investment in renewable energy solutions for these regions.
* **Republic Act No. 7832 - The Expanded Rural Electrification Act of 1995**: This RA is a key piece of legislation for addressing electrification in remote areas. It established the Expanded Rural Electrification Board (ERB) tasked with formulating policies and programs to bring electricity to unserved and underserved areas.
* **Republic Act No. 9514 - The Renewable Energy Act of 2008**: As mentioned earlier, this RA promotes renewable energy development.  This can be instrumental in providing sustainable and potentially more affordable electricity solutions for remote communities where grid extension might not be feasible.
**Government Programs**
* **The Department of Energy (DOE)**, created under RA 6938, plays a crucial role. The DOE, along with the ERB, implements various programs to achieve electrification in remote areas. These programs can include:
    * Grant subsidies for renewable energy technologies like solar panels.
    * Development of microgrids – smaller, localized power systems powered by renewable sources –  suitable for remote communities.
    * Collaboration with local government units (LGUs) to identify and prioritize electrification projects in remote areas. 
**Overall, Philippine law recognizes the need for electrification in remote areas and provides a framework for government intervention and public-private partnerships to achieve this goal.** The focus on renewable energy through the Constitution and the Renewable Energy Act is particularly relevant for sustainable solutions in remote locations.
**Here are some limitations to consider**
* Funding constraints can hinder the pace of electrification in remote areas.
* Geographical challenges and dispersed populations can make grid extension expensive and impractical in some cases.
* Ensuring affordability and long-term sustainability of energy solutions for low-income households in remote areas remains an ongoing challenge.
The Philippines continues to develop its legal and programmatic framework to address these challenges and achieve its goal of full electrification. </t>
  </si>
  <si>
    <t>What legal provisions govern the use of solar energy in residential and commercial buildings?</t>
  </si>
  <si>
    <t xml:space="preserve">The Philippines utilizes two main Republic Acts (RAs) to govern the use of solar energy in residential and commercial buildings:
**1. Republic Act No. 9513 - The Renewable Energy Act of 2008 (RA 9513)**
* This RA lays the groundwork for promoting the development, utilization, and commercialization of renewable energy sources, including solar energy. 
* It creates a framework for providing incentives for the use of solar power, such as feed-in-tariffs (FITs) that allow individuals and businesses to earn credits by feeding excess solar energy back to the grid.
* You can find more details about RA 9513 on the Official Gazette website [https://www.officialgazette.gov.ph/2008/12/16/republic-act-no-9513/](https://www.officialgazette.gov.ph/2008/12/16/republic-act-no-9513/).
**2. Republic Act No. 11285 - The Energy Efficiency and Conservation Act of 2018 (RA 11285)**
* This RA is more recent and focuses on promoting energy efficiency and conservation in buildings.
* Section 18 of RA 11285 mandates that new buildings and infrastructures must comply with a requirement to source **at least 1% of their total power demand from renewable energy**,  which can include solar power.
* This provision encourages the integration of solar energy systems in new constructions.
* You can find RA 11285 on the website of the Philippine eLibrary [https://elibrary.judiciary.gov.ph/](https://elibrary.judiciary.gov.ph/).
**Additional Points**
* The Department of Energy (DOE) issues implementing rules and regulations for these RAs. These regulations provide more specific guidelines on how to comply with the legal requirements and avail of incentives for using solar energy. 
* Local government units (LGUs) may also have their own ordinances or regulations related to solar energy installations. It's advisable to check with your local building department for any additional requirements in your area.
**While these RAs provide the main legal framework, it's important to consult with a qualified professional for specific advice on installing solar panels in your residential or commercial building.** They can help you navigate the legal requirements, determine the best system for your needs, and ensure your installation complies with all applicable regulations.
</t>
  </si>
  <si>
    <t>Suppose a renewable energy project is facing opposition from indigenous communities due to concerns about land rights. How would you advise the government to address this situation legally?</t>
  </si>
  <si>
    <t xml:space="preserve">Here's how I would advise the government to address a situation where a renewable energy project faces opposition from indigenous communities due to land rights concerns, following Philippine law:
**1. Prioritize Free, Prior and Informed Consent (FPIC)**
* The Philippines is a signatory to the United Nations Declaration on the Rights of Indigenous Peoples (UNDRIP), which emphasizes FPIC. 
* Even without a specific domestic law mandating FPIC, the government should act in good faith and uphold the spirit of UNDRIP.
**2. Open Communication and Dialogue**
* Initiate open and respectful dialogue with representatives of the indigenous community. 
* Actively listen to their concerns regarding land rights and potential impacts of the project on their traditional way of life.
**3. Legal Framework**
* Consider the following legal provisions:
    * The Indigenous Peoples Rights Act (Republic Act No. 8371) protects the rights and welfare of indigenous cultural communities. 
    * The Ancestral Domain Code (Republic Act No. 8371) recognizes the rights of indigenous peoples to their ancestral domains.
**4. Potential Solutions**
* Explore options that address the community's concerns:
    * Relocation and compensation plans if necessary.
    * Project modifications to minimize impact on traditional practices.
    * Benefit-sharing agreements that ensure the indigenous community derives a fair share of the project's benefits.
**5. Legal Processes**
* If a consensus cannot be reached, the government may have to consider legal avenues:
    * Negotiation through the National Commission on Indigenous Peoples (NCIP).
    * Court litigation as a last resort, but this should be avoided if possible due to the potential for lengthy delays and damaged relationships.
**Additional Considerations**
* Transparency is key. Share clear and accessible information about the project's purpose, potential impacts, and proposed mitigation measures.
* Ensure fair and culturally-appropriate communication processes that respect indigenous knowledge and decision-making structures.
* Conduct a thorough environmental impact assessment (EIA) that considers the project's impact on the indigenous community's environment and way of life.
By prioritizing FPIC, open dialogue, and exploring solutions within the legal framework, the government can increase the chances of a successful and sustainable renewable energy project that respects the rights of indigenous communities.
</t>
  </si>
  <si>
    <t>Imagine a scenario where a company is found violating environmental regulations in its energy production processes. What legal actions can be taken against the company?</t>
  </si>
  <si>
    <t xml:space="preserve">Several legal actions can be taken against a company found violating environmental regulations in the Philippines:
**1. Administrative Actions by the Department of Environment and Natural Resources (DENR):**
* The DENR is the primary government agency tasked with enforcing environmental laws. 
* Upon discovering a violation, the DENR can issue a Notice of Violation (NOV) detailing the specific regulations breached.
* The company will have a chance to respond and rectify the violation. 
* If the violation persists, the DENR can impose various administrative sanctions, including:
    * Fines 
    * Suspension or cancellation of environmental permits
    * Cease-and-desist orders for specific polluting activities
**2. Civil Lawsuits:**
* Individuals or groups affected by the environmental violation can file a civil lawsuit against the company. 
* This lawsuit could seek:
    * Damages for harm caused to property, health, or livelihood.
    * An injunction to stop the polluting activity.
**3. Criminal Charges:**
* Depending on the severity of the violation, the DENR or other concerned agencies may file criminal charges against the company or its responsible officials. 
* Potential criminal offenses include:
    * Violation of the Philippine Ecological Solid Waste Management Act (RA 9003)
    * Violation of the Clean Air Act (RA 8749)
    * Violation of the Clean Water Act (RA 9275)
**4. Citizen Suits:**
* Philippine law allows citizen suits under certain conditions. 
* Concerned citizens or NGOs can file a lawsuit against the government for failing to enforce environmental laws or against the company for violating them.
**Additional Considerations:**
* The specific legal actions taken will depend on the nature and severity of the environmental violation.
* Evidence gathering is crucial. This could involve collecting data on emissions, documenting environmental damage, and obtaining witness testimonies.
* Consulting with an environmental lawyer is highly recommended for navigating the legal process effectively.
By utilizing these legal avenues, the Philippines aims to hold companies accountable for environmental violations and deter future harm.
</t>
  </si>
  <si>
    <t>You are a legal advisor to a local government unit interested in implementing energy conservation measures. Outline the legal steps they need to take to enact relevant policies.</t>
  </si>
  <si>
    <t xml:space="preserve">## Legal Steps for Enacting Energy Conservation Measures in an LGU
As your legal advisor, here's the roadmap for your LGU to enact relevant policies for energy conservation:
**1. Research and Planning:**
* **Review National Laws and Policies:** Familiarize yourself with existing national frameworks like the:
    * **Philippine Energy Independence Strategy (PEIS)** 
    * **National Energy Efficiency and Conservation Plan (NEECP)** 
    * **Republic Act No. 11285 (Energy Efficiency and Conservation Act of 2018)** 
    * **Guidebook for Local Government Units on Formulating the Local Energy Efficiency and Conservation Plan (LEECP)** by the Department of Energy (DOE) ([https://www.doe.gov.ph/](https://www.doe.gov.ph/))
* **Identify Local Context:** Analyze your LGU's energy consumption patterns in buildings, streetlights, and public facilities. 
* **Prioritize Measures:**  Consider cost-effectiveness, environmental impact, and feasibility of implementation. Examples include:
    * Promoting energy-efficient appliances and lighting in government buildings.
    * Implementing "Green Building" codes for new constructions.
    * Public awareness campaigns to encourage energy-saving practices in households.
    * Investing in renewable energy sources like solar panels for government facilities.
**2. Develop a Local Energy Efficiency and Conservation Plan (LEECP):**
* This plan outlines your LGU's specific energy conservation goals and strategies. 
* The DOE's Guidebook provides a framework for formulating an LEECP.
* Involve stakeholders like government agencies, businesses, and civil society organizations in the planning process.
**3. Legal Framework for Policy Enactment:**
* **Ordinances:**  These are the primary legal instruments for your LGU to enact energy conservation measures. 
    *  **Mandatory Measures:** Ordinances can mandate specific actions, like requiring energy-efficient appliances in government buildings.
    *  **Incentive-based Measures:**  Offer tax breaks or rebates for residents and businesses who adopt energy-saving practices.
* **Resolutions:**  These can express the LGU's policy direction on energy conservation without being legally binding.
**4. Enactment Process:**
* **Draft the Ordinance/Resolution:** Your legal team will draft the document outlining the specific measures and enforcement mechanisms.
* **Public Consultations:** Conduct public hearings to receive feedback on the proposed ordinance/resolution from stakeholders. 
* **LGU Sanggunian Approval:**  Present the ordinance/resolution to the Sangguniang Bayan/Panlungsod for deliberation and approval.
* **Publication of the Ordinance:**  Once approved, publish the ordinance in a local newspaper or website for public awareness.
**5. Implementation and Monitoring:**
* Establish an LGU unit or task force responsible for implementing the energy conservation plan.
* Develop a monitoring and evaluation system to track progress and identify areas for improvement.
* Conduct regular information campaigns to educate the public about the importance of energy conservation.
**Additional Considerations:**
* **Funding:** Explore potential funding sources like national government grants or public-private partnerships (PPPs).
* **Enforcement:**  Clearly define penalties for violations of the energy conservation measures.
* **Capacity Building:** Train LGU personnel on implementing the plan and enforcing the regulations.
By following these steps and working collaboratively with stakeholders, your LGU can create and enact effective energy conservation policies for a more sustainable future.
</t>
  </si>
  <si>
    <t>A foreign investor wants to establish a solar energy farm in a rural area. What legal requirements and permits are necessary for the project to proceed?</t>
  </si>
  <si>
    <t xml:space="preserve">Here's a breakdown of the legal requirements and permits a foreign investor needs to secure for a solar energy farm in a rural area of the Philippines:
**1. Business Registration:**
* The investor needs to register their business entity with the Securities and Exchange Commission (SEC) or register a branch office if the company already exists overseas.
* This process involves submitting necessary documents and paying registration fees.
**2. Foreign Investment Regulations:**
* The Board of Investments (BOI) oversees foreign investments in the Philippines. 
* The investor might need to register with the BOI depending on the project size and scope. This may involve additional requirements and incentives depending on the BOI registration category.
**3. Land Acquisition:**
* The foreign investor cannot directly own land in the Philippines. 
* Options include:
    * **Long-term Lease Agreements:** Entering lease agreements with landowners for the project site. Ensure compliance with land use regulations and secure necessary permits from the local government unit (LGU).
    * **Joint Venture Agreements:** Partnering with a Filipino company that can own the land. This requires careful negotiation and legal agreements.
**4. Permits and Licenses:**
* **Department of Energy (DOE):**
    * Secure a Renewable Energy (RE) Permit from the DOE. This allows the project to connect to the national grid or operate off-grid.
    * Depending on project size, additional permits from the DOE might be necessary, such as a Generation License or a Wholesale Electricity Supplier (WES) License.
* **Local Government Unit (LGU):**
    * Obtain permits from the LGU where the project will be located. These might include:
        * Zoning Permit - ensuring the project complies with land use zoning regulations.
        * Building Permit - for construction of any buildings or support structures.
        * Environmental Compliance Certificate (ECC) - from the Department of Environment and Natural Resources (DENR) through the LGU. This assesses the project's environmental impact.
    * Additional permits from the LGU may be required depending on specific local regulations.
**5. Other Considerations:**
* **Taxation:**  Foreign companies are subject to Philippine corporate income tax. There might be tax incentives for renewable energy projects depending on BOI registration or other government programs.
* **Community Relations:** Engage with the local community and address any concerns they might have regarding the project. Transparency and social responsibility initiatives can foster positive relationships.
**Consulting with a qualified lawyer specializing in foreign investment and renewable energy projects in the Philippines is highly recommended.**  They can guide the investor through the specific legal requirements and application processes, ensuring a smooth and compliant project development. </t>
  </si>
  <si>
    <t>Suppose a company claims to have developed a groundbreaking energy-saving technology. What legal protections can they seek to safeguard their intellectual property rights?</t>
  </si>
  <si>
    <t xml:space="preserve">The Philippines offers a few legal avenues for a company with a groundbreaking energy-saving technology to protect their intellectual property (IP):
**1. Patents:**
* Patents grant the owner exclusive rights to prevent others from making, using, selling, offering to sell, or importing your invention for a limited period (typically 20 years). 
* The Philippine Intellectual Property Office (IPO) administers the patent system. 
*  To qualify for a patent, your invention must be:
    * New - not publicly known or disclosed before filing the patent application.
    * Inventive - not obvious to someone skilled in the relevant field.
    * Industrially Applicable - capable of being produced or used in industry.
**2. Utility Models:**
* Utility models offer a faster and less expensive way to protect inventions with a lower inventive step compared to patents. 
* The protection period for utility models is typically 10 years.
* This option might be suitable for minor improvements or modifications to existing technologies.
**3. Industrial Designs:**
* If your energy-saving technology has a unique visual appearance, you can consider an industrial design registration. 
* This protects the ornamental or aesthetic aspects of a product, not its functionality.
**4. Trade Secrets:**
* Trade secrets are confidential information that gives your company a competitive advantage. 
*  To qualify as a trade secret, the information must be:
    * Commercially valuable because it is not generally known or readily ascertainable.
    * Subject to reasonable efforts to maintain its secrecy.
**Here's a breakdown of the pros and cons of each option to consider:**
| Protection Mechanism | Pros | Cons |
|---|---|---|
| Patents | Strongest protection, lasts for 20 years | Expensive to obtain and enforce, lengthy application process |
| Utility Models | Faster and cheaper than patents | Weaker protection, shorter duration (10 years) |
| Industrial Designs | Protects unique visual appearance | Doesn't protect the technology's functionality |
| Trade Secrets | No registration fees, perpetual protection if secrecy maintained | Difficult to enforce if information is leaked |
**Additional Considerations:**
*  **The Philippine IPO website ([https://www.ipophil.gov.ph/](https://www.ipophil.gov.ph/))**  provides resources and information on the application process for each type of IP protection.
*  **Consulting a patent attorney** is crucial. They can advise on the best course of action for your specific technology and ensure your application meets the legal requirements.
*  **Consider international protection:** If you plan to market your technology globally, you might need to file patent applications in other countries.
By understanding these legal options and seeking professional guidance, the company can secure the appropriate protection for their groundbreaking energy-saving technology. </t>
  </si>
  <si>
    <t>Imagine a situation where a renewable energy company is facing financial difficulties. What legal options are available to restructure its operations and debts?</t>
  </si>
  <si>
    <t>The Philippines offers a legal framework for companies facing financial difficulties to restructure their operations and debts. Here are some options a renewable energy company in financial trouble can explore:
**1. Negotiation and Workouts:**
* This is the most common approach. The company negotiates directly with its creditors, like banks or lenders, to reach an agreement on restructuring debt. 
* This might involve:
    * Extending repayment periods.
    * Reducing interest rates.
    * Converting debt into equity (creditors become partial owners).
    * Combining these options for a comprehensive restructuring plan.
**2. Pre-Negotiation Conference with the Department of Trade and Industry (DTI):**
* The DTI can facilitate a pre-negotiation conference between the company and its creditors. 
*  This can be a helpful initial step to explore options and find common ground before formal proceedings.
**3. Corporate Rehabilitation:**
* If negotiations fail, the company can file a petition for corporate rehabilitation with the courts. 
* This process allows the company to continue operating under court supervision while it develops a rehabilitation plan to settle its debts. 
* The plan might include:
    * Asset sales to generate funds for creditors.
    * New investment to revitalize the company.
    * Debt forgiveness or restructuring.
**4. Receivership or Insolvency Proceedings:**
* As a last resort, the company or its creditors can file for receivership or insolvency proceedings. 
* The court appoints a receiver to manage the company's assets and distribute them to creditors according to a priority scheme. 
* This option typically results in the company ceasing operations.
**Here are some additional factors to consider for the renewable energy company:**
* **Government Assistance Programs:** The government might offer programs or incentives to support financially troubled renewable energy companies. It's advisable to research any relevant programs from the Department of Energy (DOE) or other government agencies.
* **Impact on Investors and Stakeholders:**  The company should carefully consider the impact of restructuring options on investors, employees, and other stakeholders. Transparency and clear communication are crucial throughout the process.
* **Legal Counsel:** Consulting with a lawyer specializing in corporate restructuring and insolvency is vital. They can advise on the most suitable legal option, navigate the legal process, and protect the company's interests.
By exploring these options and seeking professional guidance, the renewable energy company can potentially overcome its financial difficulties, restructure its operations, and achieve a sustainable future.</t>
  </si>
  <si>
    <t>You are representing a group of consumers who believe they are being overcharged for electricity. What legal recourse do they have against the utility company?</t>
  </si>
  <si>
    <t>Here are some legal options your group of consumers can explore if you believe you're being overcharged for electricity in the Philippines:
**1. Complaint with the Distribution Utility (DU):**
* The first step is to file a formal complaint with the customer service department of your specific distribution utility (DU). 
* Clearly outline your concern about the overbilling and provide any supporting evidence, such as copies of your electricity bills.
* The DU is obligated to investigate your complaint and respond within a specific timeframe (typically 30 days).
**2. Mediation with the Department of Energy (DOE):**
* If the DU's response is unsatisfactory, you can request mediation with the DOE's Consumer Affairs Service (CAS). 
* Mediation is a free and confidential process where a neutral third party helps both parties reach a mutually agreeable solution.
**3. Complaint with the Energy Regulatory Commission (ERC):**
*  If mediation fails, you can file a formal complaint with the Energy Regulatory Commission (ERC). 
*  The ERC is an independent regulatory body that oversees electricity pricing and consumer rights in the power sector.  
*  Your complaint should detail the overbilling issue and explain why the DU's response or the mediation process was unsuccessful.  
*  There are associated filing fees for complaints with the ERC.
**4. Legal Action:**
* As a last resort, your group can consider filing a lawsuit against the DU in court. 
* This is a complex and expensive option, so it's advisable to consult with a lawyer specializing in consumer rights and energy law to assess the feasibility and potential costs involved.
**Here are some additional tips for your group:**
* **Gather Evidence:**  Maintain copies of your electricity bills, communication records with the DU, and any other relevant documentation to support your claim.
* **Organize as a Group:**  Filing a complaint collectively can give your group a stronger voice and potentially lead to a faster resolution.  
* **Consumer Rights Groups:** Consumer rights groups or NGOs may be able to provide guidance and support in navigating the complaint process. 
* **Legal Consultation:** Consulting a lawyer specializing in energy law can be beneficial, especially for navigating complex legal procedures or considering a lawsuit.
By following these steps and working together, your group of consumers can take legal action to address the overbilling issue and ensure fair electricity pricing.</t>
  </si>
  <si>
    <t>A dispute arises between two neighboring landowners regarding the installation of wind turbines near their properties. How can this dispute be resolved legally?</t>
  </si>
  <si>
    <t xml:space="preserve">Here are some legal avenues for resolving a dispute between neighboring landowners regarding wind turbine installation in the Philippines:
**1. Negotiation and Amicable Settlement:**
* This is often the preferred and most cost-effective approach. 
* The landowners can attempt direct negotiation to reach a compromise. This could involve:
    * Modifying the placement of the wind turbines to minimize impact on the neighboring property.
    * Offering financial compensation to the neighboring landowner for any potential decrease in property value or other concerns.
    * Exploring joint benefits, such as sharing some of the generated electricity with the neighbor.
**2. Mediation:**
* If negotiations fail, mediation can be a good option. 
*  A neutral third party, like a lawyer or a representative from the Department of Justice (DOJ), facilitates a discussion to help both parties reach a mutually agreeable solution.  
* Mediation is generally faster and less expensive than litigation.
**3. Barangay Justice System (Katarungang Pambarangay):**
* The Philippines has a Barangay Justice System for settling minor disputes at the community level. 
* If the wind turbine project is relatively small and the disagreement is localized, the Barangay Captain can attempt to mediate a resolution. 
**4. Litigation:**
* If all other options fail, either landowner can file a lawsuit in court. 
* This is the most adversarial and expensive option, and it can take a significant amount of time to resolve. 
* The lawsuit might focus on claims of:
    * Nuisance -  if the wind turbines create excessive noise, vibrations, or visual obstruction. 
    * Trespass - if the wind turbines or their construction activities encroach on the neighboring property.
    * Negligence -  if the placement or construction of the wind turbines poses a safety hazard.  
**Here are some additional factors to consider:**
* **Land Use Regulations:** Zoning regulations and permits related to wind turbine installations might play a role in the dispute. 
* **Environmental Impact Assessment (EIA):**  The wind turbine project's EIA report should be reviewed to assess potential impacts on the neighboring property.
* **Expert Opinions:**  Consulting with engineers or environmental experts can provide evidence to support each landowner's case.
* **Legal Counsel:**  Having a lawyer experienced in property disputes and environmental law is highly recommended for both parties. They can advise on the most suitable legal approach and represent their client's interests effectively.
By exploring these options and seeking professional guidance, the landowners can increase their chances of resolving the wind turbine dispute fairly and efficiently. </t>
  </si>
  <si>
    <t>Suppose a government agency is accused of corruption in awarding contracts for energy projects. What legal mechanisms can be employed to investigate and prosecute the perpetrators?</t>
  </si>
  <si>
    <t xml:space="preserve">The Philippines has several legal mechanisms to investigate and prosecute corruption in awarding contracts for energy projects. Here's a breakdown of the options:
**1. The Ombudsman:**
* The Office of the Ombudsman is an independent constitutional body with jurisdiction over public officers and employees. 
*  They can investigate allegations of graft and corruption, including bid-rigging and other malpractices in awarding government contracts.
*  Filipino citizens can file a formal complaint with the Ombudsman detailing the allegations and any supporting evidence.
**2. Commission on Audit (COA):**
* The COA is the government's primary auditing body. 
*  They can conduct audits of government agencies, including procurement processes, to identify irregularities or potential corruption.
*  COA can issue audit reports with recommendations for corrective action or the filing of criminal charges with the proper authorities.
**3. Sandiganbayan:**
* The Sandiganbayan is a special anti-graft court with jurisdiction over criminal cases against government officials accused of violations like bribery, malversation of public funds, and other corruption offenses.
*  The Ombudsman or other investigative bodies can file criminal charges with the Sandiganbayan based on their findings.
**4. Whistleblower Protection:**
* The Philippines has a Whistleblower Protection Program. 
* This program encourages individuals with knowledge of government corruption to come forward and report it without fear of retaliation.
*  Whistleblowers can report anonymously to various agencies, including the Office of the Ombudsman or the COA.
**5. Civil Society Organizations (CSOs):**
*  CSOs can play a crucial role in investigating and exposing corruption. 
* They can conduct independent research, gather evidence, and advocate for transparency and accountability in government procurement processes.
*  CSOs can work with investigative bodies and the media to bring attention to corruption cases. 
**Additional Considerations:**
* **Gathering Evidence:** Strong evidence is crucial for a successful investigation and prosecution. This might include documents, witness testimonies, and electronic records.
* **Legal Counsel:**  Consulting with a lawyer specializing in anti-corruption law can be beneficial, especially for whistleblowers or those filing formal complaints.
* **Media Attention:**  Public awareness through media reports can put pressure on authorities to take action and ensure a fair investigation.
By utilizing these legal mechanisms and fostering a culture of transparency and accountability, the Philippines aims to deter corruption and ensure fair and transparent awarding of contracts for energy projects.
</t>
  </si>
  <si>
    <t>You are advising a multinational corporation interested in investing in Philippine renewable energy projects. What legal risks should they consider, and how can they mitigate them?</t>
  </si>
  <si>
    <t xml:space="preserve">## Legal Risks for Multinational Corporations in Philippine Renewable Energy Projects
The Philippines offers a promising market for renewable energy, but there are legal risks to consider. Here's a breakdown of some key areas and how to mitigate them:
**1. Regulatory Uncertainty:**
* **Risk:** Frequent changes or delays in regulations impacting project timelines and costs. 
* **Philippine Constitution:** Article XVIII, Section 20 guarantees the State's right to regulate the exploration, development, and utilization of natural resources. However, it also emphasizes ecological balance and sustainable development (Section 16). 
* **Relevant RAs:** The Renewable Energy Act (RA 6969) establishes the framework for renewable energy development. However, implementing rules and regulations can be subject to change. 
* **Mitigation:**
    * Conduct thorough due diligence on existing regulations and policies.
    * Monitor regulatory developments and engage with relevant government agencies.
    * Structure agreements with flexibility to adapt to future regulatory changes (within legal boundaries).
**2. Land Acquisition and Permitting:**
* **Risk:** Delays and difficulties in acquiring land rights and obtaining necessary permits.
* **Philippine Constitution:** Article XII protects the right to own property. However, the State can regulate land ownership and use for the common good (Section 6). 
* **Relevant RAs:** The Local Government Code (RA 7160) empowers local government units (LGUs) to regulate land use within their jurisdiction. 
* **Mitigation:**
    * Partner with experienced local developers to navigate land acquisition processes.
    * Secure permits early in the project development stage.
    * Consider alternative project locations with less complex land ownership structures. 
**3. Currency Fluctuation and Force Majeure Events:**
* **Risk:** Fluctuations in the Philippine Peso (PHP) can impact project profitability. Natural disasters or political instability can disrupt operations.
* **Philippine Constitution:** The State shall promote the preferential right of Filipino citizens in the national economy and the balanced distribution of ownership (Article XII, Section 14). However, foreign investments are also welcome. 
* **Relevant RAs:** The Foreign Investments Act (RA 7042) guarantees fair treatment for foreign investors. 
* **Mitigation:**
    * Utilize financial instruments to hedge against currency fluctuations.
    * Include clear force majeure clauses in project contracts outlining rights and obligations in case of unforeseen events.
    * Consider obtaining appropriate insurance coverage for project risks.
**4. Grid Integration and Transmission Challenges:**
* **Risk:**  Limited capacity or inefficiencies in the power grid can hinder project viability.
* **Philippine Constitution:** The State shall ensure the participation of the private sector in providing essential public services (Article XII, Section 17). 
* **Relevant RAs:** The Electric Power Industry Reform Act (EPIRA) (RA 9136) mandates open access to the transmission grid. However, grid limitations can still exist.  
* **Mitigation:**
    * Evaluate grid capacity in the target project location.
    * Explore options for on-site energy storage or alternative transmission lines (subject to regulatory approval).
    * Engage with relevant stakeholders like the Department of Energy (DOE) and grid operators to understand grid development plans.
**5. Community Relations and Indigenous Peoples' Rights:**
* **Risk:**  Social conflict with local communities or issues related to indigenous peoples' ancestral domain claims can delay or halt projects.
* **Philippine Constitution:** Article II, Section 19 recognizes the right of the people to a balanced and healthy ecology. Article XIV, Section 17 upholds the rights and welfare of indigenous cultural communities. 
* **Relevant RAs:** The Indigenous Peoples' Rights Act (IPRA) (RA 8371) guarantees the ancestral land rights of indigenous communities. 
* **Mitigation:**
    * Conduct social impact assessments and develop community engagement plans.
    * Respect indigenous peoples' right to free and prior informed consent (FPIC) as mandated by IPRA.
    * Partner with local communities for project benefits and ensure sustainable development practices. 
Remember, this is not an exhaustive list, and seeking professional legal advice specific to your project is highly recommended. </t>
  </si>
  <si>
    <t>Imagine a scenario where a renewable energy company is accused of causing environmental damage during the construction of a hydroelectric dam. What legal liabilities do they face?</t>
  </si>
  <si>
    <t xml:space="preserve">## Legal Liabilities for Environmental Damage from Hydroelectric Dam Construction
If a renewable energy company is accused of causing environmental damage during a hydroelectric dam project in the Philippines, they could face legal liabilities under several laws:
**1. Philippine Constitution:**
* **Article II, Section 16:** Guarantees the right to a balanced and healthy ecology. The company could be held liable for violating this right if their actions caused significant and lasting ecological damage.
* **Article XVIII, Section 20:** The State has the right to regulate the exploration, development, and utilization of natural resources. The company could be liable for breaching any environmental regulations or permits issued for the project.
**2. Relevant Republic Acts (RAs):**
* **Environmental Impact Assessment System Act (EIA Law) (RA 1658):** This law mandates environmental impact assessments (EIAs) for projects with potentially significant environmental impact. The company could be liable if they failed to comply with the EIA process or if their actions deviated from the approved EIA plan.
* **The Clean Water Act (RA 3977):**  Prohibits the discharge of pollutants into Philippine waters. The company could be liable if construction activities polluted rivers or waterways.
* **The Philippine Forestry Code (RA 7161):** Regulates the use and protection of forest lands. The company could be liable if construction activities caused deforestation or damage to protected forest areas.
* **The Fisheries Code (RA 8550):** Aims to conserve and protect fishery and aquatic resources. The company could be liable if dam construction disrupted fish migration patterns or harmed aquatic ecosystems.
**3. Other Potential Liabilities:**
* **Civil Law:**  Affected individuals or communities may file civil lawsuits seeking compensation for damages to their property, livelihood, or health caused by the environmental damage.
* **Criminal Law:**  Depending on the severity of the environmental damage, the company or its representatives could face criminal charges under environmental laws.
**Important Considerations:**
* The specific liabilities will depend on the nature and extent of the environmental damage caused.
* The government agencies responsible for environmental protection, such as the Department of Environment and Natural Resources (DENR), may conduct investigations and impose administrative sanctions.
* The company may face public pressure and reputational damage due to the accusations.
**Recommendations:**
* The company should cooperate with any investigations by government agencies.
* They should retain qualified legal counsel to advise them on their legal liabilities and potential defenses.
* Engaging with affected communities and demonstrating a commitment to environmental responsibility can help mitigate damages and rebuild trust.
</t>
  </si>
  <si>
    <t>A group of environmental activists plans to challenge the government's approval of a coal-fired power plant. What legal avenues can they pursue to halt the project?</t>
  </si>
  <si>
    <t xml:space="preserve">Here are some legal avenues environmental activists can pursue in the Philippines to challenge the government's approval of a coal-fired power plant:
**1. Petition for Certiorari under Rule 65 of the Rules of Court:**
* This challenges the legality of the government agency's decision approving the project. Activists can argue that the approval process violated procedural requirements or that the agency failed to consider relevant environmental laws. 
**2. Mandamus Petition under Rule 60 of the Rules of Court:**
* This compels a government agency to perform a legal duty, such as conducting a proper environmental impact assessment (EIA) as mandated by the **Environmental Impact Assessment System Act (EIA Law) (RA 1658)**.
**3. Prohibition Petition under Rule 60 of the Rules of Court:**
* This seeks to prevent an imminent illegal act, such as the construction of the power plant if it can be proven to violate environmental laws or endanger public health.
**4. Procedural Challenges Based on the Philippine Constitution:**
* Activists can argue that the project approval violated the right to a balanced and healthy ecology enshrined in **Article II, Section 16** of the Constitution.
**Supporting their Case:**
* Activists can strengthen their case by:
    *  Providing evidence of potential environmental damage from the coal-fired plant.
    *  Highlighting procedural flaws in the approval process.
    *  Demonstrating the lack of proper public consultation required by law.
**Additional Considerations:**
* Legal challenges can be expensive and time-consuming. Consulting with a lawyer experienced in environmental law is crucial.
* Activists can also explore non-legal avenues like public awareness campaigns and engaging with policymakers to pressure them to reconsider the project.
Remember, these are just some potential legal avenues. The most effective strategy will depend on the specific details of the project approval and the resources available to the activists.
</t>
  </si>
  <si>
    <t>You are representing a community affected by the construction of a nuclear power plant. What legal strategies can be employed to demand compensation and relocation assistance?</t>
  </si>
  <si>
    <t xml:space="preserve">Here are some legal strategies your community can explore to demand compensation and relocation assistance due to the construction of a nuclear power plant:
**1. Negotiation:**
* This is often the preferred first step. Approach the government agency responsible for the project and the company building the plant. Negotiate a fair compensation package that considers:
    * Loss of property value due to proximity to the plant.
    * Loss of livelihood if traditional activities are impacted by construction or safety concerns.
    * Relocation costs if necessary.
    *  Potential health risks and long-term environmental concerns.
**2. Legal Challenges based on Republic Acts (RAs):**
* **Philippine Constitution:**  Article II, Section 16 guarantees the right to a balanced and healthy ecology. You can argue that the plant poses a risk to the community's health and environment.
* **The Philippine Nuclear Regulations Act (RA 5207):** This law regulates the construction and operation of nuclear power plants. You can challenge the project if it fails to comply with safety regulations or if the community was not properly informed about potential risks.
* **The Land Acquisition and Resettlement Act (RA 7161):**  This law mandates fair compensation and relocation assistance for those displaced by infrastructure projects. You can argue that the nuclear plant construction qualifies as a displacement project. 
**3. Legal Challenges based on Procedural Issues:**
* **Environmental Impact Assessment System Act (EIA Law) (RA 1658):** You can argue that the EIA process was flawed, failing to adequately assess the project's impact on the community or not involving proper public consultation.
**4. Civil Lawsuit:**
* If negotiations fail and the community suffers demonstrable harm (property damage, health issues, etc.), you can file a civil lawsuit against the government agency or the company for:
    * Just compensation for damages.
    * Injunction to halt construction if safety concerns are paramount.
**Additional Considerations:**
* Legal representation:  Seek legal counsel experienced in environmental law and community rights to navigate the legal process effectively.
* Evidence gathering: Document any negative impacts on the community, property values, or livelihoods.
* Community mobilization:  Building a strong, united community voice will increase your leverage in negotiations and garner public support. 
**Remember:** Legal battles can be lengthy and expensive. Weigh the costs and potential benefits before pursuing legal action. Consider exploring alternative dispute resolution processes with the government and company if available.
</t>
  </si>
  <si>
    <t>Suppose a company operating a geothermal energy plant is accused of violating worker safety regulations. What legal actions can be taken by the affected employees?</t>
  </si>
  <si>
    <t>Here are some legal actions affected employees can take if a geothermal energy plant in the Philippines is accused of violating worker safety regulations:
**1. File a Complaint with the Department of Labor and Employment (DOLE):**
* DOLE is the primary government agency responsible for enforcing occupational safety and health standards.  Employees can file a complaint with their nearest DOLE regional office. The complaint should detail the specific safety violations and any injuries or illnesses suffered due to these violations.
* DOLE will investigate the complaint and may issue an order requiring the company to rectify the violations and potentially impose fines.
**2. Pursue Philippine Social Security System (SSS) Benefits:**
* If a worker is injured or becomes ill due to a work-related safety violation, they may be eligible for SSS benefits such as:
    * Sickness or Injury Benefits
    * Permanent Total Disability Benefits
    * PhilHealth benefits (through SSS) to cover medical expenses
**3. File a Case with the National Labor Relations Commission (NLRC):**
* If the company retaliates against an employee for filing a safety complaint or if they believe they were wrongfully terminated due to safety concerns, they can file an illegal dismissal case with the NLRC. The NLRC will determine if the dismissal was valid and may order reinstatement with back wages. 
**4. Civil Lawsuit:**
* As a last resort, employees can file a civil lawsuit against the company seeking compensation for damages, including:
    * Medical expenses
    * Lost wages
    * Pain and suffering
**Important Considerations:**
* **Evidence:**  Employees should gather evidence to support their claims, such as witness statements, medical records, and documentation of the safety violations.
* **Legal Representation:**  Consulting a lawyer experienced in labor law can be beneficial, especially for navigating complex cases or filing lawsuits.
* **Labor Unions:**  If the company has a recognized labor union, it can represent the employees in negotiations with the company and potentially during legal proceedings.
**Philippine Laws and Regulations:**
Several Philippine laws and regulations govern worker safety in geothermal plants, including:
* **Occupational Safety and Health Standards (OSHS) for the Geothermal Industry (DOLE Department Order No. 164, Series of 2013):** This Department Order outlines specific safety requirements for geothermal facilities.
* **Labor Code of the Philippines (RA 4444):**  This law guarantees workers' right to safe and healthy working conditions.
By pursuing these legal actions, employees can hold the company accountable for safety violations and ensure a safer work environment for themselves and their colleagues.</t>
  </si>
  <si>
    <t>A government agency is proposing to auction off mining rights in an area with potential for renewable energy development. What legal arguments can be made against this decision?</t>
  </si>
  <si>
    <t xml:space="preserve">Here are some legal arguments against auctioning off mining rights in an area with potential for renewable energy development:
**1. Prioritization of Sustainable Development (Philippine Constitution):**
*  **Article II, Section 16:**  This section guarantees the right to a balanced and healthy ecology. You can argue that mining poses a greater environmental threat compared to renewable energy development, violating this right. 
*  **Article XII, Section 1:** The State shall conserve and protect its natural resources. Granting mining rights could lead to irreversible environmental damage, contradicting this mandate.
**2.  Conflict with Existing Laws and Policies (Republic Acts):**
*  **The Renewable Energy Act (RA 6969):**  This law promotes the development and utilization of renewable energy sources. Granting mining rights could hinder renewable energy development in that area.
*  **The Ecological Solid Waste Management Act (RA 9003):**  This law aims to minimize waste generation and promote environmentally sound practices. Mining activities often create significant waste and pollution.
**3. Failure to Conduct Proper Environmental Assessment:**
* **The Environmental Impact Assessment System Act (EIA Law) (RA 1658):** This law mandates EIAs  for projects with potentially significant environmental impacts. 
   * You can argue that the government should prioritize an EIA for renewable energy development before considering mining. 
   *  If an EIA was conducted, you can challenge its adequacy if it did not properly consider the potential environmental impact of mining compared to renewable energy. 
**4.  Right to Public Participation (Local Government Code &amp; RA 1658):**
* **Local Government Code (RA 7160):**  This law empowers local government units (LGUs) to  participate in the planning and development of their areas. An argument can be made that the LGU should be consulted and their development plans considered before deciding on mining rights.
* **The EIA Law (RA 1658):** This law mandates public participation in the EIA process. You can argue that the public was not adequately informed or consulted about the potential impacts of mining and the benefits of renewable energy development.
**5. Public Interest and Intergenerational Equity:**
*  Renewable energy promotes a sustainable future while minimizing environmental damage. Mining may benefit the short-term economy but can have long-term negative consequences for future generations. You can argue that prioritizing renewable energy development aligns better with the public interest and intergenerational equity principles.
**Additional Considerations:**
* **Gather evidence:**  Supporting your arguments with data on the potential for renewable energy and the environmental risks of mining strengthens your case.
* **Community mobilization:**  Involving the affected community and environmental groups can build public pressure and support for renewable energy development.
* **Explore alternative legal avenues:**  Depending on the specific circumstances, legal challenges based on procedural flaws in the decision-making process or violations of indigenous peoples' rights (if applicable) may be additional options.
By presenting these legal arguments and mobilizing community support, you can advocate for a more sustainable approach to developing the area's resources by prioritizing renewable energy over mining. </t>
  </si>
  <si>
    <t>Imagine a situation where a renewable energy project is delayed due to bureaucratic red tape. What legal measures can be taken to expedite the approval process?</t>
  </si>
  <si>
    <t xml:space="preserve">Bureaucratic red tape can significantly delay renewable energy projects in the Philippines. Here are some legal measures you can consider to expedite the approval process:
**1. Negotiate with Government Agencies:**
*  **Open Communication:**  Proactively engage with the relevant government agencies responsible for issuing permits. Clearly communicate project details, potential benefits, and your commitment to following regulations.
* **Identify Bottlenecks:**  Work with the agencies to pinpoint the specific reasons for the delay. Is it missing paperwork, additional information required, or internal procedural holdups?
**2. Utilize Legal Provisions for Expedited Processing:**
* **The Ease of Doing Business Act (RA 11032):** This law mandates government agencies to streamline business permit and licensing procedures. You can reference this law and request the application of its provisions for faster processing of your renewable energy project's permits.
* **Anti-Red Tape Act (ARTA) (RA 8750):** This law sets a timeframe for government agencies to respond to permit applications. If agencies exceed the designated timeframe without justification, you can invoke ARTA to expedite the process.
**3. Explore Alternative Dispute Resolution (ADR):**
* **The Philippine Dispute Resolution Center (PDRC):** The PDRC offers mediation and conciliation services to resolve disputes between government agencies and private entities. This can be a faster and less adversarial approach compared to litigation.
**4. Legal Action as a Last Resort:**
* **Mandamus Petition under Rule 60 of the Rules of Court:**  If negotiations fail and you have proof that an agency is unreasonably delaying the process without legal basis, a mandamus petition can compel the agency to perform its legal duty, such as issuing a permit within a reasonable timeframe. However, litigation can be expensive and time-consuming.
**Additional Tips:**
* **Seek Legal Counsel:**  Consulting a lawyer experienced in environmental and business law can be beneficial. They can advise you on the most appropriate legal measures based on the specific circumstances of your project's delay.
* **Maintain Complete Documentation:**  Ensure all required permits and paperwork are properly submitted and complete to avoid delays due to missing information.
Remember, pursuing legal action should be a last resort.  Open communication, utilizing existing legal provisions for faster processing, and exploring ADR can often yield better results and expedite the approval process  for your renewable energy project.
</t>
  </si>
  <si>
    <t>You are advising a non-profit organization advocating for energy access in remote areas. What legal strategies can they use to lobby for government support and funding?</t>
  </si>
  <si>
    <t xml:space="preserve">Here are some legal strategies your non-profit organization can employ to lobby for government support and funding for bringing energy access to remote areas in the Philippines:
**1. Leverage Existing Legal Frameworks:**
* **The Renewable Energy Act (RA 6969):** This law  prioritizes expanding access to clean energy sources. You can advocate for the government to utilize existing programs and funding mechanisms established under this law to specifically target remote areas. 
* **The Electric Power Industry Reform Act (EPIRA) (RA 9136):** This law mandates the creation of a Universal Charge (UC) for electricity consumers. Part of the UC funds are allocated for electrification projects in remote areas. You can lobby for a fairer allocation of UC funds to prioritize remote areas with limited access to electricity.
**2. Highlight Constitutional Rights:**
* **Article II, Section 16:** The Constitution guarantees the right to a balanced and healthy ecology.  You can argue that limited access to clean energy in remote areas hinders a healthy and sustainable environment.
* **Article XIII, Section 2:** This section mandates the State to promote a more equitable distribution of opportunities, benefits, and burdens. You can argue that energy access is essential for economic development and social equity, and the government has a responsibility to bridge the gap for remote communities. 
**3. Public Advocacy and Legal Education:**
* **Raise awareness:** Organize public awareness campaigns to highlight the plight of communities without energy access and the benefits of renewable energy solutions.
* **Engage communities:**  Work with communities in remote areas to understand their specific needs and challenges regarding energy access.  Empower them to advocate for themselves.
* **Legal education workshops:**  Educate communities about existing laws and regulations that support renewable energy development and access. 
**4. Engage with Government Stakeholders:**
* **Lobbying:** Meet with relevant government agencies like the Department of Energy (DOE) and legislators to present your case for increased support for remote area electrification projects. 
* **Participate in Public Consultations:** The DOE and other agencies hold public consultations on energy policies and programs.  Actively participate in these consultations to voice your concerns and propose solutions  focused on  remote area energy access.
* **Partnerships:** Collaborate with government agencies, local government units (LGUs), and private companies to  develop sustainable and cost-effective solutions for providing energy access in remote areas. 
**5. Legal Action as a Last Resort:**
* While not the preferred approach, in cases of extreme government inaction,  consider filing a petition for mandamus under Rule 60 of the Rules of Court.  This compels a government agency to perform their legal duty, such as implementing programs to expand energy access as mandated by existing laws.  However, litigation can be expensive and time-consuming.
By employing these legal strategies, your non-profit can effectively advocate for government support and funding to bring energy access to remote areas in the Philippines. Remember, building strong partnerships, raising public awareness, and utilizing  existing legal frameworks offer a more sustainable and collaborative approach to achieving your goals. </t>
  </si>
  <si>
    <t>A company specializing in energy storage technology believes their patents are being infringed upon by a competitor. What legal actions can they take to protect their intellectual property rights?</t>
  </si>
  <si>
    <t xml:space="preserve">The company specializing in energy storage technology can take several legal actions to protect their intellectual property rights in the Philippines if they believe a competitor is infringing upon their patents:
**1. Gather Evidence:** 
* The first step is to gather evidence to support the infringement claim. This may include:
    * Copies of the company's patents. 
    * Evidence of the competitor's product or technology that allegedly infringes upon the patents (e.g., product manuals, marketing materials).
    * Expert opinions on the technical similarities between the patented technology and the competitor's product.
**2. Cease and Desist Letter:**
* Before initiating litigation, the company can send a cease and desist letter to the competitor. This letter outlines the alleged infringement, demands that the competitor stop using the patented technology, and may propose potential solutions like licensing agreements. 
**3. File a Patent Infringement Lawsuit:**
* If the cease and desist letter is unsuccessful, the company can file a patent infringement lawsuit in the Intellectual Property Rights Office (IPOPHL) of the Philippines. The lawsuit will outline the specific claims of infringement and seek remedies such as:
    * Injunction to prevent further infringement.
    * Monetary damages to compensate for lost profits due to the infringement.
    * Impoundment or destruction of infringing products.
**4. Alternative Dispute Resolution (ADR):**
*  IPOPHL offers mediation and arbitration services for patent infringement disputes.  This can be a faster and less expensive way to resolve the issue compared to litigation. 
**Important Considerations:**
* **Legal Representation:**  Consulting a lawyer experienced in intellectual property law is crucial. They can advise on the most appropriate course of action, gather evidence, and represent the company in court or during ADR proceedings.
* **Strength of the Patent:**  The strength of the company's patent and the clarity of the infringement will significantly impact the success of the case.
* **Cost-Benefit Analysis:**  Patent infringement lawsuits can be costly and time-consuming. Weigh the potential benefits (stopping infringement, damages) against the costs (legal fees, potential loss in case) before proceeding.
By taking these legal actions and seeking professional legal advice, the company specializing in energy storage technology can effectively protect their intellectual property rights in the Philippines. Remember, pursuing litigation  should be a well-considered decision based on the evidence and potential outcomes. </t>
  </si>
  <si>
    <t>Suppose a utility company is accused of discriminating against customers based on their energy usage patterns. What legal protections are available to the affected consumers?</t>
  </si>
  <si>
    <t xml:space="preserve">Here are some legal protections available to consumers in the Philippines who are accused of being discriminated against by a utility company based on their energy usage patterns:
**Philippine Laws and Regulations:**
* **Anti-Discrimination Act (RA 10354):**  This law prohibits discrimination based on various factors, including "economic status."  Some argue that high energy usage can be linked to economic status (e.g., businesses using more than residences) and  could potentially fall under this act.   However, the specific application of the Anti-Discrimination Act to energy usage patterns might require further legal interpretation.
* **Consumer Act of the Philippines (RA 7394):**   This law protects consumers' rights to:
    * **Fair and reasonable pricing:**  The utility company's pricing structure should be non-discriminatory and based on objective factors like consumption levels, not usage patterns. 
    * **Information disclosure:**  Consumers have the right to clear and understandable information about electricity rates, billing practices, and any potential consequences of their energy usage patterns. 
* **Energy Regulatory Commission (ERC) Circulars:**  The ERC, which regulates the electricity sector, issues circulars on consumer rights and billing practices.  Reviewing these circulars may reveal specific provisions addressing discriminatory practices related to energy usage.
**Legal Actions:**
* **File a complaint with the ERC:**  Consumers can file a formal complaint with the ERC if they believe the utility company is discriminating against them based on their energy usage patterns. The ERC will investigate the complaint and may order corrective measures if they find evidence of discriminatory practices.
* **Legal Action in Court:**  If the ERC's decision is unsatisfactory, consumers can consider filing a lawsuit against the utility company in a regular court. However, this can be more expensive and time-consuming compared to an ERC complaint.
**Additional Considerations:**
* **Gather evidence:**  Document your energy usage patterns, any discriminatory pricing structures, and communication with the utility company to support your case.
* **Consumer Groups:**   Consumer advocacy groups can offer support, guidance, and may even assist in filing complaints with the ERC.
* **Negotiation:**   Before pursuing legal action, consider attempting to negotiate with the utility company to resolve the issue amicably.
**Remember:**  The legal landscape regarding discrimination based on energy usage patterns is evolving. Consulting with a lawyer experienced in consumer rights and energy law can provide more specific guidance based on your situation.  They can advise you on the most effective course of action to protect your rights as a consumer.
</t>
  </si>
  <si>
    <t>You are representing a group of fishermen who claim their livelihoods are being threatened by a proposed offshore oil drilling project. What legal arguments can be made to oppose the project?</t>
  </si>
  <si>
    <t xml:space="preserve">Here are some legal arguments you can make on behalf of the fishermen to oppose the proposed offshore oil drilling project:
**Environmental Impact:**
* **Philippine Constitution (Article II, Section 16):** This section guarantees the right to a balanced and healthy ecology. You can argue that the project poses a significant risk of oil spills or other environmental damage, threatening the marine ecosystem and the fishermen's livelihoods.
* **The Environmental Impact Assessment System Act (EIA Law) (RA 1658):** This law mandates EIAs for projects with potentially significant environmental impacts. 
    * You can argue that the EIA process was flawed, failing to adequately assess the project's impact on fish populations and the fishing industry.
    * You can challenge the adequacy of the proposed mitigation measures to prevent or minimize potential environmental damage.
**Livelihood and Socioeconomic Rights:**
* **The Fisheries Code (RA 8550):** This law aims to conserve and protect fishery and aquatic resources. You can argue that the project disrupts fish migration patterns, depletes fish stocks, and jeopardizes the fishermen's source of income.
* **Right to Livelihood:**  While not explicitly stated in the Constitution, Philippine jurisprudence recognizes the right to livelihood. You can argue that the project unfairly hinders the fishermen's right to earn a living through traditional fishing practices.
**Procedural Issues:**
* **Free and Prior Informed Consent (FPIC) (RA 8371 - Indigenous Peoples' Rights Act):** If the project is located within the ancestral domain of indigenous fishing communities, you can argue that they were not properly consulted and their right to FPIC was not respected.
**Additional Considerations:**
* **Gather evidence:**  Document the fishing community's dependence on the area for their livelihood, potential harm to fish populations from the project, and any procedural flaws in the approval process.
* **Expert opinions:**  Consider obtaining expert opinions from marine biologists or environmental scientists to support your arguments about the project's potential ecological impact.
* **Community mobilization:**  Building a strong and united fishing community voice can increase your leverage in negotiations and garner public support.
* **Alternative Dispute Resolution (ADR):** Exploring ADR options like mediation or arbitration can be a faster and less adversarial approach compared to litigation. 
By presenting these legal arguments and mobilizing the fishing community, you can advocate for a more sustainable approach to energy exploration and protect the fishermen's livelihoods.  Remember, seeking legal counsel experienced in environmental law and representing affected communities is crucial for navigating the legal process effectively.
</t>
  </si>
  <si>
    <t>Imagine a scenario where a renewable energy project is delayed due to issues with land acquisition. What legal remedies are available to resolve the dispute and move the project forward?</t>
  </si>
  <si>
    <t xml:space="preserve">Here are some legal remedies available to resolve a land acquisition dispute and move a renewable energy project forward in the Philippines:
**Negotiation and Compromise:**
* This is often the preferred first step. 
    * Meet with landowners and their representatives to understand their concerns. 
    * Negotiate a fair compensation package that considers factors like:
        * Market value of the land
        * Loss of income or livelihood due to displacement
        * Relocation assistance if necessary
**Legal Remedies:**
* **Negotiated Sale:**  If an agreement can't be reached through direct negotiation, consider a negotiated sale through the Department of Justice (DOJ). The DOJ can facilitate negotiations and mediate a settlement between the company and landowners.
* **Eminent Domain Proceedings:**  As a last resort, the company can initiate eminent domain proceedings through the courts. This allows the government to acquire private property for public use, upon payment of just compensation. However, this process can be lengthy and  can damage the company's public image.
**Additional Considerations:**
* **Philippine Constitution (Article XII, Section 6):** The State can regulate land ownership for the common good, but just compensation must be provided. 
* **The Land Acquisition and Resettlement Act (RA 7161):** This law outlines the process for government acquisition of private land for public use, including fair compensation and relocation assistance for displaced persons.  While eminent domain falls under this law, there are provisions for negotiated acquisition that can be explored first.
**Alternative Dispute Resolution (ADR):**
* Consider ADR options like mediation or arbitration.  A neutral third party can help facilitate communication and explore solutions acceptable to both parties. This can be faster and less expensive than litigation.
**Community Engagement:**
* Proactive communication and engagement with the affected community throughout the land acquisition process can help build trust and prevent disputes.
* Address community concerns about the project's potential benefits and environmental impact.
**Remember:** 
* Legal representation: Consulting a lawyer experienced in land acquisition and real estate law is crucial. They can advise on the most appropriate course of action and navigate the legal process effectively.
* Transparency and fairness:  Demonstrating transparency in negotiations and offering fair compensation can help resolve disputes and expedite the project's progress.
By exploring these options and prioritizing negotiation and community engagement,  the company can  hopefully  resolve the land acquisition dispute  and  move the renewable energy project forward in a sustainable and socially responsible manner. </t>
  </si>
  <si>
    <t>A company operating a biomass power plant is facing legal challenges from environmental groups concerned about air pollution. How can they defend their operations in court?</t>
  </si>
  <si>
    <t xml:space="preserve">A company facing legal challenges from environmental groups regarding air pollution from their biomass power plant can utilize several strategies to defend their operations in court:
**Highlighting Environmental Commitments:**
* Demonstrate compliance with all relevant Philippine environmental regulations, including:
    * Clean Air Act (RA 8749)
    * Department of Environment and Natural Resources (DENR) emission standards for biomass power plants.
* Present evidence of a robust air quality monitoring program and a track record of staying within emission limits. 
**Focus on Sustainability Practices:**
*  Emphasize the use of sustainable biomass sources like agricultural waste or dedicated energy crops, minimizing deforestation and associated environmental concerns.
*  Outline  pollution control technologies  employed to minimize harmful emissions:
    *  Electrostatic precipitators for capturing particulate matter.
    *  Flue gas desulfurization systems for reducing sulfur dioxide emissions.
**Comparative Analysis and Industry Best Practices:**
*  Demonstrate that the plant's emissions are comparable to or lower than similar biomass facilities or even conventional fossil fuel power plants.
*  Highlight  adoption of industry best practices  for minimizing air pollution. 
**Economic and Social Benefits:**
* Present evidence of the economic benefits generated by the plant, such as job creation and local economic development.
*  Outline the plant's contribution to the country's renewable energy goals and energy security.
**Addressing Specific Concerns:**
*  Carefully analyze the environmental groups' claims and address them directly.
*  If specific pollutants are a concern, present evidence of  mitigation strategies  being implemented.
*  Engage with independent experts to assess the plant's environmental impact and address any potential issues.
**Additional Considerations:**
* **Legal Representation:**  Consulting a lawyer experienced in environmental law is essential.  
* **Transparency and Communication:**  Proactive communication with the community and environmental groups can help address concerns and build trust. 
* **Continuous Improvement:**   Demonstrate a commitment to continuous improvement by investing in cleaner technologies and exploring ways to further reduce the plant's environmental footprint.
**Remember:** 
* The success of the defense strategy hinges on  evidence-based  demonstration of responsible operation,  compliance with regulations, and commitment to environmental sustainability. 
*  Negotiation and exploring  mutually agreeable solutions   with the environmental groups might be a more constructive approach than a purely defensive legal battle.
By employing these strategies, the biomass power plant company can effectively defend its operations in court while demonstrating its commitment to environmental responsibility. </t>
  </si>
  <si>
    <t>You are advising a municipality interested in implementing a waste-to-energy program. What legal considerations should they take into account regarding waste management and environmental regulations?</t>
  </si>
  <si>
    <t xml:space="preserve">Here are some key legal considerations for a municipality planning a waste-to-energy program in the Philippines:
**Waste Management Laws:**
* **Ecological Solid Waste Management Act (RA 9003):** This law prioritizes waste reduction, recycling, and composting before resorting to waste-to-energy methods. The municipality should demonstrate their program aligns with this hierarchy and only processes residual waste after exhausting other options.
* **The Clean Air Act (RA 8749):** This law regulates air pollution and sets emission standards for various sources,  including waste-to-energy facilities. The municipality must ensure the chosen technology complies with these emission standards.
**Environmental Impact Assessment (EIA) Process:**
* **The Environmental Impact Assessment System Act (EIA Law) (RA 1658):**  An EIA  is mandatory for projects with potentially significant environmental impacts. Even though waste-to-energy can be a renewable energy source, it can also have environmental drawbacks.  The municipality needs to conduct a comprehensive EIA  assessing the project's potential impact on air quality, water resources, and public health. 
**Site Selection and Zoning:**
* **Local Government Code (RA 7160):**  This law empowers local government units (LGUs) to regulate land use within their jurisdiction. The municipality needs to choose a site for the waste-to-energy facility that complies with zoning regulations and minimizes potential environmental and public health risks.
**Public Participation:**
* **RA 1658 (EIA Law):** This law mandates public participation during the EIA process. The municipality needs to conduct public consultations to inform residents about the project, potential impacts, and mitigation measures. Addressing public concerns and incorporating feedback strengthens the program's social acceptability.
**Additional Considerations:**
* **Technology Choice:**  Research different waste-to-energy technologies (incineration, gasification, etc.) and choose one with high efficiency and robust emission control systems.
* **Project Financing:**  Explore funding options like public-private partnerships (PPPs) or utilizing a portion of the "waste-to-energy user fee" authorized by RA 9003. 
* **Long-Term Operation and Maintenance:** Ensure a long-term plan for safe and responsible operation of the facility, including proper waste management within the plant and proper disposal of any residual ash or byproducts.
**Benefits and Risks:**
* While waste-to-energy offers benefits like energy production and waste volume reduction, it also carries environmental risks like air pollution and potential for ash contamination. The municipality should be prepared to  mitigate these risks and demonstrate the overall environmental benefit of the program.
**Compliance and Monitoring:**
* Put in place a robust system for monitoring the plant's emissions and ensuring continuous compliance with environmental regulations. Regular reporting to relevant agencies like the DENR is essential.
**By carefully considering these legal aspects, the municipality can  develop a responsible and sustainable waste-to-energy program that complies with environmental  regulations and contributes to a cleaner and more efficient waste management system.** </t>
  </si>
  <si>
    <t>Suppose a company is accused of engaging in fraudulent practices to obtain subsidies for renewable energy projects. What legal consequences can they face if found guilty?</t>
  </si>
  <si>
    <t xml:space="preserve">Here's a breakdown of potential legal consequences a company might face in the Philippines if found guilty of fraudulent practices to obtain renewable energy subsidies:
**Fraud-related Charges:**
* **Article 315 of the Revised Penal Code (RPC)**:  This covers the crime of Falsification by a private individual and penalty can be imprisonment of 4 to 8 years (Reclusión temporal).
* **Republic Act No. 3019 (Anti-Graft and Corrupt Practices Act)**: This act covers various corrupt practices by public officials. While the company itself wouldn't be directly charged under this RA, it can be relevant if they bribed government officials to secure subsidies. Penalties can be imprisonment of up to life depending on the nature of the offense.
**Other Possible Charges:**
* **Tax Code Violations:**  Falsifying documents or information to obtain subsidies can be a violation of the Tax Code (e.g., RA No. 8424). Penalties can include fines, imprisonment, and tax liabilities.
* **Securities Regulation Code (SRC) Violations (RA No. 8728):** If the company is publicly traded and the fraud involved manipulating financial statements to qualify for subsidies, it can be a violation of the SRC. This could result in fines and potential delisting from the stock exchange.
**Consequences related to Renewable Energy Programs:**
* **Disqualification from future subsidies:**  Government agencies managing renewable energy programs likely have regulations disqualifying companies found guilty of fraud from future participation.
* **Repayment of Subsidies:**  The company may be ordered to repay any fraudulently obtained subsidies.
**Philippine Constitution:**
The Philippine Constitution (Article II, Section 1) enshrines the state's policy to foster honesty and integrity. Engaging in fraudulent practices to obtain subsidies clearly goes against this principle.
**Important to Note:**
* This is a general overview, and the specific charges and penalties would depend on the details of the case. 
*  The company would have the right to legal representation and due process.
For a more definitive answer, it's recommended to consult a lawyer specializing in business and/or environmental law. They can provide a more detailed analysis based on the specific circumstances of the case.
</t>
  </si>
  <si>
    <t>Imagine a situation where a government agency is accused of favoritism in awarding contracts for energy infrastructure projects. What legal measures can be taken to ensure transparency and accountability in the procurement process?</t>
  </si>
  <si>
    <t xml:space="preserve">Several legal measures exist in Philippine law to address accusations of favoritism in awarding contracts for energy infrastructure projects and ensure transparency and accountability:
**Existing Legal Framework:**
* **Republic Act No. 9184 (Government Procurement Reform Act or GPRA):** This is the central law governing procurement by government agencies. It mandates principles of transparency, competitiveness, and accountability.  Key aspects include:
    *  **PhilGEPS (Philippine Government Electronic Procurement System):**  GPRA requires using PhilGEPS, an online platform for publishing all bidding opportunities and related documents [https://notices.philgeps.gov.ph/](https://notices.philgeps.gov.ph/).
    * **Bidding Procedures:** GPRA outlines different bidding procedures depending on the project's nature and value. These procedures aim to ensure fair competition and prevent favoritism. 
    * **Observers:** The GPRA allows inviting observers from civil society organizations (CSOs) and the Commission on Audit (COA) to witness bidding procedures, fostering transparency.
* **The 1987 Philippine Constitution:**  
    * Article II, Section 1: Promotes a policy of honesty and integrity in public service.
    * Article III, Section 14: Enshrines the right to information, allowing citizens to access government records on procurement processes (subject to reasonable limitations).
**Legal Measures in Case of Suspected Favoritism:**
* **Filing a Protest with the Procuring Entity:**  Bidders who believe they were unfairly disadvantaged can file a formal protest with the procuring agency outlining their concerns.
* **Filing a Complaint with the Government Procurement Policy Board (GPPB):**  The GPPB, established under the GPRA, oversees the implementation of the law and investigates complaints of irregularities. They can review the bidding process and recommend corrective measures or nullify the award if necessary.
* **Filing a Petition with the Office of the Ombudsman:** The Ombudsman investigates allegations of official misconduct, including favoritism in government procurement. They can recommend sanctions against erring officials, including dismissal or criminal charges.
* **Legal Action in Court:**  In some cases, aggrieved parties may consider legal action in court against the government agency or individuals involved in the alleged favoritism.
**Enhancing Transparency and Accountability:**
* **Civil Society Organizations (CSOs):**  CSOs can play a crucial role in monitoring government procurement processes and advocating for transparency.
* **Media:** Investigative journalism can expose irregularities and hold government agencies accountable.
**Remember:**
*  These are some of the legal measures available. The specific course of action will depend on the details of the case.
*  Citizens have a right to information and can request documents related to the procurement process.
*  Seeking legal advice from a lawyer specializing in administrative or procurement law can be helpful in navigating these processes.
By utilizing these legal measures and promoting transparency, Filipinos can help ensure fair and accountable awarding of contracts for critical energy infrastructure projects. </t>
  </si>
  <si>
    <t>Transportation</t>
  </si>
  <si>
    <t>What are the requirements for obtaining a driver's license in the Philippines?</t>
  </si>
  <si>
    <t>The requirements for obtaining a driver's license in the Philippines  depend on whether you're applying for a student permit, a non-professional license, or a professional license. Here's a breakdown based on relevant government issuances:
**Student Permit**
* **Age:** At least 16 years old for Filipinos, 18 years old for foreigners (must have been in the Philippines for at least a month with proof of stay for at least six months) LTO Portal, How to Get LTO Driver's License in the Philippines: [https://portal.lto.gov.ph/](https://portal.lto.gov.ph/)
* **Completion of Theoretical Driving Course (TDC):** Must be completed at an LTO-accredited driving school LTO Portal, How to Get LTO Driver's License in the Philippines: [https://portal.lto.gov.ph/](https://portal.lto.gov.ph/)
* **Medical Certificate:** Original and photocopy from an LTO-accredited medical clinic Globe Telecom, Getting Your LTO Philippines Driver's License: How to Apply or Renew: [https://www.globe.com.ph/go/travel-food/article/lto-philippines-drivers-license-how-to-apply-renew](https://www.globe.com.ph/go/travel-food/article/lto-philippines-drivers-license-how-to-apply-renew)
**Non-Professional Driver's License**
* **Age:** At least 17 years old for Filipinos, 18 years old for foreigners LTO Portal, How to Get LTO Driver's License in the Philippines: [https://portal.lto.gov.ph/](https://portal.lto.gov.ph/)
* **Valid Student Permit:** Must hold a student permit valid for at least one month from the date of issuance Moneymax, A First-Timer's Guide on How to Get a Driver's License This 2023: [https://www.moneymax.ph/government-services/articles/drivers-license-philippines](https://www.moneymax.ph/government-services/articles/drivers-license-philippines)
* **Passed written and practical exams:** This includes passing the Automated Theoretical Examination and Practical Driving Test LTO Portal, How to Get LTO Driver's License in the Philippines: [https://portal.lto.gov.ph/](https://portal.lto.gov.ph/)
* **Completion of Practical Driving Course (PDC):** Must be completed at an LTO-accredited driving school Moneymax, A First-Timer's Guide on How to Get a Driver's License This 2023: [https://www.moneymax.ph/government-services/articles/drivers-license-philippines](https://www.moneymax.ph/government-services/articles/drivers-license-philippines)
* **Medical Certificate:** Original and photocopy from an LTO-accredited medical clinic Globe Telecom, Getting Your LTO Philippines Driver's License: How to Apply or Renew: [https://www.globe.com.ph/go/travel-food/article/lto-philippines-drivers-license-how-to-apply-renew](https://www.globe.com.ph/go/travel-food/article/lto-philippines-drivers-license-how-to-apply-renew)
**Additional Requirements (for both Student Permit and Non-Professional License):**
* **Duly accomplished Application Form (APL Form)** Globe Telecom, Getting Your LTO Philippines Driver's License: How to Apply or Renew: [https://www.globe.com.ph/go/travel-food/article/lto-philippines-drivers-license-how-to-apply-renew](https://www.globe.com.ph/go/travel-food/article/lto-philippines-drivers-license-how-to-apply-renew)
* **Proof of residency (for foreigners) LTO Portal, How to Get LTO Driver's License in the Philippines: [https://portal.lto.gov.ph/](https://portal.lto.gov.ph/)
* **No unsettled traffic violations** Globe Telecom, Getting Your LTO Philippines Driver's License: How to Apply or Renew: [https://www.globe.com.ph/go/travel-food/article/lto-philippines-drivers-license-how-to-apply-renew](https://www.globe.com.ph/go/travel-food/article/lto-philippines-drivers-license-how-to-apply-renew)
For a more comprehensive guide and the latest requirements, it's advisable to visit the Land Transportation Office (LTO) website ([https://portal.lto.gov.ph/](https://portal.lto.gov.ph/)) or inquire at your nearest LTO office.</t>
  </si>
  <si>
    <t>What are the penalties for driving under the influence of alcohol or drugs in the Philippines?</t>
  </si>
  <si>
    <t xml:space="preserve">The penalties for driving under the influence of alcohol or drugs in the Philippines are outlined in Republic Act No. 10586, also known as the Anti-Drunk and Drugged Driving Act of 2013. The severity of the penalties depends on whether the violation resulted in physical injuries, homicide, or no physical harm.
Here's a breakdown of the penalties:
**No Physical Injuries or Property Damage:**
* **Imprisonment:** Minimum of 3 months, maximum unspecified (depends on court discretion)
* **Fine:** P20,000 to P80,000
* **Driver's License:**
    * Non-professional: Confiscation and suspension for 12 months on the first offense, permanent revocation on the second offense.
    * Professional: Confiscation and permanent revocation on the first offense.
**Physical Injuries:**
* **Fine:** P100,000 to P200,000 (on top of penalties for causing physical injuries under the Revised Penal Code)
* **Driver's License:** Same penalties as above (No Physical Injuries)
**Homicide:**
* **Penalty:** As per Article 249 of the Revised Penal Code (murder, homicide, or lesiones lesiones)
* **Fine:** P300,000 to P500,000
* **Driver's License:** Same penalties as above (No Physical Injuries)
**Additional Points:**
* Refusal to undergo mandatory field sobriety and drug tests carries the penalty of driver's license confiscation and automatic revocation on top of other penalties.
* Confiscated licenses are only released upon final court disposition or lawful court order.
**It's important to note that this is a general overview, and the specific penalties can vary depending on the circumstances of the case.** 
For a more definitive answer, consulting a lawyer specializing in traffic law is recommended. </t>
  </si>
  <si>
    <t>What are the regulations regarding public transportation vehicles in the Philippines?</t>
  </si>
  <si>
    <t xml:space="preserve">The regulations regarding public transportation vehicles in the Philippines come from several sources:
* **Republic Act No. 4136 (Land Transportation and Traffic Code):** This act establishes the general framework for land transportation, including public utility vehicles (PUVs). It covers aspects like registration, licensing, and basic safety standards.
* **Department of Transportation (DOTr) issuances:** The DOTr promulgates department orders (DOs) and other issuances containing more specific regulations for PUVs. These can cover vehicle design, emissions standards, operating procedures, and passenger safety measures.  A relevant example is:
    * **DO 2017-111: Omnibus Guidelines on the Planning and Identification of Public Road Transportation Services and Franchise Issuance:** This issuance outlines the process for franchise applications, route planning, and sets safety requirements for PUVs [https://ltfrb.gov.ph/wp-content/uploads/2017/11/DO-2017-011.pdf](https://ltfrb.gov.ph/wp-content/uploads/2017/11/DO-2017-011.pdf).
* **Land Transportation Franchising and Regulatory Board (LTFRB) issuances:**  The LTFRB, an attached agency of the DOTr, issues memoranda circulars (MCs) and other regulations specific to PUV franchising, fare calculations, and the conduct of operators and drivers. 
Here's a summary of some key regulations for public transportation vehicles in the Philippines:
* **Vehicle Requirements:** PUVs must comply with vehicle standards set by the DOTr. This includes specifications for passenger capacity, design, and safety features (e.g., seatbelts, fire extinguishers).
* **Franchise:** PUV operators must secure a franchise from the LTFRB to operate on a specific route. The franchise specifies the route, fare rates, and authorized vehicle types.
* **Fare Rates:** Fares are regulated by the LTFRB and subject to adjustments based on fuel costs and other factors. Operators are required to display fare matrices prominently inside the vehicle.
* **Safety Measures:** PUVs must undergo regular inspections to ensure roadworthiness and adherence to safety regulations. Drivers must possess professional driver's licenses and comply with traffic laws. 
* **Passenger Rights:**  Passengers have the right to safe, convenient, and affordable transportation. They can lodge complaints with the LTFRB regarding fare overcharging, overcrowding, or discourteous conduct by operators or drivers.
**For more specific information on PUV regulations:**
* You can visit the websites of the Department of Transportation (DOTr) [https://dotr.gov.ph/](https://dotr.gov.ph/) and the Land Transportation Franchising and Regulatory Board (LTFRB) [https://ltfrb.gov.ph/](https://ltfrb.gov.ph/).
* These websites provide downloadable copies of relevant issuances (DOs, MCs) containing detailed regulations.
Remember, these are just some general points. The specific regulations applicable to a particular PUV can vary depending on the vehicle type, route, and franchise details. </t>
  </si>
  <si>
    <t>The maximum speed limit on expressways in the Philippines is generally **100 kilometers per hour (kph)** for cars and motorcycles. However, there are some nuances to consider:
* **Department of Public Works and Highways (DPWH) Administrative Order No. 1:** This 1968 order establishes the **minimum** speed limit of 60 kph and the **general maximum** of 100 kph for vehicles on expressways. [I could not find this document online but it is referenced in other reliable sources]
* **Variations by Expressway:** Specific expressways may have designated zones with lower speed limits due to construction, safety considerations, or other reasons. These variations are usually indicated by signage along the expressway.
Here are some resources you can consult for the latest speed limits on specific expressways:
* **LTO Portal - Speed Limits in Philippine Toll Expressways:** [https://ltoportal.ph/speed-limits-philippine-toll-expressways/](https://ltoportal.ph/speed-limits-philippine-toll-expressways/) 
* **Waze Philippines Speed Limit Information (user-generated data):** [https://wazeopedia.waze.com/wiki/Philippines/Main_Page](https://wazeopedia.waze.com/wiki/Philippines/Main_Page)
Remember, always adhere to posted speed limits and adjust your speed according to road conditions for safety.</t>
  </si>
  <si>
    <t>What are the laws regarding the use of seat belts and child restraint systems in vehicles?</t>
  </si>
  <si>
    <t xml:space="preserve">The laws regarding the use of seat belts and child restraint systems in the Philippines are primarily covered by two key pieces of legislation:
* **Republic Act No. 8750 (Seat Belt Use Act of 1999):**  This act mandates the use of seat belts for drivers and front seat passengers of private and public motor vehicles.
* **Republic Act No. 11229 (Child Safety in Motor Vehicles Act):**  This act, also known as the Child Car Seat Law, requires the use of child restraint systems (CRS) for children under specific age and height requirements.
Here's a breakdown of the key points in these laws:
**Seat Belt Use Act (RA 8750):**
* **Who is required to wear a seat belt:** Drivers and front seat passengers in all private and public motor vehicles (except jeepneys) are mandated to wear seat belts at all times while the vehicle is running on any road or thoroughfare.
* **Exceptions:**  There are limited exceptions, such as for taxi drivers operating within a 25-kilometer radius from their origin, or for short-distance maneuvering (e.g., parking).
**Child Safety in Motor Vehicles Act (RA 11229):**
* **Who requires a child restraint system (CRS):**  Children aged 12 years old and below, or with a height of 4'11" (150 cm) or less, must be properly secured in a CRS while riding in a running motor vehicle.
* **Types of CRS:** The law allows for different types of CRS depending on the child's age and size, such as infant car seats, toddler car seats, and booster seats.
* **Exemptions:** There are limited exemptions, such as for children riding in taxis or for short trips within a closed compound. However, it's important to note that even with these exemptions, it's always recommended to use a CRS for optimal child safety.
* **Penalties:**  Violators of the Child Car Seat Law may face fines and penalties as outlined in the implementing rules and regulations of the law.
**Additional Points:**
* Both laws aim to promote road safety and minimize injuries in case of accidents.
*  It's important to ensure the CRS is appropriate for the child's age, weight, and height for optimal effectiveness.
For more information, you can refer to the following resources:
* Land Transportation Office (LTO) Portal - Seat Belt Use Act: [https://ltoportal.ph/seat-belt-use-act-philippines/](https://ltoportal.ph/seat-belt-use-act-philippines/)
* LawPhil - Republic Act No. 11229: [https://lawphil.net/statutes/repacts/ra2019/ra_11229_2019.html](https://lawphil.net/statutes/repacts/ra2019/ra_11229_2019.html)
</t>
  </si>
  <si>
    <t>What are the rules and regulations for operating motorcycle taxis in the Philippines?</t>
  </si>
  <si>
    <t>The situation regarding motorcycle taxis in the Philippines is interesting because there's a distinction between traditional "habal-habal" and legalized motorcycle taxi services:
**Habal-Habal:**
* **Traditional Motorcycle Taxis:** These are prevalent throughout the Philippines, particularly in rural areas. They typically involve regular motorcycles with modified seats to accommodate more passengers.
* **Regulation:** Habal-habal operations are largely **informal and unregulated**. This means they don't comply with specific government-mandated safety standards, insurance requirements, or fare regulations.
**Legalized Motorcycle Taxi Services:**
* **Pilot Study:** In 2019, the government launched a pilot study to test and regulate motorcycle taxi services.  Currently, only three companies (Angkas, Move It, JoyRide) are authorized to operate under this program.
* **Regulations:**  These companies have to follow specific regulations including:
    * **Safety Standards:** Motorcycles must meet specific safety features and modifications for passenger safety.
    * **Insurance:**  Both riders and passengers must be insured.
    * **Driver Requirements:**  Motorcycle taxi riders must have professional driver's licenses, undergo training, and comply with traffic laws.
    * **Fare Rates:**  Fares are regulated and displayed within the app used to book rides.
    * **App-based Booking:**  Rides must be booked through the companies' mobile applications.
Here are some resources for further information:
* **Department of Transportation (DOTr) - Motorcycle Taxi Pilot Study:** While information might not be the most recent, it provides a background on the pilot program [https://www.philstar.com/headlines/2023/01/08/2236046/acop-dotr-wrap-pilot-study-motorcycle-taxis](https://www.philstar.com/headlines/2023/01/08/2236046/acop-dotr-wrap-pilot-study-motorcycle-taxis)
* **Move It - How it Works:** This webpage provides a glimpse into the regulations regarding app-based booking and following safety standards [https://www.gomoveit.com/](https://www.gomoveit.com/)
**Important to Note:**
* The pilot study for legalized motorcycle taxis is ongoing. There might be changes or updates to the regulations.
* Habal-habal operations remain widespread despite not being fully legal.
If you're looking for the most up-to-date information on motorcycle taxi regulations, it's recommended to visit the websites of the Department of Transportation (DOTr) or the Land Transportation Franchising and Regulatory Board (LTFRB).</t>
  </si>
  <si>
    <t>What are the penalties for violating traffic rules and regulations in the Philippines?</t>
  </si>
  <si>
    <t xml:space="preserve">The penalties for violating traffic rules and regulations in the Philippines vary depending on the specific offense. Here's a breakdown of some resources to help you find the information you need:
* **Land Transportation Office (LTO) Portal - Traffic Violations and Penalties:** This website provides a searchable table listing various traffic violations and their corresponding fines [https://ltoportal.ph/driving-fines-violations/](https://ltoportal.ph/driving-fines-violations/).
* **MMDA (Metro Manila Development Authority) - Traffic Violations and Penalties Fines/Penalties:** This website by the MMDA focuses on traffic violations commonly encountered in Metro Manila. It also provides a downloadable PDF listing the offenses and penalties [https://mmda.gov.ph/images/pdf/Home/FINES-and-PENALTIES-by-alphabet-new-4-11-2019.pdf](https://mmda.gov.ph/images/pdf/Home/FINES-and-PENALTIES-by-alphabet-new-4-11-2019.pdf).
**Here are some general categories of traffic violations and their potential consequences:**
* **Minor Violations (e.g., disregarding traffic signs, exceeding speed limits):**  These typically involve fines ranging from a few hundred pesos to a few thousand pesos.
* **Serious Violations (e.g., driving under the influence, reckless driving):** These can involve heavier fines, license suspension or revocation, and even imprisonment in some cases.
* **Causing Accidents:**  Penalties will depend on the severity of the accident, injuries sustained, and  possible charges for reckless driving.
**Additional Points:**
* Some offenses may require attendance in seminars on road safety or proper driving conduct.
* Repeated violations within a certain period can lead to harsher penalties.
* Confiscated driver's licenses are only released upon payment of fines and completion of penalties.
**For a more specific understanding of the penalty for a particular traffic violation:**
* Use the LTO and MMDA resources mentioned above to search by offense.
* Consult a lawyer specializing in traffic law, especially for complex situations or contesting a violation.
</t>
  </si>
  <si>
    <t>What are the regulations for transporting hazardous materials in the Philippines?</t>
  </si>
  <si>
    <t>The transportation of hazardous materials in the Philippines is primarily governed by two key pieces of legislation:
* **Republic Act No. 6969 (Toxic Substances, Hazardous and Nuclear Wastes Control Act of 1990):** This act establishes a comprehensive framework for the management of hazardous substances, including their transportation.
* **Department of Environment and Natural Resources (DENR) Administrative Order No. 92-29 (Implementing Regulations of Republic Act No. 6969):** This Order outlines the specific regulations for the transport of hazardous materials, including:
    * **Classification and Packaging:**  Classifies hazardous materials based on their hazard class (e.g., flammable liquids, explosives) and specifies packaging requirements for safe transport.
    * **Registration and Permitting:**  Requires transporters of hazardous materials to register with the DENR and obtain permits for specific types and quantities of materials being transported.
    * **Labeling and Marking:**  Mandates proper labeling and marking on packages containing hazardous materials to identify the hazard class and provide necessary information for safe handling.
    * **Manifesting:**  Requires the preparation and submission of transport documents specifying the type, quantity, and destination of hazardous materials being transported.
    * **Vehicle Requirements:**  Sets standards for vehicles used to transport hazardous materials, including safety features, leak-proof containers, and driver qualifications.
    * **Emergency Response Plans:**  Mandates transporters to develop and implement emergency response plans to address potential accidents or spills during transport.
**Additional Regulations:**
* **Department of Transportation (DOTr) issuances:**  The DOTr may issue department orders (DOs) or advisories containing additional regulations related to the safe transport of hazardous materials on specific modes of transportation (e.g., road, air, sea).
**Here are some resources for further information:**
* **DENR - Environmental Management Bureau (EMB): Chemical Management:** This webpage provides an overview of DAO 92-29 and the permitting process [https://www.env.go.jp/en/recycle/asian_net/Country_Information/Law_N_Regulation/Philippines/DAO%201992-29.pdf](https://www.env.go.jp/en/recycle/asian_net/Country_Information/Law_N_Regulation/Philippines/DAO%201992-29.pdf)
* **Philippine Ports Authority (PPA): Dangerous Goods and Hazardous Cargo Regulations:** This webpage provides information on regulations specific to transporting hazardous materials through Philippine ports [https://www.ppa.com.ph/sites/default/files/issuances_docs/mc%20002-2005_0.pdf](https://www.ppa.com.ph/sites/default/files/issuances_docs/mc%20002-2005_0.pdf)
**Important to Note:**
* These are the primary legal sources, but there might be additional regulations depending on the specific type and quantity of hazardous material being transported.
*  It's crucial to consult with the DENR and other relevant agencies to ensure compliance with all applicable regulations before transporting hazardous materials.
Remember, the safe transport of hazardous materials is vital for protecting public health and the environment. Following these regulations is essential for everyone involved.</t>
  </si>
  <si>
    <t>What are the requirements for registering a vehicle in the Philippines?</t>
  </si>
  <si>
    <t xml:space="preserve">The requirements for registering a vehicle in the Philippines depend on whether you're registering a brand-new vehicle, a used imported vehicle, or renewing the registration of an existing vehicle. Here's a breakdown based on relevant issuances:
**General Requirements (Applicable to Most Cases):**
* **Original Sales Invoice:** This proves ownership of the vehicle [https://portal.lto.gov.ph/](https://portal.lto.gov.ph/)]
* **Original LTO Copy or Electronically Transmitted Insurance Certificate of Cover (Third Party Liability):** This is mandatory insurance coverage [Moneymax, LTO Car Registration and Renewal: Ultimate Guide 2023: [[https://www.moneymax.ph/car-insurance/articles/lto-car-registration-renewal](https://www.moneymax.ph/car-insurance/articles/lto-car-registration-renewal)]]
* **Duly Accomplished and Approved Motor Vehicle Inspection Report (MVIR):** This report verifies the vehicle's roadworthiness [Moneymax, LTO Car Registration and Renewal: Ultimate Guide 2023: [[https://www.moneymax.ph/car-insurance/articles/lto-car-registration-renewal](https://www.moneymax.ph/car-insurance/articles/lto-car-registration-renewal)]] 
* **Photocopy of Certificate of Registration (CR) or Official Receipt (OR) (if applicable):** Needed if registering an existing vehicle [Moneymax, LTO Car Registration and Renewal: Ultimate Guide 2023: [[https://www.moneymax.ph/car-insurance/articles/lto-car-registration-renewal](https://www.moneymax.ph/car-insurance/articles/lto-car-registration-renewal)]]
* **Original Copy of Certificate of Emission Compliance (CEC):** This verifies the vehicle meets emission standards [Moneymax, LTO Car Registration and Renewal: Ultimate Guide 2023: [[https://www.moneymax.ph/car-insurance/articles/lto-car-registration-renewal](https://www.moneymax.ph/car-insurance/articles/lto-car-registration-renewal)]]
* **Taxpayer's Identification Number (TIN):** Proof of taxpayer status [Moneymax, LTO Car Registration and Renewal: Ultimate Guide 2023: [[https://www.moneymax.ph/car-insurance/articles/lto-car-registration-renewal](https://www.moneymax.ph/car-insurance/articles/lto-car-registration-renewal)]]
* **Early Warning Device (may be required):**  This is a visual or audible alert system for other drivers [Moneymax, LTO Car Registration and Renewal: Ultimate Guide 2023: [[https://www.moneymax.ph/car-insurance/articles/lto-car-registration-renewal](https://www.moneymax.ph/car-insurance/articles/lto-car-registration-renewal)]]
**Additional Requirements (Depending on the Situation):**
* **Brand-New Locally Manufactured/Assembled Vehicles:**
    * Original Certificate of Stock Reported (CSR) [LTO Portal, Requirements for Motor Vehicle Registration: [[https://ltoportal.ph/requirements-motor-vehicle-registration/](https://ltoportal.ph/requirements-motor-vehicle-registration/)]]
* **Used Imported Vehicles (through Regular Importation):**
    * One (1) photocopy of Commercial Invoice of Motor Vehicle or Certificate of Title issued by the country of origin [LTO Portal, Requirements for Motor Vehicle Registration: [[https://ltoportal.ph/requirements-motor-vehicle-registration/](https://ltoportal.ph/requirements-motor-vehicle-registration/)]]
    * Original/certified true copy of Authority under the No Dollar Importation [LTO Portal, Requirements for Motor Vehicle Registration: [[https://ltoportal.ph/requirements-motor-vehicle-registration/](https://ltoportal.ph/requirements-motor-vehicle-registration/)]] (if applicable)
    * Original Affidavit of First and Last Importation [LTO Portal, Requirements for Motor Vehicle Registration: [[https://ltoportal.ph/requirements-motor-vehicle-registration/](https://ltoportal.ph/requirements-motor-vehicle-registration/)]]
* **Used Imported Vehicles (through No Dollar Importation):**
    *  Similar requirements as above (Regular Importation) but with Authority under the No Dollar Importation instead [LTO Portal, Requirements for Motor Vehicle Registration: [[https://ltoportal.ph/requirements-motor-vehicle-registration/](https://ltoportal.ph/requirements-motor-vehicle-registration/)]]
**For the most up-to-date information and complete list of requirements, it's recommended to:**
* Visit the Land Transportation Office (LTO) website: [https://portal.lto.gov.ph/](https://portal.lto.gov.ph/)
*  Inquire at your nearest LTO office.
Remember, these are general guidelines, and specific requirements might vary depending on the vehicle type and registration situation. </t>
  </si>
  <si>
    <t>What are the laws regarding road markings and signs in the Philippines?</t>
  </si>
  <si>
    <t>The laws regarding road markings and signs in the Philippines are primarily established through two sources:
* **Department of Public Works and Highways (DPWH) Regulations:**
    * **DPWH Part 2 of the Highway Safety Design Standards Manual:** This manual mandates the use of standard alphabets (often called Highway Gothic) for road signs [Wikipedia, Road signs in the Philippines: [https://en.wikipedia.org/wiki/Road_signs_in_the_Philippines](https://en.wikipedia.org/wiki/Road_signs_in_the_Philippines)] and specifies placement and design guidelines for various road markings and signs. 
* **Vienna Convention on Road Signs and Signals:**
    * **The Philippines is an original signatory to this international convention:** This agreement aims to standardize traffic signs and signals across member countries to facilitate international road traffic and enhance safety [Wikipedia, Road signs in the Philippines: [https://en.wikipedia.org/wiki/Road_signs_in_the_Philippines](https://en.wikipedia.org/wiki/Road_signs_in_the_Philippines)]. While not a national law, the Philippines adheres to the Vienna Convention's general principles for road signs and markings.
Here's a breakdown of the key points regarding these regulations:
**Road Markings:**
* Markings are used to designate lanes, separate traffic flow, indicate stopping points (e.g., crosswalks), and provide other traffic guidance.
* Common lane markings include solid white lines separating lanes, dashed white lines for lane changes, and yellow lines for no passing zones.
**Road Signs:**
* Signs are categorized into different groups based on their function:
    * **Priority signs:** Indicate right-of-way (e.g., stop signs, yield signs)
    * **Direction signs:** Guide drivers (e.g., one-way signs, turn arrows)
    * **Prohibitive/Restrictive signs:** Indicate actions or directions not allowed (e.g., no entry signs, no parking signs)
    * **Speed limits:** Displayed on signs along expressways and roads
    * **Parking and stopping:** Designated areas with specific signage
    * **Miscellaneous signs:** Provide information or warnings (e.g., pedestrian crossing signs, construction ahead signs)
**Enforcement:**
* The Land Transportation Office (LTO) and traffic enforcement agencies are responsible for ensuring compliance with road marking and sign regulations.
* Disobeying traffic signs and markings can lead to penalties such as fines and demerit points on a driver's license.
**Additional Resources:**
* **LTO Portal - List of LTO Traffic Signs and Symbols in the Philippines:** [https://ltoportal.ph/lto-traffic-signs-symbols-philippines/](https://ltoportal.ph/lto-traffic-signs-symbols-philippines/) (This website provides a visual guide to common traffic signs)
Remember, following road markings and signs is crucial for road safety.  Understanding their meaning and purpose contributes to a safer driving experience for everyone.</t>
  </si>
  <si>
    <t>What are the penalties for illegal parking in the Philippines?</t>
  </si>
  <si>
    <t xml:space="preserve">The penalties for illegal parking in the Philippines vary depending on the severity of the offense and the location. Here's a breakdown of the general categories and potential consequences:
**Type of Illegal Parking:**
* **Attended Illegal Parking (Driver Present):** This involves parking in an unauthorized location while the driver is still inside the vehicle.  Fines typically range from P200 to P1,000 depending on the LGU (local government unit) or MMDA (Metro Manila Development Authority) regulations.
* **Unattended Illegal Parking (Driver Absent):** This involves leaving your vehicle parked in an unauthorized location. Fines are generally higher than attended parking, ranging from P500 to P1,000 depending on the LGU or MMDA.
* **Obstruction:** This involves parking your vehicle on the side of the road or sidewalk in a way that obstructs traffic flow or pedestrian movement. Fines are similar to unattended parking, ranging from P150 to P1,000 depending on the LGU or MMDA.
**Additional Penalties:**
* **Towing and Impounding:**  If your vehicle is illegally parked and causing significant obstruction, it may be towed and impounded by authorities. This will incur additional towing and storage fees on top of the parking violation fine.
* **Demerit Points:**  Depending on the LGU or MMDA regulations, some illegal parking violations might result in demerit points being assessed on your driver's license. Accumulating a certain number of points can lead to license suspension.
Here are some resources for further reference:
* **LTO Portal - Illegal Parking Fine Violation:** This webpage provides a general overview of fines for different types of illegal parking [https://portal.lto.gov.ph/](https://portal.lto.gov.ph/)
* **MMDA - Fines and Penalties:** This PDF from the MMDA lists specific fines for various traffic violations, including illegal parking, within Metro Manila [https://mmda.gov.ph/images/pdf/Home/FINES-and-PENALTIES-by-alphabet-new-4-11-2019.pdf](https://mmda.gov.ph/images/pdf/Home/FINES-and-PENALTIES-by-alphabet-new-4-11-2019.pdf)
**Important to Note:**
* The specific penalties for illegal parking can vary depending on the location (city, municipality) and the LGU or MMDA regulations in effect.
* It's always best to consult your local LGU or MMDA office for the most current information on illegal parking fines in your area.
Remember, parking responsibly helps ensure smooth traffic flow and pedestrian safety. </t>
  </si>
  <si>
    <t>What are the regulations for operating public utility buses in the Philippines?</t>
  </si>
  <si>
    <t xml:space="preserve">The operation of public utility buses (PUBs) in the Philippines is heavily regulated to ensure passenger safety, efficient service, and fair competition. Here's a breakdown of the key regulations from various sources:
**Issuing Agencies:**
* **Land Transportation Franchising and Regulatory Board (LTFRB):** The primary agency responsible for franchising PUV operators, issuing fare matrices, and regulating their conduct.
* **Department of Transportation (DOTr):** Establishes broader transportation policies and guidelines that apply to PUVs.
**Key Regulations:**
* **Franchise:**  PUB operators must secure a franchise from the LTFRB specifying their route, authorized vehicle types, and fare rates. Franchises are granted based on factors like existing ridership demand and route feasibility. 
* **Vehicle Requirements:**  Buses must comply with specifications set by the DOTr. This includes standards for passenger capacity, accessibility features (e.g., low-floor entrance for PWDs), safety features (seatbelts, fire extinguishers) and emissions standards. [LTFRB - Guidelines on the Specifications of Public Utility Buses: https://elibrary.judiciary.gov.ph/thebookshelf/showdocs/10/70877]([LTFRB - Guidelines on the Specifications of Public Utility Buses])
* **Driver Qualifications:**  Bus drivers must possess professional driver's licenses and undergo training programs on road safety, defensive driving, and customer service.
* **Fare Rates:**  Fares are regulated by the LTFRB and subject to adjustments based on fuel costs and other factors. Buses are required to display fare matrices prominently inside the vehicle for passenger information.
* **Safety Measures:**  Regular inspections are conducted by the LTFRB to ensure roadworthiness and adherence to safety regulations.  Buses must have speed limiters and comply with traffic laws.
**Additional Regulations:**
* **Route Planning and Service Coverage:**  The LTFRB, in coordination with local governments, may designate specific routes and service areas to ensure efficient coverage and avoid overcrowding on certain routes. [LTFRB - Omnibus Guidelines on the Planning and Identification of Public Road Transportation Services and Franchise Issuance: https://ltfrb.gov.ph/wp-content/uploads/2017/11/DO-2017-011.pdf]([LTFRB - Omnibus Guidelines on the Planning and Identification of Public Road Transportation Services and Franchise Issuance])] 
* **Passenger Rights:**  Passengers have the right to safe, convenient, and affordable transportation. They can lodge complaints with the LTFRB regarding fare overcharging, overcrowding, or discourteous conduct by operators or drivers.
**Resources for Further Information:**
* **Land Transportation Franchising and Regulatory Board (LTFRB) website:** [LTFRB website] provides downloadable copies of relevant issuances (MCs, DOs) on PUV regulations.
* **Department of Transportation (DOTr) website:** [https://dotr.gov.ph/](https://dotr.gov.ph/) provides information on broader transportation policies that may affect PUVs.
**Important Note:**
* These are general points, and specific regulations might vary depending on the type of public utility bus (e.g., city bus, provincial bus) and the specific franchise details. </t>
  </si>
  <si>
    <t>What are the requirements for obtaining a special permit for oversized vehicles in the Philippines?</t>
  </si>
  <si>
    <t xml:space="preserve">Obtaining a special permit for oversized vehicles in the Philippines involves following a process established by the Department of Transportation (DOTr) through the Land Transportation Office (LTO). Here's a breakdown of the general requirements and steps involved:
**Requirements:**
* **Application Form:**  A specific form needs to be filled out for applying for a special permit for an oversized vehicle. You can inquire and obtain the form from the nearest LTO office.
* **Vehicle Documents:**  
    * Original and photocopy of Certificate of Registration (CR) of the oversized vehicle
    * Original and photocopy of Driver's License of the driver who will operate the vehicle during the transport
* **Itinerary:**  A detailed itinerary specifying the origin, destination, and route to be taken by the oversized vehicle. 
* **Engineering Clearance:**  An engineer's certification confirming the dimensions (length, width, height) and weight of the oversized vehicle and ensuring it complies with the limitations set by the DOTr for permit eligibility.  
* **Security Bond:**  A security bond may be required as a guarantee for the safety and proper conduct of the transport. The amount of the bond may vary depending on the size and weight of the oversized vehicle. 
* **Other Supporting Documents:**  Depending on the specific situation, additional documents like clearances from local government units (LGUs) along the route or a blueprint of the oversized cargo (if applicable) might be requested.
**Steps Involved:**
1. **Gather all the necessary documents:** This includes the application form, vehicle documents, itinerary, engineering clearance, security bond, and any other supporting documents required.
2. **Submit the application and documents:** Visit your nearest LTO district office and submit the complete set of requirements for processing the special permit application.
3. **Pay the Permit Fee:**  There will be a specific fee associated with obtaining the special permit. The amount may vary depending on the size and weight of the oversized vehicle and the duration of the permit.
4. **Wait for Approval:**  The LTO will review your application and supporting documents. The processing time may vary depending on the workload and any clarifications needed. 5. **Claim the Special Permit:**  Once your application is approved, you can claim the special permit from the LTO office.
**Additional Points:**
* It's crucial to secure the special permit before transporting the oversized vehicle on public roads. Operating without a permit is a violation and can lead to penalties.
* The specific requirements and procedures may vary slightly depending on the LTO district office.  Inquire directly with your nearest LTO office for the most current information and any additional local requirements.
* It's recommended to consult with a logistics company or someone experienced with oversized vehicle transport for guidance on the entire process, especially for complex situations. 
Remember, obtaining the proper permit and adhering to regulations ensure the safe and authorized transport of oversized vehicles on Philippine roads. </t>
  </si>
  <si>
    <t>What are the laws regarding the use of mobile phones while driving in the Philippines?</t>
  </si>
  <si>
    <t xml:space="preserve">In the Philippines, the use of mobile phones while driving is regulated by the **Republic Act No. 10913**, also known as the **Anti-Distracted Driving Act (ADDA)**. This law was enacted in 2017 to curb the rising number of accidents caused by distracted driving, with mobile phone use identified as a significant contributing factor.
Here's a breakdown of the key points regarding the ADDA:
* **Prohibited Actions:**  The law prohibits drivers of motor vehicles from holding and using mobile communication devices and electronic entertainment gadgets while the vehicle is in motion or temporarily stopped on a traffic light or intersection. This includes activities like:
    * Making or receiving calls
    * Texting or sending messages
    * Playing games
    * Watching videos
    * Browsing the internet
    * Composing messages
* **Exceptions:**  The ADDA allows the use of hands-free functions like speakerphones or earphones  **as long as these devices do not block the driver's line of sight**.  However, it's important to exercise caution  as even hands-free conversations can still distract drivers from focusing on the road.
* **Penalties:**  Violating the ADDA can lead to fines and penalties. The specific penalties may vary depending on the number of offenses:
    * **First Offense:** P5,000 fine
    * **Second Offense:** P10,000 fine
    * **Third Offense:** P15,000 fine and 3-month driver's license suspension
    * **Fourth Offense:** P20,000 fine and driver's license revocation
* **Enforcement:**  The Land Transportation Office (LTO) and traffic enforcement agencies are responsible for enforcing the ADDA. 
**Additional Resources:**
* **LTO Portal - Is Using a Mobile Phone While Driving Illegal?:** [https://ltoportal.ph/is-using-a-mobile-phone-while-driving-illegal/](https://ltoportal.ph/is-using-a-mobile-phone-while-driving-illegal/) This webpage provides a clear explanation of the ADDA and its implications.
* **MMDA Anti-Distracted Act FAQ:** [https://mmda.gov.ph/20-faq/2575-anti-distracted-act-faq.html](https://mmda.gov.ph/20-faq/2575-anti-distracted-act-faq.html) This FAQ section by the MMDA clarifies common questions regarding the ADDA, including the types of vehicles covered and situations where using a mobile phone might be considered a violation.
**Remember:**
* It's important to prioritize safety on the road. 
* Put your phone away entirely while driving to minimize distractions and avoid potential accidents. 
* If you need to use your phone, pull over to a safe location first.
</t>
  </si>
  <si>
    <t>What are the regulations for operating tricycles in the Philippines?</t>
  </si>
  <si>
    <t xml:space="preserve">## Tricycle Operation Regulations in the Philippines: A Comprehensive Overview
The operation of tricycles in the Philippines is governed by a multifaceted regulatory framework that combines national and local government issuances. This overview provides a professional breakdown of the key points to consider:
**National Framework:**
* **Republic Act No. 4136 (Land Transportation and Traffic Code):** Establishes the foundation for road safety, outlining general rules applicable to all vehicles, including tricycles.
* **Department of Transportation (DOTr) Issuances:** The DOTr, through the Land Transportation Office (LTO), sets national guidelines for vehicle roadworthiness and driver licensing requirements that apply to tricycles.
**Local Government Regulation (Primary Control):**
* **Local Government Code of 1991:** Empowers cities and municipalities to exercise significant control over tricycle operations within their jurisdiction. This authority encompasses granting franchises, designating routes and fares, and establishing specific tricycle operation requirements.
* **Sangguniang Bayan/Panlungsod (Municipal/City Council) Ordinances:** Local ordinances typically address the following aspects of tricycle operations:
    * **Franchise Requirements:**  These ordinances outline the process and qualifications necessary for tricycle operators to obtain a franchise to operate within a specific area.  
    * **Designated Routes Local authorities establish designated routes to manage traffic flow and minimize competition with other public utility vehicles (PUVs). 
    * **Fare Rates:**  Authorized tricycle fares are set to ensure affordability for passengers and a sustainable income for operators. Fare adjustments based on fuel costs or other factors may occur periodically.
    * **Vehicle Specifications and Maintenance:**  Standards are established for tricycle design, passenger capacity, and safety features (e.g., headlamps, reflectors). Additionally, regular maintenance checks to ensure roadworthiness may be mandated.  
    * **Driver's License Requirements:**  Qualifications and licensing requirements for tricycle drivers are specified.
**Additional Considerations:**
* **Color Coding Scheme:**  Some localities implement color coding schemes to regulate tricycle operations on specific days, aiming to manage traffic flow more effectively.
* **National Franchising Authority (NFA) Involvement (Limited Cases):**  In specific situations, the NFA may get involved in granting franchises for tricycles operating across municipal or city boundaries.
**Finding the Most Current Information:**
* **Land Transportation Office (LTO) Website:** [https://ltoportal.ph/](https://ltoportal.ph/) provides general information on vehicle registration and driver licensing requirements that apply to tricycles.
* **Contacting Your Local Government Unit (LGU):**  Obtaining the most up-to-date and comprehensive information on tricycle operation regulations in your area requires contacting your city or municipal transportation office or department.  These local government agencies can provide details on franchise applications, designated routes, fare rates, and other tricycle-related ordinances applicable in your specific location.
**Conclusion:**
Understanding the regulations for tricycle operations in the Philippines necessitates considering both national and local government directives. Consulting your LGU is crucial for obtaining the most accurate and comprehensive information on tricycle operation regulations in your area. </t>
  </si>
  <si>
    <t>What are the penalties for overloading vehicles in the Philippines?</t>
  </si>
  <si>
    <t xml:space="preserve">There are two main pieces of legislation in the Philippines that deal with penalties for overloading vehicles:
* **Republic Act No. 8794** also known as the **"Anti-Overloading Act"**
This Act focuses on trucks and trailers exceeding their weight limits. It  states in **Section 6** that a penalty equivalent to **twenty-five percent (25%) of the Motor Vehicle User's Charge (MVUC)** will be imposed for exceeding the prescribed gross vehicle weight. There's an additional condition that no axle load  can surpass **thirteen thousand five hundred kilograms (13,500 kgs)**. 
* **Land Transportation Franchising and Regulatory Board (LTFRB) regulations**
These regulations apply to Public Utility Vehicles (PUVs) such as buses, jeepneys, and vans. While there isn't a specific mention of overloading in the Constitution, the LTFRB has the authority to impose penalties under its mandate.  These penalties can include fines and even cancellation of a Certificate of Public Convenience (CPC) for repeat offenders. 
Here's a breakdown of what you might find under LTFRB regulations:
* **First offense:**  A fine of **P5,000** [LTFRB implements heavy penalties vs 'colorum', other violations, Manila Bulletin]
* **Second offense:** A fine of **P10,000** and impounding of the unit for 30 days [LTFRB implements heavy penalties vs 'colorum', other violations, Manila Bulletin]
* **Third offense:** A fine of **P15,000** and cancellation of the CPC [LTFRB implements heavy penalties vs 'colorum', other violations, Manila Bulletin]
**Important to note:**  These are just some of the possible penalties.  The specific penalty will depend on the severity of the overloading and the type of vehicle involved.
</t>
  </si>
  <si>
    <t>What are the rules for transporting pets in vehicles in the Philippines?</t>
  </si>
  <si>
    <t xml:space="preserve">While there are no specific regulations in the Philippine Constitution or Republic Acts regarding transporting pets in private vehicles, there are guidelines issued by the Land Transportation Franchising and Regulatory Board (LTFRB) that apply to Public Utility Vehicles (PUVs). 
Here's what the LTFRB Memorandum Circular No. 2020-003 dictates for transporting pets in PUVs:
* **Pet carriers are mandatory:**  Pets must be secured in a cage or carrier to ensure the safety of the animal and other passengers [LTFRB releases added guidelines for carrying pets in public utility vehicles, Inquirer.net].
* **Placement within the PUV:** Ideally, the pet carrier should be beside the owner and not left unattended [LTFRB releases added guidelines for carrying pets in public utility vehicles, Inquirer.net]. 
* **Designated animal compartments are not a guarantee:** While the older LTFRB memo mentioned designated animal compartments, the reality is that most PUVs lack these with proper ventilation [LTFRB releases added guidelines for carrying pets in public utility vehicles, Inquirer.net].
* **Hygiene and Sanitation:**  The pet should wear a diaper to maintain cleanliness throughout the journey [LTFRB issues add'l guidelines on allowing pets in PUVs, Philippine News Agency].
* **Size restrictions:** Only small and medium-sized dogs are allowed [LTFRB releases added guidelines for carrying pets in public utility vehicles, Inquirer.net]. 
* **Pet fare:**  The pet is considered an additional passenger and needs to pay a fare equivalent to a regular passenger seat [LTFRB issues add'l guidelines on allowing pets in PUVs, Philippine News Agency].
**For transporting pets in private vehicles, there are no established regulations. However, common sense and safety precautions are highly recommended.** This includes using a pet harness or carrier, ensuring proper ventilation, taking breaks during long journeys, and never leaving your pet unattended in a parked car. </t>
  </si>
  <si>
    <t>What are the regulations for operating jeepneys in the Philippines?</t>
  </si>
  <si>
    <t xml:space="preserve">There are several regulations that apply to operating jeepneys in the Philippines. Here's a breakdown from Philippine law sources:
**Republic Act No. 4136 also known as the "Land Transportation and Franchising Code"** establishes the Land Transportation Franchising and Regulatory Board (LTFRB) and grants its authority over jeepneys as public utility vehicles (PUVs).
**LTFRB Memorandum Circulars and Resolutions** provide specific regulations for jeepney operations. Here are some key points:
* **Franchise Requirement:** A jeepney needs a valid Certificate of Public Convenience (CPC) issued by the LTFRB to operate legally [LTFRB implements heavy penalties vs 'colorum', other violations, Manila Bulletin].
* **Driver's License and Qualifications:** Drivers must possess a professional driver's license with the appropriate code for the specific jeepney type (e.g., Category 3 for jeepneys). They are also required to undergo mandatory seminars on road safety and regulations [LTFRB conducts surprise drug test on bus, jeepney drivers, Philippine News Agency].
* **Roadworthiness:** Jeepneys must pass regular inspections to ensure they comply with safety standards set by the LTFRB. This covers vehicle condition, tire quality, and mandated features like working headlights, taillights, and brake lights [LTFRB implements heavy penalties vs 'colorum', other violations, Manila Bulletin].
* **Passenger Capacity and Fare Rates:** The LTFRB dictates the maximum passenger capacity for each jeepney type. Fare rates are also regulated and displayed prominently inside the jeepney [LTFRB approves P2 minimum jeepney fare hike in Metro Manila, Philstar.com].
* **Designated Stops and Routes:** Jeepneys are required to follow designated routes and only stop at authorized loading and unloading areas to prevent traffic congestion [Section 6. Penalties, Republic Act No. 11235 or the "Anti-Distracted Driving Act"].
**Public Utility Vehicle Modernization Program (PUVMP):** This program by the Department of Transportation (DOTr) aims to modernize jeepneys. While not purely legal regulations, it's important to consider:
* **Phasing Out Old Jeepneys:** The PUVMP mandates the gradual phase-out of jeepneys exceeding 15 years old. These are replaced by Euro 4-compliant or electric jeepneys [Jeepneys, Backbone of Public Transport in Philippines, Face Modernization by Government, Asia Pacific].
* **New Jeepney Features:** Modernized jeepneys may include features like CCTV cameras, automated fare collection systems, speed limiters, and GPS monitors [Public Utility Vehicle Modernization Program, Wikipedia].
**Remember:** This is not an exhaustive list, and regulations can evolve. It's advisable to consult the LTFRB website or a lawyer specializing in transportation law for the latest information. </t>
  </si>
  <si>
    <t>What are the laws regarding the use of headlights and other lighting devices on vehicles?</t>
  </si>
  <si>
    <t xml:space="preserve">The law regarding the use of headlights and other lighting devices on vehicles in the Philippines is found in Republic Act No. 4136, also known as the Land Transportation and Traffic Code. Here's a breakdown of the relevant sections:
* **Section 6**  **Headlights:**
  * **Applies to:**  This section applies to all motor vehicles with a width exceeding one meter.
  * **Requirement:** Every such vehicle must have two headlights, one on each side, with white or yellowish light visible from the front.
  * **When to use:** Headlights must be lit:
      * Not later than one-half hour after sunset.
      * Until at least one-half hour before sunrise.
      * Whenever weather conditions require them (e.g., fog, heavy rain).
* **Unmentioned but implied:** 
  * Taillights: While not explicitly mentioned in Section 6, taillights are generally considered essential for nighttime driving and are likely mandated under general road safety regulations.
**Additional Regulations:**
* **Dimming Headlights:** While not part of RA 4136, other regulations likely exist. It's common practice and likely mandated by LTFRB memorandums to dim headlights or tilt the beams downward:
    * When operating on well-lighted streets within cities or populated areas.
    * When meeting another vehicle on any public highway.
**Finding more specifics:**
* **LTFRB Memorandums:**  These memorandums might provide more specific details on headlight usage and other lighting devices for different vehicle types. You can check the LTFRB website for these.
**Important Note:** This is not a substitute for legal advice. For a comprehensive understanding of all regulations regarding vehicle lighting, consult a lawyer specializing in transportation law. </t>
  </si>
  <si>
    <t>What are the penalties for driving without a valid driver's license in the Philippines?</t>
  </si>
  <si>
    <t xml:space="preserve">In the Philippines, driving without a valid driver's license is a violation under Republic Act No. 4136, also known as the Land Transportation and Traffic Code. Here's what the law states:
* **Section 21:**  This section requires drivers to possess a driver's license corresponding to the type of motor vehicle they are operating.
* **Penalties:** The specific penalty provision isn't mentioned in Section 21. However:
   * **LTO Fines:** The Land Transportation Office (LTO) imposes a fine of **₱3,000** for driving without a license [LTO Violations and Penalties in 2023: List of Fines, Moneymax].
Here's what else to consider:
* **Other equivalent acts:** The ₱3,000 fine applies not only to driving without a license but also to situations where you have:
    * An **expired** driver's license
    * A **suspended** driver's license
    * A **revoked** driver's license
    * A **fake** driver's license
* **Student Permit Holders:**  If you have a student permit but are caught driving without a licensed driver accompanying you, you will also be penalized with the ₱3,000 fine [What happens if you get caught driving without license, Zigwheels].
* **Vehicle Impoundment:**  In some cases, authorities might tow and impound your vehicle, especially if your license is fake or if you cannot present any valid license documentation [What are the consequences of driving without a license in the Philippines, AutoDeal].
**Important to Remember:**
* This information is for general knowledge and shouldn't be considered legal advice. 
* The specific penalty might vary depending on the circumstances of the violation.
* For a comprehensive understanding of the legalities and potential consequences, consult a lawyer specializing in traffic law.
</t>
  </si>
  <si>
    <t>What are the regulations for operating taxis in the Philippines?</t>
  </si>
  <si>
    <t xml:space="preserve">The regulations for operating taxis in the Philippines come from a combination of sources:
* **Republic Act No. 4136** (Land Transportation and Franchising Code): This Act establishes the Land Transportation Franchising and Regulatory Board (LTFRB) which governs taxis as Public Utility Vehicles (PUVs).
* **LTFRB Memorandum Circulars and Resolutions:** These provide the specific regulations for taxi operations. Here are some key points:
    * **Franchise Requirement:** A taxi needs a valid Certificate of Public Convenience (CPC) issued by the LTFRB [LTFRB implements heavy penalties vs 'colorum', other violations, Manila Bulletin].
    * **Driver's License and Qualifications:** Drivers must possess a professional driver's license with a code for taxis (e.g., Category 2 for taxis). They are also required to undergo mandatory seminars on road safety and regulations [LTFRB conducts surprise drug test on bus, jeepney drivers, Philippine News Agency].
    * **Vehicle Requirements:** Taxis must meet specific vehicle standards. This includes features like:
        * **Metered fare system:** The taxi must have a calibrated and sealed meter to ensure fair pricing [LTFRB-MC-No-2020-018.pdf, UP College of Law]
        * **Proper signage:** The taxi must have a visible "Taxi" sign and markings indicating the franchise information [LTFRB-MC-No-2020-018.pdf, UP College of Law]
        * **GPS/Navigation System:** While not always mandatory, some LTFRB regulations or franchise agreements might require them [LTFRB-MC-No-2020-018.pdf, UP College of Law]
    * **Passenger Capacity:** The LTFRB dictates the maximum number of passengers allowed in a taxi (typically 4 passengers) [LTFRB releases guidelines for TNVS, taxi operators in areas under GCQ, Inquirer.net].
    * **Fare Rates:** Fare rates are regulated by the LTFRB and displayed prominently inside the taxi [LTFRB approves P2 minimum jeepney fare hike in Metro Manila, Philstar.com].
    * **Designated Stops and Routes:** While taxis have more flexibility compared to jeepneys, some regulations might designate specific taxi stands or limit operation within a certain area [LTFRB Memorandum Circulars, specific details might vary].
* **Department of Transportation (DOTr) regulations:**
    * **Public Utility Vehicle Modernization Program (PUVMP):** This program aims to modernize taxis. While not purely legal regulations, it's important to consider:
        * **Phasing Out Old Taxis:** The PUVMP may mandate the gradual phase-out of taxis exceeding a certain age. These are replaced by Euro 4-compliant or electric taxis [Jeepneys, Backbone of Public Transport in Philippines, Face Modernization by Government, Asia Pacific].
        * **New Taxi Features:** Modernized taxis may include features like CCTV cameras, automated fare collection systems, and GPS monitors [Public Utility Vehicle Modernization Program, Wikipedia].
**Finding the latest information:**
* **LTFRB website:** This website is a good resource for the latest regulations on taxi operations  LTFRB website: [invalid URL removed] 
* **Consulting a lawyer:** A lawyer specializing in transportation law can provide the most up-to-date and comprehensive understanding of regulations specific to your situation.
</t>
  </si>
  <si>
    <t>What are the laws regarding the use of horns and other audible warning devices on vehicles?</t>
  </si>
  <si>
    <t xml:space="preserve">In the Philippines, the laws regarding the use of horns and other audible warning devices on vehicles come from two main sources:
* **Republic Act No. 4136** (Land Transportation and Traffic Code): This Act provides a general framework.
* **Presidential Decree No. 96:** This decree establishes stricter limitations on horn usage and installation.
Here's a breakdown of the key points:
**Republic Act No. 4136 (RA 4136):**
* **Section 6 (b-1): Horns** 
    * Every motor vehicle **must** have a horn in good working order.
    * The horn sound should be audible from at least **200 feet (around 61 meters)** under normal conditions.
    * However, the horn cannot be **exceptionally loud, startling, or disagreeable**. 
**Presidential Decree No. 96:**
* **Focuses on preventing excessive noise:** This decree aims to regulate the use of horns that create unnecessary noise pollution.  
* **Prohibitions:**
    * It's unlawful to install or use horns with **exceptionally loud, startling, or disagreeable sounds** on any motor vehicle. 
    * This includes horns that produce **whistles** or **sirens**.
* **Penalties:**
    * The decree authorizes the confiscation of any unauthorized horn or noise-making device installed on a vehicle.
    * Repeat offenders may face **imprisonment for six months** and/or a fine of **₱600**. 
    * Additionally, the vehicle's Certificate of Registration might be cancelled or revoked.
**In essence:**
* You must have a working horn, but it cannot be excessively loud or create an unpleasant sound. 
* Using horns with whistles or sirens is strictly prohibited.
**Additional Points:**
* While not explicitly mentioned in these laws,  horns should be used **reasonably** and only when **necessary for safety**.  
* Honking excessively can be considered a traffic violation and might result in penalties.
* Local government units might have additional ordinances regarding horn usage in specific areas. 
**Remember:** This is for general knowledge and shouldn't be a substitute for legal advice. </t>
  </si>
  <si>
    <t>What are the penalties for reckless driving in the Philippines?</t>
  </si>
  <si>
    <t xml:space="preserve">In the Philippines, the penalties for reckless driving depend on the severity of the offense and whether it results in any injuries or damage. Here's a breakdown based on Philippine law:
* **Republic Act No. 4136** (Land Transportation and Traffic Code): While it doesn't explicitly define reckless driving, it empowers the Land Transportation Office (LTO) to apprehend violators.
* **LTO Apprehension and Penalty:** The LTO imposes a fine for reckless driving ranging from **₱2,000 to ₱10,000**. 
Here's how the penalties increase based on the number of offenses:
    * **1st Offense:** ₱2,000 fine
    * **2nd Offense:** ₱3,00* fine + 3-month driver's license suspension
    * **3rd and Subsequent Offenses:** ₱10,000 fine + 6-month driver's license suspension or revocation
**Reckless Driving Resulting in Physical Harm:**
If reckless driving results in physical injuries or death, the penalties become more severe and might involve the Revised Penal Code:
* **Article 263 of the Revised Penal Code:** This covers Reckless Imprudence Resulting in Physical Injuries. Penalties depend on the severity of the injuries. 
* **Article 249 of the Revised Penal Code:** This covers Reckless Imprudence Resulting in Homicide. Penalties include imprisonment depending on the circumstances.
**Important Notes:**
* This information provides a general overview. The specific penalty will depend on the investigating officer's report and the court's decision.
* Consulting a lawyer specializing in traffic law is highly recommended for a comprehensive understanding of the legal aspects and potential consequences in your situation.
</t>
  </si>
  <si>
    <t>What are the regulations for operating shuttle services in the Philippines?</t>
  </si>
  <si>
    <t xml:space="preserve">The regulations for operating shuttle services in the Philippines can vary depending on the nature of the service. Here's a breakdown based on Philippine law:
**For shuttle services operating within private subdivisions or companies:**
* **Limited Regulations:** There are no specific national regulations under the Constitution or Republic Acts (RAs) that govern these shuttles. 
* **Focus on Agreements:** The operation is likely based on a contractual agreement between the shuttle service provider and the subdivision/company. This agreement would outline the service details, routes, fares, and safety procedures.
* **LTFRB Authority might apply in some cases:**  In some instances, if the shuttle service uses public roads for a significant portion of its route, it might fall under the authority of the Land Transportation Franchising and Regulatory Board (LTFRB). The LTFRB  might require certain permits or impose regulations related to vehicle safety and driver qualifications.
**For shuttle services operating as Public Utility Vehicles (PUVs):**
* **LTFRB Regulations:** These shuttles require a Certificate of Public Convenience (CPC) issued by the LTFRB. The LTFRB enforces regulations that include:
    * **Vehicle Requirements:** The shuttles must meet specific safety standards and have features like proper seating, designated areas for passengers with disabilities, and working lighting and ventilation [LTFRB guidelines on the inclusion of vans as shuttle service - LTFRB, ltfrb.gov.ph].
    * **Driver's License and Qualifications:** Drivers must possess a professional driver's license with the appropriate code for the shuttle type (e.g., Category 3 for some vans). They are also required to undergo mandatory seminars on road safety and regulations [LTFRB conducts surprise drug test on bus, jeepney drivers, Philippine News Agency].
    * **Designated Routes and Stops:** Shuttle services must operate within designated routes and only stop at authorized loading and unloading areas to prevent traffic congestion [Section 6. Penalties, Republic Act No. 11235 or the "Anti-Distracted Driving Act"].
    * **Fare Rates:** The LTFRB dictates the maximum passenger capacity and fare rates for the shuttle service. These fares are displayed prominently inside the vehicle [LTFRB approves P2 minimum jeepney fare hike in Metro Manila, Philstar.com]. 
**Finding the latest information:**
* **LTFRB website:** This website is a good resource for regulations on shuttle services operating as PUVs: [invalid URL ltfrb gov ph ON Land Transportation Franchising and Regulatory Board]
* **Reviewing the Contract:**  If the shuttle service operates within a private subdivision or company,  reviewing the agreement with the service provider can provide details on the regulations specific to that service.
* **Consulting a lawyer:** A lawyer specializing in transportation law can give a comprehensive understanding of the legalities  based on the specific circumstances of the shuttle service. </t>
  </si>
  <si>
    <t>What are the requirements for obtaining a professional driver's license in the Philippines?</t>
  </si>
  <si>
    <t xml:space="preserve">Here are the requirements for obtaining a professional driver's license in the Philippines, based on Philippine law:
**Qualifications:**
* Must be at least **18 years old** [Professional License Application Requirements, ltoexam.com].
* Must be **physically and mentally fit** to operate a motor vehicle [Professional License Application Requirements, ltoexam.com].
* Must be able to **read and write in Filipino, English, or any other major dialect** [How to Get LTO Driver's License in the Philippines, ltoportal.ph].
* Must not have an **unsettled traffic violation** [How to Convert Non-Pro to Pro LTO Driver's License, ltoportal.ph].
**Documents:**
* **Duly accomplished Application for Permits and Licenses (APL) Form** [Professional License Application Requirements, ltoexam.com].
* **Original and one (1) photocopy of LTO-accredited medical certificate** [How to Convert Non-Pro to Pro LTO Driver's License, ltoportal.ph].
* **Original and one (1) photocopy of a valid professional driver's license or student permit (at least six months old)** [Professional License Application Requirements, ltoexam.com].
* **Original and one (1) photocopy of a valid government ID** [Getting Your LTO Philippines Driver's License: How to Apply or Renew, Globe Telecom, globe.com.ph]. (For minors, a notarized parental or guardian's consent with a valid government ID is required) 
* **Original and one (1) photocopy of the Theoretical Driving Course (TDC) certificate (for first-time applicants)** [Getting Your LTO Philippines Driver's License: How to Apply or Renew, Globe Telecom, globe.com.ph].
* **Negative drug test result from a Department of Health (DOH)-accredited testing center or government hospital** [Professional License Application Requirements, ltoexam.com].
* **Taxpayer's Identification Number (TIN), if employed** [How to Get LTO Driver's License in the Philippines, ltoportal.ph].
* **Certificate from Commanding Officer if military personnel** [Professional License Application Requirements, ltoexam.com]. (Optional for non-military personnel)
**Process:**
1. Secure the necessary documents.
2. Apply at an LTO licensing center.
3. Pay the required fees.
4. Pass the written and practical driving exams.
5. Have your photo taken and affix your signature if you passed both tests.
6. Your professional driver's license and official receipt will be sent to you by LTO, and you will be required to sign the Release Form [Getting Your LTO Philippines Driver's License: How to Apply or Renew, Globe Telecom, globe.com.ph].
**Important Notes:**
* This is a general guide, and specific requirements might change. It's advisable to visit the Land Transportation Office (LTO) website or contact them for the latest information: [https://ptops-ncr.ltfrb.gov.ph/](https://ptops-ncr.ltfrb.gov.ph/).
* Consider consulting a driving school accredited by the LTO for proper training and guidance throughout the process.
</t>
  </si>
  <si>
    <t>What are the laws regarding the use of bicycle lanes in the Philippines?</t>
  </si>
  <si>
    <t xml:space="preserve">There isn't a single, comprehensive law in the Philippines dedicated solely to bicycle lanes. However, regulations regarding their use come from a combination of sources in Philippine law:
* **Republic Act No. 7924** (The Special Program for the Employment of Students): While not directly about bicycle lanes, this act  encourages the **promotion of non-motorized transportation**. This indirectly supports the development and use of bicycle lanes  [MMDA Resolution No. 13-04, MMDA website: [invalid URL mmda resolution ON Metropolitan Manila Development Authority mmda.gov.ph]].
* **Metropolitan Manila Development Authority (MMDA) Resolution No. 13-04:** This resolution  **urges local government units (LGUs) in Metro Manila** to designate and regulate the use of bicycle lanes  within their jurisdictions [MMDA Resolution No. 13-04, MMDA website: [invalid URL mmda resolution ON Metropolitan Manila Development Authority mmda.gov.ph]]. 
* **Land Transportation Office (LTO):** The LTO  classifies bicycles as non-motorized vehicles. While they don't have specific regulations on bicycle lanes, they do have guidelines for bicycle use on public roads:
    * Bicycles must have a white front light and a red rear reflector or light for nighttime visibility  [LTO Advisory No. 2013-21, LTFRB website: [invalid URL ltfrb gov ph ON Land Transportation Franchising and Regulatory Board]].
    * Cyclists should  wear a helmet for safety  [What are the Rules and Regulations for Bicycles on the Road?, Pinoy Fitness, pinoyfitness.com]. (While not strictly enforced everywhere, it's highly recommended)
* **Senate Bill No. 1290 also known as the "Walkable and Bikeable Communities Act":** This is a proposed bill  seeking to establish a **nationwide framework for bicycle lanes and walkways**. It  wasn't yet passed into law as of October 26, 2023, but it highlights the growing interest in promoting cycling safety and infrastructure [Senate approves bill seeking to establish bicycle lanes, safety laws, Philippine News Agency, pna.gov.ph].
**In essence:**
* The use of bicycle lanes is generally encouraged for safety reasons.
* Specific regulations regarding lane usage, markings, and enforcement might vary depending on the local government unit (LGU).
**Here are some additional points to consider:**
*  **Respecting Traffic Laws:** Cyclists are still expected to follow general traffic rules when using bicycle lanes. 
* **Sharing the Road:**  While bicycle lanes provide a designated space for cyclists,  motorists should still be aware of cyclists and avoid obstructing the lane.
* **Pedestrian Crossings:** Cyclists should yield to pedestrians at crosswalks, even if the crosswalk is within a bicycle lane.
Remember, this is for general information only. It's advisable to  check with your local government unit (LGU) for specific ordinances regarding bicycle lane usage in your area. </t>
  </si>
  <si>
    <t>What are the penalties for street racing in the Philippines?</t>
  </si>
  <si>
    <t xml:space="preserve">Street racing is illegal in the Philippines, and there are several laws that can be used to penalize offenders. Here's a breakdown of the relevant Philippine laws:
**No Specific Law on Street Racing:**
* Unlike some countries, the Philippines doesn't have a single, specific law that solely addresses street racing.
**Penalties through Existing Laws:**
However, authorities can use existing laws to penalize street racing activities:
* **Republic Act No. 4136 (Land Transportation and Traffic Code):**
    * **Section 20:** This section prohibits reckless driving.  Since street racing inherently involves reckless behavior and poses a danger to others, it can be penalized under this section  [LTO fines and penalties, LTFRB website: [invalid URL ltfrb gov ph ON Land Transportation Franchising and Regulatory Board]].  Penalties include fines ranging from ₱2,000 to ₱10,000 with potential license suspension or revocation for repeat offenses. 
    * **Section 6:** This section requires vehicles to have properly functioning headlights and taillights.  Vehicles involved in street racing might be found to be violating this section if they have modified lights that hinder safe operation  [Land Transportation and Traffic Code, LawPH.net].
* **Anti-Distracted Driving Act (Republic Act No. 11235):**  
    * This Act prohibits activities like using mobile phones or other electronic devices while driving.  If a driver involved in street racing is found to be distracted, they can be penalized under this Act in addition to other charges [Anti-Distracted Driving Act, Senate of the Philippines, legacy.senate.gov.ph].
**Potential for Increased Penalties:**
* **Senate Bill No. 3275:** This bill,  also known as the "Anti-Drag Racing Act of 2017",  sought to establish a specific law against drag racing (a form of street racing). While this  bill  wasn't passed into law, it highlights the intent to potentially create harsher penalties for street racing in the future [Binge Driving Under the Influence of Dangerous Drugs and Anti-Drag Racing Act of 2017, Senate of the Philippines, legacy.senate.gov.ph]. 
**Important Notes:**
* The specific penalty for an offense will depend on the  severity of the violation and  the discretion of the court. 
*  If street racing results in injuries or damage to property,  more serious charges like reckless imprudence resulting in physical injuries or damage to property  under the Revised Penal Code might apply. These can lead to imprisonment  penalties.
**Recommendation:**
* It's important to understand that  street racing is not only illegal but also extremely dangerous.  Always prioritize safe driving practices.
</t>
  </si>
  <si>
    <t>What are the regulations for operating school buses in the Philippines?</t>
  </si>
  <si>
    <t>Here's a breakdown of the regulations for operating school buses in the Philippines:
**Main Regulatory Bodies:**
* **Land Transportation Franchising and Regulatory Board (LTFRB):**  The LTFRB is the primary government agency responsible for regulating school bus operations. They issue franchises and enforce regulations to ensure safety.
* **Department of Transportation (DOTr):** The DOTr, through programs like the Public Utility Vehicle Modernization Program (PUVMP),  influences  standards for school buses.
**Key Regulations:**
* **Franchise Requirement:** A school bus needs a valid Certificate of Public Convenience (CPC) issued by the LTFRB specifically for school service [LTFRB has new requirements for school shuttle services, [invalid URL removed].ph].
* **Driver Qualifications:** Drivers must possess a professional driver's license with a code for the specific school bus type and undergo mandatory seminars on road safety and regulations [LTFRB has new requirements for school shuttle services, [invalid URL removed].ph].
* **Vehicle Requirements:** School buses must meet specific safety standards set by the LTFRB. This includes:
    * **Age Limit:** Newer regulations from 2023 restrict school buses to vehicles under 15 years old [LTFRB has new requirements for school shuttle services, [invalid URL removed].ph]. 
    * **Seatbelts:** All school buses must be equipped with seatbelts for each passenger [LTFRB has new requirements for school shuttle services, [invalid URL removed].ph]. (Senate Bill No. 964 also proposes mandatory seatbelts, though not yet a law)
    * **Steel-Grilled Windows:** Windows must have steel grills to prevent children from accidentally falling out while open [LTFRB has new requirements for school shuttle services, [invalid URL removed].ph].
    * **Working Fire Extinguisher:** A portable fire extinguisher must be readily available on the bus [LTFRB has new requirements for school shuttle services, [invalid URL removed].ph]. 
    * **First-Aid Kit:** A first-aid kit must be present for minor medical emergencies [LTFRB has new requirements for school shuttle services, [invalid URL removed].ph].
    * **Signage:** "School Service" markings and other LTFRB-mandated signages must be visible on the exterior [LTFRB has new requirements for school shuttle services, [invalid URL removed].ph].
* **Student Safety Measures:** 
    * **Health and Hygiene:** Drivers and conductors might be required to undergo regular medical examinations  [LTFRB school buses can resume operations if..., newsinfo.inquirer.net]. 
    * **Stop Sign:**  A portable "STOP" sign might be required for the conductor to use when students cross the road [LTFRB school buses can resume operations if..., newsinfo.inquirer.net].
* **Passenger Capacity:** The LTFRB dictates the maximum number of students allowed on a school bus, considering safety and designated seating arrangements. 
* **Fare Rates:**  Fares for school bus services are typically regulated by the LTFRB, and the rates are displayed prominently inside the bus [LTFRB approves P2 minimum jeepney fare hike in Metro Manila, Philstar.com].
**Public Utility Vehicle Modernization Program (PUVMP):**
* The PUVMP aims to modernize public utility vehicles, including school buses. While not purely legal regulations, it's important to consider:
    * **Phasing Out Old School Buses:** The PUVMP mandates the gradual phase-out of school buses exceeding the age limit. These are replaced by Euro 4-compliant or electric school buses  [Jeepneys, Backbone of Public Transport in Philippines, Face Modernization by Government, Asia Pacific].
    * **New Features:** Modernized school buses may include CCTV cameras, automated fare collection systems, and GPS monitors for improved safety and tracking [Public Utility Vehicle Modernization Program, Wikipedia].
**Finding the latest information:**
* **LTFRB Website:** This website is a good resource for the latest regulations on school bus operations: [invalid URL ltfrb gov ph ON Land Transportation Franchising and Regulatory Board] 
* **Consulting a lawyer:** A lawyer specializing in transportation law can provide a comprehensive understanding of the legalities  based on the specific situation.
**Important Notes:**
* These are general guidelines.  Specific requirements might vary depending on the LTFRB regional office or franchise agreement.  
*  Remember,  the safety of students is the top priority.  Always ensure the school bus service you choose adheres to safety regulations.</t>
  </si>
  <si>
    <t>What are the requirements for obtaining a conductor's license for public transportation vehicles?</t>
  </si>
  <si>
    <t xml:space="preserve">To obtain a conductor's license for public transportation vehicles in the Philippines, you'll need to meet specific qualifications and follow certain procedures set by the Land Transportation Office (LTO). Here's a breakdown of the key requirements:
**Qualifications:**
* **Age:** Must be at least 18 years old [How to Get an LTO Conductor's License, ltoportal.ph].
* **Physical and Mental Fitness:** Must be physically and mentally fit to work and free from any contagious diseases [How to Get an LTO Conductor's License, ltoportal.ph].
* **Literacy:** Must be able to read and write in Filipino, English, or any other major dialect [How to Get LTO Driver's License in the Philippines, ltoportal.ph].
* **No Unsettled Traffic Violations:** Must not have any unsettled traffic violations [How to Convert Non-Pro to Pro LTO Driver's License, ltoportal.ph].
**Documents:**
* **Duly Accomplished Application for Permits and Licenses (APL) Form:** This form can be acquired from any LTO licensing center [Professional License Application Requirements, ltoexam.com].
* **Original and photocopy of an LTO-accredited medical certificate:** The medical certificate must certify your fitness to work as a conductor [How to Get an LTO Conductor's License, ltoportal.ph].
* **Original and photocopy of a valid government ID:** Examples include a Philippine passport, PSA Birth Certificate, or Unified Multi-Purpose ID (UMID) card [Getting Your LTO Philippines Driver's License: How to Apply or Renew, Globe Telecom, globe.com.ph]. (For minors, a notarized parental consent with a valid government ID is required)
* **Original and photocopy of any of the following clearances:**
    * National Bureau of Investigation (NBI) Clearance
    * Police Clearance
    * Court Clearance
* **Taxpayer's Identification Number (TIN):** While not always mandatory, it's advisable to have a TIN for faster processing [How to Get an LTO Conductor's License, ltoportal.ph]. 
**Process:**
1. Gather all the required documents.
2. Visit your nearest LTO licensing center.
3. Apply for a conductor's license and pay the necessary fees.
4. Pass the written exam, which covers topics like traffic rules, passenger safety, and basic first aid [LTO Conductor's License Exam Reviewer 2023, ltoportal.ph].
5. If you pass the written exam, you might need to take a practical demonstration to assess your skills in assisting passengers and ensuring their safety while boarding and disembarking [LTO Conductor's License Exam Reviewer 2023, ltoportal.ph]. (Specific requirements might vary depending on the LTO office)
6.  Upon passing both the written and practical tests, your photo will be taken, and you'll need to sign your application form [Getting Your LTO Philippines Driver's License: How to Apply or Renew, Globe Telecom, globe.com.ph].
7. Your conductor's license will be sent to you by LTO via mail, and you'll need to sign the Release Form upon claiming it [Getting Your LTO Philippines Driver's License: How to Apply or Renew, Globe Telecom, globe.com.ph].
**Important Notes:**
* This is a general guide, and specific requirements might change. It's recommended to visit the LTO website or contact your nearest LTO office for the latest information: [https://lto.gov.ph/](https://lto.gov.ph/).
* Consider attending a conductor's training course offered by accredited driving schools for a better understanding of the responsibilities and skills required for the job.
* Remember, a conductor's license allows you to assist the driver and ensure passenger safety. It doesn't qualify you to operate the vehicle itself.
</t>
  </si>
  <si>
    <t>What are the laws regarding the use of tinted windows on vehicles in the Philippines?</t>
  </si>
  <si>
    <t>The Philippines doesn't have a single, definitive law specifically on car window tinting. However, regulations regarding window tint come from a combination of sources:
* **Land Transportation Office (LTO):** While there's no official law, the LTO provides **guidelines** for  acceptable levels of window tint based on Visible Light Transmission (VLT). 
    * **Passenger vehicles:**  The LTO recommends using tints with at least **30% VLT** for the front windshield and front side windows. Rear windows can remain untinted [Install Legal Car Window Tint in the Philippines, tintroomdavao.com].
* **Republic Act No. 8750 (The Seat Belts Use Act):** Though not directly about window tint, this Act indirectly supports the need for some level of transparency through car windows for better visibility and  enforcement of seatbelt use [Republic Act No. 8750 - An Act Mandating the Use of Seat Belts and Child Restraining Seats in Motor Vehicles, LawPH.net].
* **Law Enforcement Discretion:**  Law enforcement officers might use their discretion to pull over vehicles with excessively dark window tints that significantly impair visibility,  citing safety concerns.
**Current Situation:**
* There's an ongoing process to create a formal law  regulating car window tinting. Consultations between government agencies and tint suppliers are underway to determine  standardized VLT limits  [A Look At Philippines Updated Car Window Tinting Law, lawindowfilms.com].
**Here's a summary of the current situation:**
* **No definitive law yet:**  There's no official law  specifying exact VLT limitations.
* **LTO Recommendations:** These are the most common guidelines followed (30% VLT for front windshield and side windows). 
* **Law enforcement discretion:**  Police might apprehend vehicles with excessively dark tints for safety reasons.
* **New law in process:**  A formal law  is under discussion and might be implemented in the future.
**Important points to remember:**
* It's generally advisable to  follow the LTO's recommended VLT of at least 30% for front windows to ensure better visibility and avoid potential issues with law enforcement.
* Using  excessively dark tints can be a safety hazard,  limiting your own visibility and that of other drivers.
* Always check with your local LTO office for the most recent information or updates regarding window tinting regulations.</t>
  </si>
  <si>
    <t>What are the penalties for driving without insurance in the Philippines?</t>
  </si>
  <si>
    <t xml:space="preserve">In the Philippines, driving without car insurance is an offense and can result in penalties. Here's a breakdown of the consequences:
**Main Penalty:**
* **Fines:** The primary penalty for driving without Compulsory Third-Party Liability (CTPL) insurance is a fine. The amount varies depending on the number of offenses:
    * **First Offense:** ₱2,000 (around $40 USD as of October 26, 2023) [Financial Consequences of Driving Without Car Insurance, MGS Insurance Agency, mgsinsurance.ph]
    * **Second Offense:** ₱4,000 (around $80 USD) [Financial Consequences of Driving Without Car Insurance, MGS Insurance Agency, mgsinsurance.ph] 
    * **Succeeding Offenses:** The amount might increase further, and the Land Transportation Office (LTO) can potentially  suspend or revoke your driver's license.
**Additional Financial Burdens:**
* **No Insurance Coverage:**  Without CTPL insurance, you'll be financially responsible for any damages or injuries caused to other people or property in an accident you are at fault for. This can be a significant financial burden.
* **Impounding of Vehicle:** In some cases,  law enforcement might  impound your vehicle until you can present proof of valid CTPL insurance [Consequences of driving without car insurance in the Philippines, AutoDeal, autodeal.com.ph]. 
**Other Considerations:**
* **Difficulties in Renewing Registration:**  Renewing your vehicle's registration might be  delayed or denied if you don't have a valid CTPL policy [Financial Consequences of Driving Without Car Insurance, MGS Insurance Agency, mgsinsurance.ph].
* **Safety Concerns:** Driving without insurance can be a safety concern as it discourages responsible driving and can lead to financial difficulties if you cause an accident.
**Remember:**
* This information provides a general overview.  The specific penalty  can  depend on the apprehending officer's report and the court's decision.
* It's highly recommended to consult a lawyer specializing in traffic law for a comprehensive understanding of the legal aspects and potential consequences in your situation.
* Having valid CTPL insurance protects not only yourself but also other drivers and pedestrians on the road. </t>
  </si>
  <si>
    <t>What are the regulations for operating trams or light rail vehicles in the Philippines?</t>
  </si>
  <si>
    <t xml:space="preserve">There currently aren't any regulations specifically for operating trams or light rail vehicles in the Philippines. This is because the Philippines presently doesn't have any operational tram systems. 
Here's a breakdown of the situation:
* **No Existing Tram Systems:** As of October 26, 2023, the Philippines doesn't have any active tram or light rail transit (LRT) systems operating on public roads. The historical tram systems in Manila were dismantled in the 1940s.
* **Existing Light Rail Transit Systems:** The Philippines does have Light Rail Transit (LRT) lines in Metro Manila, but these are considered rapid transit systems with features more akin to subways. They operate on exclusive right-of-way with grade separation and higher passenger capacities compared to traditional trams.
* **Regulations for Existing LRT Systems:** The Department of Transportation (DOTr)  oversees the operation of existing LRT lines through its attached agencies. These agencies have their own regulations  based on national laws and international best practices for railway safety and operations. 
**Regulations if Trams are Introduced:**
* **Potential Future Laws:**  If tram systems are introduced in the Philippines in the future, new regulations would likely be created  based on:
    * **Existing Laws for Public Transportation:** The Land Transportation Franchising and Regulatory Board (LTFRB)  might issue franchises and establish regulations considering passenger safety, vehicle specifications, and route operations. 
    * **International Standards:**  The Philippines might  adopt international safety standards and best practices for tram operations from organizations like the International Association of Public Transport (UITP).
* **Adapting Existing LRT Regulations:** Existing regulations for the Light Rail Transit (LRT) systems might be adapted or serve as a reference point for developing tram regulations, considering the similarities in electric rail transportation.
**Finding More Information:**
* **Department of Transportation (DOTr):** While there are no specific tram regulations yet, the DOTr website  might offer updates on any potential tram projects and their regulatory framework [https://dotr.gov.ph/](https://dotr.gov.ph/).
* **News and Infrastructure Development Projects:**  Following news and announcements related to infrastructure development projects in the Philippines can provide insights into potential future tram systems and their regulatory considerations.
**Important to Note:**
* The information above discusses the current situation as of October 26, 2023. If tram systems are introduced in the future, new regulations will likely be developed and implemented.
</t>
  </si>
  <si>
    <t>What are the requirements for obtaining a student driver's permit in the Philippines?</t>
  </si>
  <si>
    <t xml:space="preserve">There isn't a specific Republic Act (RA) on student driver's permits. However, the Land Transportation Office (LTO) lays out the requirements  through their issuances. 
Here's a summary based on LTO's information:
**Qualifications**
* **Age:**
    * Filipino citizens: At least 16 years old [LTO, "1. STUDENT-DRIVER'S PERMIT"]
    * Foreigners: At least 18 years old with residency of at least 1 month and proof of intended stay for 6 months [LTO, "1. STUDENT-DRIVER'S PERMIT"]
* Physically and mentally fit [LTO, "1. STUDENT-DRIVER'S PERMIT"]
* Able to read and write in Filipino or English [LTO, "1. STUDENT-DRIVER'S PERMIT"]
* No unsettled traffic violations [LTO, "1. STUDENT-DRIVER'S PERMIT"]
* Completed the Theoretical Driving Course from an accredited institution [LTO, "1. STUDENT-DRIVER'S PERMIT"]
* Has an active email address [LTO, "LTO Student Permit Requirements License Application"]
**Documents**
* Accomplished Application for Permits and Licenses (APL) Form [LTO, "1. STUDENT-DRIVER'S PERMIT"]
* Electronically transmitted medical certificate from an LTO-accredited medical clinic (original and photocopy) [LTO, "1. STUDENT-DRIVER'S PERMIT"] 
* Original and photocopy of any valid government-issued ID (birth certificate, passport, etc.) [LTO, "LTO Student Permit Requirements License Application"]  
* For applicants under 18: Parent's consent with photocopy of a valid government ID of the parent/guardian [LTO, "1. STUDENT-DRIVER'S PERMIT"]
For more details, you can refer to the LTO website: [https://ltoportal.ph/lto-student-permit/](https://ltoportal.ph/lto-student-permit/)
</t>
  </si>
  <si>
    <t>What are the laws regarding the use of dashcams and other recording devices in vehicles?</t>
  </si>
  <si>
    <t xml:space="preserve">There isn't a specific Philippine law solely dedicated to dashcams or recording devices in vehicles. However, two relevant laws can be considered:
1. **Republic Act No. 10173 or the Data Privacy Act of 2012 (DPA):** This law protects an individual's right to privacy regarding personal information, including recordings. While it doesn't explicitly mention dashcams, the DPA applies if your recordings capture identifiable data of others (like faces or license plates) outside your vehicle. 
2. **Republic Act No. 10913 or the Anti-Distracted Driving Act:** This Act prohibits using any communication or electronic device while driving that can cause distraction. While a dashcam itself isn't necessarily distracting, its placement or the act of fiddling with it while driving could violate this law.
**Here's a breakdown of what these laws imply for dashcam usage:**
* **Using a dashcam is generally legal.** There's no law prohibiting the installation or operation of dashcams in vehicles. 
* **Data privacy considerations exist.**  Be mindful of recording others outside your vehicle. If their faces or license plates are identifiable,  you may need their consent before sharing the footage publicly (unless required for legal purposes).
**Recommendations:**
* Ensure your dashcam placement doesn't obstruct your view or interfere with airbags.
* Avoid using the dashcam while driving in a way that distracts you.
*  If your recording captures identifiable data of others and you plan to share it publicly, it's best to consult with a lawyer to ensure compliance with the Data Privacy Act.
**While there's no specific law on dashcams, these existing laws provide some guidelines for responsible use.**
</t>
  </si>
  <si>
    <t>What are the penalties for tampering with or removing traffic signs in the Philippines?</t>
  </si>
  <si>
    <t xml:space="preserve">The penalties for tampering with or removing traffic signs in the Philippines are outlined in Republic Act No. 10824, also known as the "Anti-Distracted Driving Act"  of 2016 [Senate of the Philippines, “AN ACT IMPOSING SUFFER PENALTIES FOR THE OFFENSES OF STEALING OR VANDALIZING OF GOVERNMENT ROAD AND TRAFFIC SIGNS, WARNING DE"]. This Act specifically addresses the theft, vandalism, and tampering of traffic signs.
Here's a breakdown of the penalties based on the act:
* **Damaging/Vandalizing or Destroying:**  
    * Imprisonment of **not less than six (6) years but not more than eight (8) years**  
    * OR a fine of **from P100,000 to P150,000** 
    * OR both, at the discretion of the court [Section 6]
* **Dismantling, Removing, Transferring, or Taking Possession:** 
    * Imprisonment of **not less than twelve (12) years but not more than fifteen (15) years** 
    * OR a fine of **P200,000 to P500,000**  
    * OR both, at the discretion of the court [Section 6]
This Act applies to  traffic signs and warning devices installed by national and local governments, including:
* Stop signs
* Yield signs
* Slippery when wet signs
* Signs indicating dangerous road sections
* Railings
It's important to note that tampering with traffic signs can endanger the safety of drivers and pedestrians. The penalties reflect the seriousness of this offense.
</t>
  </si>
  <si>
    <t>What are the regulations for operating tourist transport services in the Philippines?</t>
  </si>
  <si>
    <t>Operating tourist transport services in the Philippines involves regulations from two main government agencies:
* **Department of Tourism (DOT)**: Focuses on accreditation and ensures tourist safety and satisfaction.
* **Land Transportation Franchising and Regulatory Board (LTFRB)**: Handles franchise applications and ensures compliance with transport regulations.
Here's a breakdown of the key regulations:
**Department of Tourism (DOT) Accreditation**
* **Mandatory for all tourist transport operators.** 
* Requires fulfilling specific requirements related to vehicle maintenance, driver qualifications, and passenger safety. Details can be found in DOT issuances like Department Order No. 97-1097 [elibrary.judiciary.gov.ph].
* Involves submitting documentary requirements and passing an inspection of vehicles and office facilities [[invalid URL removed]].
**Land Transportation Franchising and Regulatory Board (LTFRB) Franchise**
* **Required to operate a tourist transport service legally.** 
* Different franchise types exist depending on the vehicle type (e.g., tourist bus, car, van).  Refer to LTFRB issuances for specific classifications [LTFRB website].
* Obtaining a franchise involves applying to the LTFRB with the DOT accreditation as a prerequisite [LTFRB, DO-2013-04].
**Additional Regulations**
* **Compliance with Republic Act No. 10173 (Data Privacy Act):**  If your service involves collecting passenger information, ensure data privacy compliance [Senate of the Philippines, "Data Privacy Act"]. 
* **LTFRB Memorandum Circulars:**  These may address specific requirements for tourist transport services during pandemics or special situations (e.g., guidelines during COVID-19) [LTFRB website].
**Resources:**
* Department of Tourism (DOT): [https://beta.tourism.gov.ph/](https://beta.tourism.gov.ph/)
* Land Transportation Franchising and Regulatory Board (LTFRB): [LTFRB website]
* Sample DOT Rules: [[invalid URL removed]] (This might not be the latest issuance, so check with DOT for updates)
* Sample LTFRB issuance: [LTFRB, DO-2013-04]
Remember, this is a general overview. It's recommended to consult the official websites of the DOT and LTFRB for the latest regulations and complete details.</t>
  </si>
  <si>
    <t>What are the requirements for obtaining a franchise to operate a public transportation service in the Philippines?</t>
  </si>
  <si>
    <t xml:space="preserve">The requirements for obtaining a franchise to operate a public transportation service in the Philippines are primarily set by the **Land Transportation Franchising and Regulatory Board (LTFRB)** through their issuances.  The Philippine Constitution itself doesn't have specific provisions on franchise applications.
Here's a breakdown of the key requirements based on LTFRB regulations:
**Applicant Qualifications**
* **Filipino domestic juridical entity:** This means a Philippine corporation, partnership, or cooperative [LTFRB, Omnibus Guidelines, Section 2.1.b]. 
* **Financial capability:**  Ability to demonstrate financial capacity to operate the service  through financial statements or bank certifications [LTFRB website].
**Vehicle Requirements**
* **LTFRB-approved type:** The vehicle model must be compliant with LTFRB classifications for public transportation [LTFRB website].
* **Emission standards:** Vehicles must meet or exceed prescribed Department of Environment and Natural Resources (DENR) emission standards [LTFRB, Omnibus Guidelines, Section 2.2.2].
* **Year model:**  Vehicles should have current year models for the chassis and engine [LTFRB, Omnibus Guidelines, Section 2.2.10].
* **On-board technology:**  Equipments like GNSS receivers, CCTV with recording capabilities, and speed limiters may be required depending on the type of service [LTFRB, Omnibus Guidelines].
**Other Requirements**
* **Garage/Depot:** Secured space to accommodate all franchised vehicles with additional space for future expansion [LTFRB, Omnibus Guidelines, Section 2.1.d]
* **Competent personnel:** Qualified drivers and other personnel  with appropriate licenses and trainings [LTFRB website].
* **Documentary requirements:**  Business permits, insurance coverage, and other documents as specified by LTFRB [LTFRB website].
**Application Process**
The specific application process may vary depending on the type of public transportation service. Generally, it involves submitting the required documents to the LTFRB regional office with jurisdiction over the proposed route. The LTFRB will then conduct inspections and evaluations before granting the franchise.
**Resources:**
* Land Transportation Franchising and Regulatory Board (LTFRB): LTFRB website: [https://ltfrb.gov.ph/](https://ltfrb.gov.ph/)
* LTFRB Omnibus Guidelines: LTFRB, Omnibus Guidelines: [https://ltfrb.gov.ph/wp-content/uploads/2017/11/DO-2017-011.pdf](https://ltfrb.gov.ph/wp-content/uploads/2017/11/DO-2017-011.pdf)
**Additional Considerations**
* Public transport service applications might involve feasibility studies and route justifications depending on the LTFRB's assessment.
* It's advisable to consult with a lawyer specializing in transportation law for  guidance throughout the application process.
Remember, this is a general overview.  Stay updated on the latest requirements by checking the LTFRB website or consulting a qualified professional.
</t>
  </si>
  <si>
    <t>What are the laws regarding the use of turn signals and other signaling devices on vehicles?</t>
  </si>
  <si>
    <t xml:space="preserve">There isn't a single law solely dedicated to turn signals and signaling devices in the Philippines. However, two main sources provide regulations on their proper use:
1. **Republic Act No. 4136 or the Land Transportation and Traffic Code:** This act establishes the general rules for operating vehicles on Philippine roads. While not explicitly mentioning turn signals, it lays the groundwork for proper signaling through the following provisions:
    * **Section 20:** This section requires every motor vehicle to be equipped with a horn or **"signaling device"** in good working order [chanrobles.com, "RA 4136"].  This implies turn signals as a necessary signaling device.
2. **Land Transportation Office (LTO) issuances:** The LTO, as the implementing agency for RA 4136, publishes rules and regulations on proper vehicle operation. These include guidelines on turn signals:
    * **LTO Driver's Manual:**  This manual covers proper hand signals and turn signal usage during turning maneuvers [LTO website, downloadable .pdf].
**Here's what these sources tell us about turn signals and signaling devices:**
* **Turn signals are mandatory.** Every motor vehicle must have functional turn signals for both left and right turns.
* **Proper use of turn signals is required.** Drivers must activate turn signals **continuously** for a safe distance before turning or changing lanes [LTO Driver's Manual]. 
* **Hand signals can be used as supplementary signals.**  In case of malfunctioning turn signals, drivers can use hand signals to indicate their intentions [LTO Driver's Manual].
**While there aren't specific penalties mentioned in the law for not using turn signals, failing to do so can lead to apprehensions for reckless driving or violation of LTO issuances.**  This can result in fines and penalties as outlined in the Land Transportation Code.
**Additional Notes:**
*  Other signaling devices  like hazard lights and brake lights also play a role in safe driving.  Refer to the LTO Driver's Manual for proper usage.
* It's important for drivers to be familiar with proper hand signals in case of turn signal malfunctions.
Remember, following these guidelines promotes road safety for yourself and other motorists. </t>
  </si>
  <si>
    <t>What are the penalties for driving without proper vehicle registration in the Philippines?</t>
  </si>
  <si>
    <t xml:space="preserve">The penalty for driving without proper vehicle registration in the Philippines is outlined in the rules and regulations of the Land Transportation Office (LTO), not necessarily a specific Republic Act (RA). However, the LTO's regulations derive their authority from the Land Transportation and Traffic Code (RA 4136).
Here's a breakdown of the penalty based on LTO issuances:
* **₱10,000 fine:** This is the standard penalty for driving an unregistered motor vehicle [LTO Portal, "LTO Penalty for Late Registration / Delinquent Registration"].
**Additional consequences may apply depending on the circumstances:**
* **Vehicle Impoundment:** If you're caught driving an unregistered vehicle, your car or motorcycle might be impounded by authorities. The vehicle will be released only after registration procedures are completed and all penalties are settled [LTO Portal, "LTO Penalty for Late Registration / Delinquent Registration"].
* **Non-renewal of Registration:**  In cases of extreme delay in registration (over 3 years), your vehicle registration might not be renewed. You would need to settle penalties, undergo registration procedures, and possibly face additional fees before getting your vehicle back [LTO Portal, "LTO Penalty for Late Registration / Delinquent Registration"].
Remember, these are just some of the possible consequences. It's advisable to consult with the LTO for the latest information and specific details applicable to your situation.
</t>
  </si>
  <si>
    <t>What are the regulations for operating ride-hailing services in the Philippines?</t>
  </si>
  <si>
    <t xml:space="preserve">The regulations for operating ride-hailing services in the Philippines are primarily set by the **Department of Transportation (DOTr)** through its attached agency, the **Land Transportation Franchising and Regulatory Board (LTFRB)**. There isn't a single law outlining everything, but a combination of issuances govern these services.
Here's a breakdown of the key regulations:
**For Transport Network Companies (TNCs):**
* **Registration and Accreditation:** TNCs, like Grab or Uber, need to secure a Certificate of TNC Accreditation from the LTFRB. This requires meeting specific requirements and paying accreditation fees [philstar.com, "How to be Uber legal"].
* **Partnership with Transport Network Vehicle Service (TNVS) providers:** TNCs partner with TNVS providers who own and operate the vehicles used for ride-hailing.
**For TNVS Providers:**
* **Vehicle Requirements:** Vehicles must be private cars, SUVs, vans, or sedans that meet specific age limitations (typically under 7 years old) and  pass LTFRB inspections [businesstimes.sg, "Philippines issues rules on ride-sharing services"].
* **Driver Accreditation:** Drivers must be screened and accredited by the TNC and registered with the LTFRB. They must possess professional driver's licenses [philstar.com, "How to be Uber legal"].
* **Certificate of Public Convenience (CPC) per Vehicle:** Each vehicle used for TNVS operations needs a CPC from the LTFRB [techinasia.com, "Philippines becomes first country to create rules for ridesharing services such as Uber"].
**General Regulations:**
* **Fare Transparency:** TNCs must provide clear information on fares beforehand, including any applicable surge pricing. 
* **Data Privacy:** Both TNCs and TNVS providers must comply with the Data Privacy Act (RA 10173) regarding passenger information. 
* **Passenger Safety:**  Maintaining passenger safety is a priority. TNCs and TNVS providers  should have mechanisms for passenger safety and complaint redress.
**Resources:**
* Department of Transportation (DOTr): [https://dotr.gov.ph/](https://dotr.gov.ph/)
* Land Transportation Franchising and Regulatory Board (LTFRB): [LTFRB website]
**Additional Notes:**
* These regulations are subject to change, so it's recommended to check the official websites of DOTr and LTFRB for the latest updates. 
* It's important for both TNCs and TNVS providers to secure the necessary permits and comply with the regulations to operate legally.
</t>
  </si>
  <si>
    <t>OFWs</t>
  </si>
  <si>
    <t>What are the main legal protections afforded to OFWs under Philippine law?</t>
  </si>
  <si>
    <t xml:space="preserve">Philippine law offers several legal protections for Overseas Filipino Workers (OFWs) throughout their employment cycle, both before departure and while working abroad. Here's a breakdown of some key areas:
**Pre-Departure**
* **Philippine Overseas Employment Administration (POEA):** This government agency regulates the recruitment and deployment of Filipino workers abroad. OFWs are ensured fair treatment through:
    * **Standard employment contracts:** POEA-approved contracts outline employment terms, salary, and benefits.
    * **Pre-departure orientation seminars:**  Inform OFWs of their rights, working conditions, and how to handle emergencies.
**While Working Abroad**
* **Labor Code of the Philippines (RA 6715):** While not directly applicable abroad, the Labor Code establishes minimum labor standards that should be reflected in the employment contract. These include:
     * **Minimum wage:** While the specific rate depends on the host country, the contract should not offer wages below the agreed-upon minimum.
     * **Prohibition on illegal acts:** Philippine law protects OFWs from forced labor, debt bondage, and other exploitative practices.
     * **Social security coverage:** Philippine Social Security System (SSS) membership can be continued while working abroad under specific programs. 
* **POLO (Philippine Overseas Labor Office):** These offices in various host countries provide assistance to OFWs, including:
    * **Mediation in case of labor disputes** with employers.
    * **Repatriation assistance** in case of emergencies or contract violations.
**Post-Employment**
* **Social benefits:**  OFWs may be entitled to SSS benefits upon returning to the Philippines, depending on their contributions. 
* **Reintegration programs:** Government agencies may offer programs to help OFWs reintegrate into Philippine society upon returning home.
**Additional Protections:**
* **Anti-Trafficking in Persons Act (RA 9208):** Protects OFWs from human trafficking and illegal recruitment.
* **Migrant Workers and Overseas Filipinos Act (RA 10022):** Grants additional benefits and programs for OFWs and their families.
* **Bilateral Labor Agreements (BLAs):** Agreements between the Philippines and host countries may provide specific protections for OFWs working there.
**These are some of the main legal protections for OFWs. It's important to note that the specific laws and applicable government agencies may vary depending on the host country.**  For further details and legal advice on a specific situation, OFWs can consult with the POEA or legal professionals specializing in OFW concerns. </t>
  </si>
  <si>
    <t>Can an OFW terminate their employment contract without facing legal consequences?</t>
  </si>
  <si>
    <t xml:space="preserve">Whether an OFW can terminate their employment contract without legal consequences depends on the specific situation and the terms of the contract. Here's a breakdown of some factors to consider:
**Reasons for Termination:**
* **Breach of Contract by Employer:** If the employer violates the terms of the contract (e.g., non-payment of wages, unsafe working conditions), the OFW may have the right to terminate the contract without penalty. The POEA can assist in mediating disputes or filing complaints.
* **Illegal Activities:** If the employer asks the OFW to engage in illegal activities, the OFW can terminate the contract and seek help from the POLO or Philippine authorities.
**Contractual Termination Clauses:**
* **Notice Periods:**  The contract might specify a required notice period (e.g., 30 days)  if the OFW wishes to terminate without penalty. Early termination without proper notice could lead to deductions from salary or legal action by the employer depending on the contract and local laws. 
* **Early Termination Fees:** Some contracts might have provisions for early termination fees  if the OFW decides to leave before the contract ends.
**Government Regulations:**
* **Host Country Labor Laws:**  Labor laws in the host country might also play a role.  Always check if there are specific regulations on contract termination for foreign workers.
**Here are some resources that can provide further guidance:**
* **Philippine Overseas Employment Administration (POEA):** [https://www.dmw.gov.ph/archives/default.html](https://www.dmw.gov.ph/archives/default.html) They can offer guidance on contract interpretation and possible legal actions depending on the situation.
* **POLO (Philippine Overseas Labor Office) in the host country:**  They can advise on local labor laws and provide assistance in case of disputes.
**Remember, it's always advisable to consult with a lawyer specializing in OFW concerns** to get specific legal advice  considering the details of the employment contract,  the  reasons for termination, and the relevant laws of the host country. </t>
  </si>
  <si>
    <t>What are the legal requirements for an OFW to be eligible for the Overseas Workers Welfare Administration (OWWA) benefits?</t>
  </si>
  <si>
    <t xml:space="preserve">The eligibility for Overseas Workers Welfare Administration (OWWA) benefits  depends on membership status and the specific program or benefit being applied for. Here's a breakdown of the general requirements:
**OWWA Membership:**
* **Membership is mandatory for all departing Filipino workers with processed contracts at the POEA.**  A membership fee is collected during processing.
* **Voluntary registration is also possible** for Filipinos already working abroad through Philippine Embassies or OWWA offices overseas.
**Here are some resources for verifying OWWA membership:**
* **OWWA website:** [https://owwa.gov.ph/](https://owwa.gov.ph/) offers an online verification tool.
* **OWWA Regional Welfare Offices (RWOs):** Contact your nearest OWWA RWO for assistance.
**Eligibility for Specific Benefits:**
Once you've established your OWWA membership status, the specific requirements for each benefit program can vary. Here are some examples:
* **Health Programs (e.g., health benefits package, medical repatriation):**  Generally require active OWWA membership and proof of illness/emergency. 
* **Educational and Training Programs:**  May have additional requirements like specific employment sectors or skills training focus.
* **Repatriation Assistance:**  Often triggered by job termination, emergencies, or documented maltreatment by employers. Proof of these situations might be required.
**Here's how to find information on specific OWWA benefits and their eligibility requirements:**
* **OWWA website:** [https://owwa.gov.ph/](https://owwa.gov.ph/) provides details on various programs and their qualifications.
* **OWWA Regional Welfare Offices (RWOs):**  Contacting your nearest RWO allows for personalized guidance on specific benefits and how to apply based on your situation.
**Additional Notes:**
*  Some benefits may have expiration dates or specific application deadlines.
*  It's important to keep your OWWA membership active  to continuously avail of benefits throughout your employment abroad.
Remember, this is a general overview.  **For the most accurate information on eligibility requirements for specific OWWA benefits,  refer to the OWWA website or contact your nearest OWWA Regional Welfare Office.**
</t>
  </si>
  <si>
    <t>In what circumstances can an OFW file a complaint against their recruitment agency under Philippine law?</t>
  </si>
  <si>
    <t>There are several circumstances under which an OFW can file a complaint against their recruitment agency under Philippine law, primarily governed by the Philippine Overseas Employment Administration (POEA). Here are some common grounds for complaint:
**Violations of the Philippine Overseas Employment Administration (POEA) Rules and Regulations:**
* **Illegal Recruitment:** This includes charging excessive placement fees,  collecting fees before a contract is signed, or deploying workers without proper documentation.
* **Misrepresentation:** The agency misrepresented the terms and conditions of employment, such as salary, job description, or working conditions.
* **Failure to Secure Proper Documents:** The agency failed to secure necessary documents like work visas or employment contracts.
* **Substitution of Contracts:** The worker is presented with a contract different from the one they agreed to upon signing.
**Breach of Contract:**
* **The recruitment agency did not fulfill its obligations as stated in the contract.** This could involve failing to secure promised benefits,  arrange for accommodations, or address workplace hazards as agreed.
**Unfair Labor Practices:**
* **The recruitment agency colluded with the employer** in unfair practices like withholding wages,  confiscating passports, or subjecting the OFW to  abusive treatment.
**Here's how an OFW can file a complaint against their recruitment agency:**
* **File a complaint with the POEA Adjudication Office:** This is the official route for filing complaints against recruitment agencies.  The POEA website provides information on filing procedures and required documents: [https://www.dmw.gov.ph/archives/default.html](https://www.dmw.gov.ph/archives/default.html) 
* **Seek assistance from POEA's Legal Assistance Division:** They can provide legal advice and help navigate the complaint process.
**Additional Notes:**
* It's important to gather evidence to support your complaint, such as copies of contracts, receipts, or communication records with the agency.
* The POEA will conduct an investigation and issue a decision.  If the complaint is valid, the agency may face sanctions such as fines or suspension of license.
* An OFW may also choose to pursue legal action in court  beyond the POEA process,  but this might require separate legal counsel.
**By understanding these situations and the complaint process, OFWs can seek legal recourse against recruitment agencies who violate their rights.**</t>
  </si>
  <si>
    <t>What are the legal responsibilities of Philippine recruitment agencies towards OFWs they deploy?</t>
  </si>
  <si>
    <t>Philippine recruitment agencies have several legal responsibilities towards the Overseas Filipino Workers (OFWs) they deploy, as mandated by Philippine law and regulations. Here's a breakdown of their key duties:
**Pre-Deployment**
* **Fair and Transparent Recruitment Practices:**  
    *  No charging of excessive placement fees  beyond the POEA-mandated limits [POEA Rules and Regulations, Part I, Chapter II].
    *  Providing clear and accurate information about the job offer,  including salary, benefits,  working conditions, and  accommodation [POEA Rules and Regulations, Part II, Chapter I]. 
    *  Entering into a standard employment contract  approved by POEA that outlines all agreed-upon terms  [POEA website].
* **Securing Proper Documentation:**
    *  Facilitating the acquisition of necessary documents  for work abroad  like passports, work visas,  and overseas employment certificates (OECs) [POEA Rules and Regulations, Part III, Chapter I].
* **Pre-departure Orientation Seminars:** 
    *  Equipping OFWs with knowledge about their rights, working conditions abroad, and  handling emergencies [POEA Rules and Regulations, Part IV, Chapter I].
**During Employment**
* **Fulfilling Contractual Obligations:**  
    *  The agency acts as a link between the OFW and the employer, ensuring the employer upholds the terms of the employment contract  [RA 8042, Section 10].
* **Monitoring Welfare of OFWs:**  
    *  Maintaining communication channels  to address any concerns or  problems encountered by the OFW while working abroad [RA 8042, Section 10].
**Post-Deployment**
* **Repatriation Assistance:**  
    *  In cases of emergencies, contract violations, or termination of employment,  the agency may be required to assist with repatriation efforts  to bring the OFW back to the Philippines [POEA Rules and Regulations, Part X, Chapter I].
**Additional Responsibilities**
* **Joint and Solidary Liability:**  
    *  Philippine law holds recruitment agencies jointly and severally liable with  the foreign employer for any  violations of the employment contract or  malpractices towards the OFW [e.g., Santosa B. Datuman vs. First Cosmopolitan Manpower and Promotion Services, Inc., G.R. No. 156029].
* **Compliance with POEA Rules and Regulations:** 
    *  Recruitment agencies must adhere to all  guidelines set by the Philippine Overseas Employment Administration (POEA)  [POEA website].
**Resources:**
* **Philippine Overseas Employment Administration (POEA):** [https://www.dmw.gov.ph/](https://www.dmw.gov.ph/)
* **POEA Rules and Regulations:** [https://www.dmw.gov.ph/archives/laws&amp;rules/laws&amp;rules.html](https://www.dmw.gov.ph/archives/laws&amp;rules/laws&amp;rules.html)
**By understanding these responsibilities, OFWs can hold recruitment agencies accountable for their well-being throughout the entire deployment process.**</t>
  </si>
  <si>
    <t>How does Philippine law address cases of abuse or maltreatment of OFWs by their employers abroad?</t>
  </si>
  <si>
    <t xml:space="preserve">Philippine law implements various measures to address cases of abuse or maltreatment of Overseas Filipino Workers (OFWs) by their employers abroad. Here's a breakdown of the key mechanisms:
**Pre-Deployment Protections:**
* **Philippine Overseas Employment Administration (POEA):** Aims to prevent abuse through:
    * **Standard employment contracts:**  These POEA-approved contracts outline terms and conditions, including minimum wage and working conditions, to serve as a baseline for fair treatment.
    * **Pre-departure orientation seminars:**  These sessions inform OFWs about their rights,  resources available abroad (like POLO), and how to handle potential conflicts with employers.
**Post-Deployment Assistance:**
* **Philippine Overseas Labor Office (POLO):**  Established in various host countries, POLO provides support to OFWs, including:
    * **Mediation &amp; Legal Assistance:**  POLO officers can mediate disputes with employers regarding  contract violations, wage issues, or maltreatment. They may also  refer cases to legal counsel if necessary.
    * **Repatriation:**  In cases of severe abuse or contract violations, POLO can  facilitate repatriation efforts to bring the OFW back to the Philippines.
**Legal Framework:**
* **Labor Code of the Philippines (RA 6715):**  While not directly enforceable abroad, the Labor Code establishes minimum labor standards that should be reflected in the employment contract. These include:
     * **Minimum Wage:** The specific rate depends on the host country, but the  contract shouldn't offer wages below the agreed-upon minimum. 
     * **Prohibition on Illegal Acts:**  Philippine law protects OFWs from forced labor,  debt bondage, and other exploitative practices.
* **Anti-Trafficking in Persons Act (RA 9208):**  Protects OFWs from human trafficking and  illegal recruitment.
* **Migrant Workers and Overseas Filipinos Act (RA 10022):**  Provides additional  benefits and programs for OFWs and their families.
* **Bilateral Labor Agreements (BLAs):**  Agreements between the Philippines and host  countries may  contain specific protections for OFWs working there.
**Seeking Justice:**
* **POEA:**  Can assist OFWs in filing complaints against abusive employers  through legal processes in the Philippines or in coordination with  authorities in the host country.
* **Legal Action:**  OFWs, with the help of POLO or private lawyers, can pursue legal  action against their employers in the Philippines or  potentially in the host country's courts  depending on the severity of the case.
**Challenges &amp; Additional Notes:**
* **Enforcement Abroad:**  Enforcing Philippine laws in other countries can be  complex. Cooperation with host country authorities and  effective BLAs are crucial.
* **Evidence Gathering:**  Gathering proof of abuse or maltreatment (e.g., medical records,  witness testimonies) is essential for pursuing legal action.
* **Psychological Support:**  The emotional toll of abuse is significant.  OFWs  may require psychological support services  provided by POEA or other government agencies.
**By combining these measures, Philippine law provides a framework to protect OFWs,  hold abusive employers accountable, and offer avenues for seeking justice.**  However,  successful intervention often relies on cooperation between  government agencies, strong BLAs, and the active participation of OFWs in reporting  abuses and seeking help.
</t>
  </si>
  <si>
    <t>Can an OFW legally marry a foreign national while working overseas?</t>
  </si>
  <si>
    <t>Yes, an OFW can legally marry a foreign national while working overseas. Here's why:
* **Philippine Law on Marriage:** The Philippines recognizes marriages performed abroad as long as they are valid marriages in the country where they took place [Philippine Supreme Court, "Republic of the Philippines vs. Mary Jane Veloso and Kristina Mae Ramos"]. This means that if the marriage follows the legal requirements for marriage in the host country, it will generally be recognized in the Philippines.
* **No Restrictions on Marriage Status for OFWs:** Philippine law doesn't restrict OFWs from getting married while working abroad. There are no legal repercussions for their employment status.
**However, there are some important points to consider:**
* **Requirements of the Host Country:**  Each country has its own legal requirements for marriage. These may include residency waiting periods, documentation requirements, or specific marriage ceremonies. The OFW and their partner  should research and comply with all the marriage requirements  set by the country where they intend to get married.
* **Philippine Embassy or Consulate Registration:**  While not mandatory, it's advisable for the OFW to register the marriage with the nearest Philippine embassy or consulate in the host country. This can help with future legal matters  like acquiring spousal visas or claiming benefits.
**Here are some resources that can be helpful:**
* **Department of Foreign Affairs (DFA) - Philippine Embassy/Consulate Locator:** [https://dfa.gov.ph/](https://dfa.gov.ph/)
* **DFA - Assistance to Nationals:** [https://dfa.gov.ph/](https://dfa.gov.ph/) (This website provides information on requirements for registering marriages abroad with Philippine embassies/consulates)
**Remember, it's always recommended to consult with a lawyer** familiar with marriage laws in the specific host country  to ensure a smooth and legal marriage process.</t>
  </si>
  <si>
    <t>What are the legal steps an OFW should take if they face illegal dismissal from their overseas employment?</t>
  </si>
  <si>
    <t>Here's a breakdown of the legal steps an OFW can take if they face illegal dismissal from their overseas employment:
**1. Gather Evidence:**
* **Employment Contract:** This is the primary document outlining your employment terms and conditions.
* **Termination Notice or Letter:** If provided, keep a copy of the document stating the reason for termination. 
* **Pay Slips and Records:** These can help prove your employment status and salary.
* **Communication Records:** Any emails, messages, or documents related to the dismissal or potential conflict with the employer. 
* **Witness Statements (if applicable):** If colleagues witnessed the dismissal or events leading to it, their statements can support your case.
**2. Report the Case:**
* **Philippine Overseas Labor Office (POLO):**  The POLO in the host country is your first point of contact.  They can:
    * **Mediate** with your employer to try and find a resolution.
    * **Assist in filing a formal complaint** against the employer if mediation fails.
* **Philippine Overseas Employment Administration (POEA):**  You can also file a complaint directly with the POEA in the Philippines. However,  coordinating with POLO first is generally recommended due to their  local presence and knowledge of specific procedures.
**3. Consider Legal Representation:**
* **POLO Legal Assistance:**  POLO may offer legal assistance or recommend lawyers  familiar with labor cases involving OFWs.
* **Private Lawyers:**  You may choose to hire a private lawyer specializing in  overseas Filipino worker concerns. 
**4. Legal Process:**
* **Complaint Investigation:**  The POEA or relevant authorities will investigate your  complaint and gather evidence from both sides. 
* **Hearing:**  A hearing may be conducted to determine the validity of the dismissal. 
* **Decision &amp; Possible Outcomes:**  The decision may involve:
    * **Reinstatement:**  If the dismissal is deemed illegal, you may be reinstated  to your job with back wages.
    * **Separation Pay:**  You might be awarded separation pay  if  reinstatement isn't feasible.
**Additional Notes:**
* **Time Limits:**  There might be specific time limits for filing complaints with  POEA or POLO. It's important to act promptly  after the dismissal.
* **Costs Involved:**  Legal processes may involve filing fees  and lawyer's fees (if applicable). 
* **Government Assistance:**  The Philippine government provides support to OFWs  through POEA and POLO.
**Remember, this is a general guideline.**  The specific legal steps  and procedures may vary depending on the host country, the  severity of the case, and the evidence available.  It's crucial to  consult with POLO and potentially a lawyer  to  understand the most effective course of action for your  specific situation.
Here are some helpful resources:
* **Philippine Overseas Employment Administration (POEA):** [https://www.dmw.gov.ph/archives/default.html](https://www.dmw.gov.ph/archives/default.html)
* **Department of Foreign Affairs (DFA) - Philippine Embassy/Consulate Locator:** [https://dfa.gov.ph/](https://dfa.gov.ph/) (Locate your nearest POLO office)</t>
  </si>
  <si>
    <t>How does Philippine law handle cases of unpaid wages or benefits for OFWs?</t>
  </si>
  <si>
    <t xml:space="preserve">Philippine law provides several avenues for OFWs to address cases of unpaid wages or benefits from their overseas employers. Here's a breakdown of the key mechanisms:
**Government Agencies:**
* **Philippine Overseas Labor Office (POLO):**  The  first point of contact in the host country. POLO can:
    * **Mediate** with the employer to try and find an amicable solution for  payment of outstanding wages and benefits.
    * **Assist in filing a formal complaint** if mediation fails.  They'll guide  the OFW through the process and  gather necessary documents.
* **Philippine Overseas Employment Administration (POEA):**  The  main government agency handling  overseas employment concerns in the Philippines. The OFW can also  file a complaint directly with POEA.  However, coordinating with  POLO first is generally  recommended due to their local presence and expertise.
**Legal Process:**
* **Complaint Investigation:**  POLO or POEA will  investigate the complaint,  requesting  documents and statements from the OFW, employer, and  potentially witnesses.
* **Hearing:**  A  hearing may be conducted to determine the validity of the wage claim  and  the amount owed.
* **Decision &amp; Possible Outcomes:**  The decision may  involve:
    * **Monetary Award:**  The employer may be ordered to pay the  outstanding wages  and benefits,  including possible penalties or interest. 
    * **Repatriation:**  In severe cases, the OFW may  opt for repatriation  back to  the Philippines  if continued employment is deemed unsafe or  unbeneficial.
**Additional Considerations:**
* **Time Limits:**  There might be specific deadlines for filing complaints with  POEA or POLO. Don't delay in seeking  assistance.
* **Evidence Gathering:**  Strong evidence is crucial. Keep copies of employment  contracts, payslips,  communication records with the employer regarding  unpaid wages, and  any witness testimonies (if applicable).
* **Legal Representation:**  While POLO offers legal assistance in some cases,  consulting a lawyer  specializing in  OFW concerns  might be beneficial  for complex situations. 
* **Government Assistance:**  The  Philippine government, through POEA and POLO,  provides support  to OFWs  throughout the claim process.
**Here are some resources for OFWs:**
* **Philippine Overseas Employment Administration (POEA):** [https://www.dmw.gov.ph/archives/default.html](https://www.dmw.gov.ph/archives/default.html)
* **Department of Foreign Affairs (DFA) - Philippine Embassy/Consulate Locator:** [https://dfa.gov.ph/](https://dfa.gov.ph/) (Locate your nearest POLO office)
**Remember, this is a general overview. The specific legal processes  and timelines  may vary depending on  the host country, the  amount of unpaid wages involved, and the  availability of evidence.**  It's crucial  to  consult with POLO  and potentially a lawyer  to  understand the most effective course of action to  recover unpaid wages or benefits.
</t>
  </si>
  <si>
    <t>What are the legal implications for an OFW who overstays their visa in their host country?</t>
  </si>
  <si>
    <t>Overstaying a visa in a foreign country can have serious legal repercussions for an overseas Filipino worker (OFW). The specific consequences will depend on the host country's laws, but generally, they can include:
* **Detention and deportation:** The most immediate consequence is  being detained by immigration authorities and deported from the country. This can be a lengthy and inconvenient process, and the OFW may be barred from re-entering the country for a certain period.
* **Fines:** The OFW may be fined for overstaying their visa. The amount of the fine will vary depending on the host country and the length of time the OFW has overstayed.
* **Criminal charges:** In some cases, overstaying a visa may be considered a criminal offense. This could lead to jail time, a criminal record, and difficulty obtaining visas for other countries in the future.
* **Difficulties renewing visas in the future:**  An overstayed visa can make it difficult to obtain visas for other countries in the future, including returning to the Philippines.
**Philippine Laws**
While Philippine law cannot directly affect the enforcement of another country's visa regulations, there are Philippine laws that can provide assistance to OFWs in such situations:
* **Republic Act No. 8042, Migrant Workers and Overseas Filipinos Act of 1995:** This act  establishes a comprehensive framework for the protection and promotion of the welfare of migrant workers and their families. It includes provisions on assisting OFWs who encounter problems with their host country's authorities, including visa issues.
* **Department of Labor and Employment (DOLE):** The DOLE has a Philippine Overseas Labor Offices (POLO)  located in many countries. These offices can provide assistance to OFWs who are facing difficulties, including those who have overstayed their visas. 
**Recommendations**
If you are an OFW who has overstayed your visa, it is important to seek legal advice from a lawyer familiar with the laws of your host country. They can advise you of your options and help you navigate the legal process. You can also contact your nearest POLO office for assistance.
Here are some additional tips:
* **Do not leave the country without proper documentation:**  This could make it more difficult to re-enter the country in the future.
* **Be honest with immigration authorities:**  If you are caught overstaying your visa, cooperate with immigration authorities and be honest about your situation.
* **Keep documentation:**  Keep copies of all your immigration documents, including your passport, visa, and any departure orders.
Remember, this is just a general overview, and the specific legal implications will vary depending on the host country. It's always best to consult with a qualified professional for specific legal advice.</t>
  </si>
  <si>
    <t>Can an OFW designate a legal representative in the Philippines to handle their affairs while they are abroad?</t>
  </si>
  <si>
    <t xml:space="preserve">Yes, an OFW can designate a legal representative in the Philippines to handle their affairs while they are abroad. This is done through a Special Power of Attorney (SPA).
**Philippine Law**
There is no specific law in the Philippine Constitution or Republic Acts solely dedicated to  OFWs designating legal representatives. However, the legal framework for Special Power of Attorney (SPA) is well established.
* **Civil Code of the Philippines (Article 1873):**  This article  of the Civil Code provides the legal basis for Special Power of Attorney. It  defines an SPA and outlines the formalities for its creation.
**How a Special Power of Attorney Works**
An SPA is a legal document that authorizes a trusted person (the attorney-in-fact) to act on behalf of the OFW (the principal) for specific purposes.  The SPA can be general, granting broad authority to handle various affairs, or special, limiting the authority to specific tasks.
**Typical Uses of an SPA for OFWs**
* Managing finances: Collecting rent, paying bills, investing money.
* Handling real estate: Buying, selling, or managing property.
* Representing the OFW in legal matters: Attending court hearings, signing contracts.
* Renewing government IDs and passports (possible limitations apply)
**Important Considerations**
* **Clearly define the scope of authority:** The SPA should clearly outline the specific tasks the attorney-in-fact is authorized to perform. 
* **Choose a trustworthy representative:**  Select someone you trust completely to handle your affairs responsibly.
* **Notarization:** The SPA must be notarized by a Philippine notary public or a Philippine embassy or consulate official abroad.
**Recommendation**
While an SPA is a helpful tool, it's recommended to consult with a Philippine lawyer to ensure the SPA is properly drafted and  addresses your specific needs. They can advise you on the type of SPA  required, the necessary inclusions, and potential limitations.
</t>
  </si>
  <si>
    <t>Under Philippine law, what are the penalties for illegal recruitment of OFWs?</t>
  </si>
  <si>
    <t xml:space="preserve">The penalties for illegal recruitment of OFWs in the Philippines are outlined in Republic Act No. 10022, also known as the "An Act to Prevent and Penalize Illegal Recruitment Activities and to Protect Filipino Migrant Workers for Employment Abroad."
Here's a breakdown of the penalties based on the Act:
* **Illegal Recruitment:**
    * **Imprisonment:** Not less than twelve (12) years and one (1) day but not more than twenty (20) years [Section 6(a)]
    * **Fine:** Not less than One million pesos (P1,000,000.00) nor more than Two million pesos (P2,000,000.00) [Section 6(a)]
**Increased Penalties**
The law imposes harsher penalties under the following circumstances:
* **Maximum penalty applies** if the illegally recruited person is:
    * Less than eighteen (18) years of age [Section 6(a)]
    * Recruited by a non-licensed or non-holder of authority [Section 6(a)]
* **Economic Sabotage:** If illegal recruitment is carried out by a group of three (3) or more persons conspiring with each other OR committed against three (3) or more persons, it is considered economic sabotage. The penalty for this is:
    * **Life imprisonment** [Section 6(b)]
    * **Fine:** Not less than Two million pesos (P2,000,000.00) nor more than Five million pesos (P5,000,000.00) [Section 6(b)]
* **Deportation:** In addition to the penalties, if the offender is an alien (not a Filipino citizen), they will be deported without further proceedings [Section 6(a)]
**Other Prohibited Acts**
The law also penalizes other prohibited acts related to illegal recruitment, such as requiring an OFW to:
* Avail of a loan, training, or undergo health examinations from specific persons, entities, or clinics [Section 5(j)]
These acts carry a penalty of:
* **Imprisonment:** Not less than six (6) years and one (1) day but not more than twelve (12) years  [Section 8(a)]
* **Fine:** Not less than Five hundred thousand pesos (P500,000.00) nor more than One million pesos (P1,000,000.00) [Section 8(a)]
**Recommendations**
If you suspect illegal recruitment activity, you can report it to the Philippine Overseas Employment Administration (POEA). They are responsible for enforcing Republic Act No. 10022 and protecting OFWs from illegal recruitment practices.
</t>
  </si>
  <si>
    <t>What legal recourse does an OFW have if their employer abroad fails to provide a safe working environment?</t>
  </si>
  <si>
    <t xml:space="preserve">An OFW facing an unsafe working environment abroad has recourse under Philippine law and potentially the host country's laws as well. Here's a breakdown of some options:
**Philippine Law**
* **Republic Act No. 8042 (Migrant Workers and Overseas Filipinos Act of 1995):** This act protects the welfare of OFWs and includes provisions for filing complaints regarding unsafe working conditions. 
    * You can file a complaint with the Philippine Overseas Employment Administration (POEA). The POEA can investigate the complaint and impose sanctions on the employer, including the cancellation of their license to deploy workers.
**Taking Action**
* **Documentation:** Gather evidence of the unsafe work environment. This could include photos, videos, witness statements, or medical records if injured. 
* **Report to Philippine Embassy/Consulate:** Inform the nearest Philippine embassy or consulate  about the situation. They can provide assistance and guidance on filing a complaint with the POEA.
* **Report to Local Authorities (if applicable):** Depending on the severity of the unsafe conditions and local laws, consider reporting the issue to the host country's labor authorities.
**Potential Relief**
* **Repatriation:** Depending on the severity of the situation, the POEA may order your repatriation (return to the Philippines) at the employer's expense.
* **Salary and Benefits:** You may be entitled to receive unpaid salaries, benefits, and compensation for damages caused by the unsafe working environment.
* **Legal Action:**  In some cases, you may be able to pursue legal action against your employer in the Philippines or the host country (depending on the specific laws).
**Additional Considerations**
* **Review your Employment Contract:**  Check your contract for any provisions regarding working conditions and dispute resolution mechanisms.
* **Seek Legal Advice:**  Consider consulting with a lawyer familiar with Philippine labor law and the laws of the host country. They can advise you on the best course of action based on your specific situation.
**Remember:** This is a general overview, and the specific legal options and procedures may vary depending on the circumstances. It's always best to consult with a professional for personalized legal advice.
</t>
  </si>
  <si>
    <t>How does Philippine law address cases of human trafficking involving OFWs?</t>
  </si>
  <si>
    <t xml:space="preserve">Philippine law takes a strong stance against human trafficking, with specific measures to protect OFWs who are vulnerable to this crime. Here's a breakdown of key legal resources:
**Republic Act No. (RA) 9208, as amended by RA 10364: The Anti-Trafficking in Persons Act (ATIP Act)**
This is the primary law that addresses human trafficking in the Philippines. It defines trafficking, outlines various offenses, and prescribes corresponding penalties. Here's how it applies to OFWs:
* **Protection for OFWs:** The Act recognizes the specific vulnerability of OFWs to trafficking and mandates government agencies to provide them with special protection measures. 
* **Prohibited Acts:** The Act outlines various acts that constitute trafficking, including:
    * Recruitment, transportation, harboring or receipt of a person for the purpose of exploitation, which can include forced labor, sexual exploitation, servitude or organ removal.  
    * Placing or holding a person in a situation of vulnerability for the purpose of exploitation.  
* **Penalties:**  The Act prescribes severe penalties for trafficking offenses, with harsher punishments for trafficking of children. Penalties can include life imprisonment and hefty fines.
**Other Relevant Laws**
* **RA No. 8042: Migrant Workers and Overseas Filipinos Act:** This Act, alongside the ATIP Act, protects OFWs and provides mechanisms for filing complaints if they encounter trafficking situations.
**Government Agencies**
* **Inter-Agency Council Against Trafficking (IACAT):** This government body coordinates efforts to combat trafficking, including providing assistance to victims.
* **Department of Justice (DOJ):**  The DOJ investigates and prosecutes trafficking cases.
* **Philippine Overseas Employment Administration (POEA):** The POEA  plays a crucial role in protecting OFWs from trafficking. They  conduct pre-departure orientation seminars to educate OFWs about trafficking risks and provide assistance to those who encounter such situations abroad.
**How to Seek Help**
If you or someone you know is a victim of trafficking, here are some resources:
* **Report to Authorities:** Contact the Philippine National Police (PNP), National Bureau of Investigation (NBI), or any law enforcement agency. 
* **POEA:**  You can also report the case to the POEA for assistance.
* **DFA and Philippine Embassies/Consulates:**  If you are abroad,  contact the nearest Philippine embassy or consulate for assistance.
**Remember:** Philippine law offers protection and recourse for OFWs who are victims of trafficking. Don't hesitate to seek help from the authorities or relevant agencies.
</t>
  </si>
  <si>
    <t>Can an OFW still avail of Philippine social security benefits while working abroad?</t>
  </si>
  <si>
    <t xml:space="preserve">Yes, an OFW can still avail of Philippine Social Security (SSS) benefits while working abroad under the program called **Voluntary Membership**. This program allows OFWs to continue contributing to SSS and become eligible for future benefits upon reaching retirement age or encountering certain qualifying events.
Here's a breakdown of the program based on Philippine law:
* **Republic Act No. 11199:** This Act mandates compulsory SSS coverage for all sea-based and land-based OFWs, not over 60 years old. It also allows voluntary membership for those who opt to continue contributing.
* **SSS Rules and Regulations:**  These regulations outline the specific requirements and procedures for OFW voluntary membership.
**Benefits of Voluntary SSS Membership for OFWs**
By continuing SSS contributions, OFWs become entitled to various benefits upon qualification, including:
* **Retirement benefits:** Upon reaching retirement age (60 or 65 years old, depending on the chosen program)
* **Disability benefits:** If disabled due to sickness or work-related accident
* **Sickness benefits:** In case of illness
* **Maternity benefits:** For female OFWs
* **Death benefits:**  For beneficiaries in case of the OFW's death
* **Loan benefits:** Short-term member loans and housing loans (subject to meeting specific requirements)
**How to Avail of Voluntary SSS Membership**
* **Registration:** OFWs can register for voluntary membership at any SSS branch in the Philippines or through designated partners abroad. 
* **Contribution:**  Members can choose their contribution amount and schedule (monthly, quarterly, semi-annually, or annually). Contributions can be made through various channels, including authorized foreign banks and remittance centers.
**Important Considerations**
* **Benefits are based on contributions:** The amount and type of benefits received will depend on the total contributions made and the specific program chosen.
* **Timeliness of contributions:**  For timely availment of benefits, contributions should ideally be made up-to-date or within the allowed grace period.
**For More Information**
* You can visit the SSS website ([https://www.sss.gov.ph/](https://www.sss.gov.ph/)) for detailed information on OFW voluntary membership, including registration forms, contribution channels, and benefit computations.
* The Philippine Overseas Labor Offices (POLO) located in many countries can also provide assistance to OFWs regarding SSS membership.
</t>
  </si>
  <si>
    <t>What are the legal rights of an OFW in cases of workplace discrimination or harassment abroad?</t>
  </si>
  <si>
    <t xml:space="preserve">An OFW facing workplace discrimination or harassment abroad has some recourse under Philippine law, but the specific options may also depend on the host country's legal framework. Here's a breakdown of Philippine legal protections and additional considerations:
**Philippine Law**
* **Limited Direct Application:** Philippine law has limited direct enforcement power in another country. However, it establishes frameworks that can assist OFWs:
    * **Republic Act No. 8042 (Migrant Workers and Overseas Filipinos Act):** This Act protects the rights and welfare of OFWs and includes provisions on filing complaints regarding unfair labor practices, which can encompass some forms of discrimination or harassment.
**Taking Action**
* **Gather Evidence:** Document the discriminatory or harassing behavior. This can include emails, text messages, witness statements, or recordings (if permitted by local law).
* **Report to Philippine Embassy/Consulate:** Inform the nearest Philippine embassy or consulate  about the situation. They can provide assistance and guidance, including connecting you with relevant support services. 
* **Report to Employer (if possible):** Depending on the severity and your comfort level, consider reporting the issue to your employer following their internal mechanisms (if available).
**Potential Relief**
* **POEA Assistance:** The Philippine Overseas Employment Administration (POEA) can  intervene and negotiate with the employer on your behalf. 
* **Legal Action:** In some cases, with the help of POEA or a lawyer familiar with both Philippine and host country laws, you may be able to pursue legal action against your employer. 
* **Repatriation:** As a last resort, depending on the situation's severity, you might  seek repatriation (return to the Philippines) at the employer's expense.
**Host Country Laws**
* **Labor Laws:**  Most countries have anti-discrimination and anti-harassment laws in their workplaces.  Understanding the host country's specific legal framework is crucial. The Philippine embassy or consulate might be able to provide some guidance on this.
* **Labor Unions/Worker Organizations:** Joining a labor union or worker organization in the host country can provide support and resources in addressing workplace issues.
**Additional Considerations**
* **Employment Contract:** Review your employment contract for any provisions on anti-discrimination or harassment policies and dispute resolution mechanisms.
* **Seek Legal Advice:** Consulting with a lawyer familiar with both Philippine and host country labor laws is highly recommended. They can advise you on the best course of action based on your specific situation. 
**Remember:** This is a general overview, and the specific legal options and procedures may vary depending on the circumstances and the host country's laws. Don't hesitate to seek help from the Philippine government agencies or a qualified lawyer.
</t>
  </si>
  <si>
    <t>How does Philippine law protect the rights of children left behind by OFW parents?</t>
  </si>
  <si>
    <t xml:space="preserve">Philippine law recognizes the vulnerability of children left behind by overseas Filipino workers (OFWs) and offers some protections, though there isn't a single, comprehensive law. Here's an overview of relevant legal resources:
**The Philippine Constitution**
* **Article XIII, Section 14:** This section emphasizes the state's responsibility to protect and promote the welfare of all children. This includes children left behind by OFWs.
**Republic Acts (RAs)**
* **RA No. 8042 (Migrant Workers and Overseas Filipinos Act):**  This Act, while primarily focused on OFWs themselves, recognizes the well-being of their families. It includes provisions for:
    * Pre-departure seminars for OFWs to equip them with knowledge and skills on responsible parenthood, even while working abroad. 
    * Assistance programs for families of distressed OFWs, which may  indirectly benefit children left behind.
* **RA No. 9208 (Anti-Trafficking in Persons Act):** This Act protects  children from all forms of trafficking, including situations where they  might be forced into labor or exploited due to an absent parent.
* **RA No. 10175 (Cybersecurity Act of 2012):** While not directly related  to OFWs, this Act protects children from online sexual abuse and  exploitation, a potential risk for children left behind.
**Other Legal Mechanisms**
* **Family Code of the Philippines:** This Code outlines the rights and  responsibilities of parents towards their children, even if physically  apart. It emphasizes the importance of providing for a child's  sustenance, education, and moral development.
* **Barangay Laws and Social Services:**  Barangays (the smallest unit of local government) may have programs or initiatives  to support children from OFW families. Additionally, the Department of  Social Welfare and Development (DSWD) offers social protection programs  that may benefit these children.
**Limitations and Areas for Improvement**
* **Incomplete Legal Framework:**  While there are scattered legal  protections, there's no single, comprehensive law specifically  addressing the rights and needs of children left behind by OFWs. 
* **Enforcement Challenges:**  Effectively enforcing existing legal  provisions can be a challenge, particularly at the local level.
**What can be done?**
* **Legislative Efforts:**  Advocacy for a dedicated law that  comprehensively protects the rights of children left behind by OFWs  could improve the situation.
* **Strengthening Support Systems:**  Investing in programs and  services that provide  financial, emotional, and social support for these  children is crucial. 
* **Parental Responsibility:**  Ultimately, even while working abroad,  OFWs  remain legally responsible for their children's well-being. Maintaining  communication, making provisions for their care, and fulfilling their  financial obligations are essential.
Remember, this is a general overview, and the specific situation of each child  will vary. If you're concerned about the well-being of a child left  behind by OFW parents,  consider reaching out to the DSWD, a local  barangay office, or an NGO that works with children in similar  situations. </t>
  </si>
  <si>
    <t>Can an OFW establish a business in the Philippines while still working abroad?</t>
  </si>
  <si>
    <t xml:space="preserve">Yes, an OFW can establish a business in the Philippines while still working abroad. There are no restrictions in Philippine law that prevent this (as long as the business is legal). Here's a breakdown of how it can be done:
**Methods for Establishing a Business**
* **Sole Proprietorship:** This is the simplest and most common option for OFWs. However, the owner has unlimited liability, meaning their personal assets are at risk if the business incurs debts.
* **Partnership:** Two or more people can establish a partnership, sharing profits and losses. There are different types of partnerships with varying liability structures - consult a lawyer  for choosing the most suitable one.
* **Corporation:** This offers limited liability protection for the owners (shareholders).  However, forming a corporation involves more complex procedures and  requirements.
**Remote Management**
* **Special Power of Attorney (SPA):**  An OFW can appoint a trusted  representative in the Philippines through an SPA. This document  grants the representative the authority to handle business affairs on  their behalf, such as registering the business, securing permits, or  managing finances.
* **Technology:**  Communication and collaboration tools like  video conferencing, online project management platforms, and  accounting software can facilitate remote management of the business.
**Considerations**
* **Business Activity:** Research and choose a business activity  compliant with Philippine laws and regulations. 
* **Business Plan:**  Develop a well-defined business plan outlining the  concept, target market, financial projections, and management strategy.
* **Permits and Licenses:**  Depending on the chosen business activity,  certain permits and licenses may be required. Research the necessary  ones and secure them through the appropriate government agencies.
* **Tax Obligations:**  OFWs with businesses in the Philippines are still  subject to Philippine tax laws.  Consult a tax professional to  understand your tax liabilities and filing requirements.
**Recommendations**
* **Consult a Lawyer:**  For legal guidance on establishing and  managing the business, consulting a lawyer familiar with Philippine  business law is highly recommended. They can advise you on  the most  appropriate business structure,  draft legal documents like the SPA,  and ensure compliance with regulations.
* **Seek Assistance from DOLE and DTI:** The Department of Labor and  Employment (DOLE) and the Department of Trade and Industry (DTI)  offer programs and resources  to assist aspiring entrepreneurs, including  OFWs. Consider  exploring their resources and programs.
By following these steps and considerations,  an OFW can establish and manage a business in the Philippines  even while working abroad. Remember,  careful planning, legal guidance, and  reliable representatives can contribute to a  successful venture.
</t>
  </si>
  <si>
    <t>What legal assistance is available to OFWs in distress abroad?</t>
  </si>
  <si>
    <t xml:space="preserve">The Philippine government offers several resources and legal assistance programs to OFWs facing difficulties abroad. Here's a breakdown of the key options:
**Philippine Embassy and Consulates**
* **Frontline Assistance:** Embassies and consulates are the first point of contact for OFWs in distress. They can provide various types of assistance, including:
    * Legal advice and referrals to lawyers familiar with local laws.
    * Help in communicating with local authorities.
    * Negotiation with employers in case of workplace issues.
    * Repatriation assistance in severe cases (may involve coordinating travel arrangements and financial aid).
* **Labor Attachés:**  Some Philippine embassies have labor  attachés who specialize in assisting OFWs with  work-related problems.
**Department of Foreign Affairs (DFA)**
* **Assistance to Nationals (ATN) Section:**  The ATN section of the DFA manages various programs to assist distressed Filipinos abroad, including OFWs. They can offer:
    * Legal aid:  In some cases, the DFA may  provide legal assistance  directly or  through partnerships with lawyers abroad. This may depend on the  specific case and  available resources. 
    * Financial Aid:   The DFA may offer limited financial assistance  for repatriation or other emergency needs.
**Department of Labor and Employment (DOLE)**
* **Philippine Overseas Labor Offices (POLO):**  Located in many  countries with significant Filipino populations, POLOs  assist  OFWs with work-related concerns.  They can:
    * Investigate complaints of unfair labor practices or contract  violations.
    * Mediate disputes between employers and  employees.
    * Facilitate the repatriation process.
**Other Resources**
* **Public Attorney's Office (PAO):**   The PAO offers free legal  assistance to Filipinos,  including  in some cases,  OFWs abroad. However,  their  reach and capacity to assist with  overseas cases might be  limited.
* **NGOs:**  Several NGOs  specifically focus on  advocating for  and assisting OFWs. They may provide legal aid, counseling,  and other forms of support  to distressed workers.
**Important Considerations**
* **Availability of Assistance:**  The  extent of legal  assistance  available may vary depending on the specific location,  the nature  of the  distress, and  resource constraints.
* **Early Intervention:**  Seeking help from Philippine  embassies/consulates or  POLOs as soon as possible  increases the chances of a  successful resolution.
* **Documentation:**  Having copies of employment contracts,  passports,  and other  relevant documents  is crucial when seeking legal assistance.
**Remember:** While Philippine government agencies strive to assist OFWs in distress, it's  always best to be proactive.  Following Philippine labor regulations  carefully selecting reputable employers, and  understanding your rights as an OFW  can help prevent many legal issues. </t>
  </si>
  <si>
    <t>How does Philippine law define and address cases of illegal deployment of OFWs?</t>
  </si>
  <si>
    <t>Illegal deployment of Overseas Filipino Workers (OFWs) is a serious offense in the Philippines. Here's how Philippine law defines and addresses these cases:
**Defining Illegal Deployment**
The primary law defining illegal deployment is Republic Act No. 8042, also known as the Migrant Workers and Overseas Filipinos Act of 1995. This Act outlines various prohibited acts considered illegal deployment, including:
* **Deploying an OFW without a valid license:**  Recruitment agencies  must have a valid license from the Philippine Overseas Employment  Administration (POEA) to deploy workers abroad. Deploying an OFW  through an unlicensed agency is illegal.
* **Deployment with fraudulent documents:**  This includes using  fake work contracts, passports, or other documents to secure employment  for an OFW.
* **Deployment to a position different from what was contracted:**  The  employment contract signed by the OFW specifies the job description  and work location. Deploying them to a significantly different position  or location is illegal.
* **Charging excessive placement fees:**  The POEA regulates the  allowable placement fees recruitment agencies can charge OFWs.  Charging  beyond the regulated amount is considered illegal deployment.
* **Deception or coercion:**  Misrepresenting job details,  work  conditions, or salary to an OFW to secure their consent for  deployment is illegal. 
**Addressing Illegal Deployment**
* **Penalties:**  The Act prescribes significant penalties for illegal  deployment, including:
    * Imprisonment: Not less than six (6) years and one (1) day but not more than twelve (12) years [Section 11(a)] 
    * Fine: Not less than Five hundred thousand pesos (P500,000.00) nor more than One million pesos (P1,000,000.00) [Section 11(a)]
* **Government Agencies**
    * **Philippine Overseas Employment Administration (POEA):**  The  POEA is the primary government agency responsible for enforcing  regulations on the deployment of OFWs. They can investigate  complaints of illegal deployment, impose sanctions on erring  recruitment agencies, and assist OFWs who have been illegally deployed.
    * **Department of Justice (DOJ):**  The DOJ prosecutes cases of  illegal deployment filed against recruitment agencies and individuals  involved.
**How to Report Illegal Deployment**
If you suspect a case of illegal deployment, you can report it to the POEA. Here are some ways to do so:
* **File a complaint online:**  The POEA website ([https://www.dmw.gov.ph/archives/default.html](https://www.dmw.gov.ph/archives/default.html))  provides an online complaint filing system.
* **Visit a POEA office:**  You can visit any POEA office in the Philippines  to file a complaint in person.
* **Report through Philippine Embassy/Consulate (if abroad):**  If you  are abroad and suspect illegal deployment, you can report it to the  nearest Philippine embassy or consulate.  They can help you  connect with the POEA for filing a complaint.
**Recommendations**
* **Choose Licensed Agencies:**  Only deal with recruitment agencies  licensed by the POEA. You can verify their license status on the  POEA website.
* **Review Contracts Carefully:**  Read and understand your employment  contract thoroughly before signing. Ensure it accurately reflects the  agreed-upon job details, salary, and other terms.
* **Seek Clarification:**  If anything in the recruitment process seems  unclear or suspicious, don't hesitate to ask questions and seek  clarification before proceeding.
By understanding Philippine law on illegal deployment and taking necessary precautions, OFWs can better protect themselves from exploitation and ensure a safe and legal employment experience abroad.</t>
  </si>
  <si>
    <t>What are the legal implications for an OFW who becomes involved in a criminal offense abroad?</t>
  </si>
  <si>
    <t xml:space="preserve">An OFW who becomes involved in a criminal offense abroad faces legal consequences based on the  **laws of the host country** where the offense occurred.  Philippine law has limited direct  jurisdiction in such cases, but there are still resources available to assist the OFW.  Here's a breakdown of the situation:
**Host Country Laws Take Precedence**
* **Investigation and Prosecution:**  The authorities of the host country  will investigate the crime and prosecute the OFW according to their  legal system. Penalties can vary greatly depending on the specific  offense, ranging from fines and imprisonment to deportation.
* **Legal Representation:**  It's crucial for the OFW to secure legal  representation familiar with the host country's laws. The Philippine  embassy or consulate may be able to provide a list of lawyers or  connect them with resources to find legal aid.
**Philippine Government Assistance**
* **Limited Legal Intervention:**  The Philippine government cannot  directly intervene in the legal proceedings of another country. 
* **Support and Guidance:**  Philippine embassies and consulates can  offer support and guidance to the OFW during this difficult time.  This may include:
    * Helping them understand their rights under the host country's laws.
    * Contacting their families in the Philippines.
    * Facilitating communication with a lawyer.
    * Providing limited financial assistance in some cases (depending on  available resources).
**Considerations for OFWs**
* **Awareness of Local Laws:**  Before going abroad, OFWs should familiarize  themselves with the basic laws and regulations of the host country,  particularly those related to prohibited activities.
* **Avoid Risky Situations:**  OFWs should avoid situations that could  lead to criminal activity. 
* **Seek Help Immediately:**  If arrested or accused of a crime, the OFW  should immediately contact the nearest Philippine embassy or consulate  for assistance.
**Remember**
* This is a general overview, and the specific legal implications will  vary depending on the host country's laws and the nature of the  offense.
* Consulting a lawyer familiar with the host country's legal system  is crucial for navigating the situation and protecting the OFW's rights.
* The Philippine government's role is primarily to provide support and  guidance, not to directly interfere with the host country's legal  process.
**Additional Resources**
* The Philippine Department of Foreign Affairs (DFA) website ([https://dfa.gov.ph/](https://dfa.gov.ph/))  has a section on  "Assistance to Nationals (ATN)" which provides information on how  they can assist Filipinos in distress abroad, including OFWs  involved in criminal cases.
</t>
  </si>
  <si>
    <t>Can an OFW inherit property in the Philippines while residing abroad?</t>
  </si>
  <si>
    <t>Yes, an OFW residing abroad can inherit property in the Philippines. Philippine law does not restrict inheritance rights based on residency status. Here's a breakdown of the legalities:
**Philippine Law on Inheritance**
* **No Residency Restriction:** Philippine law, particularly the Civil Code,  does not  discriminate against Filipinos residing abroad regarding  inheritance rights. As long as the OFW is a legitimate heir according  to the deceased's will or by intestate succession (if there's no will),  they can inherit property in the Philippines.
**Potential Challenges**
* **Distance and Communication:**  The physical distance can create  challenges in managing the inheritance process.  Here are some  possibilities:
    * Appointing a Representative:  The OFW can appoint a trusted  representative in the Philippines through a Special Power of Attorney  (SPA). This  document grants the representative the authority to handle  matters related to the inheritance on their behalf, such as  coordinating with lawyers or government agencies.
    * Communication with Lawyers and Heirs:  Maintaining clear  communication with lawyers handling the estate settlement and other  heirs  is crucial.
* **Tax Implications:**  OFWs inheriting property in the Philippines  might be  subject to Philippine estate and inheritance taxes. Consulting a  tax  professional  familiar with Philippine tax laws for OFWs  is recommended  to understand  their tax obligations.
**Recommendations**
* **Understanding the Will (if any):**  If the deceased left a will,  carefully review it to understand the inheritance process and  distribution  of  property.
* **Consult a Philippine Lawyer:**  Seek legal advice from a lawyer  familiar with Philippine inheritance laws. They can guide you  through the  process, address any specific issues arising from your situation  as an  OFW, and ensure your rights are protected.
* **Keep Documents Organized:**  Maintain proper documentation  related to  your inheritance, such as a copy of the will, death certificate,  and  proof of your relationship to the deceased.
By understanding Philippine inheritance laws and taking necessary  precautions, OFWs residing abroad can effectively manage their inheritance  in the Philippines.</t>
  </si>
  <si>
    <t>What are the legal requirements for an OFW to bring their dependents with them abroad?</t>
  </si>
  <si>
    <t xml:space="preserve">Here's a breakdown of the legal requirements for an OFW (Overseas Filipino Worker) to bring their dependents with them abroad:
**General Requirements:**
* **Valid Passport:**  Each dependent (spouse and minor children) must  have a valid Philippine passport with sufficient validity (usually  six months beyond the intended stay abroad).
* **Visa Requirements:** The specific visa requirements for dependents  will depend on the host country.  Research the visa category  appropriate for  dependents and ensure you meet all the necessary  requirements (documents, fees, etc.)  This may involve clearances or  medical examinations depending on the country.
* **Proof of Relationship:**  Documents proving the relationship between  the OFW and the dependents  are often required. This may include a marriage  certificate for spouses and birth certificates for children.
**Employment Contract and Visa Sponsorship**
* **Employer's Permission and Visa Sponsorship:**  In many cases, the  OFW's employment contract will specify whether they can bring  dependents.  The employer might also need to sponsor the dependents'  visas.  Confirm these details with your employer and ensure they are  willing to sponsor the visas if necessary.
**Additional Considerations**
* **Age Restrictions:** Some countries may have age restrictions on  dependents  eligible to accompany OFWs. 
* **Financial Requirements:**  Some countries might require proof of  sufficient financial resources to support dependents. This could  involve  bank statements or salary documents from the OFW.
* **Medical Certificates:**  Certain countries may require medical  certificates for dependents, particularly for children.
**Important Resources:**
* **Philippine Overseas Employment Administration (POEA):** The POEA  website ([https://www.dmw.gov.ph/archives/default.html](https://www.dmw.gov.ph/archives/default.html))  provides general information for OFWs on bringing dependents abroad.  They may  also be able to provide guidance on specific requirements for  particular  host countries. 
* **Philippine Embassy or Consulate of the Host Country:**  Contacting  the Philippine embassy or consulate in the country where you'll be  working  is crucial. They can provide the most up-to-date and  accurate information  on visa requirements and the process for bringing  dependents.
**Remember:** Requirements can vary depending on the specific host country and  the  OFW's employment situation. It's essential to research thoroughly and  consult  with the relevant government agencies (POEA, Philippine embassy/consulate  in the host country) to ensure you meet all the legal requirements before  bringing your dependents abroad.
</t>
  </si>
  <si>
    <t>How does Philippine law address cases of forced labor among OFWs?</t>
  </si>
  <si>
    <t xml:space="preserve">Philippine law recognizes forced labor as a serious crime and aims to protect OFWs from such exploitation. Here's an overview of how Philippine law tackles forced labor involving OFWs:
**Key Legal Framework:**
* **Republic Act No. 9208 (Anti-Trafficking in Persons Act or ATIP Act):**  This primary law defines trafficking in persons, including its  application to forced labor. It outlines various offenses and corresponding  penalties.  Here's how it applies to OFWs: 
    * **Prohibited Acts:** The Act  considers acts like recruitment,  transportation, harboring, or receipt of a person for forced labor as  trafficking offenses.
    * **Special Protection:** The Act recognizes the vulnerability of OFWs  to trafficking and mandates government agencies to provide them with  special protective measures.
* **Republic Act No. 8042 (Migrant Workers and Overseas Filipinos Act):**  This Act, alongside the ATIP Act, protects the rights and welfare of  OFWs  and includes provisions for filing complaints if they encounter  forced labor situations.
**Identifying Forced Labor:**
The ATIP Act defines trafficking in persons for forced labor based on  indicators like:
* **Restriction of Movement:**  Confiscation of passports or  identification documents, or physical barriers preventing the  worker from leaving the workplace or accommodation.
* **Threats or Violence:**  Being subjected to physical or  psychological  threats, intimidation, or violence to coerce work.
* **Debt Bondage:**  Being forced to work to repay an  exorbitant debt  created through deception or coercion.
* **Withholding of Pay:**  Not receiving promised wages or having  wages  withheld as a means of control.
**Legal Protections for OFWs:**
* **Investigation and Prosecution:**  Philippine authorities can  investigate suspected trafficking cases and prosecute offenders  under the ATIP Act. 
* **Assistance to Victims:**  Victims of forced labor can receive  government  assistance, including repatriation, shelter, medical care,  and legal  counseling.
* **Pre-Departure Seminars:** The POEA conducts pre-departure  seminars  to educate OFWs about trafficking risks and their rights.
**Challenges and Gaps:**
* **Under-reporting:**  Due to fear or lack of awareness, forced labor  cases among OFWs might be under-reported.
* **Complexities in Identifying Forced Labor:**  Situations  may not always  perfectly fit the legal definition, making it difficult to  prove forced labor  in court.
**What can be done?**
* **Raising Awareness:**  Increased awareness among  potential  victims and  the public can help identify and report cases.
* **Strengthening Law Enforcement:**  Effective investigation and  prosecution of  trafficking cases act as deterrents.
* **Enhancing Protective Measures:**  Robust pre-departure  seminars  and  support systems for OFWs abroad can help prevent exploitation.
By understanding the legal framework and its limitations,  advocating for  stronger enforcement, and promoting awareness,  the Philippines can  better protect  its vulnerable OFW population from forced labor. </t>
  </si>
  <si>
    <t>Can an OFW engage in political activities while abroad?</t>
  </si>
  <si>
    <t>Engaging in political activities while abroad can be a complex issue for OFWs (Overseas Filipino Workers). Philippine law doesn't explicitly restrict them, but there might be limitations based on the host country's laws and the  OFW's employment contract. Here's a breakdown of the considerations:
**Philippine Law**
* **No Direct Restriction:** Philippine law doesn't have a blanket  restriction on  political activities for OFWs abroad.  Their right to suffrage  is  protected by the Constitution, and they can still register to vote  in  Philippine elections while overseas.
**Host Country Laws**
* **Restrictions Might Apply:**  The key factor is the  **law of the host  country** where the OFW is working. Some countries may have  restrictions  on foreign nationals participating in their political activities,  including  protests or rallies. Researching the specific laws of the host  country is crucial.
* **Work Permit/Visa Considerations:**  Some work permits or visas  issued  by the host country might have clauses  prohibiting  political  engagement.  Reviewing the terms of your work visa or permit  is  important.
**Employment Contract Limitations**
* **Contractual Restrictions:**  The OFW's employment contract  might  stipulate  restrictions on political activities.  Engaging in activities  that  could  jeopardize their work or employer-employee relations is  not  advisable.
**General Recommendations**
* **Prioritize Work Obligations:**  Ensure that any political activities  don't  interfere with your work performance or violate your employment  contract.
* **Respect Host Country Laws:**  Always comply with the laws and  regulations  of the country where you're working, including those related  to  political participation.
* **Be Mindful of Employer Policies:**  Be aware of any company policies  regarding  political activities and avoid actions that could create conflict  with your employer.
* **Focus on Philippine Elections (if applicable):**  If you wish to  participate  politically, you can  register to vote in Philippine elections  while  abroad and cast your absentee ballot.
**Remember**
* The specific situation will vary depending on the host country's laws  and  the  OFW's employment contract. 
* It's always best to prioritize work obligations and  avoid jeopardizing  your employment.
* Researching the relevant laws and regulations beforehand is  crucial  to avoid any legal issues.
If you're unsure about the specific limitations in your situation, consider consulting with the Philippine embassy or consulate in the host country. They can provide guidance based on the local laws and advise you on how to navigate this issue safely.</t>
  </si>
  <si>
    <t>Under Philippine law, what are the rights of an OFW in terms of repatriation in case of crisis or conflict in their host country?</t>
  </si>
  <si>
    <t xml:space="preserve">Philippine law recognizes the vulnerability of OFWs in crisis situations abroad and mandates their repatriation under specific circumstances. Here's a breakdown of relevant legal provisions:
* **Republic Act No. 8042 (Migrant Workers and Overseas Filipinos Act):** This Act, also known as the Migrant Workers Act, is the cornerstone of legal protections for OFWs. It includes provisions on repatriation:
    * **Section 10(b):** Mandates the government to establish a program  to assist and protect OFWs in distress,  including those affected by  wars, calamities, or other similar events.
    * **Section 15:** Specifically tasks the Overseas Workers Welfare  Administration (OWWA) with undertaking the repatriation of distressed  OFWs.
**Government Obligation to Repatriate**
Based on the Migrant Workers Act, the Philippine government has a legal obligation to repatriate OFWs under certain conditions:
* **War or Armed Conflict:**  If the host country experiences war or  armed conflict that poses a grave risk to the safety and security  of OFWs.
* **Epidemics or Natural Disasters:**  When the host country is  experiencing a severe epidemic or natural disaster that significantly  threatens the health and well-being of OFWs.
* **Other Similar Events:**  The law leaves room for interpretation  regarding  "other similar events" that could necessitate repatriation. 
**OWWA's Role in Repatriation**
The OWWA is the primary government agency responsible for  facilitating the repatriation of distressed OFWs. They play a crucial  role in:
    * **Monitoring Crisis Situations:**  Keeping track of situations in  countries with significant OFW populations and identifying potential  threats.
    * **Coordinating Repatriation Efforts:**  Working with Philippine  embassies/consulates abroad,  local authorities, and  other  government agencies to organize safe and efficient repatriation  processes.
    * **Financial Assistance:**  The OWWA may provide financial  assistance  to  support repatriation costs, particularly for those who cannot  afford it  themselves.  This may involve tapping into the Emergency  Repatriation Fund  created and managed by the OWWA.
**Important Considerations**
* **Voluntary vs. Mandatory Repatriation:**  In some cases, repatriation  may be  voluntary, where the government advises and assists  OFWs who  wish to leave  the host country due to a crisis. In other situations,  mandatory  repatriation  may be  implemented to ensure the safety of OFWs facing  imminent  threats.
* **Employee's Responsibility:**  The  Migrant Workers Act also  recognizes  the  employer's responsibility  towards repatriation  costs  in  certain situations. 
**What can an OFW do?**
* **Register with Philippine Embassy/Consulate:**  Registering with the  nearest Philippine embassy or consulate in the host country allows  them  to receive updates, guidance, and  assistance during crisis  situations.
* **Monitor News and Advisories:**  Stay informed about the situation in  the  host country and  pay attention to advisories from Philippine  authorities.
* **Contact Philippine Embassy/Consulate if Needed:**  If facing  threats  or  wishing to  repatriate,  don't hesitate to contact the Philippine  embassy/consulate for  guidance  and assistance.
Philippine law provides a safety net for OFWs in crisis situations abroad. By understanding their rights and the government's role in repatriation, OFWs can navigate difficult times with better support. </t>
  </si>
  <si>
    <t>How does Philippine law protect the rights of OFWs in cases of employer bankruptcy abroad?</t>
  </si>
  <si>
    <t>Philippine law offers several layers of protection for Overseas Filipino Workers (OFWs) in cases of employer bankruptcy abroad:
**1. Guarantee Fund under POEA Rule 10, Section 3(g):**
* The Philippine Overseas Employment Administration (POEA) maintains a Guarantee Fund to help distressed OFWs.
* In cases of employer bankruptcy, Filipino workers may be eligible for financial assistance from this fund. 
* The specific amount and eligibility requirements are outlined in POEA Rule 10.
**2. Standard Employment Contract (SEC):**
* The POEA requires a Standard Employment Contract (SEC) for all deployed Filipino workers.
* This contract typically includes a clause requiring employers to maintain some form of security deposit or guarantee to partially compensate workers in case of unforeseen circumstances like bankruptcy.
**3. Post-employment Benefits under Philippine Overseas Labor Office (POLO):**
* The Philippine Overseas Labor Office (POLO) operates under the Department of Labor and Employment (DOLE).
* POLO representatives are stationed in various countries with large OFW populations.
* They can assist distressed workers, including those affected by employer bankruptcy, in claiming their unpaid salaries, benefits, and repatriation costs.
**4. Bilateral Labor Agreements (BLAs):**
* The Philippines has bilateral labor agreements (BLAs) with many countries where OFWs are frequently deployed.
* These agreements often establish mechanisms for resolving labor disputes, including those arising from employer bankruptcy.
*  BLAs may also mandate specific protections for Filipino workers in such situations.
**5. RA 8042, Migrant Workers and Overseas Filipinos Act:**
* Republic Act 8042, also known as the Migrant Workers and Overseas Filipinos Act, is a comprehensive law safeguarding the rights and welfare of OFWs.
* While it doesn't directly address employer bankruptcy, it strengthens the government's mandate to assist Filipinos in distress overseas, including those facing financial hardship due to employer closure.
**Additional Resources:**
* POEA - [https://www.dmw.gov.ph/archives/default.html](https://www.dmw.gov.ph/archives/default.html)
* DOLE - [https://www.officialgazette.gov.ph/section/briefing-room/department-of-labor-and-employment/](https://www.officialgazette.gov.ph/section/briefing-room/department-of-labor-and-employment/)
Remember, this is a simplified overview.  For specific legal advice on your situation, it's always recommended to consult a lawyer specializing in Philippine labor law.</t>
  </si>
  <si>
    <t>Can an OFW legally work in a country not covered by a bilateral labor agreement with the Philippines?</t>
  </si>
  <si>
    <t xml:space="preserve">There's no clear-cut "yes" or "no" answer in Philippine law (RA and Constitution) on the legal status of an OFW working in a country without a bilateral labor agreement (BLA) with the Philippines. 
Here's what relevant Philippine laws say:
* **Republic Act No. 10022 (An Act Amending RA 8042):** Section 15(b)(2) of this Act, emphasizes government efforts to deploy Filipino workers "only to countries where the Philippines has concluded bilateral labor agreements or arrangements." This implies a preference for BLAs but doesn't explicitly ban working in non-BLA countries.
However, other Philippine laws prioritize the protection of OFWs:
* **The Philippine Constitution (Article XIII, Section 15):**  This section mandates the State to "afford full protection to labor, local and overseas..." This implies a general obligation to ensure OFW well-being regardless of location.
**In conclusion:**
* The Philippine government prefers deploying OFWs to countries with BLAs for better protection.
* There's no explicit legal prohibition on working in non-BLA countries. 
**Recommendations:**
*  Always check with the Philippine Overseas Employment Administration (POEA) for official guidelines on deployment to specific countries. 
* Consider the potential risks of working in a country without a BLA, as there may be weaker legal safeguards for OFWs.
* Consult a lawyer specializing in Philippine labor law for a comprehensive assessment of your situation. 
</t>
  </si>
  <si>
    <t>What are the legal obligations of an OFW towards their family members in the Philippines?</t>
  </si>
  <si>
    <t>Philippine law (RA and Constitution) doesn't establish a strict legal obligation for OFWs to financially support their families. However, there are several legal principles that highlight the importance of family and may be considered:
* **Family Code of the Philippines (Article 194):** This article emphasizes the "solidarity of the family." While not a direct financial obligation, it highlights the importance of family members supporting each other.
* **Support System for Parents under Republic Act No. 9994 (The Expanded Senior Citizens Act of 2010):**  This Act  encourages adult children, including OFWs, to provide for the well-being of their elderly parents. It allows senior citizens to file a complaint against children who don't extend "proper care and support."  However, "proper care" is open to interpretation and isn't limited to just financial aid.
**Additionally:**
* **Moral Obligation:** Filipino culture places a strong emphasis on filial piety, which is the respect and responsibility children have towards their parents.  While not enforceable by law, it's a strong social norm that many OFWs feel compelled to follow.
**In Summary:**
There's no legal mandate for OFWs to provide financial support to their families in the Philippines. However, the Family Code and the Expanded Senior Citizens Act highlight the importance of family support.  Social norms and cultural values also play a significant role.
**Important to Remember:**
* OFWs  have the right to manage their earnings as they see fit. 
*  Family financial obligations  should be  determined through open communication and  agreements  within the family.
If you have any concerns about your specific situation, it's always best to consult with a lawyer specializing in Philippine family law.</t>
  </si>
  <si>
    <t>How does Philippine law handle cases of OFWs being stranded abroad due to unforeseen circumstances?</t>
  </si>
  <si>
    <t>Philippine law recognizes the vulnerability of OFWs facing unforeseen circumstances abroad and offers several layers of assistance:
**1. Assistance Programs:**
* **Department of Labor and Employment (DOLE):**  DOLE plays a central role in assisting distressed OFWs. They may provide financial aid, legal assistance, and repatriation assistance through various programs.
* **Philippine Overseas Labor Office (POLO):**  POLO representatives are stationed in many countries with large OFW populations. They can directly assist stranded workers with accessing resources, processing documents for repatriation, and coordinating with local authorities.
* **Guarantee Fund under POEA Rule 10, Section 3(g):** As mentioned earlier, the POEA maintains a Guarantee Fund to help distressed OFWs. In certain unforeseen circumstances, Filipino workers may be eligible for financial assistance from this fund.
**2. Repatriation**
* **The Philippine Constitution (Article XIII, Section 15):** This section mandates the State to "afford full protection to labor, local and overseas..." This implies a general obligation for the government to facilitate the repatriation of Filipinos in distress abroad, including OFWs.
* **Republic Act No. 8042 (Migrant Workers and Overseas Filipinos Act):** This law strengthens the government's mandate to assist Filipinos in distress overseas. It allows distressed workers to seek repatriation at government expense under certain circumstances.
**3. Legal Actions:**
* While not always applicable, Philippine law allows OFWs to pursue legal actions against their employers in cases where employer negligence or actions contribute to the unforeseen circumstances that caused the stranded situation. This can be done through Philippine courts or with the help of POLO in coordination with local authorities in the host country.
**Unforeseen Circumstances:**
The type of assistance and legal options available can vary depending on the specific unforeseen circumstance. Some examples include:
* Employer bankruptcy
* Political unrest or war
* Natural disasters
* Illness or injury
**Important to Note:**
*  The extent of government assistance may vary depending on the situation and available resources.
*  It's always advisable for OFWs to  register with POLO  in the country where they are working. This facilitates communication and enables them to access assistance more easily in case of emergencies.
For a more comprehensive understanding of how Philippine law would handle your specific situation, consulting a lawyer specializing in Philippine labor law is recommended.</t>
  </si>
  <si>
    <t>Can an OFW legally transfer their overseas earnings to a foreign bank account?</t>
  </si>
  <si>
    <t>Yes, there are no restrictions in Philippine law (RA and Constitution) that prevent OFWs from transferring their overseas earnings to a foreign bank account.  Here's why:
* **Foreign Currency Deposit System (FCDS):** The Bangko Sentral ng Pilipinas (BSP), the Philippines' central bank, established the FCDS to encourage Filipinos with foreign currency earnings to save and invest. There are no restrictions on depositing foreign currency earned abroad.
* **Freedom of Disposition of Earnings:** Philippine law respects the right of OFWs to manage their earnings as they see fit. As long as they comply with tax obligations (discussed below), they can transfer their earnings to any bank account, domestic or foreign.
**Tax Considerations:**
* **Tax Residency:**  An OFW's tax residency status determines their tax obligations on their overseas earnings.  If they are considered non-resident for tax purposes in the Philippines, their income earned abroad may be exempt from Philippine income tax.
* **Tax Reporting:**  Even if exempt from income tax, OFWs are still required to report their foreign earnings to the Bureau of Internal Revenue (BIR) through a Tax Amnesty Program or avail of special tax treatment programs for OFWs.
**Recommendations:**
*  Consult with a tax professional to determine your residency status and  tax obligations  related to transferring your earnings to a foreign bank account.
* Be aware of foreign bank regulations  in the country where you intend to open the account. There may be requirements for residency or minimum deposits.
**In Summary:**
Philippine law allows OFWs to transfer their overseas earnings to a foreign bank account. However, tax considerations are important. Consulting with a tax professional is highly recommended to ensure you comply with all Philippine tax regulations.</t>
  </si>
  <si>
    <t>What legal mechanisms are in place to ensure that OFWs are properly compensated for work-related injuries or illnesses abroad?</t>
  </si>
  <si>
    <t>Philippine law offers several mechanisms to ensure OFWs are properly compensated for work-related injuries or illnesses abroad:
**1. Standard Employment Contract (SEC):**
* The Philippine Overseas Employment Administration (POEA) mandates a Standard Employment Contract (SEC) for all deployed Filipino workers.
* This contract typically includes provisions for accident and sickness insurance. The employer is usually responsible for securing this insurance to cover medical expenses and income loss in case of work-related injuries or illnesses.
**2. POEA Rules on  Disability and Death Benefits:**
* POEA  spells out  specific rules  regarding disability and death benefits for OFWs. These  rules  determine the amount of compensation  employers  must provide  in cases of work-related contingencies.
**3. Philippine Overseas Labor Office (POLO):**
* POLO representatives can  assist  distressed OFWs, including those who experience work-related injuries or illnesses.
* They can help workers  access  medical care, file claims with insurance providers, and  navigate the legal system  to  ensure they receive  proper compensation  from their employers.
**4. Republic Act No. 8042 (Migrant Workers and Overseas Filipinos Act):**
* This Act  establishes a legal framework for protecting the rights and welfare of OFWs.
* It  mandates   the creation of a  fund to  provide financial assistance to Filipino workers who become disabled due to work-related injuries or illnesses abroad.
**5. Filing a Case with the National Labor Relations Commission (NLRC):**
* In cases where employers fail to meet their obligations, OFWs can file a case with the NLRC.
* The NLRC has the authority to hear and settle labor disputes, including claims for compensation for work-related injuries or illnesses.
**Additional Resources:**
* POEA - [https://www.dmw.gov.ph/archives/default.html](https://www.dmw.gov.ph/archives/default.html)
* DOLE - [https://www.officialgazette.gov.ph/section/briefing-room/department-of-labor-and-employment/](https://www.officialgazette.gov.ph/section/briefing-room/department-of-labor-and-employment/)
**Important to Note:**
* The specific process for claiming compensation can vary depending on the nature of the injury or illness, the terms of the employment contract, and the laws of the host country.
* It's  advisable  for OFWs to  consult with POLO as soon as possible  after a work-related injury or illness  to understand their rights and  access available assistance.
Remember, this is a simplified overview.  For specific legal advice on your situation, it's always recommended to consult a lawyer specializing in Philippine labor law.</t>
  </si>
  <si>
    <t>How does Philippine law address cases of contract substitution by overseas employers?</t>
  </si>
  <si>
    <t xml:space="preserve">Philippine law considers contract substitution by overseas employers as an illegal act and offers recourse for OFWs who experience it. Here's how Philippine law tackles this issue:
**Illegal Recruitment:**
* **Republic Act No. 8042 (Migrant Workers and Overseas Filipinos Act), as amended by RA 10022:** This law defines illegal recruitment activities. 
* **Section 6(i)** specifically mentions "to substitute or alter to the prejudice of the worker, employment contracts approved and verified by the Department of Labor and Employment (DOLE) from the time of actual signing thereof by the parties up to and including the period of the expiration of the same without the approval of the Department of Labor and Employment" as an illegal recruitment practice.
**Key Points:**
* The law emphasizes that the substitution or alteration of the contract must be done  **without the approval of DOLE**  and  **to the prejudice of the worker**. This means any changes that worsen the OFW's working conditions or promised benefits compared to the original contract are illegal.
* **DOLE approval** is crucial. Any changes to the contract must be reviewed and approved by DOLE to ensure they are fair and legal.
**Consequences for Violators:**
* The law prescribes penalties for those who engage in illegal recruitment, including overseas employers who substitute contracts. These penalties may involve fines, imprisonment, or blacklisting from hiring Filipino workers.
**Worker Protections:**
* OFWs who experience contract substitution can file a complaint with the  **Philippine Overseas Employment Administration (POEA)**.
* POEA has the authority to investigate the case and impose sanctions on the employer.  
* The OFW may also be entitled to  **financial compensation**  for any damages or losses suffered due to the illegal contract substitution.
**Additional Resources:**
* POEA - [https://www.dmw.gov.ph/archives/default.html](https://www.dmw.gov.ph/archives/default.html)
* DOLE - [https://www.officialgazette.gov.ph/section/briefing-room/department-of-labor-and-employment/](https://www.officialgazette.gov.ph/section/briefing-room/department-of-labor-and-employment/)
**Important to Remember:**
* It's crucial for OFWs to  **carefully review and understand their employment contracts**  before signing.
*  **Keep copies of all signed documents**  related to the employment contract.
* If you suspect contract substitution,  **report it immediately to POEA**  to  seek  assistance and hold the employer accountable.
Consulting a lawyer specializing in Philippine labor law is recommended for specific legal advice on your situation, especially if you're facing contract substitution by an overseas employer. </t>
  </si>
  <si>
    <t>Can an OFW vote in Philippine elections while residing abroad?</t>
  </si>
  <si>
    <t>Yes, overseas Filipino workers (OFWs) are allowed to vote in Philippine elections while residing abroad through a system known as overseas absentee voting (OAV). The OAV system allows eligible Filipino citizens who are abroad, including OFWs, to participate in national elections, such as presidential elections, senatorial elections, and national referendums. Here are some key points about overseas absentee voting:
1. Eligibility: To be eligible to vote under the OAV system, an OFW must be a registered voter in the Philippines, at least 18 years old on election day, and not otherwise disqualified by law.
2. Registration: OFWs who wish to vote in Philippine elections while abroad must register as overseas absentee voters. They can do so by applying for registration at any Philippine embassy, consulate, or other designated registration centers abroad. Registration periods are typically announced by the Commission on Elections (COMELEC) prior to each election cycle.
3. Voting Procedure: Once registered, OFWs can participate in Philippine elections by casting their votes either through postal voting or by personally appearing at designated polling centers abroad during the specified voting period. Ballots are sent to registered overseas absentee voters by mail or courier, or they can vote in person at designated polling places.
4. Ballot Casting: Overseas absentee voters can vote for national candidates, including the president, vice president, senators, and party-list representatives. They may also be able to vote for local candidates if they are registered as residents of a particular locality in the Philippines.
5. COMELEC Oversight: The COMELEC is responsible for overseeing the conduct of overseas absentee voting and ensuring that the process is fair, transparent, and accessible to eligible OFWs. The COMELEC establishes rules and procedures for overseas absentee voting, processes voter registrations, and oversees the counting and canvassing of votes cast by overseas absentee voters.
Overall, the OAV system enables OFWs to exercise their right to vote and participate in Philippine elections, allowing them to have a voice in shaping the country's political future even while living and working abroad.</t>
  </si>
  <si>
    <t>What legal protections are available to OFWs against fraudulent practices by their recruiters?</t>
  </si>
  <si>
    <t xml:space="preserve">OFWs (Overseas Filipino Workers) have several legal protections against fraudulent practices by recruiters in the Philippines:
**Laws:**
* **Philippine Overseas Employment Administration (POEA) Rules and Regulations:** These  regulate the recruitment and deployment of OFWs. They outline specific requirements for recruiters, including the information they must provide, the fees they can charge, and the contracts they can offer [https://www.dmw.gov.ph/archives/laws&amp;rules/laws&amp;rules.html](https://www.dmw.gov.ph/archives/laws&amp;rules/laws&amp;rules.html).
* **Anti-Trafficking in Persons Act (Republic Act No. 9208):** This law penalizes human trafficking, including deceptive recruitment practices that exploit or endanger OFWs [https://lawphil.net/statutes/repacts/ra2003/ra_9208_2003.html](https://lawphil.net/statutes/repacts/ra2003/ra_9208_2003.html).
* **Labor Code of the Philippines (Republic Act No. 6715):** This code protects the rights of all Filipino workers, including OFWs. It includes provisions on illegal recruitment and prohibits charging excessive placement fees [https://lawphil.net/judjuris/juri2020/sep2020/gr_221411_2020.html](https://lawphil.net/judjuris/juri2020/sep2020/gr_221411_2020.html).
**Government Agencies:**
* **Philippine Overseas Employment Administration (POEA):**  The POEA is responsible for protecting OFWs and enforcing regulations on recruitment agencies. They can investigate complaints against recruiters, impose sanctions, and blacklist violators [https://www.dmw.gov.ph/archives/default.html](https://www.dmw.gov.ph/archives/default.html).
* **Department of Justice (DOJ):** The DOJ can prosecute recruiters who engage in criminal activities like illegal recruitment and human trafficking. 
**Taking Action:**
* **File a complaint with POEA:** If you believe your recruiter has engaged in fraudulent practices, you can file a complaint with the POEA. They can help you recover fees,  cancel contracts, and potentially take legal action against the recruiter.
* **Report to law enforcement:**  If you suspect human trafficking or other criminal activity, report it to the authorities.
**Additional Resources:**
* POEA Helpline: 1348
By knowing these legal protections and resources, OFWs can be more empowered to fight against fraudulent recruitment practices. Remember, it's important to be  informed  before entering into any contract with a recruiter.
</t>
  </si>
  <si>
    <t>Under Philippine law, what are the rights of an OFW in terms of access to education for their children in the Philippines?</t>
  </si>
  <si>
    <t xml:space="preserve">The Philippine law doesn't guarantee direct access to education for the children of OFWs, but there are provisions that aim to **facilitate and support** their education:
* **Right to Basic Education:** The Philippine Constitution guarantees free access to basic education (elementary and high school) for all Filipino citizens [https://lawphil.net/consti/cons1987.html](https://lawphil.net/consti/cons1987.html). This applies to children of OFWs as well.
* **Government Programs:** The Philippine government offers various programs to assist OFWs with their children's education:
    * **OFW Dependents Scholarship Program (OFWDSP):** This program by the Overseas Workers Welfare Administration (OWWA) provides financial aid to qualified dependents of OFWs pursuing college degrees in public institutions [https://owwa.gov.ph/?page_id=3622](https://owwa.gov.ph/?page_id=3622).
    * **Educational Assistance Programs:** Other government agencies and NGOs may offer scholarships, grants, or educational assistance programs specifically for children of OFWs.
* **Guardianship and Care:**  OFWs have the right to designate guardians for their children in the Philippines. These guardians can help with school enrollment, communication with teachers, and overall well-being of the child.
**Challenges and Considerations:**
* **Financial Burden:** Despite government programs, education can still be a financial burden for some OFW families. 
* **Emotional and Social Issues:** Children of OFWs may face emotional and social challenges due to their parents' absence. 
**Recommendations:**
* **Research Scholarship Programs:**  OFWs should explore scholarship and educational assistance programs available for their children.
* **Maintain Communication:** Regular communication with children and guardians is crucial for their well-being and educational progress.
* **Seek Support Groups:** Connecting with other OFW families can provide emotional and practical support.
While there's no direct legal guarantee, the Philippine government recognizes the challenges faced by OFW families and offers various programs and support systems to ensure their children have access to education.
</t>
  </si>
  <si>
    <t>Can an OFW be held liable for debts incurred in the Philippines while working abroad?</t>
  </si>
  <si>
    <t>Yes, an OFW (Overseas Filipino Worker) can be held liable for debts incurred in the Philippines while working abroad. Here's why:
* **Loan Agreements:** When an OFW enters into a loan agreement with a Philippine bank or lending institution, they are personally liable for repaying the debt, regardless of their location. 
* **Guarantors:** Even if an OFW doesn't directly borrow money, they can be liable if they co-signed a loan or acted as a guarantor for someone else's debt in the Philippines.
* **Legal Obligation:** Philippine law recognizes the obligation of citizens to fulfill their financial commitments. 
**However, there are protections in place for OFWs:**
* **Pre-departure Orientation Seminars (PDOS):** The Philippine government requires mandatory PDOS for all OFWs. These seminars educate them on their rights and responsibilities, including financial management.
* **Debt Assistance Programs:** The government, through OWWA (Overseas Workers Welfare Administration), offers programs to help distressed OFWs with financial obligations [[https://owwa.gov.ph/](https://owwa.gov.ph/)]. 
**Recommendations for OFWs:**
* **Borrow Prudently:** Only borrow what you can realistically afford to repay.
* **Review Loan Agreements:** Carefully understand the terms and conditions of any loan before signing.
* **Avoid Co-Signing:** Unless you're confident in the borrower's ability to repay, avoid co-signing loans.
* **Manage Finances Wisely:** Budget your income and plan for debt repayment.
* **Seek Help if Needed:** If you're struggling with debt, contact OWWA or other government agencies for assistance.
By being financially responsible and aware of their obligations, OFWs can minimize the risk of problems with debt while working abroad.</t>
  </si>
  <si>
    <t>How does Philippine law address cases of passport confiscation by overseas employers?</t>
  </si>
  <si>
    <t xml:space="preserve">Philippine law considers the confiscation of passports by overseas employers as illegal and falls under two key legislations:
* **Republic Act No. 8042 (Migrant Workers and Overseas Filipinos Act of 1995), amended by RA No. 10022:** This law protects migrant workers and Filipinos abroad.  Section 10(b) considers the withholding of passports and other travel documents by employers as illegal recruitment practices.  [Illegal recruitment practices are penalized under the law]
* **Republic Act No. 8239 (Philippine Passport Act of 1996):** This law governs Philippine passports. Section 16  states that passports are the property of the State and  prohibits withholding them from the rightful owner, a Filipino citizen.
Therefore, if your passport is being held by your overseas employer, Philippine law is on your side. </t>
  </si>
  <si>
    <t>What legal assistance is available to OFWs in navigating immigration issues in their host countries?</t>
  </si>
  <si>
    <t xml:space="preserve">There are several provisions under Philippine law that address legal assistance for Overseas Filipino Workers (OFWs) facing immigration issues in their host countries:
* **Republic Act No. 8042 (Migrant Workers and Overseas Filipinos Act of 1995), amended by RA No. 10022:** This law mandates the Department of Labor and Employment (DOLE) to assist OFWs with  immigration problems. Specifically, Section 6(a) of RA 8042  requires DOLE to establish  programs to  provide legal assistance to OFWs with immigration cases. [https://reports.dole.gov.ph/](https://reports.dole.gov.ph/)
* **Philippine Overseas Labor Offices (POLOs):**  POLOs are attached to Philippine embassies or consulates abroad and  provide various assistance to OFWs, including those with immigration concerns. They can help workers  understand their rights under the host country's laws,  mediate with employers, and connect them with legal resources. [https://www.dmw.gov.ph/archives/programs/programs&amp;services.html](https://www.dmw.gov.ph/archives/programs/programs&amp;services.html)
* **DFA Legal Assistance Section:** The Department of Foreign Affairs (DFA) has a legal assistance section that can provide some legal guidance to OFWs. However, due to resource constraints, they may not be able to provide full legal representation in court. [https://dfa.gov.ph/](https://dfa.gov.ph/)
It's important to note that the extent of legal assistance may vary depending on the specific situation and the resources available at the Philippine embassy or consulate in the host country. </t>
  </si>
  <si>
    <t>Can an OFW be deported from their host country without due process under Philippine law?</t>
  </si>
  <si>
    <t xml:space="preserve">No, Philippine law and international agreements ensure that OFWs cannot be deported from their host country without due process. Here's how:
* **Republic Act No. 8042 (Migrant Workers and Overseas Filipinos Act of 1995), amended by RA No. 10022:** This law guarantees the protection of OFWs' rights  even while abroad. Section 10 ensures that  Philippine embassies and consulates  uphold  migrant workers' rights  under the laws of the host country, including the right to due process before deportation.
* **International Labor Organization (ILO) Conventions:** The Philippines has ratified several ILO conventions, including  C87 (Freedom of Association and Protection of the Right to Organise) and C98 (Right to Organise and Collective Bargaining). These conventions  guarantee workers' rights, including due process before termination of employment, which can be relevant in deportation cases arising from employer-employee disputes. [https://www.ilo.org/](https://www.ilo.org/)
Due process typically involves the following:
* Being informed of the reasons for deportation
*  Having a fair hearing before a competent authority
*  The right to legal representation
If an OFW faces deportation, they should immediately contact the nearest Philippine embassy or consulate for assistance. </t>
  </si>
  <si>
    <t>Cultural Heritage</t>
  </si>
  <si>
    <t>What is the primary legislation governing cultural heritage conservation in the Philippines?</t>
  </si>
  <si>
    <t xml:space="preserve">The primary legislation governing cultural heritage conservation in the Philippines is the:
* **Republic Act No. 10066, also known as the National Cultural Heritage Act of 2009** 
This Act provides a comprehensive framework for the protection, preservation, and promotion of the Philippines' cultural heritage. It covers both tangible and intangible cultural properties, and establishes various mechanisms for their conservation. </t>
  </si>
  <si>
    <t>Define the concept of cultural heritage under Philippine law.</t>
  </si>
  <si>
    <t>The concept of cultural heritage under Philippine law is defined in the  **Republic Act No. 10066 (National Cultural Heritage Act of 2009)**  as:
* **"The totality of cultural property preserved and developed through time and passed on to posterity"** [Section 4(l) of RA 10066]
This definition emphasizes that cultural heritage is not just a collection of objects, but rather the living legacy of the Filipino people, encompassing various aspects:
* **Cultural property:**  This includes tangible and intangible properties with historical, cultural, artistic, and scientific value. Examples include churches, artifacts, traditional crafts,  languages, and  folklore. 
* **Preserved and developed through time:**  Culture is not static, but evolves over time. The law recognizes the importance of safeguarding  heritage while allowing for its  adaptation.
* **Passed on to posterity:** The Act highlights the responsibility to  preserve cultural heritage for future generations.
Therefore, Philippine law takes a broad view of cultural heritage, encompassing not just physical objects but also traditions, practices, and knowledge that connect Filipinos to their past and shape their identity.</t>
  </si>
  <si>
    <t>What government agency is responsible for implementing cultural heritage laws in the Philippines?</t>
  </si>
  <si>
    <t xml:space="preserve">Philippine law divides the responsibility for implementing cultural heritage laws among several government agencies.  Here's a breakdown:
* **National Commission for Culture and the Arts (NCCA):**  The NCCA  oversees the implementation of the National Cultural Heritage Act. It establishes policies, coordinates activities, and provides funding for cultural heritage conservation efforts  [Section 5(a) of RA 10066].
* **Cultural Agencies:** Several government agencies  play specific roles  in cultural heritage conservation. These are referred to as "cultural agencies" under RA 10066 and include:
    * National Museum (cultural property)
    * National Library (books and other publications)
    * National Archives of the Philippines (historical documents)
    * National Historical Commission of the Philippines (Philippine history and cultural properties) 
    * Cultural Center of the Philippines (living culture and arts)
    * Komisyon ng Wikang Filipino (Filipino language)  [Section 4(j) of RA 10066]
* **Local Government Units (LGUs):** LGUs also have a role in cultural heritage conservation  within their jurisdictions.  They can enact ordinances to protect cultural properties and  establish local cultural councils [Section 32 of RA 10066].
In essence, the responsibility for implementing cultural heritage laws is a shared effort between the NCCA, cultural agencies at the national level, and LGUs. This ensures a comprehensive approach to protecting the Philippines' rich cultural heritage.
</t>
  </si>
  <si>
    <t>Enumerate the types of cultural properties protected under Philippine law.</t>
  </si>
  <si>
    <t>The Philippine law, Republic Act No. 10066 (National Cultural Heritage Act of 2009), classifies cultural properties into two broad categories:
* **Tangible Cultural Property:** This refers to cultural property with historical, archival, anthropological, archeological, artistic and/or architectural value. It can be further categorized as:
    * **Cultural Property of the Philippines:**  These are objects with exceptional or traditional production,  whether of Philippine origin or not, including antiques and natural history specimens with significant value [Section 4(ii) of RA 10066]. 
    * **Declared Cultural Property:** These are  important cultural properties  identified and formally declared by the NCCA or cultural agencies  through a designation process [Section 11 of RA 10066]. They are further classified into three grades based on significance:
        * **Grade I:**  Objects with exceptional historical, cultural, artistic, and/or scientific value. 
        * **Grade II:**  Objects with important historical, cultural, artistic, and/or scientific value.
        * **Grade III:**  Objects with associative historical, cultural, artistic, and/or scientific value. 
* **Intangible Cultural Property:** This encompasses  tradition-based practices, expressions, knowledge, and skills  passed on from generation to generation. It includes  languages, oral traditions, performing arts, social practices, rituals, festive events, knowledge and practices concerning nature and the universe, and traditional craftsmanship skills [Section 4(f) of RA 10066].
This categorization ensures that Philippine law protects a wide range of cultural heritage, from historical artifacts to traditional practices that contribute to the Filipino identity.</t>
  </si>
  <si>
    <t>Discuss the significance of Republic Act No. 10066 in safeguarding Philippine cultural heritage.</t>
  </si>
  <si>
    <t xml:space="preserve">The Republic Act No. 10066, also known as the National Cultural Heritage Act of 2009, plays a vital role in safeguarding Philippine cultural heritage for several reasons:
* **Comprehensive Framework:**  The Act establishes a  structured approach  to cultural heritage conservation. It defines cultural heritage, classifies cultural properties, and outlines  mechanisms for their protection, preservation, and promotion. This provides a clear roadmap for government agencies and stakeholders involved in cultural heritage work.  
* **Strengthens Government Efforts:** RA 10066  enhances the role of  government agencies  in cultural heritage conservation. It assigns  specific responsibilities  to the NCCA, cultural agencies, and LGUs, ensuring a coordinated effort across different government branches.
* **Protects Tangible and Intangible Heritage:**  The Act recognizes the value of both  tangible cultural properties  (artifacts, structures) and  intangible cultural properties  (traditions, practices). This broader definition ensures a more holistic approach to safeguarding Filipino culture.
* **Promotes Public Awareness:**  The Act mandates the promotion of cultural heritage awareness through education and public information campaigns. This helps  foster a sense of national identity  and  encourages public participation  in conservation efforts.
* **Provides Legal Framework:** RA 10066 establishes a legal framework for  protecting cultural properties  from theft, illegal export, vandalism, and neglect. It also  regulates the ownership and disposition  of cultural properties.
* **Supports Cultural Workers:** The Act recognizes the important role of  cultural workers  (artists, artisans, traditional practitioners) in preserving and transmitting cultural heritage. It encourages their  professional development  and  promotes the sustainability  of traditional cultural practices. 
In conclusion, RA 10066 is a significant piece of legislation that  strengthens the Philippines' ability to safeguard its rich cultural heritage. By providing a comprehensive framework, promoting public awareness, and offering legal protection, the Act ensures that Filipino cultural treasures are preserved and passed on to future generations.
</t>
  </si>
  <si>
    <t>What are the penalties for violations of Republic Act No. 10066?</t>
  </si>
  <si>
    <t xml:space="preserve">The penalties for violating Republic Act No. 10066 (National Cultural Heritage Act of 2009) vary depending on the nature of the offense. Here's a breakdown of the key points:
* **General Penalty:** Upon conviction, the offender can face a fine of **not less than Two hundred thousand pesos (P200,000.00)** or imprisonment for a term of **not less than ten (10) years**, or both, at the court's discretion [Section 34(a) of RA 10066].
* **Specific Offenses and Penalties:** The Act outlines penalties for specific violations, including:
    * **Concealing Cultural Property:**  Attempted concealment of cultural property to avoid registration attracts the general penalty [Section 34(a) of RA 10066].
    * **Illegal Excavation/Encumbrance:**  Excavating or encumbering cultural property without permission carries the general penalty [Section 34(a) of RA 10066]. 
    * **Non-Registration of Cultural Property:**  Failing to register designated cultural property after proper notification by the Commission or cultural agency concerned incurs a fine of **not less than Ten thousand pesos (P10,000.00) but not more than One hundred thousand pesos (P100,000.00)** [Section 34(b) of RA 10066].
    * **Dealers:**  Dealers who violate the Act, in addition to the general penalty, will face **automatic revocation of their license to operate** [Section 34(c) of RA 10066].
    * **Aliens:**  Foreign offenders  can be  detained by the Bureau of Immigration  and face deportation after serving their sentence [Section 34(d) of RA 10066].
It's important to note that these are just some of the key violations and penalties. RA 10066  includes a detailed list of offenses  related to damaging, destroying, altering, or neglecting cultural properties, as well as  illegal trade  and  unauthorized export  of cultural properties.  For a comprehensive understanding, it's recommended to  consult the full text of the Act**.
 </t>
  </si>
  <si>
    <t>Explain the process of declaring a cultural property as a National Cultural Treasure in the Philippines.</t>
  </si>
  <si>
    <t>The process of declaring a cultural property as a National Cultural Treasure (NCT) in the Philippines involves several steps outlined in Republic Act No. 10066 (National Cultural Heritage Act of 2009). Here's a breakdown of the key stages:
1. **Identification and Evaluation:**
    * The initiative can come from various entities  including  government agencies, cultural workers, researchers, or even private owners. 
    * The property is  evaluated  based on criteria set forth by the NCCA. These criteria consider the property's:
        * Historical significance: Association with prehistoric events, past industries, or important figures.
        * Aesthetic significance: Craftsmanship, design, and overall artistic quality.
        * Research significance: Proven provenance and documented context contributing to scientific understanding.
        * Representation of 50,000 years of Philippine prehistory and early history. National Museum website on National Cultural Treasures: [https://www.nationalmuseum.gov.ph/our-collections/archaeology/national-cultural-treasures/](https://www.nationalmuseum.gov.ph/our-collections/archaeology/national-cultural-treasures/)
2. **Nomination and Documentation:**
    * A  nomination dossier  is prepared  detailing the property's history, significance, and current condition. This dossier should include  photographs, technical descriptions, and any relevant historical documents. 
    * The nomination dossier can be submitted to the  National Museum (NM) or the  cultural agency  with relevant expertise (e.g., National Archives for historical documents).
3. **Evaluation by the Cultural Agency:**
    * The designated cultural agency  evaluates the nomination dossier  using the NCCA criteria and  may conduct further research  if necessary.  They may also consult with experts in specific fields.
4. **Recommendation to the NCCA:**
    * Based on their evaluation, the cultural agency  prepares a recommendation  to the NCCA. This recommendation  may propose declaring the property as a National Cultural Treasure or another designated cultural property category.
5. **NCCA Technical Working Group (TWG) Review:**
    * The NCCA TWG  reviews the recommendation and nomination dossier.  They may request additional information or clarifications from the cultural agency.
6. **NCCA En Banc Meeting and Resolution:**
    * The full NCCA  considers the TWG recommendation and makes a final decision  through a formal resolution. The NCCA can  approve  the recommendation to declare the property a National Cultural Treasure,  reject  the nomination, or  request further evaluation.
7. **Issuance of a Certificate of Recognition:**
    * If the NCCA approves the declaration, a  Certificate of Recognition  is issued, formally designating the property as a National Cultural Treasure. The NCCA  informs the owner and relevant government agencies.  
**Additional Points:**
* Public consultations may be conducted during the process, particularly for properties with significant community value.
* The NCCA maintains a National Registry of Cultural Property, where NCTs are included.
*  Ownership of NCTs remains with the original owner, but  restrictions  apply regarding their sale, export, or alteration.
**Remember:** This is a simplified explanation.  For the most up-to-date information and the complete process, it's advisable to consult the NCCA or the relevant cultural agency directly.</t>
  </si>
  <si>
    <t>Differentiate between movable and immovable cultural properties according to Philippine law.</t>
  </si>
  <si>
    <t xml:space="preserve">Philippine law, specifically Republic Act No. 10066 (National Cultural Heritage Act of 2009), categorizes cultural properties based on their mobility. Here's how the law distinguishes between movable and immovable cultural properties:
**Movable Cultural Property:**
* Refers to cultural property with historical, cultural, artistic, and/or architectural value that can be physically moved from one place to another. [Section 4(o) of RA 10066] 
* Examples include:
    * Sculptures and statues
    * Paintings and drawings
    * Artifacts and archaeological finds
    * Historical documents and manuscripts
    * Rare books and printed materials
    * Traditional clothing and textiles
    * Religious objects and ceremonial items
    * Ethnological collections
**Immovable Cultural Property:**
* Refers to cultural property with historical, cultural, artistic, and/or architectural value that is fixed in location and cannot be moved without causing damage. [Section 4(n) of RA 10066] 
* Examples include:
    * Churches, mosques, and other places of worship
    * Historical landmarks and monuments
    * Forts, bridges, and other architectural structures
    * Archaeological sites and heritage landscapes
    * Traditional settlements and structures
**Key Differences:**
The main distinction lies in the physical characteristic of the property. Movable properties can be transported without significant alteration, while immovable properties are  intrinsically linked to their location  and their value is tied to their physical setting.
**Implications:**
This distinction has several implications for the  protection and management  of cultural properties:
* **Registration:**  The registration process for movable and immovable cultural properties may differ depending on the designated agency responsible. 
* **Restrictions on movement:**  Movable cultural properties may have restrictions on their  sale, export, or movement  within the country. Immovable cultural properties inherently have limitations on movement due to their fixed location.
* **Conservation needs:**  Conservation approaches may vary depending on the property's mobility. Movable properties may require specific handling and storage considerations, while immovable properties often require in-situ conservation efforts.
In conclusion, understanding the distinction between movable and immovable cultural properties is crucial for  proper identification, registration, protection, and conservation  of Philippine cultural heritage. </t>
  </si>
  <si>
    <t>How does Republic Act No. 4846 protect underwater cultural heritage in the Philippines?</t>
  </si>
  <si>
    <t xml:space="preserve">While Republic Act No. 4846, also known as the "Cultural Properties Preservation and Protection Act"  plays a role in underwater cultural heritage, it wasn't  specifically  enacted for that purpose.  Here's a breakdown:
* **Focus of RA 4846:** This Act primarily  focuses on protecting cultural properties on land  such as historical sites, structures, and artifacts.
* **Relevance to Underwater Cultural Heritage:** However, the Act  does lay some groundwork  for underwater cultural heritage protection. It defines "cultural properties"  broadly to include "ships or boats in part or whole" [Section 2(f) of RA 4846]. This definition  could  encompass shipwrecks  containing archaeological or historical value.
* **Limitations of RA 4846:**  The Act doesn't  provide  specific  regulations or guidelines  for the  exploration, excavation, or management  of underwater cultural heritage. It also  predates the development of a robust legal framework  for underwater archaeology in the Philippines.
**Later Developments:**
* **Presidential Decree No. 374 (1974):** This decree  amended  RA 4846 and  further emphasized the government's role  in protecting cultural properties. It  designated the National Museum as the lead agency  for implementing the Act's provisions, including archaeological research and management.  This  indirectly  strengthens the potential for  underwater cultural heritage  protection.
* **Republic Act No. 10066 (2009):**  This more recent law, the National Cultural Heritage Act,  supersedes some provisions of RA 4846 but  maintains the broad definition of cultural properties  including shipwrecks. It also strengthens the role of the National Museum in cultural heritage conservation.
**Current Situation:**
While RA 4846 provided some initial groundwork,  Philippine law relies more on  a combination of  RA 10066, Presidential Decree No. 374, and  administrative issuances  from the National Museum  to guide underwater cultural heritage protection. 
**Recommendations:**
For a more comprehensive legal framework, some experts recommend  the Philippines develop specific legislation  addressing underwater cultural heritage.  This could  establish clear guidelines  for exploration, excavation, research, and conservation  of underwater cultural sites.
 </t>
  </si>
  <si>
    <t>What measures are in place to prevent the illicit trafficking of cultural artifacts in the Philippines?</t>
  </si>
  <si>
    <t xml:space="preserve">The Philippines has several measures in place to prevent the illicit trafficking of cultural artifacts, combining legal frameworks, government agencies, and international cooperation. Here's a breakdown of the key points:
**Legal Framework:**
* **Republic Act No. 10066 (National Cultural Heritage Act of 2009):** This primary legislation defines cultural properties, establishes a registration system, and outlines  penalties  for offenses related to their  illegal trade, export, or concealment [Section 34 of RA 10066].
* **Other Relevant Laws:**
    * **Republic Act No. 8239 (Philippine Passport Act of 1996):** Prohibits the withholding of passports, which can be used to prevent traffickers from leaving the country with artifacts.
    * **Republic Act No. 8961 (An Act Prohibiting the Unauthorized Importation of Cultural Property):**  Regulates the import of cultural properties to prevent the entry of stolen artifacts.
    * **Presidential Decree No. 374 (Amending RA 4846):**  Strengthens the government's role in protecting cultural properties, including potential application to underwater cultural heritage.
**Government Agencies:**
* **National Commission for Culture and the Arts (NCCA):** Oversees the implementation of RA 10066 and coordinates efforts to protect cultural heritage.
* **National Museum:**  Leads the registration, documentation, and conservation of cultural properties. It also plays a role in  investigating  trafficking cases. 
* **Cultural Agencies:** Agencies like the National Archives and National Library  contribute  to the protection of specific cultural properties within their mandates.
* **Bureau of Customs (BOC):**  Monitors and regulates the import and export of cultural properties,  preventing  the entry or exit of illicit artifacts.
* **Law Enforcement Agencies:** The Philippine National Police (PNP) and National Bureau of Investigation (NBI)  investigate  trafficking cases and apprehend  culprits.
**International Cooperation:**
* **UNESCO 1970 Convention:** The Philippines is a signatory to the  UNESCO Convention on the Means of Prohibiting and Preventing the Illicit Import, Export and Transfer of Ownership of Cultural Property. This international agreement fosters cooperation in  combating  art trafficking.
* **Memorandums of Understanding (MOUs):** The Philippines has established MOUs with other countries  facilitating information sharing,  joint investigations,  and  the repatriation  of stolen cultural artifacts.
**Challenges and Further Measures:**
* **Limited Resources:**  Implementing these measures effectively requires adequate resources for government agencies.
* **Public Awareness:**  Raising public awareness about the importance of cultural heritage and the dangers of trafficking is crucial.
* **Technology and Training:**   Utilizing advanced technologies for tracking and  authentication  of cultural properties can be beneficial. Training law enforcement and customs officials  in identifying illicit artifacts  is also important.
By combining legal frameworks, dedicated government agencies, and international cooperation, the Philippines strives to prevent the illicit trafficking of cultural artifacts. However, continuous efforts are needed to address resource limitations, raise awareness, and adapt to evolving trafficking methods. </t>
  </si>
  <si>
    <t>Discuss the role of local government units (LGUs) in cultural heritage conservation efforts.</t>
  </si>
  <si>
    <t xml:space="preserve">Local government units (LGUs) play a vital role in cultural heritage conservation efforts in the Philippines. Their proximity to communities and cultural resources makes them well-positioned to take concrete actions and  mobilize local support  for safeguarding the nation's cultural identity. Here's a breakdown of their key functions:
**1. Identification and Documentation:**
* LGUs can  conduct inventories  of cultural properties within their jurisdiction. This can include historical landmarks, traditional practices, and  intangible cultural heritage  like folk songs or dances.
* They can  collaborate with  local communities, cultural workers, and heritage organizations  to gather knowledge and document  these cultural treasures. 
**2. Protection and Preservation:**
* LGUs have the authority to  enact local ordinances  to  protect cultural properties  from neglect, damage, or destruction. This can involve  zoning regulations  or restrictions on development in heritage areas.
* They can  allocate  budgetary resources  for the  restoration and conservation  of historical buildings, structures, and artifacts.
**3. Promotion and Awareness:**
* LGUs can  organize cultural events, festivals, and exhibits  to  showcase  their local heritage  and educate the public about its significance.
* They can  integrate  cultural heritage  into  tourism programs  and  educational curriculums , fostering appreciation among residents and visitors.
**4. Capacity Building and Community Participation:**
* LGUs can  support the training  of  cultural workers  like artisans, craftspeople, and traditional practitioners, ensuring the  continuation of cultural traditions.
* They can  encourage community participation  in  conservation efforts  by involving local residents in decision-making processes and heritage activities.
**5. Collaboration and Partnerships:**
* LGUs can  collaborate with national cultural agencies ,  NGOs ,  academic institutions , and the private sector  to  leverage expertise, resources, and funding  for cultural heritage projects.
**Examples of LGU Initiatives:**
* Vigan, Ilocos Sur  has  preserved its well-maintained Spanish colonial architecture  and  thriving traditional industries , earning it UNESCO World Heritage City status. 
* Intramuros, Manila  underwent  restoration efforts  and  revitalization projects , transforming the historic walled city into a cultural and tourism hub.
**Challenges and Considerations:**
* **Limited Resources:**  LGUs often face  budgetary constraints  which can hinder their ability to undertake extensive conservation projects.
* **Technical Expertise:**   Building capacity  within LGUs  to manage complex conservation works  may require collaboration with external experts.
**Conclusion:**
LGUs are  critical partners  in safeguarding Philippine cultural heritage. By  taking an active role  in  identification, protection, promotion, and community engagement , they ensure that the rich cultural tapestry of the Philippines is  preserved  and  flourishes  for future generations.
</t>
  </si>
  <si>
    <t>What is the role of the National Commission for Culture and the Arts (NCCA) in preserving cultural heritage?</t>
  </si>
  <si>
    <t xml:space="preserve">The National Commission for Culture and the Arts (NCCA) plays a central role in preserving cultural heritage in the Philippines. Here's a breakdown of its key functions outlined in Republic Act No. 10066 (National Cultural Heritage Act of 2009) and other relevant Philippine laws:
**Policy Formulation and Coordination:**
* **Develops and implements policies:**  The NCCA  establishes national policies, plans, and programs  for the  conservation, promotion, and development  of Philippine arts and culture, including tangible and intangible heritage. 
* **Coordinates efforts:**  The NCCA acts as a  coordinating body ,  bringing together  various government agencies, cultural institutions, NGOs, and the private sector  to work collaboratively on cultural heritage initiatives.
**Funding and Resource Allocation:**
* **Manages the National Endowment Fund for Culture and the Arts (NEFCA):**  The NCCA  administers the NEFCA, a  primary source of funding  for cultural heritage conservation projects across the Philippines.
* **Provides grants and assistance:** The NCCA  offers grants and financial assistance  to  support  cultural heritage projects  undertaken by  LGUs, cultural workers, and qualified institutions.
**Standard Setting and Recognition:**
* **Sets standards:** The NCCA establishes  standards and guidelines  for the  identification, registration, documentation, and conservation  of cultural properties.
* **Declares National Cultural Treasures (NCTs):**  The NCCA,  through a designated body,  evaluates and declares properties  as National Cultural Treasures, the highest recognition for cultural significance in the Philippines.
**Advocacy and Public Awareness:**
* **Raises public awareness:** The NCCA implements  programs  to  raise public consciousness  about the value of cultural heritage and the importance of its preservation.
* **Promotes cultural exchange:**  The NCCA  encourages cultural exchange  programs  to foster understanding and appreciation for Philippine culture  on both national and international levels.
**Research and Documentation:**
* **Supports research:** The NCCA  provides support  for research initiatives  related to Philippine cultural heritage,  contributing to a deeper understanding  of the nation's cultural past and present.
* **Maintains databases:**  The NCCA  maintains databases  of cultural properties,  facilitating  identification, documentation, and research efforts.
**Examples of NCCA Initiatives:**
* The  "Dangal ng Filipinas" (Pride of the Philippines) National Living Treasures Program  recognizes and honors  individuals and groups who are  living repositories  and  practitioners of  unique and valuable Filipino cultural traditions and indigenous knowledge.
* The  National Registry of Cultural Property  maintains a comprehensive database of  identified cultural properties  across the Philippines.
**Conclusion:**
The NCCA acts as a  guiding force  for cultural heritage preservation in the Philippines. Through  policy development, funding allocation, standard setting, and public awareness campaigns, the NCCA  ensures a  coordinated and comprehensive  approach  to safeguarding the nation's  cultural wealth  for future generations.
</t>
  </si>
  <si>
    <t>Explain the process of registering a cultural property with the National Registry of Historic Sites and Structures (NRHSS).</t>
  </si>
  <si>
    <t xml:space="preserve">The process of registering a cultural property with the National Registry of Historic Sites and Structures (NRHSS) in the Philippines involves several steps. Here's a breakdown of the key stages:
**1. Initial Research and Documentation:**
* Gather  historical information  about the property, including its  date of construction, original function,  architects or builders (if known), and significant historical events associated with it.
* Collect  photographs  of the property from various angles, showcasing its  exterior and interior features  in detail. 
* Prepare a  detailed description  of the property's  architectural style, materials used, and  current condition. 
*  Consult with a  heritage professional  (historian, architect, etc.)  if needed, to ensure  accurate documentation.
**2. Submission of Nomination Form:**
* Acquire a  NRHSS Nomination Form  from the National Commission for Culture and the Arts (NCCA) or  download it from their website**. [https://en.wikipedia.org/wiki/National_Commission_for_Culture_and_the_Arts](https://en.wikipedia.org/wiki/National_Commission_for_Culture_and_the_Arts)** 
* Fill out the nomination form  completely and  accurately , providing details about the property, its significance, and  justification for registration  as a historic site or structure.
* Attach all the  gathered documents , including historical information, photographs, and the property description.
**3. Evaluation by the NCCA:**
* The NCCA  Cultural Heritage  section  receives the nomination form and  supporting documents.
* Evaluators  assess the nomination  based on the established  criteria  for inclusion in the NRHSS. These criteria typically consider the property's:
    * **Historical significance:** Association with important historical events, figures, or social movements.
    * **Cultural significance:** Embodies or reflects the cultural heritage of a community or nation.
    * **Architecture and Design:**  Exhibits exceptional or representative architectural qualities, construction methods, or materials.
    * **Community significance:** Holds a special place in the memory and tradition of the local community.
**4. Field Verification (if necessary)**
* In some cases, NCCA evaluators may  conduct a site visit  to verify the information provided in the nomination form and assess the property's condition firsthand.
**5. NCCA Technical Working Group (TWG) Review:**
* A  technical working group  of heritage professionals  reviews the nomination form,  supporting documents,  and any findings from the site visit (if applicable).
* The TWG  may request  additional information  or clarification from the nominator if needed.
**6. NCCA En Banc Meeting and Resolution:**
* The full NCCA  considers the recommendation of the TWG  and makes a final decision  through a formal resolution. The NCCA can:
    * **Approve** the nomination for registration in the NRHSS.
    * **Reject** the nomination,  providing  feedback  to the nominator on how to strengthen the application for future resubmission.
    * **Request further evaluation**  if more information is needed.
**7. Registration and Issuance of Certificate:**
* If the NCCA approves the nomination, the property is  officially registered  in the National Registry of Historic Sites and Structures.
* The NCCA issues a  Certificate of Registration  to the owner or legal custodian of the property.
**Additional Points:**
* The process may involve  consultation with the  local government unit (LGU)  where the property is situated. 
*  Registration fees  may apply, depending on the property type and size.
* Property owners are generally  encouraged to maintain  and conserve  registered historic sites and structures.
**Remember:** This is a general explanation.  For the most up-to-date information and specific requirements, it's advisable to consult the NCCA website or contact them directly.
</t>
  </si>
  <si>
    <t>Discuss the importance of heritage impact assessments in development projects.</t>
  </si>
  <si>
    <t xml:space="preserve">Heritage impact assessments (HIAs) play a crucial role in ensuring sustainable development by safeguarding cultural heritage during the planning and execution of development projects. Here's a breakdown of their importance:
**Protects Cultural Heritage:**
* HIAs identify potential  negative impacts  of a development project on cultural properties, both tangible (buildings, artifacts) and intangible (traditions, practices).
* By identifying these impacts early on,  mitigation strategies  can be developed to  minimize damage  or  loss  of cultural heritage. 
* This can involve  relocation  of cultural sites,  modifications  to project designs, or  data recovery  efforts  for archaeological sites.
**Informs Decision-Making:**
* HIAs provide  valuable information  to developers, planners, and government agencies  to make informed decisions  regarding project location, design, and construction methods.
* By understanding the cultural significance of a location,  alternative solutions  can be explored that  minimize  or avoid  negative impacts on heritage.
**Promotes Sustainable Development:**
* HIAs encourage a  balanced approach  to development. They ensure that economic progress  doesn't come at the expense  of cultural heritage, which is a valuable  non-renewable resource.
* By integrating cultural heritage considerations, development projects can be  more sustainable  in the long term.
**Benefits Local Communities:**
* HIAs often involve  consultation  with local communities  whose cultural heritage is potentially affected. 
* This fosters  community participation  in decision-making and  empowers  them to  protect their cultural identity. 
* Additionally, development projects that respect cultural heritage can  boost cultural tourism  and  create economic opportunities  for local communities.
**Improves Project Design and Public Perception:**
* By proactively addressing potential cultural heritage concerns, HIAs can  reduce delays  and  complications  during project implementation.
* Additionally, demonstrating a commitment to cultural heritage protection can  improve public perception  of development projects and  gain community support.
**Complies with Legal Requirements:**
* In many countries, including the Philippines,  HIAs are mandated by law  for development projects that could impact cultural heritage.
* Conducting HIAs ensures that developers  comply with legal regulations  and avoid potential penalties for damaging cultural properties.
**Overall, HIAs are essential tools for achieving a  balance  between development and cultural heritage protection. They promote informed decision-making, community engagement, and sustainable development for the future.**
</t>
  </si>
  <si>
    <t>How does Republic Act No. 10066 address the protection of intangible cultural heritage?</t>
  </si>
  <si>
    <t xml:space="preserve">Republic Act No. 10066, also known as the National Cultural Heritage Act of 2009, recognizes the importance of intangible cultural heritage (ICH) in the Philippines and outlines measures for its protection. Here's a breakdown of the key points:
**Definition of Intangible Cultural Heritage:**
* Section 4(x) of RA 10066 defines intangible cultural heritage as the:
    * Practices, representations, expressions,
    * Knowledge and skills,
    * Instruments, objects and artifacts associated therewith,
    * That communities, groups and individuals recognize as part of their cultural heritage.
* This broad definition encompasses a wide range of ICH elements, including:
    * Oral traditions, languages and expressions
    * Performing arts (dance, music, theater)
    * Social practices, rituals and festive events
    * Knowledge and practices concerning nature and the universe
    * Traditional craftsmanship
**Measures for Protection:**
* **Identification and Documentation:** The Act encourages the  identification, documentation, research,  and  inventory  of intangible cultural heritage across the Philippines. [Section 18 of RA 10066]
* **Inventory of Intangible Cultural Properties:** The NCCA, in consultation with relevant stakeholders,  maintains an  Inventory of Intangible Cultural Properties.  This inventory serves as a valuable tool for raising awareness and promoting these cultural treasures. [Section 18 of RA 10066]
* **Safeguarding Measures:** The NCCA, in coordination with LGUs, cultural communities, and NGOs,  formulates and implements  safeguarding measures  to  ensure the viability  and  transmission  of intangible cultural heritage to future generations.  [Section 19 of RA 10066] These measures may involve:
    * **Support programs:**  Financial assistance, training workshops, and capacity building initiatives  for bearers and practitioners of ICH.
    * **Documentation projects:** Recording oral traditions, music, and performances  to create archival records.
    * **Public awareness campaigns:**  Educational programs and cultural events  to raise public appreciation for ICH.
    * **Integration into education:**  Incorporating ICH elements  into school curricula  to ensure their transmission to younger generations.
**Challenges and Considerations:**
* **Intangibility:**  Unlike tangible cultural properties, ICH  cannot be physically preserved  in the same way. 
* **Dynamic Nature:**  ICH is  living and evolving , presenting challenges in documentation and safeguarding efforts.
* **Community Participation:**  Effective protection requires  collaboration  with  communities  who are the custodians  of this heritage.
**Conclusion:**
Republic Act No. 10066 provides a framework for safeguarding intangible cultural heritage in the Philippines. By recognizing its importance, promoting its documentation, and supporting its transmission, the Act aims to ensure the  continuity  and  flourishing  of these irreplaceable cultural expressions. </t>
  </si>
  <si>
    <t>What are the responsibilities of cultural agencies and institutions in promoting cultural heritage awareness?</t>
  </si>
  <si>
    <t xml:space="preserve">Cultural agencies and institutions play a vital role in promoting cultural heritage awareness in the Philippines. Here's a breakdown of their key responsibilities:
**1. Education and Public Engagement:**
* **Develop educational programs:** Cultural agencies can create  educational programs  for all ages,  tailored  to different audiences (schools, communities, general public). 
* These programs can utilize various formats like  workshops, lectures, exhibits,  and  interactive activities  to  introduce  and explain  cultural heritage concepts.
* **Organize cultural events and festivals:**  Festivals,  performances,  demonstrations of traditional crafts, and  commemorative events  can  bring cultural heritage to life  for the public.
* **Develop educational resources:**  Cultural agencies can create  educational resources  like  brochures, websites,  multimedia materials , and  traveling exhibits  to  disseminate  information about cultural heritage in a user-friendly way.
**2. Research and Documentation:**
* **Conduct research:** Cultural agencies can undertake research projects to  document  and  gain a deeper understanding  of Philippine cultural heritage in all its diversity.  This research can contribute to  inventories  of cultural properties and  preservation efforts.
* **Maintain archives and collections:**  These institutions  house valuable collections  of artifacts, documents, and recordings  related to Philippine culture. They have a responsibility to  preserve  these collections and  make them accessible  to researchers and the public.
**3. Advocacy and Capacity Building:**
* **Raise public awareness:** Cultural agencies can  advocate  for the importance of cultural heritage  through  public awareness campaigns  using media, social media, and community outreach programs.
* **Support cultural workers and practitioners:**  Providing  training workshops,  financial assistance, and  platforms  for showcasing their skills  empowers  cultural workers  and ensures the  transmission  of traditional knowledge and practices.
* **Collaborate with LGUs and NGOs:**  Effective promotion requires  collaboration  with local government units (LGUs)  and  non-governmental organizations (NGOs)  that work within communities  to  tailor  initiatives  to specific cultural contexts.
**4. Utilizing Technology and Innovation:**
* **Develop digital platforms:**  Cultural agencies can create  interactive websites,  mobile applications , and  virtual tours  to  make  cultural heritage  more accessible  to a wider audience, particularly younger generations.
* **Utilize social media:**  Social media platforms can be used to  share  engaging content  about cultural heritage,  spark  conversations, and  encourage  public participation .
* **Embrace digital tools:**  Digital technologies like  3D scanning  and  archival software  can be employed  to  preserve  and  disseminate  cultural heritage information in innovative ways.
By fulfilling these responsibilities, cultural agencies and institutions can foster a deeper appreciation for Philippine cultural heritage among citizens. This awareness is crucial for  preserving  cultural identity,  promoting  cultural tourism, and  inspiring  future generations  to value and safeguard their heritage. </t>
  </si>
  <si>
    <t>Discuss the legal framework for the conservation of ancestral domains and indigenous cultural communities in the Philippines.</t>
  </si>
  <si>
    <t xml:space="preserve">The Philippines has a legal framework that recognizes and protects the rights of Indigenous Cultural Communities/Indigenous Peoples (ICCs/IPs) and their ancestral domains. Here's a breakdown of key provisions:
**Constitution:**
* **Article XIV, Section 17:** The State shall recognize the rights of ICCs/IPs to their ancestral domains to ensure their economic, social, and cultural well-being. 
* **Article XII, Section 5:** The State shall protect the rights of ICCs/IPs to their customary laws governing property rights or relations in determining the ownership and extent of ancestral domains.
**Republic Act No. 8371 - Indigenous Peoples' Rights Act (IPRA) of 1997:**
* **Chapter III - Rights to Ancestral Domains:** 
    * Defines ancestral domains and ancestral lands.
    * Establishes a process for the delineation and recognition of ancestral domains.
    * Grants ICCs/IPs the right to develop, manage, and conserve their ancestral domains. 
    * Requires government agencies to secure Free and Prior Informed Consent (FPIC) from ICCs/IPs before undertaking projects affecting their ancestral domains.
**Other Relevant Laws:**
* **National Integrated Protected Areas System (NIPAS) Act (RA No. 7586):**  
    * Establishes a framework for protected areas, which can overlap with ancestral domains.
    * Requires harmonization with IPRA to ensure the rights of ICCs/IPs are considered in protected area management.
**Implementing Rules and Regulations (IRR):**
* The IPRA IRR (issued by the NCIP) provides detailed procedures for ancestral domain delineation and recognition, including the role of ICCs/IPs in the process.
* Joint DENR-NCIP issuances aim to reconcile IPRA with NIPAS to ensure a balanced approach to conservation and ICC/IP rights.
**Key Points for Conservation:**
* ICCs/IPs have a right to manage and conserve their ancestral domains based on their customary laws and traditions.
* The government must consider the conservation practices of ICCs/IPs when developing policies and programs for protected areas. 
* FPIC is crucial for ensuring ICC/IP participation in conservation efforts within their ancestral domains.
Remember, this is a simplified overview. If you have a specific concern or question about a particular situation, it's best to consult a lawyer specializing in indigenous peoples' rights.
</t>
  </si>
  <si>
    <t>Explain the role of archaeology in cultural heritage preservation in the Philippines.</t>
  </si>
  <si>
    <t>Philippine law recognizes the importance of archaeology in cultural heritage preservation. Here's how archaeology contributes:
**Understanding the Past:**
* **Republic Act No. 10066 - National Cultural Heritage Act of 2009:** While not explicitly mentioning archaeology, this act recognizes the importance of "prehistoric and historic cultural properties" (Section 4) which fall within the archaeological domain.
**Archaeological Activities and Cultural Heritage:**
* **No direct legal framework outlining the practice of archaeology exists**. However, existing laws indirectly support archaeological activities:
    * **Executive Order No. 116, s. 1994 - Creating the National Commission for Culture and the Arts (NCCA):** The NCCA, through its subcommissions, can oversee and support archaeological research.
    * **National Museum:**  
        * Serves as the repository for archaeological finds (RA 1586).  
        * Conducts archaeological investigations (based on its mandate).
**Archaeology's Contribution to Preservation:**
* **Unearthing History:** Archaeological excavations reveal artifacts, structures, and other remains that provide information about past societies and cultures. This knowledge is essential for understanding and appreciating Philippine heritage.
* **Site Protection:**  Archaeological surveys help identify and register cultural heritage sites, allowing for their legal protection from looting and destruction (RA 10066).
* **Education and Public Awareness:** Archaeological discoveries can be used to create museum exhibits, educational programs, and public outreach initiatives that raise awareness and appreciation for Philippine cultural heritage.
* **Informing Development Projects:**  Archaeological assessments can be conducted before development projects to minimize damage to cultural resources. This aligns with the spirit of RA 10066, which promotes the integration of cultural heritage considerations into development planning.
**Challenges and the Need for Collaboration:**
* While the legal framework indirectly supports archaeology, there's a need for a more comprehensive legal framework for archaeological practice and heritage management. 
* Collaboration between archaeologists, government agencies, and local communities is crucial for effective cultural heritage preservation.
Overall, archaeology plays a vital role in piecing together the Philippines' rich history and informing cultural heritage preservation efforts. However, a more robust legal framework and stronger collaboration can further strengthen this role.</t>
  </si>
  <si>
    <t>Enumerate the criteria for determining the significance of a cultural property.</t>
  </si>
  <si>
    <t xml:space="preserve">Philippine law doesn't provide a single, official list of criteria for determining the significance of a cultural property. However, the National Cultural Heritage Act (RA 10066) and the National Commission for Culture and the Arts (NCCA) offer some guidance:
**National Cultural Heritage Act (RA 10066):**
* **Section 4:** Identifies categories of cultural properties, including:
    * Sites and structures with historical, cultural, social, or aesthetic importance.
    * Movable cultural properties with exceptional artistic, historical, or cultural value.
    * Submerged cultural properties.
    * Intangible cultural properties like traditional knowledge, practices, and folklore.
**NCCA Guidelines (may not be explicitly mandated by law):**
* Historical significance: Association with important historical events or people.
* Cultural significance: Reflects or embodies the traditions, beliefs, and practices of a particular community.
* Social significance: Holds value for a specific community or group.
* Aesthetic significance: Possesses exceptional artistic or architectural merit.
* Scientific significance: Offers valuable information about the past or the natural world.
* Rarity and Authenticity: How unique and genuine the property is.
**Additional Considerations:**
* **Community Recognition:** How the local community views and values the property.
* **Integrity:** The completeness and overall state of preservation of the property.
* **Context:** How the property relates to its surrounding environment and historical context.
It's important to note that these are not absolute criteria, and the significance of a cultural property might be determined based on a combination of these factors. Ultimately, the NCCA, with the assistance of experts and relevant stakeholders,  makes the final decision on the designation of a cultural property.
</t>
  </si>
  <si>
    <t>Discuss the legal mechanisms for the repatriation of cultural artifacts to the Philippines.</t>
  </si>
  <si>
    <t xml:space="preserve">Philippine law doesn't have a single, comprehensive legal framework dedicated solely to the repatriation of cultural artifacts. However, there are existing legal mechanisms and international conventions that can be used to pursue repatriation claims:
**National Cultural Heritage Act (RA 10066):**
* **Section 13:** The State shall endeavor to recover illegally exported cultural properties.
* **Section 14:** The NCCA, in coordination with other government agencies, can negotiate for the return of illegally acquired cultural properties. 
**International Conventions:**
* **UNESCO Convention on the Means of Prohibiting and Preventing the Illicit Import, Export and Transfer of Ownership of Cultural Property (1970):** The Philippines is a signatory to this convention, which aims to combat the illegal trade in cultural objects.
* **UNIDROIT Convention on Stolen or Illegally Exported Cultural Objects (1995):** While not ratified by the Philippines, this convention provides a framework for the return or restitution of stolen cultural artifacts.
**Challenges and Considerations:**
* **Burden of Proof:**  The Philippines must prove ownership or legal export of the artifact. 
* **Lengthy Legal Process:** Repatriation claims can take years to resolve.
* **Good Faith Purchase:**  Difficulties arise if the current holder acquired the artifact in good faith.
**Alternative Approaches:**
* **Cultural Exchange Agreements:**  Negotiating agreements with institutions holding Philippine artifacts to facilitate loans, exhibits, or joint research projects.
* **Digital Repatriation:**  Creating high-resolution digital copies of artifacts for research and educational purposes in the Philippines.
**The Role of Lawyers and International Cooperation:**
* Lawyers specializing in cultural heritage law can be crucial in navigating the legal complexities of repatriation claims.
* Cooperation with international law enforcement agencies and relevant authorities in other countries is essential to track down and recover illegally exported artifacts.
**Conclusion:**
Repatriating cultural artifacts to the Philippines is a complex issue with both legal and cultural significance.  While a dedicated legal framework for repatriation doesn't exist yet, a combination of existing legislation, international conventions, and strategic approaches can be used to pursue these claims. 
</t>
  </si>
  <si>
    <t>How does the National Museum contribute to cultural heritage conservation efforts?</t>
  </si>
  <si>
    <t>The National Museum of the Philippines plays a vital role in cultural heritage conservation efforts through a variety of functions mandated by law:
**Legal Mandate:**
* **Republic Act No. 10066 (National Cultural Heritage Act of 2009):** This law designates the National Museum as the "primary institution of the State for the management and development of museums and collections of national scope or significance in the areas of cultural heritage" [1].
**Key Areas of Contribution:**
* **Collection Management:** The National Museum safeguards a vast collection of artifacts, artworks, and cultural objects. They employ proper conservation techniques to preserve these items for future generations [2].
* **Research and Documentation:** The museum conducts extensive research on Philippine history, archaeology, anthropology, and art. This research contributes to a deeper understanding and appreciation of the country's cultural heritage [2].
* **Exhibition and Public Outreach:** The National Museum curates exhibits that showcase various aspects of Philippine culture and history. These exhibits educate the public and raise awareness about the importance of cultural heritage conservation [2].
* **Advocacy and Capacity Building:** The museum advocates for the protection of cultural heritage sites and promotes best practices in conservation. They also offer training programs to equip cultural institutions and communities with the skills necessary to preserve their own heritage [2].
**Specific Examples:**
* **National Register of Cultural Property:** The museum maintains a national registry of important cultural properties, which helps to identify and document heritage sites and objects needing protection [3].
* **Archaeological Programs:** The National Museum conducts archaeological digs and research to uncover and preserve remnants of the Philippines' past [2].
* **Intangible Cultural Heritage (ICH):** The museum recognizes and documents intangible cultural heritage elements like traditional crafts, performing arts, and indigenous knowledge systems [4]. **Overall Impact:**
The National Museum's work is crucial for safeguarding and promoting Philippine cultural heritage. By preserving artifacts, fostering research, and raising public awareness, the museum helps ensure that the rich cultural traditions of the Philippines are passed on to future generations.
Here are some additional resources:
* National Museum of the Philippines: [https://www.nationalmuseum.gov.ph/](https://www.nationalmuseum.gov.ph/)
* National Register of Cultural Property: [https://www.nationalmuseum.gov.ph/](https://www.nationalmuseum.gov.ph/)
* Intangible Cultural Heritage of the Philippines: [https://www.nationalmuseum.gov.ph/](https://www.nationalmuseum.gov.ph/)</t>
  </si>
  <si>
    <t>Define the term "heritage conservation area" as defined by Philippine law.</t>
  </si>
  <si>
    <t>The term "heritage conservation area" is not explicitly defined in current Philippine national legislation. While the Philippines has a robust legal framework for cultural heritage preservation, the concept of designated "heritage conservation areas" isn't present in core laws like the National Cultural Heritage Act (RA No. 10066).
However, there are related concepts that achieve some similar goals:
* **National Cultural Treasures:** RA No. 10066 identifies and protects "important cultural properties" which can include immovable ones like historical buildings, archaeological sites, and structures. These designated properties receive a degree of legal protection and restrictions on modification [1].
* **Heritage Zones:** While not explicitly called "conservation areas," RA No. 10066 allows the National Museum and/or the National Historical Institute to declare "heritage zones." These zones encompass historical, anthropological, archaeological, artistic, and geographical areas with cultural significance [1]. While details on managing these zones are limited within the law, they aim to promote heritage preservation within a specific geographic area. * **Local Government Unit (LGU) Ordinances:** The Local Government Code (RA No. 7160) empowers LGUs to enact ordinances for environmental protection and cultural preservation within their jurisdictions. Some LGUs may have established ordinances creating designated heritage areas with specific regulations on development and activities within those zones [2].
**Conclusion:**
Although there's no single legal definition for "heritage conservation area" in Philippine national law, the concepts of National Cultural Treasures, Heritage Zones, and LGU ordinances achieve some similar goals. These measures work to protect and manage areas with significant cultural heritage value.</t>
  </si>
  <si>
    <t>Discuss the legal provisions protecting heritage trees in the Philippines.</t>
  </si>
  <si>
    <t>While there isn't a single, comprehensive law solely focused on heritage trees in the Philippines, there are several legal provisions that offer some protection:
**The 1987 Philippine Constitution:**
* **Article XVI, Section 9:** This section mandates the State to protect and promote the "diversity of the country's resources and promote the conservation of the natural heritage." This can be interpreted to include heritage trees [1].
**Republic Act No. 10066 (National Cultural Heritage Act of 2009):**
* **Section 11 (f):** Empowers the government to conserve and protect "natural landmarks" with historical, cultural, and ecological significance. Heritage trees that meet these criteria could potentially be granted protection under this provision [2].
**Local Government Units (LGUs):**
* **The Local Government Code of 1991 (RA No. 7160):** This code empowers LGUs to enact ordinances for the protection of the environment and ecology within their jurisdictions. This can include ordinances specifically protecting heritage trees [3].
**Challenges and Limitations:**
* **Lack of a Specific Law:** The absence of a dedicated Heritage Tree Law makes it difficult to ensure comprehensive protection for these trees.
* **Enforcement Issues:** Enforcing existing legal provisions related to heritage trees can be challenging, especially at the local level.
**Positive Developments:**
* **Proposed Heritage Tree Act:** The Mindanao Development Authority (MinDA) has proposed a national law specifically protecting heritage trees. While not yet enacted, this proposal highlights a growing recognition of their importance [4].
* **Community-Based Initiatives:** Many communities are taking the initiative to protect heritage trees through local campaigns and advocating for stronger legal safeguards [5].
**Conclusion:**
The Philippines has a legal framework that offers some level of protection for heritage trees, but there's room for improvement. Establishing a dedicated Heritage Tree Law and strengthening enforcement mechanisms would be crucial steps in ensuring the preservation of these valuable natural and cultural treasures.
**For further reference:**
* MinDA Seeks Passage of Law to Protect 'Heritage Trees': [https://ncr.denr.gov.ph/index.php/news-events/photo-releases/the-heritage-trees-of-metro-manila](https://ncr.denr.gov.ph/index.php/news-events/photo-releases/the-heritage-trees-of-metro-manila)</t>
  </si>
  <si>
    <t>What measures are in place to promote community participation in cultural heritage conservation?</t>
  </si>
  <si>
    <t>The Philippines recognizes the importance of community participation in cultural heritage conservation. Here are some measures in place to promote this:
**Legal Framework:**
* **The 1987 Philippine Constitution:** Article XV, Section 15 recognizes the vital role of the cultural communities in conserving and promoting the nation's cultural heritage [1].
* **Republic Act No. 10066 (National Cultural Heritage Act of 2009):** This law emphasizes community participation in various aspects of cultural heritage conservation, including:
* Identification and documentation of cultural properties [2].
* Development of conservation plans [2].
* Management of heritage sites [2].
* Public awareness campaigns [2].
**Government Programs and Initiatives:**
* **National Commission for Culture and the Arts (NCCA):** The NCCA offers programs and grants that support community-based cultural heritage conservation projects [3].
* **Intangible Cultural Heritage (ICH) Safeguarding Program:** This program by the NCCA aims to document and safeguard intangible cultural heritage elements, often relying heavily on community participation [4].
* **Local Government Units (LGUs):** The Local Government Code empowers LGUs to enact ordinances and develop programs that promote cultural heritage conservation within their jurisdictions. This often involves working with local communities [5].
**Community-Based Initiatives:**
* **Heritage Associations:** These community-led groups play a crucial role in advocating for the preservation of local cultural heritage and traditions [6].
* **Indigenous Cultural Communities (ICCs):** ICCs have a deep connection to their ancestral lands and traditional practices. They actively participate in the conservation of their cultural heritage [7].
**Challenges and Opportunities:**
* **Capacity Building:** Empowering communities through training and skills development is essential for their effective participation in conservation efforts [8].
* **Sustainable Funding:** Ensuring long-term funding for community-based projects remains a challenge [8].
**Looking Forward:**
The Philippines continues to explore innovative ways to promote community participation in cultural heritage conservation. This collaborative approach is crucial for ensuring the sustainability and vibrancy of the country's rich cultural heritage.
**Here are some additional resources:**
* National Commission for Culture and the Arts (NCCA): [https://en.wikipedia.org/wiki/National_Commission_for_Culture_and_the_Arts](https://en.wikipedia.org/wiki/National_Commission_for_Culture_and_the_Arts)
* Intangible Cultural Heritage Safeguarding Program: [https://en.wikipedia.org/wiki/National_Commission_for_Culture_and_the_Arts](https://en.wikipedia.org/wiki/National_Commission_for_Culture_and_the_Arts)
* The Indigenous Peoples' Rights Act of 1997 (Republic Act No. 8371): [https://lawphil.net/judjuris/juri2021/jan2021/gr_224469_lopez.html](https://lawphil.net/judjuris/juri2021/jan2021/gr_224469_lopez.html)</t>
  </si>
  <si>
    <t>Explain the legal framework for the protection of cultural heritage in times of armed conflict.</t>
  </si>
  <si>
    <t xml:space="preserve">The Philippines doesn't have a domestic law specifically focused on cultural heritage protection during armed conflict. However, the country adheres to international legal frameworks that provide significant protections:
* **International Humanitarian Law (IHL):** 
    * The Philippines is a party to the Geneva Conventions of 1949 and their Additional Protocols. These treaties establish rules for the conduct of armed conflict, including provisions for the protection of cultural property.
    * **Key Provisions:**
        * **Article 56 of Additional Protocol I:** Prohibits attacks against cultural property unless it's used for military purposes. 
        * **Article 61 of Additional Protocol I:** Requires parties to an armed conflict to respect cultural property and refrain from any act of hostility directed against it. 
        * **Hague Convention for the Protection of Cultural Property in the Event of Armed Conflict (1954):** While not ratified by the Philippines, it offers a more detailed framework for safeguarding cultural property during armed conflict. 
* **National Commission for Culture and the Arts (NCCA):** 
    * Though not a legal framework, the NCCA plays a role in cultural heritage preservation. 
    * It can collaborate with relevant government agencies and international organizations to implement IHL principles related to cultural heritage protection during armed conflict.
**Challenges and the Need for Preparedness:**
* **Limited Domestic Legislation:** The lack of a specific Philippine law for cultural heritage protection in armed conflict creates a gap. 
* **Preparedness Measures:**  The Philippines can benefit from developing national plans and procedures for safeguarding cultural heritage in times of conflict. This could involve:
    * Identifying and registering cultural properties.
    *  Training military and civilian personnel on IHL provisions related to cultural property.
    * Establishing emergency evacuation plans for movable cultural properties.
**Conclusion:**
While the Philippines lacks a dedicated domestic law, it adheres to international frameworks that provide significant protections for cultural heritage during armed conflict. Strengthening national preparedness measures and collaborating with international organizations can further enhance these protections. </t>
  </si>
  <si>
    <t>Discuss the role of international conventions in shaping Philippine cultural heritage laws.</t>
  </si>
  <si>
    <t xml:space="preserve">International conventions play a significant role in shaping Philippine cultural heritage laws. Here's a breakdown of their influence:
**Providing a Framework:**
* **UNESCO Convention on the Means of Prohibiting and Preventing the Illicit Import, Export and Transfer of Ownership of Cultural Property (1970):**  
    * The Philippines' adherence to this convention directly influenced the creation of **Section 13** of the National Cultural Heritage Act (RA 10066), which mandates the state's effort to recover illegally exported cultural properties.
**Establishing Standards:**
* **Conventions set international standards** for cultural heritage protection, which Philippine laws often reflect. For example, the concept of "cultural significance" used in RA 10066 aligns with broader international definitions used by UNESCO.
**Guiding Repatriation Efforts:**
* **UNESCO Convention on the Means of Prohibiting and Preventing the Illicit Import, Export and Transfer of Ownership of Cultural Property (1970):**  
    * This convention provides a foundation for the legal mechanisms outlined in RA 10066 (Section 14) for negotiating the return of illegally acquired cultural properties.
**Areas for Further Development:**
* **Repatriation Framework:**  While conventions like the 1970 UNESCO Convention provide a foundation, the Philippines lacks a comprehensive legal framework specifically dedicated to repatriation claims. Ratification of relevant conventions like the UNIDROIT Convention on Stolen or Illegally Exported Cultural Objects (1995) could further strengthen this area. 
**Beyond Legal Obligations:**
* International conventions can also inspire broader cultural heritage policies. For instance, the emphasis on intangible cultural heritage in the 2003 UNESCO Convention for the Safeguarding of the Intangible Cultural Heritage might influence future Philippine legislation to better recognize and protect such cultural expressions.
**Challenges and Opportunities:**
* **Balancing International Standards with National Interests:**  The Philippines needs to strike a balance between adhering to international conventions and ensuring its own cultural heritage is protected. 
* **Promoting Ratification:** The Philippines can benefit from ratifying additional relevant conventions to have a more robust legal framework for cultural heritage protection.
**Conclusion:**
International conventions are a crucial force shaping Philippine cultural heritage laws. They provide a framework, establish standards, and guide repatriation efforts. While challenges exist, the Philippines can leverage these conventions to further strengthen its legal framework for safeguarding its rich cultural heritage. </t>
  </si>
  <si>
    <t>What legal mechanisms are in place to ensure the sustainable financing of cultural heritage conservation projects in the Philippines?</t>
  </si>
  <si>
    <t xml:space="preserve">In the Philippines, sustainable financing for cultural heritage conservation projects is ensured through various legal mechanisms and initiatives. Some of these include:
Government Budget Allocation: The national government allocates funds for cultural heritage conservation through the National Commission for Culture and the Arts (NCCA) and other relevant agencies. These funds support heritage preservation projects, restoration efforts, and capacity-building programs.
Tax Incentives: The government provides tax incentives to individuals and organizations that contribute to cultural heritage conservation. This includes income tax deductions for donations to heritage conservation projects and tax exemptions for heritage-related businesses.
Heritage Conservation Funds: Some local governments establish heritage conservation funds to finance projects within their jurisdiction. These funds may be sourced from local revenues, donations, or grants.
Public-Private Partnerships (PPP): PPPs can be utilized to finance heritage conservation projects. Private entities can invest in conservation efforts in exchange for certain benefits, such as tax incentives or naming rights.
International Funding and Grants: The Philippines may access international funding and grants from organizations like UNESCO, the World Bank, and other donor agencies to support cultural heritage conservation projects.
Heritage Conservation Endowment Funds: Establishing endowment funds ensures a sustainable source of income for heritage conservation projects. Income generated from the endowment is used to finance conservation efforts.
Philippine Cultural Heritage Act (RA 10066): This law mandates the establishment of a Heritage Conservation Fund, which can receive donations, grants, and contributions for heritage conservation purposes.
Private Sector Contributions: Private corporations and individuals can contribute to heritage conservation through corporate social responsibility (CSR) initiatives, donations, or sponsorships.
These legal mechanisms and initiatives work together to ensure the sustainable financing of cultural heritage conservation projects in the Philippines, helping to preserve the country's rich cultural heritage for future generations.
</t>
  </si>
  <si>
    <t>How does Philippine law address the role of indigenous peoples in the conservation and management of cultural heritage within their ancestral domains?</t>
  </si>
  <si>
    <t>Philippine law recognizes a significant role for Indigenous Cultural Communities/Indigenous Peoples (ICCs/IPs) in the conservation and management of cultural heritage within their ancestral domains. Here's a breakdown of key legal provisions:
**Indigenous Peoples' Rights Act (IPRA) of 1997 (RA No. 8371):**
* **Chapter III - Rights to Ancestral Domains:** 
    * Recognizes the right of ICCs/IPs to "preserve and develop their cultures, traditions and institutions" (Section 30).
    * Grants them the authority to "manage and conserve their … ancestral domains" (Section 11). 
**Cultural Significance and Ancestral Domains:**
* Cultural heritage sites often hold deep significance for ICCs/IPs. IPRA acknowledges this connection by recognizing their ancestral domains.
* This recognition grants ICCs/IPs a role in managing and conserving these cultural heritage sites within their ancestral domains.
**Respecting Customary Laws:**
* IPRA recognizes the validity of customary laws governing ICCs/IPs (Section 2). 
* These customary laws might guide how they manage and conserve cultural heritage sites within their ancestral domains.
**Free and Prior Informed Consent (FPIC):**
* Before undertaking projects affecting ancestral domains, government agencies must secure FPIC from ICCs/IPs (Section 13).
* This includes projects related to cultural heritage conservation within their domains. 
* ICCs/IPs have the right to participate in decision-making processes regarding the conservation and management of their cultural heritage.
**National Cultural Heritage Act (RA No. 10066):**
* While not explicitly mentioning ICCs/IPs, this act emphasizes community participation in cultural heritage preservation (Section 11).
* This aligns with the spirit of IPRA, encouraging collaboration between ICCs/IPs and government agencies for cultural heritage conservation within ancestral domains. 
**Challenges and Opportunities:**
* **Balancing Rights and Responsibilities:** Striking a balance between respecting ICC/IP rights and ensuring effective cultural heritage conservation can be complex. 
* **Capacity Building:**  Empowering ICCs/IPs with the knowledge, skills, and resources needed to effectively manage their cultural heritage requires ongoing support.
* **Collaboration is Key:**  Effective communication and collaboration between ICCs/IPs, government agencies, and cultural heritage experts are essential for successful cultural heritage conservation within ancestral domains.
**Conclusion:**
Philippine law recognizes a central role for ICCs/IPs in the conservation and management of cultural heritage within their ancestral domains. IPRA and the National Cultural Heritage Act provide a legal framework for their participation. Collaboration and capacity building are key to ensuring ICCs/IPs can effectively steward their cultural heritage for future generations.</t>
  </si>
</sst>
</file>

<file path=xl/styles.xml><?xml version="1.0" encoding="utf-8"?>
<styleSheet xmlns="http://schemas.openxmlformats.org/spreadsheetml/2006/main" xmlns:x14ac="http://schemas.microsoft.com/office/spreadsheetml/2009/9/ac" xmlns:mc="http://schemas.openxmlformats.org/markup-compatibility/2006">
  <fonts count="2">
    <font>
      <sz val="10.0"/>
      <color rgb="FF000000"/>
      <name val="Arial"/>
      <scheme val="minor"/>
    </font>
    <font>
      <color theme="1"/>
      <name val="Arial"/>
      <scheme val="minor"/>
    </font>
  </fonts>
  <fills count="2">
    <fill>
      <patternFill patternType="none"/>
    </fill>
    <fill>
      <patternFill patternType="lightGray"/>
    </fill>
  </fills>
  <borders count="1">
    <border/>
  </borders>
  <cellStyleXfs count="1">
    <xf borderId="0" fillId="0" fontId="0" numFmtId="0" applyAlignment="1" applyFont="1"/>
  </cellStyleXfs>
  <cellXfs count="4">
    <xf borderId="0" fillId="0" fontId="0" numFmtId="0" xfId="0" applyAlignment="1" applyFont="1">
      <alignment readingOrder="0" shrinkToFit="0" vertical="bottom" wrapText="0"/>
    </xf>
    <xf borderId="0" fillId="0" fontId="1" numFmtId="0" xfId="0" applyAlignment="1" applyFont="1">
      <alignment shrinkToFit="0" wrapText="1"/>
    </xf>
    <xf borderId="0" fillId="0" fontId="1" numFmtId="0" xfId="0" applyAlignment="1" applyFont="1">
      <alignment shrinkToFit="0" wrapText="1"/>
    </xf>
    <xf borderId="0" fillId="0" fontId="1" numFmtId="0" xfId="0" applyAlignment="1" applyFont="1">
      <alignment readingOrder="0" shrinkToFit="0" wrapText="1"/>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54.63"/>
    <col customWidth="1" min="2" max="2" width="55.38"/>
    <col customWidth="1" min="3" max="3" width="97.5"/>
    <col customWidth="1" min="4" max="4" width="41.88"/>
    <col customWidth="1" min="5" max="5" width="232.13"/>
  </cols>
  <sheetData>
    <row r="1">
      <c r="A1" s="1" t="s">
        <v>0</v>
      </c>
      <c r="B1" s="1" t="s">
        <v>1</v>
      </c>
      <c r="C1" s="1" t="s">
        <v>2</v>
      </c>
      <c r="D1" s="1" t="s">
        <v>3</v>
      </c>
      <c r="E1" s="1" t="s">
        <v>4</v>
      </c>
      <c r="F1" s="2"/>
      <c r="G1" s="2"/>
      <c r="H1" s="2"/>
      <c r="I1" s="2"/>
      <c r="J1" s="2"/>
      <c r="K1" s="2"/>
      <c r="L1" s="2"/>
      <c r="M1" s="2"/>
      <c r="N1" s="2"/>
      <c r="O1" s="2"/>
      <c r="P1" s="2"/>
      <c r="Q1" s="2"/>
      <c r="R1" s="2"/>
      <c r="S1" s="2"/>
      <c r="T1" s="2"/>
      <c r="U1" s="2"/>
      <c r="V1" s="2"/>
      <c r="W1" s="2"/>
      <c r="X1" s="2"/>
      <c r="Y1" s="2"/>
      <c r="Z1" s="2"/>
      <c r="AA1" s="2"/>
    </row>
    <row r="2">
      <c r="A2" s="1" t="s">
        <v>5</v>
      </c>
      <c r="B2" s="1" t="s">
        <v>6</v>
      </c>
      <c r="C2" s="1" t="s">
        <v>7</v>
      </c>
      <c r="D2" s="1" t="s">
        <v>8</v>
      </c>
      <c r="E2" s="1" t="s">
        <v>9</v>
      </c>
      <c r="F2" s="2">
        <f t="shared" ref="F2:F3001" si="1">COUNTIF(B3:B3001, B2)</f>
        <v>0</v>
      </c>
      <c r="G2" s="2"/>
      <c r="H2" s="2">
        <f>SUM(F2:F3001)</f>
        <v>445</v>
      </c>
      <c r="I2" s="2"/>
      <c r="J2" s="2"/>
      <c r="K2" s="2"/>
      <c r="L2" s="2"/>
      <c r="M2" s="2"/>
      <c r="N2" s="2"/>
      <c r="O2" s="2"/>
      <c r="P2" s="2"/>
      <c r="Q2" s="2"/>
      <c r="R2" s="2"/>
      <c r="S2" s="2"/>
      <c r="T2" s="2"/>
      <c r="U2" s="2"/>
      <c r="V2" s="2"/>
      <c r="W2" s="2"/>
      <c r="X2" s="2"/>
      <c r="Y2" s="2"/>
      <c r="Z2" s="2"/>
      <c r="AA2" s="2"/>
    </row>
    <row r="3">
      <c r="A3" s="1" t="s">
        <v>5</v>
      </c>
      <c r="B3" s="1" t="s">
        <v>10</v>
      </c>
      <c r="C3" s="1" t="s">
        <v>11</v>
      </c>
      <c r="D3" s="1" t="s">
        <v>12</v>
      </c>
      <c r="E3" s="1" t="s">
        <v>13</v>
      </c>
      <c r="F3" s="2">
        <f t="shared" si="1"/>
        <v>0</v>
      </c>
      <c r="G3" s="2"/>
      <c r="H3" s="2"/>
      <c r="I3" s="2"/>
      <c r="J3" s="2"/>
      <c r="K3" s="2"/>
      <c r="L3" s="2"/>
      <c r="M3" s="2"/>
      <c r="N3" s="2"/>
      <c r="O3" s="2"/>
      <c r="P3" s="2"/>
      <c r="Q3" s="2"/>
      <c r="R3" s="2"/>
      <c r="S3" s="2"/>
      <c r="T3" s="2"/>
      <c r="U3" s="2"/>
      <c r="V3" s="2"/>
      <c r="W3" s="2"/>
      <c r="X3" s="2"/>
      <c r="Y3" s="2"/>
      <c r="Z3" s="2"/>
      <c r="AA3" s="2"/>
    </row>
    <row r="4">
      <c r="A4" s="1" t="s">
        <v>5</v>
      </c>
      <c r="B4" s="1" t="s">
        <v>14</v>
      </c>
      <c r="C4" s="1" t="s">
        <v>15</v>
      </c>
      <c r="D4" s="1" t="s">
        <v>16</v>
      </c>
      <c r="E4" s="1" t="s">
        <v>17</v>
      </c>
      <c r="F4" s="2">
        <f t="shared" si="1"/>
        <v>0</v>
      </c>
      <c r="G4" s="2"/>
      <c r="H4" s="2"/>
      <c r="I4" s="2"/>
      <c r="J4" s="2"/>
      <c r="K4" s="2"/>
      <c r="L4" s="2"/>
      <c r="M4" s="2"/>
      <c r="N4" s="2"/>
      <c r="O4" s="2"/>
      <c r="P4" s="2"/>
      <c r="Q4" s="2"/>
      <c r="R4" s="2"/>
      <c r="S4" s="2"/>
      <c r="T4" s="2"/>
      <c r="U4" s="2"/>
      <c r="V4" s="2"/>
      <c r="W4" s="2"/>
      <c r="X4" s="2"/>
      <c r="Y4" s="2"/>
      <c r="Z4" s="2"/>
      <c r="AA4" s="2"/>
    </row>
    <row r="5">
      <c r="A5" s="1" t="s">
        <v>5</v>
      </c>
      <c r="B5" s="1" t="s">
        <v>18</v>
      </c>
      <c r="C5" s="1" t="s">
        <v>19</v>
      </c>
      <c r="D5" s="1" t="s">
        <v>20</v>
      </c>
      <c r="E5" s="1" t="s">
        <v>21</v>
      </c>
      <c r="F5" s="2">
        <f t="shared" si="1"/>
        <v>0</v>
      </c>
      <c r="G5" s="2"/>
      <c r="H5" s="2"/>
      <c r="I5" s="2"/>
      <c r="J5" s="2"/>
      <c r="K5" s="2"/>
      <c r="L5" s="2"/>
      <c r="M5" s="2"/>
      <c r="N5" s="2"/>
      <c r="O5" s="2"/>
      <c r="P5" s="2"/>
      <c r="Q5" s="2"/>
      <c r="R5" s="2"/>
      <c r="S5" s="2"/>
      <c r="T5" s="2"/>
      <c r="U5" s="2"/>
      <c r="V5" s="2"/>
      <c r="W5" s="2"/>
      <c r="X5" s="2"/>
      <c r="Y5" s="2"/>
      <c r="Z5" s="2"/>
      <c r="AA5" s="2"/>
    </row>
    <row r="6">
      <c r="A6" s="1" t="s">
        <v>5</v>
      </c>
      <c r="B6" s="1" t="s">
        <v>22</v>
      </c>
      <c r="C6" s="1" t="s">
        <v>23</v>
      </c>
      <c r="D6" s="1" t="s">
        <v>24</v>
      </c>
      <c r="E6" s="1" t="s">
        <v>25</v>
      </c>
      <c r="F6" s="2">
        <f t="shared" si="1"/>
        <v>0</v>
      </c>
      <c r="G6" s="2"/>
      <c r="H6" s="2"/>
      <c r="I6" s="2"/>
      <c r="J6" s="2"/>
      <c r="K6" s="2"/>
      <c r="L6" s="2"/>
      <c r="M6" s="2"/>
      <c r="N6" s="2"/>
      <c r="O6" s="2"/>
      <c r="P6" s="2"/>
      <c r="Q6" s="2"/>
      <c r="R6" s="2"/>
      <c r="S6" s="2"/>
      <c r="T6" s="2"/>
      <c r="U6" s="2"/>
      <c r="V6" s="2"/>
      <c r="W6" s="2"/>
      <c r="X6" s="2"/>
      <c r="Y6" s="2"/>
      <c r="Z6" s="2"/>
      <c r="AA6" s="2"/>
    </row>
    <row r="7">
      <c r="A7" s="1" t="s">
        <v>5</v>
      </c>
      <c r="B7" s="1" t="s">
        <v>26</v>
      </c>
      <c r="C7" s="1" t="s">
        <v>27</v>
      </c>
      <c r="D7" s="1" t="s">
        <v>28</v>
      </c>
      <c r="E7" s="1" t="s">
        <v>29</v>
      </c>
      <c r="F7" s="2">
        <f t="shared" si="1"/>
        <v>0</v>
      </c>
      <c r="G7" s="2"/>
      <c r="H7" s="2"/>
      <c r="I7" s="2"/>
      <c r="J7" s="2"/>
      <c r="K7" s="2"/>
      <c r="L7" s="2"/>
      <c r="M7" s="2"/>
      <c r="N7" s="2"/>
      <c r="O7" s="2"/>
      <c r="P7" s="2"/>
      <c r="Q7" s="2"/>
      <c r="R7" s="2"/>
      <c r="S7" s="2"/>
      <c r="T7" s="2"/>
      <c r="U7" s="2"/>
      <c r="V7" s="2"/>
      <c r="W7" s="2"/>
      <c r="X7" s="2"/>
      <c r="Y7" s="2"/>
      <c r="Z7" s="2"/>
      <c r="AA7" s="2"/>
    </row>
    <row r="8">
      <c r="A8" s="1" t="s">
        <v>5</v>
      </c>
      <c r="B8" s="1" t="s">
        <v>30</v>
      </c>
      <c r="C8" s="1" t="s">
        <v>31</v>
      </c>
      <c r="D8" s="1" t="s">
        <v>32</v>
      </c>
      <c r="E8" s="1" t="s">
        <v>33</v>
      </c>
      <c r="F8" s="2">
        <f t="shared" si="1"/>
        <v>0</v>
      </c>
      <c r="G8" s="2"/>
      <c r="H8" s="2"/>
      <c r="I8" s="2"/>
      <c r="J8" s="2"/>
      <c r="K8" s="2"/>
      <c r="L8" s="2"/>
      <c r="M8" s="2"/>
      <c r="N8" s="2"/>
      <c r="O8" s="2"/>
      <c r="P8" s="2"/>
      <c r="Q8" s="2"/>
      <c r="R8" s="2"/>
      <c r="S8" s="2"/>
      <c r="T8" s="2"/>
      <c r="U8" s="2"/>
      <c r="V8" s="2"/>
      <c r="W8" s="2"/>
      <c r="X8" s="2"/>
      <c r="Y8" s="2"/>
      <c r="Z8" s="2"/>
      <c r="AA8" s="2"/>
    </row>
    <row r="9">
      <c r="A9" s="1" t="s">
        <v>5</v>
      </c>
      <c r="B9" s="1" t="s">
        <v>34</v>
      </c>
      <c r="C9" s="1" t="s">
        <v>35</v>
      </c>
      <c r="D9" s="1" t="s">
        <v>36</v>
      </c>
      <c r="E9" s="1" t="s">
        <v>37</v>
      </c>
      <c r="F9" s="2">
        <f t="shared" si="1"/>
        <v>0</v>
      </c>
      <c r="G9" s="2"/>
      <c r="H9" s="2"/>
      <c r="I9" s="2"/>
      <c r="J9" s="2"/>
      <c r="K9" s="2"/>
      <c r="L9" s="2"/>
      <c r="M9" s="2"/>
      <c r="N9" s="2"/>
      <c r="O9" s="2"/>
      <c r="P9" s="2"/>
      <c r="Q9" s="2"/>
      <c r="R9" s="2"/>
      <c r="S9" s="2"/>
      <c r="T9" s="2"/>
      <c r="U9" s="2"/>
      <c r="V9" s="2"/>
      <c r="W9" s="2"/>
      <c r="X9" s="2"/>
      <c r="Y9" s="2"/>
      <c r="Z9" s="2"/>
      <c r="AA9" s="2"/>
    </row>
    <row r="10">
      <c r="A10" s="1" t="s">
        <v>5</v>
      </c>
      <c r="B10" s="1" t="s">
        <v>38</v>
      </c>
      <c r="C10" s="1" t="s">
        <v>39</v>
      </c>
      <c r="D10" s="1" t="s">
        <v>40</v>
      </c>
      <c r="E10" s="1" t="s">
        <v>41</v>
      </c>
      <c r="F10" s="2">
        <f t="shared" si="1"/>
        <v>0</v>
      </c>
      <c r="G10" s="2"/>
      <c r="H10" s="2"/>
      <c r="I10" s="2"/>
      <c r="J10" s="2"/>
      <c r="K10" s="2"/>
      <c r="L10" s="2"/>
      <c r="M10" s="2"/>
      <c r="N10" s="2"/>
      <c r="O10" s="2"/>
      <c r="P10" s="2"/>
      <c r="Q10" s="2"/>
      <c r="R10" s="2"/>
      <c r="S10" s="2"/>
      <c r="T10" s="2"/>
      <c r="U10" s="2"/>
      <c r="V10" s="2"/>
      <c r="W10" s="2"/>
      <c r="X10" s="2"/>
      <c r="Y10" s="2"/>
      <c r="Z10" s="2"/>
      <c r="AA10" s="2"/>
    </row>
    <row r="11">
      <c r="A11" s="1" t="s">
        <v>42</v>
      </c>
      <c r="B11" s="1" t="s">
        <v>43</v>
      </c>
      <c r="C11" s="1" t="s">
        <v>44</v>
      </c>
      <c r="D11" s="1" t="s">
        <v>45</v>
      </c>
      <c r="E11" s="1" t="s">
        <v>46</v>
      </c>
      <c r="F11" s="2">
        <f t="shared" si="1"/>
        <v>0</v>
      </c>
      <c r="G11" s="2"/>
      <c r="H11" s="2"/>
      <c r="I11" s="2"/>
      <c r="J11" s="2"/>
      <c r="K11" s="2"/>
      <c r="L11" s="2"/>
      <c r="M11" s="2"/>
      <c r="N11" s="2"/>
      <c r="O11" s="2"/>
      <c r="P11" s="2"/>
      <c r="Q11" s="2"/>
      <c r="R11" s="2"/>
      <c r="S11" s="2"/>
      <c r="T11" s="2"/>
      <c r="U11" s="2"/>
      <c r="V11" s="2"/>
      <c r="W11" s="2"/>
      <c r="X11" s="2"/>
      <c r="Y11" s="2"/>
      <c r="Z11" s="2"/>
      <c r="AA11" s="2"/>
    </row>
    <row r="12">
      <c r="A12" s="1" t="s">
        <v>42</v>
      </c>
      <c r="B12" s="1" t="s">
        <v>47</v>
      </c>
      <c r="C12" s="1" t="s">
        <v>48</v>
      </c>
      <c r="D12" s="1" t="s">
        <v>49</v>
      </c>
      <c r="E12" s="1" t="s">
        <v>50</v>
      </c>
      <c r="F12" s="2">
        <f t="shared" si="1"/>
        <v>0</v>
      </c>
      <c r="G12" s="2"/>
      <c r="H12" s="2"/>
      <c r="I12" s="2"/>
      <c r="J12" s="2"/>
      <c r="K12" s="2"/>
      <c r="L12" s="2"/>
      <c r="M12" s="2"/>
      <c r="N12" s="2"/>
      <c r="O12" s="2"/>
      <c r="P12" s="2"/>
      <c r="Q12" s="2"/>
      <c r="R12" s="2"/>
      <c r="S12" s="2"/>
      <c r="T12" s="2"/>
      <c r="U12" s="2"/>
      <c r="V12" s="2"/>
      <c r="W12" s="2"/>
      <c r="X12" s="2"/>
      <c r="Y12" s="2"/>
      <c r="Z12" s="2"/>
      <c r="AA12" s="2"/>
    </row>
    <row r="13">
      <c r="A13" s="1" t="s">
        <v>42</v>
      </c>
      <c r="B13" s="1" t="s">
        <v>51</v>
      </c>
      <c r="C13" s="1" t="s">
        <v>52</v>
      </c>
      <c r="D13" s="1" t="s">
        <v>53</v>
      </c>
      <c r="E13" s="1" t="s">
        <v>54</v>
      </c>
      <c r="F13" s="2">
        <f t="shared" si="1"/>
        <v>0</v>
      </c>
      <c r="G13" s="2"/>
      <c r="H13" s="2"/>
      <c r="I13" s="2"/>
      <c r="J13" s="2"/>
      <c r="K13" s="2"/>
      <c r="L13" s="2"/>
      <c r="M13" s="2"/>
      <c r="N13" s="2"/>
      <c r="O13" s="2"/>
      <c r="P13" s="2"/>
      <c r="Q13" s="2"/>
      <c r="R13" s="2"/>
      <c r="S13" s="2"/>
      <c r="T13" s="2"/>
      <c r="U13" s="2"/>
      <c r="V13" s="2"/>
      <c r="W13" s="2"/>
      <c r="X13" s="2"/>
      <c r="Y13" s="2"/>
      <c r="Z13" s="2"/>
      <c r="AA13" s="2"/>
    </row>
    <row r="14">
      <c r="A14" s="1" t="s">
        <v>42</v>
      </c>
      <c r="B14" s="1" t="s">
        <v>55</v>
      </c>
      <c r="C14" s="1" t="s">
        <v>56</v>
      </c>
      <c r="D14" s="1" t="s">
        <v>57</v>
      </c>
      <c r="E14" s="1" t="s">
        <v>58</v>
      </c>
      <c r="F14" s="2">
        <f t="shared" si="1"/>
        <v>0</v>
      </c>
      <c r="G14" s="2"/>
      <c r="H14" s="2"/>
      <c r="I14" s="2"/>
      <c r="J14" s="2"/>
      <c r="K14" s="2"/>
      <c r="L14" s="2"/>
      <c r="M14" s="2"/>
      <c r="N14" s="2"/>
      <c r="O14" s="2"/>
      <c r="P14" s="2"/>
      <c r="Q14" s="2"/>
      <c r="R14" s="2"/>
      <c r="S14" s="2"/>
      <c r="T14" s="2"/>
      <c r="U14" s="2"/>
      <c r="V14" s="2"/>
      <c r="W14" s="2"/>
      <c r="X14" s="2"/>
      <c r="Y14" s="2"/>
      <c r="Z14" s="2"/>
      <c r="AA14" s="2"/>
    </row>
    <row r="15">
      <c r="A15" s="1" t="s">
        <v>5</v>
      </c>
      <c r="B15" s="3" t="s">
        <v>59</v>
      </c>
      <c r="C15" s="1" t="s">
        <v>60</v>
      </c>
      <c r="D15" s="1" t="s">
        <v>61</v>
      </c>
      <c r="E15" s="1" t="s">
        <v>62</v>
      </c>
      <c r="F15" s="2">
        <f t="shared" si="1"/>
        <v>0</v>
      </c>
      <c r="G15" s="2"/>
      <c r="H15" s="2"/>
      <c r="I15" s="2"/>
      <c r="J15" s="2"/>
      <c r="K15" s="2"/>
      <c r="L15" s="2"/>
      <c r="M15" s="2"/>
      <c r="N15" s="2"/>
      <c r="O15" s="2"/>
      <c r="P15" s="2"/>
      <c r="Q15" s="2"/>
      <c r="R15" s="2"/>
      <c r="S15" s="2"/>
      <c r="T15" s="2"/>
      <c r="U15" s="2"/>
      <c r="V15" s="2"/>
      <c r="W15" s="2"/>
      <c r="X15" s="2"/>
      <c r="Y15" s="2"/>
      <c r="Z15" s="2"/>
      <c r="AA15" s="2"/>
    </row>
    <row r="16" ht="63.75" customHeight="1">
      <c r="A16" s="1" t="s">
        <v>5</v>
      </c>
      <c r="B16" s="1" t="s">
        <v>63</v>
      </c>
      <c r="C16" s="1" t="s">
        <v>64</v>
      </c>
      <c r="D16" s="1" t="s">
        <v>65</v>
      </c>
      <c r="E16" s="1" t="s">
        <v>66</v>
      </c>
      <c r="F16" s="2">
        <f t="shared" si="1"/>
        <v>0</v>
      </c>
      <c r="G16" s="2"/>
      <c r="H16" s="2"/>
      <c r="I16" s="2"/>
      <c r="J16" s="2"/>
      <c r="K16" s="2"/>
      <c r="L16" s="2"/>
      <c r="M16" s="2"/>
      <c r="N16" s="2"/>
      <c r="O16" s="2"/>
      <c r="P16" s="2"/>
      <c r="Q16" s="2"/>
      <c r="R16" s="2"/>
      <c r="S16" s="2"/>
      <c r="T16" s="2"/>
      <c r="U16" s="2"/>
      <c r="V16" s="2"/>
      <c r="W16" s="2"/>
      <c r="X16" s="2"/>
      <c r="Y16" s="2"/>
      <c r="Z16" s="2"/>
      <c r="AA16" s="2"/>
    </row>
    <row r="17">
      <c r="A17" s="1" t="s">
        <v>42</v>
      </c>
      <c r="B17" s="1" t="s">
        <v>67</v>
      </c>
      <c r="C17" s="1" t="s">
        <v>68</v>
      </c>
      <c r="D17" s="1" t="s">
        <v>69</v>
      </c>
      <c r="E17" s="1" t="s">
        <v>70</v>
      </c>
      <c r="F17" s="2">
        <f t="shared" si="1"/>
        <v>0</v>
      </c>
      <c r="G17" s="2"/>
      <c r="H17" s="2"/>
      <c r="I17" s="2"/>
      <c r="J17" s="2"/>
      <c r="K17" s="2"/>
      <c r="L17" s="2"/>
      <c r="M17" s="2"/>
      <c r="N17" s="2"/>
      <c r="O17" s="2"/>
      <c r="P17" s="2"/>
      <c r="Q17" s="2"/>
      <c r="R17" s="2"/>
      <c r="S17" s="2"/>
      <c r="T17" s="2"/>
      <c r="U17" s="2"/>
      <c r="V17" s="2"/>
      <c r="W17" s="2"/>
      <c r="X17" s="2"/>
      <c r="Y17" s="2"/>
      <c r="Z17" s="2"/>
      <c r="AA17" s="2"/>
    </row>
    <row r="18">
      <c r="A18" s="1" t="s">
        <v>42</v>
      </c>
      <c r="B18" s="1" t="s">
        <v>71</v>
      </c>
      <c r="C18" s="1" t="s">
        <v>72</v>
      </c>
      <c r="D18" s="1" t="s">
        <v>73</v>
      </c>
      <c r="E18" s="1" t="s">
        <v>74</v>
      </c>
      <c r="F18" s="2">
        <f t="shared" si="1"/>
        <v>0</v>
      </c>
      <c r="G18" s="2"/>
      <c r="H18" s="2"/>
      <c r="I18" s="2"/>
      <c r="J18" s="2"/>
      <c r="K18" s="2"/>
      <c r="L18" s="2"/>
      <c r="M18" s="2"/>
      <c r="N18" s="2"/>
      <c r="O18" s="2"/>
      <c r="P18" s="2"/>
      <c r="Q18" s="2"/>
      <c r="R18" s="2"/>
      <c r="S18" s="2"/>
      <c r="T18" s="2"/>
      <c r="U18" s="2"/>
      <c r="V18" s="2"/>
      <c r="W18" s="2"/>
      <c r="X18" s="2"/>
      <c r="Y18" s="2"/>
      <c r="Z18" s="2"/>
      <c r="AA18" s="2"/>
    </row>
    <row r="19">
      <c r="A19" s="1" t="s">
        <v>42</v>
      </c>
      <c r="B19" s="1" t="s">
        <v>75</v>
      </c>
      <c r="C19" s="1" t="s">
        <v>76</v>
      </c>
      <c r="D19" s="1" t="s">
        <v>77</v>
      </c>
      <c r="E19" s="1" t="s">
        <v>78</v>
      </c>
      <c r="F19" s="2">
        <f t="shared" si="1"/>
        <v>0</v>
      </c>
      <c r="G19" s="2"/>
      <c r="H19" s="2"/>
      <c r="I19" s="2"/>
      <c r="J19" s="2"/>
      <c r="K19" s="2"/>
      <c r="L19" s="2"/>
      <c r="M19" s="2"/>
      <c r="N19" s="2"/>
      <c r="O19" s="2"/>
      <c r="P19" s="2"/>
      <c r="Q19" s="2"/>
      <c r="R19" s="2"/>
      <c r="S19" s="2"/>
      <c r="T19" s="2"/>
      <c r="U19" s="2"/>
      <c r="V19" s="2"/>
      <c r="W19" s="2"/>
      <c r="X19" s="2"/>
      <c r="Y19" s="2"/>
      <c r="Z19" s="2"/>
      <c r="AA19" s="2"/>
    </row>
    <row r="20">
      <c r="A20" s="1" t="s">
        <v>42</v>
      </c>
      <c r="B20" s="1" t="s">
        <v>79</v>
      </c>
      <c r="C20" s="1" t="s">
        <v>80</v>
      </c>
      <c r="D20" s="1" t="s">
        <v>81</v>
      </c>
      <c r="E20" s="1" t="s">
        <v>82</v>
      </c>
      <c r="F20" s="2">
        <f t="shared" si="1"/>
        <v>0</v>
      </c>
      <c r="G20" s="2"/>
      <c r="H20" s="2"/>
      <c r="I20" s="2"/>
      <c r="J20" s="2"/>
      <c r="K20" s="2"/>
      <c r="L20" s="2"/>
      <c r="M20" s="2"/>
      <c r="N20" s="2"/>
      <c r="O20" s="2"/>
      <c r="P20" s="2"/>
      <c r="Q20" s="2"/>
      <c r="R20" s="2"/>
      <c r="S20" s="2"/>
      <c r="T20" s="2"/>
      <c r="U20" s="2"/>
      <c r="V20" s="2"/>
      <c r="W20" s="2"/>
      <c r="X20" s="2"/>
      <c r="Y20" s="2"/>
      <c r="Z20" s="2"/>
      <c r="AA20" s="2"/>
    </row>
    <row r="21">
      <c r="A21" s="1" t="s">
        <v>5</v>
      </c>
      <c r="B21" s="1" t="s">
        <v>83</v>
      </c>
      <c r="C21" s="1" t="s">
        <v>84</v>
      </c>
      <c r="D21" s="1" t="s">
        <v>85</v>
      </c>
      <c r="E21" s="1" t="s">
        <v>86</v>
      </c>
      <c r="F21" s="2">
        <f t="shared" si="1"/>
        <v>0</v>
      </c>
      <c r="G21" s="2"/>
      <c r="H21" s="2"/>
      <c r="I21" s="2"/>
      <c r="J21" s="2"/>
      <c r="K21" s="2"/>
      <c r="L21" s="2"/>
      <c r="M21" s="2"/>
      <c r="N21" s="2"/>
      <c r="O21" s="2"/>
      <c r="P21" s="2"/>
      <c r="Q21" s="2"/>
      <c r="R21" s="2"/>
      <c r="S21" s="2"/>
      <c r="T21" s="2"/>
      <c r="U21" s="2"/>
      <c r="V21" s="2"/>
      <c r="W21" s="2"/>
      <c r="X21" s="2"/>
      <c r="Y21" s="2"/>
      <c r="Z21" s="2"/>
      <c r="AA21" s="2"/>
    </row>
    <row r="22">
      <c r="A22" s="1" t="s">
        <v>42</v>
      </c>
      <c r="B22" s="1" t="s">
        <v>87</v>
      </c>
      <c r="C22" s="1" t="s">
        <v>88</v>
      </c>
      <c r="D22" s="1" t="s">
        <v>89</v>
      </c>
      <c r="E22" s="1" t="s">
        <v>90</v>
      </c>
      <c r="F22" s="2">
        <f t="shared" si="1"/>
        <v>0</v>
      </c>
      <c r="G22" s="2"/>
      <c r="H22" s="2"/>
      <c r="I22" s="2"/>
      <c r="J22" s="2"/>
      <c r="K22" s="2"/>
      <c r="L22" s="2"/>
      <c r="M22" s="2"/>
      <c r="N22" s="2"/>
      <c r="O22" s="2"/>
      <c r="P22" s="2"/>
      <c r="Q22" s="2"/>
      <c r="R22" s="2"/>
      <c r="S22" s="2"/>
      <c r="T22" s="2"/>
      <c r="U22" s="2"/>
      <c r="V22" s="2"/>
      <c r="W22" s="2"/>
      <c r="X22" s="2"/>
      <c r="Y22" s="2"/>
      <c r="Z22" s="2"/>
      <c r="AA22" s="2"/>
    </row>
    <row r="23">
      <c r="A23" s="1" t="s">
        <v>42</v>
      </c>
      <c r="B23" s="1" t="s">
        <v>91</v>
      </c>
      <c r="C23" s="1" t="s">
        <v>92</v>
      </c>
      <c r="D23" s="1" t="s">
        <v>93</v>
      </c>
      <c r="E23" s="1" t="s">
        <v>94</v>
      </c>
      <c r="F23" s="2">
        <f t="shared" si="1"/>
        <v>0</v>
      </c>
      <c r="G23" s="2"/>
      <c r="H23" s="2"/>
      <c r="I23" s="2"/>
      <c r="J23" s="2"/>
      <c r="K23" s="2"/>
      <c r="L23" s="2"/>
      <c r="M23" s="2"/>
      <c r="N23" s="2"/>
      <c r="O23" s="2"/>
      <c r="P23" s="2"/>
      <c r="Q23" s="2"/>
      <c r="R23" s="2"/>
      <c r="S23" s="2"/>
      <c r="T23" s="2"/>
      <c r="U23" s="2"/>
      <c r="V23" s="2"/>
      <c r="W23" s="2"/>
      <c r="X23" s="2"/>
      <c r="Y23" s="2"/>
      <c r="Z23" s="2"/>
      <c r="AA23" s="2"/>
    </row>
    <row r="24">
      <c r="A24" s="1" t="s">
        <v>42</v>
      </c>
      <c r="B24" s="1" t="s">
        <v>95</v>
      </c>
      <c r="C24" s="1" t="s">
        <v>96</v>
      </c>
      <c r="D24" s="1" t="s">
        <v>97</v>
      </c>
      <c r="E24" s="1" t="s">
        <v>98</v>
      </c>
      <c r="F24" s="2">
        <f t="shared" si="1"/>
        <v>0</v>
      </c>
      <c r="G24" s="2"/>
      <c r="H24" s="2"/>
      <c r="I24" s="2"/>
      <c r="J24" s="2"/>
      <c r="K24" s="2"/>
      <c r="L24" s="2"/>
      <c r="M24" s="2"/>
      <c r="N24" s="2"/>
      <c r="O24" s="2"/>
      <c r="P24" s="2"/>
      <c r="Q24" s="2"/>
      <c r="R24" s="2"/>
      <c r="S24" s="2"/>
      <c r="T24" s="2"/>
      <c r="U24" s="2"/>
      <c r="V24" s="2"/>
      <c r="W24" s="2"/>
      <c r="X24" s="2"/>
      <c r="Y24" s="2"/>
      <c r="Z24" s="2"/>
      <c r="AA24" s="2"/>
    </row>
    <row r="25">
      <c r="A25" s="1" t="s">
        <v>42</v>
      </c>
      <c r="B25" s="1" t="s">
        <v>99</v>
      </c>
      <c r="C25" s="1" t="s">
        <v>100</v>
      </c>
      <c r="D25" s="1" t="s">
        <v>101</v>
      </c>
      <c r="E25" s="1" t="s">
        <v>102</v>
      </c>
      <c r="F25" s="2">
        <f t="shared" si="1"/>
        <v>0</v>
      </c>
      <c r="G25" s="2"/>
      <c r="H25" s="2"/>
      <c r="I25" s="2"/>
      <c r="J25" s="2"/>
      <c r="K25" s="2"/>
      <c r="L25" s="2"/>
      <c r="M25" s="2"/>
      <c r="N25" s="2"/>
      <c r="O25" s="2"/>
      <c r="P25" s="2"/>
      <c r="Q25" s="2"/>
      <c r="R25" s="2"/>
      <c r="S25" s="2"/>
      <c r="T25" s="2"/>
      <c r="U25" s="2"/>
      <c r="V25" s="2"/>
      <c r="W25" s="2"/>
      <c r="X25" s="2"/>
      <c r="Y25" s="2"/>
      <c r="Z25" s="2"/>
      <c r="AA25" s="2"/>
    </row>
    <row r="26">
      <c r="A26" s="1" t="s">
        <v>42</v>
      </c>
      <c r="B26" s="1" t="s">
        <v>103</v>
      </c>
      <c r="C26" s="1" t="s">
        <v>104</v>
      </c>
      <c r="D26" s="1" t="s">
        <v>105</v>
      </c>
      <c r="E26" s="1" t="s">
        <v>106</v>
      </c>
      <c r="F26" s="2">
        <f t="shared" si="1"/>
        <v>0</v>
      </c>
      <c r="G26" s="2"/>
      <c r="H26" s="2"/>
      <c r="I26" s="2"/>
      <c r="J26" s="2"/>
      <c r="K26" s="2"/>
      <c r="L26" s="2"/>
      <c r="M26" s="2"/>
      <c r="N26" s="2"/>
      <c r="O26" s="2"/>
      <c r="P26" s="2"/>
      <c r="Q26" s="2"/>
      <c r="R26" s="2"/>
      <c r="S26" s="2"/>
      <c r="T26" s="2"/>
      <c r="U26" s="2"/>
      <c r="V26" s="2"/>
      <c r="W26" s="2"/>
      <c r="X26" s="2"/>
      <c r="Y26" s="2"/>
      <c r="Z26" s="2"/>
      <c r="AA26" s="2"/>
    </row>
    <row r="27">
      <c r="A27" s="1" t="s">
        <v>42</v>
      </c>
      <c r="B27" s="1" t="s">
        <v>107</v>
      </c>
      <c r="C27" s="1" t="s">
        <v>108</v>
      </c>
      <c r="D27" s="1" t="s">
        <v>109</v>
      </c>
      <c r="E27" s="1" t="s">
        <v>110</v>
      </c>
      <c r="F27" s="2">
        <f t="shared" si="1"/>
        <v>0</v>
      </c>
      <c r="G27" s="2"/>
      <c r="H27" s="2"/>
      <c r="I27" s="2"/>
      <c r="J27" s="2"/>
      <c r="K27" s="2"/>
      <c r="L27" s="2"/>
      <c r="M27" s="2"/>
      <c r="N27" s="2"/>
      <c r="O27" s="2"/>
      <c r="P27" s="2"/>
      <c r="Q27" s="2"/>
      <c r="R27" s="2"/>
      <c r="S27" s="2"/>
      <c r="T27" s="2"/>
      <c r="U27" s="2"/>
      <c r="V27" s="2"/>
      <c r="W27" s="2"/>
      <c r="X27" s="2"/>
      <c r="Y27" s="2"/>
      <c r="Z27" s="2"/>
      <c r="AA27" s="2"/>
    </row>
    <row r="28">
      <c r="A28" s="1" t="s">
        <v>42</v>
      </c>
      <c r="B28" s="1" t="s">
        <v>111</v>
      </c>
      <c r="C28" s="1" t="s">
        <v>112</v>
      </c>
      <c r="D28" s="1" t="s">
        <v>113</v>
      </c>
      <c r="E28" s="1" t="s">
        <v>114</v>
      </c>
      <c r="F28" s="2">
        <f t="shared" si="1"/>
        <v>0</v>
      </c>
      <c r="G28" s="2"/>
      <c r="H28" s="2"/>
      <c r="I28" s="2"/>
      <c r="J28" s="2"/>
      <c r="K28" s="2"/>
      <c r="L28" s="2"/>
      <c r="M28" s="2"/>
      <c r="N28" s="2"/>
      <c r="O28" s="2"/>
      <c r="P28" s="2"/>
      <c r="Q28" s="2"/>
      <c r="R28" s="2"/>
      <c r="S28" s="2"/>
      <c r="T28" s="2"/>
      <c r="U28" s="2"/>
      <c r="V28" s="2"/>
      <c r="W28" s="2"/>
      <c r="X28" s="2"/>
      <c r="Y28" s="2"/>
      <c r="Z28" s="2"/>
      <c r="AA28" s="2"/>
    </row>
    <row r="29">
      <c r="A29" s="1" t="s">
        <v>42</v>
      </c>
      <c r="B29" s="1" t="s">
        <v>115</v>
      </c>
      <c r="C29" s="1" t="s">
        <v>116</v>
      </c>
      <c r="D29" s="1" t="s">
        <v>117</v>
      </c>
      <c r="E29" s="1" t="s">
        <v>118</v>
      </c>
      <c r="F29" s="2">
        <f t="shared" si="1"/>
        <v>0</v>
      </c>
      <c r="G29" s="2"/>
      <c r="H29" s="2"/>
      <c r="I29" s="2"/>
      <c r="J29" s="2"/>
      <c r="K29" s="2"/>
      <c r="L29" s="2"/>
      <c r="M29" s="2"/>
      <c r="N29" s="2"/>
      <c r="O29" s="2"/>
      <c r="P29" s="2"/>
      <c r="Q29" s="2"/>
      <c r="R29" s="2"/>
      <c r="S29" s="2"/>
      <c r="T29" s="2"/>
      <c r="U29" s="2"/>
      <c r="V29" s="2"/>
      <c r="W29" s="2"/>
      <c r="X29" s="2"/>
      <c r="Y29" s="2"/>
      <c r="Z29" s="2"/>
      <c r="AA29" s="2"/>
    </row>
    <row r="30">
      <c r="A30" s="1" t="s">
        <v>5</v>
      </c>
      <c r="B30" s="1" t="s">
        <v>119</v>
      </c>
      <c r="C30" s="1" t="s">
        <v>120</v>
      </c>
      <c r="D30" s="1" t="s">
        <v>121</v>
      </c>
      <c r="E30" s="1" t="s">
        <v>122</v>
      </c>
      <c r="F30" s="2">
        <f t="shared" si="1"/>
        <v>0</v>
      </c>
      <c r="G30" s="2"/>
      <c r="H30" s="2"/>
      <c r="I30" s="2"/>
      <c r="J30" s="2"/>
      <c r="K30" s="2"/>
      <c r="L30" s="2"/>
      <c r="M30" s="2"/>
      <c r="N30" s="2"/>
      <c r="O30" s="2"/>
      <c r="P30" s="2"/>
      <c r="Q30" s="2"/>
      <c r="R30" s="2"/>
      <c r="S30" s="2"/>
      <c r="T30" s="2"/>
      <c r="U30" s="2"/>
      <c r="V30" s="2"/>
      <c r="W30" s="2"/>
      <c r="X30" s="2"/>
      <c r="Y30" s="2"/>
      <c r="Z30" s="2"/>
      <c r="AA30" s="2"/>
    </row>
    <row r="31">
      <c r="A31" s="1" t="s">
        <v>42</v>
      </c>
      <c r="B31" s="1" t="s">
        <v>123</v>
      </c>
      <c r="C31" s="1" t="s">
        <v>124</v>
      </c>
      <c r="D31" s="1" t="s">
        <v>125</v>
      </c>
      <c r="E31" s="1" t="s">
        <v>126</v>
      </c>
      <c r="F31" s="2">
        <f t="shared" si="1"/>
        <v>0</v>
      </c>
      <c r="G31" s="2"/>
      <c r="H31" s="2"/>
      <c r="I31" s="2"/>
      <c r="J31" s="2"/>
      <c r="K31" s="2"/>
      <c r="L31" s="2"/>
      <c r="M31" s="2"/>
      <c r="N31" s="2"/>
      <c r="O31" s="2"/>
      <c r="P31" s="2"/>
      <c r="Q31" s="2"/>
      <c r="R31" s="2"/>
      <c r="S31" s="2"/>
      <c r="T31" s="2"/>
      <c r="U31" s="2"/>
      <c r="V31" s="2"/>
      <c r="W31" s="2"/>
      <c r="X31" s="2"/>
      <c r="Y31" s="2"/>
      <c r="Z31" s="2"/>
      <c r="AA31" s="2"/>
    </row>
    <row r="32">
      <c r="A32" s="1" t="s">
        <v>42</v>
      </c>
      <c r="B32" s="1" t="s">
        <v>127</v>
      </c>
      <c r="C32" s="1" t="s">
        <v>128</v>
      </c>
      <c r="D32" s="1" t="s">
        <v>129</v>
      </c>
      <c r="E32" s="1" t="s">
        <v>130</v>
      </c>
      <c r="F32" s="2">
        <f t="shared" si="1"/>
        <v>0</v>
      </c>
      <c r="G32" s="2"/>
      <c r="H32" s="2"/>
      <c r="I32" s="2"/>
      <c r="J32" s="2"/>
      <c r="K32" s="2"/>
      <c r="L32" s="2"/>
      <c r="M32" s="2"/>
      <c r="N32" s="2"/>
      <c r="O32" s="2"/>
      <c r="P32" s="2"/>
      <c r="Q32" s="2"/>
      <c r="R32" s="2"/>
      <c r="S32" s="2"/>
      <c r="T32" s="2"/>
      <c r="U32" s="2"/>
      <c r="V32" s="2"/>
      <c r="W32" s="2"/>
      <c r="X32" s="2"/>
      <c r="Y32" s="2"/>
      <c r="Z32" s="2"/>
      <c r="AA32" s="2"/>
    </row>
    <row r="33">
      <c r="A33" s="1" t="s">
        <v>42</v>
      </c>
      <c r="B33" s="1" t="s">
        <v>131</v>
      </c>
      <c r="C33" s="1" t="s">
        <v>132</v>
      </c>
      <c r="D33" s="1" t="s">
        <v>133</v>
      </c>
      <c r="E33" s="1" t="s">
        <v>134</v>
      </c>
      <c r="F33" s="2">
        <f t="shared" si="1"/>
        <v>0</v>
      </c>
      <c r="G33" s="2"/>
      <c r="H33" s="2"/>
      <c r="I33" s="2"/>
      <c r="J33" s="2"/>
      <c r="K33" s="2"/>
      <c r="L33" s="2"/>
      <c r="M33" s="2"/>
      <c r="N33" s="2"/>
      <c r="O33" s="2"/>
      <c r="P33" s="2"/>
      <c r="Q33" s="2"/>
      <c r="R33" s="2"/>
      <c r="S33" s="2"/>
      <c r="T33" s="2"/>
      <c r="U33" s="2"/>
      <c r="V33" s="2"/>
      <c r="W33" s="2"/>
      <c r="X33" s="2"/>
      <c r="Y33" s="2"/>
      <c r="Z33" s="2"/>
      <c r="AA33" s="2"/>
    </row>
    <row r="34">
      <c r="A34" s="1" t="s">
        <v>42</v>
      </c>
      <c r="B34" s="1" t="s">
        <v>135</v>
      </c>
      <c r="C34" s="1" t="s">
        <v>136</v>
      </c>
      <c r="D34" s="1" t="s">
        <v>137</v>
      </c>
      <c r="E34" s="1" t="s">
        <v>138</v>
      </c>
      <c r="F34" s="2">
        <f t="shared" si="1"/>
        <v>0</v>
      </c>
      <c r="G34" s="2"/>
      <c r="H34" s="2"/>
      <c r="I34" s="2"/>
      <c r="J34" s="2"/>
      <c r="K34" s="2"/>
      <c r="L34" s="2"/>
      <c r="M34" s="2"/>
      <c r="N34" s="2"/>
      <c r="O34" s="2"/>
      <c r="P34" s="2"/>
      <c r="Q34" s="2"/>
      <c r="R34" s="2"/>
      <c r="S34" s="2"/>
      <c r="T34" s="2"/>
      <c r="U34" s="2"/>
      <c r="V34" s="2"/>
      <c r="W34" s="2"/>
      <c r="X34" s="2"/>
      <c r="Y34" s="2"/>
      <c r="Z34" s="2"/>
      <c r="AA34" s="2"/>
    </row>
    <row r="35">
      <c r="A35" s="1" t="s">
        <v>42</v>
      </c>
      <c r="B35" s="1" t="s">
        <v>139</v>
      </c>
      <c r="C35" s="1" t="s">
        <v>140</v>
      </c>
      <c r="D35" s="1" t="s">
        <v>141</v>
      </c>
      <c r="E35" s="1" t="s">
        <v>142</v>
      </c>
      <c r="F35" s="2">
        <f t="shared" si="1"/>
        <v>0</v>
      </c>
      <c r="G35" s="2"/>
      <c r="H35" s="2"/>
      <c r="I35" s="2"/>
      <c r="J35" s="2"/>
      <c r="K35" s="2"/>
      <c r="L35" s="2"/>
      <c r="M35" s="2"/>
      <c r="N35" s="2"/>
      <c r="O35" s="2"/>
      <c r="P35" s="2"/>
      <c r="Q35" s="2"/>
      <c r="R35" s="2"/>
      <c r="S35" s="2"/>
      <c r="T35" s="2"/>
      <c r="U35" s="2"/>
      <c r="V35" s="2"/>
      <c r="W35" s="2"/>
      <c r="X35" s="2"/>
      <c r="Y35" s="2"/>
      <c r="Z35" s="2"/>
      <c r="AA35" s="2"/>
    </row>
    <row r="36">
      <c r="A36" s="1" t="s">
        <v>42</v>
      </c>
      <c r="B36" s="1" t="s">
        <v>143</v>
      </c>
      <c r="C36" s="1" t="s">
        <v>144</v>
      </c>
      <c r="D36" s="1" t="s">
        <v>145</v>
      </c>
      <c r="E36" s="1" t="s">
        <v>146</v>
      </c>
      <c r="F36" s="2">
        <f t="shared" si="1"/>
        <v>0</v>
      </c>
      <c r="G36" s="2"/>
      <c r="H36" s="2"/>
      <c r="I36" s="2"/>
      <c r="J36" s="2"/>
      <c r="K36" s="2"/>
      <c r="L36" s="2"/>
      <c r="M36" s="2"/>
      <c r="N36" s="2"/>
      <c r="O36" s="2"/>
      <c r="P36" s="2"/>
      <c r="Q36" s="2"/>
      <c r="R36" s="2"/>
      <c r="S36" s="2"/>
      <c r="T36" s="2"/>
      <c r="U36" s="2"/>
      <c r="V36" s="2"/>
      <c r="W36" s="2"/>
      <c r="X36" s="2"/>
      <c r="Y36" s="2"/>
      <c r="Z36" s="2"/>
      <c r="AA36" s="2"/>
    </row>
    <row r="37">
      <c r="A37" s="1" t="s">
        <v>42</v>
      </c>
      <c r="B37" s="1" t="s">
        <v>147</v>
      </c>
      <c r="C37" s="1" t="s">
        <v>148</v>
      </c>
      <c r="D37" s="1" t="s">
        <v>149</v>
      </c>
      <c r="E37" s="1" t="s">
        <v>150</v>
      </c>
      <c r="F37" s="2">
        <f t="shared" si="1"/>
        <v>0</v>
      </c>
      <c r="G37" s="2"/>
      <c r="H37" s="2"/>
      <c r="I37" s="2"/>
      <c r="J37" s="2"/>
      <c r="K37" s="2"/>
      <c r="L37" s="2"/>
      <c r="M37" s="2"/>
      <c r="N37" s="2"/>
      <c r="O37" s="2"/>
      <c r="P37" s="2"/>
      <c r="Q37" s="2"/>
      <c r="R37" s="2"/>
      <c r="S37" s="2"/>
      <c r="T37" s="2"/>
      <c r="U37" s="2"/>
      <c r="V37" s="2"/>
      <c r="W37" s="2"/>
      <c r="X37" s="2"/>
      <c r="Y37" s="2"/>
      <c r="Z37" s="2"/>
      <c r="AA37" s="2"/>
    </row>
    <row r="38">
      <c r="A38" s="1" t="s">
        <v>42</v>
      </c>
      <c r="B38" s="1" t="s">
        <v>151</v>
      </c>
      <c r="C38" s="1" t="s">
        <v>152</v>
      </c>
      <c r="D38" s="1" t="s">
        <v>153</v>
      </c>
      <c r="E38" s="1" t="s">
        <v>154</v>
      </c>
      <c r="F38" s="2">
        <f t="shared" si="1"/>
        <v>0</v>
      </c>
      <c r="G38" s="2"/>
      <c r="H38" s="2"/>
      <c r="I38" s="2"/>
      <c r="J38" s="2"/>
      <c r="K38" s="2"/>
      <c r="L38" s="2"/>
      <c r="M38" s="2"/>
      <c r="N38" s="2"/>
      <c r="O38" s="2"/>
      <c r="P38" s="2"/>
      <c r="Q38" s="2"/>
      <c r="R38" s="2"/>
      <c r="S38" s="2"/>
      <c r="T38" s="2"/>
      <c r="U38" s="2"/>
      <c r="V38" s="2"/>
      <c r="W38" s="2"/>
      <c r="X38" s="2"/>
      <c r="Y38" s="2"/>
      <c r="Z38" s="2"/>
      <c r="AA38" s="2"/>
    </row>
    <row r="39">
      <c r="A39" s="1" t="s">
        <v>42</v>
      </c>
      <c r="B39" s="1" t="s">
        <v>155</v>
      </c>
      <c r="C39" s="1" t="s">
        <v>156</v>
      </c>
      <c r="D39" s="1" t="s">
        <v>157</v>
      </c>
      <c r="E39" s="1" t="s">
        <v>158</v>
      </c>
      <c r="F39" s="2">
        <f t="shared" si="1"/>
        <v>0</v>
      </c>
      <c r="G39" s="2"/>
      <c r="H39" s="2"/>
      <c r="I39" s="2"/>
      <c r="J39" s="2"/>
      <c r="K39" s="2"/>
      <c r="L39" s="2"/>
      <c r="M39" s="2"/>
      <c r="N39" s="2"/>
      <c r="O39" s="2"/>
      <c r="P39" s="2"/>
      <c r="Q39" s="2"/>
      <c r="R39" s="2"/>
      <c r="S39" s="2"/>
      <c r="T39" s="2"/>
      <c r="U39" s="2"/>
      <c r="V39" s="2"/>
      <c r="W39" s="2"/>
      <c r="X39" s="2"/>
      <c r="Y39" s="2"/>
      <c r="Z39" s="2"/>
      <c r="AA39" s="2"/>
    </row>
    <row r="40">
      <c r="A40" s="1" t="s">
        <v>42</v>
      </c>
      <c r="B40" s="1" t="s">
        <v>159</v>
      </c>
      <c r="C40" s="1" t="s">
        <v>160</v>
      </c>
      <c r="D40" s="1" t="s">
        <v>161</v>
      </c>
      <c r="E40" s="1" t="s">
        <v>162</v>
      </c>
      <c r="F40" s="2">
        <f t="shared" si="1"/>
        <v>0</v>
      </c>
      <c r="G40" s="2"/>
      <c r="H40" s="2"/>
      <c r="I40" s="2"/>
      <c r="J40" s="2"/>
      <c r="K40" s="2"/>
      <c r="L40" s="2"/>
      <c r="M40" s="2"/>
      <c r="N40" s="2"/>
      <c r="O40" s="2"/>
      <c r="P40" s="2"/>
      <c r="Q40" s="2"/>
      <c r="R40" s="2"/>
      <c r="S40" s="2"/>
      <c r="T40" s="2"/>
      <c r="U40" s="2"/>
      <c r="V40" s="2"/>
      <c r="W40" s="2"/>
      <c r="X40" s="2"/>
      <c r="Y40" s="2"/>
      <c r="Z40" s="2"/>
      <c r="AA40" s="2"/>
    </row>
    <row r="41">
      <c r="A41" s="1" t="s">
        <v>42</v>
      </c>
      <c r="B41" s="1" t="s">
        <v>163</v>
      </c>
      <c r="C41" s="1" t="s">
        <v>164</v>
      </c>
      <c r="D41" s="1" t="s">
        <v>165</v>
      </c>
      <c r="E41" s="1" t="s">
        <v>166</v>
      </c>
      <c r="F41" s="2">
        <f t="shared" si="1"/>
        <v>0</v>
      </c>
      <c r="G41" s="2"/>
      <c r="H41" s="2"/>
      <c r="I41" s="2"/>
      <c r="J41" s="2"/>
      <c r="K41" s="2"/>
      <c r="L41" s="2"/>
      <c r="M41" s="2"/>
      <c r="N41" s="2"/>
      <c r="O41" s="2"/>
      <c r="P41" s="2"/>
      <c r="Q41" s="2"/>
      <c r="R41" s="2"/>
      <c r="S41" s="2"/>
      <c r="T41" s="2"/>
      <c r="U41" s="2"/>
      <c r="V41" s="2"/>
      <c r="W41" s="2"/>
      <c r="X41" s="2"/>
      <c r="Y41" s="2"/>
      <c r="Z41" s="2"/>
      <c r="AA41" s="2"/>
    </row>
    <row r="42">
      <c r="A42" s="1" t="s">
        <v>42</v>
      </c>
      <c r="B42" s="1" t="s">
        <v>167</v>
      </c>
      <c r="C42" s="1" t="s">
        <v>168</v>
      </c>
      <c r="D42" s="1" t="s">
        <v>169</v>
      </c>
      <c r="E42" s="1" t="s">
        <v>170</v>
      </c>
      <c r="F42" s="2">
        <f t="shared" si="1"/>
        <v>0</v>
      </c>
      <c r="G42" s="2"/>
      <c r="H42" s="2"/>
      <c r="I42" s="2"/>
      <c r="J42" s="2"/>
      <c r="K42" s="2"/>
      <c r="L42" s="2"/>
      <c r="M42" s="2"/>
      <c r="N42" s="2"/>
      <c r="O42" s="2"/>
      <c r="P42" s="2"/>
      <c r="Q42" s="2"/>
      <c r="R42" s="2"/>
      <c r="S42" s="2"/>
      <c r="T42" s="2"/>
      <c r="U42" s="2"/>
      <c r="V42" s="2"/>
      <c r="W42" s="2"/>
      <c r="X42" s="2"/>
      <c r="Y42" s="2"/>
      <c r="Z42" s="2"/>
      <c r="AA42" s="2"/>
    </row>
    <row r="43">
      <c r="A43" s="1" t="s">
        <v>42</v>
      </c>
      <c r="B43" s="1" t="s">
        <v>171</v>
      </c>
      <c r="C43" s="1" t="s">
        <v>172</v>
      </c>
      <c r="D43" s="1" t="s">
        <v>173</v>
      </c>
      <c r="E43" s="1" t="s">
        <v>174</v>
      </c>
      <c r="F43" s="2">
        <f t="shared" si="1"/>
        <v>0</v>
      </c>
      <c r="G43" s="2"/>
      <c r="H43" s="2"/>
      <c r="I43" s="2"/>
      <c r="J43" s="2"/>
      <c r="K43" s="2"/>
      <c r="L43" s="2"/>
      <c r="M43" s="2"/>
      <c r="N43" s="2"/>
      <c r="O43" s="2"/>
      <c r="P43" s="2"/>
      <c r="Q43" s="2"/>
      <c r="R43" s="2"/>
      <c r="S43" s="2"/>
      <c r="T43" s="2"/>
      <c r="U43" s="2"/>
      <c r="V43" s="2"/>
      <c r="W43" s="2"/>
      <c r="X43" s="2"/>
      <c r="Y43" s="2"/>
      <c r="Z43" s="2"/>
      <c r="AA43" s="2"/>
    </row>
    <row r="44">
      <c r="A44" s="1" t="s">
        <v>42</v>
      </c>
      <c r="B44" s="1" t="s">
        <v>175</v>
      </c>
      <c r="C44" s="1" t="s">
        <v>176</v>
      </c>
      <c r="D44" s="1" t="s">
        <v>177</v>
      </c>
      <c r="E44" s="1" t="s">
        <v>178</v>
      </c>
      <c r="F44" s="2">
        <f t="shared" si="1"/>
        <v>0</v>
      </c>
      <c r="G44" s="2"/>
      <c r="H44" s="2"/>
      <c r="I44" s="2"/>
      <c r="J44" s="2"/>
      <c r="K44" s="2"/>
      <c r="L44" s="2"/>
      <c r="M44" s="2"/>
      <c r="N44" s="2"/>
      <c r="O44" s="2"/>
      <c r="P44" s="2"/>
      <c r="Q44" s="2"/>
      <c r="R44" s="2"/>
      <c r="S44" s="2"/>
      <c r="T44" s="2"/>
      <c r="U44" s="2"/>
      <c r="V44" s="2"/>
      <c r="W44" s="2"/>
      <c r="X44" s="2"/>
      <c r="Y44" s="2"/>
      <c r="Z44" s="2"/>
      <c r="AA44" s="2"/>
    </row>
    <row r="45">
      <c r="A45" s="1" t="s">
        <v>42</v>
      </c>
      <c r="B45" s="1" t="s">
        <v>179</v>
      </c>
      <c r="C45" s="1" t="s">
        <v>180</v>
      </c>
      <c r="D45" s="1" t="s">
        <v>181</v>
      </c>
      <c r="E45" s="1" t="s">
        <v>182</v>
      </c>
      <c r="F45" s="2">
        <f t="shared" si="1"/>
        <v>0</v>
      </c>
      <c r="G45" s="2"/>
      <c r="H45" s="2"/>
      <c r="I45" s="2"/>
      <c r="J45" s="2"/>
      <c r="K45" s="2"/>
      <c r="L45" s="2"/>
      <c r="M45" s="2"/>
      <c r="N45" s="2"/>
      <c r="O45" s="2"/>
      <c r="P45" s="2"/>
      <c r="Q45" s="2"/>
      <c r="R45" s="2"/>
      <c r="S45" s="2"/>
      <c r="T45" s="2"/>
      <c r="U45" s="2"/>
      <c r="V45" s="2"/>
      <c r="W45" s="2"/>
      <c r="X45" s="2"/>
      <c r="Y45" s="2"/>
      <c r="Z45" s="2"/>
      <c r="AA45" s="2"/>
    </row>
    <row r="46">
      <c r="A46" s="1" t="s">
        <v>42</v>
      </c>
      <c r="B46" s="1" t="s">
        <v>183</v>
      </c>
      <c r="C46" s="1" t="s">
        <v>184</v>
      </c>
      <c r="D46" s="1" t="s">
        <v>185</v>
      </c>
      <c r="E46" s="1" t="s">
        <v>186</v>
      </c>
      <c r="F46" s="2">
        <f t="shared" si="1"/>
        <v>0</v>
      </c>
      <c r="G46" s="2"/>
      <c r="H46" s="2"/>
      <c r="I46" s="2"/>
      <c r="J46" s="2"/>
      <c r="K46" s="2"/>
      <c r="L46" s="2"/>
      <c r="M46" s="2"/>
      <c r="N46" s="2"/>
      <c r="O46" s="2"/>
      <c r="P46" s="2"/>
      <c r="Q46" s="2"/>
      <c r="R46" s="2"/>
      <c r="S46" s="2"/>
      <c r="T46" s="2"/>
      <c r="U46" s="2"/>
      <c r="V46" s="2"/>
      <c r="W46" s="2"/>
      <c r="X46" s="2"/>
      <c r="Y46" s="2"/>
      <c r="Z46" s="2"/>
      <c r="AA46" s="2"/>
    </row>
    <row r="47">
      <c r="A47" s="1" t="s">
        <v>42</v>
      </c>
      <c r="B47" s="1" t="s">
        <v>187</v>
      </c>
      <c r="C47" s="1" t="s">
        <v>188</v>
      </c>
      <c r="D47" s="1" t="s">
        <v>189</v>
      </c>
      <c r="E47" s="1" t="s">
        <v>190</v>
      </c>
      <c r="F47" s="2">
        <f t="shared" si="1"/>
        <v>0</v>
      </c>
      <c r="G47" s="2"/>
      <c r="H47" s="2"/>
      <c r="I47" s="2"/>
      <c r="J47" s="2"/>
      <c r="K47" s="2"/>
      <c r="L47" s="2"/>
      <c r="M47" s="2"/>
      <c r="N47" s="2"/>
      <c r="O47" s="2"/>
      <c r="P47" s="2"/>
      <c r="Q47" s="2"/>
      <c r="R47" s="2"/>
      <c r="S47" s="2"/>
      <c r="T47" s="2"/>
      <c r="U47" s="2"/>
      <c r="V47" s="2"/>
      <c r="W47" s="2"/>
      <c r="X47" s="2"/>
      <c r="Y47" s="2"/>
      <c r="Z47" s="2"/>
      <c r="AA47" s="2"/>
    </row>
    <row r="48">
      <c r="A48" s="1" t="s">
        <v>42</v>
      </c>
      <c r="B48" s="1" t="s">
        <v>191</v>
      </c>
      <c r="C48" s="1" t="s">
        <v>192</v>
      </c>
      <c r="D48" s="1" t="s">
        <v>193</v>
      </c>
      <c r="E48" s="1" t="s">
        <v>194</v>
      </c>
      <c r="F48" s="2">
        <f t="shared" si="1"/>
        <v>0</v>
      </c>
      <c r="G48" s="2"/>
      <c r="H48" s="2"/>
      <c r="I48" s="2"/>
      <c r="J48" s="2"/>
      <c r="K48" s="2"/>
      <c r="L48" s="2"/>
      <c r="M48" s="2"/>
      <c r="N48" s="2"/>
      <c r="O48" s="2"/>
      <c r="P48" s="2"/>
      <c r="Q48" s="2"/>
      <c r="R48" s="2"/>
      <c r="S48" s="2"/>
      <c r="T48" s="2"/>
      <c r="U48" s="2"/>
      <c r="V48" s="2"/>
      <c r="W48" s="2"/>
      <c r="X48" s="2"/>
      <c r="Y48" s="2"/>
      <c r="Z48" s="2"/>
      <c r="AA48" s="2"/>
    </row>
    <row r="49">
      <c r="A49" s="1" t="s">
        <v>42</v>
      </c>
      <c r="B49" s="1" t="s">
        <v>195</v>
      </c>
      <c r="C49" s="1" t="s">
        <v>196</v>
      </c>
      <c r="D49" s="1" t="s">
        <v>197</v>
      </c>
      <c r="E49" s="1" t="s">
        <v>198</v>
      </c>
      <c r="F49" s="2">
        <f t="shared" si="1"/>
        <v>0</v>
      </c>
      <c r="G49" s="2"/>
      <c r="H49" s="2"/>
      <c r="I49" s="2"/>
      <c r="J49" s="2"/>
      <c r="K49" s="2"/>
      <c r="L49" s="2"/>
      <c r="M49" s="2"/>
      <c r="N49" s="2"/>
      <c r="O49" s="2"/>
      <c r="P49" s="2"/>
      <c r="Q49" s="2"/>
      <c r="R49" s="2"/>
      <c r="S49" s="2"/>
      <c r="T49" s="2"/>
      <c r="U49" s="2"/>
      <c r="V49" s="2"/>
      <c r="W49" s="2"/>
      <c r="X49" s="2"/>
      <c r="Y49" s="2"/>
      <c r="Z49" s="2"/>
      <c r="AA49" s="2"/>
    </row>
    <row r="50">
      <c r="A50" s="1" t="s">
        <v>42</v>
      </c>
      <c r="B50" s="1" t="s">
        <v>199</v>
      </c>
      <c r="C50" s="1" t="s">
        <v>200</v>
      </c>
      <c r="D50" s="1" t="s">
        <v>201</v>
      </c>
      <c r="E50" s="1" t="s">
        <v>202</v>
      </c>
      <c r="F50" s="2">
        <f t="shared" si="1"/>
        <v>0</v>
      </c>
      <c r="G50" s="2"/>
      <c r="H50" s="2"/>
      <c r="I50" s="2"/>
      <c r="J50" s="2"/>
      <c r="K50" s="2"/>
      <c r="L50" s="2"/>
      <c r="M50" s="2"/>
      <c r="N50" s="2"/>
      <c r="O50" s="2"/>
      <c r="P50" s="2"/>
      <c r="Q50" s="2"/>
      <c r="R50" s="2"/>
      <c r="S50" s="2"/>
      <c r="T50" s="2"/>
      <c r="U50" s="2"/>
      <c r="V50" s="2"/>
      <c r="W50" s="2"/>
      <c r="X50" s="2"/>
      <c r="Y50" s="2"/>
      <c r="Z50" s="2"/>
      <c r="AA50" s="2"/>
    </row>
    <row r="51">
      <c r="A51" s="1" t="s">
        <v>42</v>
      </c>
      <c r="B51" s="1" t="s">
        <v>203</v>
      </c>
      <c r="C51" s="1" t="s">
        <v>204</v>
      </c>
      <c r="D51" s="1" t="s">
        <v>205</v>
      </c>
      <c r="E51" s="1" t="s">
        <v>206</v>
      </c>
      <c r="F51" s="2">
        <f t="shared" si="1"/>
        <v>0</v>
      </c>
      <c r="G51" s="2"/>
      <c r="H51" s="2"/>
      <c r="I51" s="2"/>
      <c r="J51" s="2"/>
      <c r="K51" s="2"/>
      <c r="L51" s="2"/>
      <c r="M51" s="2"/>
      <c r="N51" s="2"/>
      <c r="O51" s="2"/>
      <c r="P51" s="2"/>
      <c r="Q51" s="2"/>
      <c r="R51" s="2"/>
      <c r="S51" s="2"/>
      <c r="T51" s="2"/>
      <c r="U51" s="2"/>
      <c r="V51" s="2"/>
      <c r="W51" s="2"/>
      <c r="X51" s="2"/>
      <c r="Y51" s="2"/>
      <c r="Z51" s="2"/>
      <c r="AA51" s="2"/>
    </row>
    <row r="52">
      <c r="A52" s="1" t="s">
        <v>42</v>
      </c>
      <c r="B52" s="1" t="s">
        <v>207</v>
      </c>
      <c r="C52" s="1" t="s">
        <v>208</v>
      </c>
      <c r="D52" s="1" t="s">
        <v>209</v>
      </c>
      <c r="E52" s="1" t="s">
        <v>210</v>
      </c>
      <c r="F52" s="2">
        <f t="shared" si="1"/>
        <v>0</v>
      </c>
      <c r="G52" s="2"/>
      <c r="H52" s="2"/>
      <c r="I52" s="2"/>
      <c r="J52" s="2"/>
      <c r="K52" s="2"/>
      <c r="L52" s="2"/>
      <c r="M52" s="2"/>
      <c r="N52" s="2"/>
      <c r="O52" s="2"/>
      <c r="P52" s="2"/>
      <c r="Q52" s="2"/>
      <c r="R52" s="2"/>
      <c r="S52" s="2"/>
      <c r="T52" s="2"/>
      <c r="U52" s="2"/>
      <c r="V52" s="2"/>
      <c r="W52" s="2"/>
      <c r="X52" s="2"/>
      <c r="Y52" s="2"/>
      <c r="Z52" s="2"/>
      <c r="AA52" s="2"/>
    </row>
    <row r="53">
      <c r="A53" s="1" t="s">
        <v>42</v>
      </c>
      <c r="B53" s="1" t="s">
        <v>211</v>
      </c>
      <c r="C53" s="1" t="s">
        <v>212</v>
      </c>
      <c r="D53" s="1" t="s">
        <v>213</v>
      </c>
      <c r="E53" s="1" t="s">
        <v>214</v>
      </c>
      <c r="F53" s="2">
        <f t="shared" si="1"/>
        <v>0</v>
      </c>
      <c r="G53" s="2"/>
      <c r="H53" s="2"/>
      <c r="I53" s="2"/>
      <c r="J53" s="2"/>
      <c r="K53" s="2"/>
      <c r="L53" s="2"/>
      <c r="M53" s="2"/>
      <c r="N53" s="2"/>
      <c r="O53" s="2"/>
      <c r="P53" s="2"/>
      <c r="Q53" s="2"/>
      <c r="R53" s="2"/>
      <c r="S53" s="2"/>
      <c r="T53" s="2"/>
      <c r="U53" s="2"/>
      <c r="V53" s="2"/>
      <c r="W53" s="2"/>
      <c r="X53" s="2"/>
      <c r="Y53" s="2"/>
      <c r="Z53" s="2"/>
      <c r="AA53" s="2"/>
    </row>
    <row r="54">
      <c r="A54" s="1" t="s">
        <v>42</v>
      </c>
      <c r="B54" s="1" t="s">
        <v>215</v>
      </c>
      <c r="C54" s="1" t="s">
        <v>216</v>
      </c>
      <c r="D54" s="1" t="s">
        <v>217</v>
      </c>
      <c r="E54" s="1" t="s">
        <v>218</v>
      </c>
      <c r="F54" s="2">
        <f t="shared" si="1"/>
        <v>0</v>
      </c>
      <c r="G54" s="2"/>
      <c r="H54" s="2"/>
      <c r="I54" s="2"/>
      <c r="J54" s="2"/>
      <c r="K54" s="2"/>
      <c r="L54" s="2"/>
      <c r="M54" s="2"/>
      <c r="N54" s="2"/>
      <c r="O54" s="2"/>
      <c r="P54" s="2"/>
      <c r="Q54" s="2"/>
      <c r="R54" s="2"/>
      <c r="S54" s="2"/>
      <c r="T54" s="2"/>
      <c r="U54" s="2"/>
      <c r="V54" s="2"/>
      <c r="W54" s="2"/>
      <c r="X54" s="2"/>
      <c r="Y54" s="2"/>
      <c r="Z54" s="2"/>
      <c r="AA54" s="2"/>
    </row>
    <row r="55">
      <c r="A55" s="1" t="s">
        <v>42</v>
      </c>
      <c r="B55" s="1" t="s">
        <v>219</v>
      </c>
      <c r="C55" s="1" t="s">
        <v>220</v>
      </c>
      <c r="D55" s="1" t="s">
        <v>221</v>
      </c>
      <c r="E55" s="1" t="s">
        <v>222</v>
      </c>
      <c r="F55" s="2">
        <f t="shared" si="1"/>
        <v>0</v>
      </c>
      <c r="G55" s="2"/>
      <c r="H55" s="2"/>
      <c r="I55" s="2"/>
      <c r="J55" s="2"/>
      <c r="K55" s="2"/>
      <c r="L55" s="2"/>
      <c r="M55" s="2"/>
      <c r="N55" s="2"/>
      <c r="O55" s="2"/>
      <c r="P55" s="2"/>
      <c r="Q55" s="2"/>
      <c r="R55" s="2"/>
      <c r="S55" s="2"/>
      <c r="T55" s="2"/>
      <c r="U55" s="2"/>
      <c r="V55" s="2"/>
      <c r="W55" s="2"/>
      <c r="X55" s="2"/>
      <c r="Y55" s="2"/>
      <c r="Z55" s="2"/>
      <c r="AA55" s="2"/>
    </row>
    <row r="56">
      <c r="A56" s="1" t="s">
        <v>42</v>
      </c>
      <c r="B56" s="1" t="s">
        <v>223</v>
      </c>
      <c r="C56" s="1" t="s">
        <v>224</v>
      </c>
      <c r="D56" s="1" t="s">
        <v>225</v>
      </c>
      <c r="E56" s="1" t="s">
        <v>226</v>
      </c>
      <c r="F56" s="2">
        <f t="shared" si="1"/>
        <v>0</v>
      </c>
      <c r="G56" s="2"/>
      <c r="H56" s="2"/>
      <c r="I56" s="2"/>
      <c r="J56" s="2"/>
      <c r="K56" s="2"/>
      <c r="L56" s="2"/>
      <c r="M56" s="2"/>
      <c r="N56" s="2"/>
      <c r="O56" s="2"/>
      <c r="P56" s="2"/>
      <c r="Q56" s="2"/>
      <c r="R56" s="2"/>
      <c r="S56" s="2"/>
      <c r="T56" s="2"/>
      <c r="U56" s="2"/>
      <c r="V56" s="2"/>
      <c r="W56" s="2"/>
      <c r="X56" s="2"/>
      <c r="Y56" s="2"/>
      <c r="Z56" s="2"/>
      <c r="AA56" s="2"/>
    </row>
    <row r="57">
      <c r="A57" s="1" t="s">
        <v>42</v>
      </c>
      <c r="B57" s="1" t="s">
        <v>227</v>
      </c>
      <c r="C57" s="1" t="s">
        <v>228</v>
      </c>
      <c r="D57" s="1" t="s">
        <v>229</v>
      </c>
      <c r="E57" s="1" t="s">
        <v>230</v>
      </c>
      <c r="F57" s="2">
        <f t="shared" si="1"/>
        <v>0</v>
      </c>
      <c r="G57" s="2"/>
      <c r="H57" s="2"/>
      <c r="I57" s="2"/>
      <c r="J57" s="2"/>
      <c r="K57" s="2"/>
      <c r="L57" s="2"/>
      <c r="M57" s="2"/>
      <c r="N57" s="2"/>
      <c r="O57" s="2"/>
      <c r="P57" s="2"/>
      <c r="Q57" s="2"/>
      <c r="R57" s="2"/>
      <c r="S57" s="2"/>
      <c r="T57" s="2"/>
      <c r="U57" s="2"/>
      <c r="V57" s="2"/>
      <c r="W57" s="2"/>
      <c r="X57" s="2"/>
      <c r="Y57" s="2"/>
      <c r="Z57" s="2"/>
      <c r="AA57" s="2"/>
    </row>
    <row r="58">
      <c r="A58" s="1" t="s">
        <v>42</v>
      </c>
      <c r="B58" s="1" t="s">
        <v>231</v>
      </c>
      <c r="C58" s="1" t="s">
        <v>232</v>
      </c>
      <c r="D58" s="1" t="s">
        <v>233</v>
      </c>
      <c r="E58" s="1" t="s">
        <v>234</v>
      </c>
      <c r="F58" s="2">
        <f t="shared" si="1"/>
        <v>0</v>
      </c>
      <c r="G58" s="2"/>
      <c r="H58" s="2"/>
      <c r="I58" s="2"/>
      <c r="J58" s="2"/>
      <c r="K58" s="2"/>
      <c r="L58" s="2"/>
      <c r="M58" s="2"/>
      <c r="N58" s="2"/>
      <c r="O58" s="2"/>
      <c r="P58" s="2"/>
      <c r="Q58" s="2"/>
      <c r="R58" s="2"/>
      <c r="S58" s="2"/>
      <c r="T58" s="2"/>
      <c r="U58" s="2"/>
      <c r="V58" s="2"/>
      <c r="W58" s="2"/>
      <c r="X58" s="2"/>
      <c r="Y58" s="2"/>
      <c r="Z58" s="2"/>
      <c r="AA58" s="2"/>
    </row>
    <row r="59">
      <c r="A59" s="1" t="s">
        <v>42</v>
      </c>
      <c r="B59" s="1" t="s">
        <v>235</v>
      </c>
      <c r="C59" s="1" t="s">
        <v>236</v>
      </c>
      <c r="D59" s="1" t="s">
        <v>237</v>
      </c>
      <c r="E59" s="1" t="s">
        <v>238</v>
      </c>
      <c r="F59" s="2">
        <f t="shared" si="1"/>
        <v>0</v>
      </c>
      <c r="G59" s="2"/>
      <c r="H59" s="2"/>
      <c r="I59" s="2"/>
      <c r="J59" s="2"/>
      <c r="K59" s="2"/>
      <c r="L59" s="2"/>
      <c r="M59" s="2"/>
      <c r="N59" s="2"/>
      <c r="O59" s="2"/>
      <c r="P59" s="2"/>
      <c r="Q59" s="2"/>
      <c r="R59" s="2"/>
      <c r="S59" s="2"/>
      <c r="T59" s="2"/>
      <c r="U59" s="2"/>
      <c r="V59" s="2"/>
      <c r="W59" s="2"/>
      <c r="X59" s="2"/>
      <c r="Y59" s="2"/>
      <c r="Z59" s="2"/>
      <c r="AA59" s="2"/>
    </row>
    <row r="60">
      <c r="A60" s="1" t="s">
        <v>42</v>
      </c>
      <c r="B60" s="1" t="s">
        <v>239</v>
      </c>
      <c r="C60" s="1" t="s">
        <v>240</v>
      </c>
      <c r="D60" s="1" t="s">
        <v>241</v>
      </c>
      <c r="E60" s="1" t="s">
        <v>242</v>
      </c>
      <c r="F60" s="2">
        <f t="shared" si="1"/>
        <v>0</v>
      </c>
      <c r="G60" s="2"/>
      <c r="H60" s="2"/>
      <c r="I60" s="2"/>
      <c r="J60" s="2"/>
      <c r="K60" s="2"/>
      <c r="L60" s="2"/>
      <c r="M60" s="2"/>
      <c r="N60" s="2"/>
      <c r="O60" s="2"/>
      <c r="P60" s="2"/>
      <c r="Q60" s="2"/>
      <c r="R60" s="2"/>
      <c r="S60" s="2"/>
      <c r="T60" s="2"/>
      <c r="U60" s="2"/>
      <c r="V60" s="2"/>
      <c r="W60" s="2"/>
      <c r="X60" s="2"/>
      <c r="Y60" s="2"/>
      <c r="Z60" s="2"/>
      <c r="AA60" s="2"/>
    </row>
    <row r="61">
      <c r="A61" s="1" t="s">
        <v>42</v>
      </c>
      <c r="B61" s="1" t="s">
        <v>243</v>
      </c>
      <c r="C61" s="1" t="s">
        <v>244</v>
      </c>
      <c r="D61" s="1" t="s">
        <v>245</v>
      </c>
      <c r="E61" s="1" t="s">
        <v>246</v>
      </c>
      <c r="F61" s="2">
        <f t="shared" si="1"/>
        <v>0</v>
      </c>
      <c r="G61" s="2"/>
      <c r="H61" s="2"/>
      <c r="I61" s="2"/>
      <c r="J61" s="2"/>
      <c r="K61" s="2"/>
      <c r="L61" s="2"/>
      <c r="M61" s="2"/>
      <c r="N61" s="2"/>
      <c r="O61" s="2"/>
      <c r="P61" s="2"/>
      <c r="Q61" s="2"/>
      <c r="R61" s="2"/>
      <c r="S61" s="2"/>
      <c r="T61" s="2"/>
      <c r="U61" s="2"/>
      <c r="V61" s="2"/>
      <c r="W61" s="2"/>
      <c r="X61" s="2"/>
      <c r="Y61" s="2"/>
      <c r="Z61" s="2"/>
      <c r="AA61" s="2"/>
    </row>
    <row r="62">
      <c r="A62" s="1" t="s">
        <v>42</v>
      </c>
      <c r="B62" s="1" t="s">
        <v>247</v>
      </c>
      <c r="C62" s="1" t="s">
        <v>248</v>
      </c>
      <c r="D62" s="1" t="s">
        <v>249</v>
      </c>
      <c r="E62" s="1" t="s">
        <v>250</v>
      </c>
      <c r="F62" s="2">
        <f t="shared" si="1"/>
        <v>0</v>
      </c>
      <c r="G62" s="2"/>
      <c r="H62" s="2"/>
      <c r="I62" s="2"/>
      <c r="J62" s="2"/>
      <c r="K62" s="2"/>
      <c r="L62" s="2"/>
      <c r="M62" s="2"/>
      <c r="N62" s="2"/>
      <c r="O62" s="2"/>
      <c r="P62" s="2"/>
      <c r="Q62" s="2"/>
      <c r="R62" s="2"/>
      <c r="S62" s="2"/>
      <c r="T62" s="2"/>
      <c r="U62" s="2"/>
      <c r="V62" s="2"/>
      <c r="W62" s="2"/>
      <c r="X62" s="2"/>
      <c r="Y62" s="2"/>
      <c r="Z62" s="2"/>
      <c r="AA62" s="2"/>
    </row>
    <row r="63">
      <c r="A63" s="1" t="s">
        <v>42</v>
      </c>
      <c r="B63" s="1" t="s">
        <v>251</v>
      </c>
      <c r="C63" s="1" t="s">
        <v>252</v>
      </c>
      <c r="D63" s="1" t="s">
        <v>253</v>
      </c>
      <c r="E63" s="1" t="s">
        <v>254</v>
      </c>
      <c r="F63" s="2">
        <f t="shared" si="1"/>
        <v>0</v>
      </c>
      <c r="G63" s="2"/>
      <c r="H63" s="2"/>
      <c r="I63" s="2"/>
      <c r="J63" s="2"/>
      <c r="K63" s="2"/>
      <c r="L63" s="2"/>
      <c r="M63" s="2"/>
      <c r="N63" s="2"/>
      <c r="O63" s="2"/>
      <c r="P63" s="2"/>
      <c r="Q63" s="2"/>
      <c r="R63" s="2"/>
      <c r="S63" s="2"/>
      <c r="T63" s="2"/>
      <c r="U63" s="2"/>
      <c r="V63" s="2"/>
      <c r="W63" s="2"/>
      <c r="X63" s="2"/>
      <c r="Y63" s="2"/>
      <c r="Z63" s="2"/>
      <c r="AA63" s="2"/>
    </row>
    <row r="64">
      <c r="A64" s="1" t="s">
        <v>42</v>
      </c>
      <c r="B64" s="1" t="s">
        <v>255</v>
      </c>
      <c r="C64" s="1" t="s">
        <v>256</v>
      </c>
      <c r="D64" s="1" t="s">
        <v>257</v>
      </c>
      <c r="E64" s="1" t="s">
        <v>258</v>
      </c>
      <c r="F64" s="2">
        <f t="shared" si="1"/>
        <v>0</v>
      </c>
      <c r="G64" s="2"/>
      <c r="H64" s="2"/>
      <c r="I64" s="2"/>
      <c r="J64" s="2"/>
      <c r="K64" s="2"/>
      <c r="L64" s="2"/>
      <c r="M64" s="2"/>
      <c r="N64" s="2"/>
      <c r="O64" s="2"/>
      <c r="P64" s="2"/>
      <c r="Q64" s="2"/>
      <c r="R64" s="2"/>
      <c r="S64" s="2"/>
      <c r="T64" s="2"/>
      <c r="U64" s="2"/>
      <c r="V64" s="2"/>
      <c r="W64" s="2"/>
      <c r="X64" s="2"/>
      <c r="Y64" s="2"/>
      <c r="Z64" s="2"/>
      <c r="AA64" s="2"/>
    </row>
    <row r="65">
      <c r="A65" s="1" t="s">
        <v>42</v>
      </c>
      <c r="B65" s="1" t="s">
        <v>259</v>
      </c>
      <c r="C65" s="1" t="s">
        <v>260</v>
      </c>
      <c r="D65" s="1" t="s">
        <v>261</v>
      </c>
      <c r="E65" s="1" t="s">
        <v>262</v>
      </c>
      <c r="F65" s="2">
        <f t="shared" si="1"/>
        <v>0</v>
      </c>
      <c r="G65" s="2"/>
      <c r="H65" s="2"/>
      <c r="I65" s="2"/>
      <c r="J65" s="2"/>
      <c r="K65" s="2"/>
      <c r="L65" s="2"/>
      <c r="M65" s="2"/>
      <c r="N65" s="2"/>
      <c r="O65" s="2"/>
      <c r="P65" s="2"/>
      <c r="Q65" s="2"/>
      <c r="R65" s="2"/>
      <c r="S65" s="2"/>
      <c r="T65" s="2"/>
      <c r="U65" s="2"/>
      <c r="V65" s="2"/>
      <c r="W65" s="2"/>
      <c r="X65" s="2"/>
      <c r="Y65" s="2"/>
      <c r="Z65" s="2"/>
      <c r="AA65" s="2"/>
    </row>
    <row r="66">
      <c r="A66" s="1" t="s">
        <v>42</v>
      </c>
      <c r="B66" s="1" t="s">
        <v>263</v>
      </c>
      <c r="C66" s="1" t="s">
        <v>264</v>
      </c>
      <c r="D66" s="1" t="s">
        <v>265</v>
      </c>
      <c r="E66" s="1" t="s">
        <v>266</v>
      </c>
      <c r="F66" s="2">
        <f t="shared" si="1"/>
        <v>0</v>
      </c>
      <c r="G66" s="2"/>
      <c r="H66" s="2"/>
      <c r="I66" s="2"/>
      <c r="J66" s="2"/>
      <c r="K66" s="2"/>
      <c r="L66" s="2"/>
      <c r="M66" s="2"/>
      <c r="N66" s="2"/>
      <c r="O66" s="2"/>
      <c r="P66" s="2"/>
      <c r="Q66" s="2"/>
      <c r="R66" s="2"/>
      <c r="S66" s="2"/>
      <c r="T66" s="2"/>
      <c r="U66" s="2"/>
      <c r="V66" s="2"/>
      <c r="W66" s="2"/>
      <c r="X66" s="2"/>
      <c r="Y66" s="2"/>
      <c r="Z66" s="2"/>
      <c r="AA66" s="2"/>
    </row>
    <row r="67">
      <c r="A67" s="1" t="s">
        <v>42</v>
      </c>
      <c r="B67" s="1" t="s">
        <v>267</v>
      </c>
      <c r="C67" s="1" t="s">
        <v>268</v>
      </c>
      <c r="D67" s="1" t="s">
        <v>269</v>
      </c>
      <c r="E67" s="1" t="s">
        <v>270</v>
      </c>
      <c r="F67" s="2">
        <f t="shared" si="1"/>
        <v>0</v>
      </c>
      <c r="G67" s="2"/>
      <c r="H67" s="2"/>
      <c r="I67" s="2"/>
      <c r="J67" s="2"/>
      <c r="K67" s="2"/>
      <c r="L67" s="2"/>
      <c r="M67" s="2"/>
      <c r="N67" s="2"/>
      <c r="O67" s="2"/>
      <c r="P67" s="2"/>
      <c r="Q67" s="2"/>
      <c r="R67" s="2"/>
      <c r="S67" s="2"/>
      <c r="T67" s="2"/>
      <c r="U67" s="2"/>
      <c r="V67" s="2"/>
      <c r="W67" s="2"/>
      <c r="X67" s="2"/>
      <c r="Y67" s="2"/>
      <c r="Z67" s="2"/>
      <c r="AA67" s="2"/>
    </row>
    <row r="68">
      <c r="A68" s="1" t="s">
        <v>42</v>
      </c>
      <c r="B68" s="1" t="s">
        <v>271</v>
      </c>
      <c r="C68" s="1" t="s">
        <v>272</v>
      </c>
      <c r="D68" s="1" t="s">
        <v>273</v>
      </c>
      <c r="E68" s="1" t="s">
        <v>274</v>
      </c>
      <c r="F68" s="2">
        <f t="shared" si="1"/>
        <v>0</v>
      </c>
      <c r="G68" s="2"/>
      <c r="H68" s="2"/>
      <c r="I68" s="2"/>
      <c r="J68" s="2"/>
      <c r="K68" s="2"/>
      <c r="L68" s="2"/>
      <c r="M68" s="2"/>
      <c r="N68" s="2"/>
      <c r="O68" s="2"/>
      <c r="P68" s="2"/>
      <c r="Q68" s="2"/>
      <c r="R68" s="2"/>
      <c r="S68" s="2"/>
      <c r="T68" s="2"/>
      <c r="U68" s="2"/>
      <c r="V68" s="2"/>
      <c r="W68" s="2"/>
      <c r="X68" s="2"/>
      <c r="Y68" s="2"/>
      <c r="Z68" s="2"/>
      <c r="AA68" s="2"/>
    </row>
    <row r="69">
      <c r="A69" s="1" t="s">
        <v>42</v>
      </c>
      <c r="B69" s="1" t="s">
        <v>275</v>
      </c>
      <c r="C69" s="1" t="s">
        <v>276</v>
      </c>
      <c r="D69" s="1" t="s">
        <v>277</v>
      </c>
      <c r="E69" s="1" t="s">
        <v>278</v>
      </c>
      <c r="F69" s="2">
        <f t="shared" si="1"/>
        <v>0</v>
      </c>
      <c r="G69" s="2"/>
      <c r="H69" s="2"/>
      <c r="I69" s="2"/>
      <c r="J69" s="2"/>
      <c r="K69" s="2"/>
      <c r="L69" s="2"/>
      <c r="M69" s="2"/>
      <c r="N69" s="2"/>
      <c r="O69" s="2"/>
      <c r="P69" s="2"/>
      <c r="Q69" s="2"/>
      <c r="R69" s="2"/>
      <c r="S69" s="2"/>
      <c r="T69" s="2"/>
      <c r="U69" s="2"/>
      <c r="V69" s="2"/>
      <c r="W69" s="2"/>
      <c r="X69" s="2"/>
      <c r="Y69" s="2"/>
      <c r="Z69" s="2"/>
      <c r="AA69" s="2"/>
    </row>
    <row r="70">
      <c r="A70" s="1" t="s">
        <v>42</v>
      </c>
      <c r="B70" s="1" t="s">
        <v>279</v>
      </c>
      <c r="C70" s="1" t="s">
        <v>280</v>
      </c>
      <c r="D70" s="1" t="s">
        <v>281</v>
      </c>
      <c r="E70" s="1" t="s">
        <v>282</v>
      </c>
      <c r="F70" s="2">
        <f t="shared" si="1"/>
        <v>0</v>
      </c>
      <c r="G70" s="2"/>
      <c r="H70" s="2"/>
      <c r="I70" s="2"/>
      <c r="J70" s="2"/>
      <c r="K70" s="2"/>
      <c r="L70" s="2"/>
      <c r="M70" s="2"/>
      <c r="N70" s="2"/>
      <c r="O70" s="2"/>
      <c r="P70" s="2"/>
      <c r="Q70" s="2"/>
      <c r="R70" s="2"/>
      <c r="S70" s="2"/>
      <c r="T70" s="2"/>
      <c r="U70" s="2"/>
      <c r="V70" s="2"/>
      <c r="W70" s="2"/>
      <c r="X70" s="2"/>
      <c r="Y70" s="2"/>
      <c r="Z70" s="2"/>
      <c r="AA70" s="2"/>
    </row>
    <row r="71">
      <c r="A71" s="1" t="s">
        <v>42</v>
      </c>
      <c r="B71" s="1" t="s">
        <v>283</v>
      </c>
      <c r="C71" s="1" t="s">
        <v>284</v>
      </c>
      <c r="D71" s="1" t="s">
        <v>285</v>
      </c>
      <c r="E71" s="1" t="s">
        <v>286</v>
      </c>
      <c r="F71" s="2">
        <f t="shared" si="1"/>
        <v>0</v>
      </c>
      <c r="G71" s="2"/>
      <c r="H71" s="2"/>
      <c r="I71" s="2"/>
      <c r="J71" s="2"/>
      <c r="K71" s="2"/>
      <c r="L71" s="2"/>
      <c r="M71" s="2"/>
      <c r="N71" s="2"/>
      <c r="O71" s="2"/>
      <c r="P71" s="2"/>
      <c r="Q71" s="2"/>
      <c r="R71" s="2"/>
      <c r="S71" s="2"/>
      <c r="T71" s="2"/>
      <c r="U71" s="2"/>
      <c r="V71" s="2"/>
      <c r="W71" s="2"/>
      <c r="X71" s="2"/>
      <c r="Y71" s="2"/>
      <c r="Z71" s="2"/>
      <c r="AA71" s="2"/>
    </row>
    <row r="72">
      <c r="A72" s="1" t="s">
        <v>42</v>
      </c>
      <c r="B72" s="1" t="s">
        <v>287</v>
      </c>
      <c r="C72" s="1" t="s">
        <v>288</v>
      </c>
      <c r="D72" s="1" t="s">
        <v>289</v>
      </c>
      <c r="E72" s="1" t="s">
        <v>290</v>
      </c>
      <c r="F72" s="2">
        <f t="shared" si="1"/>
        <v>0</v>
      </c>
      <c r="G72" s="2"/>
      <c r="H72" s="2"/>
      <c r="I72" s="2"/>
      <c r="J72" s="2"/>
      <c r="K72" s="2"/>
      <c r="L72" s="2"/>
      <c r="M72" s="2"/>
      <c r="N72" s="2"/>
      <c r="O72" s="2"/>
      <c r="P72" s="2"/>
      <c r="Q72" s="2"/>
      <c r="R72" s="2"/>
      <c r="S72" s="2"/>
      <c r="T72" s="2"/>
      <c r="U72" s="2"/>
      <c r="V72" s="2"/>
      <c r="W72" s="2"/>
      <c r="X72" s="2"/>
      <c r="Y72" s="2"/>
      <c r="Z72" s="2"/>
      <c r="AA72" s="2"/>
    </row>
    <row r="73">
      <c r="A73" s="1" t="s">
        <v>42</v>
      </c>
      <c r="B73" s="1" t="s">
        <v>291</v>
      </c>
      <c r="C73" s="1" t="s">
        <v>292</v>
      </c>
      <c r="D73" s="1" t="s">
        <v>293</v>
      </c>
      <c r="E73" s="1" t="s">
        <v>294</v>
      </c>
      <c r="F73" s="2">
        <f t="shared" si="1"/>
        <v>0</v>
      </c>
      <c r="G73" s="2"/>
      <c r="H73" s="2"/>
      <c r="I73" s="2"/>
      <c r="J73" s="2"/>
      <c r="K73" s="2"/>
      <c r="L73" s="2"/>
      <c r="M73" s="2"/>
      <c r="N73" s="2"/>
      <c r="O73" s="2"/>
      <c r="P73" s="2"/>
      <c r="Q73" s="2"/>
      <c r="R73" s="2"/>
      <c r="S73" s="2"/>
      <c r="T73" s="2"/>
      <c r="U73" s="2"/>
      <c r="V73" s="2"/>
      <c r="W73" s="2"/>
      <c r="X73" s="2"/>
      <c r="Y73" s="2"/>
      <c r="Z73" s="2"/>
      <c r="AA73" s="2"/>
    </row>
    <row r="74">
      <c r="A74" s="1" t="s">
        <v>42</v>
      </c>
      <c r="B74" s="1" t="s">
        <v>295</v>
      </c>
      <c r="C74" s="1" t="s">
        <v>296</v>
      </c>
      <c r="D74" s="1" t="s">
        <v>297</v>
      </c>
      <c r="E74" s="1" t="s">
        <v>298</v>
      </c>
      <c r="F74" s="2">
        <f t="shared" si="1"/>
        <v>0</v>
      </c>
      <c r="G74" s="2"/>
      <c r="H74" s="2"/>
      <c r="I74" s="2"/>
      <c r="J74" s="2"/>
      <c r="K74" s="2"/>
      <c r="L74" s="2"/>
      <c r="M74" s="2"/>
      <c r="N74" s="2"/>
      <c r="O74" s="2"/>
      <c r="P74" s="2"/>
      <c r="Q74" s="2"/>
      <c r="R74" s="2"/>
      <c r="S74" s="2"/>
      <c r="T74" s="2"/>
      <c r="U74" s="2"/>
      <c r="V74" s="2"/>
      <c r="W74" s="2"/>
      <c r="X74" s="2"/>
      <c r="Y74" s="2"/>
      <c r="Z74" s="2"/>
      <c r="AA74" s="2"/>
    </row>
    <row r="75">
      <c r="A75" s="1" t="s">
        <v>42</v>
      </c>
      <c r="B75" s="1" t="s">
        <v>299</v>
      </c>
      <c r="C75" s="1" t="s">
        <v>300</v>
      </c>
      <c r="D75" s="1" t="s">
        <v>301</v>
      </c>
      <c r="E75" s="1" t="s">
        <v>302</v>
      </c>
      <c r="F75" s="2">
        <f t="shared" si="1"/>
        <v>0</v>
      </c>
      <c r="G75" s="2"/>
      <c r="H75" s="2"/>
      <c r="I75" s="2"/>
      <c r="J75" s="2"/>
      <c r="K75" s="2"/>
      <c r="L75" s="2"/>
      <c r="M75" s="2"/>
      <c r="N75" s="2"/>
      <c r="O75" s="2"/>
      <c r="P75" s="2"/>
      <c r="Q75" s="2"/>
      <c r="R75" s="2"/>
      <c r="S75" s="2"/>
      <c r="T75" s="2"/>
      <c r="U75" s="2"/>
      <c r="V75" s="2"/>
      <c r="W75" s="2"/>
      <c r="X75" s="2"/>
      <c r="Y75" s="2"/>
      <c r="Z75" s="2"/>
      <c r="AA75" s="2"/>
    </row>
    <row r="76">
      <c r="A76" s="1" t="s">
        <v>42</v>
      </c>
      <c r="B76" s="1" t="s">
        <v>303</v>
      </c>
      <c r="C76" s="1" t="s">
        <v>304</v>
      </c>
      <c r="D76" s="1" t="s">
        <v>305</v>
      </c>
      <c r="E76" s="1" t="s">
        <v>306</v>
      </c>
      <c r="F76" s="2">
        <f t="shared" si="1"/>
        <v>0</v>
      </c>
      <c r="G76" s="2"/>
      <c r="H76" s="2"/>
      <c r="I76" s="2"/>
      <c r="J76" s="2"/>
      <c r="K76" s="2"/>
      <c r="L76" s="2"/>
      <c r="M76" s="2"/>
      <c r="N76" s="2"/>
      <c r="O76" s="2"/>
      <c r="P76" s="2"/>
      <c r="Q76" s="2"/>
      <c r="R76" s="2"/>
      <c r="S76" s="2"/>
      <c r="T76" s="2"/>
      <c r="U76" s="2"/>
      <c r="V76" s="2"/>
      <c r="W76" s="2"/>
      <c r="X76" s="2"/>
      <c r="Y76" s="2"/>
      <c r="Z76" s="2"/>
      <c r="AA76" s="2"/>
    </row>
    <row r="77">
      <c r="A77" s="1" t="s">
        <v>42</v>
      </c>
      <c r="B77" s="1" t="s">
        <v>307</v>
      </c>
      <c r="C77" s="1" t="s">
        <v>308</v>
      </c>
      <c r="D77" s="1" t="s">
        <v>309</v>
      </c>
      <c r="E77" s="1" t="s">
        <v>310</v>
      </c>
      <c r="F77" s="2">
        <f t="shared" si="1"/>
        <v>0</v>
      </c>
      <c r="G77" s="2"/>
      <c r="H77" s="2"/>
      <c r="I77" s="2"/>
      <c r="J77" s="2"/>
      <c r="K77" s="2"/>
      <c r="L77" s="2"/>
      <c r="M77" s="2"/>
      <c r="N77" s="2"/>
      <c r="O77" s="2"/>
      <c r="P77" s="2"/>
      <c r="Q77" s="2"/>
      <c r="R77" s="2"/>
      <c r="S77" s="2"/>
      <c r="T77" s="2"/>
      <c r="U77" s="2"/>
      <c r="V77" s="2"/>
      <c r="W77" s="2"/>
      <c r="X77" s="2"/>
      <c r="Y77" s="2"/>
      <c r="Z77" s="2"/>
      <c r="AA77" s="2"/>
    </row>
    <row r="78">
      <c r="A78" s="1" t="s">
        <v>42</v>
      </c>
      <c r="B78" s="1" t="s">
        <v>311</v>
      </c>
      <c r="C78" s="1" t="s">
        <v>312</v>
      </c>
      <c r="D78" s="1" t="s">
        <v>313</v>
      </c>
      <c r="E78" s="1" t="s">
        <v>314</v>
      </c>
      <c r="F78" s="2">
        <f t="shared" si="1"/>
        <v>0</v>
      </c>
      <c r="G78" s="2"/>
      <c r="H78" s="2"/>
      <c r="I78" s="2"/>
      <c r="J78" s="2"/>
      <c r="K78" s="2"/>
      <c r="L78" s="2"/>
      <c r="M78" s="2"/>
      <c r="N78" s="2"/>
      <c r="O78" s="2"/>
      <c r="P78" s="2"/>
      <c r="Q78" s="2"/>
      <c r="R78" s="2"/>
      <c r="S78" s="2"/>
      <c r="T78" s="2"/>
      <c r="U78" s="2"/>
      <c r="V78" s="2"/>
      <c r="W78" s="2"/>
      <c r="X78" s="2"/>
      <c r="Y78" s="2"/>
      <c r="Z78" s="2"/>
      <c r="AA78" s="2"/>
    </row>
    <row r="79">
      <c r="A79" s="1" t="s">
        <v>42</v>
      </c>
      <c r="B79" s="1" t="s">
        <v>315</v>
      </c>
      <c r="C79" s="1" t="s">
        <v>316</v>
      </c>
      <c r="D79" s="1" t="s">
        <v>317</v>
      </c>
      <c r="E79" s="1" t="s">
        <v>318</v>
      </c>
      <c r="F79" s="2">
        <f t="shared" si="1"/>
        <v>0</v>
      </c>
      <c r="G79" s="2"/>
      <c r="H79" s="2"/>
      <c r="I79" s="2"/>
      <c r="J79" s="2"/>
      <c r="K79" s="2"/>
      <c r="L79" s="2"/>
      <c r="M79" s="2"/>
      <c r="N79" s="2"/>
      <c r="O79" s="2"/>
      <c r="P79" s="2"/>
      <c r="Q79" s="2"/>
      <c r="R79" s="2"/>
      <c r="S79" s="2"/>
      <c r="T79" s="2"/>
      <c r="U79" s="2"/>
      <c r="V79" s="2"/>
      <c r="W79" s="2"/>
      <c r="X79" s="2"/>
      <c r="Y79" s="2"/>
      <c r="Z79" s="2"/>
      <c r="AA79" s="2"/>
    </row>
    <row r="80">
      <c r="A80" s="1" t="s">
        <v>42</v>
      </c>
      <c r="B80" s="1" t="s">
        <v>319</v>
      </c>
      <c r="C80" s="1" t="s">
        <v>320</v>
      </c>
      <c r="D80" s="1" t="s">
        <v>321</v>
      </c>
      <c r="E80" s="1" t="s">
        <v>322</v>
      </c>
      <c r="F80" s="2">
        <f t="shared" si="1"/>
        <v>0</v>
      </c>
      <c r="G80" s="2"/>
      <c r="H80" s="2"/>
      <c r="I80" s="2"/>
      <c r="J80" s="2"/>
      <c r="K80" s="2"/>
      <c r="L80" s="2"/>
      <c r="M80" s="2"/>
      <c r="N80" s="2"/>
      <c r="O80" s="2"/>
      <c r="P80" s="2"/>
      <c r="Q80" s="2"/>
      <c r="R80" s="2"/>
      <c r="S80" s="2"/>
      <c r="T80" s="2"/>
      <c r="U80" s="2"/>
      <c r="V80" s="2"/>
      <c r="W80" s="2"/>
      <c r="X80" s="2"/>
      <c r="Y80" s="2"/>
      <c r="Z80" s="2"/>
      <c r="AA80" s="2"/>
    </row>
    <row r="81">
      <c r="A81" s="1" t="s">
        <v>42</v>
      </c>
      <c r="B81" s="1" t="s">
        <v>323</v>
      </c>
      <c r="C81" s="1" t="s">
        <v>324</v>
      </c>
      <c r="D81" s="1" t="s">
        <v>325</v>
      </c>
      <c r="E81" s="1" t="s">
        <v>326</v>
      </c>
      <c r="F81" s="2">
        <f t="shared" si="1"/>
        <v>0</v>
      </c>
      <c r="G81" s="2"/>
      <c r="H81" s="2"/>
      <c r="I81" s="2"/>
      <c r="J81" s="2"/>
      <c r="K81" s="2"/>
      <c r="L81" s="2"/>
      <c r="M81" s="2"/>
      <c r="N81" s="2"/>
      <c r="O81" s="2"/>
      <c r="P81" s="2"/>
      <c r="Q81" s="2"/>
      <c r="R81" s="2"/>
      <c r="S81" s="2"/>
      <c r="T81" s="2"/>
      <c r="U81" s="2"/>
      <c r="V81" s="2"/>
      <c r="W81" s="2"/>
      <c r="X81" s="2"/>
      <c r="Y81" s="2"/>
      <c r="Z81" s="2"/>
      <c r="AA81" s="2"/>
    </row>
    <row r="82">
      <c r="A82" s="1" t="s">
        <v>42</v>
      </c>
      <c r="B82" s="1" t="s">
        <v>327</v>
      </c>
      <c r="C82" s="1" t="s">
        <v>328</v>
      </c>
      <c r="D82" s="1" t="s">
        <v>329</v>
      </c>
      <c r="E82" s="1" t="s">
        <v>328</v>
      </c>
      <c r="F82" s="2">
        <f t="shared" si="1"/>
        <v>0</v>
      </c>
      <c r="G82" s="2"/>
      <c r="H82" s="2"/>
      <c r="I82" s="2"/>
      <c r="J82" s="2"/>
      <c r="K82" s="2"/>
      <c r="L82" s="2"/>
      <c r="M82" s="2"/>
      <c r="N82" s="2"/>
      <c r="O82" s="2"/>
      <c r="P82" s="2"/>
      <c r="Q82" s="2"/>
      <c r="R82" s="2"/>
      <c r="S82" s="2"/>
      <c r="T82" s="2"/>
      <c r="U82" s="2"/>
      <c r="V82" s="2"/>
      <c r="W82" s="2"/>
      <c r="X82" s="2"/>
      <c r="Y82" s="2"/>
      <c r="Z82" s="2"/>
      <c r="AA82" s="2"/>
    </row>
    <row r="83">
      <c r="A83" s="1" t="s">
        <v>42</v>
      </c>
      <c r="B83" s="1" t="s">
        <v>330</v>
      </c>
      <c r="C83" s="1" t="s">
        <v>331</v>
      </c>
      <c r="D83" s="1" t="s">
        <v>332</v>
      </c>
      <c r="E83" s="1" t="s">
        <v>333</v>
      </c>
      <c r="F83" s="2">
        <f t="shared" si="1"/>
        <v>0</v>
      </c>
      <c r="G83" s="2"/>
      <c r="H83" s="2"/>
      <c r="I83" s="2"/>
      <c r="J83" s="2"/>
      <c r="K83" s="2"/>
      <c r="L83" s="2"/>
      <c r="M83" s="2"/>
      <c r="N83" s="2"/>
      <c r="O83" s="2"/>
      <c r="P83" s="2"/>
      <c r="Q83" s="2"/>
      <c r="R83" s="2"/>
      <c r="S83" s="2"/>
      <c r="T83" s="2"/>
      <c r="U83" s="2"/>
      <c r="V83" s="2"/>
      <c r="W83" s="2"/>
      <c r="X83" s="2"/>
      <c r="Y83" s="2"/>
      <c r="Z83" s="2"/>
      <c r="AA83" s="2"/>
    </row>
    <row r="84">
      <c r="A84" s="1" t="s">
        <v>42</v>
      </c>
      <c r="B84" s="1" t="s">
        <v>334</v>
      </c>
      <c r="C84" s="1" t="s">
        <v>335</v>
      </c>
      <c r="D84" s="1" t="s">
        <v>336</v>
      </c>
      <c r="E84" s="1" t="s">
        <v>337</v>
      </c>
      <c r="F84" s="2">
        <f t="shared" si="1"/>
        <v>0</v>
      </c>
      <c r="G84" s="2"/>
      <c r="H84" s="2"/>
      <c r="I84" s="2"/>
      <c r="J84" s="2"/>
      <c r="K84" s="2"/>
      <c r="L84" s="2"/>
      <c r="M84" s="2"/>
      <c r="N84" s="2"/>
      <c r="O84" s="2"/>
      <c r="P84" s="2"/>
      <c r="Q84" s="2"/>
      <c r="R84" s="2"/>
      <c r="S84" s="2"/>
      <c r="T84" s="2"/>
      <c r="U84" s="2"/>
      <c r="V84" s="2"/>
      <c r="W84" s="2"/>
      <c r="X84" s="2"/>
      <c r="Y84" s="2"/>
      <c r="Z84" s="2"/>
      <c r="AA84" s="2"/>
    </row>
    <row r="85">
      <c r="A85" s="1" t="s">
        <v>42</v>
      </c>
      <c r="B85" s="1" t="s">
        <v>338</v>
      </c>
      <c r="C85" s="1" t="s">
        <v>339</v>
      </c>
      <c r="D85" s="1" t="s">
        <v>340</v>
      </c>
      <c r="E85" s="1" t="s">
        <v>341</v>
      </c>
      <c r="F85" s="2">
        <f t="shared" si="1"/>
        <v>0</v>
      </c>
      <c r="G85" s="2"/>
      <c r="H85" s="2"/>
      <c r="I85" s="2"/>
      <c r="J85" s="2"/>
      <c r="K85" s="2"/>
      <c r="L85" s="2"/>
      <c r="M85" s="2"/>
      <c r="N85" s="2"/>
      <c r="O85" s="2"/>
      <c r="P85" s="2"/>
      <c r="Q85" s="2"/>
      <c r="R85" s="2"/>
      <c r="S85" s="2"/>
      <c r="T85" s="2"/>
      <c r="U85" s="2"/>
      <c r="V85" s="2"/>
      <c r="W85" s="2"/>
      <c r="X85" s="2"/>
      <c r="Y85" s="2"/>
      <c r="Z85" s="2"/>
      <c r="AA85" s="2"/>
    </row>
    <row r="86">
      <c r="A86" s="1" t="s">
        <v>42</v>
      </c>
      <c r="B86" s="1" t="s">
        <v>342</v>
      </c>
      <c r="C86" s="1" t="s">
        <v>343</v>
      </c>
      <c r="D86" s="1" t="s">
        <v>344</v>
      </c>
      <c r="E86" s="1" t="s">
        <v>345</v>
      </c>
      <c r="F86" s="2">
        <f t="shared" si="1"/>
        <v>0</v>
      </c>
      <c r="G86" s="2"/>
      <c r="H86" s="2"/>
      <c r="I86" s="2"/>
      <c r="J86" s="2"/>
      <c r="K86" s="2"/>
      <c r="L86" s="2"/>
      <c r="M86" s="2"/>
      <c r="N86" s="2"/>
      <c r="O86" s="2"/>
      <c r="P86" s="2"/>
      <c r="Q86" s="2"/>
      <c r="R86" s="2"/>
      <c r="S86" s="2"/>
      <c r="T86" s="2"/>
      <c r="U86" s="2"/>
      <c r="V86" s="2"/>
      <c r="W86" s="2"/>
      <c r="X86" s="2"/>
      <c r="Y86" s="2"/>
      <c r="Z86" s="2"/>
      <c r="AA86" s="2"/>
    </row>
    <row r="87">
      <c r="A87" s="1" t="s">
        <v>42</v>
      </c>
      <c r="B87" s="1" t="s">
        <v>346</v>
      </c>
      <c r="C87" s="1" t="s">
        <v>347</v>
      </c>
      <c r="D87" s="1" t="s">
        <v>348</v>
      </c>
      <c r="E87" s="1" t="s">
        <v>349</v>
      </c>
      <c r="F87" s="2">
        <f t="shared" si="1"/>
        <v>0</v>
      </c>
      <c r="G87" s="2"/>
      <c r="H87" s="2"/>
      <c r="I87" s="2"/>
      <c r="J87" s="2"/>
      <c r="K87" s="2"/>
      <c r="L87" s="2"/>
      <c r="M87" s="2"/>
      <c r="N87" s="2"/>
      <c r="O87" s="2"/>
      <c r="P87" s="2"/>
      <c r="Q87" s="2"/>
      <c r="R87" s="2"/>
      <c r="S87" s="2"/>
      <c r="T87" s="2"/>
      <c r="U87" s="2"/>
      <c r="V87" s="2"/>
      <c r="W87" s="2"/>
      <c r="X87" s="2"/>
      <c r="Y87" s="2"/>
      <c r="Z87" s="2"/>
      <c r="AA87" s="2"/>
    </row>
    <row r="88">
      <c r="A88" s="1" t="s">
        <v>42</v>
      </c>
      <c r="B88" s="1" t="s">
        <v>350</v>
      </c>
      <c r="C88" s="1" t="s">
        <v>351</v>
      </c>
      <c r="D88" s="1" t="s">
        <v>352</v>
      </c>
      <c r="E88" s="1" t="s">
        <v>353</v>
      </c>
      <c r="F88" s="2">
        <f t="shared" si="1"/>
        <v>0</v>
      </c>
      <c r="G88" s="2"/>
      <c r="H88" s="2"/>
      <c r="I88" s="2"/>
      <c r="J88" s="2"/>
      <c r="K88" s="2"/>
      <c r="L88" s="2"/>
      <c r="M88" s="2"/>
      <c r="N88" s="2"/>
      <c r="O88" s="2"/>
      <c r="P88" s="2"/>
      <c r="Q88" s="2"/>
      <c r="R88" s="2"/>
      <c r="S88" s="2"/>
      <c r="T88" s="2"/>
      <c r="U88" s="2"/>
      <c r="V88" s="2"/>
      <c r="W88" s="2"/>
      <c r="X88" s="2"/>
      <c r="Y88" s="2"/>
      <c r="Z88" s="2"/>
      <c r="AA88" s="2"/>
    </row>
    <row r="89">
      <c r="A89" s="1" t="s">
        <v>42</v>
      </c>
      <c r="B89" s="1" t="s">
        <v>354</v>
      </c>
      <c r="C89" s="1" t="s">
        <v>355</v>
      </c>
      <c r="D89" s="1" t="s">
        <v>356</v>
      </c>
      <c r="E89" s="1" t="s">
        <v>357</v>
      </c>
      <c r="F89" s="2">
        <f t="shared" si="1"/>
        <v>0</v>
      </c>
      <c r="G89" s="2"/>
      <c r="H89" s="2"/>
      <c r="I89" s="2"/>
      <c r="J89" s="2"/>
      <c r="K89" s="2"/>
      <c r="L89" s="2"/>
      <c r="M89" s="2"/>
      <c r="N89" s="2"/>
      <c r="O89" s="2"/>
      <c r="P89" s="2"/>
      <c r="Q89" s="2"/>
      <c r="R89" s="2"/>
      <c r="S89" s="2"/>
      <c r="T89" s="2"/>
      <c r="U89" s="2"/>
      <c r="V89" s="2"/>
      <c r="W89" s="2"/>
      <c r="X89" s="2"/>
      <c r="Y89" s="2"/>
      <c r="Z89" s="2"/>
      <c r="AA89" s="2"/>
    </row>
    <row r="90">
      <c r="A90" s="1" t="s">
        <v>42</v>
      </c>
      <c r="B90" s="1" t="s">
        <v>358</v>
      </c>
      <c r="C90" s="1" t="s">
        <v>359</v>
      </c>
      <c r="D90" s="1" t="s">
        <v>360</v>
      </c>
      <c r="E90" s="1" t="s">
        <v>361</v>
      </c>
      <c r="F90" s="2">
        <f t="shared" si="1"/>
        <v>0</v>
      </c>
      <c r="G90" s="2"/>
      <c r="H90" s="2"/>
      <c r="I90" s="2"/>
      <c r="J90" s="2"/>
      <c r="K90" s="2"/>
      <c r="L90" s="2"/>
      <c r="M90" s="2"/>
      <c r="N90" s="2"/>
      <c r="O90" s="2"/>
      <c r="P90" s="2"/>
      <c r="Q90" s="2"/>
      <c r="R90" s="2"/>
      <c r="S90" s="2"/>
      <c r="T90" s="2"/>
      <c r="U90" s="2"/>
      <c r="V90" s="2"/>
      <c r="W90" s="2"/>
      <c r="X90" s="2"/>
      <c r="Y90" s="2"/>
      <c r="Z90" s="2"/>
      <c r="AA90" s="2"/>
    </row>
    <row r="91">
      <c r="A91" s="1" t="s">
        <v>42</v>
      </c>
      <c r="B91" s="1" t="s">
        <v>362</v>
      </c>
      <c r="C91" s="1" t="s">
        <v>363</v>
      </c>
      <c r="D91" s="1" t="s">
        <v>364</v>
      </c>
      <c r="E91" s="1" t="s">
        <v>365</v>
      </c>
      <c r="F91" s="2">
        <f t="shared" si="1"/>
        <v>0</v>
      </c>
      <c r="G91" s="2"/>
      <c r="H91" s="2"/>
      <c r="I91" s="2"/>
      <c r="J91" s="2"/>
      <c r="K91" s="2"/>
      <c r="L91" s="2"/>
      <c r="M91" s="2"/>
      <c r="N91" s="2"/>
      <c r="O91" s="2"/>
      <c r="P91" s="2"/>
      <c r="Q91" s="2"/>
      <c r="R91" s="2"/>
      <c r="S91" s="2"/>
      <c r="T91" s="2"/>
      <c r="U91" s="2"/>
      <c r="V91" s="2"/>
      <c r="W91" s="2"/>
      <c r="X91" s="2"/>
      <c r="Y91" s="2"/>
      <c r="Z91" s="2"/>
      <c r="AA91" s="2"/>
    </row>
    <row r="92">
      <c r="A92" s="1" t="s">
        <v>42</v>
      </c>
      <c r="B92" s="1" t="s">
        <v>366</v>
      </c>
      <c r="C92" s="1" t="s">
        <v>367</v>
      </c>
      <c r="D92" s="1" t="s">
        <v>368</v>
      </c>
      <c r="E92" s="1" t="s">
        <v>369</v>
      </c>
      <c r="F92" s="2">
        <f t="shared" si="1"/>
        <v>0</v>
      </c>
      <c r="G92" s="2"/>
      <c r="H92" s="2"/>
      <c r="I92" s="2"/>
      <c r="J92" s="2"/>
      <c r="K92" s="2"/>
      <c r="L92" s="2"/>
      <c r="M92" s="2"/>
      <c r="N92" s="2"/>
      <c r="O92" s="2"/>
      <c r="P92" s="2"/>
      <c r="Q92" s="2"/>
      <c r="R92" s="2"/>
      <c r="S92" s="2"/>
      <c r="T92" s="2"/>
      <c r="U92" s="2"/>
      <c r="V92" s="2"/>
      <c r="W92" s="2"/>
      <c r="X92" s="2"/>
      <c r="Y92" s="2"/>
      <c r="Z92" s="2"/>
      <c r="AA92" s="2"/>
    </row>
    <row r="93">
      <c r="A93" s="1" t="s">
        <v>42</v>
      </c>
      <c r="B93" s="1" t="s">
        <v>370</v>
      </c>
      <c r="C93" s="1" t="s">
        <v>371</v>
      </c>
      <c r="D93" s="1" t="s">
        <v>372</v>
      </c>
      <c r="E93" s="1" t="s">
        <v>373</v>
      </c>
      <c r="F93" s="2">
        <f t="shared" si="1"/>
        <v>0</v>
      </c>
      <c r="G93" s="2"/>
      <c r="H93" s="2"/>
      <c r="I93" s="2"/>
      <c r="J93" s="2"/>
      <c r="K93" s="2"/>
      <c r="L93" s="2"/>
      <c r="M93" s="2"/>
      <c r="N93" s="2"/>
      <c r="O93" s="2"/>
      <c r="P93" s="2"/>
      <c r="Q93" s="2"/>
      <c r="R93" s="2"/>
      <c r="S93" s="2"/>
      <c r="T93" s="2"/>
      <c r="U93" s="2"/>
      <c r="V93" s="2"/>
      <c r="W93" s="2"/>
      <c r="X93" s="2"/>
      <c r="Y93" s="2"/>
      <c r="Z93" s="2"/>
      <c r="AA93" s="2"/>
    </row>
    <row r="94">
      <c r="A94" s="1" t="s">
        <v>42</v>
      </c>
      <c r="B94" s="1" t="s">
        <v>374</v>
      </c>
      <c r="C94" s="1" t="s">
        <v>375</v>
      </c>
      <c r="D94" s="1" t="s">
        <v>376</v>
      </c>
      <c r="E94" s="1" t="s">
        <v>377</v>
      </c>
      <c r="F94" s="2">
        <f t="shared" si="1"/>
        <v>0</v>
      </c>
      <c r="G94" s="2"/>
      <c r="H94" s="2"/>
      <c r="I94" s="2"/>
      <c r="J94" s="2"/>
      <c r="K94" s="2"/>
      <c r="L94" s="2"/>
      <c r="M94" s="2"/>
      <c r="N94" s="2"/>
      <c r="O94" s="2"/>
      <c r="P94" s="2"/>
      <c r="Q94" s="2"/>
      <c r="R94" s="2"/>
      <c r="S94" s="2"/>
      <c r="T94" s="2"/>
      <c r="U94" s="2"/>
      <c r="V94" s="2"/>
      <c r="W94" s="2"/>
      <c r="X94" s="2"/>
      <c r="Y94" s="2"/>
      <c r="Z94" s="2"/>
      <c r="AA94" s="2"/>
    </row>
    <row r="95">
      <c r="A95" s="1" t="s">
        <v>42</v>
      </c>
      <c r="B95" s="1" t="s">
        <v>378</v>
      </c>
      <c r="C95" s="1" t="s">
        <v>379</v>
      </c>
      <c r="D95" s="1" t="s">
        <v>380</v>
      </c>
      <c r="E95" s="1" t="s">
        <v>381</v>
      </c>
      <c r="F95" s="2">
        <f t="shared" si="1"/>
        <v>0</v>
      </c>
      <c r="G95" s="2"/>
      <c r="H95" s="2"/>
      <c r="I95" s="2"/>
      <c r="J95" s="2"/>
      <c r="K95" s="2"/>
      <c r="L95" s="2"/>
      <c r="M95" s="2"/>
      <c r="N95" s="2"/>
      <c r="O95" s="2"/>
      <c r="P95" s="2"/>
      <c r="Q95" s="2"/>
      <c r="R95" s="2"/>
      <c r="S95" s="2"/>
      <c r="T95" s="2"/>
      <c r="U95" s="2"/>
      <c r="V95" s="2"/>
      <c r="W95" s="2"/>
      <c r="X95" s="2"/>
      <c r="Y95" s="2"/>
      <c r="Z95" s="2"/>
      <c r="AA95" s="2"/>
    </row>
    <row r="96">
      <c r="A96" s="1" t="s">
        <v>42</v>
      </c>
      <c r="B96" s="1" t="s">
        <v>382</v>
      </c>
      <c r="C96" s="1" t="s">
        <v>383</v>
      </c>
      <c r="D96" s="1" t="s">
        <v>384</v>
      </c>
      <c r="E96" s="1" t="s">
        <v>385</v>
      </c>
      <c r="F96" s="2">
        <f t="shared" si="1"/>
        <v>0</v>
      </c>
      <c r="G96" s="2"/>
      <c r="H96" s="2"/>
      <c r="I96" s="2"/>
      <c r="J96" s="2"/>
      <c r="K96" s="2"/>
      <c r="L96" s="2"/>
      <c r="M96" s="2"/>
      <c r="N96" s="2"/>
      <c r="O96" s="2"/>
      <c r="P96" s="2"/>
      <c r="Q96" s="2"/>
      <c r="R96" s="2"/>
      <c r="S96" s="2"/>
      <c r="T96" s="2"/>
      <c r="U96" s="2"/>
      <c r="V96" s="2"/>
      <c r="W96" s="2"/>
      <c r="X96" s="2"/>
      <c r="Y96" s="2"/>
      <c r="Z96" s="2"/>
      <c r="AA96" s="2"/>
    </row>
    <row r="97">
      <c r="A97" s="1" t="s">
        <v>42</v>
      </c>
      <c r="B97" s="1" t="s">
        <v>386</v>
      </c>
      <c r="C97" s="1" t="s">
        <v>387</v>
      </c>
      <c r="D97" s="1" t="s">
        <v>388</v>
      </c>
      <c r="E97" s="1" t="s">
        <v>389</v>
      </c>
      <c r="F97" s="2">
        <f t="shared" si="1"/>
        <v>0</v>
      </c>
      <c r="G97" s="2"/>
      <c r="H97" s="2"/>
      <c r="I97" s="2"/>
      <c r="J97" s="2"/>
      <c r="K97" s="2"/>
      <c r="L97" s="2"/>
      <c r="M97" s="2"/>
      <c r="N97" s="2"/>
      <c r="O97" s="2"/>
      <c r="P97" s="2"/>
      <c r="Q97" s="2"/>
      <c r="R97" s="2"/>
      <c r="S97" s="2"/>
      <c r="T97" s="2"/>
      <c r="U97" s="2"/>
      <c r="V97" s="2"/>
      <c r="W97" s="2"/>
      <c r="X97" s="2"/>
      <c r="Y97" s="2"/>
      <c r="Z97" s="2"/>
      <c r="AA97" s="2"/>
    </row>
    <row r="98">
      <c r="A98" s="1" t="s">
        <v>42</v>
      </c>
      <c r="B98" s="1" t="s">
        <v>390</v>
      </c>
      <c r="C98" s="1" t="s">
        <v>391</v>
      </c>
      <c r="D98" s="1" t="s">
        <v>392</v>
      </c>
      <c r="E98" s="1" t="s">
        <v>393</v>
      </c>
      <c r="F98" s="2">
        <f t="shared" si="1"/>
        <v>0</v>
      </c>
      <c r="G98" s="2"/>
      <c r="H98" s="2"/>
      <c r="I98" s="2"/>
      <c r="J98" s="2"/>
      <c r="K98" s="2"/>
      <c r="L98" s="2"/>
      <c r="M98" s="2"/>
      <c r="N98" s="2"/>
      <c r="O98" s="2"/>
      <c r="P98" s="2"/>
      <c r="Q98" s="2"/>
      <c r="R98" s="2"/>
      <c r="S98" s="2"/>
      <c r="T98" s="2"/>
      <c r="U98" s="2"/>
      <c r="V98" s="2"/>
      <c r="W98" s="2"/>
      <c r="X98" s="2"/>
      <c r="Y98" s="2"/>
      <c r="Z98" s="2"/>
      <c r="AA98" s="2"/>
    </row>
    <row r="99">
      <c r="A99" s="1" t="s">
        <v>42</v>
      </c>
      <c r="B99" s="1" t="s">
        <v>394</v>
      </c>
      <c r="C99" s="1" t="s">
        <v>395</v>
      </c>
      <c r="D99" s="1" t="s">
        <v>396</v>
      </c>
      <c r="E99" s="1" t="s">
        <v>397</v>
      </c>
      <c r="F99" s="2">
        <f t="shared" si="1"/>
        <v>0</v>
      </c>
      <c r="G99" s="2"/>
      <c r="H99" s="2"/>
      <c r="I99" s="2"/>
      <c r="J99" s="2"/>
      <c r="K99" s="2"/>
      <c r="L99" s="2"/>
      <c r="M99" s="2"/>
      <c r="N99" s="2"/>
      <c r="O99" s="2"/>
      <c r="P99" s="2"/>
      <c r="Q99" s="2"/>
      <c r="R99" s="2"/>
      <c r="S99" s="2"/>
      <c r="T99" s="2"/>
      <c r="U99" s="2"/>
      <c r="V99" s="2"/>
      <c r="W99" s="2"/>
      <c r="X99" s="2"/>
      <c r="Y99" s="2"/>
      <c r="Z99" s="2"/>
      <c r="AA99" s="2"/>
    </row>
    <row r="100">
      <c r="A100" s="1" t="s">
        <v>42</v>
      </c>
      <c r="B100" s="1" t="s">
        <v>398</v>
      </c>
      <c r="C100" s="1" t="s">
        <v>399</v>
      </c>
      <c r="D100" s="1" t="s">
        <v>400</v>
      </c>
      <c r="E100" s="1" t="s">
        <v>401</v>
      </c>
      <c r="F100" s="2">
        <f t="shared" si="1"/>
        <v>0</v>
      </c>
      <c r="G100" s="2"/>
      <c r="H100" s="2"/>
      <c r="I100" s="2"/>
      <c r="J100" s="2"/>
      <c r="K100" s="2"/>
      <c r="L100" s="2"/>
      <c r="M100" s="2"/>
      <c r="N100" s="2"/>
      <c r="O100" s="2"/>
      <c r="P100" s="2"/>
      <c r="Q100" s="2"/>
      <c r="R100" s="2"/>
      <c r="S100" s="2"/>
      <c r="T100" s="2"/>
      <c r="U100" s="2"/>
      <c r="V100" s="2"/>
      <c r="W100" s="2"/>
      <c r="X100" s="2"/>
      <c r="Y100" s="2"/>
      <c r="Z100" s="2"/>
      <c r="AA100" s="2"/>
    </row>
    <row r="101">
      <c r="A101" s="1" t="s">
        <v>42</v>
      </c>
      <c r="B101" s="1" t="s">
        <v>402</v>
      </c>
      <c r="C101" s="1" t="s">
        <v>403</v>
      </c>
      <c r="D101" s="1" t="s">
        <v>404</v>
      </c>
      <c r="E101" s="1" t="s">
        <v>405</v>
      </c>
      <c r="F101" s="2">
        <f t="shared" si="1"/>
        <v>0</v>
      </c>
      <c r="G101" s="2"/>
      <c r="H101" s="2"/>
      <c r="I101" s="2"/>
      <c r="J101" s="2"/>
      <c r="K101" s="2"/>
      <c r="L101" s="2"/>
      <c r="M101" s="2"/>
      <c r="N101" s="2"/>
      <c r="O101" s="2"/>
      <c r="P101" s="2"/>
      <c r="Q101" s="2"/>
      <c r="R101" s="2"/>
      <c r="S101" s="2"/>
      <c r="T101" s="2"/>
      <c r="U101" s="2"/>
      <c r="V101" s="2"/>
      <c r="W101" s="2"/>
      <c r="X101" s="2"/>
      <c r="Y101" s="2"/>
      <c r="Z101" s="2"/>
      <c r="AA101" s="2"/>
    </row>
    <row r="102">
      <c r="A102" s="1" t="s">
        <v>42</v>
      </c>
      <c r="B102" s="1" t="s">
        <v>406</v>
      </c>
      <c r="C102" s="1" t="s">
        <v>407</v>
      </c>
      <c r="D102" s="1" t="s">
        <v>408</v>
      </c>
      <c r="E102" s="1" t="s">
        <v>409</v>
      </c>
      <c r="F102" s="2">
        <f t="shared" si="1"/>
        <v>0</v>
      </c>
      <c r="G102" s="2"/>
      <c r="H102" s="2"/>
      <c r="I102" s="2"/>
      <c r="J102" s="2"/>
      <c r="K102" s="2"/>
      <c r="L102" s="2"/>
      <c r="M102" s="2"/>
      <c r="N102" s="2"/>
      <c r="O102" s="2"/>
      <c r="P102" s="2"/>
      <c r="Q102" s="2"/>
      <c r="R102" s="2"/>
      <c r="S102" s="2"/>
      <c r="T102" s="2"/>
      <c r="U102" s="2"/>
      <c r="V102" s="2"/>
      <c r="W102" s="2"/>
      <c r="X102" s="2"/>
      <c r="Y102" s="2"/>
      <c r="Z102" s="2"/>
      <c r="AA102" s="2"/>
    </row>
    <row r="103">
      <c r="A103" s="1" t="s">
        <v>42</v>
      </c>
      <c r="B103" s="1" t="s">
        <v>410</v>
      </c>
      <c r="C103" s="1" t="s">
        <v>411</v>
      </c>
      <c r="D103" s="1" t="s">
        <v>412</v>
      </c>
      <c r="E103" s="1" t="s">
        <v>413</v>
      </c>
      <c r="F103" s="2">
        <f t="shared" si="1"/>
        <v>0</v>
      </c>
      <c r="G103" s="2"/>
      <c r="H103" s="2"/>
      <c r="I103" s="2"/>
      <c r="J103" s="2"/>
      <c r="K103" s="2"/>
      <c r="L103" s="2"/>
      <c r="M103" s="2"/>
      <c r="N103" s="2"/>
      <c r="O103" s="2"/>
      <c r="P103" s="2"/>
      <c r="Q103" s="2"/>
      <c r="R103" s="2"/>
      <c r="S103" s="2"/>
      <c r="T103" s="2"/>
      <c r="U103" s="2"/>
      <c r="V103" s="2"/>
      <c r="W103" s="2"/>
      <c r="X103" s="2"/>
      <c r="Y103" s="2"/>
      <c r="Z103" s="2"/>
      <c r="AA103" s="2"/>
    </row>
    <row r="104">
      <c r="A104" s="1" t="s">
        <v>42</v>
      </c>
      <c r="B104" s="1" t="s">
        <v>414</v>
      </c>
      <c r="C104" s="1" t="s">
        <v>415</v>
      </c>
      <c r="D104" s="1" t="s">
        <v>416</v>
      </c>
      <c r="E104" s="1" t="s">
        <v>417</v>
      </c>
      <c r="F104" s="2">
        <f t="shared" si="1"/>
        <v>0</v>
      </c>
      <c r="G104" s="2"/>
      <c r="H104" s="2"/>
      <c r="I104" s="2"/>
      <c r="J104" s="2"/>
      <c r="K104" s="2"/>
      <c r="L104" s="2"/>
      <c r="M104" s="2"/>
      <c r="N104" s="2"/>
      <c r="O104" s="2"/>
      <c r="P104" s="2"/>
      <c r="Q104" s="2"/>
      <c r="R104" s="2"/>
      <c r="S104" s="2"/>
      <c r="T104" s="2"/>
      <c r="U104" s="2"/>
      <c r="V104" s="2"/>
      <c r="W104" s="2"/>
      <c r="X104" s="2"/>
      <c r="Y104" s="2"/>
      <c r="Z104" s="2"/>
      <c r="AA104" s="2"/>
    </row>
    <row r="105">
      <c r="A105" s="1" t="s">
        <v>42</v>
      </c>
      <c r="B105" s="1" t="s">
        <v>418</v>
      </c>
      <c r="C105" s="1" t="s">
        <v>419</v>
      </c>
      <c r="D105" s="1" t="s">
        <v>420</v>
      </c>
      <c r="E105" s="1" t="s">
        <v>421</v>
      </c>
      <c r="F105" s="2">
        <f t="shared" si="1"/>
        <v>0</v>
      </c>
      <c r="G105" s="2"/>
      <c r="H105" s="2"/>
      <c r="I105" s="2"/>
      <c r="J105" s="2"/>
      <c r="K105" s="2"/>
      <c r="L105" s="2"/>
      <c r="M105" s="2"/>
      <c r="N105" s="2"/>
      <c r="O105" s="2"/>
      <c r="P105" s="2"/>
      <c r="Q105" s="2"/>
      <c r="R105" s="2"/>
      <c r="S105" s="2"/>
      <c r="T105" s="2"/>
      <c r="U105" s="2"/>
      <c r="V105" s="2"/>
      <c r="W105" s="2"/>
      <c r="X105" s="2"/>
      <c r="Y105" s="2"/>
      <c r="Z105" s="2"/>
      <c r="AA105" s="2"/>
    </row>
    <row r="106">
      <c r="A106" s="1" t="s">
        <v>42</v>
      </c>
      <c r="B106" s="1" t="s">
        <v>422</v>
      </c>
      <c r="C106" s="1" t="s">
        <v>423</v>
      </c>
      <c r="D106" s="1" t="s">
        <v>424</v>
      </c>
      <c r="E106" s="1" t="s">
        <v>425</v>
      </c>
      <c r="F106" s="2">
        <f t="shared" si="1"/>
        <v>0</v>
      </c>
      <c r="G106" s="2"/>
      <c r="H106" s="2"/>
      <c r="I106" s="2"/>
      <c r="J106" s="2"/>
      <c r="K106" s="2"/>
      <c r="L106" s="2"/>
      <c r="M106" s="2"/>
      <c r="N106" s="2"/>
      <c r="O106" s="2"/>
      <c r="P106" s="2"/>
      <c r="Q106" s="2"/>
      <c r="R106" s="2"/>
      <c r="S106" s="2"/>
      <c r="T106" s="2"/>
      <c r="U106" s="2"/>
      <c r="V106" s="2"/>
      <c r="W106" s="2"/>
      <c r="X106" s="2"/>
      <c r="Y106" s="2"/>
      <c r="Z106" s="2"/>
      <c r="AA106" s="2"/>
    </row>
    <row r="107">
      <c r="A107" s="1" t="s">
        <v>42</v>
      </c>
      <c r="B107" s="1" t="s">
        <v>426</v>
      </c>
      <c r="C107" s="1" t="s">
        <v>427</v>
      </c>
      <c r="D107" s="1" t="s">
        <v>428</v>
      </c>
      <c r="E107" s="1" t="s">
        <v>429</v>
      </c>
      <c r="F107" s="2">
        <f t="shared" si="1"/>
        <v>0</v>
      </c>
      <c r="G107" s="2"/>
      <c r="H107" s="2"/>
      <c r="I107" s="2"/>
      <c r="J107" s="2"/>
      <c r="K107" s="2"/>
      <c r="L107" s="2"/>
      <c r="M107" s="2"/>
      <c r="N107" s="2"/>
      <c r="O107" s="2"/>
      <c r="P107" s="2"/>
      <c r="Q107" s="2"/>
      <c r="R107" s="2"/>
      <c r="S107" s="2"/>
      <c r="T107" s="2"/>
      <c r="U107" s="2"/>
      <c r="V107" s="2"/>
      <c r="W107" s="2"/>
      <c r="X107" s="2"/>
      <c r="Y107" s="2"/>
      <c r="Z107" s="2"/>
      <c r="AA107" s="2"/>
    </row>
    <row r="108">
      <c r="A108" s="1" t="s">
        <v>42</v>
      </c>
      <c r="B108" s="1" t="s">
        <v>430</v>
      </c>
      <c r="C108" s="1" t="s">
        <v>431</v>
      </c>
      <c r="D108" s="1" t="s">
        <v>432</v>
      </c>
      <c r="E108" s="1" t="s">
        <v>433</v>
      </c>
      <c r="F108" s="2">
        <f t="shared" si="1"/>
        <v>0</v>
      </c>
      <c r="G108" s="2"/>
      <c r="H108" s="2"/>
      <c r="I108" s="2"/>
      <c r="J108" s="2"/>
      <c r="K108" s="2"/>
      <c r="L108" s="2"/>
      <c r="M108" s="2"/>
      <c r="N108" s="2"/>
      <c r="O108" s="2"/>
      <c r="P108" s="2"/>
      <c r="Q108" s="2"/>
      <c r="R108" s="2"/>
      <c r="S108" s="2"/>
      <c r="T108" s="2"/>
      <c r="U108" s="2"/>
      <c r="V108" s="2"/>
      <c r="W108" s="2"/>
      <c r="X108" s="2"/>
      <c r="Y108" s="2"/>
      <c r="Z108" s="2"/>
      <c r="AA108" s="2"/>
    </row>
    <row r="109">
      <c r="A109" s="1" t="s">
        <v>5</v>
      </c>
      <c r="B109" s="1" t="s">
        <v>434</v>
      </c>
      <c r="C109" s="1" t="s">
        <v>435</v>
      </c>
      <c r="D109" s="1" t="s">
        <v>436</v>
      </c>
      <c r="E109" s="1" t="s">
        <v>437</v>
      </c>
      <c r="F109" s="2">
        <f t="shared" si="1"/>
        <v>0</v>
      </c>
      <c r="G109" s="2"/>
      <c r="H109" s="2"/>
      <c r="I109" s="2"/>
      <c r="J109" s="2"/>
      <c r="K109" s="2"/>
      <c r="L109" s="2"/>
      <c r="M109" s="2"/>
      <c r="N109" s="2"/>
      <c r="O109" s="2"/>
      <c r="P109" s="2"/>
      <c r="Q109" s="2"/>
      <c r="R109" s="2"/>
      <c r="S109" s="2"/>
      <c r="T109" s="2"/>
      <c r="U109" s="2"/>
      <c r="V109" s="2"/>
      <c r="W109" s="2"/>
      <c r="X109" s="2"/>
      <c r="Y109" s="2"/>
      <c r="Z109" s="2"/>
      <c r="AA109" s="2"/>
    </row>
    <row r="110">
      <c r="A110" s="1" t="s">
        <v>5</v>
      </c>
      <c r="B110" s="1" t="s">
        <v>438</v>
      </c>
      <c r="C110" s="1" t="s">
        <v>439</v>
      </c>
      <c r="D110" s="1" t="s">
        <v>440</v>
      </c>
      <c r="E110" s="1" t="s">
        <v>441</v>
      </c>
      <c r="F110" s="2">
        <f t="shared" si="1"/>
        <v>0</v>
      </c>
      <c r="G110" s="2"/>
      <c r="H110" s="2"/>
      <c r="I110" s="2"/>
      <c r="J110" s="2"/>
      <c r="K110" s="2"/>
      <c r="L110" s="2"/>
      <c r="M110" s="2"/>
      <c r="N110" s="2"/>
      <c r="O110" s="2"/>
      <c r="P110" s="2"/>
      <c r="Q110" s="2"/>
      <c r="R110" s="2"/>
      <c r="S110" s="2"/>
      <c r="T110" s="2"/>
      <c r="U110" s="2"/>
      <c r="V110" s="2"/>
      <c r="W110" s="2"/>
      <c r="X110" s="2"/>
      <c r="Y110" s="2"/>
      <c r="Z110" s="2"/>
      <c r="AA110" s="2"/>
    </row>
    <row r="111">
      <c r="A111" s="1" t="s">
        <v>5</v>
      </c>
      <c r="B111" s="1" t="s">
        <v>442</v>
      </c>
      <c r="C111" s="1" t="s">
        <v>443</v>
      </c>
      <c r="D111" s="1" t="s">
        <v>444</v>
      </c>
      <c r="E111" s="1" t="s">
        <v>445</v>
      </c>
      <c r="F111" s="2">
        <f t="shared" si="1"/>
        <v>0</v>
      </c>
      <c r="G111" s="2"/>
      <c r="H111" s="2"/>
      <c r="I111" s="2"/>
      <c r="J111" s="2"/>
      <c r="K111" s="2"/>
      <c r="L111" s="2"/>
      <c r="M111" s="2"/>
      <c r="N111" s="2"/>
      <c r="O111" s="2"/>
      <c r="P111" s="2"/>
      <c r="Q111" s="2"/>
      <c r="R111" s="2"/>
      <c r="S111" s="2"/>
      <c r="T111" s="2"/>
      <c r="U111" s="2"/>
      <c r="V111" s="2"/>
      <c r="W111" s="2"/>
      <c r="X111" s="2"/>
      <c r="Y111" s="2"/>
      <c r="Z111" s="2"/>
      <c r="AA111" s="2"/>
    </row>
    <row r="112">
      <c r="A112" s="1" t="s">
        <v>5</v>
      </c>
      <c r="B112" s="1" t="s">
        <v>446</v>
      </c>
      <c r="C112" s="1" t="s">
        <v>447</v>
      </c>
      <c r="D112" s="1" t="s">
        <v>448</v>
      </c>
      <c r="E112" s="1" t="s">
        <v>449</v>
      </c>
      <c r="F112" s="2">
        <f t="shared" si="1"/>
        <v>0</v>
      </c>
      <c r="G112" s="2"/>
      <c r="H112" s="2"/>
      <c r="I112" s="2"/>
      <c r="J112" s="2"/>
      <c r="K112" s="2"/>
      <c r="L112" s="2"/>
      <c r="M112" s="2"/>
      <c r="N112" s="2"/>
      <c r="O112" s="2"/>
      <c r="P112" s="2"/>
      <c r="Q112" s="2"/>
      <c r="R112" s="2"/>
      <c r="S112" s="2"/>
      <c r="T112" s="2"/>
      <c r="U112" s="2"/>
      <c r="V112" s="2"/>
      <c r="W112" s="2"/>
      <c r="X112" s="2"/>
      <c r="Y112" s="2"/>
      <c r="Z112" s="2"/>
      <c r="AA112" s="2"/>
    </row>
    <row r="113">
      <c r="A113" s="1" t="s">
        <v>5</v>
      </c>
      <c r="B113" s="1" t="s">
        <v>450</v>
      </c>
      <c r="C113" s="1" t="s">
        <v>451</v>
      </c>
      <c r="D113" s="1" t="s">
        <v>452</v>
      </c>
      <c r="E113" s="1" t="s">
        <v>453</v>
      </c>
      <c r="F113" s="2">
        <f t="shared" si="1"/>
        <v>0</v>
      </c>
      <c r="G113" s="2"/>
      <c r="H113" s="2"/>
      <c r="I113" s="2"/>
      <c r="J113" s="2"/>
      <c r="K113" s="2"/>
      <c r="L113" s="2"/>
      <c r="M113" s="2"/>
      <c r="N113" s="2"/>
      <c r="O113" s="2"/>
      <c r="P113" s="2"/>
      <c r="Q113" s="2"/>
      <c r="R113" s="2"/>
      <c r="S113" s="2"/>
      <c r="T113" s="2"/>
      <c r="U113" s="2"/>
      <c r="V113" s="2"/>
      <c r="W113" s="2"/>
      <c r="X113" s="2"/>
      <c r="Y113" s="2"/>
      <c r="Z113" s="2"/>
      <c r="AA113" s="2"/>
    </row>
    <row r="114">
      <c r="A114" s="1" t="s">
        <v>5</v>
      </c>
      <c r="B114" s="1" t="s">
        <v>454</v>
      </c>
      <c r="C114" s="1" t="s">
        <v>455</v>
      </c>
      <c r="D114" s="1" t="s">
        <v>456</v>
      </c>
      <c r="E114" s="1" t="s">
        <v>457</v>
      </c>
      <c r="F114" s="2">
        <f t="shared" si="1"/>
        <v>0</v>
      </c>
      <c r="G114" s="2"/>
      <c r="H114" s="2"/>
      <c r="I114" s="2"/>
      <c r="J114" s="2"/>
      <c r="K114" s="2"/>
      <c r="L114" s="2"/>
      <c r="M114" s="2"/>
      <c r="N114" s="2"/>
      <c r="O114" s="2"/>
      <c r="P114" s="2"/>
      <c r="Q114" s="2"/>
      <c r="R114" s="2"/>
      <c r="S114" s="2"/>
      <c r="T114" s="2"/>
      <c r="U114" s="2"/>
      <c r="V114" s="2"/>
      <c r="W114" s="2"/>
      <c r="X114" s="2"/>
      <c r="Y114" s="2"/>
      <c r="Z114" s="2"/>
      <c r="AA114" s="2"/>
    </row>
    <row r="115">
      <c r="A115" s="1" t="s">
        <v>5</v>
      </c>
      <c r="B115" s="1" t="s">
        <v>458</v>
      </c>
      <c r="C115" s="1" t="s">
        <v>459</v>
      </c>
      <c r="D115" s="1" t="s">
        <v>460</v>
      </c>
      <c r="E115" s="1" t="s">
        <v>461</v>
      </c>
      <c r="F115" s="2">
        <f t="shared" si="1"/>
        <v>0</v>
      </c>
      <c r="G115" s="2"/>
      <c r="H115" s="2"/>
      <c r="I115" s="2"/>
      <c r="J115" s="2"/>
      <c r="K115" s="2"/>
      <c r="L115" s="2"/>
      <c r="M115" s="2"/>
      <c r="N115" s="2"/>
      <c r="O115" s="2"/>
      <c r="P115" s="2"/>
      <c r="Q115" s="2"/>
      <c r="R115" s="2"/>
      <c r="S115" s="2"/>
      <c r="T115" s="2"/>
      <c r="U115" s="2"/>
      <c r="V115" s="2"/>
      <c r="W115" s="2"/>
      <c r="X115" s="2"/>
      <c r="Y115" s="2"/>
      <c r="Z115" s="2"/>
      <c r="AA115" s="2"/>
    </row>
    <row r="116">
      <c r="A116" s="1" t="s">
        <v>5</v>
      </c>
      <c r="B116" s="1" t="s">
        <v>462</v>
      </c>
      <c r="C116" s="1" t="s">
        <v>463</v>
      </c>
      <c r="D116" s="1" t="s">
        <v>464</v>
      </c>
      <c r="E116" s="1" t="s">
        <v>465</v>
      </c>
      <c r="F116" s="2">
        <f t="shared" si="1"/>
        <v>0</v>
      </c>
      <c r="G116" s="2"/>
      <c r="H116" s="2"/>
      <c r="I116" s="2"/>
      <c r="J116" s="2"/>
      <c r="K116" s="2"/>
      <c r="L116" s="2"/>
      <c r="M116" s="2"/>
      <c r="N116" s="2"/>
      <c r="O116" s="2"/>
      <c r="P116" s="2"/>
      <c r="Q116" s="2"/>
      <c r="R116" s="2"/>
      <c r="S116" s="2"/>
      <c r="T116" s="2"/>
      <c r="U116" s="2"/>
      <c r="V116" s="2"/>
      <c r="W116" s="2"/>
      <c r="X116" s="2"/>
      <c r="Y116" s="2"/>
      <c r="Z116" s="2"/>
      <c r="AA116" s="2"/>
    </row>
    <row r="117">
      <c r="A117" s="1" t="s">
        <v>5</v>
      </c>
      <c r="B117" s="1" t="s">
        <v>466</v>
      </c>
      <c r="C117" s="1" t="s">
        <v>467</v>
      </c>
      <c r="D117" s="1" t="s">
        <v>468</v>
      </c>
      <c r="E117" s="1" t="s">
        <v>469</v>
      </c>
      <c r="F117" s="2">
        <f t="shared" si="1"/>
        <v>0</v>
      </c>
      <c r="G117" s="2"/>
      <c r="H117" s="2"/>
      <c r="I117" s="2"/>
      <c r="J117" s="2"/>
      <c r="K117" s="2"/>
      <c r="L117" s="2"/>
      <c r="M117" s="2"/>
      <c r="N117" s="2"/>
      <c r="O117" s="2"/>
      <c r="P117" s="2"/>
      <c r="Q117" s="2"/>
      <c r="R117" s="2"/>
      <c r="S117" s="2"/>
      <c r="T117" s="2"/>
      <c r="U117" s="2"/>
      <c r="V117" s="2"/>
      <c r="W117" s="2"/>
      <c r="X117" s="2"/>
      <c r="Y117" s="2"/>
      <c r="Z117" s="2"/>
      <c r="AA117" s="2"/>
    </row>
    <row r="118">
      <c r="A118" s="1" t="s">
        <v>5</v>
      </c>
      <c r="B118" s="1" t="s">
        <v>470</v>
      </c>
      <c r="C118" s="1" t="s">
        <v>471</v>
      </c>
      <c r="D118" s="1" t="s">
        <v>472</v>
      </c>
      <c r="E118" s="1" t="s">
        <v>473</v>
      </c>
      <c r="F118" s="2">
        <f t="shared" si="1"/>
        <v>0</v>
      </c>
      <c r="G118" s="2"/>
      <c r="H118" s="2"/>
      <c r="I118" s="2"/>
      <c r="J118" s="2"/>
      <c r="K118" s="2"/>
      <c r="L118" s="2"/>
      <c r="M118" s="2"/>
      <c r="N118" s="2"/>
      <c r="O118" s="2"/>
      <c r="P118" s="2"/>
      <c r="Q118" s="2"/>
      <c r="R118" s="2"/>
      <c r="S118" s="2"/>
      <c r="T118" s="2"/>
      <c r="U118" s="2"/>
      <c r="V118" s="2"/>
      <c r="W118" s="2"/>
      <c r="X118" s="2"/>
      <c r="Y118" s="2"/>
      <c r="Z118" s="2"/>
      <c r="AA118" s="2"/>
    </row>
    <row r="119">
      <c r="A119" s="1" t="s">
        <v>42</v>
      </c>
      <c r="B119" s="1" t="s">
        <v>474</v>
      </c>
      <c r="C119" s="1" t="s">
        <v>475</v>
      </c>
      <c r="D119" s="1" t="s">
        <v>476</v>
      </c>
      <c r="E119" s="1" t="s">
        <v>477</v>
      </c>
      <c r="F119" s="2">
        <f t="shared" si="1"/>
        <v>0</v>
      </c>
      <c r="G119" s="2"/>
      <c r="H119" s="2"/>
      <c r="I119" s="2"/>
      <c r="J119" s="2"/>
      <c r="K119" s="2"/>
      <c r="L119" s="2"/>
      <c r="M119" s="2"/>
      <c r="N119" s="2"/>
      <c r="O119" s="2"/>
      <c r="P119" s="2"/>
      <c r="Q119" s="2"/>
      <c r="R119" s="2"/>
      <c r="S119" s="2"/>
      <c r="T119" s="2"/>
      <c r="U119" s="2"/>
      <c r="V119" s="2"/>
      <c r="W119" s="2"/>
      <c r="X119" s="2"/>
      <c r="Y119" s="2"/>
      <c r="Z119" s="2"/>
      <c r="AA119" s="2"/>
    </row>
    <row r="120">
      <c r="A120" s="1" t="s">
        <v>42</v>
      </c>
      <c r="B120" s="1" t="s">
        <v>478</v>
      </c>
      <c r="C120" s="1" t="s">
        <v>479</v>
      </c>
      <c r="D120" s="1" t="s">
        <v>480</v>
      </c>
      <c r="E120" s="1" t="s">
        <v>481</v>
      </c>
      <c r="F120" s="2">
        <f t="shared" si="1"/>
        <v>0</v>
      </c>
      <c r="G120" s="2"/>
      <c r="H120" s="2"/>
      <c r="I120" s="2"/>
      <c r="J120" s="2"/>
      <c r="K120" s="2"/>
      <c r="L120" s="2"/>
      <c r="M120" s="2"/>
      <c r="N120" s="2"/>
      <c r="O120" s="2"/>
      <c r="P120" s="2"/>
      <c r="Q120" s="2"/>
      <c r="R120" s="2"/>
      <c r="S120" s="2"/>
      <c r="T120" s="2"/>
      <c r="U120" s="2"/>
      <c r="V120" s="2"/>
      <c r="W120" s="2"/>
      <c r="X120" s="2"/>
      <c r="Y120" s="2"/>
      <c r="Z120" s="2"/>
      <c r="AA120" s="2"/>
    </row>
    <row r="121">
      <c r="A121" s="1" t="s">
        <v>42</v>
      </c>
      <c r="B121" s="1" t="s">
        <v>482</v>
      </c>
      <c r="C121" s="1" t="s">
        <v>483</v>
      </c>
      <c r="D121" s="1" t="s">
        <v>484</v>
      </c>
      <c r="E121" s="1" t="s">
        <v>485</v>
      </c>
      <c r="F121" s="2">
        <f t="shared" si="1"/>
        <v>0</v>
      </c>
      <c r="G121" s="2"/>
      <c r="H121" s="2"/>
      <c r="I121" s="2"/>
      <c r="J121" s="2"/>
      <c r="K121" s="2"/>
      <c r="L121" s="2"/>
      <c r="M121" s="2"/>
      <c r="N121" s="2"/>
      <c r="O121" s="2"/>
      <c r="P121" s="2"/>
      <c r="Q121" s="2"/>
      <c r="R121" s="2"/>
      <c r="S121" s="2"/>
      <c r="T121" s="2"/>
      <c r="U121" s="2"/>
      <c r="V121" s="2"/>
      <c r="W121" s="2"/>
      <c r="X121" s="2"/>
      <c r="Y121" s="2"/>
      <c r="Z121" s="2"/>
      <c r="AA121" s="2"/>
    </row>
    <row r="122">
      <c r="A122" s="1" t="s">
        <v>42</v>
      </c>
      <c r="B122" s="1" t="s">
        <v>486</v>
      </c>
      <c r="C122" s="1" t="s">
        <v>487</v>
      </c>
      <c r="D122" s="1" t="s">
        <v>488</v>
      </c>
      <c r="E122" s="1" t="s">
        <v>489</v>
      </c>
      <c r="F122" s="2">
        <f t="shared" si="1"/>
        <v>0</v>
      </c>
      <c r="G122" s="2"/>
      <c r="H122" s="2"/>
      <c r="I122" s="2"/>
      <c r="J122" s="2"/>
      <c r="K122" s="2"/>
      <c r="L122" s="2"/>
      <c r="M122" s="2"/>
      <c r="N122" s="2"/>
      <c r="O122" s="2"/>
      <c r="P122" s="2"/>
      <c r="Q122" s="2"/>
      <c r="R122" s="2"/>
      <c r="S122" s="2"/>
      <c r="T122" s="2"/>
      <c r="U122" s="2"/>
      <c r="V122" s="2"/>
      <c r="W122" s="2"/>
      <c r="X122" s="2"/>
      <c r="Y122" s="2"/>
      <c r="Z122" s="2"/>
      <c r="AA122" s="2"/>
    </row>
    <row r="123">
      <c r="A123" s="1" t="s">
        <v>42</v>
      </c>
      <c r="B123" s="1" t="s">
        <v>490</v>
      </c>
      <c r="C123" s="1" t="s">
        <v>491</v>
      </c>
      <c r="D123" s="1" t="s">
        <v>492</v>
      </c>
      <c r="E123" s="1" t="s">
        <v>493</v>
      </c>
      <c r="F123" s="2">
        <f t="shared" si="1"/>
        <v>0</v>
      </c>
      <c r="G123" s="2"/>
      <c r="H123" s="2"/>
      <c r="I123" s="2"/>
      <c r="J123" s="2"/>
      <c r="K123" s="2"/>
      <c r="L123" s="2"/>
      <c r="M123" s="2"/>
      <c r="N123" s="2"/>
      <c r="O123" s="2"/>
      <c r="P123" s="2"/>
      <c r="Q123" s="2"/>
      <c r="R123" s="2"/>
      <c r="S123" s="2"/>
      <c r="T123" s="2"/>
      <c r="U123" s="2"/>
      <c r="V123" s="2"/>
      <c r="W123" s="2"/>
      <c r="X123" s="2"/>
      <c r="Y123" s="2"/>
      <c r="Z123" s="2"/>
      <c r="AA123" s="2"/>
    </row>
    <row r="124">
      <c r="A124" s="1" t="s">
        <v>42</v>
      </c>
      <c r="B124" s="1" t="s">
        <v>494</v>
      </c>
      <c r="C124" s="1" t="s">
        <v>495</v>
      </c>
      <c r="D124" s="1" t="s">
        <v>496</v>
      </c>
      <c r="E124" s="1" t="s">
        <v>497</v>
      </c>
      <c r="F124" s="2">
        <f t="shared" si="1"/>
        <v>0</v>
      </c>
      <c r="G124" s="2"/>
      <c r="H124" s="2"/>
      <c r="I124" s="2"/>
      <c r="J124" s="2"/>
      <c r="K124" s="2"/>
      <c r="L124" s="2"/>
      <c r="M124" s="2"/>
      <c r="N124" s="2"/>
      <c r="O124" s="2"/>
      <c r="P124" s="2"/>
      <c r="Q124" s="2"/>
      <c r="R124" s="2"/>
      <c r="S124" s="2"/>
      <c r="T124" s="2"/>
      <c r="U124" s="2"/>
      <c r="V124" s="2"/>
      <c r="W124" s="2"/>
      <c r="X124" s="2"/>
      <c r="Y124" s="2"/>
      <c r="Z124" s="2"/>
      <c r="AA124" s="2"/>
    </row>
    <row r="125">
      <c r="A125" s="1" t="s">
        <v>42</v>
      </c>
      <c r="B125" s="1" t="s">
        <v>498</v>
      </c>
      <c r="C125" s="1" t="s">
        <v>499</v>
      </c>
      <c r="D125" s="1" t="s">
        <v>500</v>
      </c>
      <c r="E125" s="1" t="s">
        <v>501</v>
      </c>
      <c r="F125" s="2">
        <f t="shared" si="1"/>
        <v>0</v>
      </c>
      <c r="G125" s="2"/>
      <c r="H125" s="2"/>
      <c r="I125" s="2"/>
      <c r="J125" s="2"/>
      <c r="K125" s="2"/>
      <c r="L125" s="2"/>
      <c r="M125" s="2"/>
      <c r="N125" s="2"/>
      <c r="O125" s="2"/>
      <c r="P125" s="2"/>
      <c r="Q125" s="2"/>
      <c r="R125" s="2"/>
      <c r="S125" s="2"/>
      <c r="T125" s="2"/>
      <c r="U125" s="2"/>
      <c r="V125" s="2"/>
      <c r="W125" s="2"/>
      <c r="X125" s="2"/>
      <c r="Y125" s="2"/>
      <c r="Z125" s="2"/>
      <c r="AA125" s="2"/>
    </row>
    <row r="126">
      <c r="A126" s="1" t="s">
        <v>42</v>
      </c>
      <c r="B126" s="1" t="s">
        <v>502</v>
      </c>
      <c r="C126" s="1" t="s">
        <v>503</v>
      </c>
      <c r="D126" s="1" t="s">
        <v>504</v>
      </c>
      <c r="E126" s="1" t="s">
        <v>505</v>
      </c>
      <c r="F126" s="2">
        <f t="shared" si="1"/>
        <v>0</v>
      </c>
      <c r="G126" s="2"/>
      <c r="H126" s="2"/>
      <c r="I126" s="2"/>
      <c r="J126" s="2"/>
      <c r="K126" s="2"/>
      <c r="L126" s="2"/>
      <c r="M126" s="2"/>
      <c r="N126" s="2"/>
      <c r="O126" s="2"/>
      <c r="P126" s="2"/>
      <c r="Q126" s="2"/>
      <c r="R126" s="2"/>
      <c r="S126" s="2"/>
      <c r="T126" s="2"/>
      <c r="U126" s="2"/>
      <c r="V126" s="2"/>
      <c r="W126" s="2"/>
      <c r="X126" s="2"/>
      <c r="Y126" s="2"/>
      <c r="Z126" s="2"/>
      <c r="AA126" s="2"/>
    </row>
    <row r="127">
      <c r="A127" s="1" t="s">
        <v>42</v>
      </c>
      <c r="B127" s="1" t="s">
        <v>506</v>
      </c>
      <c r="C127" s="1" t="s">
        <v>507</v>
      </c>
      <c r="D127" s="1" t="s">
        <v>508</v>
      </c>
      <c r="E127" s="1" t="s">
        <v>509</v>
      </c>
      <c r="F127" s="2">
        <f t="shared" si="1"/>
        <v>0</v>
      </c>
      <c r="G127" s="2"/>
      <c r="H127" s="2"/>
      <c r="I127" s="2"/>
      <c r="J127" s="2"/>
      <c r="K127" s="2"/>
      <c r="L127" s="2"/>
      <c r="M127" s="2"/>
      <c r="N127" s="2"/>
      <c r="O127" s="2"/>
      <c r="P127" s="2"/>
      <c r="Q127" s="2"/>
      <c r="R127" s="2"/>
      <c r="S127" s="2"/>
      <c r="T127" s="2"/>
      <c r="U127" s="2"/>
      <c r="V127" s="2"/>
      <c r="W127" s="2"/>
      <c r="X127" s="2"/>
      <c r="Y127" s="2"/>
      <c r="Z127" s="2"/>
      <c r="AA127" s="2"/>
    </row>
    <row r="128">
      <c r="A128" s="1" t="s">
        <v>42</v>
      </c>
      <c r="B128" s="1" t="s">
        <v>510</v>
      </c>
      <c r="C128" s="1" t="s">
        <v>511</v>
      </c>
      <c r="D128" s="1" t="s">
        <v>512</v>
      </c>
      <c r="E128" s="1" t="s">
        <v>513</v>
      </c>
      <c r="F128" s="2">
        <f t="shared" si="1"/>
        <v>0</v>
      </c>
      <c r="G128" s="2"/>
      <c r="H128" s="2"/>
      <c r="I128" s="2"/>
      <c r="J128" s="2"/>
      <c r="K128" s="2"/>
      <c r="L128" s="2"/>
      <c r="M128" s="2"/>
      <c r="N128" s="2"/>
      <c r="O128" s="2"/>
      <c r="P128" s="2"/>
      <c r="Q128" s="2"/>
      <c r="R128" s="2"/>
      <c r="S128" s="2"/>
      <c r="T128" s="2"/>
      <c r="U128" s="2"/>
      <c r="V128" s="2"/>
      <c r="W128" s="2"/>
      <c r="X128" s="2"/>
      <c r="Y128" s="2"/>
      <c r="Z128" s="2"/>
      <c r="AA128" s="2"/>
    </row>
    <row r="129">
      <c r="A129" s="1" t="s">
        <v>42</v>
      </c>
      <c r="B129" s="1" t="s">
        <v>514</v>
      </c>
      <c r="C129" s="1" t="s">
        <v>515</v>
      </c>
      <c r="D129" s="1" t="s">
        <v>516</v>
      </c>
      <c r="E129" s="1" t="s">
        <v>517</v>
      </c>
      <c r="F129" s="2">
        <f t="shared" si="1"/>
        <v>0</v>
      </c>
      <c r="G129" s="2"/>
      <c r="H129" s="2"/>
      <c r="I129" s="2"/>
      <c r="J129" s="2"/>
      <c r="K129" s="2"/>
      <c r="L129" s="2"/>
      <c r="M129" s="2"/>
      <c r="N129" s="2"/>
      <c r="O129" s="2"/>
      <c r="P129" s="2"/>
      <c r="Q129" s="2"/>
      <c r="R129" s="2"/>
      <c r="S129" s="2"/>
      <c r="T129" s="2"/>
      <c r="U129" s="2"/>
      <c r="V129" s="2"/>
      <c r="W129" s="2"/>
      <c r="X129" s="2"/>
      <c r="Y129" s="2"/>
      <c r="Z129" s="2"/>
      <c r="AA129" s="2"/>
    </row>
    <row r="130">
      <c r="A130" s="1" t="s">
        <v>42</v>
      </c>
      <c r="B130" s="1" t="s">
        <v>518</v>
      </c>
      <c r="C130" s="1" t="s">
        <v>519</v>
      </c>
      <c r="D130" s="1" t="s">
        <v>520</v>
      </c>
      <c r="E130" s="1" t="s">
        <v>521</v>
      </c>
      <c r="F130" s="2">
        <f t="shared" si="1"/>
        <v>0</v>
      </c>
      <c r="G130" s="2"/>
      <c r="H130" s="2"/>
      <c r="I130" s="2"/>
      <c r="J130" s="2"/>
      <c r="K130" s="2"/>
      <c r="L130" s="2"/>
      <c r="M130" s="2"/>
      <c r="N130" s="2"/>
      <c r="O130" s="2"/>
      <c r="P130" s="2"/>
      <c r="Q130" s="2"/>
      <c r="R130" s="2"/>
      <c r="S130" s="2"/>
      <c r="T130" s="2"/>
      <c r="U130" s="2"/>
      <c r="V130" s="2"/>
      <c r="W130" s="2"/>
      <c r="X130" s="2"/>
      <c r="Y130" s="2"/>
      <c r="Z130" s="2"/>
      <c r="AA130" s="2"/>
    </row>
    <row r="131">
      <c r="A131" s="1" t="s">
        <v>42</v>
      </c>
      <c r="B131" s="1" t="s">
        <v>522</v>
      </c>
      <c r="C131" s="1" t="s">
        <v>523</v>
      </c>
      <c r="D131" s="1" t="s">
        <v>524</v>
      </c>
      <c r="E131" s="1" t="s">
        <v>525</v>
      </c>
      <c r="F131" s="2">
        <f t="shared" si="1"/>
        <v>0</v>
      </c>
      <c r="G131" s="2"/>
      <c r="H131" s="2"/>
      <c r="I131" s="2"/>
      <c r="J131" s="2"/>
      <c r="K131" s="2"/>
      <c r="L131" s="2"/>
      <c r="M131" s="2"/>
      <c r="N131" s="2"/>
      <c r="O131" s="2"/>
      <c r="P131" s="2"/>
      <c r="Q131" s="2"/>
      <c r="R131" s="2"/>
      <c r="S131" s="2"/>
      <c r="T131" s="2"/>
      <c r="U131" s="2"/>
      <c r="V131" s="2"/>
      <c r="W131" s="2"/>
      <c r="X131" s="2"/>
      <c r="Y131" s="2"/>
      <c r="Z131" s="2"/>
      <c r="AA131" s="2"/>
    </row>
    <row r="132">
      <c r="A132" s="1" t="s">
        <v>42</v>
      </c>
      <c r="B132" s="1" t="s">
        <v>526</v>
      </c>
      <c r="C132" s="1" t="s">
        <v>527</v>
      </c>
      <c r="D132" s="1" t="s">
        <v>528</v>
      </c>
      <c r="E132" s="1" t="s">
        <v>529</v>
      </c>
      <c r="F132" s="2">
        <f t="shared" si="1"/>
        <v>0</v>
      </c>
      <c r="G132" s="2"/>
      <c r="H132" s="2"/>
      <c r="I132" s="2"/>
      <c r="J132" s="2"/>
      <c r="K132" s="2"/>
      <c r="L132" s="2"/>
      <c r="M132" s="2"/>
      <c r="N132" s="2"/>
      <c r="O132" s="2"/>
      <c r="P132" s="2"/>
      <c r="Q132" s="2"/>
      <c r="R132" s="2"/>
      <c r="S132" s="2"/>
      <c r="T132" s="2"/>
      <c r="U132" s="2"/>
      <c r="V132" s="2"/>
      <c r="W132" s="2"/>
      <c r="X132" s="2"/>
      <c r="Y132" s="2"/>
      <c r="Z132" s="2"/>
      <c r="AA132" s="2"/>
    </row>
    <row r="133">
      <c r="A133" s="1" t="s">
        <v>42</v>
      </c>
      <c r="B133" s="1" t="s">
        <v>530</v>
      </c>
      <c r="C133" s="1" t="s">
        <v>531</v>
      </c>
      <c r="D133" s="1" t="s">
        <v>532</v>
      </c>
      <c r="E133" s="1" t="s">
        <v>533</v>
      </c>
      <c r="F133" s="2">
        <f t="shared" si="1"/>
        <v>0</v>
      </c>
      <c r="G133" s="2"/>
      <c r="H133" s="2"/>
      <c r="I133" s="2"/>
      <c r="J133" s="2"/>
      <c r="K133" s="2"/>
      <c r="L133" s="2"/>
      <c r="M133" s="2"/>
      <c r="N133" s="2"/>
      <c r="O133" s="2"/>
      <c r="P133" s="2"/>
      <c r="Q133" s="2"/>
      <c r="R133" s="2"/>
      <c r="S133" s="2"/>
      <c r="T133" s="2"/>
      <c r="U133" s="2"/>
      <c r="V133" s="2"/>
      <c r="W133" s="2"/>
      <c r="X133" s="2"/>
      <c r="Y133" s="2"/>
      <c r="Z133" s="2"/>
      <c r="AA133" s="2"/>
    </row>
    <row r="134">
      <c r="A134" s="1" t="s">
        <v>42</v>
      </c>
      <c r="B134" s="1" t="s">
        <v>534</v>
      </c>
      <c r="C134" s="1" t="s">
        <v>535</v>
      </c>
      <c r="D134" s="1" t="s">
        <v>536</v>
      </c>
      <c r="E134" s="1" t="s">
        <v>537</v>
      </c>
      <c r="F134" s="2">
        <f t="shared" si="1"/>
        <v>0</v>
      </c>
      <c r="G134" s="2"/>
      <c r="H134" s="2"/>
      <c r="I134" s="2"/>
      <c r="J134" s="2"/>
      <c r="K134" s="2"/>
      <c r="L134" s="2"/>
      <c r="M134" s="2"/>
      <c r="N134" s="2"/>
      <c r="O134" s="2"/>
      <c r="P134" s="2"/>
      <c r="Q134" s="2"/>
      <c r="R134" s="2"/>
      <c r="S134" s="2"/>
      <c r="T134" s="2"/>
      <c r="U134" s="2"/>
      <c r="V134" s="2"/>
      <c r="W134" s="2"/>
      <c r="X134" s="2"/>
      <c r="Y134" s="2"/>
      <c r="Z134" s="2"/>
      <c r="AA134" s="2"/>
    </row>
    <row r="135">
      <c r="A135" s="1" t="s">
        <v>42</v>
      </c>
      <c r="B135" s="1" t="s">
        <v>538</v>
      </c>
      <c r="C135" s="1" t="s">
        <v>539</v>
      </c>
      <c r="D135" s="1" t="s">
        <v>540</v>
      </c>
      <c r="E135" s="1" t="s">
        <v>541</v>
      </c>
      <c r="F135" s="2">
        <f t="shared" si="1"/>
        <v>0</v>
      </c>
      <c r="G135" s="2"/>
      <c r="H135" s="2"/>
      <c r="I135" s="2"/>
      <c r="J135" s="2"/>
      <c r="K135" s="2"/>
      <c r="L135" s="2"/>
      <c r="M135" s="2"/>
      <c r="N135" s="2"/>
      <c r="O135" s="2"/>
      <c r="P135" s="2"/>
      <c r="Q135" s="2"/>
      <c r="R135" s="2"/>
      <c r="S135" s="2"/>
      <c r="T135" s="2"/>
      <c r="U135" s="2"/>
      <c r="V135" s="2"/>
      <c r="W135" s="2"/>
      <c r="X135" s="2"/>
      <c r="Y135" s="2"/>
      <c r="Z135" s="2"/>
      <c r="AA135" s="2"/>
    </row>
    <row r="136">
      <c r="A136" s="1" t="s">
        <v>42</v>
      </c>
      <c r="B136" s="1" t="s">
        <v>542</v>
      </c>
      <c r="C136" s="1" t="s">
        <v>543</v>
      </c>
      <c r="D136" s="1" t="s">
        <v>544</v>
      </c>
      <c r="E136" s="1" t="s">
        <v>545</v>
      </c>
      <c r="F136" s="2">
        <f t="shared" si="1"/>
        <v>0</v>
      </c>
      <c r="G136" s="2"/>
      <c r="H136" s="2"/>
      <c r="I136" s="2"/>
      <c r="J136" s="2"/>
      <c r="K136" s="2"/>
      <c r="L136" s="2"/>
      <c r="M136" s="2"/>
      <c r="N136" s="2"/>
      <c r="O136" s="2"/>
      <c r="P136" s="2"/>
      <c r="Q136" s="2"/>
      <c r="R136" s="2"/>
      <c r="S136" s="2"/>
      <c r="T136" s="2"/>
      <c r="U136" s="2"/>
      <c r="V136" s="2"/>
      <c r="W136" s="2"/>
      <c r="X136" s="2"/>
      <c r="Y136" s="2"/>
      <c r="Z136" s="2"/>
      <c r="AA136" s="2"/>
    </row>
    <row r="137">
      <c r="A137" s="1" t="s">
        <v>42</v>
      </c>
      <c r="B137" s="1" t="s">
        <v>546</v>
      </c>
      <c r="C137" s="1" t="s">
        <v>547</v>
      </c>
      <c r="D137" s="1" t="s">
        <v>548</v>
      </c>
      <c r="E137" s="1" t="s">
        <v>549</v>
      </c>
      <c r="F137" s="2">
        <f t="shared" si="1"/>
        <v>0</v>
      </c>
      <c r="G137" s="2"/>
      <c r="H137" s="2"/>
      <c r="I137" s="2"/>
      <c r="J137" s="2"/>
      <c r="K137" s="2"/>
      <c r="L137" s="2"/>
      <c r="M137" s="2"/>
      <c r="N137" s="2"/>
      <c r="O137" s="2"/>
      <c r="P137" s="2"/>
      <c r="Q137" s="2"/>
      <c r="R137" s="2"/>
      <c r="S137" s="2"/>
      <c r="T137" s="2"/>
      <c r="U137" s="2"/>
      <c r="V137" s="2"/>
      <c r="W137" s="2"/>
      <c r="X137" s="2"/>
      <c r="Y137" s="2"/>
      <c r="Z137" s="2"/>
      <c r="AA137" s="2"/>
    </row>
    <row r="138">
      <c r="A138" s="1" t="s">
        <v>42</v>
      </c>
      <c r="B138" s="1" t="s">
        <v>550</v>
      </c>
      <c r="C138" s="1" t="s">
        <v>551</v>
      </c>
      <c r="D138" s="1" t="s">
        <v>552</v>
      </c>
      <c r="E138" s="1" t="s">
        <v>553</v>
      </c>
      <c r="F138" s="2">
        <f t="shared" si="1"/>
        <v>0</v>
      </c>
      <c r="G138" s="2"/>
      <c r="H138" s="2"/>
      <c r="I138" s="2"/>
      <c r="J138" s="2"/>
      <c r="K138" s="2"/>
      <c r="L138" s="2"/>
      <c r="M138" s="2"/>
      <c r="N138" s="2"/>
      <c r="O138" s="2"/>
      <c r="P138" s="2"/>
      <c r="Q138" s="2"/>
      <c r="R138" s="2"/>
      <c r="S138" s="2"/>
      <c r="T138" s="2"/>
      <c r="U138" s="2"/>
      <c r="V138" s="2"/>
      <c r="W138" s="2"/>
      <c r="X138" s="2"/>
      <c r="Y138" s="2"/>
      <c r="Z138" s="2"/>
      <c r="AA138" s="2"/>
    </row>
    <row r="139">
      <c r="A139" s="1" t="s">
        <v>42</v>
      </c>
      <c r="B139" s="1" t="s">
        <v>554</v>
      </c>
      <c r="C139" s="1" t="s">
        <v>555</v>
      </c>
      <c r="D139" s="1" t="s">
        <v>556</v>
      </c>
      <c r="E139" s="1" t="s">
        <v>557</v>
      </c>
      <c r="F139" s="2">
        <f t="shared" si="1"/>
        <v>0</v>
      </c>
      <c r="G139" s="2"/>
      <c r="H139" s="2"/>
      <c r="I139" s="2"/>
      <c r="J139" s="2"/>
      <c r="K139" s="2"/>
      <c r="L139" s="2"/>
      <c r="M139" s="2"/>
      <c r="N139" s="2"/>
      <c r="O139" s="2"/>
      <c r="P139" s="2"/>
      <c r="Q139" s="2"/>
      <c r="R139" s="2"/>
      <c r="S139" s="2"/>
      <c r="T139" s="2"/>
      <c r="U139" s="2"/>
      <c r="V139" s="2"/>
      <c r="W139" s="2"/>
      <c r="X139" s="2"/>
      <c r="Y139" s="2"/>
      <c r="Z139" s="2"/>
      <c r="AA139" s="2"/>
    </row>
    <row r="140">
      <c r="A140" s="1" t="s">
        <v>42</v>
      </c>
      <c r="B140" s="1" t="s">
        <v>558</v>
      </c>
      <c r="C140" s="1" t="s">
        <v>559</v>
      </c>
      <c r="D140" s="1" t="s">
        <v>560</v>
      </c>
      <c r="E140" s="1" t="s">
        <v>561</v>
      </c>
      <c r="F140" s="2">
        <f t="shared" si="1"/>
        <v>0</v>
      </c>
      <c r="G140" s="2"/>
      <c r="H140" s="2"/>
      <c r="I140" s="2"/>
      <c r="J140" s="2"/>
      <c r="K140" s="2"/>
      <c r="L140" s="2"/>
      <c r="M140" s="2"/>
      <c r="N140" s="2"/>
      <c r="O140" s="2"/>
      <c r="P140" s="2"/>
      <c r="Q140" s="2"/>
      <c r="R140" s="2"/>
      <c r="S140" s="2"/>
      <c r="T140" s="2"/>
      <c r="U140" s="2"/>
      <c r="V140" s="2"/>
      <c r="W140" s="2"/>
      <c r="X140" s="2"/>
      <c r="Y140" s="2"/>
      <c r="Z140" s="2"/>
      <c r="AA140" s="2"/>
    </row>
    <row r="141">
      <c r="A141" s="1" t="s">
        <v>42</v>
      </c>
      <c r="B141" s="1" t="s">
        <v>562</v>
      </c>
      <c r="C141" s="1" t="s">
        <v>563</v>
      </c>
      <c r="D141" s="1" t="s">
        <v>564</v>
      </c>
      <c r="E141" s="1" t="s">
        <v>565</v>
      </c>
      <c r="F141" s="2">
        <f t="shared" si="1"/>
        <v>0</v>
      </c>
      <c r="G141" s="2"/>
      <c r="H141" s="2"/>
      <c r="I141" s="2"/>
      <c r="J141" s="2"/>
      <c r="K141" s="2"/>
      <c r="L141" s="2"/>
      <c r="M141" s="2"/>
      <c r="N141" s="2"/>
      <c r="O141" s="2"/>
      <c r="P141" s="2"/>
      <c r="Q141" s="2"/>
      <c r="R141" s="2"/>
      <c r="S141" s="2"/>
      <c r="T141" s="2"/>
      <c r="U141" s="2"/>
      <c r="V141" s="2"/>
      <c r="W141" s="2"/>
      <c r="X141" s="2"/>
      <c r="Y141" s="2"/>
      <c r="Z141" s="2"/>
      <c r="AA141" s="2"/>
    </row>
    <row r="142">
      <c r="A142" s="1" t="s">
        <v>42</v>
      </c>
      <c r="B142" s="1" t="s">
        <v>566</v>
      </c>
      <c r="C142" s="1" t="s">
        <v>567</v>
      </c>
      <c r="D142" s="1" t="s">
        <v>568</v>
      </c>
      <c r="E142" s="1" t="s">
        <v>569</v>
      </c>
      <c r="F142" s="2">
        <f t="shared" si="1"/>
        <v>0</v>
      </c>
      <c r="G142" s="2"/>
      <c r="H142" s="2"/>
      <c r="I142" s="2"/>
      <c r="J142" s="2"/>
      <c r="K142" s="2"/>
      <c r="L142" s="2"/>
      <c r="M142" s="2"/>
      <c r="N142" s="2"/>
      <c r="O142" s="2"/>
      <c r="P142" s="2"/>
      <c r="Q142" s="2"/>
      <c r="R142" s="2"/>
      <c r="S142" s="2"/>
      <c r="T142" s="2"/>
      <c r="U142" s="2"/>
      <c r="V142" s="2"/>
      <c r="W142" s="2"/>
      <c r="X142" s="2"/>
      <c r="Y142" s="2"/>
      <c r="Z142" s="2"/>
      <c r="AA142" s="2"/>
    </row>
    <row r="143">
      <c r="A143" s="1" t="s">
        <v>42</v>
      </c>
      <c r="B143" s="1" t="s">
        <v>570</v>
      </c>
      <c r="C143" s="1" t="s">
        <v>571</v>
      </c>
      <c r="D143" s="1" t="s">
        <v>572</v>
      </c>
      <c r="E143" s="1" t="s">
        <v>573</v>
      </c>
      <c r="F143" s="2">
        <f t="shared" si="1"/>
        <v>0</v>
      </c>
      <c r="G143" s="2"/>
      <c r="H143" s="2"/>
      <c r="I143" s="2"/>
      <c r="J143" s="2"/>
      <c r="K143" s="2"/>
      <c r="L143" s="2"/>
      <c r="M143" s="2"/>
      <c r="N143" s="2"/>
      <c r="O143" s="2"/>
      <c r="P143" s="2"/>
      <c r="Q143" s="2"/>
      <c r="R143" s="2"/>
      <c r="S143" s="2"/>
      <c r="T143" s="2"/>
      <c r="U143" s="2"/>
      <c r="V143" s="2"/>
      <c r="W143" s="2"/>
      <c r="X143" s="2"/>
      <c r="Y143" s="2"/>
      <c r="Z143" s="2"/>
      <c r="AA143" s="2"/>
    </row>
    <row r="144">
      <c r="A144" s="1" t="s">
        <v>42</v>
      </c>
      <c r="B144" s="1" t="s">
        <v>574</v>
      </c>
      <c r="C144" s="1" t="s">
        <v>575</v>
      </c>
      <c r="D144" s="1" t="s">
        <v>576</v>
      </c>
      <c r="E144" s="1" t="s">
        <v>577</v>
      </c>
      <c r="F144" s="2">
        <f t="shared" si="1"/>
        <v>0</v>
      </c>
      <c r="G144" s="2"/>
      <c r="H144" s="2"/>
      <c r="I144" s="2"/>
      <c r="J144" s="2"/>
      <c r="K144" s="2"/>
      <c r="L144" s="2"/>
      <c r="M144" s="2"/>
      <c r="N144" s="2"/>
      <c r="O144" s="2"/>
      <c r="P144" s="2"/>
      <c r="Q144" s="2"/>
      <c r="R144" s="2"/>
      <c r="S144" s="2"/>
      <c r="T144" s="2"/>
      <c r="U144" s="2"/>
      <c r="V144" s="2"/>
      <c r="W144" s="2"/>
      <c r="X144" s="2"/>
      <c r="Y144" s="2"/>
      <c r="Z144" s="2"/>
      <c r="AA144" s="2"/>
    </row>
    <row r="145">
      <c r="A145" s="1" t="s">
        <v>42</v>
      </c>
      <c r="B145" s="1" t="s">
        <v>578</v>
      </c>
      <c r="C145" s="1" t="s">
        <v>579</v>
      </c>
      <c r="D145" s="1" t="s">
        <v>580</v>
      </c>
      <c r="E145" s="1" t="s">
        <v>581</v>
      </c>
      <c r="F145" s="2">
        <f t="shared" si="1"/>
        <v>0</v>
      </c>
      <c r="G145" s="2"/>
      <c r="H145" s="2"/>
      <c r="I145" s="2"/>
      <c r="J145" s="2"/>
      <c r="K145" s="2"/>
      <c r="L145" s="2"/>
      <c r="M145" s="2"/>
      <c r="N145" s="2"/>
      <c r="O145" s="2"/>
      <c r="P145" s="2"/>
      <c r="Q145" s="2"/>
      <c r="R145" s="2"/>
      <c r="S145" s="2"/>
      <c r="T145" s="2"/>
      <c r="U145" s="2"/>
      <c r="V145" s="2"/>
      <c r="W145" s="2"/>
      <c r="X145" s="2"/>
      <c r="Y145" s="2"/>
      <c r="Z145" s="2"/>
      <c r="AA145" s="2"/>
    </row>
    <row r="146">
      <c r="A146" s="1" t="s">
        <v>42</v>
      </c>
      <c r="B146" s="1" t="s">
        <v>582</v>
      </c>
      <c r="C146" s="1" t="s">
        <v>583</v>
      </c>
      <c r="D146" s="1" t="s">
        <v>584</v>
      </c>
      <c r="E146" s="1" t="s">
        <v>585</v>
      </c>
      <c r="F146" s="2">
        <f t="shared" si="1"/>
        <v>0</v>
      </c>
      <c r="G146" s="2"/>
      <c r="H146" s="2"/>
      <c r="I146" s="2"/>
      <c r="J146" s="2"/>
      <c r="K146" s="2"/>
      <c r="L146" s="2"/>
      <c r="M146" s="2"/>
      <c r="N146" s="2"/>
      <c r="O146" s="2"/>
      <c r="P146" s="2"/>
      <c r="Q146" s="2"/>
      <c r="R146" s="2"/>
      <c r="S146" s="2"/>
      <c r="T146" s="2"/>
      <c r="U146" s="2"/>
      <c r="V146" s="2"/>
      <c r="W146" s="2"/>
      <c r="X146" s="2"/>
      <c r="Y146" s="2"/>
      <c r="Z146" s="2"/>
      <c r="AA146" s="2"/>
    </row>
    <row r="147">
      <c r="A147" s="1" t="s">
        <v>42</v>
      </c>
      <c r="B147" s="1" t="s">
        <v>586</v>
      </c>
      <c r="C147" s="1" t="s">
        <v>587</v>
      </c>
      <c r="D147" s="1" t="s">
        <v>588</v>
      </c>
      <c r="E147" s="1" t="s">
        <v>589</v>
      </c>
      <c r="F147" s="2">
        <f t="shared" si="1"/>
        <v>0</v>
      </c>
      <c r="G147" s="2"/>
      <c r="H147" s="2"/>
      <c r="I147" s="2"/>
      <c r="J147" s="2"/>
      <c r="K147" s="2"/>
      <c r="L147" s="2"/>
      <c r="M147" s="2"/>
      <c r="N147" s="2"/>
      <c r="O147" s="2"/>
      <c r="P147" s="2"/>
      <c r="Q147" s="2"/>
      <c r="R147" s="2"/>
      <c r="S147" s="2"/>
      <c r="T147" s="2"/>
      <c r="U147" s="2"/>
      <c r="V147" s="2"/>
      <c r="W147" s="2"/>
      <c r="X147" s="2"/>
      <c r="Y147" s="2"/>
      <c r="Z147" s="2"/>
      <c r="AA147" s="2"/>
    </row>
    <row r="148">
      <c r="A148" s="1" t="s">
        <v>42</v>
      </c>
      <c r="B148" s="1" t="s">
        <v>590</v>
      </c>
      <c r="C148" s="1" t="s">
        <v>591</v>
      </c>
      <c r="D148" s="1" t="s">
        <v>592</v>
      </c>
      <c r="E148" s="1" t="s">
        <v>593</v>
      </c>
      <c r="F148" s="2">
        <f t="shared" si="1"/>
        <v>0</v>
      </c>
      <c r="G148" s="2"/>
      <c r="H148" s="2"/>
      <c r="I148" s="2"/>
      <c r="J148" s="2"/>
      <c r="K148" s="2"/>
      <c r="L148" s="2"/>
      <c r="M148" s="2"/>
      <c r="N148" s="2"/>
      <c r="O148" s="2"/>
      <c r="P148" s="2"/>
      <c r="Q148" s="2"/>
      <c r="R148" s="2"/>
      <c r="S148" s="2"/>
      <c r="T148" s="2"/>
      <c r="U148" s="2"/>
      <c r="V148" s="2"/>
      <c r="W148" s="2"/>
      <c r="X148" s="2"/>
      <c r="Y148" s="2"/>
      <c r="Z148" s="2"/>
      <c r="AA148" s="2"/>
    </row>
    <row r="149">
      <c r="A149" s="1" t="s">
        <v>42</v>
      </c>
      <c r="B149" s="1" t="s">
        <v>594</v>
      </c>
      <c r="C149" s="1" t="s">
        <v>595</v>
      </c>
      <c r="D149" s="2"/>
      <c r="E149" s="1" t="s">
        <v>596</v>
      </c>
      <c r="F149" s="2">
        <f t="shared" si="1"/>
        <v>0</v>
      </c>
      <c r="G149" s="2"/>
      <c r="H149" s="2"/>
      <c r="I149" s="2"/>
      <c r="J149" s="2"/>
      <c r="K149" s="2"/>
      <c r="L149" s="2"/>
      <c r="M149" s="2"/>
      <c r="N149" s="2"/>
      <c r="O149" s="2"/>
      <c r="P149" s="2"/>
      <c r="Q149" s="2"/>
      <c r="R149" s="2"/>
      <c r="S149" s="2"/>
      <c r="T149" s="2"/>
      <c r="U149" s="2"/>
      <c r="V149" s="2"/>
      <c r="W149" s="2"/>
      <c r="X149" s="2"/>
      <c r="Y149" s="2"/>
      <c r="Z149" s="2"/>
      <c r="AA149" s="2"/>
    </row>
    <row r="150">
      <c r="A150" s="1" t="s">
        <v>42</v>
      </c>
      <c r="B150" s="1" t="s">
        <v>597</v>
      </c>
      <c r="C150" s="1" t="s">
        <v>598</v>
      </c>
      <c r="D150" s="1" t="s">
        <v>599</v>
      </c>
      <c r="E150" s="1" t="s">
        <v>600</v>
      </c>
      <c r="F150" s="2">
        <f t="shared" si="1"/>
        <v>0</v>
      </c>
      <c r="G150" s="2"/>
      <c r="H150" s="2"/>
      <c r="I150" s="2"/>
      <c r="J150" s="2"/>
      <c r="K150" s="2"/>
      <c r="L150" s="2"/>
      <c r="M150" s="2"/>
      <c r="N150" s="2"/>
      <c r="O150" s="2"/>
      <c r="P150" s="2"/>
      <c r="Q150" s="2"/>
      <c r="R150" s="2"/>
      <c r="S150" s="2"/>
      <c r="T150" s="2"/>
      <c r="U150" s="2"/>
      <c r="V150" s="2"/>
      <c r="W150" s="2"/>
      <c r="X150" s="2"/>
      <c r="Y150" s="2"/>
      <c r="Z150" s="2"/>
      <c r="AA150" s="2"/>
    </row>
    <row r="151">
      <c r="A151" s="1" t="s">
        <v>42</v>
      </c>
      <c r="B151" s="1" t="s">
        <v>601</v>
      </c>
      <c r="C151" s="1" t="s">
        <v>602</v>
      </c>
      <c r="D151" s="1" t="s">
        <v>603</v>
      </c>
      <c r="E151" s="1" t="s">
        <v>604</v>
      </c>
      <c r="F151" s="2">
        <f t="shared" si="1"/>
        <v>0</v>
      </c>
      <c r="G151" s="2"/>
      <c r="H151" s="2"/>
      <c r="I151" s="2"/>
      <c r="J151" s="2"/>
      <c r="K151" s="2"/>
      <c r="L151" s="2"/>
      <c r="M151" s="2"/>
      <c r="N151" s="2"/>
      <c r="O151" s="2"/>
      <c r="P151" s="2"/>
      <c r="Q151" s="2"/>
      <c r="R151" s="2"/>
      <c r="S151" s="2"/>
      <c r="T151" s="2"/>
      <c r="U151" s="2"/>
      <c r="V151" s="2"/>
      <c r="W151" s="2"/>
      <c r="X151" s="2"/>
      <c r="Y151" s="2"/>
      <c r="Z151" s="2"/>
      <c r="AA151" s="2"/>
    </row>
    <row r="152">
      <c r="A152" s="1" t="s">
        <v>42</v>
      </c>
      <c r="B152" s="1" t="s">
        <v>605</v>
      </c>
      <c r="C152" s="1" t="s">
        <v>606</v>
      </c>
      <c r="D152" s="1" t="s">
        <v>607</v>
      </c>
      <c r="E152" s="1" t="s">
        <v>608</v>
      </c>
      <c r="F152" s="2">
        <f t="shared" si="1"/>
        <v>0</v>
      </c>
      <c r="G152" s="2"/>
      <c r="H152" s="2"/>
      <c r="I152" s="2"/>
      <c r="J152" s="2"/>
      <c r="K152" s="2"/>
      <c r="L152" s="2"/>
      <c r="M152" s="2"/>
      <c r="N152" s="2"/>
      <c r="O152" s="2"/>
      <c r="P152" s="2"/>
      <c r="Q152" s="2"/>
      <c r="R152" s="2"/>
      <c r="S152" s="2"/>
      <c r="T152" s="2"/>
      <c r="U152" s="2"/>
      <c r="V152" s="2"/>
      <c r="W152" s="2"/>
      <c r="X152" s="2"/>
      <c r="Y152" s="2"/>
      <c r="Z152" s="2"/>
      <c r="AA152" s="2"/>
    </row>
    <row r="153">
      <c r="A153" s="1" t="s">
        <v>42</v>
      </c>
      <c r="B153" s="1" t="s">
        <v>609</v>
      </c>
      <c r="C153" s="1" t="s">
        <v>610</v>
      </c>
      <c r="D153" s="1" t="s">
        <v>611</v>
      </c>
      <c r="E153" s="1" t="s">
        <v>612</v>
      </c>
      <c r="F153" s="2">
        <f t="shared" si="1"/>
        <v>0</v>
      </c>
      <c r="G153" s="2"/>
      <c r="H153" s="2"/>
      <c r="I153" s="2"/>
      <c r="J153" s="2"/>
      <c r="K153" s="2"/>
      <c r="L153" s="2"/>
      <c r="M153" s="2"/>
      <c r="N153" s="2"/>
      <c r="O153" s="2"/>
      <c r="P153" s="2"/>
      <c r="Q153" s="2"/>
      <c r="R153" s="2"/>
      <c r="S153" s="2"/>
      <c r="T153" s="2"/>
      <c r="U153" s="2"/>
      <c r="V153" s="2"/>
      <c r="W153" s="2"/>
      <c r="X153" s="2"/>
      <c r="Y153" s="2"/>
      <c r="Z153" s="2"/>
      <c r="AA153" s="2"/>
    </row>
    <row r="154">
      <c r="A154" s="1" t="s">
        <v>42</v>
      </c>
      <c r="B154" s="1" t="s">
        <v>613</v>
      </c>
      <c r="C154" s="1" t="s">
        <v>614</v>
      </c>
      <c r="D154" s="1" t="s">
        <v>615</v>
      </c>
      <c r="E154" s="1" t="s">
        <v>616</v>
      </c>
      <c r="F154" s="2">
        <f t="shared" si="1"/>
        <v>0</v>
      </c>
      <c r="G154" s="2"/>
      <c r="H154" s="2"/>
      <c r="I154" s="2"/>
      <c r="J154" s="2"/>
      <c r="K154" s="2"/>
      <c r="L154" s="2"/>
      <c r="M154" s="2"/>
      <c r="N154" s="2"/>
      <c r="O154" s="2"/>
      <c r="P154" s="2"/>
      <c r="Q154" s="2"/>
      <c r="R154" s="2"/>
      <c r="S154" s="2"/>
      <c r="T154" s="2"/>
      <c r="U154" s="2"/>
      <c r="V154" s="2"/>
      <c r="W154" s="2"/>
      <c r="X154" s="2"/>
      <c r="Y154" s="2"/>
      <c r="Z154" s="2"/>
      <c r="AA154" s="2"/>
    </row>
    <row r="155">
      <c r="A155" s="1" t="s">
        <v>42</v>
      </c>
      <c r="B155" s="1" t="s">
        <v>617</v>
      </c>
      <c r="C155" s="1" t="s">
        <v>618</v>
      </c>
      <c r="D155" s="1" t="s">
        <v>619</v>
      </c>
      <c r="E155" s="1" t="s">
        <v>620</v>
      </c>
      <c r="F155" s="2">
        <f t="shared" si="1"/>
        <v>0</v>
      </c>
      <c r="G155" s="2"/>
      <c r="H155" s="2"/>
      <c r="I155" s="2"/>
      <c r="J155" s="2"/>
      <c r="K155" s="2"/>
      <c r="L155" s="2"/>
      <c r="M155" s="2"/>
      <c r="N155" s="2"/>
      <c r="O155" s="2"/>
      <c r="P155" s="2"/>
      <c r="Q155" s="2"/>
      <c r="R155" s="2"/>
      <c r="S155" s="2"/>
      <c r="T155" s="2"/>
      <c r="U155" s="2"/>
      <c r="V155" s="2"/>
      <c r="W155" s="2"/>
      <c r="X155" s="2"/>
      <c r="Y155" s="2"/>
      <c r="Z155" s="2"/>
      <c r="AA155" s="2"/>
    </row>
    <row r="156">
      <c r="A156" s="1" t="s">
        <v>42</v>
      </c>
      <c r="B156" s="1" t="s">
        <v>621</v>
      </c>
      <c r="C156" s="1" t="s">
        <v>622</v>
      </c>
      <c r="D156" s="1" t="s">
        <v>623</v>
      </c>
      <c r="E156" s="1" t="s">
        <v>624</v>
      </c>
      <c r="F156" s="2">
        <f t="shared" si="1"/>
        <v>0</v>
      </c>
      <c r="G156" s="2"/>
      <c r="H156" s="2"/>
      <c r="I156" s="2"/>
      <c r="J156" s="2"/>
      <c r="K156" s="2"/>
      <c r="L156" s="2"/>
      <c r="M156" s="2"/>
      <c r="N156" s="2"/>
      <c r="O156" s="2"/>
      <c r="P156" s="2"/>
      <c r="Q156" s="2"/>
      <c r="R156" s="2"/>
      <c r="S156" s="2"/>
      <c r="T156" s="2"/>
      <c r="U156" s="2"/>
      <c r="V156" s="2"/>
      <c r="W156" s="2"/>
      <c r="X156" s="2"/>
      <c r="Y156" s="2"/>
      <c r="Z156" s="2"/>
      <c r="AA156" s="2"/>
    </row>
    <row r="157">
      <c r="A157" s="1" t="s">
        <v>42</v>
      </c>
      <c r="B157" s="1" t="s">
        <v>625</v>
      </c>
      <c r="C157" s="1" t="s">
        <v>626</v>
      </c>
      <c r="D157" s="1" t="s">
        <v>627</v>
      </c>
      <c r="E157" s="1" t="s">
        <v>628</v>
      </c>
      <c r="F157" s="2">
        <f t="shared" si="1"/>
        <v>0</v>
      </c>
      <c r="G157" s="2"/>
      <c r="H157" s="2"/>
      <c r="I157" s="2"/>
      <c r="J157" s="2"/>
      <c r="K157" s="2"/>
      <c r="L157" s="2"/>
      <c r="M157" s="2"/>
      <c r="N157" s="2"/>
      <c r="O157" s="2"/>
      <c r="P157" s="2"/>
      <c r="Q157" s="2"/>
      <c r="R157" s="2"/>
      <c r="S157" s="2"/>
      <c r="T157" s="2"/>
      <c r="U157" s="2"/>
      <c r="V157" s="2"/>
      <c r="W157" s="2"/>
      <c r="X157" s="2"/>
      <c r="Y157" s="2"/>
      <c r="Z157" s="2"/>
      <c r="AA157" s="2"/>
    </row>
    <row r="158">
      <c r="A158" s="1" t="s">
        <v>42</v>
      </c>
      <c r="B158" s="1" t="s">
        <v>629</v>
      </c>
      <c r="C158" s="1" t="s">
        <v>630</v>
      </c>
      <c r="D158" s="1" t="s">
        <v>631</v>
      </c>
      <c r="E158" s="1" t="s">
        <v>632</v>
      </c>
      <c r="F158" s="2">
        <f t="shared" si="1"/>
        <v>0</v>
      </c>
      <c r="G158" s="2"/>
      <c r="H158" s="2"/>
      <c r="I158" s="2"/>
      <c r="J158" s="2"/>
      <c r="K158" s="2"/>
      <c r="L158" s="2"/>
      <c r="M158" s="2"/>
      <c r="N158" s="2"/>
      <c r="O158" s="2"/>
      <c r="P158" s="2"/>
      <c r="Q158" s="2"/>
      <c r="R158" s="2"/>
      <c r="S158" s="2"/>
      <c r="T158" s="2"/>
      <c r="U158" s="2"/>
      <c r="V158" s="2"/>
      <c r="W158" s="2"/>
      <c r="X158" s="2"/>
      <c r="Y158" s="2"/>
      <c r="Z158" s="2"/>
      <c r="AA158" s="2"/>
    </row>
    <row r="159">
      <c r="A159" s="1" t="s">
        <v>42</v>
      </c>
      <c r="B159" s="1" t="s">
        <v>633</v>
      </c>
      <c r="C159" s="1" t="s">
        <v>634</v>
      </c>
      <c r="D159" s="1" t="s">
        <v>635</v>
      </c>
      <c r="E159" s="1" t="s">
        <v>636</v>
      </c>
      <c r="F159" s="2">
        <f t="shared" si="1"/>
        <v>0</v>
      </c>
      <c r="G159" s="2"/>
      <c r="H159" s="2"/>
      <c r="I159" s="2"/>
      <c r="J159" s="2"/>
      <c r="K159" s="2"/>
      <c r="L159" s="2"/>
      <c r="M159" s="2"/>
      <c r="N159" s="2"/>
      <c r="O159" s="2"/>
      <c r="P159" s="2"/>
      <c r="Q159" s="2"/>
      <c r="R159" s="2"/>
      <c r="S159" s="2"/>
      <c r="T159" s="2"/>
      <c r="U159" s="2"/>
      <c r="V159" s="2"/>
      <c r="W159" s="2"/>
      <c r="X159" s="2"/>
      <c r="Y159" s="2"/>
      <c r="Z159" s="2"/>
      <c r="AA159" s="2"/>
    </row>
    <row r="160">
      <c r="A160" s="1" t="s">
        <v>42</v>
      </c>
      <c r="B160" s="1" t="s">
        <v>637</v>
      </c>
      <c r="C160" s="1" t="s">
        <v>638</v>
      </c>
      <c r="D160" s="1" t="s">
        <v>639</v>
      </c>
      <c r="E160" s="1" t="s">
        <v>640</v>
      </c>
      <c r="F160" s="2">
        <f t="shared" si="1"/>
        <v>0</v>
      </c>
      <c r="G160" s="2"/>
      <c r="H160" s="2"/>
      <c r="I160" s="2"/>
      <c r="J160" s="2"/>
      <c r="K160" s="2"/>
      <c r="L160" s="2"/>
      <c r="M160" s="2"/>
      <c r="N160" s="2"/>
      <c r="O160" s="2"/>
      <c r="P160" s="2"/>
      <c r="Q160" s="2"/>
      <c r="R160" s="2"/>
      <c r="S160" s="2"/>
      <c r="T160" s="2"/>
      <c r="U160" s="2"/>
      <c r="V160" s="2"/>
      <c r="W160" s="2"/>
      <c r="X160" s="2"/>
      <c r="Y160" s="2"/>
      <c r="Z160" s="2"/>
      <c r="AA160" s="2"/>
    </row>
    <row r="161">
      <c r="A161" s="1" t="s">
        <v>42</v>
      </c>
      <c r="B161" s="1" t="s">
        <v>641</v>
      </c>
      <c r="C161" s="1" t="s">
        <v>642</v>
      </c>
      <c r="D161" s="1" t="s">
        <v>643</v>
      </c>
      <c r="E161" s="1" t="s">
        <v>644</v>
      </c>
      <c r="F161" s="2">
        <f t="shared" si="1"/>
        <v>0</v>
      </c>
      <c r="G161" s="2"/>
      <c r="H161" s="2"/>
      <c r="I161" s="2"/>
      <c r="J161" s="2"/>
      <c r="K161" s="2"/>
      <c r="L161" s="2"/>
      <c r="M161" s="2"/>
      <c r="N161" s="2"/>
      <c r="O161" s="2"/>
      <c r="P161" s="2"/>
      <c r="Q161" s="2"/>
      <c r="R161" s="2"/>
      <c r="S161" s="2"/>
      <c r="T161" s="2"/>
      <c r="U161" s="2"/>
      <c r="V161" s="2"/>
      <c r="W161" s="2"/>
      <c r="X161" s="2"/>
      <c r="Y161" s="2"/>
      <c r="Z161" s="2"/>
      <c r="AA161" s="2"/>
    </row>
    <row r="162">
      <c r="A162" s="1" t="s">
        <v>42</v>
      </c>
      <c r="B162" s="1" t="s">
        <v>645</v>
      </c>
      <c r="C162" s="1" t="s">
        <v>646</v>
      </c>
      <c r="D162" s="1" t="s">
        <v>647</v>
      </c>
      <c r="E162" s="1" t="s">
        <v>648</v>
      </c>
      <c r="F162" s="2">
        <f t="shared" si="1"/>
        <v>0</v>
      </c>
      <c r="G162" s="2"/>
      <c r="H162" s="2"/>
      <c r="I162" s="2"/>
      <c r="J162" s="2"/>
      <c r="K162" s="2"/>
      <c r="L162" s="2"/>
      <c r="M162" s="2"/>
      <c r="N162" s="2"/>
      <c r="O162" s="2"/>
      <c r="P162" s="2"/>
      <c r="Q162" s="2"/>
      <c r="R162" s="2"/>
      <c r="S162" s="2"/>
      <c r="T162" s="2"/>
      <c r="U162" s="2"/>
      <c r="V162" s="2"/>
      <c r="W162" s="2"/>
      <c r="X162" s="2"/>
      <c r="Y162" s="2"/>
      <c r="Z162" s="2"/>
      <c r="AA162" s="2"/>
    </row>
    <row r="163">
      <c r="A163" s="1" t="s">
        <v>42</v>
      </c>
      <c r="B163" s="1" t="s">
        <v>649</v>
      </c>
      <c r="C163" s="1" t="s">
        <v>650</v>
      </c>
      <c r="D163" s="1" t="s">
        <v>651</v>
      </c>
      <c r="E163" s="1" t="s">
        <v>652</v>
      </c>
      <c r="F163" s="2">
        <f t="shared" si="1"/>
        <v>0</v>
      </c>
      <c r="G163" s="2"/>
      <c r="H163" s="2"/>
      <c r="I163" s="2"/>
      <c r="J163" s="2"/>
      <c r="K163" s="2"/>
      <c r="L163" s="2"/>
      <c r="M163" s="2"/>
      <c r="N163" s="2"/>
      <c r="O163" s="2"/>
      <c r="P163" s="2"/>
      <c r="Q163" s="2"/>
      <c r="R163" s="2"/>
      <c r="S163" s="2"/>
      <c r="T163" s="2"/>
      <c r="U163" s="2"/>
      <c r="V163" s="2"/>
      <c r="W163" s="2"/>
      <c r="X163" s="2"/>
      <c r="Y163" s="2"/>
      <c r="Z163" s="2"/>
      <c r="AA163" s="2"/>
    </row>
    <row r="164">
      <c r="A164" s="1" t="s">
        <v>42</v>
      </c>
      <c r="B164" s="1" t="s">
        <v>653</v>
      </c>
      <c r="C164" s="1" t="s">
        <v>654</v>
      </c>
      <c r="D164" s="1" t="s">
        <v>655</v>
      </c>
      <c r="E164" s="1" t="s">
        <v>656</v>
      </c>
      <c r="F164" s="2">
        <f t="shared" si="1"/>
        <v>0</v>
      </c>
      <c r="G164" s="2"/>
      <c r="H164" s="2"/>
      <c r="I164" s="2"/>
      <c r="J164" s="2"/>
      <c r="K164" s="2"/>
      <c r="L164" s="2"/>
      <c r="M164" s="2"/>
      <c r="N164" s="2"/>
      <c r="O164" s="2"/>
      <c r="P164" s="2"/>
      <c r="Q164" s="2"/>
      <c r="R164" s="2"/>
      <c r="S164" s="2"/>
      <c r="T164" s="2"/>
      <c r="U164" s="2"/>
      <c r="V164" s="2"/>
      <c r="W164" s="2"/>
      <c r="X164" s="2"/>
      <c r="Y164" s="2"/>
      <c r="Z164" s="2"/>
      <c r="AA164" s="2"/>
    </row>
    <row r="165">
      <c r="A165" s="1" t="s">
        <v>42</v>
      </c>
      <c r="B165" s="1" t="s">
        <v>657</v>
      </c>
      <c r="C165" s="1" t="s">
        <v>658</v>
      </c>
      <c r="D165" s="1" t="s">
        <v>659</v>
      </c>
      <c r="E165" s="1" t="s">
        <v>660</v>
      </c>
      <c r="F165" s="2">
        <f t="shared" si="1"/>
        <v>0</v>
      </c>
      <c r="G165" s="2"/>
      <c r="H165" s="2"/>
      <c r="I165" s="2"/>
      <c r="J165" s="2"/>
      <c r="K165" s="2"/>
      <c r="L165" s="2"/>
      <c r="M165" s="2"/>
      <c r="N165" s="2"/>
      <c r="O165" s="2"/>
      <c r="P165" s="2"/>
      <c r="Q165" s="2"/>
      <c r="R165" s="2"/>
      <c r="S165" s="2"/>
      <c r="T165" s="2"/>
      <c r="U165" s="2"/>
      <c r="V165" s="2"/>
      <c r="W165" s="2"/>
      <c r="X165" s="2"/>
      <c r="Y165" s="2"/>
      <c r="Z165" s="2"/>
      <c r="AA165" s="2"/>
    </row>
    <row r="166">
      <c r="A166" s="1" t="s">
        <v>42</v>
      </c>
      <c r="B166" s="1" t="s">
        <v>661</v>
      </c>
      <c r="C166" s="1" t="s">
        <v>662</v>
      </c>
      <c r="D166" s="1" t="s">
        <v>663</v>
      </c>
      <c r="E166" s="1" t="s">
        <v>664</v>
      </c>
      <c r="F166" s="2">
        <f t="shared" si="1"/>
        <v>0</v>
      </c>
      <c r="G166" s="2"/>
      <c r="H166" s="2"/>
      <c r="I166" s="2"/>
      <c r="J166" s="2"/>
      <c r="K166" s="2"/>
      <c r="L166" s="2"/>
      <c r="M166" s="2"/>
      <c r="N166" s="2"/>
      <c r="O166" s="2"/>
      <c r="P166" s="2"/>
      <c r="Q166" s="2"/>
      <c r="R166" s="2"/>
      <c r="S166" s="2"/>
      <c r="T166" s="2"/>
      <c r="U166" s="2"/>
      <c r="V166" s="2"/>
      <c r="W166" s="2"/>
      <c r="X166" s="2"/>
      <c r="Y166" s="2"/>
      <c r="Z166" s="2"/>
      <c r="AA166" s="2"/>
    </row>
    <row r="167">
      <c r="A167" s="1" t="s">
        <v>42</v>
      </c>
      <c r="B167" s="1" t="s">
        <v>665</v>
      </c>
      <c r="C167" s="1" t="s">
        <v>666</v>
      </c>
      <c r="D167" s="1" t="s">
        <v>667</v>
      </c>
      <c r="E167" s="1" t="s">
        <v>668</v>
      </c>
      <c r="F167" s="2">
        <f t="shared" si="1"/>
        <v>0</v>
      </c>
      <c r="G167" s="2"/>
      <c r="H167" s="2"/>
      <c r="I167" s="2"/>
      <c r="J167" s="2"/>
      <c r="K167" s="2"/>
      <c r="L167" s="2"/>
      <c r="M167" s="2"/>
      <c r="N167" s="2"/>
      <c r="O167" s="2"/>
      <c r="P167" s="2"/>
      <c r="Q167" s="2"/>
      <c r="R167" s="2"/>
      <c r="S167" s="2"/>
      <c r="T167" s="2"/>
      <c r="U167" s="2"/>
      <c r="V167" s="2"/>
      <c r="W167" s="2"/>
      <c r="X167" s="2"/>
      <c r="Y167" s="2"/>
      <c r="Z167" s="2"/>
      <c r="AA167" s="2"/>
    </row>
    <row r="168">
      <c r="A168" s="1" t="s">
        <v>42</v>
      </c>
      <c r="B168" s="1" t="s">
        <v>669</v>
      </c>
      <c r="C168" s="1" t="s">
        <v>670</v>
      </c>
      <c r="D168" s="1" t="s">
        <v>671</v>
      </c>
      <c r="E168" s="1" t="s">
        <v>672</v>
      </c>
      <c r="F168" s="2">
        <f t="shared" si="1"/>
        <v>0</v>
      </c>
      <c r="G168" s="2"/>
      <c r="H168" s="2"/>
      <c r="I168" s="2"/>
      <c r="J168" s="2"/>
      <c r="K168" s="2"/>
      <c r="L168" s="2"/>
      <c r="M168" s="2"/>
      <c r="N168" s="2"/>
      <c r="O168" s="2"/>
      <c r="P168" s="2"/>
      <c r="Q168" s="2"/>
      <c r="R168" s="2"/>
      <c r="S168" s="2"/>
      <c r="T168" s="2"/>
      <c r="U168" s="2"/>
      <c r="V168" s="2"/>
      <c r="W168" s="2"/>
      <c r="X168" s="2"/>
      <c r="Y168" s="2"/>
      <c r="Z168" s="2"/>
      <c r="AA168" s="2"/>
    </row>
    <row r="169">
      <c r="A169" s="1" t="s">
        <v>42</v>
      </c>
      <c r="B169" s="1" t="s">
        <v>673</v>
      </c>
      <c r="C169" s="1" t="s">
        <v>674</v>
      </c>
      <c r="D169" s="1" t="s">
        <v>675</v>
      </c>
      <c r="E169" s="1" t="s">
        <v>676</v>
      </c>
      <c r="F169" s="2">
        <f t="shared" si="1"/>
        <v>0</v>
      </c>
      <c r="G169" s="2"/>
      <c r="H169" s="2"/>
      <c r="I169" s="2"/>
      <c r="J169" s="2"/>
      <c r="K169" s="2"/>
      <c r="L169" s="2"/>
      <c r="M169" s="2"/>
      <c r="N169" s="2"/>
      <c r="O169" s="2"/>
      <c r="P169" s="2"/>
      <c r="Q169" s="2"/>
      <c r="R169" s="2"/>
      <c r="S169" s="2"/>
      <c r="T169" s="2"/>
      <c r="U169" s="2"/>
      <c r="V169" s="2"/>
      <c r="W169" s="2"/>
      <c r="X169" s="2"/>
      <c r="Y169" s="2"/>
      <c r="Z169" s="2"/>
      <c r="AA169" s="2"/>
    </row>
    <row r="170">
      <c r="A170" s="1" t="s">
        <v>42</v>
      </c>
      <c r="B170" s="1" t="s">
        <v>677</v>
      </c>
      <c r="C170" s="1" t="s">
        <v>678</v>
      </c>
      <c r="D170" s="1" t="s">
        <v>679</v>
      </c>
      <c r="E170" s="1" t="s">
        <v>680</v>
      </c>
      <c r="F170" s="2">
        <f t="shared" si="1"/>
        <v>0</v>
      </c>
      <c r="G170" s="2"/>
      <c r="H170" s="2"/>
      <c r="I170" s="2"/>
      <c r="J170" s="2"/>
      <c r="K170" s="2"/>
      <c r="L170" s="2"/>
      <c r="M170" s="2"/>
      <c r="N170" s="2"/>
      <c r="O170" s="2"/>
      <c r="P170" s="2"/>
      <c r="Q170" s="2"/>
      <c r="R170" s="2"/>
      <c r="S170" s="2"/>
      <c r="T170" s="2"/>
      <c r="U170" s="2"/>
      <c r="V170" s="2"/>
      <c r="W170" s="2"/>
      <c r="X170" s="2"/>
      <c r="Y170" s="2"/>
      <c r="Z170" s="2"/>
      <c r="AA170" s="2"/>
    </row>
    <row r="171">
      <c r="A171" s="1" t="s">
        <v>42</v>
      </c>
      <c r="B171" s="1" t="s">
        <v>681</v>
      </c>
      <c r="C171" s="1" t="s">
        <v>682</v>
      </c>
      <c r="D171" s="1" t="s">
        <v>683</v>
      </c>
      <c r="E171" s="1" t="s">
        <v>684</v>
      </c>
      <c r="F171" s="2">
        <f t="shared" si="1"/>
        <v>0</v>
      </c>
      <c r="G171" s="2"/>
      <c r="H171" s="2"/>
      <c r="I171" s="2"/>
      <c r="J171" s="2"/>
      <c r="K171" s="2"/>
      <c r="L171" s="2"/>
      <c r="M171" s="2"/>
      <c r="N171" s="2"/>
      <c r="O171" s="2"/>
      <c r="P171" s="2"/>
      <c r="Q171" s="2"/>
      <c r="R171" s="2"/>
      <c r="S171" s="2"/>
      <c r="T171" s="2"/>
      <c r="U171" s="2"/>
      <c r="V171" s="2"/>
      <c r="W171" s="2"/>
      <c r="X171" s="2"/>
      <c r="Y171" s="2"/>
      <c r="Z171" s="2"/>
      <c r="AA171" s="2"/>
    </row>
    <row r="172">
      <c r="A172" s="1" t="s">
        <v>42</v>
      </c>
      <c r="B172" s="1" t="s">
        <v>685</v>
      </c>
      <c r="C172" s="1" t="s">
        <v>686</v>
      </c>
      <c r="D172" s="1" t="s">
        <v>687</v>
      </c>
      <c r="E172" s="1" t="s">
        <v>688</v>
      </c>
      <c r="F172" s="2">
        <f t="shared" si="1"/>
        <v>0</v>
      </c>
      <c r="G172" s="2"/>
      <c r="H172" s="2"/>
      <c r="I172" s="2"/>
      <c r="J172" s="2"/>
      <c r="K172" s="2"/>
      <c r="L172" s="2"/>
      <c r="M172" s="2"/>
      <c r="N172" s="2"/>
      <c r="O172" s="2"/>
      <c r="P172" s="2"/>
      <c r="Q172" s="2"/>
      <c r="R172" s="2"/>
      <c r="S172" s="2"/>
      <c r="T172" s="2"/>
      <c r="U172" s="2"/>
      <c r="V172" s="2"/>
      <c r="W172" s="2"/>
      <c r="X172" s="2"/>
      <c r="Y172" s="2"/>
      <c r="Z172" s="2"/>
      <c r="AA172" s="2"/>
    </row>
    <row r="173">
      <c r="A173" s="1" t="s">
        <v>42</v>
      </c>
      <c r="B173" s="1" t="s">
        <v>689</v>
      </c>
      <c r="C173" s="1" t="s">
        <v>690</v>
      </c>
      <c r="D173" s="1" t="s">
        <v>691</v>
      </c>
      <c r="E173" s="1" t="s">
        <v>692</v>
      </c>
      <c r="F173" s="2">
        <f t="shared" si="1"/>
        <v>0</v>
      </c>
      <c r="G173" s="2"/>
      <c r="H173" s="2"/>
      <c r="I173" s="2"/>
      <c r="J173" s="2"/>
      <c r="K173" s="2"/>
      <c r="L173" s="2"/>
      <c r="M173" s="2"/>
      <c r="N173" s="2"/>
      <c r="O173" s="2"/>
      <c r="P173" s="2"/>
      <c r="Q173" s="2"/>
      <c r="R173" s="2"/>
      <c r="S173" s="2"/>
      <c r="T173" s="2"/>
      <c r="U173" s="2"/>
      <c r="V173" s="2"/>
      <c r="W173" s="2"/>
      <c r="X173" s="2"/>
      <c r="Y173" s="2"/>
      <c r="Z173" s="2"/>
      <c r="AA173" s="2"/>
    </row>
    <row r="174">
      <c r="A174" s="1" t="s">
        <v>42</v>
      </c>
      <c r="B174" s="1" t="s">
        <v>693</v>
      </c>
      <c r="C174" s="1" t="s">
        <v>694</v>
      </c>
      <c r="D174" s="1" t="s">
        <v>695</v>
      </c>
      <c r="E174" s="1" t="s">
        <v>696</v>
      </c>
      <c r="F174" s="2">
        <f t="shared" si="1"/>
        <v>0</v>
      </c>
      <c r="G174" s="2"/>
      <c r="H174" s="2"/>
      <c r="I174" s="2"/>
      <c r="J174" s="2"/>
      <c r="K174" s="2"/>
      <c r="L174" s="2"/>
      <c r="M174" s="2"/>
      <c r="N174" s="2"/>
      <c r="O174" s="2"/>
      <c r="P174" s="2"/>
      <c r="Q174" s="2"/>
      <c r="R174" s="2"/>
      <c r="S174" s="2"/>
      <c r="T174" s="2"/>
      <c r="U174" s="2"/>
      <c r="V174" s="2"/>
      <c r="W174" s="2"/>
      <c r="X174" s="2"/>
      <c r="Y174" s="2"/>
      <c r="Z174" s="2"/>
      <c r="AA174" s="2"/>
    </row>
    <row r="175">
      <c r="A175" s="1" t="s">
        <v>42</v>
      </c>
      <c r="B175" s="1" t="s">
        <v>697</v>
      </c>
      <c r="C175" s="1" t="s">
        <v>698</v>
      </c>
      <c r="D175" s="1" t="s">
        <v>699</v>
      </c>
      <c r="E175" s="1" t="s">
        <v>700</v>
      </c>
      <c r="F175" s="2">
        <f t="shared" si="1"/>
        <v>0</v>
      </c>
      <c r="G175" s="2"/>
      <c r="H175" s="2"/>
      <c r="I175" s="2"/>
      <c r="J175" s="2"/>
      <c r="K175" s="2"/>
      <c r="L175" s="2"/>
      <c r="M175" s="2"/>
      <c r="N175" s="2"/>
      <c r="O175" s="2"/>
      <c r="P175" s="2"/>
      <c r="Q175" s="2"/>
      <c r="R175" s="2"/>
      <c r="S175" s="2"/>
      <c r="T175" s="2"/>
      <c r="U175" s="2"/>
      <c r="V175" s="2"/>
      <c r="W175" s="2"/>
      <c r="X175" s="2"/>
      <c r="Y175" s="2"/>
      <c r="Z175" s="2"/>
      <c r="AA175" s="2"/>
    </row>
    <row r="176">
      <c r="A176" s="1" t="s">
        <v>42</v>
      </c>
      <c r="B176" s="1" t="s">
        <v>701</v>
      </c>
      <c r="C176" s="1" t="s">
        <v>702</v>
      </c>
      <c r="D176" s="1" t="s">
        <v>703</v>
      </c>
      <c r="E176" s="1" t="s">
        <v>704</v>
      </c>
      <c r="F176" s="2">
        <f t="shared" si="1"/>
        <v>0</v>
      </c>
      <c r="G176" s="2"/>
      <c r="H176" s="2"/>
      <c r="I176" s="2"/>
      <c r="J176" s="2"/>
      <c r="K176" s="2"/>
      <c r="L176" s="2"/>
      <c r="M176" s="2"/>
      <c r="N176" s="2"/>
      <c r="O176" s="2"/>
      <c r="P176" s="2"/>
      <c r="Q176" s="2"/>
      <c r="R176" s="2"/>
      <c r="S176" s="2"/>
      <c r="T176" s="2"/>
      <c r="U176" s="2"/>
      <c r="V176" s="2"/>
      <c r="W176" s="2"/>
      <c r="X176" s="2"/>
      <c r="Y176" s="2"/>
      <c r="Z176" s="2"/>
      <c r="AA176" s="2"/>
    </row>
    <row r="177">
      <c r="A177" s="1" t="s">
        <v>42</v>
      </c>
      <c r="B177" s="1" t="s">
        <v>705</v>
      </c>
      <c r="C177" s="1" t="s">
        <v>706</v>
      </c>
      <c r="D177" s="1" t="s">
        <v>707</v>
      </c>
      <c r="E177" s="1" t="s">
        <v>708</v>
      </c>
      <c r="F177" s="2">
        <f t="shared" si="1"/>
        <v>0</v>
      </c>
      <c r="G177" s="2"/>
      <c r="H177" s="2"/>
      <c r="I177" s="2"/>
      <c r="J177" s="2"/>
      <c r="K177" s="2"/>
      <c r="L177" s="2"/>
      <c r="M177" s="2"/>
      <c r="N177" s="2"/>
      <c r="O177" s="2"/>
      <c r="P177" s="2"/>
      <c r="Q177" s="2"/>
      <c r="R177" s="2"/>
      <c r="S177" s="2"/>
      <c r="T177" s="2"/>
      <c r="U177" s="2"/>
      <c r="V177" s="2"/>
      <c r="W177" s="2"/>
      <c r="X177" s="2"/>
      <c r="Y177" s="2"/>
      <c r="Z177" s="2"/>
      <c r="AA177" s="2"/>
    </row>
    <row r="178">
      <c r="A178" s="1" t="s">
        <v>42</v>
      </c>
      <c r="B178" s="1" t="s">
        <v>709</v>
      </c>
      <c r="C178" s="1" t="s">
        <v>710</v>
      </c>
      <c r="D178" s="1" t="s">
        <v>711</v>
      </c>
      <c r="E178" s="1" t="s">
        <v>712</v>
      </c>
      <c r="F178" s="2">
        <f t="shared" si="1"/>
        <v>0</v>
      </c>
      <c r="G178" s="2"/>
      <c r="H178" s="2"/>
      <c r="I178" s="2"/>
      <c r="J178" s="2"/>
      <c r="K178" s="2"/>
      <c r="L178" s="2"/>
      <c r="M178" s="2"/>
      <c r="N178" s="2"/>
      <c r="O178" s="2"/>
      <c r="P178" s="2"/>
      <c r="Q178" s="2"/>
      <c r="R178" s="2"/>
      <c r="S178" s="2"/>
      <c r="T178" s="2"/>
      <c r="U178" s="2"/>
      <c r="V178" s="2"/>
      <c r="W178" s="2"/>
      <c r="X178" s="2"/>
      <c r="Y178" s="2"/>
      <c r="Z178" s="2"/>
      <c r="AA178" s="2"/>
    </row>
    <row r="179">
      <c r="A179" s="1" t="s">
        <v>42</v>
      </c>
      <c r="B179" s="1" t="s">
        <v>713</v>
      </c>
      <c r="C179" s="1" t="s">
        <v>714</v>
      </c>
      <c r="D179" s="1" t="s">
        <v>715</v>
      </c>
      <c r="E179" s="1" t="s">
        <v>716</v>
      </c>
      <c r="F179" s="2">
        <f t="shared" si="1"/>
        <v>0</v>
      </c>
      <c r="G179" s="2"/>
      <c r="H179" s="2"/>
      <c r="I179" s="2"/>
      <c r="J179" s="2"/>
      <c r="K179" s="2"/>
      <c r="L179" s="2"/>
      <c r="M179" s="2"/>
      <c r="N179" s="2"/>
      <c r="O179" s="2"/>
      <c r="P179" s="2"/>
      <c r="Q179" s="2"/>
      <c r="R179" s="2"/>
      <c r="S179" s="2"/>
      <c r="T179" s="2"/>
      <c r="U179" s="2"/>
      <c r="V179" s="2"/>
      <c r="W179" s="2"/>
      <c r="X179" s="2"/>
      <c r="Y179" s="2"/>
      <c r="Z179" s="2"/>
      <c r="AA179" s="2"/>
    </row>
    <row r="180">
      <c r="A180" s="1" t="s">
        <v>42</v>
      </c>
      <c r="B180" s="1" t="s">
        <v>717</v>
      </c>
      <c r="C180" s="1" t="s">
        <v>718</v>
      </c>
      <c r="D180" s="1" t="s">
        <v>719</v>
      </c>
      <c r="E180" s="1" t="s">
        <v>720</v>
      </c>
      <c r="F180" s="2">
        <f t="shared" si="1"/>
        <v>0</v>
      </c>
      <c r="G180" s="2"/>
      <c r="H180" s="2"/>
      <c r="I180" s="2"/>
      <c r="J180" s="2"/>
      <c r="K180" s="2"/>
      <c r="L180" s="2"/>
      <c r="M180" s="2"/>
      <c r="N180" s="2"/>
      <c r="O180" s="2"/>
      <c r="P180" s="2"/>
      <c r="Q180" s="2"/>
      <c r="R180" s="2"/>
      <c r="S180" s="2"/>
      <c r="T180" s="2"/>
      <c r="U180" s="2"/>
      <c r="V180" s="2"/>
      <c r="W180" s="2"/>
      <c r="X180" s="2"/>
      <c r="Y180" s="2"/>
      <c r="Z180" s="2"/>
      <c r="AA180" s="2"/>
    </row>
    <row r="181">
      <c r="A181" s="1" t="s">
        <v>42</v>
      </c>
      <c r="B181" s="1" t="s">
        <v>721</v>
      </c>
      <c r="C181" s="1" t="s">
        <v>722</v>
      </c>
      <c r="D181" s="1" t="s">
        <v>723</v>
      </c>
      <c r="E181" s="1" t="s">
        <v>724</v>
      </c>
      <c r="F181" s="2">
        <f t="shared" si="1"/>
        <v>0</v>
      </c>
      <c r="G181" s="2"/>
      <c r="H181" s="2"/>
      <c r="I181" s="2"/>
      <c r="J181" s="2"/>
      <c r="K181" s="2"/>
      <c r="L181" s="2"/>
      <c r="M181" s="2"/>
      <c r="N181" s="2"/>
      <c r="O181" s="2"/>
      <c r="P181" s="2"/>
      <c r="Q181" s="2"/>
      <c r="R181" s="2"/>
      <c r="S181" s="2"/>
      <c r="T181" s="2"/>
      <c r="U181" s="2"/>
      <c r="V181" s="2"/>
      <c r="W181" s="2"/>
      <c r="X181" s="2"/>
      <c r="Y181" s="2"/>
      <c r="Z181" s="2"/>
      <c r="AA181" s="2"/>
    </row>
    <row r="182">
      <c r="A182" s="1" t="s">
        <v>42</v>
      </c>
      <c r="B182" s="1" t="s">
        <v>725</v>
      </c>
      <c r="C182" s="1" t="s">
        <v>726</v>
      </c>
      <c r="D182" s="1" t="s">
        <v>727</v>
      </c>
      <c r="E182" s="1" t="s">
        <v>728</v>
      </c>
      <c r="F182" s="2">
        <f t="shared" si="1"/>
        <v>0</v>
      </c>
      <c r="G182" s="2"/>
      <c r="H182" s="2"/>
      <c r="I182" s="2"/>
      <c r="J182" s="2"/>
      <c r="K182" s="2"/>
      <c r="L182" s="2"/>
      <c r="M182" s="2"/>
      <c r="N182" s="2"/>
      <c r="O182" s="2"/>
      <c r="P182" s="2"/>
      <c r="Q182" s="2"/>
      <c r="R182" s="2"/>
      <c r="S182" s="2"/>
      <c r="T182" s="2"/>
      <c r="U182" s="2"/>
      <c r="V182" s="2"/>
      <c r="W182" s="2"/>
      <c r="X182" s="2"/>
      <c r="Y182" s="2"/>
      <c r="Z182" s="2"/>
      <c r="AA182" s="2"/>
    </row>
    <row r="183">
      <c r="A183" s="1" t="s">
        <v>42</v>
      </c>
      <c r="B183" s="1" t="s">
        <v>729</v>
      </c>
      <c r="C183" s="1" t="s">
        <v>730</v>
      </c>
      <c r="D183" s="1" t="s">
        <v>731</v>
      </c>
      <c r="E183" s="1" t="s">
        <v>732</v>
      </c>
      <c r="F183" s="2">
        <f t="shared" si="1"/>
        <v>0</v>
      </c>
      <c r="G183" s="2"/>
      <c r="H183" s="2"/>
      <c r="I183" s="2"/>
      <c r="J183" s="2"/>
      <c r="K183" s="2"/>
      <c r="L183" s="2"/>
      <c r="M183" s="2"/>
      <c r="N183" s="2"/>
      <c r="O183" s="2"/>
      <c r="P183" s="2"/>
      <c r="Q183" s="2"/>
      <c r="R183" s="2"/>
      <c r="S183" s="2"/>
      <c r="T183" s="2"/>
      <c r="U183" s="2"/>
      <c r="V183" s="2"/>
      <c r="W183" s="2"/>
      <c r="X183" s="2"/>
      <c r="Y183" s="2"/>
      <c r="Z183" s="2"/>
      <c r="AA183" s="2"/>
    </row>
    <row r="184">
      <c r="A184" s="1" t="s">
        <v>42</v>
      </c>
      <c r="B184" s="1" t="s">
        <v>733</v>
      </c>
      <c r="C184" s="1" t="s">
        <v>734</v>
      </c>
      <c r="D184" s="1" t="s">
        <v>735</v>
      </c>
      <c r="E184" s="1" t="s">
        <v>736</v>
      </c>
      <c r="F184" s="2">
        <f t="shared" si="1"/>
        <v>0</v>
      </c>
      <c r="G184" s="2"/>
      <c r="H184" s="2"/>
      <c r="I184" s="2"/>
      <c r="J184" s="2"/>
      <c r="K184" s="2"/>
      <c r="L184" s="2"/>
      <c r="M184" s="2"/>
      <c r="N184" s="2"/>
      <c r="O184" s="2"/>
      <c r="P184" s="2"/>
      <c r="Q184" s="2"/>
      <c r="R184" s="2"/>
      <c r="S184" s="2"/>
      <c r="T184" s="2"/>
      <c r="U184" s="2"/>
      <c r="V184" s="2"/>
      <c r="W184" s="2"/>
      <c r="X184" s="2"/>
      <c r="Y184" s="2"/>
      <c r="Z184" s="2"/>
      <c r="AA184" s="2"/>
    </row>
    <row r="185">
      <c r="A185" s="1" t="s">
        <v>42</v>
      </c>
      <c r="B185" s="1" t="s">
        <v>737</v>
      </c>
      <c r="C185" s="1" t="s">
        <v>738</v>
      </c>
      <c r="D185" s="1" t="s">
        <v>739</v>
      </c>
      <c r="E185" s="1" t="s">
        <v>740</v>
      </c>
      <c r="F185" s="2">
        <f t="shared" si="1"/>
        <v>0</v>
      </c>
      <c r="G185" s="2"/>
      <c r="H185" s="2"/>
      <c r="I185" s="2"/>
      <c r="J185" s="2"/>
      <c r="K185" s="2"/>
      <c r="L185" s="2"/>
      <c r="M185" s="2"/>
      <c r="N185" s="2"/>
      <c r="O185" s="2"/>
      <c r="P185" s="2"/>
      <c r="Q185" s="2"/>
      <c r="R185" s="2"/>
      <c r="S185" s="2"/>
      <c r="T185" s="2"/>
      <c r="U185" s="2"/>
      <c r="V185" s="2"/>
      <c r="W185" s="2"/>
      <c r="X185" s="2"/>
      <c r="Y185" s="2"/>
      <c r="Z185" s="2"/>
      <c r="AA185" s="2"/>
    </row>
    <row r="186">
      <c r="A186" s="1" t="s">
        <v>42</v>
      </c>
      <c r="B186" s="1" t="s">
        <v>741</v>
      </c>
      <c r="C186" s="1" t="s">
        <v>742</v>
      </c>
      <c r="D186" s="1" t="s">
        <v>743</v>
      </c>
      <c r="E186" s="1" t="s">
        <v>744</v>
      </c>
      <c r="F186" s="2">
        <f t="shared" si="1"/>
        <v>0</v>
      </c>
      <c r="G186" s="2"/>
      <c r="H186" s="2"/>
      <c r="I186" s="2"/>
      <c r="J186" s="2"/>
      <c r="K186" s="2"/>
      <c r="L186" s="2"/>
      <c r="M186" s="2"/>
      <c r="N186" s="2"/>
      <c r="O186" s="2"/>
      <c r="P186" s="2"/>
      <c r="Q186" s="2"/>
      <c r="R186" s="2"/>
      <c r="S186" s="2"/>
      <c r="T186" s="2"/>
      <c r="U186" s="2"/>
      <c r="V186" s="2"/>
      <c r="W186" s="2"/>
      <c r="X186" s="2"/>
      <c r="Y186" s="2"/>
      <c r="Z186" s="2"/>
      <c r="AA186" s="2"/>
    </row>
    <row r="187">
      <c r="A187" s="1" t="s">
        <v>42</v>
      </c>
      <c r="B187" s="1" t="s">
        <v>745</v>
      </c>
      <c r="C187" s="1" t="s">
        <v>746</v>
      </c>
      <c r="D187" s="1" t="s">
        <v>747</v>
      </c>
      <c r="E187" s="1" t="s">
        <v>748</v>
      </c>
      <c r="F187" s="2">
        <f t="shared" si="1"/>
        <v>0</v>
      </c>
      <c r="G187" s="2"/>
      <c r="H187" s="2"/>
      <c r="I187" s="2"/>
      <c r="J187" s="2"/>
      <c r="K187" s="2"/>
      <c r="L187" s="2"/>
      <c r="M187" s="2"/>
      <c r="N187" s="2"/>
      <c r="O187" s="2"/>
      <c r="P187" s="2"/>
      <c r="Q187" s="2"/>
      <c r="R187" s="2"/>
      <c r="S187" s="2"/>
      <c r="T187" s="2"/>
      <c r="U187" s="2"/>
      <c r="V187" s="2"/>
      <c r="W187" s="2"/>
      <c r="X187" s="2"/>
      <c r="Y187" s="2"/>
      <c r="Z187" s="2"/>
      <c r="AA187" s="2"/>
    </row>
    <row r="188">
      <c r="A188" s="1" t="s">
        <v>42</v>
      </c>
      <c r="B188" s="1" t="s">
        <v>749</v>
      </c>
      <c r="C188" s="1" t="s">
        <v>750</v>
      </c>
      <c r="D188" s="1" t="s">
        <v>751</v>
      </c>
      <c r="E188" s="1" t="s">
        <v>752</v>
      </c>
      <c r="F188" s="2">
        <f t="shared" si="1"/>
        <v>0</v>
      </c>
      <c r="G188" s="2"/>
      <c r="H188" s="2"/>
      <c r="I188" s="2"/>
      <c r="J188" s="2"/>
      <c r="K188" s="2"/>
      <c r="L188" s="2"/>
      <c r="M188" s="2"/>
      <c r="N188" s="2"/>
      <c r="O188" s="2"/>
      <c r="P188" s="2"/>
      <c r="Q188" s="2"/>
      <c r="R188" s="2"/>
      <c r="S188" s="2"/>
      <c r="T188" s="2"/>
      <c r="U188" s="2"/>
      <c r="V188" s="2"/>
      <c r="W188" s="2"/>
      <c r="X188" s="2"/>
      <c r="Y188" s="2"/>
      <c r="Z188" s="2"/>
      <c r="AA188" s="2"/>
    </row>
    <row r="189">
      <c r="A189" s="1" t="s">
        <v>42</v>
      </c>
      <c r="B189" s="1" t="s">
        <v>753</v>
      </c>
      <c r="C189" s="1" t="s">
        <v>754</v>
      </c>
      <c r="D189" s="1" t="s">
        <v>755</v>
      </c>
      <c r="E189" s="1" t="s">
        <v>756</v>
      </c>
      <c r="F189" s="2">
        <f t="shared" si="1"/>
        <v>0</v>
      </c>
      <c r="G189" s="2"/>
      <c r="H189" s="2"/>
      <c r="I189" s="2"/>
      <c r="J189" s="2"/>
      <c r="K189" s="2"/>
      <c r="L189" s="2"/>
      <c r="M189" s="2"/>
      <c r="N189" s="2"/>
      <c r="O189" s="2"/>
      <c r="P189" s="2"/>
      <c r="Q189" s="2"/>
      <c r="R189" s="2"/>
      <c r="S189" s="2"/>
      <c r="T189" s="2"/>
      <c r="U189" s="2"/>
      <c r="V189" s="2"/>
      <c r="W189" s="2"/>
      <c r="X189" s="2"/>
      <c r="Y189" s="2"/>
      <c r="Z189" s="2"/>
      <c r="AA189" s="2"/>
    </row>
    <row r="190">
      <c r="A190" s="1" t="s">
        <v>42</v>
      </c>
      <c r="B190" s="1" t="s">
        <v>757</v>
      </c>
      <c r="C190" s="1" t="s">
        <v>758</v>
      </c>
      <c r="D190" s="1" t="s">
        <v>759</v>
      </c>
      <c r="E190" s="1" t="s">
        <v>760</v>
      </c>
      <c r="F190" s="2">
        <f t="shared" si="1"/>
        <v>0</v>
      </c>
      <c r="G190" s="2"/>
      <c r="H190" s="2"/>
      <c r="I190" s="2"/>
      <c r="J190" s="2"/>
      <c r="K190" s="2"/>
      <c r="L190" s="2"/>
      <c r="M190" s="2"/>
      <c r="N190" s="2"/>
      <c r="O190" s="2"/>
      <c r="P190" s="2"/>
      <c r="Q190" s="2"/>
      <c r="R190" s="2"/>
      <c r="S190" s="2"/>
      <c r="T190" s="2"/>
      <c r="U190" s="2"/>
      <c r="V190" s="2"/>
      <c r="W190" s="2"/>
      <c r="X190" s="2"/>
      <c r="Y190" s="2"/>
      <c r="Z190" s="2"/>
      <c r="AA190" s="2"/>
    </row>
    <row r="191">
      <c r="A191" s="1" t="s">
        <v>5</v>
      </c>
      <c r="B191" s="1" t="s">
        <v>761</v>
      </c>
      <c r="C191" s="1" t="s">
        <v>762</v>
      </c>
      <c r="D191" s="1" t="s">
        <v>763</v>
      </c>
      <c r="E191" s="1" t="s">
        <v>764</v>
      </c>
      <c r="F191" s="2">
        <f t="shared" si="1"/>
        <v>0</v>
      </c>
      <c r="G191" s="2"/>
      <c r="H191" s="2"/>
      <c r="I191" s="2"/>
      <c r="J191" s="2"/>
      <c r="K191" s="2"/>
      <c r="L191" s="2"/>
      <c r="M191" s="2"/>
      <c r="N191" s="2"/>
      <c r="O191" s="2"/>
      <c r="P191" s="2"/>
      <c r="Q191" s="2"/>
      <c r="R191" s="2"/>
      <c r="S191" s="2"/>
      <c r="T191" s="2"/>
      <c r="U191" s="2"/>
      <c r="V191" s="2"/>
      <c r="W191" s="2"/>
      <c r="X191" s="2"/>
      <c r="Y191" s="2"/>
      <c r="Z191" s="2"/>
      <c r="AA191" s="2"/>
    </row>
    <row r="192">
      <c r="A192" s="1" t="s">
        <v>5</v>
      </c>
      <c r="B192" s="1" t="s">
        <v>765</v>
      </c>
      <c r="C192" s="1" t="s">
        <v>766</v>
      </c>
      <c r="D192" s="1" t="s">
        <v>767</v>
      </c>
      <c r="E192" s="1" t="s">
        <v>768</v>
      </c>
      <c r="F192" s="2">
        <f t="shared" si="1"/>
        <v>0</v>
      </c>
      <c r="G192" s="2"/>
      <c r="H192" s="2"/>
      <c r="I192" s="2"/>
      <c r="J192" s="2"/>
      <c r="K192" s="2"/>
      <c r="L192" s="2"/>
      <c r="M192" s="2"/>
      <c r="N192" s="2"/>
      <c r="O192" s="2"/>
      <c r="P192" s="2"/>
      <c r="Q192" s="2"/>
      <c r="R192" s="2"/>
      <c r="S192" s="2"/>
      <c r="T192" s="2"/>
      <c r="U192" s="2"/>
      <c r="V192" s="2"/>
      <c r="W192" s="2"/>
      <c r="X192" s="2"/>
      <c r="Y192" s="2"/>
      <c r="Z192" s="2"/>
      <c r="AA192" s="2"/>
    </row>
    <row r="193">
      <c r="A193" s="1" t="s">
        <v>5</v>
      </c>
      <c r="B193" s="1" t="s">
        <v>769</v>
      </c>
      <c r="C193" s="1" t="s">
        <v>770</v>
      </c>
      <c r="D193" s="1" t="s">
        <v>771</v>
      </c>
      <c r="E193" s="1" t="s">
        <v>772</v>
      </c>
      <c r="F193" s="2">
        <f t="shared" si="1"/>
        <v>0</v>
      </c>
      <c r="G193" s="2"/>
      <c r="H193" s="2"/>
      <c r="I193" s="2"/>
      <c r="J193" s="2"/>
      <c r="K193" s="2"/>
      <c r="L193" s="2"/>
      <c r="M193" s="2"/>
      <c r="N193" s="2"/>
      <c r="O193" s="2"/>
      <c r="P193" s="2"/>
      <c r="Q193" s="2"/>
      <c r="R193" s="2"/>
      <c r="S193" s="2"/>
      <c r="T193" s="2"/>
      <c r="U193" s="2"/>
      <c r="V193" s="2"/>
      <c r="W193" s="2"/>
      <c r="X193" s="2"/>
      <c r="Y193" s="2"/>
      <c r="Z193" s="2"/>
      <c r="AA193" s="2"/>
    </row>
    <row r="194">
      <c r="A194" s="1" t="s">
        <v>5</v>
      </c>
      <c r="B194" s="1" t="s">
        <v>773</v>
      </c>
      <c r="C194" s="1" t="s">
        <v>774</v>
      </c>
      <c r="D194" s="1" t="s">
        <v>775</v>
      </c>
      <c r="E194" s="1" t="s">
        <v>776</v>
      </c>
      <c r="F194" s="2">
        <f t="shared" si="1"/>
        <v>0</v>
      </c>
      <c r="G194" s="2"/>
      <c r="H194" s="2"/>
      <c r="I194" s="2"/>
      <c r="J194" s="2"/>
      <c r="K194" s="2"/>
      <c r="L194" s="2"/>
      <c r="M194" s="2"/>
      <c r="N194" s="2"/>
      <c r="O194" s="2"/>
      <c r="P194" s="2"/>
      <c r="Q194" s="2"/>
      <c r="R194" s="2"/>
      <c r="S194" s="2"/>
      <c r="T194" s="2"/>
      <c r="U194" s="2"/>
      <c r="V194" s="2"/>
      <c r="W194" s="2"/>
      <c r="X194" s="2"/>
      <c r="Y194" s="2"/>
      <c r="Z194" s="2"/>
      <c r="AA194" s="2"/>
    </row>
    <row r="195">
      <c r="A195" s="1" t="s">
        <v>5</v>
      </c>
      <c r="B195" s="1" t="s">
        <v>777</v>
      </c>
      <c r="C195" s="1" t="s">
        <v>778</v>
      </c>
      <c r="D195" s="1" t="s">
        <v>779</v>
      </c>
      <c r="E195" s="1" t="s">
        <v>780</v>
      </c>
      <c r="F195" s="2">
        <f t="shared" si="1"/>
        <v>0</v>
      </c>
      <c r="G195" s="2"/>
      <c r="H195" s="2"/>
      <c r="I195" s="2"/>
      <c r="J195" s="2"/>
      <c r="K195" s="2"/>
      <c r="L195" s="2"/>
      <c r="M195" s="2"/>
      <c r="N195" s="2"/>
      <c r="O195" s="2"/>
      <c r="P195" s="2"/>
      <c r="Q195" s="2"/>
      <c r="R195" s="2"/>
      <c r="S195" s="2"/>
      <c r="T195" s="2"/>
      <c r="U195" s="2"/>
      <c r="V195" s="2"/>
      <c r="W195" s="2"/>
      <c r="X195" s="2"/>
      <c r="Y195" s="2"/>
      <c r="Z195" s="2"/>
      <c r="AA195" s="2"/>
    </row>
    <row r="196">
      <c r="A196" s="1" t="s">
        <v>5</v>
      </c>
      <c r="B196" s="1" t="s">
        <v>781</v>
      </c>
      <c r="C196" s="1" t="s">
        <v>782</v>
      </c>
      <c r="D196" s="1" t="s">
        <v>783</v>
      </c>
      <c r="E196" s="1" t="s">
        <v>784</v>
      </c>
      <c r="F196" s="2">
        <f t="shared" si="1"/>
        <v>0</v>
      </c>
      <c r="G196" s="2"/>
      <c r="H196" s="2"/>
      <c r="I196" s="2"/>
      <c r="J196" s="2"/>
      <c r="K196" s="2"/>
      <c r="L196" s="2"/>
      <c r="M196" s="2"/>
      <c r="N196" s="2"/>
      <c r="O196" s="2"/>
      <c r="P196" s="2"/>
      <c r="Q196" s="2"/>
      <c r="R196" s="2"/>
      <c r="S196" s="2"/>
      <c r="T196" s="2"/>
      <c r="U196" s="2"/>
      <c r="V196" s="2"/>
      <c r="W196" s="2"/>
      <c r="X196" s="2"/>
      <c r="Y196" s="2"/>
      <c r="Z196" s="2"/>
      <c r="AA196" s="2"/>
    </row>
    <row r="197">
      <c r="A197" s="1" t="s">
        <v>5</v>
      </c>
      <c r="B197" s="1" t="s">
        <v>785</v>
      </c>
      <c r="C197" s="1" t="s">
        <v>786</v>
      </c>
      <c r="D197" s="1" t="s">
        <v>787</v>
      </c>
      <c r="E197" s="1" t="s">
        <v>788</v>
      </c>
      <c r="F197" s="2">
        <f t="shared" si="1"/>
        <v>0</v>
      </c>
      <c r="G197" s="2"/>
      <c r="H197" s="2"/>
      <c r="I197" s="2"/>
      <c r="J197" s="2"/>
      <c r="K197" s="2"/>
      <c r="L197" s="2"/>
      <c r="M197" s="2"/>
      <c r="N197" s="2"/>
      <c r="O197" s="2"/>
      <c r="P197" s="2"/>
      <c r="Q197" s="2"/>
      <c r="R197" s="2"/>
      <c r="S197" s="2"/>
      <c r="T197" s="2"/>
      <c r="U197" s="2"/>
      <c r="V197" s="2"/>
      <c r="W197" s="2"/>
      <c r="X197" s="2"/>
      <c r="Y197" s="2"/>
      <c r="Z197" s="2"/>
      <c r="AA197" s="2"/>
    </row>
    <row r="198">
      <c r="A198" s="1" t="s">
        <v>5</v>
      </c>
      <c r="B198" s="1" t="s">
        <v>789</v>
      </c>
      <c r="C198" s="1" t="s">
        <v>790</v>
      </c>
      <c r="D198" s="1" t="s">
        <v>791</v>
      </c>
      <c r="E198" s="1" t="s">
        <v>792</v>
      </c>
      <c r="F198" s="2">
        <f t="shared" si="1"/>
        <v>0</v>
      </c>
      <c r="G198" s="2"/>
      <c r="H198" s="2"/>
      <c r="I198" s="2"/>
      <c r="J198" s="2"/>
      <c r="K198" s="2"/>
      <c r="L198" s="2"/>
      <c r="M198" s="2"/>
      <c r="N198" s="2"/>
      <c r="O198" s="2"/>
      <c r="P198" s="2"/>
      <c r="Q198" s="2"/>
      <c r="R198" s="2"/>
      <c r="S198" s="2"/>
      <c r="T198" s="2"/>
      <c r="U198" s="2"/>
      <c r="V198" s="2"/>
      <c r="W198" s="2"/>
      <c r="X198" s="2"/>
      <c r="Y198" s="2"/>
      <c r="Z198" s="2"/>
      <c r="AA198" s="2"/>
    </row>
    <row r="199">
      <c r="A199" s="1" t="s">
        <v>5</v>
      </c>
      <c r="B199" s="1" t="s">
        <v>793</v>
      </c>
      <c r="C199" s="1" t="s">
        <v>794</v>
      </c>
      <c r="D199" s="1" t="s">
        <v>795</v>
      </c>
      <c r="E199" s="1" t="s">
        <v>796</v>
      </c>
      <c r="F199" s="2">
        <f t="shared" si="1"/>
        <v>0</v>
      </c>
      <c r="G199" s="2"/>
      <c r="H199" s="2"/>
      <c r="I199" s="2"/>
      <c r="J199" s="2"/>
      <c r="K199" s="2"/>
      <c r="L199" s="2"/>
      <c r="M199" s="2"/>
      <c r="N199" s="2"/>
      <c r="O199" s="2"/>
      <c r="P199" s="2"/>
      <c r="Q199" s="2"/>
      <c r="R199" s="2"/>
      <c r="S199" s="2"/>
      <c r="T199" s="2"/>
      <c r="U199" s="2"/>
      <c r="V199" s="2"/>
      <c r="W199" s="2"/>
      <c r="X199" s="2"/>
      <c r="Y199" s="2"/>
      <c r="Z199" s="2"/>
      <c r="AA199" s="2"/>
    </row>
    <row r="200">
      <c r="A200" s="1" t="s">
        <v>5</v>
      </c>
      <c r="B200" s="1" t="s">
        <v>797</v>
      </c>
      <c r="C200" s="1" t="s">
        <v>798</v>
      </c>
      <c r="D200" s="1" t="s">
        <v>799</v>
      </c>
      <c r="E200" s="1" t="s">
        <v>800</v>
      </c>
      <c r="F200" s="2">
        <f t="shared" si="1"/>
        <v>0</v>
      </c>
      <c r="G200" s="2"/>
      <c r="H200" s="2"/>
      <c r="I200" s="2"/>
      <c r="J200" s="2"/>
      <c r="K200" s="2"/>
      <c r="L200" s="2"/>
      <c r="M200" s="2"/>
      <c r="N200" s="2"/>
      <c r="O200" s="2"/>
      <c r="P200" s="2"/>
      <c r="Q200" s="2"/>
      <c r="R200" s="2"/>
      <c r="S200" s="2"/>
      <c r="T200" s="2"/>
      <c r="U200" s="2"/>
      <c r="V200" s="2"/>
      <c r="W200" s="2"/>
      <c r="X200" s="2"/>
      <c r="Y200" s="2"/>
      <c r="Z200" s="2"/>
      <c r="AA200" s="2"/>
    </row>
    <row r="201">
      <c r="A201" s="1" t="s">
        <v>5</v>
      </c>
      <c r="B201" s="1" t="s">
        <v>801</v>
      </c>
      <c r="C201" s="1" t="s">
        <v>802</v>
      </c>
      <c r="D201" s="1" t="s">
        <v>803</v>
      </c>
      <c r="E201" s="1" t="s">
        <v>804</v>
      </c>
      <c r="F201" s="2">
        <f t="shared" si="1"/>
        <v>0</v>
      </c>
      <c r="G201" s="2"/>
      <c r="H201" s="2"/>
      <c r="I201" s="2"/>
      <c r="J201" s="2"/>
      <c r="K201" s="2"/>
      <c r="L201" s="2"/>
      <c r="M201" s="2"/>
      <c r="N201" s="2"/>
      <c r="O201" s="2"/>
      <c r="P201" s="2"/>
      <c r="Q201" s="2"/>
      <c r="R201" s="2"/>
      <c r="S201" s="2"/>
      <c r="T201" s="2"/>
      <c r="U201" s="2"/>
      <c r="V201" s="2"/>
      <c r="W201" s="2"/>
      <c r="X201" s="2"/>
      <c r="Y201" s="2"/>
      <c r="Z201" s="2"/>
      <c r="AA201" s="2"/>
    </row>
    <row r="202">
      <c r="A202" s="1" t="s">
        <v>5</v>
      </c>
      <c r="B202" s="1" t="s">
        <v>805</v>
      </c>
      <c r="C202" s="1" t="s">
        <v>806</v>
      </c>
      <c r="D202" s="1" t="s">
        <v>807</v>
      </c>
      <c r="E202" s="1" t="s">
        <v>808</v>
      </c>
      <c r="F202" s="2">
        <f t="shared" si="1"/>
        <v>0</v>
      </c>
      <c r="G202" s="2"/>
      <c r="H202" s="2"/>
      <c r="I202" s="2"/>
      <c r="J202" s="2"/>
      <c r="K202" s="2"/>
      <c r="L202" s="2"/>
      <c r="M202" s="2"/>
      <c r="N202" s="2"/>
      <c r="O202" s="2"/>
      <c r="P202" s="2"/>
      <c r="Q202" s="2"/>
      <c r="R202" s="2"/>
      <c r="S202" s="2"/>
      <c r="T202" s="2"/>
      <c r="U202" s="2"/>
      <c r="V202" s="2"/>
      <c r="W202" s="2"/>
      <c r="X202" s="2"/>
      <c r="Y202" s="2"/>
      <c r="Z202" s="2"/>
      <c r="AA202" s="2"/>
    </row>
    <row r="203">
      <c r="A203" s="1" t="s">
        <v>5</v>
      </c>
      <c r="B203" s="1" t="s">
        <v>809</v>
      </c>
      <c r="C203" s="1" t="s">
        <v>810</v>
      </c>
      <c r="D203" s="1" t="s">
        <v>811</v>
      </c>
      <c r="E203" s="1" t="s">
        <v>812</v>
      </c>
      <c r="F203" s="2">
        <f t="shared" si="1"/>
        <v>0</v>
      </c>
      <c r="G203" s="2"/>
      <c r="H203" s="2"/>
      <c r="I203" s="2"/>
      <c r="J203" s="2"/>
      <c r="K203" s="2"/>
      <c r="L203" s="2"/>
      <c r="M203" s="2"/>
      <c r="N203" s="2"/>
      <c r="O203" s="2"/>
      <c r="P203" s="2"/>
      <c r="Q203" s="2"/>
      <c r="R203" s="2"/>
      <c r="S203" s="2"/>
      <c r="T203" s="2"/>
      <c r="U203" s="2"/>
      <c r="V203" s="2"/>
      <c r="W203" s="2"/>
      <c r="X203" s="2"/>
      <c r="Y203" s="2"/>
      <c r="Z203" s="2"/>
      <c r="AA203" s="2"/>
    </row>
    <row r="204">
      <c r="A204" s="1" t="s">
        <v>5</v>
      </c>
      <c r="B204" s="1" t="s">
        <v>813</v>
      </c>
      <c r="C204" s="1" t="s">
        <v>814</v>
      </c>
      <c r="D204" s="1" t="s">
        <v>815</v>
      </c>
      <c r="E204" s="1" t="s">
        <v>816</v>
      </c>
      <c r="F204" s="2">
        <f t="shared" si="1"/>
        <v>0</v>
      </c>
      <c r="G204" s="2"/>
      <c r="H204" s="2"/>
      <c r="I204" s="2"/>
      <c r="J204" s="2"/>
      <c r="K204" s="2"/>
      <c r="L204" s="2"/>
      <c r="M204" s="2"/>
      <c r="N204" s="2"/>
      <c r="O204" s="2"/>
      <c r="P204" s="2"/>
      <c r="Q204" s="2"/>
      <c r="R204" s="2"/>
      <c r="S204" s="2"/>
      <c r="T204" s="2"/>
      <c r="U204" s="2"/>
      <c r="V204" s="2"/>
      <c r="W204" s="2"/>
      <c r="X204" s="2"/>
      <c r="Y204" s="2"/>
      <c r="Z204" s="2"/>
      <c r="AA204" s="2"/>
    </row>
    <row r="205">
      <c r="A205" s="1" t="s">
        <v>5</v>
      </c>
      <c r="B205" s="1" t="s">
        <v>817</v>
      </c>
      <c r="C205" s="1" t="s">
        <v>818</v>
      </c>
      <c r="D205" s="1" t="s">
        <v>819</v>
      </c>
      <c r="E205" s="1" t="s">
        <v>820</v>
      </c>
      <c r="F205" s="2">
        <f t="shared" si="1"/>
        <v>0</v>
      </c>
      <c r="G205" s="2"/>
      <c r="H205" s="2"/>
      <c r="I205" s="2"/>
      <c r="J205" s="2"/>
      <c r="K205" s="2"/>
      <c r="L205" s="2"/>
      <c r="M205" s="2"/>
      <c r="N205" s="2"/>
      <c r="O205" s="2"/>
      <c r="P205" s="2"/>
      <c r="Q205" s="2"/>
      <c r="R205" s="2"/>
      <c r="S205" s="2"/>
      <c r="T205" s="2"/>
      <c r="U205" s="2"/>
      <c r="V205" s="2"/>
      <c r="W205" s="2"/>
      <c r="X205" s="2"/>
      <c r="Y205" s="2"/>
      <c r="Z205" s="2"/>
      <c r="AA205" s="2"/>
    </row>
    <row r="206">
      <c r="A206" s="1" t="s">
        <v>5</v>
      </c>
      <c r="B206" s="1" t="s">
        <v>821</v>
      </c>
      <c r="C206" s="1" t="s">
        <v>822</v>
      </c>
      <c r="D206" s="1" t="s">
        <v>823</v>
      </c>
      <c r="E206" s="1" t="s">
        <v>824</v>
      </c>
      <c r="F206" s="2">
        <f t="shared" si="1"/>
        <v>0</v>
      </c>
      <c r="G206" s="2"/>
      <c r="H206" s="2"/>
      <c r="I206" s="2"/>
      <c r="J206" s="2"/>
      <c r="K206" s="2"/>
      <c r="L206" s="2"/>
      <c r="M206" s="2"/>
      <c r="N206" s="2"/>
      <c r="O206" s="2"/>
      <c r="P206" s="2"/>
      <c r="Q206" s="2"/>
      <c r="R206" s="2"/>
      <c r="S206" s="2"/>
      <c r="T206" s="2"/>
      <c r="U206" s="2"/>
      <c r="V206" s="2"/>
      <c r="W206" s="2"/>
      <c r="X206" s="2"/>
      <c r="Y206" s="2"/>
      <c r="Z206" s="2"/>
      <c r="AA206" s="2"/>
    </row>
    <row r="207">
      <c r="A207" s="1" t="s">
        <v>5</v>
      </c>
      <c r="B207" s="1" t="s">
        <v>825</v>
      </c>
      <c r="C207" s="1" t="s">
        <v>826</v>
      </c>
      <c r="D207" s="1" t="s">
        <v>827</v>
      </c>
      <c r="E207" s="1" t="s">
        <v>828</v>
      </c>
      <c r="F207" s="2">
        <f t="shared" si="1"/>
        <v>0</v>
      </c>
      <c r="G207" s="2"/>
      <c r="H207" s="2"/>
      <c r="I207" s="2"/>
      <c r="J207" s="2"/>
      <c r="K207" s="2"/>
      <c r="L207" s="2"/>
      <c r="M207" s="2"/>
      <c r="N207" s="2"/>
      <c r="O207" s="2"/>
      <c r="P207" s="2"/>
      <c r="Q207" s="2"/>
      <c r="R207" s="2"/>
      <c r="S207" s="2"/>
      <c r="T207" s="2"/>
      <c r="U207" s="2"/>
      <c r="V207" s="2"/>
      <c r="W207" s="2"/>
      <c r="X207" s="2"/>
      <c r="Y207" s="2"/>
      <c r="Z207" s="2"/>
      <c r="AA207" s="2"/>
    </row>
    <row r="208">
      <c r="A208" s="1" t="s">
        <v>5</v>
      </c>
      <c r="B208" s="1" t="s">
        <v>829</v>
      </c>
      <c r="C208" s="1" t="s">
        <v>830</v>
      </c>
      <c r="D208" s="1" t="s">
        <v>831</v>
      </c>
      <c r="E208" s="1" t="s">
        <v>832</v>
      </c>
      <c r="F208" s="2">
        <f t="shared" si="1"/>
        <v>0</v>
      </c>
      <c r="G208" s="2"/>
      <c r="H208" s="2"/>
      <c r="I208" s="2"/>
      <c r="J208" s="2"/>
      <c r="K208" s="2"/>
      <c r="L208" s="2"/>
      <c r="M208" s="2"/>
      <c r="N208" s="2"/>
      <c r="O208" s="2"/>
      <c r="P208" s="2"/>
      <c r="Q208" s="2"/>
      <c r="R208" s="2"/>
      <c r="S208" s="2"/>
      <c r="T208" s="2"/>
      <c r="U208" s="2"/>
      <c r="V208" s="2"/>
      <c r="W208" s="2"/>
      <c r="X208" s="2"/>
      <c r="Y208" s="2"/>
      <c r="Z208" s="2"/>
      <c r="AA208" s="2"/>
    </row>
    <row r="209">
      <c r="A209" s="1" t="s">
        <v>5</v>
      </c>
      <c r="B209" s="1" t="s">
        <v>833</v>
      </c>
      <c r="C209" s="1" t="s">
        <v>834</v>
      </c>
      <c r="D209" s="1" t="s">
        <v>835</v>
      </c>
      <c r="E209" s="1" t="s">
        <v>836</v>
      </c>
      <c r="F209" s="2">
        <f t="shared" si="1"/>
        <v>0</v>
      </c>
      <c r="G209" s="2"/>
      <c r="H209" s="2"/>
      <c r="I209" s="2"/>
      <c r="J209" s="2"/>
      <c r="K209" s="2"/>
      <c r="L209" s="2"/>
      <c r="M209" s="2"/>
      <c r="N209" s="2"/>
      <c r="O209" s="2"/>
      <c r="P209" s="2"/>
      <c r="Q209" s="2"/>
      <c r="R209" s="2"/>
      <c r="S209" s="2"/>
      <c r="T209" s="2"/>
      <c r="U209" s="2"/>
      <c r="V209" s="2"/>
      <c r="W209" s="2"/>
      <c r="X209" s="2"/>
      <c r="Y209" s="2"/>
      <c r="Z209" s="2"/>
      <c r="AA209" s="2"/>
    </row>
    <row r="210">
      <c r="A210" s="1" t="s">
        <v>42</v>
      </c>
      <c r="B210" s="1" t="s">
        <v>837</v>
      </c>
      <c r="C210" s="1" t="s">
        <v>838</v>
      </c>
      <c r="D210" s="1" t="s">
        <v>839</v>
      </c>
      <c r="E210" s="1" t="s">
        <v>840</v>
      </c>
      <c r="F210" s="2">
        <f t="shared" si="1"/>
        <v>0</v>
      </c>
      <c r="G210" s="2"/>
      <c r="H210" s="2"/>
      <c r="I210" s="2"/>
      <c r="J210" s="2"/>
      <c r="K210" s="2"/>
      <c r="L210" s="2"/>
      <c r="M210" s="2"/>
      <c r="N210" s="2"/>
      <c r="O210" s="2"/>
      <c r="P210" s="2"/>
      <c r="Q210" s="2"/>
      <c r="R210" s="2"/>
      <c r="S210" s="2"/>
      <c r="T210" s="2"/>
      <c r="U210" s="2"/>
      <c r="V210" s="2"/>
      <c r="W210" s="2"/>
      <c r="X210" s="2"/>
      <c r="Y210" s="2"/>
      <c r="Z210" s="2"/>
      <c r="AA210" s="2"/>
    </row>
    <row r="211">
      <c r="A211" s="1" t="s">
        <v>42</v>
      </c>
      <c r="B211" s="1" t="s">
        <v>841</v>
      </c>
      <c r="C211" s="1" t="s">
        <v>842</v>
      </c>
      <c r="D211" s="1" t="s">
        <v>843</v>
      </c>
      <c r="E211" s="1" t="s">
        <v>844</v>
      </c>
      <c r="F211" s="2">
        <f t="shared" si="1"/>
        <v>0</v>
      </c>
      <c r="G211" s="2"/>
      <c r="H211" s="2"/>
      <c r="I211" s="2"/>
      <c r="J211" s="2"/>
      <c r="K211" s="2"/>
      <c r="L211" s="2"/>
      <c r="M211" s="2"/>
      <c r="N211" s="2"/>
      <c r="O211" s="2"/>
      <c r="P211" s="2"/>
      <c r="Q211" s="2"/>
      <c r="R211" s="2"/>
      <c r="S211" s="2"/>
      <c r="T211" s="2"/>
      <c r="U211" s="2"/>
      <c r="V211" s="2"/>
      <c r="W211" s="2"/>
      <c r="X211" s="2"/>
      <c r="Y211" s="2"/>
      <c r="Z211" s="2"/>
      <c r="AA211" s="2"/>
    </row>
    <row r="212">
      <c r="A212" s="1" t="s">
        <v>42</v>
      </c>
      <c r="B212" s="1" t="s">
        <v>845</v>
      </c>
      <c r="C212" s="1" t="s">
        <v>846</v>
      </c>
      <c r="D212" s="1" t="s">
        <v>847</v>
      </c>
      <c r="E212" s="1" t="s">
        <v>848</v>
      </c>
      <c r="F212" s="2">
        <f t="shared" si="1"/>
        <v>0</v>
      </c>
      <c r="G212" s="2"/>
      <c r="H212" s="2"/>
      <c r="I212" s="2"/>
      <c r="J212" s="2"/>
      <c r="K212" s="2"/>
      <c r="L212" s="2"/>
      <c r="M212" s="2"/>
      <c r="N212" s="2"/>
      <c r="O212" s="2"/>
      <c r="P212" s="2"/>
      <c r="Q212" s="2"/>
      <c r="R212" s="2"/>
      <c r="S212" s="2"/>
      <c r="T212" s="2"/>
      <c r="U212" s="2"/>
      <c r="V212" s="2"/>
      <c r="W212" s="2"/>
      <c r="X212" s="2"/>
      <c r="Y212" s="2"/>
      <c r="Z212" s="2"/>
      <c r="AA212" s="2"/>
    </row>
    <row r="213">
      <c r="A213" s="1" t="s">
        <v>42</v>
      </c>
      <c r="B213" s="1" t="s">
        <v>849</v>
      </c>
      <c r="C213" s="1" t="s">
        <v>850</v>
      </c>
      <c r="D213" s="1" t="s">
        <v>851</v>
      </c>
      <c r="E213" s="1" t="s">
        <v>852</v>
      </c>
      <c r="F213" s="2">
        <f t="shared" si="1"/>
        <v>0</v>
      </c>
      <c r="G213" s="2"/>
      <c r="H213" s="2"/>
      <c r="I213" s="2"/>
      <c r="J213" s="2"/>
      <c r="K213" s="2"/>
      <c r="L213" s="2"/>
      <c r="M213" s="2"/>
      <c r="N213" s="2"/>
      <c r="O213" s="2"/>
      <c r="P213" s="2"/>
      <c r="Q213" s="2"/>
      <c r="R213" s="2"/>
      <c r="S213" s="2"/>
      <c r="T213" s="2"/>
      <c r="U213" s="2"/>
      <c r="V213" s="2"/>
      <c r="W213" s="2"/>
      <c r="X213" s="2"/>
      <c r="Y213" s="2"/>
      <c r="Z213" s="2"/>
      <c r="AA213" s="2"/>
    </row>
    <row r="214">
      <c r="A214" s="1" t="s">
        <v>42</v>
      </c>
      <c r="B214" s="1" t="s">
        <v>853</v>
      </c>
      <c r="C214" s="1" t="s">
        <v>854</v>
      </c>
      <c r="D214" s="1" t="s">
        <v>855</v>
      </c>
      <c r="E214" s="1" t="s">
        <v>856</v>
      </c>
      <c r="F214" s="2">
        <f t="shared" si="1"/>
        <v>0</v>
      </c>
      <c r="G214" s="2"/>
      <c r="H214" s="2"/>
      <c r="I214" s="2"/>
      <c r="J214" s="2"/>
      <c r="K214" s="2"/>
      <c r="L214" s="2"/>
      <c r="M214" s="2"/>
      <c r="N214" s="2"/>
      <c r="O214" s="2"/>
      <c r="P214" s="2"/>
      <c r="Q214" s="2"/>
      <c r="R214" s="2"/>
      <c r="S214" s="2"/>
      <c r="T214" s="2"/>
      <c r="U214" s="2"/>
      <c r="V214" s="2"/>
      <c r="W214" s="2"/>
      <c r="X214" s="2"/>
      <c r="Y214" s="2"/>
      <c r="Z214" s="2"/>
      <c r="AA214" s="2"/>
    </row>
    <row r="215">
      <c r="A215" s="1" t="s">
        <v>42</v>
      </c>
      <c r="B215" s="1" t="s">
        <v>857</v>
      </c>
      <c r="C215" s="1" t="s">
        <v>858</v>
      </c>
      <c r="D215" s="1" t="s">
        <v>859</v>
      </c>
      <c r="E215" s="1" t="s">
        <v>860</v>
      </c>
      <c r="F215" s="2">
        <f t="shared" si="1"/>
        <v>0</v>
      </c>
      <c r="G215" s="2"/>
      <c r="H215" s="2"/>
      <c r="I215" s="2"/>
      <c r="J215" s="2"/>
      <c r="K215" s="2"/>
      <c r="L215" s="2"/>
      <c r="M215" s="2"/>
      <c r="N215" s="2"/>
      <c r="O215" s="2"/>
      <c r="P215" s="2"/>
      <c r="Q215" s="2"/>
      <c r="R215" s="2"/>
      <c r="S215" s="2"/>
      <c r="T215" s="2"/>
      <c r="U215" s="2"/>
      <c r="V215" s="2"/>
      <c r="W215" s="2"/>
      <c r="X215" s="2"/>
      <c r="Y215" s="2"/>
      <c r="Z215" s="2"/>
      <c r="AA215" s="2"/>
    </row>
    <row r="216">
      <c r="A216" s="1" t="s">
        <v>42</v>
      </c>
      <c r="B216" s="1" t="s">
        <v>861</v>
      </c>
      <c r="C216" s="1" t="s">
        <v>862</v>
      </c>
      <c r="D216" s="1" t="s">
        <v>863</v>
      </c>
      <c r="E216" s="1" t="s">
        <v>864</v>
      </c>
      <c r="F216" s="2">
        <f t="shared" si="1"/>
        <v>0</v>
      </c>
      <c r="G216" s="2"/>
      <c r="H216" s="2"/>
      <c r="I216" s="2"/>
      <c r="J216" s="2"/>
      <c r="K216" s="2"/>
      <c r="L216" s="2"/>
      <c r="M216" s="2"/>
      <c r="N216" s="2"/>
      <c r="O216" s="2"/>
      <c r="P216" s="2"/>
      <c r="Q216" s="2"/>
      <c r="R216" s="2"/>
      <c r="S216" s="2"/>
      <c r="T216" s="2"/>
      <c r="U216" s="2"/>
      <c r="V216" s="2"/>
      <c r="W216" s="2"/>
      <c r="X216" s="2"/>
      <c r="Y216" s="2"/>
      <c r="Z216" s="2"/>
      <c r="AA216" s="2"/>
    </row>
    <row r="217">
      <c r="A217" s="1" t="s">
        <v>42</v>
      </c>
      <c r="B217" s="1" t="s">
        <v>865</v>
      </c>
      <c r="C217" s="1" t="s">
        <v>866</v>
      </c>
      <c r="D217" s="1" t="s">
        <v>867</v>
      </c>
      <c r="E217" s="1" t="s">
        <v>868</v>
      </c>
      <c r="F217" s="2">
        <f t="shared" si="1"/>
        <v>0</v>
      </c>
      <c r="G217" s="2"/>
      <c r="H217" s="2"/>
      <c r="I217" s="2"/>
      <c r="J217" s="2"/>
      <c r="K217" s="2"/>
      <c r="L217" s="2"/>
      <c r="M217" s="2"/>
      <c r="N217" s="2"/>
      <c r="O217" s="2"/>
      <c r="P217" s="2"/>
      <c r="Q217" s="2"/>
      <c r="R217" s="2"/>
      <c r="S217" s="2"/>
      <c r="T217" s="2"/>
      <c r="U217" s="2"/>
      <c r="V217" s="2"/>
      <c r="W217" s="2"/>
      <c r="X217" s="2"/>
      <c r="Y217" s="2"/>
      <c r="Z217" s="2"/>
      <c r="AA217" s="2"/>
    </row>
    <row r="218">
      <c r="A218" s="1" t="s">
        <v>42</v>
      </c>
      <c r="B218" s="1" t="s">
        <v>869</v>
      </c>
      <c r="C218" s="1" t="s">
        <v>870</v>
      </c>
      <c r="D218" s="1" t="s">
        <v>871</v>
      </c>
      <c r="E218" s="1" t="s">
        <v>872</v>
      </c>
      <c r="F218" s="2">
        <f t="shared" si="1"/>
        <v>0</v>
      </c>
      <c r="G218" s="2"/>
      <c r="H218" s="2"/>
      <c r="I218" s="2"/>
      <c r="J218" s="2"/>
      <c r="K218" s="2"/>
      <c r="L218" s="2"/>
      <c r="M218" s="2"/>
      <c r="N218" s="2"/>
      <c r="O218" s="2"/>
      <c r="P218" s="2"/>
      <c r="Q218" s="2"/>
      <c r="R218" s="2"/>
      <c r="S218" s="2"/>
      <c r="T218" s="2"/>
      <c r="U218" s="2"/>
      <c r="V218" s="2"/>
      <c r="W218" s="2"/>
      <c r="X218" s="2"/>
      <c r="Y218" s="2"/>
      <c r="Z218" s="2"/>
      <c r="AA218" s="2"/>
    </row>
    <row r="219">
      <c r="A219" s="1" t="s">
        <v>42</v>
      </c>
      <c r="B219" s="1" t="s">
        <v>873</v>
      </c>
      <c r="C219" s="1" t="s">
        <v>874</v>
      </c>
      <c r="D219" s="1" t="s">
        <v>875</v>
      </c>
      <c r="E219" s="1" t="s">
        <v>876</v>
      </c>
      <c r="F219" s="2">
        <f t="shared" si="1"/>
        <v>0</v>
      </c>
      <c r="G219" s="2"/>
      <c r="H219" s="2"/>
      <c r="I219" s="2"/>
      <c r="J219" s="2"/>
      <c r="K219" s="2"/>
      <c r="L219" s="2"/>
      <c r="M219" s="2"/>
      <c r="N219" s="2"/>
      <c r="O219" s="2"/>
      <c r="P219" s="2"/>
      <c r="Q219" s="2"/>
      <c r="R219" s="2"/>
      <c r="S219" s="2"/>
      <c r="T219" s="2"/>
      <c r="U219" s="2"/>
      <c r="V219" s="2"/>
      <c r="W219" s="2"/>
      <c r="X219" s="2"/>
      <c r="Y219" s="2"/>
      <c r="Z219" s="2"/>
      <c r="AA219" s="2"/>
    </row>
    <row r="220">
      <c r="A220" s="1" t="s">
        <v>42</v>
      </c>
      <c r="B220" s="1" t="s">
        <v>877</v>
      </c>
      <c r="C220" s="1" t="s">
        <v>878</v>
      </c>
      <c r="D220" s="1" t="s">
        <v>879</v>
      </c>
      <c r="E220" s="1" t="s">
        <v>880</v>
      </c>
      <c r="F220" s="2">
        <f t="shared" si="1"/>
        <v>0</v>
      </c>
      <c r="G220" s="2"/>
      <c r="H220" s="2"/>
      <c r="I220" s="2"/>
      <c r="J220" s="2"/>
      <c r="K220" s="2"/>
      <c r="L220" s="2"/>
      <c r="M220" s="2"/>
      <c r="N220" s="2"/>
      <c r="O220" s="2"/>
      <c r="P220" s="2"/>
      <c r="Q220" s="2"/>
      <c r="R220" s="2"/>
      <c r="S220" s="2"/>
      <c r="T220" s="2"/>
      <c r="U220" s="2"/>
      <c r="V220" s="2"/>
      <c r="W220" s="2"/>
      <c r="X220" s="2"/>
      <c r="Y220" s="2"/>
      <c r="Z220" s="2"/>
      <c r="AA220" s="2"/>
    </row>
    <row r="221">
      <c r="A221" s="1" t="s">
        <v>42</v>
      </c>
      <c r="B221" s="1" t="s">
        <v>881</v>
      </c>
      <c r="C221" s="1" t="s">
        <v>882</v>
      </c>
      <c r="D221" s="1" t="s">
        <v>883</v>
      </c>
      <c r="E221" s="1" t="s">
        <v>884</v>
      </c>
      <c r="F221" s="2">
        <f t="shared" si="1"/>
        <v>0</v>
      </c>
      <c r="G221" s="2"/>
      <c r="H221" s="2"/>
      <c r="I221" s="2"/>
      <c r="J221" s="2"/>
      <c r="K221" s="2"/>
      <c r="L221" s="2"/>
      <c r="M221" s="2"/>
      <c r="N221" s="2"/>
      <c r="O221" s="2"/>
      <c r="P221" s="2"/>
      <c r="Q221" s="2"/>
      <c r="R221" s="2"/>
      <c r="S221" s="2"/>
      <c r="T221" s="2"/>
      <c r="U221" s="2"/>
      <c r="V221" s="2"/>
      <c r="W221" s="2"/>
      <c r="X221" s="2"/>
      <c r="Y221" s="2"/>
      <c r="Z221" s="2"/>
      <c r="AA221" s="2"/>
    </row>
    <row r="222">
      <c r="A222" s="1" t="s">
        <v>42</v>
      </c>
      <c r="B222" s="1" t="s">
        <v>885</v>
      </c>
      <c r="C222" s="1" t="s">
        <v>886</v>
      </c>
      <c r="D222" s="1" t="s">
        <v>887</v>
      </c>
      <c r="E222" s="1" t="s">
        <v>888</v>
      </c>
      <c r="F222" s="2">
        <f t="shared" si="1"/>
        <v>0</v>
      </c>
      <c r="G222" s="2"/>
      <c r="H222" s="2"/>
      <c r="I222" s="2"/>
      <c r="J222" s="2"/>
      <c r="K222" s="2"/>
      <c r="L222" s="2"/>
      <c r="M222" s="2"/>
      <c r="N222" s="2"/>
      <c r="O222" s="2"/>
      <c r="P222" s="2"/>
      <c r="Q222" s="2"/>
      <c r="R222" s="2"/>
      <c r="S222" s="2"/>
      <c r="T222" s="2"/>
      <c r="U222" s="2"/>
      <c r="V222" s="2"/>
      <c r="W222" s="2"/>
      <c r="X222" s="2"/>
      <c r="Y222" s="2"/>
      <c r="Z222" s="2"/>
      <c r="AA222" s="2"/>
    </row>
    <row r="223">
      <c r="A223" s="1" t="s">
        <v>42</v>
      </c>
      <c r="B223" s="1" t="s">
        <v>889</v>
      </c>
      <c r="C223" s="1" t="s">
        <v>890</v>
      </c>
      <c r="D223" s="1" t="s">
        <v>891</v>
      </c>
      <c r="E223" s="1" t="s">
        <v>892</v>
      </c>
      <c r="F223" s="2">
        <f t="shared" si="1"/>
        <v>0</v>
      </c>
      <c r="G223" s="2"/>
      <c r="H223" s="2"/>
      <c r="I223" s="2"/>
      <c r="J223" s="2"/>
      <c r="K223" s="2"/>
      <c r="L223" s="2"/>
      <c r="M223" s="2"/>
      <c r="N223" s="2"/>
      <c r="O223" s="2"/>
      <c r="P223" s="2"/>
      <c r="Q223" s="2"/>
      <c r="R223" s="2"/>
      <c r="S223" s="2"/>
      <c r="T223" s="2"/>
      <c r="U223" s="2"/>
      <c r="V223" s="2"/>
      <c r="W223" s="2"/>
      <c r="X223" s="2"/>
      <c r="Y223" s="2"/>
      <c r="Z223" s="2"/>
      <c r="AA223" s="2"/>
    </row>
    <row r="224">
      <c r="A224" s="1" t="s">
        <v>42</v>
      </c>
      <c r="B224" s="1" t="s">
        <v>893</v>
      </c>
      <c r="C224" s="1" t="s">
        <v>894</v>
      </c>
      <c r="D224" s="1" t="s">
        <v>895</v>
      </c>
      <c r="E224" s="1" t="s">
        <v>896</v>
      </c>
      <c r="F224" s="2">
        <f t="shared" si="1"/>
        <v>0</v>
      </c>
      <c r="G224" s="2"/>
      <c r="H224" s="2"/>
      <c r="I224" s="2"/>
      <c r="J224" s="2"/>
      <c r="K224" s="2"/>
      <c r="L224" s="2"/>
      <c r="M224" s="2"/>
      <c r="N224" s="2"/>
      <c r="O224" s="2"/>
      <c r="P224" s="2"/>
      <c r="Q224" s="2"/>
      <c r="R224" s="2"/>
      <c r="S224" s="2"/>
      <c r="T224" s="2"/>
      <c r="U224" s="2"/>
      <c r="V224" s="2"/>
      <c r="W224" s="2"/>
      <c r="X224" s="2"/>
      <c r="Y224" s="2"/>
      <c r="Z224" s="2"/>
      <c r="AA224" s="2"/>
    </row>
    <row r="225">
      <c r="A225" s="1" t="s">
        <v>42</v>
      </c>
      <c r="B225" s="1" t="s">
        <v>897</v>
      </c>
      <c r="C225" s="1" t="s">
        <v>898</v>
      </c>
      <c r="D225" s="1" t="s">
        <v>899</v>
      </c>
      <c r="E225" s="1" t="s">
        <v>900</v>
      </c>
      <c r="F225" s="2">
        <f t="shared" si="1"/>
        <v>0</v>
      </c>
      <c r="G225" s="2"/>
      <c r="H225" s="2"/>
      <c r="I225" s="2"/>
      <c r="J225" s="2"/>
      <c r="K225" s="2"/>
      <c r="L225" s="2"/>
      <c r="M225" s="2"/>
      <c r="N225" s="2"/>
      <c r="O225" s="2"/>
      <c r="P225" s="2"/>
      <c r="Q225" s="2"/>
      <c r="R225" s="2"/>
      <c r="S225" s="2"/>
      <c r="T225" s="2"/>
      <c r="U225" s="2"/>
      <c r="V225" s="2"/>
      <c r="W225" s="2"/>
      <c r="X225" s="2"/>
      <c r="Y225" s="2"/>
      <c r="Z225" s="2"/>
      <c r="AA225" s="2"/>
    </row>
    <row r="226">
      <c r="A226" s="1" t="s">
        <v>42</v>
      </c>
      <c r="B226" s="1" t="s">
        <v>901</v>
      </c>
      <c r="C226" s="1" t="s">
        <v>902</v>
      </c>
      <c r="D226" s="1" t="s">
        <v>903</v>
      </c>
      <c r="E226" s="1" t="s">
        <v>904</v>
      </c>
      <c r="F226" s="2">
        <f t="shared" si="1"/>
        <v>0</v>
      </c>
      <c r="G226" s="2"/>
      <c r="H226" s="2"/>
      <c r="I226" s="2"/>
      <c r="J226" s="2"/>
      <c r="K226" s="2"/>
      <c r="L226" s="2"/>
      <c r="M226" s="2"/>
      <c r="N226" s="2"/>
      <c r="O226" s="2"/>
      <c r="P226" s="2"/>
      <c r="Q226" s="2"/>
      <c r="R226" s="2"/>
      <c r="S226" s="2"/>
      <c r="T226" s="2"/>
      <c r="U226" s="2"/>
      <c r="V226" s="2"/>
      <c r="W226" s="2"/>
      <c r="X226" s="2"/>
      <c r="Y226" s="2"/>
      <c r="Z226" s="2"/>
      <c r="AA226" s="2"/>
    </row>
    <row r="227">
      <c r="A227" s="1" t="s">
        <v>42</v>
      </c>
      <c r="B227" s="1" t="s">
        <v>905</v>
      </c>
      <c r="C227" s="1" t="s">
        <v>906</v>
      </c>
      <c r="D227" s="1" t="s">
        <v>907</v>
      </c>
      <c r="E227" s="1" t="s">
        <v>908</v>
      </c>
      <c r="F227" s="2">
        <f t="shared" si="1"/>
        <v>0</v>
      </c>
      <c r="G227" s="2"/>
      <c r="H227" s="2"/>
      <c r="I227" s="2"/>
      <c r="J227" s="2"/>
      <c r="K227" s="2"/>
      <c r="L227" s="2"/>
      <c r="M227" s="2"/>
      <c r="N227" s="2"/>
      <c r="O227" s="2"/>
      <c r="P227" s="2"/>
      <c r="Q227" s="2"/>
      <c r="R227" s="2"/>
      <c r="S227" s="2"/>
      <c r="T227" s="2"/>
      <c r="U227" s="2"/>
      <c r="V227" s="2"/>
      <c r="W227" s="2"/>
      <c r="X227" s="2"/>
      <c r="Y227" s="2"/>
      <c r="Z227" s="2"/>
      <c r="AA227" s="2"/>
    </row>
    <row r="228">
      <c r="A228" s="1" t="s">
        <v>42</v>
      </c>
      <c r="B228" s="1" t="s">
        <v>909</v>
      </c>
      <c r="C228" s="1" t="s">
        <v>910</v>
      </c>
      <c r="D228" s="1" t="s">
        <v>911</v>
      </c>
      <c r="E228" s="1" t="s">
        <v>912</v>
      </c>
      <c r="F228" s="2">
        <f t="shared" si="1"/>
        <v>0</v>
      </c>
      <c r="G228" s="2"/>
      <c r="H228" s="2"/>
      <c r="I228" s="2"/>
      <c r="J228" s="2"/>
      <c r="K228" s="2"/>
      <c r="L228" s="2"/>
      <c r="M228" s="2"/>
      <c r="N228" s="2"/>
      <c r="O228" s="2"/>
      <c r="P228" s="2"/>
      <c r="Q228" s="2"/>
      <c r="R228" s="2"/>
      <c r="S228" s="2"/>
      <c r="T228" s="2"/>
      <c r="U228" s="2"/>
      <c r="V228" s="2"/>
      <c r="W228" s="2"/>
      <c r="X228" s="2"/>
      <c r="Y228" s="2"/>
      <c r="Z228" s="2"/>
      <c r="AA228" s="2"/>
    </row>
    <row r="229">
      <c r="A229" s="1" t="s">
        <v>42</v>
      </c>
      <c r="B229" s="1" t="s">
        <v>913</v>
      </c>
      <c r="C229" s="1" t="s">
        <v>914</v>
      </c>
      <c r="D229" s="1" t="s">
        <v>915</v>
      </c>
      <c r="E229" s="1" t="s">
        <v>916</v>
      </c>
      <c r="F229" s="2">
        <f t="shared" si="1"/>
        <v>0</v>
      </c>
      <c r="G229" s="2"/>
      <c r="H229" s="2"/>
      <c r="I229" s="2"/>
      <c r="J229" s="2"/>
      <c r="K229" s="2"/>
      <c r="L229" s="2"/>
      <c r="M229" s="2"/>
      <c r="N229" s="2"/>
      <c r="O229" s="2"/>
      <c r="P229" s="2"/>
      <c r="Q229" s="2"/>
      <c r="R229" s="2"/>
      <c r="S229" s="2"/>
      <c r="T229" s="2"/>
      <c r="U229" s="2"/>
      <c r="V229" s="2"/>
      <c r="W229" s="2"/>
      <c r="X229" s="2"/>
      <c r="Y229" s="2"/>
      <c r="Z229" s="2"/>
      <c r="AA229" s="2"/>
    </row>
    <row r="230">
      <c r="A230" s="1" t="s">
        <v>42</v>
      </c>
      <c r="B230" s="1" t="s">
        <v>917</v>
      </c>
      <c r="C230" s="1" t="s">
        <v>918</v>
      </c>
      <c r="D230" s="1" t="s">
        <v>919</v>
      </c>
      <c r="E230" s="1" t="s">
        <v>920</v>
      </c>
      <c r="F230" s="2">
        <f t="shared" si="1"/>
        <v>0</v>
      </c>
      <c r="G230" s="2"/>
      <c r="H230" s="2"/>
      <c r="I230" s="2"/>
      <c r="J230" s="2"/>
      <c r="K230" s="2"/>
      <c r="L230" s="2"/>
      <c r="M230" s="2"/>
      <c r="N230" s="2"/>
      <c r="O230" s="2"/>
      <c r="P230" s="2"/>
      <c r="Q230" s="2"/>
      <c r="R230" s="2"/>
      <c r="S230" s="2"/>
      <c r="T230" s="2"/>
      <c r="U230" s="2"/>
      <c r="V230" s="2"/>
      <c r="W230" s="2"/>
      <c r="X230" s="2"/>
      <c r="Y230" s="2"/>
      <c r="Z230" s="2"/>
      <c r="AA230" s="2"/>
    </row>
    <row r="231">
      <c r="A231" s="1" t="s">
        <v>42</v>
      </c>
      <c r="B231" s="1" t="s">
        <v>921</v>
      </c>
      <c r="C231" s="1" t="s">
        <v>922</v>
      </c>
      <c r="D231" s="1" t="s">
        <v>923</v>
      </c>
      <c r="E231" s="1" t="s">
        <v>924</v>
      </c>
      <c r="F231" s="2">
        <f t="shared" si="1"/>
        <v>0</v>
      </c>
      <c r="G231" s="2"/>
      <c r="H231" s="2"/>
      <c r="I231" s="2"/>
      <c r="J231" s="2"/>
      <c r="K231" s="2"/>
      <c r="L231" s="2"/>
      <c r="M231" s="2"/>
      <c r="N231" s="2"/>
      <c r="O231" s="2"/>
      <c r="P231" s="2"/>
      <c r="Q231" s="2"/>
      <c r="R231" s="2"/>
      <c r="S231" s="2"/>
      <c r="T231" s="2"/>
      <c r="U231" s="2"/>
      <c r="V231" s="2"/>
      <c r="W231" s="2"/>
      <c r="X231" s="2"/>
      <c r="Y231" s="2"/>
      <c r="Z231" s="2"/>
      <c r="AA231" s="2"/>
    </row>
    <row r="232">
      <c r="A232" s="1" t="s">
        <v>42</v>
      </c>
      <c r="B232" s="1" t="s">
        <v>925</v>
      </c>
      <c r="C232" s="1" t="s">
        <v>926</v>
      </c>
      <c r="D232" s="1" t="s">
        <v>927</v>
      </c>
      <c r="E232" s="1" t="s">
        <v>928</v>
      </c>
      <c r="F232" s="2">
        <f t="shared" si="1"/>
        <v>0</v>
      </c>
      <c r="G232" s="2"/>
      <c r="H232" s="2"/>
      <c r="I232" s="2"/>
      <c r="J232" s="2"/>
      <c r="K232" s="2"/>
      <c r="L232" s="2"/>
      <c r="M232" s="2"/>
      <c r="N232" s="2"/>
      <c r="O232" s="2"/>
      <c r="P232" s="2"/>
      <c r="Q232" s="2"/>
      <c r="R232" s="2"/>
      <c r="S232" s="2"/>
      <c r="T232" s="2"/>
      <c r="U232" s="2"/>
      <c r="V232" s="2"/>
      <c r="W232" s="2"/>
      <c r="X232" s="2"/>
      <c r="Y232" s="2"/>
      <c r="Z232" s="2"/>
      <c r="AA232" s="2"/>
    </row>
    <row r="233">
      <c r="A233" s="1" t="s">
        <v>42</v>
      </c>
      <c r="B233" s="1" t="s">
        <v>929</v>
      </c>
      <c r="C233" s="1" t="s">
        <v>930</v>
      </c>
      <c r="D233" s="1" t="s">
        <v>931</v>
      </c>
      <c r="E233" s="1" t="s">
        <v>932</v>
      </c>
      <c r="F233" s="2">
        <f t="shared" si="1"/>
        <v>0</v>
      </c>
      <c r="G233" s="2"/>
      <c r="H233" s="2"/>
      <c r="I233" s="2"/>
      <c r="J233" s="2"/>
      <c r="K233" s="2"/>
      <c r="L233" s="2"/>
      <c r="M233" s="2"/>
      <c r="N233" s="2"/>
      <c r="O233" s="2"/>
      <c r="P233" s="2"/>
      <c r="Q233" s="2"/>
      <c r="R233" s="2"/>
      <c r="S233" s="2"/>
      <c r="T233" s="2"/>
      <c r="U233" s="2"/>
      <c r="V233" s="2"/>
      <c r="W233" s="2"/>
      <c r="X233" s="2"/>
      <c r="Y233" s="2"/>
      <c r="Z233" s="2"/>
      <c r="AA233" s="2"/>
    </row>
    <row r="234">
      <c r="A234" s="1" t="s">
        <v>42</v>
      </c>
      <c r="B234" s="1" t="s">
        <v>933</v>
      </c>
      <c r="C234" s="1" t="s">
        <v>934</v>
      </c>
      <c r="D234" s="1" t="s">
        <v>935</v>
      </c>
      <c r="E234" s="1" t="s">
        <v>936</v>
      </c>
      <c r="F234" s="2">
        <f t="shared" si="1"/>
        <v>0</v>
      </c>
      <c r="G234" s="2"/>
      <c r="H234" s="2"/>
      <c r="I234" s="2"/>
      <c r="J234" s="2"/>
      <c r="K234" s="2"/>
      <c r="L234" s="2"/>
      <c r="M234" s="2"/>
      <c r="N234" s="2"/>
      <c r="O234" s="2"/>
      <c r="P234" s="2"/>
      <c r="Q234" s="2"/>
      <c r="R234" s="2"/>
      <c r="S234" s="2"/>
      <c r="T234" s="2"/>
      <c r="U234" s="2"/>
      <c r="V234" s="2"/>
      <c r="W234" s="2"/>
      <c r="X234" s="2"/>
      <c r="Y234" s="2"/>
      <c r="Z234" s="2"/>
      <c r="AA234" s="2"/>
    </row>
    <row r="235">
      <c r="A235" s="1" t="s">
        <v>42</v>
      </c>
      <c r="B235" s="1" t="s">
        <v>937</v>
      </c>
      <c r="C235" s="1" t="s">
        <v>938</v>
      </c>
      <c r="D235" s="1" t="s">
        <v>939</v>
      </c>
      <c r="E235" s="1" t="s">
        <v>940</v>
      </c>
      <c r="F235" s="2">
        <f t="shared" si="1"/>
        <v>0</v>
      </c>
      <c r="G235" s="2"/>
      <c r="H235" s="2"/>
      <c r="I235" s="2"/>
      <c r="J235" s="2"/>
      <c r="K235" s="2"/>
      <c r="L235" s="2"/>
      <c r="M235" s="2"/>
      <c r="N235" s="2"/>
      <c r="O235" s="2"/>
      <c r="P235" s="2"/>
      <c r="Q235" s="2"/>
      <c r="R235" s="2"/>
      <c r="S235" s="2"/>
      <c r="T235" s="2"/>
      <c r="U235" s="2"/>
      <c r="V235" s="2"/>
      <c r="W235" s="2"/>
      <c r="X235" s="2"/>
      <c r="Y235" s="2"/>
      <c r="Z235" s="2"/>
      <c r="AA235" s="2"/>
    </row>
    <row r="236">
      <c r="A236" s="1" t="s">
        <v>42</v>
      </c>
      <c r="B236" s="1" t="s">
        <v>941</v>
      </c>
      <c r="C236" s="1" t="s">
        <v>942</v>
      </c>
      <c r="D236" s="1" t="s">
        <v>943</v>
      </c>
      <c r="E236" s="1" t="s">
        <v>944</v>
      </c>
      <c r="F236" s="2">
        <f t="shared" si="1"/>
        <v>0</v>
      </c>
      <c r="G236" s="2"/>
      <c r="H236" s="2"/>
      <c r="I236" s="2"/>
      <c r="J236" s="2"/>
      <c r="K236" s="2"/>
      <c r="L236" s="2"/>
      <c r="M236" s="2"/>
      <c r="N236" s="2"/>
      <c r="O236" s="2"/>
      <c r="P236" s="2"/>
      <c r="Q236" s="2"/>
      <c r="R236" s="2"/>
      <c r="S236" s="2"/>
      <c r="T236" s="2"/>
      <c r="U236" s="2"/>
      <c r="V236" s="2"/>
      <c r="W236" s="2"/>
      <c r="X236" s="2"/>
      <c r="Y236" s="2"/>
      <c r="Z236" s="2"/>
      <c r="AA236" s="2"/>
    </row>
    <row r="237">
      <c r="A237" s="1" t="s">
        <v>42</v>
      </c>
      <c r="B237" s="1" t="s">
        <v>945</v>
      </c>
      <c r="C237" s="1" t="s">
        <v>946</v>
      </c>
      <c r="D237" s="1" t="s">
        <v>947</v>
      </c>
      <c r="E237" s="1" t="s">
        <v>948</v>
      </c>
      <c r="F237" s="2">
        <f t="shared" si="1"/>
        <v>0</v>
      </c>
      <c r="G237" s="2"/>
      <c r="H237" s="2"/>
      <c r="I237" s="2"/>
      <c r="J237" s="2"/>
      <c r="K237" s="2"/>
      <c r="L237" s="2"/>
      <c r="M237" s="2"/>
      <c r="N237" s="2"/>
      <c r="O237" s="2"/>
      <c r="P237" s="2"/>
      <c r="Q237" s="2"/>
      <c r="R237" s="2"/>
      <c r="S237" s="2"/>
      <c r="T237" s="2"/>
      <c r="U237" s="2"/>
      <c r="V237" s="2"/>
      <c r="W237" s="2"/>
      <c r="X237" s="2"/>
      <c r="Y237" s="2"/>
      <c r="Z237" s="2"/>
      <c r="AA237" s="2"/>
    </row>
    <row r="238">
      <c r="A238" s="1" t="s">
        <v>42</v>
      </c>
      <c r="B238" s="1" t="s">
        <v>949</v>
      </c>
      <c r="C238" s="1" t="s">
        <v>950</v>
      </c>
      <c r="D238" s="1" t="s">
        <v>951</v>
      </c>
      <c r="E238" s="1" t="s">
        <v>952</v>
      </c>
      <c r="F238" s="2">
        <f t="shared" si="1"/>
        <v>0</v>
      </c>
      <c r="G238" s="2"/>
      <c r="H238" s="2"/>
      <c r="I238" s="2"/>
      <c r="J238" s="2"/>
      <c r="K238" s="2"/>
      <c r="L238" s="2"/>
      <c r="M238" s="2"/>
      <c r="N238" s="2"/>
      <c r="O238" s="2"/>
      <c r="P238" s="2"/>
      <c r="Q238" s="2"/>
      <c r="R238" s="2"/>
      <c r="S238" s="2"/>
      <c r="T238" s="2"/>
      <c r="U238" s="2"/>
      <c r="V238" s="2"/>
      <c r="W238" s="2"/>
      <c r="X238" s="2"/>
      <c r="Y238" s="2"/>
      <c r="Z238" s="2"/>
      <c r="AA238" s="2"/>
    </row>
    <row r="239">
      <c r="A239" s="1" t="s">
        <v>42</v>
      </c>
      <c r="B239" s="1" t="s">
        <v>953</v>
      </c>
      <c r="C239" s="1" t="s">
        <v>954</v>
      </c>
      <c r="D239" s="1" t="s">
        <v>955</v>
      </c>
      <c r="E239" s="1" t="s">
        <v>956</v>
      </c>
      <c r="F239" s="2">
        <f t="shared" si="1"/>
        <v>0</v>
      </c>
      <c r="G239" s="2"/>
      <c r="H239" s="2"/>
      <c r="I239" s="2"/>
      <c r="J239" s="2"/>
      <c r="K239" s="2"/>
      <c r="L239" s="2"/>
      <c r="M239" s="2"/>
      <c r="N239" s="2"/>
      <c r="O239" s="2"/>
      <c r="P239" s="2"/>
      <c r="Q239" s="2"/>
      <c r="R239" s="2"/>
      <c r="S239" s="2"/>
      <c r="T239" s="2"/>
      <c r="U239" s="2"/>
      <c r="V239" s="2"/>
      <c r="W239" s="2"/>
      <c r="X239" s="2"/>
      <c r="Y239" s="2"/>
      <c r="Z239" s="2"/>
      <c r="AA239" s="2"/>
    </row>
    <row r="240">
      <c r="A240" s="1" t="s">
        <v>42</v>
      </c>
      <c r="B240" s="1" t="s">
        <v>957</v>
      </c>
      <c r="C240" s="1" t="s">
        <v>958</v>
      </c>
      <c r="D240" s="1" t="s">
        <v>959</v>
      </c>
      <c r="E240" s="1" t="s">
        <v>960</v>
      </c>
      <c r="F240" s="2">
        <f t="shared" si="1"/>
        <v>0</v>
      </c>
      <c r="G240" s="2"/>
      <c r="H240" s="2"/>
      <c r="I240" s="2"/>
      <c r="J240" s="2"/>
      <c r="K240" s="2"/>
      <c r="L240" s="2"/>
      <c r="M240" s="2"/>
      <c r="N240" s="2"/>
      <c r="O240" s="2"/>
      <c r="P240" s="2"/>
      <c r="Q240" s="2"/>
      <c r="R240" s="2"/>
      <c r="S240" s="2"/>
      <c r="T240" s="2"/>
      <c r="U240" s="2"/>
      <c r="V240" s="2"/>
      <c r="W240" s="2"/>
      <c r="X240" s="2"/>
      <c r="Y240" s="2"/>
      <c r="Z240" s="2"/>
      <c r="AA240" s="2"/>
    </row>
    <row r="241">
      <c r="A241" s="1" t="s">
        <v>42</v>
      </c>
      <c r="B241" s="1" t="s">
        <v>961</v>
      </c>
      <c r="C241" s="1" t="s">
        <v>962</v>
      </c>
      <c r="D241" s="1" t="s">
        <v>963</v>
      </c>
      <c r="E241" s="1" t="s">
        <v>964</v>
      </c>
      <c r="F241" s="2">
        <f t="shared" si="1"/>
        <v>0</v>
      </c>
      <c r="G241" s="2"/>
      <c r="H241" s="2"/>
      <c r="I241" s="2"/>
      <c r="J241" s="2"/>
      <c r="K241" s="2"/>
      <c r="L241" s="2"/>
      <c r="M241" s="2"/>
      <c r="N241" s="2"/>
      <c r="O241" s="2"/>
      <c r="P241" s="2"/>
      <c r="Q241" s="2"/>
      <c r="R241" s="2"/>
      <c r="S241" s="2"/>
      <c r="T241" s="2"/>
      <c r="U241" s="2"/>
      <c r="V241" s="2"/>
      <c r="W241" s="2"/>
      <c r="X241" s="2"/>
      <c r="Y241" s="2"/>
      <c r="Z241" s="2"/>
      <c r="AA241" s="2"/>
    </row>
    <row r="242">
      <c r="A242" s="1" t="s">
        <v>42</v>
      </c>
      <c r="B242" s="1" t="s">
        <v>965</v>
      </c>
      <c r="C242" s="1" t="s">
        <v>966</v>
      </c>
      <c r="D242" s="1" t="s">
        <v>967</v>
      </c>
      <c r="E242" s="1" t="s">
        <v>968</v>
      </c>
      <c r="F242" s="2">
        <f t="shared" si="1"/>
        <v>0</v>
      </c>
      <c r="G242" s="2"/>
      <c r="H242" s="2"/>
      <c r="I242" s="2"/>
      <c r="J242" s="2"/>
      <c r="K242" s="2"/>
      <c r="L242" s="2"/>
      <c r="M242" s="2"/>
      <c r="N242" s="2"/>
      <c r="O242" s="2"/>
      <c r="P242" s="2"/>
      <c r="Q242" s="2"/>
      <c r="R242" s="2"/>
      <c r="S242" s="2"/>
      <c r="T242" s="2"/>
      <c r="U242" s="2"/>
      <c r="V242" s="2"/>
      <c r="W242" s="2"/>
      <c r="X242" s="2"/>
      <c r="Y242" s="2"/>
      <c r="Z242" s="2"/>
      <c r="AA242" s="2"/>
    </row>
    <row r="243">
      <c r="A243" s="1" t="s">
        <v>42</v>
      </c>
      <c r="B243" s="1" t="s">
        <v>969</v>
      </c>
      <c r="C243" s="1" t="s">
        <v>571</v>
      </c>
      <c r="D243" s="1" t="s">
        <v>970</v>
      </c>
      <c r="E243" s="1" t="s">
        <v>573</v>
      </c>
      <c r="F243" s="2">
        <f t="shared" si="1"/>
        <v>0</v>
      </c>
      <c r="G243" s="2"/>
      <c r="H243" s="2"/>
      <c r="I243" s="2"/>
      <c r="J243" s="2"/>
      <c r="K243" s="2"/>
      <c r="L243" s="2"/>
      <c r="M243" s="2"/>
      <c r="N243" s="2"/>
      <c r="O243" s="2"/>
      <c r="P243" s="2"/>
      <c r="Q243" s="2"/>
      <c r="R243" s="2"/>
      <c r="S243" s="2"/>
      <c r="T243" s="2"/>
      <c r="U243" s="2"/>
      <c r="V243" s="2"/>
      <c r="W243" s="2"/>
      <c r="X243" s="2"/>
      <c r="Y243" s="2"/>
      <c r="Z243" s="2"/>
      <c r="AA243" s="2"/>
    </row>
    <row r="244">
      <c r="A244" s="1" t="s">
        <v>42</v>
      </c>
      <c r="B244" s="1" t="s">
        <v>971</v>
      </c>
      <c r="C244" s="1" t="s">
        <v>972</v>
      </c>
      <c r="D244" s="1" t="s">
        <v>973</v>
      </c>
      <c r="E244" s="1" t="s">
        <v>974</v>
      </c>
      <c r="F244" s="2">
        <f t="shared" si="1"/>
        <v>0</v>
      </c>
      <c r="G244" s="2"/>
      <c r="H244" s="2"/>
      <c r="I244" s="2"/>
      <c r="J244" s="2"/>
      <c r="K244" s="2"/>
      <c r="L244" s="2"/>
      <c r="M244" s="2"/>
      <c r="N244" s="2"/>
      <c r="O244" s="2"/>
      <c r="P244" s="2"/>
      <c r="Q244" s="2"/>
      <c r="R244" s="2"/>
      <c r="S244" s="2"/>
      <c r="T244" s="2"/>
      <c r="U244" s="2"/>
      <c r="V244" s="2"/>
      <c r="W244" s="2"/>
      <c r="X244" s="2"/>
      <c r="Y244" s="2"/>
      <c r="Z244" s="2"/>
      <c r="AA244" s="2"/>
    </row>
    <row r="245">
      <c r="A245" s="1" t="s">
        <v>42</v>
      </c>
      <c r="B245" s="1" t="s">
        <v>975</v>
      </c>
      <c r="C245" s="1" t="s">
        <v>976</v>
      </c>
      <c r="D245" s="1" t="s">
        <v>977</v>
      </c>
      <c r="E245" s="1" t="s">
        <v>978</v>
      </c>
      <c r="F245" s="2">
        <f t="shared" si="1"/>
        <v>0</v>
      </c>
      <c r="G245" s="2"/>
      <c r="H245" s="2"/>
      <c r="I245" s="2"/>
      <c r="J245" s="2"/>
      <c r="K245" s="2"/>
      <c r="L245" s="2"/>
      <c r="M245" s="2"/>
      <c r="N245" s="2"/>
      <c r="O245" s="2"/>
      <c r="P245" s="2"/>
      <c r="Q245" s="2"/>
      <c r="R245" s="2"/>
      <c r="S245" s="2"/>
      <c r="T245" s="2"/>
      <c r="U245" s="2"/>
      <c r="V245" s="2"/>
      <c r="W245" s="2"/>
      <c r="X245" s="2"/>
      <c r="Y245" s="2"/>
      <c r="Z245" s="2"/>
      <c r="AA245" s="2"/>
    </row>
    <row r="246">
      <c r="A246" s="1" t="s">
        <v>42</v>
      </c>
      <c r="B246" s="1" t="s">
        <v>979</v>
      </c>
      <c r="C246" s="1" t="s">
        <v>980</v>
      </c>
      <c r="D246" s="1" t="s">
        <v>981</v>
      </c>
      <c r="E246" s="1" t="s">
        <v>982</v>
      </c>
      <c r="F246" s="2">
        <f t="shared" si="1"/>
        <v>0</v>
      </c>
      <c r="G246" s="2"/>
      <c r="H246" s="2"/>
      <c r="I246" s="2"/>
      <c r="J246" s="2"/>
      <c r="K246" s="2"/>
      <c r="L246" s="2"/>
      <c r="M246" s="2"/>
      <c r="N246" s="2"/>
      <c r="O246" s="2"/>
      <c r="P246" s="2"/>
      <c r="Q246" s="2"/>
      <c r="R246" s="2"/>
      <c r="S246" s="2"/>
      <c r="T246" s="2"/>
      <c r="U246" s="2"/>
      <c r="V246" s="2"/>
      <c r="W246" s="2"/>
      <c r="X246" s="2"/>
      <c r="Y246" s="2"/>
      <c r="Z246" s="2"/>
      <c r="AA246" s="2"/>
    </row>
    <row r="247">
      <c r="A247" s="1" t="s">
        <v>42</v>
      </c>
      <c r="B247" s="1" t="s">
        <v>983</v>
      </c>
      <c r="C247" s="1" t="s">
        <v>984</v>
      </c>
      <c r="D247" s="1" t="s">
        <v>985</v>
      </c>
      <c r="E247" s="1" t="s">
        <v>986</v>
      </c>
      <c r="F247" s="2">
        <f t="shared" si="1"/>
        <v>0</v>
      </c>
      <c r="G247" s="2"/>
      <c r="H247" s="2"/>
      <c r="I247" s="2"/>
      <c r="J247" s="2"/>
      <c r="K247" s="2"/>
      <c r="L247" s="2"/>
      <c r="M247" s="2"/>
      <c r="N247" s="2"/>
      <c r="O247" s="2"/>
      <c r="P247" s="2"/>
      <c r="Q247" s="2"/>
      <c r="R247" s="2"/>
      <c r="S247" s="2"/>
      <c r="T247" s="2"/>
      <c r="U247" s="2"/>
      <c r="V247" s="2"/>
      <c r="W247" s="2"/>
      <c r="X247" s="2"/>
      <c r="Y247" s="2"/>
      <c r="Z247" s="2"/>
      <c r="AA247" s="2"/>
    </row>
    <row r="248">
      <c r="A248" s="1" t="s">
        <v>42</v>
      </c>
      <c r="B248" s="1" t="s">
        <v>987</v>
      </c>
      <c r="C248" s="1" t="s">
        <v>988</v>
      </c>
      <c r="D248" s="1" t="s">
        <v>989</v>
      </c>
      <c r="E248" s="1" t="s">
        <v>990</v>
      </c>
      <c r="F248" s="2">
        <f t="shared" si="1"/>
        <v>0</v>
      </c>
      <c r="G248" s="2"/>
      <c r="H248" s="2"/>
      <c r="I248" s="2"/>
      <c r="J248" s="2"/>
      <c r="K248" s="2"/>
      <c r="L248" s="2"/>
      <c r="M248" s="2"/>
      <c r="N248" s="2"/>
      <c r="O248" s="2"/>
      <c r="P248" s="2"/>
      <c r="Q248" s="2"/>
      <c r="R248" s="2"/>
      <c r="S248" s="2"/>
      <c r="T248" s="2"/>
      <c r="U248" s="2"/>
      <c r="V248" s="2"/>
      <c r="W248" s="2"/>
      <c r="X248" s="2"/>
      <c r="Y248" s="2"/>
      <c r="Z248" s="2"/>
      <c r="AA248" s="2"/>
    </row>
    <row r="249">
      <c r="A249" s="1" t="s">
        <v>42</v>
      </c>
      <c r="B249" s="1" t="s">
        <v>991</v>
      </c>
      <c r="C249" s="1" t="s">
        <v>992</v>
      </c>
      <c r="D249" s="1" t="s">
        <v>993</v>
      </c>
      <c r="E249" s="1" t="s">
        <v>994</v>
      </c>
      <c r="F249" s="2">
        <f t="shared" si="1"/>
        <v>0</v>
      </c>
      <c r="G249" s="2"/>
      <c r="H249" s="2"/>
      <c r="I249" s="2"/>
      <c r="J249" s="2"/>
      <c r="K249" s="2"/>
      <c r="L249" s="2"/>
      <c r="M249" s="2"/>
      <c r="N249" s="2"/>
      <c r="O249" s="2"/>
      <c r="P249" s="2"/>
      <c r="Q249" s="2"/>
      <c r="R249" s="2"/>
      <c r="S249" s="2"/>
      <c r="T249" s="2"/>
      <c r="U249" s="2"/>
      <c r="V249" s="2"/>
      <c r="W249" s="2"/>
      <c r="X249" s="2"/>
      <c r="Y249" s="2"/>
      <c r="Z249" s="2"/>
      <c r="AA249" s="2"/>
    </row>
    <row r="250">
      <c r="A250" s="1" t="s">
        <v>42</v>
      </c>
      <c r="B250" s="1" t="s">
        <v>995</v>
      </c>
      <c r="C250" s="1" t="s">
        <v>996</v>
      </c>
      <c r="D250" s="1" t="s">
        <v>997</v>
      </c>
      <c r="E250" s="1" t="s">
        <v>998</v>
      </c>
      <c r="F250" s="2">
        <f t="shared" si="1"/>
        <v>0</v>
      </c>
      <c r="G250" s="2"/>
      <c r="H250" s="2"/>
      <c r="I250" s="2"/>
      <c r="J250" s="2"/>
      <c r="K250" s="2"/>
      <c r="L250" s="2"/>
      <c r="M250" s="2"/>
      <c r="N250" s="2"/>
      <c r="O250" s="2"/>
      <c r="P250" s="2"/>
      <c r="Q250" s="2"/>
      <c r="R250" s="2"/>
      <c r="S250" s="2"/>
      <c r="T250" s="2"/>
      <c r="U250" s="2"/>
      <c r="V250" s="2"/>
      <c r="W250" s="2"/>
      <c r="X250" s="2"/>
      <c r="Y250" s="2"/>
      <c r="Z250" s="2"/>
      <c r="AA250" s="2"/>
    </row>
    <row r="251">
      <c r="A251" s="1" t="s">
        <v>42</v>
      </c>
      <c r="B251" s="1" t="s">
        <v>999</v>
      </c>
      <c r="C251" s="1" t="s">
        <v>1000</v>
      </c>
      <c r="D251" s="1" t="s">
        <v>1001</v>
      </c>
      <c r="E251" s="1" t="s">
        <v>1002</v>
      </c>
      <c r="F251" s="2">
        <f t="shared" si="1"/>
        <v>0</v>
      </c>
      <c r="G251" s="2"/>
      <c r="H251" s="2"/>
      <c r="I251" s="2"/>
      <c r="J251" s="2"/>
      <c r="K251" s="2"/>
      <c r="L251" s="2"/>
      <c r="M251" s="2"/>
      <c r="N251" s="2"/>
      <c r="O251" s="2"/>
      <c r="P251" s="2"/>
      <c r="Q251" s="2"/>
      <c r="R251" s="2"/>
      <c r="S251" s="2"/>
      <c r="T251" s="2"/>
      <c r="U251" s="2"/>
      <c r="V251" s="2"/>
      <c r="W251" s="2"/>
      <c r="X251" s="2"/>
      <c r="Y251" s="2"/>
      <c r="Z251" s="2"/>
      <c r="AA251" s="2"/>
    </row>
    <row r="252">
      <c r="A252" s="1" t="s">
        <v>42</v>
      </c>
      <c r="B252" s="1" t="s">
        <v>1003</v>
      </c>
      <c r="C252" s="1" t="s">
        <v>1004</v>
      </c>
      <c r="D252" s="1" t="s">
        <v>1000</v>
      </c>
      <c r="E252" s="1" t="s">
        <v>1005</v>
      </c>
      <c r="F252" s="2">
        <f t="shared" si="1"/>
        <v>0</v>
      </c>
      <c r="G252" s="2"/>
      <c r="H252" s="2"/>
      <c r="I252" s="2"/>
      <c r="J252" s="2"/>
      <c r="K252" s="2"/>
      <c r="L252" s="2"/>
      <c r="M252" s="2"/>
      <c r="N252" s="2"/>
      <c r="O252" s="2"/>
      <c r="P252" s="2"/>
      <c r="Q252" s="2"/>
      <c r="R252" s="2"/>
      <c r="S252" s="2"/>
      <c r="T252" s="2"/>
      <c r="U252" s="2"/>
      <c r="V252" s="2"/>
      <c r="W252" s="2"/>
      <c r="X252" s="2"/>
      <c r="Y252" s="2"/>
      <c r="Z252" s="2"/>
      <c r="AA252" s="2"/>
    </row>
    <row r="253">
      <c r="A253" s="1" t="s">
        <v>42</v>
      </c>
      <c r="B253" s="1" t="s">
        <v>1006</v>
      </c>
      <c r="C253" s="1" t="s">
        <v>1007</v>
      </c>
      <c r="D253" s="1" t="s">
        <v>1008</v>
      </c>
      <c r="E253" s="1" t="s">
        <v>1009</v>
      </c>
      <c r="F253" s="2">
        <f t="shared" si="1"/>
        <v>0</v>
      </c>
      <c r="G253" s="2"/>
      <c r="H253" s="2"/>
      <c r="I253" s="2"/>
      <c r="J253" s="2"/>
      <c r="K253" s="2"/>
      <c r="L253" s="2"/>
      <c r="M253" s="2"/>
      <c r="N253" s="2"/>
      <c r="O253" s="2"/>
      <c r="P253" s="2"/>
      <c r="Q253" s="2"/>
      <c r="R253" s="2"/>
      <c r="S253" s="2"/>
      <c r="T253" s="2"/>
      <c r="U253" s="2"/>
      <c r="V253" s="2"/>
      <c r="W253" s="2"/>
      <c r="X253" s="2"/>
      <c r="Y253" s="2"/>
      <c r="Z253" s="2"/>
      <c r="AA253" s="2"/>
    </row>
    <row r="254">
      <c r="A254" s="1" t="s">
        <v>42</v>
      </c>
      <c r="B254" s="1" t="s">
        <v>1010</v>
      </c>
      <c r="C254" s="1" t="s">
        <v>1011</v>
      </c>
      <c r="D254" s="1" t="s">
        <v>1012</v>
      </c>
      <c r="E254" s="1" t="s">
        <v>1013</v>
      </c>
      <c r="F254" s="2">
        <f t="shared" si="1"/>
        <v>0</v>
      </c>
      <c r="G254" s="2"/>
      <c r="H254" s="2"/>
      <c r="I254" s="2"/>
      <c r="J254" s="2"/>
      <c r="K254" s="2"/>
      <c r="L254" s="2"/>
      <c r="M254" s="2"/>
      <c r="N254" s="2"/>
      <c r="O254" s="2"/>
      <c r="P254" s="2"/>
      <c r="Q254" s="2"/>
      <c r="R254" s="2"/>
      <c r="S254" s="2"/>
      <c r="T254" s="2"/>
      <c r="U254" s="2"/>
      <c r="V254" s="2"/>
      <c r="W254" s="2"/>
      <c r="X254" s="2"/>
      <c r="Y254" s="2"/>
      <c r="Z254" s="2"/>
      <c r="AA254" s="2"/>
    </row>
    <row r="255">
      <c r="A255" s="1" t="s">
        <v>42</v>
      </c>
      <c r="B255" s="1" t="s">
        <v>1014</v>
      </c>
      <c r="C255" s="1" t="s">
        <v>1015</v>
      </c>
      <c r="D255" s="1" t="s">
        <v>1016</v>
      </c>
      <c r="E255" s="1" t="s">
        <v>1017</v>
      </c>
      <c r="F255" s="2">
        <f t="shared" si="1"/>
        <v>0</v>
      </c>
      <c r="G255" s="2"/>
      <c r="H255" s="2"/>
      <c r="I255" s="2"/>
      <c r="J255" s="2"/>
      <c r="K255" s="2"/>
      <c r="L255" s="2"/>
      <c r="M255" s="2"/>
      <c r="N255" s="2"/>
      <c r="O255" s="2"/>
      <c r="P255" s="2"/>
      <c r="Q255" s="2"/>
      <c r="R255" s="2"/>
      <c r="S255" s="2"/>
      <c r="T255" s="2"/>
      <c r="U255" s="2"/>
      <c r="V255" s="2"/>
      <c r="W255" s="2"/>
      <c r="X255" s="2"/>
      <c r="Y255" s="2"/>
      <c r="Z255" s="2"/>
      <c r="AA255" s="2"/>
    </row>
    <row r="256">
      <c r="A256" s="1" t="s">
        <v>42</v>
      </c>
      <c r="B256" s="1" t="s">
        <v>1018</v>
      </c>
      <c r="C256" s="1" t="s">
        <v>1019</v>
      </c>
      <c r="D256" s="1" t="s">
        <v>1020</v>
      </c>
      <c r="E256" s="1" t="s">
        <v>1021</v>
      </c>
      <c r="F256" s="2">
        <f t="shared" si="1"/>
        <v>0</v>
      </c>
      <c r="G256" s="2"/>
      <c r="H256" s="2"/>
      <c r="I256" s="2"/>
      <c r="J256" s="2"/>
      <c r="K256" s="2"/>
      <c r="L256" s="2"/>
      <c r="M256" s="2"/>
      <c r="N256" s="2"/>
      <c r="O256" s="2"/>
      <c r="P256" s="2"/>
      <c r="Q256" s="2"/>
      <c r="R256" s="2"/>
      <c r="S256" s="2"/>
      <c r="T256" s="2"/>
      <c r="U256" s="2"/>
      <c r="V256" s="2"/>
      <c r="W256" s="2"/>
      <c r="X256" s="2"/>
      <c r="Y256" s="2"/>
      <c r="Z256" s="2"/>
      <c r="AA256" s="2"/>
    </row>
    <row r="257">
      <c r="A257" s="1" t="s">
        <v>42</v>
      </c>
      <c r="B257" s="1" t="s">
        <v>1022</v>
      </c>
      <c r="C257" s="1" t="s">
        <v>1023</v>
      </c>
      <c r="D257" s="1" t="s">
        <v>1024</v>
      </c>
      <c r="E257" s="1" t="s">
        <v>1025</v>
      </c>
      <c r="F257" s="2">
        <f t="shared" si="1"/>
        <v>0</v>
      </c>
      <c r="G257" s="2"/>
      <c r="H257" s="2"/>
      <c r="I257" s="2"/>
      <c r="J257" s="2"/>
      <c r="K257" s="2"/>
      <c r="L257" s="2"/>
      <c r="M257" s="2"/>
      <c r="N257" s="2"/>
      <c r="O257" s="2"/>
      <c r="P257" s="2"/>
      <c r="Q257" s="2"/>
      <c r="R257" s="2"/>
      <c r="S257" s="2"/>
      <c r="T257" s="2"/>
      <c r="U257" s="2"/>
      <c r="V257" s="2"/>
      <c r="W257" s="2"/>
      <c r="X257" s="2"/>
      <c r="Y257" s="2"/>
      <c r="Z257" s="2"/>
      <c r="AA257" s="2"/>
    </row>
    <row r="258">
      <c r="A258" s="1" t="s">
        <v>42</v>
      </c>
      <c r="B258" s="1" t="s">
        <v>1026</v>
      </c>
      <c r="C258" s="1" t="s">
        <v>1027</v>
      </c>
      <c r="D258" s="1" t="s">
        <v>1028</v>
      </c>
      <c r="E258" s="1" t="s">
        <v>1029</v>
      </c>
      <c r="F258" s="2">
        <f t="shared" si="1"/>
        <v>0</v>
      </c>
      <c r="G258" s="2"/>
      <c r="H258" s="2"/>
      <c r="I258" s="2"/>
      <c r="J258" s="2"/>
      <c r="K258" s="2"/>
      <c r="L258" s="2"/>
      <c r="M258" s="2"/>
      <c r="N258" s="2"/>
      <c r="O258" s="2"/>
      <c r="P258" s="2"/>
      <c r="Q258" s="2"/>
      <c r="R258" s="2"/>
      <c r="S258" s="2"/>
      <c r="T258" s="2"/>
      <c r="U258" s="2"/>
      <c r="V258" s="2"/>
      <c r="W258" s="2"/>
      <c r="X258" s="2"/>
      <c r="Y258" s="2"/>
      <c r="Z258" s="2"/>
      <c r="AA258" s="2"/>
    </row>
    <row r="259">
      <c r="A259" s="1" t="s">
        <v>42</v>
      </c>
      <c r="B259" s="1" t="s">
        <v>1030</v>
      </c>
      <c r="C259" s="1" t="s">
        <v>1031</v>
      </c>
      <c r="D259" s="1" t="s">
        <v>1032</v>
      </c>
      <c r="E259" s="1" t="s">
        <v>1033</v>
      </c>
      <c r="F259" s="2">
        <f t="shared" si="1"/>
        <v>0</v>
      </c>
      <c r="G259" s="2"/>
      <c r="H259" s="2"/>
      <c r="I259" s="2"/>
      <c r="J259" s="2"/>
      <c r="K259" s="2"/>
      <c r="L259" s="2"/>
      <c r="M259" s="2"/>
      <c r="N259" s="2"/>
      <c r="O259" s="2"/>
      <c r="P259" s="2"/>
      <c r="Q259" s="2"/>
      <c r="R259" s="2"/>
      <c r="S259" s="2"/>
      <c r="T259" s="2"/>
      <c r="U259" s="2"/>
      <c r="V259" s="2"/>
      <c r="W259" s="2"/>
      <c r="X259" s="2"/>
      <c r="Y259" s="2"/>
      <c r="Z259" s="2"/>
      <c r="AA259" s="2"/>
    </row>
    <row r="260">
      <c r="A260" s="1" t="s">
        <v>42</v>
      </c>
      <c r="B260" s="1" t="s">
        <v>1034</v>
      </c>
      <c r="C260" s="1" t="s">
        <v>1035</v>
      </c>
      <c r="D260" s="1" t="s">
        <v>1036</v>
      </c>
      <c r="E260" s="1" t="s">
        <v>1037</v>
      </c>
      <c r="F260" s="2">
        <f t="shared" si="1"/>
        <v>0</v>
      </c>
      <c r="G260" s="2"/>
      <c r="H260" s="2"/>
      <c r="I260" s="2"/>
      <c r="J260" s="2"/>
      <c r="K260" s="2"/>
      <c r="L260" s="2"/>
      <c r="M260" s="2"/>
      <c r="N260" s="2"/>
      <c r="O260" s="2"/>
      <c r="P260" s="2"/>
      <c r="Q260" s="2"/>
      <c r="R260" s="2"/>
      <c r="S260" s="2"/>
      <c r="T260" s="2"/>
      <c r="U260" s="2"/>
      <c r="V260" s="2"/>
      <c r="W260" s="2"/>
      <c r="X260" s="2"/>
      <c r="Y260" s="2"/>
      <c r="Z260" s="2"/>
      <c r="AA260" s="2"/>
    </row>
    <row r="261">
      <c r="A261" s="1" t="s">
        <v>42</v>
      </c>
      <c r="B261" s="1" t="s">
        <v>1038</v>
      </c>
      <c r="C261" s="1" t="s">
        <v>1039</v>
      </c>
      <c r="D261" s="1" t="s">
        <v>1040</v>
      </c>
      <c r="E261" s="1" t="s">
        <v>1041</v>
      </c>
      <c r="F261" s="2">
        <f t="shared" si="1"/>
        <v>0</v>
      </c>
      <c r="G261" s="2"/>
      <c r="H261" s="2"/>
      <c r="I261" s="2"/>
      <c r="J261" s="2"/>
      <c r="K261" s="2"/>
      <c r="L261" s="2"/>
      <c r="M261" s="2"/>
      <c r="N261" s="2"/>
      <c r="O261" s="2"/>
      <c r="P261" s="2"/>
      <c r="Q261" s="2"/>
      <c r="R261" s="2"/>
      <c r="S261" s="2"/>
      <c r="T261" s="2"/>
      <c r="U261" s="2"/>
      <c r="V261" s="2"/>
      <c r="W261" s="2"/>
      <c r="X261" s="2"/>
      <c r="Y261" s="2"/>
      <c r="Z261" s="2"/>
      <c r="AA261" s="2"/>
    </row>
    <row r="262">
      <c r="A262" s="1" t="s">
        <v>42</v>
      </c>
      <c r="B262" s="1" t="s">
        <v>1042</v>
      </c>
      <c r="C262" s="1" t="s">
        <v>1043</v>
      </c>
      <c r="D262" s="1" t="s">
        <v>1044</v>
      </c>
      <c r="E262" s="1" t="s">
        <v>1045</v>
      </c>
      <c r="F262" s="2">
        <f t="shared" si="1"/>
        <v>0</v>
      </c>
      <c r="G262" s="2"/>
      <c r="H262" s="2"/>
      <c r="I262" s="2"/>
      <c r="J262" s="2"/>
      <c r="K262" s="2"/>
      <c r="L262" s="2"/>
      <c r="M262" s="2"/>
      <c r="N262" s="2"/>
      <c r="O262" s="2"/>
      <c r="P262" s="2"/>
      <c r="Q262" s="2"/>
      <c r="R262" s="2"/>
      <c r="S262" s="2"/>
      <c r="T262" s="2"/>
      <c r="U262" s="2"/>
      <c r="V262" s="2"/>
      <c r="W262" s="2"/>
      <c r="X262" s="2"/>
      <c r="Y262" s="2"/>
      <c r="Z262" s="2"/>
      <c r="AA262" s="2"/>
    </row>
    <row r="263">
      <c r="A263" s="1" t="s">
        <v>42</v>
      </c>
      <c r="B263" s="1" t="s">
        <v>1046</v>
      </c>
      <c r="C263" s="1" t="s">
        <v>1047</v>
      </c>
      <c r="D263" s="1" t="s">
        <v>1048</v>
      </c>
      <c r="E263" s="1" t="s">
        <v>1049</v>
      </c>
      <c r="F263" s="2">
        <f t="shared" si="1"/>
        <v>0</v>
      </c>
      <c r="G263" s="2"/>
      <c r="H263" s="2"/>
      <c r="I263" s="2"/>
      <c r="J263" s="2"/>
      <c r="K263" s="2"/>
      <c r="L263" s="2"/>
      <c r="M263" s="2"/>
      <c r="N263" s="2"/>
      <c r="O263" s="2"/>
      <c r="P263" s="2"/>
      <c r="Q263" s="2"/>
      <c r="R263" s="2"/>
      <c r="S263" s="2"/>
      <c r="T263" s="2"/>
      <c r="U263" s="2"/>
      <c r="V263" s="2"/>
      <c r="W263" s="2"/>
      <c r="X263" s="2"/>
      <c r="Y263" s="2"/>
      <c r="Z263" s="2"/>
      <c r="AA263" s="2"/>
    </row>
    <row r="264">
      <c r="A264" s="1" t="s">
        <v>42</v>
      </c>
      <c r="B264" s="1" t="s">
        <v>1050</v>
      </c>
      <c r="C264" s="1" t="s">
        <v>1051</v>
      </c>
      <c r="D264" s="1" t="s">
        <v>1052</v>
      </c>
      <c r="E264" s="1" t="s">
        <v>1053</v>
      </c>
      <c r="F264" s="2">
        <f t="shared" si="1"/>
        <v>0</v>
      </c>
      <c r="G264" s="2"/>
      <c r="H264" s="2"/>
      <c r="I264" s="2"/>
      <c r="J264" s="2"/>
      <c r="K264" s="2"/>
      <c r="L264" s="2"/>
      <c r="M264" s="2"/>
      <c r="N264" s="2"/>
      <c r="O264" s="2"/>
      <c r="P264" s="2"/>
      <c r="Q264" s="2"/>
      <c r="R264" s="2"/>
      <c r="S264" s="2"/>
      <c r="T264" s="2"/>
      <c r="U264" s="2"/>
      <c r="V264" s="2"/>
      <c r="W264" s="2"/>
      <c r="X264" s="2"/>
      <c r="Y264" s="2"/>
      <c r="Z264" s="2"/>
      <c r="AA264" s="2"/>
    </row>
    <row r="265">
      <c r="A265" s="1" t="s">
        <v>42</v>
      </c>
      <c r="B265" s="1" t="s">
        <v>1054</v>
      </c>
      <c r="C265" s="1" t="s">
        <v>1055</v>
      </c>
      <c r="D265" s="1" t="s">
        <v>1056</v>
      </c>
      <c r="E265" s="1" t="s">
        <v>1057</v>
      </c>
      <c r="F265" s="2">
        <f t="shared" si="1"/>
        <v>0</v>
      </c>
      <c r="G265" s="2"/>
      <c r="H265" s="2"/>
      <c r="I265" s="2"/>
      <c r="J265" s="2"/>
      <c r="K265" s="2"/>
      <c r="L265" s="2"/>
      <c r="M265" s="2"/>
      <c r="N265" s="2"/>
      <c r="O265" s="2"/>
      <c r="P265" s="2"/>
      <c r="Q265" s="2"/>
      <c r="R265" s="2"/>
      <c r="S265" s="2"/>
      <c r="T265" s="2"/>
      <c r="U265" s="2"/>
      <c r="V265" s="2"/>
      <c r="W265" s="2"/>
      <c r="X265" s="2"/>
      <c r="Y265" s="2"/>
      <c r="Z265" s="2"/>
      <c r="AA265" s="2"/>
    </row>
    <row r="266">
      <c r="A266" s="1" t="s">
        <v>42</v>
      </c>
      <c r="B266" s="1" t="s">
        <v>1058</v>
      </c>
      <c r="C266" s="1" t="s">
        <v>1059</v>
      </c>
      <c r="D266" s="1" t="s">
        <v>1060</v>
      </c>
      <c r="E266" s="1" t="s">
        <v>1061</v>
      </c>
      <c r="F266" s="2">
        <f t="shared" si="1"/>
        <v>0</v>
      </c>
      <c r="G266" s="2"/>
      <c r="H266" s="2"/>
      <c r="I266" s="2"/>
      <c r="J266" s="2"/>
      <c r="K266" s="2"/>
      <c r="L266" s="2"/>
      <c r="M266" s="2"/>
      <c r="N266" s="2"/>
      <c r="O266" s="2"/>
      <c r="P266" s="2"/>
      <c r="Q266" s="2"/>
      <c r="R266" s="2"/>
      <c r="S266" s="2"/>
      <c r="T266" s="2"/>
      <c r="U266" s="2"/>
      <c r="V266" s="2"/>
      <c r="W266" s="2"/>
      <c r="X266" s="2"/>
      <c r="Y266" s="2"/>
      <c r="Z266" s="2"/>
      <c r="AA266" s="2"/>
    </row>
    <row r="267">
      <c r="A267" s="1" t="s">
        <v>42</v>
      </c>
      <c r="B267" s="1" t="s">
        <v>1062</v>
      </c>
      <c r="C267" s="1" t="s">
        <v>1063</v>
      </c>
      <c r="D267" s="1" t="s">
        <v>1064</v>
      </c>
      <c r="E267" s="1" t="s">
        <v>1065</v>
      </c>
      <c r="F267" s="2">
        <f t="shared" si="1"/>
        <v>0</v>
      </c>
      <c r="G267" s="2"/>
      <c r="H267" s="2"/>
      <c r="I267" s="2"/>
      <c r="J267" s="2"/>
      <c r="K267" s="2"/>
      <c r="L267" s="2"/>
      <c r="M267" s="2"/>
      <c r="N267" s="2"/>
      <c r="O267" s="2"/>
      <c r="P267" s="2"/>
      <c r="Q267" s="2"/>
      <c r="R267" s="2"/>
      <c r="S267" s="2"/>
      <c r="T267" s="2"/>
      <c r="U267" s="2"/>
      <c r="V267" s="2"/>
      <c r="W267" s="2"/>
      <c r="X267" s="2"/>
      <c r="Y267" s="2"/>
      <c r="Z267" s="2"/>
      <c r="AA267" s="2"/>
    </row>
    <row r="268">
      <c r="A268" s="1" t="s">
        <v>42</v>
      </c>
      <c r="B268" s="1" t="s">
        <v>1066</v>
      </c>
      <c r="C268" s="1" t="s">
        <v>1067</v>
      </c>
      <c r="D268" s="1" t="s">
        <v>1068</v>
      </c>
      <c r="E268" s="1" t="s">
        <v>1069</v>
      </c>
      <c r="F268" s="2">
        <f t="shared" si="1"/>
        <v>0</v>
      </c>
      <c r="G268" s="2"/>
      <c r="H268" s="2"/>
      <c r="I268" s="2"/>
      <c r="J268" s="2"/>
      <c r="K268" s="2"/>
      <c r="L268" s="2"/>
      <c r="M268" s="2"/>
      <c r="N268" s="2"/>
      <c r="O268" s="2"/>
      <c r="P268" s="2"/>
      <c r="Q268" s="2"/>
      <c r="R268" s="2"/>
      <c r="S268" s="2"/>
      <c r="T268" s="2"/>
      <c r="U268" s="2"/>
      <c r="V268" s="2"/>
      <c r="W268" s="2"/>
      <c r="X268" s="2"/>
      <c r="Y268" s="2"/>
      <c r="Z268" s="2"/>
      <c r="AA268" s="2"/>
    </row>
    <row r="269">
      <c r="A269" s="1" t="s">
        <v>42</v>
      </c>
      <c r="B269" s="1" t="s">
        <v>1070</v>
      </c>
      <c r="C269" s="1" t="s">
        <v>1071</v>
      </c>
      <c r="D269" s="1" t="s">
        <v>1072</v>
      </c>
      <c r="E269" s="1" t="s">
        <v>1073</v>
      </c>
      <c r="F269" s="2">
        <f t="shared" si="1"/>
        <v>0</v>
      </c>
      <c r="G269" s="2"/>
      <c r="H269" s="2"/>
      <c r="I269" s="2"/>
      <c r="J269" s="2"/>
      <c r="K269" s="2"/>
      <c r="L269" s="2"/>
      <c r="M269" s="2"/>
      <c r="N269" s="2"/>
      <c r="O269" s="2"/>
      <c r="P269" s="2"/>
      <c r="Q269" s="2"/>
      <c r="R269" s="2"/>
      <c r="S269" s="2"/>
      <c r="T269" s="2"/>
      <c r="U269" s="2"/>
      <c r="V269" s="2"/>
      <c r="W269" s="2"/>
      <c r="X269" s="2"/>
      <c r="Y269" s="2"/>
      <c r="Z269" s="2"/>
      <c r="AA269" s="2"/>
    </row>
    <row r="270">
      <c r="A270" s="1" t="s">
        <v>42</v>
      </c>
      <c r="B270" s="1" t="s">
        <v>1074</v>
      </c>
      <c r="C270" s="1" t="s">
        <v>1075</v>
      </c>
      <c r="D270" s="1" t="s">
        <v>1076</v>
      </c>
      <c r="E270" s="1" t="s">
        <v>1077</v>
      </c>
      <c r="F270" s="2">
        <f t="shared" si="1"/>
        <v>0</v>
      </c>
      <c r="G270" s="2"/>
      <c r="H270" s="2"/>
      <c r="I270" s="2"/>
      <c r="J270" s="2"/>
      <c r="K270" s="2"/>
      <c r="L270" s="2"/>
      <c r="M270" s="2"/>
      <c r="N270" s="2"/>
      <c r="O270" s="2"/>
      <c r="P270" s="2"/>
      <c r="Q270" s="2"/>
      <c r="R270" s="2"/>
      <c r="S270" s="2"/>
      <c r="T270" s="2"/>
      <c r="U270" s="2"/>
      <c r="V270" s="2"/>
      <c r="W270" s="2"/>
      <c r="X270" s="2"/>
      <c r="Y270" s="2"/>
      <c r="Z270" s="2"/>
      <c r="AA270" s="2"/>
    </row>
    <row r="271">
      <c r="A271" s="1" t="s">
        <v>42</v>
      </c>
      <c r="B271" s="1" t="s">
        <v>1078</v>
      </c>
      <c r="C271" s="1" t="s">
        <v>1079</v>
      </c>
      <c r="D271" s="1" t="s">
        <v>1080</v>
      </c>
      <c r="E271" s="1" t="s">
        <v>1081</v>
      </c>
      <c r="F271" s="2">
        <f t="shared" si="1"/>
        <v>0</v>
      </c>
      <c r="G271" s="2"/>
      <c r="H271" s="2"/>
      <c r="I271" s="2"/>
      <c r="J271" s="2"/>
      <c r="K271" s="2"/>
      <c r="L271" s="2"/>
      <c r="M271" s="2"/>
      <c r="N271" s="2"/>
      <c r="O271" s="2"/>
      <c r="P271" s="2"/>
      <c r="Q271" s="2"/>
      <c r="R271" s="2"/>
      <c r="S271" s="2"/>
      <c r="T271" s="2"/>
      <c r="U271" s="2"/>
      <c r="V271" s="2"/>
      <c r="W271" s="2"/>
      <c r="X271" s="2"/>
      <c r="Y271" s="2"/>
      <c r="Z271" s="2"/>
      <c r="AA271" s="2"/>
    </row>
    <row r="272">
      <c r="A272" s="1" t="s">
        <v>42</v>
      </c>
      <c r="B272" s="1" t="s">
        <v>1082</v>
      </c>
      <c r="C272" s="1" t="s">
        <v>1083</v>
      </c>
      <c r="D272" s="1" t="s">
        <v>1084</v>
      </c>
      <c r="E272" s="1" t="s">
        <v>1085</v>
      </c>
      <c r="F272" s="2">
        <f t="shared" si="1"/>
        <v>0</v>
      </c>
      <c r="G272" s="2"/>
      <c r="H272" s="2"/>
      <c r="I272" s="2"/>
      <c r="J272" s="2"/>
      <c r="K272" s="2"/>
      <c r="L272" s="2"/>
      <c r="M272" s="2"/>
      <c r="N272" s="2"/>
      <c r="O272" s="2"/>
      <c r="P272" s="2"/>
      <c r="Q272" s="2"/>
      <c r="R272" s="2"/>
      <c r="S272" s="2"/>
      <c r="T272" s="2"/>
      <c r="U272" s="2"/>
      <c r="V272" s="2"/>
      <c r="W272" s="2"/>
      <c r="X272" s="2"/>
      <c r="Y272" s="2"/>
      <c r="Z272" s="2"/>
      <c r="AA272" s="2"/>
    </row>
    <row r="273">
      <c r="A273" s="1" t="s">
        <v>42</v>
      </c>
      <c r="B273" s="1" t="s">
        <v>1086</v>
      </c>
      <c r="C273" s="1" t="s">
        <v>1087</v>
      </c>
      <c r="D273" s="1" t="s">
        <v>1088</v>
      </c>
      <c r="E273" s="1" t="s">
        <v>1089</v>
      </c>
      <c r="F273" s="2">
        <f t="shared" si="1"/>
        <v>0</v>
      </c>
      <c r="G273" s="2"/>
      <c r="H273" s="2"/>
      <c r="I273" s="2"/>
      <c r="J273" s="2"/>
      <c r="K273" s="2"/>
      <c r="L273" s="2"/>
      <c r="M273" s="2"/>
      <c r="N273" s="2"/>
      <c r="O273" s="2"/>
      <c r="P273" s="2"/>
      <c r="Q273" s="2"/>
      <c r="R273" s="2"/>
      <c r="S273" s="2"/>
      <c r="T273" s="2"/>
      <c r="U273" s="2"/>
      <c r="V273" s="2"/>
      <c r="W273" s="2"/>
      <c r="X273" s="2"/>
      <c r="Y273" s="2"/>
      <c r="Z273" s="2"/>
      <c r="AA273" s="2"/>
    </row>
    <row r="274">
      <c r="A274" s="1" t="s">
        <v>42</v>
      </c>
      <c r="B274" s="1" t="s">
        <v>1090</v>
      </c>
      <c r="C274" s="1" t="s">
        <v>1091</v>
      </c>
      <c r="D274" s="1" t="s">
        <v>1092</v>
      </c>
      <c r="E274" s="1" t="s">
        <v>1093</v>
      </c>
      <c r="F274" s="2">
        <f t="shared" si="1"/>
        <v>0</v>
      </c>
      <c r="G274" s="2"/>
      <c r="H274" s="2"/>
      <c r="I274" s="2"/>
      <c r="J274" s="2"/>
      <c r="K274" s="2"/>
      <c r="L274" s="2"/>
      <c r="M274" s="2"/>
      <c r="N274" s="2"/>
      <c r="O274" s="2"/>
      <c r="P274" s="2"/>
      <c r="Q274" s="2"/>
      <c r="R274" s="2"/>
      <c r="S274" s="2"/>
      <c r="T274" s="2"/>
      <c r="U274" s="2"/>
      <c r="V274" s="2"/>
      <c r="W274" s="2"/>
      <c r="X274" s="2"/>
      <c r="Y274" s="2"/>
      <c r="Z274" s="2"/>
      <c r="AA274" s="2"/>
    </row>
    <row r="275">
      <c r="A275" s="1" t="s">
        <v>42</v>
      </c>
      <c r="B275" s="1" t="s">
        <v>1094</v>
      </c>
      <c r="C275" s="1" t="s">
        <v>1095</v>
      </c>
      <c r="D275" s="1" t="s">
        <v>1096</v>
      </c>
      <c r="E275" s="1" t="s">
        <v>1097</v>
      </c>
      <c r="F275" s="2">
        <f t="shared" si="1"/>
        <v>0</v>
      </c>
      <c r="G275" s="2"/>
      <c r="H275" s="2"/>
      <c r="I275" s="2"/>
      <c r="J275" s="2"/>
      <c r="K275" s="2"/>
      <c r="L275" s="2"/>
      <c r="M275" s="2"/>
      <c r="N275" s="2"/>
      <c r="O275" s="2"/>
      <c r="P275" s="2"/>
      <c r="Q275" s="2"/>
      <c r="R275" s="2"/>
      <c r="S275" s="2"/>
      <c r="T275" s="2"/>
      <c r="U275" s="2"/>
      <c r="V275" s="2"/>
      <c r="W275" s="2"/>
      <c r="X275" s="2"/>
      <c r="Y275" s="2"/>
      <c r="Z275" s="2"/>
      <c r="AA275" s="2"/>
    </row>
    <row r="276">
      <c r="A276" s="1" t="s">
        <v>42</v>
      </c>
      <c r="B276" s="1" t="s">
        <v>1098</v>
      </c>
      <c r="C276" s="1" t="s">
        <v>1099</v>
      </c>
      <c r="D276" s="1" t="s">
        <v>1100</v>
      </c>
      <c r="E276" s="1" t="s">
        <v>1101</v>
      </c>
      <c r="F276" s="2">
        <f t="shared" si="1"/>
        <v>0</v>
      </c>
      <c r="G276" s="2"/>
      <c r="H276" s="2"/>
      <c r="I276" s="2"/>
      <c r="J276" s="2"/>
      <c r="K276" s="2"/>
      <c r="L276" s="2"/>
      <c r="M276" s="2"/>
      <c r="N276" s="2"/>
      <c r="O276" s="2"/>
      <c r="P276" s="2"/>
      <c r="Q276" s="2"/>
      <c r="R276" s="2"/>
      <c r="S276" s="2"/>
      <c r="T276" s="2"/>
      <c r="U276" s="2"/>
      <c r="V276" s="2"/>
      <c r="W276" s="2"/>
      <c r="X276" s="2"/>
      <c r="Y276" s="2"/>
      <c r="Z276" s="2"/>
      <c r="AA276" s="2"/>
    </row>
    <row r="277">
      <c r="A277" s="1" t="s">
        <v>42</v>
      </c>
      <c r="B277" s="1" t="s">
        <v>1102</v>
      </c>
      <c r="C277" s="1" t="s">
        <v>1103</v>
      </c>
      <c r="D277" s="1" t="s">
        <v>1104</v>
      </c>
      <c r="E277" s="1" t="s">
        <v>1105</v>
      </c>
      <c r="F277" s="2">
        <f t="shared" si="1"/>
        <v>0</v>
      </c>
      <c r="G277" s="2"/>
      <c r="H277" s="2"/>
      <c r="I277" s="2"/>
      <c r="J277" s="2"/>
      <c r="K277" s="2"/>
      <c r="L277" s="2"/>
      <c r="M277" s="2"/>
      <c r="N277" s="2"/>
      <c r="O277" s="2"/>
      <c r="P277" s="2"/>
      <c r="Q277" s="2"/>
      <c r="R277" s="2"/>
      <c r="S277" s="2"/>
      <c r="T277" s="2"/>
      <c r="U277" s="2"/>
      <c r="V277" s="2"/>
      <c r="W277" s="2"/>
      <c r="X277" s="2"/>
      <c r="Y277" s="2"/>
      <c r="Z277" s="2"/>
      <c r="AA277" s="2"/>
    </row>
    <row r="278">
      <c r="A278" s="1" t="s">
        <v>42</v>
      </c>
      <c r="B278" s="1" t="s">
        <v>1106</v>
      </c>
      <c r="C278" s="1" t="s">
        <v>1107</v>
      </c>
      <c r="D278" s="1" t="s">
        <v>1108</v>
      </c>
      <c r="E278" s="1" t="s">
        <v>1109</v>
      </c>
      <c r="F278" s="2">
        <f t="shared" si="1"/>
        <v>0</v>
      </c>
      <c r="G278" s="2"/>
      <c r="H278" s="2"/>
      <c r="I278" s="2"/>
      <c r="J278" s="2"/>
      <c r="K278" s="2"/>
      <c r="L278" s="2"/>
      <c r="M278" s="2"/>
      <c r="N278" s="2"/>
      <c r="O278" s="2"/>
      <c r="P278" s="2"/>
      <c r="Q278" s="2"/>
      <c r="R278" s="2"/>
      <c r="S278" s="2"/>
      <c r="T278" s="2"/>
      <c r="U278" s="2"/>
      <c r="V278" s="2"/>
      <c r="W278" s="2"/>
      <c r="X278" s="2"/>
      <c r="Y278" s="2"/>
      <c r="Z278" s="2"/>
      <c r="AA278" s="2"/>
    </row>
    <row r="279">
      <c r="A279" s="1" t="s">
        <v>42</v>
      </c>
      <c r="B279" s="1" t="s">
        <v>1110</v>
      </c>
      <c r="C279" s="1" t="s">
        <v>1111</v>
      </c>
      <c r="D279" s="1" t="s">
        <v>1112</v>
      </c>
      <c r="E279" s="1" t="s">
        <v>1113</v>
      </c>
      <c r="F279" s="2">
        <f t="shared" si="1"/>
        <v>0</v>
      </c>
      <c r="G279" s="2"/>
      <c r="H279" s="2"/>
      <c r="I279" s="2"/>
      <c r="J279" s="2"/>
      <c r="K279" s="2"/>
      <c r="L279" s="2"/>
      <c r="M279" s="2"/>
      <c r="N279" s="2"/>
      <c r="O279" s="2"/>
      <c r="P279" s="2"/>
      <c r="Q279" s="2"/>
      <c r="R279" s="2"/>
      <c r="S279" s="2"/>
      <c r="T279" s="2"/>
      <c r="U279" s="2"/>
      <c r="V279" s="2"/>
      <c r="W279" s="2"/>
      <c r="X279" s="2"/>
      <c r="Y279" s="2"/>
      <c r="Z279" s="2"/>
      <c r="AA279" s="2"/>
    </row>
    <row r="280">
      <c r="A280" s="1" t="s">
        <v>42</v>
      </c>
      <c r="B280" s="1" t="s">
        <v>1114</v>
      </c>
      <c r="C280" s="1" t="s">
        <v>1115</v>
      </c>
      <c r="D280" s="1" t="s">
        <v>1116</v>
      </c>
      <c r="E280" s="1" t="s">
        <v>1117</v>
      </c>
      <c r="F280" s="2">
        <f t="shared" si="1"/>
        <v>0</v>
      </c>
      <c r="G280" s="2"/>
      <c r="H280" s="2"/>
      <c r="I280" s="2"/>
      <c r="J280" s="2"/>
      <c r="K280" s="2"/>
      <c r="L280" s="2"/>
      <c r="M280" s="2"/>
      <c r="N280" s="2"/>
      <c r="O280" s="2"/>
      <c r="P280" s="2"/>
      <c r="Q280" s="2"/>
      <c r="R280" s="2"/>
      <c r="S280" s="2"/>
      <c r="T280" s="2"/>
      <c r="U280" s="2"/>
      <c r="V280" s="2"/>
      <c r="W280" s="2"/>
      <c r="X280" s="2"/>
      <c r="Y280" s="2"/>
      <c r="Z280" s="2"/>
      <c r="AA280" s="2"/>
    </row>
    <row r="281">
      <c r="A281" s="1" t="s">
        <v>42</v>
      </c>
      <c r="B281" s="1" t="s">
        <v>1118</v>
      </c>
      <c r="C281" s="1" t="s">
        <v>1119</v>
      </c>
      <c r="D281" s="1" t="s">
        <v>1120</v>
      </c>
      <c r="E281" s="1" t="s">
        <v>1121</v>
      </c>
      <c r="F281" s="2">
        <f t="shared" si="1"/>
        <v>0</v>
      </c>
      <c r="G281" s="2"/>
      <c r="H281" s="2"/>
      <c r="I281" s="2"/>
      <c r="J281" s="2"/>
      <c r="K281" s="2"/>
      <c r="L281" s="2"/>
      <c r="M281" s="2"/>
      <c r="N281" s="2"/>
      <c r="O281" s="2"/>
      <c r="P281" s="2"/>
      <c r="Q281" s="2"/>
      <c r="R281" s="2"/>
      <c r="S281" s="2"/>
      <c r="T281" s="2"/>
      <c r="U281" s="2"/>
      <c r="V281" s="2"/>
      <c r="W281" s="2"/>
      <c r="X281" s="2"/>
      <c r="Y281" s="2"/>
      <c r="Z281" s="2"/>
      <c r="AA281" s="2"/>
    </row>
    <row r="282">
      <c r="A282" s="1" t="s">
        <v>42</v>
      </c>
      <c r="B282" s="1" t="s">
        <v>1122</v>
      </c>
      <c r="C282" s="1" t="s">
        <v>1123</v>
      </c>
      <c r="D282" s="1" t="s">
        <v>1124</v>
      </c>
      <c r="E282" s="1" t="s">
        <v>1125</v>
      </c>
      <c r="F282" s="2">
        <f t="shared" si="1"/>
        <v>0</v>
      </c>
      <c r="G282" s="2"/>
      <c r="H282" s="2"/>
      <c r="I282" s="2"/>
      <c r="J282" s="2"/>
      <c r="K282" s="2"/>
      <c r="L282" s="2"/>
      <c r="M282" s="2"/>
      <c r="N282" s="2"/>
      <c r="O282" s="2"/>
      <c r="P282" s="2"/>
      <c r="Q282" s="2"/>
      <c r="R282" s="2"/>
      <c r="S282" s="2"/>
      <c r="T282" s="2"/>
      <c r="U282" s="2"/>
      <c r="V282" s="2"/>
      <c r="W282" s="2"/>
      <c r="X282" s="2"/>
      <c r="Y282" s="2"/>
      <c r="Z282" s="2"/>
      <c r="AA282" s="2"/>
    </row>
    <row r="283">
      <c r="A283" s="1" t="s">
        <v>42</v>
      </c>
      <c r="B283" s="1" t="s">
        <v>1126</v>
      </c>
      <c r="C283" s="1" t="s">
        <v>1127</v>
      </c>
      <c r="D283" s="1" t="s">
        <v>1128</v>
      </c>
      <c r="E283" s="1" t="s">
        <v>1129</v>
      </c>
      <c r="F283" s="2">
        <f t="shared" si="1"/>
        <v>0</v>
      </c>
      <c r="G283" s="2"/>
      <c r="H283" s="2"/>
      <c r="I283" s="2"/>
      <c r="J283" s="2"/>
      <c r="K283" s="2"/>
      <c r="L283" s="2"/>
      <c r="M283" s="2"/>
      <c r="N283" s="2"/>
      <c r="O283" s="2"/>
      <c r="P283" s="2"/>
      <c r="Q283" s="2"/>
      <c r="R283" s="2"/>
      <c r="S283" s="2"/>
      <c r="T283" s="2"/>
      <c r="U283" s="2"/>
      <c r="V283" s="2"/>
      <c r="W283" s="2"/>
      <c r="X283" s="2"/>
      <c r="Y283" s="2"/>
      <c r="Z283" s="2"/>
      <c r="AA283" s="2"/>
    </row>
    <row r="284">
      <c r="A284" s="1" t="s">
        <v>42</v>
      </c>
      <c r="B284" s="1" t="s">
        <v>1130</v>
      </c>
      <c r="C284" s="1" t="s">
        <v>1131</v>
      </c>
      <c r="D284" s="1" t="s">
        <v>1132</v>
      </c>
      <c r="E284" s="1" t="s">
        <v>1133</v>
      </c>
      <c r="F284" s="2">
        <f t="shared" si="1"/>
        <v>0</v>
      </c>
      <c r="G284" s="2"/>
      <c r="H284" s="2"/>
      <c r="I284" s="2"/>
      <c r="J284" s="2"/>
      <c r="K284" s="2"/>
      <c r="L284" s="2"/>
      <c r="M284" s="2"/>
      <c r="N284" s="2"/>
      <c r="O284" s="2"/>
      <c r="P284" s="2"/>
      <c r="Q284" s="2"/>
      <c r="R284" s="2"/>
      <c r="S284" s="2"/>
      <c r="T284" s="2"/>
      <c r="U284" s="2"/>
      <c r="V284" s="2"/>
      <c r="W284" s="2"/>
      <c r="X284" s="2"/>
      <c r="Y284" s="2"/>
      <c r="Z284" s="2"/>
      <c r="AA284" s="2"/>
    </row>
    <row r="285">
      <c r="A285" s="1" t="s">
        <v>42</v>
      </c>
      <c r="B285" s="1" t="s">
        <v>1134</v>
      </c>
      <c r="C285" s="1" t="s">
        <v>1135</v>
      </c>
      <c r="D285" s="1" t="s">
        <v>1136</v>
      </c>
      <c r="E285" s="1" t="s">
        <v>1137</v>
      </c>
      <c r="F285" s="2">
        <f t="shared" si="1"/>
        <v>0</v>
      </c>
      <c r="G285" s="2"/>
      <c r="H285" s="2"/>
      <c r="I285" s="2"/>
      <c r="J285" s="2"/>
      <c r="K285" s="2"/>
      <c r="L285" s="2"/>
      <c r="M285" s="2"/>
      <c r="N285" s="2"/>
      <c r="O285" s="2"/>
      <c r="P285" s="2"/>
      <c r="Q285" s="2"/>
      <c r="R285" s="2"/>
      <c r="S285" s="2"/>
      <c r="T285" s="2"/>
      <c r="U285" s="2"/>
      <c r="V285" s="2"/>
      <c r="W285" s="2"/>
      <c r="X285" s="2"/>
      <c r="Y285" s="2"/>
      <c r="Z285" s="2"/>
      <c r="AA285" s="2"/>
    </row>
    <row r="286">
      <c r="A286" s="1" t="s">
        <v>42</v>
      </c>
      <c r="B286" s="1" t="s">
        <v>1138</v>
      </c>
      <c r="C286" s="1" t="s">
        <v>1139</v>
      </c>
      <c r="D286" s="1" t="s">
        <v>1140</v>
      </c>
      <c r="E286" s="1" t="s">
        <v>1141</v>
      </c>
      <c r="F286" s="2">
        <f t="shared" si="1"/>
        <v>0</v>
      </c>
      <c r="G286" s="2"/>
      <c r="H286" s="2"/>
      <c r="I286" s="2"/>
      <c r="J286" s="2"/>
      <c r="K286" s="2"/>
      <c r="L286" s="2"/>
      <c r="M286" s="2"/>
      <c r="N286" s="2"/>
      <c r="O286" s="2"/>
      <c r="P286" s="2"/>
      <c r="Q286" s="2"/>
      <c r="R286" s="2"/>
      <c r="S286" s="2"/>
      <c r="T286" s="2"/>
      <c r="U286" s="2"/>
      <c r="V286" s="2"/>
      <c r="W286" s="2"/>
      <c r="X286" s="2"/>
      <c r="Y286" s="2"/>
      <c r="Z286" s="2"/>
      <c r="AA286" s="2"/>
    </row>
    <row r="287">
      <c r="A287" s="1" t="s">
        <v>42</v>
      </c>
      <c r="B287" s="1" t="s">
        <v>1142</v>
      </c>
      <c r="C287" s="1" t="s">
        <v>1143</v>
      </c>
      <c r="D287" s="1" t="s">
        <v>1144</v>
      </c>
      <c r="E287" s="1" t="s">
        <v>1145</v>
      </c>
      <c r="F287" s="2">
        <f t="shared" si="1"/>
        <v>0</v>
      </c>
      <c r="G287" s="2"/>
      <c r="H287" s="2"/>
      <c r="I287" s="2"/>
      <c r="J287" s="2"/>
      <c r="K287" s="2"/>
      <c r="L287" s="2"/>
      <c r="M287" s="2"/>
      <c r="N287" s="2"/>
      <c r="O287" s="2"/>
      <c r="P287" s="2"/>
      <c r="Q287" s="2"/>
      <c r="R287" s="2"/>
      <c r="S287" s="2"/>
      <c r="T287" s="2"/>
      <c r="U287" s="2"/>
      <c r="V287" s="2"/>
      <c r="W287" s="2"/>
      <c r="X287" s="2"/>
      <c r="Y287" s="2"/>
      <c r="Z287" s="2"/>
      <c r="AA287" s="2"/>
    </row>
    <row r="288">
      <c r="A288" s="1" t="s">
        <v>42</v>
      </c>
      <c r="B288" s="1" t="s">
        <v>1146</v>
      </c>
      <c r="C288" s="1" t="s">
        <v>1147</v>
      </c>
      <c r="D288" s="1" t="s">
        <v>1148</v>
      </c>
      <c r="E288" s="1" t="s">
        <v>1149</v>
      </c>
      <c r="F288" s="2">
        <f t="shared" si="1"/>
        <v>0</v>
      </c>
      <c r="G288" s="2"/>
      <c r="H288" s="2"/>
      <c r="I288" s="2"/>
      <c r="J288" s="2"/>
      <c r="K288" s="2"/>
      <c r="L288" s="2"/>
      <c r="M288" s="2"/>
      <c r="N288" s="2"/>
      <c r="O288" s="2"/>
      <c r="P288" s="2"/>
      <c r="Q288" s="2"/>
      <c r="R288" s="2"/>
      <c r="S288" s="2"/>
      <c r="T288" s="2"/>
      <c r="U288" s="2"/>
      <c r="V288" s="2"/>
      <c r="W288" s="2"/>
      <c r="X288" s="2"/>
      <c r="Y288" s="2"/>
      <c r="Z288" s="2"/>
      <c r="AA288" s="2"/>
    </row>
    <row r="289">
      <c r="A289" s="1" t="s">
        <v>42</v>
      </c>
      <c r="B289" s="1" t="s">
        <v>1150</v>
      </c>
      <c r="C289" s="1" t="s">
        <v>1151</v>
      </c>
      <c r="D289" s="1" t="s">
        <v>1152</v>
      </c>
      <c r="E289" s="1" t="s">
        <v>1153</v>
      </c>
      <c r="F289" s="2">
        <f t="shared" si="1"/>
        <v>0</v>
      </c>
      <c r="G289" s="2"/>
      <c r="H289" s="2"/>
      <c r="I289" s="2"/>
      <c r="J289" s="2"/>
      <c r="K289" s="2"/>
      <c r="L289" s="2"/>
      <c r="M289" s="2"/>
      <c r="N289" s="2"/>
      <c r="O289" s="2"/>
      <c r="P289" s="2"/>
      <c r="Q289" s="2"/>
      <c r="R289" s="2"/>
      <c r="S289" s="2"/>
      <c r="T289" s="2"/>
      <c r="U289" s="2"/>
      <c r="V289" s="2"/>
      <c r="W289" s="2"/>
      <c r="X289" s="2"/>
      <c r="Y289" s="2"/>
      <c r="Z289" s="2"/>
      <c r="AA289" s="2"/>
    </row>
    <row r="290">
      <c r="A290" s="1" t="s">
        <v>42</v>
      </c>
      <c r="B290" s="1" t="s">
        <v>1154</v>
      </c>
      <c r="C290" s="1" t="s">
        <v>1155</v>
      </c>
      <c r="D290" s="1" t="s">
        <v>1156</v>
      </c>
      <c r="E290" s="1" t="s">
        <v>1157</v>
      </c>
      <c r="F290" s="2">
        <f t="shared" si="1"/>
        <v>0</v>
      </c>
      <c r="G290" s="2"/>
      <c r="H290" s="2"/>
      <c r="I290" s="2"/>
      <c r="J290" s="2"/>
      <c r="K290" s="2"/>
      <c r="L290" s="2"/>
      <c r="M290" s="2"/>
      <c r="N290" s="2"/>
      <c r="O290" s="2"/>
      <c r="P290" s="2"/>
      <c r="Q290" s="2"/>
      <c r="R290" s="2"/>
      <c r="S290" s="2"/>
      <c r="T290" s="2"/>
      <c r="U290" s="2"/>
      <c r="V290" s="2"/>
      <c r="W290" s="2"/>
      <c r="X290" s="2"/>
      <c r="Y290" s="2"/>
      <c r="Z290" s="2"/>
      <c r="AA290" s="2"/>
    </row>
    <row r="291">
      <c r="A291" s="1" t="s">
        <v>42</v>
      </c>
      <c r="B291" s="1" t="s">
        <v>1158</v>
      </c>
      <c r="C291" s="1" t="s">
        <v>1159</v>
      </c>
      <c r="D291" s="1" t="s">
        <v>1160</v>
      </c>
      <c r="E291" s="1" t="s">
        <v>1161</v>
      </c>
      <c r="F291" s="2">
        <f t="shared" si="1"/>
        <v>0</v>
      </c>
      <c r="G291" s="2"/>
      <c r="H291" s="2"/>
      <c r="I291" s="2"/>
      <c r="J291" s="2"/>
      <c r="K291" s="2"/>
      <c r="L291" s="2"/>
      <c r="M291" s="2"/>
      <c r="N291" s="2"/>
      <c r="O291" s="2"/>
      <c r="P291" s="2"/>
      <c r="Q291" s="2"/>
      <c r="R291" s="2"/>
      <c r="S291" s="2"/>
      <c r="T291" s="2"/>
      <c r="U291" s="2"/>
      <c r="V291" s="2"/>
      <c r="W291" s="2"/>
      <c r="X291" s="2"/>
      <c r="Y291" s="2"/>
      <c r="Z291" s="2"/>
      <c r="AA291" s="2"/>
    </row>
    <row r="292">
      <c r="A292" s="1" t="s">
        <v>42</v>
      </c>
      <c r="B292" s="1" t="s">
        <v>1162</v>
      </c>
      <c r="C292" s="1" t="s">
        <v>1163</v>
      </c>
      <c r="D292" s="1" t="s">
        <v>1164</v>
      </c>
      <c r="E292" s="1" t="s">
        <v>1165</v>
      </c>
      <c r="F292" s="2">
        <f t="shared" si="1"/>
        <v>0</v>
      </c>
      <c r="G292" s="2"/>
      <c r="H292" s="2"/>
      <c r="I292" s="2"/>
      <c r="J292" s="2"/>
      <c r="K292" s="2"/>
      <c r="L292" s="2"/>
      <c r="M292" s="2"/>
      <c r="N292" s="2"/>
      <c r="O292" s="2"/>
      <c r="P292" s="2"/>
      <c r="Q292" s="2"/>
      <c r="R292" s="2"/>
      <c r="S292" s="2"/>
      <c r="T292" s="2"/>
      <c r="U292" s="2"/>
      <c r="V292" s="2"/>
      <c r="W292" s="2"/>
      <c r="X292" s="2"/>
      <c r="Y292" s="2"/>
      <c r="Z292" s="2"/>
      <c r="AA292" s="2"/>
    </row>
    <row r="293">
      <c r="A293" s="1" t="s">
        <v>42</v>
      </c>
      <c r="B293" s="1" t="s">
        <v>1166</v>
      </c>
      <c r="C293" s="1" t="s">
        <v>1167</v>
      </c>
      <c r="D293" s="1" t="s">
        <v>1168</v>
      </c>
      <c r="E293" s="1" t="s">
        <v>1169</v>
      </c>
      <c r="F293" s="2">
        <f t="shared" si="1"/>
        <v>0</v>
      </c>
      <c r="G293" s="2"/>
      <c r="H293" s="2"/>
      <c r="I293" s="2"/>
      <c r="J293" s="2"/>
      <c r="K293" s="2"/>
      <c r="L293" s="2"/>
      <c r="M293" s="2"/>
      <c r="N293" s="2"/>
      <c r="O293" s="2"/>
      <c r="P293" s="2"/>
      <c r="Q293" s="2"/>
      <c r="R293" s="2"/>
      <c r="S293" s="2"/>
      <c r="T293" s="2"/>
      <c r="U293" s="2"/>
      <c r="V293" s="2"/>
      <c r="W293" s="2"/>
      <c r="X293" s="2"/>
      <c r="Y293" s="2"/>
      <c r="Z293" s="2"/>
      <c r="AA293" s="2"/>
    </row>
    <row r="294">
      <c r="A294" s="1" t="s">
        <v>42</v>
      </c>
      <c r="B294" s="1" t="s">
        <v>1170</v>
      </c>
      <c r="C294" s="1" t="s">
        <v>1171</v>
      </c>
      <c r="D294" s="1" t="s">
        <v>1172</v>
      </c>
      <c r="E294" s="1" t="s">
        <v>1173</v>
      </c>
      <c r="F294" s="2">
        <f t="shared" si="1"/>
        <v>0</v>
      </c>
      <c r="G294" s="2"/>
      <c r="H294" s="2"/>
      <c r="I294" s="2"/>
      <c r="J294" s="2"/>
      <c r="K294" s="2"/>
      <c r="L294" s="2"/>
      <c r="M294" s="2"/>
      <c r="N294" s="2"/>
      <c r="O294" s="2"/>
      <c r="P294" s="2"/>
      <c r="Q294" s="2"/>
      <c r="R294" s="2"/>
      <c r="S294" s="2"/>
      <c r="T294" s="2"/>
      <c r="U294" s="2"/>
      <c r="V294" s="2"/>
      <c r="W294" s="2"/>
      <c r="X294" s="2"/>
      <c r="Y294" s="2"/>
      <c r="Z294" s="2"/>
      <c r="AA294" s="2"/>
    </row>
    <row r="295">
      <c r="A295" s="1" t="s">
        <v>42</v>
      </c>
      <c r="B295" s="1" t="s">
        <v>1174</v>
      </c>
      <c r="C295" s="1" t="s">
        <v>1175</v>
      </c>
      <c r="D295" s="1" t="s">
        <v>1176</v>
      </c>
      <c r="E295" s="1" t="s">
        <v>1177</v>
      </c>
      <c r="F295" s="2">
        <f t="shared" si="1"/>
        <v>0</v>
      </c>
      <c r="G295" s="2"/>
      <c r="H295" s="2"/>
      <c r="I295" s="2"/>
      <c r="J295" s="2"/>
      <c r="K295" s="2"/>
      <c r="L295" s="2"/>
      <c r="M295" s="2"/>
      <c r="N295" s="2"/>
      <c r="O295" s="2"/>
      <c r="P295" s="2"/>
      <c r="Q295" s="2"/>
      <c r="R295" s="2"/>
      <c r="S295" s="2"/>
      <c r="T295" s="2"/>
      <c r="U295" s="2"/>
      <c r="V295" s="2"/>
      <c r="W295" s="2"/>
      <c r="X295" s="2"/>
      <c r="Y295" s="2"/>
      <c r="Z295" s="2"/>
      <c r="AA295" s="2"/>
    </row>
    <row r="296">
      <c r="A296" s="1" t="s">
        <v>42</v>
      </c>
      <c r="B296" s="1" t="s">
        <v>1178</v>
      </c>
      <c r="C296" s="1" t="s">
        <v>1179</v>
      </c>
      <c r="D296" s="1" t="s">
        <v>1180</v>
      </c>
      <c r="E296" s="1" t="s">
        <v>1181</v>
      </c>
      <c r="F296" s="2">
        <f t="shared" si="1"/>
        <v>0</v>
      </c>
      <c r="G296" s="2"/>
      <c r="H296" s="2"/>
      <c r="I296" s="2"/>
      <c r="J296" s="2"/>
      <c r="K296" s="2"/>
      <c r="L296" s="2"/>
      <c r="M296" s="2"/>
      <c r="N296" s="2"/>
      <c r="O296" s="2"/>
      <c r="P296" s="2"/>
      <c r="Q296" s="2"/>
      <c r="R296" s="2"/>
      <c r="S296" s="2"/>
      <c r="T296" s="2"/>
      <c r="U296" s="2"/>
      <c r="V296" s="2"/>
      <c r="W296" s="2"/>
      <c r="X296" s="2"/>
      <c r="Y296" s="2"/>
      <c r="Z296" s="2"/>
      <c r="AA296" s="2"/>
    </row>
    <row r="297">
      <c r="A297" s="1" t="s">
        <v>42</v>
      </c>
      <c r="B297" s="1" t="s">
        <v>1182</v>
      </c>
      <c r="C297" s="1" t="s">
        <v>1183</v>
      </c>
      <c r="D297" s="1" t="s">
        <v>1184</v>
      </c>
      <c r="E297" s="1" t="s">
        <v>1185</v>
      </c>
      <c r="F297" s="2">
        <f t="shared" si="1"/>
        <v>0</v>
      </c>
      <c r="G297" s="2"/>
      <c r="H297" s="2"/>
      <c r="I297" s="2"/>
      <c r="J297" s="2"/>
      <c r="K297" s="2"/>
      <c r="L297" s="2"/>
      <c r="M297" s="2"/>
      <c r="N297" s="2"/>
      <c r="O297" s="2"/>
      <c r="P297" s="2"/>
      <c r="Q297" s="2"/>
      <c r="R297" s="2"/>
      <c r="S297" s="2"/>
      <c r="T297" s="2"/>
      <c r="U297" s="2"/>
      <c r="V297" s="2"/>
      <c r="W297" s="2"/>
      <c r="X297" s="2"/>
      <c r="Y297" s="2"/>
      <c r="Z297" s="2"/>
      <c r="AA297" s="2"/>
    </row>
    <row r="298">
      <c r="A298" s="1" t="s">
        <v>42</v>
      </c>
      <c r="B298" s="1" t="s">
        <v>1186</v>
      </c>
      <c r="C298" s="1" t="s">
        <v>1187</v>
      </c>
      <c r="D298" s="1" t="s">
        <v>1188</v>
      </c>
      <c r="E298" s="1" t="s">
        <v>1189</v>
      </c>
      <c r="F298" s="2">
        <f t="shared" si="1"/>
        <v>0</v>
      </c>
      <c r="G298" s="2"/>
      <c r="H298" s="2"/>
      <c r="I298" s="2"/>
      <c r="J298" s="2"/>
      <c r="K298" s="2"/>
      <c r="L298" s="2"/>
      <c r="M298" s="2"/>
      <c r="N298" s="2"/>
      <c r="O298" s="2"/>
      <c r="P298" s="2"/>
      <c r="Q298" s="2"/>
      <c r="R298" s="2"/>
      <c r="S298" s="2"/>
      <c r="T298" s="2"/>
      <c r="U298" s="2"/>
      <c r="V298" s="2"/>
      <c r="W298" s="2"/>
      <c r="X298" s="2"/>
      <c r="Y298" s="2"/>
      <c r="Z298" s="2"/>
      <c r="AA298" s="2"/>
    </row>
    <row r="299">
      <c r="A299" s="1" t="s">
        <v>42</v>
      </c>
      <c r="B299" s="1" t="s">
        <v>1190</v>
      </c>
      <c r="C299" s="1" t="s">
        <v>1191</v>
      </c>
      <c r="D299" s="1" t="s">
        <v>1192</v>
      </c>
      <c r="E299" s="1" t="s">
        <v>1193</v>
      </c>
      <c r="F299" s="2">
        <f t="shared" si="1"/>
        <v>0</v>
      </c>
      <c r="G299" s="2"/>
      <c r="H299" s="2"/>
      <c r="I299" s="2"/>
      <c r="J299" s="2"/>
      <c r="K299" s="2"/>
      <c r="L299" s="2"/>
      <c r="M299" s="2"/>
      <c r="N299" s="2"/>
      <c r="O299" s="2"/>
      <c r="P299" s="2"/>
      <c r="Q299" s="2"/>
      <c r="R299" s="2"/>
      <c r="S299" s="2"/>
      <c r="T299" s="2"/>
      <c r="U299" s="2"/>
      <c r="V299" s="2"/>
      <c r="W299" s="2"/>
      <c r="X299" s="2"/>
      <c r="Y299" s="2"/>
      <c r="Z299" s="2"/>
      <c r="AA299" s="2"/>
    </row>
    <row r="300">
      <c r="A300" s="1" t="s">
        <v>42</v>
      </c>
      <c r="B300" s="1" t="s">
        <v>1194</v>
      </c>
      <c r="C300" s="1" t="s">
        <v>1195</v>
      </c>
      <c r="D300" s="1" t="s">
        <v>1196</v>
      </c>
      <c r="E300" s="1" t="s">
        <v>1197</v>
      </c>
      <c r="F300" s="2">
        <f t="shared" si="1"/>
        <v>0</v>
      </c>
      <c r="G300" s="2"/>
      <c r="H300" s="2"/>
      <c r="I300" s="2"/>
      <c r="J300" s="2"/>
      <c r="K300" s="2"/>
      <c r="L300" s="2"/>
      <c r="M300" s="2"/>
      <c r="N300" s="2"/>
      <c r="O300" s="2"/>
      <c r="P300" s="2"/>
      <c r="Q300" s="2"/>
      <c r="R300" s="2"/>
      <c r="S300" s="2"/>
      <c r="T300" s="2"/>
      <c r="U300" s="2"/>
      <c r="V300" s="2"/>
      <c r="W300" s="2"/>
      <c r="X300" s="2"/>
      <c r="Y300" s="2"/>
      <c r="Z300" s="2"/>
      <c r="AA300" s="2"/>
    </row>
    <row r="301">
      <c r="A301" s="1" t="s">
        <v>5</v>
      </c>
      <c r="B301" s="1" t="s">
        <v>1198</v>
      </c>
      <c r="C301" s="1" t="s">
        <v>1199</v>
      </c>
      <c r="D301" s="2" t="str">
        <f>IFERROR(__xludf.DUMMYFUNCTION("GOOGLETRANSLATE(B301, ""en"", ""TL"")"),"Paano ako mag-uulat ng cybercrime, at ano ang maaari kong asahan sa panahon ng proseso?")</f>
        <v>Paano ako mag-uulat ng cybercrime, at ano ang maaari kong asahan sa panahon ng proseso?</v>
      </c>
      <c r="E301" s="2" t="str">
        <f>IFERROR(__xludf.DUMMYFUNCTION("GOOGLETRANSLATE(C301, ""en"", ""TL"")"),"Ang pag-uulat ng cybercrime sa Pilipinas ay nagsasangkot ng mga partikular na pamamaraan at inaasahan. Narito ang isang breakdown upang matulungan kang mag-navigate sa proseso:
Mga Channel sa Pag-uulat:
Philippine National Police (PNP): Maaari kang magsam"&amp;"pa ng pormal na reklamo sa iyong lokal na istasyon ng pulisya o online sa pamamagitan ng PNP Anti-Cybercrime Group (ACG)
National Bureau of Investigation (NBI): Para sa mga kumplikadong cybercrime o yaong may kinalaman sa organisadong krimen, isaalang-ala"&amp;"ng ang pag-uulat sa NBI Cybercrime Division.
Department of Justice (DOJ): Maaari kang magsampa ng reklamo sa DOJ Cybercrime Office kung kailangan mo ng legal na tulong o patnubay.
Ano ang Aasahan: Paunang Pagsisiyasat: Kapag nag-uulat, magbigay ng detalya"&amp;"dong impormasyon tungkol sa cybercrime, kabilang ang uri ng pagkakasala, petsa at oras, platform kung saan ito nangyari, at anumang ebidensyang mayroon ka (mga screenshot, email, atbp.). Maaaring magtanong ang pulis o NBI para mas maunawaan ang sitwasyon."&amp;" Pagtatasa ng Kaso: Batay sa impormasyong ibinigay, tatasa ng mga awtoridad ang kalubhaan ng kaso at tutukuyin ang naaangkop na hakbang ng aksyon. Maaaring kabilang dito ang karagdagang pagsisiyasat, pangangalap ng karagdagang ebidensya, o pakikipag-ugnay"&amp;"an sa ibang mga ahensya. Proseso ng Pagsisiyasat: Maaaring mag-iba ang imbestigasyon depende sa pagiging kumplikado ng krimen. Maaaring kabilang dito ang cyber forensics, pagsusuri ng digital na ebidensya, at posibleng pagsubaybay sa mga may kasalanan. Mg"&amp;"a Update at Komunikasyon: Maaari kang makatanggap ng mga update mula sa mga awtoridad sa buong proseso ng pagsisiyasat. Ipapaalam nila sa iyo ang tungkol sa anumang pag-unlad na nagawa o mga hamon na nararanasan. Mga Legal na Pamamaraan: Kung sapat na ebi"&amp;"densya ang makakalap at ang kaso ay nangangailangan ng legal na aksyon, ang mga awtoridad ay maghahanda para sa pag-uusig. Maaaring kabilang dito ang pagsasampa ng mga kaso, pagpapakita ng ebidensya sa korte, at paghingi ng hustisya para sa biktima.
Karag"&amp;"dagang Impormasyon: Anonymity: Kung nag-aalala ka tungkol sa iyong kaligtasan o paghihiganti, maaari kang humiling ng anonymity sa panahon ng proseso ng pag-uulat. Ang mga awtoridad ay gagawa ng naaangkop na mga hakbang upang maprotektahan ang iyong pagka"&amp;"kakilanlan. Mga Mapagkukunan ng Suporta: Nag-aalok ang Kagawaran ng Hustisya ng legal na suporta at tulong sa mga biktima ng cybercrime. Maaari kang makipag-ugnayan sa Public Attorney's Office (PAO) para sa libreng legal na representasyon kung ikaw ay nah"&amp;"aharap sa mga hamon sa pananalapi.")</f>
        <v>Ang pag-uulat ng cybercrime sa Pilipinas ay nagsasangkot ng mga partikular na pamamaraan at inaasahan. Narito ang isang breakdown upang matulungan kang mag-navigate sa proseso:
Mga Channel sa Pag-uulat:
Philippine National Police (PNP): Maaari kang magsampa ng pormal na reklamo sa iyong lokal na istasyon ng pulisya o online sa pamamagitan ng PNP Anti-Cybercrime Group (ACG)
National Bureau of Investigation (NBI): Para sa mga kumplikadong cybercrime o yaong may kinalaman sa organisadong krimen, isaalang-alang ang pag-uulat sa NBI Cybercrime Division.
Department of Justice (DOJ): Maaari kang magsampa ng reklamo sa DOJ Cybercrime Office kung kailangan mo ng legal na tulong o patnubay.
Ano ang Aasahan: Paunang Pagsisiyasat: Kapag nag-uulat, magbigay ng detalyadong impormasyon tungkol sa cybercrime, kabilang ang uri ng pagkakasala, petsa at oras, platform kung saan ito nangyari, at anumang ebidensyang mayroon ka (mga screenshot, email, atbp.). Maaaring magtanong ang pulis o NBI para mas maunawaan ang sitwasyon. Pagtatasa ng Kaso: Batay sa impormasyong ibinigay, tatasa ng mga awtoridad ang kalubhaan ng kaso at tutukuyin ang naaangkop na hakbang ng aksyon. Maaaring kabilang dito ang karagdagang pagsisiyasat, pangangalap ng karagdagang ebidensya, o pakikipag-ugnayan sa ibang mga ahensya. Proseso ng Pagsisiyasat: Maaaring mag-iba ang imbestigasyon depende sa pagiging kumplikado ng krimen. Maaaring kabilang dito ang cyber forensics, pagsusuri ng digital na ebidensya, at posibleng pagsubaybay sa mga may kasalanan. Mga Update at Komunikasyon: Maaari kang makatanggap ng mga update mula sa mga awtoridad sa buong proseso ng pagsisiyasat. Ipapaalam nila sa iyo ang tungkol sa anumang pag-unlad na nagawa o mga hamon na nararanasan. Mga Legal na Pamamaraan: Kung sapat na ebidensya ang makakalap at ang kaso ay nangangailangan ng legal na aksyon, ang mga awtoridad ay maghahanda para sa pag-uusig. Maaaring kabilang dito ang pagsasampa ng mga kaso, pagpapakita ng ebidensya sa korte, at paghingi ng hustisya para sa biktima.
Karagdagang Impormasyon: Anonymity: Kung nag-aalala ka tungkol sa iyong kaligtasan o paghihiganti, maaari kang humiling ng anonymity sa panahon ng proseso ng pag-uulat. Ang mga awtoridad ay gagawa ng naaangkop na mga hakbang upang maprotektahan ang iyong pagkakakilanlan. Mga Mapagkukunan ng Suporta: Nag-aalok ang Kagawaran ng Hustisya ng legal na suporta at tulong sa mga biktima ng cybercrime. Maaari kang makipag-ugnayan sa Public Attorney's Office (PAO) para sa libreng legal na representasyon kung ikaw ay nahaharap sa mga hamon sa pananalapi.</v>
      </c>
      <c r="F301" s="2">
        <f t="shared" si="1"/>
        <v>0</v>
      </c>
      <c r="G301" s="2"/>
      <c r="H301" s="2"/>
      <c r="I301" s="2"/>
      <c r="J301" s="2"/>
      <c r="K301" s="2"/>
      <c r="L301" s="2"/>
      <c r="M301" s="2"/>
      <c r="N301" s="2"/>
      <c r="O301" s="2"/>
      <c r="P301" s="2"/>
      <c r="Q301" s="2"/>
      <c r="R301" s="2"/>
      <c r="S301" s="2"/>
      <c r="T301" s="2"/>
      <c r="U301" s="2"/>
      <c r="V301" s="2"/>
      <c r="W301" s="2"/>
      <c r="X301" s="2"/>
      <c r="Y301" s="2"/>
      <c r="Z301" s="2"/>
      <c r="AA301" s="2"/>
    </row>
    <row r="302">
      <c r="A302" s="1" t="s">
        <v>5</v>
      </c>
      <c r="B302" s="1" t="s">
        <v>1200</v>
      </c>
      <c r="C302" s="1" t="s">
        <v>1201</v>
      </c>
      <c r="D302" s="2" t="str">
        <f>IFERROR(__xludf.DUMMYFUNCTION("GOOGLETRANSLATE(B302, ""en"", ""TL"")"),"Anong katibayan ang mahalaga sa isang kaso ng pagnanakaw?")</f>
        <v>Anong katibayan ang mahalaga sa isang kaso ng pagnanakaw?</v>
      </c>
      <c r="E302" s="2" t="str">
        <f>IFERROR(__xludf.DUMMYFUNCTION("GOOGLETRANSLATE(C302, ""en"", ""TL"")"),"Tingnan ang iba pang mga draftAng katibayan na mahalaga sa isang kaso ng pagnanakaw ay nakasalalay sa ilang mga salik, kabilang ang mga partikular na pangyayari ng pagpasok, ang uri ng ari-arian na ninakaw, at ang mga pamamaraan na ginamit ng salarin. Gay"&amp;"unpaman, ang ilang pangkalahatang kategorya ng ebidensya ay maaaring makabuluhang palakasin ang iyong kaso:
Pisikal na Katibayan: Punto ng Pagpasok: Ang pagsusuri sa pinto, bintana, o iba pang punto ng pagpasok para sa mga palatandaan ng sapilitang pagpa"&amp;"sok, tulad ng mga basag na salamin, mga marka ng pry, o mga marka ng tool, ay maaaring makatulong na ikonekta ang may kasalanan sa eksena. Mga Fingerprint: Ang mga fingerprint na naiwan sa pinangyarihan, gaya ng mga doorknob, bintana, o mga ninakaw na ite"&amp;"m, ay maihahambing sa mga kasalukuyang database upang matukoy ang mga potensyal na suspek. Mga bakas ng paa: Maaaring iugnay ng mga bakas ng sapatos o gulong malapit sa pinangyarihan ang salarin sa break-in o ipakita ang kanilang ruta ng pagtakas. DNA: An"&amp;"g mga bakas ng dugo, buhok, o iba pang biological na ebidensya na nakuhang muli mula sa eksena ay maaaring magbigay ng mahalagang ebidensya ng DNA para sa pagkakakilanlan. Ninakaw na Ari-arian: Ang mga na-recover na ninakaw na bagay, lalo na ang mga may k"&amp;"akaibang marka o serial number, ay maaaring direktang mag-link sa salarin sa pagnanakaw. Mga Kasangkapan at Armas: Anumang mga kasangkapan o sandata na makikita sa pinangyarihan, tulad ng mga crowbar, kutsilyo, o guwantes, ay maaaring mag-ugnay sa salarin"&amp;" sa krimen at magbunyag ng kanilang modus operandi. Patotoo ng Saksi:
 Mga Account ng Saksi: Ang mga pahayag mula sa sinumang nakasaksi sa aktwal na break-in o kahina-hinalang aktibidad sa panahon ng krimen ay maaaring magbigay ng mahahalagang detalye tu"&amp;"ngkol sa hitsura, pag-uugali, o sasakyan ng salarin. Alibis: Ang mga pahayag mula sa mga indibidwal na maaaring kumpirmahin ang kinaroroonan ng mga potensyal na suspek sa panahon ng pagnanakaw ay maaaring makatulong sa paghatol sa kanila o palakasin ang k"&amp;"aso laban sa iba. Circumstantial Evidence: Security Footage: Maaaring makuhanan ng mga recording mula sa mga camera na malapit sa pinangyarihan, gaya ng CCTV footage o doorbell camera, ang mga aktibidad ng salarin bago, habang, o pagkatapos ng krimen. Mga"&amp;" Tala ng Cell Phone: Ang data ng tore ng telepono o mga talaan ng cell phone ng mga indibidwal na pinaghihinalaang may kinalaman ay maaaring patunayan ang kanilang mga paggalaw malapit sa pinangyarihan sa oras ng pagnanakaw. Mga Rekord na Pananalapi: Ang "&amp;"pagsubaybay sa mga transaksyong pinansyal, gaya ng mga talaan ng pawn shop o online na pagbebenta ng mga ninakaw na bagay, ay maaaring humantong sa mga imbestigador sa may kasalanan. Kasaysayan ng Kriminal: Ang mga naunang paghatol sa kriminal ng mga indi"&amp;"bidwal na pinaghihinalaang may kinalaman ay maaaring ituring bilang circumstantial evidence, lalo na kung nauugnay sa mga katulad na pagkakasala. Tandaan, ang pag-secure ng eksena sa lalong madaling panahon ay mahalaga sa pagpapanatili ng ebidensya. Huwag"&amp;" hawakan o abalahin ang anumang bagay na maaaring hinahawakan ng salarin, at makipag-ugnayan kaagad sa pulisya upang iulat ang insidente. Magagawa nilang maayos na masuri ang eksena, mangolekta ng ebidensya, at magpasimula ng imbestigasyon.
Sa pamamagita"&amp;"n ng pagbibigay ng mas maraming impormasyon at detalyadong paglalarawan ng mga elemento sa itaas sa mga awtoridad, maaari mong makabuluhang taasan ang pagkakataon na mahuli ang salarin at mabawi ang iyong mga ninakaw na gamit.")</f>
        <v>Tingnan ang iba pang mga draftAng katibayan na mahalaga sa isang kaso ng pagnanakaw ay nakasalalay sa ilang mga salik, kabilang ang mga partikular na pangyayari ng pagpasok, ang uri ng ari-arian na ninakaw, at ang mga pamamaraan na ginamit ng salarin. Gayunpaman, ang ilang pangkalahatang kategorya ng ebidensya ay maaaring makabuluhang palakasin ang iyong kaso:
Pisikal na Katibayan: Punto ng Pagpasok: Ang pagsusuri sa pinto, bintana, o iba pang punto ng pagpasok para sa mga palatandaan ng sapilitang pagpasok, tulad ng mga basag na salamin, mga marka ng pry, o mga marka ng tool, ay maaaring makatulong na ikonekta ang may kasalanan sa eksena. Mga Fingerprint: Ang mga fingerprint na naiwan sa pinangyarihan, gaya ng mga doorknob, bintana, o mga ninakaw na item, ay maihahambing sa mga kasalukuyang database upang matukoy ang mga potensyal na suspek. Mga bakas ng paa: Maaaring iugnay ng mga bakas ng sapatos o gulong malapit sa pinangyarihan ang salarin sa break-in o ipakita ang kanilang ruta ng pagtakas. DNA: Ang mga bakas ng dugo, buhok, o iba pang biological na ebidensya na nakuhang muli mula sa eksena ay maaaring magbigay ng mahalagang ebidensya ng DNA para sa pagkakakilanlan. Ninakaw na Ari-arian: Ang mga na-recover na ninakaw na bagay, lalo na ang mga may kakaibang marka o serial number, ay maaaring direktang mag-link sa salarin sa pagnanakaw. Mga Kasangkapan at Armas: Anumang mga kasangkapan o sandata na makikita sa pinangyarihan, tulad ng mga crowbar, kutsilyo, o guwantes, ay maaaring mag-ugnay sa salarin sa krimen at magbunyag ng kanilang modus operandi. Patotoo ng Saksi:
 Mga Account ng Saksi: Ang mga pahayag mula sa sinumang nakasaksi sa aktwal na break-in o kahina-hinalang aktibidad sa panahon ng krimen ay maaaring magbigay ng mahahalagang detalye tungkol sa hitsura, pag-uugali, o sasakyan ng salarin. Alibis: Ang mga pahayag mula sa mga indibidwal na maaaring kumpirmahin ang kinaroroonan ng mga potensyal na suspek sa panahon ng pagnanakaw ay maaaring makatulong sa paghatol sa kanila o palakasin ang kaso laban sa iba. Circumstantial Evidence: Security Footage: Maaaring makuhanan ng mga recording mula sa mga camera na malapit sa pinangyarihan, gaya ng CCTV footage o doorbell camera, ang mga aktibidad ng salarin bago, habang, o pagkatapos ng krimen. Mga Tala ng Cell Phone: Ang data ng tore ng telepono o mga talaan ng cell phone ng mga indibidwal na pinaghihinalaang may kinalaman ay maaaring patunayan ang kanilang mga paggalaw malapit sa pinangyarihan sa oras ng pagnanakaw. Mga Rekord na Pananalapi: Ang pagsubaybay sa mga transaksyong pinansyal, gaya ng mga talaan ng pawn shop o online na pagbebenta ng mga ninakaw na bagay, ay maaaring humantong sa mga imbestigador sa may kasalanan. Kasaysayan ng Kriminal: Ang mga naunang paghatol sa kriminal ng mga indibidwal na pinaghihinalaang may kinalaman ay maaaring ituring bilang circumstantial evidence, lalo na kung nauugnay sa mga katulad na pagkakasala. Tandaan, ang pag-secure ng eksena sa lalong madaling panahon ay mahalaga sa pagpapanatili ng ebidensya. Huwag hawakan o abalahin ang anumang bagay na maaaring hinahawakan ng salarin, at makipag-ugnayan kaagad sa pulisya upang iulat ang insidente. Magagawa nilang maayos na masuri ang eksena, mangolekta ng ebidensya, at magpasimula ng imbestigasyon.
Sa pamamagitan ng pagbibigay ng mas maraming impormasyon at detalyadong paglalarawan ng mga elemento sa itaas sa mga awtoridad, maaari mong makabuluhang taasan ang pagkakataon na mahuli ang salarin at mabawi ang iyong mga ninakaw na gamit.</v>
      </c>
      <c r="F302" s="2">
        <f t="shared" si="1"/>
        <v>0</v>
      </c>
      <c r="G302" s="2"/>
      <c r="H302" s="2"/>
      <c r="I302" s="2"/>
      <c r="J302" s="2"/>
      <c r="K302" s="2"/>
      <c r="L302" s="2"/>
      <c r="M302" s="2"/>
      <c r="N302" s="2"/>
      <c r="O302" s="2"/>
      <c r="P302" s="2"/>
      <c r="Q302" s="2"/>
      <c r="R302" s="2"/>
      <c r="S302" s="2"/>
      <c r="T302" s="2"/>
      <c r="U302" s="2"/>
      <c r="V302" s="2"/>
      <c r="W302" s="2"/>
      <c r="X302" s="2"/>
      <c r="Y302" s="2"/>
      <c r="Z302" s="2"/>
      <c r="AA302" s="2"/>
    </row>
    <row r="303">
      <c r="A303" s="1" t="s">
        <v>5</v>
      </c>
      <c r="B303" s="1" t="s">
        <v>1202</v>
      </c>
      <c r="C303" s="1" t="s">
        <v>1203</v>
      </c>
      <c r="D303" s="2" t="str">
        <f>IFERROR(__xludf.DUMMYFUNCTION("GOOGLETRANSLATE(B303, ""en"", ""TL"")"),"Ano ang pagkakaiba sa pagitan ng isang misdemeanor at isang felony charge?")</f>
        <v>Ano ang pagkakaiba sa pagitan ng isang misdemeanor at isang felony charge?</v>
      </c>
      <c r="E303" s="2" t="str">
        <f>IFERROR(__xludf.DUMMYFUNCTION("GOOGLETRANSLATE(C303, ""en"", ""TL"")"),"Ang pangunahing pagkakaiba sa pagitan ng isang misdemeanor at isang felony charge ay nakasalalay sa kalubhaan ng krimen at ang mga nagresultang mga parusa: Kalubhaan: Misdemeanor: Itinuturing na isang hindi gaanong seryosong pagkakasala, kadalasang kinasa"&amp;"sangkutan ng maliit na pinsala o pinsala. Kasama sa mga halimbawa ang shoplifting, hindi maayos na pag-uugali, o mga paglabag sa trapiko. Felony: Itinuturing na isang mas malubhang pagkakasala, kadalasang kinasasangkutan ng malaking pinsala o pinsala, o n"&amp;"aglalagay ng mas malaking banta sa lipunan. Kasama sa mga halimbawa ang pagnanakaw, pag-atake, trafficking ng droga, o malaking pandaraya.
Mga Parusa: Misdemeanor: Karaniwang pinaparusahan ng: Oras ng pagkakakulong: Hanggang isang taon, ngunit madalas na"&amp;" mas kaunti (o kahit na walang oras ng pagkakakulong sa ilang mga kaso). Mga multa: Karaniwang hindi gaanong mahalaga kumpara sa mga felonies.
Probation: Karaniwang alternatibo o karagdagan sa oras ng pagkakakulong, na nangangailangan ng pangangasiwa at "&amp;"pagsunod sa mga partikular na kundisyon. Felony: Karaniwang pinaparusahan ng: Oras ng pagkakakulong: Isang taon o higit pa, posibleng umabot ng mga dekada depende sa kalubhaan ng krimen. Mga multa: Kadalasang mas mataas kaysa sa mga misdemeanors, kung min"&amp;"san ay umaabot ng libu-libo o kahit milyon-milyong piso. Pangmatagalang kahihinatnan: Maaaring makaapekto sa hinaharap na trabaho, mga pagkakataon sa pabahay, at maging ang mga karapatan sa pagboto.
Mga Karagdagang Pagsasaalang-alang:
Pag-uuri: Ang part"&amp;"ikular na pag-uuri ng isang krimen bilang isang misdemeanor o felony ay maaaring mag-iba depende sa estado o pambansang batas.
Mga Salik na Nakakapagpalubha: Ang ilang partikular na salik, tulad ng paggamit ng sandata sa panahon ng krimen o nagdudulot ng"&amp;" malubhang pinsala, ay maaaring magpataas ng misdemeanor sa isang felony.
Mga Legal na Pamamaraan: Ang mga kaso ng felony ay karaniwang nagsasangkot ng mas kumplikadong mga legal na paglilitis at mas mahigpit na pamantayan ng ebidensya kumpara sa mga mis"&amp;"demeanors.")</f>
        <v>Ang pangunahing pagkakaiba sa pagitan ng isang misdemeanor at isang felony charge ay nakasalalay sa kalubhaan ng krimen at ang mga nagresultang mga parusa: Kalubhaan: Misdemeanor: Itinuturing na isang hindi gaanong seryosong pagkakasala, kadalasang kinasasangkutan ng maliit na pinsala o pinsala. Kasama sa mga halimbawa ang shoplifting, hindi maayos na pag-uugali, o mga paglabag sa trapiko. Felony: Itinuturing na isang mas malubhang pagkakasala, kadalasang kinasasangkutan ng malaking pinsala o pinsala, o naglalagay ng mas malaking banta sa lipunan. Kasama sa mga halimbawa ang pagnanakaw, pag-atake, trafficking ng droga, o malaking pandaraya.
Mga Parusa: Misdemeanor: Karaniwang pinaparusahan ng: Oras ng pagkakakulong: Hanggang isang taon, ngunit madalas na mas kaunti (o kahit na walang oras ng pagkakakulong sa ilang mga kaso). Mga multa: Karaniwang hindi gaanong mahalaga kumpara sa mga felonies.
Probation: Karaniwang alternatibo o karagdagan sa oras ng pagkakakulong, na nangangailangan ng pangangasiwa at pagsunod sa mga partikular na kundisyon. Felony: Karaniwang pinaparusahan ng: Oras ng pagkakakulong: Isang taon o higit pa, posibleng umabot ng mga dekada depende sa kalubhaan ng krimen. Mga multa: Kadalasang mas mataas kaysa sa mga misdemeanors, kung minsan ay umaabot ng libu-libo o kahit milyon-milyong piso. Pangmatagalang kahihinatnan: Maaaring makaapekto sa hinaharap na trabaho, mga pagkakataon sa pabahay, at maging ang mga karapatan sa pagboto.
Mga Karagdagang Pagsasaalang-alang:
Pag-uuri: Ang partikular na pag-uuri ng isang krimen bilang isang misdemeanor o felony ay maaaring mag-iba depende sa estado o pambansang batas.
Mga Salik na Nakakapagpalubha: Ang ilang partikular na salik, tulad ng paggamit ng sandata sa panahon ng krimen o nagdudulot ng malubhang pinsala, ay maaaring magpataas ng misdemeanor sa isang felony.
Mga Legal na Pamamaraan: Ang mga kaso ng felony ay karaniwang nagsasangkot ng mas kumplikadong mga legal na paglilitis at mas mahigpit na pamantayan ng ebidensya kumpara sa mga misdemeanors.</v>
      </c>
      <c r="F303" s="2">
        <f t="shared" si="1"/>
        <v>0</v>
      </c>
      <c r="G303" s="2"/>
      <c r="H303" s="2"/>
      <c r="I303" s="2"/>
      <c r="J303" s="2"/>
      <c r="K303" s="2"/>
      <c r="L303" s="2"/>
      <c r="M303" s="2"/>
      <c r="N303" s="2"/>
      <c r="O303" s="2"/>
      <c r="P303" s="2"/>
      <c r="Q303" s="2"/>
      <c r="R303" s="2"/>
      <c r="S303" s="2"/>
      <c r="T303" s="2"/>
      <c r="U303" s="2"/>
      <c r="V303" s="2"/>
      <c r="W303" s="2"/>
      <c r="X303" s="2"/>
      <c r="Y303" s="2"/>
      <c r="Z303" s="2"/>
      <c r="AA303" s="2"/>
    </row>
    <row r="304">
      <c r="A304" s="1" t="s">
        <v>5</v>
      </c>
      <c r="B304" s="1" t="s">
        <v>1204</v>
      </c>
      <c r="C304" s="1" t="s">
        <v>1205</v>
      </c>
      <c r="D304" s="2" t="str">
        <f>IFERROR(__xludf.DUMMYFUNCTION("GOOGLETRANSLATE(B304, ""en"", ""TL"")"),"Anong mga depensa ang magagamit kung ako ay inakusahan ng shoplifting?")</f>
        <v>Anong mga depensa ang magagamit kung ako ay inakusahan ng shoplifting?</v>
      </c>
      <c r="E304" s="2" t="str">
        <f>IFERROR(__xludf.DUMMYFUNCTION("GOOGLETRANSLATE(C304, ""en"", ""TL"")"),"Kung ikaw ay inakusahan ng shoplifting, mahalagang kumunsulta sa isang kwalipikadong abogado na dalubhasa sa batas kriminal upang talakayin ang iyong partikular na sitwasyon at mga potensyal na depensa. Maling Pagkakakilanlan: Kung naniniwala kang maling "&amp;"pagkakakilanlan ka bilang shoplifter, mangalap ng ebidensya para suportahan ang iyong claim. Maaaring kabilang dito ang mga pahayag ng saksi, footage ng seguridad na nagpapakitang wala ka sa paligid ng bagay na pinaghihinalaang ninakaw, o mga resibo mula "&amp;"sa iba pang mga tindahang binibisita mo sa panahon ng akusasyon. Kawalan ng Mens Rea: Ang pagtatanggol na ito ay nangangatuwiran na wala kang intensyon na magnakaw. Maaaring naaangkop ito kung hindi mo sinasadyang nailagay ang isang item sa iyong bag nang"&amp;" hindi mo namamalayan, nakalimutan mong magbayad para sa isang item dahil sa pagkagambala, o naligaw ng nakalilitong paglalagay o signage ng produkto. Pahintulot: Kung pumayag ang storekeeper na kunin mo ang item (hal., pagbibigay sa iyo ng sample o payag"&amp;"an kang humawak ng item habang naghihintay ng tulong), maaari nitong pabulaanan ang akusasyon ng pagnanakaw. Duress: Sa mga bihirang kaso, maaari kang magtaltalan na napilitan kang kunin ang item sa ilalim ng pagpilit, tulad ng mga banta ng karahasan o pa"&amp;"mimilit. Gayunpaman, ito ay isang kumplikadong depensa na nangangailangan ng matibay na ebidensya. Factual Dispute: Maaari mong hamunin ang makatotohanang batayan ng akusasyon, tulad ng pagtatanong sa katumpakan ng security footage o mga pahayag ng saksi,"&amp;" o pagbibigay ng ebidensya na ang bagay na pinag-uusapan ay hindi kailanman aktwal na nasa iyo. Mga Error sa Pamamaraan: Minsan, ang mga legal na pagkakamali sa panahon ng pagdakip o proseso ng pagsisiyasat ay maaaring maging sanhi ng hindi matanggap na e"&amp;"bidensya o makapagpahina sa kaso ng prosekusyon. Maaaring suriin ng iyong abogado ang mga potensyal na pagkakamali sa pamamaraan at itaas ang mga ito sa korte. Alibi: Kung mayroon kang isang malakas na alibi na naglalagay sa iyo sa ibang lugar sa oras ng "&amp;"di-umano'y shoplifting, ito ay maaaring makabuluhang pahinain ang kaso ng prosekusyon. Negosasyon: Depende sa partikular na mga pangyayari, maaaring makipag-ayos ang iyong abogado sa tagausig para sa pinababang singil o alternatibong pagsentensiya, gaya n"&amp;"g serbisyo sa komunidad o mga multa, kapalit ng pag-aangking nagkasala sa mas mababang pagkakasala. Makipagtulungan sa mga awtoridad sa panahon ng imbestigasyon ngunit iwasang umamin ng pagkakasala o magbigay ng hindi kinakailangang impormasyon.
Ang pagk"&amp;"onsulta sa isang abogado ay mahalaga upang maunawaan ang iyong mga karapatan, tuklasin ang mga magagamit na depensa, at epektibong mag-navigate sa legal na proseso.")</f>
        <v>Kung ikaw ay inakusahan ng shoplifting, mahalagang kumunsulta sa isang kwalipikadong abogado na dalubhasa sa batas kriminal upang talakayin ang iyong partikular na sitwasyon at mga potensyal na depensa. Maling Pagkakakilanlan: Kung naniniwala kang maling pagkakakilanlan ka bilang shoplifter, mangalap ng ebidensya para suportahan ang iyong claim. Maaaring kabilang dito ang mga pahayag ng saksi, footage ng seguridad na nagpapakitang wala ka sa paligid ng bagay na pinaghihinalaang ninakaw, o mga resibo mula sa iba pang mga tindahang binibisita mo sa panahon ng akusasyon. Kawalan ng Mens Rea: Ang pagtatanggol na ito ay nangangatuwiran na wala kang intensyon na magnakaw. Maaaring naaangkop ito kung hindi mo sinasadyang nailagay ang isang item sa iyong bag nang hindi mo namamalayan, nakalimutan mong magbayad para sa isang item dahil sa pagkagambala, o naligaw ng nakalilitong paglalagay o signage ng produkto. Pahintulot: Kung pumayag ang storekeeper na kunin mo ang item (hal., pagbibigay sa iyo ng sample o payagan kang humawak ng item habang naghihintay ng tulong), maaari nitong pabulaanan ang akusasyon ng pagnanakaw. Duress: Sa mga bihirang kaso, maaari kang magtaltalan na napilitan kang kunin ang item sa ilalim ng pagpilit, tulad ng mga banta ng karahasan o pamimilit. Gayunpaman, ito ay isang kumplikadong depensa na nangangailangan ng matibay na ebidensya. Factual Dispute: Maaari mong hamunin ang makatotohanang batayan ng akusasyon, tulad ng pagtatanong sa katumpakan ng security footage o mga pahayag ng saksi, o pagbibigay ng ebidensya na ang bagay na pinag-uusapan ay hindi kailanman aktwal na nasa iyo. Mga Error sa Pamamaraan: Minsan, ang mga legal na pagkakamali sa panahon ng pagdakip o proseso ng pagsisiyasat ay maaaring maging sanhi ng hindi matanggap na ebidensya o makapagpahina sa kaso ng prosekusyon. Maaaring suriin ng iyong abogado ang mga potensyal na pagkakamali sa pamamaraan at itaas ang mga ito sa korte. Alibi: Kung mayroon kang isang malakas na alibi na naglalagay sa iyo sa ibang lugar sa oras ng di-umano'y shoplifting, ito ay maaaring makabuluhang pahinain ang kaso ng prosekusyon. Negosasyon: Depende sa partikular na mga pangyayari, maaaring makipag-ayos ang iyong abogado sa tagausig para sa pinababang singil o alternatibong pagsentensiya, gaya ng serbisyo sa komunidad o mga multa, kapalit ng pag-aangking nagkasala sa mas mababang pagkakasala. Makipagtulungan sa mga awtoridad sa panahon ng imbestigasyon ngunit iwasang umamin ng pagkakasala o magbigay ng hindi kinakailangang impormasyon.
Ang pagkonsulta sa isang abogado ay mahalaga upang maunawaan ang iyong mga karapatan, tuklasin ang mga magagamit na depensa, at epektibong mag-navigate sa legal na proseso.</v>
      </c>
      <c r="F304" s="2">
        <f t="shared" si="1"/>
        <v>0</v>
      </c>
      <c r="G304" s="2"/>
      <c r="H304" s="2"/>
      <c r="I304" s="2"/>
      <c r="J304" s="2"/>
      <c r="K304" s="2"/>
      <c r="L304" s="2"/>
      <c r="M304" s="2"/>
      <c r="N304" s="2"/>
      <c r="O304" s="2"/>
      <c r="P304" s="2"/>
      <c r="Q304" s="2"/>
      <c r="R304" s="2"/>
      <c r="S304" s="2"/>
      <c r="T304" s="2"/>
      <c r="U304" s="2"/>
      <c r="V304" s="2"/>
      <c r="W304" s="2"/>
      <c r="X304" s="2"/>
      <c r="Y304" s="2"/>
      <c r="Z304" s="2"/>
      <c r="AA304" s="2"/>
    </row>
    <row r="305">
      <c r="A305" s="1" t="s">
        <v>5</v>
      </c>
      <c r="B305" s="1" t="s">
        <v>1206</v>
      </c>
      <c r="C305" s="1" t="s">
        <v>1207</v>
      </c>
      <c r="D305" s="2" t="str">
        <f>IFERROR(__xludf.DUMMYFUNCTION("GOOGLETRANSLATE(B305, ""en"", ""TL"")"),"Maaari mo ba akong gabayan sa mga legal na hakbang pagkatapos ng hit and run?")</f>
        <v>Maaari mo ba akong gabayan sa mga legal na hakbang pagkatapos ng hit and run?</v>
      </c>
      <c r="E305" s="2" t="str">
        <f>IFERROR(__xludf.DUMMYFUNCTION("GOOGLETRANSLATE(C305, ""en"", ""TL"")"),"Maghain ng ulat sa pulisya: Mag-follow up sa pulisya at tiyaking iniimbestigahan nila ang hit-and-run. Humiling ng kopya ng ulat ng pulisya para sa iyong mga rekord. Kumonsulta sa isang abogado: Maaaring payuhan ka ng isang kwalipikadong abogado tungkol s"&amp;"a iyong mga legal na karapatan at opsyon, kabilang ang pagsasampa ng kaso laban sa hit-and-run na driver (kung sila ay natagpuan) o humingi ng kabayaran mula sa iyong sariling kompanya ng seguro. Magtipon ng ebidensya at dokumentasyon: Tutulungan ka ng iy"&amp;"ong abogado na mangalap ng ebidensya upang suportahan ang iyong paghahabol, tulad ng mga medikal na rekord, mga larawan, mga pahayag ng saksi, mga ulat ng pulisya, at anumang komunikasyon sa kumpanya ng seguro. Makipag-ayos ng kasunduan o magsampa ng kaso"&amp;": Depende sa partikular na mga pangyayari ng iyong kaso, maaaring subukan ng iyong abogado na makipag-ayos sa kompanya ng seguro o magsampa ng kaso laban sa driver para sa kabayaran para sa iyong mga pinsala, pinsala sa ari-arian, at iba pang pagkalugi.
M"&amp;"ga Karagdagang Pagsasaalang-alang: Batas ng mga limitasyon: May limitasyon sa oras para sa pagsasampa ng kaso pagkatapos ng aksidenteng hit-and-run. Nag-iiba-iba ito depende sa hurisdiksyon, kaya mahalagang kumunsulta sa isang abogado sa lalong madaling p"&amp;"anahon. Walang insurance na saklaw ng motorista: Kung ang hit-and-run na driver ay hindi nakilala o walang insurance, maaari kang mag-claim ng kabayaran sa ilalim ng iyong sariling uninsured motorist coverage kung mayroon ka nito. Ang legal na proseso kas"&amp;"unod ng isang hit-and-run na aksidente ay maaaring maging kumplikado at mapaghamong. Makakatulong ang pagkonsulta sa isang kwalipikadong abogado na matiyak na protektado ang iyong mga karapatan at matatanggap mo ang kabayarang nararapat sa iyo.
Huwag sub"&amp;"ukang hawakan ang legal na proseso sa iyong sarili. Ang isang abogado ay maaaring mag-navigate sa legal na sistema, mangalap ng ebidensya, makipag-ayos sa mga kompanya ng seguro, at kumatawan sa iyo sa korte kung kinakailangan.")</f>
        <v>Maghain ng ulat sa pulisya: Mag-follow up sa pulisya at tiyaking iniimbestigahan nila ang hit-and-run. Humiling ng kopya ng ulat ng pulisya para sa iyong mga rekord. Kumonsulta sa isang abogado: Maaaring payuhan ka ng isang kwalipikadong abogado tungkol sa iyong mga legal na karapatan at opsyon, kabilang ang pagsasampa ng kaso laban sa hit-and-run na driver (kung sila ay natagpuan) o humingi ng kabayaran mula sa iyong sariling kompanya ng seguro. Magtipon ng ebidensya at dokumentasyon: Tutulungan ka ng iyong abogado na mangalap ng ebidensya upang suportahan ang iyong paghahabol, tulad ng mga medikal na rekord, mga larawan, mga pahayag ng saksi, mga ulat ng pulisya, at anumang komunikasyon sa kumpanya ng seguro. Makipag-ayos ng kasunduan o magsampa ng kaso: Depende sa partikular na mga pangyayari ng iyong kaso, maaaring subukan ng iyong abogado na makipag-ayos sa kompanya ng seguro o magsampa ng kaso laban sa driver para sa kabayaran para sa iyong mga pinsala, pinsala sa ari-arian, at iba pang pagkalugi.
Mga Karagdagang Pagsasaalang-alang: Batas ng mga limitasyon: May limitasyon sa oras para sa pagsasampa ng kaso pagkatapos ng aksidenteng hit-and-run. Nag-iiba-iba ito depende sa hurisdiksyon, kaya mahalagang kumunsulta sa isang abogado sa lalong madaling panahon. Walang insurance na saklaw ng motorista: Kung ang hit-and-run na driver ay hindi nakilala o walang insurance, maaari kang mag-claim ng kabayaran sa ilalim ng iyong sariling uninsured motorist coverage kung mayroon ka nito. Ang legal na proseso kasunod ng isang hit-and-run na aksidente ay maaaring maging kumplikado at mapaghamong. Makakatulong ang pagkonsulta sa isang kwalipikadong abogado na matiyak na protektado ang iyong mga karapatan at matatanggap mo ang kabayarang nararapat sa iyo.
Huwag subukang hawakan ang legal na proseso sa iyong sarili. Ang isang abogado ay maaaring mag-navigate sa legal na sistema, mangalap ng ebidensya, makipag-ayos sa mga kompanya ng seguro, at kumatawan sa iyo sa korte kung kinakailangan.</v>
      </c>
      <c r="F305" s="2">
        <f t="shared" si="1"/>
        <v>0</v>
      </c>
      <c r="G305" s="2"/>
      <c r="H305" s="2"/>
      <c r="I305" s="2"/>
      <c r="J305" s="2"/>
      <c r="K305" s="2"/>
      <c r="L305" s="2"/>
      <c r="M305" s="2"/>
      <c r="N305" s="2"/>
      <c r="O305" s="2"/>
      <c r="P305" s="2"/>
      <c r="Q305" s="2"/>
      <c r="R305" s="2"/>
      <c r="S305" s="2"/>
      <c r="T305" s="2"/>
      <c r="U305" s="2"/>
      <c r="V305" s="2"/>
      <c r="W305" s="2"/>
      <c r="X305" s="2"/>
      <c r="Y305" s="2"/>
      <c r="Z305" s="2"/>
      <c r="AA305" s="2"/>
    </row>
    <row r="306">
      <c r="A306" s="1" t="s">
        <v>5</v>
      </c>
      <c r="B306" s="1" t="s">
        <v>1208</v>
      </c>
      <c r="C306" s="1" t="s">
        <v>1209</v>
      </c>
      <c r="D306" s="2" t="str">
        <f>IFERROR(__xludf.DUMMYFUNCTION("GOOGLETRANSLATE(B306, ""en"", ""TL"")"),"Ano ang aking mga karapatan Kung ako ay inakusahan ng white-collar na krimen sa trabaho?")</f>
        <v>Ano ang aking mga karapatan Kung ako ay inakusahan ng white-collar na krimen sa trabaho?</v>
      </c>
      <c r="E306" s="2" t="str">
        <f>IFERROR(__xludf.DUMMYFUNCTION("GOOGLETRANSLATE(C306, ""en"", ""TL"")"),"Manatiling kalmado at kooperatiba: Iwasan ang komprontasyon o pagtatalo sa iyong employer o sa mga awtoridad. Maging magalang at magalang, ngunit huwag sagutin ang mga tanong nang walang legal na representasyon. Kahilingan na makipag-usap sa isang abogado"&amp;": Ito ang iyong pangunahing karapatan at mahalaga sa pagprotekta sa iyong mga interes. Maaaring gabayan ka ng isang abogado sa prosesong legal, payuhan ka kung ano ang dapat sabihin at hindi sasabihin, at tiyaking iginagalang ang iyong mga karapatan. Magt"&amp;"ipon ng ebidensya: Kung maaari, tahimik na idokumento ang anumang nauugnay na impormasyong nauugnay sa akusasyon, tulad ng mga email, memo, o mga tala sa pagpupulong. Gayunpaman, huwag pakialaman o subukang sirain ang anumang ebidensya.
Mga Legal na Karap"&amp;"atan: Karapatan sa katahimikan: May karapatan kang manatiling tahimik at huwag sagutin ang anumang mga tanong na maaaring magdulot sa iyo ng kasalanan. Ang iyong abogado ay maaaring magpayo sa pinakamahusay na diskarte sa pagtugon sa mga katanungan.
Karap"&amp;"atan sa isang abogado: Mayroon kang karapatan sa legal na representasyon sa buong imbestigasyon at anumang potensyal na legal na paglilitis. Ang iyong abogado ay maaaring magsulong para sa iyong mga karapatan, bumuo ng iyong depensa, at kumatawan sa iyo s"&amp;"a hukuman kung kinakailangan. Karapatan sa isang patas na pagsisiyasat: Ikaw ay may karapatan sa isang patas at walang kinikilingan na pagsisiyasat sa mga akusasyon. Maaaring tiyakin ng iyong abogado na ang pagsisiyasat ay isinasagawa nang maayos at ang i"&amp;"yong mga karapatan ay hindi nilalabag. Presumption of innocence: Ikaw ay inosente hanggang sa mapatunayang nagkasala sa korte ng batas. Ang pasanin ng patunay ay nakasalalay sa prosekusyon upang ipakita ang iyong pagkakasala nang walang makatwirang pagdud"&amp;"uda. Tumutok sa pananatiling kaalaman at kasangkot sa iyong pagtatanggol. Habang ang iyong abogado ang hahawak sa mga legal na aspeto, manatiling kasangkot sa proseso at magbigay sa kanila ng anumang nauugnay na impormasyon upang bumuo ng isang malakas na"&amp;" depensa.
Ang pag-navigate sa sitwasyong ito ay maaaring maging kumplikado, ngunit tandaan na mayroon kang mga karapatan at pagpipilian. Gawin ang mga kinakailangang hakbang upang protektahan ang iyong sarili, unahin ang iyong kapakanan, at humingi ng pr"&amp;"opesyonal na patnubay mula sa isang kwalipikadong abogado upang matiyak na ang iyong mga karapatan ay protektado at makakatanggap ka ng patas na pagtrato.")</f>
        <v>Manatiling kalmado at kooperatiba: Iwasan ang komprontasyon o pagtatalo sa iyong employer o sa mga awtoridad. Maging magalang at magalang, ngunit huwag sagutin ang mga tanong nang walang legal na representasyon. Kahilingan na makipag-usap sa isang abogado: Ito ang iyong pangunahing karapatan at mahalaga sa pagprotekta sa iyong mga interes. Maaaring gabayan ka ng isang abogado sa prosesong legal, payuhan ka kung ano ang dapat sabihin at hindi sasabihin, at tiyaking iginagalang ang iyong mga karapatan. Magtipon ng ebidensya: Kung maaari, tahimik na idokumento ang anumang nauugnay na impormasyong nauugnay sa akusasyon, tulad ng mga email, memo, o mga tala sa pagpupulong. Gayunpaman, huwag pakialaman o subukang sirain ang anumang ebidensya.
Mga Legal na Karapatan: Karapatan sa katahimikan: May karapatan kang manatiling tahimik at huwag sagutin ang anumang mga tanong na maaaring magdulot sa iyo ng kasalanan. Ang iyong abogado ay maaaring magpayo sa pinakamahusay na diskarte sa pagtugon sa mga katanungan.
Karapatan sa isang abogado: Mayroon kang karapatan sa legal na representasyon sa buong imbestigasyon at anumang potensyal na legal na paglilitis. Ang iyong abogado ay maaaring magsulong para sa iyong mga karapatan, bumuo ng iyong depensa, at kumatawan sa iyo sa hukuman kung kinakailangan. Karapatan sa isang patas na pagsisiyasat: Ikaw ay may karapatan sa isang patas at walang kinikilingan na pagsisiyasat sa mga akusasyon. Maaaring tiyakin ng iyong abogado na ang pagsisiyasat ay isinasagawa nang maayos at ang iyong mga karapatan ay hindi nilalabag. Presumption of innocence: Ikaw ay inosente hanggang sa mapatunayang nagkasala sa korte ng batas. Ang pasanin ng patunay ay nakasalalay sa prosekusyon upang ipakita ang iyong pagkakasala nang walang makatwirang pagdududa. Tumutok sa pananatiling kaalaman at kasangkot sa iyong pagtatanggol. Habang ang iyong abogado ang hahawak sa mga legal na aspeto, manatiling kasangkot sa proseso at magbigay sa kanila ng anumang nauugnay na impormasyon upang bumuo ng isang malakas na depensa.
Ang pag-navigate sa sitwasyong ito ay maaaring maging kumplikado, ngunit tandaan na mayroon kang mga karapatan at pagpipilian. Gawin ang mga kinakailangang hakbang upang protektahan ang iyong sarili, unahin ang iyong kapakanan, at humingi ng propesyonal na patnubay mula sa isang kwalipikadong abogado upang matiyak na ang iyong mga karapatan ay protektado at makakatanggap ka ng patas na pagtrato.</v>
      </c>
      <c r="F306" s="2">
        <f t="shared" si="1"/>
        <v>0</v>
      </c>
      <c r="G306" s="2"/>
      <c r="H306" s="2"/>
      <c r="I306" s="2"/>
      <c r="J306" s="2"/>
      <c r="K306" s="2"/>
      <c r="L306" s="2"/>
      <c r="M306" s="2"/>
      <c r="N306" s="2"/>
      <c r="O306" s="2"/>
      <c r="P306" s="2"/>
      <c r="Q306" s="2"/>
      <c r="R306" s="2"/>
      <c r="S306" s="2"/>
      <c r="T306" s="2"/>
      <c r="U306" s="2"/>
      <c r="V306" s="2"/>
      <c r="W306" s="2"/>
      <c r="X306" s="2"/>
      <c r="Y306" s="2"/>
      <c r="Z306" s="2"/>
      <c r="AA306" s="2"/>
    </row>
    <row r="307">
      <c r="A307" s="1" t="s">
        <v>5</v>
      </c>
      <c r="B307" s="1" t="s">
        <v>1210</v>
      </c>
      <c r="C307" s="1" t="s">
        <v>1211</v>
      </c>
      <c r="D307" s="2" t="str">
        <f>IFERROR(__xludf.DUMMYFUNCTION("GOOGLETRANSLATE(B307, ""en"", ""TL"")"),"Anong mga hakbang ang dapat kong gawin kung naging biktima ako ng pagnanakaw ng pagkakakilanlan?")</f>
        <v>Anong mga hakbang ang dapat kong gawin kung naging biktima ako ng pagnanakaw ng pagkakakilanlan?</v>
      </c>
      <c r="E307" s="2" t="str">
        <f>IFERROR(__xludf.DUMMYFUNCTION("GOOGLETRANSLATE(C307, ""en"", ""TL"")"),"Iulat ang pagnanakaw:
Philippine National Police (PNP): Maghain ng pormal na reklamo sa iyong lokal na istasyon ng pulisya. Magbigay ng mga kopya ng anumang ebidensya na mayroon ka, gaya ng mga email, text message, o bank statement na nagpapakita ng mapan"&amp;"linlang na aktibidad. National Bureau of Investigation (NBI): Para sa mga kumplikadong kaso o sa mga may kinalaman sa organisadong krimen, isaalang-alang ang pag-uulat sa NBI Cybercrime Division. Makipag-ugnayan sa iyong mga institusyong pampinansyal: Kaa"&amp;"gad na alertuhan ang iyong bangko, mga kumpanya ng credit card, at anumang iba pang institusyong pinansyal na posibleng maapektuhan ng pagnanakaw. Hilingin sa kanila na i-freeze ang iyong mga account na nauugnay sa mapanlinlang na aktibidad at ihinto ang "&amp;"anumang karagdagang mga transaksyon.
Baguhin ang iyong mga password: I-update ang iyong mga password para sa lahat ng online na account, kabilang ang pagbabangko, email, social media, at anumang iba pang mga account na naglalaman ng sensitibong impormasyo"&amp;"n. Gumamit ng malalakas na password na may kumbinasyon ng malalaking titik at maliliit na titik, numero, at simbolo. Maaari mo ring isaalang-alang ang paggamit ng isang tagapamahala ng password upang masubaybayan ang malakas at natatanging mga password pa"&amp;"ra sa bawat account. Maglagay ng credit freeze: Makipag-ugnayan sa mga pangunahing credit bureaus sa Pilipinas (TransUnion, Equifax, at Experian) at maglagay ng credit freeze sa iyong credit report. Pinipigilan nito ang mga potensyal na umaatake na magbuk"&amp;"as ng mga bagong account sa iyong pangalan. Magagawa mo ito online o sa pamamagitan ng pagtawag sa kanilang customer service. Iulat ang panloloko sa social media: Kung nakompromiso ang iyong mga social media account, iulat ang mapanlinlang na aktibidad sa"&amp;" kani-kanilang mga platform. Karaniwan silang may mga pamamaraan upang makatulong na maibalik ang iyong mga account at imbestigahan ang isyu. Magtipon ng ebidensya: Panatilihin ang anumang ebidensya na nauugnay sa pagnanakaw ng pagkakakilanlan, tulad ng m"&amp;"ga email, text message, kahina-hinalang transaksyon, at ulat ng pulisya. Ito ay magiging mahalaga para sa paghahain ng mga reklamo at paghabol ng legal na aksyon laban sa mga may kasalanan. Mag-ulat sa mga nauugnay na ahensya: Depende sa uri ng pagnanakaw"&amp;" ng pagkakakilanlan, maaari mong isaalang-alang ang pag-uulat nito sa ibang mga ahensya tulad ng Department of Trade and Industry (DTI) para sa mga isyu sa proteksyon ng consumer, ang Securities and Exchange Commission (SEC) para sa mga investment scam, o"&amp;" ang Department of Justice (DOJ) para sa legal na tulong. Humingi ng legal na payo: Isaalang-alang ang pagkonsulta sa isang abogado na dalubhasa sa pandaraya at pagnanakaw ng pagkakakilanlan. Maaari nilang tasahin ang iyong kaso, gabayan ka sa pamamagitan"&amp;" ng mga legal na opsyon, at kinakatawan ka sa paghahabol ng mga paghahabol ng sibil para sa mga pinsala o mga kasong kriminal laban sa mga may kasalanan. Manatiling may kaalaman at mapagbantay: Turuan ang iyong sarili tungkol sa mga karaniwang scam sa pag"&amp;"nanakaw ng pagkakakilanlan at mga hakbang sa pag-iwas upang maiwasang mabiktima muli.")</f>
        <v>Iulat ang pagnanakaw:
Philippine National Police (PNP): Maghain ng pormal na reklamo sa iyong lokal na istasyon ng pulisya. Magbigay ng mga kopya ng anumang ebidensya na mayroon ka, gaya ng mga email, text message, o bank statement na nagpapakita ng mapanlinlang na aktibidad. National Bureau of Investigation (NBI): Para sa mga kumplikadong kaso o sa mga may kinalaman sa organisadong krimen, isaalang-alang ang pag-uulat sa NBI Cybercrime Division. Makipag-ugnayan sa iyong mga institusyong pampinansyal: Kaagad na alertuhan ang iyong bangko, mga kumpanya ng credit card, at anumang iba pang institusyong pinansyal na posibleng maapektuhan ng pagnanakaw. Hilingin sa kanila na i-freeze ang iyong mga account na nauugnay sa mapanlinlang na aktibidad at ihinto ang anumang karagdagang mga transaksyon.
Baguhin ang iyong mga password: I-update ang iyong mga password para sa lahat ng online na account, kabilang ang pagbabangko, email, social media, at anumang iba pang mga account na naglalaman ng sensitibong impormasyon. Gumamit ng malalakas na password na may kumbinasyon ng malalaking titik at maliliit na titik, numero, at simbolo. Maaari mo ring isaalang-alang ang paggamit ng isang tagapamahala ng password upang masubaybayan ang malakas at natatanging mga password para sa bawat account. Maglagay ng credit freeze: Makipag-ugnayan sa mga pangunahing credit bureaus sa Pilipinas (TransUnion, Equifax, at Experian) at maglagay ng credit freeze sa iyong credit report. Pinipigilan nito ang mga potensyal na umaatake na magbukas ng mga bagong account sa iyong pangalan. Magagawa mo ito online o sa pamamagitan ng pagtawag sa kanilang customer service. Iulat ang panloloko sa social media: Kung nakompromiso ang iyong mga social media account, iulat ang mapanlinlang na aktibidad sa kani-kanilang mga platform. Karaniwan silang may mga pamamaraan upang makatulong na maibalik ang iyong mga account at imbestigahan ang isyu. Magtipon ng ebidensya: Panatilihin ang anumang ebidensya na nauugnay sa pagnanakaw ng pagkakakilanlan, tulad ng mga email, text message, kahina-hinalang transaksyon, at ulat ng pulisya. Ito ay magiging mahalaga para sa paghahain ng mga reklamo at paghabol ng legal na aksyon laban sa mga may kasalanan. Mag-ulat sa mga nauugnay na ahensya: Depende sa uri ng pagnanakaw ng pagkakakilanlan, maaari mong isaalang-alang ang pag-uulat nito sa ibang mga ahensya tulad ng Department of Trade and Industry (DTI) para sa mga isyu sa proteksyon ng consumer, ang Securities and Exchange Commission (SEC) para sa mga investment scam, o ang Department of Justice (DOJ) para sa legal na tulong. Humingi ng legal na payo: Isaalang-alang ang pagkonsulta sa isang abogado na dalubhasa sa pandaraya at pagnanakaw ng pagkakakilanlan. Maaari nilang tasahin ang iyong kaso, gabayan ka sa pamamagitan ng mga legal na opsyon, at kinakatawan ka sa paghahabol ng mga paghahabol ng sibil para sa mga pinsala o mga kasong kriminal laban sa mga may kasalanan. Manatiling may kaalaman at mapagbantay: Turuan ang iyong sarili tungkol sa mga karaniwang scam sa pagnanakaw ng pagkakakilanlan at mga hakbang sa pag-iwas upang maiwasang mabiktima muli.</v>
      </c>
      <c r="F307" s="2">
        <f t="shared" si="1"/>
        <v>0</v>
      </c>
      <c r="G307" s="2"/>
      <c r="H307" s="2"/>
      <c r="I307" s="2"/>
      <c r="J307" s="2"/>
      <c r="K307" s="2"/>
      <c r="L307" s="2"/>
      <c r="M307" s="2"/>
      <c r="N307" s="2"/>
      <c r="O307" s="2"/>
      <c r="P307" s="2"/>
      <c r="Q307" s="2"/>
      <c r="R307" s="2"/>
      <c r="S307" s="2"/>
      <c r="T307" s="2"/>
      <c r="U307" s="2"/>
      <c r="V307" s="2"/>
      <c r="W307" s="2"/>
      <c r="X307" s="2"/>
      <c r="Y307" s="2"/>
      <c r="Z307" s="2"/>
      <c r="AA307" s="2"/>
    </row>
    <row r="308">
      <c r="A308" s="1" t="s">
        <v>5</v>
      </c>
      <c r="B308" s="1" t="s">
        <v>1212</v>
      </c>
      <c r="C308" s="1" t="s">
        <v>1213</v>
      </c>
      <c r="D308" s="2" t="str">
        <f>IFERROR(__xludf.DUMMYFUNCTION("GOOGLETRANSLATE(B308, ""en"", ""TL"")"),"Paano nalalapat ang pagtatanggol sa sarili sa iba't ibang sitwasyon, at ano ang mga legal na limitasyon?")</f>
        <v>Paano nalalapat ang pagtatanggol sa sarili sa iba't ibang sitwasyon, at ano ang mga legal na limitasyon?</v>
      </c>
      <c r="E308" s="2" t="str">
        <f>IFERROR(__xludf.DUMMYFUNCTION("GOOGLETRANSLATE(C308, ""en"", ""TL"")"),"Ang pagtatanggol sa sarili ay isang kumplikadong legal na konsepto na may iba't ibang aplikasyon depende sa partikular na sitwasyon at hurisdiksyon. Ang pangkalahatang prinsipyo ay maaari kang gumamit ng makatwirang puwersa upang ipagtanggol ang iyong sar"&amp;"ili o ang iba mula sa napipintong pinsala, ngunit may mga limitasyon at nuances na dapat isaalang-alang. Narito ang isang breakdown kung paano nalalapat ang pagtatanggol sa sarili sa iba't ibang sitwasyon at ang mga legal na limitasyon:
Pangkalahatang Pr"&amp;"insipyo: Malapit na banta: Ang banta ng pinsala ay dapat na totoo, kaagad, at patuloy. Hindi ka maaaring mag-claim ng pagtatanggol sa sarili para sa mga nakaraang pagbabanta o para sa mga hypothetical na sitwasyon. Makatwirang puwersa: Ang puwersang ginam"&amp;"it ay dapat na proporsyonal sa banta na iyong kinakaharap. Ang paggamit ng labis na puwersa na lampas sa kung ano ang kinakailangan upang ipagtanggol ang iyong sarili ay maaaring magpawalang-bisa sa iyong paghahabol sa pagtatanggol sa sarili. Tungkulin na"&amp;" umatras: Sa ilang sitwasyon, maaaring may tungkulin kang umatras bago gumamit ng puwersa. Nag-iiba-iba ang panuntunang ito depende sa hurisdiksyon, ngunit karaniwang nalalapat kung ligtas at posible ang pag-urong. Walang pagsalakay: Hindi ka maaaring mag"&amp;"-provoke ng pag-atake at pagkatapos ay mag-claim ng pagtatanggol sa sarili. Ang aggressor na nag-uudyok sa salungatan ay nagpapahina sa iyong pagtatanggol sa sarili na argumento.
Iba't ibang Sitwasyon: Pisikal na pag-atake: Maaari kang gumamit ng makatwi"&amp;"rang puwersa upang ipagtanggol ang iyong sarili laban sa isang umaatake, tulad ng mga suntok, sipa, o mga sandata na nagtatanggol (pepper spray, stun gun) kung kinakailangan. Pagsalakay sa bahay: Maaari kang gumamit ng mas makabuluhang puwersa upang ipagt"&amp;"anggol ang iyong tahanan at ang mga nakatira dito laban sa isang pagnanakaw o nanghihimasok, na posibleng kabilang ang nakamamatay na puwersa depende sa kalubhaan ng pagbabanta. Mga pananakot sa salita: Ang mga pananakot sa salita lamang, kahit na nakakat"&amp;"akot, ay hindi sapat upang bigyang-katwiran ang pisikal na puwersa. Gayunpaman, kung sinamahan sila ng mga pananakot na kilos o pagkilos na nagmumungkahi ng napipintong pisikal na pinsala, maaaring mailapat ang pagtatanggol sa sarili. Pag-aresto sa mamama"&amp;"yan: Sa ilang limitadong pagkakataon, maaari kang pahintulutang gumamit ng makatwirang puwersa upang pigilan ang isang taong pinaniniwalaan mong nakagawa ng krimen hanggang sa dumating ang mga awtoridad. Dapat itong gawin nang may pag-iingat at sa loob ng"&amp;" mga legal na hangganan.
Mga Legal na Limitasyon: Nakamamatay na puwersa: Ang paggamit ng nakamamatay na puwersa ay legal lamang kapag makatuwirang naniniwala ka na ikaw o ang ibang tao ay nasa napipintong panganib ng kamatayan o malubhang pinsala sa kat"&amp;"awan, at walang ibang mga makatwirang opsyon na umiiral. Ang mga kahihinatnan ng paggamit ng nakamamatay na puwersa ay lubhang malubha, kaya dapat lamang itong gamitin bilang isang huling paraan. Tungkulin na ipaalam: Pagkatapos gumamit ng pagtatanggol sa"&amp;" sarili, dapat mong ipaalam kaagad sa mga awtoridad at ipaliwanag ang mga pangyayari sa insidente. Ang pagkabigong gawin ito ay maaaring magdulot ng hinala at pahinain ang iyong paghahabol. Mga kahihinatnan ng sibil: Kahit na ang iyong mga aksyon ay itinu"&amp;"turing na makatwiran sa pagtatanggol sa sarili, maaari ka pa ring harapin ang mga sibil na kaso mula sa kabilang partido sa ilang mga kaso. Ang pagkonsulta sa isang abogado ay mahalaga upang maunawaan ang iyong mga legal na karapatan at potensyal na panan"&amp;"agutan.
Tandaan: Ang pagtatanggol sa sarili ay isang legal na katwiran, hindi isang libreng pass para sa karahasan. Laging unahin ang de-escalation at pag-iwas sa salungatan kung maaari. Ang pag-unawa sa mga partikular na batas at alituntunin para sa pag"&amp;"tatanggol sa sarili sa iyong hurisdiksyon ay mahalaga. Ang paghingi ng legal na payo mula sa isang kwalipikadong abogado ay ang pinaka-maaasahang paraan upang matiyak na ikaw ay kumikilos sa loob ng legal na mga hangganan. Kahit na makatwiran ka sa paggam"&amp;"it ng pagtatanggol sa sarili, ang karanasan ay maaaring maging traumatiko. Mayroong iba't ibang mga mapagkukunan na magagamit upang matulungan kang makayanan ang emosyonal at sikolohikal na mga kahihinatnan, tulad ng therapy o mga grupo ng suporta.")</f>
        <v>Ang pagtatanggol sa sarili ay isang kumplikadong legal na konsepto na may iba't ibang aplikasyon depende sa partikular na sitwasyon at hurisdiksyon. Ang pangkalahatang prinsipyo ay maaari kang gumamit ng makatwirang puwersa upang ipagtanggol ang iyong sarili o ang iba mula sa napipintong pinsala, ngunit may mga limitasyon at nuances na dapat isaalang-alang. Narito ang isang breakdown kung paano nalalapat ang pagtatanggol sa sarili sa iba't ibang sitwasyon at ang mga legal na limitasyon:
Pangkalahatang Prinsipyo: Malapit na banta: Ang banta ng pinsala ay dapat na totoo, kaagad, at patuloy. Hindi ka maaaring mag-claim ng pagtatanggol sa sarili para sa mga nakaraang pagbabanta o para sa mga hypothetical na sitwasyon. Makatwirang puwersa: Ang puwersang ginamit ay dapat na proporsyonal sa banta na iyong kinakaharap. Ang paggamit ng labis na puwersa na lampas sa kung ano ang kinakailangan upang ipagtanggol ang iyong sarili ay maaaring magpawalang-bisa sa iyong paghahabol sa pagtatanggol sa sarili. Tungkulin na umatras: Sa ilang sitwasyon, maaaring may tungkulin kang umatras bago gumamit ng puwersa. Nag-iiba-iba ang panuntunang ito depende sa hurisdiksyon, ngunit karaniwang nalalapat kung ligtas at posible ang pag-urong. Walang pagsalakay: Hindi ka maaaring mag-provoke ng pag-atake at pagkatapos ay mag-claim ng pagtatanggol sa sarili. Ang aggressor na nag-uudyok sa salungatan ay nagpapahina sa iyong pagtatanggol sa sarili na argumento.
Iba't ibang Sitwasyon: Pisikal na pag-atake: Maaari kang gumamit ng makatwirang puwersa upang ipagtanggol ang iyong sarili laban sa isang umaatake, tulad ng mga suntok, sipa, o mga sandata na nagtatanggol (pepper spray, stun gun) kung kinakailangan. Pagsalakay sa bahay: Maaari kang gumamit ng mas makabuluhang puwersa upang ipagtanggol ang iyong tahanan at ang mga nakatira dito laban sa isang pagnanakaw o nanghihimasok, na posibleng kabilang ang nakamamatay na puwersa depende sa kalubhaan ng pagbabanta. Mga pananakot sa salita: Ang mga pananakot sa salita lamang, kahit na nakakatakot, ay hindi sapat upang bigyang-katwiran ang pisikal na puwersa. Gayunpaman, kung sinamahan sila ng mga pananakot na kilos o pagkilos na nagmumungkahi ng napipintong pisikal na pinsala, maaaring mailapat ang pagtatanggol sa sarili. Pag-aresto sa mamamayan: Sa ilang limitadong pagkakataon, maaari kang pahintulutang gumamit ng makatwirang puwersa upang pigilan ang isang taong pinaniniwalaan mong nakagawa ng krimen hanggang sa dumating ang mga awtoridad. Dapat itong gawin nang may pag-iingat at sa loob ng mga legal na hangganan.
Mga Legal na Limitasyon: Nakamamatay na puwersa: Ang paggamit ng nakamamatay na puwersa ay legal lamang kapag makatuwirang naniniwala ka na ikaw o ang ibang tao ay nasa napipintong panganib ng kamatayan o malubhang pinsala sa katawan, at walang ibang mga makatwirang opsyon na umiiral. Ang mga kahihinatnan ng paggamit ng nakamamatay na puwersa ay lubhang malubha, kaya dapat lamang itong gamitin bilang isang huling paraan. Tungkulin na ipaalam: Pagkatapos gumamit ng pagtatanggol sa sarili, dapat mong ipaalam kaagad sa mga awtoridad at ipaliwanag ang mga pangyayari sa insidente. Ang pagkabigong gawin ito ay maaaring magdulot ng hinala at pahinain ang iyong paghahabol. Mga kahihinatnan ng sibil: Kahit na ang iyong mga aksyon ay itinuturing na makatwiran sa pagtatanggol sa sarili, maaari ka pa ring harapin ang mga sibil na kaso mula sa kabilang partido sa ilang mga kaso. Ang pagkonsulta sa isang abogado ay mahalaga upang maunawaan ang iyong mga legal na karapatan at potensyal na pananagutan.
Tandaan: Ang pagtatanggol sa sarili ay isang legal na katwiran, hindi isang libreng pass para sa karahasan. Laging unahin ang de-escalation at pag-iwas sa salungatan kung maaari. Ang pag-unawa sa mga partikular na batas at alituntunin para sa pagtatanggol sa sarili sa iyong hurisdiksyon ay mahalaga. Ang paghingi ng legal na payo mula sa isang kwalipikadong abogado ay ang pinaka-maaasahang paraan upang matiyak na ikaw ay kumikilos sa loob ng legal na mga hangganan. Kahit na makatwiran ka sa paggamit ng pagtatanggol sa sarili, ang karanasan ay maaaring maging traumatiko. Mayroong iba't ibang mga mapagkukunan na magagamit upang matulungan kang makayanan ang emosyonal at sikolohikal na mga kahihinatnan, tulad ng therapy o mga grupo ng suporta.</v>
      </c>
      <c r="F308" s="2">
        <f t="shared" si="1"/>
        <v>0</v>
      </c>
      <c r="G308" s="2"/>
      <c r="H308" s="2"/>
      <c r="I308" s="2"/>
      <c r="J308" s="2"/>
      <c r="K308" s="2"/>
      <c r="L308" s="2"/>
      <c r="M308" s="2"/>
      <c r="N308" s="2"/>
      <c r="O308" s="2"/>
      <c r="P308" s="2"/>
      <c r="Q308" s="2"/>
      <c r="R308" s="2"/>
      <c r="S308" s="2"/>
      <c r="T308" s="2"/>
      <c r="U308" s="2"/>
      <c r="V308" s="2"/>
      <c r="W308" s="2"/>
      <c r="X308" s="2"/>
      <c r="Y308" s="2"/>
      <c r="Z308" s="2"/>
      <c r="AA308" s="2"/>
    </row>
    <row r="309">
      <c r="A309" s="1" t="s">
        <v>5</v>
      </c>
      <c r="B309" s="1" t="s">
        <v>1214</v>
      </c>
      <c r="C309" s="1" t="s">
        <v>1215</v>
      </c>
      <c r="D309" s="2" t="str">
        <f>IFERROR(__xludf.DUMMYFUNCTION("GOOGLETRANSLATE(B309, ""en"", ""TL"")"),"Ano ang mga parusa para sa paglabag sa pribadong pag-aari?")</f>
        <v>Ano ang mga parusa para sa paglabag sa pribadong pag-aari?</v>
      </c>
      <c r="E309" s="2" t="str">
        <f>IFERROR(__xludf.DUMMYFUNCTION("GOOGLETRANSLATE(C309, ""en"", ""TL"")"),"Tindi ng pagkakasala: Simple trespass: Ang pagpasok sa pribadong ari-arian nang walang pahintulot ngunit hindi nagdudulot ng anumang pinsala o pinsala ay itinuturing na simpleng paglabag at inuri sa ilalim ng Artikulo 280 ng Binagong Kodigo Penal. Karaniw"&amp;"ang kasama sa parusa ang arresto menor (hanggang 30 araw sa kulungan) o multa na hindi hihigit sa 200 pesos. Kwalipikadong trespass: Ang pagpasok nang may karahasan o pananakot, paggawa ng krimen habang nasa ari-arian, o nagdudulot ng pinsala ay maaaring "&amp;"magpataas ng pagkakasala sa qualified trespass. Ito ay may parusang prisión correccional sa katamtaman at pinakamataas na panahon nito (6 na buwan hanggang 6 na taong pagkakakulong) at multang hindi hihigit sa 200,000 pesos.
Pagkakaroon ng mga nagpapalub"&amp;"ha na salik: Maaaring mapataas ng ilang partikular na salik ang mga parusa, gaya ng:
Paggamit ng mga armas: Ang pagdadala o paggamit ng mga armas sa panahon ng paglabag ay maaaring makabuluhang tumaas ang pangungusap. Pisikal na pinsala: Ang pagdudulot n"&amp;"g pinsala sa ibang tao sa property ay maaaring humantong sa mga karagdagang singil depende sa kalubhaan ng pinsala. Recidivism: Ang mga paulit-ulit na paglabag sa paglabag ay maaaring magresulta sa mas matinding parusa.
Mga lokal na ordinansa: Ang ilang "&amp;"mga lugar o munisipalidad ay maaaring may mga karagdagang ordinansa na partikular sa paglabag, na maaaring magpataw ng karagdagang mga parusa o multa.
Narito ang ilang karagdagang bagay na dapat tandaan: Property signage: Malinaw na naka-post na ""No Tre"&amp;"spassing"" signs sa pribadong ari-arian ay nagpapatibay sa kaso laban sa mga trespassers. Pahintulot: Ang pahintulot mula sa may-ari ng ari-arian o lehitimong kinatawan (hal., security guard) ay nagpapawalang-bisa sa paglabag sa paglabag. Maling pagpasok:"&amp;" Ang maling pagpasok sa maling ari-arian dahil sa hindi malinaw na mga hangganan o ang paniniwalang ito ay pampublikong espasyo ay maaaring magresulta sa pinababang mga parusa o pagtanggal ng singil.")</f>
        <v>Tindi ng pagkakasala: Simple trespass: Ang pagpasok sa pribadong ari-arian nang walang pahintulot ngunit hindi nagdudulot ng anumang pinsala o pinsala ay itinuturing na simpleng paglabag at inuri sa ilalim ng Artikulo 280 ng Binagong Kodigo Penal. Karaniwang kasama sa parusa ang arresto menor (hanggang 30 araw sa kulungan) o multa na hindi hihigit sa 200 pesos. Kwalipikadong trespass: Ang pagpasok nang may karahasan o pananakot, paggawa ng krimen habang nasa ari-arian, o nagdudulot ng pinsala ay maaaring magpataas ng pagkakasala sa qualified trespass. Ito ay may parusang prisión correccional sa katamtaman at pinakamataas na panahon nito (6 na buwan hanggang 6 na taong pagkakakulong) at multang hindi hihigit sa 200,000 pesos.
Pagkakaroon ng mga nagpapalubha na salik: Maaaring mapataas ng ilang partikular na salik ang mga parusa, gaya ng:
Paggamit ng mga armas: Ang pagdadala o paggamit ng mga armas sa panahon ng paglabag ay maaaring makabuluhang tumaas ang pangungusap. Pisikal na pinsala: Ang pagdudulot ng pinsala sa ibang tao sa property ay maaaring humantong sa mga karagdagang singil depende sa kalubhaan ng pinsala. Recidivism: Ang mga paulit-ulit na paglabag sa paglabag ay maaaring magresulta sa mas matinding parusa.
Mga lokal na ordinansa: Ang ilang mga lugar o munisipalidad ay maaaring may mga karagdagang ordinansa na partikular sa paglabag, na maaaring magpataw ng karagdagang mga parusa o multa.
Narito ang ilang karagdagang bagay na dapat tandaan: Property signage: Malinaw na naka-post na "No Trespassing" signs sa pribadong ari-arian ay nagpapatibay sa kaso laban sa mga trespassers. Pahintulot: Ang pahintulot mula sa may-ari ng ari-arian o lehitimong kinatawan (hal., security guard) ay nagpapawalang-bisa sa paglabag sa paglabag. Maling pagpasok: Ang maling pagpasok sa maling ari-arian dahil sa hindi malinaw na mga hangganan o ang paniniwalang ito ay pampublikong espasyo ay maaaring magresulta sa pinababang mga parusa o pagtanggal ng singil.</v>
      </c>
      <c r="F309" s="2">
        <f t="shared" si="1"/>
        <v>0</v>
      </c>
      <c r="G309" s="2"/>
      <c r="H309" s="2"/>
      <c r="I309" s="2"/>
      <c r="J309" s="2"/>
      <c r="K309" s="2"/>
      <c r="L309" s="2"/>
      <c r="M309" s="2"/>
      <c r="N309" s="2"/>
      <c r="O309" s="2"/>
      <c r="P309" s="2"/>
      <c r="Q309" s="2"/>
      <c r="R309" s="2"/>
      <c r="S309" s="2"/>
      <c r="T309" s="2"/>
      <c r="U309" s="2"/>
      <c r="V309" s="2"/>
      <c r="W309" s="2"/>
      <c r="X309" s="2"/>
      <c r="Y309" s="2"/>
      <c r="Z309" s="2"/>
      <c r="AA309" s="2"/>
    </row>
    <row r="310">
      <c r="A310" s="1" t="s">
        <v>5</v>
      </c>
      <c r="B310" s="1" t="s">
        <v>1216</v>
      </c>
      <c r="C310" s="1" t="s">
        <v>1217</v>
      </c>
      <c r="D310" s="2" t="str">
        <f>IFERROR(__xludf.DUMMYFUNCTION("GOOGLETRANSLATE(B310, ""en"", ""TL"")"),"Maaari mo bang ipaliwanag ang proseso ng pagtanggal ng kriminal na rekord?")</f>
        <v>Maaari mo bang ipaliwanag ang proseso ng pagtanggal ng kriminal na rekord?</v>
      </c>
      <c r="E310" s="2" t="str">
        <f>IFERROR(__xludf.DUMMYFUNCTION("GOOGLETRANSLATE(C310, ""en"", ""TL"")"),"Ang proseso ng pag-alis ng isang kriminal na rekord sa Pilipinas ay kasalukuyang sumasailalim sa ilang mga pagbabago dahil sa isang iminungkahing batas na tinatawag na Clean Slate Act (House Bill 7938). Dahil dito, mag-aalok ako ng impormasyon batay sa pa"&amp;"rehong kasalukuyang naaangkop na proseso at sa mga potensyal na pagbabago na iminungkahi ng bill.
Kasalukuyang proseso: Sa ilalim ng umiiral na batas ng Pilipinas, ang pagtanggal (tinatawag ding pagse-sealing) ng isang kriminal na rekord sa pangkalahatan"&amp;" ay hindi isang karapatan ngunit isang pribilehiyo na ipinagkaloob ng korte sa pagpapasya nito. Pangunahing posible ito sa mga sumusunod na sitwasyon: Mga menor de edad: Ang mga indibidwal na nakagawa ng mga krimen noong wala pa sila sa edad ng kriminal n"&amp;"a pananagutan (15 taong gulang sa kasalukuyan) ay maaaring ma-seal ang kanilang mga rekord sa pag-abot sa adulto, basta't nagpakita sila ng mabuting pag-uugali at rehabilitasyon. Matagumpay na pagkumpleto ng probasyon o mga programa sa rehabilitasyon: Ang"&amp;" mga indibidwal na matagumpay na nakumpleto ang iniutos ng hukuman na probasyon o mga programa sa rehabilitasyon para sa kanilang mga pagkakasala ay maaaring maging karapat-dapat para sa pagpapatalsik, depende sa pagtatasa ng hukom. Presidential pardon: S"&amp;"a mga bihirang kaso, ang Pangulo ay maaaring magbigay ng pardon, na epektibong nagbubura sa criminal record.
Mga potensyal na pagbabago sa ilalim ng Clean Slate Act: Kung maipapasa, ang Clean Slate Act ay makabuluhang magpapalawak ng saklaw ng expungemen"&amp;"t sa Pilipinas. Ang ilang mahahalagang iminungkahing pagbabago ay kinabibilangan ng: Pagiging karapat-dapat para sa mga mababang antas na krimen: Ang mga indibidwal na nahatulan ng ilang partikular na mababang antas na krimen, tulad ng maliit na pagnanaka"&amp;"w, paninira, o unang beses na menor de edad na mga pagkakasala sa droga, ay magiging karapat-dapat para sa pagpapatalsik pagkatapos ng isang tiyak na panahon ng malinis na pag-uugali ( isang taon pagkatapos makumpleto ang sentensiya o probasyon). Awtomati"&amp;"kong pag-alis para sa mga napawalang-sala na kaso: Ang mga rekord ng kriminal na nauugnay sa mga na-dismiss na kaso o mga kaso kung saan napawalang-sala ang indibidwal ay awtomatikong aalisin pagkatapos ng 60 araw. Pinasimpleng proseso: Ang Batas ay nagmu"&amp;"mungkahi ng mas streamlined at accessible na proseso para sa pag-aaplay para sa expungement, pagbabawas ng pag-asa sa pagpapasya ng hukuman at ginagawang mas madali para sa mga karapat-dapat na indibidwal na i-clear ang kanilang mga rekord.
Pangkalahatan"&amp;": Bagama't limitado ang kasalukuyang proseso para sa expungement, nag-aalok ang iminungkahing Clean Slate Act ng mas malawak at madaling paraan. Kung interesado kang alisin ang iyong kriminal na rekord, inirerekumenda na: Kumonsulta sa isang kwalipikadong"&amp;" abogado: Maaaring tasahin ng isang abogado ang iyong partikular na kaso, ipaalam sa iyo ang tungkol sa iyong pagiging karapat-dapat sa ilalim ng mga umiiral na batas at ang mga potensyal na pagbabago sa ilalim ng iminungkahing Batas, at gabayan ka sa pam"&amp;"amagitan ng angkop na proseso. Magtipon ng mga kaugnay na dokumento: Maaaring kabilang dito ang mga rekord ng hukuman, mga sertipiko ng pagkumpleto para sa probasyon o mga programa sa rehabilitasyon, at katibayan ng iyong malinis na pag-uugali mula nang m"&amp;"akumpleto ang iyong sentensiya. Manatiling may kaalaman tungkol sa Clean Slate Act: Ang Batas ay sumasailalim pa rin sa mga proseso ng pambatasan, kaya ang pananatiling updated sa pag-unlad nito ay makakatulong sa iyong maunawaan ang iyong mga opsyon at p"&amp;"otensyal na timeline. Tandaan, ang expungement ay hindi isang garantiya, at ang ilang partikular na krimen ay maaaring hindi maging karapat-dapat sa anumang sitwasyon. Ang pagkonsulta sa isang legal na propesyonal ay mahalaga upang maunawaan ang iyong par"&amp;"tikular na sitwasyon at tuklasin ang mga posibilidad ng pag-clear sa iyong tala.")</f>
        <v>Ang proseso ng pag-alis ng isang kriminal na rekord sa Pilipinas ay kasalukuyang sumasailalim sa ilang mga pagbabago dahil sa isang iminungkahing batas na tinatawag na Clean Slate Act (House Bill 7938). Dahil dito, mag-aalok ako ng impormasyon batay sa parehong kasalukuyang naaangkop na proseso at sa mga potensyal na pagbabago na iminungkahi ng bill.
Kasalukuyang proseso: Sa ilalim ng umiiral na batas ng Pilipinas, ang pagtanggal (tinatawag ding pagse-sealing) ng isang kriminal na rekord sa pangkalahatan ay hindi isang karapatan ngunit isang pribilehiyo na ipinagkaloob ng korte sa pagpapasya nito. Pangunahing posible ito sa mga sumusunod na sitwasyon: Mga menor de edad: Ang mga indibidwal na nakagawa ng mga krimen noong wala pa sila sa edad ng kriminal na pananagutan (15 taong gulang sa kasalukuyan) ay maaaring ma-seal ang kanilang mga rekord sa pag-abot sa adulto, basta't nagpakita sila ng mabuting pag-uugali at rehabilitasyon. Matagumpay na pagkumpleto ng probasyon o mga programa sa rehabilitasyon: Ang mga indibidwal na matagumpay na nakumpleto ang iniutos ng hukuman na probasyon o mga programa sa rehabilitasyon para sa kanilang mga pagkakasala ay maaaring maging karapat-dapat para sa pagpapatalsik, depende sa pagtatasa ng hukom. Presidential pardon: Sa mga bihirang kaso, ang Pangulo ay maaaring magbigay ng pardon, na epektibong nagbubura sa criminal record.
Mga potensyal na pagbabago sa ilalim ng Clean Slate Act: Kung maipapasa, ang Clean Slate Act ay makabuluhang magpapalawak ng saklaw ng expungement sa Pilipinas. Ang ilang mahahalagang iminungkahing pagbabago ay kinabibilangan ng: Pagiging karapat-dapat para sa mga mababang antas na krimen: Ang mga indibidwal na nahatulan ng ilang partikular na mababang antas na krimen, tulad ng maliit na pagnanakaw, paninira, o unang beses na menor de edad na mga pagkakasala sa droga, ay magiging karapat-dapat para sa pagpapatalsik pagkatapos ng isang tiyak na panahon ng malinis na pag-uugali ( isang taon pagkatapos makumpleto ang sentensiya o probasyon). Awtomatikong pag-alis para sa mga napawalang-sala na kaso: Ang mga rekord ng kriminal na nauugnay sa mga na-dismiss na kaso o mga kaso kung saan napawalang-sala ang indibidwal ay awtomatikong aalisin pagkatapos ng 60 araw. Pinasimpleng proseso: Ang Batas ay nagmumungkahi ng mas streamlined at accessible na proseso para sa pag-aaplay para sa expungement, pagbabawas ng pag-asa sa pagpapasya ng hukuman at ginagawang mas madali para sa mga karapat-dapat na indibidwal na i-clear ang kanilang mga rekord.
Pangkalahatan: Bagama't limitado ang kasalukuyang proseso para sa expungement, nag-aalok ang iminungkahing Clean Slate Act ng mas malawak at madaling paraan. Kung interesado kang alisin ang iyong kriminal na rekord, inirerekumenda na: Kumonsulta sa isang kwalipikadong abogado: Maaaring tasahin ng isang abogado ang iyong partikular na kaso, ipaalam sa iyo ang tungkol sa iyong pagiging karapat-dapat sa ilalim ng mga umiiral na batas at ang mga potensyal na pagbabago sa ilalim ng iminungkahing Batas, at gabayan ka sa pamamagitan ng angkop na proseso. Magtipon ng mga kaugnay na dokumento: Maaaring kabilang dito ang mga rekord ng hukuman, mga sertipiko ng pagkumpleto para sa probasyon o mga programa sa rehabilitasyon, at katibayan ng iyong malinis na pag-uugali mula nang makumpleto ang iyong sentensiya. Manatiling may kaalaman tungkol sa Clean Slate Act: Ang Batas ay sumasailalim pa rin sa mga proseso ng pambatasan, kaya ang pananatiling updated sa pag-unlad nito ay makakatulong sa iyong maunawaan ang iyong mga opsyon at potensyal na timeline. Tandaan, ang expungement ay hindi isang garantiya, at ang ilang partikular na krimen ay maaaring hindi maging karapat-dapat sa anumang sitwasyon. Ang pagkonsulta sa isang legal na propesyonal ay mahalaga upang maunawaan ang iyong partikular na sitwasyon at tuklasin ang mga posibilidad ng pag-clear sa iyong tala.</v>
      </c>
      <c r="F310" s="2">
        <f t="shared" si="1"/>
        <v>0</v>
      </c>
      <c r="G310" s="2"/>
      <c r="H310" s="2"/>
      <c r="I310" s="2"/>
      <c r="J310" s="2"/>
      <c r="K310" s="2"/>
      <c r="L310" s="2"/>
      <c r="M310" s="2"/>
      <c r="N310" s="2"/>
      <c r="O310" s="2"/>
      <c r="P310" s="2"/>
      <c r="Q310" s="2"/>
      <c r="R310" s="2"/>
      <c r="S310" s="2"/>
      <c r="T310" s="2"/>
      <c r="U310" s="2"/>
      <c r="V310" s="2"/>
      <c r="W310" s="2"/>
      <c r="X310" s="2"/>
      <c r="Y310" s="2"/>
      <c r="Z310" s="2"/>
      <c r="AA310" s="2"/>
    </row>
    <row r="311">
      <c r="A311" s="1" t="s">
        <v>5</v>
      </c>
      <c r="B311" s="1" t="s">
        <v>1218</v>
      </c>
      <c r="C311" s="1" t="s">
        <v>1219</v>
      </c>
      <c r="D311" s="2" t="str">
        <f>IFERROR(__xludf.DUMMYFUNCTION("GOOGLETRANSLATE(B311, ""en"", ""TL"")"),"Anong mga karapatan ang mayroon ako sa panahon ng paghahanap ng pulisya sa aking tahanan o sasakyan?")</f>
        <v>Anong mga karapatan ang mayroon ako sa panahon ng paghahanap ng pulisya sa aking tahanan o sasakyan?</v>
      </c>
      <c r="E311" s="2" t="str">
        <f>IFERROR(__xludf.DUMMYFUNCTION("GOOGLETRANSLATE(C311, ""en"", ""TL"")"),"Ang Karapatang Maging Ligtas mula sa Mga Hindi Makatwirang Paghahanap at Pag-agaw: Ang pangunahing karapatang ito ay nakapaloob sa Artikulo III, Seksyon 2 ng Konstitusyon ng Pilipinas. Nangangahulugan ito na hindi mahahanap ng pulisya ang iyong bahay o sa"&amp;"sakyan nang walang wastong dahilan o katwiran. ang ebidensya ay naroroon sa lokasyon) ay kinakailangan para sa isang legal na paghahanap. Umiiral ang mga pagbubukod para sa mga partikular na sitwasyon tulad ng mainit na pagtugis, kailangang-kailangan na m"&amp;"ga pangyayari (panganib o pagkasira ng ebidensya na nalalapit), o pagpayag. Pahintulot: May karapatan kang tumanggi o magbigay ng pahintulot para sa paghahanap sa iyong ari-arian. Ang pagsang-ayon ay dapat na boluntaryo at hindi pinilit sa pamamagitan ng "&amp;"pananakot o pananakot. Maaari mong hilingin na makita ang warrant bago magbigay ng pahintulot at magkaroon ng abogado sa panahon ng paghahanap.
Sa panahon ng Paghahanap: Karapatang maabisuhan: May karapatan kang malaman ang dahilan ng paghahanap at ipaki"&amp;"ta ang search warrant (kung naaangkop). Karapatang mag-obserba: May karapatan kang obserbahan ang paghahanap at tiyaking isinasagawa ito sa loob ng mga limitasyon ng warrant o ng iyong pahintulot. Karapatan sa legal na tagapayo: May karapatan kang kumunsu"&amp;"lta sa isang abogado bago o sa panahon ng paghahanap. Karapatang tumanggi sa mga tanong: May karapatan kang manatiling tahimik at tumanggi na sagutin ang anumang mga tanong tungkol sa paghahanap o anumang potensyal na krimen. Kung naniniwala kang iligal n"&amp;"a isinasagawa ang paghahanap, maaari kang magalang ngunit matatag na tumutol at humiling na makipag-usap sa isang abogado. Huwag pigilan o hadlangan ang paghahanap nang pisikal, dahil maaari itong humantong sa higit pang mga legal na kahihinatnan. Idokume"&amp;"nto ang sitwasyon, kung maaari, sa pamamagitan ng pagkuha ng mga tala o pagtatala ng pakikipag-ugnayan sa mga opisyal (sa loob ng mga legal na hangganan). Pagkatapos ng paghahanap, kumunsulta sa isang abogado upang talakayin ang iyong mga karapatan at ops"&amp;"yon, lalo na kung naniniwala kang labag sa batas ang paghahanap o kung sa tingin mo ay nilabag ang iyong mga karapatan.")</f>
        <v>Ang Karapatang Maging Ligtas mula sa Mga Hindi Makatwirang Paghahanap at Pag-agaw: Ang pangunahing karapatang ito ay nakapaloob sa Artikulo III, Seksyon 2 ng Konstitusyon ng Pilipinas. Nangangahulugan ito na hindi mahahanap ng pulisya ang iyong bahay o sasakyan nang walang wastong dahilan o katwiran. ang ebidensya ay naroroon sa lokasyon) ay kinakailangan para sa isang legal na paghahanap. Umiiral ang mga pagbubukod para sa mga partikular na sitwasyon tulad ng mainit na pagtugis, kailangang-kailangan na mga pangyayari (panganib o pagkasira ng ebidensya na nalalapit), o pagpayag. Pahintulot: May karapatan kang tumanggi o magbigay ng pahintulot para sa paghahanap sa iyong ari-arian. Ang pagsang-ayon ay dapat na boluntaryo at hindi pinilit sa pamamagitan ng pananakot o pananakot. Maaari mong hilingin na makita ang warrant bago magbigay ng pahintulot at magkaroon ng abogado sa panahon ng paghahanap.
Sa panahon ng Paghahanap: Karapatang maabisuhan: May karapatan kang malaman ang dahilan ng paghahanap at ipakita ang search warrant (kung naaangkop). Karapatang mag-obserba: May karapatan kang obserbahan ang paghahanap at tiyaking isinasagawa ito sa loob ng mga limitasyon ng warrant o ng iyong pahintulot. Karapatan sa legal na tagapayo: May karapatan kang kumunsulta sa isang abogado bago o sa panahon ng paghahanap. Karapatang tumanggi sa mga tanong: May karapatan kang manatiling tahimik at tumanggi na sagutin ang anumang mga tanong tungkol sa paghahanap o anumang potensyal na krimen. Kung naniniwala kang iligal na isinasagawa ang paghahanap, maaari kang magalang ngunit matatag na tumutol at humiling na makipag-usap sa isang abogado. Huwag pigilan o hadlangan ang paghahanap nang pisikal, dahil maaari itong humantong sa higit pang mga legal na kahihinatnan. Idokumento ang sitwasyon, kung maaari, sa pamamagitan ng pagkuha ng mga tala o pagtatala ng pakikipag-ugnayan sa mga opisyal (sa loob ng mga legal na hangganan). Pagkatapos ng paghahanap, kumunsulta sa isang abogado upang talakayin ang iyong mga karapatan at opsyon, lalo na kung naniniwala kang labag sa batas ang paghahanap o kung sa tingin mo ay nilabag ang iyong mga karapatan.</v>
      </c>
      <c r="F311" s="2">
        <f t="shared" si="1"/>
        <v>0</v>
      </c>
      <c r="G311" s="2"/>
      <c r="H311" s="2"/>
      <c r="I311" s="2"/>
      <c r="J311" s="2"/>
      <c r="K311" s="2"/>
      <c r="L311" s="2"/>
      <c r="M311" s="2"/>
      <c r="N311" s="2"/>
      <c r="O311" s="2"/>
      <c r="P311" s="2"/>
      <c r="Q311" s="2"/>
      <c r="R311" s="2"/>
      <c r="S311" s="2"/>
      <c r="T311" s="2"/>
      <c r="U311" s="2"/>
      <c r="V311" s="2"/>
      <c r="W311" s="2"/>
      <c r="X311" s="2"/>
      <c r="Y311" s="2"/>
      <c r="Z311" s="2"/>
      <c r="AA311" s="2"/>
    </row>
    <row r="312">
      <c r="A312" s="1" t="s">
        <v>5</v>
      </c>
      <c r="B312" s="1" t="s">
        <v>1220</v>
      </c>
      <c r="C312" s="1" t="s">
        <v>1221</v>
      </c>
      <c r="D312" s="2" t="str">
        <f>IFERROR(__xludf.DUMMYFUNCTION("GOOGLETRANSLATE(B312, ""en"", ""TL"")"),"Paano ako makakakuha ng restraining order sa mga kaso ng harassment o stalking?")</f>
        <v>Paano ako makakakuha ng restraining order sa mga kaso ng harassment o stalking?</v>
      </c>
      <c r="E312" s="2" t="str">
        <f>IFERROR(__xludf.DUMMYFUNCTION("GOOGLETRANSLATE(C312, ""en"", ""TL"")"),"Ang pagkuha ng restraining order sa mga kaso ng harassment o stalking sa Pilipinas ay posible sa ilalim ng Republic Act No. 9262, na kilala rin bilang ""Anti-Violence Against Women and Children Act of 2004."" Narito ang kailangan mong malaman:
Sino ang m"&amp;"aaaring mag-file para sa isang restraining order? Ang nasaktan na partido (iyong sarili), mga magulang o tagapag-alaga ng nasaktang partido, mga ascendants, descendants, o collateral na kamag-anak sa loob ng ikaapat na antas ng sibil ng consanguinity o af"&amp;"finity (malapit na miyembro ng pamilya), mga opisyal o social worker ng Department of Social Welfare and Development ( DSWD) o mga social worker ng mga local government units (LGUs), mga pulis, mas mabuti ang mga namamahala sa mga mesa ng kababaihan at mg"&amp;"a bata, punong Barangay o Barangay Kagawad (mga opisyal ng barangay), abogado, tagapayo, therapist, o healthcare provider ng petitioner
Kailan maaaring maglabas ng restraining order? Mga gawa ng karahasan: Anumang pisikal na pang-aabuso, kabilang ang pag"&amp;"suntok, pagsipa, sampal, o anumang pinsala sa katawan. Mga banta ng karahasan: Pagbabanta na magdulot ng pisikal na pinsala sa petitioner o sa kanilang pamilya. Sikolohikal o emosyonal na pang-aabuso: Mga kilos na nagdudulot ng pagdurusa sa isip o emosyon"&amp;"al, tulad ng pag-i-stalk, pananakot na pag-uugali, pagkontrol sa mga aksyon, o pasalitang pang-aabuso.
Sekswal na pang-aabuso: Anumang anyo ng hindi gustong pakikipagtalik o pagsulong. Pang-aabuso sa ekonomiya: Pag-alis sa nagpetisyon ng mga mapagkukunan"&amp;"g pinansyal o kontrol sa kanilang pananalapi.
Mga uri ng restraining order: Temporary Protection Order (TPO): Inilabas kaagad nang walang sumasagot, na nagbibigay ng agarang proteksyon habang naka-iskedyul ang buong pagdinig. Permanent Protection Order ("&amp;"PPO): Inilabas pagkatapos ng buong pagdinig, nag-aalok ng pangmatagalang proteksyon at nagpapataw ng mga partikular na paghihigpit sa pag-uugali ng respondent.
Mga hakbang upang makakuha ng restraining order: Mangalap ng ebidensya: Maaaring kabilang dito"&amp;" ang mga ulat ng pulisya, mga medikal na rekord, mga pahayag ng saksi, mga email, mga text message, mga post sa social media, o anumang iba pang dokumentadong ebidensya ng panliligalig o stalking. Kumonsulta sa isang abogado: Bagama't hindi sapilitan, ang"&amp;" legal na payo mula sa isang abogado na dalubhasa sa batas ng pamilya o karahasan sa tahanan ay maaaring maging napakahalaga sa pag-navigate sa legal na proseso at pagtiyak na ang iyong mga karapatan ay protektado. Maghain ng petisyon: Maaari mong ihain a"&amp;"ng petisyon sa Family Court o Regional Trial Court sa loob ng iyong hurisdiksyon. Ang petisyon ay dapat magdetalye ng mga kilos ng panliligalig o stalking at ang hiniling na mga hakbang sa proteksyon. Pagdinig: Ang parehong partido ay bibigyan ng pagkakat"&amp;"aon na marinig, magpakita ng ebidensya, at makipagtalo sa kanilang kaso.
Pag-isyu ng order: Kung makakita ang korte ng sapat na ebidensya para suportahan ang claim, maglalabas ng restraining order (TPO o PPO), na nagdedetalye ng mga paghihigpit ng respon"&amp;"dent at ang mga kahihinatnan ng paglabag sa utos.")</f>
        <v>Ang pagkuha ng restraining order sa mga kaso ng harassment o stalking sa Pilipinas ay posible sa ilalim ng Republic Act No. 9262, na kilala rin bilang "Anti-Violence Against Women and Children Act of 2004." Narito ang kailangan mong malaman:
Sino ang maaaring mag-file para sa isang restraining order? Ang nasaktan na partido (iyong sarili), mga magulang o tagapag-alaga ng nasaktang partido, mga ascendants, descendants, o collateral na kamag-anak sa loob ng ikaapat na antas ng sibil ng consanguinity o affinity (malapit na miyembro ng pamilya), mga opisyal o social worker ng Department of Social Welfare and Development ( DSWD) o mga social worker ng mga local government units (LGUs), mga pulis, mas mabuti ang mga namamahala sa mga mesa ng kababaihan at mga bata, punong Barangay o Barangay Kagawad (mga opisyal ng barangay), abogado, tagapayo, therapist, o healthcare provider ng petitioner
Kailan maaaring maglabas ng restraining order? Mga gawa ng karahasan: Anumang pisikal na pang-aabuso, kabilang ang pagsuntok, pagsipa, sampal, o anumang pinsala sa katawan. Mga banta ng karahasan: Pagbabanta na magdulot ng pisikal na pinsala sa petitioner o sa kanilang pamilya. Sikolohikal o emosyonal na pang-aabuso: Mga kilos na nagdudulot ng pagdurusa sa isip o emosyonal, tulad ng pag-i-stalk, pananakot na pag-uugali, pagkontrol sa mga aksyon, o pasalitang pang-aabuso.
Sekswal na pang-aabuso: Anumang anyo ng hindi gustong pakikipagtalik o pagsulong. Pang-aabuso sa ekonomiya: Pag-alis sa nagpetisyon ng mga mapagkukunang pinansyal o kontrol sa kanilang pananalapi.
Mga uri ng restraining order: Temporary Protection Order (TPO): Inilabas kaagad nang walang sumasagot, na nagbibigay ng agarang proteksyon habang naka-iskedyul ang buong pagdinig. Permanent Protection Order (PPO): Inilabas pagkatapos ng buong pagdinig, nag-aalok ng pangmatagalang proteksyon at nagpapataw ng mga partikular na paghihigpit sa pag-uugali ng respondent.
Mga hakbang upang makakuha ng restraining order: Mangalap ng ebidensya: Maaaring kabilang dito ang mga ulat ng pulisya, mga medikal na rekord, mga pahayag ng saksi, mga email, mga text message, mga post sa social media, o anumang iba pang dokumentadong ebidensya ng panliligalig o stalking. Kumonsulta sa isang abogado: Bagama't hindi sapilitan, ang legal na payo mula sa isang abogado na dalubhasa sa batas ng pamilya o karahasan sa tahanan ay maaaring maging napakahalaga sa pag-navigate sa legal na proseso at pagtiyak na ang iyong mga karapatan ay protektado. Maghain ng petisyon: Maaari mong ihain ang petisyon sa Family Court o Regional Trial Court sa loob ng iyong hurisdiksyon. Ang petisyon ay dapat magdetalye ng mga kilos ng panliligalig o stalking at ang hiniling na mga hakbang sa proteksyon. Pagdinig: Ang parehong partido ay bibigyan ng pagkakataon na marinig, magpakita ng ebidensya, at makipagtalo sa kanilang kaso.
Pag-isyu ng order: Kung makakita ang korte ng sapat na ebidensya para suportahan ang claim, maglalabas ng restraining order (TPO o PPO), na nagdedetalye ng mga paghihigpit ng respondent at ang mga kahihinatnan ng paglabag sa utos.</v>
      </c>
      <c r="F312" s="2">
        <f t="shared" si="1"/>
        <v>0</v>
      </c>
      <c r="G312" s="2"/>
      <c r="H312" s="2"/>
      <c r="I312" s="2"/>
      <c r="J312" s="2"/>
      <c r="K312" s="2"/>
      <c r="L312" s="2"/>
      <c r="M312" s="2"/>
      <c r="N312" s="2"/>
      <c r="O312" s="2"/>
      <c r="P312" s="2"/>
      <c r="Q312" s="2"/>
      <c r="R312" s="2"/>
      <c r="S312" s="2"/>
      <c r="T312" s="2"/>
      <c r="U312" s="2"/>
      <c r="V312" s="2"/>
      <c r="W312" s="2"/>
      <c r="X312" s="2"/>
      <c r="Y312" s="2"/>
      <c r="Z312" s="2"/>
      <c r="AA312" s="2"/>
    </row>
    <row r="313">
      <c r="A313" s="1" t="s">
        <v>5</v>
      </c>
      <c r="B313" s="1" t="s">
        <v>1222</v>
      </c>
      <c r="C313" s="1" t="s">
        <v>1223</v>
      </c>
      <c r="D313" s="2" t="str">
        <f>IFERROR(__xludf.DUMMYFUNCTION("GOOGLETRANSLATE(B313, ""en"", ""TL"")"),"Sa sitwasyon ng karahasan sa tahanan, anong mga legal na proteksyon ang magagamit para sa mga biktima?")</f>
        <v>Sa sitwasyon ng karahasan sa tahanan, anong mga legal na proteksyon ang magagamit para sa mga biktima?</v>
      </c>
      <c r="E313" s="2" t="str">
        <f>IFERROR(__xludf.DUMMYFUNCTION("GOOGLETRANSLATE(C313, ""en"", ""TL"")"),"Sa ilalim ng Republic Act No. 9262, ang ""Anti-Violence Against Women and Their Children Act of 2004,"" ang mga biktima ay may access sa:
Mga order ng proteksyon: Temporary Protection Order (TPO): Mabilis na inilabas nang walang sumasagot, na nag-aalok n"&amp;"g agarang proteksyon habang naka-iskedyul ang isang buong pagdinig. Permanent Protection Order (PPO): Inilabas pagkatapos ng buong pagdinig, pagbibigay ng pangmatagalang proteksyon at pagpapataw ng mga partikular na paghihigpit sa pag-uugali ng nang-aabus"&amp;"o, tulad ng pagbabawal sa kanila na makipag-ugnayan, lumapit, o saktan ang biktima o ang kanilang mga anak. Mga parusang kriminal: Tinutukoy ng Batas ang iba't ibang mga gawa ng karahasan at pang-aabuso laban sa kababaihan at mga bata bilang mga krimen, n"&amp;"a may mga parusa mula sa pagkakulong hanggang sa mga multa, depende sa kalubhaan ng pagkakasala. Access sa mga shelter at safe house: Ang mga pasilidad na ito ay nagbibigay ng secure at supportive na kapaligiran para sa mga biktima at kanilang mga anak, n"&amp;"ag-aalok ng pansamantalang pabahay, pagpapayo, at iba pang mahahalagang serbisyo. Medikal at legal na tulong: Ang mga ahensya ng gobyerno tulad ng Department of Social Welfare and Development (DSWD) at Public Attorney's Office (PAO) ay nag-aalok ng libren"&amp;"g legal na payo at representasyon sa mga biktima. Bukod pa rito, ang mga ospital at sentrong medikal ay nagbibigay ng pangangalagang medikal at suporta. Mga serbisyong psycho-social: Ang pagpapayo at therapy ay mahalaga para sa mga biktima upang makayanan"&amp;" ang emosyonal at sikolohikal na trauma ng pang-aabuso. Ang DSWD at mga NGO ay nag-aalok ng mga serbisyong ito upang suportahan ang pagpapagaling at paggaling.
Karagdagang mga hakbang sa proteksyon: Mga Kautusan sa Proteksyon ng Barangay: Sa ilalim ng Ba"&amp;"rangay Protection Orders Act, ang mga opisyal ng barangay ay maaaring mag-isyu ng mga pansamantalang utos ng proteksyon na may bisa sa loob ng 15 araw, na nag-aalok ng agarang tulong sa mga hindi gaanong kagyat na sitwasyon. Anti-Trafficking in Persons Ac"&amp;"t: Pinoprotektahan ng Batas na ito ang mga indibidwal, partikular na ang mga kababaihan at mga bata, mula sa trafficking at pagsasamantala, na maaaring magsama ng domestic servitude at forced marriage.
Tandaan: Ang mga biktima ng karahasan sa tahanan ay "&amp;"hindi dapat mag-atubiling humingi ng tulong. Ang mga lokal na awtoridad, ang DSWD, PAO, o mga hotline tulad ng National Women's Helpline (1800-1000) ay maaaring magbigay ng agarang suporta at gabay. Ang paghingi ng legal na payo mula sa isang abogado na d"&amp;"alubhasa sa batas ng pamilya o karahasan sa tahanan ay maaaring maging napakahalaga sa pag-navigate sa legal na proseso at pagtiyak na ang iyong mga karapatan ay protektado.
Mahalaga ang pagbibigay-priyoridad sa iyong kaligtasan at kapakanan. Huwag mag-a"&amp;"tubiling umalis sa isang mapang-abusong sitwasyon at humingi ng kanlungan sa mga ligtas na bahay o sa mga pinagkakatiwalaang indibidwal.")</f>
        <v>Sa ilalim ng Republic Act No. 9262, ang "Anti-Violence Against Women and Their Children Act of 2004," ang mga biktima ay may access sa:
Mga order ng proteksyon: Temporary Protection Order (TPO): Mabilis na inilabas nang walang sumasagot, na nag-aalok ng agarang proteksyon habang naka-iskedyul ang isang buong pagdinig. Permanent Protection Order (PPO): Inilabas pagkatapos ng buong pagdinig, pagbibigay ng pangmatagalang proteksyon at pagpapataw ng mga partikular na paghihigpit sa pag-uugali ng nang-aabuso, tulad ng pagbabawal sa kanila na makipag-ugnayan, lumapit, o saktan ang biktima o ang kanilang mga anak. Mga parusang kriminal: Tinutukoy ng Batas ang iba't ibang mga gawa ng karahasan at pang-aabuso laban sa kababaihan at mga bata bilang mga krimen, na may mga parusa mula sa pagkakulong hanggang sa mga multa, depende sa kalubhaan ng pagkakasala. Access sa mga shelter at safe house: Ang mga pasilidad na ito ay nagbibigay ng secure at supportive na kapaligiran para sa mga biktima at kanilang mga anak, nag-aalok ng pansamantalang pabahay, pagpapayo, at iba pang mahahalagang serbisyo. Medikal at legal na tulong: Ang mga ahensya ng gobyerno tulad ng Department of Social Welfare and Development (DSWD) at Public Attorney's Office (PAO) ay nag-aalok ng libreng legal na payo at representasyon sa mga biktima. Bukod pa rito, ang mga ospital at sentrong medikal ay nagbibigay ng pangangalagang medikal at suporta. Mga serbisyong psycho-social: Ang pagpapayo at therapy ay mahalaga para sa mga biktima upang makayanan ang emosyonal at sikolohikal na trauma ng pang-aabuso. Ang DSWD at mga NGO ay nag-aalok ng mga serbisyong ito upang suportahan ang pagpapagaling at paggaling.
Karagdagang mga hakbang sa proteksyon: Mga Kautusan sa Proteksyon ng Barangay: Sa ilalim ng Barangay Protection Orders Act, ang mga opisyal ng barangay ay maaaring mag-isyu ng mga pansamantalang utos ng proteksyon na may bisa sa loob ng 15 araw, na nag-aalok ng agarang tulong sa mga hindi gaanong kagyat na sitwasyon. Anti-Trafficking in Persons Act: Pinoprotektahan ng Batas na ito ang mga indibidwal, partikular na ang mga kababaihan at mga bata, mula sa trafficking at pagsasamantala, na maaaring magsama ng domestic servitude at forced marriage.
Tandaan: Ang mga biktima ng karahasan sa tahanan ay hindi dapat mag-atubiling humingi ng tulong. Ang mga lokal na awtoridad, ang DSWD, PAO, o mga hotline tulad ng National Women's Helpline (1800-1000) ay maaaring magbigay ng agarang suporta at gabay. Ang paghingi ng legal na payo mula sa isang abogado na dalubhasa sa batas ng pamilya o karahasan sa tahanan ay maaaring maging napakahalaga sa pag-navigate sa legal na proseso at pagtiyak na ang iyong mga karapatan ay protektado.
Mahalaga ang pagbibigay-priyoridad sa iyong kaligtasan at kapakanan. Huwag mag-atubiling umalis sa isang mapang-abusong sitwasyon at humingi ng kanlungan sa mga ligtas na bahay o sa mga pinagkakatiwalaang indibidwal.</v>
      </c>
      <c r="F313" s="2">
        <f t="shared" si="1"/>
        <v>0</v>
      </c>
      <c r="G313" s="2"/>
      <c r="H313" s="2"/>
      <c r="I313" s="2"/>
      <c r="J313" s="2"/>
      <c r="K313" s="2"/>
      <c r="L313" s="2"/>
      <c r="M313" s="2"/>
      <c r="N313" s="2"/>
      <c r="O313" s="2"/>
      <c r="P313" s="2"/>
      <c r="Q313" s="2"/>
      <c r="R313" s="2"/>
      <c r="S313" s="2"/>
      <c r="T313" s="2"/>
      <c r="U313" s="2"/>
      <c r="V313" s="2"/>
      <c r="W313" s="2"/>
      <c r="X313" s="2"/>
      <c r="Y313" s="2"/>
      <c r="Z313" s="2"/>
      <c r="AA313" s="2"/>
    </row>
    <row r="314">
      <c r="A314" s="1" t="s">
        <v>1224</v>
      </c>
      <c r="B314" s="1" t="s">
        <v>1225</v>
      </c>
      <c r="C314" s="1" t="s">
        <v>1226</v>
      </c>
      <c r="D314" s="1" t="s">
        <v>1227</v>
      </c>
      <c r="E314" s="2" t="str">
        <f>IFERROR(__xludf.DUMMYFUNCTION("GOOGLETRANSLATE(C314, ""en"", ""TL"")"),"Kung walang testamento, ang mga tagapagmana ay dapat pumirma sa isang Extra-Judicial Settlement of Estate (EJS). Inililista ng notarized na legal na dokumentong ito ang mga ari-arian na bumubuo sa ari-arian ng yumao at ang napagkasunduang paraan ng paghah"&amp;"ati sa mga legal na tagapagmana.")</f>
        <v>Kung walang testamento, ang mga tagapagmana ay dapat pumirma sa isang Extra-Judicial Settlement of Estate (EJS). Inililista ng notarized na legal na dokumentong ito ang mga ari-arian na bumubuo sa ari-arian ng yumao at ang napagkasunduang paraan ng paghahati sa mga legal na tagapagmana.</v>
      </c>
      <c r="F314" s="2">
        <f t="shared" si="1"/>
        <v>0</v>
      </c>
      <c r="G314" s="2"/>
      <c r="H314" s="2"/>
      <c r="I314" s="2"/>
      <c r="J314" s="2"/>
      <c r="K314" s="2"/>
      <c r="L314" s="2"/>
      <c r="M314" s="2"/>
      <c r="N314" s="2"/>
      <c r="O314" s="2"/>
      <c r="P314" s="2"/>
      <c r="Q314" s="2"/>
      <c r="R314" s="2"/>
      <c r="S314" s="2"/>
      <c r="T314" s="2"/>
      <c r="U314" s="2"/>
      <c r="V314" s="2"/>
      <c r="W314" s="2"/>
      <c r="X314" s="2"/>
      <c r="Y314" s="2"/>
      <c r="Z314" s="2"/>
      <c r="AA314" s="2"/>
    </row>
    <row r="315">
      <c r="A315" s="1" t="s">
        <v>1224</v>
      </c>
      <c r="B315" s="1" t="s">
        <v>1228</v>
      </c>
      <c r="C315" s="1" t="s">
        <v>1229</v>
      </c>
      <c r="D315" s="1" t="s">
        <v>1230</v>
      </c>
      <c r="E315" s="2" t="str">
        <f>IFERROR(__xludf.DUMMYFUNCTION("GOOGLETRANSLATE(C315, ""en"", ""TL"")"),"Ang probate ay ang prosesong pinangangasiwaan ng korte ng pagpapatunay ng isang huling habilin at testamento kung ang namatay ay gumawa nito. Kabilang dito ang paghahanap at pagtukoy sa halaga ng mga ari-arian ng tao, pagbabayad ng kanilang mga huling bay"&amp;"arin at buwis, at pamamahagi ng natitira sa ari-arian sa kanilang mga nararapat na benepisyaryo.")</f>
        <v>Ang probate ay ang prosesong pinangangasiwaan ng korte ng pagpapatunay ng isang huling habilin at testamento kung ang namatay ay gumawa nito. Kabilang dito ang paghahanap at pagtukoy sa halaga ng mga ari-arian ng tao, pagbabayad ng kanilang mga huling bayarin at buwis, at pamamahagi ng natitira sa ari-arian sa kanilang mga nararapat na benepisyaryo.</v>
      </c>
      <c r="F315" s="2">
        <f t="shared" si="1"/>
        <v>0</v>
      </c>
      <c r="G315" s="2"/>
      <c r="H315" s="2"/>
      <c r="I315" s="2"/>
      <c r="J315" s="2"/>
      <c r="K315" s="2"/>
      <c r="L315" s="2"/>
      <c r="M315" s="2"/>
      <c r="N315" s="2"/>
      <c r="O315" s="2"/>
      <c r="P315" s="2"/>
      <c r="Q315" s="2"/>
      <c r="R315" s="2"/>
      <c r="S315" s="2"/>
      <c r="T315" s="2"/>
      <c r="U315" s="2"/>
      <c r="V315" s="2"/>
      <c r="W315" s="2"/>
      <c r="X315" s="2"/>
      <c r="Y315" s="2"/>
      <c r="Z315" s="2"/>
      <c r="AA315" s="2"/>
    </row>
    <row r="316">
      <c r="A316" s="1" t="s">
        <v>1224</v>
      </c>
      <c r="B316" s="1" t="s">
        <v>1231</v>
      </c>
      <c r="C316" s="1" t="s">
        <v>1232</v>
      </c>
      <c r="D316" s="1" t="s">
        <v>1233</v>
      </c>
      <c r="E316" s="2" t="str">
        <f>IFERROR(__xludf.DUMMYFUNCTION("GOOGLETRANSLATE(C316, ""en"", ""TL"")"),"Sa kawalan ng testamento, hinahati ng estado ang tunay na ari-arian at personal na ari-arian ng isang tao. Sa kawalan ng testamento, ang batas ng intestate succession ay nangunguna. Kahit na alam mo kung ano ang kagustuhan ng yumao sa kanilang kamatayan, "&amp;"kung walang valid na testamento ay walang legal na eksepsiyon sa sitwasyon.")</f>
        <v>Sa kawalan ng testamento, hinahati ng estado ang tunay na ari-arian at personal na ari-arian ng isang tao. Sa kawalan ng testamento, ang batas ng intestate succession ay nangunguna. Kahit na alam mo kung ano ang kagustuhan ng yumao sa kanilang kamatayan, kung walang valid na testamento ay walang legal na eksepsiyon sa sitwasyon.</v>
      </c>
      <c r="F316" s="2">
        <f t="shared" si="1"/>
        <v>0</v>
      </c>
      <c r="G316" s="2"/>
      <c r="H316" s="2"/>
      <c r="I316" s="2"/>
      <c r="J316" s="2"/>
      <c r="K316" s="2"/>
      <c r="L316" s="2"/>
      <c r="M316" s="2"/>
      <c r="N316" s="2"/>
      <c r="O316" s="2"/>
      <c r="P316" s="2"/>
      <c r="Q316" s="2"/>
      <c r="R316" s="2"/>
      <c r="S316" s="2"/>
      <c r="T316" s="2"/>
      <c r="U316" s="2"/>
      <c r="V316" s="2"/>
      <c r="W316" s="2"/>
      <c r="X316" s="2"/>
      <c r="Y316" s="2"/>
      <c r="Z316" s="2"/>
      <c r="AA316" s="2"/>
    </row>
    <row r="317">
      <c r="A317" s="1" t="s">
        <v>1224</v>
      </c>
      <c r="B317" s="1" t="s">
        <v>1234</v>
      </c>
      <c r="C317" s="1" t="s">
        <v>1235</v>
      </c>
      <c r="D317" s="1" t="s">
        <v>1236</v>
      </c>
      <c r="E317" s="2" t="str">
        <f>IFERROR(__xludf.DUMMYFUNCTION("GOOGLETRANSLATE(C317, ""en"", ""TL"")"),"Kapag ang mga tagapagmana ay tumanggap ng ari-arian sa pamamagitan ng mana, maaari silang harapin ang mga implikasyon sa buwis gaya ng buwis sa mga capital gains sa mga pinapahalagahan na asset at buwis sa kita sa anumang nabuong kita. Para mabawasan ang "&amp;"mga buwis na ito, maaaring isaalang-alang ng mga tagapagmana ang mga diskarte tulad ng paghawak sa ari-arian upang maging kwalipikado para sa mga pangmatagalang rate ng capital gains, paggalugad ng mga opsyon sa pagbibigay ng regalo o unti-unting paglilip"&amp;"at ng pagmamay-ari, at paghingi ng propesyonal na payo mula sa mga eksperto sa buwis o mga tagaplano ng pananalapi para sa mga iniangkop na diskarte upang ma-optimize ang mga benepisyo sa mana habang pagliit ng mga pasanin sa buwis.")</f>
        <v>Kapag ang mga tagapagmana ay tumanggap ng ari-arian sa pamamagitan ng mana, maaari silang harapin ang mga implikasyon sa buwis gaya ng buwis sa mga capital gains sa mga pinapahalagahan na asset at buwis sa kita sa anumang nabuong kita. Para mabawasan ang mga buwis na ito, maaaring isaalang-alang ng mga tagapagmana ang mga diskarte tulad ng paghawak sa ari-arian upang maging kwalipikado para sa mga pangmatagalang rate ng capital gains, paggalugad ng mga opsyon sa pagbibigay ng regalo o unti-unting paglilipat ng pagmamay-ari, at paghingi ng propesyonal na payo mula sa mga eksperto sa buwis o mga tagaplano ng pananalapi para sa mga iniangkop na diskarte upang ma-optimize ang mga benepisyo sa mana habang pagliit ng mga pasanin sa buwis.</v>
      </c>
      <c r="F317" s="2">
        <f t="shared" si="1"/>
        <v>0</v>
      </c>
      <c r="G317" s="2"/>
      <c r="H317" s="2"/>
      <c r="I317" s="2"/>
      <c r="J317" s="2"/>
      <c r="K317" s="2"/>
      <c r="L317" s="2"/>
      <c r="M317" s="2"/>
      <c r="N317" s="2"/>
      <c r="O317" s="2"/>
      <c r="P317" s="2"/>
      <c r="Q317" s="2"/>
      <c r="R317" s="2"/>
      <c r="S317" s="2"/>
      <c r="T317" s="2"/>
      <c r="U317" s="2"/>
      <c r="V317" s="2"/>
      <c r="W317" s="2"/>
      <c r="X317" s="2"/>
      <c r="Y317" s="2"/>
      <c r="Z317" s="2"/>
      <c r="AA317" s="2"/>
    </row>
    <row r="318">
      <c r="A318" s="1" t="s">
        <v>1224</v>
      </c>
      <c r="B318" s="1" t="s">
        <v>1237</v>
      </c>
      <c r="C318" s="1" t="s">
        <v>1238</v>
      </c>
      <c r="D318" s="1" t="s">
        <v>1239</v>
      </c>
      <c r="E318" s="2" t="str">
        <f>IFERROR(__xludf.DUMMYFUNCTION("GOOGLETRANSLATE(C318, ""en"", ""TL"")"),"Oo, sa maraming hurisdiksyon, maaaring alisin ng isang tao ang isang miyembro ng pamilya, bagama't ang mga partikular na batas at pamamaraan ay nag-iiba depende sa hurisdiksyon. Karaniwan, upang maalis sa pagmamana ang isang miyembro ng pamilya, dapat na "&amp;"malinaw na ipahayag ng indibidwal ang kanilang intensyon na gawin ito sa isang legal na wastong dokumento, tulad ng isang testamento o isang tiwala. Ang dokumentong ito ay dapat na tahasang nagsasaad na ang miyembro ng pamilya ay inaalisan ng mana at ibig"&amp;"ay ang mga dahilan para sa desisyong ito, kung ninanais. Napakahalagang tiyaking sumusunod ang dokumento sa lahat ng legal na kinakailangan tungkol sa pagpapatupad, mga testigo, at anumang partikular na pormalidad na ipinag-uutos ng mga lokal na batas upa"&amp;"ng maiwasan ang mga hamon sa bisa nito. Ang paghingi ng patnubay mula sa isang kwalipikadong abogado na may karanasan sa pagpaplano ng ari-arian at batas ng probate ay lubos na inirerekomenda upang mabisang i-navigate ang proseso at matiyak na ang disinhe"&amp;"ritance ay legal na maipapatupad.")</f>
        <v>Oo, sa maraming hurisdiksyon, maaaring alisin ng isang tao ang isang miyembro ng pamilya, bagama't ang mga partikular na batas at pamamaraan ay nag-iiba depende sa hurisdiksyon. Karaniwan, upang maalis sa pagmamana ang isang miyembro ng pamilya, dapat na malinaw na ipahayag ng indibidwal ang kanilang intensyon na gawin ito sa isang legal na wastong dokumento, tulad ng isang testamento o isang tiwala. Ang dokumentong ito ay dapat na tahasang nagsasaad na ang miyembro ng pamilya ay inaalisan ng mana at ibigay ang mga dahilan para sa desisyong ito, kung ninanais. Napakahalagang tiyaking sumusunod ang dokumento sa lahat ng legal na kinakailangan tungkol sa pagpapatupad, mga testigo, at anumang partikular na pormalidad na ipinag-uutos ng mga lokal na batas upang maiwasan ang mga hamon sa bisa nito. Ang paghingi ng patnubay mula sa isang kwalipikadong abogado na may karanasan sa pagpaplano ng ari-arian at batas ng probate ay lubos na inirerekomenda upang mabisang i-navigate ang proseso at matiyak na ang disinheritance ay legal na maipapatupad.</v>
      </c>
      <c r="F318" s="2">
        <f t="shared" si="1"/>
        <v>0</v>
      </c>
      <c r="G318" s="2"/>
      <c r="H318" s="2"/>
      <c r="I318" s="2"/>
      <c r="J318" s="2"/>
      <c r="K318" s="2"/>
      <c r="L318" s="2"/>
      <c r="M318" s="2"/>
      <c r="N318" s="2"/>
      <c r="O318" s="2"/>
      <c r="P318" s="2"/>
      <c r="Q318" s="2"/>
      <c r="R318" s="2"/>
      <c r="S318" s="2"/>
      <c r="T318" s="2"/>
      <c r="U318" s="2"/>
      <c r="V318" s="2"/>
      <c r="W318" s="2"/>
      <c r="X318" s="2"/>
      <c r="Y318" s="2"/>
      <c r="Z318" s="2"/>
      <c r="AA318" s="2"/>
    </row>
    <row r="319">
      <c r="A319" s="1" t="s">
        <v>1224</v>
      </c>
      <c r="B319" s="1" t="s">
        <v>1240</v>
      </c>
      <c r="C319" s="1" t="s">
        <v>1241</v>
      </c>
      <c r="D319" s="1" t="s">
        <v>1242</v>
      </c>
      <c r="E319" s="2" t="str">
        <f>IFERROR(__xludf.DUMMYFUNCTION("GOOGLETRANSLATE(C319, ""en"", ""TL"")"),"Ang magkasanib na pangungupahan at pangungupahan sa karaniwan ay may natatanging epekto sa mana ng ari-arian at mga legal na karapatan ng mga kapwa may-ari. Sa magkasanib na pangungupahan, ang karapatan ng survivorship ay nangangahulugan na kapag ang isan"&amp;"g may-ari ay pumanaw, ang kanilang bahagi ay awtomatikong ililipat sa nabubuhay na pinagsamang (mga) nangungupahan, na lumalampas sa probate at mga batas sa mana. Sa kabaligtaran, sa pare-parehong pangungupahan, ang bawat kapwa may-ari ay may hawak na hiw"&amp;"alay na bahagi na maaaring maipasa sa kanilang mga tagapagmana sa pamamagitan ng mga batas sa testamento o intestacy. Ang mga kapwa may-ari sa parehong mga pagsasaayos ay may mga karapatan tulad ng pagmamay-ari, paggamit, at pagbabahagi ng mga kita, nguni"&amp;"t maaaring mag-iba ang mga ito batay sa mga partikular na kasunduan o lokal na regulasyon. Napakahalaga para sa mga kapwa may-ari na maunawaan ang mga implikasyon na ito at humingi ng legal na payo upang matiyak na ang kanilang mga intensyon tungkol sa ma"&amp;"na at mga karapatan sa ari-arian ay maayos na naidokumento at pinoprotektahan.")</f>
        <v>Ang magkasanib na pangungupahan at pangungupahan sa karaniwan ay may natatanging epekto sa mana ng ari-arian at mga legal na karapatan ng mga kapwa may-ari. Sa magkasanib na pangungupahan, ang karapatan ng survivorship ay nangangahulugan na kapag ang isang may-ari ay pumanaw, ang kanilang bahagi ay awtomatikong ililipat sa nabubuhay na pinagsamang (mga) nangungupahan, na lumalampas sa probate at mga batas sa mana. Sa kabaligtaran, sa pare-parehong pangungupahan, ang bawat kapwa may-ari ay may hawak na hiwalay na bahagi na maaaring maipasa sa kanilang mga tagapagmana sa pamamagitan ng mga batas sa testamento o intestacy. Ang mga kapwa may-ari sa parehong mga pagsasaayos ay may mga karapatan tulad ng pagmamay-ari, paggamit, at pagbabahagi ng mga kita, ngunit maaaring mag-iba ang mga ito batay sa mga partikular na kasunduan o lokal na regulasyon. Napakahalaga para sa mga kapwa may-ari na maunawaan ang mga implikasyon na ito at humingi ng legal na payo upang matiyak na ang kanilang mga intensyon tungkol sa mana at mga karapatan sa ari-arian ay maayos na naidokumento at pinoprotektahan.</v>
      </c>
      <c r="F319" s="2">
        <f t="shared" si="1"/>
        <v>0</v>
      </c>
      <c r="G319" s="2"/>
      <c r="H319" s="2"/>
      <c r="I319" s="2"/>
      <c r="J319" s="2"/>
      <c r="K319" s="2"/>
      <c r="L319" s="2"/>
      <c r="M319" s="2"/>
      <c r="N319" s="2"/>
      <c r="O319" s="2"/>
      <c r="P319" s="2"/>
      <c r="Q319" s="2"/>
      <c r="R319" s="2"/>
      <c r="S319" s="2"/>
      <c r="T319" s="2"/>
      <c r="U319" s="2"/>
      <c r="V319" s="2"/>
      <c r="W319" s="2"/>
      <c r="X319" s="2"/>
      <c r="Y319" s="2"/>
      <c r="Z319" s="2"/>
      <c r="AA319" s="2"/>
    </row>
    <row r="320">
      <c r="A320" s="1" t="s">
        <v>1224</v>
      </c>
      <c r="B320" s="1" t="s">
        <v>1243</v>
      </c>
      <c r="C320" s="1" t="s">
        <v>1244</v>
      </c>
      <c r="D320" s="1" t="s">
        <v>1245</v>
      </c>
      <c r="E320" s="2" t="str">
        <f>IFERROR(__xludf.DUMMYFUNCTION("GOOGLETRANSLATE(C320, ""en"", ""TL"")"),"Kinakatawan ng tagapagpatupad ang ari-arian sa korte, kadalasang lumalabas sa ngalan ng ari-arian, naghain ng imbentaryo ng mga ari-arian sa hukuman, at nangangasiwa ng iba pang mga legal na tungkulin. Pinangangasiwaan ng tagapagpatupad ang lahat ng usapi"&amp;"n sa pananalapi at pagpapanatili ng mga ari-arian at mga ari-arian sa pamamagitan ng proseso, pati na rin ang pagbabayad ng mga singil at pag-file ng mga buwis.")</f>
        <v>Kinakatawan ng tagapagpatupad ang ari-arian sa korte, kadalasang lumalabas sa ngalan ng ari-arian, naghain ng imbentaryo ng mga ari-arian sa hukuman, at nangangasiwa ng iba pang mga legal na tungkulin. Pinangangasiwaan ng tagapagpatupad ang lahat ng usapin sa pananalapi at pagpapanatili ng mga ari-arian at mga ari-arian sa pamamagitan ng proseso, pati na rin ang pagbabayad ng mga singil at pag-file ng mga buwis.</v>
      </c>
      <c r="F320" s="2">
        <f t="shared" si="1"/>
        <v>0</v>
      </c>
      <c r="G320" s="2"/>
      <c r="H320" s="2"/>
      <c r="I320" s="2"/>
      <c r="J320" s="2"/>
      <c r="K320" s="2"/>
      <c r="L320" s="2"/>
      <c r="M320" s="2"/>
      <c r="N320" s="2"/>
      <c r="O320" s="2"/>
      <c r="P320" s="2"/>
      <c r="Q320" s="2"/>
      <c r="R320" s="2"/>
      <c r="S320" s="2"/>
      <c r="T320" s="2"/>
      <c r="U320" s="2"/>
      <c r="V320" s="2"/>
      <c r="W320" s="2"/>
      <c r="X320" s="2"/>
      <c r="Y320" s="2"/>
      <c r="Z320" s="2"/>
      <c r="AA320" s="2"/>
    </row>
    <row r="321">
      <c r="A321" s="1" t="s">
        <v>1224</v>
      </c>
      <c r="B321" s="1" t="s">
        <v>1246</v>
      </c>
      <c r="C321" s="1" t="s">
        <v>1247</v>
      </c>
      <c r="D321" s="1" t="s">
        <v>1248</v>
      </c>
      <c r="E321" s="2" t="str">
        <f>IFERROR(__xludf.DUMMYFUNCTION("GOOGLETRANSLATE(C321, ""en"", ""TL"")"),"Ang mga nagpapautang ay may mga tiyak na karapatan, at ang mga ari-arian ng ari-arian ay maaaring gamitin upang bayaran ang mga kasalukuyang utang. Kasunduan sa Settlement: Ang magkakapatid ay maaaring pumasok sa isang extrajudicial settlement kung lahat "&amp;"sila ay sumang-ayon sa pamamahagi, basta't walang mga utang, o sila mismo ang makakasagot sa mga utang.")</f>
        <v>Ang mga nagpapautang ay may mga tiyak na karapatan, at ang mga ari-arian ng ari-arian ay maaaring gamitin upang bayaran ang mga kasalukuyang utang. Kasunduan sa Settlement: Ang magkakapatid ay maaaring pumasok sa isang extrajudicial settlement kung lahat sila ay sumang-ayon sa pamamahagi, basta't walang mga utang, o sila mismo ang makakasagot sa mga utang.</v>
      </c>
      <c r="F321" s="2">
        <f t="shared" si="1"/>
        <v>0</v>
      </c>
      <c r="G321" s="2"/>
      <c r="H321" s="2"/>
      <c r="I321" s="2"/>
      <c r="J321" s="2"/>
      <c r="K321" s="2"/>
      <c r="L321" s="2"/>
      <c r="M321" s="2"/>
      <c r="N321" s="2"/>
      <c r="O321" s="2"/>
      <c r="P321" s="2"/>
      <c r="Q321" s="2"/>
      <c r="R321" s="2"/>
      <c r="S321" s="2"/>
      <c r="T321" s="2"/>
      <c r="U321" s="2"/>
      <c r="V321" s="2"/>
      <c r="W321" s="2"/>
      <c r="X321" s="2"/>
      <c r="Y321" s="2"/>
      <c r="Z321" s="2"/>
      <c r="AA321" s="2"/>
    </row>
    <row r="322">
      <c r="A322" s="1" t="s">
        <v>1224</v>
      </c>
      <c r="B322" s="1" t="s">
        <v>1249</v>
      </c>
      <c r="C322" s="1" t="s">
        <v>1250</v>
      </c>
      <c r="D322" s="1" t="s">
        <v>1251</v>
      </c>
      <c r="E322" s="2" t="str">
        <f>IFERROR(__xludf.DUMMYFUNCTION("GOOGLETRANSLATE(C322, ""en"", ""TL"")"),"Maaari kang magbenta ng lupang minana mo. Kasama sa mga kinakailangang hakbang ang pagbabago ng pagmamay-ari, pagsuri para sa mga claim, pagtatakda ng presyo, at paghahanap ng mamimili. Kapag nagbebenta ng minanang ari-arian, ang pag-iingat sa iyong singi"&amp;"l sa buwis ay pinakamahalaga. Ang pag-unawa sa mga buwis sa capital gain sa iyong potensyal na pagbebenta ay mahalaga.")</f>
        <v>Maaari kang magbenta ng lupang minana mo. Kasama sa mga kinakailangang hakbang ang pagbabago ng pagmamay-ari, pagsuri para sa mga claim, pagtatakda ng presyo, at paghahanap ng mamimili. Kapag nagbebenta ng minanang ari-arian, ang pag-iingat sa iyong singil sa buwis ay pinakamahalaga. Ang pag-unawa sa mga buwis sa capital gain sa iyong potensyal na pagbebenta ay mahalaga.</v>
      </c>
      <c r="F322" s="2">
        <f t="shared" si="1"/>
        <v>0</v>
      </c>
      <c r="G322" s="2"/>
      <c r="H322" s="2"/>
      <c r="I322" s="2"/>
      <c r="J322" s="2"/>
      <c r="K322" s="2"/>
      <c r="L322" s="2"/>
      <c r="M322" s="2"/>
      <c r="N322" s="2"/>
      <c r="O322" s="2"/>
      <c r="P322" s="2"/>
      <c r="Q322" s="2"/>
      <c r="R322" s="2"/>
      <c r="S322" s="2"/>
      <c r="T322" s="2"/>
      <c r="U322" s="2"/>
      <c r="V322" s="2"/>
      <c r="W322" s="2"/>
      <c r="X322" s="2"/>
      <c r="Y322" s="2"/>
      <c r="Z322" s="2"/>
      <c r="AA322" s="2"/>
    </row>
    <row r="323">
      <c r="A323" s="1" t="s">
        <v>1224</v>
      </c>
      <c r="B323" s="1" t="s">
        <v>1252</v>
      </c>
      <c r="C323" s="1" t="s">
        <v>1253</v>
      </c>
      <c r="D323" s="1" t="s">
        <v>1254</v>
      </c>
      <c r="E323" s="2" t="str">
        <f>IFERROR(__xludf.DUMMYFUNCTION("GOOGLETRANSLATE(C323, ""en"", ""TL"")"),"Ang mana ng tahanan ng pamilya ay maaaring magkaroon ng makabuluhang implikasyon para sa mga karapatan ng nabubuhay na asawa, lalo na sa mga hurisdiksyon na may mga partikular na batas na nagpoprotekta sa kanilang mga interes. Sa maraming lugar, ang nabub"&amp;"uhay na asawa ay may karapatan sa ilang mga legal na proteksyon, tulad ng karapatang magmana ng bahagi o lahat ng tahanan ng pamilya, anuman ang testamento o plano ng ari-arian ng namatay na asawa. Ang mga proteksyong ito, na kadalasang tinutukoy bilang m"&amp;"ga karapatan ng asawa o pag-aasawa, ay naglalayong tiyakin na ang nabubuhay na asawa ay sapat na napagkalooban at maaaring magpatuloy na manirahan sa tahanan ng pamilya. Ang mga legal na mekanismo tulad ng spousal elective shares, homestead exemptions, at"&amp;" mga batas sa ari-arian ng komunidad ay maaaring maglaro upang pangalagaan ang mga karapatan ng nabubuhay na asawa at maiwasan ang kanilang pag-alis o pagkawala ng mana mula sa tahanan ng pamilya. Mahalaga para sa mga indibidwal na magkaroon ng kamalayan "&amp;"sa mga legal na proteksyong ito at humingi ng patnubay mula sa mga may karanasang abogado upang epektibong mag-navigate sa mga usapin sa pamana na kinasasangkutan ng mga tahanan ng pamilya at mga karapatan ng asawa.")</f>
        <v>Ang mana ng tahanan ng pamilya ay maaaring magkaroon ng makabuluhang implikasyon para sa mga karapatan ng nabubuhay na asawa, lalo na sa mga hurisdiksyon na may mga partikular na batas na nagpoprotekta sa kanilang mga interes. Sa maraming lugar, ang nabubuhay na asawa ay may karapatan sa ilang mga legal na proteksyon, tulad ng karapatang magmana ng bahagi o lahat ng tahanan ng pamilya, anuman ang testamento o plano ng ari-arian ng namatay na asawa. Ang mga proteksyong ito, na kadalasang tinutukoy bilang mga karapatan ng asawa o pag-aasawa, ay naglalayong tiyakin na ang nabubuhay na asawa ay sapat na napagkalooban at maaaring magpatuloy na manirahan sa tahanan ng pamilya. Ang mga legal na mekanismo tulad ng spousal elective shares, homestead exemptions, at mga batas sa ari-arian ng komunidad ay maaaring maglaro upang pangalagaan ang mga karapatan ng nabubuhay na asawa at maiwasan ang kanilang pag-alis o pagkawala ng mana mula sa tahanan ng pamilya. Mahalaga para sa mga indibidwal na magkaroon ng kamalayan sa mga legal na proteksyong ito at humingi ng patnubay mula sa mga may karanasang abogado upang epektibong mag-navigate sa mga usapin sa pamana na kinasasangkutan ng mga tahanan ng pamilya at mga karapatan ng asawa.</v>
      </c>
      <c r="F323" s="2">
        <f t="shared" si="1"/>
        <v>0</v>
      </c>
      <c r="G323" s="2"/>
      <c r="H323" s="2"/>
      <c r="I323" s="2"/>
      <c r="J323" s="2"/>
      <c r="K323" s="2"/>
      <c r="L323" s="2"/>
      <c r="M323" s="2"/>
      <c r="N323" s="2"/>
      <c r="O323" s="2"/>
      <c r="P323" s="2"/>
      <c r="Q323" s="2"/>
      <c r="R323" s="2"/>
      <c r="S323" s="2"/>
      <c r="T323" s="2"/>
      <c r="U323" s="2"/>
      <c r="V323" s="2"/>
      <c r="W323" s="2"/>
      <c r="X323" s="2"/>
      <c r="Y323" s="2"/>
      <c r="Z323" s="2"/>
      <c r="AA323" s="2"/>
    </row>
    <row r="324">
      <c r="A324" s="1" t="s">
        <v>1224</v>
      </c>
      <c r="B324" s="1" t="s">
        <v>1255</v>
      </c>
      <c r="C324" s="1" t="s">
        <v>1256</v>
      </c>
      <c r="D324" s="1" t="s">
        <v>1257</v>
      </c>
      <c r="E324" s="2" t="str">
        <f>IFERROR(__xludf.DUMMYFUNCTION("GOOGLETRANSLATE(C324, ""en"", ""TL"")"),"Ang pagmamana ng ari-arian nang walang malinaw na testamento ay nangangailangan ng isang kumplikadong legal na proseso, karaniwang kinasasangkutan ng probate upang ipamahagi ang mga ari-arian ayon sa mga batas ng kawalan ng kakayahan ng estado. Maaaring k"&amp;"abilang sa mga hamon ang mga hindi pagkakaunawaan sa pagitan ng mga tagapagmana, pagtukoy sa lahat ng potensyal na tagapagmana, pagtatasa ng halaga ng ari-arian, pag-aayos ng mga utang, at pagtugon sa mga implikasyon sa buwis. Upang matiyak ang maayos na "&amp;"paglipat, kumunsulta sa isang probate attorney, mangalap ng mga nauugnay na dokumento, maghain ng petisyon sa probate court, makipag-ugnayan sa mga tagapagmana, at humingi ng payo mula sa mga propesyonal sa pananalapi at buwis. Sa pamamagitan ng pagsunod "&amp;"sa mga hakbang na ito, ang mga indibidwal ay maaaring mag-navigate nang mahusay sa proseso at matiyak ang isang legal na maayos na paglilipat ng minanang mga ari-arian ng real estate.")</f>
        <v>Ang pagmamana ng ari-arian nang walang malinaw na testamento ay nangangailangan ng isang kumplikadong legal na proseso, karaniwang kinasasangkutan ng probate upang ipamahagi ang mga ari-arian ayon sa mga batas ng kawalan ng kakayahan ng estado. Maaaring kabilang sa mga hamon ang mga hindi pagkakaunawaan sa pagitan ng mga tagapagmana, pagtukoy sa lahat ng potensyal na tagapagmana, pagtatasa ng halaga ng ari-arian, pag-aayos ng mga utang, at pagtugon sa mga implikasyon sa buwis. Upang matiyak ang maayos na paglipat, kumunsulta sa isang probate attorney, mangalap ng mga nauugnay na dokumento, maghain ng petisyon sa probate court, makipag-ugnayan sa mga tagapagmana, at humingi ng payo mula sa mga propesyonal sa pananalapi at buwis. Sa pamamagitan ng pagsunod sa mga hakbang na ito, ang mga indibidwal ay maaaring mag-navigate nang mahusay sa proseso at matiyak ang isang legal na maayos na paglilipat ng minanang mga ari-arian ng real estate.</v>
      </c>
      <c r="F324" s="2">
        <f t="shared" si="1"/>
        <v>0</v>
      </c>
      <c r="G324" s="2"/>
      <c r="H324" s="2"/>
      <c r="I324" s="2"/>
      <c r="J324" s="2"/>
      <c r="K324" s="2"/>
      <c r="L324" s="2"/>
      <c r="M324" s="2"/>
      <c r="N324" s="2"/>
      <c r="O324" s="2"/>
      <c r="P324" s="2"/>
      <c r="Q324" s="2"/>
      <c r="R324" s="2"/>
      <c r="S324" s="2"/>
      <c r="T324" s="2"/>
      <c r="U324" s="2"/>
      <c r="V324" s="2"/>
      <c r="W324" s="2"/>
      <c r="X324" s="2"/>
      <c r="Y324" s="2"/>
      <c r="Z324" s="2"/>
      <c r="AA324" s="2"/>
    </row>
    <row r="325">
      <c r="A325" s="1" t="s">
        <v>1224</v>
      </c>
      <c r="B325" s="1" t="s">
        <v>1258</v>
      </c>
      <c r="C325" s="1" t="s">
        <v>1259</v>
      </c>
      <c r="D325" s="1" t="s">
        <v>1260</v>
      </c>
      <c r="E325" s="2" t="str">
        <f>IFERROR(__xludf.DUMMYFUNCTION("GOOGLETRANSLATE(C325, ""en"", ""TL"")"),"Sa panahon ng proseso ng probate, pinangangasiwaan ng korte ang paglilipat ng ari-arian sa mga tagapagmana, gayundin ang pagbabayad ng anumang mga utang at buwis na inutang ng namatay na tao. Kung ang namatay na tao ay nag-iwan ng wastong testamento, ang "&amp;"ari-arian ay ipamahagi ayon sa mga tuntunin ng testamento.")</f>
        <v>Sa panahon ng proseso ng probate, pinangangasiwaan ng korte ang paglilipat ng ari-arian sa mga tagapagmana, gayundin ang pagbabayad ng anumang mga utang at buwis na inutang ng namatay na tao. Kung ang namatay na tao ay nag-iwan ng wastong testamento, ang ari-arian ay ipamahagi ayon sa mga tuntunin ng testamento.</v>
      </c>
      <c r="F325" s="2">
        <f t="shared" si="1"/>
        <v>0</v>
      </c>
      <c r="G325" s="2"/>
      <c r="H325" s="2"/>
      <c r="I325" s="2"/>
      <c r="J325" s="2"/>
      <c r="K325" s="2"/>
      <c r="L325" s="2"/>
      <c r="M325" s="2"/>
      <c r="N325" s="2"/>
      <c r="O325" s="2"/>
      <c r="P325" s="2"/>
      <c r="Q325" s="2"/>
      <c r="R325" s="2"/>
      <c r="S325" s="2"/>
      <c r="T325" s="2"/>
      <c r="U325" s="2"/>
      <c r="V325" s="2"/>
      <c r="W325" s="2"/>
      <c r="X325" s="2"/>
      <c r="Y325" s="2"/>
      <c r="Z325" s="2"/>
      <c r="AA325" s="2"/>
    </row>
    <row r="326">
      <c r="A326" s="1" t="s">
        <v>1224</v>
      </c>
      <c r="B326" s="1" t="s">
        <v>1261</v>
      </c>
      <c r="C326" s="1" t="s">
        <v>1262</v>
      </c>
      <c r="D326" s="1" t="s">
        <v>1263</v>
      </c>
      <c r="E326" s="2" t="str">
        <f>IFERROR(__xludf.DUMMYFUNCTION("GOOGLETRANSLATE(C326, ""en"", ""TL"")"),"Sa isang probate case, ang isang tagapagpatupad (kung mayroong kalooban) o isang tagapangasiwa (kung walang kalooban) ay hinirang ng korte bilang personal na kinatawan upang mangolekta ng mga ari-arian, magbayad ng mga utang at gastos, at pagkatapos ay ip"&amp;"amahagi ang natitira sa ari-arian sa mga benepisyaryo (yaong may legal na karapatang magmana), lahat ay nasa ilalim ng pangangasiwa ng korte.")</f>
        <v>Sa isang probate case, ang isang tagapagpatupad (kung mayroong kalooban) o isang tagapangasiwa (kung walang kalooban) ay hinirang ng korte bilang personal na kinatawan upang mangolekta ng mga ari-arian, magbayad ng mga utang at gastos, at pagkatapos ay ipamahagi ang natitira sa ari-arian sa mga benepisyaryo (yaong may legal na karapatang magmana), lahat ay nasa ilalim ng pangangasiwa ng korte.</v>
      </c>
      <c r="F326" s="2">
        <f t="shared" si="1"/>
        <v>0</v>
      </c>
      <c r="G326" s="2"/>
      <c r="H326" s="2"/>
      <c r="I326" s="2"/>
      <c r="J326" s="2"/>
      <c r="K326" s="2"/>
      <c r="L326" s="2"/>
      <c r="M326" s="2"/>
      <c r="N326" s="2"/>
      <c r="O326" s="2"/>
      <c r="P326" s="2"/>
      <c r="Q326" s="2"/>
      <c r="R326" s="2"/>
      <c r="S326" s="2"/>
      <c r="T326" s="2"/>
      <c r="U326" s="2"/>
      <c r="V326" s="2"/>
      <c r="W326" s="2"/>
      <c r="X326" s="2"/>
      <c r="Y326" s="2"/>
      <c r="Z326" s="2"/>
      <c r="AA326" s="2"/>
    </row>
    <row r="327">
      <c r="A327" s="1" t="s">
        <v>1224</v>
      </c>
      <c r="B327" s="1" t="s">
        <v>1264</v>
      </c>
      <c r="C327" s="1" t="s">
        <v>1265</v>
      </c>
      <c r="D327" s="1" t="s">
        <v>1266</v>
      </c>
      <c r="E327" s="2" t="str">
        <f>IFERROR(__xludf.DUMMYFUNCTION("GOOGLETRANSLATE(C327, ""en"", ""TL"")"),"Sa kawalan ng testamento, inilalapat ng legal na sistema ang mga batas sa kawalan ng katapatan ng bawat estado upang matukoy ang pamamahagi ng mga ari-arian. Sinusuri ng korte ang ari-arian ng namatay at nagpapasya kung ang kanilang asawa, mga anak, magul"&amp;"ang, o mga kapatid ay magmamana ng mga ari-arian. Ang prosesong ito ay tumatagal ng oras at maaaring maging napakahirap para sa mga nakaligtas na miyembro ng pamilya.")</f>
        <v>Sa kawalan ng testamento, inilalapat ng legal na sistema ang mga batas sa kawalan ng katapatan ng bawat estado upang matukoy ang pamamahagi ng mga ari-arian. Sinusuri ng korte ang ari-arian ng namatay at nagpapasya kung ang kanilang asawa, mga anak, magulang, o mga kapatid ay magmamana ng mga ari-arian. Ang prosesong ito ay tumatagal ng oras at maaaring maging napakahirap para sa mga nakaligtas na miyembro ng pamilya.</v>
      </c>
      <c r="F327" s="2">
        <f t="shared" si="1"/>
        <v>0</v>
      </c>
      <c r="G327" s="2"/>
      <c r="H327" s="2"/>
      <c r="I327" s="2"/>
      <c r="J327" s="2"/>
      <c r="K327" s="2"/>
      <c r="L327" s="2"/>
      <c r="M327" s="2"/>
      <c r="N327" s="2"/>
      <c r="O327" s="2"/>
      <c r="P327" s="2"/>
      <c r="Q327" s="2"/>
      <c r="R327" s="2"/>
      <c r="S327" s="2"/>
      <c r="T327" s="2"/>
      <c r="U327" s="2"/>
      <c r="V327" s="2"/>
      <c r="W327" s="2"/>
      <c r="X327" s="2"/>
      <c r="Y327" s="2"/>
      <c r="Z327" s="2"/>
      <c r="AA327" s="2"/>
    </row>
    <row r="328">
      <c r="A328" s="1" t="s">
        <v>1224</v>
      </c>
      <c r="B328" s="1" t="s">
        <v>1267</v>
      </c>
      <c r="C328" s="1" t="s">
        <v>1268</v>
      </c>
      <c r="D328" s="1" t="s">
        <v>1269</v>
      </c>
      <c r="E328" s="2" t="str">
        <f>IFERROR(__xludf.DUMMYFUNCTION("GOOGLETRANSLATE(C328, ""en"", ""TL"")"),"Ang minanang ari-arian ay maaari ding sumailalim sa capital gains tax (CGT). Maaaring kailanganin mong magbayad ng CGT bilang bahagi ng iyong buwis sa kita kapag nagbebenta ka ng asset tulad ng ari-arian (o kahit na stock) nang higit pa sa orihinal na hal"&amp;"aga nito. Alamin kung paano mo pinakamahusay na magagamit ang mga trust para sa pagpaplano ng estate upang mabawasan ang singil sa buwis na kakaharapin ng iyong mga benepisyaryo")</f>
        <v>Ang minanang ari-arian ay maaari ding sumailalim sa capital gains tax (CGT). Maaaring kailanganin mong magbayad ng CGT bilang bahagi ng iyong buwis sa kita kapag nagbebenta ka ng asset tulad ng ari-arian (o kahit na stock) nang higit pa sa orihinal na halaga nito. Alamin kung paano mo pinakamahusay na magagamit ang mga trust para sa pagpaplano ng estate upang mabawasan ang singil sa buwis na kakaharapin ng iyong mga benepisyaryo</v>
      </c>
      <c r="F328" s="2">
        <f t="shared" si="1"/>
        <v>0</v>
      </c>
      <c r="G328" s="2"/>
      <c r="H328" s="2"/>
      <c r="I328" s="2"/>
      <c r="J328" s="2"/>
      <c r="K328" s="2"/>
      <c r="L328" s="2"/>
      <c r="M328" s="2"/>
      <c r="N328" s="2"/>
      <c r="O328" s="2"/>
      <c r="P328" s="2"/>
      <c r="Q328" s="2"/>
      <c r="R328" s="2"/>
      <c r="S328" s="2"/>
      <c r="T328" s="2"/>
      <c r="U328" s="2"/>
      <c r="V328" s="2"/>
      <c r="W328" s="2"/>
      <c r="X328" s="2"/>
      <c r="Y328" s="2"/>
      <c r="Z328" s="2"/>
      <c r="AA328" s="2"/>
    </row>
    <row r="329">
      <c r="A329" s="1" t="s">
        <v>1224</v>
      </c>
      <c r="B329" s="1" t="s">
        <v>1270</v>
      </c>
      <c r="C329" s="1" t="s">
        <v>1271</v>
      </c>
      <c r="D329" s="1" t="s">
        <v>1272</v>
      </c>
      <c r="E329" s="2" t="str">
        <f>IFERROR(__xludf.DUMMYFUNCTION("GOOGLETRANSLATE(C329, ""en"", ""TL"")"),"Oo, ang mga indibidwal ay maaaring tumutol sa isang testamento o hamunin ang pamamahagi ng minanang ari-arian sa ilalim ng mga partikular na legal na kalagayan. Ang mga batayan para sa paglaban sa isang testamento ay karaniwang kasama ang kakulangan ng ka"&amp;"pasidad ng testamentaryo, hindi nararapat na impluwensya, pandaraya o pamemeke, hindi wastong pagpapatupad, pagkakamali o kalabuan, at pagbawi. Ang paligsahan sa isang testamento ay nagsasangkot ng isang kumplikadong legal na proseso at nangangailangan ng"&amp;" tulong ng isang bihasang abogado sa paglilitis sa ari-arian upang epektibong mag-navigate. Napakahalagang kumonsulta sa mga legal na propesyonal upang masuri ang bisa ng mga potensyal na batayan para sa paglaban sa isang testamento at maunawaan ang mga m"&amp;"agagamit na opsyon para sa paghamon sa pamamahagi ng minanang ari-arian.")</f>
        <v>Oo, ang mga indibidwal ay maaaring tumutol sa isang testamento o hamunin ang pamamahagi ng minanang ari-arian sa ilalim ng mga partikular na legal na kalagayan. Ang mga batayan para sa paglaban sa isang testamento ay karaniwang kasama ang kakulangan ng kapasidad ng testamentaryo, hindi nararapat na impluwensya, pandaraya o pamemeke, hindi wastong pagpapatupad, pagkakamali o kalabuan, at pagbawi. Ang paligsahan sa isang testamento ay nagsasangkot ng isang kumplikadong legal na proseso at nangangailangan ng tulong ng isang bihasang abogado sa paglilitis sa ari-arian upang epektibong mag-navigate. Napakahalagang kumonsulta sa mga legal na propesyonal upang masuri ang bisa ng mga potensyal na batayan para sa paglaban sa isang testamento at maunawaan ang mga magagamit na opsyon para sa paghamon sa pamamahagi ng minanang ari-arian.</v>
      </c>
      <c r="F329" s="2">
        <f t="shared" si="1"/>
        <v>0</v>
      </c>
      <c r="G329" s="2"/>
      <c r="H329" s="2"/>
      <c r="I329" s="2"/>
      <c r="J329" s="2"/>
      <c r="K329" s="2"/>
      <c r="L329" s="2"/>
      <c r="M329" s="2"/>
      <c r="N329" s="2"/>
      <c r="O329" s="2"/>
      <c r="P329" s="2"/>
      <c r="Q329" s="2"/>
      <c r="R329" s="2"/>
      <c r="S329" s="2"/>
      <c r="T329" s="2"/>
      <c r="U329" s="2"/>
      <c r="V329" s="2"/>
      <c r="W329" s="2"/>
      <c r="X329" s="2"/>
      <c r="Y329" s="2"/>
      <c r="Z329" s="2"/>
      <c r="AA329" s="2"/>
    </row>
    <row r="330">
      <c r="A330" s="1" t="s">
        <v>1224</v>
      </c>
      <c r="B330" s="1" t="s">
        <v>1273</v>
      </c>
      <c r="C330" s="1" t="s">
        <v>1274</v>
      </c>
      <c r="D330" s="1" t="s">
        <v>1275</v>
      </c>
      <c r="E330" s="2" t="str">
        <f>IFERROR(__xludf.DUMMYFUNCTION("GOOGLETRANSLATE(C330, ""en"", ""TL"")"),"Ang pag-aari ng magkasanib na pag-aari ay ipapasa sa iba pang mga may-ari ng ari-arian anuman ang isaad ng kalooban ng namatay na partido. Sa layuning iyon, kahit na ang isang tao ay umalis sa isang bahay sa isang nabubuhay na bata, ang batang iyon ay hin"&amp;"di magmamana ng bahay kung ang isang pinagsamang nangungupahan ay mananatili pa rin, hindi alintana kung ang nangungupahan ay nasa kalooban.")</f>
        <v>Ang pag-aari ng magkasanib na pag-aari ay ipapasa sa iba pang mga may-ari ng ari-arian anuman ang isaad ng kalooban ng namatay na partido. Sa layuning iyon, kahit na ang isang tao ay umalis sa isang bahay sa isang nabubuhay na bata, ang batang iyon ay hindi magmamana ng bahay kung ang isang pinagsamang nangungupahan ay mananatili pa rin, hindi alintana kung ang nangungupahan ay nasa kalooban.</v>
      </c>
      <c r="F330" s="2">
        <f t="shared" si="1"/>
        <v>0</v>
      </c>
      <c r="G330" s="2"/>
      <c r="H330" s="2"/>
      <c r="I330" s="2"/>
      <c r="J330" s="2"/>
      <c r="K330" s="2"/>
      <c r="L330" s="2"/>
      <c r="M330" s="2"/>
      <c r="N330" s="2"/>
      <c r="O330" s="2"/>
      <c r="P330" s="2"/>
      <c r="Q330" s="2"/>
      <c r="R330" s="2"/>
      <c r="S330" s="2"/>
      <c r="T330" s="2"/>
      <c r="U330" s="2"/>
      <c r="V330" s="2"/>
      <c r="W330" s="2"/>
      <c r="X330" s="2"/>
      <c r="Y330" s="2"/>
      <c r="Z330" s="2"/>
      <c r="AA330" s="2"/>
    </row>
    <row r="331">
      <c r="A331" s="1" t="s">
        <v>1224</v>
      </c>
      <c r="B331" s="1" t="s">
        <v>1276</v>
      </c>
      <c r="C331" s="1" t="s">
        <v>1277</v>
      </c>
      <c r="D331" s="1" t="s">
        <v>1278</v>
      </c>
      <c r="E331" s="2" t="str">
        <f>IFERROR(__xludf.DUMMYFUNCTION("GOOGLETRANSLATE(C331, ""en"", ""TL"")"),"Upang ilipat ang pagmamay-ari ng minanang real estate, maraming hakbang ang dapat gawin. Una, kumuha ng kopya ng death certificate ng namatay na may-ari at hanapin ang orihinal na kasulatan sa ari-arian. Kung ang ari-arian ay dumaan sa probate, hintayin a"&amp;"ng korte na tapusin ang proseso at mag-isyu ng utos ng pamamahagi. Kapag pinahintulutan, maghanda ng bagong kasulatan na naglilipat ng pagmamay-ari sa mga tagapagmana o benepisyaryo gaya ng tinukoy sa testamento o tinutukoy ng mga batas sa kawalan ng buha"&amp;"y. Ang kasulatan ay dapat pirmahan ng lahat ng may-katuturang partido at notarized. Panghuli, itala ang bagong kasulatan sa naaangkop na opisina ng county o munisipyo upang opisyal na ilipat ang pagmamay-ari. Ang mga legal na kinakailangan at paghihigpit "&amp;"ay nag-iiba ayon sa hurisdiksyon, ngunit kadalasang kinabibilangan ng pagsunod sa mga batas ng probate ng estado, pagtiyak ng wastong dokumentasyon, at pagsunod sa anumang lokal na kinakailangan sa pagre-record para sa mga transaksyon sa real estate. Ang "&amp;"pagkonsulta sa isang abogado ng real estate o kumpanya ng titulo ay maaaring magbigay ng gabay na partikular sa mga nauugnay na batas at pamamaraan.")</f>
        <v>Upang ilipat ang pagmamay-ari ng minanang real estate, maraming hakbang ang dapat gawin. Una, kumuha ng kopya ng death certificate ng namatay na may-ari at hanapin ang orihinal na kasulatan sa ari-arian. Kung ang ari-arian ay dumaan sa probate, hintayin ang korte na tapusin ang proseso at mag-isyu ng utos ng pamamahagi. Kapag pinahintulutan, maghanda ng bagong kasulatan na naglilipat ng pagmamay-ari sa mga tagapagmana o benepisyaryo gaya ng tinukoy sa testamento o tinutukoy ng mga batas sa kawalan ng buhay. Ang kasulatan ay dapat pirmahan ng lahat ng may-katuturang partido at notarized. Panghuli, itala ang bagong kasulatan sa naaangkop na opisina ng county o munisipyo upang opisyal na ilipat ang pagmamay-ari. Ang mga legal na kinakailangan at paghihigpit ay nag-iiba ayon sa hurisdiksyon, ngunit kadalasang kinabibilangan ng pagsunod sa mga batas ng probate ng estado, pagtiyak ng wastong dokumentasyon, at pagsunod sa anumang lokal na kinakailangan sa pagre-record para sa mga transaksyon sa real estate. Ang pagkonsulta sa isang abogado ng real estate o kumpanya ng titulo ay maaaring magbigay ng gabay na partikular sa mga nauugnay na batas at pamamaraan.</v>
      </c>
      <c r="F331" s="2">
        <f t="shared" si="1"/>
        <v>0</v>
      </c>
      <c r="G331" s="2"/>
      <c r="H331" s="2"/>
      <c r="I331" s="2"/>
      <c r="J331" s="2"/>
      <c r="K331" s="2"/>
      <c r="L331" s="2"/>
      <c r="M331" s="2"/>
      <c r="N331" s="2"/>
      <c r="O331" s="2"/>
      <c r="P331" s="2"/>
      <c r="Q331" s="2"/>
      <c r="R331" s="2"/>
      <c r="S331" s="2"/>
      <c r="T331" s="2"/>
      <c r="U331" s="2"/>
      <c r="V331" s="2"/>
      <c r="W331" s="2"/>
      <c r="X331" s="2"/>
      <c r="Y331" s="2"/>
      <c r="Z331" s="2"/>
      <c r="AA331" s="2"/>
    </row>
    <row r="332">
      <c r="A332" s="1" t="s">
        <v>1224</v>
      </c>
      <c r="B332" s="1" t="s">
        <v>1279</v>
      </c>
      <c r="C332" s="1" t="s">
        <v>1280</v>
      </c>
      <c r="D332" s="1" t="s">
        <v>1281</v>
      </c>
      <c r="E332" s="2" t="str">
        <f>IFERROR(__xludf.DUMMYFUNCTION("GOOGLETRANSLATE(C332, ""en"", ""TL"")"),"Ang mga tagapagmana ay hindi maaaring personal na managot sa mga utang ng kanilang hinalinhan. Ang lawak ng pananagutan ng mga tagapagmana sa pinagkakautangan ay limitado sa halaga ng ari-arian na kanilang minana mula sa yumao.")</f>
        <v>Ang mga tagapagmana ay hindi maaaring personal na managot sa mga utang ng kanilang hinalinhan. Ang lawak ng pananagutan ng mga tagapagmana sa pinagkakautangan ay limitado sa halaga ng ari-arian na kanilang minana mula sa yumao.</v>
      </c>
      <c r="F332" s="2">
        <f t="shared" si="1"/>
        <v>0</v>
      </c>
      <c r="G332" s="2"/>
      <c r="H332" s="2"/>
      <c r="I332" s="2"/>
      <c r="J332" s="2"/>
      <c r="K332" s="2"/>
      <c r="L332" s="2"/>
      <c r="M332" s="2"/>
      <c r="N332" s="2"/>
      <c r="O332" s="2"/>
      <c r="P332" s="2"/>
      <c r="Q332" s="2"/>
      <c r="R332" s="2"/>
      <c r="S332" s="2"/>
      <c r="T332" s="2"/>
      <c r="U332" s="2"/>
      <c r="V332" s="2"/>
      <c r="W332" s="2"/>
      <c r="X332" s="2"/>
      <c r="Y332" s="2"/>
      <c r="Z332" s="2"/>
      <c r="AA332" s="2"/>
    </row>
    <row r="333">
      <c r="A333" s="1" t="s">
        <v>1224</v>
      </c>
      <c r="B333" s="1" t="s">
        <v>1282</v>
      </c>
      <c r="C333" s="1" t="s">
        <v>1283</v>
      </c>
      <c r="D333" s="1" t="s">
        <v>1284</v>
      </c>
      <c r="E333" s="2" t="str">
        <f>IFERROR(__xludf.DUMMYFUNCTION("GOOGLETRANSLATE(C333, ""en"", ""TL"")"),"Hangga't ang tao ay may matinong pag-iisip at katawan, na may ganap na kakayahan sa pag-iisip, maaari niyang piliing alisin ang mana sa sinumang benepisyaryo o tagapagmana sa anumang dahilan, o walang dahilan. Ang isang pagbubukod sa pangkalahatang tuntun"&amp;"ing ito ay umiiral sa mga estadong iyon na may mga batas na ""sapilitang mana"" na pumipigil sa kumpletong pagkawala ng mana ng mga anak at/o asawa.")</f>
        <v>Hangga't ang tao ay may matinong pag-iisip at katawan, na may ganap na kakayahan sa pag-iisip, maaari niyang piliing alisin ang mana sa sinumang benepisyaryo o tagapagmana sa anumang dahilan, o walang dahilan. Ang isang pagbubukod sa pangkalahatang tuntuning ito ay umiiral sa mga estadong iyon na may mga batas na "sapilitang mana" na pumipigil sa kumpletong pagkawala ng mana ng mga anak at/o asawa.</v>
      </c>
      <c r="F333" s="2">
        <f t="shared" si="1"/>
        <v>0</v>
      </c>
      <c r="G333" s="2"/>
      <c r="H333" s="2"/>
      <c r="I333" s="2"/>
      <c r="J333" s="2"/>
      <c r="K333" s="2"/>
      <c r="L333" s="2"/>
      <c r="M333" s="2"/>
      <c r="N333" s="2"/>
      <c r="O333" s="2"/>
      <c r="P333" s="2"/>
      <c r="Q333" s="2"/>
      <c r="R333" s="2"/>
      <c r="S333" s="2"/>
      <c r="T333" s="2"/>
      <c r="U333" s="2"/>
      <c r="V333" s="2"/>
      <c r="W333" s="2"/>
      <c r="X333" s="2"/>
      <c r="Y333" s="2"/>
      <c r="Z333" s="2"/>
      <c r="AA333" s="2"/>
    </row>
    <row r="334">
      <c r="A334" s="1" t="s">
        <v>1224</v>
      </c>
      <c r="B334" s="1" t="s">
        <v>1285</v>
      </c>
      <c r="C334" s="1" t="s">
        <v>1286</v>
      </c>
      <c r="D334" s="1" t="s">
        <v>1287</v>
      </c>
      <c r="E334" s="2" t="str">
        <f>IFERROR(__xludf.DUMMYFUNCTION("GOOGLETRANSLATE(C334, ""en"", ""TL"")"),"Ang mga legal na proteksyon para sa mga nabubuhay na mag-asawa sa mana ng isang tahanan ng pamilya ay nag-iiba depende sa hurisdiksyon ngunit kadalasang kinabibilangan ng mga probisyon upang matiyak ang karapatan ng nabubuhay na asawa na manirahan sa taha"&amp;"nan ng pamilya at makatanggap ng bahagi ng halaga nito. Ang mga proteksyong ito ay naglalayong pangalagaan ang mga interes ng nabubuhay na asawa at maiwasan ang kanilang pag-alis o pagkawala ng mana sa tahanan ng pamilya. Maaaring kabilang sa mga karaniwa"&amp;"ng proteksyon ang mga karapatan ayon sa batas ng homestead, mga elektibong bahagi ng asawa, o mga batas sa ari-arian ng komunidad, na nagbibigay ng karapatan sa nabubuhay na asawa sa isang paunang natukoy na bahagi ng halaga ng tahanan ng pamilya anuman a"&amp;"ng kalooban o plano ng ari-arian ng namatay na asawa. Bukod pa rito, ang ilang mga hurisdiksyon ay nagbibigay ng mga exemption o allowance para sa mga nabubuhay na mag-asawa upang mapanatili ang pagmamay-ari o mga karapatan sa paninirahan sa bahay ng pami"&amp;"lya, kahit na pumasa ito sa ibang mga tagapagmana. Ang mga legal na proteksyon na ito ay nakakatulong na matiyak na ang mga nabubuhay na mag-asawa ay sapat na naibibigay at mapanatili ang kanilang koneksyon sa tahanan ng pamilya sa kabila ng mga kumplikad"&amp;"o ng mana.")</f>
        <v>Ang mga legal na proteksyon para sa mga nabubuhay na mag-asawa sa mana ng isang tahanan ng pamilya ay nag-iiba depende sa hurisdiksyon ngunit kadalasang kinabibilangan ng mga probisyon upang matiyak ang karapatan ng nabubuhay na asawa na manirahan sa tahanan ng pamilya at makatanggap ng bahagi ng halaga nito. Ang mga proteksyong ito ay naglalayong pangalagaan ang mga interes ng nabubuhay na asawa at maiwasan ang kanilang pag-alis o pagkawala ng mana sa tahanan ng pamilya. Maaaring kabilang sa mga karaniwang proteksyon ang mga karapatan ayon sa batas ng homestead, mga elektibong bahagi ng asawa, o mga batas sa ari-arian ng komunidad, na nagbibigay ng karapatan sa nabubuhay na asawa sa isang paunang natukoy na bahagi ng halaga ng tahanan ng pamilya anuman ang kalooban o plano ng ari-arian ng namatay na asawa. Bukod pa rito, ang ilang mga hurisdiksyon ay nagbibigay ng mga exemption o allowance para sa mga nabubuhay na mag-asawa upang mapanatili ang pagmamay-ari o mga karapatan sa paninirahan sa bahay ng pamilya, kahit na pumasa ito sa ibang mga tagapagmana. Ang mga legal na proteksyon na ito ay nakakatulong na matiyak na ang mga nabubuhay na mag-asawa ay sapat na naibibigay at mapanatili ang kanilang koneksyon sa tahanan ng pamilya sa kabila ng mga kumplikado ng mana.</v>
      </c>
      <c r="F334" s="2">
        <f t="shared" si="1"/>
        <v>0</v>
      </c>
      <c r="G334" s="2"/>
      <c r="H334" s="2"/>
      <c r="I334" s="2"/>
      <c r="J334" s="2"/>
      <c r="K334" s="2"/>
      <c r="L334" s="2"/>
      <c r="M334" s="2"/>
      <c r="N334" s="2"/>
      <c r="O334" s="2"/>
      <c r="P334" s="2"/>
      <c r="Q334" s="2"/>
      <c r="R334" s="2"/>
      <c r="S334" s="2"/>
      <c r="T334" s="2"/>
      <c r="U334" s="2"/>
      <c r="V334" s="2"/>
      <c r="W334" s="2"/>
      <c r="X334" s="2"/>
      <c r="Y334" s="2"/>
      <c r="Z334" s="2"/>
      <c r="AA334" s="2"/>
    </row>
    <row r="335">
      <c r="A335" s="1" t="s">
        <v>1224</v>
      </c>
      <c r="B335" s="1" t="s">
        <v>1288</v>
      </c>
      <c r="C335" s="1" t="s">
        <v>1289</v>
      </c>
      <c r="D335" s="1" t="s">
        <v>1290</v>
      </c>
      <c r="E335" s="2" t="str">
        <f>IFERROR(__xludf.DUMMYFUNCTION("GOOGLETRANSLATE(C335, ""en"", ""TL"")"),"Ang mga indibidwal na nahaharap sa gayong mga salungatan ay dapat magkaroon ng kamalayan sa mga magagamit na legal na mekanismo para sa paglutas, tulad ng pamamagitan, arbitrasyon, mga kasunduan sa pag-aayos, probate, at paglilitis. Ang paghingi ng tulong"&amp;" sa makaranasang legal na tagapayo ay makakatulong na protektahan ang mga karapatan at interes ng isang tao habang tinitiyak ang isang patas at patas na paglutas sa mga hindi pagkakaunawaan na may kaugnayan sa ari-arian.")</f>
        <v>Ang mga indibidwal na nahaharap sa gayong mga salungatan ay dapat magkaroon ng kamalayan sa mga magagamit na legal na mekanismo para sa paglutas, tulad ng pamamagitan, arbitrasyon, mga kasunduan sa pag-aayos, probate, at paglilitis. Ang paghingi ng tulong sa makaranasang legal na tagapayo ay makakatulong na protektahan ang mga karapatan at interes ng isang tao habang tinitiyak ang isang patas at patas na paglutas sa mga hindi pagkakaunawaan na may kaugnayan sa ari-arian.</v>
      </c>
      <c r="F335" s="2">
        <f t="shared" si="1"/>
        <v>0</v>
      </c>
      <c r="G335" s="2"/>
      <c r="H335" s="2"/>
      <c r="I335" s="2"/>
      <c r="J335" s="2"/>
      <c r="K335" s="2"/>
      <c r="L335" s="2"/>
      <c r="M335" s="2"/>
      <c r="N335" s="2"/>
      <c r="O335" s="2"/>
      <c r="P335" s="2"/>
      <c r="Q335" s="2"/>
      <c r="R335" s="2"/>
      <c r="S335" s="2"/>
      <c r="T335" s="2"/>
      <c r="U335" s="2"/>
      <c r="V335" s="2"/>
      <c r="W335" s="2"/>
      <c r="X335" s="2"/>
      <c r="Y335" s="2"/>
      <c r="Z335" s="2"/>
      <c r="AA335" s="2"/>
    </row>
    <row r="336">
      <c r="A336" s="1" t="s">
        <v>1224</v>
      </c>
      <c r="B336" s="1" t="s">
        <v>1291</v>
      </c>
      <c r="C336" s="1" t="s">
        <v>1292</v>
      </c>
      <c r="D336" s="1" t="s">
        <v>1293</v>
      </c>
      <c r="E336" s="2" t="str">
        <f>IFERROR(__xludf.DUMMYFUNCTION("GOOGLETRANSLATE(C336, ""en"", ""TL"")"),"Oo at dapat kang laging humingi ng legal na payo gayunpaman ang mga pangunahing limitasyon sa oras na dapat malaman ay ang mga sumusunod:- Mga Claim sa Inheritance Act - 6 na buwan mula sa pagkakaloob ng probate Beneficiary na gumagawa ng isang paghahabol"&amp;" - 12 buwan mula sa petsa ng kamatayan")</f>
        <v>Oo at dapat kang laging humingi ng legal na payo gayunpaman ang mga pangunahing limitasyon sa oras na dapat malaman ay ang mga sumusunod:- Mga Claim sa Inheritance Act - 6 na buwan mula sa pagkakaloob ng probate Beneficiary na gumagawa ng isang paghahabol - 12 buwan mula sa petsa ng kamatayan</v>
      </c>
      <c r="F336" s="2">
        <f t="shared" si="1"/>
        <v>0</v>
      </c>
      <c r="G336" s="2"/>
      <c r="H336" s="2"/>
      <c r="I336" s="2"/>
      <c r="J336" s="2"/>
      <c r="K336" s="2"/>
      <c r="L336" s="2"/>
      <c r="M336" s="2"/>
      <c r="N336" s="2"/>
      <c r="O336" s="2"/>
      <c r="P336" s="2"/>
      <c r="Q336" s="2"/>
      <c r="R336" s="2"/>
      <c r="S336" s="2"/>
      <c r="T336" s="2"/>
      <c r="U336" s="2"/>
      <c r="V336" s="2"/>
      <c r="W336" s="2"/>
      <c r="X336" s="2"/>
      <c r="Y336" s="2"/>
      <c r="Z336" s="2"/>
      <c r="AA336" s="2"/>
    </row>
    <row r="337">
      <c r="A337" s="1" t="s">
        <v>1224</v>
      </c>
      <c r="B337" s="1" t="s">
        <v>1294</v>
      </c>
      <c r="C337" s="1" t="s">
        <v>1295</v>
      </c>
      <c r="D337" s="1" t="s">
        <v>1296</v>
      </c>
      <c r="E337" s="2" t="str">
        <f>IFERROR(__xludf.DUMMYFUNCTION("GOOGLETRANSLATE(C337, ""en"", ""TL"")"),"Ang lokasyon ng ari-arian ay maaaring makabuluhang makaapekto sa proseso ng mana dahil sa mga pagkakaiba-iba sa mga batas ng probate, batas sa ari-arian, at mga regulasyon sa buwis sa mga hurisdiksyon. Ang bawat hurisdiksyon ay may sariling hanay ng mga p"&amp;"anuntunan na namamahala sa mana, kabilang ang mga pamamaraan para sa probate, pamamahagi ng mga ari-arian, at pagbubuwis. Dagdag pa rito, maaaring magkaiba ang mga batas sa real estate patungkol sa pagmamay-ari ng ari-arian, paglipat, at mga karapatan sa "&amp;"paghalili. Samakatuwid, mahalagang isaalang-alang ang mga pagkakaiba sa hurisdiksyon kapag nagna-navigate sa proseso ng mana, lalo na kung nagmamay-ari ng ari-arian ang namatay sa maraming lokasyon. Kabilang sa mga salik na dapat isaalang-alang ang lokasy"&amp;"on ng pangunahing tirahan ng namatay, kung saan matatagpuan ang ari-arian, at anumang naaangkop na batas na namamahala sa mana at mga karapatan sa ari-arian sa mga hurisdiksyon na iyon. Makakatulong ang pagkonsulta sa mga legal na propesyonal na pamilyar "&amp;"sa mga batas ng bawat nauugnay na hurisdiksyon na matiyak ang pagsunod sa lahat ng kinakailangang kinakailangan at i-streamline ang proseso ng mana sa iba't ibang lokasyon.")</f>
        <v>Ang lokasyon ng ari-arian ay maaaring makabuluhang makaapekto sa proseso ng mana dahil sa mga pagkakaiba-iba sa mga batas ng probate, batas sa ari-arian, at mga regulasyon sa buwis sa mga hurisdiksyon. Ang bawat hurisdiksyon ay may sariling hanay ng mga panuntunan na namamahala sa mana, kabilang ang mga pamamaraan para sa probate, pamamahagi ng mga ari-arian, at pagbubuwis. Dagdag pa rito, maaaring magkaiba ang mga batas sa real estate patungkol sa pagmamay-ari ng ari-arian, paglipat, at mga karapatan sa paghalili. Samakatuwid, mahalagang isaalang-alang ang mga pagkakaiba sa hurisdiksyon kapag nagna-navigate sa proseso ng mana, lalo na kung nagmamay-ari ng ari-arian ang namatay sa maraming lokasyon. Kabilang sa mga salik na dapat isaalang-alang ang lokasyon ng pangunahing tirahan ng namatay, kung saan matatagpuan ang ari-arian, at anumang naaangkop na batas na namamahala sa mana at mga karapatan sa ari-arian sa mga hurisdiksyon na iyon. Makakatulong ang pagkonsulta sa mga legal na propesyonal na pamilyar sa mga batas ng bawat nauugnay na hurisdiksyon na matiyak ang pagsunod sa lahat ng kinakailangang kinakailangan at i-streamline ang proseso ng mana sa iba't ibang lokasyon.</v>
      </c>
      <c r="F337" s="2">
        <f t="shared" si="1"/>
        <v>0</v>
      </c>
      <c r="G337" s="2"/>
      <c r="H337" s="2"/>
      <c r="I337" s="2"/>
      <c r="J337" s="2"/>
      <c r="K337" s="2"/>
      <c r="L337" s="2"/>
      <c r="M337" s="2"/>
      <c r="N337" s="2"/>
      <c r="O337" s="2"/>
      <c r="P337" s="2"/>
      <c r="Q337" s="2"/>
      <c r="R337" s="2"/>
      <c r="S337" s="2"/>
      <c r="T337" s="2"/>
      <c r="U337" s="2"/>
      <c r="V337" s="2"/>
      <c r="W337" s="2"/>
      <c r="X337" s="2"/>
      <c r="Y337" s="2"/>
      <c r="Z337" s="2"/>
      <c r="AA337" s="2"/>
    </row>
    <row r="338">
      <c r="A338" s="1" t="s">
        <v>1224</v>
      </c>
      <c r="B338" s="1" t="s">
        <v>1297</v>
      </c>
      <c r="C338" s="1" t="s">
        <v>1298</v>
      </c>
      <c r="D338" s="1" t="s">
        <v>1299</v>
      </c>
      <c r="E338" s="2" t="str">
        <f>IFERROR(__xludf.DUMMYFUNCTION("GOOGLETRANSLATE(C338, ""en"", ""TL"")"),"Para sa isang maayos na paglilipat ng minanang ari-arian, ilang dokumentasyon at legal na pormalidad ang karaniwang kinakailangan. Una, kumuha ng death certificate ng namatay na may-ari, na nagsisilbing patunay ng kamatayan at mahalaga para sa pagsisimula"&amp;" ng proseso ng paglipat. Susunod, tukuyin at tipunin ang lahat ng nauugnay na dokumento sa pagpaplano ng ari-arian, kabilang ang testamento ng namatay, mga dokumento ng tiwala, at anumang mga utos ng hukuman o paglilitis sa probate. Bukod pa rito, hanapin"&amp;" ang orihinal na kasulatan sa ari-arian, pati na rin ang anumang mga dokumento ng mortgage o lien. Depende sa hurisdiksyon at partikular na mga pangyayari, maaaring kailanganin ang iba pang dokumentasyon tulad ng mga affidavit ng heirship, mga liham na te"&amp;"stamentaryo, o isang sertipiko ng appointment. Upang mabisang i-navigate ang mga prosesong ito, isaalang-alang ang pagkonsulta sa isang may karanasan na probate attorney o propesyunal sa pagpaplano ng ari-arian na maaaring magbigay ng gabay sa kinakailang"&amp;"ang dokumentasyon at legal na pormalidad na partikular sa iyong sitwasyon. Maaari din silang tumulong sa paghahanda at pagsasampa ng kinakailangang papeles, pagtiyak ng pagsunod sa lahat ng legal na kinakailangan, at pagpapadali sa isang maayos na paglili"&amp;"pat ng minanang ari-arian.")</f>
        <v>Para sa isang maayos na paglilipat ng minanang ari-arian, ilang dokumentasyon at legal na pormalidad ang karaniwang kinakailangan. Una, kumuha ng death certificate ng namatay na may-ari, na nagsisilbing patunay ng kamatayan at mahalaga para sa pagsisimula ng proseso ng paglipat. Susunod, tukuyin at tipunin ang lahat ng nauugnay na dokumento sa pagpaplano ng ari-arian, kabilang ang testamento ng namatay, mga dokumento ng tiwala, at anumang mga utos ng hukuman o paglilitis sa probate. Bukod pa rito, hanapin ang orihinal na kasulatan sa ari-arian, pati na rin ang anumang mga dokumento ng mortgage o lien. Depende sa hurisdiksyon at partikular na mga pangyayari, maaaring kailanganin ang iba pang dokumentasyon tulad ng mga affidavit ng heirship, mga liham na testamentaryo, o isang sertipiko ng appointment. Upang mabisang i-navigate ang mga prosesong ito, isaalang-alang ang pagkonsulta sa isang may karanasan na probate attorney o propesyunal sa pagpaplano ng ari-arian na maaaring magbigay ng gabay sa kinakailangang dokumentasyon at legal na pormalidad na partikular sa iyong sitwasyon. Maaari din silang tumulong sa paghahanda at pagsasampa ng kinakailangang papeles, pagtiyak ng pagsunod sa lahat ng legal na kinakailangan, at pagpapadali sa isang maayos na paglilipat ng minanang ari-arian.</v>
      </c>
      <c r="F338" s="2">
        <f t="shared" si="1"/>
        <v>0</v>
      </c>
      <c r="G338" s="2"/>
      <c r="H338" s="2"/>
      <c r="I338" s="2"/>
      <c r="J338" s="2"/>
      <c r="K338" s="2"/>
      <c r="L338" s="2"/>
      <c r="M338" s="2"/>
      <c r="N338" s="2"/>
      <c r="O338" s="2"/>
      <c r="P338" s="2"/>
      <c r="Q338" s="2"/>
      <c r="R338" s="2"/>
      <c r="S338" s="2"/>
      <c r="T338" s="2"/>
      <c r="U338" s="2"/>
      <c r="V338" s="2"/>
      <c r="W338" s="2"/>
      <c r="X338" s="2"/>
      <c r="Y338" s="2"/>
      <c r="Z338" s="2"/>
      <c r="AA338" s="2"/>
    </row>
    <row r="339">
      <c r="A339" s="1" t="s">
        <v>1224</v>
      </c>
      <c r="B339" s="1" t="s">
        <v>1300</v>
      </c>
      <c r="C339" s="1" t="s">
        <v>1301</v>
      </c>
      <c r="D339" s="1" t="s">
        <v>1302</v>
      </c>
      <c r="E339" s="2" t="str">
        <f>IFERROR(__xludf.DUMMYFUNCTION("GOOGLETRANSLATE(C339, ""en"", ""TL"")"),"Oo, may mga partikular na pagsasaalang-alang para sa mga ari-arian ng negosyo o mga ari-arian ng pamumuhunan sa konteksto ng mana. Kapag nagmamana ng mga naturang pag-aari, mahalagang suriin ang kanilang halaga, mga potensyal na daloy ng kita, at anumang "&amp;"umiiral na mga pag-upa o kontrata. Bukod pa rito, isaalang-alang ang mga aspeto ng pagpapatakbo ng pamamahala sa ari-arian, kabilang ang pagpapanatili, mga buwis, insurance, at pagsunod sa mga lokal na regulasyon. Depende sa istruktura ng negosyo o pamumu"&amp;"hunan, maaaring may mga implikasyon para sa mga karapatan sa pagmamay-ari, kontrol, at mga proseso ng paggawa ng desisyon sa mga tagapagmana o benepisyaryo. Napakahalaga na matugunan ang mga pagsasaalang-alang na ito nang maagap upang matiyak ang maayos n"&amp;"a paglipat at patuloy na pagpapatakbo ng negosyo o investment property. Ang pagkonsulta sa mga legal, pinansyal, at mga propesyonal sa buwis ay maaaring magbigay ng mahalagang gabay sa pag-navigate sa mga kumplikadong ito at pag-maximize sa mga benepisyo "&amp;"ng minanang negosyo o pamumuhunan na mga ari-arian.")</f>
        <v>Oo, may mga partikular na pagsasaalang-alang para sa mga ari-arian ng negosyo o mga ari-arian ng pamumuhunan sa konteksto ng mana. Kapag nagmamana ng mga naturang pag-aari, mahalagang suriin ang kanilang halaga, mga potensyal na daloy ng kita, at anumang umiiral na mga pag-upa o kontrata. Bukod pa rito, isaalang-alang ang mga aspeto ng pagpapatakbo ng pamamahala sa ari-arian, kabilang ang pagpapanatili, mga buwis, insurance, at pagsunod sa mga lokal na regulasyon. Depende sa istruktura ng negosyo o pamumuhunan, maaaring may mga implikasyon para sa mga karapatan sa pagmamay-ari, kontrol, at mga proseso ng paggawa ng desisyon sa mga tagapagmana o benepisyaryo. Napakahalaga na matugunan ang mga pagsasaalang-alang na ito nang maagap upang matiyak ang maayos na paglipat at patuloy na pagpapatakbo ng negosyo o investment property. Ang pagkonsulta sa mga legal, pinansyal, at mga propesyonal sa buwis ay maaaring magbigay ng mahalagang gabay sa pag-navigate sa mga kumplikadong ito at pag-maximize sa mga benepisyo ng minanang negosyo o pamumuhunan na mga ari-arian.</v>
      </c>
      <c r="F339" s="2">
        <f t="shared" si="1"/>
        <v>0</v>
      </c>
      <c r="G339" s="2"/>
      <c r="H339" s="2"/>
      <c r="I339" s="2"/>
      <c r="J339" s="2"/>
      <c r="K339" s="2"/>
      <c r="L339" s="2"/>
      <c r="M339" s="2"/>
      <c r="N339" s="2"/>
      <c r="O339" s="2"/>
      <c r="P339" s="2"/>
      <c r="Q339" s="2"/>
      <c r="R339" s="2"/>
      <c r="S339" s="2"/>
      <c r="T339" s="2"/>
      <c r="U339" s="2"/>
      <c r="V339" s="2"/>
      <c r="W339" s="2"/>
      <c r="X339" s="2"/>
      <c r="Y339" s="2"/>
      <c r="Z339" s="2"/>
      <c r="AA339" s="2"/>
    </row>
    <row r="340">
      <c r="A340" s="1" t="s">
        <v>1224</v>
      </c>
      <c r="B340" s="1" t="s">
        <v>1303</v>
      </c>
      <c r="C340" s="1" t="s">
        <v>1304</v>
      </c>
      <c r="D340" s="1" t="s">
        <v>1305</v>
      </c>
      <c r="E340" s="2" t="str">
        <f>IFERROR(__xludf.DUMMYFUNCTION("GOOGLETRANSLATE(C340, ""en"", ""TL"")"),"Maaaring mag-iba ang proseso ng probate kapag nakikitungo sa mga ari-arian ng real estate dahil sa kakaibang katangian ng pagmamay-ari at paglilipat ng real property. Kapag ang isang namatay na tao ay nagmamay-ari ng real estate, ang proseso ng probate ay"&amp;" karaniwang nagsasangkot ng mga karagdagang hakbang upang ilipat ang titulo ng ari-arian sa mga tagapagmana o mga benepisyaryo. Maaaring kabilang sa mga hakbang na ito ang pagtukoy at pag-imbentaryo ng lahat ng ari-arian ng real estate, pagkuha ng mga pag"&amp;"tatasa upang matukoy ang halaga ng mga ito, at pagtugon sa anumang mga hindi pa nababayarang mortgage o lien sa ari-arian. Bukod pa rito, maaaring mangailangan ng partikular na dokumentasyon ang probate na nauugnay sa real estate, gaya ng mga gawa, titulo"&amp;", at mga talaan ng buwis sa ari-arian. Upang simulan ang probate ng isang ari-arian na may ari-arian, ilang hakbang ang dapat gawin. Una, maghain ng petisyon sa probate court sa hurisdiksyon kung saan naninirahan ang namatay o kung saan matatagpuan ang ar"&amp;"i-arian. Ang petisyon na ito ay humihiling sa korte na magtalaga ng isang personal na kinatawan o tagapagpatupad upang pamahalaan ang ari-arian, kabilang ang mga ari-arian ng real estate. Susunod, ibigay ang kinakailangang dokumentasyon, tulad ng testamen"&amp;"to ng namatay, sertipiko ng kamatayan, at imbentaryo ng mga ari-arian, kabilang ang anumang real estate. Ang hukuman ay maglalabas ng mga liham na testamentaryo o mga liham ng pangangasiwa, na nagbibigay sa personal na kinatawan ng awtoridad na kumilos sa"&amp;" ngalan ng ari-arian. Panghuli, sundin ang mga tagubilin ng korte at mga legal na kinakailangan upang pangasiwaan ang ari-arian, kabilang ang paglilipat o pagbebenta ng mga ari-arian ng real estate ayon sa mga tuntunin ng testamento o mga naaangkop na bat"&amp;"as sa kawalan ng buhay. Ang pagkonsulta sa isang may karanasang probate attorney ay maaaring magbigay ng mahalagang patnubay at tulong sa buong proseso ng probate, lalo na kapag nakikitungo sa mga ari-arian ng real estate.")</f>
        <v>Maaaring mag-iba ang proseso ng probate kapag nakikitungo sa mga ari-arian ng real estate dahil sa kakaibang katangian ng pagmamay-ari at paglilipat ng real property. Kapag ang isang namatay na tao ay nagmamay-ari ng real estate, ang proseso ng probate ay karaniwang nagsasangkot ng mga karagdagang hakbang upang ilipat ang titulo ng ari-arian sa mga tagapagmana o mga benepisyaryo. Maaaring kabilang sa mga hakbang na ito ang pagtukoy at pag-imbentaryo ng lahat ng ari-arian ng real estate, pagkuha ng mga pagtatasa upang matukoy ang halaga ng mga ito, at pagtugon sa anumang mga hindi pa nababayarang mortgage o lien sa ari-arian. Bukod pa rito, maaaring mangailangan ng partikular na dokumentasyon ang probate na nauugnay sa real estate, gaya ng mga gawa, titulo, at mga talaan ng buwis sa ari-arian. Upang simulan ang probate ng isang ari-arian na may ari-arian, ilang hakbang ang dapat gawin. Una, maghain ng petisyon sa probate court sa hurisdiksyon kung saan naninirahan ang namatay o kung saan matatagpuan ang ari-arian. Ang petisyon na ito ay humihiling sa korte na magtalaga ng isang personal na kinatawan o tagapagpatupad upang pamahalaan ang ari-arian, kabilang ang mga ari-arian ng real estate. Susunod, ibigay ang kinakailangang dokumentasyon, tulad ng testamento ng namatay, sertipiko ng kamatayan, at imbentaryo ng mga ari-arian, kabilang ang anumang real estate. Ang hukuman ay maglalabas ng mga liham na testamentaryo o mga liham ng pangangasiwa, na nagbibigay sa personal na kinatawan ng awtoridad na kumilos sa ngalan ng ari-arian. Panghuli, sundin ang mga tagubilin ng korte at mga legal na kinakailangan upang pangasiwaan ang ari-arian, kabilang ang paglilipat o pagbebenta ng mga ari-arian ng real estate ayon sa mga tuntunin ng testamento o mga naaangkop na batas sa kawalan ng buhay. Ang pagkonsulta sa isang may karanasang probate attorney ay maaaring magbigay ng mahalagang patnubay at tulong sa buong proseso ng probate, lalo na kapag nakikitungo sa mga ari-arian ng real estate.</v>
      </c>
      <c r="F340" s="2">
        <f t="shared" si="1"/>
        <v>0</v>
      </c>
      <c r="G340" s="2"/>
      <c r="H340" s="2"/>
      <c r="I340" s="2"/>
      <c r="J340" s="2"/>
      <c r="K340" s="2"/>
      <c r="L340" s="2"/>
      <c r="M340" s="2"/>
      <c r="N340" s="2"/>
      <c r="O340" s="2"/>
      <c r="P340" s="2"/>
      <c r="Q340" s="2"/>
      <c r="R340" s="2"/>
      <c r="S340" s="2"/>
      <c r="T340" s="2"/>
      <c r="U340" s="2"/>
      <c r="V340" s="2"/>
      <c r="W340" s="2"/>
      <c r="X340" s="2"/>
      <c r="Y340" s="2"/>
      <c r="Z340" s="2"/>
      <c r="AA340" s="2"/>
    </row>
    <row r="341">
      <c r="A341" s="1" t="s">
        <v>1224</v>
      </c>
      <c r="B341" s="1" t="s">
        <v>1306</v>
      </c>
      <c r="C341" s="1" t="s">
        <v>1307</v>
      </c>
      <c r="D341" s="1" t="s">
        <v>1308</v>
      </c>
      <c r="E341" s="2" t="str">
        <f>IFERROR(__xludf.DUMMYFUNCTION("GOOGLETRANSLATE(C341, ""en"", ""TL"")"),"Sa madaling sabi, magkakaroon ng legal o intestate succession kung ang namatay ay namatay nang hindi nag-iiwan ng anumang last will and testament. Kaya, ang batas ay papasok upang ipamahagi, batay sa ipinapalagay na kalooban ng namatay, ang mana na pabor "&amp;"sa kanyang mga sapilitang tagapagmana.")</f>
        <v>Sa madaling sabi, magkakaroon ng legal o intestate succession kung ang namatay ay namatay nang hindi nag-iiwan ng anumang last will and testament. Kaya, ang batas ay papasok upang ipamahagi, batay sa ipinapalagay na kalooban ng namatay, ang mana na pabor sa kanyang mga sapilitang tagapagmana.</v>
      </c>
      <c r="F341" s="2">
        <f t="shared" si="1"/>
        <v>0</v>
      </c>
      <c r="G341" s="2"/>
      <c r="H341" s="2"/>
      <c r="I341" s="2"/>
      <c r="J341" s="2"/>
      <c r="K341" s="2"/>
      <c r="L341" s="2"/>
      <c r="M341" s="2"/>
      <c r="N341" s="2"/>
      <c r="O341" s="2"/>
      <c r="P341" s="2"/>
      <c r="Q341" s="2"/>
      <c r="R341" s="2"/>
      <c r="S341" s="2"/>
      <c r="T341" s="2"/>
      <c r="U341" s="2"/>
      <c r="V341" s="2"/>
      <c r="W341" s="2"/>
      <c r="X341" s="2"/>
      <c r="Y341" s="2"/>
      <c r="Z341" s="2"/>
      <c r="AA341" s="2"/>
    </row>
    <row r="342">
      <c r="A342" s="1" t="s">
        <v>1224</v>
      </c>
      <c r="B342" s="1" t="s">
        <v>1309</v>
      </c>
      <c r="C342" s="1" t="s">
        <v>1310</v>
      </c>
      <c r="D342" s="1" t="s">
        <v>1311</v>
      </c>
      <c r="E342" s="2" t="str">
        <f>IFERROR(__xludf.DUMMYFUNCTION("GOOGLETRANSLATE(C342, ""en"", ""TL"")"),"Ang mga benepisyaryo ng minanang ari-arian ay nagtataglay ng ilang mga legal na karapatan, kabilang ang karapatan sa kanilang itinalagang bahagi gaya ng nakabalangkas sa testamento ng namatay o ayon sa mga batas ng intestacy kung walang habilin. May karap"&amp;"atan din silang malaman ang tungkol sa mga paglilitis sa pangangasiwa ng ari-arian, hamunin ang bisa ng testamento, at labanan ang mga aksyon ng tagapagpatupad kung kinakailangan. Ang mga hindi pagkakaunawaan sa pagitan ng mga benepisyaryo ay maaaring mal"&amp;"utas sa pamamagitan ng pamamagitan, negosasyon, o paglilitis, na may opsyon ang mga benepisyaryo na humingi ng resolusyon sa pamamagitan ng probate court kung mabibigo ang mga impormal na pamamaraan. Mahalaga para sa mga benepisyaryo na maunawaan ang kani"&amp;"lang mga karapatan at humingi ng legal na payo kapag nagna-navigate sa mga hindi pagkakaunawaan upang matiyak ang patas na pagtrato at protektahan ang kanilang mga interes sa proseso ng mana.")</f>
        <v>Ang mga benepisyaryo ng minanang ari-arian ay nagtataglay ng ilang mga legal na karapatan, kabilang ang karapatan sa kanilang itinalagang bahagi gaya ng nakabalangkas sa testamento ng namatay o ayon sa mga batas ng intestacy kung walang habilin. May karapatan din silang malaman ang tungkol sa mga paglilitis sa pangangasiwa ng ari-arian, hamunin ang bisa ng testamento, at labanan ang mga aksyon ng tagapagpatupad kung kinakailangan. Ang mga hindi pagkakaunawaan sa pagitan ng mga benepisyaryo ay maaaring malutas sa pamamagitan ng pamamagitan, negosasyon, o paglilitis, na may opsyon ang mga benepisyaryo na humingi ng resolusyon sa pamamagitan ng probate court kung mabibigo ang mga impormal na pamamaraan. Mahalaga para sa mga benepisyaryo na maunawaan ang kanilang mga karapatan at humingi ng legal na payo kapag nagna-navigate sa mga hindi pagkakaunawaan upang matiyak ang patas na pagtrato at protektahan ang kanilang mga interes sa proseso ng mana.</v>
      </c>
      <c r="F342" s="2">
        <f t="shared" si="1"/>
        <v>0</v>
      </c>
      <c r="G342" s="2"/>
      <c r="H342" s="2"/>
      <c r="I342" s="2"/>
      <c r="J342" s="2"/>
      <c r="K342" s="2"/>
      <c r="L342" s="2"/>
      <c r="M342" s="2"/>
      <c r="N342" s="2"/>
      <c r="O342" s="2"/>
      <c r="P342" s="2"/>
      <c r="Q342" s="2"/>
      <c r="R342" s="2"/>
      <c r="S342" s="2"/>
      <c r="T342" s="2"/>
      <c r="U342" s="2"/>
      <c r="V342" s="2"/>
      <c r="W342" s="2"/>
      <c r="X342" s="2"/>
      <c r="Y342" s="2"/>
      <c r="Z342" s="2"/>
      <c r="AA342" s="2"/>
    </row>
    <row r="343">
      <c r="A343" s="1" t="s">
        <v>1224</v>
      </c>
      <c r="B343" s="1" t="s">
        <v>1312</v>
      </c>
      <c r="C343" s="1" t="s">
        <v>1313</v>
      </c>
      <c r="D343" s="1" t="s">
        <v>1314</v>
      </c>
      <c r="E343" s="2" t="str">
        <f>IFERROR(__xludf.DUMMYFUNCTION("GOOGLETRANSLATE(C343, ""en"", ""TL"")"),"Kasama sa mga tungkulin ng isang tagapagpatupad ang pagkilala at pagkolekta ng mga ari-arian ng ari-arian, ang pag-iingat at pamumuhunan ng mga ari-arian na nakabinbing pamamahagi sa mga benepisyaryo, ang pagbabayad ng mga utang at mga pananagutan na inut"&amp;"ang ng ari-arian, ang paghahain ng naaangkop na mga tax return para sa namatay at ang ari-arian, at sa huli ang pamamahagi ng mga ari-arian sa mga benepisyaryo alinsunod sa mga probisyon ng Will.")</f>
        <v>Kasama sa mga tungkulin ng isang tagapagpatupad ang pagkilala at pagkolekta ng mga ari-arian ng ari-arian, ang pag-iingat at pamumuhunan ng mga ari-arian na nakabinbing pamamahagi sa mga benepisyaryo, ang pagbabayad ng mga utang at mga pananagutan na inutang ng ari-arian, ang paghahain ng naaangkop na mga tax return para sa namatay at ang ari-arian, at sa huli ang pamamahagi ng mga ari-arian sa mga benepisyaryo alinsunod sa mga probisyon ng Will.</v>
      </c>
      <c r="F343" s="2">
        <f t="shared" si="1"/>
        <v>0</v>
      </c>
      <c r="G343" s="2"/>
      <c r="H343" s="2"/>
      <c r="I343" s="2"/>
      <c r="J343" s="2"/>
      <c r="K343" s="2"/>
      <c r="L343" s="2"/>
      <c r="M343" s="2"/>
      <c r="N343" s="2"/>
      <c r="O343" s="2"/>
      <c r="P343" s="2"/>
      <c r="Q343" s="2"/>
      <c r="R343" s="2"/>
      <c r="S343" s="2"/>
      <c r="T343" s="2"/>
      <c r="U343" s="2"/>
      <c r="V343" s="2"/>
      <c r="W343" s="2"/>
      <c r="X343" s="2"/>
      <c r="Y343" s="2"/>
      <c r="Z343" s="2"/>
      <c r="AA343" s="2"/>
    </row>
    <row r="344">
      <c r="A344" s="1" t="s">
        <v>1224</v>
      </c>
      <c r="B344" s="1" t="s">
        <v>1315</v>
      </c>
      <c r="C344" s="1" t="s">
        <v>1316</v>
      </c>
      <c r="D344" s="1" t="s">
        <v>1317</v>
      </c>
      <c r="E344" s="2" t="str">
        <f>IFERROR(__xludf.DUMMYFUNCTION("GOOGLETRANSLATE(C344, ""en"", ""TL"")"),"Bagama't ang ganap na pag-iwas sa inheritance tax ay maaaring hindi magagawa, may mga diskarte upang mabawasan ang epekto nito. Ang pagbibigay ng mga asset bago mamatay, pag-set up ng mga trust, at pagsasamantala sa mga exemption ng estado ay maaaring mak"&amp;"atulong na mabawasan ang pasanin sa buwis sa mana.")</f>
        <v>Bagama't ang ganap na pag-iwas sa inheritance tax ay maaaring hindi magagawa, may mga diskarte upang mabawasan ang epekto nito. Ang pagbibigay ng mga asset bago mamatay, pag-set up ng mga trust, at pagsasamantala sa mga exemption ng estado ay maaaring makatulong na mabawasan ang pasanin sa buwis sa mana.</v>
      </c>
      <c r="F344" s="2">
        <f t="shared" si="1"/>
        <v>0</v>
      </c>
      <c r="G344" s="2"/>
      <c r="H344" s="2"/>
      <c r="I344" s="2"/>
      <c r="J344" s="2"/>
      <c r="K344" s="2"/>
      <c r="L344" s="2"/>
      <c r="M344" s="2"/>
      <c r="N344" s="2"/>
      <c r="O344" s="2"/>
      <c r="P344" s="2"/>
      <c r="Q344" s="2"/>
      <c r="R344" s="2"/>
      <c r="S344" s="2"/>
      <c r="T344" s="2"/>
      <c r="U344" s="2"/>
      <c r="V344" s="2"/>
      <c r="W344" s="2"/>
      <c r="X344" s="2"/>
      <c r="Y344" s="2"/>
      <c r="Z344" s="2"/>
      <c r="AA344" s="2"/>
    </row>
    <row r="345">
      <c r="A345" s="1" t="s">
        <v>1224</v>
      </c>
      <c r="B345" s="1" t="s">
        <v>1318</v>
      </c>
      <c r="C345" s="1" t="s">
        <v>1319</v>
      </c>
      <c r="D345" s="1" t="s">
        <v>1320</v>
      </c>
      <c r="E345" s="2" t="str">
        <f>IFERROR(__xludf.DUMMYFUNCTION("GOOGLETRANSLATE(C345, ""en"", ""TL"")"),"Maaari Ka Bang Magbenta ng Minamanang Ari-arian Bago ang Probate Ang maikling sagot ay hindi. Hindi mo pagmamay-ari ang ari-arian hanggang sa matapos ang proseso ng probate. Nangangahulugan iyon na wala kang karapatang ibenta ang ari-arian hanggang sa mat"&amp;"apos ang buong proseso ng probate.")</f>
        <v>Maaari Ka Bang Magbenta ng Minamanang Ari-arian Bago ang Probate Ang maikling sagot ay hindi. Hindi mo pagmamay-ari ang ari-arian hanggang sa matapos ang proseso ng probate. Nangangahulugan iyon na wala kang karapatang ibenta ang ari-arian hanggang sa matapos ang buong proseso ng probate.</v>
      </c>
      <c r="F345" s="2">
        <f t="shared" si="1"/>
        <v>0</v>
      </c>
      <c r="G345" s="2"/>
      <c r="H345" s="2"/>
      <c r="I345" s="2"/>
      <c r="J345" s="2"/>
      <c r="K345" s="2"/>
      <c r="L345" s="2"/>
      <c r="M345" s="2"/>
      <c r="N345" s="2"/>
      <c r="O345" s="2"/>
      <c r="P345" s="2"/>
      <c r="Q345" s="2"/>
      <c r="R345" s="2"/>
      <c r="S345" s="2"/>
      <c r="T345" s="2"/>
      <c r="U345" s="2"/>
      <c r="V345" s="2"/>
      <c r="W345" s="2"/>
      <c r="X345" s="2"/>
      <c r="Y345" s="2"/>
      <c r="Z345" s="2"/>
      <c r="AA345" s="2"/>
    </row>
    <row r="346">
      <c r="A346" s="1" t="s">
        <v>1224</v>
      </c>
      <c r="B346" s="1" t="s">
        <v>1321</v>
      </c>
      <c r="C346" s="1" t="s">
        <v>1322</v>
      </c>
      <c r="D346" s="1" t="s">
        <v>1323</v>
      </c>
      <c r="E346" s="2" t="str">
        <f>IFERROR(__xludf.DUMMYFUNCTION("GOOGLETRANSLATE(C346, ""en"", ""TL"")"),"Kasama sa mga karaniwang batayan para sa paglaban sa isang testamento ang kakulangan ng kapasidad ng testamentaryo, hindi nararapat na impluwensya, pandaraya, at hindi wastong pagpapatupad. Upang matiyak ang isang patas na pamamahagi at paglutas ng mga hi"&amp;"ndi pagkakaunawaan sa paligid ng Wills and Estates, ang mga alternatibo tulad ng pamamagitan at negosasyon ay dapat tuklasin bago gumamit ng paglilitis.")</f>
        <v>Kasama sa mga karaniwang batayan para sa paglaban sa isang testamento ang kakulangan ng kapasidad ng testamentaryo, hindi nararapat na impluwensya, pandaraya, at hindi wastong pagpapatupad. Upang matiyak ang isang patas na pamamahagi at paglutas ng mga hindi pagkakaunawaan sa paligid ng Wills and Estates, ang mga alternatibo tulad ng pamamagitan at negosasyon ay dapat tuklasin bago gumamit ng paglilitis.</v>
      </c>
      <c r="F346" s="2">
        <f t="shared" si="1"/>
        <v>0</v>
      </c>
      <c r="G346" s="2"/>
      <c r="H346" s="2"/>
      <c r="I346" s="2"/>
      <c r="J346" s="2"/>
      <c r="K346" s="2"/>
      <c r="L346" s="2"/>
      <c r="M346" s="2"/>
      <c r="N346" s="2"/>
      <c r="O346" s="2"/>
      <c r="P346" s="2"/>
      <c r="Q346" s="2"/>
      <c r="R346" s="2"/>
      <c r="S346" s="2"/>
      <c r="T346" s="2"/>
      <c r="U346" s="2"/>
      <c r="V346" s="2"/>
      <c r="W346" s="2"/>
      <c r="X346" s="2"/>
      <c r="Y346" s="2"/>
      <c r="Z346" s="2"/>
      <c r="AA346" s="2"/>
    </row>
    <row r="347">
      <c r="A347" s="1" t="s">
        <v>1224</v>
      </c>
      <c r="B347" s="1" t="s">
        <v>1324</v>
      </c>
      <c r="C347" s="1" t="s">
        <v>1325</v>
      </c>
      <c r="D347" s="1" t="s">
        <v>1326</v>
      </c>
      <c r="E347" s="2" t="str">
        <f>IFERROR(__xludf.DUMMYFUNCTION("GOOGLETRANSLATE(C347, ""en"", ""TL"")"),"Sa buod, ang pagsusulat ng Will para sa isang pinaghalong pamilya ay maaaring maging isang kumplikadong proseso. Sa mga sitwasyong ito, mahalagang isaalang-alang ang legal na istruktura ng iyong pamilya, ang pamamahagi ng iyong mga ari-arian at kung sino "&amp;"ang magiging tagapagpatupad ng iyong ari-arian. Dapat mo ring panatilihin ang malinaw na komunikasyon sa iyong pamilya, upang maging malinaw ang iyong mga kagustuhan at maiwasan ang mga hindi pagkakaunawaan sa hinaharap.")</f>
        <v>Sa buod, ang pagsusulat ng Will para sa isang pinaghalong pamilya ay maaaring maging isang kumplikadong proseso. Sa mga sitwasyong ito, mahalagang isaalang-alang ang legal na istruktura ng iyong pamilya, ang pamamahagi ng iyong mga ari-arian at kung sino ang magiging tagapagpatupad ng iyong ari-arian. Dapat mo ring panatilihin ang malinaw na komunikasyon sa iyong pamilya, upang maging malinaw ang iyong mga kagustuhan at maiwasan ang mga hindi pagkakaunawaan sa hinaharap.</v>
      </c>
      <c r="F347" s="2">
        <f t="shared" si="1"/>
        <v>0</v>
      </c>
      <c r="G347" s="2"/>
      <c r="H347" s="2"/>
      <c r="I347" s="2"/>
      <c r="J347" s="2"/>
      <c r="K347" s="2"/>
      <c r="L347" s="2"/>
      <c r="M347" s="2"/>
      <c r="N347" s="2"/>
      <c r="O347" s="2"/>
      <c r="P347" s="2"/>
      <c r="Q347" s="2"/>
      <c r="R347" s="2"/>
      <c r="S347" s="2"/>
      <c r="T347" s="2"/>
      <c r="U347" s="2"/>
      <c r="V347" s="2"/>
      <c r="W347" s="2"/>
      <c r="X347" s="2"/>
      <c r="Y347" s="2"/>
      <c r="Z347" s="2"/>
      <c r="AA347" s="2"/>
    </row>
    <row r="348">
      <c r="A348" s="1" t="s">
        <v>1224</v>
      </c>
      <c r="B348" s="1" t="s">
        <v>1327</v>
      </c>
      <c r="C348" s="1" t="s">
        <v>1328</v>
      </c>
      <c r="D348" s="1" t="s">
        <v>1329</v>
      </c>
      <c r="E348" s="2" t="str">
        <f>IFERROR(__xludf.DUMMYFUNCTION("GOOGLETRANSLATE(C348, ""en"", ""TL"")"),"Ang pamana ng ari-arian ay maaaring mag-iba depende sa uri ng real estate na kasangkot. Ang mga tirahan, komersyal na ari-arian, at bakanteng lupa ay may mga natatanging katangian na maaaring makaapekto sa proseso ng pamana. Ang mga residential na bahay a"&amp;"y karaniwang ginagamit para sa mga layunin ng personal na tirahan, at ang mana ay maaaring may kasamang mga pagsasaalang-alang gaya ng mga karapatan sa pagtira, sentimental na halaga, at potensyal na dynamics ng pamilya. Ang mga komersyal na ari-arian, sa"&amp;" kabilang banda, ay ginagamit para sa mga layunin ng negosyo, at ang mana ay maaaring may kasamang mga pagsasaalang-alang gaya ng mga kasunduan sa pag-upa, kita sa pag-upa, at pagpapatuloy ng negosyo. Ang bakanteng lupa ay maaaring magkaroon ng potensyal "&amp;"na pag-unlad o pagsasaalang-alang sa kapaligiran, na nakakaapekto sa halaga at potensyal na paggamit nito. Bukod pa rito, ang bawat uri ng real estate ay maaaring sumailalim sa iba't ibang mga regulasyon sa zoning, mga implikasyon sa buwis, at mga kinakai"&amp;"langan sa pagpapanatili, na maaaring makaimpluwensya sa proseso ng pagmamana at kasunod na pamamahala ng ari-arian. Ang pag-unawa sa mga pagkakaibang ito at paghahanap ng naaangkop na legal at pinansyal na patnubay ay makakatulong na matiyak ang maayos at"&amp;" matagumpay na pamana ng iba't ibang uri ng real estate.")</f>
        <v>Ang pamana ng ari-arian ay maaaring mag-iba depende sa uri ng real estate na kasangkot. Ang mga tirahan, komersyal na ari-arian, at bakanteng lupa ay may mga natatanging katangian na maaaring makaapekto sa proseso ng pamana. Ang mga residential na bahay ay karaniwang ginagamit para sa mga layunin ng personal na tirahan, at ang mana ay maaaring may kasamang mga pagsasaalang-alang gaya ng mga karapatan sa pagtira, sentimental na halaga, at potensyal na dynamics ng pamilya. Ang mga komersyal na ari-arian, sa kabilang banda, ay ginagamit para sa mga layunin ng negosyo, at ang mana ay maaaring may kasamang mga pagsasaalang-alang gaya ng mga kasunduan sa pag-upa, kita sa pag-upa, at pagpapatuloy ng negosyo. Ang bakanteng lupa ay maaaring magkaroon ng potensyal na pag-unlad o pagsasaalang-alang sa kapaligiran, na nakakaapekto sa halaga at potensyal na paggamit nito. Bukod pa rito, ang bawat uri ng real estate ay maaaring sumailalim sa iba't ibang mga regulasyon sa zoning, mga implikasyon sa buwis, at mga kinakailangan sa pagpapanatili, na maaaring makaimpluwensya sa proseso ng pagmamana at kasunod na pamamahala ng ari-arian. Ang pag-unawa sa mga pagkakaibang ito at paghahanap ng naaangkop na legal at pinansyal na patnubay ay makakatulong na matiyak ang maayos at matagumpay na pamana ng iba't ibang uri ng real estate.</v>
      </c>
      <c r="F348" s="2">
        <f t="shared" si="1"/>
        <v>0</v>
      </c>
      <c r="G348" s="2"/>
      <c r="H348" s="2"/>
      <c r="I348" s="2"/>
      <c r="J348" s="2"/>
      <c r="K348" s="2"/>
      <c r="L348" s="2"/>
      <c r="M348" s="2"/>
      <c r="N348" s="2"/>
      <c r="O348" s="2"/>
      <c r="P348" s="2"/>
      <c r="Q348" s="2"/>
      <c r="R348" s="2"/>
      <c r="S348" s="2"/>
      <c r="T348" s="2"/>
      <c r="U348" s="2"/>
      <c r="V348" s="2"/>
      <c r="W348" s="2"/>
      <c r="X348" s="2"/>
      <c r="Y348" s="2"/>
      <c r="Z348" s="2"/>
      <c r="AA348" s="2"/>
    </row>
    <row r="349">
      <c r="A349" s="1" t="s">
        <v>1224</v>
      </c>
      <c r="B349" s="1" t="s">
        <v>1330</v>
      </c>
      <c r="C349" s="1" t="s">
        <v>1331</v>
      </c>
      <c r="D349" s="1" t="s">
        <v>1332</v>
      </c>
      <c r="E349" s="2" t="str">
        <f>IFERROR(__xludf.DUMMYFUNCTION("GOOGLETRANSLATE(C349, ""en"", ""TL"")"),"Kung ang halaga ng ari-arian na naiwan sa menor de edad ay hindi makabuluhan, karaniwan ay $20,000 o mas mababa, maaaring payagan ng batas ng estado ang isang interesadong nasa hustong gulang tulad ng magulang o lolo o lola ng menor na humiling na ang man"&amp;"a ng menor de edad ay mailagay sa isang account na itinatag sa ilalim ng Uniform Transfers ng estado sa Minors Act (UTMA) o Uniform Gifts to Minors Act (UGMA).")</f>
        <v>Kung ang halaga ng ari-arian na naiwan sa menor de edad ay hindi makabuluhan, karaniwan ay $20,000 o mas mababa, maaaring payagan ng batas ng estado ang isang interesadong nasa hustong gulang tulad ng magulang o lolo o lola ng menor na humiling na ang mana ng menor de edad ay mailagay sa isang account na itinatag sa ilalim ng Uniform Transfers ng estado sa Minors Act (UTMA) o Uniform Gifts to Minors Act (UGMA).</v>
      </c>
      <c r="F349" s="2">
        <f t="shared" si="1"/>
        <v>0</v>
      </c>
      <c r="G349" s="2"/>
      <c r="H349" s="2"/>
      <c r="I349" s="2"/>
      <c r="J349" s="2"/>
      <c r="K349" s="2"/>
      <c r="L349" s="2"/>
      <c r="M349" s="2"/>
      <c r="N349" s="2"/>
      <c r="O349" s="2"/>
      <c r="P349" s="2"/>
      <c r="Q349" s="2"/>
      <c r="R349" s="2"/>
      <c r="S349" s="2"/>
      <c r="T349" s="2"/>
      <c r="U349" s="2"/>
      <c r="V349" s="2"/>
      <c r="W349" s="2"/>
      <c r="X349" s="2"/>
      <c r="Y349" s="2"/>
      <c r="Z349" s="2"/>
      <c r="AA349" s="2"/>
    </row>
    <row r="350">
      <c r="A350" s="1" t="s">
        <v>1224</v>
      </c>
      <c r="B350" s="1" t="s">
        <v>1333</v>
      </c>
      <c r="C350" s="1" t="s">
        <v>1334</v>
      </c>
      <c r="D350" s="1" t="s">
        <v>1335</v>
      </c>
      <c r="E350" s="2" t="str">
        <f>IFERROR(__xludf.DUMMYFUNCTION("GOOGLETRANSLATE(C350, ""en"", ""TL"")"),"Babalewalain ng korte ang mga ganitong kondisyon. Hindi ka maaaring maglagay ng mga paghihigpit sa kasal. Sa pangkalahatan, ang hukuman ay hindi magpapatupad ng mga kundisyong nilayon upang pagbawalan ang isang benepisyaryo na magpakasal.")</f>
        <v>Babalewalain ng korte ang mga ganitong kondisyon. Hindi ka maaaring maglagay ng mga paghihigpit sa kasal. Sa pangkalahatan, ang hukuman ay hindi magpapatupad ng mga kundisyong nilayon upang pagbawalan ang isang benepisyaryo na magpakasal.</v>
      </c>
      <c r="F350" s="2">
        <f t="shared" si="1"/>
        <v>0</v>
      </c>
      <c r="G350" s="2"/>
      <c r="H350" s="2"/>
      <c r="I350" s="2"/>
      <c r="J350" s="2"/>
      <c r="K350" s="2"/>
      <c r="L350" s="2"/>
      <c r="M350" s="2"/>
      <c r="N350" s="2"/>
      <c r="O350" s="2"/>
      <c r="P350" s="2"/>
      <c r="Q350" s="2"/>
      <c r="R350" s="2"/>
      <c r="S350" s="2"/>
      <c r="T350" s="2"/>
      <c r="U350" s="2"/>
      <c r="V350" s="2"/>
      <c r="W350" s="2"/>
      <c r="X350" s="2"/>
      <c r="Y350" s="2"/>
      <c r="Z350" s="2"/>
      <c r="AA350" s="2"/>
    </row>
    <row r="351">
      <c r="A351" s="1" t="s">
        <v>1224</v>
      </c>
      <c r="B351" s="1" t="s">
        <v>1336</v>
      </c>
      <c r="C351" s="1" t="s">
        <v>1337</v>
      </c>
      <c r="D351" s="1" t="s">
        <v>1338</v>
      </c>
      <c r="E351" s="2" t="str">
        <f>IFERROR(__xludf.DUMMYFUNCTION("GOOGLETRANSLATE(C351, ""en"", ""TL"")"),"Ang pagkakaroon ng tiwala sa lugar para sa mana ng ari-arian ay maaaring magkaroon ng ilang implikasyon, kabilang ang potensyal na pag-iwas sa proseso ng probate nang buo. Kapag ang ari-arian ay inilagay sa isang trust, ito ay legal na pagmamay-ari ng tru"&amp;"st mismo, sa halip na ang indibidwal. Bilang resulta, sa pagkamatay ng trust creator, ang ari-arian ay maaaring direktang maipasa sa mga benepisyaryo na pinangalanan sa trust nang hindi dumaan sa probate. Maaari itong humantong sa mas mabilis na pamamahag"&amp;"i ng mga asset, pagtaas ng privacy, at potensyal na mabawasan ang mga gastos na nauugnay sa mga paglilitis sa probate. Bukod pa rito, nag-aalok ang mga trust ng higit na kakayahang umangkop sa kung paano pinamamahalaan at ipinamamahagi ang mga asset, na n"&amp;"agbibigay-daan sa tagalikha ng trust na tukuyin ang mga detalyadong tagubilin para sa pamamahagi ng asset, magbigay ng mga benepisyaryo na may mga espesyal na pangangailangan, at bawasan ang mga buwis sa ari-arian. Gayunpaman, ang pagtatatag at pamamahala"&amp;" ng isang trust ay nagsasangkot ng mga paunang gastos at patuloy na mga responsibilidad sa pangangasiwa, tulad ng pagpopondo sa trust, paghirang ng isang trustee, at pagtiyak ng pagsunod sa mga legal na kinakailangan. Mahalagang kumunsulta sa mga legal at"&amp;" pinansyal na propesyonal upang matukoy kung ang isang tiwala ay angkop para sa iyong mga partikular na kalagayan at upang matiyak na ito ay maayos na nabalangkas at pinangangasiwaan upang makamit ang iyong mga layunin sa pagpaplano ng ari-arian.")</f>
        <v>Ang pagkakaroon ng tiwala sa lugar para sa mana ng ari-arian ay maaaring magkaroon ng ilang implikasyon, kabilang ang potensyal na pag-iwas sa proseso ng probate nang buo. Kapag ang ari-arian ay inilagay sa isang trust, ito ay legal na pagmamay-ari ng trust mismo, sa halip na ang indibidwal. Bilang resulta, sa pagkamatay ng trust creator, ang ari-arian ay maaaring direktang maipasa sa mga benepisyaryo na pinangalanan sa trust nang hindi dumaan sa probate. Maaari itong humantong sa mas mabilis na pamamahagi ng mga asset, pagtaas ng privacy, at potensyal na mabawasan ang mga gastos na nauugnay sa mga paglilitis sa probate. Bukod pa rito, nag-aalok ang mga trust ng higit na kakayahang umangkop sa kung paano pinamamahalaan at ipinamamahagi ang mga asset, na nagbibigay-daan sa tagalikha ng trust na tukuyin ang mga detalyadong tagubilin para sa pamamahagi ng asset, magbigay ng mga benepisyaryo na may mga espesyal na pangangailangan, at bawasan ang mga buwis sa ari-arian. Gayunpaman, ang pagtatatag at pamamahala ng isang trust ay nagsasangkot ng mga paunang gastos at patuloy na mga responsibilidad sa pangangasiwa, tulad ng pagpopondo sa trust, paghirang ng isang trustee, at pagtiyak ng pagsunod sa mga legal na kinakailangan. Mahalagang kumunsulta sa mga legal at pinansyal na propesyonal upang matukoy kung ang isang tiwala ay angkop para sa iyong mga partikular na kalagayan at upang matiyak na ito ay maayos na nabalangkas at pinangangasiwaan upang makamit ang iyong mga layunin sa pagpaplano ng ari-arian.</v>
      </c>
      <c r="F351" s="2">
        <f t="shared" si="1"/>
        <v>0</v>
      </c>
      <c r="G351" s="2"/>
      <c r="H351" s="2"/>
      <c r="I351" s="2"/>
      <c r="J351" s="2"/>
      <c r="K351" s="2"/>
      <c r="L351" s="2"/>
      <c r="M351" s="2"/>
      <c r="N351" s="2"/>
      <c r="O351" s="2"/>
      <c r="P351" s="2"/>
      <c r="Q351" s="2"/>
      <c r="R351" s="2"/>
      <c r="S351" s="2"/>
      <c r="T351" s="2"/>
      <c r="U351" s="2"/>
      <c r="V351" s="2"/>
      <c r="W351" s="2"/>
      <c r="X351" s="2"/>
      <c r="Y351" s="2"/>
      <c r="Z351" s="2"/>
      <c r="AA351" s="2"/>
    </row>
    <row r="352">
      <c r="A352" s="1" t="s">
        <v>1224</v>
      </c>
      <c r="B352" s="1" t="s">
        <v>1339</v>
      </c>
      <c r="C352" s="1" t="s">
        <v>1340</v>
      </c>
      <c r="D352" s="1" t="s">
        <v>1341</v>
      </c>
      <c r="E352" s="2" t="str">
        <f>IFERROR(__xludf.DUMMYFUNCTION("GOOGLETRANSLATE(C352, ""en"", ""TL"")"),"Dapat kang makipag-ugnayan sa iyong bangko at ipaalam sa kanila na pinaplano mong ilipat ang negosyo sa iyong mga anak o anak sa pamamagitan ng isang pagbebenta o mana ng pamilya, sabi ni Snell, na nagtatrabaho sa mga pamilya upang tulungan silang planuhi"&amp;"n ang paglipat. Kakailanganin mo ring makipag-ugnayan sa iyong abogado at accountant para gawin ang kinakailangang estate at pagpaplano ng buwis, sabi niya.")</f>
        <v>Dapat kang makipag-ugnayan sa iyong bangko at ipaalam sa kanila na pinaplano mong ilipat ang negosyo sa iyong mga anak o anak sa pamamagitan ng isang pagbebenta o mana ng pamilya, sabi ni Snell, na nagtatrabaho sa mga pamilya upang tulungan silang planuhin ang paglipat. Kakailanganin mo ring makipag-ugnayan sa iyong abogado at accountant para gawin ang kinakailangang estate at pagpaplano ng buwis, sabi niya.</v>
      </c>
      <c r="F352" s="2">
        <f t="shared" si="1"/>
        <v>0</v>
      </c>
      <c r="G352" s="2"/>
      <c r="H352" s="2"/>
      <c r="I352" s="2"/>
      <c r="J352" s="2"/>
      <c r="K352" s="2"/>
      <c r="L352" s="2"/>
      <c r="M352" s="2"/>
      <c r="N352" s="2"/>
      <c r="O352" s="2"/>
      <c r="P352" s="2"/>
      <c r="Q352" s="2"/>
      <c r="R352" s="2"/>
      <c r="S352" s="2"/>
      <c r="T352" s="2"/>
      <c r="U352" s="2"/>
      <c r="V352" s="2"/>
      <c r="W352" s="2"/>
      <c r="X352" s="2"/>
      <c r="Y352" s="2"/>
      <c r="Z352" s="2"/>
      <c r="AA352" s="2"/>
    </row>
    <row r="353">
      <c r="A353" s="1" t="s">
        <v>1224</v>
      </c>
      <c r="B353" s="1" t="s">
        <v>1342</v>
      </c>
      <c r="C353" s="1" t="s">
        <v>1343</v>
      </c>
      <c r="D353" s="1" t="s">
        <v>1344</v>
      </c>
      <c r="E353" s="2" t="str">
        <f>IFERROR(__xludf.DUMMYFUNCTION("GOOGLETRANSLATE(C353, ""en"", ""TL"")"),"Ang mga indibidwal na nag-aalala tungkol sa mga potensyal na hamon sa kanilang kalooban ay may ilang mga legal na opsyon na magagamit upang matiyak na ang kanilang ari-arian ay ipinamamahagi ayon sa kanilang mga kagustuhan. Ang pagkonsulta sa isang abogad"&amp;"o sa pagpaplano ng ari-arian ay maaaring makatulong na matiyak na ang testamento ay maayos na nabalangkas at naisakatuparan, na binabawasan ang panganib ng mga hamon. Ang pagsasama ng isang no-contest clause ay nag-aalis ng mga benepisyaryo na tumututol s"&amp;"a kalooban, na humahadlang sa mga potensyal na humahamon. Ang paglikha ng isang maaaring bawiin na tiwala sa buhay ay nagbibigay-daan sa mga asset na direktang maipasa sa mga benepisyaryo nang hindi dumaan sa probate, na nag-aalok ng higit na privacy at b"&amp;"inabawasan ang posibilidad ng mga hamon. Ang lantarang pakikipag-usap sa mga mahal sa buhay at regular na pagrepaso at pag-update ng estate plan ay maaari ding makatulong na maiwasan ang mga hindi pagkakaunawaan at mabawasan ang panganib ng mga hamon sa k"&amp;"alooban.")</f>
        <v>Ang mga indibidwal na nag-aalala tungkol sa mga potensyal na hamon sa kanilang kalooban ay may ilang mga legal na opsyon na magagamit upang matiyak na ang kanilang ari-arian ay ipinamamahagi ayon sa kanilang mga kagustuhan. Ang pagkonsulta sa isang abogado sa pagpaplano ng ari-arian ay maaaring makatulong na matiyak na ang testamento ay maayos na nabalangkas at naisakatuparan, na binabawasan ang panganib ng mga hamon. Ang pagsasama ng isang no-contest clause ay nag-aalis ng mga benepisyaryo na tumututol sa kalooban, na humahadlang sa mga potensyal na humahamon. Ang paglikha ng isang maaaring bawiin na tiwala sa buhay ay nagbibigay-daan sa mga asset na direktang maipasa sa mga benepisyaryo nang hindi dumaan sa probate, na nag-aalok ng higit na privacy at binabawasan ang posibilidad ng mga hamon. Ang lantarang pakikipag-usap sa mga mahal sa buhay at regular na pagrepaso at pag-update ng estate plan ay maaari ding makatulong na maiwasan ang mga hindi pagkakaunawaan at mabawasan ang panganib ng mga hamon sa kalooban.</v>
      </c>
      <c r="F353" s="2">
        <f t="shared" si="1"/>
        <v>0</v>
      </c>
      <c r="G353" s="2"/>
      <c r="H353" s="2"/>
      <c r="I353" s="2"/>
      <c r="J353" s="2"/>
      <c r="K353" s="2"/>
      <c r="L353" s="2"/>
      <c r="M353" s="2"/>
      <c r="N353" s="2"/>
      <c r="O353" s="2"/>
      <c r="P353" s="2"/>
      <c r="Q353" s="2"/>
      <c r="R353" s="2"/>
      <c r="S353" s="2"/>
      <c r="T353" s="2"/>
      <c r="U353" s="2"/>
      <c r="V353" s="2"/>
      <c r="W353" s="2"/>
      <c r="X353" s="2"/>
      <c r="Y353" s="2"/>
      <c r="Z353" s="2"/>
      <c r="AA353" s="2"/>
    </row>
    <row r="354">
      <c r="A354" s="1" t="s">
        <v>1224</v>
      </c>
      <c r="B354" s="1" t="s">
        <v>1345</v>
      </c>
      <c r="C354" s="1" t="s">
        <v>1346</v>
      </c>
      <c r="D354" s="1" t="s">
        <v>1347</v>
      </c>
      <c r="E354" s="2" t="str">
        <f>IFERROR(__xludf.DUMMYFUNCTION("GOOGLETRANSLATE(C354, ""en"", ""TL"")"),"Ang mga batas ng estado at pederal tungkol sa mana at pamamahagi ng ari-arian ay nakikipag-ugnayan sa iba't ibang paraan, na may mga batas ng estado na pangunahing namamahala sa mga usapin gaya ng kawalan ng katapatan, mga testamento, mga pamamaraan sa pr"&amp;"obate, at mga karapatan sa pagmamay-ari ng ari-arian, habang ang mga pederal na batas ay maaaring makaapekto sa mga buwis sa ari-arian, mga account sa pagreretiro, at ilang mga uri ng ari-arian tulad ng intelektwal na ari-arian o mga ari-arian na kinokont"&amp;"rol ng pederal. Upang mabisang ma-navigate ang mga legal na kumplikadong ito, dapat gumawa ng ilang hakbang ang mga indibidwal. Una, kumunsulta sa mga legal na propesyonal na may kaalaman tungkol sa parehong mga batas ng estado at pederal na namamahala sa"&amp;" pamana at pamamahagi ng ari-arian. Maaari silang magbigay ng patnubay sa kung paano nagsasalubong ang mga batas na ito at naaapektuhan ang iyong mga partikular na kalagayan. Pangalawa, unawain ang mga pagkakaiba sa pagitan ng mga batas ng estado at peder"&amp;"al at kung paano nalalapat ang mga ito sa iyong mga layunin sa pagpaplano ng ari-arian. Ikatlo, regular na suriin at i-update ang iyong estate plan upang matiyak ang pagsunod sa anumang mga pagbabago sa mga batas ng estado o pederal. Panghuli, isaalang-al"&amp;"ang ang paghingi ng payo mula sa mga propesyonal sa pananalapi upang ma-optimize ang iyong plano sa ari-arian at mabawasan ang mga pananagutan sa buwis. Sa pamamagitan ng pagsasagawa ng mga hakbang na ito at pananatiling may kaalaman tungkol sa mga nauugn"&amp;"ay na batas, ang mga indibidwal ay maaaring mag-navigate sa mga kumplikado ng mga batas ng estado at pederal tungkol sa mana at pamamahagi ng ari-arian nang epektibo.")</f>
        <v>Ang mga batas ng estado at pederal tungkol sa mana at pamamahagi ng ari-arian ay nakikipag-ugnayan sa iba't ibang paraan, na may mga batas ng estado na pangunahing namamahala sa mga usapin gaya ng kawalan ng katapatan, mga testamento, mga pamamaraan sa probate, at mga karapatan sa pagmamay-ari ng ari-arian, habang ang mga pederal na batas ay maaaring makaapekto sa mga buwis sa ari-arian, mga account sa pagreretiro, at ilang mga uri ng ari-arian tulad ng intelektwal na ari-arian o mga ari-arian na kinokontrol ng pederal. Upang mabisang ma-navigate ang mga legal na kumplikadong ito, dapat gumawa ng ilang hakbang ang mga indibidwal. Una, kumunsulta sa mga legal na propesyonal na may kaalaman tungkol sa parehong mga batas ng estado at pederal na namamahala sa pamana at pamamahagi ng ari-arian. Maaari silang magbigay ng patnubay sa kung paano nagsasalubong ang mga batas na ito at naaapektuhan ang iyong mga partikular na kalagayan. Pangalawa, unawain ang mga pagkakaiba sa pagitan ng mga batas ng estado at pederal at kung paano nalalapat ang mga ito sa iyong mga layunin sa pagpaplano ng ari-arian. Ikatlo, regular na suriin at i-update ang iyong estate plan upang matiyak ang pagsunod sa anumang mga pagbabago sa mga batas ng estado o pederal. Panghuli, isaalang-alang ang paghingi ng payo mula sa mga propesyonal sa pananalapi upang ma-optimize ang iyong plano sa ari-arian at mabawasan ang mga pananagutan sa buwis. Sa pamamagitan ng pagsasagawa ng mga hakbang na ito at pananatiling may kaalaman tungkol sa mga nauugnay na batas, ang mga indibidwal ay maaaring mag-navigate sa mga kumplikado ng mga batas ng estado at pederal tungkol sa mana at pamamahagi ng ari-arian nang epektibo.</v>
      </c>
      <c r="F354" s="2">
        <f t="shared" si="1"/>
        <v>0</v>
      </c>
      <c r="G354" s="2"/>
      <c r="H354" s="2"/>
      <c r="I354" s="2"/>
      <c r="J354" s="2"/>
      <c r="K354" s="2"/>
      <c r="L354" s="2"/>
      <c r="M354" s="2"/>
      <c r="N354" s="2"/>
      <c r="O354" s="2"/>
      <c r="P354" s="2"/>
      <c r="Q354" s="2"/>
      <c r="R354" s="2"/>
      <c r="S354" s="2"/>
      <c r="T354" s="2"/>
      <c r="U354" s="2"/>
      <c r="V354" s="2"/>
      <c r="W354" s="2"/>
      <c r="X354" s="2"/>
      <c r="Y354" s="2"/>
      <c r="Z354" s="2"/>
      <c r="AA354" s="2"/>
    </row>
    <row r="355">
      <c r="A355" s="1" t="s">
        <v>1224</v>
      </c>
      <c r="B355" s="1" t="s">
        <v>1348</v>
      </c>
      <c r="C355" s="1" t="s">
        <v>1349</v>
      </c>
      <c r="D355" s="1" t="s">
        <v>1350</v>
      </c>
      <c r="E355" s="2" t="str">
        <f>IFERROR(__xludf.DUMMYFUNCTION("GOOGLETRANSLATE(C355, ""en"", ""TL"")"),"Kapag nagmamana ng ari-arian na matatagpuan sa iba't ibang estado o bansa, maaaring mag-iba ang legal na proseso dahil sa mga pagkakaiba-iba sa mga batas ng probate, batas sa ari-arian, at pagbubuwis sa mga hurisdiksyon. Sa ilang mga kaso, maaaring kailan"&amp;"ganin ang magkakahiwalay na paglilitis sa probate sa bawat hurisdiksyon kung saan matatagpuan ang ari-arian, na humahantong sa pagtaas ng pagiging kumplikado, oras, at gastos. Bukod pa rito, ang bawat hurisdiksyon ay maaaring magkaroon ng sarili nitong mg"&amp;"a panuntunan na namamahala sa mana, paglilipat ng ari-arian, at pagbubuwis, na maaaring makaapekto sa pamamahagi ng mga asset. Upang matugunan ang mga potensyal na isyu sa cross-border kapag nagmamana ng ari-arian sa iba't ibang estado o bansa, maraming h"&amp;"akbang ang dapat gawin. Una, kumunsulta sa mga legal na propesyonal na may karanasan sa internasyonal na pagpaplano ng ari-arian upang maunawaan ang mga kaugnay na batas at kinakailangan sa bawat hurisdiksyon. Pangalawa, tipunin ang lahat ng kinakailangan"&amp;"g dokumentasyon na may kaugnayan sa ari-arian, kabilang ang mga gawa, titulo, at mga dokumento sa pagpaplano ng ari-arian. Ikatlo, isaalang-alang ang paggamit ng mga legal na mekanismo tulad ng mga trust o will na may mga internasyonal na probisyon upang "&amp;"i-streamline ang proseso ng mana at mabawasan ang mga potensyal na komplikasyon. Panghuli, humingi ng payo mula sa mga propesyonal sa pananalapi upang maunawaan at matugunan ang anumang mga implikasyon sa buwis na nauugnay sa pagmamana ng ari-arian sa mar"&amp;"aming hurisdiksyon. Sa pamamagitan ng pagsasagawa ng mga hakbang na ito at paghanap ng naaangkop na patnubay, mabisang ma-navigate ng mga indibidwal ang mga legal na kumplikado ng pagmamana ng ari-arian sa iba't ibang estado o bansa nang epektibo.")</f>
        <v>Kapag nagmamana ng ari-arian na matatagpuan sa iba't ibang estado o bansa, maaaring mag-iba ang legal na proseso dahil sa mga pagkakaiba-iba sa mga batas ng probate, batas sa ari-arian, at pagbubuwis sa mga hurisdiksyon. Sa ilang mga kaso, maaaring kailanganin ang magkakahiwalay na paglilitis sa probate sa bawat hurisdiksyon kung saan matatagpuan ang ari-arian, na humahantong sa pagtaas ng pagiging kumplikado, oras, at gastos. Bukod pa rito, ang bawat hurisdiksyon ay maaaring magkaroon ng sarili nitong mga panuntunan na namamahala sa mana, paglilipat ng ari-arian, at pagbubuwis, na maaaring makaapekto sa pamamahagi ng mga asset. Upang matugunan ang mga potensyal na isyu sa cross-border kapag nagmamana ng ari-arian sa iba't ibang estado o bansa, maraming hakbang ang dapat gawin. Una, kumunsulta sa mga legal na propesyonal na may karanasan sa internasyonal na pagpaplano ng ari-arian upang maunawaan ang mga kaugnay na batas at kinakailangan sa bawat hurisdiksyon. Pangalawa, tipunin ang lahat ng kinakailangang dokumentasyon na may kaugnayan sa ari-arian, kabilang ang mga gawa, titulo, at mga dokumento sa pagpaplano ng ari-arian. Ikatlo, isaalang-alang ang paggamit ng mga legal na mekanismo tulad ng mga trust o will na may mga internasyonal na probisyon upang i-streamline ang proseso ng mana at mabawasan ang mga potensyal na komplikasyon. Panghuli, humingi ng payo mula sa mga propesyonal sa pananalapi upang maunawaan at matugunan ang anumang mga implikasyon sa buwis na nauugnay sa pagmamana ng ari-arian sa maraming hurisdiksyon. Sa pamamagitan ng pagsasagawa ng mga hakbang na ito at paghanap ng naaangkop na patnubay, mabisang ma-navigate ng mga indibidwal ang mga legal na kumplikado ng pagmamana ng ari-arian sa iba't ibang estado o bansa nang epektibo.</v>
      </c>
      <c r="F355" s="2">
        <f t="shared" si="1"/>
        <v>0</v>
      </c>
      <c r="G355" s="2"/>
      <c r="H355" s="2"/>
      <c r="I355" s="2"/>
      <c r="J355" s="2"/>
      <c r="K355" s="2"/>
      <c r="L355" s="2"/>
      <c r="M355" s="2"/>
      <c r="N355" s="2"/>
      <c r="O355" s="2"/>
      <c r="P355" s="2"/>
      <c r="Q355" s="2"/>
      <c r="R355" s="2"/>
      <c r="S355" s="2"/>
      <c r="T355" s="2"/>
      <c r="U355" s="2"/>
      <c r="V355" s="2"/>
      <c r="W355" s="2"/>
      <c r="X355" s="2"/>
      <c r="Y355" s="2"/>
      <c r="Z355" s="2"/>
      <c r="AA355" s="2"/>
    </row>
    <row r="356">
      <c r="A356" s="1" t="s">
        <v>1224</v>
      </c>
      <c r="B356" s="1" t="s">
        <v>1351</v>
      </c>
      <c r="C356" s="1" t="s">
        <v>1352</v>
      </c>
      <c r="D356" s="1" t="s">
        <v>1353</v>
      </c>
      <c r="E356" s="2" t="str">
        <f>IFERROR(__xludf.DUMMYFUNCTION("GOOGLETRANSLATE(C356, ""en"", ""TL"")"),"Ang life estate ay isang anyo ng magkasanib na pagmamay-ari na nagpapahintulot sa iyo na manirahan sa iyong tahanan habang nabubuhay ka. Sa iyong pagkamatay, ang ari-arian ay ipapasa sa kapwa may-ari, na kilala bilang benepisyaryo o natitirang may-ari. It"&amp;"o ay isang paraan para pre-regalo ang iyong tahanan sa iyong mga tagapagmana habang pinoprotektahan pa rin ang sarili mong kanlungan.")</f>
        <v>Ang life estate ay isang anyo ng magkasanib na pagmamay-ari na nagpapahintulot sa iyo na manirahan sa iyong tahanan habang nabubuhay ka. Sa iyong pagkamatay, ang ari-arian ay ipapasa sa kapwa may-ari, na kilala bilang benepisyaryo o natitirang may-ari. Ito ay isang paraan para pre-regalo ang iyong tahanan sa iyong mga tagapagmana habang pinoprotektahan pa rin ang sarili mong kanlungan.</v>
      </c>
      <c r="F356" s="2">
        <f t="shared" si="1"/>
        <v>0</v>
      </c>
      <c r="G356" s="2"/>
      <c r="H356" s="2"/>
      <c r="I356" s="2"/>
      <c r="J356" s="2"/>
      <c r="K356" s="2"/>
      <c r="L356" s="2"/>
      <c r="M356" s="2"/>
      <c r="N356" s="2"/>
      <c r="O356" s="2"/>
      <c r="P356" s="2"/>
      <c r="Q356" s="2"/>
      <c r="R356" s="2"/>
      <c r="S356" s="2"/>
      <c r="T356" s="2"/>
      <c r="U356" s="2"/>
      <c r="V356" s="2"/>
      <c r="W356" s="2"/>
      <c r="X356" s="2"/>
      <c r="Y356" s="2"/>
      <c r="Z356" s="2"/>
      <c r="AA356" s="2"/>
    </row>
    <row r="357">
      <c r="A357" s="1" t="s">
        <v>1224</v>
      </c>
      <c r="B357" s="1" t="s">
        <v>1354</v>
      </c>
      <c r="C357" s="1" t="s">
        <v>1355</v>
      </c>
      <c r="D357" s="1" t="s">
        <v>1356</v>
      </c>
      <c r="E357" s="2" t="str">
        <f>IFERROR(__xludf.DUMMYFUNCTION("GOOGLETRANSLATE(C357, ""en"", ""TL"")"),"Kapag maraming henerasyon ang sangkot sa pagmamana ng ari-arian ng pamilya, maraming legal na pagsasaalang-alang ang dapat isaalang-alang upang matiyak ang maayos at patas na proseso. Una, mahalagang linawin ang mga karapatan at responsibilidad sa pagmama"&amp;"y-ari sa iba't ibang henerasyon, lalo na kung maraming miyembro ng pamilya ang magkakasamang nagmamay-ari ng ari-arian. Maaaring kabilang dito ang pagbalangkas ng isang kasunduan sa kapwa pagmamay-ari na tumutukoy sa mga karapatan, obligasyon, at proseso "&amp;"ng paggawa ng desisyon ng bawat partido tungkol sa ari-arian. Pangalawa, isaalang-alang ang mga diskarte sa pagpaplano ng ari-arian upang mabawasan ang mga potensyal na salungatan at mga pananagutan sa buwis, tulad ng paglikha ng isang tiwala o pagtatatag"&amp;" ng isang succession plan upang ilipat ang pagmamay-ari ng ari-arian sa mga susunod na henerasyon. Pangatlo, tugunan ang mga potensyal na hindi pagkakaunawaan o hindi pagkakasundo sa pagitan ng mga miyembro ng pamilya sa pamamagitan ng pagpapatupad ng mga"&amp;" mekanismo sa pagresolba ng salungatan, tulad ng mga sugnay ng pamamagitan o arbitrasyon sa mga nauugnay na legal na dokumento. Panghuli, kumunsulta sa mga legal at pinansyal na propesyonal na dalubhasa sa pagpaplano ng ari-arian at batas ng pamilya upang"&amp;" matiyak na ang lahat ng mga legal na pagsasaalang-alang ay maayos na natugunan at ang mga interes ng lahat ng henerasyong kasangkot ay protektado.")</f>
        <v>Kapag maraming henerasyon ang sangkot sa pagmamana ng ari-arian ng pamilya, maraming legal na pagsasaalang-alang ang dapat isaalang-alang upang matiyak ang maayos at patas na proseso. Una, mahalagang linawin ang mga karapatan at responsibilidad sa pagmamay-ari sa iba't ibang henerasyon, lalo na kung maraming miyembro ng pamilya ang magkakasamang nagmamay-ari ng ari-arian. Maaaring kabilang dito ang pagbalangkas ng isang kasunduan sa kapwa pagmamay-ari na tumutukoy sa mga karapatan, obligasyon, at proseso ng paggawa ng desisyon ng bawat partido tungkol sa ari-arian. Pangalawa, isaalang-alang ang mga diskarte sa pagpaplano ng ari-arian upang mabawasan ang mga potensyal na salungatan at mga pananagutan sa buwis, tulad ng paglikha ng isang tiwala o pagtatatag ng isang succession plan upang ilipat ang pagmamay-ari ng ari-arian sa mga susunod na henerasyon. Pangatlo, tugunan ang mga potensyal na hindi pagkakaunawaan o hindi pagkakasundo sa pagitan ng mga miyembro ng pamilya sa pamamagitan ng pagpapatupad ng mga mekanismo sa pagresolba ng salungatan, tulad ng mga sugnay ng pamamagitan o arbitrasyon sa mga nauugnay na legal na dokumento. Panghuli, kumunsulta sa mga legal at pinansyal na propesyonal na dalubhasa sa pagpaplano ng ari-arian at batas ng pamilya upang matiyak na ang lahat ng mga legal na pagsasaalang-alang ay maayos na natugunan at ang mga interes ng lahat ng henerasyong kasangkot ay protektado.</v>
      </c>
      <c r="F357" s="2">
        <f t="shared" si="1"/>
        <v>0</v>
      </c>
      <c r="G357" s="2"/>
      <c r="H357" s="2"/>
      <c r="I357" s="2"/>
      <c r="J357" s="2"/>
      <c r="K357" s="2"/>
      <c r="L357" s="2"/>
      <c r="M357" s="2"/>
      <c r="N357" s="2"/>
      <c r="O357" s="2"/>
      <c r="P357" s="2"/>
      <c r="Q357" s="2"/>
      <c r="R357" s="2"/>
      <c r="S357" s="2"/>
      <c r="T357" s="2"/>
      <c r="U357" s="2"/>
      <c r="V357" s="2"/>
      <c r="W357" s="2"/>
      <c r="X357" s="2"/>
      <c r="Y357" s="2"/>
      <c r="Z357" s="2"/>
      <c r="AA357" s="2"/>
    </row>
    <row r="358">
      <c r="A358" s="1" t="s">
        <v>1224</v>
      </c>
      <c r="B358" s="1" t="s">
        <v>1357</v>
      </c>
      <c r="C358" s="1" t="s">
        <v>1358</v>
      </c>
      <c r="D358" s="1" t="s">
        <v>1359</v>
      </c>
      <c r="E358" s="2" t="str">
        <f>IFERROR(__xludf.DUMMYFUNCTION("GOOGLETRANSLATE(C358, ""en"", ""TL"")"),"Ang mga partikular na pamana ng real estate sa isang testamento ay karaniwang tinutugunan sa pamamagitan ng malinaw na pagtukoy sa ari-arian na ipinamana at pagtukoy sa (mga) nilalayong tatanggap. Maaaring kabilang dito ang pagbibigay ng detalyadong pagla"&amp;"larawan ng property, tulad ng address nito, legal na paglalarawan, o anumang iba pang impormasyong nagpapakilala. Bukod pa rito, dapat tukuyin ng testamento ang anumang mga kundisyon o paghihigpit na nauugnay sa pamana, gaya ng mga obligasyon sa pagpapana"&amp;"tili o mga limitasyon sa paggamit ng ari-arian. Upang matiyak ang wastong pagpapatupad ng mga partikular na pamana ng real estate sa isang testamento, ilang hakbang ang dapat gawin. Una, ang testamento ay dapat na bumalangkas at maisakatuparan bilang pags"&amp;"unod sa lahat ng legal na kinakailangan ng hurisdiksyon kung saan ito nilikha, kabilang ang mga kinakailangan sa lagda at saksi. Pangalawa, ang kalooban ay dapat na maayos na nakaimbak at mapangalagaan upang maiwasan ang pagkawala, pinsala, o pakikialam. "&amp;"Pangatlo, mahalagang ipaalam ang mga detalye ng pamana sa (mga) nilalayong tatanggap at anumang iba pang nauugnay na partido, gaya ng mga tagapagpatupad o tagapangasiwa, upang matiyak na alam nila ang kanilang mga karapatan at responsibilidad. Panghuli, k"&amp;"umunsulta sa mga legal na propesyonal na dalubhasa sa pagpaplano ng ari-arian at probate law upang suriin ang kalooban at tugunan ang anumang mga potensyal na isyu o alalahanin tungkol sa pagpapatupad ng mga partikular na pamana ng real estate.")</f>
        <v>Ang mga partikular na pamana ng real estate sa isang testamento ay karaniwang tinutugunan sa pamamagitan ng malinaw na pagtukoy sa ari-arian na ipinamana at pagtukoy sa (mga) nilalayong tatanggap. Maaaring kabilang dito ang pagbibigay ng detalyadong paglalarawan ng property, tulad ng address nito, legal na paglalarawan, o anumang iba pang impormasyong nagpapakilala. Bukod pa rito, dapat tukuyin ng testamento ang anumang mga kundisyon o paghihigpit na nauugnay sa pamana, gaya ng mga obligasyon sa pagpapanatili o mga limitasyon sa paggamit ng ari-arian. Upang matiyak ang wastong pagpapatupad ng mga partikular na pamana ng real estate sa isang testamento, ilang hakbang ang dapat gawin. Una, ang testamento ay dapat na bumalangkas at maisakatuparan bilang pagsunod sa lahat ng legal na kinakailangan ng hurisdiksyon kung saan ito nilikha, kabilang ang mga kinakailangan sa lagda at saksi. Pangalawa, ang kalooban ay dapat na maayos na nakaimbak at mapangalagaan upang maiwasan ang pagkawala, pinsala, o pakikialam. Pangatlo, mahalagang ipaalam ang mga detalye ng pamana sa (mga) nilalayong tatanggap at anumang iba pang nauugnay na partido, gaya ng mga tagapagpatupad o tagapangasiwa, upang matiyak na alam nila ang kanilang mga karapatan at responsibilidad. Panghuli, kumunsulta sa mga legal na propesyonal na dalubhasa sa pagpaplano ng ari-arian at probate law upang suriin ang kalooban at tugunan ang anumang mga potensyal na isyu o alalahanin tungkol sa pagpapatupad ng mga partikular na pamana ng real estate.</v>
      </c>
      <c r="F358" s="2">
        <f t="shared" si="1"/>
        <v>0</v>
      </c>
      <c r="G358" s="2"/>
      <c r="H358" s="2"/>
      <c r="I358" s="2"/>
      <c r="J358" s="2"/>
      <c r="K358" s="2"/>
      <c r="L358" s="2"/>
      <c r="M358" s="2"/>
      <c r="N358" s="2"/>
      <c r="O358" s="2"/>
      <c r="P358" s="2"/>
      <c r="Q358" s="2"/>
      <c r="R358" s="2"/>
      <c r="S358" s="2"/>
      <c r="T358" s="2"/>
      <c r="U358" s="2"/>
      <c r="V358" s="2"/>
      <c r="W358" s="2"/>
      <c r="X358" s="2"/>
      <c r="Y358" s="2"/>
      <c r="Z358" s="2"/>
      <c r="AA358" s="2"/>
    </row>
    <row r="359">
      <c r="A359" s="1" t="s">
        <v>1224</v>
      </c>
      <c r="B359" s="1" t="s">
        <v>1360</v>
      </c>
      <c r="C359" s="1" t="s">
        <v>1361</v>
      </c>
      <c r="D359" s="1" t="s">
        <v>1362</v>
      </c>
      <c r="E359" s="2" t="str">
        <f>IFERROR(__xludf.DUMMYFUNCTION("GOOGLETRANSLATE(C359, ""en"", ""TL"")"),"Sa mga kaso ng co-ownership o shared property, maraming legal na mekanismo ang umiiral upang pangasiwaan ang mga hindi pagkakasundo ng mga tagapagmana tungkol sa paggamit, pagbebenta, o pamamahala ng minanang ari-arian. Ang isang karaniwang paraan ay ang "&amp;"pagsasama ng mga probisyon sa mga nauugnay na legal na dokumento, tulad ng isang testamento, tiwala, o kasunduan sa kapwa pagmamay-ari, na nagbabalangkas ng mga mekanismo sa paglutas ng hindi pagkakaunawaan. Maaaring kabilang dito ang pamamagitan, arbitra"&amp;"syon, o ang appointment ng isang neutral na ikatlong partido upang gumawa ng mga desisyon kung sakaling magkaroon ng mga hindi pagkakasundo. Bukod pa rito, ang mga tagapagmana ay maaaring humingi ng panghukumang interbensyon sa pamamagitan ng mga korte up"&amp;"ang lutasin ang mga hindi pagkakaunawaan, tulad ng paghahain ng aksyon sa partisyon upang pilitin ang pagbebenta o paghahati ng ari-arian. Bilang kahalili, ang mga tagapagmana ay maaaring makipag-ayos at pumasok sa mga kasunduan sa isa't isa upang tugunan"&amp;" ang mga partikular na isyu o alalahanin, tulad ng paglikha ng isang kasunduan sa pagbili na nagpapahintulot sa isang tagapagmana na bilhin ang mga interes ng iba sa ari-arian. Mahalagang kumunsulta sa mga legal na propesyonal na dalubhasa sa pagpaplano n"&amp;"g ari-arian at batas ng ari-arian upang maunawaan ang mga magagamit na opsyon at piliin ang pinakaangkop na mekanismo para sa paghawak ng mga hindi pagkakasundo sa pagitan ng mga tagapagmana tungkol sa minanang ari-arian.")</f>
        <v>Sa mga kaso ng co-ownership o shared property, maraming legal na mekanismo ang umiiral upang pangasiwaan ang mga hindi pagkakasundo ng mga tagapagmana tungkol sa paggamit, pagbebenta, o pamamahala ng minanang ari-arian. Ang isang karaniwang paraan ay ang pagsasama ng mga probisyon sa mga nauugnay na legal na dokumento, tulad ng isang testamento, tiwala, o kasunduan sa kapwa pagmamay-ari, na nagbabalangkas ng mga mekanismo sa paglutas ng hindi pagkakaunawaan. Maaaring kabilang dito ang pamamagitan, arbitrasyon, o ang appointment ng isang neutral na ikatlong partido upang gumawa ng mga desisyon kung sakaling magkaroon ng mga hindi pagkakasundo. Bukod pa rito, ang mga tagapagmana ay maaaring humingi ng panghukumang interbensyon sa pamamagitan ng mga korte upang lutasin ang mga hindi pagkakaunawaan, tulad ng paghahain ng aksyon sa partisyon upang pilitin ang pagbebenta o paghahati ng ari-arian. Bilang kahalili, ang mga tagapagmana ay maaaring makipag-ayos at pumasok sa mga kasunduan sa isa't isa upang tugunan ang mga partikular na isyu o alalahanin, tulad ng paglikha ng isang kasunduan sa pagbili na nagpapahintulot sa isang tagapagmana na bilhin ang mga interes ng iba sa ari-arian. Mahalagang kumunsulta sa mga legal na propesyonal na dalubhasa sa pagpaplano ng ari-arian at batas ng ari-arian upang maunawaan ang mga magagamit na opsyon at piliin ang pinakaangkop na mekanismo para sa paghawak ng mga hindi pagkakasundo sa pagitan ng mga tagapagmana tungkol sa minanang ari-arian.</v>
      </c>
      <c r="F359" s="2">
        <f t="shared" si="1"/>
        <v>0</v>
      </c>
      <c r="G359" s="2"/>
      <c r="H359" s="2"/>
      <c r="I359" s="2"/>
      <c r="J359" s="2"/>
      <c r="K359" s="2"/>
      <c r="L359" s="2"/>
      <c r="M359" s="2"/>
      <c r="N359" s="2"/>
      <c r="O359" s="2"/>
      <c r="P359" s="2"/>
      <c r="Q359" s="2"/>
      <c r="R359" s="2"/>
      <c r="S359" s="2"/>
      <c r="T359" s="2"/>
      <c r="U359" s="2"/>
      <c r="V359" s="2"/>
      <c r="W359" s="2"/>
      <c r="X359" s="2"/>
      <c r="Y359" s="2"/>
      <c r="Z359" s="2"/>
      <c r="AA359" s="2"/>
    </row>
    <row r="360">
      <c r="A360" s="1" t="s">
        <v>1224</v>
      </c>
      <c r="B360" s="1" t="s">
        <v>1363</v>
      </c>
      <c r="C360" s="1" t="s">
        <v>1364</v>
      </c>
      <c r="D360" s="1" t="s">
        <v>1365</v>
      </c>
      <c r="E360" s="2" t="str">
        <f>IFERROR(__xludf.DUMMYFUNCTION("GOOGLETRANSLATE(C360, ""en"", ""TL"")"),"Oo, umiiral ang mga legal na pagkakaiba sa pagitan ng pagmamana ng pangunahing tirahan at pag-aari ng bakasyon, na nakakaapekto sa proseso ng pagmamana. Ang mga pangunahing paninirahan ay maaaring maging kwalipikado para sa mga exemption sa buwis tulad ng"&amp;" isang homestead exemption o step-up in basis, na binabawasan ang mga pananagutan sa buwis, habang ang mga pag-aari ng bakasyon ay maaaring hindi magtamasa ng parehong mga benepisyo, na posibleng humantong sa mas mataas na buwis para sa mga tagapagmana. A"&amp;"ng mga pagkakaiba sa nilalayon na paggamit, tulad ng regular na occupancy kumpara sa pasulput-sulpot o paupahang paggamit, ay maaaring makaimpluwensya sa mga desisyon sa pamamahala ng ari-arian at mga potensyal na hindi pagkakaunawaan sa pagitan ng mga ta"&amp;"gapagmana. Bukod pa rito, ang iba't ibang mga regulasyon sa lokasyon at zoning ay nakakatulong sa iba't ibang legal na pagsasaalang-alang para sa mana at pamamahala ng ari-arian. Dapat i-navigate ng mga tagapagmana ang mga pagkakaibang ito nang may gabay "&amp;"ng mga legal at pinansyal na propesyonal upang matugunan nang epektibo ang mga nauugnay na implikasyon.")</f>
        <v>Oo, umiiral ang mga legal na pagkakaiba sa pagitan ng pagmamana ng pangunahing tirahan at pag-aari ng bakasyon, na nakakaapekto sa proseso ng pagmamana. Ang mga pangunahing paninirahan ay maaaring maging kwalipikado para sa mga exemption sa buwis tulad ng isang homestead exemption o step-up in basis, na binabawasan ang mga pananagutan sa buwis, habang ang mga pag-aari ng bakasyon ay maaaring hindi magtamasa ng parehong mga benepisyo, na posibleng humantong sa mas mataas na buwis para sa mga tagapagmana. Ang mga pagkakaiba sa nilalayon na paggamit, tulad ng regular na occupancy kumpara sa pasulput-sulpot o paupahang paggamit, ay maaaring makaimpluwensya sa mga desisyon sa pamamahala ng ari-arian at mga potensyal na hindi pagkakaunawaan sa pagitan ng mga tagapagmana. Bukod pa rito, ang iba't ibang mga regulasyon sa lokasyon at zoning ay nakakatulong sa iba't ibang legal na pagsasaalang-alang para sa mana at pamamahala ng ari-arian. Dapat i-navigate ng mga tagapagmana ang mga pagkakaibang ito nang may gabay ng mga legal at pinansyal na propesyonal upang matugunan nang epektibo ang mga nauugnay na implikasyon.</v>
      </c>
      <c r="F360" s="2">
        <f t="shared" si="1"/>
        <v>0</v>
      </c>
      <c r="G360" s="2"/>
      <c r="H360" s="2"/>
      <c r="I360" s="2"/>
      <c r="J360" s="2"/>
      <c r="K360" s="2"/>
      <c r="L360" s="2"/>
      <c r="M360" s="2"/>
      <c r="N360" s="2"/>
      <c r="O360" s="2"/>
      <c r="P360" s="2"/>
      <c r="Q360" s="2"/>
      <c r="R360" s="2"/>
      <c r="S360" s="2"/>
      <c r="T360" s="2"/>
      <c r="U360" s="2"/>
      <c r="V360" s="2"/>
      <c r="W360" s="2"/>
      <c r="X360" s="2"/>
      <c r="Y360" s="2"/>
      <c r="Z360" s="2"/>
      <c r="AA360" s="2"/>
    </row>
    <row r="361">
      <c r="A361" s="1" t="s">
        <v>1224</v>
      </c>
      <c r="B361" s="1" t="s">
        <v>1366</v>
      </c>
      <c r="C361" s="1" t="s">
        <v>1367</v>
      </c>
      <c r="D361" s="1" t="s">
        <v>1368</v>
      </c>
      <c r="E361" s="2" t="str">
        <f>IFERROR(__xludf.DUMMYFUNCTION("GOOGLETRANSLATE(C361, ""en"", ""TL"")"),"Kung naniniwala kang nabigo ang tagapagpatupad na maayos na pangasiwaan ang ari-arian (maaaring sa pamamagitan ng hindi wastong mga aksyon o sa pamamagitan ng hindi pagkilos), mayroon kang dalawang opsyon: magpetisyon sa korte na alisin ang tagapagpatupad"&amp;" o magsampa ng kaso laban sa tagapagpatupad.")</f>
        <v>Kung naniniwala kang nabigo ang tagapagpatupad na maayos na pangasiwaan ang ari-arian (maaaring sa pamamagitan ng hindi wastong mga aksyon o sa pamamagitan ng hindi pagkilos), mayroon kang dalawang opsyon: magpetisyon sa korte na alisin ang tagapagpatupad o magsampa ng kaso laban sa tagapagpatupad.</v>
      </c>
      <c r="F361" s="2">
        <f t="shared" si="1"/>
        <v>0</v>
      </c>
      <c r="G361" s="2"/>
      <c r="H361" s="2"/>
      <c r="I361" s="2"/>
      <c r="J361" s="2"/>
      <c r="K361" s="2"/>
      <c r="L361" s="2"/>
      <c r="M361" s="2"/>
      <c r="N361" s="2"/>
      <c r="O361" s="2"/>
      <c r="P361" s="2"/>
      <c r="Q361" s="2"/>
      <c r="R361" s="2"/>
      <c r="S361" s="2"/>
      <c r="T361" s="2"/>
      <c r="U361" s="2"/>
      <c r="V361" s="2"/>
      <c r="W361" s="2"/>
      <c r="X361" s="2"/>
      <c r="Y361" s="2"/>
      <c r="Z361" s="2"/>
      <c r="AA361" s="2"/>
    </row>
    <row r="362">
      <c r="A362" s="1" t="s">
        <v>1224</v>
      </c>
      <c r="B362" s="1" t="s">
        <v>1369</v>
      </c>
      <c r="C362" s="1" t="s">
        <v>1370</v>
      </c>
      <c r="D362" s="1" t="s">
        <v>1371</v>
      </c>
      <c r="E362" s="2" t="str">
        <f>IFERROR(__xludf.DUMMYFUNCTION("GOOGLETRANSLATE(C362, ""en"", ""TL"")"),"Ang epekto ng mga hindi pa nababayarang mortgage, lien, o iba pang encumbrances sa minanang ari-arian ay maaaring makapagpalubha sa proseso ng mana. Ang mga utang na ito at legal na paghahabol laban sa ari-arian ay nagiging pananagutan ng ari-arian, kung "&amp;"saan ang tagapagpatupad o personal na kinatawan ay may tungkuling tukuyin at tugunan ang mga ito. Maaaring kabilang dito ang paggamit ng mga ari-arian upang matugunan ang mga natitirang balanse o pakikipag-ayos sa mga nagpapautang. Maaaring kailanganin ng"&amp;" mga tagapagmana na nagmamana ng ari-arian na napapailalim sa mga encumbrances na ito na makipag-ayos sa mga nagpapautang, muling mag-finance ng mga utang, o isaalang-alang ang pagbebenta ng ari-arian upang bayaran ang mga obligasyon. Ang kamalayan sa mga"&amp;" umiiral na sagabal at wastong legal at pinansyal na patnubay ay mahalaga para sa epektibong pag-navigate sa mga kumplikadong ito sa panahon ng proseso ng pagmamana.")</f>
        <v>Ang epekto ng mga hindi pa nababayarang mortgage, lien, o iba pang encumbrances sa minanang ari-arian ay maaaring makapagpalubha sa proseso ng mana. Ang mga utang na ito at legal na paghahabol laban sa ari-arian ay nagiging pananagutan ng ari-arian, kung saan ang tagapagpatupad o personal na kinatawan ay may tungkuling tukuyin at tugunan ang mga ito. Maaaring kabilang dito ang paggamit ng mga ari-arian upang matugunan ang mga natitirang balanse o pakikipag-ayos sa mga nagpapautang. Maaaring kailanganin ng mga tagapagmana na nagmamana ng ari-arian na napapailalim sa mga encumbrances na ito na makipag-ayos sa mga nagpapautang, muling mag-finance ng mga utang, o isaalang-alang ang pagbebenta ng ari-arian upang bayaran ang mga obligasyon. Ang kamalayan sa mga umiiral na sagabal at wastong legal at pinansyal na patnubay ay mahalaga para sa epektibong pag-navigate sa mga kumplikadong ito sa panahon ng proseso ng pagmamana.</v>
      </c>
      <c r="F362" s="2">
        <f t="shared" si="1"/>
        <v>0</v>
      </c>
      <c r="G362" s="2"/>
      <c r="H362" s="2"/>
      <c r="I362" s="2"/>
      <c r="J362" s="2"/>
      <c r="K362" s="2"/>
      <c r="L362" s="2"/>
      <c r="M362" s="2"/>
      <c r="N362" s="2"/>
      <c r="O362" s="2"/>
      <c r="P362" s="2"/>
      <c r="Q362" s="2"/>
      <c r="R362" s="2"/>
      <c r="S362" s="2"/>
      <c r="T362" s="2"/>
      <c r="U362" s="2"/>
      <c r="V362" s="2"/>
      <c r="W362" s="2"/>
      <c r="X362" s="2"/>
      <c r="Y362" s="2"/>
      <c r="Z362" s="2"/>
      <c r="AA362" s="2"/>
    </row>
    <row r="363">
      <c r="A363" s="1" t="s">
        <v>1224</v>
      </c>
      <c r="B363" s="1" t="s">
        <v>1372</v>
      </c>
      <c r="C363" s="1" t="s">
        <v>1373</v>
      </c>
      <c r="D363" s="1" t="s">
        <v>1374</v>
      </c>
      <c r="E363" s="2" t="str">
        <f>IFERROR(__xludf.DUMMYFUNCTION("GOOGLETRANSLATE(C363, ""en"", ""TL"")"),"Ang pagmamana ng ari-arian ay maaaring makaapekto sa pagiging karapat-dapat para sa mga benepisyo ng gobyerno o mga programa ng tulong dahil maaari itong makaapekto sa mga antas ng asset at kita ng isang indibidwal, na kadalasang pamantayan para sa pagigi"&amp;"ng karapat-dapat sa programa. Ang pagmamana ng ari-arian ay posibleng lumampas sa mga limitasyon ng asset para sa mga programa tulad ng Medicaid o Supplemental Security Income (SSI), na humahantong sa pagkawala ng mga benepisyo. Para mapanatili ang pagigi"&amp;"ng karapat-dapat, kasama sa mga opsyon ang paglilipat ng pagmamay-ari sa isang pinagkakatiwalaan ng mga espesyal na pangangailangan, paggalugad ng mga legal na estratehiya tulad ng pagbibigay ng regalo o paglikha ng isang buhay na ari-arian, at pagkonsult"&amp;"a sa mga propesyonal sa legal at pinansyal na may karanasan sa pagpaplano ng ari-arian at pagiging kwalipikado sa benepisyo ng gobyerno. Ang maingat na pagsasaalang-alang at naaangkop na mga hakbang ay kinakailangan upang maprotektahan ang pagiging karapa"&amp;"t-dapat para sa mga benepisyo ng pamahalaan o mga programa ng tulong kapag nagmamana ng ari-arian.")</f>
        <v>Ang pagmamana ng ari-arian ay maaaring makaapekto sa pagiging karapat-dapat para sa mga benepisyo ng gobyerno o mga programa ng tulong dahil maaari itong makaapekto sa mga antas ng asset at kita ng isang indibidwal, na kadalasang pamantayan para sa pagiging karapat-dapat sa programa. Ang pagmamana ng ari-arian ay posibleng lumampas sa mga limitasyon ng asset para sa mga programa tulad ng Medicaid o Supplemental Security Income (SSI), na humahantong sa pagkawala ng mga benepisyo. Para mapanatili ang pagiging karapat-dapat, kasama sa mga opsyon ang paglilipat ng pagmamay-ari sa isang pinagkakatiwalaan ng mga espesyal na pangangailangan, paggalugad ng mga legal na estratehiya tulad ng pagbibigay ng regalo o paglikha ng isang buhay na ari-arian, at pagkonsulta sa mga propesyonal sa legal at pinansyal na may karanasan sa pagpaplano ng ari-arian at pagiging kwalipikado sa benepisyo ng gobyerno. Ang maingat na pagsasaalang-alang at naaangkop na mga hakbang ay kinakailangan upang maprotektahan ang pagiging karapat-dapat para sa mga benepisyo ng pamahalaan o mga programa ng tulong kapag nagmamana ng ari-arian.</v>
      </c>
      <c r="F363" s="2">
        <f t="shared" si="1"/>
        <v>0</v>
      </c>
      <c r="G363" s="2"/>
      <c r="H363" s="2"/>
      <c r="I363" s="2"/>
      <c r="J363" s="2"/>
      <c r="K363" s="2"/>
      <c r="L363" s="2"/>
      <c r="M363" s="2"/>
      <c r="N363" s="2"/>
      <c r="O363" s="2"/>
      <c r="P363" s="2"/>
      <c r="Q363" s="2"/>
      <c r="R363" s="2"/>
      <c r="S363" s="2"/>
      <c r="T363" s="2"/>
      <c r="U363" s="2"/>
      <c r="V363" s="2"/>
      <c r="W363" s="2"/>
      <c r="X363" s="2"/>
      <c r="Y363" s="2"/>
      <c r="Z363" s="2"/>
      <c r="AA363" s="2"/>
    </row>
    <row r="364">
      <c r="A364" s="1" t="s">
        <v>1224</v>
      </c>
      <c r="B364" s="1" t="s">
        <v>1375</v>
      </c>
      <c r="C364" s="1" t="s">
        <v>1376</v>
      </c>
      <c r="D364" s="1" t="s">
        <v>1377</v>
      </c>
      <c r="E364" s="2" t="str">
        <f>IFERROR(__xludf.DUMMYFUNCTION("GOOGLETRANSLATE(C364, ""en"", ""TL"")"),"Kapag pumanaw ang isang mahal sa buhay, maaaring magkaroon ng alitan sa pagitan ng mga tagapagmana at mga benepisyaryo tungkol sa mga karapatan sa mana, pamamahagi ng ari-arian, at pamamahala ng mga ari-arian. Ang ganitong mga hindi pagkakaunawaan ay maaa"&amp;"ring humantong sa matagal na mga legal na labanan, na nakakaapekto sa mga relasyon sa pamilya at ang nararapat na pamamahagi ng mga ari-arian.")</f>
        <v>Kapag pumanaw ang isang mahal sa buhay, maaaring magkaroon ng alitan sa pagitan ng mga tagapagmana at mga benepisyaryo tungkol sa mga karapatan sa mana, pamamahagi ng ari-arian, at pamamahala ng mga ari-arian. Ang ganitong mga hindi pagkakaunawaan ay maaaring humantong sa matagal na mga legal na labanan, na nakakaapekto sa mga relasyon sa pamilya at ang nararapat na pamamahagi ng mga ari-arian.</v>
      </c>
      <c r="F364" s="2">
        <f t="shared" si="1"/>
        <v>0</v>
      </c>
      <c r="G364" s="2"/>
      <c r="H364" s="2"/>
      <c r="I364" s="2"/>
      <c r="J364" s="2"/>
      <c r="K364" s="2"/>
      <c r="L364" s="2"/>
      <c r="M364" s="2"/>
      <c r="N364" s="2"/>
      <c r="O364" s="2"/>
      <c r="P364" s="2"/>
      <c r="Q364" s="2"/>
      <c r="R364" s="2"/>
      <c r="S364" s="2"/>
      <c r="T364" s="2"/>
      <c r="U364" s="2"/>
      <c r="V364" s="2"/>
      <c r="W364" s="2"/>
      <c r="X364" s="2"/>
      <c r="Y364" s="2"/>
      <c r="Z364" s="2"/>
      <c r="AA364" s="2"/>
    </row>
    <row r="365">
      <c r="A365" s="1" t="s">
        <v>1224</v>
      </c>
      <c r="B365" s="1" t="s">
        <v>1378</v>
      </c>
      <c r="C365" s="1" t="s">
        <v>1379</v>
      </c>
      <c r="D365" s="1" t="s">
        <v>1380</v>
      </c>
      <c r="E365" s="2" t="str">
        <f>IFERROR(__xludf.DUMMYFUNCTION("GOOGLETRANSLATE(C365, ""en"", ""TL"")"),"Kapag nagregalo ng ari-arian habang nabubuhay upang maiwasan ang mga potensyal na salungatan sa pagitan ng mga tagapagmana pagkatapos ng kamatayan, maraming legal na pagsasaalang-alang ang dapat tandaan. Una, mahalagang tiyakin na ang regalo ay kusang gin"&amp;"awa at walang labis na impluwensya o pamimilit, dahil ang anumang senyales ng pagpilit ay maaaring humantong sa mga hamon sa bisa ng regalo. Pangalawa, isaalang-alang ang mga potensyal na implikasyon sa buwis ng regalo, kabilang ang buwis sa regalo at pot"&amp;"ensyal na buwis sa capital gains kung ang ari-arian ay pinahahalagahan ang halaga. Pangatlo, idokumento nang maayos ang regalo upang maitaguyod ang malinaw na pagmamay-ari at layunin, na makakatulong na maiwasan ang mga hindi pagkakaunawaan sa pagitan ng "&amp;"mga tagapagmana sa susunod. Maaaring kabilang dito ang pagbalangkas ng isang kasulatan o iba pang legal na instrumento na naglilipat ng pagmamay-ari ng ari-arian at pagkuha ng anumang kinakailangang mga lagda o pag-apruba. Dagdag pa rito, makipag-usap nan"&amp;"g hayagan at malinaw sa lahat ng kasangkot na partido, kabilang ang mga tagapagmana at mga benepisyaryo, upang matugunan ang anumang mga alalahanin o tanong at mabawasan ang panganib ng mga salungatan sa hinaharap. Ang pagkonsulta sa mga legal at pinansya"&amp;"l na propesyonal na may karanasan sa pagpaplano ng ari-arian at pagbubuwis ng regalo ay maaaring magbigay ng gabay sa pag-navigate sa mga legal na pagsasaalang-alang na ito nang epektibo kapag nagbibigay ng ari-arian habang nabubuhay.")</f>
        <v>Kapag nagregalo ng ari-arian habang nabubuhay upang maiwasan ang mga potensyal na salungatan sa pagitan ng mga tagapagmana pagkatapos ng kamatayan, maraming legal na pagsasaalang-alang ang dapat tandaan. Una, mahalagang tiyakin na ang regalo ay kusang ginawa at walang labis na impluwensya o pamimilit, dahil ang anumang senyales ng pagpilit ay maaaring humantong sa mga hamon sa bisa ng regalo. Pangalawa, isaalang-alang ang mga potensyal na implikasyon sa buwis ng regalo, kabilang ang buwis sa regalo at potensyal na buwis sa capital gains kung ang ari-arian ay pinahahalagahan ang halaga. Pangatlo, idokumento nang maayos ang regalo upang maitaguyod ang malinaw na pagmamay-ari at layunin, na makakatulong na maiwasan ang mga hindi pagkakaunawaan sa pagitan ng mga tagapagmana sa susunod. Maaaring kabilang dito ang pagbalangkas ng isang kasulatan o iba pang legal na instrumento na naglilipat ng pagmamay-ari ng ari-arian at pagkuha ng anumang kinakailangang mga lagda o pag-apruba. Dagdag pa rito, makipag-usap nang hayagan at malinaw sa lahat ng kasangkot na partido, kabilang ang mga tagapagmana at mga benepisyaryo, upang matugunan ang anumang mga alalahanin o tanong at mabawasan ang panganib ng mga salungatan sa hinaharap. Ang pagkonsulta sa mga legal at pinansyal na propesyonal na may karanasan sa pagpaplano ng ari-arian at pagbubuwis ng regalo ay maaaring magbigay ng gabay sa pag-navigate sa mga legal na pagsasaalang-alang na ito nang epektibo kapag nagbibigay ng ari-arian habang nabubuhay.</v>
      </c>
      <c r="F365" s="2">
        <f t="shared" si="1"/>
        <v>0</v>
      </c>
      <c r="G365" s="2"/>
      <c r="H365" s="2"/>
      <c r="I365" s="2"/>
      <c r="J365" s="2"/>
      <c r="K365" s="2"/>
      <c r="L365" s="2"/>
      <c r="M365" s="2"/>
      <c r="N365" s="2"/>
      <c r="O365" s="2"/>
      <c r="P365" s="2"/>
      <c r="Q365" s="2"/>
      <c r="R365" s="2"/>
      <c r="S365" s="2"/>
      <c r="T365" s="2"/>
      <c r="U365" s="2"/>
      <c r="V365" s="2"/>
      <c r="W365" s="2"/>
      <c r="X365" s="2"/>
      <c r="Y365" s="2"/>
      <c r="Z365" s="2"/>
      <c r="AA365" s="2"/>
    </row>
    <row r="366">
      <c r="A366" s="1" t="s">
        <v>1224</v>
      </c>
      <c r="B366" s="1" t="s">
        <v>1381</v>
      </c>
      <c r="C366" s="1" t="s">
        <v>1382</v>
      </c>
      <c r="D366" s="1" t="s">
        <v>1383</v>
      </c>
      <c r="E366" s="2" t="str">
        <f>IFERROR(__xludf.DUMMYFUNCTION("GOOGLETRANSLATE(C366, ""en"", ""TL"")"),"Binibigyang-diin ko ang maingat na pagpaplano upang maiwasan ang salungatan kapag maraming tagapagmana ang nagmamana ng ari-arian na may magkakaibang interes. Hikayatin ang bukas na komunikasyon - talakayin ang mga pangmatagalang plano, mga indibidwal na "&amp;"pangangailangan, at mga potensyal na pasanin sa pananalapi nang hayagan. Isaalang-alang ang pagbuo ng isang family LLC o pagtitiwala na pamahalaan ang ari-arian nang sama-sama, na may mga karapatan sa pagboto na sumasalamin sa iba't ibang interes. Kung ni"&amp;"nanais, mag-opt para sa buy-out clause na nagpapahintulot sa mga hindi interesadong tagapagmana na ibenta ang kanilang mga share sa mga nakatuon sa pangangalaga. Ang pagkonsulta sa isang tagapayo sa pananalapi para sa isang nakabahaging badyet para sa pag"&amp;"papanatili at mga potensyal na pagsasaayos ay maaaring magsulong ng pakikipagtulungan. Tandaan, ang kakayahang umangkop at malinaw na komunikasyon ay susi upang matiyak na ang minanang ari-arian ay magiging isang itinatangi na pamana, hindi isang mapagkuk"&amp;"unan ng hindi pagkakasundo.")</f>
        <v>Binibigyang-diin ko ang maingat na pagpaplano upang maiwasan ang salungatan kapag maraming tagapagmana ang nagmamana ng ari-arian na may magkakaibang interes. Hikayatin ang bukas na komunikasyon - talakayin ang mga pangmatagalang plano, mga indibidwal na pangangailangan, at mga potensyal na pasanin sa pananalapi nang hayagan. Isaalang-alang ang pagbuo ng isang family LLC o pagtitiwala na pamahalaan ang ari-arian nang sama-sama, na may mga karapatan sa pagboto na sumasalamin sa iba't ibang interes. Kung ninanais, mag-opt para sa buy-out clause na nagpapahintulot sa mga hindi interesadong tagapagmana na ibenta ang kanilang mga share sa mga nakatuon sa pangangalaga. Ang pagkonsulta sa isang tagapayo sa pananalapi para sa isang nakabahaging badyet para sa pagpapanatili at mga potensyal na pagsasaayos ay maaaring magsulong ng pakikipagtulungan. Tandaan, ang kakayahang umangkop at malinaw na komunikasyon ay susi upang matiyak na ang minanang ari-arian ay magiging isang itinatangi na pamana, hindi isang mapagkukunan ng hindi pagkakasundo.</v>
      </c>
      <c r="F366" s="2">
        <f t="shared" si="1"/>
        <v>0</v>
      </c>
      <c r="G366" s="2"/>
      <c r="H366" s="2"/>
      <c r="I366" s="2"/>
      <c r="J366" s="2"/>
      <c r="K366" s="2"/>
      <c r="L366" s="2"/>
      <c r="M366" s="2"/>
      <c r="N366" s="2"/>
      <c r="O366" s="2"/>
      <c r="P366" s="2"/>
      <c r="Q366" s="2"/>
      <c r="R366" s="2"/>
      <c r="S366" s="2"/>
      <c r="T366" s="2"/>
      <c r="U366" s="2"/>
      <c r="V366" s="2"/>
      <c r="W366" s="2"/>
      <c r="X366" s="2"/>
      <c r="Y366" s="2"/>
      <c r="Z366" s="2"/>
      <c r="AA366" s="2"/>
    </row>
    <row r="367">
      <c r="A367" s="1" t="s">
        <v>1224</v>
      </c>
      <c r="B367" s="1" t="s">
        <v>1384</v>
      </c>
      <c r="C367" s="1" t="s">
        <v>1385</v>
      </c>
      <c r="D367" s="1" t="s">
        <v>1386</v>
      </c>
      <c r="E367" s="2" t="str">
        <f>IFERROR(__xludf.DUMMYFUNCTION("GOOGLETRANSLATE(C367, ""en"", ""TL"")"),"Bagama't ang paglilipat ng ari-arian sa isang trust ay maaaring mag-alok ng mga benepisyo ng inheritance tax sa pamamagitan ng pag-alis nito sa iyong ari-arian, ang legal at mga implikasyon sa buwis ay kumplikado at malaki ang pagkakaiba-iba depende sa mg"&amp;"a salik tulad ng iyong lokasyon, ang uri ng tiwala, at timing ng paglipat. Ang paghingi ng propesyonal na patnubay mula sa isang abogado at espesyalista sa buwis ay napakahalaga upang mag-navigate sa potensyal na buwis sa regalo, buwis sa mga capital gain"&amp;"s, at mga partikular na panuntunan sa buwis sa tiwala. Isaalang-alang ito na isang kumplikadong hakbang sa pananalapi na pinakamahusay na ginawa sa pamamagitan ng payo ng eksperto.")</f>
        <v>Bagama't ang paglilipat ng ari-arian sa isang trust ay maaaring mag-alok ng mga benepisyo ng inheritance tax sa pamamagitan ng pag-alis nito sa iyong ari-arian, ang legal at mga implikasyon sa buwis ay kumplikado at malaki ang pagkakaiba-iba depende sa mga salik tulad ng iyong lokasyon, ang uri ng tiwala, at timing ng paglipat. Ang paghingi ng propesyonal na patnubay mula sa isang abogado at espesyalista sa buwis ay napakahalaga upang mag-navigate sa potensyal na buwis sa regalo, buwis sa mga capital gains, at mga partikular na panuntunan sa buwis sa tiwala. Isaalang-alang ito na isang kumplikadong hakbang sa pananalapi na pinakamahusay na ginawa sa pamamagitan ng payo ng eksperto.</v>
      </c>
      <c r="F367" s="2">
        <f t="shared" si="1"/>
        <v>0</v>
      </c>
      <c r="G367" s="2"/>
      <c r="H367" s="2"/>
      <c r="I367" s="2"/>
      <c r="J367" s="2"/>
      <c r="K367" s="2"/>
      <c r="L367" s="2"/>
      <c r="M367" s="2"/>
      <c r="N367" s="2"/>
      <c r="O367" s="2"/>
      <c r="P367" s="2"/>
      <c r="Q367" s="2"/>
      <c r="R367" s="2"/>
      <c r="S367" s="2"/>
      <c r="T367" s="2"/>
      <c r="U367" s="2"/>
      <c r="V367" s="2"/>
      <c r="W367" s="2"/>
      <c r="X367" s="2"/>
      <c r="Y367" s="2"/>
      <c r="Z367" s="2"/>
      <c r="AA367" s="2"/>
    </row>
    <row r="368">
      <c r="A368" s="1" t="s">
        <v>1224</v>
      </c>
      <c r="B368" s="1" t="s">
        <v>1387</v>
      </c>
      <c r="C368" s="1" t="s">
        <v>1388</v>
      </c>
      <c r="D368" s="1" t="s">
        <v>1389</v>
      </c>
      <c r="E368" s="2" t="str">
        <f>IFERROR(__xludf.DUMMYFUNCTION("GOOGLETRANSLATE(C368, ""en"", ""TL"")"),"Ang pagbubukod ng malaking asset mula sa testamento ay maaaring magresulta sa intestate distribution ng asset. Maaaring hatiin ng mga batas ng intestacy ang iyong ari-arian nang salungat sa iyong mga kagustuhan. Palaging tandaan ang iyong kalooban na ipak"&amp;"ita ang mga bagong minanang asset sa lalong madaling panahon.")</f>
        <v>Ang pagbubukod ng malaking asset mula sa testamento ay maaaring magresulta sa intestate distribution ng asset. Maaaring hatiin ng mga batas ng intestacy ang iyong ari-arian nang salungat sa iyong mga kagustuhan. Palaging tandaan ang iyong kalooban na ipakita ang mga bagong minanang asset sa lalong madaling panahon.</v>
      </c>
      <c r="F368" s="2">
        <f t="shared" si="1"/>
        <v>0</v>
      </c>
      <c r="G368" s="2"/>
      <c r="H368" s="2"/>
      <c r="I368" s="2"/>
      <c r="J368" s="2"/>
      <c r="K368" s="2"/>
      <c r="L368" s="2"/>
      <c r="M368" s="2"/>
      <c r="N368" s="2"/>
      <c r="O368" s="2"/>
      <c r="P368" s="2"/>
      <c r="Q368" s="2"/>
      <c r="R368" s="2"/>
      <c r="S368" s="2"/>
      <c r="T368" s="2"/>
      <c r="U368" s="2"/>
      <c r="V368" s="2"/>
      <c r="W368" s="2"/>
      <c r="X368" s="2"/>
      <c r="Y368" s="2"/>
      <c r="Z368" s="2"/>
      <c r="AA368" s="2"/>
    </row>
    <row r="369">
      <c r="A369" s="1" t="s">
        <v>1224</v>
      </c>
      <c r="B369" s="1" t="s">
        <v>1390</v>
      </c>
      <c r="C369" s="1" t="s">
        <v>1391</v>
      </c>
      <c r="D369" s="1" t="s">
        <v>1392</v>
      </c>
      <c r="E369" s="2" t="str">
        <f>IFERROR(__xludf.DUMMYFUNCTION("GOOGLETRANSLATE(C369, ""en"", ""TL"")"),"Ang legal na tanawin para sa pagmamana ng mga digital na asset na nauugnay sa real estate ay isang tagpi-tagpi sa mga estado, na umuusbong nang mas mabilis kaysa sa maaaring makasabay ng batas. Habang ang ilang mga hukuman ay nagbibigay ng access sa mga o"&amp;"nline na rekord batay sa mga relasyon sa pamilya, ang iba ay nananatili sa mahigpit na mga kasunduan sa Mga Tuntunin ng Serbisyo. Ang virtual na ari-arian sa loob ng mga video game ay maaaring ituring bilang personal na ari-arian na napapailalim sa mga ba"&amp;"tas sa mana, ngunit ang cryptocurrency ay maaaring sumailalim sa hiwalay na mga regulasyong pinansyal. Napakahalagang kumonsulta sa isang maalam na abogado sa iyong estado na nauunawaan ang parehong real estate at digital asset intricacies upang mag-navig"&amp;"ate sa masalimuot at mabilis na pagbabago ng lugar na ito.")</f>
        <v>Ang legal na tanawin para sa pagmamana ng mga digital na asset na nauugnay sa real estate ay isang tagpi-tagpi sa mga estado, na umuusbong nang mas mabilis kaysa sa maaaring makasabay ng batas. Habang ang ilang mga hukuman ay nagbibigay ng access sa mga online na rekord batay sa mga relasyon sa pamilya, ang iba ay nananatili sa mahigpit na mga kasunduan sa Mga Tuntunin ng Serbisyo. Ang virtual na ari-arian sa loob ng mga video game ay maaaring ituring bilang personal na ari-arian na napapailalim sa mga batas sa mana, ngunit ang cryptocurrency ay maaaring sumailalim sa hiwalay na mga regulasyong pinansyal. Napakahalagang kumonsulta sa isang maalam na abogado sa iyong estado na nauunawaan ang parehong real estate at digital asset intricacies upang mag-navigate sa masalimuot at mabilis na pagbabago ng lugar na ito.</v>
      </c>
      <c r="F369" s="2">
        <f t="shared" si="1"/>
        <v>0</v>
      </c>
      <c r="G369" s="2"/>
      <c r="H369" s="2"/>
      <c r="I369" s="2"/>
      <c r="J369" s="2"/>
      <c r="K369" s="2"/>
      <c r="L369" s="2"/>
      <c r="M369" s="2"/>
      <c r="N369" s="2"/>
      <c r="O369" s="2"/>
      <c r="P369" s="2"/>
      <c r="Q369" s="2"/>
      <c r="R369" s="2"/>
      <c r="S369" s="2"/>
      <c r="T369" s="2"/>
      <c r="U369" s="2"/>
      <c r="V369" s="2"/>
      <c r="W369" s="2"/>
      <c r="X369" s="2"/>
      <c r="Y369" s="2"/>
      <c r="Z369" s="2"/>
      <c r="AA369" s="2"/>
    </row>
    <row r="370">
      <c r="A370" s="1" t="s">
        <v>1224</v>
      </c>
      <c r="B370" s="1" t="s">
        <v>1393</v>
      </c>
      <c r="C370" s="1" t="s">
        <v>1394</v>
      </c>
      <c r="D370" s="1" t="s">
        <v>1395</v>
      </c>
      <c r="E370" s="2" t="str">
        <f>IFERROR(__xludf.DUMMYFUNCTION("GOOGLETRANSLATE(C370, ""en"", ""TL"")"),"Ang pagtatasa ng ari-arian sa probate ay direktang nakakaapekto sa pamamahagi ng asset dahil tinutukoy nito ang kabuuang pool ng mga asset na magagamit para sa mga benepisyaryo. Ang mas mataas na pagpapahalaga ay nangangahulugan ng isang mas malaking ari-"&amp;"arian, na posibleng magbago ng mga indibidwal na bahagi. Ang fair market value (FMV) ay karaniwang tinutukoy ng isang propesyonal na appraiser na isinasaalang-alang ang: 1) Maihahambing na mga benta: Mga kamakailang benta ng mga katulad na ari-arian sa pa"&amp;"rehong lugar; 2) Kondisyon ng ari-arian: Edad, mga update, mga pagkukumpuni na kailangan; 3) Lokasyon: Kanais-nais na kapitbahayan, malapit sa mga amenities; 4) Mga uso sa merkado: Kasalukuyang klima sa ekonomiya, pangangailangan sa pabahay. Tinitiyak ng "&amp;"tumpak na FMV ang pagiging patas sa mga benepisyaryo, pinapaliit ang mga hindi pagkakaunawaan, at naiimpluwensyahan ang mga potensyal na pananagutan sa buwis sa ari-arian.")</f>
        <v>Ang pagtatasa ng ari-arian sa probate ay direktang nakakaapekto sa pamamahagi ng asset dahil tinutukoy nito ang kabuuang pool ng mga asset na magagamit para sa mga benepisyaryo. Ang mas mataas na pagpapahalaga ay nangangahulugan ng isang mas malaking ari-arian, na posibleng magbago ng mga indibidwal na bahagi. Ang fair market value (FMV) ay karaniwang tinutukoy ng isang propesyonal na appraiser na isinasaalang-alang ang: 1) Maihahambing na mga benta: Mga kamakailang benta ng mga katulad na ari-arian sa parehong lugar; 2) Kondisyon ng ari-arian: Edad, mga update, mga pagkukumpuni na kailangan; 3) Lokasyon: Kanais-nais na kapitbahayan, malapit sa mga amenities; 4) Mga uso sa merkado: Kasalukuyang klima sa ekonomiya, pangangailangan sa pabahay. Tinitiyak ng tumpak na FMV ang pagiging patas sa mga benepisyaryo, pinapaliit ang mga hindi pagkakaunawaan, at naiimpluwensyahan ang mga potensyal na pananagutan sa buwis sa ari-arian.</v>
      </c>
      <c r="F370" s="2">
        <f t="shared" si="1"/>
        <v>0</v>
      </c>
      <c r="G370" s="2"/>
      <c r="H370" s="2"/>
      <c r="I370" s="2"/>
      <c r="J370" s="2"/>
      <c r="K370" s="2"/>
      <c r="L370" s="2"/>
      <c r="M370" s="2"/>
      <c r="N370" s="2"/>
      <c r="O370" s="2"/>
      <c r="P370" s="2"/>
      <c r="Q370" s="2"/>
      <c r="R370" s="2"/>
      <c r="S370" s="2"/>
      <c r="T370" s="2"/>
      <c r="U370" s="2"/>
      <c r="V370" s="2"/>
      <c r="W370" s="2"/>
      <c r="X370" s="2"/>
      <c r="Y370" s="2"/>
      <c r="Z370" s="2"/>
      <c r="AA370" s="2"/>
    </row>
    <row r="371">
      <c r="A371" s="1" t="s">
        <v>1224</v>
      </c>
      <c r="B371" s="1" t="s">
        <v>1396</v>
      </c>
      <c r="C371" s="1" t="s">
        <v>1397</v>
      </c>
      <c r="D371" s="1" t="s">
        <v>1398</v>
      </c>
      <c r="E371" s="2" t="str">
        <f>IFERROR(__xludf.DUMMYFUNCTION("GOOGLETRANSLATE(C371, ""en"", ""TL"")"),"Kapag nakikitungo sa mga natatangi o espesyal na pag-aari gaya ng mga makasaysayang bahay o ari-arian na may mga conservation easement, mahalagang isaalang-alang ang mga partikular na buwis at legal na kinakailangan na nauugnay sa mga ganitong uri ng ari-"&amp;"arian. Para sa mga makasaysayang tahanan, maaaring kabilang dito ang pagsunod sa Mga Pamantayan ng Kalihim ng Panloob para sa Rehabilitasyon at mga potensyal na kredito sa buwis para sa mga kwalipikadong gastos sa rehabilitasyon. Para sa mga ari-arian na "&amp;"may mga conservation easement, mahalagang tiyakin na ang easement ay maayos na na-draft at naitala, at na ang anumang mga donasyon ng mga conservation easement ay nakakatugon sa mga kinakailangan ng Seksyon 170(h) ng Internal Revenue Code, kabilang ang ki"&amp;"nakailangan na ang layunin ng konserbasyon ay protektado nang walang hanggan. Bukod pa rito, dapat malaman ng mga developer ang potensyal para sa pagpapatupad ng IRS sa mga kaso ng ""masamang"" conservation easement deal, na maaaring magbanta sa posibilid"&amp;"ad ng matagumpay na mga transaksyon sa konserbasyon ng lupa.")</f>
        <v>Kapag nakikitungo sa mga natatangi o espesyal na pag-aari gaya ng mga makasaysayang bahay o ari-arian na may mga conservation easement, mahalagang isaalang-alang ang mga partikular na buwis at legal na kinakailangan na nauugnay sa mga ganitong uri ng ari-arian. Para sa mga makasaysayang tahanan, maaaring kabilang dito ang pagsunod sa Mga Pamantayan ng Kalihim ng Panloob para sa Rehabilitasyon at mga potensyal na kredito sa buwis para sa mga kwalipikadong gastos sa rehabilitasyon. Para sa mga ari-arian na may mga conservation easement, mahalagang tiyakin na ang easement ay maayos na na-draft at naitala, at na ang anumang mga donasyon ng mga conservation easement ay nakakatugon sa mga kinakailangan ng Seksyon 170(h) ng Internal Revenue Code, kabilang ang kinakailangan na ang layunin ng konserbasyon ay protektado nang walang hanggan. Bukod pa rito, dapat malaman ng mga developer ang potensyal para sa pagpapatupad ng IRS sa mga kaso ng "masamang" conservation easement deal, na maaaring magbanta sa posibilidad ng matagumpay na mga transaksyon sa konserbasyon ng lupa.</v>
      </c>
      <c r="F371" s="2">
        <f t="shared" si="1"/>
        <v>0</v>
      </c>
      <c r="G371" s="2"/>
      <c r="H371" s="2"/>
      <c r="I371" s="2"/>
      <c r="J371" s="2"/>
      <c r="K371" s="2"/>
      <c r="L371" s="2"/>
      <c r="M371" s="2"/>
      <c r="N371" s="2"/>
      <c r="O371" s="2"/>
      <c r="P371" s="2"/>
      <c r="Q371" s="2"/>
      <c r="R371" s="2"/>
      <c r="S371" s="2"/>
      <c r="T371" s="2"/>
      <c r="U371" s="2"/>
      <c r="V371" s="2"/>
      <c r="W371" s="2"/>
      <c r="X371" s="2"/>
      <c r="Y371" s="2"/>
      <c r="Z371" s="2"/>
      <c r="AA371" s="2"/>
    </row>
    <row r="372">
      <c r="A372" s="1" t="s">
        <v>1224</v>
      </c>
      <c r="B372" s="1" t="s">
        <v>1399</v>
      </c>
      <c r="C372" s="1" t="s">
        <v>1400</v>
      </c>
      <c r="D372" s="1" t="s">
        <v>1401</v>
      </c>
      <c r="E372" s="2" t="str">
        <f>IFERROR(__xludf.DUMMYFUNCTION("GOOGLETRANSLATE(C372, ""en"", ""TL"")"),"Ang mga kasunduan sa prenuptial sa pinaghalo na mga pamilya ay maaaring makaapekto sa mana sa mga kumplikadong paraan, na posibleng mabawasan ang hindi pagkakasundo ngunit nahaharap din sa mga legal na hamon. Maaari nilang tukuyin kung aling mga pre-marit"&amp;"al asset ang mananatiling hiwalay, na tinitiyak na hindi maaabala ang mga dati nang inheritance plan para sa mga biological na bata. Gayunpaman, ang mga kasunduang ito ay maaaring ipaglaban ng mga nabubuhay na asawa o mga anak kung itinuring na hindi pata"&amp;"s o hindi makatarungan, lalo na kung ang isang partido ay hindi ganap na napag-alaman o napilit na pumirma. Ang pag-navigate sa mga kumplikadong ito ay nangangailangan ng mga proactive na talakayan, masusing legal na tagapayo, at malinaw na dokumentasyon "&amp;"upang ma-maximize ang kalinawan at mabawasan ang mga legal na gusot sa hinaharap.")</f>
        <v>Ang mga kasunduan sa prenuptial sa pinaghalo na mga pamilya ay maaaring makaapekto sa mana sa mga kumplikadong paraan, na posibleng mabawasan ang hindi pagkakasundo ngunit nahaharap din sa mga legal na hamon. Maaari nilang tukuyin kung aling mga pre-marital asset ang mananatiling hiwalay, na tinitiyak na hindi maaabala ang mga dati nang inheritance plan para sa mga biological na bata. Gayunpaman, ang mga kasunduang ito ay maaaring ipaglaban ng mga nabubuhay na asawa o mga anak kung itinuring na hindi patas o hindi makatarungan, lalo na kung ang isang partido ay hindi ganap na napag-alaman o napilit na pumirma. Ang pag-navigate sa mga kumplikadong ito ay nangangailangan ng mga proactive na talakayan, masusing legal na tagapayo, at malinaw na dokumentasyon upang ma-maximize ang kalinawan at mabawasan ang mga legal na gusot sa hinaharap.</v>
      </c>
      <c r="F372" s="2">
        <f t="shared" si="1"/>
        <v>0</v>
      </c>
      <c r="G372" s="2"/>
      <c r="H372" s="2"/>
      <c r="I372" s="2"/>
      <c r="J372" s="2"/>
      <c r="K372" s="2"/>
      <c r="L372" s="2"/>
      <c r="M372" s="2"/>
      <c r="N372" s="2"/>
      <c r="O372" s="2"/>
      <c r="P372" s="2"/>
      <c r="Q372" s="2"/>
      <c r="R372" s="2"/>
      <c r="S372" s="2"/>
      <c r="T372" s="2"/>
      <c r="U372" s="2"/>
      <c r="V372" s="2"/>
      <c r="W372" s="2"/>
      <c r="X372" s="2"/>
      <c r="Y372" s="2"/>
      <c r="Z372" s="2"/>
      <c r="AA372" s="2"/>
    </row>
    <row r="373">
      <c r="A373" s="1" t="s">
        <v>1224</v>
      </c>
      <c r="B373" s="1" t="s">
        <v>1402</v>
      </c>
      <c r="C373" s="1" t="s">
        <v>1403</v>
      </c>
      <c r="D373" s="1" t="s">
        <v>1404</v>
      </c>
      <c r="E373" s="2" t="str">
        <f>IFERROR(__xludf.DUMMYFUNCTION("GOOGLETRANSLATE(C373, ""en"", ""TL"")"),"Ang pamana ng mga diskarte sa pagpaplano ng ari-arian at ari-arian ay masalimuot na nauugnay. Kung walang plano, ang pamamahagi ng ari-arian ay pinamamahalaan ng mga batas ng estado, na posibleng humahantong sa mga hindi inaasahang resulta at mga legal na"&amp;" kumplikado. Ang pagpaplano ng ari-arian ay nagbibigay ng kapangyarihan sa iyo na magdikta kung sino ang magmamana ng iyong ari-arian, na pinapaliit ang kalituhan at tunggalian. Ang mga trust ay may mahalagang papel sa pagtiyak ng tuluy-tuloy na paglipat "&amp;"ng asset. Nag-aalok sila ng ilang mga pakinabang: Kakayahang umangkop: Maaari mong tukuyin ang mga kundisyon ng mana, pamahalaan ang mga asset para sa mga benepisyaryo, at i-bypass ang probate, na makatipid ng oras at pera. Proteksyon ng asset: Pinagkakat"&amp;"iwalaan ang mga asset mula sa mga pinagkakautangan at mga demanda, na tinitiyak na maabot nila ang iyong mga nilalayong tagapagmana. Pagbawas ng buwis: Ang ilang mga trust ay nag-aalok ng mga benepisyo sa buwis, na binabawasan ang pinansiyal na pasanin sa"&amp;" iyong mga benepisyaryo.
Gayunpaman, ang pagpili ng tamang tiwala ay nangangailangan ng maingat na pagsasaalang-alang. Ang iba't ibang uri ay nagsisilbi sa iba't ibang layunin, at ang mga ito ay may kasamang mga gastos sa pangangasiwa. Ang pagkonsulta sa"&amp;" isang abogado sa pagpaplano ng ari-arian ay mahalaga upang maiangkop ang isang plano na tumutugon sa iyong mga partikular na pangangailangan at layunin. Tandaan, ang pagpaplano ng ari-arian ay isang patuloy na proseso. Regular na suriin at i-update ang i"&amp;"yong plano upang ipakita ang mga pagbabago sa iyong buhay, mga asset, at legal na tanawin. Sa pamamagitan ng proactive na diskarte, masisiguro mo ang maayos at mahusay na paglipat ng iyong ari-arian, na nag-iiwan ng pangmatagalang legacy para sa iyong mga"&amp;" mahal sa buhay.")</f>
        <v>Ang pamana ng mga diskarte sa pagpaplano ng ari-arian at ari-arian ay masalimuot na nauugnay. Kung walang plano, ang pamamahagi ng ari-arian ay pinamamahalaan ng mga batas ng estado, na posibleng humahantong sa mga hindi inaasahang resulta at mga legal na kumplikado. Ang pagpaplano ng ari-arian ay nagbibigay ng kapangyarihan sa iyo na magdikta kung sino ang magmamana ng iyong ari-arian, na pinapaliit ang kalituhan at tunggalian. Ang mga trust ay may mahalagang papel sa pagtiyak ng tuluy-tuloy na paglipat ng asset. Nag-aalok sila ng ilang mga pakinabang: Kakayahang umangkop: Maaari mong tukuyin ang mga kundisyon ng mana, pamahalaan ang mga asset para sa mga benepisyaryo, at i-bypass ang probate, na makatipid ng oras at pera. Proteksyon ng asset: Pinagkakatiwalaan ang mga asset mula sa mga pinagkakautangan at mga demanda, na tinitiyak na maabot nila ang iyong mga nilalayong tagapagmana. Pagbawas ng buwis: Ang ilang mga trust ay nag-aalok ng mga benepisyo sa buwis, na binabawasan ang pinansiyal na pasanin sa iyong mga benepisyaryo.
Gayunpaman, ang pagpili ng tamang tiwala ay nangangailangan ng maingat na pagsasaalang-alang. Ang iba't ibang uri ay nagsisilbi sa iba't ibang layunin, at ang mga ito ay may kasamang mga gastos sa pangangasiwa. Ang pagkonsulta sa isang abogado sa pagpaplano ng ari-arian ay mahalaga upang maiangkop ang isang plano na tumutugon sa iyong mga partikular na pangangailangan at layunin. Tandaan, ang pagpaplano ng ari-arian ay isang patuloy na proseso. Regular na suriin at i-update ang iyong plano upang ipakita ang mga pagbabago sa iyong buhay, mga asset, at legal na tanawin. Sa pamamagitan ng proactive na diskarte, masisiguro mo ang maayos at mahusay na paglipat ng iyong ari-arian, na nag-iiwan ng pangmatagalang legacy para sa iyong mga mahal sa buhay.</v>
      </c>
      <c r="F373" s="2">
        <f t="shared" si="1"/>
        <v>0</v>
      </c>
      <c r="G373" s="2"/>
      <c r="H373" s="2"/>
      <c r="I373" s="2"/>
      <c r="J373" s="2"/>
      <c r="K373" s="2"/>
      <c r="L373" s="2"/>
      <c r="M373" s="2"/>
      <c r="N373" s="2"/>
      <c r="O373" s="2"/>
      <c r="P373" s="2"/>
      <c r="Q373" s="2"/>
      <c r="R373" s="2"/>
      <c r="S373" s="2"/>
      <c r="T373" s="2"/>
      <c r="U373" s="2"/>
      <c r="V373" s="2"/>
      <c r="W373" s="2"/>
      <c r="X373" s="2"/>
      <c r="Y373" s="2"/>
      <c r="Z373" s="2"/>
      <c r="AA373" s="2"/>
    </row>
    <row r="374">
      <c r="A374" s="1" t="s">
        <v>1224</v>
      </c>
      <c r="B374" s="1" t="s">
        <v>1405</v>
      </c>
      <c r="C374" s="1" t="s">
        <v>1406</v>
      </c>
      <c r="D374" s="1" t="s">
        <v>1407</v>
      </c>
      <c r="E374" s="2" t="str">
        <f>IFERROR(__xludf.DUMMYFUNCTION("GOOGLETRANSLATE(C374, ""en"", ""TL"")"),"Ang pagtanggap ng mana sa pamamagitan ng isang patakaran sa seguro sa buhay na kinabibilangan ng mga ari-arian ng real estate ay maaaring magkaroon ng ilang legal na implikasyon, lalo na sa konteksto ng batas ng Pilipinas. Narito ang ilang mahahalagang pu"&amp;"ntong dapat isaalang-alang:
Estate Tax: Sa Pilipinas, ang ari-arian ng namatay ay napapailalim sa estate tax, na dapat bayaran bago ipamahagi ang mga ari-arian sa mga tagapagmana.
Legal na Pagsusunod: Kung ang namatay ay hindi nag-iwan ng testamento, ang "&amp;"legal o intestate succession na mga batas ay malalapat. Ang Pambansang Batas ng yumao sa oras ng kamatayan ang namamahala sa paghalili
Mga Sapilitang Tagapagmana: Tinutukoy ng batas ang mga sapilitang tagapagmana (tulad ng mga anak, asawa, at mga magulang"&amp;") na may karapatan sa isang bahagi ng mana na tinatawag na ""lehitima"" na protektado ng batas
Mga Nalikom sa Life Insurance: Sa pangkalahatan, ang mga nalikom sa life insurance ay hindi napapailalim sa income tax, at ang mga benepisyaryo ay hindi kailang"&amp;"ang magbayad ng buwis sa natanggap na halaga. Gayunpaman, kung kasama sa patakaran ang real estate, maaari itong sumailalim sa buwis sa ari-arian
Real Estate Transfer: Ang paglilipat ng real estate bilang bahagi ng mana ay maaaring mangailangan ng judicia"&amp;"l o extrajudicial settlement at tamang dokumentasyon upang matiyak ang legal na paglilipat ng pagmamay-ari sa mga tagapagmana")</f>
        <v>Ang pagtanggap ng mana sa pamamagitan ng isang patakaran sa seguro sa buhay na kinabibilangan ng mga ari-arian ng real estate ay maaaring magkaroon ng ilang legal na implikasyon, lalo na sa konteksto ng batas ng Pilipinas. Narito ang ilang mahahalagang puntong dapat isaalang-alang:
Estate Tax: Sa Pilipinas, ang ari-arian ng namatay ay napapailalim sa estate tax, na dapat bayaran bago ipamahagi ang mga ari-arian sa mga tagapagmana.
Legal na Pagsusunod: Kung ang namatay ay hindi nag-iwan ng testamento, ang legal o intestate succession na mga batas ay malalapat. Ang Pambansang Batas ng yumao sa oras ng kamatayan ang namamahala sa paghalili
Mga Sapilitang Tagapagmana: Tinutukoy ng batas ang mga sapilitang tagapagmana (tulad ng mga anak, asawa, at mga magulang) na may karapatan sa isang bahagi ng mana na tinatawag na "lehitima" na protektado ng batas
Mga Nalikom sa Life Insurance: Sa pangkalahatan, ang mga nalikom sa life insurance ay hindi napapailalim sa income tax, at ang mga benepisyaryo ay hindi kailangang magbayad ng buwis sa natanggap na halaga. Gayunpaman, kung kasama sa patakaran ang real estate, maaari itong sumailalim sa buwis sa ari-arian
Real Estate Transfer: Ang paglilipat ng real estate bilang bahagi ng mana ay maaaring mangailangan ng judicial o extrajudicial settlement at tamang dokumentasyon upang matiyak ang legal na paglilipat ng pagmamay-ari sa mga tagapagmana</v>
      </c>
      <c r="F374" s="2">
        <f t="shared" si="1"/>
        <v>0</v>
      </c>
      <c r="G374" s="2"/>
      <c r="H374" s="2"/>
      <c r="I374" s="2"/>
      <c r="J374" s="2"/>
      <c r="K374" s="2"/>
      <c r="L374" s="2"/>
      <c r="M374" s="2"/>
      <c r="N374" s="2"/>
      <c r="O374" s="2"/>
      <c r="P374" s="2"/>
      <c r="Q374" s="2"/>
      <c r="R374" s="2"/>
      <c r="S374" s="2"/>
      <c r="T374" s="2"/>
      <c r="U374" s="2"/>
      <c r="V374" s="2"/>
      <c r="W374" s="2"/>
      <c r="X374" s="2"/>
      <c r="Y374" s="2"/>
      <c r="Z374" s="2"/>
      <c r="AA374" s="2"/>
    </row>
    <row r="375">
      <c r="A375" s="1" t="s">
        <v>1224</v>
      </c>
      <c r="B375" s="1" t="s">
        <v>1408</v>
      </c>
      <c r="C375" s="1" t="s">
        <v>1409</v>
      </c>
      <c r="D375" s="1" t="s">
        <v>1410</v>
      </c>
      <c r="E375" s="2" t="str">
        <f>IFERROR(__xludf.DUMMYFUNCTION("GOOGLETRANSLATE(C375, ""en"", ""TL"")"),"## Mga Obligasyon ng mga Tagapagmana at Pinagkabahaging Gastos para sa Minanang Ari-arian sa Pilipinas (RA at Konstitusyon)
**Mga Obligasyon:**
Sa Pilipinas, ang mga tagapagmana ay may ilang legal na obligasyon tungkol sa pagpapanatili at pangangalaga ng "&amp;"minanang ari-arian, gaya ng nakabalangkas sa **Civil Code of the Philippines (CCP):**
* **Co-ownership:** Sa mana, ang mga tagapagmana ay magiging **co-owners** ng property, bawat isa ay may partikular na bahagi batay sa kanilang mga karapatan sa mana. Na"&amp;"gtatatag ito ng **kaugnayang magkakasamang pagmamay-ari** na may magkakabahaging responsibilidad para sa pagpapanatili ng ari-arian.
* **Pag-iingat at kasiyahan:** Ang mga tagapagmana ay may **tungkulin na pangalagaan ang ari-arian** at tiyakin ang patulo"&amp;"y na pag-iral at paggana nito. Kabilang dito ang paggawa ng mga kinakailangang hakbang para sa pagpapanatili at pagkukumpuni upang maiwasan ang pagkasira o pagkasira.
* **Proporsyonal na kontribusyon:** Ang bawat tagapagmana ay karaniwang may pananagutan "&amp;"sa pag-aambag sa pangangalaga **katimbang sa kanilang bahagi ng pagmamay-ari**. Nangangahulugan ito ng pag-aambag sa pananalapi o sa pamamagitan ng pagsisikap patungo sa mga gastos sa pagpapanatili at pagkumpuni.
**Pamamahala ng Mga Nakabahaging Gastos:**"&amp;"
Mayroong ilang mga opsyon para sa pamamahala ng mga nakabahaging gastos sa mga tagapagmana pagdating sa pagpapanatili ng minanang ari-arian:
* **Kasunduan ng mga tagapagmana:** Ang mga tagapagmana ay maaaring magkaroon ng **nakasulat na kasunduan** na na"&amp;"gbabalangkas sa kani-kanilang mga kontribusyon sa mga gastos sa pagpapanatili at pangangalaga. Maaaring tukuyin ng kasunduang ito ang:
* **Mga kontribusyon sa pananalapi:** Bahagi ng bawat tagapagmana sa kabuuang halaga batay sa porsyento ng kanilang pagm"&amp;"amay-ari.
* **Dibisyon ng paggawa:** Pagtatalaga ng mga partikular na gawain sa pagpapanatili sa mga indibidwal na tagapagmana batay sa kanilang mga kasanayan o kagustuhan.
* **Proseso ng paggawa ng desisyon:** Pagtatatag ng mga pamamaraan para sa pagtala"&amp;"kay at pagsang-ayon sa mga pangunahing pagkukumpuni o pagsasaayos.
* **Panghihimasok sa korte:** Kung hindi mapagkasunduan ng mga tagapagmana, maaari silang magpetisyon sa korte para sa **paghati** ng ari-arian. Hinahati ng prosesong ito ang ari-arian sa "&amp;"mga indibidwal na bahagi, na epektibong pinuputol ang relasyon sa kapwa pagmamay-ari at inaalis ang nakabahaging responsibilidad sa pagpapanatili.
**Mahahalagang Pagsasaalang-alang:**
* **Katangian ng ari-arian:** Ang mga partikular na pangangailangan sa "&amp;"pagpapanatili at kaugnay na mga gastos ay mag-iiba depende sa uri ng ari-arian (lupa, gusali, atbp.) at kundisyon nito.
* **Komunikasyon at kooperasyon:** Ang epektibong komunikasyon at pagtutulungan ng mga tagapagmana ay mahalaga para sa pamamahala ng mg"&amp;"a nakabahaging gastos at pagtiyak sa pangangalaga ng ari-arian.
* **Legal na tulong:** Ang pagkonsulta sa isang abogado na dalubhasa sa batas ng ari-arian ay maaaring maging kapaki-pakinabang para sa pag-navigate sa mga legal na obligasyon, pagbalangkas n"&amp;"g mga kasunduan, at pagresolba ng mga potensyal na hindi pagkakaunawaan tungkol sa mga nakabahaging gastos at mga responsibilidad sa pagpapanatili.
**Disclaimer:** Ang impormasyong ito ay para sa pangkalahatang pag-unawa at hindi bumubuo ng legal na payo."&amp;" Ang pagkonsulta sa isang abogado para sa mga partikular na sitwasyon at detalyadong legal na patnubay tungkol sa interpretasyon at aplikasyon ng mga kaugnay na batas at ang pinakaepektibong diskarte para sa pamamahala ng mga shared cost at mga responsibi"&amp;"lidad sa pagpapanatili para sa minanang ari-arian sa Pilipinas ay napakahalaga.")</f>
        <v>## Mga Obligasyon ng mga Tagapagmana at Pinagkabahaging Gastos para sa Minanang Ari-arian sa Pilipinas (RA at Konstitusyon)
**Mga Obligasyon:**
Sa Pilipinas, ang mga tagapagmana ay may ilang legal na obligasyon tungkol sa pagpapanatili at pangangalaga ng minanang ari-arian, gaya ng nakabalangkas sa **Civil Code of the Philippines (CCP):**
* **Co-ownership:** Sa mana, ang mga tagapagmana ay magiging **co-owners** ng property, bawat isa ay may partikular na bahagi batay sa kanilang mga karapatan sa mana. Nagtatatag ito ng **kaugnayang magkakasamang pagmamay-ari** na may magkakabahaging responsibilidad para sa pagpapanatili ng ari-arian.
* **Pag-iingat at kasiyahan:** Ang mga tagapagmana ay may **tungkulin na pangalagaan ang ari-arian** at tiyakin ang patuloy na pag-iral at paggana nito. Kabilang dito ang paggawa ng mga kinakailangang hakbang para sa pagpapanatili at pagkukumpuni upang maiwasan ang pagkasira o pagkasira.
* **Proporsyonal na kontribusyon:** Ang bawat tagapagmana ay karaniwang may pananagutan sa pag-aambag sa pangangalaga **katimbang sa kanilang bahagi ng pagmamay-ari**. Nangangahulugan ito ng pag-aambag sa pananalapi o sa pamamagitan ng pagsisikap patungo sa mga gastos sa pagpapanatili at pagkumpuni.
**Pamamahala ng Mga Nakabahaging Gastos:**
Mayroong ilang mga opsyon para sa pamamahala ng mga nakabahaging gastos sa mga tagapagmana pagdating sa pagpapanatili ng minanang ari-arian:
* **Kasunduan ng mga tagapagmana:** Ang mga tagapagmana ay maaaring magkaroon ng **nakasulat na kasunduan** na nagbabalangkas sa kani-kanilang mga kontribusyon sa mga gastos sa pagpapanatili at pangangalaga. Maaaring tukuyin ng kasunduang ito ang:
* **Mga kontribusyon sa pananalapi:** Bahagi ng bawat tagapagmana sa kabuuang halaga batay sa porsyento ng kanilang pagmamay-ari.
* **Dibisyon ng paggawa:** Pagtatalaga ng mga partikular na gawain sa pagpapanatili sa mga indibidwal na tagapagmana batay sa kanilang mga kasanayan o kagustuhan.
* **Proseso ng paggawa ng desisyon:** Pagtatatag ng mga pamamaraan para sa pagtalakay at pagsang-ayon sa mga pangunahing pagkukumpuni o pagsasaayos.
* **Panghihimasok sa korte:** Kung hindi mapagkasunduan ng mga tagapagmana, maaari silang magpetisyon sa korte para sa **paghati** ng ari-arian. Hinahati ng prosesong ito ang ari-arian sa mga indibidwal na bahagi, na epektibong pinuputol ang relasyon sa kapwa pagmamay-ari at inaalis ang nakabahaging responsibilidad sa pagpapanatili.
**Mahahalagang Pagsasaalang-alang:**
* **Katangian ng ari-arian:** Ang mga partikular na pangangailangan sa pagpapanatili at kaugnay na mga gastos ay mag-iiba depende sa uri ng ari-arian (lupa, gusali, atbp.) at kundisyon nito.
* **Komunikasyon at kooperasyon:** Ang epektibong komunikasyon at pagtutulungan ng mga tagapagmana ay mahalaga para sa pamamahala ng mga nakabahaging gastos at pagtiyak sa pangangalaga ng ari-arian.
* **Legal na tulong:** Ang pagkonsulta sa isang abogado na dalubhasa sa batas ng ari-arian ay maaaring maging kapaki-pakinabang para sa pag-navigate sa mga legal na obligasyon, pagbalangkas ng mga kasunduan, at pagresolba ng mga potensyal na hindi pagkakaunawaan tungkol sa mga nakabahaging gastos at mga responsibilidad sa pagpapanatili.
**Disclaimer:** Ang impormasyong ito ay para sa pangkalahatang pag-unawa at hindi bumubuo ng legal na payo. Ang pagkonsulta sa isang abogado para sa mga partikular na sitwasyon at detalyadong legal na patnubay tungkol sa interpretasyon at aplikasyon ng mga kaugnay na batas at ang pinakaepektibong diskarte para sa pamamahala ng mga shared cost at mga responsibilidad sa pagpapanatili para sa minanang ari-arian sa Pilipinas ay napakahalaga.</v>
      </c>
      <c r="F375" s="2">
        <f t="shared" si="1"/>
        <v>0</v>
      </c>
      <c r="G375" s="2"/>
      <c r="H375" s="2"/>
      <c r="I375" s="2"/>
      <c r="J375" s="2"/>
      <c r="K375" s="2"/>
      <c r="L375" s="2"/>
      <c r="M375" s="2"/>
      <c r="N375" s="2"/>
      <c r="O375" s="2"/>
      <c r="P375" s="2"/>
      <c r="Q375" s="2"/>
      <c r="R375" s="2"/>
      <c r="S375" s="2"/>
      <c r="T375" s="2"/>
      <c r="U375" s="2"/>
      <c r="V375" s="2"/>
      <c r="W375" s="2"/>
      <c r="X375" s="2"/>
      <c r="Y375" s="2"/>
      <c r="Z375" s="2"/>
      <c r="AA375" s="2"/>
    </row>
    <row r="376">
      <c r="A376" s="1" t="s">
        <v>1224</v>
      </c>
      <c r="B376" s="1" t="s">
        <v>1411</v>
      </c>
      <c r="C376" s="1" t="s">
        <v>1412</v>
      </c>
      <c r="D376" s="1" t="s">
        <v>1413</v>
      </c>
      <c r="E376" s="2" t="str">
        <f>IFERROR(__xludf.DUMMYFUNCTION("GOOGLETRANSLATE(C376, ""en"", ""TL"")"),"## Paglutas ng mga Di-pagkakasundo sa mga Tagapagmana sa Pilipinas (RA at Konstitusyon)
Sa kasamaang palad, karaniwan sa Pilipinas ang mga pagtatalo sa pagitan ng mga tagapagmana hinggil sa paghahati o paggamit ng minanang ari-arian. Sa kabutihang palad, "&amp;"maraming mga legal na paraan ang umiiral para sa paglutas ng mga salungatan na ito, pagtataguyod ng mapayapang pakikipag-ayos, at pagtiyak ng patas na resulta para sa lahat ng kasangkot.
**1. Amicable Settlement:**
* **Preferred approach:** Ang pinaka **h"&amp;"inikayat** na paraan ay ang pag-abot sa isang **amicable settlement** sa pamamagitan ng bukas na komunikasyon, negosasyon, at kompromiso sa mga tagapagmana. Ito ay maaaring may kasamang:
* **Mga talakayan sa pamilya:** Tahasan na tinatalakay ang mga alala"&amp;"hanin, pangangailangan, at kagustuhan hinggil sa paghahati o paggamit ng ari-arian.
* **Pamamagitan:** Pakikipag-ugnayan sa isang neutral na third party upang mapadali ang komunikasyon, gabayan ang mga talakayan, at tumulong na maabot ang isang solusyong "&amp;"napagkasunduan ng isa't isa.
**2. Extrajudicial Settlement:**
* **Formalized na kasunduan:** Kung nakamit ang isang amicable settlement, maaari itong gawing pormal sa pamamagitan ng **Extrajudicial Settlement of Estate**. Ang dokumentong ito, na nilagdaan"&amp;" ng lahat ng tagapagmana, ay binabalangkas ang napagkasunduang paghahati ng ari-arian o ang paggamit nito, na nagsisilbing legal na ebidensya ng kasunduan.
**3. Judicial Settlement:**
* **Panghihimasok sa korte:** Kung mapatunayang imposible ang isang ami"&amp;"cable settlement, ang mga tagapagmana ay maaaring gumamit ng **judicial settlement** sa pamamagitan ng pagsasampa ng kaso sa naaangkop na hukuman. Ang hukuman ay pagkatapos ay:
* **Pakinggan ang mga argumento:** Isaalang-alang ang katibayan at argumento n"&amp;"a ipinakita ng bawat tagapagmana patungkol sa kanilang mga paghahabol at ninanais na mga resulta.
* **Mag-isyu ng desisyon:** Batay sa ipinakitang ebidensya at naaangkop na mga batas, maglalabas ang hukuman ng desisyon sa paghahati o paggamit ng ari-arian"&amp;", na may bisa sa lahat ng tagapagmana.
**4. Pamamagitan at Arbitrasyon:**
* **Alternative dispute resolution (ADR):** Aktibong itinataguyod ng Pilipinas ang **ADR** na mga pamamaraan tulad ng pamamagitan at arbitrasyon para sa paglutas ng mga hindi pagkak"&amp;"aunawaan, kabilang ang mga kabilang sa mga tagapagmana.
* **Mediation:** Katulad ng diskarte sa amicable settlements, pinapadali ng isang neutral na third party ang komunikasyon at ginagabayan ang mga talakayan tungo sa isang solusyong napagkasunduan ng i"&amp;"sa't isa, ngunit may karagdagang benepisyo ng mediator na may legal na kadalubhasaan at potensyal na mas pormal na mga kasanayan sa pagresolba ng hindi pagkakaunawaan.
* **Arbitrasyon:** Ang mga tagapagmana ay maaaring sumang-ayon sa may-bisang arbitrasyo"&amp;"n, kung saan ang isang neutral na ikatlong partido (arbitrator) ay dumidinig ng mga argumento at maglalabas ng isang may-bisang desisyon sa hindi pagkakaunawaan, katulad ng isang desisyon ng korte, ngunit kadalasan ay may mas mabilis at hindi gaanong porm"&amp;"al na proseso.
**Mahahalagang Pagsasaalang-alang:**
* **Pagpipilian ng paraan:** Ang pinaka-angkop na paraan ay nakasalalay sa mga partikular na pangyayari, ang antas ng salungatan, at ang pagpayag ng lahat ng mga tagapagmana na makilahok nang maayos.
* *"&amp;"*Legal na tulong:** Ang pagkonsulta sa isang abogado na dalubhasa sa batas sa pagmamana at ari-arian ay mahalaga para sa pag-navigate sa mga legal na kumplikado, pag-unawa sa mga naaangkop na batas, at pagprotekta sa mga indibidwal na karapatan sa buong p"&amp;"roseso ng paglutas ng hindi pagkakaunawaan.
* **Mga kasangkot na gastos:** Ang bawat paraan ay nagkakaroon ng iba't ibang gastos, kabilang ang mga potensyal na legal na bayarin, bayad sa paghahain ng korte, at bayad sa tagapamagitan/arbitrator.
**Disclaim"&amp;"er:** Ang impormasyong ito ay para sa pangkalahatang pag-unawa at hindi bumubuo ng legal na payo. Ang pagkonsulta sa isang abogado para sa mga partikular na sitwasyon at detalyadong legal na patnubay tungkol sa pinakaangkop na diskarte para sa pagresolba "&amp;"ng mga hindi pagkakaunawaan sa pagitan ng mga tagapagmana, ang mga masalimuot ng bawat pamamaraan, at ang mga potensyal na legal na implikasyon ay napakahalaga. Tandaan, ang paghanap ng propesyonal na legal na patnubay ay maaaring makabuluhang mapahusay a"&amp;"ng mga pagkakataong makamit ang isang patas at mapayapa na resolusyon para sa lahat ng kasangkot na partido.")</f>
        <v>## Paglutas ng mga Di-pagkakasundo sa mga Tagapagmana sa Pilipinas (RA at Konstitusyon)
Sa kasamaang palad, karaniwan sa Pilipinas ang mga pagtatalo sa pagitan ng mga tagapagmana hinggil sa paghahati o paggamit ng minanang ari-arian. Sa kabutihang palad, maraming mga legal na paraan ang umiiral para sa paglutas ng mga salungatan na ito, pagtataguyod ng mapayapang pakikipag-ayos, at pagtiyak ng patas na resulta para sa lahat ng kasangkot.
**1. Amicable Settlement:**
* **Preferred approach:** Ang pinaka **hinikayat** na paraan ay ang pag-abot sa isang **amicable settlement** sa pamamagitan ng bukas na komunikasyon, negosasyon, at kompromiso sa mga tagapagmana. Ito ay maaaring may kasamang:
* **Mga talakayan sa pamilya:** Tahasan na tinatalakay ang mga alalahanin, pangangailangan, at kagustuhan hinggil sa paghahati o paggamit ng ari-arian.
* **Pamamagitan:** Pakikipag-ugnayan sa isang neutral na third party upang mapadali ang komunikasyon, gabayan ang mga talakayan, at tumulong na maabot ang isang solusyong napagkasunduan ng isa't isa.
**2. Extrajudicial Settlement:**
* **Formalized na kasunduan:** Kung nakamit ang isang amicable settlement, maaari itong gawing pormal sa pamamagitan ng **Extrajudicial Settlement of Estate**. Ang dokumentong ito, na nilagdaan ng lahat ng tagapagmana, ay binabalangkas ang napagkasunduang paghahati ng ari-arian o ang paggamit nito, na nagsisilbing legal na ebidensya ng kasunduan.
**3. Judicial Settlement:**
* **Panghihimasok sa korte:** Kung mapatunayang imposible ang isang amicable settlement, ang mga tagapagmana ay maaaring gumamit ng **judicial settlement** sa pamamagitan ng pagsasampa ng kaso sa naaangkop na hukuman. Ang hukuman ay pagkatapos ay:
* **Pakinggan ang mga argumento:** Isaalang-alang ang katibayan at argumento na ipinakita ng bawat tagapagmana patungkol sa kanilang mga paghahabol at ninanais na mga resulta.
* **Mag-isyu ng desisyon:** Batay sa ipinakitang ebidensya at naaangkop na mga batas, maglalabas ang hukuman ng desisyon sa paghahati o paggamit ng ari-arian, na may bisa sa lahat ng tagapagmana.
**4. Pamamagitan at Arbitrasyon:**
* **Alternative dispute resolution (ADR):** Aktibong itinataguyod ng Pilipinas ang **ADR** na mga pamamaraan tulad ng pamamagitan at arbitrasyon para sa paglutas ng mga hindi pagkakaunawaan, kabilang ang mga kabilang sa mga tagapagmana.
* **Mediation:** Katulad ng diskarte sa amicable settlements, pinapadali ng isang neutral na third party ang komunikasyon at ginagabayan ang mga talakayan tungo sa isang solusyong napagkasunduan ng isa't isa, ngunit may karagdagang benepisyo ng mediator na may legal na kadalubhasaan at potensyal na mas pormal na mga kasanayan sa pagresolba ng hindi pagkakaunawaan.
* **Arbitrasyon:** Ang mga tagapagmana ay maaaring sumang-ayon sa may-bisang arbitrasyon, kung saan ang isang neutral na ikatlong partido (arbitrator) ay dumidinig ng mga argumento at maglalabas ng isang may-bisang desisyon sa hindi pagkakaunawaan, katulad ng isang desisyon ng korte, ngunit kadalasan ay may mas mabilis at hindi gaanong pormal na proseso.
**Mahahalagang Pagsasaalang-alang:**
* **Pagpipilian ng paraan:** Ang pinaka-angkop na paraan ay nakasalalay sa mga partikular na pangyayari, ang antas ng salungatan, at ang pagpayag ng lahat ng mga tagapagmana na makilahok nang maayos.
* **Legal na tulong:** Ang pagkonsulta sa isang abogado na dalubhasa sa batas sa pagmamana at ari-arian ay mahalaga para sa pag-navigate sa mga legal na kumplikado, pag-unawa sa mga naaangkop na batas, at pagprotekta sa mga indibidwal na karapatan sa buong proseso ng paglutas ng hindi pagkakaunawaan.
* **Mga kasangkot na gastos:** Ang bawat paraan ay nagkakaroon ng iba't ibang gastos, kabilang ang mga potensyal na legal na bayarin, bayad sa paghahain ng korte, at bayad sa tagapamagitan/arbitrator.
**Disclaimer:** Ang impormasyong ito ay para sa pangkalahatang pag-unawa at hindi bumubuo ng legal na payo. Ang pagkonsulta sa isang abogado para sa mga partikular na sitwasyon at detalyadong legal na patnubay tungkol sa pinakaangkop na diskarte para sa pagresolba ng mga hindi pagkakaunawaan sa pagitan ng mga tagapagmana, ang mga masalimuot ng bawat pamamaraan, at ang mga potensyal na legal na implikasyon ay napakahalaga. Tandaan, ang paghanap ng propesyonal na legal na patnubay ay maaaring makabuluhang mapahusay ang mga pagkakataong makamit ang isang patas at mapayapa na resolusyon para sa lahat ng kasangkot na partido.</v>
      </c>
      <c r="F376" s="2">
        <f t="shared" si="1"/>
        <v>0</v>
      </c>
      <c r="G376" s="2"/>
      <c r="H376" s="2"/>
      <c r="I376" s="2"/>
      <c r="J376" s="2"/>
      <c r="K376" s="2"/>
      <c r="L376" s="2"/>
      <c r="M376" s="2"/>
      <c r="N376" s="2"/>
      <c r="O376" s="2"/>
      <c r="P376" s="2"/>
      <c r="Q376" s="2"/>
      <c r="R376" s="2"/>
      <c r="S376" s="2"/>
      <c r="T376" s="2"/>
      <c r="U376" s="2"/>
      <c r="V376" s="2"/>
      <c r="W376" s="2"/>
      <c r="X376" s="2"/>
      <c r="Y376" s="2"/>
      <c r="Z376" s="2"/>
      <c r="AA376" s="2"/>
    </row>
    <row r="377">
      <c r="A377" s="1" t="s">
        <v>1224</v>
      </c>
      <c r="B377" s="1" t="s">
        <v>1414</v>
      </c>
      <c r="C377" s="1" t="s">
        <v>1415</v>
      </c>
      <c r="D377" s="1" t="s">
        <v>1416</v>
      </c>
      <c r="E377" s="2" t="str">
        <f>IFERROR(__xludf.DUMMYFUNCTION("GOOGLETRANSLATE(C377, ""en"", ""TL"")"),"Sa Pilipinas, may ilang legal na pananggalang na umiiral upang protektahan ang mga karapatan ng isang nabubuhay na asawa pagdating sa pagmamana ng tahanan ng mag-asawa o iba pang ari-arian ng magkasanib na pag-aari. Narito ang isang breakdown ng mga nauug"&amp;"nay na probisyon:
**1. Conjugal Partnership of Gains (CPG) Regime:**
* **Pagpapalagay ng kapwa pagmamay-ari:** Sa ilalim ng default na rehimeng CPG, karamihan sa mga ari-arian na nakuha sa panahon ng kasal ay ipinapalagay na kapwa pagmamay-ari ng pa"&amp;"rehong mag-asawa, anuman ang pangalan kung kaninong pangalan ang makikita sa titulo. Kabilang dito ang tahanan ng mag-asawa at iba pang mga ari-arian na pag-aari.
* **Bahagi ng nabubuhay na asawa:** Sa pagkamatay ng isang asawa, awtomatikong mamanahin ng"&amp;" nabubuhay na asawa ang **kalahati** ng mga ari-arian ng conjugal, kabilang ang tahanan ng mag-asawa at iba pang pag-aari na pag-aari. Ang bahaging ito ay natanggap **nang hindi dumaan sa probate** at **independiyente sa anumang testamento** na iniwan ng "&amp;"namatay na asawa.
**2. Ganap na Pamayanan ng Rehime ng Ari-arian:**
* **Pantay na pagmamay-ari:** Ang mga mag-asawa na pipili sa rehimeng ito sa pamamagitan ng isang kasunduan sa pag-areglo ng kasal ay nagiging **pantay na may-ari** ng lahat ng mga "&amp;"ari-arian na nakuha sa panahon ng kasal, anuman ang mga indibidwal na kontribusyon.
* **Ang pamana ng nabubuhay na asawa:** Sa pagkamatay ng isang asawa, awtomatikong mamanahin ng nabubuhay na asawa ang **kalahati ng namatay na asawa** ng ganap na pag-aa"&amp;"ri ng komunidad, kabilang ang tahanan ng mag-asawa at iba pang mga ari-arian na pag-aari.
**3. Mga Espesyal na Legal na Rehime:**
* **Hiwalay na Property Regime:** Ang mga mag-asawa ay maaaring mag-opt para sa rehimeng ito sa pamamagitan ng isang ka"&amp;"sunduan sa pag-areglo ng kasal, kung saan ang mga ari-arian na nakuha sa panahon ng kasal ay mananatiling hiwalay at indibidwal na pagmamay-ari. Gayunpaman, ang rehimeng ito ay bihirang piliin at nangangailangan ng mga partikular na legal na pormalidad.
"&amp;"* **Mixed Property Regime:** Pinagsasama ng rehimeng ito ang mga elemento ng CPG at Separate Property na rehimen, na nangangailangan ng maingat na legal na pagbalangkas ng kasunduan sa pag-areglo ng kasal upang tukuyin ang mga karapatan sa pagmamay-ari pa"&amp;"ra sa mga partikular na asset.
**4. Mga Karapatan sa ilalim ng Family Code:**
* **Karapatan sa suporta ng asawa:** Ang nabubuhay na asawa ay may karapatang tumanggap ng suporta mula sa ari-arian ng namatay na asawa, na maaaring partikular na may kau"&amp;"gnayan kung ang nabubuhay na asawa ay umaasa sa kita mula sa mga ari-arian na pag-aari.
* **Mga karapatan sa pagkakasunud-sunod:** Kung ang namatay na asawa ay nag-iwan ng isang testamento, ang nabubuhay na asawa ay mayroon pa ring **sapilitang mga karap"&amp;"atan sa pagmamana**, ibig sabihin ay hindi sila maaaring ganap na mawalan ng mana at may karapatan sa isang minimum na bahagi ng ari-arian, na maaaring kabilang ang bahay ng mag-asawa o iba pang mga ari-arian ng magkasanib na pag-aari depende sa partikula"&amp;"r na mga pangyayari at mga probisyon ng testamento.
**Mahahalagang Pagsasaalang-alang:**
* **Kasunduan sa pag-areglo ng kasal:** Kung may umiiral na kasunduan sa pag-areglo ng kasal, ang mga probisyon nito tungkol sa pagmamay-ari ng ari-arian at mga"&amp;" karapatan sa mana ay mananaig sa default na rehimeng CPG.
* **Konsultasyon sa isang abogado:** Ang pagkonsulta sa isang abogado na dalubhasa sa batas ng pamilya at pagpaplano ng ari-arian ay mahalaga para sa pag-unawa sa mga partikular na legal na prote"&amp;"ksyon na magagamit sa bawat sitwasyon, isinasaalang-alang ang naaangkop na rehimen ng ari-arian, mga potensyal na komplikasyon, at pagtiyak na ang mga karapatan ng nabubuhay na asawa ay sapat. protektado.
**Disclaimer:** Ang impormasyong ito ay para sa"&amp;" pangkalahatang pag-unawa at hindi bumubuo ng legal na payo. Ang pagkonsulta sa isang abogado para sa mga partikular na sitwasyon at detalyadong legal na patnubay tungkol sa naaangkop na rehimen ng ari-arian, mga karapatan sa pamana, mga potensyal na lega"&amp;"l na komplikasyon, at ang pinakaepektibong mga diskarte para sa pagprotekta sa mga karapatan ng nabubuhay na asawa ay napakahalaga.")</f>
        <v>Sa Pilipinas, may ilang legal na pananggalang na umiiral upang protektahan ang mga karapatan ng isang nabubuhay na asawa pagdating sa pagmamana ng tahanan ng mag-asawa o iba pang ari-arian ng magkasanib na pag-aari. Narito ang isang breakdown ng mga nauugnay na probisyon:
**1. Conjugal Partnership of Gains (CPG) Regime:**
* **Pagpapalagay ng kapwa pagmamay-ari:** Sa ilalim ng default na rehimeng CPG, karamihan sa mga ari-arian na nakuha sa panahon ng kasal ay ipinapalagay na kapwa pagmamay-ari ng parehong mag-asawa, anuman ang pangalan kung kaninong pangalan ang makikita sa titulo. Kabilang dito ang tahanan ng mag-asawa at iba pang mga ari-arian na pag-aari.
* **Bahagi ng nabubuhay na asawa:** Sa pagkamatay ng isang asawa, awtomatikong mamanahin ng nabubuhay na asawa ang **kalahati** ng mga ari-arian ng conjugal, kabilang ang tahanan ng mag-asawa at iba pang pag-aari na pag-aari. Ang bahaging ito ay natanggap **nang hindi dumaan sa probate** at **independiyente sa anumang testamento** na iniwan ng namatay na asawa.
**2. Ganap na Pamayanan ng Rehime ng Ari-arian:**
* **Pantay na pagmamay-ari:** Ang mga mag-asawa na pipili sa rehimeng ito sa pamamagitan ng isang kasunduan sa pag-areglo ng kasal ay nagiging **pantay na may-ari** ng lahat ng mga ari-arian na nakuha sa panahon ng kasal, anuman ang mga indibidwal na kontribusyon.
* **Ang pamana ng nabubuhay na asawa:** Sa pagkamatay ng isang asawa, awtomatikong mamanahin ng nabubuhay na asawa ang **kalahati ng namatay na asawa** ng ganap na pag-aari ng komunidad, kabilang ang tahanan ng mag-asawa at iba pang mga ari-arian na pag-aari.
**3. Mga Espesyal na Legal na Rehime:**
* **Hiwalay na Property Regime:** Ang mga mag-asawa ay maaaring mag-opt para sa rehimeng ito sa pamamagitan ng isang kasunduan sa pag-areglo ng kasal, kung saan ang mga ari-arian na nakuha sa panahon ng kasal ay mananatiling hiwalay at indibidwal na pagmamay-ari. Gayunpaman, ang rehimeng ito ay bihirang piliin at nangangailangan ng mga partikular na legal na pormalidad.
* **Mixed Property Regime:** Pinagsasama ng rehimeng ito ang mga elemento ng CPG at Separate Property na rehimen, na nangangailangan ng maingat na legal na pagbalangkas ng kasunduan sa pag-areglo ng kasal upang tukuyin ang mga karapatan sa pagmamay-ari para sa mga partikular na asset.
**4. Mga Karapatan sa ilalim ng Family Code:**
* **Karapatan sa suporta ng asawa:** Ang nabubuhay na asawa ay may karapatang tumanggap ng suporta mula sa ari-arian ng namatay na asawa, na maaaring partikular na may kaugnayan kung ang nabubuhay na asawa ay umaasa sa kita mula sa mga ari-arian na pag-aari.
* **Mga karapatan sa pagkakasunud-sunod:** Kung ang namatay na asawa ay nag-iwan ng isang testamento, ang nabubuhay na asawa ay mayroon pa ring **sapilitang mga karapatan sa pagmamana**, ibig sabihin ay hindi sila maaaring ganap na mawalan ng mana at may karapatan sa isang minimum na bahagi ng ari-arian, na maaaring kabilang ang bahay ng mag-asawa o iba pang mga ari-arian ng magkasanib na pag-aari depende sa partikular na mga pangyayari at mga probisyon ng testamento.
**Mahahalagang Pagsasaalang-alang:**
* **Kasunduan sa pag-areglo ng kasal:** Kung may umiiral na kasunduan sa pag-areglo ng kasal, ang mga probisyon nito tungkol sa pagmamay-ari ng ari-arian at mga karapatan sa mana ay mananaig sa default na rehimeng CPG.
* **Konsultasyon sa isang abogado:** Ang pagkonsulta sa isang abogado na dalubhasa sa batas ng pamilya at pagpaplano ng ari-arian ay mahalaga para sa pag-unawa sa mga partikular na legal na proteksyon na magagamit sa bawat sitwasyon, isinasaalang-alang ang naaangkop na rehimen ng ari-arian, mga potensyal na komplikasyon, at pagtiyak na ang mga karapatan ng nabubuhay na asawa ay sapat. protektado.
**Disclaimer:** Ang impormasyong ito ay para sa pangkalahatang pag-unawa at hindi bumubuo ng legal na payo. Ang pagkonsulta sa isang abogado para sa mga partikular na sitwasyon at detalyadong legal na patnubay tungkol sa naaangkop na rehimen ng ari-arian, mga karapatan sa pamana, mga potensyal na legal na komplikasyon, at ang pinakaepektibong mga diskarte para sa pagprotekta sa mga karapatan ng nabubuhay na asawa ay napakahalaga.</v>
      </c>
      <c r="F377" s="2">
        <f t="shared" si="1"/>
        <v>0</v>
      </c>
      <c r="G377" s="2"/>
      <c r="H377" s="2"/>
      <c r="I377" s="2"/>
      <c r="J377" s="2"/>
      <c r="K377" s="2"/>
      <c r="L377" s="2"/>
      <c r="M377" s="2"/>
      <c r="N377" s="2"/>
      <c r="O377" s="2"/>
      <c r="P377" s="2"/>
      <c r="Q377" s="2"/>
      <c r="R377" s="2"/>
      <c r="S377" s="2"/>
      <c r="T377" s="2"/>
      <c r="U377" s="2"/>
      <c r="V377" s="2"/>
      <c r="W377" s="2"/>
      <c r="X377" s="2"/>
      <c r="Y377" s="2"/>
      <c r="Z377" s="2"/>
      <c r="AA377" s="2"/>
    </row>
    <row r="378">
      <c r="A378" s="1" t="s">
        <v>1224</v>
      </c>
      <c r="B378" s="1" t="s">
        <v>1417</v>
      </c>
      <c r="C378" s="1" t="s">
        <v>1418</v>
      </c>
      <c r="D378" s="1" t="s">
        <v>1419</v>
      </c>
      <c r="E378" s="2" t="str">
        <f>IFERROR(__xludf.DUMMYFUNCTION("GOOGLETRANSLATE(C378, ""en"", ""TL"")"),"Bagama't ang proseso ng inheritance mismo ay hindi direktang naaapektuhan ng pagbabago ng mga halaga ng ari-arian o mga kundisyon sa merkado, ang **halaga ng mana** at potensyal na **mga implikasyon sa buwis** ay maaaring maapektuhan:
**Epekto sa Halaga n"&amp;"g Mana:**
* **Pagtaas ng halaga:** Kung ang halaga ng ari-arian ay lubos na pinahahalagahan sa pagitan ng panahon ng pagmamay-ari at mana, ang nagmamana na indibidwal ay makakatanggap ng mas malaking bahagi. Sa kabaligtaran, ang pagbaba sa halaga ay nagre"&amp;"resulta sa isang mas maliit na mana.
* **Epekto sa mga buwis sa ari-arian:** Ang halaga ng minanang ari-arian ay ginagamit upang kalkulahin ang mga buwis sa ari-arian. Kung tumaas nang malaki ang halaga ng ari-arian, maaari nitong itulak ang ari-arian sa "&amp;"isang mas mataas na bracket ng buwis, na posibleng tumaas ang kabuuang pasanin sa buwis.
**Planning for Fluctuations:**
* **Pagplano ng ari-arian:** Ang pagkonsulta sa isang abogado at tagapayo sa pananalapi ay maaaring makatulong sa mga indibidwal na bum"&amp;"uo ng plano ng ari-arian na isinasaalang-alang ang mga potensyal na pagbabago sa mga halaga ng ari-arian. Maaaring kabilang dito ang:
* **Pag-iiba-iba:** Pag-iba-iba ng mga asset lampas sa real estate upang mabawasan ang panganib na nauugnay sa mga pagbab"&amp;"ago sa merkado.
* **Life insurance:** Paggamit ng life insurance upang magbigay ng karagdagang pinansiyal na seguridad para sa mga benepisyaryo at potensyal na mabawi ang mga potensyal na pagkalugi sa halaga ng ari-arian.
* **Living trust:** Ang pagtatata"&amp;"g ng living trust ay maaaring mag-alok ng ilang kontrol sa pamamahagi ng asset at posibleng mabawasan ang mga implikasyon sa buwis.
* **Regular na pagpapahalaga:** Ang regular na pagsusuri sa mga halaga ng ari-arian at mga plano sa ari-arian ay tumutulong"&amp;" sa mga indibidwal na ayusin ang kanilang mga diskarte at matiyak na mananatiling epektibo ang mga ito sa harap ng pagbabago ng mga kondisyon ng merkado.
**Mga Karagdagang Pagsasaalang-alang:**
* **Pinagsanib na pagmamay-ari:** Ang paghawak ng ari-arian k"&amp;"asama ng isa pang indibidwal (hal., asawa) ay maaaring mag-alok ng ilang proteksyon laban sa mga pagbabago sa merkado, dahil ang natitirang may-ari ay nagpapanatili ng ganap na mga karapatan sa pagmamay-ari sa pagkamatay ng isa.
* **Mga pagtatalaga ng ben"&amp;"episyaryo:** Ang malinaw na pagtatalaga ng mga benepisyaryo para sa mga partikular na asset, kabilang ang real estate, sa mga will o retirement account ay maaaring makatulong na matiyak ang nilalayong pamamahagi ng mana kahit na ang mga halaga ng ari-aria"&amp;"n ay nagbabago.
**Disclaimer:** Ang impormasyong ito ay para sa pangkalahatang pag-unawa at hindi bumubuo ng payong legal o pinansyal. Ang pagkonsulta sa isang abogado na dalubhasa sa pagpaplano ng ari-arian at isang financial advisor ay mahalaga para sa "&amp;"pagbuo ng isang personalized na plano na isinasaalang-alang ang mga indibidwal na kalagayan, pagpapaubaya sa panganib, at mga potensyal na epekto ng pagbabago ng mga halaga ng ari-arian at mga kondisyon sa merkado sa proseso ng mana at mga implikasyon sa "&amp;"buwis.")</f>
        <v>Bagama't ang proseso ng inheritance mismo ay hindi direktang naaapektuhan ng pagbabago ng mga halaga ng ari-arian o mga kundisyon sa merkado, ang **halaga ng mana** at potensyal na **mga implikasyon sa buwis** ay maaaring maapektuhan:
**Epekto sa Halaga ng Mana:**
* **Pagtaas ng halaga:** Kung ang halaga ng ari-arian ay lubos na pinahahalagahan sa pagitan ng panahon ng pagmamay-ari at mana, ang nagmamana na indibidwal ay makakatanggap ng mas malaking bahagi. Sa kabaligtaran, ang pagbaba sa halaga ay nagreresulta sa isang mas maliit na mana.
* **Epekto sa mga buwis sa ari-arian:** Ang halaga ng minanang ari-arian ay ginagamit upang kalkulahin ang mga buwis sa ari-arian. Kung tumaas nang malaki ang halaga ng ari-arian, maaari nitong itulak ang ari-arian sa isang mas mataas na bracket ng buwis, na posibleng tumaas ang kabuuang pasanin sa buwis.
**Planning for Fluctuations:**
* **Pagplano ng ari-arian:** Ang pagkonsulta sa isang abogado at tagapayo sa pananalapi ay maaaring makatulong sa mga indibidwal na bumuo ng plano ng ari-arian na isinasaalang-alang ang mga potensyal na pagbabago sa mga halaga ng ari-arian. Maaaring kabilang dito ang:
* **Pag-iiba-iba:** Pag-iba-iba ng mga asset lampas sa real estate upang mabawasan ang panganib na nauugnay sa mga pagbabago sa merkado.
* **Life insurance:** Paggamit ng life insurance upang magbigay ng karagdagang pinansiyal na seguridad para sa mga benepisyaryo at potensyal na mabawi ang mga potensyal na pagkalugi sa halaga ng ari-arian.
* **Living trust:** Ang pagtatatag ng living trust ay maaaring mag-alok ng ilang kontrol sa pamamahagi ng asset at posibleng mabawasan ang mga implikasyon sa buwis.
* **Regular na pagpapahalaga:** Ang regular na pagsusuri sa mga halaga ng ari-arian at mga plano sa ari-arian ay tumutulong sa mga indibidwal na ayusin ang kanilang mga diskarte at matiyak na mananatiling epektibo ang mga ito sa harap ng pagbabago ng mga kondisyon ng merkado.
**Mga Karagdagang Pagsasaalang-alang:**
* **Pinagsanib na pagmamay-ari:** Ang paghawak ng ari-arian kasama ng isa pang indibidwal (hal., asawa) ay maaaring mag-alok ng ilang proteksyon laban sa mga pagbabago sa merkado, dahil ang natitirang may-ari ay nagpapanatili ng ganap na mga karapatan sa pagmamay-ari sa pagkamatay ng isa.
* **Mga pagtatalaga ng benepisyaryo:** Ang malinaw na pagtatalaga ng mga benepisyaryo para sa mga partikular na asset, kabilang ang real estate, sa mga will o retirement account ay maaaring makatulong na matiyak ang nilalayong pamamahagi ng mana kahit na ang mga halaga ng ari-arian ay nagbabago.
**Disclaimer:** Ang impormasyong ito ay para sa pangkalahatang pag-unawa at hindi bumubuo ng payong legal o pinansyal. Ang pagkonsulta sa isang abogado na dalubhasa sa pagpaplano ng ari-arian at isang financial advisor ay mahalaga para sa pagbuo ng isang personalized na plano na isinasaalang-alang ang mga indibidwal na kalagayan, pagpapaubaya sa panganib, at mga potensyal na epekto ng pagbabago ng mga halaga ng ari-arian at mga kondisyon sa merkado sa proseso ng mana at mga implikasyon sa buwis.</v>
      </c>
      <c r="F378" s="2">
        <f t="shared" si="1"/>
        <v>0</v>
      </c>
      <c r="G378" s="2"/>
      <c r="H378" s="2"/>
      <c r="I378" s="2"/>
      <c r="J378" s="2"/>
      <c r="K378" s="2"/>
      <c r="L378" s="2"/>
      <c r="M378" s="2"/>
      <c r="N378" s="2"/>
      <c r="O378" s="2"/>
      <c r="P378" s="2"/>
      <c r="Q378" s="2"/>
      <c r="R378" s="2"/>
      <c r="S378" s="2"/>
      <c r="T378" s="2"/>
      <c r="U378" s="2"/>
      <c r="V378" s="2"/>
      <c r="W378" s="2"/>
      <c r="X378" s="2"/>
      <c r="Y378" s="2"/>
      <c r="Z378" s="2"/>
      <c r="AA378" s="2"/>
    </row>
    <row r="379">
      <c r="A379" s="1" t="s">
        <v>1224</v>
      </c>
      <c r="B379" s="1" t="s">
        <v>1420</v>
      </c>
      <c r="C379" s="1" t="s">
        <v>1421</v>
      </c>
      <c r="D379" s="1" t="s">
        <v>1422</v>
      </c>
      <c r="E379" s="2" t="str">
        <f>IFERROR(__xludf.DUMMYFUNCTION("GOOGLETRANSLATE(C379, ""en"", ""TL"")"),"## Pagbebenta ng Minanang Bahagi ng Ari-arian sa Pilipinas: Mga Hakbang at Legal na Pagsasaalang-alang
Ang pagmamana ng ari-arian ay maaaring maging isang pagpapala at isang hamon, lalo na kapag maraming tagapagmana ang nasasangkot. Kung ikaw, bilang t"&amp;"agapagmana, ay nais na ibenta ang iyong bahagi ng minanang ari-arian, ang pag-navigate sa proseso ay nangangailangan ng maingat na pagsasaalang-alang sa mga legal na aspeto at pagsunod sa mga partikular na hakbang:
**1. Unawain ang Pagmamay-ari at Mga "&amp;"Kasunduan:**
* **I-verify ang pagmamay-ari:** Kumpirmahin ang iyong eksaktong porsyento ng pagmamay-ari sa property sa pamamagitan ng **Certificate of Title** o **Extrajudicial Settlement of Estate**.
* **Suriin ang mga kasalukuyang kasunduan:** Surii"&amp;"n ang anumang **kasunduan sa co-ownership** o **mga paghihigpit sa pagbebenta** na nakabalangkas sa mga dokumento ng settlement o isang testamento na iniwan ng namatay.
**2. Kumuha ng Kinakailangang Dokumentasyon:**
* **Estate tax clearance:** Tiyak"&amp;"ing nakakuha ang estate ng clearance mula sa Bureau of Internal Revenue (BIR) tungkol sa mga buwis sa ari-arian.
* **Mga dokumento sa pagmamana:** Magtipon ng mga kinakailangang dokumento tulad ng **Certificate of Death**, **Extrajudicial Settlement of E"&amp;"state**, o **judicial court order** na nagpapatunay ng iyong mga karapatan sa mana.
* **Mga dokumento ng ari-arian:** Kunin ang **orihinal na titulo ng titulo** at anumang iba pang nauugnay na dokumento ng ari-arian.
**3. Ipaalam sa Co-owners at Negot"&amp;"iate:**
* **Bukas na komunikasyon:** Talakayin ang iyong intensyon na ibenta ang iyong bahagi sa iba pang mga kapwa may-ari nang hayagan at malinaw.
* **Karapatan sa unang pagtanggi:** Depende sa kasunduan sa co-ownership, maaaring may **karapatan sa "&amp;"unang pagtanggi ang ibang tagapagmana na bilhin ang iyong bahagi bago ito ialok sa mga external na mamimili.
* **Makipag-ayos sa presyo at mga tuntunin:** Kung ang mga kapwa may-ari ay hindi interesadong bumili, makipag-ayos sa isang patas na presyo ng p"&amp;"agbebenta at mga tuntunin sa kanila, isinasaalang-alang ang halaga sa pamilihan at mga potensyal na kontribusyon sa pagpapanatili at pangangalaga.
**4. Makipag-ugnayan sa isang Abogado at Ahente ng Real Estate:**
* **Legal na patnubay:** Ang pagkons"&amp;"ulta sa isang abogado na dalubhasa sa batas ng ari-arian ay mahalaga upang matiyak na ang pagbebenta ay sumusunod sa mga legal na kinakailangan, pinoprotektahan ang iyong mga karapatan, at matugunan ang mga potensyal na kumplikado.
* **Kadalubhasaan sa r"&amp;"eal estate:** Ang pakikipag-ugnayan sa isang lisensyadong ahente ng real estate ay maaaring makatulong sa pagpapahalaga sa merkado, marketing ng ari-arian, at epektibong pag-navigate sa proseso ng pagbebenta.
**5. Proseso ng Pagbebenta at Paglilipat:**"&amp;"
* **Kasunduan sa pagbebenta:** Kapag natagpuan ang isang mamimili, isang **Kasunduan sa Pagbebenta ng Pagbabahagi** na nagbabalangkas sa mga tuntunin at kundisyon ng pagbebenta ay kailangang ma-draft at pirmahan ng lahat ng partidong kasangkot.
* **M"&amp;"ga obligasyon sa buwis:** Maaari kang managot para sa **capital gains tax** sa pagbebenta, at maaaring payuhan ng abogado ang naaangkop na rate ng buwis at mga pamamaraan ng paghahain.
* **Paglipat ng pagmamay-ari:** Sa pagkumpleto ng pagbebenta at pagtu"&amp;"pad sa mga obligasyon sa buwis, kailangang ma-update ang **title deed** upang ipakita ang paglipat ng iyong bahagi ng pagmamay-ari sa mamimili.
**Mahahalagang Legal na Pagsasaalang-alang:**
* **Pagsunod sa mga kasunduan sa co-ownership:** Ang anuman"&amp;"g mga umiiral na kasunduan tungkol sa co-ownership o mga paghihigpit sa pagbebenta ay dapat na mahigpit na sundin.
* **Mga implikasyon sa buwis:** Unawain ang iyong potensyal na pananagutan sa buwis sa capital gains at tiyakin ang tamang deklarasyon at p"&amp;"agbabayad upang maiwasan ang mga legal na komplikasyon.
* **Pagsisiwalat ng mga materyal na katotohanan:** Ibunyag ang anumang alam na mga depekto o isyu sa ari-arian sa mga potensyal na mamimili upang sumunod sa etikal at legal na mga obligasyon.
* **H"&amp;"umingi ng legal na payo:** Ang pagkonsulta sa isang abogado sa buong proseso ay napakahalaga upang ma-navigate ang mga legal na kumplikado, protektahan ang iyong mga karapatan, at matiyak ang maayos at matagumpay na pagbebenta.
**Disclaimer:** Ang impo"&amp;"rmasyong ito ay para sa pangkalahatang pag-unawa at hindi bumubuo ng legal na payo. Ang pagkonsulta sa isang abogado na nag-specialize sa batas ng ari-arian para sa mga partikular na sitwasyon at detalyadong patnubay tungkol sa mga masalimuot na pagbebent"&amp;"a ng minanang bahagi ng ari-arian, mga naaangkop na legal na kinakailangan, potensyal na implikasyon sa buwis, at epektibong pag-navigate sa proseso ay napakahalaga.")</f>
        <v>## Pagbebenta ng Minanang Bahagi ng Ari-arian sa Pilipinas: Mga Hakbang at Legal na Pagsasaalang-alang
Ang pagmamana ng ari-arian ay maaaring maging isang pagpapala at isang hamon, lalo na kapag maraming tagapagmana ang nasasangkot. Kung ikaw, bilang tagapagmana, ay nais na ibenta ang iyong bahagi ng minanang ari-arian, ang pag-navigate sa proseso ay nangangailangan ng maingat na pagsasaalang-alang sa mga legal na aspeto at pagsunod sa mga partikular na hakbang:
**1. Unawain ang Pagmamay-ari at Mga Kasunduan:**
* **I-verify ang pagmamay-ari:** Kumpirmahin ang iyong eksaktong porsyento ng pagmamay-ari sa property sa pamamagitan ng **Certificate of Title** o **Extrajudicial Settlement of Estate**.
* **Suriin ang mga kasalukuyang kasunduan:** Suriin ang anumang **kasunduan sa co-ownership** o **mga paghihigpit sa pagbebenta** na nakabalangkas sa mga dokumento ng settlement o isang testamento na iniwan ng namatay.
**2. Kumuha ng Kinakailangang Dokumentasyon:**
* **Estate tax clearance:** Tiyaking nakakuha ang estate ng clearance mula sa Bureau of Internal Revenue (BIR) tungkol sa mga buwis sa ari-arian.
* **Mga dokumento sa pagmamana:** Magtipon ng mga kinakailangang dokumento tulad ng **Certificate of Death**, **Extrajudicial Settlement of Estate**, o **judicial court order** na nagpapatunay ng iyong mga karapatan sa mana.
* **Mga dokumento ng ari-arian:** Kunin ang **orihinal na titulo ng titulo** at anumang iba pang nauugnay na dokumento ng ari-arian.
**3. Ipaalam sa Co-owners at Negotiate:**
* **Bukas na komunikasyon:** Talakayin ang iyong intensyon na ibenta ang iyong bahagi sa iba pang mga kapwa may-ari nang hayagan at malinaw.
* **Karapatan sa unang pagtanggi:** Depende sa kasunduan sa co-ownership, maaaring may **karapatan sa unang pagtanggi ang ibang tagapagmana na bilhin ang iyong bahagi bago ito ialok sa mga external na mamimili.
* **Makipag-ayos sa presyo at mga tuntunin:** Kung ang mga kapwa may-ari ay hindi interesadong bumili, makipag-ayos sa isang patas na presyo ng pagbebenta at mga tuntunin sa kanila, isinasaalang-alang ang halaga sa pamilihan at mga potensyal na kontribusyon sa pagpapanatili at pangangalaga.
**4. Makipag-ugnayan sa isang Abogado at Ahente ng Real Estate:**
* **Legal na patnubay:** Ang pagkonsulta sa isang abogado na dalubhasa sa batas ng ari-arian ay mahalaga upang matiyak na ang pagbebenta ay sumusunod sa mga legal na kinakailangan, pinoprotektahan ang iyong mga karapatan, at matugunan ang mga potensyal na kumplikado.
* **Kadalubhasaan sa real estate:** Ang pakikipag-ugnayan sa isang lisensyadong ahente ng real estate ay maaaring makatulong sa pagpapahalaga sa merkado, marketing ng ari-arian, at epektibong pag-navigate sa proseso ng pagbebenta.
**5. Proseso ng Pagbebenta at Paglilipat:**
* **Kasunduan sa pagbebenta:** Kapag natagpuan ang isang mamimili, isang **Kasunduan sa Pagbebenta ng Pagbabahagi** na nagbabalangkas sa mga tuntunin at kundisyon ng pagbebenta ay kailangang ma-draft at pirmahan ng lahat ng partidong kasangkot.
* **Mga obligasyon sa buwis:** Maaari kang managot para sa **capital gains tax** sa pagbebenta, at maaaring payuhan ng abogado ang naaangkop na rate ng buwis at mga pamamaraan ng paghahain.
* **Paglipat ng pagmamay-ari:** Sa pagkumpleto ng pagbebenta at pagtupad sa mga obligasyon sa buwis, kailangang ma-update ang **title deed** upang ipakita ang paglipat ng iyong bahagi ng pagmamay-ari sa mamimili.
**Mahahalagang Legal na Pagsasaalang-alang:**
* **Pagsunod sa mga kasunduan sa co-ownership:** Ang anumang mga umiiral na kasunduan tungkol sa co-ownership o mga paghihigpit sa pagbebenta ay dapat na mahigpit na sundin.
* **Mga implikasyon sa buwis:** Unawain ang iyong potensyal na pananagutan sa buwis sa capital gains at tiyakin ang tamang deklarasyon at pagbabayad upang maiwasan ang mga legal na komplikasyon.
* **Pagsisiwalat ng mga materyal na katotohanan:** Ibunyag ang anumang alam na mga depekto o isyu sa ari-arian sa mga potensyal na mamimili upang sumunod sa etikal at legal na mga obligasyon.
* **Humingi ng legal na payo:** Ang pagkonsulta sa isang abogado sa buong proseso ay napakahalaga upang ma-navigate ang mga legal na kumplikado, protektahan ang iyong mga karapatan, at matiyak ang maayos at matagumpay na pagbebenta.
**Disclaimer:** Ang impormasyong ito ay para sa pangkalahatang pag-unawa at hindi bumubuo ng legal na payo. Ang pagkonsulta sa isang abogado na nag-specialize sa batas ng ari-arian para sa mga partikular na sitwasyon at detalyadong patnubay tungkol sa mga masalimuot na pagbebenta ng minanang bahagi ng ari-arian, mga naaangkop na legal na kinakailangan, potensyal na implikasyon sa buwis, at epektibong pag-navigate sa proseso ay napakahalaga.</v>
      </c>
      <c r="F379" s="2">
        <f t="shared" si="1"/>
        <v>0</v>
      </c>
      <c r="G379" s="2"/>
      <c r="H379" s="2"/>
      <c r="I379" s="2"/>
      <c r="J379" s="2"/>
      <c r="K379" s="2"/>
      <c r="L379" s="2"/>
      <c r="M379" s="2"/>
      <c r="N379" s="2"/>
      <c r="O379" s="2"/>
      <c r="P379" s="2"/>
      <c r="Q379" s="2"/>
      <c r="R379" s="2"/>
      <c r="S379" s="2"/>
      <c r="T379" s="2"/>
      <c r="U379" s="2"/>
      <c r="V379" s="2"/>
      <c r="W379" s="2"/>
      <c r="X379" s="2"/>
      <c r="Y379" s="2"/>
      <c r="Z379" s="2"/>
      <c r="AA379" s="2"/>
    </row>
    <row r="380">
      <c r="A380" s="1" t="s">
        <v>1224</v>
      </c>
      <c r="B380" s="1" t="s">
        <v>1423</v>
      </c>
      <c r="C380" s="1" t="s">
        <v>1424</v>
      </c>
      <c r="D380" s="1" t="s">
        <v>1425</v>
      </c>
      <c r="E380" s="2" t="str">
        <f>IFERROR(__xludf.DUMMYFUNCTION("GOOGLETRANSLATE(C380, ""en"", ""TL"")"),"Sa Pilipinas, ang mga miyembro ng pamilya na hindi kasama sa isang testamento **maaaring** ay may legal na paraan upang labanan ang testamento at mag-claim ng bahagi ng ari-arian, ngunit ang tagumpay ay nakadepende sa ilang salik at nakakatugon sa mga par"&amp;"tikular na legal na kinakailangan. Narito ang isang pangkalahatang-ideya ng mga potensyal na opsyon at pagsasaalang-alang:
**Grounds para sa Paglaban sa isang Will:**
Sa ilalim ng batas ng Pilipinas, ang mga indibidwal ay maaari lamang tumutol sa is"&amp;"ang testamento kung mayroon silang **wastong legal na dahilan**. Ang mga kadahilanang ito ay karaniwang nasa ilalim ng mga sumusunod na kategorya:
* **Kakulangan ng testamentary capacity:** Ang namatay ay walang kakayahan sa pag-iisip na maunawaan ang "&amp;"kalikasan at mga kahihinatnan ng kanilang mga aksyon kapag lumilikha ng kalooban.
* **Hindi nararapat na impluwensya:** Nalikha ang kalooban dahil sa pamimilit, panggigipit, o pagmamanipula na ginawa ng ibang tao.
* **Pandaraya:** Nakuha ang testamento "&amp;"sa pamamagitan ng panlilinlang, maling representasyon, o mapanlinlang na aktibidad.
* **Pagkamali:** Ang testamento ay naglalaman ng mga pagkakamali o pagtanggal dahil sa isang tunay na pagkakamali sa bahagi ng testator (taong gumawa ng testamento).
* *"&amp;"*Hindi pagsunod sa mga pormalidad:** Ang testamento ay hindi naisakatuparan kasunod ng mga legal na kinakailangan tungkol sa porma at mga saksi.
**Mga Indibidwal na may Legal na Katayuan:**
Tanging ang mga indibidwal na may **legal na katayuan** upa"&amp;"ng tumutol sa kalooban ang makakagawa nito. Karaniwang kinabibilangan ito ng:
* **Mga sapilitang tagapagmana:** Ito ang mga pinakamalapit na kamag-anak na may karapatan sa bahagi ng ari-arian ayon sa batas, anuman ang mga probisyon ng testamento. Sa Pi"&amp;"lipinas, ang mga compulsory heirs ay kinabibilangan ng mga lehitimong inapo, nabubuhay na asawa, at mga magulang.
* **Mga benepisyaryo na pinangalanan sa isang nakaraang testamento:** Kung ang namatay ay may wastong naisagawa na mas maagang testamento na"&amp;" nagpangalan sa ibinukod na indibidwal bilang isang benepisyaryo, maaari silang magkaroon ng mga batayan upang labanan ang mas bagong testamento.
**Proseso ng Paglaban sa isang Testamento:**
Ang paligsahan sa isang testamento ay nagsasangkot ng pagh"&amp;"ahain ng **petisyon sa naaangkop na hukuman**, pagpapakita ng ebidensya na sumusuporta sa napiling batayan para sa paligsahan, at sumasailalim sa isang legal na proseso na maaaring mahaba at kumplikado.
**Mahahalagang Pagsasaalang-alang:**
* **Burde"&amp;"n of proof:** Ang pasanin ng patunay ay nakasalalay sa indibidwal na tumututol sa kalooban na ipakita ang pagkakaroon ng wastong batayan para sa paligsahan sa pamamagitan ng paglalahad ng nakakumbinsi na ebidensya.
* **Legal na representasyon:** Ang pag-"&amp;"navigate sa mga kumplikado ng pakikipaglaban sa isang testamento ay nangangailangan ng kadalubhasaan sa batas ng ari-arian. Ang pagkonsulta sa isang abogado na nag-specialize sa lugar na ito ay napakahalaga para sa pag-unawa sa mga partikular na legal na "&amp;"batayan na naaangkop sa sitwasyon, pangangalap ng ebidensya, at epektibong kumakatawan sa mga interes ng indibidwal sa korte.
* **Alternatibong paglutas ng hindi pagkakaunawaan:** Ang paggalugad ng mga alternatibong paraan ng paglutas ng dispute (ADR) tu"&amp;"lad ng pamamagitan o arbitrasyon ay maaaring isang mas mabilis at mas mapayapa na paraan sa paglutas ng hindi pagkakaunawaan kumpara sa isang mahabang labanan sa korte.
**Disclaimer:** Ang impormasyong ito ay para sa pangkalahatang pag-unawa at hindi b"&amp;"umubuo ng legal na payo. Ang mga partikular na legal na opsyon, mga rate ng tagumpay, at mga kumplikadong kasangkot sa paligsahan sa isang ay mag-iiba-iba depende sa indibidwal na mga pangyayari, ang mga batayan para sa paligsahan, at ang mga naaangkop na"&amp;" batas. Ang pagkonsulta sa isang abogado na dalubhasa sa batas ng ari-arian ay mahalaga para sa isang detalyadong pagtatasa ng sitwasyon, pag-unawa sa mga legal na karapatan at mga opsyon na magagamit, at pag-navigate sa proseso nang epektibo.")</f>
        <v>Sa Pilipinas, ang mga miyembro ng pamilya na hindi kasama sa isang testamento **maaaring** ay may legal na paraan upang labanan ang testamento at mag-claim ng bahagi ng ari-arian, ngunit ang tagumpay ay nakadepende sa ilang salik at nakakatugon sa mga partikular na legal na kinakailangan. Narito ang isang pangkalahatang-ideya ng mga potensyal na opsyon at pagsasaalang-alang:
**Grounds para sa Paglaban sa isang Will:**
Sa ilalim ng batas ng Pilipinas, ang mga indibidwal ay maaari lamang tumutol sa isang testamento kung mayroon silang **wastong legal na dahilan**. Ang mga kadahilanang ito ay karaniwang nasa ilalim ng mga sumusunod na kategorya:
* **Kakulangan ng testamentary capacity:** Ang namatay ay walang kakayahan sa pag-iisip na maunawaan ang kalikasan at mga kahihinatnan ng kanilang mga aksyon kapag lumilikha ng kalooban.
* **Hindi nararapat na impluwensya:** Nalikha ang kalooban dahil sa pamimilit, panggigipit, o pagmamanipula na ginawa ng ibang tao.
* **Pandaraya:** Nakuha ang testamento sa pamamagitan ng panlilinlang, maling representasyon, o mapanlinlang na aktibidad.
* **Pagkamali:** Ang testamento ay naglalaman ng mga pagkakamali o pagtanggal dahil sa isang tunay na pagkakamali sa bahagi ng testator (taong gumawa ng testamento).
* **Hindi pagsunod sa mga pormalidad:** Ang testamento ay hindi naisakatuparan kasunod ng mga legal na kinakailangan tungkol sa porma at mga saksi.
**Mga Indibidwal na may Legal na Katayuan:**
Tanging ang mga indibidwal na may **legal na katayuan** upang tumutol sa kalooban ang makakagawa nito. Karaniwang kinabibilangan ito ng:
* **Mga sapilitang tagapagmana:** Ito ang mga pinakamalapit na kamag-anak na may karapatan sa bahagi ng ari-arian ayon sa batas, anuman ang mga probisyon ng testamento. Sa Pilipinas, ang mga compulsory heirs ay kinabibilangan ng mga lehitimong inapo, nabubuhay na asawa, at mga magulang.
* **Mga benepisyaryo na pinangalanan sa isang nakaraang testamento:** Kung ang namatay ay may wastong naisagawa na mas maagang testamento na nagpangalan sa ibinukod na indibidwal bilang isang benepisyaryo, maaari silang magkaroon ng mga batayan upang labanan ang mas bagong testamento.
**Proseso ng Paglaban sa isang Testamento:**
Ang paligsahan sa isang testamento ay nagsasangkot ng paghahain ng **petisyon sa naaangkop na hukuman**, pagpapakita ng ebidensya na sumusuporta sa napiling batayan para sa paligsahan, at sumasailalim sa isang legal na proseso na maaaring mahaba at kumplikado.
**Mahahalagang Pagsasaalang-alang:**
* **Burden of proof:** Ang pasanin ng patunay ay nakasalalay sa indibidwal na tumututol sa kalooban na ipakita ang pagkakaroon ng wastong batayan para sa paligsahan sa pamamagitan ng paglalahad ng nakakumbinsi na ebidensya.
* **Legal na representasyon:** Ang pag-navigate sa mga kumplikado ng pakikipaglaban sa isang testamento ay nangangailangan ng kadalubhasaan sa batas ng ari-arian. Ang pagkonsulta sa isang abogado na nag-specialize sa lugar na ito ay napakahalaga para sa pag-unawa sa mga partikular na legal na batayan na naaangkop sa sitwasyon, pangangalap ng ebidensya, at epektibong kumakatawan sa mga interes ng indibidwal sa korte.
* **Alternatibong paglutas ng hindi pagkakaunawaan:** Ang paggalugad ng mga alternatibong paraan ng paglutas ng dispute (ADR) tulad ng pamamagitan o arbitrasyon ay maaaring isang mas mabilis at mas mapayapa na paraan sa paglutas ng hindi pagkakaunawaan kumpara sa isang mahabang labanan sa korte.
**Disclaimer:** Ang impormasyong ito ay para sa pangkalahatang pag-unawa at hindi bumubuo ng legal na payo. Ang mga partikular na legal na opsyon, mga rate ng tagumpay, at mga kumplikadong kasangkot sa paligsahan sa isang ay mag-iiba-iba depende sa indibidwal na mga pangyayari, ang mga batayan para sa paligsahan, at ang mga naaangkop na batas. Ang pagkonsulta sa isang abogado na dalubhasa sa batas ng ari-arian ay mahalaga para sa isang detalyadong pagtatasa ng sitwasyon, pag-unawa sa mga legal na karapatan at mga opsyon na magagamit, at pag-navigate sa proseso nang epektibo.</v>
      </c>
      <c r="F380" s="2">
        <f t="shared" si="1"/>
        <v>0</v>
      </c>
      <c r="G380" s="2"/>
      <c r="H380" s="2"/>
      <c r="I380" s="2"/>
      <c r="J380" s="2"/>
      <c r="K380" s="2"/>
      <c r="L380" s="2"/>
      <c r="M380" s="2"/>
      <c r="N380" s="2"/>
      <c r="O380" s="2"/>
      <c r="P380" s="2"/>
      <c r="Q380" s="2"/>
      <c r="R380" s="2"/>
      <c r="S380" s="2"/>
      <c r="T380" s="2"/>
      <c r="U380" s="2"/>
      <c r="V380" s="2"/>
      <c r="W380" s="2"/>
      <c r="X380" s="2"/>
      <c r="Y380" s="2"/>
      <c r="Z380" s="2"/>
      <c r="AA380" s="2"/>
    </row>
    <row r="381">
      <c r="A381" s="1" t="s">
        <v>1224</v>
      </c>
      <c r="B381" s="1" t="s">
        <v>1426</v>
      </c>
      <c r="C381" s="1" t="s">
        <v>1427</v>
      </c>
      <c r="D381" s="1" t="s">
        <v>1428</v>
      </c>
      <c r="E381" s="2" t="str">
        <f>IFERROR(__xludf.DUMMYFUNCTION("GOOGLETRANSLATE(C381, ""en"", ""TL"")"),"## Pamana ng Timeshares at Bakasyon Properties sa Pilipinas
**Ang mga batas ng estado** sa Pilipinas ay hindi partikular na tinutugunan ang pamana ng mga timeshare o mga pag-aari ng bakasyon. Gayunpaman, ang mga pangkalahatang prinsipyo ng mana na nakabal"&amp;"angkas sa **Civil Code of the Philippines (Republic Act No. 386)** ay nalalapat sa mga ganitong uri ng ari-arian.
Narito ang isang breakdown ng nauugnay na legal na framework:
**1. Pag-uuri ng mga Timeshare at Bakasyon na Property:**
* **Mga Timeshare:** "&amp;"Ang mga ito ay karaniwang itinuturing na **personal na ari-arian** sa ilalim ng batas ng Pilipinas, dahil kinakatawan nila ang karapatang gumamit ng isang partikular na unit sa isang resort para sa isang itinalagang panahon bawat taon.
* **Mga Bakasyon sa"&amp;" Bakasyon:** Ang mga ito ay maaaring uriin bilang alinman sa **real property** (hal., lupa at mga gusali) o **personal na ari-arian** (hal., mga mobile home, bangka) depende sa kanilang kalikasan at istraktura ng pagmamay-ari.
**2. Proseso ng Pamana:**
* "&amp;"**Intestate Succession:** Kung ang namatay na may-ari ay hindi nag-iwan ng testamento, ang kanilang timeshare o vacation property ay ipapamahagi ayon sa **intestate succession rules** na nakabalangkas sa Civil Code. Tinutukoy ng mga panuntunang ito ang pa"&amp;"gkakasunud-sunod ng mana para sa mga nabubuhay na mag-asawa, inapo, at asenso.
* **Succession ng Testate:** Kung nag-iwan ng testamento ang namatay na may-ari, ang timeshare o vacation property ay ipapamahagi ayon sa **mga probisyon ng testamento**. Ang t"&amp;"estamento ay maaaring magtalaga ng mga partikular na benepisyaryo at magbalangkas ng kanilang mga karapatan sa mana.
**3. Mga Regulasyon sa Paglipat:**
* **Mga Timeshare:** Ang paglilipat ng mga timeshare ay maaaring may mga karagdagang hakbang depende sa"&amp;" partikular na kasunduan sa developer ng resort. Ang mga kasunduang ito ay maaaring magtakda ng mga paghihigpit sa paglipat, na nangangailangan ng pag-apruba mula sa developer o pagsunod sa mga partikular na pamamaraan.
* **Real Property:** Ang paglilipat"&amp;" ng real property (hal., lupa at mga gusali) ay nangangailangan ng pagsunod sa iba't ibang mga regulasyon, kabilang ang:
* **Pagpaparehistro sa Land Registration Authority (LRA)**
* **Pagbabayad ng mga buwis at bayarin**
* **Pagsunod sa mga partikular na "&amp;"kinakailangan para sa mga partikular na uri ng ari-arian (hal., mga condominium)
**4. Mga Karagdagang Pagsasaalang-alang:**
* **Maintenance Fees:** Ang pagmamana ng timeshare o vacation property ay kasama rin sa pananagutan sa pagbabayad ng mga patuloy na"&amp;" bayarin sa pagpapanatili, na maaaring maging isang malaking pasanin sa pananalapi.
* **Mga Implikasyon sa Buwis:** Depende sa halaga ng ari-arian at ang relasyon sa pagitan ng namatay at ng benepisyaryo, maaaring malapat ang mga buwis sa mana.
**Mahalaga"&amp;"ng tandaan na:**
* Ito ay isang pangkalahatang pangkalahatang-ideya, at ang mga partikular na legal na detalye ay maaaring mag-iba depende sa mga pangyayari ng bawat kaso.
* Ang pagkonsulta sa isang kwalipikadong abogado na nagdadalubhasa sa batas sa mana"&amp;" at ari-arian ay lubos na inirerekomenda upang maunawaan ang mga partikular na legal na implikasyon at mabisang ma-navigate ang proseso ng mana.
Sana makatulong ang impormasyong ito! Tandaan, hindi ito kapalit ng propesyonal na legal na payo.")</f>
        <v>## Pamana ng Timeshares at Bakasyon Properties sa Pilipinas
**Ang mga batas ng estado** sa Pilipinas ay hindi partikular na tinutugunan ang pamana ng mga timeshare o mga pag-aari ng bakasyon. Gayunpaman, ang mga pangkalahatang prinsipyo ng mana na nakabalangkas sa **Civil Code of the Philippines (Republic Act No. 386)** ay nalalapat sa mga ganitong uri ng ari-arian.
Narito ang isang breakdown ng nauugnay na legal na framework:
**1. Pag-uuri ng mga Timeshare at Bakasyon na Property:**
* **Mga Timeshare:** Ang mga ito ay karaniwang itinuturing na **personal na ari-arian** sa ilalim ng batas ng Pilipinas, dahil kinakatawan nila ang karapatang gumamit ng isang partikular na unit sa isang resort para sa isang itinalagang panahon bawat taon.
* **Mga Bakasyon sa Bakasyon:** Ang mga ito ay maaaring uriin bilang alinman sa **real property** (hal., lupa at mga gusali) o **personal na ari-arian** (hal., mga mobile home, bangka) depende sa kanilang kalikasan at istraktura ng pagmamay-ari.
**2. Proseso ng Pamana:**
* **Intestate Succession:** Kung ang namatay na may-ari ay hindi nag-iwan ng testamento, ang kanilang timeshare o vacation property ay ipapamahagi ayon sa **intestate succession rules** na nakabalangkas sa Civil Code. Tinutukoy ng mga panuntunang ito ang pagkakasunud-sunod ng mana para sa mga nabubuhay na mag-asawa, inapo, at asenso.
* **Succession ng Testate:** Kung nag-iwan ng testamento ang namatay na may-ari, ang timeshare o vacation property ay ipapamahagi ayon sa **mga probisyon ng testamento**. Ang testamento ay maaaring magtalaga ng mga partikular na benepisyaryo at magbalangkas ng kanilang mga karapatan sa mana.
**3. Mga Regulasyon sa Paglipat:**
* **Mga Timeshare:** Ang paglilipat ng mga timeshare ay maaaring may mga karagdagang hakbang depende sa partikular na kasunduan sa developer ng resort. Ang mga kasunduang ito ay maaaring magtakda ng mga paghihigpit sa paglipat, na nangangailangan ng pag-apruba mula sa developer o pagsunod sa mga partikular na pamamaraan.
* **Real Property:** Ang paglilipat ng real property (hal., lupa at mga gusali) ay nangangailangan ng pagsunod sa iba't ibang mga regulasyon, kabilang ang:
* **Pagpaparehistro sa Land Registration Authority (LRA)**
* **Pagbabayad ng mga buwis at bayarin**
* **Pagsunod sa mga partikular na kinakailangan para sa mga partikular na uri ng ari-arian (hal., mga condominium)
**4. Mga Karagdagang Pagsasaalang-alang:**
* **Maintenance Fees:** Ang pagmamana ng timeshare o vacation property ay kasama rin sa pananagutan sa pagbabayad ng mga patuloy na bayarin sa pagpapanatili, na maaaring maging isang malaking pasanin sa pananalapi.
* **Mga Implikasyon sa Buwis:** Depende sa halaga ng ari-arian at ang relasyon sa pagitan ng namatay at ng benepisyaryo, maaaring malapat ang mga buwis sa mana.
**Mahalagang tandaan na:**
* Ito ay isang pangkalahatang pangkalahatang-ideya, at ang mga partikular na legal na detalye ay maaaring mag-iba depende sa mga pangyayari ng bawat kaso.
* Ang pagkonsulta sa isang kwalipikadong abogado na nagdadalubhasa sa batas sa mana at ari-arian ay lubos na inirerekomenda upang maunawaan ang mga partikular na legal na implikasyon at mabisang ma-navigate ang proseso ng mana.
Sana makatulong ang impormasyong ito! Tandaan, hindi ito kapalit ng propesyonal na legal na payo.</v>
      </c>
      <c r="F381" s="2">
        <f t="shared" si="1"/>
        <v>0</v>
      </c>
      <c r="G381" s="2"/>
      <c r="H381" s="2"/>
      <c r="I381" s="2"/>
      <c r="J381" s="2"/>
      <c r="K381" s="2"/>
      <c r="L381" s="2"/>
      <c r="M381" s="2"/>
      <c r="N381" s="2"/>
      <c r="O381" s="2"/>
      <c r="P381" s="2"/>
      <c r="Q381" s="2"/>
      <c r="R381" s="2"/>
      <c r="S381" s="2"/>
      <c r="T381" s="2"/>
      <c r="U381" s="2"/>
      <c r="V381" s="2"/>
      <c r="W381" s="2"/>
      <c r="X381" s="2"/>
      <c r="Y381" s="2"/>
      <c r="Z381" s="2"/>
      <c r="AA381" s="2"/>
    </row>
    <row r="382">
      <c r="A382" s="1" t="s">
        <v>1224</v>
      </c>
      <c r="B382" s="1" t="s">
        <v>1429</v>
      </c>
      <c r="C382" s="1" t="s">
        <v>1430</v>
      </c>
      <c r="D382" s="1" t="s">
        <v>1431</v>
      </c>
      <c r="E382" s="2" t="str">
        <f>IFERROR(__xludf.DUMMYFUNCTION("GOOGLETRANSLATE(C382, ""en"", ""TL"")"),"Ang pagmamana ng ari-arian sa loob ng isang homeowners' association (HOA) sa Pilipinas ay may ilang partikular na legal na implikasyon na parehong kailangang malaman ng tagapagmana at ng HOA:
**Para sa Nagmana:**
* **Pagmimiyembro at Mga Obligasyon:** Sa "&amp;"pagmamana ng ari-arian, awtomatikong nagiging miyembro ng HOA ang inheritor at napapailalim sa mga tuntunin at regulasyon nito. Kabilang dito ang:
* **Pagbabayad ng mga bayarin at bayarin sa HOA:** Regular na pagbabayad ng mga pagtasa at iba pang mga sing"&amp;"il na sinisingil ng HOA para sa pagpapanatili ng mga karaniwang lugar, amenities, at serbisyo.
* **Pagsunod sa mga tuntunin ng HOA:** Pagsunod sa mga itinatag na regulasyon ng komunidad tungkol sa mga antas ng ingay, pagmamay-ari ng alagang hayop, pagpapa"&amp;"natili ng ari-arian, at iba pang mga paghihigpit na nakabalangkas sa mga dokumento ng pamamahala ng HOA.
* **Mga potensyal na kahihinatnan:** Ang pagkabigong sumunod sa mga panuntunan ng HOA ay maaaring magresulta sa mga multa, babala, o kahit na legal na"&amp;" aksyon, kabilang ang mga foreclosure sa mga matinding kaso.
* **Pagsusuri sa Mga Dokumento ng HOA:** Napakahalaga para sa tagapagmana na masusing suriin ang mga dokumentong namamahala ng HOA, kabilang ang Deklarasyon ng mga Tipan, Kundisyon, at Paghihigp"&amp;"it (CC&amp;Rs) at mga tuntunin, upang maunawaan ang kanilang mga partikular na karapatan at responsibilidad bilang miyembro.
* **Paglipat ng Pagmamay-ari:** Kailangang ipaalam ng inheritor sa HOA ang tungkol sa mana at kumpletuhin ang anumang kinakailangang p"&amp;"amamaraan para sa paglilipat ng pagmamay-ari ng ari-arian sa kanilang pangalan sa mga talaan ng HOA. Maaaring kabilang dito ang pagsusumite ng mga nauugnay na dokumento tulad ng Certificate of Death at patunay ng mana.
**Para sa HOA:**
* **Pagpapatunay ng"&amp;" Pagmamay-ari:** Dapat i-verify ng HOA ang pagiging lehitimo ng mana sa pamamagitan ng mga opisyal na dokumento tulad ng Sertipiko ng Kamatayan at patunay ng mana bago kilalanin ang tagapagmana bilang bagong may-ari.
* **Pagpapatupad ng Mga Panuntunan at "&amp;"Regulasyon:** Ang HOA ay may karapatang ipatupad ang mga tuntunin at regulasyon nito sa lahat ng miyembro, kabilang ang mga bago tulad ng mga tagapagmana. Gayunpaman, ang naturang pagpapatupad ay dapat na patas, pare-pareho, at alinsunod sa itinatag na mg"&amp;"a pamamaraan.
* **Komunikasyon at Transparency:** Dapat panatilihin ng HOA ang bukas na pakikipag-ugnayan sa tagapagmana, na nagbibigay sa kanila ng may-katuturang impormasyon tungkol sa komunidad, mga panuntunan ng asosasyon, at anumang paparating na mga"&amp;" pagtatasa o pagbabago sa loob ng HOA.
**Mga Karagdagang Pagsasaalang-alang:**
* **Dispute Resolution:** Sa kaso ng mga salungatan sa pagitan ng inheritor at ng HOA tungkol sa mga patakaran, regulasyon, o mga bayarin, ang mga itinatag na mekanismo ng pagl"&amp;"utas ng hindi pagkakaunawaan sa loob ng HOA ay dapat na sundin muna. Kung hindi maabot ang isang mapayapang resolusyon, maaaring kailanganin ang legal na paraan.
* **Naghahanap ng Legal na Payo:** Ang tagapagmana at ang HOA ay maaaring makinabang mula sa "&amp;"paghingi ng legal na payo mula sa mga abogadong dalubhasa sa batas ng ari-arian at mga asosasyon ng mga may-ari ng bahay upang mag-navigate sa mga potensyal na kumplikado at matiyak ang pagsunod sa mga nauugnay na batas at regulasyon.
**Disclaimer:** Ang "&amp;"impormasyong ito ay para sa pangkalahatang pag-unawa at hindi bumubuo ng legal na payo. Ang pagkonsulta sa isang abogado na dalubhasa sa batas sa ari-arian at mga asosasyon ng mga may-ari ng bahay ay napakahalaga para sa mga partikular na sitwasyon at det"&amp;"alyadong gabay tungkol sa mga legal na implikasyon ng pagmamana ng ari-arian na napapailalim sa mga panuntunan at regulasyon ng HOA, pag-unawa sa mga indibidwal na karapatan at obligasyon, at epektibong pag-navigate sa anumang mga potensyal na hindi pagka"&amp;"kaunawaan o hamon.")</f>
        <v>Ang pagmamana ng ari-arian sa loob ng isang homeowners' association (HOA) sa Pilipinas ay may ilang partikular na legal na implikasyon na parehong kailangang malaman ng tagapagmana at ng HOA:
**Para sa Nagmana:**
* **Pagmimiyembro at Mga Obligasyon:** Sa pagmamana ng ari-arian, awtomatikong nagiging miyembro ng HOA ang inheritor at napapailalim sa mga tuntunin at regulasyon nito. Kabilang dito ang:
* **Pagbabayad ng mga bayarin at bayarin sa HOA:** Regular na pagbabayad ng mga pagtasa at iba pang mga singil na sinisingil ng HOA para sa pagpapanatili ng mga karaniwang lugar, amenities, at serbisyo.
* **Pagsunod sa mga tuntunin ng HOA:** Pagsunod sa mga itinatag na regulasyon ng komunidad tungkol sa mga antas ng ingay, pagmamay-ari ng alagang hayop, pagpapanatili ng ari-arian, at iba pang mga paghihigpit na nakabalangkas sa mga dokumento ng pamamahala ng HOA.
* **Mga potensyal na kahihinatnan:** Ang pagkabigong sumunod sa mga panuntunan ng HOA ay maaaring magresulta sa mga multa, babala, o kahit na legal na aksyon, kabilang ang mga foreclosure sa mga matinding kaso.
* **Pagsusuri sa Mga Dokumento ng HOA:** Napakahalaga para sa tagapagmana na masusing suriin ang mga dokumentong namamahala ng HOA, kabilang ang Deklarasyon ng mga Tipan, Kundisyon, at Paghihigpit (CC&amp;Rs) at mga tuntunin, upang maunawaan ang kanilang mga partikular na karapatan at responsibilidad bilang miyembro.
* **Paglipat ng Pagmamay-ari:** Kailangang ipaalam ng inheritor sa HOA ang tungkol sa mana at kumpletuhin ang anumang kinakailangang pamamaraan para sa paglilipat ng pagmamay-ari ng ari-arian sa kanilang pangalan sa mga talaan ng HOA. Maaaring kabilang dito ang pagsusumite ng mga nauugnay na dokumento tulad ng Certificate of Death at patunay ng mana.
**Para sa HOA:**
* **Pagpapatunay ng Pagmamay-ari:** Dapat i-verify ng HOA ang pagiging lehitimo ng mana sa pamamagitan ng mga opisyal na dokumento tulad ng Sertipiko ng Kamatayan at patunay ng mana bago kilalanin ang tagapagmana bilang bagong may-ari.
* **Pagpapatupad ng Mga Panuntunan at Regulasyon:** Ang HOA ay may karapatang ipatupad ang mga tuntunin at regulasyon nito sa lahat ng miyembro, kabilang ang mga bago tulad ng mga tagapagmana. Gayunpaman, ang naturang pagpapatupad ay dapat na patas, pare-pareho, at alinsunod sa itinatag na mga pamamaraan.
* **Komunikasyon at Transparency:** Dapat panatilihin ng HOA ang bukas na pakikipag-ugnayan sa tagapagmana, na nagbibigay sa kanila ng may-katuturang impormasyon tungkol sa komunidad, mga panuntunan ng asosasyon, at anumang paparating na mga pagtatasa o pagbabago sa loob ng HOA.
**Mga Karagdagang Pagsasaalang-alang:**
* **Dispute Resolution:** Sa kaso ng mga salungatan sa pagitan ng inheritor at ng HOA tungkol sa mga patakaran, regulasyon, o mga bayarin, ang mga itinatag na mekanismo ng paglutas ng hindi pagkakaunawaan sa loob ng HOA ay dapat na sundin muna. Kung hindi maabot ang isang mapayapang resolusyon, maaaring kailanganin ang legal na paraan.
* **Naghahanap ng Legal na Payo:** Ang tagapagmana at ang HOA ay maaaring makinabang mula sa paghingi ng legal na payo mula sa mga abogadong dalubhasa sa batas ng ari-arian at mga asosasyon ng mga may-ari ng bahay upang mag-navigate sa mga potensyal na kumplikado at matiyak ang pagsunod sa mga nauugnay na batas at regulasyon.
**Disclaimer:** Ang impormasyong ito ay para sa pangkalahatang pag-unawa at hindi bumubuo ng legal na payo. Ang pagkonsulta sa isang abogado na dalubhasa sa batas sa ari-arian at mga asosasyon ng mga may-ari ng bahay ay napakahalaga para sa mga partikular na sitwasyon at detalyadong gabay tungkol sa mga legal na implikasyon ng pagmamana ng ari-arian na napapailalim sa mga panuntunan at regulasyon ng HOA, pag-unawa sa mga indibidwal na karapatan at obligasyon, at epektibong pag-navigate sa anumang mga potensyal na hindi pagkakaunawaan o hamon.</v>
      </c>
      <c r="F382" s="2">
        <f t="shared" si="1"/>
        <v>0</v>
      </c>
      <c r="G382" s="2"/>
      <c r="H382" s="2"/>
      <c r="I382" s="2"/>
      <c r="J382" s="2"/>
      <c r="K382" s="2"/>
      <c r="L382" s="2"/>
      <c r="M382" s="2"/>
      <c r="N382" s="2"/>
      <c r="O382" s="2"/>
      <c r="P382" s="2"/>
      <c r="Q382" s="2"/>
      <c r="R382" s="2"/>
      <c r="S382" s="2"/>
      <c r="T382" s="2"/>
      <c r="U382" s="2"/>
      <c r="V382" s="2"/>
      <c r="W382" s="2"/>
      <c r="X382" s="2"/>
      <c r="Y382" s="2"/>
      <c r="Z382" s="2"/>
      <c r="AA382" s="2"/>
    </row>
    <row r="383">
      <c r="A383" s="1" t="s">
        <v>1224</v>
      </c>
      <c r="B383" s="1" t="s">
        <v>1432</v>
      </c>
      <c r="C383" s="1" t="s">
        <v>1433</v>
      </c>
      <c r="D383" s="1" t="s">
        <v>1434</v>
      </c>
      <c r="E383" s="2" t="str">
        <f>IFERROR(__xludf.DUMMYFUNCTION("GOOGLETRANSLATE(C383, ""en"", ""TL"")"),"## Mga Legal na Pagsasaalang-alang para sa Pagmamana ng Ari-arian na may Mga Paghihigpit sa Pangkapaligiran o Zoning sa Pilipinas
Ang pagmamana ng ari-arian na may mga paghihigpit sa kapaligiran o zoning sa Pilipinas ay nagsasangkot ng mga karagdagang leg"&amp;"al na pagsasaalang-alang na lampas sa karaniwang proseso ng mana. Narito ang isang breakdown ng mga pangunahing aspeto na dapat malaman:
**1. Pagkilala sa Mga Paghihigpit:**
* **Mga Paghihigpit sa Kapaligiran:** Ang mga ito ay maaaring magmula sa iba't ib"&amp;"ang batas at regulasyon, kabilang ang **Philippine Environmental Impact Statement System (EIS) System,** ang **Clean Air Act,** ang **Clean Water Act,* * at ang **National Integrated Protected Areas System (NIPAS) Act.** Maaaring limitahan ng mga paghihig"&amp;"pit ang mga aktibidad sa pagpapaunlad, paggamit ng mapagkukunan, o magpataw ng mga partikular na hakbang sa pangangalaga sa kapaligiran.
* **Mga Paghihigpit sa Zoning:** Itinatag ang mga ito sa pamamagitan ng mga lokal na ordinansa sa pag-zoning at tinutu"&amp;"koy ang mga pinahihintulutang paggamit ng lupa sa loob ng mga partikular na lugar. Ang mga paghihigpit sa pag-zone ay maaaring magdikta kung anong uri ng mga istruktura ang maaaring itayo, ang kanilang taas, density, at iba pang mga parameter ng pag-unlad"&amp;".
**2. Pag-unawa sa Epekto sa Mana:**
* Maaaring makaapekto ang mga paghihigpit sa **halaga, kakayahang magamit, at potensyal na pag-unlad** ng minanang ari-arian.
* Maaari nilang limitahan ang kakayahang:
* **Ibenta o ilipat** ang ari-arian nang malaya.
"&amp;"* **Buuin o baguhin** ang property para sa mga partikular na layunin.
* **Magsagawa ng ilang partikular na aktibidad** sa property.
**3. Pag-navigate sa Mga Potensyal na Isyu:**
* **Magsagawa ng masusing pagsasaalang-alang:** Bago tanggapin ang mana, maha"&amp;"lagang **siyasatin ang mga partikular na paghihigpit sa kapaligiran at zoning** na naaangkop sa property. Ito ay maaaring may kasamang:
* Pagsusuri ng mga nauugnay na legal na dokumento, permit, at mga mapa ng zoning.
* Pagkonsulta sa mga ahensya ng gobye"&amp;"rno (hal., Department of Environment and Natural Resources, local planning office).
* Humingi ng propesyonal na payo mula sa mga abogado na dalubhasa sa batas sa kapaligiran at ari-arian.
* **Turiin ang mga potensyal na gastos:** Depende sa mga paghihigpi"&amp;"t, ang pagmamana ng ari-arian ay maaaring may kasamang:
* **Mga gastos sa pagsunod:** Pagtugon sa mga partikular na kinakailangan sa kapaligiran o pagkuha ng mga kinakailangang permit para sa pagpapaunlad.
* **Mga gastos sa remediation:** Pagtugon sa anum"&amp;"ang umiiral na mga pananagutan sa kapaligiran na nauugnay sa ari-arian.
* **Mga opsyon sa pag-explore:** Batay sa mga natuklasan, maaaring tuklasin ang iba't ibang opsyon, gaya ng:
* **Pagtanggap ng mana nang buong kaalaman sa mga paghihigpit.**
* **Nakik"&amp;"ipagnegosasyon sa mga co-inheritor** hinggil sa paghahati ng ari-arian o mga potensyal na pagbili.
* **Pagbibitiw ng mana** sa pamamagitan ng mga legal na paraan, kung pinahihintulutan ng mga batas ng kalooban o kawalan ng katapatan.
**Tandaan:**
* Ang pa"&amp;"gkonsulta sa isang kwalipikadong abogado na dalubhasa sa batas sa kapaligiran at ari-arian ay **mahalaga** upang maunawaan ang mga partikular na legal na implikasyon ng pagmamana ng ari-arian at magabayan ka sa proseso nang epektibo.
* Makakatulong sa iyo"&amp;" ang paghingi ng legal na payo **mag-navigate sa mga potensyal na isyu**, matiyak ang pagsunod sa mga nauugnay na regulasyon, at gumawa ng matalinong mga desisyon tungkol sa mana.
Sa pamamagitan ng maingat na pagsasaalang-alang sa mga legal na aspetong it"&amp;"o at paghingi ng propesyonal na patnubay, maaari mong lapitan ang pagmamana ng ari-arian na may mga paghihigpit sa kapaligiran o zoning nang may higit na kalinawan at kumpiyansa.")</f>
        <v>## Mga Legal na Pagsasaalang-alang para sa Pagmamana ng Ari-arian na may Mga Paghihigpit sa Pangkapaligiran o Zoning sa Pilipinas
Ang pagmamana ng ari-arian na may mga paghihigpit sa kapaligiran o zoning sa Pilipinas ay nagsasangkot ng mga karagdagang legal na pagsasaalang-alang na lampas sa karaniwang proseso ng mana. Narito ang isang breakdown ng mga pangunahing aspeto na dapat malaman:
**1. Pagkilala sa Mga Paghihigpit:**
* **Mga Paghihigpit sa Kapaligiran:** Ang mga ito ay maaaring magmula sa iba't ibang batas at regulasyon, kabilang ang **Philippine Environmental Impact Statement System (EIS) System,** ang **Clean Air Act,** ang **Clean Water Act,* * at ang **National Integrated Protected Areas System (NIPAS) Act.** Maaaring limitahan ng mga paghihigpit ang mga aktibidad sa pagpapaunlad, paggamit ng mapagkukunan, o magpataw ng mga partikular na hakbang sa pangangalaga sa kapaligiran.
* **Mga Paghihigpit sa Zoning:** Itinatag ang mga ito sa pamamagitan ng mga lokal na ordinansa sa pag-zoning at tinutukoy ang mga pinahihintulutang paggamit ng lupa sa loob ng mga partikular na lugar. Ang mga paghihigpit sa pag-zone ay maaaring magdikta kung anong uri ng mga istruktura ang maaaring itayo, ang kanilang taas, density, at iba pang mga parameter ng pag-unlad.
**2. Pag-unawa sa Epekto sa Mana:**
* Maaaring makaapekto ang mga paghihigpit sa **halaga, kakayahang magamit, at potensyal na pag-unlad** ng minanang ari-arian.
* Maaari nilang limitahan ang kakayahang:
* **Ibenta o ilipat** ang ari-arian nang malaya.
* **Buuin o baguhin** ang property para sa mga partikular na layunin.
* **Magsagawa ng ilang partikular na aktibidad** sa property.
**3. Pag-navigate sa Mga Potensyal na Isyu:**
* **Magsagawa ng masusing pagsasaalang-alang:** Bago tanggapin ang mana, mahalagang **siyasatin ang mga partikular na paghihigpit sa kapaligiran at zoning** na naaangkop sa property. Ito ay maaaring may kasamang:
* Pagsusuri ng mga nauugnay na legal na dokumento, permit, at mga mapa ng zoning.
* Pagkonsulta sa mga ahensya ng gobyerno (hal., Department of Environment and Natural Resources, local planning office).
* Humingi ng propesyonal na payo mula sa mga abogado na dalubhasa sa batas sa kapaligiran at ari-arian.
* **Turiin ang mga potensyal na gastos:** Depende sa mga paghihigpit, ang pagmamana ng ari-arian ay maaaring may kasamang:
* **Mga gastos sa pagsunod:** Pagtugon sa mga partikular na kinakailangan sa kapaligiran o pagkuha ng mga kinakailangang permit para sa pagpapaunlad.
* **Mga gastos sa remediation:** Pagtugon sa anumang umiiral na mga pananagutan sa kapaligiran na nauugnay sa ari-arian.
* **Mga opsyon sa pag-explore:** Batay sa mga natuklasan, maaaring tuklasin ang iba't ibang opsyon, gaya ng:
* **Pagtanggap ng mana nang buong kaalaman sa mga paghihigpit.**
* **Nakikipagnegosasyon sa mga co-inheritor** hinggil sa paghahati ng ari-arian o mga potensyal na pagbili.
* **Pagbibitiw ng mana** sa pamamagitan ng mga legal na paraan, kung pinahihintulutan ng mga batas ng kalooban o kawalan ng katapatan.
**Tandaan:**
* Ang pagkonsulta sa isang kwalipikadong abogado na dalubhasa sa batas sa kapaligiran at ari-arian ay **mahalaga** upang maunawaan ang mga partikular na legal na implikasyon ng pagmamana ng ari-arian at magabayan ka sa proseso nang epektibo.
* Makakatulong sa iyo ang paghingi ng legal na payo **mag-navigate sa mga potensyal na isyu**, matiyak ang pagsunod sa mga nauugnay na regulasyon, at gumawa ng matalinong mga desisyon tungkol sa mana.
Sa pamamagitan ng maingat na pagsasaalang-alang sa mga legal na aspetong ito at paghingi ng propesyonal na patnubay, maaari mong lapitan ang pagmamana ng ari-arian na may mga paghihigpit sa kapaligiran o zoning nang may higit na kalinawan at kumpiyansa.</v>
      </c>
      <c r="F383" s="2">
        <f t="shared" si="1"/>
        <v>0</v>
      </c>
      <c r="G383" s="2"/>
      <c r="H383" s="2"/>
      <c r="I383" s="2"/>
      <c r="J383" s="2"/>
      <c r="K383" s="2"/>
      <c r="L383" s="2"/>
      <c r="M383" s="2"/>
      <c r="N383" s="2"/>
      <c r="O383" s="2"/>
      <c r="P383" s="2"/>
      <c r="Q383" s="2"/>
      <c r="R383" s="2"/>
      <c r="S383" s="2"/>
      <c r="T383" s="2"/>
      <c r="U383" s="2"/>
      <c r="V383" s="2"/>
      <c r="W383" s="2"/>
      <c r="X383" s="2"/>
      <c r="Y383" s="2"/>
      <c r="Z383" s="2"/>
      <c r="AA383" s="2"/>
    </row>
    <row r="384">
      <c r="A384" s="1" t="s">
        <v>1224</v>
      </c>
      <c r="B384" s="1" t="s">
        <v>1435</v>
      </c>
      <c r="C384" s="1" t="s">
        <v>1436</v>
      </c>
      <c r="D384" s="1" t="s">
        <v>1437</v>
      </c>
      <c r="E384" s="2" t="str">
        <f>IFERROR(__xludf.DUMMYFUNCTION("GOOGLETRANSLATE(C384, ""en"", ""TL"")"),"Ang pagmamana ng ari-arian kapag ang mga tagapagmana ay naninirahan sa iba't ibang estado o bansa ay nagpapakilala ng mga karagdagang kumplikado kumpara sa domestic inheritance. Narito ang isang pangkalahatang-ideya ng mga potensyal na epekto at legal na "&amp;"pagsasaalang-alang:
**Epekto sa Mga Karapatan at Pananagutan:**
* **Naaangkop na Batas:** Ang legal na proseso at mga karapatan ng mga tagapagmana ay maaaring pamahalaan ng **batas ng hurisdiksyon kung saan matatagpuan ang ari-arian**, anuman ang pa"&amp;"ninirahan ng mga tagapagmana. Nangangahulugan ito na ang mga partikular na panuntunan tungkol sa mana, pamamahagi ng mga asset, at mga potensyal na buwis ay tutukuyin ng mga lokal na batas ng hurisdiksyon na iyon.
* **Probate ng Probate:** Maaaring kaila"&amp;"nganin ng mga tagapagmana na lumahok sa proseso ng probate sa estado/bansa kung saan matatagpuan ang ari-arian, na maaaring may kasamang karagdagang mga legal na bayarin at pormalidad kumpara sa domestic inheritance.
* **Mga Implikasyon sa Buwis:** Ang m"&amp;"ga tagapagmana na naninirahan sa iba't ibang bansa ay maaaring sumailalim sa **mga buwis sa mana** sa kanilang sariling bansa at sa bansa kung saan matatagpuan ang ari-arian, na posibleng humantong sa dobleng pagbubuwis sa ilang mga kaso.
**Mga Legal n"&amp;"a Pagsasaalang-alang:**
* **International Estate Planning:** Ang pagkonsulta sa mga abugado na dalubhasa sa **international estate planning** ay napakahalaga upang maunawaan ang mga naaangkop na batas, potensyal na implikasyon sa buwis, at mga diskarte"&amp;" para sa pagliit ng mga kumplikado at pagtiyak ng maayos na proseso ng mana para sa lahat ng kasangkot.
* **Mga Will at Estate Planning Documents:** Ang mga Will at iba pang mga dokumento sa pagpaplano ng ari-arian ay dapat na maingat na i-draft, isinasa"&amp;"alang-alang ang internasyonal na aspeto at malinaw na tinutukoy kung paano dapat ipamahagi ang ari-arian sa mga tagapagmana na naninirahan sa iba't ibang hurisdiksyon.
* **Mga Kasunduan at Kasunduan:** Ang ilang mga bansa ay mayroong **mga kasunduan o ka"&amp;"sunduan** sa lugar upang maiwasan ang dobleng pagbubuwis o pasimplehin ang mga pamamaraan ng mana para sa mga residente ng mga partikular na bansa. Ang paggalugad sa pagkakaroon ng mga naturang kasunduan sa pagitan ng mga nauugnay na bansa ay maaaring mag"&amp;"ing kapaki-pakinabang.
* **Komunikasyon at Kooperasyon:** Ang epektibong komunikasyon at pagtutulungan ng mga tagapagmana ay mahalaga upang ma-navigate ang mga kumplikado ng internasyonal na pamana, matiyak na ang mga karapatan ng lahat ay iginagalang, a"&amp;"t maabot ang isang pinagkasunduan sa pamamahala sa minanang ari-arian.
**Mga Karagdagang Hamon:**
* **Palitan ng currency:** Ang mga pagbabago sa halaga ng palitan ay maaaring makaapekto sa halaga ng minanang ari-arian at potensyal na lumikha ng mga"&amp;" hamon sa paghahati ng mga asset nang patas sa mga tagapagmana na naninirahan sa iba't ibang bansa na may iba't ibang pera.
* **Mga pagkakaiba sa kultura at legal:** Ang pag-unawa sa mga pagkakaiba sa kultura at legal sa pagitan ng mga nasasakupan na nas"&amp;"asakupan ay maaaring maging mahalaga para sa epektibong pag-navigate sa proseso at pag-iwas sa mga hindi pagkakaunawaan o salungatan.
**Disclaimer:** Ang impormasyong ito ay para sa pangkalahatang pag-unawa at hindi bumubuo ng legal na payo. Ang mga pa"&amp;"rtikular na legal na implikasyon, karapatan, at pananagutan ng mga tagapagmana na nagmamana ng ari-arian sa iba't ibang hurisdiksyon ay maaaring kumplikado at mag-iba depende sa mga partikular na pangyayari, lokasyon ng ari-arian, at mga naaangkop na bata"&amp;"s ng bawat kasangkot na bansa. Ang pagkonsulta sa mga abogado na nag-specialize sa internasyonal na pagpaplano ng ari-arian at batas ng ari-arian sa parehong may-katuturang mga hurisdiksyon ay napakahalaga para sa pag-navigate sa mga intricacies, pag-unaw"&amp;"a sa mga indibidwal na karapatan at obligasyon, pagliit ng mga potensyal na komplikasyon, at pagtiyak ng maayos at matagumpay na proseso ng mana.")</f>
        <v>Ang pagmamana ng ari-arian kapag ang mga tagapagmana ay naninirahan sa iba't ibang estado o bansa ay nagpapakilala ng mga karagdagang kumplikado kumpara sa domestic inheritance. Narito ang isang pangkalahatang-ideya ng mga potensyal na epekto at legal na pagsasaalang-alang:
**Epekto sa Mga Karapatan at Pananagutan:**
* **Naaangkop na Batas:** Ang legal na proseso at mga karapatan ng mga tagapagmana ay maaaring pamahalaan ng **batas ng hurisdiksyon kung saan matatagpuan ang ari-arian**, anuman ang paninirahan ng mga tagapagmana. Nangangahulugan ito na ang mga partikular na panuntunan tungkol sa mana, pamamahagi ng mga asset, at mga potensyal na buwis ay tutukuyin ng mga lokal na batas ng hurisdiksyon na iyon.
* **Probate ng Probate:** Maaaring kailanganin ng mga tagapagmana na lumahok sa proseso ng probate sa estado/bansa kung saan matatagpuan ang ari-arian, na maaaring may kasamang karagdagang mga legal na bayarin at pormalidad kumpara sa domestic inheritance.
* **Mga Implikasyon sa Buwis:** Ang mga tagapagmana na naninirahan sa iba't ibang bansa ay maaaring sumailalim sa **mga buwis sa mana** sa kanilang sariling bansa at sa bansa kung saan matatagpuan ang ari-arian, na posibleng humantong sa dobleng pagbubuwis sa ilang mga kaso.
**Mga Legal na Pagsasaalang-alang:**
* **International Estate Planning:** Ang pagkonsulta sa mga abugado na dalubhasa sa **international estate planning** ay napakahalaga upang maunawaan ang mga naaangkop na batas, potensyal na implikasyon sa buwis, at mga diskarte para sa pagliit ng mga kumplikado at pagtiyak ng maayos na proseso ng mana para sa lahat ng kasangkot.
* **Mga Will at Estate Planning Documents:** Ang mga Will at iba pang mga dokumento sa pagpaplano ng ari-arian ay dapat na maingat na i-draft, isinasaalang-alang ang internasyonal na aspeto at malinaw na tinutukoy kung paano dapat ipamahagi ang ari-arian sa mga tagapagmana na naninirahan sa iba't ibang hurisdiksyon.
* **Mga Kasunduan at Kasunduan:** Ang ilang mga bansa ay mayroong **mga kasunduan o kasunduan** sa lugar upang maiwasan ang dobleng pagbubuwis o pasimplehin ang mga pamamaraan ng mana para sa mga residente ng mga partikular na bansa. Ang paggalugad sa pagkakaroon ng mga naturang kasunduan sa pagitan ng mga nauugnay na bansa ay maaaring maging kapaki-pakinabang.
* **Komunikasyon at Kooperasyon:** Ang epektibong komunikasyon at pagtutulungan ng mga tagapagmana ay mahalaga upang ma-navigate ang mga kumplikado ng internasyonal na pamana, matiyak na ang mga karapatan ng lahat ay iginagalang, at maabot ang isang pinagkasunduan sa pamamahala sa minanang ari-arian.
**Mga Karagdagang Hamon:**
* **Palitan ng currency:** Ang mga pagbabago sa halaga ng palitan ay maaaring makaapekto sa halaga ng minanang ari-arian at potensyal na lumikha ng mga hamon sa paghahati ng mga asset nang patas sa mga tagapagmana na naninirahan sa iba't ibang bansa na may iba't ibang pera.
* **Mga pagkakaiba sa kultura at legal:** Ang pag-unawa sa mga pagkakaiba sa kultura at legal sa pagitan ng mga nasasakupan na nasasakupan ay maaaring maging mahalaga para sa epektibong pag-navigate sa proseso at pag-iwas sa mga hindi pagkakaunawaan o salungatan.
**Disclaimer:** Ang impormasyong ito ay para sa pangkalahatang pag-unawa at hindi bumubuo ng legal na payo. Ang mga partikular na legal na implikasyon, karapatan, at pananagutan ng mga tagapagmana na nagmamana ng ari-arian sa iba't ibang hurisdiksyon ay maaaring kumplikado at mag-iba depende sa mga partikular na pangyayari, lokasyon ng ari-arian, at mga naaangkop na batas ng bawat kasangkot na bansa. Ang pagkonsulta sa mga abogado na nag-specialize sa internasyonal na pagpaplano ng ari-arian at batas ng ari-arian sa parehong may-katuturang mga hurisdiksyon ay napakahalaga para sa pag-navigate sa mga intricacies, pag-unawa sa mga indibidwal na karapatan at obligasyon, pagliit ng mga potensyal na komplikasyon, at pagtiyak ng maayos at matagumpay na proseso ng mana.</v>
      </c>
      <c r="F384" s="2">
        <f t="shared" si="1"/>
        <v>0</v>
      </c>
      <c r="G384" s="2"/>
      <c r="H384" s="2"/>
      <c r="I384" s="2"/>
      <c r="J384" s="2"/>
      <c r="K384" s="2"/>
      <c r="L384" s="2"/>
      <c r="M384" s="2"/>
      <c r="N384" s="2"/>
      <c r="O384" s="2"/>
      <c r="P384" s="2"/>
      <c r="Q384" s="2"/>
      <c r="R384" s="2"/>
      <c r="S384" s="2"/>
      <c r="T384" s="2"/>
      <c r="U384" s="2"/>
      <c r="V384" s="2"/>
      <c r="W384" s="2"/>
      <c r="X384" s="2"/>
      <c r="Y384" s="2"/>
      <c r="Z384" s="2"/>
      <c r="AA384" s="2"/>
    </row>
    <row r="385">
      <c r="A385" s="1" t="s">
        <v>1224</v>
      </c>
      <c r="B385" s="1" t="s">
        <v>1438</v>
      </c>
      <c r="C385" s="1" t="s">
        <v>1439</v>
      </c>
      <c r="D385" s="1" t="s">
        <v>1440</v>
      </c>
      <c r="E385" s="2" t="str">
        <f>IFERROR(__xludf.DUMMYFUNCTION("GOOGLETRANSLATE(C385, ""en"", ""TL"")"),"Ang pagmamana ng ari-arian na bahagi ng isang tiwala sa Pilipinas ay nagsasangkot ng iba't ibang mga pagsasaalang-alang kumpara sa direktang pagmamana ng ari-arian. Narito ang isang breakdown ng mga pangunahing punto:
**1. Istruktura at Mga Tuntunin ng Ti"&amp;"wala:**
* Ang mga partikular na implikasyon ng pagmamana ng trust property ay lubos na nakadepende sa **istruktura at mga tuntunin ng trust document.** Ang dokumentong ito ay nagbabalangkas sa mga sumusunod:
* **Uri ng tiwala:** Maaaring bawiin o hindi ma"&amp;"babawi.
* **Settlor:** Ang taong lumikha ng tiwala.
* **Trustee:** Ang taong responsable sa pamamahala ng mga asset ng trust.
* **Mga benepisyaryo:** Ang mga indibidwal o entity na may karapatang tumanggap ng mga benepisyo mula sa trust.
* **Mga probisyon"&amp;" sa pamamahagi:** Paano ipapamahagi ang mga asset ng tiwala sa mga benepisyaryo, kabilang ang tiyempo, kundisyon, at partikular na paglalaan ng ari-arian.
**2. Status ng Benepisyaryo:**
* **Pinangalanang benepisyaryo:** Kung ikaw ay pinangalanan bilang is"&amp;"ang benepisyaryo sa dokumento ng tiwala, ikaw ay may karapatan na matanggap ang ari-arian o ang mga benepisyo nito ayon sa **mga partikular na tuntunin na nakabalangkas sa tiwala.**
* **Hindi pinangalanang benepisyaryo:** Kung hindi ka tahasang pinangalan"&amp;"an bilang isang benepisyaryo, maaaring wala kang anumang mga karapatan sa mana sa pinagkakatiwalaang ari-arian. Gayunpaman, maaaring tukuyin ng dokumento ng tiwala ang **mga contingency plan** o **mga regalo sa klase** na posibleng makinabang sa iyo sa il"&amp;"alim ng mga partikular na sitwasyon.
**3. Proseso ng Pamamahagi:**
* Ang pamamahagi ng trust property ay **pinamamahalaan ng trust document at pinangangasiwaan ng trustee.** Sila ang may pananagutan sa pagtiyak na ang property ay ipamahagi ayon sa kagustu"&amp;"han ng settlor at pagsunod sa lahat ng legal at fiduciary na obligasyon.
* Bilang isang nagmamanang benepisyaryo, maaaring wala kang direktang kontrol sa proseso ng pamamahagi. Gayunpaman, may karapatan kang **makatanggap ng impormasyon tungkol sa tiwala*"&amp;"* at **humingi ng paglilinaw** tungkol sa plano ng pamamahagi kung ito ay tila hindi malinaw o hindi naaayon sa mga tuntunin ng tiwala.
**4. Mga Legal na Pagsasaalang-alang:**
* Sa kaso ng anumang **mga hindi pagkakaunawaan o hindi pagkakasundo** hinggil "&amp;"sa interpretasyon o pamamahagi ng tiwala, ang paghingi ng legal na payo mula sa isang abogadong dalubhasa sa batas ng tiwala ay lubos na inirerekomenda.
* Mahalagang tandaan na ang **dokumento ng tiwala ay nangunguna** sa anumang magkasalungat na mga prob"&amp;"isyon sa isang testamento o intestate succession na mga batas.
**Sa buod:**
* Ang pagmamana ng ari-arian mula sa isang trust ay nangangailangan ng pag-unawa sa partikular na istraktura at mga tuntunin ng trust.
* Ang katayuan ng iyong benepisyaryo sa loob"&amp;" ng tiwala ay tumutukoy sa iyong mga karapatan sa mana.
* Ang proseso ng pamamahagi ay pinangangasiwaan ng tagapangasiwa ayon sa dokumento ng tiwala.
* Ang pagkonsulta sa isang abogadong nag-specialize sa trust law ay mahalaga para sa pag-navigate sa mga "&amp;"kumplikadong sitwasyon o mga potensyal na hindi pagkakaunawaan.
Sa pamamagitan ng pag-unawa sa mga implikasyon na ito at paghingi ng propesyonal na patnubay kung kinakailangan, masisiguro mo ang maayos at matalinong diskarte sa pagmamana ng ari-arian mula"&amp;" sa isang trust sa Pilipinas.")</f>
        <v>Ang pagmamana ng ari-arian na bahagi ng isang tiwala sa Pilipinas ay nagsasangkot ng iba't ibang mga pagsasaalang-alang kumpara sa direktang pagmamana ng ari-arian. Narito ang isang breakdown ng mga pangunahing punto:
**1. Istruktura at Mga Tuntunin ng Tiwala:**
* Ang mga partikular na implikasyon ng pagmamana ng trust property ay lubos na nakadepende sa **istruktura at mga tuntunin ng trust document.** Ang dokumentong ito ay nagbabalangkas sa mga sumusunod:
* **Uri ng tiwala:** Maaaring bawiin o hindi mababawi.
* **Settlor:** Ang taong lumikha ng tiwala.
* **Trustee:** Ang taong responsable sa pamamahala ng mga asset ng trust.
* **Mga benepisyaryo:** Ang mga indibidwal o entity na may karapatang tumanggap ng mga benepisyo mula sa trust.
* **Mga probisyon sa pamamahagi:** Paano ipapamahagi ang mga asset ng tiwala sa mga benepisyaryo, kabilang ang tiyempo, kundisyon, at partikular na paglalaan ng ari-arian.
**2. Status ng Benepisyaryo:**
* **Pinangalanang benepisyaryo:** Kung ikaw ay pinangalanan bilang isang benepisyaryo sa dokumento ng tiwala, ikaw ay may karapatan na matanggap ang ari-arian o ang mga benepisyo nito ayon sa **mga partikular na tuntunin na nakabalangkas sa tiwala.**
* **Hindi pinangalanang benepisyaryo:** Kung hindi ka tahasang pinangalanan bilang isang benepisyaryo, maaaring wala kang anumang mga karapatan sa mana sa pinagkakatiwalaang ari-arian. Gayunpaman, maaaring tukuyin ng dokumento ng tiwala ang **mga contingency plan** o **mga regalo sa klase** na posibleng makinabang sa iyo sa ilalim ng mga partikular na sitwasyon.
**3. Proseso ng Pamamahagi:**
* Ang pamamahagi ng trust property ay **pinamamahalaan ng trust document at pinangangasiwaan ng trustee.** Sila ang may pananagutan sa pagtiyak na ang property ay ipamahagi ayon sa kagustuhan ng settlor at pagsunod sa lahat ng legal at fiduciary na obligasyon.
* Bilang isang nagmamanang benepisyaryo, maaaring wala kang direktang kontrol sa proseso ng pamamahagi. Gayunpaman, may karapatan kang **makatanggap ng impormasyon tungkol sa tiwala** at **humingi ng paglilinaw** tungkol sa plano ng pamamahagi kung ito ay tila hindi malinaw o hindi naaayon sa mga tuntunin ng tiwala.
**4. Mga Legal na Pagsasaalang-alang:**
* Sa kaso ng anumang **mga hindi pagkakaunawaan o hindi pagkakasundo** hinggil sa interpretasyon o pamamahagi ng tiwala, ang paghingi ng legal na payo mula sa isang abogadong dalubhasa sa batas ng tiwala ay lubos na inirerekomenda.
* Mahalagang tandaan na ang **dokumento ng tiwala ay nangunguna** sa anumang magkasalungat na mga probisyon sa isang testamento o intestate succession na mga batas.
**Sa buod:**
* Ang pagmamana ng ari-arian mula sa isang trust ay nangangailangan ng pag-unawa sa partikular na istraktura at mga tuntunin ng trust.
* Ang katayuan ng iyong benepisyaryo sa loob ng tiwala ay tumutukoy sa iyong mga karapatan sa mana.
* Ang proseso ng pamamahagi ay pinangangasiwaan ng tagapangasiwa ayon sa dokumento ng tiwala.
* Ang pagkonsulta sa isang abogadong nag-specialize sa trust law ay mahalaga para sa pag-navigate sa mga kumplikadong sitwasyon o mga potensyal na hindi pagkakaunawaan.
Sa pamamagitan ng pag-unawa sa mga implikasyon na ito at paghingi ng propesyonal na patnubay kung kinakailangan, masisiguro mo ang maayos at matalinong diskarte sa pagmamana ng ari-arian mula sa isang trust sa Pilipinas.</v>
      </c>
      <c r="F385" s="2">
        <f t="shared" si="1"/>
        <v>0</v>
      </c>
      <c r="G385" s="2"/>
      <c r="H385" s="2"/>
      <c r="I385" s="2"/>
      <c r="J385" s="2"/>
      <c r="K385" s="2"/>
      <c r="L385" s="2"/>
      <c r="M385" s="2"/>
      <c r="N385" s="2"/>
      <c r="O385" s="2"/>
      <c r="P385" s="2"/>
      <c r="Q385" s="2"/>
      <c r="R385" s="2"/>
      <c r="S385" s="2"/>
      <c r="T385" s="2"/>
      <c r="U385" s="2"/>
      <c r="V385" s="2"/>
      <c r="W385" s="2"/>
      <c r="X385" s="2"/>
      <c r="Y385" s="2"/>
      <c r="Z385" s="2"/>
      <c r="AA385" s="2"/>
    </row>
    <row r="386">
      <c r="A386" s="1" t="s">
        <v>1224</v>
      </c>
      <c r="B386" s="1" t="s">
        <v>1441</v>
      </c>
      <c r="C386" s="1" t="s">
        <v>1442</v>
      </c>
      <c r="D386" s="1" t="s">
        <v>1443</v>
      </c>
      <c r="E386" s="2" t="str">
        <f>IFERROR(__xludf.DUMMYFUNCTION("GOOGLETRANSLATE(C386, ""en"", ""TL"")"),"Narito ang ilang legal na hakbang na maaaring gawin upang matugunan ang mga potensyal na hindi pagkakaunawaan sa pagitan ng mga tagapagmana pagdating sa paghahati o pamamahala ng mga minanang pag-aari sa Pilipinas, batay sa mga nauugnay na batas at hurisp"&amp;"rudensya:
**1. Amicable Settlement:**
* **Extrajudicial Settlement of Estate (Rule 74, Rules of Court):** Ito ang gustong paraan kapag ang lahat ng tagapagmana ay nasa legal na edad at kapasidad at sumang-ayon sa pamamahagi ng ari-arian. Kabilang dito ang"&amp;" pagsasagawa ng Deed of Extrajudicial Settlement, na nagbabalangkas sa paghahati ng mga asset, kasama ang rental property, at notarized.
* **Family Conciliation:** (Republic Act No. 8344 o ang Family Code of the Philippines, Artikulo 153): Ang prosesong i"&amp;"to ay nagsasangkot ng isang tagapamagitan na hinirang ng hukuman na nagpapadali sa komunikasyon at negosasyon sa pagitan ng mga tagapagmana upang maabot ang isang maayos na kasunduan.
**2. Judicial Settlement:**
* **Probate of Will (Rule 75, Rules of Cour"&amp;"t):** Kung may wastong testamento, dapat itong masubok sa korte upang maitatag ang pagiging tunay nito at maipatupad ang mga probisyon nito tungkol sa pamamahagi ng ari-arian.
* **Pagkilos ng Partisyon (Tuntunin 69, Mga Panuntunan ng Hukuman):** Kung wala"&amp;"ng napagkasunduan sa paghahati ng ari-arian, sinumang tagapagmana ay maaaring maghain ng aksyong partisyon sa korte. Pagkatapos ay magpapasya ang hukuman sa paghahati batay sa mga legal na karapatan ng bawat tagapagmana, isinasaalang-alang ang mga salik t"&amp;"ulad ng halaga ng ari-arian at mga kontribusyon na ginawa ng mga indibidwal na tagapagmana.
**Mga Kaugnay na Batas at Jurisprudence:**
* **Ang Konstitusyon ng Pilipinas, Artikulo XIII, Seksyon 1:** Ginagarantiya ang karapatan sa ari-arian.
* **Tuntunin 74"&amp;", Mga Tuntunin ng Hukuman:** Naglalaan para sa extrajudicial settlement ng mga ari-arian.
* **Rule 75, Rules of Court:** Namamahala sa probate of wills.
* **Tuntunin 69, Mga Tuntunin ng Hukuman:** Nakikitungo sa mga pagkilos ng partisyon.
* **Republic Act"&amp;" No. 8344 (Family Code of the Philippines):** Ang Artikulo 153 ay nagtatadhana ng pagkakasundo ng pamilya.
**Mga Karagdagang Pagsasaalang-alang:**
* **Mga karapatan at obligasyon ng mga tagapagmana:** Ang bawat tagapagmana ay may legal na karapatan sa bah"&amp;"agi ng mana, ngunit mayroon din silang mga obligasyon, tulad ng pag-aambag sa mga buwis sa ari-arian at iba pang gastos.
* **Pamamahala ng ari-arian:** Kung ang mga tagapagmana ay hindi magkasundo kung paano pamahalaan ang ari-arian, maaaring kailanganin "&amp;"nilang humirang ng isang co-administrator o propesyonal na tagapamahala ng ari-arian.
* **Mga implikasyon sa buwis:** Ang mga tagapagmana ay may pananagutan sa pagbabayad ng mga buwis na nauugnay sa mana, kabilang ang mga buwis sa ari-arian at mga buwis s"&amp;"a kita mula sa kita sa pag-upa.
Mahalagang tandaan na ito ay isang pangkalahatang pangkalahatang-ideya lamang, at ang mga partikular na legal na hakbang ay magdedepende sa mga pangyayari ng bawat kaso. Ang pagkonsulta sa isang kwalipikadong abogado na nag"&amp;"dadalubhasa sa batas sa pagmamana at ari-arian ay lubos na inirerekomenda upang matiyak na nauunawaan mo ang iyong mga karapatan at obligasyon at mabisang mag-navigate sa legal na proseso.")</f>
        <v>Narito ang ilang legal na hakbang na maaaring gawin upang matugunan ang mga potensyal na hindi pagkakaunawaan sa pagitan ng mga tagapagmana pagdating sa paghahati o pamamahala ng mga minanang pag-aari sa Pilipinas, batay sa mga nauugnay na batas at hurisprudensya:
**1. Amicable Settlement:**
* **Extrajudicial Settlement of Estate (Rule 74, Rules of Court):** Ito ang gustong paraan kapag ang lahat ng tagapagmana ay nasa legal na edad at kapasidad at sumang-ayon sa pamamahagi ng ari-arian. Kabilang dito ang pagsasagawa ng Deed of Extrajudicial Settlement, na nagbabalangkas sa paghahati ng mga asset, kasama ang rental property, at notarized.
* **Family Conciliation:** (Republic Act No. 8344 o ang Family Code of the Philippines, Artikulo 153): Ang prosesong ito ay nagsasangkot ng isang tagapamagitan na hinirang ng hukuman na nagpapadali sa komunikasyon at negosasyon sa pagitan ng mga tagapagmana upang maabot ang isang maayos na kasunduan.
**2. Judicial Settlement:**
* **Probate of Will (Rule 75, Rules of Court):** Kung may wastong testamento, dapat itong masubok sa korte upang maitatag ang pagiging tunay nito at maipatupad ang mga probisyon nito tungkol sa pamamahagi ng ari-arian.
* **Pagkilos ng Partisyon (Tuntunin 69, Mga Panuntunan ng Hukuman):** Kung walang napagkasunduan sa paghahati ng ari-arian, sinumang tagapagmana ay maaaring maghain ng aksyong partisyon sa korte. Pagkatapos ay magpapasya ang hukuman sa paghahati batay sa mga legal na karapatan ng bawat tagapagmana, isinasaalang-alang ang mga salik tulad ng halaga ng ari-arian at mga kontribusyon na ginawa ng mga indibidwal na tagapagmana.
**Mga Kaugnay na Batas at Jurisprudence:**
* **Ang Konstitusyon ng Pilipinas, Artikulo XIII, Seksyon 1:** Ginagarantiya ang karapatan sa ari-arian.
* **Tuntunin 74, Mga Tuntunin ng Hukuman:** Naglalaan para sa extrajudicial settlement ng mga ari-arian.
* **Rule 75, Rules of Court:** Namamahala sa probate of wills.
* **Tuntunin 69, Mga Tuntunin ng Hukuman:** Nakikitungo sa mga pagkilos ng partisyon.
* **Republic Act No. 8344 (Family Code of the Philippines):** Ang Artikulo 153 ay nagtatadhana ng pagkakasundo ng pamilya.
**Mga Karagdagang Pagsasaalang-alang:**
* **Mga karapatan at obligasyon ng mga tagapagmana:** Ang bawat tagapagmana ay may legal na karapatan sa bahagi ng mana, ngunit mayroon din silang mga obligasyon, tulad ng pag-aambag sa mga buwis sa ari-arian at iba pang gastos.
* **Pamamahala ng ari-arian:** Kung ang mga tagapagmana ay hindi magkasundo kung paano pamahalaan ang ari-arian, maaaring kailanganin nilang humirang ng isang co-administrator o propesyonal na tagapamahala ng ari-arian.
* **Mga implikasyon sa buwis:** Ang mga tagapagmana ay may pananagutan sa pagbabayad ng mga buwis na nauugnay sa mana, kabilang ang mga buwis sa ari-arian at mga buwis sa kita mula sa kita sa pag-upa.
Mahalagang tandaan na ito ay isang pangkalahatang pangkalahatang-ideya lamang, at ang mga partikular na legal na hakbang ay magdedepende sa mga pangyayari ng bawat kaso. Ang pagkonsulta sa isang kwalipikadong abogado na nagdadalubhasa sa batas sa pagmamana at ari-arian ay lubos na inirerekomenda upang matiyak na nauunawaan mo ang iyong mga karapatan at obligasyon at mabisang mag-navigate sa legal na proseso.</v>
      </c>
      <c r="F386" s="2">
        <f t="shared" si="1"/>
        <v>0</v>
      </c>
      <c r="G386" s="2"/>
      <c r="H386" s="2"/>
      <c r="I386" s="2"/>
      <c r="J386" s="2"/>
      <c r="K386" s="2"/>
      <c r="L386" s="2"/>
      <c r="M386" s="2"/>
      <c r="N386" s="2"/>
      <c r="O386" s="2"/>
      <c r="P386" s="2"/>
      <c r="Q386" s="2"/>
      <c r="R386" s="2"/>
      <c r="S386" s="2"/>
      <c r="T386" s="2"/>
      <c r="U386" s="2"/>
      <c r="V386" s="2"/>
      <c r="W386" s="2"/>
      <c r="X386" s="2"/>
      <c r="Y386" s="2"/>
      <c r="Z386" s="2"/>
      <c r="AA386" s="2"/>
    </row>
    <row r="387">
      <c r="A387" s="1" t="s">
        <v>1224</v>
      </c>
      <c r="B387" s="1" t="s">
        <v>1444</v>
      </c>
      <c r="C387" s="1" t="s">
        <v>1445</v>
      </c>
      <c r="D387" s="1" t="s">
        <v>1446</v>
      </c>
      <c r="E387" s="2" t="str">
        <f>IFERROR(__xludf.DUMMYFUNCTION("GOOGLETRANSLATE(C387, ""en"", ""TL"")"),"Sa Pilipinas, kung saan ang poligamya ay ilegal, ang mga karapatan sa mana para sa mga bata mula sa maraming kasal ay pangunahing tinutukoy ng **marital status** ng mga magulang sa panahon ng paglilihi at pagkakaroon ng isang **valid na testamento**. Nari"&amp;"to ang isang breakdown ng mga pangunahing punto:
**1. Mga Lehitimong Bata kumpara sa Iligal na Bata:**
* **Mga anak na ipinanganak mula sa isang wastong kasal:** Ito ay itinuturing na **mga lehitimong anak** at may ganap na mga karapatan sa mana mula sa p"&amp;"arehong mga magulang, anuman ang bilang ng mga kasal.
* **Mga anak na ipinanganak sa labas ng kasal:** Ang mga ito ay itinuturing na **mga anak sa labas** at ang kanilang mga karapatan sa mana ay naiiba batay sa mga pangyayari:
* **Kinikilala ng parehong "&amp;"mga magulang:** Mayroon silang **pantay na karapatan sa mana** bilang mga lehitimong anak mula sa kinikilalang ari-arian ng magulang.
* **Kinikilala lamang ng isang magulang:** Mayroon silang mga karapatan sa mana **mula lamang sa kinikilalang ari-arian n"&amp;"g magulang**.
* **Hindi kinikilala ng alinmang magulang:** Sa pangkalahatan **ay hindi namamana** mula sa mga ari-arian ng kanilang mga magulang.
**2. Kahalagahan ng isang Testamento:**
* Ang **valid will** ay nagbibigay-daan sa namatay na magulang na **t"&amp;"ahasang tukuyin** kung paano ipamahagi ang kanilang ari-arian sa kanilang mga anak, anuman ang kanilang pagiging lehitimo. Makakatulong ito na matiyak ang isang **patas at balanseng pamamahagi** ayon sa kagustuhan ng magulang.
* Sa kawalan ng isang testam"&amp;"ento, **mga tuntunin sa kawalan ng katabaan** na nakabalangkas sa Civil Code ang magdidikta sa pamamahagi, na maaaring hindi kinakailangang sumasalamin sa mga intensyon ng magulang o makamit ang pantay na resulta para sa lahat ng mga bata.
**3. Mga Legal "&amp;"na Pag-iingat:**
* **Mga kasunduan sa prenuptial:** Ang mga kasunduang ito, na pinasok bago ang kasal, ay maaaring **paunang tukuyin ang pamamahagi** ng ari-arian ng mag-asawa sa kaso ng diborsyo o kamatayan. Makakatulong ito na protektahan ang mga karapa"&amp;"tan ng mga bata mula sa mga nakaraang kasal sa pamamagitan ng pagtiyak ng kanilang mana mula sa hiwalay na ari-arian ng kanilang biyolohikal na magulang.
* **Mga Tiwala:** Ang pagtatatag ng trust ay maaaring isa pang paraan upang **pamahalaan at ipamahagi"&amp;" ang mga asset** ayon sa mga partikular na kagustuhan, na posibleng makinabang sa mga bata mula sa iba't ibang kasal sa isang itinalagang paraan.
**4. Mga Legal na Pagsasaalang-alang:**
* Ang mga partikular na karapatan sa pamana at magagamit na mga legal"&amp;" na pag-iingat ay maaaring maging **kumplikado** sa mga sitwasyong kinasasangkutan ng maraming pag-aasawa, mga anak mula sa iba't ibang relasyon, at mga potensyal na hindi pagkakaunawaan.
* Ang pagkonsulta sa isang kwalipikadong abogado na dalubhasa sa ba"&amp;"tas ng pamilya at pagpaplano ng ari-arian ay **lubos na inirerekomenda** upang maunawaan ang naaangkop na legal na balangkas, mag-navigate sa mga kumplikado, at matiyak na ang mga karapatan ng lahat ng mga bata ay protektado nang patas.
**Tandaan:**
* Ito"&amp;" ay isang pangkalahatang pangkalahatang-ideya, at ang mga partikular na legal na detalye at diskarte ay maaaring mag-iba depende sa indibidwal na mga pangyayari.
* Ang paghingi ng propesyonal na legal na payo ay mahalaga upang ma-navigate ang mga salimuot"&amp;" ng mana sa mga kaso ng maramihang pag-aasawa at matiyak ang isang patas at balanseng resulta para sa lahat ng bata na kasangkot.")</f>
        <v>Sa Pilipinas, kung saan ang poligamya ay ilegal, ang mga karapatan sa mana para sa mga bata mula sa maraming kasal ay pangunahing tinutukoy ng **marital status** ng mga magulang sa panahon ng paglilihi at pagkakaroon ng isang **valid na testamento**. Narito ang isang breakdown ng mga pangunahing punto:
**1. Mga Lehitimong Bata kumpara sa Iligal na Bata:**
* **Mga anak na ipinanganak mula sa isang wastong kasal:** Ito ay itinuturing na **mga lehitimong anak** at may ganap na mga karapatan sa mana mula sa parehong mga magulang, anuman ang bilang ng mga kasal.
* **Mga anak na ipinanganak sa labas ng kasal:** Ang mga ito ay itinuturing na **mga anak sa labas** at ang kanilang mga karapatan sa mana ay naiiba batay sa mga pangyayari:
* **Kinikilala ng parehong mga magulang:** Mayroon silang **pantay na karapatan sa mana** bilang mga lehitimong anak mula sa kinikilalang ari-arian ng magulang.
* **Kinikilala lamang ng isang magulang:** Mayroon silang mga karapatan sa mana **mula lamang sa kinikilalang ari-arian ng magulang**.
* **Hindi kinikilala ng alinmang magulang:** Sa pangkalahatan **ay hindi namamana** mula sa mga ari-arian ng kanilang mga magulang.
**2. Kahalagahan ng isang Testamento:**
* Ang **valid will** ay nagbibigay-daan sa namatay na magulang na **tahasang tukuyin** kung paano ipamahagi ang kanilang ari-arian sa kanilang mga anak, anuman ang kanilang pagiging lehitimo. Makakatulong ito na matiyak ang isang **patas at balanseng pamamahagi** ayon sa kagustuhan ng magulang.
* Sa kawalan ng isang testamento, **mga tuntunin sa kawalan ng katabaan** na nakabalangkas sa Civil Code ang magdidikta sa pamamahagi, na maaaring hindi kinakailangang sumasalamin sa mga intensyon ng magulang o makamit ang pantay na resulta para sa lahat ng mga bata.
**3. Mga Legal na Pag-iingat:**
* **Mga kasunduan sa prenuptial:** Ang mga kasunduang ito, na pinasok bago ang kasal, ay maaaring **paunang tukuyin ang pamamahagi** ng ari-arian ng mag-asawa sa kaso ng diborsyo o kamatayan. Makakatulong ito na protektahan ang mga karapatan ng mga bata mula sa mga nakaraang kasal sa pamamagitan ng pagtiyak ng kanilang mana mula sa hiwalay na ari-arian ng kanilang biyolohikal na magulang.
* **Mga Tiwala:** Ang pagtatatag ng trust ay maaaring isa pang paraan upang **pamahalaan at ipamahagi ang mga asset** ayon sa mga partikular na kagustuhan, na posibleng makinabang sa mga bata mula sa iba't ibang kasal sa isang itinalagang paraan.
**4. Mga Legal na Pagsasaalang-alang:**
* Ang mga partikular na karapatan sa pamana at magagamit na mga legal na pag-iingat ay maaaring maging **kumplikado** sa mga sitwasyong kinasasangkutan ng maraming pag-aasawa, mga anak mula sa iba't ibang relasyon, at mga potensyal na hindi pagkakaunawaan.
* Ang pagkonsulta sa isang kwalipikadong abogado na dalubhasa sa batas ng pamilya at pagpaplano ng ari-arian ay **lubos na inirerekomenda** upang maunawaan ang naaangkop na legal na balangkas, mag-navigate sa mga kumplikado, at matiyak na ang mga karapatan ng lahat ng mga bata ay protektado nang patas.
**Tandaan:**
* Ito ay isang pangkalahatang pangkalahatang-ideya, at ang mga partikular na legal na detalye at diskarte ay maaaring mag-iba depende sa indibidwal na mga pangyayari.
* Ang paghingi ng propesyonal na legal na payo ay mahalaga upang ma-navigate ang mga salimuot ng mana sa mga kaso ng maramihang pag-aasawa at matiyak ang isang patas at balanseng resulta para sa lahat ng bata na kasangkot.</v>
      </c>
      <c r="F387" s="2">
        <f t="shared" si="1"/>
        <v>0</v>
      </c>
      <c r="G387" s="2"/>
      <c r="H387" s="2"/>
      <c r="I387" s="2"/>
      <c r="J387" s="2"/>
      <c r="K387" s="2"/>
      <c r="L387" s="2"/>
      <c r="M387" s="2"/>
      <c r="N387" s="2"/>
      <c r="O387" s="2"/>
      <c r="P387" s="2"/>
      <c r="Q387" s="2"/>
      <c r="R387" s="2"/>
      <c r="S387" s="2"/>
      <c r="T387" s="2"/>
      <c r="U387" s="2"/>
      <c r="V387" s="2"/>
      <c r="W387" s="2"/>
      <c r="X387" s="2"/>
      <c r="Y387" s="2"/>
      <c r="Z387" s="2"/>
      <c r="AA387" s="2"/>
    </row>
    <row r="388">
      <c r="A388" s="1" t="s">
        <v>1224</v>
      </c>
      <c r="B388" s="1" t="s">
        <v>1447</v>
      </c>
      <c r="C388" s="1" t="s">
        <v>1445</v>
      </c>
      <c r="D388" s="1" t="s">
        <v>1448</v>
      </c>
      <c r="E388" s="2" t="str">
        <f>IFERROR(__xludf.DUMMYFUNCTION("GOOGLETRANSLATE(C388, ""en"", ""TL"")"),"Sa Pilipinas, kung saan ang poligamya ay ilegal, ang mga karapatan sa mana para sa mga bata mula sa maraming kasal ay pangunahing tinutukoy ng **marital status** ng mga magulang sa panahon ng paglilihi at pagkakaroon ng isang **valid na testamento**. Nari"&amp;"to ang isang breakdown ng mga pangunahing punto:
**1. Mga Lehitimong Bata kumpara sa Iligal na Bata:**
* **Mga anak na ipinanganak mula sa isang wastong kasal:** Ito ay itinuturing na **mga lehitimong anak** at may ganap na mga karapatan sa mana mula sa p"&amp;"arehong mga magulang, anuman ang bilang ng mga kasal.
* **Mga anak na ipinanganak sa labas ng kasal:** Ang mga ito ay itinuturing na **mga anak sa labas** at ang kanilang mga karapatan sa mana ay naiiba batay sa mga pangyayari:
* **Kinikilala ng parehong "&amp;"mga magulang:** Mayroon silang **pantay na karapatan sa mana** bilang mga lehitimong anak mula sa kinikilalang ari-arian ng magulang.
* **Kinikilala lamang ng isang magulang:** Mayroon silang mga karapatan sa mana **mula lamang sa kinikilalang ari-arian n"&amp;"g magulang**.
* **Hindi kinikilala ng alinmang magulang:** Sa pangkalahatan **ay hindi namamana** mula sa mga ari-arian ng kanilang mga magulang.
**2. Kahalagahan ng isang Testamento:**
* Ang **valid will** ay nagbibigay-daan sa namatay na magulang na **t"&amp;"ahasang tukuyin** kung paano ipamahagi ang kanilang ari-arian sa kanilang mga anak, anuman ang kanilang pagiging lehitimo. Makakatulong ito na matiyak ang isang **patas at balanseng pamamahagi** ayon sa kagustuhan ng magulang.
* Sa kawalan ng isang testam"&amp;"ento, **mga tuntunin sa kawalan ng katabaan** na nakabalangkas sa Civil Code ang magdidikta sa pamamahagi, na maaaring hindi kinakailangang sumasalamin sa mga intensyon ng magulang o makamit ang pantay na resulta para sa lahat ng mga bata.
**3. Mga Legal "&amp;"na Pag-iingat:**
* **Mga kasunduan sa prenuptial:** Ang mga kasunduang ito, na pinasok bago ang kasal, ay maaaring **paunang tukuyin ang pamamahagi** ng ari-arian ng mag-asawa sa kaso ng diborsyo o kamatayan. Makakatulong ito na protektahan ang mga karapa"&amp;"tan ng mga bata mula sa mga nakaraang kasal sa pamamagitan ng pagtiyak ng kanilang mana mula sa hiwalay na ari-arian ng kanilang biyolohikal na magulang.
* **Mga Tiwala:** Ang pagtatatag ng trust ay maaaring isa pang paraan upang **pamahalaan at ipamahagi"&amp;" ang mga asset** ayon sa mga partikular na kagustuhan, na posibleng makinabang sa mga bata mula sa iba't ibang kasal sa isang itinalagang paraan.
**4. Mga Legal na Pagsasaalang-alang:**
* Ang mga partikular na karapatan sa pamana at magagamit na mga legal"&amp;" na pag-iingat ay maaaring maging **kumplikado** sa mga sitwasyong kinasasangkutan ng maraming pag-aasawa, mga anak mula sa iba't ibang relasyon, at mga potensyal na hindi pagkakaunawaan.
* Ang pagkonsulta sa isang kwalipikadong abogado na dalubhasa sa ba"&amp;"tas ng pamilya at pagpaplano ng ari-arian ay **lubos na inirerekomenda** upang maunawaan ang naaangkop na legal na balangkas, mag-navigate sa mga kumplikado, at matiyak na ang mga karapatan ng lahat ng mga bata ay protektado nang patas.
**Tandaan:**
* Ito"&amp;" ay isang pangkalahatang pangkalahatang-ideya, at ang mga partikular na legal na detalye at diskarte ay maaaring mag-iba depende sa indibidwal na mga pangyayari.
* Ang paghingi ng propesyonal na legal na payo ay mahalaga upang ma-navigate ang mga salimuot"&amp;" ng mana sa mga kaso ng maramihang pag-aasawa at matiyak ang isang patas at balanseng resulta para sa lahat ng bata na kasangkot.")</f>
        <v>Sa Pilipinas, kung saan ang poligamya ay ilegal, ang mga karapatan sa mana para sa mga bata mula sa maraming kasal ay pangunahing tinutukoy ng **marital status** ng mga magulang sa panahon ng paglilihi at pagkakaroon ng isang **valid na testamento**. Narito ang isang breakdown ng mga pangunahing punto:
**1. Mga Lehitimong Bata kumpara sa Iligal na Bata:**
* **Mga anak na ipinanganak mula sa isang wastong kasal:** Ito ay itinuturing na **mga lehitimong anak** at may ganap na mga karapatan sa mana mula sa parehong mga magulang, anuman ang bilang ng mga kasal.
* **Mga anak na ipinanganak sa labas ng kasal:** Ang mga ito ay itinuturing na **mga anak sa labas** at ang kanilang mga karapatan sa mana ay naiiba batay sa mga pangyayari:
* **Kinikilala ng parehong mga magulang:** Mayroon silang **pantay na karapatan sa mana** bilang mga lehitimong anak mula sa kinikilalang ari-arian ng magulang.
* **Kinikilala lamang ng isang magulang:** Mayroon silang mga karapatan sa mana **mula lamang sa kinikilalang ari-arian ng magulang**.
* **Hindi kinikilala ng alinmang magulang:** Sa pangkalahatan **ay hindi namamana** mula sa mga ari-arian ng kanilang mga magulang.
**2. Kahalagahan ng isang Testamento:**
* Ang **valid will** ay nagbibigay-daan sa namatay na magulang na **tahasang tukuyin** kung paano ipamahagi ang kanilang ari-arian sa kanilang mga anak, anuman ang kanilang pagiging lehitimo. Makakatulong ito na matiyak ang isang **patas at balanseng pamamahagi** ayon sa kagustuhan ng magulang.
* Sa kawalan ng isang testamento, **mga tuntunin sa kawalan ng katabaan** na nakabalangkas sa Civil Code ang magdidikta sa pamamahagi, na maaaring hindi kinakailangang sumasalamin sa mga intensyon ng magulang o makamit ang pantay na resulta para sa lahat ng mga bata.
**3. Mga Legal na Pag-iingat:**
* **Mga kasunduan sa prenuptial:** Ang mga kasunduang ito, na pinasok bago ang kasal, ay maaaring **paunang tukuyin ang pamamahagi** ng ari-arian ng mag-asawa sa kaso ng diborsyo o kamatayan. Makakatulong ito na protektahan ang mga karapatan ng mga bata mula sa mga nakaraang kasal sa pamamagitan ng pagtiyak ng kanilang mana mula sa hiwalay na ari-arian ng kanilang biyolohikal na magulang.
* **Mga Tiwala:** Ang pagtatatag ng trust ay maaaring isa pang paraan upang **pamahalaan at ipamahagi ang mga asset** ayon sa mga partikular na kagustuhan, na posibleng makinabang sa mga bata mula sa iba't ibang kasal sa isang itinalagang paraan.
**4. Mga Legal na Pagsasaalang-alang:**
* Ang mga partikular na karapatan sa pamana at magagamit na mga legal na pag-iingat ay maaaring maging **kumplikado** sa mga sitwasyong kinasasangkutan ng maraming pag-aasawa, mga anak mula sa iba't ibang relasyon, at mga potensyal na hindi pagkakaunawaan.
* Ang pagkonsulta sa isang kwalipikadong abogado na dalubhasa sa batas ng pamilya at pagpaplano ng ari-arian ay **lubos na inirerekomenda** upang maunawaan ang naaangkop na legal na balangkas, mag-navigate sa mga kumplikado, at matiyak na ang mga karapatan ng lahat ng mga bata ay protektado nang patas.
**Tandaan:**
* Ito ay isang pangkalahatang pangkalahatang-ideya, at ang mga partikular na legal na detalye at diskarte ay maaaring mag-iba depende sa indibidwal na mga pangyayari.
* Ang paghingi ng propesyonal na legal na payo ay mahalaga upang ma-navigate ang mga salimuot ng mana sa mga kaso ng maramihang pag-aasawa at matiyak ang isang patas at balanseng resulta para sa lahat ng bata na kasangkot.</v>
      </c>
      <c r="F388" s="2">
        <f t="shared" si="1"/>
        <v>0</v>
      </c>
      <c r="G388" s="2"/>
      <c r="H388" s="2"/>
      <c r="I388" s="2"/>
      <c r="J388" s="2"/>
      <c r="K388" s="2"/>
      <c r="L388" s="2"/>
      <c r="M388" s="2"/>
      <c r="N388" s="2"/>
      <c r="O388" s="2"/>
      <c r="P388" s="2"/>
      <c r="Q388" s="2"/>
      <c r="R388" s="2"/>
      <c r="S388" s="2"/>
      <c r="T388" s="2"/>
      <c r="U388" s="2"/>
      <c r="V388" s="2"/>
      <c r="W388" s="2"/>
      <c r="X388" s="2"/>
      <c r="Y388" s="2"/>
      <c r="Z388" s="2"/>
      <c r="AA388" s="2"/>
    </row>
    <row r="389">
      <c r="A389" s="1" t="s">
        <v>1224</v>
      </c>
      <c r="B389" s="1" t="s">
        <v>1449</v>
      </c>
      <c r="C389" s="1" t="s">
        <v>1450</v>
      </c>
      <c r="D389" s="1" t="s">
        <v>1451</v>
      </c>
      <c r="E389" s="2" t="str">
        <f>IFERROR(__xludf.DUMMYFUNCTION("GOOGLETRANSLATE(C389, ""en"", ""TL"")"),"Ang pagmamana ng ari-arian na may makabuluhang historikal o kultural na halaga sa Pilipinas ay nagpapakita ng mga natatanging legal na pagsasaalang-alang na lampas sa karaniwang pamamaraan ng pamana. Narito ang isang pangkalahatang-ideya ng mga nauugnay n"&amp;"a aspeto na dapat tandaan:
**Proteksyon ng Cultural Heritage:**
* **Republic Act No. 10066 (National Cultural Heritage Act of 2009):** Pinoprotektahan ng batas na ito ang mahahalagang ari-arian ng kultura, kabilang ang mga makasaysayang palatandaan, bahay"&amp;" ninuno, at artifact. Nagtatatag ito ng isang balangkas ng regulasyon para sa kanilang pagkakakilanlan, pagpaparehistro, konserbasyon, at promosyon.
* **Mga Paghihigpit sa Pagmamay-ari at Paglipat:** Ang mga ari-arian na idineklara bilang mga kayamanan ng"&amp;" kultura o pambansang pamana ng kultura ay maaaring may mga limitasyon sa pagmamay-ari at paglipat. Maaaring kailanganin ng mga tagapagmana ang pag-apruba mula sa mga may-katuturang awtoridad bago gumawa ng anumang makabuluhang pagbabago o pagtatapon ng a"&amp;"ri-arian.
**Inheritance at Estate Planning:**
* **Will at Deed of Donation:** Maaaring tukuyin ng isang well-crafted will o deed of donation ang mga intensyon ng tagapagmana para sa minanang ari-arian, na tinitiyak ang pangangalaga nito at responsableng p"&amp;"amamahala habang sumusunod sa mga legal na kinakailangan.
* **Mga Paghihigpit sa Dibisyon:** Depende sa kultural na kahalagahan ng ari-arian, maaaring may mga legal na paghihigpit sa paghahati nito sa mga tagapagmana. Maaaring unahin ng batas ang pagpapan"&amp;"atiling buo ng ari-arian upang mapanatili ang makasaysayang o kultural na halaga nito.
**Mga Implikasyon sa Buwis:**
* **Mga Exemption at Insentibo sa Buwis:** Maaaring mag-alok ang pamahalaan ng mga tax exemption o insentibo para sa mga tagapagmana na na"&amp;"gpapanatili at nag-iingat ng mga ari-arian na may kahalagahang pangkultura. Ang pagkonsulta sa isang propesyonal sa buwis ay maaaring makatulong sa pag-navigate sa mga benepisyong ito.
**Mga Karagdagang Pagsasaalang-alang:**
* **Konsultasyon sa Mga Eksper"&amp;"to:** Ang pagsasama ng mga eksperto mula sa National Commission for Culture and the Arts (NCCA) o mga organisasyon sa pangangalaga ng pamana ay maaaring magbigay ng mahalagang gabay sa pamamahala at pangangalaga sa minanang ari-arian.
* **Paglahok ng Komu"&amp;"nidad:** Ang pakikipag-ugnayan sa mga lokal na komunidad at mga stakeholder ay maaaring magsulong ng pag-unawa at suporta para sa pagpapanatili ng kultural na halaga ng ari-arian.
**Tandaan, ito ay isang pangkalahatang pangkalahatang-ideya, at ang mga par"&amp;"tikular na legal na pagsasaalang-alang ay nakasalalay sa mga natatanging katangian ng minanang ari-arian at ang kultural na kahalagahan nito.** Lubos na inirerekomendang kumunsulta sa isang abogado na dalubhasa sa batas ng kultural na pamana at pagpaplano"&amp;" ng ari-arian upang matiyak sumusunod ka sa lahat ng legal na kinakailangan at epektibong nag-navigate sa proseso ng mana habang pinapanatili ang makasaysayang at kultural na halaga ng ari-arian.")</f>
        <v>Ang pagmamana ng ari-arian na may makabuluhang historikal o kultural na halaga sa Pilipinas ay nagpapakita ng mga natatanging legal na pagsasaalang-alang na lampas sa karaniwang pamamaraan ng pamana. Narito ang isang pangkalahatang-ideya ng mga nauugnay na aspeto na dapat tandaan:
**Proteksyon ng Cultural Heritage:**
* **Republic Act No. 10066 (National Cultural Heritage Act of 2009):** Pinoprotektahan ng batas na ito ang mahahalagang ari-arian ng kultura, kabilang ang mga makasaysayang palatandaan, bahay ninuno, at artifact. Nagtatatag ito ng isang balangkas ng regulasyon para sa kanilang pagkakakilanlan, pagpaparehistro, konserbasyon, at promosyon.
* **Mga Paghihigpit sa Pagmamay-ari at Paglipat:** Ang mga ari-arian na idineklara bilang mga kayamanan ng kultura o pambansang pamana ng kultura ay maaaring may mga limitasyon sa pagmamay-ari at paglipat. Maaaring kailanganin ng mga tagapagmana ang pag-apruba mula sa mga may-katuturang awtoridad bago gumawa ng anumang makabuluhang pagbabago o pagtatapon ng ari-arian.
**Inheritance at Estate Planning:**
* **Will at Deed of Donation:** Maaaring tukuyin ng isang well-crafted will o deed of donation ang mga intensyon ng tagapagmana para sa minanang ari-arian, na tinitiyak ang pangangalaga nito at responsableng pamamahala habang sumusunod sa mga legal na kinakailangan.
* **Mga Paghihigpit sa Dibisyon:** Depende sa kultural na kahalagahan ng ari-arian, maaaring may mga legal na paghihigpit sa paghahati nito sa mga tagapagmana. Maaaring unahin ng batas ang pagpapanatiling buo ng ari-arian upang mapanatili ang makasaysayang o kultural na halaga nito.
**Mga Implikasyon sa Buwis:**
* **Mga Exemption at Insentibo sa Buwis:** Maaaring mag-alok ang pamahalaan ng mga tax exemption o insentibo para sa mga tagapagmana na nagpapanatili at nag-iingat ng mga ari-arian na may kahalagahang pangkultura. Ang pagkonsulta sa isang propesyonal sa buwis ay maaaring makatulong sa pag-navigate sa mga benepisyong ito.
**Mga Karagdagang Pagsasaalang-alang:**
* **Konsultasyon sa Mga Eksperto:** Ang pagsasama ng mga eksperto mula sa National Commission for Culture and the Arts (NCCA) o mga organisasyon sa pangangalaga ng pamana ay maaaring magbigay ng mahalagang gabay sa pamamahala at pangangalaga sa minanang ari-arian.
* **Paglahok ng Komunidad:** Ang pakikipag-ugnayan sa mga lokal na komunidad at mga stakeholder ay maaaring magsulong ng pag-unawa at suporta para sa pagpapanatili ng kultural na halaga ng ari-arian.
**Tandaan, ito ay isang pangkalahatang pangkalahatang-ideya, at ang mga partikular na legal na pagsasaalang-alang ay nakasalalay sa mga natatanging katangian ng minanang ari-arian at ang kultural na kahalagahan nito.** Lubos na inirerekomendang kumunsulta sa isang abogado na dalubhasa sa batas ng kultural na pamana at pagpaplano ng ari-arian upang matiyak sumusunod ka sa lahat ng legal na kinakailangan at epektibong nag-navigate sa proseso ng mana habang pinapanatili ang makasaysayang at kultural na halaga ng ari-arian.</v>
      </c>
      <c r="F389" s="2">
        <f t="shared" si="1"/>
        <v>0</v>
      </c>
      <c r="G389" s="2"/>
      <c r="H389" s="2"/>
      <c r="I389" s="2"/>
      <c r="J389" s="2"/>
      <c r="K389" s="2"/>
      <c r="L389" s="2"/>
      <c r="M389" s="2"/>
      <c r="N389" s="2"/>
      <c r="O389" s="2"/>
      <c r="P389" s="2"/>
      <c r="Q389" s="2"/>
      <c r="R389" s="2"/>
      <c r="S389" s="2"/>
      <c r="T389" s="2"/>
      <c r="U389" s="2"/>
      <c r="V389" s="2"/>
      <c r="W389" s="2"/>
      <c r="X389" s="2"/>
      <c r="Y389" s="2"/>
      <c r="Z389" s="2"/>
      <c r="AA389" s="2"/>
    </row>
    <row r="390">
      <c r="A390" s="1" t="s">
        <v>1224</v>
      </c>
      <c r="B390" s="1" t="s">
        <v>1452</v>
      </c>
      <c r="C390" s="1" t="s">
        <v>1453</v>
      </c>
      <c r="D390" s="1" t="s">
        <v>1454</v>
      </c>
      <c r="E390" s="2" t="str">
        <f>IFERROR(__xludf.DUMMYFUNCTION("GOOGLETRANSLATE(C390, ""en"", ""TL"")"),"Ang digital na dokumentasyon ay gumaganap ng mas makabuluhang papel sa proseso ng mana, na nag-aalok ng parehong mga pagkakataon at hamon para sa mga tagapagmana sa pag-access at pamamahala ng mga online na talaan na may kaugnayan sa minanang ari-arian sa"&amp;" Pilipinas.
**Mga Benepisyo ng Digital Documentation:**
* **Pinahusay na Accessibility:** Maaaring ma-access ng mga tagapagmana ang mga dokumentong nauugnay sa ari-arian tulad ng mga titulo, gawa, at mga talaan ng buwis nang maginhawa mula sa kahit "&amp;"saan na may koneksyon sa internet, na binabawasan ang pag-asa sa mga pisikal na kopya at potensyal na panganib ng pagkawala o pinsala.
* **Pinahusay na Transparency:** Ang mga online na platform ay maaaring magbigay ng sentralisadong pag-access sa imporm"&amp;"asyon ng ari-arian, pagpapatibay ng transparency at pagpapadali ng komunikasyon sa mga tagapagmana at may-katuturang awtoridad.
* **Mga Naka-streamline na Proseso:** Maaaring mapabilis ng digital na dokumentasyon ang ilang partikular na aspeto ng proseso"&amp;" ng mana, tulad ng pag-verify ng pagmamay-ari at pagsusumite ng mga dokumento sa mga ahensya ng gobyerno.
**Mga Hamon at Pagsasaalang-alang:**
* **Digital Literacy:** Hindi lahat ng tagapagmana ay maaaring nagtataglay ng kinakailangang mga kasanayan"&amp;" sa digital literacy upang mag-navigate sa mga online na platform at ma-access ang nauugnay na impormasyon.
* **Mga Alalahanin sa Seguridad:** Ang pagtiyak sa secure na imbakan at pag-access ng sensitibong impormasyon ng ari-arian online ay nangangailang"&amp;"an ng maingat na pagsasaalang-alang sa mga hakbang sa cybersecurity upang maiwasan ang hindi awtorisadong pag-access o mga paglabag sa data.
* **Legal na Pagkilala:** Bagama't lalong tinatanggap ang mga digital na dokumento, maaaring mag-iba ang legal na"&amp;" validity at pagpapatupad ng mga ito depende sa partikular na konteksto at pagsunod sa mga nauugnay na regulasyon.
**Pag-access at Pamamahala ng Mga Online na Tala:**
* **Mga Online na Platform ng Gobyerno:** Nag-aalok ang gobyerno ng Pilipinas ng i"&amp;"ba't ibang online na platform para sa pag-access ng impormasyon ng ari-arian, tulad ng mga online na serbisyo ng Land Registration Authority (LRA) at ang online filing system ng Bureau of Internal Revenue (BIR).
* **Mga Institusyon sa Pinansyal:** Maaari"&amp;"ng kailanganin ng mga tagapagmana na i-access ang mga online na account ng namatay na naka-link sa ari-arian, tulad ng mga bank account na may hawak na mga pondo sa pamumuhunan o mga online na portal para sa mga utility bill.
* **Mga Dokumento sa Pagpapl"&amp;"ano ng Estate:** Kung gumamit ang namatay ng mga online na tool para sa pagpaplano ng ari-arian, tulad ng mga digital will o online na platform ng pamamahala ng asset, kakailanganin ng mga tagapagmana na sundin ang mga partikular na pamamaraan upang ma-ac"&amp;"cess at pamahalaan ang mga account na ito.
**Mga Rekomendasyon:**
* **Kumonsulta sa isang Abogado:** Humingi ng patnubay mula sa isang abogadong dalubhasa sa inheritance at estate planning upang maunawaan ang mga legal na implikasyon ng digital na d"&amp;"okumentasyon at mag-navigate sa pag-access sa mga online na talaan na nauugnay sa minanang ari-arian.
* **Secure Digital Assets:** Magpatupad ng naaangkop na mga hakbang sa cybersecurity upang mapangalagaan ang sensitibong impormasyong nakaimbak online, "&amp;"gaya ng paggamit ng malalakas na password at pagpapagana ng two-factor authentication.
* **Panatilihin ang Mga Pisikal na Kopya:** Bagama't maginhawa ang digital na pag-access, ipinapayong panatilihin ang mga pisikal na kopya ng mga kritikal na dokumento"&amp;" para sa mga layunin ng pag-backup at mga potensyal na sitwasyon kung saan maaaring hindi available ang digital na pag-access.
**Tandaan, ang legal na tanawin na nakapalibot sa digital na dokumentasyon sa mana ay umuunlad, at mahalagang manatiling may "&amp;"kaalaman at humingi ng propesyonal na patnubay upang matiyak ang wastong pamamahala at secure na access sa mga online na talaan na nauugnay sa minanang ari-arian.**")</f>
        <v>Ang digital na dokumentasyon ay gumaganap ng mas makabuluhang papel sa proseso ng mana, na nag-aalok ng parehong mga pagkakataon at hamon para sa mga tagapagmana sa pag-access at pamamahala ng mga online na talaan na may kaugnayan sa minanang ari-arian sa Pilipinas.
**Mga Benepisyo ng Digital Documentation:**
* **Pinahusay na Accessibility:** Maaaring ma-access ng mga tagapagmana ang mga dokumentong nauugnay sa ari-arian tulad ng mga titulo, gawa, at mga talaan ng buwis nang maginhawa mula sa kahit saan na may koneksyon sa internet, na binabawasan ang pag-asa sa mga pisikal na kopya at potensyal na panganib ng pagkawala o pinsala.
* **Pinahusay na Transparency:** Ang mga online na platform ay maaaring magbigay ng sentralisadong pag-access sa impormasyon ng ari-arian, pagpapatibay ng transparency at pagpapadali ng komunikasyon sa mga tagapagmana at may-katuturang awtoridad.
* **Mga Naka-streamline na Proseso:** Maaaring mapabilis ng digital na dokumentasyon ang ilang partikular na aspeto ng proseso ng mana, tulad ng pag-verify ng pagmamay-ari at pagsusumite ng mga dokumento sa mga ahensya ng gobyerno.
**Mga Hamon at Pagsasaalang-alang:**
* **Digital Literacy:** Hindi lahat ng tagapagmana ay maaaring nagtataglay ng kinakailangang mga kasanayan sa digital literacy upang mag-navigate sa mga online na platform at ma-access ang nauugnay na impormasyon.
* **Mga Alalahanin sa Seguridad:** Ang pagtiyak sa secure na imbakan at pag-access ng sensitibong impormasyon ng ari-arian online ay nangangailangan ng maingat na pagsasaalang-alang sa mga hakbang sa cybersecurity upang maiwasan ang hindi awtorisadong pag-access o mga paglabag sa data.
* **Legal na Pagkilala:** Bagama't lalong tinatanggap ang mga digital na dokumento, maaaring mag-iba ang legal na validity at pagpapatupad ng mga ito depende sa partikular na konteksto at pagsunod sa mga nauugnay na regulasyon.
**Pag-access at Pamamahala ng Mga Online na Tala:**
* **Mga Online na Platform ng Gobyerno:** Nag-aalok ang gobyerno ng Pilipinas ng iba't ibang online na platform para sa pag-access ng impormasyon ng ari-arian, tulad ng mga online na serbisyo ng Land Registration Authority (LRA) at ang online filing system ng Bureau of Internal Revenue (BIR).
* **Mga Institusyon sa Pinansyal:** Maaaring kailanganin ng mga tagapagmana na i-access ang mga online na account ng namatay na naka-link sa ari-arian, tulad ng mga bank account na may hawak na mga pondo sa pamumuhunan o mga online na portal para sa mga utility bill.
* **Mga Dokumento sa Pagpaplano ng Estate:** Kung gumamit ang namatay ng mga online na tool para sa pagpaplano ng ari-arian, tulad ng mga digital will o online na platform ng pamamahala ng asset, kakailanganin ng mga tagapagmana na sundin ang mga partikular na pamamaraan upang ma-access at pamahalaan ang mga account na ito.
**Mga Rekomendasyon:**
* **Kumonsulta sa isang Abogado:** Humingi ng patnubay mula sa isang abogadong dalubhasa sa inheritance at estate planning upang maunawaan ang mga legal na implikasyon ng digital na dokumentasyon at mag-navigate sa pag-access sa mga online na talaan na nauugnay sa minanang ari-arian.
* **Secure Digital Assets:** Magpatupad ng naaangkop na mga hakbang sa cybersecurity upang mapangalagaan ang sensitibong impormasyong nakaimbak online, gaya ng paggamit ng malalakas na password at pagpapagana ng two-factor authentication.
* **Panatilihin ang Mga Pisikal na Kopya:** Bagama't maginhawa ang digital na pag-access, ipinapayong panatilihin ang mga pisikal na kopya ng mga kritikal na dokumento para sa mga layunin ng pag-backup at mga potensyal na sitwasyon kung saan maaaring hindi available ang digital na pag-access.
**Tandaan, ang legal na tanawin na nakapalibot sa digital na dokumentasyon sa mana ay umuunlad, at mahalagang manatiling may kaalaman at humingi ng propesyonal na patnubay upang matiyak ang wastong pamamahala at secure na access sa mga online na talaan na nauugnay sa minanang ari-arian.**</v>
      </c>
      <c r="F390" s="2">
        <f t="shared" si="1"/>
        <v>0</v>
      </c>
      <c r="G390" s="2"/>
      <c r="H390" s="2"/>
      <c r="I390" s="2"/>
      <c r="J390" s="2"/>
      <c r="K390" s="2"/>
      <c r="L390" s="2"/>
      <c r="M390" s="2"/>
      <c r="N390" s="2"/>
      <c r="O390" s="2"/>
      <c r="P390" s="2"/>
      <c r="Q390" s="2"/>
      <c r="R390" s="2"/>
      <c r="S390" s="2"/>
      <c r="T390" s="2"/>
      <c r="U390" s="2"/>
      <c r="V390" s="2"/>
      <c r="W390" s="2"/>
      <c r="X390" s="2"/>
      <c r="Y390" s="2"/>
      <c r="Z390" s="2"/>
      <c r="AA390" s="2"/>
    </row>
    <row r="391">
      <c r="A391" s="1" t="s">
        <v>1224</v>
      </c>
      <c r="B391" s="1" t="s">
        <v>1455</v>
      </c>
      <c r="C391" s="1" t="s">
        <v>1456</v>
      </c>
      <c r="D391" s="1" t="s">
        <v>1457</v>
      </c>
      <c r="E391" s="2" t="str">
        <f>IFERROR(__xludf.DUMMYFUNCTION("GOOGLETRANSLATE(C391, ""en"", ""TL"")"),"Sa Pilipinas, ang paghawak ng mga mortgage at iba pang mga utang na sinigurado ng minanang ari-arian sa panahon ng probate at ang mga legal na opsyon na magagamit ng mga tagapagmana ay pinamamahalaan ng mga partikular na probisyon sa loob ng **Mga Panuntu"&amp;"nan ng Hukuman** at nauugnay na hurisprudensya. Narito ang isang breakdown:
**Paggamot sa mga Secured na Utang:**
* **Mga secure na utang:** Ito ay mga pananagutan na kalakip sa minanang ari-arian, gaya ng mga mortgage, home equity loan, o lien. Hindi tul"&amp;"ad ng mga hindi secure na utang (hal., utang sa credit card), direktang nakatali ang mga ito sa partikular na asset.
* **Priyoridad sa Pagbabayad:** Sa panahon ng probate, ang mga secure na utang sa pangkalahatan ay may priyoridad kaysa sa mga hindi secur"&amp;"e na utang pagdating sa pagbabayad mula sa mga ari-arian ng ari-arian. Nangangahulugan ito na dapat subukan ng ari-arian na bayaran ang secured na utang bago ipamahagi ang natitirang mga pondo sa mga benepisyaryo.
**Mga Pagpipilian para sa Mga Tagapagmana"&amp;":**
1. **Ipagpalagay ang Utang at Panatilihin ang Ari-arian:** Maaaring piliin ng mga tagapagmana na tanggapin ang pagmamay-ari ng ari-arian at maging responsable sa pagtupad sa mga natitirang bayad sa mortgage o iba pang mga secured na utang. Nangangaila"&amp;"ngan ito ng maingat na pagsasaalang-alang sa kanilang kapasidad sa pananalapi at mga potensyal na panganib na kasangkot.
2. **Ibenta ang Ari-arian para Mabayaran ang Utang:** Ang mga tagapagmana ay maaaring magpasyang ibenta ang minanang ari-arian sa pama"&amp;"magitan ng pag-apruba ng korte ng probate o pribadong pagbebenta upang makabuo ng mga pondo para sa pag-aayos ng siniguradong utang. Anumang natitirang mga nalikom pagkatapos ng pag-aayos ng utang ay ipapamahagi alinsunod sa mga tuntunin sa paghalili ng k"&amp;"alooban o intestate.
3. **Abandonahin ang Ari-arian at Hayaang I-foreclose ang Pinagkakautangan:** Kung ang halaga ng ari-arian ay hindi sapat upang mabayaran ang siniguradong utang, o ang mga tagapagmana ay hindi kaya o ayaw na tanggapin ang responsibili"&amp;"dad, maaari nilang piliing talikuran ang pagmamay-ari at payagan ang pinagkakautangan na humawak ng secured debt (hal., bangko) para magpatuloy sa mga paglilitis sa foreclosure.
4. **Makipag-usap sa Pinagkakautangan:** Maaaring subukan ng mga tagapagmana "&amp;"na makipag-ayos sa pinagkakautangan para sa isang binagong plano sa pagbabayad, na posibleng kinasasangkutan ng pagpapalawig ng termino ng pautang, pagpapababa ng mga rate ng interes, o paggalugad ng isang maikling opsyon sa pagbebenta.
**Mga Kaugnay na L"&amp;"egal na Probisyon:**
* **Tuntunin 69, Mga Tuntunin ng Hukuman:** Nakikitungo sa mga pagkilos ng partition, na maaaring kailanganin kung hindi sumasang-ayon ang mga tagapagmana sa kung paano pangasiwaan ang siniguradong utang at minanang ari-arian.
* **Rul"&amp;"e 74, Rules of Court:** Nagbibigay para sa extrajudicial settlement ng mga ari-arian, na maaaring gamitin kung lahat ng tagapagmana ay sumang-ayon sa pagbebenta ng ari-arian upang bayaran ang utang.
**Mga Karagdagang Pagsasaalang-alang:**
* **Panagutan ng"&amp;" Tagapagmana:** Sa pangkalahatan, ang mga tagapagmana ay hindi personal na mananagot para sa mga utang ng namatay na higit sa halaga ng minanang mga ari-arian. Gayunpaman, ang mga pagbubukod ay maaaring umiral sa mga partikular na sitwasyon, tulad ng pag-"&amp;"co-sign ng mga pautang kasama ang namatay.
* **Mga Implikasyon sa Buwis:** Ang pagbebenta ng minanang ari-arian ay maaaring mag-trigger ng buwis sa capital gains para sa mga tagapagmana, na makakaapekto sa mga huling kita na magagamit para sa pagbabayad n"&amp;"g utang.
* **Naghahanap ng Legal na Patnubay:** Ang pagkonsulta sa isang abogado na dalubhasa sa probate at estate law ay mahalaga para sa pag-navigate sa mga kumplikado ng paghawak ng mga secured na utang sa panahon ng mana, pag-unawa sa mga legal na ops"&amp;"yon, at pagprotekta sa mga karapatan ng mga tagapagmana.
Tandaan, ito ay isang pangkalahatang pangkalahatang-ideya, at ang partikular na diskarte sa paghawak ng mga secured na utang at minanang ari-arian ay depende sa mga indibidwal na kalagayan ng bawat "&amp;"kaso. Ang pagkonsulta sa isang kwalipikadong legal na propesyonal ay lubos na inirerekomenda upang matiyak ang matalinong paggawa ng desisyon at epektibong pamamahala ng mga obligasyong ito sa panahon ng proseso ng probate.")</f>
        <v>Sa Pilipinas, ang paghawak ng mga mortgage at iba pang mga utang na sinigurado ng minanang ari-arian sa panahon ng probate at ang mga legal na opsyon na magagamit ng mga tagapagmana ay pinamamahalaan ng mga partikular na probisyon sa loob ng **Mga Panuntunan ng Hukuman** at nauugnay na hurisprudensya. Narito ang isang breakdown:
**Paggamot sa mga Secured na Utang:**
* **Mga secure na utang:** Ito ay mga pananagutan na kalakip sa minanang ari-arian, gaya ng mga mortgage, home equity loan, o lien. Hindi tulad ng mga hindi secure na utang (hal., utang sa credit card), direktang nakatali ang mga ito sa partikular na asset.
* **Priyoridad sa Pagbabayad:** Sa panahon ng probate, ang mga secure na utang sa pangkalahatan ay may priyoridad kaysa sa mga hindi secure na utang pagdating sa pagbabayad mula sa mga ari-arian ng ari-arian. Nangangahulugan ito na dapat subukan ng ari-arian na bayaran ang secured na utang bago ipamahagi ang natitirang mga pondo sa mga benepisyaryo.
**Mga Pagpipilian para sa Mga Tagapagmana:**
1. **Ipagpalagay ang Utang at Panatilihin ang Ari-arian:** Maaaring piliin ng mga tagapagmana na tanggapin ang pagmamay-ari ng ari-arian at maging responsable sa pagtupad sa mga natitirang bayad sa mortgage o iba pang mga secured na utang. Nangangailangan ito ng maingat na pagsasaalang-alang sa kanilang kapasidad sa pananalapi at mga potensyal na panganib na kasangkot.
2. **Ibenta ang Ari-arian para Mabayaran ang Utang:** Ang mga tagapagmana ay maaaring magpasyang ibenta ang minanang ari-arian sa pamamagitan ng pag-apruba ng korte ng probate o pribadong pagbebenta upang makabuo ng mga pondo para sa pag-aayos ng siniguradong utang. Anumang natitirang mga nalikom pagkatapos ng pag-aayos ng utang ay ipapamahagi alinsunod sa mga tuntunin sa paghalili ng kalooban o intestate.
3. **Abandonahin ang Ari-arian at Hayaang I-foreclose ang Pinagkakautangan:** Kung ang halaga ng ari-arian ay hindi sapat upang mabayaran ang siniguradong utang, o ang mga tagapagmana ay hindi kaya o ayaw na tanggapin ang responsibilidad, maaari nilang piliing talikuran ang pagmamay-ari at payagan ang pinagkakautangan na humawak ng secured debt (hal., bangko) para magpatuloy sa mga paglilitis sa foreclosure.
4. **Makipag-usap sa Pinagkakautangan:** Maaaring subukan ng mga tagapagmana na makipag-ayos sa pinagkakautangan para sa isang binagong plano sa pagbabayad, na posibleng kinasasangkutan ng pagpapalawig ng termino ng pautang, pagpapababa ng mga rate ng interes, o paggalugad ng isang maikling opsyon sa pagbebenta.
**Mga Kaugnay na Legal na Probisyon:**
* **Tuntunin 69, Mga Tuntunin ng Hukuman:** Nakikitungo sa mga pagkilos ng partition, na maaaring kailanganin kung hindi sumasang-ayon ang mga tagapagmana sa kung paano pangasiwaan ang siniguradong utang at minanang ari-arian.
* **Rule 74, Rules of Court:** Nagbibigay para sa extrajudicial settlement ng mga ari-arian, na maaaring gamitin kung lahat ng tagapagmana ay sumang-ayon sa pagbebenta ng ari-arian upang bayaran ang utang.
**Mga Karagdagang Pagsasaalang-alang:**
* **Panagutan ng Tagapagmana:** Sa pangkalahatan, ang mga tagapagmana ay hindi personal na mananagot para sa mga utang ng namatay na higit sa halaga ng minanang mga ari-arian. Gayunpaman, ang mga pagbubukod ay maaaring umiral sa mga partikular na sitwasyon, tulad ng pag-co-sign ng mga pautang kasama ang namatay.
* **Mga Implikasyon sa Buwis:** Ang pagbebenta ng minanang ari-arian ay maaaring mag-trigger ng buwis sa capital gains para sa mga tagapagmana, na makakaapekto sa mga huling kita na magagamit para sa pagbabayad ng utang.
* **Naghahanap ng Legal na Patnubay:** Ang pagkonsulta sa isang abogado na dalubhasa sa probate at estate law ay mahalaga para sa pag-navigate sa mga kumplikado ng paghawak ng mga secured na utang sa panahon ng mana, pag-unawa sa mga legal na opsyon, at pagprotekta sa mga karapatan ng mga tagapagmana.
Tandaan, ito ay isang pangkalahatang pangkalahatang-ideya, at ang partikular na diskarte sa paghawak ng mga secured na utang at minanang ari-arian ay depende sa mga indibidwal na kalagayan ng bawat kaso. Ang pagkonsulta sa isang kwalipikadong legal na propesyonal ay lubos na inirerekomenda upang matiyak ang matalinong paggawa ng desisyon at epektibong pamamahala ng mga obligasyong ito sa panahon ng proseso ng probate.</v>
      </c>
      <c r="F391" s="2">
        <f t="shared" si="1"/>
        <v>0</v>
      </c>
      <c r="G391" s="2"/>
      <c r="H391" s="2"/>
      <c r="I391" s="2"/>
      <c r="J391" s="2"/>
      <c r="K391" s="2"/>
      <c r="L391" s="2"/>
      <c r="M391" s="2"/>
      <c r="N391" s="2"/>
      <c r="O391" s="2"/>
      <c r="P391" s="2"/>
      <c r="Q391" s="2"/>
      <c r="R391" s="2"/>
      <c r="S391" s="2"/>
      <c r="T391" s="2"/>
      <c r="U391" s="2"/>
      <c r="V391" s="2"/>
      <c r="W391" s="2"/>
      <c r="X391" s="2"/>
      <c r="Y391" s="2"/>
      <c r="Z391" s="2"/>
      <c r="AA391" s="2"/>
    </row>
    <row r="392">
      <c r="A392" s="1" t="s">
        <v>1224</v>
      </c>
      <c r="B392" s="1" t="s">
        <v>1458</v>
      </c>
      <c r="C392" s="1" t="s">
        <v>1459</v>
      </c>
      <c r="D392" s="1" t="s">
        <v>1460</v>
      </c>
      <c r="E392" s="2" t="str">
        <f>IFERROR(__xludf.DUMMYFUNCTION("GOOGLETRANSLATE(C392, ""en"", ""TL"")"),"Sa Pilipinas, ang mga indibidwal ay may ilang legal na mekanismong magagamit upang ibigay ang kanilang ari-arian sa mga organisasyong pangkawanggawa bilang bahagi ng kanilang pagpaplano ng ari-arian:
**1. Testamentary Donations:**
* **Will:** Ito an"&amp;"g pinakakaraniwang paraan. Maaaring tukuyin ng mga indibidwal ang kanilang intensyon na mag-abuloy ng ari-arian sa isang kwalipikadong organisasyon ng kawanggawa sa kanilang kalooban. Ang testamento ay dapat na maayos na nabalangkas, nasaksihan, at pinirm"&amp;"ahan upang maging legal na wasto.
* **Codicil:** Kung ang isang umiiral na testamento ay walang kasamang donasyon para sa kawanggawa, maaaring magdagdag ng codicil upang baguhin ang testamento at isama ang sugnay ng donasyon.
**2. Mga Donasyon ng Inte"&amp;"r vivos:**
* **Deed of Donation:** Ang dokumentong ito ay pormal na naglilipat ng pagmamay-ari ng ari-arian sa charitable organization habang nabubuhay ang donor. Ang kasulatan ay dapat na notarized at nakarehistro sa naaangkop na ahensya ng gobyerno.
"&amp;"
* **Stock Donation:** Ang mga indibidwal ay maaaring mag-donate ng mga pampublikong ipinagkalakal na securities nang direkta sa isang kwalipikadong charity, na nag-aalok ng mga benepisyo sa buwis.
**3. Life Estate na may Charitable Remainder:**
* A"&amp;"ng kumplikadong pagsasaayos na ito ay nagbibigay-daan sa donor na panatilihin ang karapatang gamitin o sakupin ang ari-arian sa panahon ng kanilang buhay, na ang pagmamay-ari ay awtomatikong inililipat sa kawanggawa sa kanilang kamatayan. Nag-aalok ang op"&amp;"syong ito ng mga potensyal na benepisyo sa buwis.
**Mga Kaugnay na Batas at Regulasyon:**
* **Republic Act No. 9160 (Tax Code of the Philippines):** Nagbibigay ng mga tax exemption at mga bawas para sa mga donasyong pangkawanggawa, na nagbibigay ng "&amp;"insentibo sa mga naturang kontribusyon.
* **Kodigo sa Regulasyon ng Securities:** Namamahala sa proseso ng pag-donate ng mga securities na ipinagkalakal sa publiko.
**Mga Karagdagang Pagsasaalang-alang:**
* **Qualifying Charities:** Tiyaking ang na"&amp;"piling organisasyon ay nakarehistro sa Securities and Exchange Commission (SEC) at may valid na Donor's Information Sheet (DIS) na inisyu ng Bureau of Internal Revenue (BIR) upang maging kwalipikado para sa mga benepisyo sa buwis.
* **Clarity and Specifi"&amp;"city:** Malinaw na tukuyin ang donasyong ari-arian at ang nilalayong tatanggap sa mga legal na dokumento upang maiwasan ang mga potensyal na hindi pagkakaunawaan.
* **Naghahanap ng Propesyonal na Patnubay:** Ang pagkonsulta sa isang abogado na dalubhasa "&amp;"sa pagpaplano ng ari-arian at batas sa buwis ay lubos na inirerekomenda upang matiyak na ang piniling paraan ay sumusunod sa mga legal na kinakailangan, mapakinabangan ang mga potensyal na benepisyo sa buwis, at umaayon sa pangkalahatang layunin sa pagpap"&amp;"lano ng ari-arian ng donor.
Tandaan, ito ay isang pangkalahatang pangkalahatang-ideya, at ang mga partikular na legal na mekanismo at pagsasaalang-alang ay maaaring mag-iba depende sa uri ng ari-arian, ang napiling organisasyon ng kawanggawa, at ang mg"&amp;"a indibidwal na kalagayan ng donor. Ang pagkonsulta sa isang kwalipikadong legal na propesyonal ay mahalaga para sa pag-navigate sa mga legalidad ng pagbibigay ng ari-arian sa kawanggawa at pagtiyak ng maayos at epektibong proseso.")</f>
        <v>Sa Pilipinas, ang mga indibidwal ay may ilang legal na mekanismong magagamit upang ibigay ang kanilang ari-arian sa mga organisasyong pangkawanggawa bilang bahagi ng kanilang pagpaplano ng ari-arian:
**1. Testamentary Donations:**
* **Will:** Ito ang pinakakaraniwang paraan. Maaaring tukuyin ng mga indibidwal ang kanilang intensyon na mag-abuloy ng ari-arian sa isang kwalipikadong organisasyon ng kawanggawa sa kanilang kalooban. Ang testamento ay dapat na maayos na nabalangkas, nasaksihan, at pinirmahan upang maging legal na wasto.
* **Codicil:** Kung ang isang umiiral na testamento ay walang kasamang donasyon para sa kawanggawa, maaaring magdagdag ng codicil upang baguhin ang testamento at isama ang sugnay ng donasyon.
**2. Mga Donasyon ng Inter vivos:**
* **Deed of Donation:** Ang dokumentong ito ay pormal na naglilipat ng pagmamay-ari ng ari-arian sa charitable organization habang nabubuhay ang donor. Ang kasulatan ay dapat na notarized at nakarehistro sa naaangkop na ahensya ng gobyerno.
* **Stock Donation:** Ang mga indibidwal ay maaaring mag-donate ng mga pampublikong ipinagkalakal na securities nang direkta sa isang kwalipikadong charity, na nag-aalok ng mga benepisyo sa buwis.
**3. Life Estate na may Charitable Remainder:**
* Ang kumplikadong pagsasaayos na ito ay nagbibigay-daan sa donor na panatilihin ang karapatang gamitin o sakupin ang ari-arian sa panahon ng kanilang buhay, na ang pagmamay-ari ay awtomatikong inililipat sa kawanggawa sa kanilang kamatayan. Nag-aalok ang opsyong ito ng mga potensyal na benepisyo sa buwis.
**Mga Kaugnay na Batas at Regulasyon:**
* **Republic Act No. 9160 (Tax Code of the Philippines):** Nagbibigay ng mga tax exemption at mga bawas para sa mga donasyong pangkawanggawa, na nagbibigay ng insentibo sa mga naturang kontribusyon.
* **Kodigo sa Regulasyon ng Securities:** Namamahala sa proseso ng pag-donate ng mga securities na ipinagkalakal sa publiko.
**Mga Karagdagang Pagsasaalang-alang:**
* **Qualifying Charities:** Tiyaking ang napiling organisasyon ay nakarehistro sa Securities and Exchange Commission (SEC) at may valid na Donor's Information Sheet (DIS) na inisyu ng Bureau of Internal Revenue (BIR) upang maging kwalipikado para sa mga benepisyo sa buwis.
* **Clarity and Specificity:** Malinaw na tukuyin ang donasyong ari-arian at ang nilalayong tatanggap sa mga legal na dokumento upang maiwasan ang mga potensyal na hindi pagkakaunawaan.
* **Naghahanap ng Propesyonal na Patnubay:** Ang pagkonsulta sa isang abogado na dalubhasa sa pagpaplano ng ari-arian at batas sa buwis ay lubos na inirerekomenda upang matiyak na ang piniling paraan ay sumusunod sa mga legal na kinakailangan, mapakinabangan ang mga potensyal na benepisyo sa buwis, at umaayon sa pangkalahatang layunin sa pagpaplano ng ari-arian ng donor.
Tandaan, ito ay isang pangkalahatang pangkalahatang-ideya, at ang mga partikular na legal na mekanismo at pagsasaalang-alang ay maaaring mag-iba depende sa uri ng ari-arian, ang napiling organisasyon ng kawanggawa, at ang mga indibidwal na kalagayan ng donor. Ang pagkonsulta sa isang kwalipikadong legal na propesyonal ay mahalaga para sa pag-navigate sa mga legalidad ng pagbibigay ng ari-arian sa kawanggawa at pagtiyak ng maayos at epektibong proseso.</v>
      </c>
      <c r="F392" s="2">
        <f t="shared" si="1"/>
        <v>0</v>
      </c>
      <c r="G392" s="2"/>
      <c r="H392" s="2"/>
      <c r="I392" s="2"/>
      <c r="J392" s="2"/>
      <c r="K392" s="2"/>
      <c r="L392" s="2"/>
      <c r="M392" s="2"/>
      <c r="N392" s="2"/>
      <c r="O392" s="2"/>
      <c r="P392" s="2"/>
      <c r="Q392" s="2"/>
      <c r="R392" s="2"/>
      <c r="S392" s="2"/>
      <c r="T392" s="2"/>
      <c r="U392" s="2"/>
      <c r="V392" s="2"/>
      <c r="W392" s="2"/>
      <c r="X392" s="2"/>
      <c r="Y392" s="2"/>
      <c r="Z392" s="2"/>
      <c r="AA392" s="2"/>
    </row>
    <row r="393">
      <c r="A393" s="1" t="s">
        <v>1224</v>
      </c>
      <c r="B393" s="1" t="s">
        <v>1461</v>
      </c>
      <c r="C393" s="1" t="s">
        <v>1462</v>
      </c>
      <c r="D393" s="1" t="s">
        <v>1463</v>
      </c>
      <c r="E393" s="2" t="str">
        <f>IFERROR(__xludf.DUMMYFUNCTION("GOOGLETRANSLATE(C393, ""en"", ""TL"")"),"Sa Pilipinas, ang pagmamana ng ari-arian **maaaring** makaapekto sa pagiging karapat-dapat para sa mga benepisyo ng gobyerno na nasubok sa paraan, ngunit ang mga partikular na detalye ay nakadepende sa uri ng benepisyo, ang halaga ng minanang ari-arian, a"&amp;"t mga kalagayan ng indibidwal. Narito ang isang breakdown:
**Epekto sa Mga Benepisyo:**
* **Mga benepisyong nakabatay sa mapagkukunan:** Maraming mga programa sa tulong ng pamahalaan sa Pilipinas ang **nakabatay sa mapagkukunan**, ibig sabihin ay isinasaa"&amp;"lang-alang nila ang kita at mga ari-arian ng isang indibidwal kapag tinutukoy ang pagiging kwalipikado at halaga ng benepisyo. Ang pagmamana ng ari-arian, lalo na kung ito ay may malaking halaga, ay maaaring tumaas ang kabuuang mga ari-arian ng isang indi"&amp;"bidwal at posibleng **mag-disqualify sa kanila** mula sa pagtanggap ng mga benepisyo o **bawasan ang halaga** na kanilang natatanggap.
* **Mga halimbawa ng mga apektadong benepisyo:** Isinasaalang-alang ng mga programa tulad ng **Pantawid Pamilyang Pilipi"&amp;"no Program (4Ps)** at **Modified Conditional Cash Transfer Program (MCCTP)** ang kita at mga asset kapag tinutukoy ang pagiging kwalipikado.
**Mga Legal na Istratehiya para sa Pagpapanatili ng Mga Benepisyo:**
* **Pag-unawa sa Mga Partikular na Programa:*"&amp;"* Napakahalagang **maunawaan ang mga partikular na tuntunin at pamantayan sa pagiging kwalipikado** ng programa ng benepisyo ng pamahalaan na pinag-uusapan. Ang iba't ibang mga programa ay maaaring may iba't ibang mga limitasyon ng asset at mga exemption "&amp;"para sa minanang ari-arian.
* **Pagkonsulta sa isang Abogado:** Ang paghingi ng patnubay mula sa isang **abogado na dalubhasa sa batas sa kapakanang panlipunan** ay lubos na inirerekomenda. Maaari nilang tasahin ang partikular na sitwasyon ng indibidwal, "&amp;"ang uri ng minanang ari-arian, at payuhan ang mga potensyal na diskarte upang mabawasan ang epekto sa kanilang mga benepisyo.
* **Paggalugad sa Mga Legal na Opsyon:** Depende sa mga pangyayari, maaaring available ang ilang legal na opsyon para makatulong "&amp;"na mapanatili ang mga benepisyo, gaya ng:
* **Pagmamay-ari sa pagtitiwala:** Ang isang tiwala ay nagbibigay-daan sa isang indibidwal na ilipat ang pagmamay-ari ng ari-arian sa isang tagapangasiwa habang pinapanatili ang ilang partikular na karapatan, na p"&amp;"osibleng makaapekto sa kung paano binibilang ang asset para sa mga layunin ng benepisyo.
* **Pagbebenta ng ari-arian at pag-iinvest ng mga nalikom sa mga exempt na asset:** Kung pinahihintulutan ng mga tuntunin ng programa, ang pagbebenta ng minanang ari-"&amp;"arian at pag-invest ng mga nalikom sa mga asset na hindi isinasaalang-alang para sa mga pagkalkula ng benepisyo (hal., mga pondong pang-edukasyon) ay maaaring isang opsyon.
**Mahahalagang Paalala:**
* **Mga Etikal na Pagsasaalang-alang:** Mahalagang lapit"&amp;"an ang anumang diskarte na may **mga etikal na pagsasaalang-alang** sa isip. Ang sadyang pagmamanipula ng mga asset upang maging kwalipikado para sa mga benepisyo habang may kakayahang pinansyal ay maaaring ituring na mapanlinlang at may mga legal na kahi"&amp;"hinatnan.
* **Naghahanap ng Propesyonal na Payo:** Ang pagkonsulta sa isang kwalipikadong abogado at isang tagapayo sa pananalapi ay mahalaga upang matiyak na ang anumang napiling diskarte ay sumusunod sa mga legal na kinakailangan, naaayon sa mga layunin"&amp;"g pinansyal ng indibidwal, at maiwasan ang mga hindi inaasahang kahihinatnan.
Tandaan, ito ay isang kumplikadong paksa na may iba't ibang mga nuances depende sa indibidwal na mga pangyayari. **Lubos na inirerekomenda** na kumonsulta sa isang abogadong dal"&amp;"ubhasa sa social welfare law at posibleng isang financial advisor para maunawaan ang partikular na epekto ng pagmamana ng ari-arian sa iyong pagiging kwalipikado para sa mga benepisyo ng gobyerno at tuklasin ang mga legal na diskarte na sumusunod sa mga r"&amp;"egulasyon habang pinapanatili ang iyong access sa kinakailangan. tulong.")</f>
        <v>Sa Pilipinas, ang pagmamana ng ari-arian **maaaring** makaapekto sa pagiging karapat-dapat para sa mga benepisyo ng gobyerno na nasubok sa paraan, ngunit ang mga partikular na detalye ay nakadepende sa uri ng benepisyo, ang halaga ng minanang ari-arian, at mga kalagayan ng indibidwal. Narito ang isang breakdown:
**Epekto sa Mga Benepisyo:**
* **Mga benepisyong nakabatay sa mapagkukunan:** Maraming mga programa sa tulong ng pamahalaan sa Pilipinas ang **nakabatay sa mapagkukunan**, ibig sabihin ay isinasaalang-alang nila ang kita at mga ari-arian ng isang indibidwal kapag tinutukoy ang pagiging kwalipikado at halaga ng benepisyo. Ang pagmamana ng ari-arian, lalo na kung ito ay may malaking halaga, ay maaaring tumaas ang kabuuang mga ari-arian ng isang indibidwal at posibleng **mag-disqualify sa kanila** mula sa pagtanggap ng mga benepisyo o **bawasan ang halaga** na kanilang natatanggap.
* **Mga halimbawa ng mga apektadong benepisyo:** Isinasaalang-alang ng mga programa tulad ng **Pantawid Pamilyang Pilipino Program (4Ps)** at **Modified Conditional Cash Transfer Program (MCCTP)** ang kita at mga asset kapag tinutukoy ang pagiging kwalipikado.
**Mga Legal na Istratehiya para sa Pagpapanatili ng Mga Benepisyo:**
* **Pag-unawa sa Mga Partikular na Programa:** Napakahalagang **maunawaan ang mga partikular na tuntunin at pamantayan sa pagiging kwalipikado** ng programa ng benepisyo ng pamahalaan na pinag-uusapan. Ang iba't ibang mga programa ay maaaring may iba't ibang mga limitasyon ng asset at mga exemption para sa minanang ari-arian.
* **Pagkonsulta sa isang Abogado:** Ang paghingi ng patnubay mula sa isang **abogado na dalubhasa sa batas sa kapakanang panlipunan** ay lubos na inirerekomenda. Maaari nilang tasahin ang partikular na sitwasyon ng indibidwal, ang uri ng minanang ari-arian, at payuhan ang mga potensyal na diskarte upang mabawasan ang epekto sa kanilang mga benepisyo.
* **Paggalugad sa Mga Legal na Opsyon:** Depende sa mga pangyayari, maaaring available ang ilang legal na opsyon para makatulong na mapanatili ang mga benepisyo, gaya ng:
* **Pagmamay-ari sa pagtitiwala:** Ang isang tiwala ay nagbibigay-daan sa isang indibidwal na ilipat ang pagmamay-ari ng ari-arian sa isang tagapangasiwa habang pinapanatili ang ilang partikular na karapatan, na posibleng makaapekto sa kung paano binibilang ang asset para sa mga layunin ng benepisyo.
* **Pagbebenta ng ari-arian at pag-iinvest ng mga nalikom sa mga exempt na asset:** Kung pinahihintulutan ng mga tuntunin ng programa, ang pagbebenta ng minanang ari-arian at pag-invest ng mga nalikom sa mga asset na hindi isinasaalang-alang para sa mga pagkalkula ng benepisyo (hal., mga pondong pang-edukasyon) ay maaaring isang opsyon.
**Mahahalagang Paalala:**
* **Mga Etikal na Pagsasaalang-alang:** Mahalagang lapitan ang anumang diskarte na may **mga etikal na pagsasaalang-alang** sa isip. Ang sadyang pagmamanipula ng mga asset upang maging kwalipikado para sa mga benepisyo habang may kakayahang pinansyal ay maaaring ituring na mapanlinlang at may mga legal na kahihinatnan.
* **Naghahanap ng Propesyonal na Payo:** Ang pagkonsulta sa isang kwalipikadong abogado at isang tagapayo sa pananalapi ay mahalaga upang matiyak na ang anumang napiling diskarte ay sumusunod sa mga legal na kinakailangan, naaayon sa mga layuning pinansyal ng indibidwal, at maiwasan ang mga hindi inaasahang kahihinatnan.
Tandaan, ito ay isang kumplikadong paksa na may iba't ibang mga nuances depende sa indibidwal na mga pangyayari. **Lubos na inirerekomenda** na kumonsulta sa isang abogadong dalubhasa sa social welfare law at posibleng isang financial advisor para maunawaan ang partikular na epekto ng pagmamana ng ari-arian sa iyong pagiging kwalipikado para sa mga benepisyo ng gobyerno at tuklasin ang mga legal na diskarte na sumusunod sa mga regulasyon habang pinapanatili ang iyong access sa kinakailangan. tulong.</v>
      </c>
      <c r="F393" s="2">
        <f t="shared" si="1"/>
        <v>0</v>
      </c>
      <c r="G393" s="2"/>
      <c r="H393" s="2"/>
      <c r="I393" s="2"/>
      <c r="J393" s="2"/>
      <c r="K393" s="2"/>
      <c r="L393" s="2"/>
      <c r="M393" s="2"/>
      <c r="N393" s="2"/>
      <c r="O393" s="2"/>
      <c r="P393" s="2"/>
      <c r="Q393" s="2"/>
      <c r="R393" s="2"/>
      <c r="S393" s="2"/>
      <c r="T393" s="2"/>
      <c r="U393" s="2"/>
      <c r="V393" s="2"/>
      <c r="W393" s="2"/>
      <c r="X393" s="2"/>
      <c r="Y393" s="2"/>
      <c r="Z393" s="2"/>
      <c r="AA393" s="2"/>
    </row>
    <row r="394">
      <c r="A394" s="1" t="s">
        <v>1224</v>
      </c>
      <c r="B394" s="1" t="s">
        <v>1464</v>
      </c>
      <c r="C394" s="1" t="s">
        <v>1465</v>
      </c>
      <c r="D394" s="1" t="s">
        <v>1466</v>
      </c>
      <c r="E394" s="2" t="str">
        <f>IFERROR(__xludf.DUMMYFUNCTION("GOOGLETRANSLATE(C394, ""en"", ""TL"")"),"Narito ang paliwanag ng mga legal na pagsasaalang-alang para sa mga tagapagmana na gustong i-convert ang minanang ari-arian sa mga paupahang unit o makisali sa iba pang komersyal na gamit sa Pilipinas:
**1. Pagmamay-ari at Mga Pahintulot:**
* **Pagp"&amp;"apamana:** Dapat munang itatag ng mga tagapagmana ang kanilang legal na pagmamay-ari ng ari-arian sa pamamagitan ng Certificate of Title at/o Extrajudicial Settlement of Estate, depende sa pagkakaroon ng testamento.
* **Co-ownership:** Kung maraming taga"&amp;"pagmana ang magmamana ng ari-arian, ang kanilang pahintulot ay kinakailangan para sa anumang makabuluhang pagbabago, kabilang ang pag-convert nito sa komersyal na paggamit. Dapat idokumento ang mga kasunduan upang maiwasan ang mga hindi pagkakaunawaan sa "&amp;"hinaharap.
**2. Zoning at Paggamit ng Lupa:**
* **Mga Regulasyon ng Zoning:** Dapat tiyakin ng mga tagapagmana na ang ari-arian ay naka-zone para sa nilalayong komersyal na paggamit. Ang mga ordinansa sa zoning ng lokal na pamahalaan ay nagdidikta n"&amp;"g mga pinahihintulutang aktibidad sa mga partikular na lugar. Ang pakikipag-ugnayan sa opisina ng lokal na pagpaplano o barangay ay mahalaga.
* **Mga Permit at Lisensya:** Depende sa nilalayong komersyal na aktibidad, maaaring kailanganin ang mga partiku"&amp;"lar na permit at lisensya mula sa iba't ibang ahensya ng gobyerno. Kasama sa mga halimbawa ang mga business permit, barangay clearance, at mga nauugnay na lisensya depende sa uri ng negosyo.
**3. Pagbubuwis:**
* **Mga Buwis sa Estate at Inheritance:"&amp;"** Depende sa halaga ng minanang ari-arian, maaaring malapat ang mga buwis sa ari-arian at mana. Ang mga tagapagmana ay dapat kumunsulta sa isang tagapayo sa buwis para sa wastong pagtatasa at pagsunod.
* **Buwis sa Kita:** Kapag ang ari-arian ay naging "&amp;"isang rental unit o nakabuo ng komersyal na kita, ang mga obligasyon sa buwis sa kita ay lumitaw. Dapat irehistro ng mga tagapagmana ang negosyo at sumunod sa paghahain ng buwis at mga kinakailangan sa pagbabayad.
**4. Mga Batas ng Nagpapaupa-Nangungup"&amp;"ahan:**
* **Mga Kasunduan sa Pagpapaupa:** Kung magko-convert sa mga unit ng paupahan, ang mga tagapagmana ay dapat sumunod sa mga probisyon ng Urban Development and Housing Act (RA 7219) at sa mga tuntunin at regulasyon sa pagpapatupad nito. Kabilang "&amp;"dito ang paglikha ng mga nakasulat na kasunduan sa pag-upa, pagsunod sa mga regulasyon sa pag-upa, at pagtiyak ng wastong pagpapanatili ng ari-arian.
* **Mga Karapatan sa Nangungupahan:** Ang mga tagapagmana, bilang mga panginoong maylupa, ay dapat igala"&amp;"ng ang mga karapatan ng mga nangungupahan gaya ng nakabalangkas sa RA 7219. Kabilang dito ang pagsunod sa mga pamamaraan ng pagpapaalis, pagbibigay ng mga pangunahing amenity, at pagtiyak ng isang ligtas at matitirahan na kapaligiran.
**5. Mga Karagdag"&amp;"ang Pagsasaalang-alang:**
* **Mga Kodigo ng Gusali at Mga Regulasyon sa Kaligtasan:** Ang anumang mga pagbabago o pagsasaayos na kinakailangan para sa komersyal na paggamit ay dapat sumunod sa National Building Code at mga nauugnay na regulasyong pangk"&amp;"aligtasan upang matiyak ang integridad ng istruktura at kaligtasan ng nakatira.
* **Mga Panuntunan ng Homeowners' Association (HOA):** Kung ang property ay nasa loob ng isang subdivision na may HOA, ang anumang pagbabago sa paggamit ay maaaring mangailan"&amp;"gan ng pag-apruba mula sa HOA at pagsunod sa kanilang mga regulasyon.
**Mahalagang Paalala:**
Ang impormasyong ito ay nagbibigay ng pangkalahatang pangkalahatang-ideya at hindi dapat ituring bilang legal na payo. Lubos na inirerekumenda na kumunsult"&amp;"a sa isang kwalipikadong abogado na dalubhasa sa batas ng ari-arian at pagbubuwis upang makakuha ng partikular na patnubay batay sa mga natatanging kalagayan ng iyong sitwasyon. Maaari silang magpayo sa pag-navigate sa mga legal na proseso, pagtiyak ng pa"&amp;"gsunod sa mga nauugnay na batas at regulasyon, at pagprotekta sa iyong mga karapatan at interes sa buong proseso.")</f>
        <v>Narito ang paliwanag ng mga legal na pagsasaalang-alang para sa mga tagapagmana na gustong i-convert ang minanang ari-arian sa mga paupahang unit o makisali sa iba pang komersyal na gamit sa Pilipinas:
**1. Pagmamay-ari at Mga Pahintulot:**
* **Pagpapamana:** Dapat munang itatag ng mga tagapagmana ang kanilang legal na pagmamay-ari ng ari-arian sa pamamagitan ng Certificate of Title at/o Extrajudicial Settlement of Estate, depende sa pagkakaroon ng testamento.
* **Co-ownership:** Kung maraming tagapagmana ang magmamana ng ari-arian, ang kanilang pahintulot ay kinakailangan para sa anumang makabuluhang pagbabago, kabilang ang pag-convert nito sa komersyal na paggamit. Dapat idokumento ang mga kasunduan upang maiwasan ang mga hindi pagkakaunawaan sa hinaharap.
**2. Zoning at Paggamit ng Lupa:**
* **Mga Regulasyon ng Zoning:** Dapat tiyakin ng mga tagapagmana na ang ari-arian ay naka-zone para sa nilalayong komersyal na paggamit. Ang mga ordinansa sa zoning ng lokal na pamahalaan ay nagdidikta ng mga pinahihintulutang aktibidad sa mga partikular na lugar. Ang pakikipag-ugnayan sa opisina ng lokal na pagpaplano o barangay ay mahalaga.
* **Mga Permit at Lisensya:** Depende sa nilalayong komersyal na aktibidad, maaaring kailanganin ang mga partikular na permit at lisensya mula sa iba't ibang ahensya ng gobyerno. Kasama sa mga halimbawa ang mga business permit, barangay clearance, at mga nauugnay na lisensya depende sa uri ng negosyo.
**3. Pagbubuwis:**
* **Mga Buwis sa Estate at Inheritance:** Depende sa halaga ng minanang ari-arian, maaaring malapat ang mga buwis sa ari-arian at mana. Ang mga tagapagmana ay dapat kumunsulta sa isang tagapayo sa buwis para sa wastong pagtatasa at pagsunod.
* **Buwis sa Kita:** Kapag ang ari-arian ay naging isang rental unit o nakabuo ng komersyal na kita, ang mga obligasyon sa buwis sa kita ay lumitaw. Dapat irehistro ng mga tagapagmana ang negosyo at sumunod sa paghahain ng buwis at mga kinakailangan sa pagbabayad.
**4. Mga Batas ng Nagpapaupa-Nangungupahan:**
* **Mga Kasunduan sa Pagpapaupa:** Kung magko-convert sa mga unit ng paupahan, ang mga tagapagmana ay dapat sumunod sa mga probisyon ng Urban Development and Housing Act (RA 7219) at sa mga tuntunin at regulasyon sa pagpapatupad nito. Kabilang dito ang paglikha ng mga nakasulat na kasunduan sa pag-upa, pagsunod sa mga regulasyon sa pag-upa, at pagtiyak ng wastong pagpapanatili ng ari-arian.
* **Mga Karapatan sa Nangungupahan:** Ang mga tagapagmana, bilang mga panginoong maylupa, ay dapat igalang ang mga karapatan ng mga nangungupahan gaya ng nakabalangkas sa RA 7219. Kabilang dito ang pagsunod sa mga pamamaraan ng pagpapaalis, pagbibigay ng mga pangunahing amenity, at pagtiyak ng isang ligtas at matitirahan na kapaligiran.
**5. Mga Karagdagang Pagsasaalang-alang:**
* **Mga Kodigo ng Gusali at Mga Regulasyon sa Kaligtasan:** Ang anumang mga pagbabago o pagsasaayos na kinakailangan para sa komersyal na paggamit ay dapat sumunod sa National Building Code at mga nauugnay na regulasyong pangkaligtasan upang matiyak ang integridad ng istruktura at kaligtasan ng nakatira.
* **Mga Panuntunan ng Homeowners' Association (HOA):** Kung ang property ay nasa loob ng isang subdivision na may HOA, ang anumang pagbabago sa paggamit ay maaaring mangailangan ng pag-apruba mula sa HOA at pagsunod sa kanilang mga regulasyon.
**Mahalagang Paalala:**
Ang impormasyong ito ay nagbibigay ng pangkalahatang pangkalahatang-ideya at hindi dapat ituring bilang legal na payo. Lubos na inirerekumenda na kumunsulta sa isang kwalipikadong abogado na dalubhasa sa batas ng ari-arian at pagbubuwis upang makakuha ng partikular na patnubay batay sa mga natatanging kalagayan ng iyong sitwasyon. Maaari silang magpayo sa pag-navigate sa mga legal na proseso, pagtiyak ng pagsunod sa mga nauugnay na batas at regulasyon, at pagprotekta sa iyong mga karapatan at interes sa buong proseso.</v>
      </c>
      <c r="F394" s="2">
        <f t="shared" si="1"/>
        <v>0</v>
      </c>
      <c r="G394" s="2"/>
      <c r="H394" s="2"/>
      <c r="I394" s="2"/>
      <c r="J394" s="2"/>
      <c r="K394" s="2"/>
      <c r="L394" s="2"/>
      <c r="M394" s="2"/>
      <c r="N394" s="2"/>
      <c r="O394" s="2"/>
      <c r="P394" s="2"/>
      <c r="Q394" s="2"/>
      <c r="R394" s="2"/>
      <c r="S394" s="2"/>
      <c r="T394" s="2"/>
      <c r="U394" s="2"/>
      <c r="V394" s="2"/>
      <c r="W394" s="2"/>
      <c r="X394" s="2"/>
      <c r="Y394" s="2"/>
      <c r="Z394" s="2"/>
      <c r="AA394" s="2"/>
    </row>
    <row r="395">
      <c r="A395" s="1" t="s">
        <v>1224</v>
      </c>
      <c r="B395" s="1" t="s">
        <v>1467</v>
      </c>
      <c r="C395" s="1" t="s">
        <v>1468</v>
      </c>
      <c r="D395" s="1" t="s">
        <v>1469</v>
      </c>
      <c r="E395" s="2" t="str">
        <f>IFERROR(__xludf.DUMMYFUNCTION("GOOGLETRANSLATE(C395, ""en"", ""TL"")"),"Narito ang mga legal na hakbang na maaaring gawin ng isang tagapagmana sa Pilipinas kung matuklasan nila ang mga nakatagong ari-arian o hindi nabunyag na real estate sa panahon ng proseso ng probate:
**1. Magtipon ng Ebidensya:**
* **Idokumento ang pagtuk"&amp;"las:** I-secure ang anumang mga dokumento, email, o recording na nagpapatunay sa pagkakaroon ng mga nakatagong asset o hindi isiniwalat na real estate. Maaaring kabilang dito ang mga bank statement, mga rekord ng pamumuhunan, mga gawa ng ari-arian, o mga "&amp;"testimonya ng saksi.
* **Kumonsulta sa testamento (kung mayroon):** Kung may testamento, suriin itong mabuti upang makita kung may anumang pagbanggit sa mga natuklasang asset. Ang mga hindi pagkakapare-pareho sa pagitan ng kalooban at ng mga natuklasang a"&amp;"sset ay maaaring mangailangan ng karagdagang pagsisiyasat.
**2. Ipaalam sa Personal na Kinatawan:**
* **Bukas na komunikasyon:** Talakayin ang iyong mga natuklasan sa personal na kinatawan na hinirang ng hukuman upang pangasiwaan ang pangangasiwa ng ari-a"&amp;"rian. Ito ay maaaring ang tagapagpatupad na pinangalanan sa testamento o isang tagapangasiwa na hinirang ng hukuman kung walang habilin.
* **Ang transparency ay susi:** Ipaliwanag kung paano mo natuklasan ang mga nakatagong asset at magbigay ng anumang su"&amp;"musuportang ebidensya na iyong nakalap.
**3. Tukuyin ang Legal na Aksyon:**
* **Kumonsulta sa isang abogado:** Humingi ng legal na payo mula sa isang abogado na dalubhasa sa mga usapin ng probate. Maaari nilang tasahin ang sitwasyon, pag-aralan ang ebiden"&amp;"sya, at payuhan ang naaangkop na legal na kurso ng aksyon.
* **Maaaring kabilang sa mga opsyon ang:**
* **Pag-amyenda sa imbentaryo:** Kung ang mga nakatagong asset ay hindi kasama sa inisyal na imbentaryo na inihain sa korte, maaaring gabayan ka ng aboga"&amp;"do sa proseso ng pag-amyenda nito upang ipakita ang mga bagong natuklasang asset.
* **Paghain ng petisyon sa korte:** Depende sa mga pangyayari, maaaring kailanganin ng legal na aksyon para mapilitan ang pagsasama ng mga nakatagong ari-arian sa ari-arian "&amp;"o hamunin ang mga aksyon ng personal na kinatawan kung alam nila ang mga ari-arian at nabigo upang ibunyag ang mga ito.
**4. Mga paglilitis sa korte:**
* **Maghanda para sa mga potensyal na hindi pagkakaunawaan:** Kung ang ibang mga tagapagmana ay tutol s"&amp;"a pagsasama ng mga natuklasang ari-arian, ang abogado ay maaaring kumatawan sa iyo sa mga paglilitis sa korte upang iharap ang iyong kaso at itaguyod ang iyong nararapat na mana.
* **Sundin ang legal na patnubay:** Sa buong proseso, mahigpit na sumunod sa"&amp;" mga tagubilin ng abogado at ibigay ang lahat ng kinakailangang impormasyon at dokumentasyon upang matiyak ang maayos at matagumpay na paglutas.
**Mahahalagang Paalala:**
* **Ang oras ay mahalaga:** Kumilos kaagad sa pagtuklas ng mga nakatagong ari-arian "&amp;"upang matiyak na ang mga ito ay wastong isinasaalang-alang at kasama sa proseso ng probate. Maaaring gawing kumplikado ng mga pagkaantala ang mga bagay at posibleng makaapekto sa iyong mga karapatan sa mana.
* **Huwag subukang hawakan ang sitwasyon nang m"&amp;"ag-isa:** Ang mga legal na usapin tungkol sa probate at pangangasiwa ng ari-arian ay maaaring kumplikado. Ang paghahanap ng propesyonal na legal na patnubay ay mahalaga upang maprotektahan ang iyong mga karapatan at mabisang mag-navigate sa proseso.
Tanda"&amp;"an, ang impormasyong ito ay para sa pangkalahatang gabay lamang at hindi bumubuo ng legal na payo. Mahalagang kumonsulta sa isang kwalipikadong abogado na dalubhasa sa probate law sa Pilipinas para sa partikular na payo na naaayon sa iyong sitwasyon at ti"&amp;"yakin ang pagsunod sa lahat ng nauugnay na batas at regulasyon.")</f>
        <v>Narito ang mga legal na hakbang na maaaring gawin ng isang tagapagmana sa Pilipinas kung matuklasan nila ang mga nakatagong ari-arian o hindi nabunyag na real estate sa panahon ng proseso ng probate:
**1. Magtipon ng Ebidensya:**
* **Idokumento ang pagtuklas:** I-secure ang anumang mga dokumento, email, o recording na nagpapatunay sa pagkakaroon ng mga nakatagong asset o hindi isiniwalat na real estate. Maaaring kabilang dito ang mga bank statement, mga rekord ng pamumuhunan, mga gawa ng ari-arian, o mga testimonya ng saksi.
* **Kumonsulta sa testamento (kung mayroon):** Kung may testamento, suriin itong mabuti upang makita kung may anumang pagbanggit sa mga natuklasang asset. Ang mga hindi pagkakapare-pareho sa pagitan ng kalooban at ng mga natuklasang asset ay maaaring mangailangan ng karagdagang pagsisiyasat.
**2. Ipaalam sa Personal na Kinatawan:**
* **Bukas na komunikasyon:** Talakayin ang iyong mga natuklasan sa personal na kinatawan na hinirang ng hukuman upang pangasiwaan ang pangangasiwa ng ari-arian. Ito ay maaaring ang tagapagpatupad na pinangalanan sa testamento o isang tagapangasiwa na hinirang ng hukuman kung walang habilin.
* **Ang transparency ay susi:** Ipaliwanag kung paano mo natuklasan ang mga nakatagong asset at magbigay ng anumang sumusuportang ebidensya na iyong nakalap.
**3. Tukuyin ang Legal na Aksyon:**
* **Kumonsulta sa isang abogado:** Humingi ng legal na payo mula sa isang abogado na dalubhasa sa mga usapin ng probate. Maaari nilang tasahin ang sitwasyon, pag-aralan ang ebidensya, at payuhan ang naaangkop na legal na kurso ng aksyon.
* **Maaaring kabilang sa mga opsyon ang:**
* **Pag-amyenda sa imbentaryo:** Kung ang mga nakatagong asset ay hindi kasama sa inisyal na imbentaryo na inihain sa korte, maaaring gabayan ka ng abogado sa proseso ng pag-amyenda nito upang ipakita ang mga bagong natuklasang asset.
* **Paghain ng petisyon sa korte:** Depende sa mga pangyayari, maaaring kailanganin ng legal na aksyon para mapilitan ang pagsasama ng mga nakatagong ari-arian sa ari-arian o hamunin ang mga aksyon ng personal na kinatawan kung alam nila ang mga ari-arian at nabigo upang ibunyag ang mga ito.
**4. Mga paglilitis sa korte:**
* **Maghanda para sa mga potensyal na hindi pagkakaunawaan:** Kung ang ibang mga tagapagmana ay tutol sa pagsasama ng mga natuklasang ari-arian, ang abogado ay maaaring kumatawan sa iyo sa mga paglilitis sa korte upang iharap ang iyong kaso at itaguyod ang iyong nararapat na mana.
* **Sundin ang legal na patnubay:** Sa buong proseso, mahigpit na sumunod sa mga tagubilin ng abogado at ibigay ang lahat ng kinakailangang impormasyon at dokumentasyon upang matiyak ang maayos at matagumpay na paglutas.
**Mahahalagang Paalala:**
* **Ang oras ay mahalaga:** Kumilos kaagad sa pagtuklas ng mga nakatagong ari-arian upang matiyak na ang mga ito ay wastong isinasaalang-alang at kasama sa proseso ng probate. Maaaring gawing kumplikado ng mga pagkaantala ang mga bagay at posibleng makaapekto sa iyong mga karapatan sa mana.
* **Huwag subukang hawakan ang sitwasyon nang mag-isa:** Ang mga legal na usapin tungkol sa probate at pangangasiwa ng ari-arian ay maaaring kumplikado. Ang paghahanap ng propesyonal na legal na patnubay ay mahalaga upang maprotektahan ang iyong mga karapatan at mabisang mag-navigate sa proseso.
Tandaan, ang impormasyong ito ay para sa pangkalahatang gabay lamang at hindi bumubuo ng legal na payo. Mahalagang kumonsulta sa isang kwalipikadong abogado na dalubhasa sa probate law sa Pilipinas para sa partikular na payo na naaayon sa iyong sitwasyon at tiyakin ang pagsunod sa lahat ng nauugnay na batas at regulasyon.</v>
      </c>
      <c r="F395" s="2">
        <f t="shared" si="1"/>
        <v>0</v>
      </c>
      <c r="G395" s="2"/>
      <c r="H395" s="2"/>
      <c r="I395" s="2"/>
      <c r="J395" s="2"/>
      <c r="K395" s="2"/>
      <c r="L395" s="2"/>
      <c r="M395" s="2"/>
      <c r="N395" s="2"/>
      <c r="O395" s="2"/>
      <c r="P395" s="2"/>
      <c r="Q395" s="2"/>
      <c r="R395" s="2"/>
      <c r="S395" s="2"/>
      <c r="T395" s="2"/>
      <c r="U395" s="2"/>
      <c r="V395" s="2"/>
      <c r="W395" s="2"/>
      <c r="X395" s="2"/>
      <c r="Y395" s="2"/>
      <c r="Z395" s="2"/>
      <c r="AA395" s="2"/>
    </row>
    <row r="396">
      <c r="A396" s="1" t="s">
        <v>1224</v>
      </c>
      <c r="B396" s="1" t="s">
        <v>1470</v>
      </c>
      <c r="C396" s="1" t="s">
        <v>1471</v>
      </c>
      <c r="D396" s="1" t="s">
        <v>1472</v>
      </c>
      <c r="E396" s="2" t="str">
        <f>IFERROR(__xludf.DUMMYFUNCTION("GOOGLETRANSLATE(C396, ""en"", ""TL"")"),"Sa Pilipinas, ang pagtugon sa mga minanang ari-arian na may mga isyu sa kontaminasyon sa kapaligiran ay nagsasangkot ng kumbinasyon ng mga legal na pagsasaalang-alang at potensyal na pananagutan para sa mga tagapagmana. Narito ang isang breakdown:
**1. Pa"&amp;"gkilala sa Kontaminasyon:**
* **Responsibilidad ng mga tagapagmana:** Sa pagmamana ng isang ari-arian, ang mga tagapagmana ay dapat magsagawa ng angkop na pagsusumikap upang siyasatin ang mga potensyal na isyu sa kapaligiran. Maaaring kabilang dito ang pa"&amp;"gsasagawa ng mga pagtatasa ng kapaligiran sa lugar o paghingi ng propesyonal na payo mula sa mga consultant sa kapaligiran.
* **Mga talaan ng pamahalaan:** Ang pagkonsulta sa mga nauugnay na ahensya ng gobyerno tulad ng Department of Environment and Natur"&amp;"al Resources (DENR) ay maaaring magbigay ng mga insight sa mga nakaraang paglabag o naiulat na kontaminasyon sa property.
**2. Legal na Balangkas:**
* **Mga batas sa kapaligiran:** Ang Konstitusyon ng Pilipinas (Artikulo XVI, Sec. 20) ay nag-uutos sa pana"&amp;"nagutan ng Estado na protektahan at itaguyod ang karapatan sa isang malusog na ekolohiya. Ang iba't ibang batas sa kapaligiran tulad ng Ecological Solid Waste Management Act (RA 9003), Clean Air Act (RA 8749), at Clean Water Act (RA 3933) ay nagtatatag ng"&amp;" mga regulasyon at pananagutan para sa polusyon sa kapaligiran.
* **Prinsipyo ng Polluter Pays:** Ang prinsipyong ito, na nakasaad sa iba't ibang mga batas sa kapaligiran, ay pinapanagutan ang polusyon para sa mga gastos sa paglilinis at remediation ng po"&amp;"lusyon. Ang mga tagapagmana na nagmamana ng mga kontaminadong ari-arian ay maaaring magmana ng pananagutan na ito depende sa partikular na mga pangyayari.
**3. Mga Obligasyon ng Tagapagmana:**
* **Pagsisiwalat:** Kung alam ng mga tagapagmana ang kasalukuy"&amp;"ang kontaminasyon sa kapaligiran, mayroon silang legal na obligasyon na ibunyag ang impormasyong ito sa mga potensyal na mamimili o nangungupahan bago ang anumang transaksyon. Ang pagkabigong gawin ito ay maaaring humantong sa mga legal na epekto.
* **Rem"&amp;"ediation:** Depende sa kalubhaan at uri ng kontaminasyon, maaaring obligado ang mga tagapagmana na magsagawa ng mga hakbang sa remediation upang matugunan ang isyu at sumunod sa mga regulasyon sa kapaligiran. Maaaring kabilang dito ang pakikipagtulungan s"&amp;"a DENR at pakikipag-ugnayan sa mga kwalipikadong propesyonal sa kapaligiran para sa mga pagsisikap sa paglilinis at pag-decontamination.
* **Pagsunod sa mga regulasyon:** Dapat sumunod ang mga tagapagmana sa lahat ng naaangkop na batas at regulasyon sa ka"&amp;"paligiran tungkol sa kontaminadong ari-arian. Maaaring kabilang dito ang pagkuha ng mga permit para sa pagtatapon ng basura, pagsunod sa mga partikular na pamamaraan ng pangangasiwa para sa mga mapanganib na materyales, at pagtiyak ng wastong pamamahala s"&amp;"a anumang patuloy na panganib sa kapaligiran.
**4. Naghahanap ng Legal na Patnubay:**
* **Mga kumplikadong kasangkot:** Ang pag-navigate sa legal at teknikal na mga aspeto ng minanang kontaminadong ari-arian ay maaaring maging kumplikado. Ang pagkonsulta "&amp;"sa isang abogado na dalubhasa sa batas sa kapaligiran ay mahalaga upang maunawaan ang iyong mga partikular na obligasyon, potensyal na pananagutan, at magagamit na mga opsyon para sa pagtugon sa sitwasyon.
* **Negosasyon at mga kasunduan:** Sa ilang mga k"&amp;"aso, maaaring makipag-ayos ang mga tagapagmana sa gobyerno o iba pang mga partidong kasangkot upang ibahagi o ilipat ang responsibilidad para sa remediation batay sa mga pangyayari at itinatag na mga legal na prinsipyo. Ang legal na patnubay ay mahalaga s"&amp;"a pag-navigate sa gayong mga negosasyon at pagtiyak na ang mga kasunduan ay sumusunod sa mga nauugnay na batas.
**Mahalagang Paalala:**
Ang impormasyong ito ay nagbibigay ng pangkalahatang pangkalahatang-ideya at hindi dapat ituring bilang legal na payo. "&amp;"Ang mga partikular na legal na obligasyon at pananagutan ng mga tagapagmana na nagmamana ng mga kontaminadong ari-arian ay mag-iiba-iba depende sa mga natatanging kalagayan ng bawat kaso. Ang pagkonsulta sa isang kwalipikadong abogado na nagdadalubhasa sa"&amp;" batas sa kapaligiran ay lubos na inirerekomenda upang makakuha ng partikular na patnubay na naaayon sa iyong sitwasyon at matiyak ang pagsunod sa lahat ng nauugnay na legal na kinakailangan.")</f>
        <v>Sa Pilipinas, ang pagtugon sa mga minanang ari-arian na may mga isyu sa kontaminasyon sa kapaligiran ay nagsasangkot ng kumbinasyon ng mga legal na pagsasaalang-alang at potensyal na pananagutan para sa mga tagapagmana. Narito ang isang breakdown:
**1. Pagkilala sa Kontaminasyon:**
* **Responsibilidad ng mga tagapagmana:** Sa pagmamana ng isang ari-arian, ang mga tagapagmana ay dapat magsagawa ng angkop na pagsusumikap upang siyasatin ang mga potensyal na isyu sa kapaligiran. Maaaring kabilang dito ang pagsasagawa ng mga pagtatasa ng kapaligiran sa lugar o paghingi ng propesyonal na payo mula sa mga consultant sa kapaligiran.
* **Mga talaan ng pamahalaan:** Ang pagkonsulta sa mga nauugnay na ahensya ng gobyerno tulad ng Department of Environment and Natural Resources (DENR) ay maaaring magbigay ng mga insight sa mga nakaraang paglabag o naiulat na kontaminasyon sa property.
**2. Legal na Balangkas:**
* **Mga batas sa kapaligiran:** Ang Konstitusyon ng Pilipinas (Artikulo XVI, Sec. 20) ay nag-uutos sa pananagutan ng Estado na protektahan at itaguyod ang karapatan sa isang malusog na ekolohiya. Ang iba't ibang batas sa kapaligiran tulad ng Ecological Solid Waste Management Act (RA 9003), Clean Air Act (RA 8749), at Clean Water Act (RA 3933) ay nagtatatag ng mga regulasyon at pananagutan para sa polusyon sa kapaligiran.
* **Prinsipyo ng Polluter Pays:** Ang prinsipyong ito, na nakasaad sa iba't ibang mga batas sa kapaligiran, ay pinapanagutan ang polusyon para sa mga gastos sa paglilinis at remediation ng polusyon. Ang mga tagapagmana na nagmamana ng mga kontaminadong ari-arian ay maaaring magmana ng pananagutan na ito depende sa partikular na mga pangyayari.
**3. Mga Obligasyon ng Tagapagmana:**
* **Pagsisiwalat:** Kung alam ng mga tagapagmana ang kasalukuyang kontaminasyon sa kapaligiran, mayroon silang legal na obligasyon na ibunyag ang impormasyong ito sa mga potensyal na mamimili o nangungupahan bago ang anumang transaksyon. Ang pagkabigong gawin ito ay maaaring humantong sa mga legal na epekto.
* **Remediation:** Depende sa kalubhaan at uri ng kontaminasyon, maaaring obligado ang mga tagapagmana na magsagawa ng mga hakbang sa remediation upang matugunan ang isyu at sumunod sa mga regulasyon sa kapaligiran. Maaaring kabilang dito ang pakikipagtulungan sa DENR at pakikipag-ugnayan sa mga kwalipikadong propesyonal sa kapaligiran para sa mga pagsisikap sa paglilinis at pag-decontamination.
* **Pagsunod sa mga regulasyon:** Dapat sumunod ang mga tagapagmana sa lahat ng naaangkop na batas at regulasyon sa kapaligiran tungkol sa kontaminadong ari-arian. Maaaring kabilang dito ang pagkuha ng mga permit para sa pagtatapon ng basura, pagsunod sa mga partikular na pamamaraan ng pangangasiwa para sa mga mapanganib na materyales, at pagtiyak ng wastong pamamahala sa anumang patuloy na panganib sa kapaligiran.
**4. Naghahanap ng Legal na Patnubay:**
* **Mga kumplikadong kasangkot:** Ang pag-navigate sa legal at teknikal na mga aspeto ng minanang kontaminadong ari-arian ay maaaring maging kumplikado. Ang pagkonsulta sa isang abogado na dalubhasa sa batas sa kapaligiran ay mahalaga upang maunawaan ang iyong mga partikular na obligasyon, potensyal na pananagutan, at magagamit na mga opsyon para sa pagtugon sa sitwasyon.
* **Negosasyon at mga kasunduan:** Sa ilang mga kaso, maaaring makipag-ayos ang mga tagapagmana sa gobyerno o iba pang mga partidong kasangkot upang ibahagi o ilipat ang responsibilidad para sa remediation batay sa mga pangyayari at itinatag na mga legal na prinsipyo. Ang legal na patnubay ay mahalaga sa pag-navigate sa gayong mga negosasyon at pagtiyak na ang mga kasunduan ay sumusunod sa mga nauugnay na batas.
**Mahalagang Paalala:**
Ang impormasyong ito ay nagbibigay ng pangkalahatang pangkalahatang-ideya at hindi dapat ituring bilang legal na payo. Ang mga partikular na legal na obligasyon at pananagutan ng mga tagapagmana na nagmamana ng mga kontaminadong ari-arian ay mag-iiba-iba depende sa mga natatanging kalagayan ng bawat kaso. Ang pagkonsulta sa isang kwalipikadong abogado na nagdadalubhasa sa batas sa kapaligiran ay lubos na inirerekomenda upang makakuha ng partikular na patnubay na naaayon sa iyong sitwasyon at matiyak ang pagsunod sa lahat ng nauugnay na legal na kinakailangan.</v>
      </c>
      <c r="F396" s="2">
        <f t="shared" si="1"/>
        <v>0</v>
      </c>
      <c r="G396" s="2"/>
      <c r="H396" s="2"/>
      <c r="I396" s="2"/>
      <c r="J396" s="2"/>
      <c r="K396" s="2"/>
      <c r="L396" s="2"/>
      <c r="M396" s="2"/>
      <c r="N396" s="2"/>
      <c r="O396" s="2"/>
      <c r="P396" s="2"/>
      <c r="Q396" s="2"/>
      <c r="R396" s="2"/>
      <c r="S396" s="2"/>
      <c r="T396" s="2"/>
      <c r="U396" s="2"/>
      <c r="V396" s="2"/>
      <c r="W396" s="2"/>
      <c r="X396" s="2"/>
      <c r="Y396" s="2"/>
      <c r="Z396" s="2"/>
      <c r="AA396" s="2"/>
    </row>
    <row r="397">
      <c r="A397" s="1" t="s">
        <v>1224</v>
      </c>
      <c r="B397" s="1" t="s">
        <v>1473</v>
      </c>
      <c r="C397" s="1" t="s">
        <v>1474</v>
      </c>
      <c r="D397" s="1" t="s">
        <v>1475</v>
      </c>
      <c r="E397" s="2" t="str">
        <f>IFERROR(__xludf.DUMMYFUNCTION("GOOGLETRANSLATE(C397, ""en"", ""TL"")"),"Ang pagmamana ng ari-arian sa Pilipinas na napapailalim sa mga mahigpit na tipan o mga paghihigpit sa gawa ay may mga partikular na legal na implikasyon na dapat maunawaan ng mga tagapagmana upang maiwasan ang paglabag sa mga kasunduang ito at mga potensy"&amp;"al na kahihinatnan. Narito ang isang breakdown:
**Pag-unawa sa Mga Mahigpit na Tipan:**
* **Kahulugan:** Ang mga mahigpit na tipan, na kilala rin bilang mga paghihigpit sa gawa, ay mga limitasyong inilagay sa paggamit, pagpapaunlad, o pagbabago ng i"&amp;"sang ari-arian. Ang mga limitasyong ito ay karaniwang nakabalangkas sa mga kasunduan sa property deed o homeowners' association (HOA).
* **Mga Halimbawa:** Kasama sa mga karaniwang halimbawa ng mga paghihigpit na tipan ang mga paghihigpit sa taas ng gusa"&amp;"li, istilo ng arkitektura, landscaping, mga uri ng negosyong pinapayagan, at pagmamay-ari ng alagang hayop.
**Mga Obligasyon ng Tagapagmana:**
* **Sumunod sa mga tipan:** Sa pagmamana ng ari-arian, ang mga tagapagmana ay napapatali sa umiiral na mga"&amp;" mahigpit na tipan, kahit na hindi nila alam ang mga ito noon pa man. Ang pagkabigong sumunod sa mga paghihigpit na ito ay maaaring magresulta sa mga legal na epekto.
* **Suriin ang mga dokumento:** Dapat na maingat na suriin ng mga tagapagmana ang kasul"&amp;"atan ng pag-aari, mga kasunduan sa HOA, at anumang iba pang nauugnay na dokumentong nagbabalangkas sa mga partikular na paghihigpit na kasunduan na naaangkop sa minanang ari-arian.
* **Humingi ng paglilinaw:** Kung mayroong anumang kalabuan hinggil sa in"&amp;"terpretasyon o aplikasyon ng mga tipan, ipinapayong kumunsulta sa isang abogado na dalubhasa sa batas ng real estate upang makakuha ng wastong paglilinaw at maiwasan ang anumang posibleng hindi pagkakaunawaan.
**Potensyal na Bunga ng Paglabag:**
* *"&amp;"*Mga aksyon sa pagpapatupad:** Ang mga asosasyon ng mga may-ari ng bahay o iba pang partido na may karapatang ipatupad ang mga tipan ay maaaring gumawa ng legal na aksyon laban sa mga tagapagmana na lumalabag sa mga paghihigpit. Maaaring kabilang dito ang"&amp;" pagpapalabas ng mga multa, paghingi ng mga injunction para maiwasan ang higit pang mga paglabag, o kahit na magsagawa ng legal na aksyon upang pilitin ang pagsunod.
* **Epekto sa halaga ng ari-arian:** Ang mga paglabag sa mga mahigpit na tipan ay maaari"&amp;"ng negatibong makaapekto sa halaga ng ari-arian, na nagpapahirap sa pagbebenta o pagrenta sa hinaharap.
**Mga Karagdagang Pagsasaalang-alang:**
* **Mga pagbabago sa mga tipan:** Ang pag-amyenda o pag-alis ng mga mahigpit na tipan ay maaaring posible"&amp;" sa pamamagitan ng isang kolektibong kasunduan sa lahat ng apektadong may-ari ng ari-arian. Gayunpaman, ito ay karaniwang nangangailangan ng pagsunod sa mga partikular na pamamaraan na nakabalangkas sa namamahala na mga dokumento at potensyal na pagkuha n"&amp;"g pag-apruba mula sa karamihan ng mga may-ari ng bahay sa loob ng komunidad.
* **Humihingi ng legal na payo:** Ang pagkonsulta sa isang abogado na dalubhasa sa batas sa real estate ay napakahalaga sa buong proseso. Maaari silang magpayo sa mga partikular"&amp;" na implikasyon ng mga paghihigpit na tipan sa iyong sitwasyon, mga potensyal na legal na panganib na kasangkot, at mga magagamit na opsyon para sa pagtugon sa anumang mga alalahanin o pag-navigate sa anumang mga kumplikadong maaaring lumitaw.
**Tandaa"&amp;"n:**
Ang impormasyong ito ay nagbibigay ng pangkalahatang pangkalahatang-ideya at hindi dapat ituring bilang legal na payo. Ang mga partikular na legal na implikasyon at kahihinatnan ng pagmamana ng ari-arian na may mga paghihigpit na tipan ay mag-iiba"&amp;"-iba depende sa uri ng mga tipan, mga dokumentong namamahala, at ang mga partikular na pangyayaring kasangkot. Ang pagkonsulta sa isang kwalipikadong abogado na dalubhasa sa batas ng real estate ay mahalaga upang makakuha ng iniangkop na payo at matiyak a"&amp;"ng pagsunod sa lahat ng naaangkop na legal na kinakailangan at maiwasan ang anumang potensyal na legal na isyu.")</f>
        <v>Ang pagmamana ng ari-arian sa Pilipinas na napapailalim sa mga mahigpit na tipan o mga paghihigpit sa gawa ay may mga partikular na legal na implikasyon na dapat maunawaan ng mga tagapagmana upang maiwasan ang paglabag sa mga kasunduang ito at mga potensyal na kahihinatnan. Narito ang isang breakdown:
**Pag-unawa sa Mga Mahigpit na Tipan:**
* **Kahulugan:** Ang mga mahigpit na tipan, na kilala rin bilang mga paghihigpit sa gawa, ay mga limitasyong inilagay sa paggamit, pagpapaunlad, o pagbabago ng isang ari-arian. Ang mga limitasyong ito ay karaniwang nakabalangkas sa mga kasunduan sa property deed o homeowners' association (HOA).
* **Mga Halimbawa:** Kasama sa mga karaniwang halimbawa ng mga paghihigpit na tipan ang mga paghihigpit sa taas ng gusali, istilo ng arkitektura, landscaping, mga uri ng negosyong pinapayagan, at pagmamay-ari ng alagang hayop.
**Mga Obligasyon ng Tagapagmana:**
* **Sumunod sa mga tipan:** Sa pagmamana ng ari-arian, ang mga tagapagmana ay napapatali sa umiiral na mga mahigpit na tipan, kahit na hindi nila alam ang mga ito noon pa man. Ang pagkabigong sumunod sa mga paghihigpit na ito ay maaaring magresulta sa mga legal na epekto.
* **Suriin ang mga dokumento:** Dapat na maingat na suriin ng mga tagapagmana ang kasulatan ng pag-aari, mga kasunduan sa HOA, at anumang iba pang nauugnay na dokumentong nagbabalangkas sa mga partikular na paghihigpit na kasunduan na naaangkop sa minanang ari-arian.
* **Humingi ng paglilinaw:** Kung mayroong anumang kalabuan hinggil sa interpretasyon o aplikasyon ng mga tipan, ipinapayong kumunsulta sa isang abogado na dalubhasa sa batas ng real estate upang makakuha ng wastong paglilinaw at maiwasan ang anumang posibleng hindi pagkakaunawaan.
**Potensyal na Bunga ng Paglabag:**
* **Mga aksyon sa pagpapatupad:** Ang mga asosasyon ng mga may-ari ng bahay o iba pang partido na may karapatang ipatupad ang mga tipan ay maaaring gumawa ng legal na aksyon laban sa mga tagapagmana na lumalabag sa mga paghihigpit. Maaaring kabilang dito ang pagpapalabas ng mga multa, paghingi ng mga injunction para maiwasan ang higit pang mga paglabag, o kahit na magsagawa ng legal na aksyon upang pilitin ang pagsunod.
* **Epekto sa halaga ng ari-arian:** Ang mga paglabag sa mga mahigpit na tipan ay maaaring negatibong makaapekto sa halaga ng ari-arian, na nagpapahirap sa pagbebenta o pagrenta sa hinaharap.
**Mga Karagdagang Pagsasaalang-alang:**
* **Mga pagbabago sa mga tipan:** Ang pag-amyenda o pag-alis ng mga mahigpit na tipan ay maaaring posible sa pamamagitan ng isang kolektibong kasunduan sa lahat ng apektadong may-ari ng ari-arian. Gayunpaman, ito ay karaniwang nangangailangan ng pagsunod sa mga partikular na pamamaraan na nakabalangkas sa namamahala na mga dokumento at potensyal na pagkuha ng pag-apruba mula sa karamihan ng mga may-ari ng bahay sa loob ng komunidad.
* **Humihingi ng legal na payo:** Ang pagkonsulta sa isang abogado na dalubhasa sa batas sa real estate ay napakahalaga sa buong proseso. Maaari silang magpayo sa mga partikular na implikasyon ng mga paghihigpit na tipan sa iyong sitwasyon, mga potensyal na legal na panganib na kasangkot, at mga magagamit na opsyon para sa pagtugon sa anumang mga alalahanin o pag-navigate sa anumang mga kumplikadong maaaring lumitaw.
**Tandaan:**
Ang impormasyong ito ay nagbibigay ng pangkalahatang pangkalahatang-ideya at hindi dapat ituring bilang legal na payo. Ang mga partikular na legal na implikasyon at kahihinatnan ng pagmamana ng ari-arian na may mga paghihigpit na tipan ay mag-iiba-iba depende sa uri ng mga tipan, mga dokumentong namamahala, at ang mga partikular na pangyayaring kasangkot. Ang pagkonsulta sa isang kwalipikadong abogado na dalubhasa sa batas ng real estate ay mahalaga upang makakuha ng iniangkop na payo at matiyak ang pagsunod sa lahat ng naaangkop na legal na kinakailangan at maiwasan ang anumang potensyal na legal na isyu.</v>
      </c>
      <c r="F397" s="2">
        <f t="shared" si="1"/>
        <v>0</v>
      </c>
      <c r="G397" s="2"/>
      <c r="H397" s="2"/>
      <c r="I397" s="2"/>
      <c r="J397" s="2"/>
      <c r="K397" s="2"/>
      <c r="L397" s="2"/>
      <c r="M397" s="2"/>
      <c r="N397" s="2"/>
      <c r="O397" s="2"/>
      <c r="P397" s="2"/>
      <c r="Q397" s="2"/>
      <c r="R397" s="2"/>
      <c r="S397" s="2"/>
      <c r="T397" s="2"/>
      <c r="U397" s="2"/>
      <c r="V397" s="2"/>
      <c r="W397" s="2"/>
      <c r="X397" s="2"/>
      <c r="Y397" s="2"/>
      <c r="Z397" s="2"/>
      <c r="AA397" s="2"/>
    </row>
    <row r="398">
      <c r="A398" s="1" t="s">
        <v>1224</v>
      </c>
      <c r="B398" s="1" t="s">
        <v>1476</v>
      </c>
      <c r="C398" s="1" t="s">
        <v>1477</v>
      </c>
      <c r="D398" s="1" t="s">
        <v>1478</v>
      </c>
      <c r="E398" s="2" t="str">
        <f>IFERROR(__xludf.DUMMYFUNCTION("GOOGLETRANSLATE(C398, ""en"", ""TL"")"),"## Epekto ng Pagbabago ng mga Batas at Regulasyon sa Mana
Ang mga pagbabago sa mga batas sa ari-arian at mga regulasyon sa buwis ay maaaring makabuluhang makaapekto sa proseso ng mana sa ilang paraan:
**1. Mga pagbabago sa mga karapatan sa mana:** M"&amp;"aaaring baguhin ng mga pagbabago sa batas ang legal na balangkas na namamahala sa mana, na posibleng makaapekto sa:
* **Intestate succession:** Ito ay tumutukoy sa pamamahagi ng mga asset kapag may namatay na walang testamento. Maaaring baguhin ng mga "&amp;"bagong batas ang mga default na bahagi ng pamamahagi na inilaan sa mga asawa, anak, at iba pang mga kamag-anak.
* **Mga karapatan ng asawa:** Ang mga pagbabago sa mga batas ay maaaring makaapekto sa mga karapatan sa mana ng mga nabubuhay na mag-asawa, na"&amp;" binabago ang kanilang karapatan sa isang partikular na bahagi ng ari-arian ng namatay.
**2. Mga pagsasaayos sa mga implikasyon sa buwis:** Ang mga pagbabago sa mga regulasyon sa buwis ay maaaring makaapekto sa proseso ng mana sa mga tuntunin ng:
* "&amp;"**Buwis sa ari-arian:** Ang mga pagbabago sa mga rate ng buwis, mga exemption, o mga pagbabawas ay maaaring makabuluhang baguhin ang kabuuang pasanin ng buwis sa mga minanang asset.
* **Capital gains tax:** Ang mga pagbabago sa mga regulasyon sa buwis sa"&amp;" capital gains ay maaaring makaapekto sa mga pananagutan sa buwis na nauugnay sa pagbebenta ng minanang ari-arian.
**3. Epekto sa mga diskarte sa pagpaplano ng ari-arian:** Ang mga pagbabagong ito ay nangangailangan ng mga pagsasaayos sa mga kasalukuya"&amp;"ng plano ng ari-arian upang matiyak na mananatiling epektibo ang mga ito at makamit ang mga ninanais na resulta sa liwanag ng bagong legal na tanawin.
## Mga Proactive na Hakbang para sa Pag-angkop sa Mga Plano ng Estate
Ang mga indibidwal ay maaari"&amp;"ng gumawa ng mga proactive na hakbang upang iakma ang kanilang mga plano sa ari-arian bilang tugon sa pagbabago ng mga batas at regulasyon:
**1. Regular na suriin ang mga plano sa ari-arian:** Mag-iskedyul ng mga pana-panahong pagsusuri ng iyong plano "&amp;"sa ari-arian, mas mabuti tuwing 3-5 taon, o sa tuwing may malalaking pagbabagong magaganap sa iyong mga personal na kalagayan, gaya ng kasal, pagsilang ng mga anak, o pagbabago sa kayamanan.
**2. Kumonsulta sa isang kwalipikadong abogado sa pagpaplano "&amp;"ng ari-arian:** Humingi ng propesyonal na patnubay mula sa isang abogadong dalubhasa sa pagpaplano ng ari-arian. Maaari nilang tasahin ang epekto ng kamakailang mga pagbabago sa batas at regulasyon sa iyong partikular na sitwasyon at magrekomenda ng mga n"&amp;"aaangkop na pagsasaayos sa iyong plano sa ari-arian.
**3. I-update ang mga dokumento sa pagpaplano ng ari-arian:** Batay sa mga rekomendasyon ng abogado, i-update ang iyong testamento, mga dokumento ng tiwala, mga pagtatalaga ng benepisyaryo, at iba pa"&amp;"ng nauugnay na mga dokumento sa pagpaplano ng ari-arian upang ipakita ang kasalukuyang legal na kapaligiran at tiyaking naaayon ang mga ito sa iyong mga kagustuhan.
**4. Isaalang-alang ang pagsasama ng flexibility:** Kapag nag-draft o nirebisa ang iyon"&amp;"g estate plan, isaalang-alang ang pagsasama ng mga elemento ng flexibility upang umangkop sa mga pagbabago sa hinaharap sa mga batas at regulasyon. Maaaring kabilang dito ang paggamit ng mga sugnay na tumutukoy sa ""mga kasalukuyang batas"" o pagsasama ng"&amp;" mga probisyon na nagbibigay-daan para sa mga pagsasaayos batay sa mga hindi inaasahang pangyayari.
**5. Makipag-ugnayan sa mga benepisyaryo:** Talakayin ang iyong estate plan at anumang mga update sa iyong mga itinalagang benepisyaryo upang matiyak na"&amp;" nauunawaan nila ang kanilang mga tungkulin at responsibilidad at maiwasan ang anumang pagkalito o hindi pagkakaunawaan sa hinaharap.
Sa pamamagitan ng pagsasagawa ng mga proactive na hakbang na ito, matitiyak ng mga indibidwal na mananatiling epektibo"&amp;" ang kanilang mga plano sa ari-arian at naaayon sa kanilang mga kagustuhan, kahit na sa harap ng umuusbong na mga legal at regulasyong landscape. Tandaan, ang pagkonsulta sa isang kwalipikadong abogado sa pagpaplano ng ari-arian ay napakahalaga upang ma-n"&amp;"avigate ang mga kumplikado ng mga batas at regulasyon sa mana at maiangkop ang iyong plano sa iyong mga partikular na pangangailangan at kalagayan.")</f>
        <v>## Epekto ng Pagbabago ng mga Batas at Regulasyon sa Mana
Ang mga pagbabago sa mga batas sa ari-arian at mga regulasyon sa buwis ay maaaring makabuluhang makaapekto sa proseso ng mana sa ilang paraan:
**1. Mga pagbabago sa mga karapatan sa mana:** Maaaring baguhin ng mga pagbabago sa batas ang legal na balangkas na namamahala sa mana, na posibleng makaapekto sa:
* **Intestate succession:** Ito ay tumutukoy sa pamamahagi ng mga asset kapag may namatay na walang testamento. Maaaring baguhin ng mga bagong batas ang mga default na bahagi ng pamamahagi na inilaan sa mga asawa, anak, at iba pang mga kamag-anak.
* **Mga karapatan ng asawa:** Ang mga pagbabago sa mga batas ay maaaring makaapekto sa mga karapatan sa mana ng mga nabubuhay na mag-asawa, na binabago ang kanilang karapatan sa isang partikular na bahagi ng ari-arian ng namatay.
**2. Mga pagsasaayos sa mga implikasyon sa buwis:** Ang mga pagbabago sa mga regulasyon sa buwis ay maaaring makaapekto sa proseso ng mana sa mga tuntunin ng:
* **Buwis sa ari-arian:** Ang mga pagbabago sa mga rate ng buwis, mga exemption, o mga pagbabawas ay maaaring makabuluhang baguhin ang kabuuang pasanin ng buwis sa mga minanang asset.
* **Capital gains tax:** Ang mga pagbabago sa mga regulasyon sa buwis sa capital gains ay maaaring makaapekto sa mga pananagutan sa buwis na nauugnay sa pagbebenta ng minanang ari-arian.
**3. Epekto sa mga diskarte sa pagpaplano ng ari-arian:** Ang mga pagbabagong ito ay nangangailangan ng mga pagsasaayos sa mga kasalukuyang plano ng ari-arian upang matiyak na mananatiling epektibo ang mga ito at makamit ang mga ninanais na resulta sa liwanag ng bagong legal na tanawin.
## Mga Proactive na Hakbang para sa Pag-angkop sa Mga Plano ng Estate
Ang mga indibidwal ay maaaring gumawa ng mga proactive na hakbang upang iakma ang kanilang mga plano sa ari-arian bilang tugon sa pagbabago ng mga batas at regulasyon:
**1. Regular na suriin ang mga plano sa ari-arian:** Mag-iskedyul ng mga pana-panahong pagsusuri ng iyong plano sa ari-arian, mas mabuti tuwing 3-5 taon, o sa tuwing may malalaking pagbabagong magaganap sa iyong mga personal na kalagayan, gaya ng kasal, pagsilang ng mga anak, o pagbabago sa kayamanan.
**2. Kumonsulta sa isang kwalipikadong abogado sa pagpaplano ng ari-arian:** Humingi ng propesyonal na patnubay mula sa isang abogadong dalubhasa sa pagpaplano ng ari-arian. Maaari nilang tasahin ang epekto ng kamakailang mga pagbabago sa batas at regulasyon sa iyong partikular na sitwasyon at magrekomenda ng mga naaangkop na pagsasaayos sa iyong plano sa ari-arian.
**3. I-update ang mga dokumento sa pagpaplano ng ari-arian:** Batay sa mga rekomendasyon ng abogado, i-update ang iyong testamento, mga dokumento ng tiwala, mga pagtatalaga ng benepisyaryo, at iba pang nauugnay na mga dokumento sa pagpaplano ng ari-arian upang ipakita ang kasalukuyang legal na kapaligiran at tiyaking naaayon ang mga ito sa iyong mga kagustuhan.
**4. Isaalang-alang ang pagsasama ng flexibility:** Kapag nag-draft o nirebisa ang iyong estate plan, isaalang-alang ang pagsasama ng mga elemento ng flexibility upang umangkop sa mga pagbabago sa hinaharap sa mga batas at regulasyon. Maaaring kabilang dito ang paggamit ng mga sugnay na tumutukoy sa "mga kasalukuyang batas" o pagsasama ng mga probisyon na nagbibigay-daan para sa mga pagsasaayos batay sa mga hindi inaasahang pangyayari.
**5. Makipag-ugnayan sa mga benepisyaryo:** Talakayin ang iyong estate plan at anumang mga update sa iyong mga itinalagang benepisyaryo upang matiyak na nauunawaan nila ang kanilang mga tungkulin at responsibilidad at maiwasan ang anumang pagkalito o hindi pagkakaunawaan sa hinaharap.
Sa pamamagitan ng pagsasagawa ng mga proactive na hakbang na ito, matitiyak ng mga indibidwal na mananatiling epektibo ang kanilang mga plano sa ari-arian at naaayon sa kanilang mga kagustuhan, kahit na sa harap ng umuusbong na mga legal at regulasyong landscape. Tandaan, ang pagkonsulta sa isang kwalipikadong abogado sa pagpaplano ng ari-arian ay napakahalaga upang ma-navigate ang mga kumplikado ng mga batas at regulasyon sa mana at maiangkop ang iyong plano sa iyong mga partikular na pangangailangan at kalagayan.</v>
      </c>
      <c r="F398" s="2">
        <f t="shared" si="1"/>
        <v>0</v>
      </c>
      <c r="G398" s="2"/>
      <c r="H398" s="2"/>
      <c r="I398" s="2"/>
      <c r="J398" s="2"/>
      <c r="K398" s="2"/>
      <c r="L398" s="2"/>
      <c r="M398" s="2"/>
      <c r="N398" s="2"/>
      <c r="O398" s="2"/>
      <c r="P398" s="2"/>
      <c r="Q398" s="2"/>
      <c r="R398" s="2"/>
      <c r="S398" s="2"/>
      <c r="T398" s="2"/>
      <c r="U398" s="2"/>
      <c r="V398" s="2"/>
      <c r="W398" s="2"/>
      <c r="X398" s="2"/>
      <c r="Y398" s="2"/>
      <c r="Z398" s="2"/>
      <c r="AA398" s="2"/>
    </row>
    <row r="399">
      <c r="A399" s="1" t="s">
        <v>1224</v>
      </c>
      <c r="B399" s="1" t="s">
        <v>1479</v>
      </c>
      <c r="C399" s="1" t="s">
        <v>1480</v>
      </c>
      <c r="D399" s="1" t="s">
        <v>1481</v>
      </c>
      <c r="E399" s="2" t="str">
        <f>IFERROR(__xludf.DUMMYFUNCTION("GOOGLETRANSLATE(C399, ""en"", ""TL"")"),"Ang pagmamana ng ari-arian sa Pilipinas ay lalong nagiging intertwined sa lumalaking larangan ng mga digital asset, na nagpapakita ng parehong mga pagkakataon at hamon. Narito ang isang pangkalahatang-ideya ng intersection na ito at ang mga legal na pagsa"&amp;"saalang-alang na dapat malaman ng mga tagapagmana:
**1. Digital Assets bilang Inheritable Property:**
* **Nagbabagong legal na tanawin:** Bagama't hindi tahasang tinutugunan ng mga batas ng Pilipinas ang pamana ng mga digital na asset tulad ng virtual rea"&amp;"l estate o cryptocurrency, mas kinikilala ang mga ito bilang mahalagang ari-arian na may mga karapatan na namamana.
* **Intention at designation:** Katulad ng mga tradisyonal na asset, ang susi ay nasa malinaw na pagpapahayag ng iyong intensyon tungkol sa"&amp;" inheritance ng iyong mga digital asset. Ito ay maaaring makamit sa pamamagitan ng:
* **Kabilang ang mga ito sa iyong kalooban:** Malinaw na banggitin ang iyong mga digital na asset at magtalaga ng mga benepisyaryo upang mamanahin ang mga ito.
* **Pagtuko"&amp;"y sa mga detalye ng pag-access:** Magbigay ng mga secure na tagubilin para sa pag-access sa iyong mga digital na asset, kabilang ang mga password, kredensyal sa pag-log in, o mga recovery key, sa isang pinagkakatiwalaang lokasyong naa-access ng iyong taga"&amp;"pagpatupad o mga itinalagang indibidwal.
**2. Mga Legal na Pagsasaalang-alang para sa mga Tagapagmana:**
* **Pag-access at pamamahala ng mga asset:** Maaaring humarap ang mga tagapagmana sa pag-access at pamamahala ng mga minanang digital asset dahil sa:
"&amp;"* **Mga paghihigpit sa platform:** Maaaring may mga limitasyon ang ilang platform sa paglilipat ng pagmamay-ari ng mga digital na asset sa pagkamatay, na nangangailangan ng mga partikular na pamamaraan o pakikipag-ugnayan sa provider.
* **Mga teknikal na "&amp;"kumplikado:** Ang pag-unawa at pag-access sa mga partikular na platform, wallet, o mekanismo ng storage na nauugnay sa mga digital na asset ay maaaring mangailangan ng teknikal na kadalubhasaan.
* **Mahalaga ang legal na payo:** Inirerekomenda ang pagkons"&amp;"ulta sa isang abogado na dalubhasa sa digital asset inheritance para i-navigate ang mga legal na kumplikado, maunawaan ang iyong mga karapatan at responsibilidad bilang tagapagmana, at matiyak ang wastong pangangasiwa sa mga minanang digital asset.
**3. M"&amp;"ga Karagdagang Punto na Dapat Isaalang-alang:**
* **Mga implikasyon sa buwis:** Depende sa uri at halaga ng minanang digital asset, maaaring magkaroon ng mga pananagutan sa buwis. Makakatulong ang paghingi ng patnubay mula sa isang tax advisor na matiyak "&amp;"ang pagsunod sa mga nauugnay na regulasyon sa buwis.
* **Mga umuusbong na regulasyon:** Ang legal na balangkas na nakapalibot sa mga digital na asset ay patuloy na nagbabago. Ang pagkakaroon ng kaalaman tungkol sa mga nauugnay na update at paghingi ng pro"&amp;"pesyonal na payo ay makakatulong sa iyong epektibong mag-navigate sa mga kumplikado.
**Tandaan:**
Ang impormasyong ito ay nagbibigay ng pangkalahatang pangkalahatang-ideya at hindi dapat ituring bilang legal na payo. Maaaring mag-iba-iba ang mga partikula"&amp;"r na legal na pagsasaalang-alang at prosesong nakapalibot sa pagmamana ng mga digital na asset depende sa likas na katangian ng mga asset, patakaran ng platform, at nagbabagong regulasyon. Ang pagkonsulta sa isang kwalipikadong abogado na dalubhasa sa dig"&amp;"ital asset inheritance ay napakahalaga para maunawaan ang iyong mga karapatan at obligasyon, mabisang mag-navigate sa mga legalidad, at matiyak ang maayos na paglilipat ng mga minanang digital asset.")</f>
        <v>Ang pagmamana ng ari-arian sa Pilipinas ay lalong nagiging intertwined sa lumalaking larangan ng mga digital asset, na nagpapakita ng parehong mga pagkakataon at hamon. Narito ang isang pangkalahatang-ideya ng intersection na ito at ang mga legal na pagsasaalang-alang na dapat malaman ng mga tagapagmana:
**1. Digital Assets bilang Inheritable Property:**
* **Nagbabagong legal na tanawin:** Bagama't hindi tahasang tinutugunan ng mga batas ng Pilipinas ang pamana ng mga digital na asset tulad ng virtual real estate o cryptocurrency, mas kinikilala ang mga ito bilang mahalagang ari-arian na may mga karapatan na namamana.
* **Intention at designation:** Katulad ng mga tradisyonal na asset, ang susi ay nasa malinaw na pagpapahayag ng iyong intensyon tungkol sa inheritance ng iyong mga digital asset. Ito ay maaaring makamit sa pamamagitan ng:
* **Kabilang ang mga ito sa iyong kalooban:** Malinaw na banggitin ang iyong mga digital na asset at magtalaga ng mga benepisyaryo upang mamanahin ang mga ito.
* **Pagtukoy sa mga detalye ng pag-access:** Magbigay ng mga secure na tagubilin para sa pag-access sa iyong mga digital na asset, kabilang ang mga password, kredensyal sa pag-log in, o mga recovery key, sa isang pinagkakatiwalaang lokasyong naa-access ng iyong tagapagpatupad o mga itinalagang indibidwal.
**2. Mga Legal na Pagsasaalang-alang para sa mga Tagapagmana:**
* **Pag-access at pamamahala ng mga asset:** Maaaring humarap ang mga tagapagmana sa pag-access at pamamahala ng mga minanang digital asset dahil sa:
* **Mga paghihigpit sa platform:** Maaaring may mga limitasyon ang ilang platform sa paglilipat ng pagmamay-ari ng mga digital na asset sa pagkamatay, na nangangailangan ng mga partikular na pamamaraan o pakikipag-ugnayan sa provider.
* **Mga teknikal na kumplikado:** Ang pag-unawa at pag-access sa mga partikular na platform, wallet, o mekanismo ng storage na nauugnay sa mga digital na asset ay maaaring mangailangan ng teknikal na kadalubhasaan.
* **Mahalaga ang legal na payo:** Inirerekomenda ang pagkonsulta sa isang abogado na dalubhasa sa digital asset inheritance para i-navigate ang mga legal na kumplikado, maunawaan ang iyong mga karapatan at responsibilidad bilang tagapagmana, at matiyak ang wastong pangangasiwa sa mga minanang digital asset.
**3. Mga Karagdagang Punto na Dapat Isaalang-alang:**
* **Mga implikasyon sa buwis:** Depende sa uri at halaga ng minanang digital asset, maaaring magkaroon ng mga pananagutan sa buwis. Makakatulong ang paghingi ng patnubay mula sa isang tax advisor na matiyak ang pagsunod sa mga nauugnay na regulasyon sa buwis.
* **Mga umuusbong na regulasyon:** Ang legal na balangkas na nakapalibot sa mga digital na asset ay patuloy na nagbabago. Ang pagkakaroon ng kaalaman tungkol sa mga nauugnay na update at paghingi ng propesyonal na payo ay makakatulong sa iyong epektibong mag-navigate sa mga kumplikado.
**Tandaan:**
Ang impormasyong ito ay nagbibigay ng pangkalahatang pangkalahatang-ideya at hindi dapat ituring bilang legal na payo. Maaaring mag-iba-iba ang mga partikular na legal na pagsasaalang-alang at prosesong nakapalibot sa pagmamana ng mga digital na asset depende sa likas na katangian ng mga asset, patakaran ng platform, at nagbabagong regulasyon. Ang pagkonsulta sa isang kwalipikadong abogado na dalubhasa sa digital asset inheritance ay napakahalaga para maunawaan ang iyong mga karapatan at obligasyon, mabisang mag-navigate sa mga legalidad, at matiyak ang maayos na paglilipat ng mga minanang digital asset.</v>
      </c>
      <c r="F399" s="2">
        <f t="shared" si="1"/>
        <v>0</v>
      </c>
      <c r="G399" s="2"/>
      <c r="H399" s="2"/>
      <c r="I399" s="2"/>
      <c r="J399" s="2"/>
      <c r="K399" s="2"/>
      <c r="L399" s="2"/>
      <c r="M399" s="2"/>
      <c r="N399" s="2"/>
      <c r="O399" s="2"/>
      <c r="P399" s="2"/>
      <c r="Q399" s="2"/>
      <c r="R399" s="2"/>
      <c r="S399" s="2"/>
      <c r="T399" s="2"/>
      <c r="U399" s="2"/>
      <c r="V399" s="2"/>
      <c r="W399" s="2"/>
      <c r="X399" s="2"/>
      <c r="Y399" s="2"/>
      <c r="Z399" s="2"/>
      <c r="AA399" s="2"/>
    </row>
    <row r="400">
      <c r="A400" s="1" t="s">
        <v>1224</v>
      </c>
      <c r="B400" s="1" t="s">
        <v>1482</v>
      </c>
      <c r="C400" s="1" t="s">
        <v>1483</v>
      </c>
      <c r="D400" s="1" t="s">
        <v>1484</v>
      </c>
      <c r="E400" s="2" t="str">
        <f>IFERROR(__xludf.DUMMYFUNCTION("GOOGLETRANSLATE(C400, ""en"", ""TL"")"),"Sa Pilipinas, ang mga tagapagmana ay may ilang legal na mekanismong magagamit para ilipat ang pagmamay-ari ng minanang ari-arian sa isang tiwala ng pamilya para sa pangmatagalang pamamahala. Narito ang dalawang pinakakaraniwang opsyon:
**1. Deed of Sal"&amp;"e:**
* **Paglipat ng pagmamay-ari:** Ang mga tagapagmana ay maaaring magsagawa ng Deed of Sale, na ilipat ang kanilang mga indibidwal na karapatan sa pagmamay-ari sa minanang ari-arian sa trust ng pamilya. Ang dokumentong ito ay dapat na notarized at n"&amp;"akarehistro sa naaangkop na Registry of Deeds upang pormal na ilipat ang legal na pagmamay-ari.
* **Mga implikasyon sa buwis:** Depende sa halaga ng ari-arian at ang relasyon sa pagitan ng mga tagapagmana at ng tiwala, maaaring malapat ang buwis sa capit"&amp;"al gains o buwis ng donor. Ang pagkonsulta sa isang tax advisor ay napakahalaga upang maunawaan ang mga potensyal na pananagutan sa buwis at matiyak ang pagsunod sa mga nauugnay na regulasyon.
* **Kakayahang umangkop:** Nagbibigay-daan ang opsyong ito pa"&amp;"ra sa pag-angkop sa mga tuntunin ng pagbebenta, na posibleng kabilang ang mga pagsasaalang-alang tulad ng mga nominal na presyo ng pagbili upang mabawasan ang mga implikasyon sa buwis, o mga pagbabayad ng installment kung naaangkop.
**2. Extrajudicial "&amp;"Settlement of Estate na may Trust Provision:**
* **Pagsasama-sama ng mga proseso:** Kung ang mga tagapagmana ay hindi pa nakakatanggap ng mga indibidwal na titulo sa pamamagitan ng isang Extrajudicial Settlement of Estate (ESE), maaari silang magsama n"&amp;"g probisyon sa loob ng dokumento ng ESE na direktang naglilipat ng pagmamay-ari sa trust ng pamilya kapag naaprubahan ito ng korte .
* **Na-streamline na proseso:** Ang opsyong ito ay maaaring makatipid ng oras at mga mapagkukunan sa pamamagitan ng pagsa"&amp;"sama-sama ng proseso ng pag-areglo ng mana sa paglipat sa trust.
* **Kinakailangan ang pag-apruba ng korte:** Ang pagsasama ng probisyon ng tiwala sa ESE ay nangangailangan ng pag-apruba ng korte, pagdaragdag ng karagdagang hakbang sa proseso.
**Mga K"&amp;"aragdagang Pagsasaalang-alang:**
* **Trust Deed:** Anuman ang napiling mekanismo, ang isang maayos na draft na Trust Deed ay mahalaga. Binabalangkas ng dokumentong ito ang layunin ng trust, itinalaga ang mga benepisyaryo, tinutukoy ang mga kapangyariha"&amp;"n at tungkulin ng trustee, at tinutukoy kung paano pamamahalaan at ipamahagi ang trust property.
* **Legal na tagapayo:** Ang pagkonsulta sa isang abogado na dalubhasa sa estate planning at trust law ay lubos na inirerekomenda. Maaari ka nilang gabayan s"&amp;"a mga legal na kumplikadong kasangkot, payuhan ang pinakaangkop na opsyon batay sa iyong mga partikular na kalagayan, at tiyaking ang piniling proseso ay sumusunod sa lahat ng naaangkop na legal na kinakailangan.
Mahalagang tandaan na ang impormasyong "&amp;"ito ay nagbibigay ng pangkalahatang pangkalahatang-ideya at hindi dapat ituring bilang legal na payo. Ang mga partikular na legal na mekanismo at prosesong kasangkot sa paglilipat ng minanang ari-arian sa isang tiwala ng pamilya ay maaaring mag-iba depend"&amp;"e sa mga kalagayan ng bawat kaso. Ang pagkonsulta sa isang kwalipikadong abogado ay mahalaga upang matiyak ang isang maayos at matagumpay na paglipat, mabawasan ang mga potensyal na legal at mga komplikasyon sa buwis, at makamit ang iyong ninanais na mga "&amp;"layunin sa pagpaplano ng ari-arian.")</f>
        <v>Sa Pilipinas, ang mga tagapagmana ay may ilang legal na mekanismong magagamit para ilipat ang pagmamay-ari ng minanang ari-arian sa isang tiwala ng pamilya para sa pangmatagalang pamamahala. Narito ang dalawang pinakakaraniwang opsyon:
**1. Deed of Sale:**
* **Paglipat ng pagmamay-ari:** Ang mga tagapagmana ay maaaring magsagawa ng Deed of Sale, na ilipat ang kanilang mga indibidwal na karapatan sa pagmamay-ari sa minanang ari-arian sa trust ng pamilya. Ang dokumentong ito ay dapat na notarized at nakarehistro sa naaangkop na Registry of Deeds upang pormal na ilipat ang legal na pagmamay-ari.
* **Mga implikasyon sa buwis:** Depende sa halaga ng ari-arian at ang relasyon sa pagitan ng mga tagapagmana at ng tiwala, maaaring malapat ang buwis sa capital gains o buwis ng donor. Ang pagkonsulta sa isang tax advisor ay napakahalaga upang maunawaan ang mga potensyal na pananagutan sa buwis at matiyak ang pagsunod sa mga nauugnay na regulasyon.
* **Kakayahang umangkop:** Nagbibigay-daan ang opsyong ito para sa pag-angkop sa mga tuntunin ng pagbebenta, na posibleng kabilang ang mga pagsasaalang-alang tulad ng mga nominal na presyo ng pagbili upang mabawasan ang mga implikasyon sa buwis, o mga pagbabayad ng installment kung naaangkop.
**2. Extrajudicial Settlement of Estate na may Trust Provision:**
* **Pagsasama-sama ng mga proseso:** Kung ang mga tagapagmana ay hindi pa nakakatanggap ng mga indibidwal na titulo sa pamamagitan ng isang Extrajudicial Settlement of Estate (ESE), maaari silang magsama ng probisyon sa loob ng dokumento ng ESE na direktang naglilipat ng pagmamay-ari sa trust ng pamilya kapag naaprubahan ito ng korte .
* **Na-streamline na proseso:** Ang opsyong ito ay maaaring makatipid ng oras at mga mapagkukunan sa pamamagitan ng pagsasama-sama ng proseso ng pag-areglo ng mana sa paglipat sa trust.
* **Kinakailangan ang pag-apruba ng korte:** Ang pagsasama ng probisyon ng tiwala sa ESE ay nangangailangan ng pag-apruba ng korte, pagdaragdag ng karagdagang hakbang sa proseso.
**Mga Karagdagang Pagsasaalang-alang:**
* **Trust Deed:** Anuman ang napiling mekanismo, ang isang maayos na draft na Trust Deed ay mahalaga. Binabalangkas ng dokumentong ito ang layunin ng trust, itinalaga ang mga benepisyaryo, tinutukoy ang mga kapangyarihan at tungkulin ng trustee, at tinutukoy kung paano pamamahalaan at ipamahagi ang trust property.
* **Legal na tagapayo:** Ang pagkonsulta sa isang abogado na dalubhasa sa estate planning at trust law ay lubos na inirerekomenda. Maaari ka nilang gabayan sa mga legal na kumplikadong kasangkot, payuhan ang pinakaangkop na opsyon batay sa iyong mga partikular na kalagayan, at tiyaking ang piniling proseso ay sumusunod sa lahat ng naaangkop na legal na kinakailangan.
Mahalagang tandaan na ang impormasyong ito ay nagbibigay ng pangkalahatang pangkalahatang-ideya at hindi dapat ituring bilang legal na payo. Ang mga partikular na legal na mekanismo at prosesong kasangkot sa paglilipat ng minanang ari-arian sa isang tiwala ng pamilya ay maaaring mag-iba depende sa mga kalagayan ng bawat kaso. Ang pagkonsulta sa isang kwalipikadong abogado ay mahalaga upang matiyak ang isang maayos at matagumpay na paglipat, mabawasan ang mga potensyal na legal at mga komplikasyon sa buwis, at makamit ang iyong ninanais na mga layunin sa pagpaplano ng ari-arian.</v>
      </c>
      <c r="F400" s="2">
        <f t="shared" si="1"/>
        <v>0</v>
      </c>
      <c r="G400" s="2"/>
      <c r="H400" s="2"/>
      <c r="I400" s="2"/>
      <c r="J400" s="2"/>
      <c r="K400" s="2"/>
      <c r="L400" s="2"/>
      <c r="M400" s="2"/>
      <c r="N400" s="2"/>
      <c r="O400" s="2"/>
      <c r="P400" s="2"/>
      <c r="Q400" s="2"/>
      <c r="R400" s="2"/>
      <c r="S400" s="2"/>
      <c r="T400" s="2"/>
      <c r="U400" s="2"/>
      <c r="V400" s="2"/>
      <c r="W400" s="2"/>
      <c r="X400" s="2"/>
      <c r="Y400" s="2"/>
      <c r="Z400" s="2"/>
      <c r="AA400" s="2"/>
    </row>
    <row r="401">
      <c r="A401" s="1" t="s">
        <v>1224</v>
      </c>
      <c r="B401" s="1" t="s">
        <v>1485</v>
      </c>
      <c r="C401" s="1" t="s">
        <v>1486</v>
      </c>
      <c r="D401" s="1" t="s">
        <v>1487</v>
      </c>
      <c r="E401" s="2" t="str">
        <f>IFERROR(__xludf.DUMMYFUNCTION("GOOGLETRANSLATE(C401, ""en"", ""TL"")"),"Sa Pilipinas, ang pagtiyak ng maayos na paglipat ng mga negosyong pag-aari ng pamilya na nakatali sa minanang ari-arian sa susunod na henerasyon ay nangangailangan ng maingat na pagpaplano at kumbinasyon ng mga legal na estratehiya. Narito ang ilang pangu"&amp;"nahing pagsasaalang-alang:
**1. Maagang Pagpaplano at Komunikasyon:**
* **Bukas na komunikasyon:** Magsimula ng bukas at malinaw na komunikasyon sa mga miyembro ng pamilya na kasangkot sa negosyo at mga potensyal na tagapagmana nang maaga sa anumang pagli"&amp;"pat. Talakayin ang mga plano sa hinaharap, mga layunin ng paghalili, at mga indibidwal na adhikain.
* **Estate planning:** Makipagtulungan sa isang abogado na dalubhasa sa estate planning at business law para bumuo ng isang komprehensibong estate plan na "&amp;"tumutugon sa mga partikular na pangangailangan ng negosyo ng pamilya. Dapat isaalang-alang ng planong ito ang:
* **Succession plan:** Malinaw na tukuyin ang proseso para sa paglilipat ng pagmamay-ari at mga responsibilidad sa pamamahala sa susunod na hene"&amp;"rasyon. Maaaring kabilang dito ang pagtatalaga ng mga partikular na indibidwal na humalili sa mga pangunahing tungkulin o pagbalangkas ng timeline para sa mga phased transition.
* **Buy-sell agreement:** Magtatag ng buy-sell agreement sa pagitan ng mga mi"&amp;"yembro ng pamilya upang matiyak ang isang patas at transparent na mekanismo para sa pagtukoy sa halaga ng negosyo at pagtugon sa mga potensyal na hindi pagkakasundo sa panahon ng paglipat ng pagmamay-ari.
* **Mga implikasyon sa buwis:** Isaalang-alang ang"&amp;" mga potensyal na kahihinatnan sa buwis ng paglilipat ng pagmamay-ari, tulad ng buwis sa capital gains o buwis sa ari-arian, at bumuo ng mga estratehiya upang mabawasan ang mga pasanin na ito.
**2. Mga Legal na Istraktura:**
* **Pagtitiwala ng pamilya:** "&amp;"Ang pagtatatag ng tiwala ng pamilya ay maaaring maging isang mahalagang tool para sa pamamahala sa pagmamay-ari at kontrol ng negosyo habang tinitiyak ang patuloy na operasyon nito para sa kapakinabangan ng mga susunod na henerasyon. Maaaring hawakan ng t"&amp;"rust ang pagmamay-ari ng ari-arian at mga asset ng negosyo, na may mga itinalagang trustee na namamahala sa mga ito ayon sa mga tuntuning nakabalangkas sa trust deed.
* **Incorporation:** Isaalang-alang ang pagsasama ng negosyo ng pamilya bilang isang hiw"&amp;"alay na legal na entity. Maaari itong magbigay ng iba't ibang benepisyo kabilang ang:
* **Limitadong pananagutan:** Pinoprotektahan ang mga personal na asset ng mga miyembro ng pamilya mula sa mga pananagutan sa negosyo.
* **Malinaw na istraktura ng pagma"&amp;"may-ari:** Tinutukoy ang mga karapatan sa pagmamay-ari at pinapadali ang paglipat ng mga bahagi sa susunod na henerasyon.
* **Pagpaplano ng sunud-sunod:** Ang pagsasama ay nagbibigay-daan para sa pagtatatag ng mga malinaw na mekanismo para sa paglilipat n"&amp;"g pagmamay-ari at kontrol sa pamamahala sa pamamagitan ng mga kasunduan sa shareholder o mga desisyon ng board of directors.
**3. Propesyonal na Patnubay:**
* **Legal na tagapayo:** Ang pagkonsulta sa isang abogado sa buong proseso ay mahalaga upang matiy"&amp;"ak ang pagsunod sa lahat ng nauugnay na batas at regulasyon, mag-navigate sa mga potensyal na legal na kumplikado, at mag-draft ng mga kinakailangang legal na dokumento tulad ng mga will, trust deed, at buy-sell agreement.
* **Financial advisor:** Humingi"&amp;" ng patnubay mula sa isang financial advisor na dalubhasa sa mga negosyong pag-aari ng pamilya. Maaari silang magbigay ng mahahalagang insight sa pagpaplano sa pananalapi, mga diskarte sa buwis, at pagpapahalaga ng negosyo para sa maayos na paglipat ng pa"&amp;"gmamay-ari.
**4. Komunikasyon at Edukasyon:**
* **Patuloy na komunikasyon:** Panatilihin ang bukas na komunikasyon sa mga miyembro ng pamilya na kasangkot sa negosyo, pinapanatili silang alam ang tungkol sa pag-unlad, pagtugon sa anumang mga alalahanin, a"&amp;"t pagpapatibay ng pakikipagtulungan sa buong proseso ng paglipat.
* **Edukasyon at pagsasanay:** Kung interesado ang mga miyembro ng pamilya na gampanan ang mga tungkulin ng pamumuno sa loob ng negosyo, isaalang-alang ang pagbibigay sa kanila ng mga pagka"&amp;"kataon para sa edukasyon, pagsasanay, at mentorship upang bumuo ng mga kinakailangang kasanayan at kaalaman para sa matagumpay na pamumuno.
Tandaan, ang isang matagumpay na paglipat ay nangangailangan ng maingat na pagpaplano, bukas na komunikasyon, at pr"&amp;"opesyonal na patnubay na iniayon sa mga partikular na kalagayan ng pamilya at ng negosyo. Sa pamamagitan ng paggamit ng mga estratehiyang ito at paghingi ng ekspertong payo, matitiyak ng mga pamilya ang maayos at napapanatiling paglipat ng kanilang pamana"&amp;" sa mga susunod na henerasyon.")</f>
        <v>Sa Pilipinas, ang pagtiyak ng maayos na paglipat ng mga negosyong pag-aari ng pamilya na nakatali sa minanang ari-arian sa susunod na henerasyon ay nangangailangan ng maingat na pagpaplano at kumbinasyon ng mga legal na estratehiya. Narito ang ilang pangunahing pagsasaalang-alang:
**1. Maagang Pagpaplano at Komunikasyon:**
* **Bukas na komunikasyon:** Magsimula ng bukas at malinaw na komunikasyon sa mga miyembro ng pamilya na kasangkot sa negosyo at mga potensyal na tagapagmana nang maaga sa anumang paglipat. Talakayin ang mga plano sa hinaharap, mga layunin ng paghalili, at mga indibidwal na adhikain.
* **Estate planning:** Makipagtulungan sa isang abogado na dalubhasa sa estate planning at business law para bumuo ng isang komprehensibong estate plan na tumutugon sa mga partikular na pangangailangan ng negosyo ng pamilya. Dapat isaalang-alang ng planong ito ang:
* **Succession plan:** Malinaw na tukuyin ang proseso para sa paglilipat ng pagmamay-ari at mga responsibilidad sa pamamahala sa susunod na henerasyon. Maaaring kabilang dito ang pagtatalaga ng mga partikular na indibidwal na humalili sa mga pangunahing tungkulin o pagbalangkas ng timeline para sa mga phased transition.
* **Buy-sell agreement:** Magtatag ng buy-sell agreement sa pagitan ng mga miyembro ng pamilya upang matiyak ang isang patas at transparent na mekanismo para sa pagtukoy sa halaga ng negosyo at pagtugon sa mga potensyal na hindi pagkakasundo sa panahon ng paglipat ng pagmamay-ari.
* **Mga implikasyon sa buwis:** Isaalang-alang ang mga potensyal na kahihinatnan sa buwis ng paglilipat ng pagmamay-ari, tulad ng buwis sa capital gains o buwis sa ari-arian, at bumuo ng mga estratehiya upang mabawasan ang mga pasanin na ito.
**2. Mga Legal na Istraktura:**
* **Pagtitiwala ng pamilya:** Ang pagtatatag ng tiwala ng pamilya ay maaaring maging isang mahalagang tool para sa pamamahala sa pagmamay-ari at kontrol ng negosyo habang tinitiyak ang patuloy na operasyon nito para sa kapakinabangan ng mga susunod na henerasyon. Maaaring hawakan ng trust ang pagmamay-ari ng ari-arian at mga asset ng negosyo, na may mga itinalagang trustee na namamahala sa mga ito ayon sa mga tuntuning nakabalangkas sa trust deed.
* **Incorporation:** Isaalang-alang ang pagsasama ng negosyo ng pamilya bilang isang hiwalay na legal na entity. Maaari itong magbigay ng iba't ibang benepisyo kabilang ang:
* **Limitadong pananagutan:** Pinoprotektahan ang mga personal na asset ng mga miyembro ng pamilya mula sa mga pananagutan sa negosyo.
* **Malinaw na istraktura ng pagmamay-ari:** Tinutukoy ang mga karapatan sa pagmamay-ari at pinapadali ang paglipat ng mga bahagi sa susunod na henerasyon.
* **Pagpaplano ng sunud-sunod:** Ang pagsasama ay nagbibigay-daan para sa pagtatatag ng mga malinaw na mekanismo para sa paglilipat ng pagmamay-ari at kontrol sa pamamahala sa pamamagitan ng mga kasunduan sa shareholder o mga desisyon ng board of directors.
**3. Propesyonal na Patnubay:**
* **Legal na tagapayo:** Ang pagkonsulta sa isang abogado sa buong proseso ay mahalaga upang matiyak ang pagsunod sa lahat ng nauugnay na batas at regulasyon, mag-navigate sa mga potensyal na legal na kumplikado, at mag-draft ng mga kinakailangang legal na dokumento tulad ng mga will, trust deed, at buy-sell agreement.
* **Financial advisor:** Humingi ng patnubay mula sa isang financial advisor na dalubhasa sa mga negosyong pag-aari ng pamilya. Maaari silang magbigay ng mahahalagang insight sa pagpaplano sa pananalapi, mga diskarte sa buwis, at pagpapahalaga ng negosyo para sa maayos na paglipat ng pagmamay-ari.
**4. Komunikasyon at Edukasyon:**
* **Patuloy na komunikasyon:** Panatilihin ang bukas na komunikasyon sa mga miyembro ng pamilya na kasangkot sa negosyo, pinapanatili silang alam ang tungkol sa pag-unlad, pagtugon sa anumang mga alalahanin, at pagpapatibay ng pakikipagtulungan sa buong proseso ng paglipat.
* **Edukasyon at pagsasanay:** Kung interesado ang mga miyembro ng pamilya na gampanan ang mga tungkulin ng pamumuno sa loob ng negosyo, isaalang-alang ang pagbibigay sa kanila ng mga pagkakataon para sa edukasyon, pagsasanay, at mentorship upang bumuo ng mga kinakailangang kasanayan at kaalaman para sa matagumpay na pamumuno.
Tandaan, ang isang matagumpay na paglipat ay nangangailangan ng maingat na pagpaplano, bukas na komunikasyon, at propesyonal na patnubay na iniayon sa mga partikular na kalagayan ng pamilya at ng negosyo. Sa pamamagitan ng paggamit ng mga estratehiyang ito at paghingi ng ekspertong payo, matitiyak ng mga pamilya ang maayos at napapanatiling paglipat ng kanilang pamana sa mga susunod na henerasyon.</v>
      </c>
      <c r="F401" s="2">
        <f t="shared" si="1"/>
        <v>0</v>
      </c>
      <c r="G401" s="2"/>
      <c r="H401" s="2"/>
      <c r="I401" s="2"/>
      <c r="J401" s="2"/>
      <c r="K401" s="2"/>
      <c r="L401" s="2"/>
      <c r="M401" s="2"/>
      <c r="N401" s="2"/>
      <c r="O401" s="2"/>
      <c r="P401" s="2"/>
      <c r="Q401" s="2"/>
      <c r="R401" s="2"/>
      <c r="S401" s="2"/>
      <c r="T401" s="2"/>
      <c r="U401" s="2"/>
      <c r="V401" s="2"/>
      <c r="W401" s="2"/>
      <c r="X401" s="2"/>
      <c r="Y401" s="2"/>
      <c r="Z401" s="2"/>
      <c r="AA401" s="2"/>
    </row>
    <row r="402">
      <c r="A402" s="1" t="s">
        <v>1224</v>
      </c>
      <c r="B402" s="1" t="s">
        <v>1488</v>
      </c>
      <c r="C402" s="1" t="s">
        <v>1489</v>
      </c>
      <c r="D402" s="1" t="s">
        <v>1490</v>
      </c>
      <c r="E402" s="2" t="str">
        <f>IFERROR(__xludf.DUMMYFUNCTION("GOOGLETRANSLATE(C402, ""en"", ""TL"")"),"Sa Pilipinas, ang pagmamana ng ari-arian na may mga patuloy na kasunduan sa pag-upa o pag-upa ay may mga partikular na legal na implikasyon na kailangang malaman ng mga tagapagmana at nangungupahan. Narito ang isang breakdown ng mga pangunahing punto:
**1"&amp;". Ang mga Umiiral na Pag-upa ay Nananatiling May-bisa:**
* **Obligasyon ng mga tagapagmana:** Sa pagmamana ng ari-arian, ang umiiral na mga kasunduan sa pag-upa ay awtomatikong magiging may bisa sa mga tagapagmana, kahit na hindi nila alam ang mga ito noo"&amp;"n pa man. Nangangahulugan ito na ang mga tagapagmana ay dapat:
* **Igalang ang mga tuntunin ng pag-upa:** Ang mga tagapagmana ay obligado na panindigan ang napagkasunduang upa, mga responsibilidad sa pagpapanatili, at iba pang mga probisyon na nakabalangk"&amp;"as sa mga umiiral na kasunduan sa pag-upa sa mga nangungupahan.
* **Kilalanin ang mga umiiral na karapatan:** Hindi maaaring paalisin ng mga tagapagmana ang mga nangungupahan dahil lamang sa minana nila ang ari-arian. Ang mga nangungupahan ay may karapata"&amp;"n na manatili sa ari-arian hanggang sa matapos ang termino ng pag-upa, basta't tuparin nila ang kanilang mga obligasyon gaya ng nakabalangkas sa kasunduan.
**2. Mga Karapatan at Opsyon ng Tagapagmana:**
* **Pagkolekta ng upa:** Ang mga tagapagmana ang pum"&amp;"alit sa tungkulin ng dating may-ari at may karapatang mangolekta ng upa mula sa mga nangungupahan ayon sa umiiral na mga kasunduan sa pag-upa.
* **Renegotiating lease:** Kapag natapos na ang kasalukuyang termino ng lease, maaaring makipag-ayos ang mga tag"&amp;"apagmana ng mga bagong kasunduan sa lease sa mga nangungupahan sa kanilang sariling mga termino. Hindi sila obligadong i-renew ang mga umiiral na kasunduan.
* **Pagbebenta ng ari-arian:** Maaaring piliin ng mga tagapagmana na ibenta ang ari-arian kahit na"&amp;" may patuloy na pag-upa. Gayunpaman, ang bagong may-ari ay napapatali sa mga umiiral na kasunduan sa pag-upa sa mga nangungupahan.
**3. Kahalagahan ng Pagsusuri sa Mga Kasunduan sa Pag-upa:**
* **Pag-unawa sa mga tuntunin:** Dapat na masusing suriin ng mg"&amp;"a tagapagmana ang mga kasalukuyang kasunduan sa pag-upa upang maunawaan ang kanilang mga karapatan at obligasyon, kabilang ang:
* **Natitirang termino sa pag-upa:** Nililinaw nito kung gaano katagal ang mga kasalukuyang nangungupahan ay may karapatang sak"&amp;"upin ang ari-arian.
* **Halaga ng upa at iskedyul ng pagbabayad:** Tinitiyak nito ang malinaw na pag-unawa sa inaasahang kita sa pag-upa mula sa property.
* **Mga responsibilidad sa pagpapanatili:** Tinutukoy nito kung sino ang may pananagutan sa pag-aayo"&amp;"s at pangangalaga ng ari-arian sa panahon ng pag-upa.
**4. Naghahanap ng Legal na Patnubay:**
* **Mga kumplikadong kasangkot:** Ang pag-navigate sa mga legal na aspeto ng pagmamana ng ari-arian gamit ang mga kasalukuyang pag-upa ay maaaring maging kumplik"&amp;"ado. Ang pagkonsulta sa isang abogado na dalubhasa sa batas ng landlord-tenant ay lubos na inirerekomenda upang:
* **Intindihin ang iyong mga karapatan at responsibilidad:** Maaaring ipaliwanag ng abogado ang mga legal na implikasyon ng mga umiiral na lea"&amp;"se at payuhan ang iyong mga opsyon para sa pamamahala ng ari-arian at pakikipag-ugnayan sa mga nangungupahan.
* **Siguraduhin ang pagsunod sa mga batas:** Maaari nilang matiyak na sumusunod ka sa mga nauugnay na batas at regulasyon na namamahala sa relasy"&amp;"on ng landlord-tenant sa Pilipinas.
* **Tugunan ang mga potensyal na hindi pagkakaunawaan:** Sa kaso ng anumang hindi pagkakasundo sa mga nangungupahan, ang legal na patnubay ay maaaring makatulong sa pag-navigate sa sitwasyon at epektibong malutas ang mg"&amp;"a isyu.
**Tandaan:**
Ang impormasyong ito ay nagbibigay ng pangkalahatang pangkalahatang-ideya at hindi dapat ituring bilang legal na payo. Ang mga partikular na legal na implikasyon at karapatan ng mga tagapagmana at nangungupahan sa mga sitwasyong kinas"&amp;"asangkutan ng minanang ari-arian na may patuloy na pag-upa ay maaaring mag-iba depende sa indibidwal na mga pangyayari at sa mga partikular na tuntunin ng mga kasunduan sa pagpapaupa. Ang pagkonsulta sa isang kwalipikadong abogado na nagdadalubhasa sa bat"&amp;"as ng landlord-tenant ay napakahalaga upang matiyak ang maayos na paglipat, protektahan ang iyong mga karapatan, at mabisang mag-navigate sa anumang potensyal na legal na kumplikado.")</f>
        <v>Sa Pilipinas, ang pagmamana ng ari-arian na may mga patuloy na kasunduan sa pag-upa o pag-upa ay may mga partikular na legal na implikasyon na kailangang malaman ng mga tagapagmana at nangungupahan. Narito ang isang breakdown ng mga pangunahing punto:
**1. Ang mga Umiiral na Pag-upa ay Nananatiling May-bisa:**
* **Obligasyon ng mga tagapagmana:** Sa pagmamana ng ari-arian, ang umiiral na mga kasunduan sa pag-upa ay awtomatikong magiging may bisa sa mga tagapagmana, kahit na hindi nila alam ang mga ito noon pa man. Nangangahulugan ito na ang mga tagapagmana ay dapat:
* **Igalang ang mga tuntunin ng pag-upa:** Ang mga tagapagmana ay obligado na panindigan ang napagkasunduang upa, mga responsibilidad sa pagpapanatili, at iba pang mga probisyon na nakabalangkas sa mga umiiral na kasunduan sa pag-upa sa mga nangungupahan.
* **Kilalanin ang mga umiiral na karapatan:** Hindi maaaring paalisin ng mga tagapagmana ang mga nangungupahan dahil lamang sa minana nila ang ari-arian. Ang mga nangungupahan ay may karapatan na manatili sa ari-arian hanggang sa matapos ang termino ng pag-upa, basta't tuparin nila ang kanilang mga obligasyon gaya ng nakabalangkas sa kasunduan.
**2. Mga Karapatan at Opsyon ng Tagapagmana:**
* **Pagkolekta ng upa:** Ang mga tagapagmana ang pumalit sa tungkulin ng dating may-ari at may karapatang mangolekta ng upa mula sa mga nangungupahan ayon sa umiiral na mga kasunduan sa pag-upa.
* **Renegotiating lease:** Kapag natapos na ang kasalukuyang termino ng lease, maaaring makipag-ayos ang mga tagapagmana ng mga bagong kasunduan sa lease sa mga nangungupahan sa kanilang sariling mga termino. Hindi sila obligadong i-renew ang mga umiiral na kasunduan.
* **Pagbebenta ng ari-arian:** Maaaring piliin ng mga tagapagmana na ibenta ang ari-arian kahit na may patuloy na pag-upa. Gayunpaman, ang bagong may-ari ay napapatali sa mga umiiral na kasunduan sa pag-upa sa mga nangungupahan.
**3. Kahalagahan ng Pagsusuri sa Mga Kasunduan sa Pag-upa:**
* **Pag-unawa sa mga tuntunin:** Dapat na masusing suriin ng mga tagapagmana ang mga kasalukuyang kasunduan sa pag-upa upang maunawaan ang kanilang mga karapatan at obligasyon, kabilang ang:
* **Natitirang termino sa pag-upa:** Nililinaw nito kung gaano katagal ang mga kasalukuyang nangungupahan ay may karapatang sakupin ang ari-arian.
* **Halaga ng upa at iskedyul ng pagbabayad:** Tinitiyak nito ang malinaw na pag-unawa sa inaasahang kita sa pag-upa mula sa property.
* **Mga responsibilidad sa pagpapanatili:** Tinutukoy nito kung sino ang may pananagutan sa pag-aayos at pangangalaga ng ari-arian sa panahon ng pag-upa.
**4. Naghahanap ng Legal na Patnubay:**
* **Mga kumplikadong kasangkot:** Ang pag-navigate sa mga legal na aspeto ng pagmamana ng ari-arian gamit ang mga kasalukuyang pag-upa ay maaaring maging kumplikado. Ang pagkonsulta sa isang abogado na dalubhasa sa batas ng landlord-tenant ay lubos na inirerekomenda upang:
* **Intindihin ang iyong mga karapatan at responsibilidad:** Maaaring ipaliwanag ng abogado ang mga legal na implikasyon ng mga umiiral na lease at payuhan ang iyong mga opsyon para sa pamamahala ng ari-arian at pakikipag-ugnayan sa mga nangungupahan.
* **Siguraduhin ang pagsunod sa mga batas:** Maaari nilang matiyak na sumusunod ka sa mga nauugnay na batas at regulasyon na namamahala sa relasyon ng landlord-tenant sa Pilipinas.
* **Tugunan ang mga potensyal na hindi pagkakaunawaan:** Sa kaso ng anumang hindi pagkakasundo sa mga nangungupahan, ang legal na patnubay ay maaaring makatulong sa pag-navigate sa sitwasyon at epektibong malutas ang mga isyu.
**Tandaan:**
Ang impormasyong ito ay nagbibigay ng pangkalahatang pangkalahatang-ideya at hindi dapat ituring bilang legal na payo. Ang mga partikular na legal na implikasyon at karapatan ng mga tagapagmana at nangungupahan sa mga sitwasyong kinasasangkutan ng minanang ari-arian na may patuloy na pag-upa ay maaaring mag-iba depende sa indibidwal na mga pangyayari at sa mga partikular na tuntunin ng mga kasunduan sa pagpapaupa. Ang pagkonsulta sa isang kwalipikadong abogado na nagdadalubhasa sa batas ng landlord-tenant ay napakahalaga upang matiyak ang maayos na paglipat, protektahan ang iyong mga karapatan, at mabisang mag-navigate sa anumang potensyal na legal na kumplikado.</v>
      </c>
      <c r="F402" s="2">
        <f t="shared" si="1"/>
        <v>0</v>
      </c>
      <c r="G402" s="2"/>
      <c r="H402" s="2"/>
      <c r="I402" s="2"/>
      <c r="J402" s="2"/>
      <c r="K402" s="2"/>
      <c r="L402" s="2"/>
      <c r="M402" s="2"/>
      <c r="N402" s="2"/>
      <c r="O402" s="2"/>
      <c r="P402" s="2"/>
      <c r="Q402" s="2"/>
      <c r="R402" s="2"/>
      <c r="S402" s="2"/>
      <c r="T402" s="2"/>
      <c r="U402" s="2"/>
      <c r="V402" s="2"/>
      <c r="W402" s="2"/>
      <c r="X402" s="2"/>
      <c r="Y402" s="2"/>
      <c r="Z402" s="2"/>
      <c r="AA402" s="2"/>
    </row>
    <row r="403">
      <c r="A403" s="1" t="s">
        <v>1224</v>
      </c>
      <c r="B403" s="1" t="s">
        <v>1491</v>
      </c>
      <c r="C403" s="1" t="s">
        <v>1492</v>
      </c>
      <c r="D403" s="1" t="s">
        <v>1493</v>
      </c>
      <c r="E403" s="2" t="str">
        <f>IFERROR(__xludf.DUMMYFUNCTION("GOOGLETRANSLATE(C403, ""en"", ""TL"")"),"Sa Pilipinas, ang pagmamana ng ari-arian sa pangkalahatan **ay hindi direktang nakakaapekto** sa pagiging karapat-dapat ng mga tagapagmana para sa mga benepisyo ng mga beterano o tulong sa pabahay ng militar. Ang mga benepisyong ito ay karaniwang tinutuko"&amp;"y batay sa rekord ng serbisyo ng beterano, mga kundisyon sa pagiging kwalipikado, at mga partikular na kinakailangan sa programa, hindi sa status ng mana ng kanilang mga dependent.
Gayunpaman, may ilang **hindi direktang paraan** kung saan maaaring **m"&amp;"akaapekto** ang minanang ari-arian sa pagiging kwalipikado ng ilang partikular na benepisyo:
* **Means-tested na benepisyo:** Ang ilang benepisyo ng mga beterano, gaya ng tulong pinansyal para sa mga layuning pang-edukasyon o tulong medikal, ay maaarin"&amp;"g sumailalim sa **paraan ng pagsusuri**. Nangangahulugan ito na ang kita at mga ari-arian ng aplikante, kabilang ang minanang ari-arian, ay maaaring isaalang-alang kapag tinutukoy ang kanilang pagiging karapat-dapat at ang halaga ng tulong na kanilang nat"&amp;"atanggap.
* **Mga implikasyon sa buwis:** Depende sa halaga ng minanang ari-arian at sa partikular na programa ng benepisyo, **mga implikasyon sa buwis** ay maaaring lumitaw. Makakatulong ang pagkonsulta sa isang tax advisor na matiyak ang wastong paghah"&amp;"ain ng buwis at maiwasan ang anumang mga potensyal na isyu na nauugnay sa minanang mga asset.
**Pag-iingat sa Mga Benepisyo ng Beterano:**
Bagama't ang pagmamana ng ari-arian mismo ay hindi direktang nakakaapekto sa pagiging karapat-dapat, mahalagan"&amp;"g tiyaking mananatiling naa-access ang mga benepisyong ito ng mga kwalipikadong umaasa. Narito ang ilang hakbang na maaaring makatulong:
* **Pagplano ng ari-arian ng beterano:** Hikayatin ang beterano na makisali sa pagpaplano ng ari-arian at malinaw n"&amp;"a ibalangkas ang kanilang mga kagustuhan tungkol sa pamamahagi ng kanilang mga ari-arian, kabilang ang anumang potensyal na epekto sa pagiging karapat-dapat ng mga benepisyaryo para sa mga partikular na benepisyo.
* **Humingi ng propesyonal na patnubay:*"&amp;"* Ang pagkonsulta sa isang abogado na dalubhasa sa mga benepisyo ng mga beterano at pagpaplano ng ari-arian ay maaaring magbigay ng mahahalagang insight at matiyak na ang estate plan ay epektibong tumutugon sa mga potensyal na alalahanin na may kaugnayan "&amp;"sa pagpapanatili ng pagiging kwalipikado sa benepisyo para sa mga dependent.
* **Manatiling may kaalaman:** Regular na makipag-ugnayan sa mga nauugnay na ahensya ng gobyerno na nangangasiwa sa mga benepisyo ng mga beterano upang manatiling updated sa anu"&amp;"mang mga pagbabago sa programa o mga kinakailangan sa pagiging kwalipikado na maaaring maapektuhan ng mga pagbabago sa sitwasyong pinansyal ng tagapagmana dahil sa minanang ari-arian.
**Mahalagang Paalala:**
Ang impormasyong ito ay nagbibigay ng pan"&amp;"gkalahatang pangkalahatang-ideya at hindi dapat ituring bilang legal na payo. Ang partikular na epekto ng pagmamana ng ari-arian sa mga benepisyo o pagiging karapat-dapat ng mga beterano para sa mga partikular na programa ay maaaring mag-iba depende sa in"&amp;"dibidwal na mga pangyayari, mga kinakailangan sa programa, at potensyal na paraan ng pagsubok na kasangkot. Ang pagkonsulta sa isang kwalipikadong abogado na dalubhasa sa mga benepisyo ng mga beterano at pagpaplano ng ari-arian ay napakahalaga upang makak"&amp;"uha ng iniangkop na payo at matiyak ang kapakanan ng mga beterano at kanilang mga umaasa.")</f>
        <v>Sa Pilipinas, ang pagmamana ng ari-arian sa pangkalahatan **ay hindi direktang nakakaapekto** sa pagiging karapat-dapat ng mga tagapagmana para sa mga benepisyo ng mga beterano o tulong sa pabahay ng militar. Ang mga benepisyong ito ay karaniwang tinutukoy batay sa rekord ng serbisyo ng beterano, mga kundisyon sa pagiging kwalipikado, at mga partikular na kinakailangan sa programa, hindi sa status ng mana ng kanilang mga dependent.
Gayunpaman, may ilang **hindi direktang paraan** kung saan maaaring **makaapekto** ang minanang ari-arian sa pagiging kwalipikado ng ilang partikular na benepisyo:
* **Means-tested na benepisyo:** Ang ilang benepisyo ng mga beterano, gaya ng tulong pinansyal para sa mga layuning pang-edukasyon o tulong medikal, ay maaaring sumailalim sa **paraan ng pagsusuri**. Nangangahulugan ito na ang kita at mga ari-arian ng aplikante, kabilang ang minanang ari-arian, ay maaaring isaalang-alang kapag tinutukoy ang kanilang pagiging karapat-dapat at ang halaga ng tulong na kanilang natatanggap.
* **Mga implikasyon sa buwis:** Depende sa halaga ng minanang ari-arian at sa partikular na programa ng benepisyo, **mga implikasyon sa buwis** ay maaaring lumitaw. Makakatulong ang pagkonsulta sa isang tax advisor na matiyak ang wastong paghahain ng buwis at maiwasan ang anumang mga potensyal na isyu na nauugnay sa minanang mga asset.
**Pag-iingat sa Mga Benepisyo ng Beterano:**
Bagama't ang pagmamana ng ari-arian mismo ay hindi direktang nakakaapekto sa pagiging karapat-dapat, mahalagang tiyaking mananatiling naa-access ang mga benepisyong ito ng mga kwalipikadong umaasa. Narito ang ilang hakbang na maaaring makatulong:
* **Pagplano ng ari-arian ng beterano:** Hikayatin ang beterano na makisali sa pagpaplano ng ari-arian at malinaw na ibalangkas ang kanilang mga kagustuhan tungkol sa pamamahagi ng kanilang mga ari-arian, kabilang ang anumang potensyal na epekto sa pagiging karapat-dapat ng mga benepisyaryo para sa mga partikular na benepisyo.
* **Humingi ng propesyonal na patnubay:** Ang pagkonsulta sa isang abogado na dalubhasa sa mga benepisyo ng mga beterano at pagpaplano ng ari-arian ay maaaring magbigay ng mahahalagang insight at matiyak na ang estate plan ay epektibong tumutugon sa mga potensyal na alalahanin na may kaugnayan sa pagpapanatili ng pagiging kwalipikado sa benepisyo para sa mga dependent.
* **Manatiling may kaalaman:** Regular na makipag-ugnayan sa mga nauugnay na ahensya ng gobyerno na nangangasiwa sa mga benepisyo ng mga beterano upang manatiling updated sa anumang mga pagbabago sa programa o mga kinakailangan sa pagiging kwalipikado na maaaring maapektuhan ng mga pagbabago sa sitwasyong pinansyal ng tagapagmana dahil sa minanang ari-arian.
**Mahalagang Paalala:**
Ang impormasyong ito ay nagbibigay ng pangkalahatang pangkalahatang-ideya at hindi dapat ituring bilang legal na payo. Ang partikular na epekto ng pagmamana ng ari-arian sa mga benepisyo o pagiging karapat-dapat ng mga beterano para sa mga partikular na programa ay maaaring mag-iba depende sa indibidwal na mga pangyayari, mga kinakailangan sa programa, at potensyal na paraan ng pagsubok na kasangkot. Ang pagkonsulta sa isang kwalipikadong abogado na dalubhasa sa mga benepisyo ng mga beterano at pagpaplano ng ari-arian ay napakahalaga upang makakuha ng iniangkop na payo at matiyak ang kapakanan ng mga beterano at kanilang mga umaasa.</v>
      </c>
      <c r="F403" s="2">
        <f t="shared" si="1"/>
        <v>0</v>
      </c>
      <c r="G403" s="2"/>
      <c r="H403" s="2"/>
      <c r="I403" s="2"/>
      <c r="J403" s="2"/>
      <c r="K403" s="2"/>
      <c r="L403" s="2"/>
      <c r="M403" s="2"/>
      <c r="N403" s="2"/>
      <c r="O403" s="2"/>
      <c r="P403" s="2"/>
      <c r="Q403" s="2"/>
      <c r="R403" s="2"/>
      <c r="S403" s="2"/>
      <c r="T403" s="2"/>
      <c r="U403" s="2"/>
      <c r="V403" s="2"/>
      <c r="W403" s="2"/>
      <c r="X403" s="2"/>
      <c r="Y403" s="2"/>
      <c r="Z403" s="2"/>
      <c r="AA403" s="2"/>
    </row>
    <row r="404">
      <c r="A404" s="1" t="s">
        <v>1224</v>
      </c>
      <c r="B404" s="1" t="s">
        <v>1494</v>
      </c>
      <c r="C404" s="1" t="s">
        <v>1495</v>
      </c>
      <c r="D404" s="1" t="s">
        <v>1496</v>
      </c>
      <c r="E404" s="2" t="str">
        <f>IFERROR(__xludf.DUMMYFUNCTION("GOOGLETRANSLATE(C404, ""en"", ""TL"")"),"Ang pagmamana ng ari-arian na may kasamang mahalagang likhang sining, mga antique, o iba pang personal na ari-arian na may mataas na halaga ay may mga natatanging legal na pagsasaalang-alang na higit pa sa mga nauugnay sa karaniwang mana ng real estate. N"&amp;"arito ang isang breakdown ng mga pangunahing punto na dapat isaalang-alang:
**1. Pagpapahalaga at Pagsusuri:**
* **Tumpak na pagtatasa:** Ang pagtukoy sa patas na halaga sa pamilihan ng mga item na ito ay mahalaga para sa iba't ibang layunin, kabilang ang"&amp;":
* **Mga kalkulasyon ng buwis sa ari-arian:** Kung ang halaga ng ari-arian ay lumampas sa isang tiyak na limitasyon, maaaring malapat ang mga buwis sa ari-arian. Tinitiyak ng mga tumpak na pagpapahalaga ang wastong pagtatasa at pagsunod sa buwis.
* **Pat"&amp;"as na pamamahagi:** Kung maraming tagapagmana ang nagmamana ng ari-arian, ang mga patas na pagpapahalaga ay nakakatulong na matiyak ang isang patas na pamamahagi ng mga asset, na nagpapaliit sa mga potensyal na hindi pagkakaunawaan.
* **Propesyonal na pag"&amp;"tatasa:** Ang pakikipag-ugnayan sa mga kwalipikadong appraiser na dalubhasa sa pagpapahalaga sa mga partikular na kategorya tulad ng likhang sining, mga antigo, o mga collectible ay lubos na inirerekomenda. Maaari silang magbigay ng tumpak at mapagtatangg"&amp;"ol na mga paghahalaga batay sa mga uso sa merkado, kondisyon ng item, at mga nauugnay na salik.
**2. Seguro at Proteksyon:**
* **Sapat na saklaw:** Ang pagmamana ng mahalagang personal na ari-arian ay nangangailangan ng pagsusuri at potensyal na pagsasaay"&amp;"os ng mga umiiral nang patakaran sa seguro upang matiyak ang sapat na saklaw laban sa pagnanakaw, pagkawala, o pinsala. Ang pagkonsulta sa isang insurance advisor ay maaaring makatulong na matukoy ang naaangkop na mga opsyon sa pagsakop at matiyak ang tam"&amp;"ang proteksyon para sa mga asset na ito.
* **Ligtas na imbakan:** Ang pagpapatupad ng mga wastong solusyon sa pag-iimbak para sa mahahalagang bagay ay mahalaga. Maaaring kabilang dito ang pagsasaalang-alang sa mga pasilidad na kinokontrol ng klima, mga ha"&amp;"kbang sa seguridad, at naaangkop na packaging upang mabawasan ang mga panganib ng pinsala o pagkasira.
**3. Legal na Dokumentasyon:**
* **Pagpapatunay ng pagmamay-ari:** Tiyaking umiiral ang wastong dokumentasyon upang maitaguyod ang pagmamay-ari at pinag"&amp;"mulan ng mga mahahalagang bagay. Maaaring kabilang dito ang mga resibo, certificate of authenticity, o mga pagtatasa na isinagawa ng mga dating may-ari.
* **Wills at estate planning:** Kung ang inheritance ay nagsasangkot ng mahalagang personal na ari-ari"&amp;"an, isaalang-alang ang pagbabago ng mga will at mga dokumento sa pagpaplano ng ari-arian upang malinaw na tukuyin ang mga nilalayong benepisyaryo at gustong pamamahagi ng mga asset na ito. Makakatulong ito na mabawasan ang kalituhan at mga potensyal na hi"&amp;"ndi pagkakaunawaan sa pagitan ng mga tagapagmana.
**4. Mga Implikasyon sa Legal at Buwis:**
* **Mga pagsasaalang-alang sa buwis:** Depende sa halaga ng mga minanang item, maaaring magkaroon ng iba't ibang implikasyon sa buwis, gaya ng buwis sa capital gai"&amp;"ns kapag ibinebenta ang mga ito o mga buwis sa ari-arian kung bahagi sila ng isang malaking ari-arian. Makakatulong ang pagkonsulta sa isang tax advisor na i-navigate ang mga kumplikadong ito at matiyak ang pagsunod sa mga nauugnay na regulasyon.
* **Mga "&amp;"paghihigpit sa pag-export:** Kung ang mga minanang item ay itinuturing na mga cultural artifact o antique, maaaring malapat ang mga partikular na regulasyon at paghihigpit sa pag-export. Ang pagkonsulta sa legal na tagapayo na dalubhasa sa batas ng sining"&amp;" ay maaaring matiyak ang wastong paghawak at pagsunod sa mga nauugnay na batas at regulasyon.
**5. Naghahanap ng Propesyonal na Patnubay:**
* **Kasali ang pagiging kumplikado:** Ang pag-navigate sa mga legal at praktikal na pagsasaalang-alang na nauugnay "&amp;"sa pagmamana ng mahalagang personal na ari-arian ay maaaring maging kumplikado. Ang pagkonsulta sa mga propesyonal tulad ng mga appraiser, insurance advisors, abogado na dalubhasa sa art law o estate planning, at tax advisors ay maaaring magbigay ng napak"&amp;"ahalagang patnubay at matiyak ang maayos na proseso.
**Tandaan:**
Ang impormasyong ito ay nagbibigay ng pangkalahatang pangkalahatang-ideya at hindi dapat ituring bilang legal na payo. Ang mga partikular na legal na pagsasaalang-alang at kumplikadong kasa"&amp;"ngkot sa pagmamana ng mahalagang personal na ari-arian ay maaaring mag-iba nang malaki depende sa likas na katangian ng mga bagay, ang kanilang halaga, at mga indibidwal na kalagayan. Ang pagkonsulta sa mga kwalipikadong propesyonal na iniayon sa partikul"&amp;"ar na sitwasyon ay napakahalaga upang matiyak ang wastong paghawak, proteksyon, at pagsunod sa lahat ng nauugnay na legal at mga kinakailangan sa buwis.")</f>
        <v>Ang pagmamana ng ari-arian na may kasamang mahalagang likhang sining, mga antique, o iba pang personal na ari-arian na may mataas na halaga ay may mga natatanging legal na pagsasaalang-alang na higit pa sa mga nauugnay sa karaniwang mana ng real estate. Narito ang isang breakdown ng mga pangunahing punto na dapat isaalang-alang:
**1. Pagpapahalaga at Pagsusuri:**
* **Tumpak na pagtatasa:** Ang pagtukoy sa patas na halaga sa pamilihan ng mga item na ito ay mahalaga para sa iba't ibang layunin, kabilang ang:
* **Mga kalkulasyon ng buwis sa ari-arian:** Kung ang halaga ng ari-arian ay lumampas sa isang tiyak na limitasyon, maaaring malapat ang mga buwis sa ari-arian. Tinitiyak ng mga tumpak na pagpapahalaga ang wastong pagtatasa at pagsunod sa buwis.
* **Patas na pamamahagi:** Kung maraming tagapagmana ang nagmamana ng ari-arian, ang mga patas na pagpapahalaga ay nakakatulong na matiyak ang isang patas na pamamahagi ng mga asset, na nagpapaliit sa mga potensyal na hindi pagkakaunawaan.
* **Propesyonal na pagtatasa:** Ang pakikipag-ugnayan sa mga kwalipikadong appraiser na dalubhasa sa pagpapahalaga sa mga partikular na kategorya tulad ng likhang sining, mga antigo, o mga collectible ay lubos na inirerekomenda. Maaari silang magbigay ng tumpak at mapagtatanggol na mga paghahalaga batay sa mga uso sa merkado, kondisyon ng item, at mga nauugnay na salik.
**2. Seguro at Proteksyon:**
* **Sapat na saklaw:** Ang pagmamana ng mahalagang personal na ari-arian ay nangangailangan ng pagsusuri at potensyal na pagsasaayos ng mga umiiral nang patakaran sa seguro upang matiyak ang sapat na saklaw laban sa pagnanakaw, pagkawala, o pinsala. Ang pagkonsulta sa isang insurance advisor ay maaaring makatulong na matukoy ang naaangkop na mga opsyon sa pagsakop at matiyak ang tamang proteksyon para sa mga asset na ito.
* **Ligtas na imbakan:** Ang pagpapatupad ng mga wastong solusyon sa pag-iimbak para sa mahahalagang bagay ay mahalaga. Maaaring kabilang dito ang pagsasaalang-alang sa mga pasilidad na kinokontrol ng klima, mga hakbang sa seguridad, at naaangkop na packaging upang mabawasan ang mga panganib ng pinsala o pagkasira.
**3. Legal na Dokumentasyon:**
* **Pagpapatunay ng pagmamay-ari:** Tiyaking umiiral ang wastong dokumentasyon upang maitaguyod ang pagmamay-ari at pinagmulan ng mga mahahalagang bagay. Maaaring kabilang dito ang mga resibo, certificate of authenticity, o mga pagtatasa na isinagawa ng mga dating may-ari.
* **Wills at estate planning:** Kung ang inheritance ay nagsasangkot ng mahalagang personal na ari-arian, isaalang-alang ang pagbabago ng mga will at mga dokumento sa pagpaplano ng ari-arian upang malinaw na tukuyin ang mga nilalayong benepisyaryo at gustong pamamahagi ng mga asset na ito. Makakatulong ito na mabawasan ang kalituhan at mga potensyal na hindi pagkakaunawaan sa pagitan ng mga tagapagmana.
**4. Mga Implikasyon sa Legal at Buwis:**
* **Mga pagsasaalang-alang sa buwis:** Depende sa halaga ng mga minanang item, maaaring magkaroon ng iba't ibang implikasyon sa buwis, gaya ng buwis sa capital gains kapag ibinebenta ang mga ito o mga buwis sa ari-arian kung bahagi sila ng isang malaking ari-arian. Makakatulong ang pagkonsulta sa isang tax advisor na i-navigate ang mga kumplikadong ito at matiyak ang pagsunod sa mga nauugnay na regulasyon.
* **Mga paghihigpit sa pag-export:** Kung ang mga minanang item ay itinuturing na mga cultural artifact o antique, maaaring malapat ang mga partikular na regulasyon at paghihigpit sa pag-export. Ang pagkonsulta sa legal na tagapayo na dalubhasa sa batas ng sining ay maaaring matiyak ang wastong paghawak at pagsunod sa mga nauugnay na batas at regulasyon.
**5. Naghahanap ng Propesyonal na Patnubay:**
* **Kasali ang pagiging kumplikado:** Ang pag-navigate sa mga legal at praktikal na pagsasaalang-alang na nauugnay sa pagmamana ng mahalagang personal na ari-arian ay maaaring maging kumplikado. Ang pagkonsulta sa mga propesyonal tulad ng mga appraiser, insurance advisors, abogado na dalubhasa sa art law o estate planning, at tax advisors ay maaaring magbigay ng napakahalagang patnubay at matiyak ang maayos na proseso.
**Tandaan:**
Ang impormasyong ito ay nagbibigay ng pangkalahatang pangkalahatang-ideya at hindi dapat ituring bilang legal na payo. Ang mga partikular na legal na pagsasaalang-alang at kumplikadong kasangkot sa pagmamana ng mahalagang personal na ari-arian ay maaaring mag-iba nang malaki depende sa likas na katangian ng mga bagay, ang kanilang halaga, at mga indibidwal na kalagayan. Ang pagkonsulta sa mga kwalipikadong propesyonal na iniayon sa partikular na sitwasyon ay napakahalaga upang matiyak ang wastong paghawak, proteksyon, at pagsunod sa lahat ng nauugnay na legal at mga kinakailangan sa buwis.</v>
      </c>
      <c r="F404" s="2">
        <f t="shared" si="1"/>
        <v>0</v>
      </c>
      <c r="G404" s="2"/>
      <c r="H404" s="2"/>
      <c r="I404" s="2"/>
      <c r="J404" s="2"/>
      <c r="K404" s="2"/>
      <c r="L404" s="2"/>
      <c r="M404" s="2"/>
      <c r="N404" s="2"/>
      <c r="O404" s="2"/>
      <c r="P404" s="2"/>
      <c r="Q404" s="2"/>
      <c r="R404" s="2"/>
      <c r="S404" s="2"/>
      <c r="T404" s="2"/>
      <c r="U404" s="2"/>
      <c r="V404" s="2"/>
      <c r="W404" s="2"/>
      <c r="X404" s="2"/>
      <c r="Y404" s="2"/>
      <c r="Z404" s="2"/>
      <c r="AA404" s="2"/>
    </row>
    <row r="405">
      <c r="A405" s="1" t="s">
        <v>1224</v>
      </c>
      <c r="B405" s="1" t="s">
        <v>1497</v>
      </c>
      <c r="C405" s="1" t="s">
        <v>1498</v>
      </c>
      <c r="D405" s="1" t="s">
        <v>1499</v>
      </c>
      <c r="E405" s="2" t="str">
        <f>IFERROR(__xludf.DUMMYFUNCTION("GOOGLETRANSLATE(C405, ""en"", ""TL"")"),"Bagama't hindi magagarantiya ng mga trust ang ganap na privacy ng mga minanang asset, maaari silang mag-alok ng mga makabuluhang pakinabang sa pagprotekta sa pagiging kumpidensyal ng ilang partikular na detalye kumpara sa mga tradisyunal na paraan ng pama"&amp;"na tulad ng mga testamento. Narito kung paano makakapag-ambag ang mga trust sa proteksyon sa privacy:
**1. Limitadong Pampublikong Pagbubunyag:**
* **Ang mga will ay naging mga pampublikong talaan:** Kapag ang isang tao ay pumanaw, ang kanilang kalo"&amp;"oban ay karaniwang nagiging isang pampublikong talaan na naa-access ng sinuman kapag hiniling. Nangangahulugan ito na ang mga detalye tungkol sa mga ari-arian ng namatay, kabilang ang pagkakakilanlan ng mga benepisyaryo at ang partikular na pamamahagi ng "&amp;"kanilang ari-arian, ay magagamit sa publiko.
* **Nag-aalok ang mga trust ng privacy:** Sa kabaligtaran, ang mga dokumento ng trust ay karaniwang hindi mga pampublikong talaan. Ang mga detalye ng trust, kabilang ang pagkakakilanlan ng mga benepisyaryo, an"&amp;"g katangian ng mga asset na hawak sa loob ng trust, at ang mga tuntunin ng pamamahagi, ay nananatiling pribado at kumpidensyal.
**2. Discretionary Distributions:**
* **Ang mga Will ay nagbibigay ng limitadong kontrol:** Ang mga Will ay karaniwang na"&amp;"mamahagi ng mga asset ayon sa mga paunang natukoy na porsyento o mga partikular na tagubilin. Ang kakulangan ng kakayahang umangkop na ito ay maaaring maging mahirap na kontrolin ang pagbubunyag ng impormasyon tungkol sa mga minanang asset.
* **Discretio"&amp;"nary trust:** Ang ilang uri ng trust, gaya ng discretionary trust, ay nagbibigay sa trustee ng awtoridad na ipamahagi ang mga asset batay sa kanilang pagpapasya at partikular na pamantayan na nakabalangkas sa trust deed. Nagbibigay-daan ito para sa higit "&amp;"na kakayahang umangkop sa pamamahala sa pamamahagi at potensyal na mabawasan ang pagsisiwalat ng mga partikular na detalye tungkol sa mga asset o benepisyaryo.
**3. Pinababang Panganib ng Paligsahan:**
* **Ang mga pampublikong testamento ay maaaring"&amp;" humantong sa mga hindi pagkakaunawaan:** Kapag ang mga detalye ng isang kalooban ay naging pampubliko, maaari nitong palakihin ang panganib ng mga hamon o paligsahan mula sa mga hindi nasisiyahang miyembro ng pamilya o mga indibidwal na naniniwalang sila"&amp;" ay hindi makatarungang ibinukod sa mana.
* **Maaaring hadlangan ng mga trust ang mga hindi pagkakaunawaan:** Maaaring hadlangan ng pribadong katangian ng mga trust ang mga walang kabuluhang pag-aangkin at mabawasan ang posibilidad ng mga pampublikong hi"&amp;"ndi pagkakaunawaan tungkol sa mana, na posibleng mabawasan ang pangangailangang magbunyag ng sensitibong impormasyon tungkol sa mga asset o benepisyaryo sa mga paglilitis sa korte.
**4. Pamamahala at Kontrol:**
* **Direktang kontrol sa mga testament"&amp;"o:** Karaniwang inililipat ng mga testamento ang pagmamay-ari ng mga asset nang direkta sa mga benepisyaryo kapag pumanaw ang namatay. Nililimitahan nito ang kontrol na mayroon ang namatay sa kung paano pinamamahalaan o ipinamamahagi ang mga asset pagkata"&amp;"pos ng kanilang pagpanaw.
* **Patuloy na pamamahala sa mga trust:** Binibigyang-daan ng mga trust ang namatay na magtatag ng mga partikular na tagubilin para sa pamamahala at pamamahagi ng mga asset na hawak sa loob ng trust, kahit na pagkatapos ng kanil"&amp;"ang pagpanaw. Maaaring kabilang dito ang mga probisyon para sa pamamahala ng mga asset para sa kapakinabangan ng mga benepisyaryo sa paglipas ng panahon, na posibleng mabawasan ang pangangailangan para sa pampublikong pagsisiwalat ng mga partikular na det"&amp;"alye ng asset.
**Mahahalagang Pagsasaalang-alang:**
* **Ang mga trust ay hindi foolproof:** Bagama't ang mga trust ay nag-aalok ng makabuluhang mga pakinabang sa privacy, mahalagang tandaan na ang mga ito ay hindi foolproof na paraan para sa paggara"&amp;"ntiya ng ganap na pagiging kumpidensyal. Depende sa mga partikular na pangyayari, ang ilang partikular na impormasyon tungkol sa trust, tulad ng pagkakaroon nito o ang pagkakakilanlan ng trustee, ay maaaring matuklasan pa rin sa pamamagitan ng mga legal n"&amp;"a paglilitis.
* **Humingi ng legal na payo:** Ang pagtatatag ng trust at pagtiyak na epektibong pinoprotektahan nito ang privacy ay nagsasangkot ng maingat na pagpaplano at legal na kadalubhasaan. Ang pagkonsulta sa isang kwalipikadong abogado na dalubha"&amp;"sa sa pagpaplano ng ari-arian at batas ng tiwala ay napakahalaga para maunawaan ang mga legal na kumplikado, piliin ang naaangkop na istraktura ng tiwala, at i-draft ang trust deed sa paraang umaayon sa iyong mga partikular na layunin sa privacy at sumuno"&amp;"d sa lahat ng nauugnay na batas at regulasyon.
Sa konklusyon, habang ang mga trust ay nag-aalok ng mahahalagang tool para sa pagprotekta sa privacy ng minanang mga asset, dapat silang isaalang-alang sa loob ng isang komprehensibong diskarte sa pagpapla"&amp;"no ng estate na iniayon sa iyong mga indibidwal na kalagayan at ninanais na antas ng pagiging kumpidensyal. Ang pagkonsulta sa isang kwalipikadong legal na propesyonal ay mahalaga upang matiyak ang pagiging epektibo ng iyong piniling diskarte at mag-navig"&amp;"ate sa mga legal na kumplikadong kasangkot sa pagprotekta sa iyong privacy at pagkamit ng iyong mga layunin sa pagpaplano ng ari-arian.")</f>
        <v>Bagama't hindi magagarantiya ng mga trust ang ganap na privacy ng mga minanang asset, maaari silang mag-alok ng mga makabuluhang pakinabang sa pagprotekta sa pagiging kumpidensyal ng ilang partikular na detalye kumpara sa mga tradisyunal na paraan ng pamana tulad ng mga testamento. Narito kung paano makakapag-ambag ang mga trust sa proteksyon sa privacy:
**1. Limitadong Pampublikong Pagbubunyag:**
* **Ang mga will ay naging mga pampublikong talaan:** Kapag ang isang tao ay pumanaw, ang kanilang kalooban ay karaniwang nagiging isang pampublikong talaan na naa-access ng sinuman kapag hiniling. Nangangahulugan ito na ang mga detalye tungkol sa mga ari-arian ng namatay, kabilang ang pagkakakilanlan ng mga benepisyaryo at ang partikular na pamamahagi ng kanilang ari-arian, ay magagamit sa publiko.
* **Nag-aalok ang mga trust ng privacy:** Sa kabaligtaran, ang mga dokumento ng trust ay karaniwang hindi mga pampublikong talaan. Ang mga detalye ng trust, kabilang ang pagkakakilanlan ng mga benepisyaryo, ang katangian ng mga asset na hawak sa loob ng trust, at ang mga tuntunin ng pamamahagi, ay nananatiling pribado at kumpidensyal.
**2. Discretionary Distributions:**
* **Ang mga Will ay nagbibigay ng limitadong kontrol:** Ang mga Will ay karaniwang namamahagi ng mga asset ayon sa mga paunang natukoy na porsyento o mga partikular na tagubilin. Ang kakulangan ng kakayahang umangkop na ito ay maaaring maging mahirap na kontrolin ang pagbubunyag ng impormasyon tungkol sa mga minanang asset.
* **Discretionary trust:** Ang ilang uri ng trust, gaya ng discretionary trust, ay nagbibigay sa trustee ng awtoridad na ipamahagi ang mga asset batay sa kanilang pagpapasya at partikular na pamantayan na nakabalangkas sa trust deed. Nagbibigay-daan ito para sa higit na kakayahang umangkop sa pamamahala sa pamamahagi at potensyal na mabawasan ang pagsisiwalat ng mga partikular na detalye tungkol sa mga asset o benepisyaryo.
**3. Pinababang Panganib ng Paligsahan:**
* **Ang mga pampublikong testamento ay maaaring humantong sa mga hindi pagkakaunawaan:** Kapag ang mga detalye ng isang kalooban ay naging pampubliko, maaari nitong palakihin ang panganib ng mga hamon o paligsahan mula sa mga hindi nasisiyahang miyembro ng pamilya o mga indibidwal na naniniwalang sila ay hindi makatarungang ibinukod sa mana.
* **Maaaring hadlangan ng mga trust ang mga hindi pagkakaunawaan:** Maaaring hadlangan ng pribadong katangian ng mga trust ang mga walang kabuluhang pag-aangkin at mabawasan ang posibilidad ng mga pampublikong hindi pagkakaunawaan tungkol sa mana, na posibleng mabawasan ang pangangailangang magbunyag ng sensitibong impormasyon tungkol sa mga asset o benepisyaryo sa mga paglilitis sa korte.
**4. Pamamahala at Kontrol:**
* **Direktang kontrol sa mga testamento:** Karaniwang inililipat ng mga testamento ang pagmamay-ari ng mga asset nang direkta sa mga benepisyaryo kapag pumanaw ang namatay. Nililimitahan nito ang kontrol na mayroon ang namatay sa kung paano pinamamahalaan o ipinamamahagi ang mga asset pagkatapos ng kanilang pagpanaw.
* **Patuloy na pamamahala sa mga trust:** Binibigyang-daan ng mga trust ang namatay na magtatag ng mga partikular na tagubilin para sa pamamahala at pamamahagi ng mga asset na hawak sa loob ng trust, kahit na pagkatapos ng kanilang pagpanaw. Maaaring kabilang dito ang mga probisyon para sa pamamahala ng mga asset para sa kapakinabangan ng mga benepisyaryo sa paglipas ng panahon, na posibleng mabawasan ang pangangailangan para sa pampublikong pagsisiwalat ng mga partikular na detalye ng asset.
**Mahahalagang Pagsasaalang-alang:**
* **Ang mga trust ay hindi foolproof:** Bagama't ang mga trust ay nag-aalok ng makabuluhang mga pakinabang sa privacy, mahalagang tandaan na ang mga ito ay hindi foolproof na paraan para sa paggarantiya ng ganap na pagiging kumpidensyal. Depende sa mga partikular na pangyayari, ang ilang partikular na impormasyon tungkol sa trust, tulad ng pagkakaroon nito o ang pagkakakilanlan ng trustee, ay maaaring matuklasan pa rin sa pamamagitan ng mga legal na paglilitis.
* **Humingi ng legal na payo:** Ang pagtatatag ng trust at pagtiyak na epektibong pinoprotektahan nito ang privacy ay nagsasangkot ng maingat na pagpaplano at legal na kadalubhasaan. Ang pagkonsulta sa isang kwalipikadong abogado na dalubhasa sa pagpaplano ng ari-arian at batas ng tiwala ay napakahalaga para maunawaan ang mga legal na kumplikado, piliin ang naaangkop na istraktura ng tiwala, at i-draft ang trust deed sa paraang umaayon sa iyong mga partikular na layunin sa privacy at sumunod sa lahat ng nauugnay na batas at regulasyon.
Sa konklusyon, habang ang mga trust ay nag-aalok ng mahahalagang tool para sa pagprotekta sa privacy ng minanang mga asset, dapat silang isaalang-alang sa loob ng isang komprehensibong diskarte sa pagpaplano ng estate na iniayon sa iyong mga indibidwal na kalagayan at ninanais na antas ng pagiging kumpidensyal. Ang pagkonsulta sa isang kwalipikadong legal na propesyonal ay mahalaga upang matiyak ang pagiging epektibo ng iyong piniling diskarte at mag-navigate sa mga legal na kumplikadong kasangkot sa pagprotekta sa iyong privacy at pagkamit ng iyong mga layunin sa pagpaplano ng ari-arian.</v>
      </c>
      <c r="F405" s="2">
        <f t="shared" si="1"/>
        <v>0</v>
      </c>
      <c r="G405" s="2"/>
      <c r="H405" s="2"/>
      <c r="I405" s="2"/>
      <c r="J405" s="2"/>
      <c r="K405" s="2"/>
      <c r="L405" s="2"/>
      <c r="M405" s="2"/>
      <c r="N405" s="2"/>
      <c r="O405" s="2"/>
      <c r="P405" s="2"/>
      <c r="Q405" s="2"/>
      <c r="R405" s="2"/>
      <c r="S405" s="2"/>
      <c r="T405" s="2"/>
      <c r="U405" s="2"/>
      <c r="V405" s="2"/>
      <c r="W405" s="2"/>
      <c r="X405" s="2"/>
      <c r="Y405" s="2"/>
      <c r="Z405" s="2"/>
      <c r="AA405" s="2"/>
    </row>
    <row r="406">
      <c r="A406" s="1" t="s">
        <v>1224</v>
      </c>
      <c r="B406" s="1" t="s">
        <v>1500</v>
      </c>
      <c r="C406" s="1" t="s">
        <v>1501</v>
      </c>
      <c r="D406" s="1" t="s">
        <v>1502</v>
      </c>
      <c r="E406" s="2" t="str">
        <f>IFERROR(__xludf.DUMMYFUNCTION("GOOGLETRANSLATE(C406, ""en"", ""TL"")"),"Sa Pilipinas, karaniwang tinutugunan ng mga batas ng estado ang pagmamana ng ari-arian na may natatanging mga kinakailangan sa pagsona o mga pagtatalaga sa paggamit ng lupa sa pamamagitan ng kumbinasyon ng:
**1. Mga Ordinansa at Regulasyon sa Zoning:**
* "&amp;"**Kontrol ng lokal na pamahalaan:** Ang bawat lokalidad, gaya ng mga lungsod at munisipalidad, ay karaniwang may sariling mga ordinansa at regulasyon sa pagsona na tumutukoy sa iba't ibang mga sona ng paggamit ng lupa at nagtatatag ng mga partikular na pa"&amp;"ghihigpit at alituntunin para sa pagpapaunlad at paggamit ng ari-arian sa loob ng mga zone na iyon.
* **Epekto sa pagmamana:** Maaaring makaapekto ang mga regulasyong ito ng zoning sa mana ng ari-arian sa iba't ibang paraan, gaya ng:
* **Mga paghihigpit s"&amp;"a pagpapaunlad:** Maaaring magmana ang mga tagapagmana ng ari-arian na may mga paghihigpit sa pag-zoning na naglilimita sa kanilang kakayahang bumuo ng lupa para sa mga partikular na layunin, na posibleng makaapekto sa kanilang mga plano para sa minanang "&amp;"asset.
* **Mga kinakailangan sa pagsunod:** Kahit na nilayon ng mga tagapagmana na panatilihin ang ari-arian sa kasalukuyang estado nito, maaari pa rin silang obligado na sumunod sa mga partikular na regulasyon at mga kinakailangan sa pagpapanatili na nau"&amp;"ugnay sa itinalagang land-use zone.
**2. Mga Regulasyon sa Antas ng Estado:**
* **Pangkalahatang balangkas:** Bagama't ang mga lokal na ordinansa sa pagsosona ay nagbibigay ng pangunahing balangkas, ang ilang estado ay maaaring magkaroon ng mga karagdagan"&amp;"g regulasyon o patakaran sa antas ng estado na maaaring makaimpluwensya sa pagmamana ng ari-arian na may mga natatanging pagsasaalang-alang sa pag-zoning.
* **Mga regulasyon sa kapaligiran:** Sa mga kaso kung saan ang ari-arian ay may mga partikular na pa"&amp;"gsasaalang-alang sa kapaligiran o mga limitasyon dahil sa pagtatalaga ng zoning nito, ang mga batas at regulasyong pangkapaligiran ng estado ay maaari ding maglaro, na nagpapataw ng mga karagdagang kinakailangan o paghihigpit sa mga tagapagmana.
**3. Mga "&amp;"Potensyal na Legal na Hamon:**
* **Non-conforming use:** Kung ang minanang property ay may kasamang ""non-conforming use,"" ibig sabihin, ito ay legal na umiiral ngunit hindi sumusunod sa kasalukuyang mga regulasyon sa zoning, ang mga tagapagmana ay maaar"&amp;"ing humarap sa mga hamon sa pagpapatuloy ng kasalukuyang paggamit. Maaaring kailanganin nilang humingi ng mga pagkakaiba-iba o pag-apruba mula sa mga lokal na awtoridad upang mapanatili ang hindi sumusunod na paggamit o harapin ang mga potensyal na paghih"&amp;"igpit o sapilitang pagsunod sa kasalukuyang mga kinakailangan sa zoning.
* **Mga limitasyon sa pag-unlad:** Depende sa partikular na pagtatalaga ng zoning at mga plano ng mga tagapagmana para sa ari-arian, maaari silang makatagpo ng mga limitasyon sa pote"&amp;"nsyal na pag-unlad. Ang mga limitasyong ito ay maaaring may kasamang mga paghihigpit sa taas ng gusali, densidad, o mga partikular na uri ng pagpapaunlad na pinapayagan sa loob ng sona, na posibleng mangailangan ng mga pagsasaayos sa kanilang mga plano o "&amp;"paghingi ng mga pag-apruba para sa mga pagkakaiba o pinahihintulutang paggamit.
* **Mga alalahanin sa kapaligiran:** Kung ang pagtatalaga ng zoning ng ari-arian ay nauugnay sa mga pagsasaalang-alang sa kapaligiran, tulad ng mga protektadong lugar o sensit"&amp;"ibong ecosystem, maaaring magmana ang mga tagapagmana ng karagdagang legal na obligasyon na may kaugnayan sa pagsunod sa kapaligiran, pamamahala, o potensyal na paghihigpit sa mga aktibidad sa pagpapaunlad.
**Mga Kumplikado sa Pag-navigate:**
Ang pagmaman"&amp;"a ng ari-arian na may natatanging mga kinakailangan sa pag-zoning ay maaaring maging kumplikado at may kasamang mga potensyal na legal na hamon. Narito ang ilang rekomendasyon:
* **Kumonsulta sa isang abogado:** Ang paghingi ng legal na payo mula sa isang"&amp;" abogado na dalubhasa sa batas sa real estate at zoning ay napakahalaga. Maaari nilang tasahin ang mga partikular na regulasyon sa zoning na naaangkop sa minanang ari-arian, payuhan tungkol sa mga potensyal na hamon, at gabayan ka sa pamamagitan ng pag-na"&amp;"vigate sa anumang mga legal na kinakailangan o paghihigpit na nauugnay sa pagtatalaga sa paggamit ng lupa.
* **Suriin ang mga nauugnay na dokumento:** Maingat na suriin ang mga ordinansa sa pagsona, mga gawa ng ari-arian, at anumang iba pang nauugnay na d"&amp;"okumento na nauugnay sa ari-arian upang maunawaan ang mga partikular na limitasyon at mga kinakailangan na nauugnay sa pagtatalaga ng zoning.
* **Humingi ng propesyonal na patnubay:** Depende sa pagiging kumplikado ng sitwasyon, isaalang-alang ang pagkons"&amp;"ulta sa mga karagdagang propesyonal tulad ng land use planner o environmental consultant para makakuha ng mga insight sa mga potensyal na opsyon sa pagpapaunlad, mga kinakailangan sa pagsunod, at mga potensyal na pagsasaalang-alang sa kapaligiran.
Sa pama"&amp;"magitan ng pag-unawa sa legal na balangkas, mga potensyal na hamon, at paghahanap ng propesyonal na patnubay, ang mga tagapagmana ay maaaring mag-navigate sa mga kumplikadong nauugnay sa pagmamana ng ari-arian na may natatanging mga kinakailangan sa pag-z"&amp;"oning at gumawa ng matalinong mga desisyon tungkol sa pamamahala, paggamit, o potensyal na pag-unlad ng minanang asset.")</f>
        <v>Sa Pilipinas, karaniwang tinutugunan ng mga batas ng estado ang pagmamana ng ari-arian na may natatanging mga kinakailangan sa pagsona o mga pagtatalaga sa paggamit ng lupa sa pamamagitan ng kumbinasyon ng:
**1. Mga Ordinansa at Regulasyon sa Zoning:**
* **Kontrol ng lokal na pamahalaan:** Ang bawat lokalidad, gaya ng mga lungsod at munisipalidad, ay karaniwang may sariling mga ordinansa at regulasyon sa pagsona na tumutukoy sa iba't ibang mga sona ng paggamit ng lupa at nagtatatag ng mga partikular na paghihigpit at alituntunin para sa pagpapaunlad at paggamit ng ari-arian sa loob ng mga zone na iyon.
* **Epekto sa pagmamana:** Maaaring makaapekto ang mga regulasyong ito ng zoning sa mana ng ari-arian sa iba't ibang paraan, gaya ng:
* **Mga paghihigpit sa pagpapaunlad:** Maaaring magmana ang mga tagapagmana ng ari-arian na may mga paghihigpit sa pag-zoning na naglilimita sa kanilang kakayahang bumuo ng lupa para sa mga partikular na layunin, na posibleng makaapekto sa kanilang mga plano para sa minanang asset.
* **Mga kinakailangan sa pagsunod:** Kahit na nilayon ng mga tagapagmana na panatilihin ang ari-arian sa kasalukuyang estado nito, maaari pa rin silang obligado na sumunod sa mga partikular na regulasyon at mga kinakailangan sa pagpapanatili na nauugnay sa itinalagang land-use zone.
**2. Mga Regulasyon sa Antas ng Estado:**
* **Pangkalahatang balangkas:** Bagama't ang mga lokal na ordinansa sa pagsosona ay nagbibigay ng pangunahing balangkas, ang ilang estado ay maaaring magkaroon ng mga karagdagang regulasyon o patakaran sa antas ng estado na maaaring makaimpluwensya sa pagmamana ng ari-arian na may mga natatanging pagsasaalang-alang sa pag-zoning.
* **Mga regulasyon sa kapaligiran:** Sa mga kaso kung saan ang ari-arian ay may mga partikular na pagsasaalang-alang sa kapaligiran o mga limitasyon dahil sa pagtatalaga ng zoning nito, ang mga batas at regulasyong pangkapaligiran ng estado ay maaari ding maglaro, na nagpapataw ng mga karagdagang kinakailangan o paghihigpit sa mga tagapagmana.
**3. Mga Potensyal na Legal na Hamon:**
* **Non-conforming use:** Kung ang minanang property ay may kasamang "non-conforming use," ibig sabihin, ito ay legal na umiiral ngunit hindi sumusunod sa kasalukuyang mga regulasyon sa zoning, ang mga tagapagmana ay maaaring humarap sa mga hamon sa pagpapatuloy ng kasalukuyang paggamit. Maaaring kailanganin nilang humingi ng mga pagkakaiba-iba o pag-apruba mula sa mga lokal na awtoridad upang mapanatili ang hindi sumusunod na paggamit o harapin ang mga potensyal na paghihigpit o sapilitang pagsunod sa kasalukuyang mga kinakailangan sa zoning.
* **Mga limitasyon sa pag-unlad:** Depende sa partikular na pagtatalaga ng zoning at mga plano ng mga tagapagmana para sa ari-arian, maaari silang makatagpo ng mga limitasyon sa potensyal na pag-unlad. Ang mga limitasyong ito ay maaaring may kasamang mga paghihigpit sa taas ng gusali, densidad, o mga partikular na uri ng pagpapaunlad na pinapayagan sa loob ng sona, na posibleng mangailangan ng mga pagsasaayos sa kanilang mga plano o paghingi ng mga pag-apruba para sa mga pagkakaiba o pinahihintulutang paggamit.
* **Mga alalahanin sa kapaligiran:** Kung ang pagtatalaga ng zoning ng ari-arian ay nauugnay sa mga pagsasaalang-alang sa kapaligiran, tulad ng mga protektadong lugar o sensitibong ecosystem, maaaring magmana ang mga tagapagmana ng karagdagang legal na obligasyon na may kaugnayan sa pagsunod sa kapaligiran, pamamahala, o potensyal na paghihigpit sa mga aktibidad sa pagpapaunlad.
**Mga Kumplikado sa Pag-navigate:**
Ang pagmamana ng ari-arian na may natatanging mga kinakailangan sa pag-zoning ay maaaring maging kumplikado at may kasamang mga potensyal na legal na hamon. Narito ang ilang rekomendasyon:
* **Kumonsulta sa isang abogado:** Ang paghingi ng legal na payo mula sa isang abogado na dalubhasa sa batas sa real estate at zoning ay napakahalaga. Maaari nilang tasahin ang mga partikular na regulasyon sa zoning na naaangkop sa minanang ari-arian, payuhan tungkol sa mga potensyal na hamon, at gabayan ka sa pamamagitan ng pag-navigate sa anumang mga legal na kinakailangan o paghihigpit na nauugnay sa pagtatalaga sa paggamit ng lupa.
* **Suriin ang mga nauugnay na dokumento:** Maingat na suriin ang mga ordinansa sa pagsona, mga gawa ng ari-arian, at anumang iba pang nauugnay na dokumento na nauugnay sa ari-arian upang maunawaan ang mga partikular na limitasyon at mga kinakailangan na nauugnay sa pagtatalaga ng zoning.
* **Humingi ng propesyonal na patnubay:** Depende sa pagiging kumplikado ng sitwasyon, isaalang-alang ang pagkonsulta sa mga karagdagang propesyonal tulad ng land use planner o environmental consultant para makakuha ng mga insight sa mga potensyal na opsyon sa pagpapaunlad, mga kinakailangan sa pagsunod, at mga potensyal na pagsasaalang-alang sa kapaligiran.
Sa pamamagitan ng pag-unawa sa legal na balangkas, mga potensyal na hamon, at paghahanap ng propesyonal na patnubay, ang mga tagapagmana ay maaaring mag-navigate sa mga kumplikadong nauugnay sa pagmamana ng ari-arian na may natatanging mga kinakailangan sa pag-zoning at gumawa ng matalinong mga desisyon tungkol sa pamamahala, paggamit, o potensyal na pag-unlad ng minanang asset.</v>
      </c>
      <c r="F406" s="2">
        <f t="shared" si="1"/>
        <v>0</v>
      </c>
      <c r="G406" s="2"/>
      <c r="H406" s="2"/>
      <c r="I406" s="2"/>
      <c r="J406" s="2"/>
      <c r="K406" s="2"/>
      <c r="L406" s="2"/>
      <c r="M406" s="2"/>
      <c r="N406" s="2"/>
      <c r="O406" s="2"/>
      <c r="P406" s="2"/>
      <c r="Q406" s="2"/>
      <c r="R406" s="2"/>
      <c r="S406" s="2"/>
      <c r="T406" s="2"/>
      <c r="U406" s="2"/>
      <c r="V406" s="2"/>
      <c r="W406" s="2"/>
      <c r="X406" s="2"/>
      <c r="Y406" s="2"/>
      <c r="Z406" s="2"/>
      <c r="AA406" s="2"/>
    </row>
    <row r="407">
      <c r="A407" s="1" t="s">
        <v>1224</v>
      </c>
      <c r="B407" s="1" t="s">
        <v>1503</v>
      </c>
      <c r="C407" s="1" t="s">
        <v>1504</v>
      </c>
      <c r="D407" s="1" t="s">
        <v>1505</v>
      </c>
      <c r="E407" s="2" t="str">
        <f>IFERROR(__xludf.DUMMYFUNCTION("GOOGLETRANSLATE(C407, ""en"", ""TL"")"),"Ang pagmamana ng ari-arian ay maaaring maging mapait, lalo na kapag ang ari-arian ay nagdadala din ng mga utang na may kaugnayan sa ari-arian. Bagama't maaaring maging mahirap ang pag-navigate sa sitwasyong ito, maraming legal na hakbang ang maaaring gawi"&amp;"n upang mabawasan ang epekto ng mga utang na ito sa proseso ng pamana, lalo na kapag ang ari-arian ay walang sapat na pagkatubig. Narito ang ilang pangunahing diskarte na dapat isaalang-alang:
**1. Suriin ang Sitwasyon:**
* **Pagsusuri sa utang:** Magsaga"&amp;"wa ng masusing pagsusuri sa mga utang na nauugnay sa ari-arian, kabilang ang:
* **Uri ng utang:** Tukuyin ang uri ng utang, gaya ng mga mortgage, lien, o hindi nabayarang buwis.
* **Halaga ng utang:** Tukuyin ang natitirang balanse para sa bawat utang.
* "&amp;"**Mga rate ng interes at tuntunin:** Unawain ang mga rate ng interes at mga tuntunin sa pagbabayad na nauugnay sa bawat utang.
* **Pagtatasa ng ari-arian:** Tayahin ang kabuuang halaga ng ari-arian, kabilang ang minanang ari-arian at anumang iba pang mga "&amp;"ari-arian. Nakakatulong ito na matukoy kung ang ari-arian ay may sapat na mga ari-arian upang mabayaran ang mga utang pagkatapos ipamahagi sa mga benepisyaryo.
**2. Galugarin ang Mga Opsyon sa Pagbabayad ng Utang:**
* **Makipag-usap sa mga nagpapautang:**"&amp;" Isaalang-alang ang pakikipag-ugnayan sa mga nagpapautang upang makipag-ayos ng mga potensyal na solusyon tulad ng:
* **Pagbabago sa pautang:** Galugarin ang mga opsyon para baguhin ang mga termino ng pautang, gaya ng pagpapahaba ng panahon ng pagbabayad "&amp;"o pagpapababa ng rate ng interes.
* **Settlement:** Makipag-ayos ng kasunduan sa settlement para magbayad ng lump sum na halaga para mabayaran nang buo ang utang.
* **I-liquidate ang iba pang mga asset:** Kung ang ari-arian ay may iba pang mga asset bukod"&amp;" sa minanang ari-arian, isaalang-alang ang pagbebenta ng mga ito upang makabuo ng mga pondo para sa pagbabayad ng utang. Maaaring kabilang dito ang pagbebenta ng mga stock, bond, o iba pang mahahalagang ari-arian.
**3. Mga Legal na Opsyon para sa Pamamaha"&amp;"la ng Utang:**
* **Proseso ng probate:** Gamitin ang proseso ng probate upang unahin at bayaran ang mga utang gamit ang mga ari-arian ng ari-arian. Tutukuyin ng hukuman ang pagkakasunud-sunod kung saan binabayaran ang mga nagpapautang, na tinitiyak na ang"&amp;" mga secure na nagpapautang na may mga paghahabol laban sa ari-arian ay unang binayaran.
* **Disclaimer of inheritance:** Kung ang mga utang ay mas malaki kaysa sa halaga ng minanang ari-arian, ang mga benepisyaryo ay may legal na karapatan na ganap na ta"&amp;"nggihan ang mana. Iniiwasan nito ang pagmamana ng mga nauugnay na pananagutan. Gayunpaman, mahalagang kumunsulta sa isang abogado bago ituloy ang opsyong ito, dahil may kasama itong mga partikular na legal na kinakailangan at kahihinatnan.
**4. Naghahanap"&amp;" ng Propesyonal na Patnubay:**
* **Legal na tagapayo:** Ang pagkonsulta sa isang abogado na dalubhasa sa batas ng ari-arian at pamamahala sa utang ay mahalaga. Maaari silang magbigay ng legal na payo sa pag-navigate sa mga kumplikado ng sitwasyon, paggalu"&amp;"gad ng mga available na opsyon, at pagtiyak ng pagsunod sa mga nauugnay na batas at regulasyon.
* **Financial advisor:** Ang paghingi ng patnubay mula sa isang financial advisor ay maaaring maging kapaki-pakinabang, lalo na kung ang ari-arian ay nagsasang"&amp;"kot ng mga kumplikadong pinansyal na asset o nangangailangan ng estratehikong pagpaplano para sa pagbabayad ng utang at paglalaan ng asset.
**Mga Karagdagang Pagsasaalang-alang:**
* **Mga implikasyon sa buwis:** Depende sa napiling diskarte sa pamamahala "&amp;"ng utang, maaaring magkaroon ng mga potensyal na implikasyon sa buwis. Makakatulong ang pagkonsulta sa isang tax advisor na matiyak ang wastong paghahain ng buwis at mabawasan ang anumang mga pasanin sa buwis na nauugnay sa pagbabayad ng utang o pagbebent"&amp;"a ng asset.
* **Komunikasyon sa mga benepisyaryo:** Panatilihin ang bukas na komunikasyon sa lahat ng mga benepisyaryo sa buong proseso. Ipaliwanag ang sitwasyon, talakayin ang mga magagamit na opsyon, at isali ang mga ito sa paggawa ng desisyon hangga't "&amp;"maaari upang mapaunlad ang transparency at mabawasan ang mga potensyal na salungatan.
Tandaan, ang mga partikular na legal na hakbang at estratehiya na pinakaangkop para sa iyong sitwasyon ay depende sa mga natatanging kalagayan ng ari-arian, ang uri at h"&amp;"alaga ng mga utang, at ang pangkalahatang sitwasyon sa pananalapi. Ang pagkonsulta sa mga kwalipikadong legal at pinansyal na propesyonal ay napakahalaga upang mabisang ma-navigate ang mga kumplikado, maprotektahan ang iyong mga karapatan, at mabawasan an"&amp;"g epekto ng mga utang na nauugnay sa ari-arian sa proseso ng mana.")</f>
        <v>Ang pagmamana ng ari-arian ay maaaring maging mapait, lalo na kapag ang ari-arian ay nagdadala din ng mga utang na may kaugnayan sa ari-arian. Bagama't maaaring maging mahirap ang pag-navigate sa sitwasyong ito, maraming legal na hakbang ang maaaring gawin upang mabawasan ang epekto ng mga utang na ito sa proseso ng pamana, lalo na kapag ang ari-arian ay walang sapat na pagkatubig. Narito ang ilang pangunahing diskarte na dapat isaalang-alang:
**1. Suriin ang Sitwasyon:**
* **Pagsusuri sa utang:** Magsagawa ng masusing pagsusuri sa mga utang na nauugnay sa ari-arian, kabilang ang:
* **Uri ng utang:** Tukuyin ang uri ng utang, gaya ng mga mortgage, lien, o hindi nabayarang buwis.
* **Halaga ng utang:** Tukuyin ang natitirang balanse para sa bawat utang.
* **Mga rate ng interes at tuntunin:** Unawain ang mga rate ng interes at mga tuntunin sa pagbabayad na nauugnay sa bawat utang.
* **Pagtatasa ng ari-arian:** Tayahin ang kabuuang halaga ng ari-arian, kabilang ang minanang ari-arian at anumang iba pang mga ari-arian. Nakakatulong ito na matukoy kung ang ari-arian ay may sapat na mga ari-arian upang mabayaran ang mga utang pagkatapos ipamahagi sa mga benepisyaryo.
**2. Galugarin ang Mga Opsyon sa Pagbabayad ng Utang:**
* **Makipag-usap sa mga nagpapautang:** Isaalang-alang ang pakikipag-ugnayan sa mga nagpapautang upang makipag-ayos ng mga potensyal na solusyon tulad ng:
* **Pagbabago sa pautang:** Galugarin ang mga opsyon para baguhin ang mga termino ng pautang, gaya ng pagpapahaba ng panahon ng pagbabayad o pagpapababa ng rate ng interes.
* **Settlement:** Makipag-ayos ng kasunduan sa settlement para magbayad ng lump sum na halaga para mabayaran nang buo ang utang.
* **I-liquidate ang iba pang mga asset:** Kung ang ari-arian ay may iba pang mga asset bukod sa minanang ari-arian, isaalang-alang ang pagbebenta ng mga ito upang makabuo ng mga pondo para sa pagbabayad ng utang. Maaaring kabilang dito ang pagbebenta ng mga stock, bond, o iba pang mahahalagang ari-arian.
**3. Mga Legal na Opsyon para sa Pamamahala ng Utang:**
* **Proseso ng probate:** Gamitin ang proseso ng probate upang unahin at bayaran ang mga utang gamit ang mga ari-arian ng ari-arian. Tutukuyin ng hukuman ang pagkakasunud-sunod kung saan binabayaran ang mga nagpapautang, na tinitiyak na ang mga secure na nagpapautang na may mga paghahabol laban sa ari-arian ay unang binayaran.
* **Disclaimer of inheritance:** Kung ang mga utang ay mas malaki kaysa sa halaga ng minanang ari-arian, ang mga benepisyaryo ay may legal na karapatan na ganap na tanggihan ang mana. Iniiwasan nito ang pagmamana ng mga nauugnay na pananagutan. Gayunpaman, mahalagang kumunsulta sa isang abogado bago ituloy ang opsyong ito, dahil may kasama itong mga partikular na legal na kinakailangan at kahihinatnan.
**4. Naghahanap ng Propesyonal na Patnubay:**
* **Legal na tagapayo:** Ang pagkonsulta sa isang abogado na dalubhasa sa batas ng ari-arian at pamamahala sa utang ay mahalaga. Maaari silang magbigay ng legal na payo sa pag-navigate sa mga kumplikado ng sitwasyon, paggalugad ng mga available na opsyon, at pagtiyak ng pagsunod sa mga nauugnay na batas at regulasyon.
* **Financial advisor:** Ang paghingi ng patnubay mula sa isang financial advisor ay maaaring maging kapaki-pakinabang, lalo na kung ang ari-arian ay nagsasangkot ng mga kumplikadong pinansyal na asset o nangangailangan ng estratehikong pagpaplano para sa pagbabayad ng utang at paglalaan ng asset.
**Mga Karagdagang Pagsasaalang-alang:**
* **Mga implikasyon sa buwis:** Depende sa napiling diskarte sa pamamahala ng utang, maaaring magkaroon ng mga potensyal na implikasyon sa buwis. Makakatulong ang pagkonsulta sa isang tax advisor na matiyak ang wastong paghahain ng buwis at mabawasan ang anumang mga pasanin sa buwis na nauugnay sa pagbabayad ng utang o pagbebenta ng asset.
* **Komunikasyon sa mga benepisyaryo:** Panatilihin ang bukas na komunikasyon sa lahat ng mga benepisyaryo sa buong proseso. Ipaliwanag ang sitwasyon, talakayin ang mga magagamit na opsyon, at isali ang mga ito sa paggawa ng desisyon hangga't maaari upang mapaunlad ang transparency at mabawasan ang mga potensyal na salungatan.
Tandaan, ang mga partikular na legal na hakbang at estratehiya na pinakaangkop para sa iyong sitwasyon ay depende sa mga natatanging kalagayan ng ari-arian, ang uri at halaga ng mga utang, at ang pangkalahatang sitwasyon sa pananalapi. Ang pagkonsulta sa mga kwalipikadong legal at pinansyal na propesyonal ay napakahalaga upang mabisang ma-navigate ang mga kumplikado, maprotektahan ang iyong mga karapatan, at mabawasan ang epekto ng mga utang na nauugnay sa ari-arian sa proseso ng mana.</v>
      </c>
      <c r="F407" s="2">
        <f t="shared" si="1"/>
        <v>0</v>
      </c>
      <c r="G407" s="2"/>
      <c r="H407" s="2"/>
      <c r="I407" s="2"/>
      <c r="J407" s="2"/>
      <c r="K407" s="2"/>
      <c r="L407" s="2"/>
      <c r="M407" s="2"/>
      <c r="N407" s="2"/>
      <c r="O407" s="2"/>
      <c r="P407" s="2"/>
      <c r="Q407" s="2"/>
      <c r="R407" s="2"/>
      <c r="S407" s="2"/>
      <c r="T407" s="2"/>
      <c r="U407" s="2"/>
      <c r="V407" s="2"/>
      <c r="W407" s="2"/>
      <c r="X407" s="2"/>
      <c r="Y407" s="2"/>
      <c r="Z407" s="2"/>
      <c r="AA407" s="2"/>
    </row>
    <row r="408">
      <c r="A408" s="1" t="s">
        <v>1224</v>
      </c>
      <c r="B408" s="1" t="s">
        <v>1506</v>
      </c>
      <c r="C408" s="1" t="s">
        <v>1507</v>
      </c>
      <c r="D408" s="1" t="s">
        <v>1508</v>
      </c>
      <c r="E408" s="2" t="str">
        <f>IFERROR(__xludf.DUMMYFUNCTION("GOOGLETRANSLATE(C408, ""en"", ""TL"")"),"Ang pagmamana ng ari-arian na may conservation easement ay may kasamang **mga paghihigpit at pagkakataon** na nagpapataas ng mga partikular na legal na pagsasaalang-alang. Narito ang isang breakdown ng mga pangunahing punto upang maunawaan:
**Mga Paghihig"&amp;"pit:**
* **Mga limitasyon sa paggamit ng lupa:** Ang mga conservation easement ay karaniwang naghihigpit sa paggamit at pagpapaunlad ng property alinsunod sa mga partikular na tuntuning nakabalangkas sa easement agreement. Maaaring limitahan ng mga paghih"&amp;"igpit na ito ang mga aktibidad tulad ng:
* **Paggawa:** Ang pagtatayo ng mga bagong istruktura o pagbabago ng mga dati nang istruktura ay maaaring ipinagbabawal o nangangailangan ng pag-apruba mula sa may hawak ng easement.
* **Pagkuha ng mapagkukunan:** "&amp;"Maaaring paghigpitan o ipinagbabawal ang mga aktibidad tulad ng pagmimina, pagtotroso, o labis na pag-alis ng tubig.
* **Pagbabago ng lupa:** Maaaring paghigpitan ang pagbabago sa natural na tanawin, tulad ng pag-alis ng mga halaman o pagbabago ng mga bas"&amp;"ang lupa.
* **Mga obligasyon sa pagsunod:** Bilang isang tagapagmana, magiging responsable ka sa pagtupad sa mga tuntunin ng umiiral na conservation easement. Maaaring kabilang dito ang:
* **Pagpapanatili ng ari-arian:** Pagtitiyak na ang ari-arian ay pin"&amp;"amamahalaan alinsunod sa mga layunin ng konserbasyon ng easement, na maaaring may kasamang mga partikular na kasanayan para sa pagpapanatili ng mga ecosystem o pagprotekta sa mga endangered species.
* **Naghahanap ng pag-apruba para sa mga pagbabago:** An"&amp;"umang mga pagbabago sa property o mga aktibidad na maaaring sumalungat sa easement ay karaniwang nangangailangan ng paunang pag-apruba mula sa may-ari ng easement.
* **Mga potensyal na pagkilos sa pagpapatupad:** Ang hindi pagsunod sa mga tuntunin ng ease"&amp;"ment ay maaaring humantong sa legal na aksyon ng may-ari ng easement, kabilang ang mga multa o maging ang posibilidad na mawalan ng pagmamay-ari ng ari-arian.
**Mga Pagkakataon:**
* **Mga benepisyo sa buwis:** Ang pagmamana ng ari-arian na may kwalipikado"&amp;"ng conservation easement ay maaaring mag-alok ng mga makabuluhang benepisyo sa buwis. Maaaring kabilang dito ang:
* **Mga binawasang buwis sa ari-arian:** Ang halaga ng ari-arian para sa mga layunin ng buwis sa ari-arian ay maaaring bawasan ng halaga ng m"&amp;"ga karapatan sa pagpapaunlad na pinapatay ng easement.
* **Mga pagbabawas sa buwis sa kita:** Ang pagbibigay ng isang kwalipikadong conservation easement sa isang kwalipikadong organisasyon ay maaaring maging karapat-dapat para sa mga pagbabawas ng buwis "&amp;"sa kita.
* **Pag-iingat ng lupa:** Ang pagmamana ng isang ari-arian na may conservation easement ay tumitiyak sa patuloy na proteksyon nito para sa mga susunod na henerasyon, na nag-aambag sa pangangalaga sa kapaligiran at pag-iingat ng mahahalagang likas"&amp;" na yaman.
**Pag-navigate sa mga legalidad:**
* **Suriin ang kasunduan sa easement:** Maingat na suriin ang mga partikular na tuntunin at paghihigpit na nakabalangkas sa umiiral na conservation easement upang maunawaan ang iyong mga karapatan at obligasyo"&amp;"n bilang tagapagmana.
* **Humingi ng legal na payo:** Ang pagkonsulta sa isang abogado na dalubhasa sa real estate at batas sa kapaligiran ay mahalaga. Maaari ka nilang ipaalam sa iyong mga legal na responsibilidad, potensyal na implikasyon sa buwis, at a"&amp;"numang mga opsyon na magagamit para sa pamamahala ng ari-arian sa loob ng balangkas ng easement.
* **Kumonekta sa may hawak ng easement:** Maaaring maging kapaki-pakinabang ang pagkakaroon ng komunikasyon sa may hawak ng easement. Maaari silang magbigay n"&amp;"g gabay sa kanilang mga inaasahan, sagutin ang anumang mga tanong na maaaring mayroon ka, at makipagtulungan sa pamamahala ng ari-arian alinsunod sa mga layunin ng easement.
**Tandaan:**
Ang mga partikular na legal na implikasyon at pagkakataong nauugnay "&amp;"sa pagmamana ng ari-arian na napapailalim sa isang conservation easement ay mag-iiba-iba depende sa indibidwal na mga pangyayari, ang mga partikular na tuntunin ng easement, at mga naaangkop na batas sa iyong hurisdiksyon. Ang pagkonsulta sa mga kwalipika"&amp;"dong legal at potensyal na mga propesyonal sa kapaligiran ay napakahalaga upang matiyak na nauunawaan mo ang iyong mga karapatan at obligasyon, epektibong mag-navigate sa mga legalidad, at gumawa ng matalinong mga desisyon tungkol sa pamamahala at paggami"&amp;"t ng minanang ari-arian habang pinangangalagaan ang mga halaga ng konserbasyon nito.")</f>
        <v>Ang pagmamana ng ari-arian na may conservation easement ay may kasamang **mga paghihigpit at pagkakataon** na nagpapataas ng mga partikular na legal na pagsasaalang-alang. Narito ang isang breakdown ng mga pangunahing punto upang maunawaan:
**Mga Paghihigpit:**
* **Mga limitasyon sa paggamit ng lupa:** Ang mga conservation easement ay karaniwang naghihigpit sa paggamit at pagpapaunlad ng property alinsunod sa mga partikular na tuntuning nakabalangkas sa easement agreement. Maaaring limitahan ng mga paghihigpit na ito ang mga aktibidad tulad ng:
* **Paggawa:** Ang pagtatayo ng mga bagong istruktura o pagbabago ng mga dati nang istruktura ay maaaring ipinagbabawal o nangangailangan ng pag-apruba mula sa may hawak ng easement.
* **Pagkuha ng mapagkukunan:** Maaaring paghigpitan o ipinagbabawal ang mga aktibidad tulad ng pagmimina, pagtotroso, o labis na pag-alis ng tubig.
* **Pagbabago ng lupa:** Maaaring paghigpitan ang pagbabago sa natural na tanawin, tulad ng pag-alis ng mga halaman o pagbabago ng mga basang lupa.
* **Mga obligasyon sa pagsunod:** Bilang isang tagapagmana, magiging responsable ka sa pagtupad sa mga tuntunin ng umiiral na conservation easement. Maaaring kabilang dito ang:
* **Pagpapanatili ng ari-arian:** Pagtitiyak na ang ari-arian ay pinamamahalaan alinsunod sa mga layunin ng konserbasyon ng easement, na maaaring may kasamang mga partikular na kasanayan para sa pagpapanatili ng mga ecosystem o pagprotekta sa mga endangered species.
* **Naghahanap ng pag-apruba para sa mga pagbabago:** Anumang mga pagbabago sa property o mga aktibidad na maaaring sumalungat sa easement ay karaniwang nangangailangan ng paunang pag-apruba mula sa may-ari ng easement.
* **Mga potensyal na pagkilos sa pagpapatupad:** Ang hindi pagsunod sa mga tuntunin ng easement ay maaaring humantong sa legal na aksyon ng may-ari ng easement, kabilang ang mga multa o maging ang posibilidad na mawalan ng pagmamay-ari ng ari-arian.
**Mga Pagkakataon:**
* **Mga benepisyo sa buwis:** Ang pagmamana ng ari-arian na may kwalipikadong conservation easement ay maaaring mag-alok ng mga makabuluhang benepisyo sa buwis. Maaaring kabilang dito ang:
* **Mga binawasang buwis sa ari-arian:** Ang halaga ng ari-arian para sa mga layunin ng buwis sa ari-arian ay maaaring bawasan ng halaga ng mga karapatan sa pagpapaunlad na pinapatay ng easement.
* **Mga pagbabawas sa buwis sa kita:** Ang pagbibigay ng isang kwalipikadong conservation easement sa isang kwalipikadong organisasyon ay maaaring maging karapat-dapat para sa mga pagbabawas ng buwis sa kita.
* **Pag-iingat ng lupa:** Ang pagmamana ng isang ari-arian na may conservation easement ay tumitiyak sa patuloy na proteksyon nito para sa mga susunod na henerasyon, na nag-aambag sa pangangalaga sa kapaligiran at pag-iingat ng mahahalagang likas na yaman.
**Pag-navigate sa mga legalidad:**
* **Suriin ang kasunduan sa easement:** Maingat na suriin ang mga partikular na tuntunin at paghihigpit na nakabalangkas sa umiiral na conservation easement upang maunawaan ang iyong mga karapatan at obligasyon bilang tagapagmana.
* **Humingi ng legal na payo:** Ang pagkonsulta sa isang abogado na dalubhasa sa real estate at batas sa kapaligiran ay mahalaga. Maaari ka nilang ipaalam sa iyong mga legal na responsibilidad, potensyal na implikasyon sa buwis, at anumang mga opsyon na magagamit para sa pamamahala ng ari-arian sa loob ng balangkas ng easement.
* **Kumonekta sa may hawak ng easement:** Maaaring maging kapaki-pakinabang ang pagkakaroon ng komunikasyon sa may hawak ng easement. Maaari silang magbigay ng gabay sa kanilang mga inaasahan, sagutin ang anumang mga tanong na maaaring mayroon ka, at makipagtulungan sa pamamahala ng ari-arian alinsunod sa mga layunin ng easement.
**Tandaan:**
Ang mga partikular na legal na implikasyon at pagkakataong nauugnay sa pagmamana ng ari-arian na napapailalim sa isang conservation easement ay mag-iiba-iba depende sa indibidwal na mga pangyayari, ang mga partikular na tuntunin ng easement, at mga naaangkop na batas sa iyong hurisdiksyon. Ang pagkonsulta sa mga kwalipikadong legal at potensyal na mga propesyonal sa kapaligiran ay napakahalaga upang matiyak na nauunawaan mo ang iyong mga karapatan at obligasyon, epektibong mag-navigate sa mga legalidad, at gumawa ng matalinong mga desisyon tungkol sa pamamahala at paggamit ng minanang ari-arian habang pinangangalagaan ang mga halaga ng konserbasyon nito.</v>
      </c>
      <c r="F408" s="2">
        <f t="shared" si="1"/>
        <v>0</v>
      </c>
      <c r="G408" s="2"/>
      <c r="H408" s="2"/>
      <c r="I408" s="2"/>
      <c r="J408" s="2"/>
      <c r="K408" s="2"/>
      <c r="L408" s="2"/>
      <c r="M408" s="2"/>
      <c r="N408" s="2"/>
      <c r="O408" s="2"/>
      <c r="P408" s="2"/>
      <c r="Q408" s="2"/>
      <c r="R408" s="2"/>
      <c r="S408" s="2"/>
      <c r="T408" s="2"/>
      <c r="U408" s="2"/>
      <c r="V408" s="2"/>
      <c r="W408" s="2"/>
      <c r="X408" s="2"/>
      <c r="Y408" s="2"/>
      <c r="Z408" s="2"/>
      <c r="AA408" s="2"/>
    </row>
    <row r="409">
      <c r="A409" s="1" t="s">
        <v>1224</v>
      </c>
      <c r="B409" s="1" t="s">
        <v>1509</v>
      </c>
      <c r="C409" s="1" t="s">
        <v>1510</v>
      </c>
      <c r="D409" s="1" t="s">
        <v>1511</v>
      </c>
      <c r="E409" s="2" t="str">
        <f>IFERROR(__xludf.DUMMYFUNCTION("GOOGLETRANSLATE(C409, ""en"", ""TL"")"),"Sa Pilipinas, ang magkasintahang mag-asawa, na tinatawag ding ""live-in partners,"" **ay hindi awtomatikong nagmamana** sa isa't isa sa ilalim ng intestacy (namamatay nang walang kalooban). Gayunpaman, nag-aalok ang batas ng ilang paraan para sa pagprotek"&amp;"ta sa kanilang mga interes:
**Common-Law Marriage (Presumption of Marriage):**
* Kinikilala ng Article 147 ng Family Code ang isang anyo ng common-law marriage. Kung ang isang lalaki at babae ay nagsasama sa isang makabuluhang panahon, **eksklusibo at tul"&amp;"oy-tuloy** tulad ng mag-asawa, mayroong **pagpapalagay ng kasal**. Ang pagpapalagay na ito ay maaaring pabulaanan ng katibayan sa kabaligtaran (hal., ang magkapareha ay kasal na sa iba).
* Kung ang presumption of marriage ay itinatag, ang surviving partne"&amp;"r ay magkakaroon ng inheritance rights alinsunod sa mga patakaran para sa mga mag-asawa sa ilalim ng Family Code.
**Co-ownership ng Ari-arian:**
* Nalalapat ang Artikulo 148 ng Family Code kapag hindi natutugunan ng cohabitation ang mga kinakailangan ng c"&amp;"ommon-law marriage. Dito, ang mga ari-arian na nakuha ng **parehong partido sa pamamagitan ng kanilang aktwal na pinagsamang kontribusyon** (pera, ari-arian, o industriya) ay pagmamay-ari **katulad** ayon sa proporsyon ng kanilang mga kontribusyon. * Sa k"&amp;"awalan ng nakasulat na kasunduan sa mga porsyento ng kontribusyon, ito ay ipinapalagay na pantay. Ang nabubuhay na kasosyo ay magkakaroon ng karapatan sa kanilang bahagi ng pag-aari na kapwa pag-aari.
**Pagprotekta sa mga Interes:**
* **Living Together De"&amp;"claration:** Bagama't hindi legal na kinakailangan, maaaring makatulong ang isang notarized na ""Living Together Declaration."" Binabalangkas nito ang kaugnayan at mga potensyal na kasunduan sa pagmamay-ari ng ari-arian o mga pagsasaayos sa pananalapi kun"&amp;"g sakaling magkahiwalay o mamatay.
* **Will:** Ang namatay na kasosyo ay maaaring gumawa ng testamento na tumutukoy kung sino ang magmamana ng kanilang ari-arian. Ito ang pinakasecure na paraan upang matiyak na matatanggap ng nabubuhay na kasosyo kung ano"&amp;" ang nilalayon. Makakatulong ang isang abogado na matiyak na ang kalooban ay legal na tama.
**Narito ang ilang mapagkukunan para sa karagdagang impormasyon:**
* Family Code of the Philippines: Maaari mong mahanap ang Family Code online sa pamamagitan ng i"&amp;"ba't ibang website ng legal na impormasyon.
* Philippine Law Commission: [https://lawphil.net/](https://lawphil.net/)
**Tandaan, ang pagkonsulta sa isang abogado na dalubhasa sa batas ng pamilya ay inirerekomenda para sa partikular na payo na naaayon sa i"&amp;"yong sitwasyon.**")</f>
        <v>Sa Pilipinas, ang magkasintahang mag-asawa, na tinatawag ding "live-in partners," **ay hindi awtomatikong nagmamana** sa isa't isa sa ilalim ng intestacy (namamatay nang walang kalooban). Gayunpaman, nag-aalok ang batas ng ilang paraan para sa pagprotekta sa kanilang mga interes:
**Common-Law Marriage (Presumption of Marriage):**
* Kinikilala ng Article 147 ng Family Code ang isang anyo ng common-law marriage. Kung ang isang lalaki at babae ay nagsasama sa isang makabuluhang panahon, **eksklusibo at tuloy-tuloy** tulad ng mag-asawa, mayroong **pagpapalagay ng kasal**. Ang pagpapalagay na ito ay maaaring pabulaanan ng katibayan sa kabaligtaran (hal., ang magkapareha ay kasal na sa iba).
* Kung ang presumption of marriage ay itinatag, ang surviving partner ay magkakaroon ng inheritance rights alinsunod sa mga patakaran para sa mga mag-asawa sa ilalim ng Family Code.
**Co-ownership ng Ari-arian:**
* Nalalapat ang Artikulo 148 ng Family Code kapag hindi natutugunan ng cohabitation ang mga kinakailangan ng common-law marriage. Dito, ang mga ari-arian na nakuha ng **parehong partido sa pamamagitan ng kanilang aktwal na pinagsamang kontribusyon** (pera, ari-arian, o industriya) ay pagmamay-ari **katulad** ayon sa proporsyon ng kanilang mga kontribusyon. * Sa kawalan ng nakasulat na kasunduan sa mga porsyento ng kontribusyon, ito ay ipinapalagay na pantay. Ang nabubuhay na kasosyo ay magkakaroon ng karapatan sa kanilang bahagi ng pag-aari na kapwa pag-aari.
**Pagprotekta sa mga Interes:**
* **Living Together Declaration:** Bagama't hindi legal na kinakailangan, maaaring makatulong ang isang notarized na "Living Together Declaration." Binabalangkas nito ang kaugnayan at mga potensyal na kasunduan sa pagmamay-ari ng ari-arian o mga pagsasaayos sa pananalapi kung sakaling magkahiwalay o mamatay.
* **Will:** Ang namatay na kasosyo ay maaaring gumawa ng testamento na tumutukoy kung sino ang magmamana ng kanilang ari-arian. Ito ang pinakasecure na paraan upang matiyak na matatanggap ng nabubuhay na kasosyo kung ano ang nilalayon. Makakatulong ang isang abogado na matiyak na ang kalooban ay legal na tama.
**Narito ang ilang mapagkukunan para sa karagdagang impormasyon:**
* Family Code of the Philippines: Maaari mong mahanap ang Family Code online sa pamamagitan ng iba't ibang website ng legal na impormasyon.
* Philippine Law Commission: [https://lawphil.net/](https://lawphil.net/)
**Tandaan, ang pagkonsulta sa isang abogado na dalubhasa sa batas ng pamilya ay inirerekomenda para sa partikular na payo na naaayon sa iyong sitwasyon.**</v>
      </c>
      <c r="F409" s="2">
        <f t="shared" si="1"/>
        <v>0</v>
      </c>
      <c r="G409" s="2"/>
      <c r="H409" s="2"/>
      <c r="I409" s="2"/>
      <c r="J409" s="2"/>
      <c r="K409" s="2"/>
      <c r="L409" s="2"/>
      <c r="M409" s="2"/>
      <c r="N409" s="2"/>
      <c r="O409" s="2"/>
      <c r="P409" s="2"/>
      <c r="Q409" s="2"/>
      <c r="R409" s="2"/>
      <c r="S409" s="2"/>
      <c r="T409" s="2"/>
      <c r="U409" s="2"/>
      <c r="V409" s="2"/>
      <c r="W409" s="2"/>
      <c r="X409" s="2"/>
      <c r="Y409" s="2"/>
      <c r="Z409" s="2"/>
      <c r="AA409" s="2"/>
    </row>
    <row r="410">
      <c r="A410" s="1" t="s">
        <v>1224</v>
      </c>
      <c r="B410" s="1" t="s">
        <v>1512</v>
      </c>
      <c r="C410" s="1" t="s">
        <v>1513</v>
      </c>
      <c r="D410" s="1" t="s">
        <v>1514</v>
      </c>
      <c r="E410" s="2" t="str">
        <f>IFERROR(__xludf.DUMMYFUNCTION("GOOGLETRANSLATE(C410, ""en"", ""TL"")"),"Ang mana ay maaaring maging isang benepisyo at isang hamon para sa mga indibidwal na may mga kapansanan sa Pilipinas. Narito ang isang breakdown ng mga isyu at ilang legal na pagsasaalang-alang:
**Potensyal na Mga Benepisyo:**
* **Seguridad sa Pananalapi:"&amp;"** Ang isang mana ay maaaring magbigay ng lubhang kailangan na mga mapagkukunang pinansyal para sa mga indibidwal na may mga kapansanan, pagpapabuti ng kanilang kalidad ng buhay at pagsagot sa mga gastos para sa pangangalaga, mga teknolohiyang pantulong, "&amp;"o inangkop na pabahay.
* **Pagtaas ng Kasarinlan:** Ang seguridad sa pananalapi mula sa mana ay maaaring magbigay ng kapangyarihan sa mga indibidwal na may mga kapansanan na mamuhay nang higit na nakapag-iisa, na posibleng mabawasan ang pag-asa sa mga ben"&amp;"episyo ng gobyerno o suporta sa pamilya.
**Potensyal na Hamon:**
* **Pagkawala ng Mga Benepisyo ng Gobyerno:** Sa ilang mga kaso, ang pagmamana ng mga asset na higit sa isang partikular na limitasyon ay maaaring mag-disqualify sa mga indibidwal mula sa pa"&amp;"gtanggap ng mga benepisyo ng gobyerno tulad ng Social Pension ng Persons with Disabilities (PWD).
* **Pagsasamantala:** Ang mga indibidwal na may mga kapansanan ay maaaring masugatan sa pananamantalang pananalapi ng mga miyembro ng pamilya o tagapag-alaga"&amp;" na maling gumagamit ng minanang pondo.
* **Kakulangan sa Pagpaplano:** Kung walang wastong pagpaplano, ang isang mana ay maaaring mabilis na maubos, na iiwan ang indibidwal na mas malala sa katagalan.
**Mga Legal na Pagsasaalang-alang para sa Seguridad:*"&amp;"*
* **Trusts:** Ang isang Special Needs Trust ay maaaring maging isang mahalagang tool. Ang mga asset ay inilalagay sa isang trust na pinamamahalaan ng isang trustee na gumagamit ng mga ito para sa benepisyo ng benepisyaryo. Makatitiyak ito ng access sa m"&amp;"ga kinakailangang pondo nang hindi nalalagay sa alanganin ang mga benepisyo ng gobyerno.
* **Guardianship:** Para sa mga indibidwal na may malubhang kapansanan, maaaring kailanganin ang isang itinalagang tagapag-alaga ng hukuman upang pamahalaan ang kanil"&amp;"ang mga pananalapi at tiyakin ang responsableng paggamit ng mga minanang asset.
* **Wills and Estate Planning:** Ang namatay ay maaaring gumawa ng testamento na tumutukoy kung paano pinamamahalaan ang mana. Maaaring kabilang dito ang pagtatalaga ng isang "&amp;"pinagkakatiwalaang indibidwal upang pangasiwaan ang paggamit ng mga pondo o paglikha ng istraktura ng tiwala.
* **Guardianship Ad Litem:** Sa ilang sitwasyon, maaaring kailanganin ang isang guardian ad litem, isang kinatawan na hinirang ng hukuman, upang "&amp;"isulong ang pinakamahusay na interes ng indibidwal na may kapansanan sa panahon ng mga talakayan sa mana.
**Mga Rekomendasyon:**
* **Kumonsulta sa Abogado:** Ang isang bihasang abogado na nagdadalubhasa sa pagpaplano ng ari-arian at batas sa kapansanan ay"&amp;" maaaring magbigay ng iniangkop na payo sa mga pinakaangkop na legal na istruktura upang protektahan ang seguridad sa pananalapi at pabahay ng indibidwal * **Mga Ahensya ng Gobyerno:** Ang Kagawaran ng Kapakanang Panlipunan and Development (DSWD) at ang P"&amp;"hilippine National Council for Disability Affairs (PCD) ay nag-aalok ng mga mapagkukunan at suporta para sa mga indibidwal na may mga kapansanan, kabilang ang impormasyon sa mga legal na usapin. Sa pamamagitan ng maingat na pagsasaalang-alang sa mga legal"&amp;" na aspetong ito at paghahanap ng propesyonal na patnubay, ang mana ay maaaring gamitin upang mapabuti ang kagalingan at seguridad ng mga indibidwal na may mga kapansanan sa Pilipinas.")</f>
        <v>Ang mana ay maaaring maging isang benepisyo at isang hamon para sa mga indibidwal na may mga kapansanan sa Pilipinas. Narito ang isang breakdown ng mga isyu at ilang legal na pagsasaalang-alang:
**Potensyal na Mga Benepisyo:**
* **Seguridad sa Pananalapi:** Ang isang mana ay maaaring magbigay ng lubhang kailangan na mga mapagkukunang pinansyal para sa mga indibidwal na may mga kapansanan, pagpapabuti ng kanilang kalidad ng buhay at pagsagot sa mga gastos para sa pangangalaga, mga teknolohiyang pantulong, o inangkop na pabahay.
* **Pagtaas ng Kasarinlan:** Ang seguridad sa pananalapi mula sa mana ay maaaring magbigay ng kapangyarihan sa mga indibidwal na may mga kapansanan na mamuhay nang higit na nakapag-iisa, na posibleng mabawasan ang pag-asa sa mga benepisyo ng gobyerno o suporta sa pamilya.
**Potensyal na Hamon:**
* **Pagkawala ng Mga Benepisyo ng Gobyerno:** Sa ilang mga kaso, ang pagmamana ng mga asset na higit sa isang partikular na limitasyon ay maaaring mag-disqualify sa mga indibidwal mula sa pagtanggap ng mga benepisyo ng gobyerno tulad ng Social Pension ng Persons with Disabilities (PWD).
* **Pagsasamantala:** Ang mga indibidwal na may mga kapansanan ay maaaring masugatan sa pananamantalang pananalapi ng mga miyembro ng pamilya o tagapag-alaga na maling gumagamit ng minanang pondo.
* **Kakulangan sa Pagpaplano:** Kung walang wastong pagpaplano, ang isang mana ay maaaring mabilis na maubos, na iiwan ang indibidwal na mas malala sa katagalan.
**Mga Legal na Pagsasaalang-alang para sa Seguridad:**
* **Trusts:** Ang isang Special Needs Trust ay maaaring maging isang mahalagang tool. Ang mga asset ay inilalagay sa isang trust na pinamamahalaan ng isang trustee na gumagamit ng mga ito para sa benepisyo ng benepisyaryo. Makatitiyak ito ng access sa mga kinakailangang pondo nang hindi nalalagay sa alanganin ang mga benepisyo ng gobyerno.
* **Guardianship:** Para sa mga indibidwal na may malubhang kapansanan, maaaring kailanganin ang isang itinalagang tagapag-alaga ng hukuman upang pamahalaan ang kanilang mga pananalapi at tiyakin ang responsableng paggamit ng mga minanang asset.
* **Wills and Estate Planning:** Ang namatay ay maaaring gumawa ng testamento na tumutukoy kung paano pinamamahalaan ang mana. Maaaring kabilang dito ang pagtatalaga ng isang pinagkakatiwalaang indibidwal upang pangasiwaan ang paggamit ng mga pondo o paglikha ng istraktura ng tiwala.
* **Guardianship Ad Litem:** Sa ilang sitwasyon, maaaring kailanganin ang isang guardian ad litem, isang kinatawan na hinirang ng hukuman, upang isulong ang pinakamahusay na interes ng indibidwal na may kapansanan sa panahon ng mga talakayan sa mana.
**Mga Rekomendasyon:**
* **Kumonsulta sa Abogado:** Ang isang bihasang abogado na nagdadalubhasa sa pagpaplano ng ari-arian at batas sa kapansanan ay maaaring magbigay ng iniangkop na payo sa mga pinakaangkop na legal na istruktura upang protektahan ang seguridad sa pananalapi at pabahay ng indibidwal * **Mga Ahensya ng Gobyerno:** Ang Kagawaran ng Kapakanang Panlipunan and Development (DSWD) at ang Philippine National Council for Disability Affairs (PCD) ay nag-aalok ng mga mapagkukunan at suporta para sa mga indibidwal na may mga kapansanan, kabilang ang impormasyon sa mga legal na usapin. Sa pamamagitan ng maingat na pagsasaalang-alang sa mga legal na aspetong ito at paghahanap ng propesyonal na patnubay, ang mana ay maaaring gamitin upang mapabuti ang kagalingan at seguridad ng mga indibidwal na may mga kapansanan sa Pilipinas.</v>
      </c>
      <c r="F410" s="2">
        <f t="shared" si="1"/>
        <v>0</v>
      </c>
      <c r="G410" s="2"/>
      <c r="H410" s="2"/>
      <c r="I410" s="2"/>
      <c r="J410" s="2"/>
      <c r="K410" s="2"/>
      <c r="L410" s="2"/>
      <c r="M410" s="2"/>
      <c r="N410" s="2"/>
      <c r="O410" s="2"/>
      <c r="P410" s="2"/>
      <c r="Q410" s="2"/>
      <c r="R410" s="2"/>
      <c r="S410" s="2"/>
      <c r="T410" s="2"/>
      <c r="U410" s="2"/>
      <c r="V410" s="2"/>
      <c r="W410" s="2"/>
      <c r="X410" s="2"/>
      <c r="Y410" s="2"/>
      <c r="Z410" s="2"/>
      <c r="AA410" s="2"/>
    </row>
    <row r="411">
      <c r="A411" s="1" t="s">
        <v>1224</v>
      </c>
      <c r="B411" s="1" t="s">
        <v>1515</v>
      </c>
      <c r="C411" s="1" t="s">
        <v>1516</v>
      </c>
      <c r="D411" s="1" t="s">
        <v>1517</v>
      </c>
      <c r="E411" s="2" t="str">
        <f>IFERROR(__xludf.DUMMYFUNCTION("GOOGLETRANSLATE(C411, ""en"", ""TL"")"),"Ang pagmamana ng timeshare sa Pilipinas ay nagsasangkot ng mga partikular na legal na pagsasaalang-alang tungkol sa pagmamay-ari, mga karapatan sa paggamit, bayad sa pagpapanatili, at paglipat. Narito ang isang breakdown:
**Pagmamay-ari:**
* **Istruktura "&amp;"ng Pagmamay-ari ng Timeshare:** Sa Pilipinas, ang mga timeshare ay karaniwang nakaayos bilang alinman sa mga membership sa vacation club o co-ownership ng isang property.
* **Vacation Club Membership:** Nagbibigay ito ng mga karapatan sa paggamit ng tagap"&amp;"agmana para sa isang partikular na panahon bawat taon ngunit hindi ang pagmamay-ari ng pinagbabatayan na ari-arian. Ang mga tuntunin sa membership at mga karapatan sa mana ay idinidikta ng partikular na kontrata ng vacation club.
* **Co-ownership:** Binib"&amp;"igyan nito ang inheritor ng shared ownership stake sa property, kasama ng iba pang may-ari ng timeshare. Ang mga batas sa pamana sa Pilipinas ay ilalapat, at ang tagapagmana ay magmamana ng bahagi tulad ng anumang iba pang ari-arian.
**Mga Karapatan sa Pa"&amp;"ggamit:**
* **Fixed Week o Floating Week:** Mamanahin ng inheritor ang umiiral nang mga karapatan sa paggamit na tinukoy sa kontrata ng timeshare. Ito ay maaaring isang nakapirming linggo bawat taon, isang lumulutang na linggo sa loob ng isang season, o i"&amp;"sang sistema ng mga puntos para sa flexible na pag-iiskedyul.
* **Mga Paghihigpit:** Maaaring may mga paghihigpit sa paggamit, gaya ng mga petsa ng blackout (mga panahon kung kailan hindi magagamit ang timeshare) o mga limitasyon sa occupancy. Ang mga ito"&amp;" ay ilalarawan sa kontrata ng timeshare.
**Mga Bayarin sa Pagpapanatili:**
* **Nakabahaging Pananagutan:** Sa parehong mga istruktura ng membership at co-ownership, ang mga may-ari ng timeshare ay karaniwang responsable para sa pagbabahagi ng mga bayarin "&amp;"sa pagpapanatili ng property. Sinasaklaw ng mga bayarin na ito ang pangangalaga, mga utility, insurance, at mga buwis sa ari-arian.
* **Assessment on Inheritor:** Ang inheritor ay mananagot para sa kanyang minanang bahagi ng maintenance fees. Ito ay maaar"&amp;"ing maging isang makabuluhang patuloy na gastos, at mahalagang isama ito sa desisyon ng pagtanggap ng mana.
**Transferability:**
* **Muling Pagbebenta ng Mga Timeshare:** Maaaring mahirap ibenta muli ang mga Timeshare dahil sa isang puspos na merkado. Maa"&amp;"aring i-explore ng inheritor ang pagbebenta sa pamamagitan ng kumpanya ng timeshare, isang muling pagbebentang broker, o mga online na marketplace, ngunit walang garantiya ng isang mamimili o isang magandang presyo.
* **Pagsuko ng Timeshare:** Maaaring pa"&amp;"yagan ng ilang kontrata ng timeshare ang pagsuko ng pagmamay-ari pabalik sa developer, ngunit ang opsyong ito ay hindi pangkaraniwan at maaaring may mga bayarin.
* **Inheritance Consideration:** Kung ang inheritor ay hindi gusto ang timeshare, maaari niya"&amp;"ng i-disclaim ito sa pamamagitan ng legal na proseso. Gayunpaman, tinatanggihan din nito ang anumang potensyal na benepisyo.
**Mga Rekomendasyon:**
* **Suriin ang Kontrata ng Timeshare:** Maingat na suriin ang mga detalye ng kontrata patungkol sa istruktu"&amp;"ra ng pagmamay-ari, mga karapatan sa paggamit, mga bayarin sa pagpapanatili, at mga sugnay sa paglilipat.
* **Mga Implikasyon sa Pananalapi:** Isaalang-alang ang mga patuloy na bayarin sa pagpapanatili at potensyal na halaga ng muling pagbebenta bago tang"&amp;"gapin ang mana.
* **Kumonsulta sa isang Abogado:** Ang isang abogado na dalubhasa sa batas ng ari-arian o mana ay maaaring magbigay ng partikular na patnubay batay sa partikular na kontrata ng timeshare at sitwasyon ng tagapagmana.
Ang pagmamana ng isang "&amp;"timeshare ay maaaring maging kapaki-pakinabang para sa mga nasiyahan sa aspeto ng bakasyon at kayang bayaran ang mga bayad sa pagpapanatili. Gayunpaman, napakahalagang maunawaan ang mga legal na aspeto at obligasyon sa pananalapi bago magmana ng isa.")</f>
        <v>Ang pagmamana ng timeshare sa Pilipinas ay nagsasangkot ng mga partikular na legal na pagsasaalang-alang tungkol sa pagmamay-ari, mga karapatan sa paggamit, bayad sa pagpapanatili, at paglipat. Narito ang isang breakdown:
**Pagmamay-ari:**
* **Istruktura ng Pagmamay-ari ng Timeshare:** Sa Pilipinas, ang mga timeshare ay karaniwang nakaayos bilang alinman sa mga membership sa vacation club o co-ownership ng isang property.
* **Vacation Club Membership:** Nagbibigay ito ng mga karapatan sa paggamit ng tagapagmana para sa isang partikular na panahon bawat taon ngunit hindi ang pagmamay-ari ng pinagbabatayan na ari-arian. Ang mga tuntunin sa membership at mga karapatan sa mana ay idinidikta ng partikular na kontrata ng vacation club.
* **Co-ownership:** Binibigyan nito ang inheritor ng shared ownership stake sa property, kasama ng iba pang may-ari ng timeshare. Ang mga batas sa pamana sa Pilipinas ay ilalapat, at ang tagapagmana ay magmamana ng bahagi tulad ng anumang iba pang ari-arian.
**Mga Karapatan sa Paggamit:**
* **Fixed Week o Floating Week:** Mamanahin ng inheritor ang umiiral nang mga karapatan sa paggamit na tinukoy sa kontrata ng timeshare. Ito ay maaaring isang nakapirming linggo bawat taon, isang lumulutang na linggo sa loob ng isang season, o isang sistema ng mga puntos para sa flexible na pag-iiskedyul.
* **Mga Paghihigpit:** Maaaring may mga paghihigpit sa paggamit, gaya ng mga petsa ng blackout (mga panahon kung kailan hindi magagamit ang timeshare) o mga limitasyon sa occupancy. Ang mga ito ay ilalarawan sa kontrata ng timeshare.
**Mga Bayarin sa Pagpapanatili:**
* **Nakabahaging Pananagutan:** Sa parehong mga istruktura ng membership at co-ownership, ang mga may-ari ng timeshare ay karaniwang responsable para sa pagbabahagi ng mga bayarin sa pagpapanatili ng property. Sinasaklaw ng mga bayarin na ito ang pangangalaga, mga utility, insurance, at mga buwis sa ari-arian.
* **Assessment on Inheritor:** Ang inheritor ay mananagot para sa kanyang minanang bahagi ng maintenance fees. Ito ay maaaring maging isang makabuluhang patuloy na gastos, at mahalagang isama ito sa desisyon ng pagtanggap ng mana.
**Transferability:**
* **Muling Pagbebenta ng Mga Timeshare:** Maaaring mahirap ibenta muli ang mga Timeshare dahil sa isang puspos na merkado. Maaaring i-explore ng inheritor ang pagbebenta sa pamamagitan ng kumpanya ng timeshare, isang muling pagbebentang broker, o mga online na marketplace, ngunit walang garantiya ng isang mamimili o isang magandang presyo.
* **Pagsuko ng Timeshare:** Maaaring payagan ng ilang kontrata ng timeshare ang pagsuko ng pagmamay-ari pabalik sa developer, ngunit ang opsyong ito ay hindi pangkaraniwan at maaaring may mga bayarin.
* **Inheritance Consideration:** Kung ang inheritor ay hindi gusto ang timeshare, maaari niyang i-disclaim ito sa pamamagitan ng legal na proseso. Gayunpaman, tinatanggihan din nito ang anumang potensyal na benepisyo.
**Mga Rekomendasyon:**
* **Suriin ang Kontrata ng Timeshare:** Maingat na suriin ang mga detalye ng kontrata patungkol sa istruktura ng pagmamay-ari, mga karapatan sa paggamit, mga bayarin sa pagpapanatili, at mga sugnay sa paglilipat.
* **Mga Implikasyon sa Pananalapi:** Isaalang-alang ang mga patuloy na bayarin sa pagpapanatili at potensyal na halaga ng muling pagbebenta bago tanggapin ang mana.
* **Kumonsulta sa isang Abogado:** Ang isang abogado na dalubhasa sa batas ng ari-arian o mana ay maaaring magbigay ng partikular na patnubay batay sa partikular na kontrata ng timeshare at sitwasyon ng tagapagmana.
Ang pagmamana ng isang timeshare ay maaaring maging kapaki-pakinabang para sa mga nasiyahan sa aspeto ng bakasyon at kayang bayaran ang mga bayad sa pagpapanatili. Gayunpaman, napakahalagang maunawaan ang mga legal na aspeto at obligasyon sa pananalapi bago magmana ng isa.</v>
      </c>
      <c r="F411" s="2">
        <f t="shared" si="1"/>
        <v>0</v>
      </c>
      <c r="G411" s="2"/>
      <c r="H411" s="2"/>
      <c r="I411" s="2"/>
      <c r="J411" s="2"/>
      <c r="K411" s="2"/>
      <c r="L411" s="2"/>
      <c r="M411" s="2"/>
      <c r="N411" s="2"/>
      <c r="O411" s="2"/>
      <c r="P411" s="2"/>
      <c r="Q411" s="2"/>
      <c r="R411" s="2"/>
      <c r="S411" s="2"/>
      <c r="T411" s="2"/>
      <c r="U411" s="2"/>
      <c r="V411" s="2"/>
      <c r="W411" s="2"/>
      <c r="X411" s="2"/>
      <c r="Y411" s="2"/>
      <c r="Z411" s="2"/>
      <c r="AA411" s="2"/>
    </row>
    <row r="412">
      <c r="A412" s="1" t="s">
        <v>1224</v>
      </c>
      <c r="B412" s="1" t="s">
        <v>1518</v>
      </c>
      <c r="C412" s="1" t="s">
        <v>1519</v>
      </c>
      <c r="D412" s="1" t="s">
        <v>1520</v>
      </c>
      <c r="E412" s="2" t="str">
        <f>IFERROR(__xludf.DUMMYFUNCTION("GOOGLETRANSLATE(C412, ""en"", ""TL"")"),"Ang mga tagapagmana na nagmamana ng magkasanib na pagmamay-ari ng ari-arian sa Pilipinas ay may ilang mga legal na opsyon para sa paghahati nito sa kanilang mga sarili. Narito ang isang breakdown ng mga pinakakaraniwang diskarte:
**1. Amicable na Kasundua"&amp;"n at Partisyon:**
* Ito ang gustong opsyon dahil iniiwasan nito ang mahahabang legal na labanan. Ang mga tagapagmana ay nag-uusap at sumasang-ayon sa isang patas na paraan ng paghahati, isinasaalang-alang ang mga salik tulad ng halaga, laki, at mga person"&amp;"al na kagustuhan. * Ang isang nakasulat na kasunduan na nagbabalangkas sa mga detalye ng dibisyon (kung sino ang nakakakuha ng kung anong bahagi) ay mahalaga. Ang kasunduang ito ay maaaring ma-notaryo para sa dagdag na timbang.
* Kung ang ari-arian ay mad"&amp;"aling mahahati (hal., paghahati ng lupa sa mga parsela), isang pisikal na partisyon ay maaaring gawin.
**2. Pagbebenta ng Ari-arian at Paghahati ng Mga Nalikom:**
* Kung ang isang mapayapa na kasunduan sa pisikal na paghahati ay hindi matamo, ang pagbeben"&amp;"ta ng ari-arian ay maaaring ang pinakamahusay na opsyon. Ang mga tagapagmana ay maaaring sama-samang magpasya sa isang listahan ng presyo at magbenta sa pamamagitan ng isang ahente ng real estate.
* Kapag naibenta na ang ari-arian, ang mga nalikom ay haha"&amp;"tiin sa mga tagapagmana ayon sa kanilang bahagi sa mana, kadalasang nakabatay sa mga batas sa testamento o intestacy (kung walang testamento).
**3. Pagbili ng Ibang Tagapagmana:**
* Maaaring naisin ng isa o higit pang tagapagmana na panatilihin ang buong "&amp;"ari-arian. Maaari silang makipag-ayos sa ibang mga tagapagmana para bilhin ang kanilang stake sa pagmamay-ari. Ang buyout na ito ay maaaring isang lump sum na pagbabayad, installment, o kumbinasyon.
* Ang isang pormal na kasunduan sa pagbili ay dapat na b"&amp;"umalangkas ng isang abogado upang matiyak na ang lahat ng aspeto ay malinaw na tinukoy at legal na may bisa.
**4. Paghahabla sa Pagkilos ng Partition:**
* Kung mabigo ang lahat, maaaring magsampa ng demanda sa partition action sa korte. Ito ay isang porma"&amp;"l na legal na proseso kung saan iniuutos ng korte ang pagbebenta ng ari-arian at paghahati ng mga nalikom sa mga tagapagmana.
* Ang mga demanda ay mahal at matagal. Pinakamainam na isaalang-alang ito bilang isang huling paraan pagkatapos mabigo ang mga pa"&amp;"gtatangka sa amicable resolution. **Mga Karagdagang Pagsasaalang-alang:**
* **Mga Buwis:** Sa anumang sitwasyon (division, sale, buyout), dapat malaman ng mga tagapagmana ang mga potensyal na implikasyon ng buwis sa capital gains sa pagbebenta ng property"&amp;". Inirerekomenda ang pagkonsulta sa isang tagapayo sa buwis.
* **Proseso ng Pag-areglo ng Estate:** Kung mayroong testamento, ang tagapagpatupad na pinangalanan sa testamento ay maaaring may mga partikular na tagubilin tungkol sa paghahati ng ari-arian. A"&amp;"ng mga tagubiling ito ay kailangang sundin.
* **Legal na Counsel:** Ang pagkonsulta sa isang abogadong may karanasan sa batas sa pagmamana at ari-arian ay lubos na ipinapayong. Maaari nilang gabayan ang mga tagapagmana sa mga legalidad ng bawat opsyon, bu"&amp;"malangkas ng mga kinakailangang kasunduan, at kumatawan sa kanila sa korte kung kinakailangan ang isang demanda.
Sa pamamagitan ng hayagang pakikipag-usap, pagsasaalang-alang sa lahat ng mga opsyon, at paghanap ng propesyonal na patnubay kung kinakailanga"&amp;"n, ang mga tagapagmana ay maaaring mag-navigate sa dibisyon ng magkasanib na minanang ari-arian nang patas at mahusay.")</f>
        <v>Ang mga tagapagmana na nagmamana ng magkasanib na pagmamay-ari ng ari-arian sa Pilipinas ay may ilang mga legal na opsyon para sa paghahati nito sa kanilang mga sarili. Narito ang isang breakdown ng mga pinakakaraniwang diskarte:
**1. Amicable na Kasunduan at Partisyon:**
* Ito ang gustong opsyon dahil iniiwasan nito ang mahahabang legal na labanan. Ang mga tagapagmana ay nag-uusap at sumasang-ayon sa isang patas na paraan ng paghahati, isinasaalang-alang ang mga salik tulad ng halaga, laki, at mga personal na kagustuhan. * Ang isang nakasulat na kasunduan na nagbabalangkas sa mga detalye ng dibisyon (kung sino ang nakakakuha ng kung anong bahagi) ay mahalaga. Ang kasunduang ito ay maaaring ma-notaryo para sa dagdag na timbang.
* Kung ang ari-arian ay madaling mahahati (hal., paghahati ng lupa sa mga parsela), isang pisikal na partisyon ay maaaring gawin.
**2. Pagbebenta ng Ari-arian at Paghahati ng Mga Nalikom:**
* Kung ang isang mapayapa na kasunduan sa pisikal na paghahati ay hindi matamo, ang pagbebenta ng ari-arian ay maaaring ang pinakamahusay na opsyon. Ang mga tagapagmana ay maaaring sama-samang magpasya sa isang listahan ng presyo at magbenta sa pamamagitan ng isang ahente ng real estate.
* Kapag naibenta na ang ari-arian, ang mga nalikom ay hahatiin sa mga tagapagmana ayon sa kanilang bahagi sa mana, kadalasang nakabatay sa mga batas sa testamento o intestacy (kung walang testamento).
**3. Pagbili ng Ibang Tagapagmana:**
* Maaaring naisin ng isa o higit pang tagapagmana na panatilihin ang buong ari-arian. Maaari silang makipag-ayos sa ibang mga tagapagmana para bilhin ang kanilang stake sa pagmamay-ari. Ang buyout na ito ay maaaring isang lump sum na pagbabayad, installment, o kumbinasyon.
* Ang isang pormal na kasunduan sa pagbili ay dapat na bumalangkas ng isang abogado upang matiyak na ang lahat ng aspeto ay malinaw na tinukoy at legal na may bisa.
**4. Paghahabla sa Pagkilos ng Partition:**
* Kung mabigo ang lahat, maaaring magsampa ng demanda sa partition action sa korte. Ito ay isang pormal na legal na proseso kung saan iniuutos ng korte ang pagbebenta ng ari-arian at paghahati ng mga nalikom sa mga tagapagmana.
* Ang mga demanda ay mahal at matagal. Pinakamainam na isaalang-alang ito bilang isang huling paraan pagkatapos mabigo ang mga pagtatangka sa amicable resolution. **Mga Karagdagang Pagsasaalang-alang:**
* **Mga Buwis:** Sa anumang sitwasyon (division, sale, buyout), dapat malaman ng mga tagapagmana ang mga potensyal na implikasyon ng buwis sa capital gains sa pagbebenta ng property. Inirerekomenda ang pagkonsulta sa isang tagapayo sa buwis.
* **Proseso ng Pag-areglo ng Estate:** Kung mayroong testamento, ang tagapagpatupad na pinangalanan sa testamento ay maaaring may mga partikular na tagubilin tungkol sa paghahati ng ari-arian. Ang mga tagubiling ito ay kailangang sundin.
* **Legal na Counsel:** Ang pagkonsulta sa isang abogadong may karanasan sa batas sa pagmamana at ari-arian ay lubos na ipinapayong. Maaari nilang gabayan ang mga tagapagmana sa mga legalidad ng bawat opsyon, bumalangkas ng mga kinakailangang kasunduan, at kumatawan sa kanila sa korte kung kinakailangan ang isang demanda.
Sa pamamagitan ng hayagang pakikipag-usap, pagsasaalang-alang sa lahat ng mga opsyon, at paghanap ng propesyonal na patnubay kung kinakailangan, ang mga tagapagmana ay maaaring mag-navigate sa dibisyon ng magkasanib na minanang ari-arian nang patas at mahusay.</v>
      </c>
      <c r="F412" s="2">
        <f t="shared" si="1"/>
        <v>0</v>
      </c>
      <c r="G412" s="2"/>
      <c r="H412" s="2"/>
      <c r="I412" s="2"/>
      <c r="J412" s="2"/>
      <c r="K412" s="2"/>
      <c r="L412" s="2"/>
      <c r="M412" s="2"/>
      <c r="N412" s="2"/>
      <c r="O412" s="2"/>
      <c r="P412" s="2"/>
      <c r="Q412" s="2"/>
      <c r="R412" s="2"/>
      <c r="S412" s="2"/>
      <c r="T412" s="2"/>
      <c r="U412" s="2"/>
      <c r="V412" s="2"/>
      <c r="W412" s="2"/>
      <c r="X412" s="2"/>
      <c r="Y412" s="2"/>
      <c r="Z412" s="2"/>
      <c r="AA412" s="2"/>
    </row>
    <row r="413">
      <c r="A413" s="1" t="s">
        <v>1224</v>
      </c>
      <c r="B413" s="1" t="s">
        <v>1521</v>
      </c>
      <c r="C413" s="1" t="s">
        <v>1522</v>
      </c>
      <c r="D413" s="1" t="s">
        <v>1523</v>
      </c>
      <c r="E413" s="2" t="str">
        <f>IFERROR(__xludf.DUMMYFUNCTION("GOOGLETRANSLATE(C413, ""en"", ""TL"")"),"Ang mga pagbabago sa halaga ng ari-arian ay maaaring makabuluhang makaapekto sa proseso ng pamana sa Pilipinas. Ganito:
**Epekto ng Pagbabago ng Mga Halaga ng Ari-arian:**
* **Hindi Pantay na Pamamahagi:** Kung ang isang ari-arian ay ang pangunahing inher"&amp;"itance asset, at ang halaga nito ay tumaas nang malaki mula nang makuha ito ng namatay, ang ilang tagapagmana ay maaaring magmana ng mas malaking bahagi kaysa sa iba na tumatanggap ng cash o mas kaunting mga asset. Maaari itong humantong sa mga hindi pagk"&amp;"akaunawaan sa pagitan ng mga benepisyaryo.
* **Mga Implikasyon sa Buwis:** Depende sa senaryo ng mana at ang pagbabago sa halaga ng ari-arian, maaaring malapat ang buwis sa capital gains kapag naibenta ang ari-arian. Maaari itong makaapekto sa huling hala"&amp;"ga na matatanggap ng mga tagapagmana.
* **Mga Hamon sa Pagpaplano ng Estate:** Kung ang isang testamento ay ginawa batay sa mga lumang halaga ng ari-arian, maaaring hindi ito sumasalamin sa kasalukuyang patas na halaga sa pamilihan, na humahantong sa mga "&amp;"hindi inaasahang kahihinatnan para sa pamamahagi ng mga asset.
**Mga Legal na Istratehiya upang Matugunan ang Pagbabago-bago ng Market:**
* **Living Trusts:** Ang isang nababawi na living trust ay maaaring maging isang mahalagang tool. Ang ari-arian ay il"&amp;"ilipat sa trust habang ang nagbibigay (orihinal na may-ari) ay nananatiling may kontrol sa panahon ng kanilang buhay. Ang tiwala ay nagdidikta kung paano pinamamahalaan at ipinamamahagi ang ari-arian sa oras ng kamatayan, na nagbibigay-daan para sa mga pa"&amp;"gsasaayos batay sa halaga ng pamilihan sa panahong iyon.
* **Pag-update ng mga Will:** Ang regular na pagsusuri at pag-update ng mga will ay mahalaga. Tinitiyak nito na ang plano sa pamamahagi ay sumasalamin sa kasalukuyang halaga ng ari-arian at iniiwasa"&amp;"n ang mga hindi inaasahang kahihinatnan dahil sa mga pagbabago sa merkado. Ang isang abogado ay maaaring magpayo sa naaangkop na mga pagbabago.
* **Mga Sugnay sa Pagpapahalaga:** Ang pagsasama ng isang sugnay sa pagpapahalaga sa kalooban ay maaaring makat"&amp;"ulong. Tinutukoy ng sugnay na ito kung paano dapat pahalagahan ang ari-arian para sa mga layunin ng mana (hal., propesyonal na pagtatasa, average ng maramihang pagtatasa, o isang itinalagang paraan).
* **Pagbibigay ng Kapangyarihan ng Pagbebenta sa Tagapa"&amp;"gpatupad:** Ang testamento ay maaaring magbigay sa tagapagpatupad ng kapangyarihan na ibenta ang ari-arian kung kinakailangan upang matiyak ang isang patas na paghahati ng mga ari-arian sa mga tagapagmana, lalo na kung ang halaga ng ari-arian ay makabuluh"&amp;"ang nagbago. * **Pakikipag-ugnayan sa Mga Tagapagmana:** Ang bukas na komunikasyon sa mga tagapagmana tungkol sa halaga ng ari-arian at mga potensyal na plano sa mana ay makakatulong sa pamamahala ng mga inaasahan at maiwasan ang mga hindi pagkakaunawaan."&amp;"
**Mga Karagdagang Pagsasaalang-alang:**
* **Tax Planning:** Ang pagkonsulta sa isang tax advisor ay inirerekomenda upang maunawaan ang mga potensyal na capital gains tax implications batay sa inheritance scenario at mga pagbabago sa halaga ng ari-arian.
"&amp;"* **Legal na Counsel:** Ang isang bihasang abogado na nagdadalubhasa sa estate planning at inheritance law ay maaaring magbigay ng iniangkop na payo sa mga pinakaangkop na diskarte upang matugunan ang mga pagbabago sa merkado at matiyak ang isang maayos n"&amp;"a proseso ng mana na isinasaalang-alang ang partikular na sitwasyon.
Sa pamamagitan ng pagpapatupad ng mga estratehiyang ito at paghingi ng propesyonal na patnubay, maaaring pagaanin ng mga may-ari ng ari-arian ang mga hamon na nauugnay sa pagbabago ng mg"&amp;"a halaga ng ari-arian at matiyak ang isang patas at mahusay na proseso ng pamana para sa kanilang mga benepisyaryo.")</f>
        <v>Ang mga pagbabago sa halaga ng ari-arian ay maaaring makabuluhang makaapekto sa proseso ng pamana sa Pilipinas. Ganito:
**Epekto ng Pagbabago ng Mga Halaga ng Ari-arian:**
* **Hindi Pantay na Pamamahagi:** Kung ang isang ari-arian ay ang pangunahing inheritance asset, at ang halaga nito ay tumaas nang malaki mula nang makuha ito ng namatay, ang ilang tagapagmana ay maaaring magmana ng mas malaking bahagi kaysa sa iba na tumatanggap ng cash o mas kaunting mga asset. Maaari itong humantong sa mga hindi pagkakaunawaan sa pagitan ng mga benepisyaryo.
* **Mga Implikasyon sa Buwis:** Depende sa senaryo ng mana at ang pagbabago sa halaga ng ari-arian, maaaring malapat ang buwis sa capital gains kapag naibenta ang ari-arian. Maaari itong makaapekto sa huling halaga na matatanggap ng mga tagapagmana.
* **Mga Hamon sa Pagpaplano ng Estate:** Kung ang isang testamento ay ginawa batay sa mga lumang halaga ng ari-arian, maaaring hindi ito sumasalamin sa kasalukuyang patas na halaga sa pamilihan, na humahantong sa mga hindi inaasahang kahihinatnan para sa pamamahagi ng mga asset.
**Mga Legal na Istratehiya upang Matugunan ang Pagbabago-bago ng Market:**
* **Living Trusts:** Ang isang nababawi na living trust ay maaaring maging isang mahalagang tool. Ang ari-arian ay ililipat sa trust habang ang nagbibigay (orihinal na may-ari) ay nananatiling may kontrol sa panahon ng kanilang buhay. Ang tiwala ay nagdidikta kung paano pinamamahalaan at ipinamamahagi ang ari-arian sa oras ng kamatayan, na nagbibigay-daan para sa mga pagsasaayos batay sa halaga ng pamilihan sa panahong iyon.
* **Pag-update ng mga Will:** Ang regular na pagsusuri at pag-update ng mga will ay mahalaga. Tinitiyak nito na ang plano sa pamamahagi ay sumasalamin sa kasalukuyang halaga ng ari-arian at iniiwasan ang mga hindi inaasahang kahihinatnan dahil sa mga pagbabago sa merkado. Ang isang abogado ay maaaring magpayo sa naaangkop na mga pagbabago.
* **Mga Sugnay sa Pagpapahalaga:** Ang pagsasama ng isang sugnay sa pagpapahalaga sa kalooban ay maaaring makatulong. Tinutukoy ng sugnay na ito kung paano dapat pahalagahan ang ari-arian para sa mga layunin ng mana (hal., propesyonal na pagtatasa, average ng maramihang pagtatasa, o isang itinalagang paraan).
* **Pagbibigay ng Kapangyarihan ng Pagbebenta sa Tagapagpatupad:** Ang testamento ay maaaring magbigay sa tagapagpatupad ng kapangyarihan na ibenta ang ari-arian kung kinakailangan upang matiyak ang isang patas na paghahati ng mga ari-arian sa mga tagapagmana, lalo na kung ang halaga ng ari-arian ay makabuluhang nagbago. * **Pakikipag-ugnayan sa Mga Tagapagmana:** Ang bukas na komunikasyon sa mga tagapagmana tungkol sa halaga ng ari-arian at mga potensyal na plano sa mana ay makakatulong sa pamamahala ng mga inaasahan at maiwasan ang mga hindi pagkakaunawaan.
**Mga Karagdagang Pagsasaalang-alang:**
* **Tax Planning:** Ang pagkonsulta sa isang tax advisor ay inirerekomenda upang maunawaan ang mga potensyal na capital gains tax implications batay sa inheritance scenario at mga pagbabago sa halaga ng ari-arian.
* **Legal na Counsel:** Ang isang bihasang abogado na nagdadalubhasa sa estate planning at inheritance law ay maaaring magbigay ng iniangkop na payo sa mga pinakaangkop na diskarte upang matugunan ang mga pagbabago sa merkado at matiyak ang isang maayos na proseso ng mana na isinasaalang-alang ang partikular na sitwasyon.
Sa pamamagitan ng pagpapatupad ng mga estratehiyang ito at paghingi ng propesyonal na patnubay, maaaring pagaanin ng mga may-ari ng ari-arian ang mga hamon na nauugnay sa pagbabago ng mga halaga ng ari-arian at matiyak ang isang patas at mahusay na proseso ng pamana para sa kanilang mga benepisyaryo.</v>
      </c>
      <c r="F413" s="2">
        <f t="shared" si="1"/>
        <v>0</v>
      </c>
      <c r="G413" s="2"/>
      <c r="H413" s="2"/>
      <c r="I413" s="2"/>
      <c r="J413" s="2"/>
      <c r="K413" s="2"/>
      <c r="L413" s="2"/>
      <c r="M413" s="2"/>
      <c r="N413" s="2"/>
      <c r="O413" s="2"/>
      <c r="P413" s="2"/>
      <c r="Q413" s="2"/>
      <c r="R413" s="2"/>
      <c r="S413" s="2"/>
      <c r="T413" s="2"/>
      <c r="U413" s="2"/>
      <c r="V413" s="2"/>
      <c r="W413" s="2"/>
      <c r="X413" s="2"/>
      <c r="Y413" s="2"/>
      <c r="Z413" s="2"/>
      <c r="AA413" s="2"/>
    </row>
    <row r="414">
      <c r="A414" s="1" t="s">
        <v>1224</v>
      </c>
      <c r="B414" s="1" t="s">
        <v>1524</v>
      </c>
      <c r="C414" s="1" t="s">
        <v>1525</v>
      </c>
      <c r="D414" s="1" t="s">
        <v>1526</v>
      </c>
      <c r="E414" s="2" t="str">
        <f>IFERROR(__xludf.DUMMYFUNCTION("GOOGLETRANSLATE(C414, ""en"", ""TL"")"),"Sa Pilipinas, ang pagmamana ng mga karapatan sa ari-arian at intelektwal na ari-arian (IP) tulad ng mga copyright at patent ay nagsalubong, ngunit may ilang pangunahing pagkakaiba. Narito ang isang breakdown:
**Pamana ng Tangible Property vs. IP Rights:**"&amp;"
* **Tangible Property:** Ang mga pisikal na ari-arian tulad ng lupa, gusali, o likhang sining ay minana alinsunod sa mga panuntunan ng intestacy (kung walang testamento) o sa mga tuntunin ng isang testamento. Ang mga tagapagmana ay nagiging mga bagong ma"&amp;"y-ari na may ganap na karapatan na gamitin, ibenta, o paupahan ang ari-arian.
* **Mga Karapatan sa Intelektwal na Ari-arian:** Ito ay mga hindi nasasalat na karapatan na ipinagkaloob para sa mga likha ng isip. Hindi tulad ng nasasalat na ari-arian, ang pa"&amp;"gmamay-ari ng mga karapatan sa IP ay madalas na sumusunod sa mga partikular na panuntunan depende sa uri ng IP.
**Pamana ng Mga Partikular na Karapatan sa IP:**
* **Mga Copyright:** Ang mga ito ay maaaring mamana ng mga tagapagmana. Ang termino ng copyrig"&amp;"ht sa Pilipinas ay umaabot sa buhay ng may-akda at 50 taon. Ang mga tagapagmana ay sama-samang nagmamay-ari ng copyright at maaaring magpasya sa paggamit nito (hal., paglilisensya, mga karapatan sa pagbebenta, o pagpapanatiling eksklusibo ito). * **Mga Pa"&amp;"tent:** Ang pagmamay-ari ng patent ay maaaring mamana. Ang mga tagapagmana ay nagiging mga bagong may hawak ng patent at maaaring ipatupad ang kanilang mga karapatan na ibukod ang iba sa paggawa, paggamit, pagbebenta, o pag-import ng imbensyon para sa nat"&amp;"itirang termino ng patent.
* **Mga Trademark:** Hindi tulad ng mga copyright at patent, ang mga trademark ay karaniwang nangangailangan ng paggamit upang mapanatili ang proteksyon. Maaaring hindi sapat ang mana lamang. Ang mga tagapagmana ay dapat magpatu"&amp;"loy sa paggamit ng trademark o gumawa ng mga hakbang upang irehistro ito kung hindi pa nakarehistro.
**Mga Legal na Pagsasaalang-alang para sa mga Tagapagmana:**
* **Pagsusuri ng Mga Dokumento sa Pagmamay-ari:** Kailangang maunawaan ng mga tagapagmana ang"&amp;" mga detalye ng pagmamay-ari ng IP. Ang mga pagpaparehistro ng copyright at patent ay karaniwang tumutukoy sa pagmamay-ari. Maaaring kailanganin ang pagpaparehistro ng trademark kung hindi pa tapos.
* **Pag-formalize ng Paglipat ng Pagmamay-ari:** Habang "&amp;"ang mana ay nagbibigay ng pagmamay-ari, para sa ilang mga karapatan sa IP, maaaring kailanganin ang isang pormal na dokumento ng pagtatalaga upang patatagin ang paglipat sa mga tagapagmana. Inirerekomenda ang pagkonsulta sa isang abogado na dalubhasa sa b"&amp;"atas ng IP.
* **Pagsasamantala o Pagbebenta ng IP:** Maaaring piliin ng mga tagapagmana na samantalahin ang mga karapatan ng IP mismo (hal., pag-publish ng mga naka-copyright na gawa, paglilisensya ng mga patent) o ibenta ang mga ito sa mga interesadong p"&amp;"artido. * **Mga Buwis:** Ang kita na nabuo mula sa pagsasamantala sa mga karapatan sa IP (hal., mga royalty) ay maaaring sumailalim sa buwis sa kita. Ang mga tagapagmana ay dapat kumunsulta sa isang tagapayo sa buwis para sa patnubay.
* **Mga Salungatan a"&amp;"t Hindi pagkakaunawaan:** Kung maraming tagapagmana, maaaring magkaroon ng hindi pagkakasundo tungkol sa paggamit o pagbebenta ng IP. Makakatulong ang isang pre-inheritance agreement na nagbabalangkas kung paano hahawakan ang IP na maiwasan ang mga salung"&amp;"atan.
**Mga Rekomendasyon:**
* **Humingi ng Legal na Counsel:** Maaaring payuhan ng isang IP lawyer ang mga tagapagmana sa mga partikular na legalidad ng pagmamana ng kanilang partikular na uri ng IP, tiyakin ang wastong paglilipat ng pagmamay-ari, at gab"&amp;"ayan sila sa pagsasamantala o pagbebenta ng mga karapatan sa IP nang epektibo.
* **Panatilihin ang Proteksyon sa IP:** Dapat na maunawaan ng mga tagapagmana ang mga kinakailangan sa pag-renew para sa mga patent at mga hakbang upang mapanatili ang proteksy"&amp;"on ng trademark sa pamamagitan ng patuloy na paggamit o pagpaparehistro.
Sa pamamagitan ng pag-unawa sa mga legal na nuances at paghahanap ng propesyonal na patnubay, ang mga tagapagmana ay maaaring epektibong pamahalaan ang minanang mga karapatan sa inte"&amp;"lektwal na ari-arian at i-maximize ang kanilang mga benepisyo.")</f>
        <v>Sa Pilipinas, ang pagmamana ng mga karapatan sa ari-arian at intelektwal na ari-arian (IP) tulad ng mga copyright at patent ay nagsalubong, ngunit may ilang pangunahing pagkakaiba. Narito ang isang breakdown:
**Pamana ng Tangible Property vs. IP Rights:**
* **Tangible Property:** Ang mga pisikal na ari-arian tulad ng lupa, gusali, o likhang sining ay minana alinsunod sa mga panuntunan ng intestacy (kung walang testamento) o sa mga tuntunin ng isang testamento. Ang mga tagapagmana ay nagiging mga bagong may-ari na may ganap na karapatan na gamitin, ibenta, o paupahan ang ari-arian.
* **Mga Karapatan sa Intelektwal na Ari-arian:** Ito ay mga hindi nasasalat na karapatan na ipinagkaloob para sa mga likha ng isip. Hindi tulad ng nasasalat na ari-arian, ang pagmamay-ari ng mga karapatan sa IP ay madalas na sumusunod sa mga partikular na panuntunan depende sa uri ng IP.
**Pamana ng Mga Partikular na Karapatan sa IP:**
* **Mga Copyright:** Ang mga ito ay maaaring mamana ng mga tagapagmana. Ang termino ng copyright sa Pilipinas ay umaabot sa buhay ng may-akda at 50 taon. Ang mga tagapagmana ay sama-samang nagmamay-ari ng copyright at maaaring magpasya sa paggamit nito (hal., paglilisensya, mga karapatan sa pagbebenta, o pagpapanatiling eksklusibo ito). * **Mga Patent:** Ang pagmamay-ari ng patent ay maaaring mamana. Ang mga tagapagmana ay nagiging mga bagong may hawak ng patent at maaaring ipatupad ang kanilang mga karapatan na ibukod ang iba sa paggawa, paggamit, pagbebenta, o pag-import ng imbensyon para sa natitirang termino ng patent.
* **Mga Trademark:** Hindi tulad ng mga copyright at patent, ang mga trademark ay karaniwang nangangailangan ng paggamit upang mapanatili ang proteksyon. Maaaring hindi sapat ang mana lamang. Ang mga tagapagmana ay dapat magpatuloy sa paggamit ng trademark o gumawa ng mga hakbang upang irehistro ito kung hindi pa nakarehistro.
**Mga Legal na Pagsasaalang-alang para sa mga Tagapagmana:**
* **Pagsusuri ng Mga Dokumento sa Pagmamay-ari:** Kailangang maunawaan ng mga tagapagmana ang mga detalye ng pagmamay-ari ng IP. Ang mga pagpaparehistro ng copyright at patent ay karaniwang tumutukoy sa pagmamay-ari. Maaaring kailanganin ang pagpaparehistro ng trademark kung hindi pa tapos.
* **Pag-formalize ng Paglipat ng Pagmamay-ari:** Habang ang mana ay nagbibigay ng pagmamay-ari, para sa ilang mga karapatan sa IP, maaaring kailanganin ang isang pormal na dokumento ng pagtatalaga upang patatagin ang paglipat sa mga tagapagmana. Inirerekomenda ang pagkonsulta sa isang abogado na dalubhasa sa batas ng IP.
* **Pagsasamantala o Pagbebenta ng IP:** Maaaring piliin ng mga tagapagmana na samantalahin ang mga karapatan ng IP mismo (hal., pag-publish ng mga naka-copyright na gawa, paglilisensya ng mga patent) o ibenta ang mga ito sa mga interesadong partido. * **Mga Buwis:** Ang kita na nabuo mula sa pagsasamantala sa mga karapatan sa IP (hal., mga royalty) ay maaaring sumailalim sa buwis sa kita. Ang mga tagapagmana ay dapat kumunsulta sa isang tagapayo sa buwis para sa patnubay.
* **Mga Salungatan at Hindi pagkakaunawaan:** Kung maraming tagapagmana, maaaring magkaroon ng hindi pagkakasundo tungkol sa paggamit o pagbebenta ng IP. Makakatulong ang isang pre-inheritance agreement na nagbabalangkas kung paano hahawakan ang IP na maiwasan ang mga salungatan.
**Mga Rekomendasyon:**
* **Humingi ng Legal na Counsel:** Maaaring payuhan ng isang IP lawyer ang mga tagapagmana sa mga partikular na legalidad ng pagmamana ng kanilang partikular na uri ng IP, tiyakin ang wastong paglilipat ng pagmamay-ari, at gabayan sila sa pagsasamantala o pagbebenta ng mga karapatan sa IP nang epektibo.
* **Panatilihin ang Proteksyon sa IP:** Dapat na maunawaan ng mga tagapagmana ang mga kinakailangan sa pag-renew para sa mga patent at mga hakbang upang mapanatili ang proteksyon ng trademark sa pamamagitan ng patuloy na paggamit o pagpaparehistro.
Sa pamamagitan ng pag-unawa sa mga legal na nuances at paghahanap ng propesyonal na patnubay, ang mga tagapagmana ay maaaring epektibong pamahalaan ang minanang mga karapatan sa intelektwal na ari-arian at i-maximize ang kanilang mga benepisyo.</v>
      </c>
      <c r="F414" s="2">
        <f t="shared" si="1"/>
        <v>0</v>
      </c>
      <c r="G414" s="2"/>
      <c r="H414" s="2"/>
      <c r="I414" s="2"/>
      <c r="J414" s="2"/>
      <c r="K414" s="2"/>
      <c r="L414" s="2"/>
      <c r="M414" s="2"/>
      <c r="N414" s="2"/>
      <c r="O414" s="2"/>
      <c r="P414" s="2"/>
      <c r="Q414" s="2"/>
      <c r="R414" s="2"/>
      <c r="S414" s="2"/>
      <c r="T414" s="2"/>
      <c r="U414" s="2"/>
      <c r="V414" s="2"/>
      <c r="W414" s="2"/>
      <c r="X414" s="2"/>
      <c r="Y414" s="2"/>
      <c r="Z414" s="2"/>
      <c r="AA414" s="2"/>
    </row>
    <row r="415">
      <c r="A415" s="1" t="s">
        <v>1224</v>
      </c>
      <c r="B415" s="1" t="s">
        <v>1527</v>
      </c>
      <c r="C415" s="1" t="s">
        <v>1528</v>
      </c>
      <c r="D415" s="1" t="s">
        <v>1529</v>
      </c>
      <c r="E415" s="2" t="str">
        <f>IFERROR(__xludf.DUMMYFUNCTION("GOOGLETRANSLATE(C415, ""en"", ""TL"")"),"Ang pagmamana ng ari-arian na may mga makasaysayang paghihigpit sa pangangalaga sa Pilipinas ay nagdaragdag ng isang layer ng pagiging kumplikado sa pagmamay-ari. Narito ang isang breakdown ng mga legal na implikasyon at kung paano sila makakaapekto sa iy"&amp;"o:
**Mga Paghihigpit sa Pagmamay-ari:**
* **Preservation Easements o Covenants:** Nililimitahan ng mga legal na kasunduang ito kung ano ang magagawa ng may-ari sa property. Maaari nilang paghigpitan ang mga pagbabago sa panlabas, mga karagdagan, demolisyo"&amp;"n, o kahit na mga pagbabago sa landscaping.
* **Pagtatalaga ng mga Ahensya ng Gobyerno:** Maaaring italaga ng National Commission for Culture and the Arts (NCCA) o mga lokal na tanggapan ng cultural heritage ang property bilang isang makasaysayang landmar"&amp;"k o heritage site. Ito ay kasama ng mga partikular na regulasyong ibinalangkas ng nagtalagang ahensya.
* **Mga Kinakailangan sa Pagsunod:** Pananagutan mo ang pagpapanatili ng makasaysayang katangian ng property. Maaaring kabilang dito ang paggamit ng mga"&amp;" partikular na materyales para sa pag-aayos, pagkuha ng mga permit bago ang pagsasaayos, at potensyal na paghingi ng pag-apruba mula sa isang heritage conservation body.
**Mga Implikasyon sa Pananalapi:**
* **Mga Gastos sa Pagpapanatili:** Maaaring magast"&amp;"os ang pagpapanatili ng isang makasaysayang ari-arian. Ang mga espesyal na materyales, kasanayan sa pagpapanumbalik, at mga limitasyon sa mga modernisasyon ay maaaring humantong sa mas mataas na gastos sa pagpapanatili kumpara sa isang regular na ari-aria"&amp;"n.
* **Mga Benepisyo sa Buwis:** Sa ilang mga kaso, maaaring mag-alok ang pamahalaan ng mga tax break para sa pagmamay-ari at pagpapanatili ng isang mahalagang ari-arian sa kasaysayan. Makakatulong ang mga benepisyong ito na mabawi ang mas mataas na gasto"&amp;"s sa pagpapanatili.
* **Grants and Assistance:** Ang mga ahensya ng gobyerno o heritage organization ay maaaring mag-alok ng mga gawad o teknikal na tulong para sa mga proyekto sa pagpapanumbalik. **Paggamit at Pagtangkilik sa Ari-arian:**
* **Mga Limitad"&amp;"ong Pagbabago:** Maaaring mayroon kang limitadong kakayahang umangkop sa pagsasaayos o pagbabago ng property. Bagama't masisiyahan ka pa rin sa property, maaaring mangailangan ng pag-apruba mula sa mga may-katuturang awtoridad ang malalaking pagbabago. * "&amp;"**Potensyal para sa Tumaas na Halaga:** Ang mga ari-arian na napanatili sa kasaysayan ay maaaring hawakan nang husto ang kanilang halaga o kahit na pinahahalagahan dahil sa kanilang natatanging katangian.
* **Pagpapaupa o Pagrenta:** Maaari mong ipaarkila"&amp;" o arkilahin ang ari-arian, ngunit ang mga paghihigpit ay maaaring malapat sa mga pagbabagong maaaring gawin ng mga nangungupahan. **Mga Rekomendasyon:**
* **Suriin ang Mga Dokumento sa Pagpapanatili:** Maingat na suriin ang mga dokumento ng pagtatalaga, "&amp;"easement, o mga tipan ng ari-arian upang maunawaan ang mga partikular na paghihigpit at mga kinakailangan sa pagsunod.
* **Kumonsulta sa Abogado:** Maaaring payuhan ka ng isang bihasang abogado na dalubhasa sa real estate at heritage law tungkol sa iyong "&amp;"mga karapatan at obligasyon bilang may-ari na napapailalim sa mga paghihigpit sa pangangalaga sa kasaysayan.
* **Makipag-ugnayan sa Mga Organisasyong Pamana:** Ang NCCA o mga lokal na organisasyong pamana ay maaaring mag-alok ng mga mapagkukunan, gabay, a"&amp;"t potensyal na tulong pinansyal para sa pagpapanatili ng makasaysayang katangian ng ari-arian.
* **Timbangin ang Mga Benepisyo at Hamon:** Ang pagmamay-ari ng isang property na napanatili sa kasaysayan ay may kasamang mga paghihigpit at potensyal na benep"&amp;"isyo. Maingat na isaalang-alang ang mga salik na ito bago magpasya kung tatanggapin ang mana.
Sa pamamagitan ng pag-unawa sa mga legal na implikasyon at paghingi ng propesyonal na payo, maaari kang gumawa ng matalinong mga desisyon tungkol sa pagmamana at"&amp;" pamamahala ng isang ari-arian na napapailalim sa mga paghihigpit sa makasaysayang pangangalaga.")</f>
        <v>Ang pagmamana ng ari-arian na may mga makasaysayang paghihigpit sa pangangalaga sa Pilipinas ay nagdaragdag ng isang layer ng pagiging kumplikado sa pagmamay-ari. Narito ang isang breakdown ng mga legal na implikasyon at kung paano sila makakaapekto sa iyo:
**Mga Paghihigpit sa Pagmamay-ari:**
* **Preservation Easements o Covenants:** Nililimitahan ng mga legal na kasunduang ito kung ano ang magagawa ng may-ari sa property. Maaari nilang paghigpitan ang mga pagbabago sa panlabas, mga karagdagan, demolisyon, o kahit na mga pagbabago sa landscaping.
* **Pagtatalaga ng mga Ahensya ng Gobyerno:** Maaaring italaga ng National Commission for Culture and the Arts (NCCA) o mga lokal na tanggapan ng cultural heritage ang property bilang isang makasaysayang landmark o heritage site. Ito ay kasama ng mga partikular na regulasyong ibinalangkas ng nagtalagang ahensya.
* **Mga Kinakailangan sa Pagsunod:** Pananagutan mo ang pagpapanatili ng makasaysayang katangian ng property. Maaaring kabilang dito ang paggamit ng mga partikular na materyales para sa pag-aayos, pagkuha ng mga permit bago ang pagsasaayos, at potensyal na paghingi ng pag-apruba mula sa isang heritage conservation body.
**Mga Implikasyon sa Pananalapi:**
* **Mga Gastos sa Pagpapanatili:** Maaaring magastos ang pagpapanatili ng isang makasaysayang ari-arian. Ang mga espesyal na materyales, kasanayan sa pagpapanumbalik, at mga limitasyon sa mga modernisasyon ay maaaring humantong sa mas mataas na gastos sa pagpapanatili kumpara sa isang regular na ari-arian.
* **Mga Benepisyo sa Buwis:** Sa ilang mga kaso, maaaring mag-alok ang pamahalaan ng mga tax break para sa pagmamay-ari at pagpapanatili ng isang mahalagang ari-arian sa kasaysayan. Makakatulong ang mga benepisyong ito na mabawi ang mas mataas na gastos sa pagpapanatili.
* **Grants and Assistance:** Ang mga ahensya ng gobyerno o heritage organization ay maaaring mag-alok ng mga gawad o teknikal na tulong para sa mga proyekto sa pagpapanumbalik. **Paggamit at Pagtangkilik sa Ari-arian:**
* **Mga Limitadong Pagbabago:** Maaaring mayroon kang limitadong kakayahang umangkop sa pagsasaayos o pagbabago ng property. Bagama't masisiyahan ka pa rin sa property, maaaring mangailangan ng pag-apruba mula sa mga may-katuturang awtoridad ang malalaking pagbabago. * **Potensyal para sa Tumaas na Halaga:** Ang mga ari-arian na napanatili sa kasaysayan ay maaaring hawakan nang husto ang kanilang halaga o kahit na pinahahalagahan dahil sa kanilang natatanging katangian.
* **Pagpapaupa o Pagrenta:** Maaari mong ipaarkila o arkilahin ang ari-arian, ngunit ang mga paghihigpit ay maaaring malapat sa mga pagbabagong maaaring gawin ng mga nangungupahan. **Mga Rekomendasyon:**
* **Suriin ang Mga Dokumento sa Pagpapanatili:** Maingat na suriin ang mga dokumento ng pagtatalaga, easement, o mga tipan ng ari-arian upang maunawaan ang mga partikular na paghihigpit at mga kinakailangan sa pagsunod.
* **Kumonsulta sa Abogado:** Maaaring payuhan ka ng isang bihasang abogado na dalubhasa sa real estate at heritage law tungkol sa iyong mga karapatan at obligasyon bilang may-ari na napapailalim sa mga paghihigpit sa pangangalaga sa kasaysayan.
* **Makipag-ugnayan sa Mga Organisasyong Pamana:** Ang NCCA o mga lokal na organisasyong pamana ay maaaring mag-alok ng mga mapagkukunan, gabay, at potensyal na tulong pinansyal para sa pagpapanatili ng makasaysayang katangian ng ari-arian.
* **Timbangin ang Mga Benepisyo at Hamon:** Ang pagmamay-ari ng isang property na napanatili sa kasaysayan ay may kasamang mga paghihigpit at potensyal na benepisyo. Maingat na isaalang-alang ang mga salik na ito bago magpasya kung tatanggapin ang mana.
Sa pamamagitan ng pag-unawa sa mga legal na implikasyon at paghingi ng propesyonal na payo, maaari kang gumawa ng matalinong mga desisyon tungkol sa pagmamana at pamamahala ng isang ari-arian na napapailalim sa mga paghihigpit sa makasaysayang pangangalaga.</v>
      </c>
      <c r="F415" s="2">
        <f t="shared" si="1"/>
        <v>0</v>
      </c>
      <c r="G415" s="2"/>
      <c r="H415" s="2"/>
      <c r="I415" s="2"/>
      <c r="J415" s="2"/>
      <c r="K415" s="2"/>
      <c r="L415" s="2"/>
      <c r="M415" s="2"/>
      <c r="N415" s="2"/>
      <c r="O415" s="2"/>
      <c r="P415" s="2"/>
      <c r="Q415" s="2"/>
      <c r="R415" s="2"/>
      <c r="S415" s="2"/>
      <c r="T415" s="2"/>
      <c r="U415" s="2"/>
      <c r="V415" s="2"/>
      <c r="W415" s="2"/>
      <c r="X415" s="2"/>
      <c r="Y415" s="2"/>
      <c r="Z415" s="2"/>
      <c r="AA415" s="2"/>
    </row>
    <row r="416">
      <c r="A416" s="1" t="s">
        <v>1224</v>
      </c>
      <c r="B416" s="1" t="s">
        <v>1530</v>
      </c>
      <c r="C416" s="1" t="s">
        <v>1531</v>
      </c>
      <c r="D416" s="1" t="s">
        <v>1532</v>
      </c>
      <c r="E416" s="2" t="str">
        <f>IFERROR(__xludf.DUMMYFUNCTION("GOOGLETRANSLATE(C416, ""en"", ""TL"")"),"Sa Pilipinas, kung ang isang miyembro ng pamilya na nagmamay-ari ng ari-arian ay nawalan ng kakayahan at hindi na kayang pamahalaan ang kanilang mga gawain, maaaring gumawa ng mga legal na hakbang upang matiyak ang maayos na proseso ng mana. Narito ang is"&amp;"ang breakdown ng mga opsyon:
**1. Legal na Pangangalaga:**
* Ang isang legal na tagapag-alaga ay maaaring italaga ng korte upang pamahalaan ang ari-arian at pananalapi ng taong may kapansanan. Ito ay karaniwang malapit na kamag-anak (asawa, anak, magulang"&amp;", o kapatid).
* Kailangang magsampa ng petisyon para sa guardianship sa korte, kasama ang pagsusuri ng doktor na nagtatatag ng kawalan ng kakayahan. Pagkatapos ay diringgin ng korte ang petisyon at magpapasya kung kinakailangan ang isang tagapag-alaga.
* "&amp;"Ang itinalagang tagapag-alaga ay magkakaroon ng legal na awtoridad na pamahalaan ang ari-arian batay sa pinakamabuting interes ng taong may kapansanan at alinsunod sa anumang plano ng ari-arian (kalooban). **2. Mga Tool sa Pagpaplano ng Estate:**
* **Dura"&amp;"ble Power of Attorney:** Kung ang isang estate plan ay naitatag na, isang matibay na power of attorney ay maaaring nasa lugar. Ang legal na dokumentong ito ay nagpapahintulot sa isang pinagkakatiwalaang tao na pamahalaan ang ari-arian at pananalapi kung a"&amp;"ng orihinal na may-ari ay nawalan ng kakayahan.
* **Living Trust:** Ang buhay na trust ay maaaring maging isang kapaki-pakinabang na tool. Ang ari-arian ay ililipat sa pinagkakatiwalaan habang ang orihinal na may-ari ay nagpapanatili ng kontrol sa panahon"&amp;" ng kanilang buhay. Sa kawalan ng kakayahan, pinamamahalaan ng itinalagang trustee ang mga asset ayon sa mga tagubilin ng trust, na tinitiyak ang maayos na paglipat.
**3. Mga Paunang Direktiba:**
* Ang isang taong may kapansanan ay maaaring lumikha ng isa"&amp;"ng paunang direktiba, na maaaring magsama ng isang ""buhay na kalooban"" na tumutukoy sa mga kahilingan tungkol sa medikal na paggamot at isang ""matibay na kapangyarihan ng abogado para sa pangangalagang pangkalusugan"" na nagtatalaga ng isang tao na gum"&amp;"awa ng mga desisyon sa pangangalagang pangkalusugan. * Bagama't hindi direktang nauugnay sa pagmamana ng ari-arian, ang mga direktiba na ito ay makakatulong na matiyak na ang mga kagustuhan ng taong may kapansanan ay iginagalang at maiwasan ang pagkalito "&amp;"o hindi pagkakasundo ng mga miyembro ng pamilya.
**Mga Rekomendasyon:**
* **Kumonsulta sa isang Abogado:** Ang isang abogado na dalubhasa sa pagpaplano ng ari-arian at nakatatanda na batas ay mahalaga. Maaari ka nilang gabayan sa mga legal na proseso para"&amp;" sa pangangalaga, payuhan ang interpretasyon ng mga kasalukuyang dokumento sa pagpaplano ng ari-arian, at bumalangkas ng mga kinakailangang dokumento kung kinakailangan.
* **Open Communication:** Ang pagtalakay sa incapacity planning at inheritance wishes"&amp;" nang hayagan sa iyong miyembro ng pamilya habang sila ay may kakayahan pa ay makakatulong na maiwasan ang pagkalito at hidwaan sa ibang pagkakataon.
* **Isaalang-alang ang Propesyonal na Pangangalaga:** Depende sa kalubhaan ng kawalan ng kakayahan, maaar"&amp;"ing kailanganin ang propesyonal na pangangalaga o tinutulungang mga pasilidad sa pamumuhay. Ang pagpaplano para sa mga potensyal na gastos na ito ay ipinapayong.
Sa pamamagitan ng pagsasagawa ng mga proactive na hakbang, tulad ng pagtatatag ng mga legal n"&amp;"a pangangalaga o paggamit ng mga tool sa pagpaplano ng ari-arian kung posible, masisiguro ng mga pamilya ang mas maayos na proseso ng mana at mapoprotektahan ang mga ari-arian ng taong may kapansanan habang nabubuhay sila.")</f>
        <v>Sa Pilipinas, kung ang isang miyembro ng pamilya na nagmamay-ari ng ari-arian ay nawalan ng kakayahan at hindi na kayang pamahalaan ang kanilang mga gawain, maaaring gumawa ng mga legal na hakbang upang matiyak ang maayos na proseso ng mana. Narito ang isang breakdown ng mga opsyon:
**1. Legal na Pangangalaga:**
* Ang isang legal na tagapag-alaga ay maaaring italaga ng korte upang pamahalaan ang ari-arian at pananalapi ng taong may kapansanan. Ito ay karaniwang malapit na kamag-anak (asawa, anak, magulang, o kapatid).
* Kailangang magsampa ng petisyon para sa guardianship sa korte, kasama ang pagsusuri ng doktor na nagtatatag ng kawalan ng kakayahan. Pagkatapos ay diringgin ng korte ang petisyon at magpapasya kung kinakailangan ang isang tagapag-alaga.
* Ang itinalagang tagapag-alaga ay magkakaroon ng legal na awtoridad na pamahalaan ang ari-arian batay sa pinakamabuting interes ng taong may kapansanan at alinsunod sa anumang plano ng ari-arian (kalooban). **2. Mga Tool sa Pagpaplano ng Estate:**
* **Durable Power of Attorney:** Kung ang isang estate plan ay naitatag na, isang matibay na power of attorney ay maaaring nasa lugar. Ang legal na dokumentong ito ay nagpapahintulot sa isang pinagkakatiwalaang tao na pamahalaan ang ari-arian at pananalapi kung ang orihinal na may-ari ay nawalan ng kakayahan.
* **Living Trust:** Ang buhay na trust ay maaaring maging isang kapaki-pakinabang na tool. Ang ari-arian ay ililipat sa pinagkakatiwalaan habang ang orihinal na may-ari ay nagpapanatili ng kontrol sa panahon ng kanilang buhay. Sa kawalan ng kakayahan, pinamamahalaan ng itinalagang trustee ang mga asset ayon sa mga tagubilin ng trust, na tinitiyak ang maayos na paglipat.
**3. Mga Paunang Direktiba:**
* Ang isang taong may kapansanan ay maaaring lumikha ng isang paunang direktiba, na maaaring magsama ng isang "buhay na kalooban" na tumutukoy sa mga kahilingan tungkol sa medikal na paggamot at isang "matibay na kapangyarihan ng abogado para sa pangangalagang pangkalusugan" na nagtatalaga ng isang tao na gumawa ng mga desisyon sa pangangalagang pangkalusugan. * Bagama't hindi direktang nauugnay sa pagmamana ng ari-arian, ang mga direktiba na ito ay makakatulong na matiyak na ang mga kagustuhan ng taong may kapansanan ay iginagalang at maiwasan ang pagkalito o hindi pagkakasundo ng mga miyembro ng pamilya.
**Mga Rekomendasyon:**
* **Kumonsulta sa isang Abogado:** Ang isang abogado na dalubhasa sa pagpaplano ng ari-arian at nakatatanda na batas ay mahalaga. Maaari ka nilang gabayan sa mga legal na proseso para sa pangangalaga, payuhan ang interpretasyon ng mga kasalukuyang dokumento sa pagpaplano ng ari-arian, at bumalangkas ng mga kinakailangang dokumento kung kinakailangan.
* **Open Communication:** Ang pagtalakay sa incapacity planning at inheritance wishes nang hayagan sa iyong miyembro ng pamilya habang sila ay may kakayahan pa ay makakatulong na maiwasan ang pagkalito at hidwaan sa ibang pagkakataon.
* **Isaalang-alang ang Propesyonal na Pangangalaga:** Depende sa kalubhaan ng kawalan ng kakayahan, maaaring kailanganin ang propesyonal na pangangalaga o tinutulungang mga pasilidad sa pamumuhay. Ang pagpaplano para sa mga potensyal na gastos na ito ay ipinapayong.
Sa pamamagitan ng pagsasagawa ng mga proactive na hakbang, tulad ng pagtatatag ng mga legal na pangangalaga o paggamit ng mga tool sa pagpaplano ng ari-arian kung posible, masisiguro ng mga pamilya ang mas maayos na proseso ng mana at mapoprotektahan ang mga ari-arian ng taong may kapansanan habang nabubuhay sila.</v>
      </c>
      <c r="F416" s="2">
        <f t="shared" si="1"/>
        <v>0</v>
      </c>
      <c r="G416" s="2"/>
      <c r="H416" s="2"/>
      <c r="I416" s="2"/>
      <c r="J416" s="2"/>
      <c r="K416" s="2"/>
      <c r="L416" s="2"/>
      <c r="M416" s="2"/>
      <c r="N416" s="2"/>
      <c r="O416" s="2"/>
      <c r="P416" s="2"/>
      <c r="Q416" s="2"/>
      <c r="R416" s="2"/>
      <c r="S416" s="2"/>
      <c r="T416" s="2"/>
      <c r="U416" s="2"/>
      <c r="V416" s="2"/>
      <c r="W416" s="2"/>
      <c r="X416" s="2"/>
      <c r="Y416" s="2"/>
      <c r="Z416" s="2"/>
      <c r="AA416" s="2"/>
    </row>
    <row r="417">
      <c r="A417" s="1" t="s">
        <v>1224</v>
      </c>
      <c r="B417" s="1" t="s">
        <v>1533</v>
      </c>
      <c r="C417" s="1" t="s">
        <v>1534</v>
      </c>
      <c r="D417" s="1" t="s">
        <v>1535</v>
      </c>
      <c r="E417" s="2" t="str">
        <f>IFERROR(__xludf.DUMMYFUNCTION("GOOGLETRANSLATE(C417, ""en"", ""TL"")"),"## Mga Buwis sa Ari-arian at Mana sa Pilipinas
Sa Pilipinas, ang pagmamana ng real estate ay maaaring makaapekto sa iyong mga obligasyon sa buwis sa ari-arian. Narito ang isang breakdown kung paano kinakalkula ang mga buwis sa ari-arian at mga diskarte pa"&amp;"ra sa pamamahala sa kanila bilang tagapagmana.
**Pagkalkula ng Mga Buwis sa Ari-arian:**
* **Schedule of Values ​​(SOV):** Ginagamit ng pamahalaan ang Schedule of Values ​​(SOV) upang matukoy ang **assessed value** ng property. Ang tinasang halaga na ito "&amp;"ay isang porsyento (karaniwan ay humigit-kumulang 2% hanggang 4%) ng patas na halaga sa pamilihan ng ari-arian.
* **Rate ng Mill:** Nagtakda ang mga local government unit (LGU) ng **mill rate** (isang porsyento) na i-multiply sa tinasang halaga upang kalk"&amp;"ulahin ang taunang buwis sa ari-arian. Maaaring mag-iba ang mga rate ng mill depende sa lokasyon at uri ng ari-arian.
**Formula:** **Property Tax = Assessed Value (SOV x Fair Market Value) x Mill Rate**
**Epekto ng Mana:**
* **Muling Pagtatasa:** Sa ilang"&amp;" mga kaso, ang pagmamana ng ari-arian ay maaaring magpalitaw ng muling pagtatasa ng tanggapan ng lokal na tagasuri. Posibleng mapataas nito ang tinasang halaga at, dahil dito, ang buwis sa ari-arian.
* **Mga Tax Break:** **Mga Exemption:** Mayroong ilang "&amp;"mga exemption para sa ilang partikular na uri ng ari-arian o may-ari, gaya ng mga senior citizen o taong may mga kapansanan. Dapat magtanong ang mga tagapagmana tungkol sa mga potensyal na exemption na naaangkop sa kanilang sitwasyon.
* **Mga Diskwento:**"&amp;" Nag-aalok ang ilang LGU ng mga diskwento sa maagang pagbabayad para sa mga buwis sa ari-arian. Ang pagbabayad ng maaga ay makakatulong sa mga tagapagmana na pamahalaan ang kanilang mga pananagutan sa buwis.
**Mga Diskarte para sa mga Tagapagmana:**
* **M"&amp;"agtipon ng Impormasyon:** Ang mga tagapagmana ay dapat kumuha ng kopya ng pinakabagong pagtatasa ng buwis sa ari-arian at maunawaan ang naaangkop na rate ng gilingan.
* **Isaalang-alang ang Muling Pagtatasa:** Kung naniniwala ka na ang tinasang halaga ay "&amp;"lubhang minamaliit, ang isang pormal na kahilingan sa muling pagtatasa ay maaaring ihain sa tanggapan ng lokal na tagasuri. Gayunpaman, magkaroon ng kamalayan na ito ay maaaring humantong sa isang mas mataas na pagtatasa.
* **I-explore ang Mga Exemption:*"&amp;"* Magsaliksik at mag-apply para sa anumang available na mga exemption batay sa uri ng ari-arian o mga kwalipikasyon ng may-ari.
* **Plan para sa Mga Pagbabayad:** Salik sa mga buwis sa ari-arian kapag nagba-budget para sa minanang pagmamay-ari ng ari-aria"&amp;"n. Isaalang-alang ang mga diskwento sa maagang pagbabayad na inaalok ng mga LGU.
* **Humingi ng Propesyonal na Tulong:** Ang pagkonsulta sa isang tax advisor na may karanasan sa pagbubuwis ng ari-arian ay maaaring maging kapaki-pakinabang. Maaari silang m"&amp;"agpayo sa pag-optimize ng mga obligasyon sa buwis at mga potensyal na diskarte para sa pagliit ng mga pasanin sa buwis sa ari-arian.
**Mga Karagdagang Pagsasaalang-alang:**
* **Joint Inheritance:** Kung maraming tagapagmana ang magkakasamang magmamana ng "&amp;"ari-arian, sila ang magkakasamang mananagot para sa mga buwis sa ari-arian. Ang isang malinaw na kasunduan sa kung paano ibabahagi ang mga pagbabayad ng buwis ay ipinapayong.
* **Pagbebenta ng Ari-arian:** Kung magpasya ang mga tagapagmana na ibenta ang a"&amp;"ri-arian, maaaring malapat ang buwis sa capital gains sa pagkakaiba sa pagitan ng presyo ng pagbebenta at ng minanang halaga. Ang pagkonsulta sa isang tax advisor ay napakahalaga sa mga ganitong sitwasyon.
Sa pamamagitan ng pag-unawa kung paano gumagana a"&amp;"ng mga buwis sa ari-arian at pagpapatupad ng mga estratehiyang ito, mas mapapamahalaan ng mga tagapagmana ang kanilang mga pananagutan sa buwis na nauugnay sa pagmamana ng real estate sa Pilipinas.")</f>
        <v>## Mga Buwis sa Ari-arian at Mana sa Pilipinas
Sa Pilipinas, ang pagmamana ng real estate ay maaaring makaapekto sa iyong mga obligasyon sa buwis sa ari-arian. Narito ang isang breakdown kung paano kinakalkula ang mga buwis sa ari-arian at mga diskarte para sa pamamahala sa kanila bilang tagapagmana.
**Pagkalkula ng Mga Buwis sa Ari-arian:**
* **Schedule of Values ​​(SOV):** Ginagamit ng pamahalaan ang Schedule of Values ​​(SOV) upang matukoy ang **assessed value** ng property. Ang tinasang halaga na ito ay isang porsyento (karaniwan ay humigit-kumulang 2% hanggang 4%) ng patas na halaga sa pamilihan ng ari-arian.
* **Rate ng Mill:** Nagtakda ang mga local government unit (LGU) ng **mill rate** (isang porsyento) na i-multiply sa tinasang halaga upang kalkulahin ang taunang buwis sa ari-arian. Maaaring mag-iba ang mga rate ng mill depende sa lokasyon at uri ng ari-arian.
**Formula:** **Property Tax = Assessed Value (SOV x Fair Market Value) x Mill Rate**
**Epekto ng Mana:**
* **Muling Pagtatasa:** Sa ilang mga kaso, ang pagmamana ng ari-arian ay maaaring magpalitaw ng muling pagtatasa ng tanggapan ng lokal na tagasuri. Posibleng mapataas nito ang tinasang halaga at, dahil dito, ang buwis sa ari-arian.
* **Mga Tax Break:** **Mga Exemption:** Mayroong ilang mga exemption para sa ilang partikular na uri ng ari-arian o may-ari, gaya ng mga senior citizen o taong may mga kapansanan. Dapat magtanong ang mga tagapagmana tungkol sa mga potensyal na exemption na naaangkop sa kanilang sitwasyon.
* **Mga Diskwento:** Nag-aalok ang ilang LGU ng mga diskwento sa maagang pagbabayad para sa mga buwis sa ari-arian. Ang pagbabayad ng maaga ay makakatulong sa mga tagapagmana na pamahalaan ang kanilang mga pananagutan sa buwis.
**Mga Diskarte para sa mga Tagapagmana:**
* **Magtipon ng Impormasyon:** Ang mga tagapagmana ay dapat kumuha ng kopya ng pinakabagong pagtatasa ng buwis sa ari-arian at maunawaan ang naaangkop na rate ng gilingan.
* **Isaalang-alang ang Muling Pagtatasa:** Kung naniniwala ka na ang tinasang halaga ay lubhang minamaliit, ang isang pormal na kahilingan sa muling pagtatasa ay maaaring ihain sa tanggapan ng lokal na tagasuri. Gayunpaman, magkaroon ng kamalayan na ito ay maaaring humantong sa isang mas mataas na pagtatasa.
* **I-explore ang Mga Exemption:** Magsaliksik at mag-apply para sa anumang available na mga exemption batay sa uri ng ari-arian o mga kwalipikasyon ng may-ari.
* **Plan para sa Mga Pagbabayad:** Salik sa mga buwis sa ari-arian kapag nagba-budget para sa minanang pagmamay-ari ng ari-arian. Isaalang-alang ang mga diskwento sa maagang pagbabayad na inaalok ng mga LGU.
* **Humingi ng Propesyonal na Tulong:** Ang pagkonsulta sa isang tax advisor na may karanasan sa pagbubuwis ng ari-arian ay maaaring maging kapaki-pakinabang. Maaari silang magpayo sa pag-optimize ng mga obligasyon sa buwis at mga potensyal na diskarte para sa pagliit ng mga pasanin sa buwis sa ari-arian.
**Mga Karagdagang Pagsasaalang-alang:**
* **Joint Inheritance:** Kung maraming tagapagmana ang magkakasamang magmamana ng ari-arian, sila ang magkakasamang mananagot para sa mga buwis sa ari-arian. Ang isang malinaw na kasunduan sa kung paano ibabahagi ang mga pagbabayad ng buwis ay ipinapayong.
* **Pagbebenta ng Ari-arian:** Kung magpasya ang mga tagapagmana na ibenta ang ari-arian, maaaring malapat ang buwis sa capital gains sa pagkakaiba sa pagitan ng presyo ng pagbebenta at ng minanang halaga. Ang pagkonsulta sa isang tax advisor ay napakahalaga sa mga ganitong sitwasyon.
Sa pamamagitan ng pag-unawa kung paano gumagana ang mga buwis sa ari-arian at pagpapatupad ng mga estratehiyang ito, mas mapapamahalaan ng mga tagapagmana ang kanilang mga pananagutan sa buwis na nauugnay sa pagmamana ng real estate sa Pilipinas.</v>
      </c>
      <c r="F417" s="2">
        <f t="shared" si="1"/>
        <v>0</v>
      </c>
      <c r="G417" s="2"/>
      <c r="H417" s="2"/>
      <c r="I417" s="2"/>
      <c r="J417" s="2"/>
      <c r="K417" s="2"/>
      <c r="L417" s="2"/>
      <c r="M417" s="2"/>
      <c r="N417" s="2"/>
      <c r="O417" s="2"/>
      <c r="P417" s="2"/>
      <c r="Q417" s="2"/>
      <c r="R417" s="2"/>
      <c r="S417" s="2"/>
      <c r="T417" s="2"/>
      <c r="U417" s="2"/>
      <c r="V417" s="2"/>
      <c r="W417" s="2"/>
      <c r="X417" s="2"/>
      <c r="Y417" s="2"/>
      <c r="Z417" s="2"/>
      <c r="AA417" s="2"/>
    </row>
    <row r="418">
      <c r="A418" s="1" t="s">
        <v>1224</v>
      </c>
      <c r="B418" s="1" t="s">
        <v>1536</v>
      </c>
      <c r="C418" s="1" t="s">
        <v>1537</v>
      </c>
      <c r="D418" s="1" t="s">
        <v>1538</v>
      </c>
      <c r="E418" s="2" t="str">
        <f>IFERROR(__xludf.DUMMYFUNCTION("GOOGLETRANSLATE(C418, ""en"", ""TL"")"),"Ang pagmamana ng ari-arian na may kasalukuyang utang tulad ng mga home equity loans (HELs) o reverse mortgage (RMs) sa Pilipinas ay nagdaragdag ng isang layer ng pagiging kumplikado. Narito ang isang breakdown ng mga legal na pagsasaalang-alang at kung pa"&amp;"ano pinamamahalaan ang mga obligasyong ito:
**Pag-unawa sa Mga Detalye ng Loan:**
* **Suriin ang Mga Dokumento sa Loan:** Dapat na maingat na suriin ng mga tagapagmana ang mga dokumento ng HEL o RM na pautang upang maunawaan ang natitirang balanse, mga ra"&amp;"te ng interes, mga tuntunin sa pagbabayad, at anumang mga sugnay na ""dapat sa pagbebenta."" Ang mga sugnay na ito ay nagpapabilis sa buong pagbabayad ng utang sa pagbebenta ng ari-arian.
* **Kumonsulta sa Nagpapahiram:** Ang direktang pakikipag-ugnayan s"&amp;"a nagpapahiram ay napakahalaga. Maaari nilang ipaliwanag ang katayuan ng pautang, mga natitirang obligasyon, at mga opsyon na magagamit sa mga tagapagmana bilang mga tagapagmana.
**Mga Obligasyon at Opsyon para sa mga Tagapagmana:**
* **Personal na Panana"&amp;"gutan:** Sa karamihan ng mga kaso, ang mga tagapagmana **ay hindi awtomatikong magiging personal na mananagot** para sa natitirang balanse ng HEL o RM sa pamamagitan lamang ng pagmamana ng ari-arian.
* **Mga Opsyon sa Pagbabayad:** Ang mga tagapagmana ay "&amp;"may ilang mga opsyon upang mahawakan ang utang:
* **Babayaran ang Loan nang Buo:** Ang mga tagapagmana ay maaaring sama-samang gumamit ng kanilang sariling mga pondo o mga nalikom mula sa pagbebenta ng iba pang minanang mga ari-arian upang mabayaran nang "&amp;"buo ang utang.
* **Ibenta ang Ari-arian:** Ang pagbebenta ng ari-arian ay maaaring isang paraan upang mabayaran ang natitirang utang. Ang mga nalikom mula sa pagbebenta ay gagamitin upang bayaran muna ang HEL/RM, na may anumang natitirang halaga na mapupu"&amp;"nta sa mga tagapagmana.
* **Ipagpalagay ang Loan (kung naaangkop):** Sa ilang mga kaso, sa pag-apruba ng tagapagpahiram, ang isang tagapagmana ay maaaring **kunin ang loan**. Ang ibig sabihin nito ay ang pagkuha sa natitirang mga obligasyon sa pautang. Ga"&amp;"yunpaman, ang pagiging kwalipikado para sa pagpapalagay ay karaniwang nangangailangan ng magandang kredito at katayuan sa pananalapi.
* **Makipag-usap sa Tagapahiram:** Maaaring makipag-ayos ang mga tagapagmana sa tagapagpahiram para sa mga alternatibong "&amp;"opsyon sa pagbabayad, tulad ng pagpapahaba ng termino ng pautang o pagbabago sa rate ng interes.
**Mga Legal na Pagsasaalang-alang:**
* **Will Provisions:** Kung mayroong will, maaari nitong tukuyin kung paano nilayon ng namatay na pangasiwaan ang HEL/RM."&amp;" Ang mga tagubilin ng testamento ay dapat sundin.
* **Maraming Tagapagmana:** Kung maraming tagapagmana, mahalaga ang komunikasyon at kasunduan kung paano pamahalaan ang utang. Maaaring makatulong ang isang pormal na kasunduan na nagbabalangkas sa kontrib"&amp;"usyon o mga responsibilidad ng bawat tagapagmana.
* **Mga Implikasyon sa Buwis:** Depende sa senaryo ng mana at kung paano pinangangasiwaan ang utang, maaaring malapat ang buwis sa capital gains kapag naibenta ang ari-arian. Inirerekomenda ang pagkonsulta"&amp;" sa isang tagapayo sa buwis.
* **Humingi ng Legal na Payo:** Ang isang bihasang abogado na dalubhasa sa pagpaplano ng ari-arian at batas sa real estate ay maaaring magbigay ng iniangkop na patnubay sa paghawak ng minanang utang na isinasaalang-alang ang m"&amp;"ga partikular na dokumento ng pautang, senaryo ng mana, at pangkalahatang sitwasyon ng mga tagapagmana.
**Sa pamamagitan ng pag-unawa sa kanilang mga obligasyon at paggalugad sa lahat ng mga opsyon, ang mga tagapagmana ay makakagawa ng matalinong mga desi"&amp;"syon tungkol sa pamamahala ng minanang ari-arian gamit ang mga kasalukuyang HEL o RM. Ang pagkonsulta sa mga propesyonal sa pananalapi at legal ay lubos na inirerekomenda upang mag-navigate sa mga legalidad at gumawa ng mga pinakakapaki-pakinabang na pagp"&amp;"ipilian.**")</f>
        <v>Ang pagmamana ng ari-arian na may kasalukuyang utang tulad ng mga home equity loans (HELs) o reverse mortgage (RMs) sa Pilipinas ay nagdaragdag ng isang layer ng pagiging kumplikado. Narito ang isang breakdown ng mga legal na pagsasaalang-alang at kung paano pinamamahalaan ang mga obligasyong ito:
**Pag-unawa sa Mga Detalye ng Loan:**
* **Suriin ang Mga Dokumento sa Loan:** Dapat na maingat na suriin ng mga tagapagmana ang mga dokumento ng HEL o RM na pautang upang maunawaan ang natitirang balanse, mga rate ng interes, mga tuntunin sa pagbabayad, at anumang mga sugnay na "dapat sa pagbebenta." Ang mga sugnay na ito ay nagpapabilis sa buong pagbabayad ng utang sa pagbebenta ng ari-arian.
* **Kumonsulta sa Nagpapahiram:** Ang direktang pakikipag-ugnayan sa nagpapahiram ay napakahalaga. Maaari nilang ipaliwanag ang katayuan ng pautang, mga natitirang obligasyon, at mga opsyon na magagamit sa mga tagapagmana bilang mga tagapagmana.
**Mga Obligasyon at Opsyon para sa mga Tagapagmana:**
* **Personal na Pananagutan:** Sa karamihan ng mga kaso, ang mga tagapagmana **ay hindi awtomatikong magiging personal na mananagot** para sa natitirang balanse ng HEL o RM sa pamamagitan lamang ng pagmamana ng ari-arian.
* **Mga Opsyon sa Pagbabayad:** Ang mga tagapagmana ay may ilang mga opsyon upang mahawakan ang utang:
* **Babayaran ang Loan nang Buo:** Ang mga tagapagmana ay maaaring sama-samang gumamit ng kanilang sariling mga pondo o mga nalikom mula sa pagbebenta ng iba pang minanang mga ari-arian upang mabayaran nang buo ang utang.
* **Ibenta ang Ari-arian:** Ang pagbebenta ng ari-arian ay maaaring isang paraan upang mabayaran ang natitirang utang. Ang mga nalikom mula sa pagbebenta ay gagamitin upang bayaran muna ang HEL/RM, na may anumang natitirang halaga na mapupunta sa mga tagapagmana.
* **Ipagpalagay ang Loan (kung naaangkop):** Sa ilang mga kaso, sa pag-apruba ng tagapagpahiram, ang isang tagapagmana ay maaaring **kunin ang loan**. Ang ibig sabihin nito ay ang pagkuha sa natitirang mga obligasyon sa pautang. Gayunpaman, ang pagiging kwalipikado para sa pagpapalagay ay karaniwang nangangailangan ng magandang kredito at katayuan sa pananalapi.
* **Makipag-usap sa Tagapahiram:** Maaaring makipag-ayos ang mga tagapagmana sa tagapagpahiram para sa mga alternatibong opsyon sa pagbabayad, tulad ng pagpapahaba ng termino ng pautang o pagbabago sa rate ng interes.
**Mga Legal na Pagsasaalang-alang:**
* **Will Provisions:** Kung mayroong will, maaari nitong tukuyin kung paano nilayon ng namatay na pangasiwaan ang HEL/RM. Ang mga tagubilin ng testamento ay dapat sundin.
* **Maraming Tagapagmana:** Kung maraming tagapagmana, mahalaga ang komunikasyon at kasunduan kung paano pamahalaan ang utang. Maaaring makatulong ang isang pormal na kasunduan na nagbabalangkas sa kontribusyon o mga responsibilidad ng bawat tagapagmana.
* **Mga Implikasyon sa Buwis:** Depende sa senaryo ng mana at kung paano pinangangasiwaan ang utang, maaaring malapat ang buwis sa capital gains kapag naibenta ang ari-arian. Inirerekomenda ang pagkonsulta sa isang tagapayo sa buwis.
* **Humingi ng Legal na Payo:** Ang isang bihasang abogado na dalubhasa sa pagpaplano ng ari-arian at batas sa real estate ay maaaring magbigay ng iniangkop na patnubay sa paghawak ng minanang utang na isinasaalang-alang ang mga partikular na dokumento ng pautang, senaryo ng mana, at pangkalahatang sitwasyon ng mga tagapagmana.
**Sa pamamagitan ng pag-unawa sa kanilang mga obligasyon at paggalugad sa lahat ng mga opsyon, ang mga tagapagmana ay makakagawa ng matalinong mga desisyon tungkol sa pamamahala ng minanang ari-arian gamit ang mga kasalukuyang HEL o RM. Ang pagkonsulta sa mga propesyonal sa pananalapi at legal ay lubos na inirerekomenda upang mag-navigate sa mga legalidad at gumawa ng mga pinakakapaki-pakinabang na pagpipilian.**</v>
      </c>
      <c r="F418" s="2">
        <f t="shared" si="1"/>
        <v>0</v>
      </c>
      <c r="G418" s="2"/>
      <c r="H418" s="2"/>
      <c r="I418" s="2"/>
      <c r="J418" s="2"/>
      <c r="K418" s="2"/>
      <c r="L418" s="2"/>
      <c r="M418" s="2"/>
      <c r="N418" s="2"/>
      <c r="O418" s="2"/>
      <c r="P418" s="2"/>
      <c r="Q418" s="2"/>
      <c r="R418" s="2"/>
      <c r="S418" s="2"/>
      <c r="T418" s="2"/>
      <c r="U418" s="2"/>
      <c r="V418" s="2"/>
      <c r="W418" s="2"/>
      <c r="X418" s="2"/>
      <c r="Y418" s="2"/>
      <c r="Z418" s="2"/>
      <c r="AA418" s="2"/>
    </row>
    <row r="419">
      <c r="A419" s="1" t="s">
        <v>1224</v>
      </c>
      <c r="B419" s="1" t="s">
        <v>1539</v>
      </c>
      <c r="C419" s="1" t="s">
        <v>1540</v>
      </c>
      <c r="D419" s="1" t="s">
        <v>1541</v>
      </c>
      <c r="E419" s="2" t="str">
        <f>IFERROR(__xludf.DUMMYFUNCTION("GOOGLETRANSLATE(C419, ""en"", ""TL"")"),"Ang personal na kinatawan, na kilala rin bilang tagapagpatupad (kung may kalooban) o tagapangasiwa (kung walang kalooban), ay gumaganap ng mahalagang papel sa pamamahala ng ari-arian at pamamahagi ng mga asset sa mga benepisyaryo sa Pilipinas. Narito ang "&amp;"isang breakdown ng kanilang mga responsibilidad tungkol sa pamamahagi ng ari-arian:
**Mga Tungkulin ng Personal na Kinatawan:**
* **Hanapin at Imbentaryo ang mga Asset:** Dapat tukuyin at imbentaryo ng kinatawan ang lahat ng asset na pagmamay-ari ng namat"&amp;"ay, kabilang ang real estate, bank account, investment, at personal na ari-arian.
* **Magbayad ng Mga Utang at Buwis:** Sila ang may pananagutan sa pagbabayad ng mga hindi pa nababayarang utang ng namatay (hal., mga credit card, mga pautang) at pag-aayos "&amp;"ng lahat ng buwis na dapat bayaran (hal., buwis sa ari-arian, buwis sa kita sa mga huling suweldo).
* **Pamahalaan at Protektahan ang mga Asset:** Ang kinatawan ay may tungkulin na maingat na pamahalaan at protektahan ang mga ari-arian hanggang sa pamamah"&amp;"agi. Maaaring kabilang dito ang pag-secure ng mga bakanteng property, pagpapanatili ng insurance coverage, at paggawa ng mga kinakailangang pagkukumpuni.
* **Ipamahagi ang Ari-arian Ayon sa Will o Batas:** Ito ay isang mahalagang responsibilidad. Dapat ip"&amp;"amahagi ng kinatawan ang natitirang mga asset sa mga benepisyaryo gaya ng tinukoy sa testamento (kung mayroon man). Kung walang kalooban, dapat nilang sundin ang mga batas sa kawalan ng buhay ng Pilipinas, na nagdidikta kung paano ipinamamahagi ang mga ar"&amp;"i-arian sa mga miyembro ng pamilya.
**Proseso ng Pamamahagi ng Ari-arian:**
1. **Pagsunod sa Testamento (kung naaangkop):** Ang kinatawan ay dapat sumunod nang tapat sa mga tagubiling nakabalangkas sa testamento tungkol sa pamamahagi ng ari-arian. Kabilan"&amp;"g dito ang pagtukoy sa mga benepisyaryo, pagtukoy sa uri at halaga ng ari-arian na natatanggap ng bawat isa, at pagsasaalang-alang sa anumang mga kundisyon na kalakip sa mga mana.
2. **Mga Batas sa Intestacy (kung walang testamento):** Kung walang testame"&amp;"nto, ibinabahagi ng kinatawan ang ari-arian ayon sa mga batas ng kawalan ng katiyakan. Ang mga batas na ito ay inuuna ang nabubuhay na asawa at mga anak, na sinusundan ng mga magulang, kapatid, pamangkin, at mas malalayong kamag-anak sa isang partikular n"&amp;"a pagkakasunud-sunod.
3. **Pagpapahalaga at Dibisyon (kung kinakailangan):** Kung ang mga ari-arian ay hindi madaling hatiin sa mga tagapagmana (hal., isang pag-aari), maaaring kailanganin ng kinatawan na ayusin ang propesyonal na pagtatasa at potensyal n"&amp;"a ibenta ang asset upang ipamahagi ang mga nalikom ayon sa ang mga batas sa kalooban o kawalan ng katiyakan.
**Mga Legal na Pananagutan:**
* **Tungkulin ng Fiduciary:** Ang kinatawan ay kumikilos sa isang kapasidad na katiwala. Nangangahulugan ito na mayr"&amp;"oon silang legal na obligasyon na kumilos para sa pinakamahusay na interes ng ari-arian at mga benepisyaryo, pag-iwas sa mga salungatan ng interes at pamamahala ng mga asset nang may pag-iingat at pangangalaga.
* **Accountability:** Ang kinatawan ay manan"&amp;"agot sa hukuman at mga benepisyaryo para sa kanilang mga aksyon. Maaaring kailanganin silang maghain ng mga ulat na nagdedetalye ng pangangasiwa ng ari-arian at pamamahagi ng mga ari-arian.
* **Paglabag sa Tungkulin:** Ang hindi pagtupad sa kanilang mga r"&amp;"esponsibilidad o maling pamamahala sa mga asset ay maaaring humantong sa mga legal na kahihinatnan, kabilang ang mga demanda mula sa mga benepisyaryo.
**Kahalagahan ng isang Personal na Kinatawan:**
Ang isang karampatang at mapagkakatiwalaang personal na "&amp;"kinatawan ay maaaring matiyak ang isang maayos at mahusay na proseso ng pamana, pinapaliit ang mga hindi pagkakaunawaan at tinitiyak na matatanggap ng mga benepisyaryo ang kanilang nararapat na bahagi ng ari-arian.
**Mga Karagdagang Pagsasaalang-alang:**
"&amp;"* **Propesyonal na Tulong:** Maaaring kumplikado ang tungkulin. Maaaring humingi ng tulong ang kinatawan mula sa mga abogado, accountant, o tagapayo sa pananalapi sa buong proseso.
* **Komunikasyon ng Makikinabang:** Ang pagpapanatili ng bukas na komunika"&amp;"syon sa mga benepisyaryo ay mahalaga. Sa pamamagitan ng pag-unawa sa mga responsibilidad na ito at sa legal na balangkas, mabisang magampanan ng mga personal na kinatawan ang kanilang tungkulin at matiyak ang patas at maayos na pamamahagi ng minanang ari-"&amp;"arian.")</f>
        <v>Ang personal na kinatawan, na kilala rin bilang tagapagpatupad (kung may kalooban) o tagapangasiwa (kung walang kalooban), ay gumaganap ng mahalagang papel sa pamamahala ng ari-arian at pamamahagi ng mga asset sa mga benepisyaryo sa Pilipinas. Narito ang isang breakdown ng kanilang mga responsibilidad tungkol sa pamamahagi ng ari-arian:
**Mga Tungkulin ng Personal na Kinatawan:**
* **Hanapin at Imbentaryo ang mga Asset:** Dapat tukuyin at imbentaryo ng kinatawan ang lahat ng asset na pagmamay-ari ng namatay, kabilang ang real estate, bank account, investment, at personal na ari-arian.
* **Magbayad ng Mga Utang at Buwis:** Sila ang may pananagutan sa pagbabayad ng mga hindi pa nababayarang utang ng namatay (hal., mga credit card, mga pautang) at pag-aayos ng lahat ng buwis na dapat bayaran (hal., buwis sa ari-arian, buwis sa kita sa mga huling suweldo).
* **Pamahalaan at Protektahan ang mga Asset:** Ang kinatawan ay may tungkulin na maingat na pamahalaan at protektahan ang mga ari-arian hanggang sa pamamahagi. Maaaring kabilang dito ang pag-secure ng mga bakanteng property, pagpapanatili ng insurance coverage, at paggawa ng mga kinakailangang pagkukumpuni.
* **Ipamahagi ang Ari-arian Ayon sa Will o Batas:** Ito ay isang mahalagang responsibilidad. Dapat ipamahagi ng kinatawan ang natitirang mga asset sa mga benepisyaryo gaya ng tinukoy sa testamento (kung mayroon man). Kung walang kalooban, dapat nilang sundin ang mga batas sa kawalan ng buhay ng Pilipinas, na nagdidikta kung paano ipinamamahagi ang mga ari-arian sa mga miyembro ng pamilya.
**Proseso ng Pamamahagi ng Ari-arian:**
1. **Pagsunod sa Testamento (kung naaangkop):** Ang kinatawan ay dapat sumunod nang tapat sa mga tagubiling nakabalangkas sa testamento tungkol sa pamamahagi ng ari-arian. Kabilang dito ang pagtukoy sa mga benepisyaryo, pagtukoy sa uri at halaga ng ari-arian na natatanggap ng bawat isa, at pagsasaalang-alang sa anumang mga kundisyon na kalakip sa mga mana.
2. **Mga Batas sa Intestacy (kung walang testamento):** Kung walang testamento, ibinabahagi ng kinatawan ang ari-arian ayon sa mga batas ng kawalan ng katiyakan. Ang mga batas na ito ay inuuna ang nabubuhay na asawa at mga anak, na sinusundan ng mga magulang, kapatid, pamangkin, at mas malalayong kamag-anak sa isang partikular na pagkakasunud-sunod.
3. **Pagpapahalaga at Dibisyon (kung kinakailangan):** Kung ang mga ari-arian ay hindi madaling hatiin sa mga tagapagmana (hal., isang pag-aari), maaaring kailanganin ng kinatawan na ayusin ang propesyonal na pagtatasa at potensyal na ibenta ang asset upang ipamahagi ang mga nalikom ayon sa ang mga batas sa kalooban o kawalan ng katiyakan.
**Mga Legal na Pananagutan:**
* **Tungkulin ng Fiduciary:** Ang kinatawan ay kumikilos sa isang kapasidad na katiwala. Nangangahulugan ito na mayroon silang legal na obligasyon na kumilos para sa pinakamahusay na interes ng ari-arian at mga benepisyaryo, pag-iwas sa mga salungatan ng interes at pamamahala ng mga asset nang may pag-iingat at pangangalaga.
* **Accountability:** Ang kinatawan ay mananagot sa hukuman at mga benepisyaryo para sa kanilang mga aksyon. Maaaring kailanganin silang maghain ng mga ulat na nagdedetalye ng pangangasiwa ng ari-arian at pamamahagi ng mga ari-arian.
* **Paglabag sa Tungkulin:** Ang hindi pagtupad sa kanilang mga responsibilidad o maling pamamahala sa mga asset ay maaaring humantong sa mga legal na kahihinatnan, kabilang ang mga demanda mula sa mga benepisyaryo.
**Kahalagahan ng isang Personal na Kinatawan:**
Ang isang karampatang at mapagkakatiwalaang personal na kinatawan ay maaaring matiyak ang isang maayos at mahusay na proseso ng pamana, pinapaliit ang mga hindi pagkakaunawaan at tinitiyak na matatanggap ng mga benepisyaryo ang kanilang nararapat na bahagi ng ari-arian.
**Mga Karagdagang Pagsasaalang-alang:**
* **Propesyonal na Tulong:** Maaaring kumplikado ang tungkulin. Maaaring humingi ng tulong ang kinatawan mula sa mga abogado, accountant, o tagapayo sa pananalapi sa buong proseso.
* **Komunikasyon ng Makikinabang:** Ang pagpapanatili ng bukas na komunikasyon sa mga benepisyaryo ay mahalaga. Sa pamamagitan ng pag-unawa sa mga responsibilidad na ito at sa legal na balangkas, mabisang magampanan ng mga personal na kinatawan ang kanilang tungkulin at matiyak ang patas at maayos na pamamahagi ng minanang ari-arian.</v>
      </c>
      <c r="F419" s="2">
        <f t="shared" si="1"/>
        <v>0</v>
      </c>
      <c r="G419" s="2"/>
      <c r="H419" s="2"/>
      <c r="I419" s="2"/>
      <c r="J419" s="2"/>
      <c r="K419" s="2"/>
      <c r="L419" s="2"/>
      <c r="M419" s="2"/>
      <c r="N419" s="2"/>
      <c r="O419" s="2"/>
      <c r="P419" s="2"/>
      <c r="Q419" s="2"/>
      <c r="R419" s="2"/>
      <c r="S419" s="2"/>
      <c r="T419" s="2"/>
      <c r="U419" s="2"/>
      <c r="V419" s="2"/>
      <c r="W419" s="2"/>
      <c r="X419" s="2"/>
      <c r="Y419" s="2"/>
      <c r="Z419" s="2"/>
      <c r="AA419" s="2"/>
    </row>
    <row r="420">
      <c r="A420" s="1" t="s">
        <v>1224</v>
      </c>
      <c r="B420" s="1" t="s">
        <v>1542</v>
      </c>
      <c r="C420" s="1" t="s">
        <v>1543</v>
      </c>
      <c r="D420" s="1" t="s">
        <v>1544</v>
      </c>
      <c r="E420" s="2" t="str">
        <f>IFERROR(__xludf.DUMMYFUNCTION("GOOGLETRANSLATE(C420, ""en"", ""TL"")"),"Ang pagmamana ng ari-arian sa Pilipinas bilang isang hindi mamamayan ng U.S. ay maaaring magkaroon ng ilang kumplikado, lalo na kung nakatira ka sa ibang bansa. Narito ang isang breakdown ng mga pangunahing pagsasaalang-alang:
**Mga Karapatan sa Pamana:**"&amp;"
* **Walang diskriminasyon:** Ang mga dayuhang tagapagmana sa pangkalahatan ay may parehong mga karapatan sa mana bilang mga mamamayan ng Pilipinas. Maaari silang magmana ng ari-arian sa pamamagitan ng mga batas sa testamento o kawalan ng katiyakan.
**Mga"&amp;" Implikasyon sa Buwis:**
* **Estate Tax:** Ang Pilipinas ay nagpapataw ng estate tax sa paglilipat ng ari-arian na matatagpuan sa loob ng bansa, anuman ang pagkamamamayan ng yumao o tagapagmana. Progresibo ang rate ng buwis, ibig sabihin, tumataas ito hab"&amp;"ang tumataas ang halaga ng ari-arian.
* **Mga Kasunduan sa Buwis:** Ang Pilipinas ay may mga kasunduan sa buwis sa maraming bansa na maaaring magbawas o magtanggal ng buwis sa ari-arian para sa mga hindi residenteng tagapagmana. Ang pagkonsulta sa isang t"&amp;"agapayo sa buwis na pamilyar sa mga kasunduang ito ay mahalaga.
**Mga Hamon sa Administratibo:**
* **Distansya at Komunikasyon:** Ang mga tagapagmana na naninirahan sa ibang bansa ay maaaring humarap sa mga hamon sa pamamahala sa proseso ng mana nang mala"&amp;"yuan. Maaaring kabilang dito ang pakikipag-ugnayan sa mga lokal na kinatawan, pamamahala ng ari-arian, at potensyal na paglalakbay sa Pilipinas.
* **Legal na Representasyon:** Ang paghirang ng isang pinagkakatiwalaang abogado sa Pilipinas na pamilyar sa b"&amp;"atas ng mana ay maaaring mapadali ang proseso, matiyak ang wastong dokumentasyon, at kumatawan sa iyong mga interes sa panahon ng mga legal na paglilitis (kung kinakailangan).
**Mga Karagdagang Pagsasaalang-alang:**
* **Uri ng Ari-arian:** Ang uri ng ari-"&amp;"arian na minana (lupa, bahay, atbp.) ay maaaring makaimpluwensya sa mga administratibong kumplikado. Ang real estate ay kadalasang nagsasangkot ng lokal na pagpaparehistro at mga potensyal na paghihigpit sa dayuhang pagmamay-ari.
* **Currency Exchange:** "&amp;"Kung ang ari-arian ay kailangang ibenta, ang pag-convert ng Philippine pesos sa iyong home currency ay maaaring may kasamang mga pagbabago sa halaga ng palitan at mga nauugnay na bayarin.
**Mga Rekomendasyon:**
* **Kumonsulta sa isang Abogado:** Ang isang"&amp;" bihasang abogado ng Pilipinas na dalubhasa sa pagpaplano ng ari-arian at batas sa mana ay maaaring magbigay ng angkop na patnubay sa iyong partikular na sitwasyon, kabilang ang mga implikasyon sa buwis at pag-navigate sa proseso ng pangangasiwa.
* **Pagp"&amp;"lano ng Buwis:** Ang maagang pagpaplano ng buwis kasama ang isang tagapayo sa buwis na pamilyar sa mga nauugnay na kasunduan ay maaaring makatulong na mabawasan ang mga pananagutan sa buwis.
* **Isaalang-alang ang Lokal na Representasyon:** Ang paghirang "&amp;"ng isang pinagkakatiwalaang indibidwal o kumpanya sa Pilipinas upang pamahalaan ang ari-arian (hal., pagkolekta ng upa, pangangasiwa ng pagpapanatili) ay maaaring makatulong, lalo na kung ikaw ay naninirahan sa ibang bansa.
Sa pamamagitan ng pag-unawa sa "&amp;"mga legal na aspetong ito at paghingi ng propesyonal na patnubay, ang mga hindi mamamayang tagapagmana ng U.S. na naninirahan sa ibang bansa ay maaaring mag-navigate sa proseso ng pamana sa Pilipinas nang mas epektibo at matiyak na matatanggap nila ang ka"&amp;"nilang nararapat na bahagi ng ari-arian.")</f>
        <v>Ang pagmamana ng ari-arian sa Pilipinas bilang isang hindi mamamayan ng U.S. ay maaaring magkaroon ng ilang kumplikado, lalo na kung nakatira ka sa ibang bansa. Narito ang isang breakdown ng mga pangunahing pagsasaalang-alang:
**Mga Karapatan sa Pamana:**
* **Walang diskriminasyon:** Ang mga dayuhang tagapagmana sa pangkalahatan ay may parehong mga karapatan sa mana bilang mga mamamayan ng Pilipinas. Maaari silang magmana ng ari-arian sa pamamagitan ng mga batas sa testamento o kawalan ng katiyakan.
**Mga Implikasyon sa Buwis:**
* **Estate Tax:** Ang Pilipinas ay nagpapataw ng estate tax sa paglilipat ng ari-arian na matatagpuan sa loob ng bansa, anuman ang pagkamamamayan ng yumao o tagapagmana. Progresibo ang rate ng buwis, ibig sabihin, tumataas ito habang tumataas ang halaga ng ari-arian.
* **Mga Kasunduan sa Buwis:** Ang Pilipinas ay may mga kasunduan sa buwis sa maraming bansa na maaaring magbawas o magtanggal ng buwis sa ari-arian para sa mga hindi residenteng tagapagmana. Ang pagkonsulta sa isang tagapayo sa buwis na pamilyar sa mga kasunduang ito ay mahalaga.
**Mga Hamon sa Administratibo:**
* **Distansya at Komunikasyon:** Ang mga tagapagmana na naninirahan sa ibang bansa ay maaaring humarap sa mga hamon sa pamamahala sa proseso ng mana nang malayuan. Maaaring kabilang dito ang pakikipag-ugnayan sa mga lokal na kinatawan, pamamahala ng ari-arian, at potensyal na paglalakbay sa Pilipinas.
* **Legal na Representasyon:** Ang paghirang ng isang pinagkakatiwalaang abogado sa Pilipinas na pamilyar sa batas ng mana ay maaaring mapadali ang proseso, matiyak ang wastong dokumentasyon, at kumatawan sa iyong mga interes sa panahon ng mga legal na paglilitis (kung kinakailangan).
**Mga Karagdagang Pagsasaalang-alang:**
* **Uri ng Ari-arian:** Ang uri ng ari-arian na minana (lupa, bahay, atbp.) ay maaaring makaimpluwensya sa mga administratibong kumplikado. Ang real estate ay kadalasang nagsasangkot ng lokal na pagpaparehistro at mga potensyal na paghihigpit sa dayuhang pagmamay-ari.
* **Currency Exchange:** Kung ang ari-arian ay kailangang ibenta, ang pag-convert ng Philippine pesos sa iyong home currency ay maaaring may kasamang mga pagbabago sa halaga ng palitan at mga nauugnay na bayarin.
**Mga Rekomendasyon:**
* **Kumonsulta sa isang Abogado:** Ang isang bihasang abogado ng Pilipinas na dalubhasa sa pagpaplano ng ari-arian at batas sa mana ay maaaring magbigay ng angkop na patnubay sa iyong partikular na sitwasyon, kabilang ang mga implikasyon sa buwis at pag-navigate sa proseso ng pangangasiwa.
* **Pagplano ng Buwis:** Ang maagang pagpaplano ng buwis kasama ang isang tagapayo sa buwis na pamilyar sa mga nauugnay na kasunduan ay maaaring makatulong na mabawasan ang mga pananagutan sa buwis.
* **Isaalang-alang ang Lokal na Representasyon:** Ang paghirang ng isang pinagkakatiwalaang indibidwal o kumpanya sa Pilipinas upang pamahalaan ang ari-arian (hal., pagkolekta ng upa, pangangasiwa ng pagpapanatili) ay maaaring makatulong, lalo na kung ikaw ay naninirahan sa ibang bansa.
Sa pamamagitan ng pag-unawa sa mga legal na aspetong ito at paghingi ng propesyonal na patnubay, ang mga hindi mamamayang tagapagmana ng U.S. na naninirahan sa ibang bansa ay maaaring mag-navigate sa proseso ng pamana sa Pilipinas nang mas epektibo at matiyak na matatanggap nila ang kanilang nararapat na bahagi ng ari-arian.</v>
      </c>
      <c r="F420" s="2">
        <f t="shared" si="1"/>
        <v>0</v>
      </c>
      <c r="G420" s="2"/>
      <c r="H420" s="2"/>
      <c r="I420" s="2"/>
      <c r="J420" s="2"/>
      <c r="K420" s="2"/>
      <c r="L420" s="2"/>
      <c r="M420" s="2"/>
      <c r="N420" s="2"/>
      <c r="O420" s="2"/>
      <c r="P420" s="2"/>
      <c r="Q420" s="2"/>
      <c r="R420" s="2"/>
      <c r="S420" s="2"/>
      <c r="T420" s="2"/>
      <c r="U420" s="2"/>
      <c r="V420" s="2"/>
      <c r="W420" s="2"/>
      <c r="X420" s="2"/>
      <c r="Y420" s="2"/>
      <c r="Z420" s="2"/>
      <c r="AA420" s="2"/>
    </row>
    <row r="421">
      <c r="A421" s="1" t="s">
        <v>1224</v>
      </c>
      <c r="B421" s="1" t="s">
        <v>1545</v>
      </c>
      <c r="C421" s="1" t="s">
        <v>1546</v>
      </c>
      <c r="D421" s="1" t="s">
        <v>1547</v>
      </c>
      <c r="E421" s="2" t="str">
        <f>IFERROR(__xludf.DUMMYFUNCTION("GOOGLETRANSLATE(C421, ""en"", ""TL"")"),"Ang pagmamana ng ari-arian na may nakabahaging mga karapatan sa pag-access, tulad ng mga driveway o pathway, ay maaaring humantong sa mga hindi pagkakaunawaan sa pagitan ng mga kapwa may-ari sa Pilipinas. Narito ang ilang legal na mekanismo para pamahalaa"&amp;"n ang mga naturang salungatan:
**1. Pagsusuri sa mga Umiiral na Kasunduan:**
* **Deeds and Covenants:** Ang mga gawa o tipan ng ari-arian ay maaaring magbalangkas ng mga itinatag na karapatan sa pag-access at mga responsibilidad sa pagpapanatili. Ang mga "&amp;"dokumentong ito ay dapat ang unang punto ng sanggunian.
* **Mga Easement:** Maaaring nakarehistro ang isang easement na nagbibigay ng mga partikular na karapatan sa pag-access sa isang property para sa kapakinabangan ng isa pa. Idetalye ng dokumento ng ea"&amp;"sement ang saklaw at limitasyon ng karapatang ito.
**2. Komunikasyon at Negosasyon:**
* **Bukas na komunikasyon:** Dapat subukan ng mga kapwa may-ari na lutasin ang hindi pagkakaunawaan sa pamamagitan ng bukas na komunikasyon at negosasyon. * **Mediation:"&amp;"** Isaalang-alang ang pamamagitan sa isang neutral na third party upang mapadali ang isang solusyon na pinagkasunduang dalawa.
**3. Mga Legal na Solusyon:**
* **Pagkilos ng Partisyon:** Kung mabigo ang komunikasyon, maaaring magsampa ng aksyon sa partisyo"&amp;"n sa korte. Pinipilit ng pormal na demanda na ito ang pagbebenta ng shared access area, na hinahati ang mga nalikom sa mga kapwa may-ari. Ito ay isang huling paraan dahil sa oras at gastos na kasangkot.
* **Declaratory Relief:** Maaaring magsampa ng deman"&amp;"da para sa declaratory relief upang humingi ng hatol ng korte na naglilinaw sa lawak ng mga karapatan at responsibilidad sa pag-access. **4. Pagtatatag ng Malinaw na Kasunduan:**
* **Kasunduan sa Co-ownership:** Kung walang umiiral na mga kasunduan, maaar"&amp;"ing mag-draft ang mga co-ownership ng isang pormal na kasunduan sa co-ownership. Dapat malinaw na tukuyin ng dokumentong ito ang:
* **Mga Karapatan sa Pag-access:** Sino ang may access at para sa anong mga layunin.
* **Pagpapanatili:** Paano ang mga gasto"&amp;"s sa pagpapanatili at pagkukumpuni ng nakabahaging lugar ay ibabahagi sa mga kapwa may-ari. * **Resolution ng Dispute:** Isang proseso para sa paglutas ng mga hindi pagkakasundo sa hinaharap.
* **Mga Kasunduan sa Pagrerehistro:** Para sa karagdagang pagpa"&amp;"patupad, isaalang-alang ang pagpaparehistro ng kasunduan sa co-ownership sa naaangkop na ahensya ng gobyerno.
**Mga Rekomendasyon:**
* **Kumonsulta sa isang Abogado:** Maaaring payuhan ka ng isang bihasang abogado na dalubhasa sa batas sa real estate at a"&amp;"ri-arian sa mga pinakaangkop na legal na mekanismo batay sa partikular na sitwasyon at mga kasalukuyang dokumento.
* **Priyoridad ang Komunikasyon:** Ang bukas na komunikasyon at pagpayag na makipagkompromiso ay kadalasang maaaring malutas ang mga hindi p"&amp;"agkakaunawaan nang maayos at maiwasan ang mga mamahaling legal na labanan.
Sa pamamagitan ng pag-unawa sa mga legal na opsyon na ito at pagbibigay-diin sa malinaw na komunikasyon, ang mga kapwa may-ari ng minanang ari-arian na may nakabahaging mga karapat"&amp;"an sa pag-access ay maaaring epektibong pamahalaan ang mga potensyal na salungatan at matiyak ang patuloy na kasiyahan sa kani-kanilang mga ari-arian.")</f>
        <v>Ang pagmamana ng ari-arian na may nakabahaging mga karapatan sa pag-access, tulad ng mga driveway o pathway, ay maaaring humantong sa mga hindi pagkakaunawaan sa pagitan ng mga kapwa may-ari sa Pilipinas. Narito ang ilang legal na mekanismo para pamahalaan ang mga naturang salungatan:
**1. Pagsusuri sa mga Umiiral na Kasunduan:**
* **Deeds and Covenants:** Ang mga gawa o tipan ng ari-arian ay maaaring magbalangkas ng mga itinatag na karapatan sa pag-access at mga responsibilidad sa pagpapanatili. Ang mga dokumentong ito ay dapat ang unang punto ng sanggunian.
* **Mga Easement:** Maaaring nakarehistro ang isang easement na nagbibigay ng mga partikular na karapatan sa pag-access sa isang property para sa kapakinabangan ng isa pa. Idetalye ng dokumento ng easement ang saklaw at limitasyon ng karapatang ito.
**2. Komunikasyon at Negosasyon:**
* **Bukas na komunikasyon:** Dapat subukan ng mga kapwa may-ari na lutasin ang hindi pagkakaunawaan sa pamamagitan ng bukas na komunikasyon at negosasyon. * **Mediation:** Isaalang-alang ang pamamagitan sa isang neutral na third party upang mapadali ang isang solusyon na pinagkasunduang dalawa.
**3. Mga Legal na Solusyon:**
* **Pagkilos ng Partisyon:** Kung mabigo ang komunikasyon, maaaring magsampa ng aksyon sa partisyon sa korte. Pinipilit ng pormal na demanda na ito ang pagbebenta ng shared access area, na hinahati ang mga nalikom sa mga kapwa may-ari. Ito ay isang huling paraan dahil sa oras at gastos na kasangkot.
* **Declaratory Relief:** Maaaring magsampa ng demanda para sa declaratory relief upang humingi ng hatol ng korte na naglilinaw sa lawak ng mga karapatan at responsibilidad sa pag-access. **4. Pagtatatag ng Malinaw na Kasunduan:**
* **Kasunduan sa Co-ownership:** Kung walang umiiral na mga kasunduan, maaaring mag-draft ang mga co-ownership ng isang pormal na kasunduan sa co-ownership. Dapat malinaw na tukuyin ng dokumentong ito ang:
* **Mga Karapatan sa Pag-access:** Sino ang may access at para sa anong mga layunin.
* **Pagpapanatili:** Paano ang mga gastos sa pagpapanatili at pagkukumpuni ng nakabahaging lugar ay ibabahagi sa mga kapwa may-ari. * **Resolution ng Dispute:** Isang proseso para sa paglutas ng mga hindi pagkakasundo sa hinaharap.
* **Mga Kasunduan sa Pagrerehistro:** Para sa karagdagang pagpapatupad, isaalang-alang ang pagpaparehistro ng kasunduan sa co-ownership sa naaangkop na ahensya ng gobyerno.
**Mga Rekomendasyon:**
* **Kumonsulta sa isang Abogado:** Maaaring payuhan ka ng isang bihasang abogado na dalubhasa sa batas sa real estate at ari-arian sa mga pinakaangkop na legal na mekanismo batay sa partikular na sitwasyon at mga kasalukuyang dokumento.
* **Priyoridad ang Komunikasyon:** Ang bukas na komunikasyon at pagpayag na makipagkompromiso ay kadalasang maaaring malutas ang mga hindi pagkakaunawaan nang maayos at maiwasan ang mga mamahaling legal na labanan.
Sa pamamagitan ng pag-unawa sa mga legal na opsyon na ito at pagbibigay-diin sa malinaw na komunikasyon, ang mga kapwa may-ari ng minanang ari-arian na may nakabahaging mga karapatan sa pag-access ay maaaring epektibong pamahalaan ang mga potensyal na salungatan at matiyak ang patuloy na kasiyahan sa kani-kanilang mga ari-arian.</v>
      </c>
      <c r="F421" s="2">
        <f t="shared" si="1"/>
        <v>0</v>
      </c>
      <c r="G421" s="2"/>
      <c r="H421" s="2"/>
      <c r="I421" s="2"/>
      <c r="J421" s="2"/>
      <c r="K421" s="2"/>
      <c r="L421" s="2"/>
      <c r="M421" s="2"/>
      <c r="N421" s="2"/>
      <c r="O421" s="2"/>
      <c r="P421" s="2"/>
      <c r="Q421" s="2"/>
      <c r="R421" s="2"/>
      <c r="S421" s="2"/>
      <c r="T421" s="2"/>
      <c r="U421" s="2"/>
      <c r="V421" s="2"/>
      <c r="W421" s="2"/>
      <c r="X421" s="2"/>
      <c r="Y421" s="2"/>
      <c r="Z421" s="2"/>
      <c r="AA421" s="2"/>
    </row>
    <row r="422">
      <c r="A422" s="1" t="s">
        <v>1224</v>
      </c>
      <c r="B422" s="1" t="s">
        <v>1548</v>
      </c>
      <c r="C422" s="1" t="s">
        <v>1549</v>
      </c>
      <c r="D422" s="1" t="s">
        <v>1550</v>
      </c>
      <c r="E422" s="2" t="str">
        <f>IFERROR(__xludf.DUMMYFUNCTION("GOOGLETRANSLATE(C422, ""en"", ""TL"")"),"Ang pagmamana ng ari-arian na may makabuluhang mga katangian sa kapaligiran sa Pilipinas ay nagdaragdag ng isang layer ng pagiging kumplikado dahil sa mga regulasyon sa kapaligiran. Narito ang isang breakdown ng mga legal na implikasyon na dapat mong isaa"&amp;"lang-alang:
**Mga Batas at Proteksyon sa Kapaligiran:**
* **Mga Protektadong Lugar:** Maaaring matatagpuan ang property sa loob ng isang proclaimed protected area (hal., pambansang parke, wildlife sanctuary). Maaari nitong paghigpitan ang mga aktibidad sa"&amp;" pagpapaunlad at magpataw ng mga partikular na limitasyon sa paggamit.
* **Mga Regulasyon sa Wetland:** Kung naroroon ang mga basang lupa, ang Philippine Clean Water Act at Wetland Conservation and Wise Use Act ay maaaring mag-regulate ng mga aktibidad tu"&amp;"lad ng pagtatayo o pagbabago ng lupa.
* **Endangered Species:** Ang property ay maaaring maglaman ng tirahan para sa threatened o endangered species. Maaaring paghigpitan ng Wildlife Resources Conservation and Protection Act ang mga aktibidad na maaaring "&amp;"makapinsala sa mga species na ito o sa kanilang tirahan.
**Epekto sa Mana:**
* **Mga Paghihigpit sa Paggamit at Pag-unlad:** Maaaring limitahan ng mga regulasyon sa kapaligiran kung paano mo ginagamit o binuo ang ari-arian. Maaaring kailanganin ang mga pe"&amp;"rmit para sa mga partikular na aktibidad, at ang ilang mga pagpapaunlad ay maaaring ganap na ipinagbabawal.
* **Mga Pananagutan sa Pagpapanatili:** Maaari kang magmana ng ilang responsibilidad para sa pagpapanatili ng mga katangian ng kapaligiran ng ari-a"&amp;"rian. Maaaring kabilang dito ang pamamahala sa mga halaman, pagpigil sa polusyon, o pagprotekta sa mga tirahan ng wildlife.
**Mga Legal na Pagsasaalang-alang:**
* **Mga Pagsusuri sa Epekto sa Kapaligiran:** Ang anumang mga plano sa pagpapaunlad ay maaarin"&amp;"g mangailangan ng mga pagsusuri sa epekto sa kapaligiran (mga EIA) upang matiyak ang kaunting pagkagambala sa ekolohiya.
* **Mga Pahintulot ng Pamahalaan:** Maaaring kailanganin ang pagkuha ng mga permit mula sa Department of Environment and Natural Resou"&amp;"rces (DENR) o iba pang nauugnay na ahensya para sa ilang partikular na aktibidad.
* **Mga Gastos sa Pagsunod:** Ang pagtugon sa mga regulasyong pangkapaligiran ay maaaring may kasamang mga gastos para sa pag-aaral, permit, at potensyal na pagsisikap sa pa"&amp;"gpapanumbalik.
**Mga Rekomendasyon:**
* **Magsagawa ng Mga Pag-audit sa Pangkapaligiran:** Bago gumawa ng mga desisyon tungkol sa ari-arian, mag-commisyon ng isang pag-audit sa kapaligiran upang matukoy ang mga katangian ng kapaligiran at maunawaan ang mg"&amp;"a naaangkop na regulasyon.
* **Kumonsulta sa Mga Abogado sa Kapaligiran:** Humingi ng legal na patnubay mula sa mga abogadong dalubhasa sa batas sa kapaligiran. Maaari ka nilang payuhan tungkol sa iyong mga karapatan at obligasyon bilang isang tagapagmana"&amp;" at tulungan kang mag-navigate sa legal na balangkas.
* **Tuklasin ang Mga Sustainable Options:** Isaalang-alang ang mga diskarte sa napapanatiling pag-unlad na nagpapaliit sa epekto sa kapaligiran. Maaari nitong mapataas ang halaga ng property sa katagal"&amp;"an.
* **Mga Ahensya ng Gobyerno:** Ang pakikipag-ugnayan sa DENR o mga lokal na tanggapang pangkapaligiran ay maaaring magbigay ng impormasyon sa mga partikular na regulasyon at mga potensyal na programa ng tulong para sa pamamahala ng mga ari-arian na se"&amp;"nsitibo sa kapaligiran.
Sa pamamagitan ng pag-unawa sa legal na balangkas at paghingi ng propesyonal na patnubay, mapapamahalaan mo ang iyong mana nang responsable, sumunod sa mga regulasyon sa kapaligiran, at posibleng mag-explore ng mga opsyon sa sustai"&amp;"nable development para sa property.")</f>
        <v>Ang pagmamana ng ari-arian na may makabuluhang mga katangian sa kapaligiran sa Pilipinas ay nagdaragdag ng isang layer ng pagiging kumplikado dahil sa mga regulasyon sa kapaligiran. Narito ang isang breakdown ng mga legal na implikasyon na dapat mong isaalang-alang:
**Mga Batas at Proteksyon sa Kapaligiran:**
* **Mga Protektadong Lugar:** Maaaring matatagpuan ang property sa loob ng isang proclaimed protected area (hal., pambansang parke, wildlife sanctuary). Maaari nitong paghigpitan ang mga aktibidad sa pagpapaunlad at magpataw ng mga partikular na limitasyon sa paggamit.
* **Mga Regulasyon sa Wetland:** Kung naroroon ang mga basang lupa, ang Philippine Clean Water Act at Wetland Conservation and Wise Use Act ay maaaring mag-regulate ng mga aktibidad tulad ng pagtatayo o pagbabago ng lupa.
* **Endangered Species:** Ang property ay maaaring maglaman ng tirahan para sa threatened o endangered species. Maaaring paghigpitan ng Wildlife Resources Conservation and Protection Act ang mga aktibidad na maaaring makapinsala sa mga species na ito o sa kanilang tirahan.
**Epekto sa Mana:**
* **Mga Paghihigpit sa Paggamit at Pag-unlad:** Maaaring limitahan ng mga regulasyon sa kapaligiran kung paano mo ginagamit o binuo ang ari-arian. Maaaring kailanganin ang mga permit para sa mga partikular na aktibidad, at ang ilang mga pagpapaunlad ay maaaring ganap na ipinagbabawal.
* **Mga Pananagutan sa Pagpapanatili:** Maaari kang magmana ng ilang responsibilidad para sa pagpapanatili ng mga katangian ng kapaligiran ng ari-arian. Maaaring kabilang dito ang pamamahala sa mga halaman, pagpigil sa polusyon, o pagprotekta sa mga tirahan ng wildlife.
**Mga Legal na Pagsasaalang-alang:**
* **Mga Pagsusuri sa Epekto sa Kapaligiran:** Ang anumang mga plano sa pagpapaunlad ay maaaring mangailangan ng mga pagsusuri sa epekto sa kapaligiran (mga EIA) upang matiyak ang kaunting pagkagambala sa ekolohiya.
* **Mga Pahintulot ng Pamahalaan:** Maaaring kailanganin ang pagkuha ng mga permit mula sa Department of Environment and Natural Resources (DENR) o iba pang nauugnay na ahensya para sa ilang partikular na aktibidad.
* **Mga Gastos sa Pagsunod:** Ang pagtugon sa mga regulasyong pangkapaligiran ay maaaring may kasamang mga gastos para sa pag-aaral, permit, at potensyal na pagsisikap sa pagpapanumbalik.
**Mga Rekomendasyon:**
* **Magsagawa ng Mga Pag-audit sa Pangkapaligiran:** Bago gumawa ng mga desisyon tungkol sa ari-arian, mag-commisyon ng isang pag-audit sa kapaligiran upang matukoy ang mga katangian ng kapaligiran at maunawaan ang mga naaangkop na regulasyon.
* **Kumonsulta sa Mga Abogado sa Kapaligiran:** Humingi ng legal na patnubay mula sa mga abogadong dalubhasa sa batas sa kapaligiran. Maaari ka nilang payuhan tungkol sa iyong mga karapatan at obligasyon bilang isang tagapagmana at tulungan kang mag-navigate sa legal na balangkas.
* **Tuklasin ang Mga Sustainable Options:** Isaalang-alang ang mga diskarte sa napapanatiling pag-unlad na nagpapaliit sa epekto sa kapaligiran. Maaari nitong mapataas ang halaga ng property sa katagalan.
* **Mga Ahensya ng Gobyerno:** Ang pakikipag-ugnayan sa DENR o mga lokal na tanggapang pangkapaligiran ay maaaring magbigay ng impormasyon sa mga partikular na regulasyon at mga potensyal na programa ng tulong para sa pamamahala ng mga ari-arian na sensitibo sa kapaligiran.
Sa pamamagitan ng pag-unawa sa legal na balangkas at paghingi ng propesyonal na patnubay, mapapamahalaan mo ang iyong mana nang responsable, sumunod sa mga regulasyon sa kapaligiran, at posibleng mag-explore ng mga opsyon sa sustainable development para sa property.</v>
      </c>
      <c r="F422" s="2">
        <f t="shared" si="1"/>
        <v>0</v>
      </c>
      <c r="G422" s="2"/>
      <c r="H422" s="2"/>
      <c r="I422" s="2"/>
      <c r="J422" s="2"/>
      <c r="K422" s="2"/>
      <c r="L422" s="2"/>
      <c r="M422" s="2"/>
      <c r="N422" s="2"/>
      <c r="O422" s="2"/>
      <c r="P422" s="2"/>
      <c r="Q422" s="2"/>
      <c r="R422" s="2"/>
      <c r="S422" s="2"/>
      <c r="T422" s="2"/>
      <c r="U422" s="2"/>
      <c r="V422" s="2"/>
      <c r="W422" s="2"/>
      <c r="X422" s="2"/>
      <c r="Y422" s="2"/>
      <c r="Z422" s="2"/>
      <c r="AA422" s="2"/>
    </row>
    <row r="423">
      <c r="A423" s="1" t="s">
        <v>1224</v>
      </c>
      <c r="B423" s="1" t="s">
        <v>1551</v>
      </c>
      <c r="C423" s="1" t="s">
        <v>1552</v>
      </c>
      <c r="D423" s="1" t="s">
        <v>1553</v>
      </c>
      <c r="E423" s="2" t="str">
        <f>IFERROR(__xludf.DUMMYFUNCTION("GOOGLETRANSLATE(C423, ""en"", ""TL"")"),"Ang pagmamana ng ari-arian sa Pilipinas ay nagbubukas ng pinto sa pagbibigay ng kawanggawa sa pamamagitan ng donasyon ng ari-arian sa isang non-profit na organisasyon (NPO) o charity. Narito ang isang breakdown ng mga legal na opsyon at kung paano pinapad"&amp;"ali ang mga transaksyong ito:
**Mga Legal na Opsyon para sa Pag-donate ng Minanang Ari-arian:**
* **Direktang Donasyon:** Ang pinakasimpleng diskarte ay kinabibilangan ng direktang pag-donate ng minanang ari-arian sa napiling NPO. Nangangailangan ito ng D"&amp;"eed of Donation na nagbabalangkas sa paglilipat ng pagmamay-ari at anumang partikular na kundisyon na kalakip ng donasyon (hal., nilalayong gamitin ng NPO ng property).
* **Charitable Remainder Trust:** Ang isang mas kumplikadong opsyon ay ang pagtatatag "&amp;"ng isang charitable remainder trust. Ang trust na ito ang may hawak ng minanang ari-arian, nagbabayad ng kita sa mga itinalagang benepisyaryo (mga tagapagmana) para sa isang takdang panahon, at pagkatapos ay ipapamahagi ang natitirang ari-arian sa napilin"&amp;"g NPO sa pagtatapos ng tiwala. * Ang opsyong ito ay maaaring mag-alok ng mga benepisyo sa buwis sa mga tagapagmana sa pamamagitan ng pagbabawas ng kanilang pananagutan sa buwis sa capital gains sa donasyon ng ari-arian.
* **Pagbebenta at Donasyon ng Mga N"&amp;"alikom:** Maaaring piliin ng mga tagapagmana na ibenta ang minanang ari-arian at ibigay ang mga nalikom sa NPO. Maaaring maging kapaki-pakinabang ito kung mahirap pangasiwaan ang ari-arian o magagamit ng NPO ang mga pondo nang mas epektibo.
**Pagpapadali "&amp;"sa Donasyon:**
* **Pagkonsulta sa NPO:** Pag-usapan ang iyong intensyon na ibigay ang ari-arian sa NPO. Maaaring mayroon silang karanasan sa paghawak ng mga donasyon ng ari-arian at maaaring magpayo sa pinakaangkop na diskarte batay sa uri ng ari-arian at"&amp;" kanilang mga pangangailangan.
* **Pakikipag-ugnayan sa isang Abogado:** Ang isang bihasang abogado na dalubhasa sa pagpaplano ng ari-arian at batas sa buwis ay mahalaga. Maaari nilang i-draft ang mga kinakailangang legal na dokumento (Deed of Donation o "&amp;"trust agreement), tiyakin ang pagsunod sa mga regulasyon sa buwis, at gabayan ka sa proseso ng donasyon.
* **Pagpapahalaga ng Ari-arian:** Sa ilang mga kaso, lalo na para sa natitirang tiwala ng kawanggawa, maaaring kailanganin ang isang propesyonal na pa"&amp;"gtatasa ng patas na halaga sa pamilihan ng ari-arian para sa mga layunin ng buwis.
**Mga Pagsasaalang-alang sa Buwis:**
* **Capital Gains Tax:** Ang pag-donate ng ari-arian nang direkta sa NPO sa pangkalahatan ay naglilibre sa mga tagapagmana mula sa capi"&amp;"tal gains tax. * **Charitable Remainder Trust:** Maaaring mag-iba ang mga implikasyon ng buwis depende sa istruktura ng tiwala at plano sa pamamahagi ng kita. Ang pagkonsulta sa isang tax advisor ay napakahalaga para maunawaan ang mga potensyal na benepis"&amp;"yo at obligasyon sa buwis.
**Mga Karagdagang Pagsasaalang-alang:**
* **Kwalipikasyon ng NPO:** Tiyaking ang napiling NPO ay isang rehistradong non-profit na organisasyon na may wastong akreditasyon.
* **Pag-iingat ng Rekord:** Panatilihin ang mga detalyad"&amp;"ong rekord ng donasyon, kabilang ang Deed of Donation o trust agreement, pagtatasa ng ari-arian (kung naaangkop), at mga resibo para sa anumang nauugnay na gastos.
Sa pamamagitan ng pag-unawa sa mga legal na opsyong ito at paghanap ng propesyonal na patnu"&amp;"bay, ang mga tagapagmana ay maaaring epektibong mag-abuloy ng minanang ari-arian upang suportahan ang isang layunin na kanilang pinapahalagahan habang potensyal na pinapaliit ang mga pananagutan sa buwis. Tandaan, ang pinaka-angkop na diskarte ay depende "&amp;"sa partikular na sitwasyon at ang uri ng ari-arian na minana.")</f>
        <v>Ang pagmamana ng ari-arian sa Pilipinas ay nagbubukas ng pinto sa pagbibigay ng kawanggawa sa pamamagitan ng donasyon ng ari-arian sa isang non-profit na organisasyon (NPO) o charity. Narito ang isang breakdown ng mga legal na opsyon at kung paano pinapadali ang mga transaksyong ito:
**Mga Legal na Opsyon para sa Pag-donate ng Minanang Ari-arian:**
* **Direktang Donasyon:** Ang pinakasimpleng diskarte ay kinabibilangan ng direktang pag-donate ng minanang ari-arian sa napiling NPO. Nangangailangan ito ng Deed of Donation na nagbabalangkas sa paglilipat ng pagmamay-ari at anumang partikular na kundisyon na kalakip ng donasyon (hal., nilalayong gamitin ng NPO ng property).
* **Charitable Remainder Trust:** Ang isang mas kumplikadong opsyon ay ang pagtatatag ng isang charitable remainder trust. Ang trust na ito ang may hawak ng minanang ari-arian, nagbabayad ng kita sa mga itinalagang benepisyaryo (mga tagapagmana) para sa isang takdang panahon, at pagkatapos ay ipapamahagi ang natitirang ari-arian sa napiling NPO sa pagtatapos ng tiwala. * Ang opsyong ito ay maaaring mag-alok ng mga benepisyo sa buwis sa mga tagapagmana sa pamamagitan ng pagbabawas ng kanilang pananagutan sa buwis sa capital gains sa donasyon ng ari-arian.
* **Pagbebenta at Donasyon ng Mga Nalikom:** Maaaring piliin ng mga tagapagmana na ibenta ang minanang ari-arian at ibigay ang mga nalikom sa NPO. Maaaring maging kapaki-pakinabang ito kung mahirap pangasiwaan ang ari-arian o magagamit ng NPO ang mga pondo nang mas epektibo.
**Pagpapadali sa Donasyon:**
* **Pagkonsulta sa NPO:** Pag-usapan ang iyong intensyon na ibigay ang ari-arian sa NPO. Maaaring mayroon silang karanasan sa paghawak ng mga donasyon ng ari-arian at maaaring magpayo sa pinakaangkop na diskarte batay sa uri ng ari-arian at kanilang mga pangangailangan.
* **Pakikipag-ugnayan sa isang Abogado:** Ang isang bihasang abogado na dalubhasa sa pagpaplano ng ari-arian at batas sa buwis ay mahalaga. Maaari nilang i-draft ang mga kinakailangang legal na dokumento (Deed of Donation o trust agreement), tiyakin ang pagsunod sa mga regulasyon sa buwis, at gabayan ka sa proseso ng donasyon.
* **Pagpapahalaga ng Ari-arian:** Sa ilang mga kaso, lalo na para sa natitirang tiwala ng kawanggawa, maaaring kailanganin ang isang propesyonal na pagtatasa ng patas na halaga sa pamilihan ng ari-arian para sa mga layunin ng buwis.
**Mga Pagsasaalang-alang sa Buwis:**
* **Capital Gains Tax:** Ang pag-donate ng ari-arian nang direkta sa NPO sa pangkalahatan ay naglilibre sa mga tagapagmana mula sa capital gains tax. * **Charitable Remainder Trust:** Maaaring mag-iba ang mga implikasyon ng buwis depende sa istruktura ng tiwala at plano sa pamamahagi ng kita. Ang pagkonsulta sa isang tax advisor ay napakahalaga para maunawaan ang mga potensyal na benepisyo at obligasyon sa buwis.
**Mga Karagdagang Pagsasaalang-alang:**
* **Kwalipikasyon ng NPO:** Tiyaking ang napiling NPO ay isang rehistradong non-profit na organisasyon na may wastong akreditasyon.
* **Pag-iingat ng Rekord:** Panatilihin ang mga detalyadong rekord ng donasyon, kabilang ang Deed of Donation o trust agreement, pagtatasa ng ari-arian (kung naaangkop), at mga resibo para sa anumang nauugnay na gastos.
Sa pamamagitan ng pag-unawa sa mga legal na opsyong ito at paghanap ng propesyonal na patnubay, ang mga tagapagmana ay maaaring epektibong mag-abuloy ng minanang ari-arian upang suportahan ang isang layunin na kanilang pinapahalagahan habang potensyal na pinapaliit ang mga pananagutan sa buwis. Tandaan, ang pinaka-angkop na diskarte ay depende sa partikular na sitwasyon at ang uri ng ari-arian na minana.</v>
      </c>
      <c r="F423" s="2">
        <f t="shared" si="1"/>
        <v>0</v>
      </c>
      <c r="G423" s="2"/>
      <c r="H423" s="2"/>
      <c r="I423" s="2"/>
      <c r="J423" s="2"/>
      <c r="K423" s="2"/>
      <c r="L423" s="2"/>
      <c r="M423" s="2"/>
      <c r="N423" s="2"/>
      <c r="O423" s="2"/>
      <c r="P423" s="2"/>
      <c r="Q423" s="2"/>
      <c r="R423" s="2"/>
      <c r="S423" s="2"/>
      <c r="T423" s="2"/>
      <c r="U423" s="2"/>
      <c r="V423" s="2"/>
      <c r="W423" s="2"/>
      <c r="X423" s="2"/>
      <c r="Y423" s="2"/>
      <c r="Z423" s="2"/>
      <c r="AA423" s="2"/>
    </row>
    <row r="424">
      <c r="A424" s="1" t="s">
        <v>1224</v>
      </c>
      <c r="B424" s="1" t="s">
        <v>1554</v>
      </c>
      <c r="C424" s="1" t="s">
        <v>1555</v>
      </c>
      <c r="D424" s="1" t="s">
        <v>1556</v>
      </c>
      <c r="E424" s="2" t="str">
        <f>IFERROR(__xludf.DUMMYFUNCTION("GOOGLETRANSLATE(C424, ""en"", ""TL"")"),"Sa Pilipinas, ang pagmamana ng ari-arian ay maaaring makaapekto sa iyong pagiging karapat-dapat para sa mga benepisyo ng gobyerno na nasubok sa paraan. Narito ang isang breakdown ng sitwasyon at mga potensyal na diskarte:
**Epekto sa Mga Benepisyo:**
* **"&amp;"Pagsusuri na Nakabatay sa Asset:** Maraming benepisyo ng gobyerno sa Pilipinas ang gumagamit ng pagsubok na nakabatay sa asset. Nangangahulugan ito na ang **halaga ng iyong mga asset,** kabilang ang minanang ari-arian, ay maaaring makaapekto sa iyong pagi"&amp;"ging kwalipikado o halaga ng benepisyo.
* **Uri ng Ari-arian:** Maaaring mag-iba ang epekto depende sa uri ng ari-arian. Ang pagmamay-ari ng pangunahing tirahan ay kadalasang may mas kaunting epekto kaysa sa pagmamana ng lupa, mga pag-aari ng pamumuhunan,"&amp;" o malalaking halaga ng pera.
**Mga Diskarte para sa Pagprotekta sa Mga Benepisyo:**
* **Pag-unawa sa Mga Panuntunan sa Benepisyo:** Magsaliksik sa mga partikular na tuntunin ng programa ng pamahalaan kung saan ka natatanggap ng mga benepisyo. Makipag-ugn"&amp;"ayan sa administrator ng programa upang maunawaan kung paano maaaring makaapekto sa iyong pagiging kwalipikado ang minanang ari-arian.
* **Pag-antala sa Pagbebenta ng Ari-arian (kung naaangkop):** Kung isinasaalang-alang mong ibenta ang minanang ari-arian"&amp;", ang pagkaantala sa pagbebenta ay maaaring makatulong na mapanatili ang iyong pagiging kwalipikado sa benepisyo sa mas mahabang panahon.
* **Hiwalay na Pagmamay-ari:** Kung nagmamana kasama ng maraming tagapagmana, isaalang-alang ang paghiwalayin ang pag"&amp;"mamay-ari sa pamamagitan ng isang pormal na kasunduan sa partition. Makakatulong ito na mabawasan ang epekto sa mga indibidwal na halaga ng asset para sa mga layunin ng pagsubok.
* **Mga Kaayusan sa Pamumuhay:** Kung nagmamana ng bahay, isaalang-alang ang"&amp;" **patuloy na manirahan doon bilang iyong pangunahing tirahan**. Ang mga pangunahing tirahan ay madalas na hindi kasama o may mas mababang epekto sa mga pagkalkula ng asset.
* **Humingi ng Payo sa Legal at Pinansyal:** Ang pagkonsulta sa isang abogado na "&amp;"dalubhasa sa pagpaplano ng ari-arian at isang tagapayo sa pananalapi na pamilyar sa mga benepisyo ng gobyerno ay maaaring maging lubhang kapaki-pakinabang. Maaari silang magpayo sa mga pinakaangkop na estratehiya para sa iyong sitwasyon upang mabawasan an"&amp;"g epekto sa iyong mga benepisyo habang tinitiyak na sumusunod ka sa lahat ng legal na kinakailangan.
**Mga Karagdagang Pagsasaalang-alang:**
* **Disqualification ng Benepisyo kumpara sa Pinababang Halaga:** Ang pagmamana ng ari-arian ay maaaring hindi ka "&amp;"ganap na madiskwalipika, ngunit maaari nitong bawasan ang halaga ng mga benepisyong natatanggap mo.
* **Transparency at Pag-uulat:** Kung nakatanggap ka ng mga benepisyong nasubok sa paraan, mahalagang iulat ang anumang pagbabago sa iyong mga asset, kabil"&amp;"ang ang minanang ari-arian, sa administrator ng programa upang maiwasan ang mga multa o sobrang bayad.
**Tandaan:** Maaaring magbago ang mga programa sa benepisyo ng gobyerno at ang kanilang mga pamantayan sa pagiging kwalipikado sa paglipas ng panahon. A"&amp;"ng pananatiling may kaalaman at pagkonsulta sa mga propesyonal na tagapayo ay makakatulong sa iyo na i-navigate ang mga pagbabagong ito at protektahan ang iyong pagiging kwalipikado habang nakikinabang mula sa iyong mana.")</f>
        <v>Sa Pilipinas, ang pagmamana ng ari-arian ay maaaring makaapekto sa iyong pagiging karapat-dapat para sa mga benepisyo ng gobyerno na nasubok sa paraan. Narito ang isang breakdown ng sitwasyon at mga potensyal na diskarte:
**Epekto sa Mga Benepisyo:**
* **Pagsusuri na Nakabatay sa Asset:** Maraming benepisyo ng gobyerno sa Pilipinas ang gumagamit ng pagsubok na nakabatay sa asset. Nangangahulugan ito na ang **halaga ng iyong mga asset,** kabilang ang minanang ari-arian, ay maaaring makaapekto sa iyong pagiging kwalipikado o halaga ng benepisyo.
* **Uri ng Ari-arian:** Maaaring mag-iba ang epekto depende sa uri ng ari-arian. Ang pagmamay-ari ng pangunahing tirahan ay kadalasang may mas kaunting epekto kaysa sa pagmamana ng lupa, mga pag-aari ng pamumuhunan, o malalaking halaga ng pera.
**Mga Diskarte para sa Pagprotekta sa Mga Benepisyo:**
* **Pag-unawa sa Mga Panuntunan sa Benepisyo:** Magsaliksik sa mga partikular na tuntunin ng programa ng pamahalaan kung saan ka natatanggap ng mga benepisyo. Makipag-ugnayan sa administrator ng programa upang maunawaan kung paano maaaring makaapekto sa iyong pagiging kwalipikado ang minanang ari-arian.
* **Pag-antala sa Pagbebenta ng Ari-arian (kung naaangkop):** Kung isinasaalang-alang mong ibenta ang minanang ari-arian, ang pagkaantala sa pagbebenta ay maaaring makatulong na mapanatili ang iyong pagiging kwalipikado sa benepisyo sa mas mahabang panahon.
* **Hiwalay na Pagmamay-ari:** Kung nagmamana kasama ng maraming tagapagmana, isaalang-alang ang paghiwalayin ang pagmamay-ari sa pamamagitan ng isang pormal na kasunduan sa partition. Makakatulong ito na mabawasan ang epekto sa mga indibidwal na halaga ng asset para sa mga layunin ng pagsubok.
* **Mga Kaayusan sa Pamumuhay:** Kung nagmamana ng bahay, isaalang-alang ang **patuloy na manirahan doon bilang iyong pangunahing tirahan**. Ang mga pangunahing tirahan ay madalas na hindi kasama o may mas mababang epekto sa mga pagkalkula ng asset.
* **Humingi ng Payo sa Legal at Pinansyal:** Ang pagkonsulta sa isang abogado na dalubhasa sa pagpaplano ng ari-arian at isang tagapayo sa pananalapi na pamilyar sa mga benepisyo ng gobyerno ay maaaring maging lubhang kapaki-pakinabang. Maaari silang magpayo sa mga pinakaangkop na estratehiya para sa iyong sitwasyon upang mabawasan ang epekto sa iyong mga benepisyo habang tinitiyak na sumusunod ka sa lahat ng legal na kinakailangan.
**Mga Karagdagang Pagsasaalang-alang:**
* **Disqualification ng Benepisyo kumpara sa Pinababang Halaga:** Ang pagmamana ng ari-arian ay maaaring hindi ka ganap na madiskwalipika, ngunit maaari nitong bawasan ang halaga ng mga benepisyong natatanggap mo.
* **Transparency at Pag-uulat:** Kung nakatanggap ka ng mga benepisyong nasubok sa paraan, mahalagang iulat ang anumang pagbabago sa iyong mga asset, kabilang ang minanang ari-arian, sa administrator ng programa upang maiwasan ang mga multa o sobrang bayad.
**Tandaan:** Maaaring magbago ang mga programa sa benepisyo ng gobyerno at ang kanilang mga pamantayan sa pagiging kwalipikado sa paglipas ng panahon. Ang pananatiling may kaalaman at pagkonsulta sa mga propesyonal na tagapayo ay makakatulong sa iyo na i-navigate ang mga pagbabagong ito at protektahan ang iyong pagiging kwalipikado habang nakikinabang mula sa iyong mana.</v>
      </c>
      <c r="F424" s="2">
        <f t="shared" si="1"/>
        <v>0</v>
      </c>
      <c r="G424" s="2"/>
      <c r="H424" s="2"/>
      <c r="I424" s="2"/>
      <c r="J424" s="2"/>
      <c r="K424" s="2"/>
      <c r="L424" s="2"/>
      <c r="M424" s="2"/>
      <c r="N424" s="2"/>
      <c r="O424" s="2"/>
      <c r="P424" s="2"/>
      <c r="Q424" s="2"/>
      <c r="R424" s="2"/>
      <c r="S424" s="2"/>
      <c r="T424" s="2"/>
      <c r="U424" s="2"/>
      <c r="V424" s="2"/>
      <c r="W424" s="2"/>
      <c r="X424" s="2"/>
      <c r="Y424" s="2"/>
      <c r="Z424" s="2"/>
      <c r="AA424" s="2"/>
    </row>
    <row r="425">
      <c r="A425" s="1" t="s">
        <v>1224</v>
      </c>
      <c r="B425" s="1" t="s">
        <v>1557</v>
      </c>
      <c r="C425" s="1" t="s">
        <v>1558</v>
      </c>
      <c r="D425" s="1" t="s">
        <v>1559</v>
      </c>
      <c r="E425" s="2" t="str">
        <f>IFERROR(__xludf.DUMMYFUNCTION("GOOGLETRANSLATE(C425, ""en"", ""TL"")"),"Ang pagmamana ng ari-arian sa Pilipinas ay naglalahad ng mga pagkakataon upang makabuo ng kita. Narito ang isang breakdown ng mga legal na pagsasaalang-alang para sa mga tagapagmana na gustong i-convert ang minanang ari-arian sa mga asset na kumikita tula"&amp;"d ng mga rental o komersyal na pakikipagsapalaran:
**Pag-unawa sa Ari-arian:**
* **Mga Paghihigpit sa Pag-zoning at Paggamit:** Suriin ang mga regulasyon sa pag-zoning at anumang mga tipan na nakalakip sa gawa ng ari-arian. Maaaring paghigpitan ng mga ito"&amp;" ang uri ng aktibidad ng negosyo na pinapayagan sa property.
* **Kaangkupan para sa Pagbuo ng Kita:** Suriin kung ang property ay nangangailangan ng mga pagsasaayos o pagbabago upang gumana nang epektibo bilang isang rental unit o commercial space. Salik "&amp;"sa mga nauugnay na gastos.
**Mga Legal na Pagsasaalang-alang para sa Iba't ibang Paggamit:**
* **Mga Renta sa Paninirahan:** * **Mga Batas sa Pangungupahan:** Ang Pilipinas ay may mga partikular na batas sa pangungupahan na namamahala sa relasyon ng may-a"&amp;"ri at nangungupahan. Ang pag-unawa sa iyong mga obligasyon bilang may-ari ng lupa patungkol sa pag-aayos, pagpapanatili, at mga karapatan ng nangungupahan ay napakahalaga.
* **Mga Implikasyon sa Buwis:** Ang kita sa upa ay nabubuwisan. Kumunsulta sa isang"&amp;" tagapayo sa buwis sa mga kinakailangan sa pag-iingat ng rekord at mga obligasyon sa paghahain ng buwis.
* **Mga Komersyal na Pakikipagsapalaran:**
* **Mga Pahintulot at Lisensya sa Negosyo:** Ang pagkuha ng mga kinakailangang permit at lisensya mula sa m"&amp;"ga awtoridad ng lokal na pamahalaan ay mahalaga para sa pagpapatakbo ng isang komersyal na pakikipagsapalaran.
* **Pagpaparehistro ng Negosyo:** Depende sa istruktura ng negosyo (sole proprietorship, partnership, corporation), maaaring kailanganin ang pag"&amp;"paparehistro sa mga naaangkop na ahensya ng gobyerno.
* **Pinagsanib na Pamana:** Kung nagmamana kasama ng maraming tagapagmana, isaalang-alang ang pagtatatag ng isang kasunduan sa kapwa pagmamay-ari na nagbabalangkas ng mga responsibilidad, pagbabahagi n"&amp;"g tubo, at mga proseso ng paggawa ng desisyon na may kaugnayan sa pamamahala sa property na kumikita.
**Mga Karagdagang Pagsasaalang-alang:**
* **Mga Pagsasaalang-alang sa Pagpaplano ng Estate:** Kung may kalooban, tiyaking ang pag-convert ng ari-arian pa"&amp;"ra sa pagbuo ng kita ay naaayon sa kagustuhan ng namatay.
* **Patnubay sa Legal at Pinansyal:** Ang pagkonsulta sa isang abogado na dalubhasa sa batas sa real estate at negosyo, kasama ang isang tagapayo sa pananalapi, ay maaaring magbigay ng angkop na pa"&amp;"yo sa legal na pagsunod, pag-optimize ng pagbuo ng kita, at pamamahala ng mga potensyal na panganib.
**Mga Diskarte para sa Tagumpay:**
* **Bumuo ng Business Plan:** Para sa mga komersyal na pakikipagsapalaran, lumikha ng isang komprehensibong plano sa ne"&amp;"gosyo na nagtatasa sa posibilidad na mabuhay sa merkado, mga pinansiyal na projection, at mga diskarte sa pagpapatakbo.
* **Pamamahala ng Ari-arian:** Isaalang-alang ang pag-hire ng isang kumpanya ng pamamahala ng ari-arian upang pangasiwaan ang mga relas"&amp;"yon sa nangungupahan, koleksyon ng upa, at pagpapanatili para sa mga rental.
* **Saklaw ng Seguro:** I-secure ang naaangkop na mga proteksyon sa insurance para sa ari-arian laban sa mga potensyal na panganib tulad ng sunog, pagnanakaw, o pinsala ng nangun"&amp;"gupahan.
Sa pamamagitan ng pag-unawa sa legal na balangkas, paghingi ng propesyonal na patnubay, at pagpapatupad ng estratehikong pagpaplano, epektibong mako-convert ng mga tagapagmana ang minanang ari-arian sa mga asset na kumikita habang tinitiyak ang p"&amp;"agsunod sa mga nauugnay na regulasyon at pag-maximize ng mga benepisyong pinansyal.")</f>
        <v>Ang pagmamana ng ari-arian sa Pilipinas ay naglalahad ng mga pagkakataon upang makabuo ng kita. Narito ang isang breakdown ng mga legal na pagsasaalang-alang para sa mga tagapagmana na gustong i-convert ang minanang ari-arian sa mga asset na kumikita tulad ng mga rental o komersyal na pakikipagsapalaran:
**Pag-unawa sa Ari-arian:**
* **Mga Paghihigpit sa Pag-zoning at Paggamit:** Suriin ang mga regulasyon sa pag-zoning at anumang mga tipan na nakalakip sa gawa ng ari-arian. Maaaring paghigpitan ng mga ito ang uri ng aktibidad ng negosyo na pinapayagan sa property.
* **Kaangkupan para sa Pagbuo ng Kita:** Suriin kung ang property ay nangangailangan ng mga pagsasaayos o pagbabago upang gumana nang epektibo bilang isang rental unit o commercial space. Salik sa mga nauugnay na gastos.
**Mga Legal na Pagsasaalang-alang para sa Iba't ibang Paggamit:**
* **Mga Renta sa Paninirahan:** * **Mga Batas sa Pangungupahan:** Ang Pilipinas ay may mga partikular na batas sa pangungupahan na namamahala sa relasyon ng may-ari at nangungupahan. Ang pag-unawa sa iyong mga obligasyon bilang may-ari ng lupa patungkol sa pag-aayos, pagpapanatili, at mga karapatan ng nangungupahan ay napakahalaga.
* **Mga Implikasyon sa Buwis:** Ang kita sa upa ay nabubuwisan. Kumunsulta sa isang tagapayo sa buwis sa mga kinakailangan sa pag-iingat ng rekord at mga obligasyon sa paghahain ng buwis.
* **Mga Komersyal na Pakikipagsapalaran:**
* **Mga Pahintulot at Lisensya sa Negosyo:** Ang pagkuha ng mga kinakailangang permit at lisensya mula sa mga awtoridad ng lokal na pamahalaan ay mahalaga para sa pagpapatakbo ng isang komersyal na pakikipagsapalaran.
* **Pagpaparehistro ng Negosyo:** Depende sa istruktura ng negosyo (sole proprietorship, partnership, corporation), maaaring kailanganin ang pagpaparehistro sa mga naaangkop na ahensya ng gobyerno.
* **Pinagsanib na Pamana:** Kung nagmamana kasama ng maraming tagapagmana, isaalang-alang ang pagtatatag ng isang kasunduan sa kapwa pagmamay-ari na nagbabalangkas ng mga responsibilidad, pagbabahagi ng tubo, at mga proseso ng paggawa ng desisyon na may kaugnayan sa pamamahala sa property na kumikita.
**Mga Karagdagang Pagsasaalang-alang:**
* **Mga Pagsasaalang-alang sa Pagpaplano ng Estate:** Kung may kalooban, tiyaking ang pag-convert ng ari-arian para sa pagbuo ng kita ay naaayon sa kagustuhan ng namatay.
* **Patnubay sa Legal at Pinansyal:** Ang pagkonsulta sa isang abogado na dalubhasa sa batas sa real estate at negosyo, kasama ang isang tagapayo sa pananalapi, ay maaaring magbigay ng angkop na payo sa legal na pagsunod, pag-optimize ng pagbuo ng kita, at pamamahala ng mga potensyal na panganib.
**Mga Diskarte para sa Tagumpay:**
* **Bumuo ng Business Plan:** Para sa mga komersyal na pakikipagsapalaran, lumikha ng isang komprehensibong plano sa negosyo na nagtatasa sa posibilidad na mabuhay sa merkado, mga pinansiyal na projection, at mga diskarte sa pagpapatakbo.
* **Pamamahala ng Ari-arian:** Isaalang-alang ang pag-hire ng isang kumpanya ng pamamahala ng ari-arian upang pangasiwaan ang mga relasyon sa nangungupahan, koleksyon ng upa, at pagpapanatili para sa mga rental.
* **Saklaw ng Seguro:** I-secure ang naaangkop na mga proteksyon sa insurance para sa ari-arian laban sa mga potensyal na panganib tulad ng sunog, pagnanakaw, o pinsala ng nangungupahan.
Sa pamamagitan ng pag-unawa sa legal na balangkas, paghingi ng propesyonal na patnubay, at pagpapatupad ng estratehikong pagpaplano, epektibong mako-convert ng mga tagapagmana ang minanang ari-arian sa mga asset na kumikita habang tinitiyak ang pagsunod sa mga nauugnay na regulasyon at pag-maximize ng mga benepisyong pinansyal.</v>
      </c>
      <c r="F425" s="2">
        <f t="shared" si="1"/>
        <v>0</v>
      </c>
      <c r="G425" s="2"/>
      <c r="H425" s="2"/>
      <c r="I425" s="2"/>
      <c r="J425" s="2"/>
      <c r="K425" s="2"/>
      <c r="L425" s="2"/>
      <c r="M425" s="2"/>
      <c r="N425" s="2"/>
      <c r="O425" s="2"/>
      <c r="P425" s="2"/>
      <c r="Q425" s="2"/>
      <c r="R425" s="2"/>
      <c r="S425" s="2"/>
      <c r="T425" s="2"/>
      <c r="U425" s="2"/>
      <c r="V425" s="2"/>
      <c r="W425" s="2"/>
      <c r="X425" s="2"/>
      <c r="Y425" s="2"/>
      <c r="Z425" s="2"/>
      <c r="AA425" s="2"/>
    </row>
    <row r="426">
      <c r="A426" s="1" t="s">
        <v>1224</v>
      </c>
      <c r="B426" s="1" t="s">
        <v>1560</v>
      </c>
      <c r="C426" s="1" t="s">
        <v>1561</v>
      </c>
      <c r="D426" s="1" t="s">
        <v>1562</v>
      </c>
      <c r="E426" s="2" t="str">
        <f>IFERROR(__xludf.DUMMYFUNCTION("GOOGLETRANSLATE(C426, ""en"", ""TL"")"),"Ang pagmamana ng ari-arian na may kumplikadong mga regulasyon sa pag-zoning o mga paghihigpit sa pagpaplano sa paggamit ng lupa sa Pilipinas ay nagdaragdag ng isang layer ng pagiging kumplikado. Narito ang ilang legal na pananggalang na maaaring ipatupad "&amp;"ng mga tagapagmana upang protektahan ang kanilang mga interes:
**Pre-Inheritance Planning (kung naaangkop):**
* **Komunikasyon kay Grantor (kung maaari):** Kung ang may-ari ng ari-arian ay buhay pa, talakayin ang kanilang pananaw para sa paggamit ng ari-a"&amp;"rian sa hinaharap. Makakatulong ito sa mga tagapagmana na maunawaan ang mga potensyal na limitasyon at mga opsyon sa pagpapaunlad.
* **Pagsusuri ng Mga Dokumento sa Pagpaplano ng Estate:** Maingat na suriin ang mga batas sa testamento o intestacy upang ma"&amp;"tukoy ang mga detalye ng mana at anumang partikular na tagubilin tungkol sa paggamit ng ari-arian.
**Mga Post-Inheritance Safeguards:**
* **Propesyonal na Pagsusuri:** Makipag-ugnayan sa isang kwalipikadong abogado sa paggamit ng lupa at isang surveyor ng"&amp;" lupa na pamilyar sa lugar. Maaari silang magsagawa ng masusing pagtatasa ng ari-arian, kabilang ang:
* **Mga Regulasyon sa Pagsona:** Isang detalyadong pagsusuri ng kasalukuyang mga paghihigpit sa zoning at mga potensyal na pagbabago sa hinaharap sa plan"&amp;"o sa paggamit ng lupa.
* **Kakayahang Pag-unlad:** Pagsusuri sa pagiging angkop ng ari-arian para sa iba't ibang opsyon sa pag-unlad sa loob ng mga limitasyon sa pag-zoning.
* **Mga Kinakailangan sa Pagpapahintulot:** Pag-unawa sa mga permit at pag-apruba"&amp;" na kailangan para sa pagtatayo o mga pagbabago
* **I-clear ang Mga Kasunduan (kung maramihang tagapagmana):** Kung nagmamana kasama ng mga kapatid o ibang partido, magtatag ng isang pormal na kasunduan sa kapwa pagmamay-ari. Ang kasunduang ito ay dapat m"&amp;"agbalangkas ng:
* **Proseso ng Paggawa ng Desisyon:** Paano gagawin ang mga desisyon tungkol sa paggamit at pagpapaunlad ng ari-arian.
* **Mga Pananagutang Pananalapi:** Paglalaan ng mga gastos na nauugnay sa paghawak ng ari-arian, kabilang ang mga potens"&amp;"yal na legal na bayarin at mga gastos sa pagpapaunlad.
* **Dispute Resolution Mechanism:** Isang malinaw na proseso para sa paglutas ng mga hindi pagkakasundo sa pagitan ng mga tagapagmana.
* **Proactive Legal na Representasyon:** Ang isang bihasang aboga"&amp;"do ng real estate ay maaaring magbigay ng patuloy na gabay sa:
* **Pagsunod sa Mga Regulasyon:** Pagtitiyak ng pagsunod sa kasalukuyan at umuusbong na mga paghihigpit sa zoning.
* **Mga Opsyon sa Pag-unlad:** Paggalugad ng mga pagkakataon para sa pag-unla"&amp;"d sa loob ng mga pinapahintulutang paggamit, na posibleng mapakinabangan ang halaga ng ari-arian.
* **Negosasyon:** Kung naghahanap ng mga pagkakaiba-iba o pagbabago sa mga regulasyon ng zoning, maaaring kumatawan ang abogado ng mga tagapagmana sa mga neg"&amp;"osasyon sa mga ahensya ng gobyerno.
* **Estate Planning para sa mga Hinaharap na Henerasyon:** Kung plano mong ipasa ang ari-arian sa mga susunod na henerasyon, isaalang-alang ang pagsasama ng mga paghihigpit o alituntunin sa iyong kalooban hinggil sa pag"&amp;"sunod sa mga regulasyon sa zoning at mga potensyal na limitasyon sa pag-unlad.
Sa pamamagitan ng pagpapatupad ng mga pananggalang na ito, mapoprotektahan ng mga tagapagmana ang kanilang mga interes hinggil sa minanang ari-arian na may kumplikadong mga reg"&amp;"ulasyon sa pag-zoning. Ang mga propesyonal na pagtatasa, malinaw na kasunduan, at patuloy na legal na patnubay ay makakatulong sa mga tagapagmana na mag-navigate sa legal na balangkas, i-maximize ang mga opsyon sa pag-develop sa loob ng mga pinapahintulut"&amp;"ang paggamit, at tiyakin ang pagsunod sa mga regulasyon, na pinapaliit ang panganib ng mga komplikasyon sa hinaharap.")</f>
        <v>Ang pagmamana ng ari-arian na may kumplikadong mga regulasyon sa pag-zoning o mga paghihigpit sa pagpaplano sa paggamit ng lupa sa Pilipinas ay nagdaragdag ng isang layer ng pagiging kumplikado. Narito ang ilang legal na pananggalang na maaaring ipatupad ng mga tagapagmana upang protektahan ang kanilang mga interes:
**Pre-Inheritance Planning (kung naaangkop):**
* **Komunikasyon kay Grantor (kung maaari):** Kung ang may-ari ng ari-arian ay buhay pa, talakayin ang kanilang pananaw para sa paggamit ng ari-arian sa hinaharap. Makakatulong ito sa mga tagapagmana na maunawaan ang mga potensyal na limitasyon at mga opsyon sa pagpapaunlad.
* **Pagsusuri ng Mga Dokumento sa Pagpaplano ng Estate:** Maingat na suriin ang mga batas sa testamento o intestacy upang matukoy ang mga detalye ng mana at anumang partikular na tagubilin tungkol sa paggamit ng ari-arian.
**Mga Post-Inheritance Safeguards:**
* **Propesyonal na Pagsusuri:** Makipag-ugnayan sa isang kwalipikadong abogado sa paggamit ng lupa at isang surveyor ng lupa na pamilyar sa lugar. Maaari silang magsagawa ng masusing pagtatasa ng ari-arian, kabilang ang:
* **Mga Regulasyon sa Pagsona:** Isang detalyadong pagsusuri ng kasalukuyang mga paghihigpit sa zoning at mga potensyal na pagbabago sa hinaharap sa plano sa paggamit ng lupa.
* **Kakayahang Pag-unlad:** Pagsusuri sa pagiging angkop ng ari-arian para sa iba't ibang opsyon sa pag-unlad sa loob ng mga limitasyon sa pag-zoning.
* **Mga Kinakailangan sa Pagpapahintulot:** Pag-unawa sa mga permit at pag-apruba na kailangan para sa pagtatayo o mga pagbabago
* **I-clear ang Mga Kasunduan (kung maramihang tagapagmana):** Kung nagmamana kasama ng mga kapatid o ibang partido, magtatag ng isang pormal na kasunduan sa kapwa pagmamay-ari. Ang kasunduang ito ay dapat magbalangkas ng:
* **Proseso ng Paggawa ng Desisyon:** Paano gagawin ang mga desisyon tungkol sa paggamit at pagpapaunlad ng ari-arian.
* **Mga Pananagutang Pananalapi:** Paglalaan ng mga gastos na nauugnay sa paghawak ng ari-arian, kabilang ang mga potensyal na legal na bayarin at mga gastos sa pagpapaunlad.
* **Dispute Resolution Mechanism:** Isang malinaw na proseso para sa paglutas ng mga hindi pagkakasundo sa pagitan ng mga tagapagmana.
* **Proactive Legal na Representasyon:** Ang isang bihasang abogado ng real estate ay maaaring magbigay ng patuloy na gabay sa:
* **Pagsunod sa Mga Regulasyon:** Pagtitiyak ng pagsunod sa kasalukuyan at umuusbong na mga paghihigpit sa zoning.
* **Mga Opsyon sa Pag-unlad:** Paggalugad ng mga pagkakataon para sa pag-unlad sa loob ng mga pinapahintulutang paggamit, na posibleng mapakinabangan ang halaga ng ari-arian.
* **Negosasyon:** Kung naghahanap ng mga pagkakaiba-iba o pagbabago sa mga regulasyon ng zoning, maaaring kumatawan ang abogado ng mga tagapagmana sa mga negosasyon sa mga ahensya ng gobyerno.
* **Estate Planning para sa mga Hinaharap na Henerasyon:** Kung plano mong ipasa ang ari-arian sa mga susunod na henerasyon, isaalang-alang ang pagsasama ng mga paghihigpit o alituntunin sa iyong kalooban hinggil sa pagsunod sa mga regulasyon sa zoning at mga potensyal na limitasyon sa pag-unlad.
Sa pamamagitan ng pagpapatupad ng mga pananggalang na ito, mapoprotektahan ng mga tagapagmana ang kanilang mga interes hinggil sa minanang ari-arian na may kumplikadong mga regulasyon sa pag-zoning. Ang mga propesyonal na pagtatasa, malinaw na kasunduan, at patuloy na legal na patnubay ay makakatulong sa mga tagapagmana na mag-navigate sa legal na balangkas, i-maximize ang mga opsyon sa pag-develop sa loob ng mga pinapahintulutang paggamit, at tiyakin ang pagsunod sa mga regulasyon, na pinapaliit ang panganib ng mga komplikasyon sa hinaharap.</v>
      </c>
      <c r="F426" s="2">
        <f t="shared" si="1"/>
        <v>0</v>
      </c>
      <c r="G426" s="2"/>
      <c r="H426" s="2"/>
      <c r="I426" s="2"/>
      <c r="J426" s="2"/>
      <c r="K426" s="2"/>
      <c r="L426" s="2"/>
      <c r="M426" s="2"/>
      <c r="N426" s="2"/>
      <c r="O426" s="2"/>
      <c r="P426" s="2"/>
      <c r="Q426" s="2"/>
      <c r="R426" s="2"/>
      <c r="S426" s="2"/>
      <c r="T426" s="2"/>
      <c r="U426" s="2"/>
      <c r="V426" s="2"/>
      <c r="W426" s="2"/>
      <c r="X426" s="2"/>
      <c r="Y426" s="2"/>
      <c r="Z426" s="2"/>
      <c r="AA426" s="2"/>
    </row>
    <row r="427">
      <c r="A427" s="1" t="s">
        <v>1224</v>
      </c>
      <c r="B427" s="1" t="s">
        <v>1563</v>
      </c>
      <c r="C427" s="1" t="s">
        <v>1564</v>
      </c>
      <c r="D427" s="1" t="s">
        <v>1565</v>
      </c>
      <c r="E427" s="2" t="str">
        <f>IFERROR(__xludf.DUMMYFUNCTION("GOOGLETRANSLATE(C427, ""en"", ""TL"")"),"Ang pagmamana ng ari-arian sa mga kasalukuyang nangungupahan sa Pilipinas ay may kasamang partikular na legal na obligasyon para sa mga tagapagmana patungo sa mga nangungupahan. Narito ang isang breakdown kung paano nakakaapekto ang mana sa mga karapatan "&amp;"ng nangungupahan at sa mga legalidad na kasangkot:
**Mga Karapatan at Proteksyon ng Nangungupahan:**
* **Pagpapatuloy ng Pangungupahan:** Ang batas ng Pilipinas, partikular ang Seksyon 9 ng Republic Act No. 3844 (Agricultural Land Reform Code), ay nagpopr"&amp;"otekta sa mga nangungupahan. Sa mana, ang relasyon sa pangungupahan **magpapatuloy sa pagitan ng mga kasalukuyang nangungupahan at ng mga tagapagmana**, kung ipagpalagay na ang lupa ay hindi para sa agrikultural na paggamit (saklaw sa ilalim ng ibang bata"&amp;"s).
* **Pagpipili ng Kapalit na Nangungupahan (kung naaangkop):** Kung ang kasalukuyang nangungupahan ay pumanaw, ang kanilang mga karapatan ay maaaring ilipat sa isang kwalipikadong miyembro ng pamilya sa ilalim ng ilang mga kundisyon, gaya ng nakabalang"&amp;"kas sa batas.
* **Karapatang Manatili:** Hindi maaaring paalisin ng mga tagapagmana ang mga nangungupahan dahil lamang sa mana. Ang kasunduan sa pangungupahan ay nananatiling may bisa sa mga bagong panginoong maylupa (mga tagapagmana).
**Mga Obligasyon ng"&amp;" mga Tagapagmana bilang Mga Nagpapaupa:**
* **Paggalang sa mga Umiiral na Kasunduan:** Dapat igalang ng mga tagapagmana ang mga tuntunin at kundisyon na nakabalangkas sa umiiral na kasunduan sa pangungupahan sa pagitan ng dating may-ari at ng mga nangungu"&amp;"pahan. Kabilang dito ang halaga ng upa, tagal ng pag-upa, at mga responsibilidad sa pagkumpuni.
* **Tamang Paunawa para sa Mga Pagbabago:** Kung ang mga tagapagmana ay nagnanais na baguhin ang kasunduan sa pangungupahan (hal., dagdagan ang upa), dapat sil"&amp;"ang magbigay ng nakasulat na paunawa sa loob ng makatwirang takdang panahon gaya ng itinatadhana ng batas.
* **Pagpapanatili at Pagkukumpuni:** Ang mga tagapagmana ay nagiging responsable sa pagpapanatili ng ari-arian at paggawa ng mga kinakailangang pagk"&amp;"ukumpuni gaya ng nakabalangkas sa kasunduan sa pangungupahan o ayon sa ipinag-uutos ng batas (hal., pagkukumpuni sa istruktura).
* **Komunikasyon at Transparency:** Dapat panatilihin ng mga tagapagmana ang bukas na komunikasyon sa mga nangungupahan tungko"&amp;"l sa anumang paparating na pagbabago o paglipat ng pagmamay-ari.
**Mga Karagdagang Pagsasaalang-alang:**
* **Inheritance and Lease Renewal:** Kung ang lease ay lumalapit sa petsa ng pagtatapos nito pagkatapos ng inheritance, ang mga tagapagmana ay maaarin"&amp;"g makipag-ayos ng mga bagong termino sa mga nangungupahan, ngunit hindi nila sila mapipilit na umalis nang walang wastong dahilan at sumusunod sa wastong legal na pamamaraan.
* **Pagpapaalis:** Posible lamang ang pagpapalayas sa ilalim ng mga partikular n"&amp;"a legal na batayan, tulad ng hindi pagbabayad ng upa, nagdudulot ng pinsala sa ari-arian, o paglabag sa kasunduan sa pangungupahan. Ang pagpapaalis ay nangangailangan ng pagsunod sa mga legal na pamamaraan sa pamamagitan ng korte.
* **Naghahanap ng Legal "&amp;"na Counsel:** Ang pagkonsulta sa isang abogado ng real estate na pamilyar sa mga batas ng landlord-tenant ay lubos na inirerekomenda. Maaari nilang payuhan ang mga tagapagmana sa kanilang mga obligasyon, i-navigate ang mga potensyal na hindi pagkakaunawaa"&amp;"n, at tiyakin ang pagsunod sa mga legal na kinakailangan.
Sa pamamagitan ng pag-unawa sa kanilang mga obligasyon at paggalang sa mga kasalukuyang karapatan ng nangungupahan, matitiyak ng mga tagapagmana ang isang maayos na paglipat at mapanatili ang isang"&amp;" positibong relasyon sa kanilang mga nangungupahan.")</f>
        <v>Ang pagmamana ng ari-arian sa mga kasalukuyang nangungupahan sa Pilipinas ay may kasamang partikular na legal na obligasyon para sa mga tagapagmana patungo sa mga nangungupahan. Narito ang isang breakdown kung paano nakakaapekto ang mana sa mga karapatan ng nangungupahan at sa mga legalidad na kasangkot:
**Mga Karapatan at Proteksyon ng Nangungupahan:**
* **Pagpapatuloy ng Pangungupahan:** Ang batas ng Pilipinas, partikular ang Seksyon 9 ng Republic Act No. 3844 (Agricultural Land Reform Code), ay nagpoprotekta sa mga nangungupahan. Sa mana, ang relasyon sa pangungupahan **magpapatuloy sa pagitan ng mga kasalukuyang nangungupahan at ng mga tagapagmana**, kung ipagpalagay na ang lupa ay hindi para sa agrikultural na paggamit (saklaw sa ilalim ng ibang batas).
* **Pagpipili ng Kapalit na Nangungupahan (kung naaangkop):** Kung ang kasalukuyang nangungupahan ay pumanaw, ang kanilang mga karapatan ay maaaring ilipat sa isang kwalipikadong miyembro ng pamilya sa ilalim ng ilang mga kundisyon, gaya ng nakabalangkas sa batas.
* **Karapatang Manatili:** Hindi maaaring paalisin ng mga tagapagmana ang mga nangungupahan dahil lamang sa mana. Ang kasunduan sa pangungupahan ay nananatiling may bisa sa mga bagong panginoong maylupa (mga tagapagmana).
**Mga Obligasyon ng mga Tagapagmana bilang Mga Nagpapaupa:**
* **Paggalang sa mga Umiiral na Kasunduan:** Dapat igalang ng mga tagapagmana ang mga tuntunin at kundisyon na nakabalangkas sa umiiral na kasunduan sa pangungupahan sa pagitan ng dating may-ari at ng mga nangungupahan. Kabilang dito ang halaga ng upa, tagal ng pag-upa, at mga responsibilidad sa pagkumpuni.
* **Tamang Paunawa para sa Mga Pagbabago:** Kung ang mga tagapagmana ay nagnanais na baguhin ang kasunduan sa pangungupahan (hal., dagdagan ang upa), dapat silang magbigay ng nakasulat na paunawa sa loob ng makatwirang takdang panahon gaya ng itinatadhana ng batas.
* **Pagpapanatili at Pagkukumpuni:** Ang mga tagapagmana ay nagiging responsable sa pagpapanatili ng ari-arian at paggawa ng mga kinakailangang pagkukumpuni gaya ng nakabalangkas sa kasunduan sa pangungupahan o ayon sa ipinag-uutos ng batas (hal., pagkukumpuni sa istruktura).
* **Komunikasyon at Transparency:** Dapat panatilihin ng mga tagapagmana ang bukas na komunikasyon sa mga nangungupahan tungkol sa anumang paparating na pagbabago o paglipat ng pagmamay-ari.
**Mga Karagdagang Pagsasaalang-alang:**
* **Inheritance and Lease Renewal:** Kung ang lease ay lumalapit sa petsa ng pagtatapos nito pagkatapos ng inheritance, ang mga tagapagmana ay maaaring makipag-ayos ng mga bagong termino sa mga nangungupahan, ngunit hindi nila sila mapipilit na umalis nang walang wastong dahilan at sumusunod sa wastong legal na pamamaraan.
* **Pagpapaalis:** Posible lamang ang pagpapalayas sa ilalim ng mga partikular na legal na batayan, tulad ng hindi pagbabayad ng upa, nagdudulot ng pinsala sa ari-arian, o paglabag sa kasunduan sa pangungupahan. Ang pagpapaalis ay nangangailangan ng pagsunod sa mga legal na pamamaraan sa pamamagitan ng korte.
* **Naghahanap ng Legal na Counsel:** Ang pagkonsulta sa isang abogado ng real estate na pamilyar sa mga batas ng landlord-tenant ay lubos na inirerekomenda. Maaari nilang payuhan ang mga tagapagmana sa kanilang mga obligasyon, i-navigate ang mga potensyal na hindi pagkakaunawaan, at tiyakin ang pagsunod sa mga legal na kinakailangan.
Sa pamamagitan ng pag-unawa sa kanilang mga obligasyon at paggalang sa mga kasalukuyang karapatan ng nangungupahan, matitiyak ng mga tagapagmana ang isang maayos na paglipat at mapanatili ang isang positibong relasyon sa kanilang mga nangungupahan.</v>
      </c>
      <c r="F427" s="2">
        <f t="shared" si="1"/>
        <v>0</v>
      </c>
      <c r="G427" s="2"/>
      <c r="H427" s="2"/>
      <c r="I427" s="2"/>
      <c r="J427" s="2"/>
      <c r="K427" s="2"/>
      <c r="L427" s="2"/>
      <c r="M427" s="2"/>
      <c r="N427" s="2"/>
      <c r="O427" s="2"/>
      <c r="P427" s="2"/>
      <c r="Q427" s="2"/>
      <c r="R427" s="2"/>
      <c r="S427" s="2"/>
      <c r="T427" s="2"/>
      <c r="U427" s="2"/>
      <c r="V427" s="2"/>
      <c r="W427" s="2"/>
      <c r="X427" s="2"/>
      <c r="Y427" s="2"/>
      <c r="Z427" s="2"/>
      <c r="AA427" s="2"/>
    </row>
    <row r="428">
      <c r="A428" s="1" t="s">
        <v>1224</v>
      </c>
      <c r="B428" s="1" t="s">
        <v>1566</v>
      </c>
      <c r="C428" s="1" t="s">
        <v>1567</v>
      </c>
      <c r="D428" s="1" t="s">
        <v>1568</v>
      </c>
      <c r="E428" s="2" t="str">
        <f>IFERROR(__xludf.DUMMYFUNCTION("GOOGLETRANSLATE(C428, ""en"", ""TL"")"),"Ang pagmamana ng ari-arian na may kasalukuyang mga proyekto sa pagtatayo sa Pilipinas ay nagpapakita ng mga natatanging legal at praktikal na hamon. Narito ang isang breakdown ng mga implikasyon at kung paano pinamamahalaan ang mga proyektong ito sa panah"&amp;"on ng proseso ng inheritance:
**Mga Legal na Pagsasaalang-alang:**
* **Pagsusuri sa Mga Kontrata sa Konstruksyon:** Dapat na masusing suriin ng mga tagapagmana ang lahat ng umiiral na kontrata sa pagtatayo sa pagitan ng namatay at mga kontratista, arkitek"&amp;"to, at mga supplier. * Ang mga kontratang ito ay magbabalangkas sa saklaw ng trabaho, iskedyul ng pagbabayad, at mga potensyal na sugnay sa pagwawakas sa kaso ng pagbabago ng pagmamay-ari.
* **Pagsusuri sa Katayuan ng Proyekto:** Makipag-ugnayan sa isang "&amp;"kwalipikadong inhinyero o kontratista upang magsagawa ng komprehensibong pagtatasa ng patuloy na pag-unlad ng proyekto, kalidad ng trabahong natapos, at potensyal na mga takdang panahon at gastos sa pagkumpleto.
* **Mga Implikasyon sa Pananalapi:** Unawai"&amp;"n ang pangako sa pananalapi na nauugnay sa proyekto sa pagtatayo. Mayroon bang natitirang mga pagbabayad sa mga kontratista o mga supplier? * Kailangang matukoy ng mga tagapagmana kung mayroon silang mga mapagkukunang pinansyal upang makumpleto ang proyek"&amp;"to o mag-explore ng mga alternatibong opsyon.
* **Mga Permit at Pag-apruba sa Pagbuo:** Tiyaking lahat ng kinakailangang permit at pag-apruba ay nasa lugar para sa patuloy na konstruksyon. * Anumang pagkaantala o paglabag ay maaaring humantong sa mga paru"&amp;"sa o nangangailangan ng muling pag-aplay para sa mga permit, na magdulot ng karagdagang pagkaantala.
**Pamamahala ng mga Patuloy na Proyekto:**
* **Paggawa ng Desisyon ng mga Tagapagmana:** Ang mga tagapagmana ay sama-samang kailangang magpasya kung:
* **"&amp;"Kumpletuhin ang Proyekto:** Kung magagawa sa pananalapi at naaayon sa kanilang mga intensyon para sa ari-arian, maaaring piliin ng mga tagapagmana na kumpletuhin ang pagtatayo ayon sa orihinal na mga plano.
* **Baguhin ang Proyekto:** Maaaring isaalang-al"&amp;"ang ng mga tagapagmana na i-scale pabalik o baguhin ang proyekto batay sa kanilang mga badyet at kagustuhan. Maaaring kailanganin ang muling pakikipagnegosasyon sa mga kontrata sa mga kontratista.
* **Wakasan ang Proyekto:** Kung ang pagkumpleto ng proyek"&amp;"to ay hindi mabubuhay o kanais-nais sa pananalapi, maaaring tuklasin ng mga tagapagmana ang mga legal na opsyon para sa pagwawakas ng kontrata sa pagtatayo at pag-secure ng bahagyang itinayong istraktura.
* **Komunikasyon sa mga Kontratista:** Ang mga tag"&amp;"apagmana o ang kanilang itinalagang kinatawan ay dapat makipag-usap nang malinaw sa mga kontratista at mga supplier tungkol sa mana, desisyon sa pagpapatuloy ng proyekto, at anumang potensyal na pagbabago.
* **Legal na Representasyon:** Ang pagkonsulta sa"&amp;" isang abogado na dalubhasa sa batas sa konstruksiyon ay maaaring maging mahalaga. Maaari silang magpayo sa mga legal na obligasyon, interpretasyon ng kontrata, negosasyon sa mga kontratista, at mga posibleng pamamaraan ng pagwawakas.
**Mga Karagdagang Pa"&amp;"gsasaalang-alang:**
* **Saklaw ng Seguro:** Suriin ang mga umiiral nang patakaran sa seguro na may kaugnayan sa proyekto sa pagtatayo. Tiyakin ang wastong saklaw para sa patuloy na trabaho at mga potensyal na pananagutan.
* **Mga Buwis at Pahintulot:** Ma"&amp;"ging maingat sa mga potensyal na implikasyon sa buwis na nauugnay sa mga gastos sa pagtatayo at pagkumpleto ng proyekto.
* **Mga Panukala sa Kaligtasan:** Tiyakin na ang ari-arian na bahagyang itinayo ay ligtas para maiwasan ang mga aksidente o pinsala.
S"&amp;"a pamamagitan ng pag-unawa sa legal na tanawin, maingat na pagtatasa sa katayuan ng proyekto, at paghahanap ng propesyonal na patnubay, ang mga tagapagmana ay makakagawa ng matalinong mga pagpapasya tungkol sa hinaharap ng kasalukuyang proyekto sa pagtata"&amp;"yo na nauugnay sa minanang ari-arian. Makakatulong ito sa kanila na mabawasan ang mga panganib, pamahalaan ang mga gastos, at matiyak ang maayos na pagpapatuloy o pagwawakas ng proyekto.")</f>
        <v>Ang pagmamana ng ari-arian na may kasalukuyang mga proyekto sa pagtatayo sa Pilipinas ay nagpapakita ng mga natatanging legal at praktikal na hamon. Narito ang isang breakdown ng mga implikasyon at kung paano pinamamahalaan ang mga proyektong ito sa panahon ng proseso ng inheritance:
**Mga Legal na Pagsasaalang-alang:**
* **Pagsusuri sa Mga Kontrata sa Konstruksyon:** Dapat na masusing suriin ng mga tagapagmana ang lahat ng umiiral na kontrata sa pagtatayo sa pagitan ng namatay at mga kontratista, arkitekto, at mga supplier. * Ang mga kontratang ito ay magbabalangkas sa saklaw ng trabaho, iskedyul ng pagbabayad, at mga potensyal na sugnay sa pagwawakas sa kaso ng pagbabago ng pagmamay-ari.
* **Pagsusuri sa Katayuan ng Proyekto:** Makipag-ugnayan sa isang kwalipikadong inhinyero o kontratista upang magsagawa ng komprehensibong pagtatasa ng patuloy na pag-unlad ng proyekto, kalidad ng trabahong natapos, at potensyal na mga takdang panahon at gastos sa pagkumpleto.
* **Mga Implikasyon sa Pananalapi:** Unawain ang pangako sa pananalapi na nauugnay sa proyekto sa pagtatayo. Mayroon bang natitirang mga pagbabayad sa mga kontratista o mga supplier? * Kailangang matukoy ng mga tagapagmana kung mayroon silang mga mapagkukunang pinansyal upang makumpleto ang proyekto o mag-explore ng mga alternatibong opsyon.
* **Mga Permit at Pag-apruba sa Pagbuo:** Tiyaking lahat ng kinakailangang permit at pag-apruba ay nasa lugar para sa patuloy na konstruksyon. * Anumang pagkaantala o paglabag ay maaaring humantong sa mga parusa o nangangailangan ng muling pag-aplay para sa mga permit, na magdulot ng karagdagang pagkaantala.
**Pamamahala ng mga Patuloy na Proyekto:**
* **Paggawa ng Desisyon ng mga Tagapagmana:** Ang mga tagapagmana ay sama-samang kailangang magpasya kung:
* **Kumpletuhin ang Proyekto:** Kung magagawa sa pananalapi at naaayon sa kanilang mga intensyon para sa ari-arian, maaaring piliin ng mga tagapagmana na kumpletuhin ang pagtatayo ayon sa orihinal na mga plano.
* **Baguhin ang Proyekto:** Maaaring isaalang-alang ng mga tagapagmana na i-scale pabalik o baguhin ang proyekto batay sa kanilang mga badyet at kagustuhan. Maaaring kailanganin ang muling pakikipagnegosasyon sa mga kontrata sa mga kontratista.
* **Wakasan ang Proyekto:** Kung ang pagkumpleto ng proyekto ay hindi mabubuhay o kanais-nais sa pananalapi, maaaring tuklasin ng mga tagapagmana ang mga legal na opsyon para sa pagwawakas ng kontrata sa pagtatayo at pag-secure ng bahagyang itinayong istraktura.
* **Komunikasyon sa mga Kontratista:** Ang mga tagapagmana o ang kanilang itinalagang kinatawan ay dapat makipag-usap nang malinaw sa mga kontratista at mga supplier tungkol sa mana, desisyon sa pagpapatuloy ng proyekto, at anumang potensyal na pagbabago.
* **Legal na Representasyon:** Ang pagkonsulta sa isang abogado na dalubhasa sa batas sa konstruksiyon ay maaaring maging mahalaga. Maaari silang magpayo sa mga legal na obligasyon, interpretasyon ng kontrata, negosasyon sa mga kontratista, at mga posibleng pamamaraan ng pagwawakas.
**Mga Karagdagang Pagsasaalang-alang:**
* **Saklaw ng Seguro:** Suriin ang mga umiiral nang patakaran sa seguro na may kaugnayan sa proyekto sa pagtatayo. Tiyakin ang wastong saklaw para sa patuloy na trabaho at mga potensyal na pananagutan.
* **Mga Buwis at Pahintulot:** Maging maingat sa mga potensyal na implikasyon sa buwis na nauugnay sa mga gastos sa pagtatayo at pagkumpleto ng proyekto.
* **Mga Panukala sa Kaligtasan:** Tiyakin na ang ari-arian na bahagyang itinayo ay ligtas para maiwasan ang mga aksidente o pinsala.
Sa pamamagitan ng pag-unawa sa legal na tanawin, maingat na pagtatasa sa katayuan ng proyekto, at paghahanap ng propesyonal na patnubay, ang mga tagapagmana ay makakagawa ng matalinong mga pagpapasya tungkol sa hinaharap ng kasalukuyang proyekto sa pagtatayo na nauugnay sa minanang ari-arian. Makakatulong ito sa kanila na mabawasan ang mga panganib, pamahalaan ang mga gastos, at matiyak ang maayos na pagpapatuloy o pagwawakas ng proyekto.</v>
      </c>
      <c r="F428" s="2">
        <f t="shared" si="1"/>
        <v>0</v>
      </c>
      <c r="G428" s="2"/>
      <c r="H428" s="2"/>
      <c r="I428" s="2"/>
      <c r="J428" s="2"/>
      <c r="K428" s="2"/>
      <c r="L428" s="2"/>
      <c r="M428" s="2"/>
      <c r="N428" s="2"/>
      <c r="O428" s="2"/>
      <c r="P428" s="2"/>
      <c r="Q428" s="2"/>
      <c r="R428" s="2"/>
      <c r="S428" s="2"/>
      <c r="T428" s="2"/>
      <c r="U428" s="2"/>
      <c r="V428" s="2"/>
      <c r="W428" s="2"/>
      <c r="X428" s="2"/>
      <c r="Y428" s="2"/>
      <c r="Z428" s="2"/>
      <c r="AA428" s="2"/>
    </row>
    <row r="429">
      <c r="A429" s="1" t="s">
        <v>1224</v>
      </c>
      <c r="B429" s="1" t="s">
        <v>1569</v>
      </c>
      <c r="C429" s="1" t="s">
        <v>1570</v>
      </c>
      <c r="D429" s="1" t="s">
        <v>1571</v>
      </c>
      <c r="E429" s="2" t="str">
        <f>IFERROR(__xludf.DUMMYFUNCTION("GOOGLETRANSLATE(C429, ""en"", ""TL"")"),"Ang pagmamana ng ari-arian sa Pilipinas na may wastong testamento ay nagsasangkot ng isang legal na proseso upang matiyak ang wastong pangangasiwa at pamamahagi ng ari-arian. Narito ang isang breakdown ng mga hakbang at kung paano tinutukoy ang pamamahagi"&amp;" ng asset, batay sa mga nauugnay na batas ng Pilipinas:
**Mga Hakbang na Kasangkot:**
1. **Probate of the Will (Securing Letters Testamentary):**
- Ang tagapagpatupad na pinangalanan sa testamento ay nagpasimula ng proseso sa pamamagitan ng paghahain ng p"&amp;"etisyon sa **Regional Trial Court (RTC)** kung saan ang namatay (testator) ay nanirahan sa oras ng kamatayan. (Rule 74, Rules of Court)
- Ang petisyon na ito ay nag-trigger ng probate, isang korte na nagpapatuloy upang matukoy ang bisa ng testamento. Maaa"&amp;"ring kabilang dito ang pagpapakita ng mga saksi at pagtiyak na ang testamento ay sumusunod sa mga pormalidad (nakasulat, pinirmahan ng testator at mga saksi). (Art. 804, Kodigo Sibil ng Pilipinas)
- Sa matagumpay na probate, ang korte ay nag-isyu ng **Let"&amp;"ters Testamentary**, na opisyal na nagpapahintulot sa executor na pamahalaan ang ari-arian ayon sa mga probisyon ng testamento. (Sec. 2, Rule 78, Rules of Court)
2. **Imbentaryo at Pagtatasa ng Mga Ari-arian:**
- Lumilikha ang tagapagpatupad ng isang deta"&amp;"lyadong imbentaryo na naglilista ng lahat ng mga ari-arian ng testator (mga ari-arian, pera, pamumuhunan, atbp.). (Sec. 1, Rule 84, Rules of Court)
- Tinatasa ng mga kwalipikadong propesyonal ang mga asset upang matukoy ang kanilang patas na halaga sa pam"&amp;"ilihan. (Sec. 2, Rule 84, Rules of Court)
3. **Pag-aayos ng mga Utang at Buwis:**
- Gumagamit ang tagapagpatupad ng mga ari-arian ng ari-arian upang bayaran ang anumang natitirang mga utang ng namatay (hal., mga pagkakasangla, mga pautang) at mga buwis (b"&amp;"uwis sa ari-arian). (Sec. 578, Civil Code of the Philippines)
* Ang buwis sa ari-arian ay isang buwis na ipinapataw sa pribilehiyo ng paglilipat ng ari-arian kapag namatay. Ang halaga ay batay sa kabuuang halaga ng ari-arian.
4. **Pamamahagi ng mga Asset "&amp;"sa Mga Makikinabang:**
- Kapag nabayaran na ang mga utang at buwis, ang natitirang mga ari-arian ay ipapamahagi sa mga benepisyaryo ayon sa tinukoy sa testamento. (Art. 878, Civil Code of the Philippines)
* Ang testamento ay dapat na malinaw na tukuyin an"&amp;"g mga benepisyaryo at ang kanilang mga itinalagang bahagi.
**Pamamahagi ng mga Asset:**
* Ang testamento ay nagdidikta ng pamamahagi ng mga ari-arian. Ang testator ay may kalayaan na ilaan ang kanilang ari-arian ayon sa gusto nila, **basta't hindi ito lum"&amp;"alabag sa mga patakaran sa sapilitang tagapagmana**.
* **Compulsory Heirship (Sec. 878, Civil Code of the Philippines):**
* Ang mga lehitimong anak at asawa ng testator ay itinuturing na compulsory heirs. * Ang isang tiyak na bahagi ng ari-arian (legitime"&amp;") ay hindi maaaring ganap na maalis sa pamamagitan ng kalooban. Ang legitime ay karaniwang kalahati (1/2) para sa mga bata at isa pang kalahati (1/2) para sa nabubuhay na asawa kung walang anak.
**Mga Karagdagang Pagsasaalang-alang:**
* Kung ang isang ben"&amp;"episyaryo ay isang menor de edad, ang hukuman ay maaaring magtalaga ng isang tagapag-alaga upang pamahalaan ang kanilang mana hanggang sila ay umabot sa legal na edad.
* Maaaring ipaglaban ng mga tagapagmana ang testamento kung naniniwala silang hindi ito"&amp;" wasto o hindi patas. Ito ay magsasangkot ng isang legal na labanan sa korte.
**Mahalagang Mapagkukunan:**
* Mga Panuntunan ng Hukuman: [https://sc.judiciary.gov.ph/rules-of-court/](https://sc.judiciary.gov.ph/rules-of-court/)
* Civil Code of the Philippi"&amp;"nes: [https://sc.judiciary.gov.ph/](https://sc.judiciary.gov.ph/)
**Tandaan:** Ito ay isang pangkalahatang pangkalahatang-ideya. Ang pagkonsulta sa isang abogado na nagdadalubhasa sa mga usapin ng probate ay lubos na inirerekomenda upang mag-navigate sa m"&amp;"ga partikular na proseso at matiyak ang pagsunod sa lahat ng mga legal na kinakailangan.")</f>
        <v>Ang pagmamana ng ari-arian sa Pilipinas na may wastong testamento ay nagsasangkot ng isang legal na proseso upang matiyak ang wastong pangangasiwa at pamamahagi ng ari-arian. Narito ang isang breakdown ng mga hakbang at kung paano tinutukoy ang pamamahagi ng asset, batay sa mga nauugnay na batas ng Pilipinas:
**Mga Hakbang na Kasangkot:**
1. **Probate of the Will (Securing Letters Testamentary):**
- Ang tagapagpatupad na pinangalanan sa testamento ay nagpasimula ng proseso sa pamamagitan ng paghahain ng petisyon sa **Regional Trial Court (RTC)** kung saan ang namatay (testator) ay nanirahan sa oras ng kamatayan. (Rule 74, Rules of Court)
- Ang petisyon na ito ay nag-trigger ng probate, isang korte na nagpapatuloy upang matukoy ang bisa ng testamento. Maaaring kabilang dito ang pagpapakita ng mga saksi at pagtiyak na ang testamento ay sumusunod sa mga pormalidad (nakasulat, pinirmahan ng testator at mga saksi). (Art. 804, Kodigo Sibil ng Pilipinas)
- Sa matagumpay na probate, ang korte ay nag-isyu ng **Letters Testamentary**, na opisyal na nagpapahintulot sa executor na pamahalaan ang ari-arian ayon sa mga probisyon ng testamento. (Sec. 2, Rule 78, Rules of Court)
2. **Imbentaryo at Pagtatasa ng Mga Ari-arian:**
- Lumilikha ang tagapagpatupad ng isang detalyadong imbentaryo na naglilista ng lahat ng mga ari-arian ng testator (mga ari-arian, pera, pamumuhunan, atbp.). (Sec. 1, Rule 84, Rules of Court)
- Tinatasa ng mga kwalipikadong propesyonal ang mga asset upang matukoy ang kanilang patas na halaga sa pamilihan. (Sec. 2, Rule 84, Rules of Court)
3. **Pag-aayos ng mga Utang at Buwis:**
- Gumagamit ang tagapagpatupad ng mga ari-arian ng ari-arian upang bayaran ang anumang natitirang mga utang ng namatay (hal., mga pagkakasangla, mga pautang) at mga buwis (buwis sa ari-arian). (Sec. 578, Civil Code of the Philippines)
* Ang buwis sa ari-arian ay isang buwis na ipinapataw sa pribilehiyo ng paglilipat ng ari-arian kapag namatay. Ang halaga ay batay sa kabuuang halaga ng ari-arian.
4. **Pamamahagi ng mga Asset sa Mga Makikinabang:**
- Kapag nabayaran na ang mga utang at buwis, ang natitirang mga ari-arian ay ipapamahagi sa mga benepisyaryo ayon sa tinukoy sa testamento. (Art. 878, Civil Code of the Philippines)
* Ang testamento ay dapat na malinaw na tukuyin ang mga benepisyaryo at ang kanilang mga itinalagang bahagi.
**Pamamahagi ng mga Asset:**
* Ang testamento ay nagdidikta ng pamamahagi ng mga ari-arian. Ang testator ay may kalayaan na ilaan ang kanilang ari-arian ayon sa gusto nila, **basta't hindi ito lumalabag sa mga patakaran sa sapilitang tagapagmana**.
* **Compulsory Heirship (Sec. 878, Civil Code of the Philippines):**
* Ang mga lehitimong anak at asawa ng testator ay itinuturing na compulsory heirs. * Ang isang tiyak na bahagi ng ari-arian (legitime) ay hindi maaaring ganap na maalis sa pamamagitan ng kalooban. Ang legitime ay karaniwang kalahati (1/2) para sa mga bata at isa pang kalahati (1/2) para sa nabubuhay na asawa kung walang anak.
**Mga Karagdagang Pagsasaalang-alang:**
* Kung ang isang benepisyaryo ay isang menor de edad, ang hukuman ay maaaring magtalaga ng isang tagapag-alaga upang pamahalaan ang kanilang mana hanggang sila ay umabot sa legal na edad.
* Maaaring ipaglaban ng mga tagapagmana ang testamento kung naniniwala silang hindi ito wasto o hindi patas. Ito ay magsasangkot ng isang legal na labanan sa korte.
**Mahalagang Mapagkukunan:**
* Mga Panuntunan ng Hukuman: [https://sc.judiciary.gov.ph/rules-of-court/](https://sc.judiciary.gov.ph/rules-of-court/)
* Civil Code of the Philippines: [https://sc.judiciary.gov.ph/](https://sc.judiciary.gov.ph/)
**Tandaan:** Ito ay isang pangkalahatang pangkalahatang-ideya. Ang pagkonsulta sa isang abogado na nagdadalubhasa sa mga usapin ng probate ay lubos na inirerekomenda upang mag-navigate sa mga partikular na proseso at matiyak ang pagsunod sa lahat ng mga legal na kinakailangan.</v>
      </c>
      <c r="F429" s="2">
        <f t="shared" si="1"/>
        <v>1</v>
      </c>
      <c r="G429" s="2"/>
      <c r="H429" s="2"/>
      <c r="I429" s="2"/>
      <c r="J429" s="2"/>
      <c r="K429" s="2"/>
      <c r="L429" s="2"/>
      <c r="M429" s="2"/>
      <c r="N429" s="2"/>
      <c r="O429" s="2"/>
      <c r="P429" s="2"/>
      <c r="Q429" s="2"/>
      <c r="R429" s="2"/>
      <c r="S429" s="2"/>
      <c r="T429" s="2"/>
      <c r="U429" s="2"/>
      <c r="V429" s="2"/>
      <c r="W429" s="2"/>
      <c r="X429" s="2"/>
      <c r="Y429" s="2"/>
      <c r="Z429" s="2"/>
      <c r="AA429" s="2"/>
    </row>
    <row r="430">
      <c r="A430" s="1" t="s">
        <v>1224</v>
      </c>
      <c r="B430" s="1" t="s">
        <v>1572</v>
      </c>
      <c r="C430" s="1" t="s">
        <v>1573</v>
      </c>
      <c r="D430" s="1" t="s">
        <v>1574</v>
      </c>
      <c r="E430" s="2" t="str">
        <f>IFERROR(__xludf.DUMMYFUNCTION("GOOGLETRANSLATE(C430, ""en"", ""TL"")"),"Sa Pilipinas, kung ang isang tao ay namatay **nang walang wastong testamento**, ang kanilang ari-arian ay ipinamamahagi ayon sa batas ng kawalan ng buhay. Narito ang isang breakdown ng konsepto at aplikasyon nito:
**Intestacy Define:**
* Ang intestacy ay "&amp;"tumutukoy sa legal na proseso na namamahala sa pamamahagi ng ari-arian ng isang namatay **sa kawalan ng wastong testamento**.
* Ang batas ay nagdidikta kung sino ang magmamana ng ari-arian at sa kung anong sukat.
**Paglalapat ng Intestacy:**
* Kapag ang i"&amp;"sang tao ay namatay na walang kautusan, ang sumusunod na pagkakasunud-sunod ng paghalili ay inilalapat:
1. **Mga Sapilitang Tagapagmana (Sec. 878, Civil Code of the Philippines):**
* Ang pangunahing benepisyaryo ay ang mga lehitimong anak at ang nabubuhay"&amp;" na asawa ng namatay.
* Ang mga compulsory heirs na ito ay may karapatan sa isang partikular na bahagi ng ari-arian na tinatawag na **legitime**.
* Ang legitime ay karaniwang kalahati (1/2) para sa mga bata at kalahati (1/2) para sa nabubuhay na asawa kun"&amp;"g walang anak.
2. **Mga inapo (kung walang nabubuhay na asawa o mga anak):**
* Kung walang nabubuhay na asawa o mga anak, ang ari-arian ay mapupunta sa **mga inapo** ng namatay (mga apo, apo sa tuhod, atbp.).
3. **Mga Magulang (kung walang inapo):**
* Sa "&amp;"kawalan ng mga inapo, ang **mga magulang** ng namatay ang magmamana ng ari-arian.
4. **Mga Ascendants (kung walang magulang):**
* Kung walang nabubuhay na magulang, ang **ascendants** (lolo at lola) ng namatay ay magmamana.
5. **Collateral Relatives (kung"&amp;" walang ascendants):**
* Kung walang mga ascendants, maaaring magmana ang **collateral relatives** (mga kapatid, pamangkin, pamangkin), kasunod ng isang partikular na utos na nakabalangkas sa Civil Code.
6. **Ang Estado (kung walang tagapagmana):**
* Kung"&amp;" walang legal na tagapagmana, ang **estate ay mapupunta sa Estado**.
**Mahahalagang Pagsasaalang-alang:**
* Ang partikular na bahagi na matatanggap ng bawat tagapagmana ay depende sa bilang at kategorya ng mga nabubuhay na kamag-anak.
* Ang mga tagapagman"&amp;"a ay maaari pa ring labanan ang pamamahagi sa ilalim ng mga panuntunan sa kawalan ng buhay kung naniniwala silang hindi sila makatarungang ibinukod o ang kanilang bahagi ay hindi tama.
**Mga Mapagkukunan:**
* Civil Code of the Philippines: [https://sc.jud"&amp;"iciary.gov.ph/](https://sc.judiciary.gov.ph/)
**Rekomendasyon:**
Ang pagkakaroon ng wastong testamento ay lubos na inirerekomenda upang matiyak na ang iyong ari-arian ay maipamahagi ayon sa iyong kagustuhan at mabawasan ang mga potensyal na hindi pagkakau"&amp;"nawaan sa pagitan ng mga tagapagmana.")</f>
        <v>Sa Pilipinas, kung ang isang tao ay namatay **nang walang wastong testamento**, ang kanilang ari-arian ay ipinamamahagi ayon sa batas ng kawalan ng buhay. Narito ang isang breakdown ng konsepto at aplikasyon nito:
**Intestacy Define:**
* Ang intestacy ay tumutukoy sa legal na proseso na namamahala sa pamamahagi ng ari-arian ng isang namatay **sa kawalan ng wastong testamento**.
* Ang batas ay nagdidikta kung sino ang magmamana ng ari-arian at sa kung anong sukat.
**Paglalapat ng Intestacy:**
* Kapag ang isang tao ay namatay na walang kautusan, ang sumusunod na pagkakasunud-sunod ng paghalili ay inilalapat:
1. **Mga Sapilitang Tagapagmana (Sec. 878, Civil Code of the Philippines):**
* Ang pangunahing benepisyaryo ay ang mga lehitimong anak at ang nabubuhay na asawa ng namatay.
* Ang mga compulsory heirs na ito ay may karapatan sa isang partikular na bahagi ng ari-arian na tinatawag na **legitime**.
* Ang legitime ay karaniwang kalahati (1/2) para sa mga bata at kalahati (1/2) para sa nabubuhay na asawa kung walang anak.
2. **Mga inapo (kung walang nabubuhay na asawa o mga anak):**
* Kung walang nabubuhay na asawa o mga anak, ang ari-arian ay mapupunta sa **mga inapo** ng namatay (mga apo, apo sa tuhod, atbp.).
3. **Mga Magulang (kung walang inapo):**
* Sa kawalan ng mga inapo, ang **mga magulang** ng namatay ang magmamana ng ari-arian.
4. **Mga Ascendants (kung walang magulang):**
* Kung walang nabubuhay na magulang, ang **ascendants** (lolo at lola) ng namatay ay magmamana.
5. **Collateral Relatives (kung walang ascendants):**
* Kung walang mga ascendants, maaaring magmana ang **collateral relatives** (mga kapatid, pamangkin, pamangkin), kasunod ng isang partikular na utos na nakabalangkas sa Civil Code.
6. **Ang Estado (kung walang tagapagmana):**
* Kung walang legal na tagapagmana, ang **estate ay mapupunta sa Estado**.
**Mahahalagang Pagsasaalang-alang:**
* Ang partikular na bahagi na matatanggap ng bawat tagapagmana ay depende sa bilang at kategorya ng mga nabubuhay na kamag-anak.
* Ang mga tagapagmana ay maaari pa ring labanan ang pamamahagi sa ilalim ng mga panuntunan sa kawalan ng buhay kung naniniwala silang hindi sila makatarungang ibinukod o ang kanilang bahagi ay hindi tama.
**Mga Mapagkukunan:**
* Civil Code of the Philippines: [https://sc.judiciary.gov.ph/](https://sc.judiciary.gov.ph/)
**Rekomendasyon:**
Ang pagkakaroon ng wastong testamento ay lubos na inirerekomenda upang matiyak na ang iyong ari-arian ay maipamahagi ayon sa iyong kagustuhan at mabawasan ang mga potensyal na hindi pagkakaunawaan sa pagitan ng mga tagapagmana.</v>
      </c>
      <c r="F430" s="2">
        <f t="shared" si="1"/>
        <v>2</v>
      </c>
      <c r="G430" s="2"/>
      <c r="H430" s="2"/>
      <c r="I430" s="2"/>
      <c r="J430" s="2"/>
      <c r="K430" s="2"/>
      <c r="L430" s="2"/>
      <c r="M430" s="2"/>
      <c r="N430" s="2"/>
      <c r="O430" s="2"/>
      <c r="P430" s="2"/>
      <c r="Q430" s="2"/>
      <c r="R430" s="2"/>
      <c r="S430" s="2"/>
      <c r="T430" s="2"/>
      <c r="U430" s="2"/>
      <c r="V430" s="2"/>
      <c r="W430" s="2"/>
      <c r="X430" s="2"/>
      <c r="Y430" s="2"/>
      <c r="Z430" s="2"/>
      <c r="AA430" s="2"/>
    </row>
    <row r="431">
      <c r="A431" s="1" t="s">
        <v>1224</v>
      </c>
      <c r="B431" s="1" t="s">
        <v>1575</v>
      </c>
      <c r="C431" s="1" t="s">
        <v>1576</v>
      </c>
      <c r="D431" s="1" t="s">
        <v>1577</v>
      </c>
      <c r="E431" s="2" t="str">
        <f>IFERROR(__xludf.DUMMYFUNCTION("GOOGLETRANSLATE(C431, ""en"", ""TL"")"),"Sa Pilipinas, may espesyal na pagsasaalang-alang ang batas kapag ang mga menor de edad ay nagmamana ng ari-arian. Narito ang isang breakdown kung paano pinangangasiwaan ang mana at ang mga legal na mekanismong inilalagay upang protektahan ang kanilang mga"&amp;" interes:
**Pamana ng mga Menor de edad:**
* Ang mga menor de edad (mga indibiduwal na wala pang 18 taong gulang) ay maaaring magmana ng ari-arian sa pamamagitan ng isang testamento o sa ilalim ng mga batas sa kawalan ng buhay.
* **Will:** Kung mayroong w"&amp;"ill, maaaring tukuyin ng testator (namatay) kung sino ang namamahala sa mana ng menor de edad.
* **Intestacy:** Kung walang will, magtatalaga ang hukuman ng isang tagapag-alaga upang pamahalaan ang mana hanggang sa maabot ng menor de edad ang legal na eda"&amp;"d.
**Mga Legal na Mekanismo para sa Proteksyon:**
* **Guardian:** Ang isang guardian na hinirang ng hukuman ay may pananagutan sa pamamahala sa minanang ari-arian ng menor de edad. Kabilang dito ang:
* **Pag-iingat sa mga ari-arian:** Pagtiyak na ang ari-"&amp;"arian ay pinananatili at protektado mula sa pagkawala o pinsala.
* **Pamamahala ng kita:** Pagkolekta ng anumang kita na nabuo ng property (hal., upa mula sa mga rental).
* **Mga asset sa pamumuhunan:** Maingat na pamumuhunan sa mga pondo ng mana para sa "&amp;"benepisyo ng menor sa hinaharap.
* **Accounting:** Pagpapanatili ng wastong mga rekord at accounting para sa lahat ng mga transaksyong pinansyal na nauugnay sa mana.
* **Pag-apruba ng Hukuman ng Pamilya:** Para sa mga partikular na aksyon na kinasasangkut"&amp;"an ng mana ng menor de edad, tulad ng pagbebenta ng ari-arian o paggawa ng malalaking pamumuhunan, maaaring mangailangan ng pag-apruba ang tagapag-alaga mula sa Family Court. Tinitiyak nito ang responsableng pamamahala at pinoprotektahan ang mga interes n"&amp;"g menor de edad.
* **Kailangan sa Pagbubuklod:** Sa ilang mga kaso, maaaring hilingin ng hukuman sa tagapag-alaga na mag-post ng isang bono. Ito ay gumaganap bilang pinansiyal na seguridad, tinitiyak na ginagampanan ng tagapag-alaga ang kanilang mga respo"&amp;"nsibilidad at pinoprotektahan ang mga ari-arian ng menor de edad.
* **Pagwawakas ng Pagiging Tagapangalaga:** Kapag ang menor de edad ay umabot na sa legal na edad (18 taong gulang sa Pilipinas), ang pangangalaga ay matatapos, at ang menor de edad ay gana"&amp;"p na makokontrol ang kanilang mana.
**Mga Karagdagang Pagsasaalang-alang:**
* **Trusts:** Ang testator ay maaaring magtatag ng tiwala sa kanilang kalooban, na maaaring maging isang kapaki-pakinabang na paraan upang pamahalaan ang mana ng isang menor de ed"&amp;"ad. Ang isang tagapangasiwa, kadalasan ay isang pinagkakatiwalaang indibidwal o institusyong pinansyal, ang namamahala sa mga ari-arian ayon sa mga tuntunin ng tiwala, tinitiyak na matatanggap ng menor de edad ang mana sa isang partikular na edad o kapag "&amp;"natugunan ang ilang partikular na kundisyon.
* **Mga Karapatan ng Magulang:** Ang mga magulang ng isang menor de edad na nagmamana ng ari-arian ay maaaring may limitadong kapangyarihan sa paggawa ng desisyon tungkol sa mana, depende sa partikular na mga p"&amp;"angyayari at mga utos ng hukuman.
* **Legal na Representasyon:** Ang pagkonsulta sa isang abogado na dalubhasa sa probate at estate planning ay maaaring maging mahalaga para sa pag-navigate sa legal na proseso, pag-unawa sa mga responsibilidad sa panganga"&amp;"laga, at pagtiyak na ang mana ng menor de edad ay protektado at mabisang pinamamahalaan.
Sa pamamagitan ng pagpapatupad ng mga legal na mekanismong ito, layunin ng batas ng Filipino na pangalagaan ang mana ng mga menor de edad at tiyaking matatanggap nila"&amp;" ang kanilang nararapat na bahagi ng ari-arian kapag sila ay nasa hustong gulang.")</f>
        <v>Sa Pilipinas, may espesyal na pagsasaalang-alang ang batas kapag ang mga menor de edad ay nagmamana ng ari-arian. Narito ang isang breakdown kung paano pinangangasiwaan ang mana at ang mga legal na mekanismong inilalagay upang protektahan ang kanilang mga interes:
**Pamana ng mga Menor de edad:**
* Ang mga menor de edad (mga indibiduwal na wala pang 18 taong gulang) ay maaaring magmana ng ari-arian sa pamamagitan ng isang testamento o sa ilalim ng mga batas sa kawalan ng buhay.
* **Will:** Kung mayroong will, maaaring tukuyin ng testator (namatay) kung sino ang namamahala sa mana ng menor de edad.
* **Intestacy:** Kung walang will, magtatalaga ang hukuman ng isang tagapag-alaga upang pamahalaan ang mana hanggang sa maabot ng menor de edad ang legal na edad.
**Mga Legal na Mekanismo para sa Proteksyon:**
* **Guardian:** Ang isang guardian na hinirang ng hukuman ay may pananagutan sa pamamahala sa minanang ari-arian ng menor de edad. Kabilang dito ang:
* **Pag-iingat sa mga ari-arian:** Pagtiyak na ang ari-arian ay pinananatili at protektado mula sa pagkawala o pinsala.
* **Pamamahala ng kita:** Pagkolekta ng anumang kita na nabuo ng property (hal., upa mula sa mga rental).
* **Mga asset sa pamumuhunan:** Maingat na pamumuhunan sa mga pondo ng mana para sa benepisyo ng menor sa hinaharap.
* **Accounting:** Pagpapanatili ng wastong mga rekord at accounting para sa lahat ng mga transaksyong pinansyal na nauugnay sa mana.
* **Pag-apruba ng Hukuman ng Pamilya:** Para sa mga partikular na aksyon na kinasasangkutan ng mana ng menor de edad, tulad ng pagbebenta ng ari-arian o paggawa ng malalaking pamumuhunan, maaaring mangailangan ng pag-apruba ang tagapag-alaga mula sa Family Court. Tinitiyak nito ang responsableng pamamahala at pinoprotektahan ang mga interes ng menor de edad.
* **Kailangan sa Pagbubuklod:** Sa ilang mga kaso, maaaring hilingin ng hukuman sa tagapag-alaga na mag-post ng isang bono. Ito ay gumaganap bilang pinansiyal na seguridad, tinitiyak na ginagampanan ng tagapag-alaga ang kanilang mga responsibilidad at pinoprotektahan ang mga ari-arian ng menor de edad.
* **Pagwawakas ng Pagiging Tagapangalaga:** Kapag ang menor de edad ay umabot na sa legal na edad (18 taong gulang sa Pilipinas), ang pangangalaga ay matatapos, at ang menor de edad ay ganap na makokontrol ang kanilang mana.
**Mga Karagdagang Pagsasaalang-alang:**
* **Trusts:** Ang testator ay maaaring magtatag ng tiwala sa kanilang kalooban, na maaaring maging isang kapaki-pakinabang na paraan upang pamahalaan ang mana ng isang menor de edad. Ang isang tagapangasiwa, kadalasan ay isang pinagkakatiwalaang indibidwal o institusyong pinansyal, ang namamahala sa mga ari-arian ayon sa mga tuntunin ng tiwala, tinitiyak na matatanggap ng menor de edad ang mana sa isang partikular na edad o kapag natugunan ang ilang partikular na kundisyon.
* **Mga Karapatan ng Magulang:** Ang mga magulang ng isang menor de edad na nagmamana ng ari-arian ay maaaring may limitadong kapangyarihan sa paggawa ng desisyon tungkol sa mana, depende sa partikular na mga pangyayari at mga utos ng hukuman.
* **Legal na Representasyon:** Ang pagkonsulta sa isang abogado na dalubhasa sa probate at estate planning ay maaaring maging mahalaga para sa pag-navigate sa legal na proseso, pag-unawa sa mga responsibilidad sa pangangalaga, at pagtiyak na ang mana ng menor de edad ay protektado at mabisang pinamamahalaan.
Sa pamamagitan ng pagpapatupad ng mga legal na mekanismong ito, layunin ng batas ng Filipino na pangalagaan ang mana ng mga menor de edad at tiyaking matatanggap nila ang kanilang nararapat na bahagi ng ari-arian kapag sila ay nasa hustong gulang.</v>
      </c>
      <c r="F431" s="2">
        <f t="shared" si="1"/>
        <v>1</v>
      </c>
      <c r="G431" s="2"/>
      <c r="H431" s="2"/>
      <c r="I431" s="2"/>
      <c r="J431" s="2"/>
      <c r="K431" s="2"/>
      <c r="L431" s="2"/>
      <c r="M431" s="2"/>
      <c r="N431" s="2"/>
      <c r="O431" s="2"/>
      <c r="P431" s="2"/>
      <c r="Q431" s="2"/>
      <c r="R431" s="2"/>
      <c r="S431" s="2"/>
      <c r="T431" s="2"/>
      <c r="U431" s="2"/>
      <c r="V431" s="2"/>
      <c r="W431" s="2"/>
      <c r="X431" s="2"/>
      <c r="Y431" s="2"/>
      <c r="Z431" s="2"/>
      <c r="AA431" s="2"/>
    </row>
    <row r="432">
      <c r="A432" s="1" t="s">
        <v>1224</v>
      </c>
      <c r="B432" s="1" t="s">
        <v>1578</v>
      </c>
      <c r="C432" s="1" t="s">
        <v>1579</v>
      </c>
      <c r="D432" s="1" t="s">
        <v>1580</v>
      </c>
      <c r="E432" s="2" t="str">
        <f>IFERROR(__xludf.DUMMYFUNCTION("GOOGLETRANSLATE(C432, ""en"", ""TL"")"),"Sa Pilipinas, ang pagmamana ng ari-arian ay may kasamang ilang obligasyon sa buwis para sa mga benepisyaryo. Narito ang isang breakdown ng mga nauugnay na buwis:
**Buwis sa Estate:**
* Ang buwis sa ari-arian ay isang buwis na ipinapataw sa pribilehiyo ng "&amp;"paglilipat ng ari-arian kapag namatay. Ito ay binabayaran ng ari-arian **bago** pamamahagi sa mga benepisyaryo.
* Ang halaga ng buwis sa ari-arian ay nakabatay sa **net taxable estate**, na siyang kabuuang halaga ng mga ari-arian ng namatay na binawasan n"&amp;"g mga pinapayagang pagbabawas at mga exemption. ([Tax Code, Sec. 85])
**Capital Gains Tax (CGT):**
* Ang capital gains tax ay isang hiwalay na buwis **potensyal** na naaangkop sa mga benepisyaryo kapag **disposisyon** (pagbebenta, pag-donate, atbp.) ng mi"&amp;"nanang ari-arian.
**Mga Implikasyon ng Buwis para sa Mga Makikinabang:**
* **Ang mga benepisyaryo ay hindi direktang nagbabayad ng estate tax.** Responsibilidad ng estate na bayaran ang buwis na ito bago ang pamamahagi.
* **Maaaring ilapat ang capital gai"&amp;"ns tax sa mga benepisyaryo depende sa sitwasyon:**
* **Walang CGT kung hawak at ibinebenta:** Kung ang isang benepisyaryo ay nagmamana ng ari-arian at hawak ito nang ilang panahon bago ibenta, sa pangkalahatan ay **hindi sila nagbabayad ng CGT** maliban k"&amp;"ung ang mga makabuluhang pagpapabuti ay nagpapataas sa halaga ng ari-arian.
* **CGT on inheritance (opsyonal):** Ang mga benepisyaryo ay may opsyon na magbayad ng **final tax na 6%** batay sa **fair market value** ng property kapag inheritance. Ito **tina"&amp;"tanggal ang pananagutan ng CGT** sa pagbebenta sa hinaharap.
**Mahahalagang Pagsasaalang-alang:**
* Ang partikular na mga rate ng buwis at mga exemption para sa estate tax ay maaaring magbago. Ang pagkonsulta sa isang propesyonal sa buwis ay inirerekomend"&amp;"a upang matukoy ang kasalukuyang naaangkop na mga rate at mga limitasyon.
* Ang wastong pag-iingat ng rekord ng gastos sa pagkuha ng ari-arian (minanang halaga) ay mahalaga para sa pagkalkula ng potensyal na buwis sa capital gains kung ang ari-arian ay na"&amp;"ibenta sa kalaunan.
**Mga Karagdagang Buwis:**
* Depende sa uri ng minanang ari-arian, maaaring makaharap ang mga benepisyaryo ng iba pang mga buwis, gaya ng:
* **Documentary Stamp Tax (DST):** Isang buwis na karaniwang binabayaran sa mga benta o donasyon"&amp;" ng ari-arian (1.5% ng presyo ng pagbebenta).
* **Buwis ng Donor:** Isang buwis sa mga donasyon (kung ang ari-arian ay regalo sa halip na minana).
Sa pamamagitan ng pag-unawa sa mga implikasyon ng buwis na ito, ang mga benepisyaryo ay makakagawa ng matali"&amp;"nong mga desisyon tungkol sa minanang ari-arian at matiyak na sumusunod sila sa lahat ng obligasyon sa buwis.")</f>
        <v>Sa Pilipinas, ang pagmamana ng ari-arian ay may kasamang ilang obligasyon sa buwis para sa mga benepisyaryo. Narito ang isang breakdown ng mga nauugnay na buwis:
**Buwis sa Estate:**
* Ang buwis sa ari-arian ay isang buwis na ipinapataw sa pribilehiyo ng paglilipat ng ari-arian kapag namatay. Ito ay binabayaran ng ari-arian **bago** pamamahagi sa mga benepisyaryo.
* Ang halaga ng buwis sa ari-arian ay nakabatay sa **net taxable estate**, na siyang kabuuang halaga ng mga ari-arian ng namatay na binawasan ng mga pinapayagang pagbabawas at mga exemption. ([Tax Code, Sec. 85])
**Capital Gains Tax (CGT):**
* Ang capital gains tax ay isang hiwalay na buwis **potensyal** na naaangkop sa mga benepisyaryo kapag **disposisyon** (pagbebenta, pag-donate, atbp.) ng minanang ari-arian.
**Mga Implikasyon ng Buwis para sa Mga Makikinabang:**
* **Ang mga benepisyaryo ay hindi direktang nagbabayad ng estate tax.** Responsibilidad ng estate na bayaran ang buwis na ito bago ang pamamahagi.
* **Maaaring ilapat ang capital gains tax sa mga benepisyaryo depende sa sitwasyon:**
* **Walang CGT kung hawak at ibinebenta:** Kung ang isang benepisyaryo ay nagmamana ng ari-arian at hawak ito nang ilang panahon bago ibenta, sa pangkalahatan ay **hindi sila nagbabayad ng CGT** maliban kung ang mga makabuluhang pagpapabuti ay nagpapataas sa halaga ng ari-arian.
* **CGT on inheritance (opsyonal):** Ang mga benepisyaryo ay may opsyon na magbayad ng **final tax na 6%** batay sa **fair market value** ng property kapag inheritance. Ito **tinatanggal ang pananagutan ng CGT** sa pagbebenta sa hinaharap.
**Mahahalagang Pagsasaalang-alang:**
* Ang partikular na mga rate ng buwis at mga exemption para sa estate tax ay maaaring magbago. Ang pagkonsulta sa isang propesyonal sa buwis ay inirerekomenda upang matukoy ang kasalukuyang naaangkop na mga rate at mga limitasyon.
* Ang wastong pag-iingat ng rekord ng gastos sa pagkuha ng ari-arian (minanang halaga) ay mahalaga para sa pagkalkula ng potensyal na buwis sa capital gains kung ang ari-arian ay naibenta sa kalaunan.
**Mga Karagdagang Buwis:**
* Depende sa uri ng minanang ari-arian, maaaring makaharap ang mga benepisyaryo ng iba pang mga buwis, gaya ng:
* **Documentary Stamp Tax (DST):** Isang buwis na karaniwang binabayaran sa mga benta o donasyon ng ari-arian (1.5% ng presyo ng pagbebenta).
* **Buwis ng Donor:** Isang buwis sa mga donasyon (kung ang ari-arian ay regalo sa halip na minana).
Sa pamamagitan ng pag-unawa sa mga implikasyon ng buwis na ito, ang mga benepisyaryo ay makakagawa ng matalinong mga desisyon tungkol sa minanang ari-arian at matiyak na sumusunod sila sa lahat ng obligasyon sa buwis.</v>
      </c>
      <c r="F432" s="2">
        <f t="shared" si="1"/>
        <v>1</v>
      </c>
      <c r="G432" s="2"/>
      <c r="H432" s="2"/>
      <c r="I432" s="2"/>
      <c r="J432" s="2"/>
      <c r="K432" s="2"/>
      <c r="L432" s="2"/>
      <c r="M432" s="2"/>
      <c r="N432" s="2"/>
      <c r="O432" s="2"/>
      <c r="P432" s="2"/>
      <c r="Q432" s="2"/>
      <c r="R432" s="2"/>
      <c r="S432" s="2"/>
      <c r="T432" s="2"/>
      <c r="U432" s="2"/>
      <c r="V432" s="2"/>
      <c r="W432" s="2"/>
      <c r="X432" s="2"/>
      <c r="Y432" s="2"/>
      <c r="Z432" s="2"/>
      <c r="AA432" s="2"/>
    </row>
    <row r="433">
      <c r="A433" s="1" t="s">
        <v>1224</v>
      </c>
      <c r="B433" s="1" t="s">
        <v>1581</v>
      </c>
      <c r="C433" s="1" t="s">
        <v>1582</v>
      </c>
      <c r="D433" s="1" t="s">
        <v>1583</v>
      </c>
      <c r="E433" s="2" t="str">
        <f>IFERROR(__xludf.DUMMYFUNCTION("GOOGLETRANSLATE(C433, ""en"", ""TL"")"),"Sa Pilipinas, kung naniniwala kang hindi wasto o hindi patas ang isang testamento, maaari mo itong hamunin sa pamamagitan ng legal na proseso. Narito ang isang pangkalahatang-ideya ng mga hakbang na kasangkot:
**Grounds para sa Paglaban sa isang Will:**
M"&amp;"ayroong ilang mga batayan para sa pakikipaglaban sa isang testamento sa Pilipinas. Ang ilang karaniwang dahilan ay kinabibilangan ng:
* **Testamentary incapacity:** Ang namatay ay walang kakayahan sa pag-iisip na maunawaan ang kalikasan at mga kahihinatna"&amp;"n ng paglikha ng isang testamento sa oras na ito ay nilagdaan.
* **Hindi nararapat na impluwensya:** Ang testator ay pinilit o pinilit na lumagda sa testamento.
* **Pamemeke:** Ang testamento ay isang pekeng dokumento, o may namemeke ng pirma ng testator."&amp;"
* **Hindi wastong pagpapatupad:** Hindi ginawa ang testamento kasunod ng mga legal na pormalidad (hal., hindi nasaksihan nang maayos).
* **Pagpapanggap:** Ang isang sapilitang tagapagmana (asawa o mga lehitimong anak) ay hindi sinasadyang tinanggal sa te"&amp;"stamento nang walang wastong dahilan.
**Legal na Proseso:**
1. **Paghahain ng Petisyon:** Ikaw, bilang lumalaban na partido, maghain ng petisyon sa Regional Trial Court (RTC) kung saan nagaganap ang probate proceedings para sa testamento o kung saan nanin"&amp;"irahan ang namatay sa oras ng kamatayan.
2. **Grounds for Contest:** Ang petisyon ay dapat na malinaw na nakasaad ang (mga) partikular na dahilan kung bakit naniniwala kang hindi wasto ang testamento. Ang ebidensya na sumusuporta sa iyong mga paghahabol ("&amp;"mga saksi, mga dokumento) ay dapat na nakalakip.
3. **Serving Notice:** Ang paunawa ng paligsahan ay inihahatid sa tagapagpatupad ng testamento at iba pang mga benepisyaryo.
4. **Mga Pagdinig:** Ang hukuman ay magsasagawa ng mga pagdinig upang marinig ang"&amp;" mga argumento mula sa magkabilang panig at masuri ang ebidensya.
5. **Desisyon:** Ang hukuman ay maglalabas ng desisyon na magpapasiya kung ang testamento ay wasto o hindi wasto.
**Mga Karagdagang Pagsasaalang-alang:**
* Ang paligsahan sa isang testament"&amp;"o ay maaaring maging isang kumplikado at mahabang prosesong legal. Ang pagkonsulta sa isang abogado na nagdadalubhasa sa probate at estate litigation ay lubos na inirerekomenda upang mabisang mag-navigate sa proseso.
* Ang mga legal na bayarin at mga gast"&amp;"os sa hukuman na nauugnay sa paglaban sa isang testamento ay maaaring maging makabuluhan. Isaalang-alang ang mga implikasyon sa pananalapi bago simulan ang proseso.
* May mga mahigpit na limitasyon sa oras para sa pakikipaglaban sa isang testamento sa Pil"&amp;"ipinas. Sa pangkalahatan, kailangan mong maghain ng petisyon **sa loob ng tatlong (3) taon** mula sa probate ng testamento. ([Rule 141, Rules of Court])
**Mga Alternatibo sa Litigation:**
* **Mediation:** Sa ilang mga kaso, ang pamamagitan ay maaaring isa"&amp;"ng opsyon upang malutas ang mga hindi pagkakaunawaan tungkol sa kalooban sa labas ng hukuman. Ang isang neutral na ikatlong partido ay nagpapadali sa komunikasyon at tumutulong na maabot ang isang kasunduan.
* **Settlement:** Maaaring makipag-ayos ang lum"&amp;"alaban na partido at mga benepisyaryo para maiwasan ang mahabang labanan sa korte.
**Tandaan:** Ito ay isang pangkalahatang pangkalahatang-ideya. Ang pagkonsulta sa isang abogado na nagdadalubhasa sa mga usapin ng probate ay mahalaga upang maunawaan ang m"&amp;"ga partikular na kinakailangan at maistratehiya ang pinakamahusay na paraan ng pagkilos para sa iyong sitwasyon.")</f>
        <v>Sa Pilipinas, kung naniniwala kang hindi wasto o hindi patas ang isang testamento, maaari mo itong hamunin sa pamamagitan ng legal na proseso. Narito ang isang pangkalahatang-ideya ng mga hakbang na kasangkot:
**Grounds para sa Paglaban sa isang Will:**
Mayroong ilang mga batayan para sa pakikipaglaban sa isang testamento sa Pilipinas. Ang ilang karaniwang dahilan ay kinabibilangan ng:
* **Testamentary incapacity:** Ang namatay ay walang kakayahan sa pag-iisip na maunawaan ang kalikasan at mga kahihinatnan ng paglikha ng isang testamento sa oras na ito ay nilagdaan.
* **Hindi nararapat na impluwensya:** Ang testator ay pinilit o pinilit na lumagda sa testamento.
* **Pamemeke:** Ang testamento ay isang pekeng dokumento, o may namemeke ng pirma ng testator.
* **Hindi wastong pagpapatupad:** Hindi ginawa ang testamento kasunod ng mga legal na pormalidad (hal., hindi nasaksihan nang maayos).
* **Pagpapanggap:** Ang isang sapilitang tagapagmana (asawa o mga lehitimong anak) ay hindi sinasadyang tinanggal sa testamento nang walang wastong dahilan.
**Legal na Proseso:**
1. **Paghahain ng Petisyon:** Ikaw, bilang lumalaban na partido, maghain ng petisyon sa Regional Trial Court (RTC) kung saan nagaganap ang probate proceedings para sa testamento o kung saan naninirahan ang namatay sa oras ng kamatayan.
2. **Grounds for Contest:** Ang petisyon ay dapat na malinaw na nakasaad ang (mga) partikular na dahilan kung bakit naniniwala kang hindi wasto ang testamento. Ang ebidensya na sumusuporta sa iyong mga paghahabol (mga saksi, mga dokumento) ay dapat na nakalakip.
3. **Serving Notice:** Ang paunawa ng paligsahan ay inihahatid sa tagapagpatupad ng testamento at iba pang mga benepisyaryo.
4. **Mga Pagdinig:** Ang hukuman ay magsasagawa ng mga pagdinig upang marinig ang mga argumento mula sa magkabilang panig at masuri ang ebidensya.
5. **Desisyon:** Ang hukuman ay maglalabas ng desisyon na magpapasiya kung ang testamento ay wasto o hindi wasto.
**Mga Karagdagang Pagsasaalang-alang:**
* Ang paligsahan sa isang testamento ay maaaring maging isang kumplikado at mahabang prosesong legal. Ang pagkonsulta sa isang abogado na nagdadalubhasa sa probate at estate litigation ay lubos na inirerekomenda upang mabisang mag-navigate sa proseso.
* Ang mga legal na bayarin at mga gastos sa hukuman na nauugnay sa paglaban sa isang testamento ay maaaring maging makabuluhan. Isaalang-alang ang mga implikasyon sa pananalapi bago simulan ang proseso.
* May mga mahigpit na limitasyon sa oras para sa pakikipaglaban sa isang testamento sa Pilipinas. Sa pangkalahatan, kailangan mong maghain ng petisyon **sa loob ng tatlong (3) taon** mula sa probate ng testamento. ([Rule 141, Rules of Court])
**Mga Alternatibo sa Litigation:**
* **Mediation:** Sa ilang mga kaso, ang pamamagitan ay maaaring isang opsyon upang malutas ang mga hindi pagkakaunawaan tungkol sa kalooban sa labas ng hukuman. Ang isang neutral na ikatlong partido ay nagpapadali sa komunikasyon at tumutulong na maabot ang isang kasunduan.
* **Settlement:** Maaaring makipag-ayos ang lumalaban na partido at mga benepisyaryo para maiwasan ang mahabang labanan sa korte.
**Tandaan:** Ito ay isang pangkalahatang pangkalahatang-ideya. Ang pagkonsulta sa isang abogado na nagdadalubhasa sa mga usapin ng probate ay mahalaga upang maunawaan ang mga partikular na kinakailangan at maistratehiya ang pinakamahusay na paraan ng pagkilos para sa iyong sitwasyon.</v>
      </c>
      <c r="F433" s="2">
        <f t="shared" si="1"/>
        <v>1</v>
      </c>
      <c r="G433" s="2"/>
      <c r="H433" s="2"/>
      <c r="I433" s="2"/>
      <c r="J433" s="2"/>
      <c r="K433" s="2"/>
      <c r="L433" s="2"/>
      <c r="M433" s="2"/>
      <c r="N433" s="2"/>
      <c r="O433" s="2"/>
      <c r="P433" s="2"/>
      <c r="Q433" s="2"/>
      <c r="R433" s="2"/>
      <c r="S433" s="2"/>
      <c r="T433" s="2"/>
      <c r="U433" s="2"/>
      <c r="V433" s="2"/>
      <c r="W433" s="2"/>
      <c r="X433" s="2"/>
      <c r="Y433" s="2"/>
      <c r="Z433" s="2"/>
      <c r="AA433" s="2"/>
    </row>
    <row r="434">
      <c r="A434" s="1" t="s">
        <v>1224</v>
      </c>
      <c r="B434" s="1" t="s">
        <v>1584</v>
      </c>
      <c r="C434" s="1" t="s">
        <v>1585</v>
      </c>
      <c r="D434" s="1" t="s">
        <v>1586</v>
      </c>
      <c r="E434" s="2" t="str">
        <f>IFERROR(__xludf.DUMMYFUNCTION("GOOGLETRANSLATE(C434, ""en"", ""TL"")"),"Ang pagmamana ng ari-arian sa mga kasalukuyang nangungupahan sa Pilipinas ay nagpapakita ng parehong mga pagkakataon at legal na pagsasaalang-alang. Narito ang isang breakdown ng mga pangunahing punto na dapat tandaan:
**Mga Karapatan at Proteksyon ng Nan"&amp;"gungupahan:**
* **Pagpapatuloy ng Pangungupahan:** Pinoprotektahan ng batas ng Pilipinas ang mga karapatan ng mga nangungupahan. Sa mana, ang relasyon sa pangungupahan **magpapatuloy sa pagitan ng mga kasalukuyang nangungupahan at ng mga tagapagmana**, ku"&amp;"ng ipagpalagay na ang lupa ay hindi para sa agrikultural na paggamit (saklaw sa ilalim ng ibang batas).
* **Paggalang sa mga Umiiral na Kasunduan:** Dapat **igalang ng mga tagapagmana ang mga tuntunin at kundisyon** na nakabalangkas sa umiiral na kasundua"&amp;"n sa pangungupahan sa pagitan ng dating may-ari at ng mga nangungupahan. Kabilang dito ang halaga ng upa, tagal ng pag-upa, at mga responsibilidad sa pagkumpuni.
* **Karapatang Manatiling:** Ang mga tagapagmana ay hindi maaaring **paalisin ang mga nangung"&amp;"upahan dahil lamang sa mana**.
* **Pagpipili ng Kapalit na Nangungupahan (kung naaangkop):** Kung ang kasalukuyang nangungupahan ay pumanaw, ang kanilang mga karapatan ay maaaring ilipat sa isang kwalipikadong miyembro ng pamilya sa ilalim ng ilang mga ku"&amp;"ndisyon, gaya ng nakabalangkas sa batas.
**Mga Obligasyon ng mga Tagapagmana bilang Mga Nagpapaupa:**
* **Paunawa para sa Mga Pagbabago:** Kung ang mga tagapagmana ay nagnanais na baguhin ang kasunduan sa pangungupahan (hal., dagdagan ang upa), dapat sila"&amp;"ng magbigay ng nakasulat na paunawa sa loob ng makatwirang takdang panahon gaya ng itinakda ng batas.
* **Pagpapanatili at Pagkukumpuni:** Ang mga tagapagmana ay nagiging responsable sa pagpapanatili ng ari-arian at paggawa ng mga kinakailangang pagkukump"&amp;"uni gaya ng nakabalangkas sa kasunduan sa pangungupahan o ayon sa ipinag-uutos ng batas (hal., pagkukumpuni sa istruktura).
* **Komunikasyon at Transparency:** Dapat panatilihin ng mga tagapagmana ang bukas na komunikasyon sa mga nangungupahan tungkol sa "&amp;"anumang paparating na pagbabago o paglipat ng pagmamay-ari.
**Mga Karagdagang Pagsasaalang-alang:**
* **Inheritance and Lease Renewal:** Kung ang lease ay lumalapit sa petsa ng pagtatapos nito pagkatapos ng inheritance, ang mga tagapagmana ay maaaring mak"&amp;"ipag-ayos ng mga bagong termino sa mga nangungupahan, ngunit hindi nila sila mapipilit na umalis nang walang wastong dahilan at sumusunod sa wastong legal na pamamaraan.
* **Pagpapaalis:** Posible lamang ang pagpapalayas sa ilalim ng mga partikular na leg"&amp;"al na batayan, tulad ng hindi pagbabayad ng upa, nagdudulot ng pinsala sa ari-arian, o paglabag sa kasunduan sa pangungupahan. Ang pagpapaalis ay nangangailangan ng pagsunod sa mga legal na pamamaraan sa pamamagitan ng korte.
* **Naghahanap ng Legal na Co"&amp;"unsel:** Ang pagkonsulta sa isang abogado ng real estate na pamilyar sa mga batas ng landlord-tenant ay lubos na inirerekomenda. Maaari nilang payuhan ang mga tagapagmana sa kanilang mga obligasyon, i-navigate ang mga potensyal na hindi pagkakaunawaan, at"&amp;" tiyakin ang pagsunod sa mga legal na kinakailangan.
Sa pamamagitan ng pag-unawa sa mga legal na pagsasaalang-alang na ito at paggalang sa mga kasalukuyang karapatan ng nangungupahan, masisiguro ng mga tagapagmana ang isang maayos na paglipat at mapanatil"&amp;"i ang isang positibong relasyon sa kanilang mga nangungupahan.")</f>
        <v>Ang pagmamana ng ari-arian sa mga kasalukuyang nangungupahan sa Pilipinas ay nagpapakita ng parehong mga pagkakataon at legal na pagsasaalang-alang. Narito ang isang breakdown ng mga pangunahing punto na dapat tandaan:
**Mga Karapatan at Proteksyon ng Nangungupahan:**
* **Pagpapatuloy ng Pangungupahan:** Pinoprotektahan ng batas ng Pilipinas ang mga karapatan ng mga nangungupahan. Sa mana, ang relasyon sa pangungupahan **magpapatuloy sa pagitan ng mga kasalukuyang nangungupahan at ng mga tagapagmana**, kung ipagpalagay na ang lupa ay hindi para sa agrikultural na paggamit (saklaw sa ilalim ng ibang batas).
* **Paggalang sa mga Umiiral na Kasunduan:** Dapat **igalang ng mga tagapagmana ang mga tuntunin at kundisyon** na nakabalangkas sa umiiral na kasunduan sa pangungupahan sa pagitan ng dating may-ari at ng mga nangungupahan. Kabilang dito ang halaga ng upa, tagal ng pag-upa, at mga responsibilidad sa pagkumpuni.
* **Karapatang Manatiling:** Ang mga tagapagmana ay hindi maaaring **paalisin ang mga nangungupahan dahil lamang sa mana**.
* **Pagpipili ng Kapalit na Nangungupahan (kung naaangkop):** Kung ang kasalukuyang nangungupahan ay pumanaw, ang kanilang mga karapatan ay maaaring ilipat sa isang kwalipikadong miyembro ng pamilya sa ilalim ng ilang mga kundisyon, gaya ng nakabalangkas sa batas.
**Mga Obligasyon ng mga Tagapagmana bilang Mga Nagpapaupa:**
* **Paunawa para sa Mga Pagbabago:** Kung ang mga tagapagmana ay nagnanais na baguhin ang kasunduan sa pangungupahan (hal., dagdagan ang upa), dapat silang magbigay ng nakasulat na paunawa sa loob ng makatwirang takdang panahon gaya ng itinakda ng batas.
* **Pagpapanatili at Pagkukumpuni:** Ang mga tagapagmana ay nagiging responsable sa pagpapanatili ng ari-arian at paggawa ng mga kinakailangang pagkukumpuni gaya ng nakabalangkas sa kasunduan sa pangungupahan o ayon sa ipinag-uutos ng batas (hal., pagkukumpuni sa istruktura).
* **Komunikasyon at Transparency:** Dapat panatilihin ng mga tagapagmana ang bukas na komunikasyon sa mga nangungupahan tungkol sa anumang paparating na pagbabago o paglipat ng pagmamay-ari.
**Mga Karagdagang Pagsasaalang-alang:**
* **Inheritance and Lease Renewal:** Kung ang lease ay lumalapit sa petsa ng pagtatapos nito pagkatapos ng inheritance, ang mga tagapagmana ay maaaring makipag-ayos ng mga bagong termino sa mga nangungupahan, ngunit hindi nila sila mapipilit na umalis nang walang wastong dahilan at sumusunod sa wastong legal na pamamaraan.
* **Pagpapaalis:** Posible lamang ang pagpapalayas sa ilalim ng mga partikular na legal na batayan, tulad ng hindi pagbabayad ng upa, nagdudulot ng pinsala sa ari-arian, o paglabag sa kasunduan sa pangungupahan. Ang pagpapaalis ay nangangailangan ng pagsunod sa mga legal na pamamaraan sa pamamagitan ng korte.
* **Naghahanap ng Legal na Counsel:** Ang pagkonsulta sa isang abogado ng real estate na pamilyar sa mga batas ng landlord-tenant ay lubos na inirerekomenda. Maaari nilang payuhan ang mga tagapagmana sa kanilang mga obligasyon, i-navigate ang mga potensyal na hindi pagkakaunawaan, at tiyakin ang pagsunod sa mga legal na kinakailangan.
Sa pamamagitan ng pag-unawa sa mga legal na pagsasaalang-alang na ito at paggalang sa mga kasalukuyang karapatan ng nangungupahan, masisiguro ng mga tagapagmana ang isang maayos na paglipat at mapanatili ang isang positibong relasyon sa kanilang mga nangungupahan.</v>
      </c>
      <c r="F434" s="2">
        <f t="shared" si="1"/>
        <v>1</v>
      </c>
      <c r="G434" s="2"/>
      <c r="H434" s="2"/>
      <c r="I434" s="2"/>
      <c r="J434" s="2"/>
      <c r="K434" s="2"/>
      <c r="L434" s="2"/>
      <c r="M434" s="2"/>
      <c r="N434" s="2"/>
      <c r="O434" s="2"/>
      <c r="P434" s="2"/>
      <c r="Q434" s="2"/>
      <c r="R434" s="2"/>
      <c r="S434" s="2"/>
      <c r="T434" s="2"/>
      <c r="U434" s="2"/>
      <c r="V434" s="2"/>
      <c r="W434" s="2"/>
      <c r="X434" s="2"/>
      <c r="Y434" s="2"/>
      <c r="Z434" s="2"/>
      <c r="AA434" s="2"/>
    </row>
    <row r="435">
      <c r="A435" s="1" t="s">
        <v>1224</v>
      </c>
      <c r="B435" s="1" t="s">
        <v>1587</v>
      </c>
      <c r="C435" s="1" t="s">
        <v>1588</v>
      </c>
      <c r="D435" s="1" t="s">
        <v>1589</v>
      </c>
      <c r="E435" s="2" t="str">
        <f>IFERROR(__xludf.DUMMYFUNCTION("GOOGLETRANSLATE(C435, ""en"", ""TL"")"),"Sa Pilipinas, ang magkasanib na pagmamay-ari ng pagmamana ng ari-arian at mga hindi pagkakaunawaan sa pamamahala sa mga kapwa may-ari ay maaaring matugunan sa pamamagitan ng iba't ibang legal na mekanismo. Narito ang isang pangkalahatang-ideya ng mga opsy"&amp;"on:
**Komunikasyon at Negosasyon:**
* Ang pinakagustong diskarte ay bukas na komunikasyon at negosasyon sa pagitan ng mga kapwa may-ari. Talakayin ang mana, mga plano sa pamamahala, at mga potensyal na solusyon. **Pagsusuri sa Mga Kasunduan sa Co-ownershi"&amp;"p (kung mayroon):**
* Kung may umiiral na kasunduan sa co-ownership, sumangguni dito para sa mga probisyon sa mana, paglutas ng hindi pagkakaunawaan, at mga responsibilidad sa pamamahala. Ang kasunduang ito ay maaaring magdikta ng mga paunang natukoy na s"&amp;"olusyon.
**Pag-abot sa isang Kasunduan:**
* Ang mga kapwa may-ari ay maaaring magsumikap na maabot ang isang kasunduan sa isa't isa na solusyon. Maaaring kabilang dito ang:
* **Pagbebenta ng Ari-arian:** Pagsang-ayon na ibenta ang ari-arian at hatiin ang "&amp;"mga nalikom batay sa mga bahagi ng pagmamay-ari.
* **Pagbili ng Iba Pang Mga Kasamang May-ari:** Maaaring bilhin ng isang kasamang may-ari ang mga bahagi ng iba upang maging nag-iisang may-ari.
* **Paghahati sa Ari-arian (kung magagawa):** Pisikal na pagh"&amp;"ahati sa ari-arian (kung maaari) sa magkakahiwalay na mga unit para sa indibidwal na pagmamay-ari.
* **Pagtatatag ng Malinaw na Mga Alituntunin sa Pamamahala:** Ang mga kapwa may-ari ay maaaring lumikha ng isang pormal na kasunduan sa pamamahala na nagbab"&amp;"alangkas sa mga responsibilidad sa pagpapanatili, pagbabahagi ng kita sa pagrenta (kung naaangkop), at mga pamamaraan sa paggawa ng desisyon para sa mga isyu sa hinaharap.
**Mediation:**
* Kung mahirap ang komunikasyon, isaalang-alang ang pamamagitan. Ang"&amp;" isang neutral na ikatlong partido ay nagpapadali sa talakayan at tumutulong sa mga kapwa may-ari na maabot ang isang kompromiso.
**Litigation (bilang huling paraan):**
* Kung mabibigo ang lahat, maaaring magsagawa ng legal na aksyon. Ito ay dapat na maki"&amp;"ta bilang isang huling paraan dahil sa mga potensyal na gastos, oras na kasangkot, at mahirap na mga relasyon. Ang mga demanda ay maaaring may kasamang:
* **Pagkilos ng Paghati:** Isang dibisyon ng ari-arian na iniutos ng hukuman, pisikal man o sa pamamag"&amp;"itan ng pagbebenta nito at paghahati sa mga nalikom.
* **Paglabag sa Kontrata ng Demanda:** Kung may umiiral na kasunduan sa kapwa pagmamay-ari at nilabag ng isang kasamang may-ari ang mga tuntunin nito, maaaring magsagawa ng legal na aksyon para sa pagla"&amp;"bag sa kontrata.
**Mga Karagdagang Pagsasaalang-alang:**
* **Legal na Representasyon:** Ang pagkonsulta sa isang abogado na dalubhasa sa real estate at mga hindi pagkakaunawaan sa co-ownership ay lubos na inirerekomenda. * **Pag-unawa sa Mga Bahagi ng Pag"&amp;"mamay-ari:** Ang pag-alam sa bahagi ng bawat kapwa may-ari sa ari-arian ay mahalaga para sa anumang mga kasunduan o legal na paglilitis.
* **Dokumentasyon:** Panatilihin ang malinaw at organisadong mga talaan ng mga kasunduan, komunikasyon, at mga transak"&amp;"syong pinansyal na nauugnay sa property.
**Tandaan:** Ang pagbibigay-priyoridad sa komunikasyon, negosasyon, at mga alternatibong paraan ng paglutas ng hindi pagkakaunawaan ay makakatulong sa mga kapwa may-ari na maabot ang mga solusyon nang mahusay at ma"&amp;"bawasan ang hindi pagkakasundo.")</f>
        <v>Sa Pilipinas, ang magkasanib na pagmamay-ari ng pagmamana ng ari-arian at mga hindi pagkakaunawaan sa pamamahala sa mga kapwa may-ari ay maaaring matugunan sa pamamagitan ng iba't ibang legal na mekanismo. Narito ang isang pangkalahatang-ideya ng mga opsyon:
**Komunikasyon at Negosasyon:**
* Ang pinakagustong diskarte ay bukas na komunikasyon at negosasyon sa pagitan ng mga kapwa may-ari. Talakayin ang mana, mga plano sa pamamahala, at mga potensyal na solusyon. **Pagsusuri sa Mga Kasunduan sa Co-ownership (kung mayroon):**
* Kung may umiiral na kasunduan sa co-ownership, sumangguni dito para sa mga probisyon sa mana, paglutas ng hindi pagkakaunawaan, at mga responsibilidad sa pamamahala. Ang kasunduang ito ay maaaring magdikta ng mga paunang natukoy na solusyon.
**Pag-abot sa isang Kasunduan:**
* Ang mga kapwa may-ari ay maaaring magsumikap na maabot ang isang kasunduan sa isa't isa na solusyon. Maaaring kabilang dito ang:
* **Pagbebenta ng Ari-arian:** Pagsang-ayon na ibenta ang ari-arian at hatiin ang mga nalikom batay sa mga bahagi ng pagmamay-ari.
* **Pagbili ng Iba Pang Mga Kasamang May-ari:** Maaaring bilhin ng isang kasamang may-ari ang mga bahagi ng iba upang maging nag-iisang may-ari.
* **Paghahati sa Ari-arian (kung magagawa):** Pisikal na paghahati sa ari-arian (kung maaari) sa magkakahiwalay na mga unit para sa indibidwal na pagmamay-ari.
* **Pagtatatag ng Malinaw na Mga Alituntunin sa Pamamahala:** Ang mga kapwa may-ari ay maaaring lumikha ng isang pormal na kasunduan sa pamamahala na nagbabalangkas sa mga responsibilidad sa pagpapanatili, pagbabahagi ng kita sa pagrenta (kung naaangkop), at mga pamamaraan sa paggawa ng desisyon para sa mga isyu sa hinaharap.
**Mediation:**
* Kung mahirap ang komunikasyon, isaalang-alang ang pamamagitan. Ang isang neutral na ikatlong partido ay nagpapadali sa talakayan at tumutulong sa mga kapwa may-ari na maabot ang isang kompromiso.
**Litigation (bilang huling paraan):**
* Kung mabibigo ang lahat, maaaring magsagawa ng legal na aksyon. Ito ay dapat na makita bilang isang huling paraan dahil sa mga potensyal na gastos, oras na kasangkot, at mahirap na mga relasyon. Ang mga demanda ay maaaring may kasamang:
* **Pagkilos ng Paghati:** Isang dibisyon ng ari-arian na iniutos ng hukuman, pisikal man o sa pamamagitan ng pagbebenta nito at paghahati sa mga nalikom.
* **Paglabag sa Kontrata ng Demanda:** Kung may umiiral na kasunduan sa kapwa pagmamay-ari at nilabag ng isang kasamang may-ari ang mga tuntunin nito, maaaring magsagawa ng legal na aksyon para sa paglabag sa kontrata.
**Mga Karagdagang Pagsasaalang-alang:**
* **Legal na Representasyon:** Ang pagkonsulta sa isang abogado na dalubhasa sa real estate at mga hindi pagkakaunawaan sa co-ownership ay lubos na inirerekomenda. * **Pag-unawa sa Mga Bahagi ng Pagmamay-ari:** Ang pag-alam sa bahagi ng bawat kapwa may-ari sa ari-arian ay mahalaga para sa anumang mga kasunduan o legal na paglilitis.
* **Dokumentasyon:** Panatilihin ang malinaw at organisadong mga talaan ng mga kasunduan, komunikasyon, at mga transaksyong pinansyal na nauugnay sa property.
**Tandaan:** Ang pagbibigay-priyoridad sa komunikasyon, negosasyon, at mga alternatibong paraan ng paglutas ng hindi pagkakaunawaan ay makakatulong sa mga kapwa may-ari na maabot ang mga solusyon nang mahusay at mabawasan ang hindi pagkakasundo.</v>
      </c>
      <c r="F435" s="2">
        <f t="shared" si="1"/>
        <v>1</v>
      </c>
      <c r="G435" s="2"/>
      <c r="H435" s="2"/>
      <c r="I435" s="2"/>
      <c r="J435" s="2"/>
      <c r="K435" s="2"/>
      <c r="L435" s="2"/>
      <c r="M435" s="2"/>
      <c r="N435" s="2"/>
      <c r="O435" s="2"/>
      <c r="P435" s="2"/>
      <c r="Q435" s="2"/>
      <c r="R435" s="2"/>
      <c r="S435" s="2"/>
      <c r="T435" s="2"/>
      <c r="U435" s="2"/>
      <c r="V435" s="2"/>
      <c r="W435" s="2"/>
      <c r="X435" s="2"/>
      <c r="Y435" s="2"/>
      <c r="Z435" s="2"/>
      <c r="AA435" s="2"/>
    </row>
    <row r="436">
      <c r="A436" s="1" t="s">
        <v>1224</v>
      </c>
      <c r="B436" s="1" t="s">
        <v>1590</v>
      </c>
      <c r="C436" s="1" t="s">
        <v>1591</v>
      </c>
      <c r="D436" s="1" t="s">
        <v>1592</v>
      </c>
      <c r="E436" s="2" t="str">
        <f>IFERROR(__xludf.DUMMYFUNCTION("GOOGLETRANSLATE(C436, ""en"", ""TL"")"),"Sa Pilipinas, ang pagmamana ng ari-arian na may mga paghihigpit sa kapaligiran o zoning ay may mga partikular na legal na pagsasaalang-alang para sa mga tagapagmana. Narito ang isang breakdown kung paano tinutugunan ng batas ang mga sitwasyong ito at ang "&amp;"mga obligasyon ng mga tagapagmana:
**Pag-unawa sa Mga Paghihigpit:**
* Dapat na lubusang maunawaan ng mga tagapagmana ang mga paghihigpit sa kapaligiran at zoning na nauugnay sa minanang ari-arian. Maaaring idokumento ang mga ito sa:
* **Mga Pamagat at Ga"&amp;"wa:** Maaaring tukuyin ang mga paghihigpit sa mga titulo o gawa ng ari-arian.
* **Mga Ordinansa sa Pagsona:** Ang mga lokal na ordinansa sa pagsona ay nagdidikta ng mga pinahihintulutang paggamit para sa mga partikular na zone (hal., tirahan, komersyal).
"&amp;"* **Mga Batas sa Kapaligiran:** Maaaring malapat ang mga batas tulad ng Environmental Impact Statement System Act (EIS Law) para sa partikular na pag-unlad o aktibidad sa property.
**Epekto sa Mana at Pamamahala:**
* Maaaring limitahan ng mga paghihigpit "&amp;"na ito kung paano ginagamit ng mga tagapagmana ang ari-arian. Halimbawa, maaaring limitahan ng zoning ang pag-unlad sa residential na paggamit lamang, na nagbabawal sa mga komersyal na aktibidad.
* Maaaring limitahan ng mga paghihigpit sa kapaligiran ang "&amp;"pagtatayo o mga pagbabago upang mapanatili ang mga sensitibong ecosystem o sumunod sa mga regulasyon sa pagkontrol ng polusyon.
**Mga Obligasyon ng mga Tagapagmana:**
* Ang mga tagapagmana ay may pananagutan sa pagsunod sa mga kasalukuyang paghihigpit. An"&amp;"g mga paglabag ay maaaring humantong sa mga parusa o kahit na pagkumpiska ng ari-arian ng gobyerno.
* Ang mga tagapagmana ay dapat magsagawa ng **pag-audit sa kapaligiran** (kung naaangkop) upang masuri ang mga potensyal na panganib sa kapaligiran o panan"&amp;"agutan na nauugnay sa ari-arian.
* Dapat kumuha ang mga tagapagmana ng kinakailangang **mga permit at clearance** mula sa mga ahensyang pangkalikasan o lokal na awtoridad bago magsagawa ng anumang mga aktibidad sa pagtatayo o pagpapaunlad sa ari-arian, ka"&amp;"hit na para sa mga pagsasaayos.
* Maaaring kailanganin ng mga tagapagmana na kumunsulta sa mga espesyalista sa kapaligiran o mga eksperto sa pagsona upang matiyak na ang kanilang nilalayon na paggamit ng ari-arian ay naaayon sa mga paghihigpit.
**Mga Kara"&amp;"gdagang Pagsasaalang-alang:**
* **Mga Kinakailangan sa Pagbubunyag:** Kung magpasya ang mga tagapagmana na ibenta ang ari-arian, dapat nilang ibunyag ang mga paghihigpit sa kapaligiran at zoning sa mga potensyal na mamimili.
* **Naghahanap ng Legal na Cou"&amp;"nsel:** Ang pagkonsulta sa isang abogado na may kadalubhasaan sa mga batas sa kapaligiran at zoning ay lubos na inirerekomenda. * Maaari silang magpayo tungkol sa mga partikular na paghihigpit, obligasyon sa pagsunod, at potensyal na pahintulot sa pagpapa"&amp;"unlad depende sa ari-arian at lokasyon nito.
**Tandaan:** Ang pag-unawa sa mga paghihigpit sa kapaligiran at zoning na nauugnay sa minanang ari-arian ay mahalaga para sa mga tagapagmana na pamahalaan ito nang responsable, maiwasan ang legal na problema, a"&amp;"t matiyak ang napapanatiling paggamit nito sa loob ng mga hangganang itinakda ng batas.")</f>
        <v>Sa Pilipinas, ang pagmamana ng ari-arian na may mga paghihigpit sa kapaligiran o zoning ay may mga partikular na legal na pagsasaalang-alang para sa mga tagapagmana. Narito ang isang breakdown kung paano tinutugunan ng batas ang mga sitwasyong ito at ang mga obligasyon ng mga tagapagmana:
**Pag-unawa sa Mga Paghihigpit:**
* Dapat na lubusang maunawaan ng mga tagapagmana ang mga paghihigpit sa kapaligiran at zoning na nauugnay sa minanang ari-arian. Maaaring idokumento ang mga ito sa:
* **Mga Pamagat at Gawa:** Maaaring tukuyin ang mga paghihigpit sa mga titulo o gawa ng ari-arian.
* **Mga Ordinansa sa Pagsona:** Ang mga lokal na ordinansa sa pagsona ay nagdidikta ng mga pinahihintulutang paggamit para sa mga partikular na zone (hal., tirahan, komersyal).
* **Mga Batas sa Kapaligiran:** Maaaring malapat ang mga batas tulad ng Environmental Impact Statement System Act (EIS Law) para sa partikular na pag-unlad o aktibidad sa property.
**Epekto sa Mana at Pamamahala:**
* Maaaring limitahan ng mga paghihigpit na ito kung paano ginagamit ng mga tagapagmana ang ari-arian. Halimbawa, maaaring limitahan ng zoning ang pag-unlad sa residential na paggamit lamang, na nagbabawal sa mga komersyal na aktibidad.
* Maaaring limitahan ng mga paghihigpit sa kapaligiran ang pagtatayo o mga pagbabago upang mapanatili ang mga sensitibong ecosystem o sumunod sa mga regulasyon sa pagkontrol ng polusyon.
**Mga Obligasyon ng mga Tagapagmana:**
* Ang mga tagapagmana ay may pananagutan sa pagsunod sa mga kasalukuyang paghihigpit. Ang mga paglabag ay maaaring humantong sa mga parusa o kahit na pagkumpiska ng ari-arian ng gobyerno.
* Ang mga tagapagmana ay dapat magsagawa ng **pag-audit sa kapaligiran** (kung naaangkop) upang masuri ang mga potensyal na panganib sa kapaligiran o pananagutan na nauugnay sa ari-arian.
* Dapat kumuha ang mga tagapagmana ng kinakailangang **mga permit at clearance** mula sa mga ahensyang pangkalikasan o lokal na awtoridad bago magsagawa ng anumang mga aktibidad sa pagtatayo o pagpapaunlad sa ari-arian, kahit na para sa mga pagsasaayos.
* Maaaring kailanganin ng mga tagapagmana na kumunsulta sa mga espesyalista sa kapaligiran o mga eksperto sa pagsona upang matiyak na ang kanilang nilalayon na paggamit ng ari-arian ay naaayon sa mga paghihigpit.
**Mga Karagdagang Pagsasaalang-alang:**
* **Mga Kinakailangan sa Pagbubunyag:** Kung magpasya ang mga tagapagmana na ibenta ang ari-arian, dapat nilang ibunyag ang mga paghihigpit sa kapaligiran at zoning sa mga potensyal na mamimili.
* **Naghahanap ng Legal na Counsel:** Ang pagkonsulta sa isang abogado na may kadalubhasaan sa mga batas sa kapaligiran at zoning ay lubos na inirerekomenda. * Maaari silang magpayo tungkol sa mga partikular na paghihigpit, obligasyon sa pagsunod, at potensyal na pahintulot sa pagpapaunlad depende sa ari-arian at lokasyon nito.
**Tandaan:** Ang pag-unawa sa mga paghihigpit sa kapaligiran at zoning na nauugnay sa minanang ari-arian ay mahalaga para sa mga tagapagmana na pamahalaan ito nang responsable, maiwasan ang legal na problema, at matiyak ang napapanatiling paggamit nito sa loob ng mga hangganang itinakda ng batas.</v>
      </c>
      <c r="F436" s="2">
        <f t="shared" si="1"/>
        <v>1</v>
      </c>
      <c r="G436" s="2"/>
      <c r="H436" s="2"/>
      <c r="I436" s="2"/>
      <c r="J436" s="2"/>
      <c r="K436" s="2"/>
      <c r="L436" s="2"/>
      <c r="M436" s="2"/>
      <c r="N436" s="2"/>
      <c r="O436" s="2"/>
      <c r="P436" s="2"/>
      <c r="Q436" s="2"/>
      <c r="R436" s="2"/>
      <c r="S436" s="2"/>
      <c r="T436" s="2"/>
      <c r="U436" s="2"/>
      <c r="V436" s="2"/>
      <c r="W436" s="2"/>
      <c r="X436" s="2"/>
      <c r="Y436" s="2"/>
      <c r="Z436" s="2"/>
      <c r="AA436" s="2"/>
    </row>
    <row r="437">
      <c r="A437" s="1" t="s">
        <v>1224</v>
      </c>
      <c r="B437" s="1" t="s">
        <v>1593</v>
      </c>
      <c r="C437" s="1" t="s">
        <v>1594</v>
      </c>
      <c r="D437" s="1" t="s">
        <v>1595</v>
      </c>
      <c r="E437" s="2" t="str">
        <f>IFERROR(__xludf.DUMMYFUNCTION("GOOGLETRANSLATE(C437, ""en"", ""TL"")"),"Ang pagmamana ng ari-arian sa Pilipinas ay kinabibilangan ng paglilipat ng pagmamay-ari mula sa namatay sa mga benepisyaryo. Narito ang isang breakdown ng legal na proseso para sa paglilipat ng minanang ari-arian, kabilang ang paglilipat ng titulo at mga "&amp;"kinakailangan sa pagpaparehistro:
**Mga Hakbang na Kasangkot:**
1. **Secure Estate Tax Clearance:**
* Ang tagapagpatupad (o mga tagapagmana kung walang habilin) ​​ay dapat bayaran ang anumang natitirang buwis sa ari-arian sa Bureau of Internal Revenue (BI"&amp;"R). ([Tax Code, Sec. 85])
* Kapag nabayaran na ang estate tax, isang clearance certificate ang ibibigay ng BIR, na isang mahalagang dokumento para sa paglilipat ng titulo.
2. **Maghanda ng Mga Kinakailangang Dokumento:**
* **Death Certificate:** Isang ser"&amp;"tipikadong kopya ng death certificate ng namatay.
* **Certificate of Heirship (kung walang will):** Kung walang will, ang dokumentong ito, na inisyu ng korte, ay nagtatatag ng mga legal na tagapagmana at ng kani-kanilang mga bahagi sa ari-arian.
* **Habil"&amp;"in (kung naaangkop):** Ang orihinal o isang sertipikadong kopya ng wastong testamento. * **Estate Tax Clearance Certificate:** Ang dokumentong nakuha mula sa BIR pagkatapos ayusin ang mga buwis sa ari-arian.
* **Tax Declaration:** Ang pinakabagong tax dec"&amp;"laration ng property.
* **Transfer Tax Payment:** Patunay ng pagbabayad ng transfer tax batay sa halaga ng property.
3. **Deed of Adjudication (kung naaangkop):**
* Kung maraming tagapagmana at sumang-ayon sila sa pamamahagi ng ari-arian ayon sa mga tuntu"&amp;"nin ng testamento o kawalan ng buhay, maaari silang magsagawa ng Deed of Adjudication. Pormal na hinahati ng dokumentong ito ang pagmamay-ari ng ari-arian sa mga tagapagmana. Maaaring tumulong ang isang abogado sa paghahanda ng dokumentong ito.
4. **Pagli"&amp;"pat ng Pamagat at Pagpaparehistro:**
* Ang lahat ng mga kinakailangang dokumento ay isinumite sa Registry of Deeds (ROD) kung saan nakarehistro ang ari-arian.
* Bine-verify ng ROD ang mga dokumento at pinoproseso ang paglilipat ng pagmamay-ari sa mga bene"&amp;"pisyaryo batay sa testamento, mga panuntunan sa intestacy, o Deed of Adjudication.
* Sa matagumpay na pagproseso, ang ROD ay naglalabas ng bagong Sertipiko ng Pamagat na nagpapakita ng mga pangalan ng mga benepisyaryo bilang mga bagong may-ari.
**Mga Kara"&amp;"gdagang Pagsasaalang-alang:**
* **Mga Bayarin sa Pagpaparehistro:** Ang mga bayarin na nauugnay sa paglilipat ng titulo at pagpaparehistro ng property sa ROD ay kailangang bayaran.
* **Legal na Representasyon:** Ang pagkonsulta sa isang abogadong may kara"&amp;"nasan sa paglilipat ng ari-arian at pag-aayos ng ari-arian ay maaaring maging kapaki-pakinabang upang matiyak na ang lahat ng mga legal na kinakailangan ay natutugunan at ang proseso ay nakumpleto nang mahusay.
* **Timeframe:** Ang tagal ng proseso ng pag"&amp;"lipat ay maaaring mag-iba depende sa pagiging kumplikado ng kaso at ang workload sa BIR at ROD.
**Mahalagang Mapagkukunan:**
* Bureau of Internal Revenue (BIR): [https://www.bir.gov.ph/](https://www.bir.gov.ph/)
* Registry of Deeds (ROD): [https://www.doj"&amp;".gov.ph/](https://www.doj.gov.ph/)
Sa pamamagitan ng pagsunod sa mga hakbang na ito at pagkumpleto ng kinakailangang dokumentasyon, matagumpay na mailipat ng mga tagapagmana ang minanang ari-arian sa kanilang nararapat na pagmamay-ari at maipakita ang kan"&amp;"ilang mga pangalan sa mga opisyal na titulo ng lupa.")</f>
        <v>Ang pagmamana ng ari-arian sa Pilipinas ay kinabibilangan ng paglilipat ng pagmamay-ari mula sa namatay sa mga benepisyaryo. Narito ang isang breakdown ng legal na proseso para sa paglilipat ng minanang ari-arian, kabilang ang paglilipat ng titulo at mga kinakailangan sa pagpaparehistro:
**Mga Hakbang na Kasangkot:**
1. **Secure Estate Tax Clearance:**
* Ang tagapagpatupad (o mga tagapagmana kung walang habilin) ​​ay dapat bayaran ang anumang natitirang buwis sa ari-arian sa Bureau of Internal Revenue (BIR). ([Tax Code, Sec. 85])
* Kapag nabayaran na ang estate tax, isang clearance certificate ang ibibigay ng BIR, na isang mahalagang dokumento para sa paglilipat ng titulo.
2. **Maghanda ng Mga Kinakailangang Dokumento:**
* **Death Certificate:** Isang sertipikadong kopya ng death certificate ng namatay.
* **Certificate of Heirship (kung walang will):** Kung walang will, ang dokumentong ito, na inisyu ng korte, ay nagtatatag ng mga legal na tagapagmana at ng kani-kanilang mga bahagi sa ari-arian.
* **Habilin (kung naaangkop):** Ang orihinal o isang sertipikadong kopya ng wastong testamento. * **Estate Tax Clearance Certificate:** Ang dokumentong nakuha mula sa BIR pagkatapos ayusin ang mga buwis sa ari-arian.
* **Tax Declaration:** Ang pinakabagong tax declaration ng property.
* **Transfer Tax Payment:** Patunay ng pagbabayad ng transfer tax batay sa halaga ng property.
3. **Deed of Adjudication (kung naaangkop):**
* Kung maraming tagapagmana at sumang-ayon sila sa pamamahagi ng ari-arian ayon sa mga tuntunin ng testamento o kawalan ng buhay, maaari silang magsagawa ng Deed of Adjudication. Pormal na hinahati ng dokumentong ito ang pagmamay-ari ng ari-arian sa mga tagapagmana. Maaaring tumulong ang isang abogado sa paghahanda ng dokumentong ito.
4. **Paglipat ng Pamagat at Pagpaparehistro:**
* Ang lahat ng mga kinakailangang dokumento ay isinumite sa Registry of Deeds (ROD) kung saan nakarehistro ang ari-arian.
* Bine-verify ng ROD ang mga dokumento at pinoproseso ang paglilipat ng pagmamay-ari sa mga benepisyaryo batay sa testamento, mga panuntunan sa intestacy, o Deed of Adjudication.
* Sa matagumpay na pagproseso, ang ROD ay naglalabas ng bagong Sertipiko ng Pamagat na nagpapakita ng mga pangalan ng mga benepisyaryo bilang mga bagong may-ari.
**Mga Karagdagang Pagsasaalang-alang:**
* **Mga Bayarin sa Pagpaparehistro:** Ang mga bayarin na nauugnay sa paglilipat ng titulo at pagpaparehistro ng property sa ROD ay kailangang bayaran.
* **Legal na Representasyon:** Ang pagkonsulta sa isang abogadong may karanasan sa paglilipat ng ari-arian at pag-aayos ng ari-arian ay maaaring maging kapaki-pakinabang upang matiyak na ang lahat ng mga legal na kinakailangan ay natutugunan at ang proseso ay nakumpleto nang mahusay.
* **Timeframe:** Ang tagal ng proseso ng paglipat ay maaaring mag-iba depende sa pagiging kumplikado ng kaso at ang workload sa BIR at ROD.
**Mahalagang Mapagkukunan:**
* Bureau of Internal Revenue (BIR): [https://www.bir.gov.ph/](https://www.bir.gov.ph/)
* Registry of Deeds (ROD): [https://www.doj.gov.ph/](https://www.doj.gov.ph/)
Sa pamamagitan ng pagsunod sa mga hakbang na ito at pagkumpleto ng kinakailangang dokumentasyon, matagumpay na mailipat ng mga tagapagmana ang minanang ari-arian sa kanilang nararapat na pagmamay-ari at maipakita ang kanilang mga pangalan sa mga opisyal na titulo ng lupa.</v>
      </c>
      <c r="F437" s="2">
        <f t="shared" si="1"/>
        <v>1</v>
      </c>
      <c r="G437" s="2"/>
      <c r="H437" s="2"/>
      <c r="I437" s="2"/>
      <c r="J437" s="2"/>
      <c r="K437" s="2"/>
      <c r="L437" s="2"/>
      <c r="M437" s="2"/>
      <c r="N437" s="2"/>
      <c r="O437" s="2"/>
      <c r="P437" s="2"/>
      <c r="Q437" s="2"/>
      <c r="R437" s="2"/>
      <c r="S437" s="2"/>
      <c r="T437" s="2"/>
      <c r="U437" s="2"/>
      <c r="V437" s="2"/>
      <c r="W437" s="2"/>
      <c r="X437" s="2"/>
      <c r="Y437" s="2"/>
      <c r="Z437" s="2"/>
      <c r="AA437" s="2"/>
    </row>
    <row r="438">
      <c r="A438" s="1" t="s">
        <v>1224</v>
      </c>
      <c r="B438" s="1" t="s">
        <v>1596</v>
      </c>
      <c r="C438" s="1" t="s">
        <v>1597</v>
      </c>
      <c r="D438" s="1" t="s">
        <v>1598</v>
      </c>
      <c r="E438" s="2" t="str">
        <f>IFERROR(__xludf.DUMMYFUNCTION("GOOGLETRANSLATE(C438, ""en"", ""TL"")"),"## Pamana ng Ari-arian na may mga Mortgage o Liens sa Pilipinas
Narito kung paano tinutugunan ng batas ng Pilipinas ang pagmamana ng ari-arian gamit ang mga sangla o lien, at mga hakbang na maaaring gawin ng mga tagapagmana:
**Ang mga Tagapagmana ay Nagma"&amp;"na ng Ari-arian na napapailalim sa mga Encumbrances:**
* Ang mga tagapagmana ay nagmamana ng ari-arian **kasama ang anumang umiiral na mga mortgage o lien**. Ito ay nakasaad sa Civil Code of the Philippines (Artikulo 657).
**Katayuan ng Mortgage/Lien Pagk"&amp;"atapos ng Inheritance:**
* Ang mortgage/lien **ay nananatiling nakakabit sa property**. Ang mga tagapagmana ay nagiging responsable para sa utang na sinigurado ng mortgage/lien. (Kodigo Sibil, Artikulo 657)
**Mga Pagpipilian sa Tagapagmana:**
* **Bayaran "&amp;"ang Mortgage/Lien:** Maaaring sama-samang bayaran ng mga tagapagmana ang natitirang halaga upang alisin ang encumbrance mula sa property. Nagbibigay-daan ito sa kanila na pagmamay-ari ang ari-arian nang libre at malinaw.
* **Ibenta ang Ari-arian:** Maaari"&amp;"ng ibenta ng mga tagapagmana ang ari-arian. Ang mga nalikom mula sa pagbebenta ay ginagamit upang bayaran muna ang mortgage/lien, na may anumang natitirang halaga na ibinahagi sa mga tagapagmana ayon sa kanilang bahagi ng mana. (Civil Code, Artikulo 1081)"&amp;"
* **Ipagpalagay ang Mortgage (kung pinahihintulutan):** Sa ilang mga kaso, ang kasunduan sa pautang ay maaaring magpapahintulot sa isang tagapagmana na tanggapin ang mga pagbabayad ng mortgage at maging bagong nanghihiram. Nangangailangan ito ng pag-apru"&amp;"ba mula sa nagpapahiram.
**Mga Hakbang para sa mga Tagapagmana:**
1. **Repasuhin ang Mga Dokumento sa Loan:** Dapat na maingat na suriin ng mga tagapagmana ang mga dokumento ng mortgage/lien upang maunawaan ang mga tuntunin at kundisyon, kabilang ang anum"&amp;"ang sugnay na ""due-on-transfer"" na maaaring magpabilis ng loan sa mana.
2. **Makipag-ugnayan sa Lender/Lienholder:** Ang mga tagapagmana ay dapat magtatag ng komunikasyon sa tagapagpahiram/lienholder upang talakayin ang mga opsyon. Maaaring kabilang dit"&amp;"o ang paghiling ng halaga ng kabayaran o paggalugad sa posibilidad ng pagpapalagay ng mortgage (kung naaangkop). 3. **Kumonsulta sa isang Abogado:** Lubos na inirerekomenda na kumunsulta sa isang abogado na dalubhasa sa batas ng ari-arian at mana. Maaari "&amp;"silang magbigay ng tiyak na patnubay batay sa sitwasyon at tiyaking nauunawaan ng mga tagapagmana ang kanilang mga karapatan at obligasyon.
**Mga Karagdagang Tala:**
* Ang proseso ng pag-aayos sa isang ari-arian gamit ang isang nasangla/na-liened na ari-a"&amp;"rian ay maaaring maging kumplikado. Ang mga tagapagmana ay dapat magtulungan at kumilos nang sama-sama sa paggawa ng mga desisyon.
* Pinahihintulutan ng batas ng Pilipinas ang extrajudicial foreclosure kung ang mortgage/lien ay hindi naayos ayon sa mga tu"&amp;"ntunin. Ito ay maaaring humantong sa pagbebenta ng ari-arian upang mabayaran ang utang.
**Tandaan:** Ito ay isang pinasimple na pangkalahatang-ideya. Ang pagkonsulta sa isang kwalipikadong abogado ay mahalaga para sa pag-navigate sa mga legalidad ng pagma"&amp;"mana ng ari-arian na may mga mortgage o lien.")</f>
        <v>## Pamana ng Ari-arian na may mga Mortgage o Liens sa Pilipinas
Narito kung paano tinutugunan ng batas ng Pilipinas ang pagmamana ng ari-arian gamit ang mga sangla o lien, at mga hakbang na maaaring gawin ng mga tagapagmana:
**Ang mga Tagapagmana ay Nagmana ng Ari-arian na napapailalim sa mga Encumbrances:**
* Ang mga tagapagmana ay nagmamana ng ari-arian **kasama ang anumang umiiral na mga mortgage o lien**. Ito ay nakasaad sa Civil Code of the Philippines (Artikulo 657).
**Katayuan ng Mortgage/Lien Pagkatapos ng Inheritance:**
* Ang mortgage/lien **ay nananatiling nakakabit sa property**. Ang mga tagapagmana ay nagiging responsable para sa utang na sinigurado ng mortgage/lien. (Kodigo Sibil, Artikulo 657)
**Mga Pagpipilian sa Tagapagmana:**
* **Bayaran ang Mortgage/Lien:** Maaaring sama-samang bayaran ng mga tagapagmana ang natitirang halaga upang alisin ang encumbrance mula sa property. Nagbibigay-daan ito sa kanila na pagmamay-ari ang ari-arian nang libre at malinaw.
* **Ibenta ang Ari-arian:** Maaaring ibenta ng mga tagapagmana ang ari-arian. Ang mga nalikom mula sa pagbebenta ay ginagamit upang bayaran muna ang mortgage/lien, na may anumang natitirang halaga na ibinahagi sa mga tagapagmana ayon sa kanilang bahagi ng mana. (Civil Code, Artikulo 1081)
* **Ipagpalagay ang Mortgage (kung pinahihintulutan):** Sa ilang mga kaso, ang kasunduan sa pautang ay maaaring magpapahintulot sa isang tagapagmana na tanggapin ang mga pagbabayad ng mortgage at maging bagong nanghihiram. Nangangailangan ito ng pag-apruba mula sa nagpapahiram.
**Mga Hakbang para sa mga Tagapagmana:**
1. **Repasuhin ang Mga Dokumento sa Loan:** Dapat na maingat na suriin ng mga tagapagmana ang mga dokumento ng mortgage/lien upang maunawaan ang mga tuntunin at kundisyon, kabilang ang anumang sugnay na "due-on-transfer" na maaaring magpabilis ng loan sa mana.
2. **Makipag-ugnayan sa Lender/Lienholder:** Ang mga tagapagmana ay dapat magtatag ng komunikasyon sa tagapagpahiram/lienholder upang talakayin ang mga opsyon. Maaaring kabilang dito ang paghiling ng halaga ng kabayaran o paggalugad sa posibilidad ng pagpapalagay ng mortgage (kung naaangkop). 3. **Kumonsulta sa isang Abogado:** Lubos na inirerekomenda na kumunsulta sa isang abogado na dalubhasa sa batas ng ari-arian at mana. Maaari silang magbigay ng tiyak na patnubay batay sa sitwasyon at tiyaking nauunawaan ng mga tagapagmana ang kanilang mga karapatan at obligasyon.
**Mga Karagdagang Tala:**
* Ang proseso ng pag-aayos sa isang ari-arian gamit ang isang nasangla/na-liened na ari-arian ay maaaring maging kumplikado. Ang mga tagapagmana ay dapat magtulungan at kumilos nang sama-sama sa paggawa ng mga desisyon.
* Pinahihintulutan ng batas ng Pilipinas ang extrajudicial foreclosure kung ang mortgage/lien ay hindi naayos ayon sa mga tuntunin. Ito ay maaaring humantong sa pagbebenta ng ari-arian upang mabayaran ang utang.
**Tandaan:** Ito ay isang pinasimple na pangkalahatang-ideya. Ang pagkonsulta sa isang kwalipikadong abogado ay mahalaga para sa pag-navigate sa mga legalidad ng pagmamana ng ari-arian na may mga mortgage o lien.</v>
      </c>
      <c r="F438" s="2">
        <f t="shared" si="1"/>
        <v>1</v>
      </c>
      <c r="G438" s="2"/>
      <c r="H438" s="2"/>
      <c r="I438" s="2"/>
      <c r="J438" s="2"/>
      <c r="K438" s="2"/>
      <c r="L438" s="2"/>
      <c r="M438" s="2"/>
      <c r="N438" s="2"/>
      <c r="O438" s="2"/>
      <c r="P438" s="2"/>
      <c r="Q438" s="2"/>
      <c r="R438" s="2"/>
      <c r="S438" s="2"/>
      <c r="T438" s="2"/>
      <c r="U438" s="2"/>
      <c r="V438" s="2"/>
      <c r="W438" s="2"/>
      <c r="X438" s="2"/>
      <c r="Y438" s="2"/>
      <c r="Z438" s="2"/>
      <c r="AA438" s="2"/>
    </row>
    <row r="439">
      <c r="A439" s="1" t="s">
        <v>1224</v>
      </c>
      <c r="B439" s="1" t="s">
        <v>1569</v>
      </c>
      <c r="C439" s="1" t="s">
        <v>1599</v>
      </c>
      <c r="D439" s="1" t="s">
        <v>1571</v>
      </c>
      <c r="E439" s="2" t="str">
        <f>IFERROR(__xludf.DUMMYFUNCTION("GOOGLETRANSLATE(C439, ""en"", ""TL"")"),"Sa Pilipinas, kapag may wastong testamento, ang pagmamana ng ari-arian ay sumusunod sa isang partikular na legal na proseso para sa pamamahagi ng mga ari-arian. Narito ang isang breakdown ng mga hakbang at kung paano tinutukoy ang pamamahagi:
**Mga Legal "&amp;"na Hakbang:**
1. **Probate ng Will:**
* Ang pinangalanang tagapagpatupad sa testamento ay naghain ng petisyon sa naaangkop na hukuman upang probate ang testamento. Bine-verify nito ang pagiging tunay at legal na bisa nito. (Rule 74, Rules of Court)
* Ang "&amp;"hukuman ay nagbibigay ng paunawa sa mga interesadong partido, na nagpapahintulot sa kanila na labanan ang bisa ng testamento kung kinakailangan.
2. **Pag-aayos ng mga Utang at Buwis:**
* Ang mga buwis sa ari-arian ay tinutukoy at binabayaran sa Bureau of "&amp;"Internal Revenue (BIR). (Tax Code, Seksyon 88)
* Binabayaran ng tagapagpatupad ang anumang natitirang mga utang ng namatay gamit ang mga ari-arian bago ipamahagi. (Civil Code, Artikulo 683)
3. **Imbentaryo at Pagtatasa:**
* Lumilikha ang tagapagpatupad ng"&amp;" kumpletong imbentaryo ng lahat ng ari-arian, kabilang ang ari-arian at iba pang mahahalagang bagay. * Ang mga asset ay tinasa upang matukoy ang kanilang patas na halaga sa pamilihan. 4. **Pamamahagi ng mga Asset:**
* Batay sa wastong testamento, ibinabah"&amp;"agi ng tagapagpatupad ang natitirang ari-arian sa mga benepisyaryo na pinangalanan sa testamento. (Kodigo Sibil, Artikulo 878)
**Pamamahagi ng mga Asset:**
* **Kalayaan ng Testator (na may mga Limitasyon):** Ang testator (taong sumulat ng testamento) ay m"&amp;"ay malaking kalayaan sa pamamahagi ng kanilang mga ari-arian. Maaari silang magtalaga ng mga partikular na benepisyaryo at kung magkano ang natatanggap ng bawat isa.
* **Compulsory Heirs (Legitime):** Gayunpaman, pinoprotektahan ng batas ng Pilipinas ang "&amp;"ilang mga compulsory heirs, kadalasan ang asawa at mga lehitimong anak. Mayroon silang legal na karapatan sa isang bahagi ng ari-arian, anuman ang mga probisyon ng testamento. (Kodigo Sibil, Artikulo 878)
* Ang halaga na kanilang natatanggap ay depende sa"&amp;" kanilang kaugnayan sa namatay at sa presensya ng nabubuhay na asawa.
**Mga Karagdagang Pagsasaalang-alang:**
* **Pagpapakahulugan sa Testamento:** Kung ang mga salita ng testamento ay hindi malinaw, maaaring kailanganin ng hukuman na bigyang-kahulugan an"&amp;"g kahulugan at layunin ng testator.
* **Paglalaban sa Testamento:** Ang mga benepisyaryo na naniniwala na ang testamento ay hindi wasto o hindi patas ay maaaring ipaglaban ito sa korte. (Rule 74, Rules of Court)
**Rekomendasyon:**
Para sa maayos na proses"&amp;"o ng pamana, tiyaking malinaw, maayos na naisakatuparan, at sumusunod sa mga legal na kinakailangan ng Pilipinas. Ang pagkonsulta sa isang abogado na dalubhasa sa pagpaplano ng ari-arian ay maaaring makatulong na matiyak na ang testamento ay wasto at maba"&amp;"wasan ang panganib ng mga hindi pagkakaunawaan.")</f>
        <v>Sa Pilipinas, kapag may wastong testamento, ang pagmamana ng ari-arian ay sumusunod sa isang partikular na legal na proseso para sa pamamahagi ng mga ari-arian. Narito ang isang breakdown ng mga hakbang at kung paano tinutukoy ang pamamahagi:
**Mga Legal na Hakbang:**
1. **Probate ng Will:**
* Ang pinangalanang tagapagpatupad sa testamento ay naghain ng petisyon sa naaangkop na hukuman upang probate ang testamento. Bine-verify nito ang pagiging tunay at legal na bisa nito. (Rule 74, Rules of Court)
* Ang hukuman ay nagbibigay ng paunawa sa mga interesadong partido, na nagpapahintulot sa kanila na labanan ang bisa ng testamento kung kinakailangan.
2. **Pag-aayos ng mga Utang at Buwis:**
* Ang mga buwis sa ari-arian ay tinutukoy at binabayaran sa Bureau of Internal Revenue (BIR). (Tax Code, Seksyon 88)
* Binabayaran ng tagapagpatupad ang anumang natitirang mga utang ng namatay gamit ang mga ari-arian bago ipamahagi. (Civil Code, Artikulo 683)
3. **Imbentaryo at Pagtatasa:**
* Lumilikha ang tagapagpatupad ng kumpletong imbentaryo ng lahat ng ari-arian, kabilang ang ari-arian at iba pang mahahalagang bagay. * Ang mga asset ay tinasa upang matukoy ang kanilang patas na halaga sa pamilihan. 4. **Pamamahagi ng mga Asset:**
* Batay sa wastong testamento, ibinabahagi ng tagapagpatupad ang natitirang ari-arian sa mga benepisyaryo na pinangalanan sa testamento. (Kodigo Sibil, Artikulo 878)
**Pamamahagi ng mga Asset:**
* **Kalayaan ng Testator (na may mga Limitasyon):** Ang testator (taong sumulat ng testamento) ay may malaking kalayaan sa pamamahagi ng kanilang mga ari-arian. Maaari silang magtalaga ng mga partikular na benepisyaryo at kung magkano ang natatanggap ng bawat isa.
* **Compulsory Heirs (Legitime):** Gayunpaman, pinoprotektahan ng batas ng Pilipinas ang ilang mga compulsory heirs, kadalasan ang asawa at mga lehitimong anak. Mayroon silang legal na karapatan sa isang bahagi ng ari-arian, anuman ang mga probisyon ng testamento. (Kodigo Sibil, Artikulo 878)
* Ang halaga na kanilang natatanggap ay depende sa kanilang kaugnayan sa namatay at sa presensya ng nabubuhay na asawa.
**Mga Karagdagang Pagsasaalang-alang:**
* **Pagpapakahulugan sa Testamento:** Kung ang mga salita ng testamento ay hindi malinaw, maaaring kailanganin ng hukuman na bigyang-kahulugan ang kahulugan at layunin ng testator.
* **Paglalaban sa Testamento:** Ang mga benepisyaryo na naniniwala na ang testamento ay hindi wasto o hindi patas ay maaaring ipaglaban ito sa korte. (Rule 74, Rules of Court)
**Rekomendasyon:**
Para sa maayos na proseso ng pamana, tiyaking malinaw, maayos na naisakatuparan, at sumusunod sa mga legal na kinakailangan ng Pilipinas. Ang pagkonsulta sa isang abogado na dalubhasa sa pagpaplano ng ari-arian ay maaaring makatulong na matiyak na ang testamento ay wasto at mabawasan ang panganib ng mga hindi pagkakaunawaan.</v>
      </c>
      <c r="F439" s="2">
        <f t="shared" si="1"/>
        <v>0</v>
      </c>
      <c r="G439" s="2"/>
      <c r="H439" s="2"/>
      <c r="I439" s="2"/>
      <c r="J439" s="2"/>
      <c r="K439" s="2"/>
      <c r="L439" s="2"/>
      <c r="M439" s="2"/>
      <c r="N439" s="2"/>
      <c r="O439" s="2"/>
      <c r="P439" s="2"/>
      <c r="Q439" s="2"/>
      <c r="R439" s="2"/>
      <c r="S439" s="2"/>
      <c r="T439" s="2"/>
      <c r="U439" s="2"/>
      <c r="V439" s="2"/>
      <c r="W439" s="2"/>
      <c r="X439" s="2"/>
      <c r="Y439" s="2"/>
      <c r="Z439" s="2"/>
      <c r="AA439" s="2"/>
    </row>
    <row r="440">
      <c r="A440" s="1" t="s">
        <v>1224</v>
      </c>
      <c r="B440" s="1" t="s">
        <v>1572</v>
      </c>
      <c r="C440" s="1" t="s">
        <v>1600</v>
      </c>
      <c r="D440" s="1" t="s">
        <v>1574</v>
      </c>
      <c r="E440" s="2" t="str">
        <f>IFERROR(__xludf.DUMMYFUNCTION("GOOGLETRANSLATE(C440, ""en"", ""TL"")"),"Sa Pilipinas, ang intestacy ay tumutukoy sa isang sitwasyon kung saan ang isang tao ay namamatay **nang hindi nag-iiwan ng wastong testamento**. Kapag nangyari ito, idinidikta ng batas ng Pilipinas kung paano ipinamamahagi ang ari-arian (estate) ng namata"&amp;"y sa kanilang mga tagapagmana. Narito ang isang breakdown ng legal na konsepto at ang aplikasyon nito:
**Intestacy vs. Testate Succession:**
* **Succession ng Testate:** Kapag may wastong testamento, ang pamamahagi ng mga asset ay sumusunod sa kagustuhan "&amp;"ng testator gaya ng nakabalangkas sa testamento. ([Nakaraang Tugon sa Wills])
* **Intestate Succession:** Kung walang testamento, idinidikta ng batas ng Pilipinas ang pamamahagi ng ari-arian sa pamamagitan ng isang nakatakdang pagkakasunud-sunod ng mana.
"&amp;"**Order of Heirs in Intestacy (Civil Code, Book II, Title II):**
Ang batas ay inuuna ang mga tagapagmana sa isang tiyak na pagkakasunud-sunod upang makatanggap ng bahagi ng ari-arian:
1. **Compulsory Heirs:** Ito ang asawa at mga lehitimong anak ng namata"&amp;"y. Ang kanilang bahagi ay tinatawag na ""legitime.""
* Ang eksaktong bahagi ay nakasalalay sa pagkakaroon ng nabubuhay na asawa at ang bilang ng mga lehitimong anak.
2. **Mga Ascendants (Mga Magulang at Ninuno):** Kung walang nabubuhay na asawa o mga lehi"&amp;"timong anak, ang mga magulang ng namatay o ang pinakamalapit na nabubuhay na ascendant ang magmamana ng ari-arian.
3. **Collateral Heirs (Mga Kapatid, Pamangkin, Pamangkin):** Sa kawalan ng asawa, mga lehitimong anak, at mga ascendants, ang mga kapatid, p"&amp;"amangkin, o pamangkin ng namatay ay magmamana. 4. **Ang Estado:** Kung walang tagapagmana na kuwalipikado sa ilalim ng mga nakaraang kategorya, ang pamahalaan ng Pilipinas ang magmamana ng ari-arian.
**Mahahalagang Paalala:**
* **Proteksyon ng Sapilitang "&amp;"Tagapagmana:** Ang batas ng Pilipinas ay pinangangalagaan ang ""lehitimo"" ng mga sapilitang tagapagmana. Kahit na walang testamento, sila ay may karapatan sa isang bahagi ng ari-arian. * **Sharing Ratio:** Ang partikular na bahagi na matatanggap ng bawat"&amp;" tagapagmana sa loob ng isang kategorya ay depende sa bilang ng mga tagapagmana sa kategoryang iyon. (Kodigo Sibil, Mga Artikulo 886-890)
* **Illegitimate Children:** Bagama't hindi sapilitang tagapagmana, ang mga anak sa labas ay maaaring may karapatan s"&amp;"a isang bahagi sa ilalim ng ilang mga pangyayari (Civil Code, Article 891).
**Rekomendasyon:**
Ang paggawa ng testamento ay nagbibigay-daan sa iyong kontrolin kung paano ibinabahagi ang iyong mga asset pagkatapos ng kamatayan. Makakatulong ito na maiwasan"&amp;" ang mga potensyal na hindi pagkakaunawaan sa pagitan ng mga tagapagmana at matiyak na masusunod ang iyong mga kagustuhan. Ang pagkonsulta sa isang abogado na dalubhasa sa estate planning ay lubos na inirerekomenda.")</f>
        <v>Sa Pilipinas, ang intestacy ay tumutukoy sa isang sitwasyon kung saan ang isang tao ay namamatay **nang hindi nag-iiwan ng wastong testamento**. Kapag nangyari ito, idinidikta ng batas ng Pilipinas kung paano ipinamamahagi ang ari-arian (estate) ng namatay sa kanilang mga tagapagmana. Narito ang isang breakdown ng legal na konsepto at ang aplikasyon nito:
**Intestacy vs. Testate Succession:**
* **Succession ng Testate:** Kapag may wastong testamento, ang pamamahagi ng mga asset ay sumusunod sa kagustuhan ng testator gaya ng nakabalangkas sa testamento. ([Nakaraang Tugon sa Wills])
* **Intestate Succession:** Kung walang testamento, idinidikta ng batas ng Pilipinas ang pamamahagi ng ari-arian sa pamamagitan ng isang nakatakdang pagkakasunud-sunod ng mana.
**Order of Heirs in Intestacy (Civil Code, Book II, Title II):**
Ang batas ay inuuna ang mga tagapagmana sa isang tiyak na pagkakasunud-sunod upang makatanggap ng bahagi ng ari-arian:
1. **Compulsory Heirs:** Ito ang asawa at mga lehitimong anak ng namatay. Ang kanilang bahagi ay tinatawag na "legitime."
* Ang eksaktong bahagi ay nakasalalay sa pagkakaroon ng nabubuhay na asawa at ang bilang ng mga lehitimong anak.
2. **Mga Ascendants (Mga Magulang at Ninuno):** Kung walang nabubuhay na asawa o mga lehitimong anak, ang mga magulang ng namatay o ang pinakamalapit na nabubuhay na ascendant ang magmamana ng ari-arian.
3. **Collateral Heirs (Mga Kapatid, Pamangkin, Pamangkin):** Sa kawalan ng asawa, mga lehitimong anak, at mga ascendants, ang mga kapatid, pamangkin, o pamangkin ng namatay ay magmamana. 4. **Ang Estado:** Kung walang tagapagmana na kuwalipikado sa ilalim ng mga nakaraang kategorya, ang pamahalaan ng Pilipinas ang magmamana ng ari-arian.
**Mahahalagang Paalala:**
* **Proteksyon ng Sapilitang Tagapagmana:** Ang batas ng Pilipinas ay pinangangalagaan ang "lehitimo" ng mga sapilitang tagapagmana. Kahit na walang testamento, sila ay may karapatan sa isang bahagi ng ari-arian. * **Sharing Ratio:** Ang partikular na bahagi na matatanggap ng bawat tagapagmana sa loob ng isang kategorya ay depende sa bilang ng mga tagapagmana sa kategoryang iyon. (Kodigo Sibil, Mga Artikulo 886-890)
* **Illegitimate Children:** Bagama't hindi sapilitang tagapagmana, ang mga anak sa labas ay maaaring may karapatan sa isang bahagi sa ilalim ng ilang mga pangyayari (Civil Code, Article 891).
**Rekomendasyon:**
Ang paggawa ng testamento ay nagbibigay-daan sa iyong kontrolin kung paano ibinabahagi ang iyong mga asset pagkatapos ng kamatayan. Makakatulong ito na maiwasan ang mga potensyal na hindi pagkakaunawaan sa pagitan ng mga tagapagmana at matiyak na masusunod ang iyong mga kagustuhan. Ang pagkonsulta sa isang abogado na dalubhasa sa estate planning ay lubos na inirerekomenda.</v>
      </c>
      <c r="F440" s="2">
        <f t="shared" si="1"/>
        <v>1</v>
      </c>
      <c r="G440" s="2"/>
      <c r="H440" s="2"/>
      <c r="I440" s="2"/>
      <c r="J440" s="2"/>
      <c r="K440" s="2"/>
      <c r="L440" s="2"/>
      <c r="M440" s="2"/>
      <c r="N440" s="2"/>
      <c r="O440" s="2"/>
      <c r="P440" s="2"/>
      <c r="Q440" s="2"/>
      <c r="R440" s="2"/>
      <c r="S440" s="2"/>
      <c r="T440" s="2"/>
      <c r="U440" s="2"/>
      <c r="V440" s="2"/>
      <c r="W440" s="2"/>
      <c r="X440" s="2"/>
      <c r="Y440" s="2"/>
      <c r="Z440" s="2"/>
      <c r="AA440" s="2"/>
    </row>
    <row r="441">
      <c r="A441" s="1" t="s">
        <v>1224</v>
      </c>
      <c r="B441" s="1" t="s">
        <v>1575</v>
      </c>
      <c r="C441" s="1" t="s">
        <v>1601</v>
      </c>
      <c r="D441" s="1" t="s">
        <v>1580</v>
      </c>
      <c r="E441" s="2" t="str">
        <f>IFERROR(__xludf.DUMMYFUNCTION("GOOGLETRANSLATE(C441, ""en"", ""TL"")"),"Sa Pilipinas, ang pamana ng mga menor de edad ay nangangailangan ng mga espesyal na legal na pagsasaalang-alang upang maprotektahan ang kanilang mga interes. Narito kung paano ito pinangangasiwaan ng batas:
**Mga Menor de edad bilang Tagapagmana:**
* Ang "&amp;"mga menor de edad ay maaaring magmana ng ari-arian sa pamamagitan ng intestacy (no will) o bilang mga benepisyaryo sa isang valid na testamento.
**Mga Mekanismo ng Proteksyon:**
* **Guardian Ad Litem:** Kapag ang isang menor de edad ay nagmana ng ari-aria"&amp;"n, kinakatawan ng isang guardian ad litem na hinirang ng hukuman ang kanilang mga interes sa panahon ng mga legal na paglilitis na nauugnay sa mana. (Rule 10, Section 1(g), Rules of Court)
* **Mga Probisyon ng Family Code:** Binabalangkas ng Family Code a"&amp;"ng mga partikular na tuntunin para sa pamamahala ng ari-arian na minana ng mga menor de edad (Family Code, Artikulo 219-224).
* **Pag-apruba ng Hudisyal:** Sa karamihan ng mga kaso, ang anumang mahahalagang transaksyong kinasasangkutan ng minanang ari-ari"&amp;"an ng menor de edad ay nangangailangan ng pag-apruba ng korte upang matiyak ang responsableng pamamahala. Kabilang dito ang pagbebenta, pagsasangla, o pagpapaupa ng ari-arian.
* **Parental Administration:** Ang mga magulang ay karaniwang gumaganap bilang "&amp;"mga administrator ng ari-arian ng menor de edad, ngunit dapat silang kumilos sa pinakamahusay na interes ng menor de edad at secure na pag-apruba ng korte para sa mga pangunahing transaksyon.
**Mga Uri ng Tagapangalaga:**
* **Mga Magulang:** Karaniwan, an"&amp;"g mga magulang ang nagiging natural na tagapag-alaga na namamahala sa ari-arian ng menor de edad. * **Dative Guardian:** Kung ang mga magulang ay hindi available o hindi karapat-dapat, ang hukuman ay magtatalaga ng dating tagapag-alaga upang pamahalaan an"&amp;"g ari-arian.
**Mga Karagdagang Pagsasaalang-alang:**
* **Imbentaryo at Pagtatasa:** Isang imbentaryo ng minanang ari-arian ang ginawa, at ang halaga nito ay tinataya upang matiyak ang wastong accounting.
* **Pamumuhunan at Paggamit ng Kita:** Karaniwang i"&amp;"nilalagay ng tagapag-alaga ang mana ng menor de edad para sa kanilang benepisyo sa hinaharap. Ang kita na nabuo mula sa ari-arian ay maaaring gamitin para sa mga pangangailangan ng menor de edad (hal., edukasyon, pangangalaga sa kalusugan).
* **Accountabi"&amp;"lity:** Ang tagapag-alaga ay mananagot sa hukuman para sa pamamahala ng ari-arian ng menor de edad at dapat magsumite ng mga regular na ulat.
**Kahalagahan ng Legal na Patnubay:**
* Ang pag-navigate sa mga legalidad ng mana ng mga menor de edad ay maaarin"&amp;"g maging kumplikado. Ang pagkonsulta sa isang abogado na dalubhasa sa batas ng pamilya at pagpaplano ng ari-arian ay mahalaga. Maaari ka nilang gabayan sa proseso, tiyaking protektado ang mga interes ng menor de edad, at tumulong sa pag-navigate sa mga pa"&amp;"mamaraan ng korte kung kinakailangan.
Sa pamamagitan ng pagsunod sa mga legal na mekanismong ito, sinisikap ng batas ng Pilipinas na pangalagaan ang mana ng mga menor de edad at tiyakin ang responsableng pamamahala sa kanilang mga ari-arian hanggang sa um"&amp;"abot sila sa legal na adulto.")</f>
        <v>Sa Pilipinas, ang pamana ng mga menor de edad ay nangangailangan ng mga espesyal na legal na pagsasaalang-alang upang maprotektahan ang kanilang mga interes. Narito kung paano ito pinangangasiwaan ng batas:
**Mga Menor de edad bilang Tagapagmana:**
* Ang mga menor de edad ay maaaring magmana ng ari-arian sa pamamagitan ng intestacy (no will) o bilang mga benepisyaryo sa isang valid na testamento.
**Mga Mekanismo ng Proteksyon:**
* **Guardian Ad Litem:** Kapag ang isang menor de edad ay nagmana ng ari-arian, kinakatawan ng isang guardian ad litem na hinirang ng hukuman ang kanilang mga interes sa panahon ng mga legal na paglilitis na nauugnay sa mana. (Rule 10, Section 1(g), Rules of Court)
* **Mga Probisyon ng Family Code:** Binabalangkas ng Family Code ang mga partikular na tuntunin para sa pamamahala ng ari-arian na minana ng mga menor de edad (Family Code, Artikulo 219-224).
* **Pag-apruba ng Hudisyal:** Sa karamihan ng mga kaso, ang anumang mahahalagang transaksyong kinasasangkutan ng minanang ari-arian ng menor de edad ay nangangailangan ng pag-apruba ng korte upang matiyak ang responsableng pamamahala. Kabilang dito ang pagbebenta, pagsasangla, o pagpapaupa ng ari-arian.
* **Parental Administration:** Ang mga magulang ay karaniwang gumaganap bilang mga administrator ng ari-arian ng menor de edad, ngunit dapat silang kumilos sa pinakamahusay na interes ng menor de edad at secure na pag-apruba ng korte para sa mga pangunahing transaksyon.
**Mga Uri ng Tagapangalaga:**
* **Mga Magulang:** Karaniwan, ang mga magulang ang nagiging natural na tagapag-alaga na namamahala sa ari-arian ng menor de edad. * **Dative Guardian:** Kung ang mga magulang ay hindi available o hindi karapat-dapat, ang hukuman ay magtatalaga ng dating tagapag-alaga upang pamahalaan ang ari-arian.
**Mga Karagdagang Pagsasaalang-alang:**
* **Imbentaryo at Pagtatasa:** Isang imbentaryo ng minanang ari-arian ang ginawa, at ang halaga nito ay tinataya upang matiyak ang wastong accounting.
* **Pamumuhunan at Paggamit ng Kita:** Karaniwang inilalagay ng tagapag-alaga ang mana ng menor de edad para sa kanilang benepisyo sa hinaharap. Ang kita na nabuo mula sa ari-arian ay maaaring gamitin para sa mga pangangailangan ng menor de edad (hal., edukasyon, pangangalaga sa kalusugan).
* **Accountability:** Ang tagapag-alaga ay mananagot sa hukuman para sa pamamahala ng ari-arian ng menor de edad at dapat magsumite ng mga regular na ulat.
**Kahalagahan ng Legal na Patnubay:**
* Ang pag-navigate sa mga legalidad ng mana ng mga menor de edad ay maaaring maging kumplikado. Ang pagkonsulta sa isang abogado na dalubhasa sa batas ng pamilya at pagpaplano ng ari-arian ay mahalaga. Maaari ka nilang gabayan sa proseso, tiyaking protektado ang mga interes ng menor de edad, at tumulong sa pag-navigate sa mga pamamaraan ng korte kung kinakailangan.
Sa pamamagitan ng pagsunod sa mga legal na mekanismong ito, sinisikap ng batas ng Pilipinas na pangalagaan ang mana ng mga menor de edad at tiyakin ang responsableng pamamahala sa kanilang mga ari-arian hanggang sa umabot sila sa legal na adulto.</v>
      </c>
      <c r="F441" s="2">
        <f t="shared" si="1"/>
        <v>0</v>
      </c>
      <c r="G441" s="2"/>
      <c r="H441" s="2"/>
      <c r="I441" s="2"/>
      <c r="J441" s="2"/>
      <c r="K441" s="2"/>
      <c r="L441" s="2"/>
      <c r="M441" s="2"/>
      <c r="N441" s="2"/>
      <c r="O441" s="2"/>
      <c r="P441" s="2"/>
      <c r="Q441" s="2"/>
      <c r="R441" s="2"/>
      <c r="S441" s="2"/>
      <c r="T441" s="2"/>
      <c r="U441" s="2"/>
      <c r="V441" s="2"/>
      <c r="W441" s="2"/>
      <c r="X441" s="2"/>
      <c r="Y441" s="2"/>
      <c r="Z441" s="2"/>
      <c r="AA441" s="2"/>
    </row>
    <row r="442">
      <c r="A442" s="1" t="s">
        <v>1224</v>
      </c>
      <c r="B442" s="1" t="s">
        <v>1578</v>
      </c>
      <c r="C442" s="1" t="s">
        <v>1602</v>
      </c>
      <c r="D442" s="1" t="s">
        <v>1580</v>
      </c>
      <c r="E442" s="2" t="str">
        <f>IFERROR(__xludf.DUMMYFUNCTION("GOOGLETRANSLATE(C442, ""en"", ""TL"")"),"Sa Pilipinas, ang mga benepisyaryo na nagmamana ng ari-arian ay maaaring humarap sa dalawang pangunahing implikasyon sa buwis: mga buwis sa ari-arian at mga buwis sa capital gains. Narito ang isang breakdown ng bawat isa:
**Buwis sa Estate:**
* **Ipinataw"&amp;" sa Estate:** Ang buwis sa ari-arian ay isang buwis na ipinapataw sa **kabuuang netong ari-arian** ng namatay na residente o hindi residente na namatay na nagmamay-ari ng ari-arian sa Pilipinas. (Tax Code, Seksyon 84)
* **Progressive Tax Rate:** Ang estat"&amp;"e tax ay may progresibong mga rate ng buwis, ibig sabihin ay tumataas ang tax rate habang tumataas ang halaga ng estate. Makikita mo ang kasalukuyang mga rate ng buwis sa website ng Bureau of Internal Revenue (BIR) [https://www.bir.gov.ph/index.php/tax-in"&amp;"formation/estate-tax.html](https://www. .bir.gov.ph/index.php/tax-information/estate-tax.html).
* **Responsibilidad at Pagbabayad:** Ang tagapagpatupad o tagapangasiwa ng ari-arian ay may pananagutan sa paghahain ng estate tax return at pagbabayad ng buwi"&amp;"s bago ang pamamahagi ng mga ari-arian sa mga benepisyaryo. (Tax Code, Seksyon 88)
**Capital Gains Tax (CGT):**
* **Paglalapat:** Ang buwis sa capital gains ay karaniwang ipinapataw sa **gain** na natanto mula sa pagbebenta, palitan, o iba pang disposisyo"&amp;"n ng **capital asset**. (Tax Code, Seksyon 24)
* **Inheritance not Considered Sale:** Ang pagmamana ng ari-arian mismo ay **hindi itinuturing na isang benta** at samakatuwid **hindi napapailalim sa capital gains tax**. Matatanggap ng benepisyaryo ang ari-"&amp;"arian sa **patas na halaga sa pamilihan** nito mula sa petsa ng kamatayan, na nagiging batayan ng kanilang gastos.
* **Potensyal na CGT sa Future Sale:** Kung magpasya ang benepisyaryo na ibenta ang minanang ari-arian sa hinaharap, sasailalim sila sa capi"&amp;"tal gains tax sa anumang **profit** na kinita mula sa pagbebenta. Ang tubo ay kinakalkula bilang presyo ng pagbebenta na binawasan ang **batay sa gastos** (patas na halaga sa pamilihan sa petsa ng mana). (Capital Gains Tax - Bureau of Internal Revenue [ht"&amp;"tps://www.bir.gov.ph/index.php/tax-information/capital-gains-tax.html](https://www.bir.gov.ph /index.php/tax-information/capital-gains-tax.html))
**Mahahalagang Paalala:**
* **Exceptions for Specific Properties:** Maaaring may mga partikular na exemption "&amp;"o exclusion para sa capital gains tax depende sa uri ng minanang ari-arian. Ang pagkonsulta sa isang propesyonal sa buwis ay inirerekomenda para sa mga partikular na sitwasyon.
* **Pagsasaayos ng Batayan sa Buwis:** Sa ilang mga kaso, ang batayan ng gasto"&amp;"s ng minanang ari-arian ay maaaring iakma para sa inflation o partikular na mga pangyayari. Maaaring payuhan ito ng isang propesyonal sa buwis.
**Rekomendasyon:**
Para sa isang maayos na proseso ng pamana at upang maunawaan ang iyong partikular na mga obl"&amp;"igasyon sa buwis, ipinapayong kumunsulta sa isang kwalipikadong abogado na dalubhasa sa pagpaplano ng ari-arian at isang propesyonal sa buwis. Maaari ka nilang gabayan sa mga legalidad at implikasyon sa buwis ng pagmamana ng ari-arian sa Pilipinas.")</f>
        <v>Sa Pilipinas, ang mga benepisyaryo na nagmamana ng ari-arian ay maaaring humarap sa dalawang pangunahing implikasyon sa buwis: mga buwis sa ari-arian at mga buwis sa capital gains. Narito ang isang breakdown ng bawat isa:
**Buwis sa Estate:**
* **Ipinataw sa Estate:** Ang buwis sa ari-arian ay isang buwis na ipinapataw sa **kabuuang netong ari-arian** ng namatay na residente o hindi residente na namatay na nagmamay-ari ng ari-arian sa Pilipinas. (Tax Code, Seksyon 84)
* **Progressive Tax Rate:** Ang estate tax ay may progresibong mga rate ng buwis, ibig sabihin ay tumataas ang tax rate habang tumataas ang halaga ng estate. Makikita mo ang kasalukuyang mga rate ng buwis sa website ng Bureau of Internal Revenue (BIR) [https://www.bir.gov.ph/index.php/tax-information/estate-tax.html](https://www. .bir.gov.ph/index.php/tax-information/estate-tax.html).
* **Responsibilidad at Pagbabayad:** Ang tagapagpatupad o tagapangasiwa ng ari-arian ay may pananagutan sa paghahain ng estate tax return at pagbabayad ng buwis bago ang pamamahagi ng mga ari-arian sa mga benepisyaryo. (Tax Code, Seksyon 88)
**Capital Gains Tax (CGT):**
* **Paglalapat:** Ang buwis sa capital gains ay karaniwang ipinapataw sa **gain** na natanto mula sa pagbebenta, palitan, o iba pang disposisyon ng **capital asset**. (Tax Code, Seksyon 24)
* **Inheritance not Considered Sale:** Ang pagmamana ng ari-arian mismo ay **hindi itinuturing na isang benta** at samakatuwid **hindi napapailalim sa capital gains tax**. Matatanggap ng benepisyaryo ang ari-arian sa **patas na halaga sa pamilihan** nito mula sa petsa ng kamatayan, na nagiging batayan ng kanilang gastos.
* **Potensyal na CGT sa Future Sale:** Kung magpasya ang benepisyaryo na ibenta ang minanang ari-arian sa hinaharap, sasailalim sila sa capital gains tax sa anumang **profit** na kinita mula sa pagbebenta. Ang tubo ay kinakalkula bilang presyo ng pagbebenta na binawasan ang **batay sa gastos** (patas na halaga sa pamilihan sa petsa ng mana). (Capital Gains Tax - Bureau of Internal Revenue [https://www.bir.gov.ph/index.php/tax-information/capital-gains-tax.html](https://www.bir.gov.ph /index.php/tax-information/capital-gains-tax.html))
**Mahahalagang Paalala:**
* **Exceptions for Specific Properties:** Maaaring may mga partikular na exemption o exclusion para sa capital gains tax depende sa uri ng minanang ari-arian. Ang pagkonsulta sa isang propesyonal sa buwis ay inirerekomenda para sa mga partikular na sitwasyon.
* **Pagsasaayos ng Batayan sa Buwis:** Sa ilang mga kaso, ang batayan ng gastos ng minanang ari-arian ay maaaring iakma para sa inflation o partikular na mga pangyayari. Maaaring payuhan ito ng isang propesyonal sa buwis.
**Rekomendasyon:**
Para sa isang maayos na proseso ng pamana at upang maunawaan ang iyong partikular na mga obligasyon sa buwis, ipinapayong kumunsulta sa isang kwalipikadong abogado na dalubhasa sa pagpaplano ng ari-arian at isang propesyonal sa buwis. Maaari ka nilang gabayan sa mga legalidad at implikasyon sa buwis ng pagmamana ng ari-arian sa Pilipinas.</v>
      </c>
      <c r="F442" s="2">
        <f t="shared" si="1"/>
        <v>0</v>
      </c>
      <c r="G442" s="2"/>
      <c r="H442" s="2"/>
      <c r="I442" s="2"/>
      <c r="J442" s="2"/>
      <c r="K442" s="2"/>
      <c r="L442" s="2"/>
      <c r="M442" s="2"/>
      <c r="N442" s="2"/>
      <c r="O442" s="2"/>
      <c r="P442" s="2"/>
      <c r="Q442" s="2"/>
      <c r="R442" s="2"/>
      <c r="S442" s="2"/>
      <c r="T442" s="2"/>
      <c r="U442" s="2"/>
      <c r="V442" s="2"/>
      <c r="W442" s="2"/>
      <c r="X442" s="2"/>
      <c r="Y442" s="2"/>
      <c r="Z442" s="2"/>
      <c r="AA442" s="2"/>
    </row>
    <row r="443">
      <c r="A443" s="1" t="s">
        <v>1224</v>
      </c>
      <c r="B443" s="1" t="s">
        <v>1581</v>
      </c>
      <c r="C443" s="1" t="s">
        <v>1603</v>
      </c>
      <c r="D443" s="1" t="s">
        <v>1583</v>
      </c>
      <c r="E443" s="2" t="str">
        <f>IFERROR(__xludf.DUMMYFUNCTION("GOOGLETRANSLATE(C443, ""en"", ""TL"")"),"Bagama't hindi ako makapagbigay ng partikular na legal na payo, narito ang isang pangkalahatang-ideya ng legal na proseso para sa paghamon sa bisa ng isang testamento sa Pilipinas:
**Grounds para sa Paligsahan:**
Mayroong ilang mga batayan para sa pakikip"&amp;"aglaban sa isang testamento sa Pilipinas. Ang ilang karaniwang dahilan ay kinabibilangan ng:
* **Kawalan ng kakayahan sa testamentaryo:** Ang taong sumulat ng testamento (testator) ay walang kakayahan sa pag-iisip na maunawaan ang kalikasan at kahihinatna"&amp;"n ng kanilang mga aksyon sa oras na isinulat ang testamento.
* **Hindi nararapat na impluwensya:** Ang testator ay pinilit o pinilit na lumagda sa kalooban sa pamamagitan ng mga pagbabanta, pananakot, o hindi nararapat na impluwensya.
* **Pamemeke:** Ang "&amp;"testamento mismo ay isang pekeng, ibig sabihin ay hindi ito tunay na nilagdaan ng testator.
* **Kakulangan ng mga pormalidad:** Ang testamento ay hindi naisagawa kasunod ng wastong legal na pormalidad na nakabalangkas sa Civil Code (Artikulo 804). **Sino "&amp;"ang Makakalaban:**
* Mga benepisyaryo na pinangalanan sa isang nakaraang testamento.
* Ang mga tagapagmana na naniniwalang sila ay hindi makatarungang ibinukod sa testamento at may legal na katayuan upang magmana sa ilalim ng mga panuntunan sa kawalan ng "&amp;"buhay (kung walang wastong testamento).
**Mga Legal na Hakbang:**
1. **Magtipon ng Ebidensya:** Ito ay maaaring may kasamang mga medikal na rekord (para sa testamentary incapacity), mga testimonya ng saksi (para sa hindi nararapat na impluwensya), o pagsu"&amp;"suri ng sulat-kamay (para sa pamemeke).
2. **Maghain ng Petisyon:** Ang isang pormal na petisyon na tumututol sa testamento ay inihain sa naaangkop na Regional Trial Court (RTC) kung saan ang namatay ay naninirahan o nagmamay-ari ng ari-arian. 3. **Mga Pa"&amp;"gdinig at Paglalahad ng Ebidensya:** Ang parehong partido ay naghaharap ng kanilang mga argumento at ebidensya sa harap ng korte.
4. **Desisyon ng Korte:** Maglalabas ang korte ng desisyon sa bisa ng testamento. **Mahahalagang Pagsasaalang-alang:**
* **Mg"&amp;"a Limitasyon sa Oras:** May limitasyon sa oras para sa pakikipaglaban sa isang testamento, karaniwang sa loob ng apat (4) na taon mula sa probate ng testamento (Rule 74, Rules of Court).
* **Legal na Representasyon:** Ang paligsahan sa isang testamento ay"&amp;" maaaring maging kumplikado. Ang pagkonsulta sa isang abogadong may karanasan sa paglilitis sa ari-arian ay lubos na inirerekomenda. Maaari ka nilang gabayan sa legal na proseso, mangalap ng ebidensya, kumatawan sa iyo sa korte, at pataasin ang iyong mga "&amp;"pagkakataong magtagumpay.
* **Mga Gastos:** Ang mga legal na bayarin, mga gastos sa korte, at iba pang mga gastos na nauugnay sa paglaban sa isang testamento ay maaaring maging makabuluhan.
**Mga Alternatibo sa Paligsahan:**
* **Pamamagitan:** Sa ilang mg"&amp;"a kaso, ang pamamagitan sa pagitan ng mga naglalabanang partido ay maaaring isang opsyon para maabot ang isang kasunduan sa isa't isa sa labas ng hukuman.
**Disclaimer:**
Hindi ito kapalit ng legal na payo. Ang partikular na legal na proseso at ang iyong "&amp;"mga pagkakataong magtagumpay ay magdedepende sa mga natatanging kalagayan ng iyong sitwasyon. Ang pagkonsulta sa isang kwalipikadong abogado na nagdadalubhasa sa paglilitis sa ari-arian ay napakahalaga para sa pag-navigate sa mga legalidad ng pakikipaglab"&amp;"an sa isang testamento sa Pilipinas.")</f>
        <v>Bagama't hindi ako makapagbigay ng partikular na legal na payo, narito ang isang pangkalahatang-ideya ng legal na proseso para sa paghamon sa bisa ng isang testamento sa Pilipinas:
**Grounds para sa Paligsahan:**
Mayroong ilang mga batayan para sa pakikipaglaban sa isang testamento sa Pilipinas. Ang ilang karaniwang dahilan ay kinabibilangan ng:
* **Kawalan ng kakayahan sa testamentaryo:** Ang taong sumulat ng testamento (testator) ay walang kakayahan sa pag-iisip na maunawaan ang kalikasan at kahihinatnan ng kanilang mga aksyon sa oras na isinulat ang testamento.
* **Hindi nararapat na impluwensya:** Ang testator ay pinilit o pinilit na lumagda sa kalooban sa pamamagitan ng mga pagbabanta, pananakot, o hindi nararapat na impluwensya.
* **Pamemeke:** Ang testamento mismo ay isang pekeng, ibig sabihin ay hindi ito tunay na nilagdaan ng testator.
* **Kakulangan ng mga pormalidad:** Ang testamento ay hindi naisagawa kasunod ng wastong legal na pormalidad na nakabalangkas sa Civil Code (Artikulo 804). **Sino ang Makakalaban:**
* Mga benepisyaryo na pinangalanan sa isang nakaraang testamento.
* Ang mga tagapagmana na naniniwalang sila ay hindi makatarungang ibinukod sa testamento at may legal na katayuan upang magmana sa ilalim ng mga panuntunan sa kawalan ng buhay (kung walang wastong testamento).
**Mga Legal na Hakbang:**
1. **Magtipon ng Ebidensya:** Ito ay maaaring may kasamang mga medikal na rekord (para sa testamentary incapacity), mga testimonya ng saksi (para sa hindi nararapat na impluwensya), o pagsusuri ng sulat-kamay (para sa pamemeke).
2. **Maghain ng Petisyon:** Ang isang pormal na petisyon na tumututol sa testamento ay inihain sa naaangkop na Regional Trial Court (RTC) kung saan ang namatay ay naninirahan o nagmamay-ari ng ari-arian. 3. **Mga Pagdinig at Paglalahad ng Ebidensya:** Ang parehong partido ay naghaharap ng kanilang mga argumento at ebidensya sa harap ng korte.
4. **Desisyon ng Korte:** Maglalabas ang korte ng desisyon sa bisa ng testamento. **Mahahalagang Pagsasaalang-alang:**
* **Mga Limitasyon sa Oras:** May limitasyon sa oras para sa pakikipaglaban sa isang testamento, karaniwang sa loob ng apat (4) na taon mula sa probate ng testamento (Rule 74, Rules of Court).
* **Legal na Representasyon:** Ang paligsahan sa isang testamento ay maaaring maging kumplikado. Ang pagkonsulta sa isang abogadong may karanasan sa paglilitis sa ari-arian ay lubos na inirerekomenda. Maaari ka nilang gabayan sa legal na proseso, mangalap ng ebidensya, kumatawan sa iyo sa korte, at pataasin ang iyong mga pagkakataong magtagumpay.
* **Mga Gastos:** Ang mga legal na bayarin, mga gastos sa korte, at iba pang mga gastos na nauugnay sa paglaban sa isang testamento ay maaaring maging makabuluhan.
**Mga Alternatibo sa Paligsahan:**
* **Pamamagitan:** Sa ilang mga kaso, ang pamamagitan sa pagitan ng mga naglalabanang partido ay maaaring isang opsyon para maabot ang isang kasunduan sa isa't isa sa labas ng hukuman.
**Disclaimer:**
Hindi ito kapalit ng legal na payo. Ang partikular na legal na proseso at ang iyong mga pagkakataong magtagumpay ay magdedepende sa mga natatanging kalagayan ng iyong sitwasyon. Ang pagkonsulta sa isang kwalipikadong abogado na nagdadalubhasa sa paglilitis sa ari-arian ay napakahalaga para sa pag-navigate sa mga legalidad ng pakikipaglaban sa isang testamento sa Pilipinas.</v>
      </c>
      <c r="F443" s="2">
        <f t="shared" si="1"/>
        <v>0</v>
      </c>
      <c r="G443" s="2"/>
      <c r="H443" s="2"/>
      <c r="I443" s="2"/>
      <c r="J443" s="2"/>
      <c r="K443" s="2"/>
      <c r="L443" s="2"/>
      <c r="M443" s="2"/>
      <c r="N443" s="2"/>
      <c r="O443" s="2"/>
      <c r="P443" s="2"/>
      <c r="Q443" s="2"/>
      <c r="R443" s="2"/>
      <c r="S443" s="2"/>
      <c r="T443" s="2"/>
      <c r="U443" s="2"/>
      <c r="V443" s="2"/>
      <c r="W443" s="2"/>
      <c r="X443" s="2"/>
      <c r="Y443" s="2"/>
      <c r="Z443" s="2"/>
      <c r="AA443" s="2"/>
    </row>
    <row r="444">
      <c r="A444" s="1" t="s">
        <v>1224</v>
      </c>
      <c r="B444" s="1" t="s">
        <v>1584</v>
      </c>
      <c r="C444" s="1" t="s">
        <v>1604</v>
      </c>
      <c r="D444" s="1" t="s">
        <v>1586</v>
      </c>
      <c r="E444" s="2" t="str">
        <f>IFERROR(__xludf.DUMMYFUNCTION("GOOGLETRANSLATE(C444, ""en"", ""TL"")"),"Ang pagmamana ng ari-arian sa mga nangungupahan ay maaaring isang halo-halong bag. Sa isang banda, maaari itong magbigay ng isang matatag na mapagkukunan ng kita. Sa kabilang banda, magdamag kang magiging may-ari, na may sarili mong mga legal na obligasyo"&amp;"n. Narito ang kailangan mong isaalang-alang: Mga Karapatan ng Nangungupahan: Parangalan ang Umiiral na Pag-upa: Dapat kang sumunod sa mga tuntunin ng anumang umiiral na lease, kabilang ang halaga ng pag-upa, termino at mga opsyon sa pag-renew.
Pagpapalaya"&amp;"s: Ang pagpapaalis ay isang masalimuot na proseso at kadalasan ay nangangailangan ng wastong dahilan na higit sa pagnanais na manatiling bakante ang ari-arian. Ang mga paglabag sa pag-upa, hindi pagbabayad ng upa o mga panganib sa kaligtasan ay mga bataya"&amp;"n para sa pagpapaalis, ngunit ang mga lokal na batas ng nangungupahan ang magdidikta ng mga detalye.
Ang iyong mga pagpipilian: Maging May-ari: Maaari mong piliing hawakan ang ari-arian bilang isang rental at mangolekta ng upa. Nangangahulugan ito na magi"&amp;"ng pamilyar ka sa mga batas na namamahala sa relasyon ng may-ari at nangungupahan, mga obligasyon sa pagkukumpuni at pagpapanatili, at mga pamamaraan sa pag-screen ng nangungupahan.
Pagbebenta ng ari-arian: Maaari kang magbenta ng isang ari-arian ""as is"&amp;""" kasama ang nangungupahan sa lugar, bagama't maaari itong makaapekto sa presyo ng pagbebenta. Bukod pa rito, maaari kang makipag-ayos sa nangungupahan para sa maagang pagpapalaya na may mga insentibo.
Mga Pagsasaalang-alang sa Pananalapi:
Mga Buwis: Maa"&amp;"aring may mga implikasyon sa buwis ang pagmamana ng ari-arian, kaya kumunsulta sa isang tagapayo sa buwis. Ang kita sa upa ay sasailalim din sa buwis sa kita.
Mga Gastos: Isaalang-alang ang mga patuloy na gastos tulad ng mga buwis sa ari-arian, mga pagbab"&amp;"ayad sa mortgage (kung naaangkop), pagpapanatili at pag-aayos.
Mga susunod na hakbang: Suriin ang mga pagpapaupa: Kumuha ng mga kopya ng lahat ng umiiral na mga pagpapaupa at unawain ang kanilang mga tuntunin.
Makipag-ugnayan sa nangungupahan: Ipakilala a"&amp;"ng iyong sarili at ipahayag ang iyong mga intensyon tungkol sa bahay.
Kumonsulta sa isang abogado sa real estate: Maaaring payuhan ka ng isang abogado tungkol sa iyong partikular na sitwasyon, mga lokal na batas, at tulungan kang mag-navigate sa anumang k"&amp;"umplikadong isyu.
Tandaan na ito ay isang pangkalahatang pangkalahatang-ideya at ang mga partikular na batas ay mag-iiba ayon sa lokasyon.
Magtanong ng mga karagdagang tanong kung mayroon kang detalyadong impormasyon tungkol sa iyong sitwasyon.")</f>
        <v>Ang pagmamana ng ari-arian sa mga nangungupahan ay maaaring isang halo-halong bag. Sa isang banda, maaari itong magbigay ng isang matatag na mapagkukunan ng kita. Sa kabilang banda, magdamag kang magiging may-ari, na may sarili mong mga legal na obligasyon. Narito ang kailangan mong isaalang-alang: Mga Karapatan ng Nangungupahan: Parangalan ang Umiiral na Pag-upa: Dapat kang sumunod sa mga tuntunin ng anumang umiiral na lease, kabilang ang halaga ng pag-upa, termino at mga opsyon sa pag-renew.
Pagpapalayas: Ang pagpapaalis ay isang masalimuot na proseso at kadalasan ay nangangailangan ng wastong dahilan na higit sa pagnanais na manatiling bakante ang ari-arian. Ang mga paglabag sa pag-upa, hindi pagbabayad ng upa o mga panganib sa kaligtasan ay mga batayan para sa pagpapaalis, ngunit ang mga lokal na batas ng nangungupahan ang magdidikta ng mga detalye.
Ang iyong mga pagpipilian: Maging May-ari: Maaari mong piliing hawakan ang ari-arian bilang isang rental at mangolekta ng upa. Nangangahulugan ito na maging pamilyar ka sa mga batas na namamahala sa relasyon ng may-ari at nangungupahan, mga obligasyon sa pagkukumpuni at pagpapanatili, at mga pamamaraan sa pag-screen ng nangungupahan.
Pagbebenta ng ari-arian: Maaari kang magbenta ng isang ari-arian "as is" kasama ang nangungupahan sa lugar, bagama't maaari itong makaapekto sa presyo ng pagbebenta. Bukod pa rito, maaari kang makipag-ayos sa nangungupahan para sa maagang pagpapalaya na may mga insentibo.
Mga Pagsasaalang-alang sa Pananalapi:
Mga Buwis: Maaaring may mga implikasyon sa buwis ang pagmamana ng ari-arian, kaya kumunsulta sa isang tagapayo sa buwis. Ang kita sa upa ay sasailalim din sa buwis sa kita.
Mga Gastos: Isaalang-alang ang mga patuloy na gastos tulad ng mga buwis sa ari-arian, mga pagbabayad sa mortgage (kung naaangkop), pagpapanatili at pag-aayos.
Mga susunod na hakbang: Suriin ang mga pagpapaupa: Kumuha ng mga kopya ng lahat ng umiiral na mga pagpapaupa at unawain ang kanilang mga tuntunin.
Makipag-ugnayan sa nangungupahan: Ipakilala ang iyong sarili at ipahayag ang iyong mga intensyon tungkol sa bahay.
Kumonsulta sa isang abogado sa real estate: Maaaring payuhan ka ng isang abogado tungkol sa iyong partikular na sitwasyon, mga lokal na batas, at tulungan kang mag-navigate sa anumang kumplikadong isyu.
Tandaan na ito ay isang pangkalahatang pangkalahatang-ideya at ang mga partikular na batas ay mag-iiba ayon sa lokasyon.
Magtanong ng mga karagdagang tanong kung mayroon kang detalyadong impormasyon tungkol sa iyong sitwasyon.</v>
      </c>
      <c r="F444" s="2">
        <f t="shared" si="1"/>
        <v>0</v>
      </c>
      <c r="G444" s="2"/>
      <c r="H444" s="2"/>
      <c r="I444" s="2"/>
      <c r="J444" s="2"/>
      <c r="K444" s="2"/>
      <c r="L444" s="2"/>
      <c r="M444" s="2"/>
      <c r="N444" s="2"/>
      <c r="O444" s="2"/>
      <c r="P444" s="2"/>
      <c r="Q444" s="2"/>
      <c r="R444" s="2"/>
      <c r="S444" s="2"/>
      <c r="T444" s="2"/>
      <c r="U444" s="2"/>
      <c r="V444" s="2"/>
      <c r="W444" s="2"/>
      <c r="X444" s="2"/>
      <c r="Y444" s="2"/>
      <c r="Z444" s="2"/>
      <c r="AA444" s="2"/>
    </row>
    <row r="445">
      <c r="A445" s="1" t="s">
        <v>1224</v>
      </c>
      <c r="B445" s="1" t="s">
        <v>1587</v>
      </c>
      <c r="C445" s="1" t="s">
        <v>1605</v>
      </c>
      <c r="D445" s="1" t="s">
        <v>1589</v>
      </c>
      <c r="E445" s="2" t="str">
        <f>IFERROR(__xludf.DUMMYFUNCTION("GOOGLETRANSLATE(C445, ""en"", ""TL"")"),"Ang pinagsamang pagmamay-ari, na kilala rin bilang co-ownership, ay maaaring magdulot ng mga hindi pagkakaunawaan sa pagitan ng mga kapwa may-ari tungkol sa mana at pamamahala. Nasa ibaba ang isang pangkalahatang-ideya ng ilan sa mga legal na mekanismo na"&amp;" magagamit upang matugunan ang mga isyung ito:
Negosasyon at Kasunduan:
Ito ang madalas na ginustong pamamaraan. Maaaring subukan ng mga kapwa may-ari na maabot ang magkaparehong kasunduan sa mga isyu sa paghalili o pamamahala sa pamamagitan ng bukas na k"&amp;"omunikasyon at kompromiso.
Kung ang isang kasunduan ay naabot, matalino na gawing pormal ito sa pamamagitan ng pagsulat na naglalarawan sa mga puntong nalutas na.
Extrajudicial Partition:
Kung mapatunayang mahirap ang isang mapayapang kasunduan, maaaring "&amp;"subukan ang extrajudicial division. Kabilang dito ang paghahati ng mga kasamang may-ari ng ari-arian sa isang notarized na dokumento.
Pinakamahusay na gagana ang opsyong ito kapag madaling hatiin ang property (tulad ng bakanteng lupa) at malinaw na nauuna"&amp;"waan ng mga kasamang may-ari ang gustong resulta.
Judicial Partition:
Kapag hindi magkasundo ang mga kapwa may-ari sa extra-judicial partition, maaaring magsampa ng kaso sa korte para humiling ng judicial partition.
Isasaalang-alang ng korte ang iba't iba"&amp;"ng mga kadahilanan, kabilang ang mga bahagi ng mga kapwa may-ari at ang potensyal na paghahati ng ari-arian.
Maaari niyang iutos ang pisikal na pagbabahagi ng ari-arian o ang pagbebenta nito, ang mga nalikom nito ay hahatiin sa pagitan ng mga kapwa may-ar"&amp;"i ayon sa kanilang mga bahagi.
Iba pang mga legal na opsyon:
Pagkuha: Maaaring mag-alok ang isang kapwa may-ari na bilhin ang mga bahagi ng ibang tao upang maging nag-iisang may-ari. Nangangailangan ito ng pormal na kasunduan na naglalarawan sa presyo ng "&amp;"pagbili at mga tuntunin sa pagbabayad.
Resolution of Management Disputes: Kung ang hindi pagkakaunawaan ay may kinalaman sa pamamahala ng ari-arian (pagkukumpuni, pangongolekta ng upa, atbp.), Ang Seksyon 489 hanggang 493 ng Civil Code ng Pilipinas ay nag"&amp;"bibigay ng balangkas para sa mga kapwa may-ari upang talakayin at posibleng bumoto sa mga desisyon . Sa ilang mga kaso, maaaring kailanganin ang interbensyon ng korte.
Mahahalagang Pagsasaalang-alang: Kasunduan sa Co-Ownership: Ang pagsulat ng malinaw na "&amp;"kasunduan sa co-ownership nang maaga ay makakatulong na maiwasan ang mga hindi pagkakaunawaan sa hinaharap. Ang dokumentong ito ay dapat na malinaw na nakasaad ang ratio ng pagmamay-ari, mga karapatan sa mana, mga responsibilidad sa pamamahala at mekanism"&amp;"o ng paglutas ng hindi pagkakaunawaan.
Legal na payo: Dapat kang kumunsulta sa isang abogadong may karanasan sa mga isyu sa co-ownership ng real estate. Maaari ka nilang payuhan sa pinakaangkop na legal na diskarte depende sa mga detalye ng iyong sitwasyo"&amp;"n at ang uri ng hindi pagkakaunawaan.
Sa pamamagitan ng pag-unawa sa mga legal na mekanismong ito at paghingi ng propesyonal na payo kung kinakailangan, ang mga kapwa may-ari sa Pilipinas ay maaaring pamahalaan ang mga hindi pagkakaunawaan sa pamamahala a"&amp;"t paghalili nang mas epektibo at maabot ang patas na paglutas.")</f>
        <v>Ang pinagsamang pagmamay-ari, na kilala rin bilang co-ownership, ay maaaring magdulot ng mga hindi pagkakaunawaan sa pagitan ng mga kapwa may-ari tungkol sa mana at pamamahala. Nasa ibaba ang isang pangkalahatang-ideya ng ilan sa mga legal na mekanismo na magagamit upang matugunan ang mga isyung ito:
Negosasyon at Kasunduan:
Ito ang madalas na ginustong pamamaraan. Maaaring subukan ng mga kapwa may-ari na maabot ang magkaparehong kasunduan sa mga isyu sa paghalili o pamamahala sa pamamagitan ng bukas na komunikasyon at kompromiso.
Kung ang isang kasunduan ay naabot, matalino na gawing pormal ito sa pamamagitan ng pagsulat na naglalarawan sa mga puntong nalutas na.
Extrajudicial Partition:
Kung mapatunayang mahirap ang isang mapayapang kasunduan, maaaring subukan ang extrajudicial division. Kabilang dito ang paghahati ng mga kasamang may-ari ng ari-arian sa isang notarized na dokumento.
Pinakamahusay na gagana ang opsyong ito kapag madaling hatiin ang property (tulad ng bakanteng lupa) at malinaw na nauunawaan ng mga kasamang may-ari ang gustong resulta.
Judicial Partition:
Kapag hindi magkasundo ang mga kapwa may-ari sa extra-judicial partition, maaaring magsampa ng kaso sa korte para humiling ng judicial partition.
Isasaalang-alang ng korte ang iba't ibang mga kadahilanan, kabilang ang mga bahagi ng mga kapwa may-ari at ang potensyal na paghahati ng ari-arian.
Maaari niyang iutos ang pisikal na pagbabahagi ng ari-arian o ang pagbebenta nito, ang mga nalikom nito ay hahatiin sa pagitan ng mga kapwa may-ari ayon sa kanilang mga bahagi.
Iba pang mga legal na opsyon:
Pagkuha: Maaaring mag-alok ang isang kapwa may-ari na bilhin ang mga bahagi ng ibang tao upang maging nag-iisang may-ari. Nangangailangan ito ng pormal na kasunduan na naglalarawan sa presyo ng pagbili at mga tuntunin sa pagbabayad.
Resolution of Management Disputes: Kung ang hindi pagkakaunawaan ay may kinalaman sa pamamahala ng ari-arian (pagkukumpuni, pangongolekta ng upa, atbp.), Ang Seksyon 489 hanggang 493 ng Civil Code ng Pilipinas ay nagbibigay ng balangkas para sa mga kapwa may-ari upang talakayin at posibleng bumoto sa mga desisyon . Sa ilang mga kaso, maaaring kailanganin ang interbensyon ng korte.
Mahahalagang Pagsasaalang-alang: Kasunduan sa Co-Ownership: Ang pagsulat ng malinaw na kasunduan sa co-ownership nang maaga ay makakatulong na maiwasan ang mga hindi pagkakaunawaan sa hinaharap. Ang dokumentong ito ay dapat na malinaw na nakasaad ang ratio ng pagmamay-ari, mga karapatan sa mana, mga responsibilidad sa pamamahala at mekanismo ng paglutas ng hindi pagkakaunawaan.
Legal na payo: Dapat kang kumunsulta sa isang abogadong may karanasan sa mga isyu sa co-ownership ng real estate. Maaari ka nilang payuhan sa pinakaangkop na legal na diskarte depende sa mga detalye ng iyong sitwasyon at ang uri ng hindi pagkakaunawaan.
Sa pamamagitan ng pag-unawa sa mga legal na mekanismong ito at paghingi ng propesyonal na payo kung kinakailangan, ang mga kapwa may-ari sa Pilipinas ay maaaring pamahalaan ang mga hindi pagkakaunawaan sa pamamahala at paghalili nang mas epektibo at maabot ang patas na paglutas.</v>
      </c>
      <c r="F445" s="2">
        <f t="shared" si="1"/>
        <v>0</v>
      </c>
      <c r="G445" s="2"/>
      <c r="H445" s="2"/>
      <c r="I445" s="2"/>
      <c r="J445" s="2"/>
      <c r="K445" s="2"/>
      <c r="L445" s="2"/>
      <c r="M445" s="2"/>
      <c r="N445" s="2"/>
      <c r="O445" s="2"/>
      <c r="P445" s="2"/>
      <c r="Q445" s="2"/>
      <c r="R445" s="2"/>
      <c r="S445" s="2"/>
      <c r="T445" s="2"/>
      <c r="U445" s="2"/>
      <c r="V445" s="2"/>
      <c r="W445" s="2"/>
      <c r="X445" s="2"/>
      <c r="Y445" s="2"/>
      <c r="Z445" s="2"/>
      <c r="AA445" s="2"/>
    </row>
    <row r="446">
      <c r="A446" s="1" t="s">
        <v>1224</v>
      </c>
      <c r="B446" s="1" t="s">
        <v>1590</v>
      </c>
      <c r="C446" s="1" t="s">
        <v>1606</v>
      </c>
      <c r="D446" s="1" t="s">
        <v>1592</v>
      </c>
      <c r="E446" s="2" t="str">
        <f>IFERROR(__xludf.DUMMYFUNCTION("GOOGLETRANSLATE(C446, ""en"", ""TL"")"),"Ang pagmamana ng isang ari-arian na may mga paghihigpit sa kapaligiran o pagpaplano ay maaaring magdagdag ng antas ng pagiging kumplikado sa proseso. Narito kung paano karaniwang tinatalakay ng batas ang isyung ito: Epekto sa mana: May kaugnayan sa mga pa"&amp;"ghihigpit sa lupa: Ang mga paghihigpit na ito ay ""nakalakip"" sa mismong ari-arian at nagiging may bisa sa sinumang mga may-ari sa hinaharap, kabilang ang mga tagapagmana. Hindi sila nawawala kapag nagpalit ng kamay ang pagmamay-ari.
Mga kinakailangan sa"&amp;" pagbubunyag: Sa karamihan ng mga kaso, ang pagkakaroon ng mga paghihigpit na ito ay dapat ibunyag sa panahon ng pagtatapon ng mga asset. Tinitiyak nito na nauunawaan ng mga tagapagmana ang mga limitasyon sa kung paano nila magagamit ang mga asset.
Mga Le"&amp;"gal na Obligasyon ng mga Tagapagmana: Pagsunod sa Mga Paghihigpit: Ang mga tagapagmana ay may pananagutan sa pagsunod sa mga naaangkop na regulasyon sa kapaligiran at pagsona. Maaaring kabilang dito ang mga bagay tulad ng pagpapanatili ng wetlands sa prop"&amp;"erty, pagsunod sa mga regulasyon sa ingay o pagsunod sa mga partikular na code ng gusali para sa mga pagsasaayos.
Kaalaman sa mga paghihigpit: Bagama't hindi palaging hinihiling ng batas, sa pangkalahatan ay matalino para sa mga tagapagmana na maging pami"&amp;"lyar sa mga partikular na paghihigpit bago magmana. Nakakatulong ito na maiwasan ang anumang mga sorpresa o potensyal na paglabag sa panahon ng pagpapatupad.
Mga karagdagang pagsasaalang-alang:
Uri ng paghihigpit: Ang mga partikular na legal na obligasyon"&amp;" ay mag-iiba depende sa uri ng mga paghihigpit. Ang mga regulasyong pangkapaligiran ng EPA ay maaaring iba sa mga lokal na regulasyon sa pagsona.
Mga probisyon ng testamento o tiwala: Maaaring sabihin ng namatay ang kanilang mga kagustuhan tungkol sa pang"&amp;"angasiwa ng ari-arian sa kanilang testamento o dokumento ng tiwala. Ang mga probisyong ito ay maaaring makaapekto sa kung paano humaharap ang tagapagmana sa mga isyu sa kapaligiran o pagpaplano.
Inirerekomenda:
Ang pagmamana ng ari-arian na may mga paghih"&amp;"igpit ay maaaring maging mahirap. Upang matiyak na ikaw ay ganap na may kaalaman at sumusunod, lubos kong inirerekomenda na kumunsulta ka sa isang abogado ng real estate na dalubhasa sa batas ng ari-arian sa iyong partikular na hurisdiksyon. Maaari nilang"&amp;" matutunan ang mga detalye ng iyong sitwasyon at mabigyan ka ng personalized na legal na payo.")</f>
        <v>Ang pagmamana ng isang ari-arian na may mga paghihigpit sa kapaligiran o pagpaplano ay maaaring magdagdag ng antas ng pagiging kumplikado sa proseso. Narito kung paano karaniwang tinatalakay ng batas ang isyung ito: Epekto sa mana: May kaugnayan sa mga paghihigpit sa lupa: Ang mga paghihigpit na ito ay "nakalakip" sa mismong ari-arian at nagiging may bisa sa sinumang mga may-ari sa hinaharap, kabilang ang mga tagapagmana. Hindi sila nawawala kapag nagpalit ng kamay ang pagmamay-ari.
Mga kinakailangan sa pagbubunyag: Sa karamihan ng mga kaso, ang pagkakaroon ng mga paghihigpit na ito ay dapat ibunyag sa panahon ng pagtatapon ng mga asset. Tinitiyak nito na nauunawaan ng mga tagapagmana ang mga limitasyon sa kung paano nila magagamit ang mga asset.
Mga Legal na Obligasyon ng mga Tagapagmana: Pagsunod sa Mga Paghihigpit: Ang mga tagapagmana ay may pananagutan sa pagsunod sa mga naaangkop na regulasyon sa kapaligiran at pagsona. Maaaring kabilang dito ang mga bagay tulad ng pagpapanatili ng wetlands sa property, pagsunod sa mga regulasyon sa ingay o pagsunod sa mga partikular na code ng gusali para sa mga pagsasaayos.
Kaalaman sa mga paghihigpit: Bagama't hindi palaging hinihiling ng batas, sa pangkalahatan ay matalino para sa mga tagapagmana na maging pamilyar sa mga partikular na paghihigpit bago magmana. Nakakatulong ito na maiwasan ang anumang mga sorpresa o potensyal na paglabag sa panahon ng pagpapatupad.
Mga karagdagang pagsasaalang-alang:
Uri ng paghihigpit: Ang mga partikular na legal na obligasyon ay mag-iiba depende sa uri ng mga paghihigpit. Ang mga regulasyong pangkapaligiran ng EPA ay maaaring iba sa mga lokal na regulasyon sa pagsona.
Mga probisyon ng testamento o tiwala: Maaaring sabihin ng namatay ang kanilang mga kagustuhan tungkol sa pangangasiwa ng ari-arian sa kanilang testamento o dokumento ng tiwala. Ang mga probisyong ito ay maaaring makaapekto sa kung paano humaharap ang tagapagmana sa mga isyu sa kapaligiran o pagpaplano.
Inirerekomenda:
Ang pagmamana ng ari-arian na may mga paghihigpit ay maaaring maging mahirap. Upang matiyak na ikaw ay ganap na may kaalaman at sumusunod, lubos kong inirerekomenda na kumunsulta ka sa isang abogado ng real estate na dalubhasa sa batas ng ari-arian sa iyong partikular na hurisdiksyon. Maaari nilang matutunan ang mga detalye ng iyong sitwasyon at mabigyan ka ng personalized na legal na payo.</v>
      </c>
      <c r="F446" s="2">
        <f t="shared" si="1"/>
        <v>0</v>
      </c>
      <c r="G446" s="2"/>
      <c r="H446" s="2"/>
      <c r="I446" s="2"/>
      <c r="J446" s="2"/>
      <c r="K446" s="2"/>
      <c r="L446" s="2"/>
      <c r="M446" s="2"/>
      <c r="N446" s="2"/>
      <c r="O446" s="2"/>
      <c r="P446" s="2"/>
      <c r="Q446" s="2"/>
      <c r="R446" s="2"/>
      <c r="S446" s="2"/>
      <c r="T446" s="2"/>
      <c r="U446" s="2"/>
      <c r="V446" s="2"/>
      <c r="W446" s="2"/>
      <c r="X446" s="2"/>
      <c r="Y446" s="2"/>
      <c r="Z446" s="2"/>
      <c r="AA446" s="2"/>
    </row>
    <row r="447">
      <c r="A447" s="1" t="s">
        <v>1224</v>
      </c>
      <c r="B447" s="1" t="s">
        <v>1593</v>
      </c>
      <c r="C447" s="1" t="s">
        <v>1607</v>
      </c>
      <c r="D447" s="1" t="s">
        <v>1595</v>
      </c>
      <c r="E447" s="2" t="str">
        <f>IFERROR(__xludf.DUMMYFUNCTION("GOOGLETRANSLATE(C447, ""en"", ""TL"")"),"Ang paglilipat ng mana sa isang benepisyaryo ay nagsasangkot ng ilang mahahalagang hakbang, na may ilang mga pagkakaiba-iba depende sa kung mayroong kalooban (kalooban) o walang kalooban (intestate). Narito ang isang pangkalahatang-ideya ng proseso: May T"&amp;"estamento (Testate): Probate (opsyonal): Bagama't hindi palaging kinakailangan, maaaring makatulong ang probate kung naaangkop. Ang mga probisyon ng testamento ay pinagtatalunan o kung ang pamamahagi ay nangangailangan ng hudisyal na pangangasiwa. Kasama "&amp;"sa prosesong ito ang paghahain ng testamento sa naaangkop na hukuman, pag-abiso sa mga tagapagmana, pagbabayad ng mga utang at buwis, at sa wakas ay pagtanggap ng utos ng hukuman na nag-aapruba sa paghahati ng mga ari-arian, kabilang ang ari-arian, ayon s"&amp;"a kalooban.
Extrajudicial inheritance settlement (EJS): Ito ang mas karaniwang ruta, lalo na para sa mga simpleng inheritance. Ito ay nagpapahiwatig na ang lahat ng mga tagapagmana ay sumasang-ayon sa paghahati ng mga ari-arian ayon sa tinutukoy sa testam"&amp;"ento. Ang EJS ay isang notarized na dokumento na nagdedetalye ng mga ari-arian, mga utang ng namatay at kung paano mahahati ang mana sa pagitan ng mga benepisyaryo.
Nang walang Will (Intestate):
Deklarasyon ng mga tagapagmana: Kung walang testamento, kina"&amp;"kailangan ang deklarasyon ng mga tagapagmana na inisyu ng korte. Tinutukoy ng legal na dokumentong ito ang mga legal na tagapagmana at ang kani-kanilang mga aksyon batay sa mga batas ng Philippine intestate succession.
Extrajudicial Estate Settlement (EJS"&amp;"): Katulad ng proseso ng paggawa ng testamento, lahat ng legal na tagapagmana ay dapat magkasundo sa paghahati ng ari-arian sa pamamagitan ng isang notarized na EJS.
Mga kinakailangan para sa paglipat at pagpaparehistro ng pagmamay-ari:
Sertipiko ng kamat"&amp;"ayan: Sertipikadong kopya na nagpapatunay sa pagkamatay ng may-ari.
EJS: Notarized na dokumento na naglalarawan sa dibisyon ng isang ari-arian.
Inheritance Tax Return (ETR) at Awtorisasyon: I-file ang ETR sa Bureau of Internal Revenue (BIR) at bayaran ang"&amp;" lahat ng naaangkop na buwis sa ari-arian. Ang BIR tax return ay kinakailangan upang ilipat ang pagmamay-ari.
Transfer Certificate of Title (TCT): Ang dokumentong ito ay nagpapatunay ng pagmamay-ari ng ari-arian. Maaaring kailanganin mong kumuha ng sertip"&amp;"ikadong kopya ng Register of Deeds (ROD).
Deed ng Paghuhukom: Ang legal na kasulatang ito ay nagpapapormal sa paglilipat ng mga ari-arian mula sa namatay patungo sa mga benepisyaryo gaya ng itinatadhana sa EJS o Deklarasyon ng mga Tagapagmana.
Pagbabayad "&amp;"ng bayad sa pagpaparehistro: Magkakaroon ng bayad na kasangkot sa pag-file at pagpaparehistro ng paglipat sa ROD.
Mga karagdagang puntong dapat isaalang-alang: Legal na suporta: Ang isang bihasang abogado na nagdadalubhasa sa batas ng estates at estates a"&amp;"y maaaring gabayan ka sa iyong mga partikular na kinakailangan, tinitiyak na ang dokumentasyon ay naaangkop na isama at lutasin ang mga potensyal na kumplikadong problema.
Mga Implikasyon sa Buwis: Maaaring ilapat ang inheritance tax depende sa halaga ng "&amp;"mga asset. Maipapayo na kumunsulta sa isang propesyonal sa buwis.
Time frame: Ang time frame para sa pag-aayos ng isang estate ay maaaring mag-iba depende sa pagiging kumplikado ng estate at ang kakayahan ng korte na mamagitan.
Tandaan na ito ay isang pan"&amp;"gkalahatang pangkalahatang-ideya. Upang makakuha ng pinakatumpak at napapanahon na impormasyon tungkol sa iyong partikular na sitwasyon, dapat kang kumunsulta sa isang abogadong pamilyar sa batas ng mana ng Pilipinas.")</f>
        <v>Ang paglilipat ng mana sa isang benepisyaryo ay nagsasangkot ng ilang mahahalagang hakbang, na may ilang mga pagkakaiba-iba depende sa kung mayroong kalooban (kalooban) o walang kalooban (intestate). Narito ang isang pangkalahatang-ideya ng proseso: May Testamento (Testate): Probate (opsyonal): Bagama't hindi palaging kinakailangan, maaaring makatulong ang probate kung naaangkop. Ang mga probisyon ng testamento ay pinagtatalunan o kung ang pamamahagi ay nangangailangan ng hudisyal na pangangasiwa. Kasama sa prosesong ito ang paghahain ng testamento sa naaangkop na hukuman, pag-abiso sa mga tagapagmana, pagbabayad ng mga utang at buwis, at sa wakas ay pagtanggap ng utos ng hukuman na nag-aapruba sa paghahati ng mga ari-arian, kabilang ang ari-arian, ayon sa kalooban.
Extrajudicial inheritance settlement (EJS): Ito ang mas karaniwang ruta, lalo na para sa mga simpleng inheritance. Ito ay nagpapahiwatig na ang lahat ng mga tagapagmana ay sumasang-ayon sa paghahati ng mga ari-arian ayon sa tinutukoy sa testamento. Ang EJS ay isang notarized na dokumento na nagdedetalye ng mga ari-arian, mga utang ng namatay at kung paano mahahati ang mana sa pagitan ng mga benepisyaryo.
Nang walang Will (Intestate):
Deklarasyon ng mga tagapagmana: Kung walang testamento, kinakailangan ang deklarasyon ng mga tagapagmana na inisyu ng korte. Tinutukoy ng legal na dokumentong ito ang mga legal na tagapagmana at ang kani-kanilang mga aksyon batay sa mga batas ng Philippine intestate succession.
Extrajudicial Estate Settlement (EJS): Katulad ng proseso ng paggawa ng testamento, lahat ng legal na tagapagmana ay dapat magkasundo sa paghahati ng ari-arian sa pamamagitan ng isang notarized na EJS.
Mga kinakailangan para sa paglipat at pagpaparehistro ng pagmamay-ari:
Sertipiko ng kamatayan: Sertipikadong kopya na nagpapatunay sa pagkamatay ng may-ari.
EJS: Notarized na dokumento na naglalarawan sa dibisyon ng isang ari-arian.
Inheritance Tax Return (ETR) at Awtorisasyon: I-file ang ETR sa Bureau of Internal Revenue (BIR) at bayaran ang lahat ng naaangkop na buwis sa ari-arian. Ang BIR tax return ay kinakailangan upang ilipat ang pagmamay-ari.
Transfer Certificate of Title (TCT): Ang dokumentong ito ay nagpapatunay ng pagmamay-ari ng ari-arian. Maaaring kailanganin mong kumuha ng sertipikadong kopya ng Register of Deeds (ROD).
Deed ng Paghuhukom: Ang legal na kasulatang ito ay nagpapapormal sa paglilipat ng mga ari-arian mula sa namatay patungo sa mga benepisyaryo gaya ng itinatadhana sa EJS o Deklarasyon ng mga Tagapagmana.
Pagbabayad ng bayad sa pagpaparehistro: Magkakaroon ng bayad na kasangkot sa pag-file at pagpaparehistro ng paglipat sa ROD.
Mga karagdagang puntong dapat isaalang-alang: Legal na suporta: Ang isang bihasang abogado na nagdadalubhasa sa batas ng estates at estates ay maaaring gabayan ka sa iyong mga partikular na kinakailangan, tinitiyak na ang dokumentasyon ay naaangkop na isama at lutasin ang mga potensyal na kumplikadong problema.
Mga Implikasyon sa Buwis: Maaaring ilapat ang inheritance tax depende sa halaga ng mga asset. Maipapayo na kumunsulta sa isang propesyonal sa buwis.
Time frame: Ang time frame para sa pag-aayos ng isang estate ay maaaring mag-iba depende sa pagiging kumplikado ng estate at ang kakayahan ng korte na mamagitan.
Tandaan na ito ay isang pangkalahatang pangkalahatang-ideya. Upang makakuha ng pinakatumpak at napapanahon na impormasyon tungkol sa iyong partikular na sitwasyon, dapat kang kumunsulta sa isang abogadong pamilyar sa batas ng mana ng Pilipinas.</v>
      </c>
      <c r="F447" s="2">
        <f t="shared" si="1"/>
        <v>0</v>
      </c>
      <c r="G447" s="2"/>
      <c r="H447" s="2"/>
      <c r="I447" s="2"/>
      <c r="J447" s="2"/>
      <c r="K447" s="2"/>
      <c r="L447" s="2"/>
      <c r="M447" s="2"/>
      <c r="N447" s="2"/>
      <c r="O447" s="2"/>
      <c r="P447" s="2"/>
      <c r="Q447" s="2"/>
      <c r="R447" s="2"/>
      <c r="S447" s="2"/>
      <c r="T447" s="2"/>
      <c r="U447" s="2"/>
      <c r="V447" s="2"/>
      <c r="W447" s="2"/>
      <c r="X447" s="2"/>
      <c r="Y447" s="2"/>
      <c r="Z447" s="2"/>
      <c r="AA447" s="2"/>
    </row>
    <row r="448">
      <c r="A448" s="1" t="s">
        <v>1224</v>
      </c>
      <c r="B448" s="1" t="s">
        <v>1596</v>
      </c>
      <c r="C448" s="1" t="s">
        <v>1608</v>
      </c>
      <c r="D448" s="1" t="s">
        <v>1598</v>
      </c>
      <c r="E448" s="2" t="str">
        <f>IFERROR(__xludf.DUMMYFUNCTION("GOOGLETRANSLATE(C448, ""en"", ""TL"")"),"Ang pagmamana ng ari-arian sa pamamagitan ng mortgage o lien ay sumusunod sa parehong mga prinsipyo gaya ng iba pang hurisdiksyon, ngunit may ilang partikular na pagsasaalang-alang:
Ang mga tagapagmana ay nagmamana ng mga ari-arian, hindi mga utang:
Ang b"&amp;"atas ng Pilipinas sa pangkalahatan ay hindi nag-aatas sa mga tagapagmana na personal na managot para sa pagsasangla o lien sa minanang ari-arian.
Ang pananagutan para sa utang ay nananatili sa ari-arian mismo at hindi sa mga tagapagmana.
Due-on-sale claus"&amp;"e sa mga mortgage: Ang batas ng Pilipinas ay hindi nagpapataw ng due-on-sale clause sa mga mortgage para sa mga layunin ng mana. Nangangahulugan ito na ang mga tagapagmana ay may opsyon na panatilihin ang umiiral na mortgage nang hindi nangangailangan ng "&amp;"agarang buong pagbabayad mula sa nagpapahiram.
Mga pagpipilian at hakbang ng tagapagmana:
Suriin ang mga dokumento at pamagat ng pautang: Maingat na suriin ang mga dokumento ng mortgage upang maunawaan ang mga tuntunin ng pautang, mga rate ng interes, at "&amp;"mga parusa sa paunang pagbabayad ay maaaring mangyari.
Gayundin, suriin ang pamagat ng ari-arian upang makita kung may iba pang mga lien na naitala. Isaalang-alang ang iyong mga opsyon: Isaalang-alang ang iyong mga pananalapi at pangmatagalang plano para "&amp;"sa ari-arian. Narito ang ilang karaniwang paraan: Ipinapalagay na mortgage: Kung ikaw ay kuwalipikado sa pananalapi at nais mong panatilihin ang ari-arian, maaari kang makipag-ugnayan sa tagapagpahiram upang ipalagay sa kanila ang mortgage na magagamit na"&amp;" ngayon. Kabilang dito ang paglipat ng utang sa iyong pangalan at pagkuha ng personal na responsibilidad para sa utang.
Mortgage Refinance: Maaari mong isaalang-alang ang muling pagpopondo sa iyong mortgage gamit ang isang bagong loan sa iyong pangalan. I"&amp;"to ay maaaring magresulta sa mas mababang mga rate ng interes o mas paborableng mga tuntunin.
Pagbebenta ng mga ari-arian: Kung hindi mamanahin ang utang, maaaring isang opsyon ang pagbebenta ng mga asset. Ang mga nalikom mula sa pagbebenta ay gagamitin u"&amp;"pang bayaran ang mortgage o mortgage, na ang natitirang mga pondo ay ipapamahagi sa mga tagapagmana ayon sa plano ng ari-arian.
Extrajudicial Settlement with Creditor's Agreement (ESCWA): Ang opsyong ito ay nagbibigay-daan sa mga tagapagmana na magkaroon "&amp;"ng kasunduan sa pinagkakautangan (nagpapahiram) tungkol sa mortgage o lien sa panahon ng proseso ng settlement sa labas ng korte. Ang kasunduang ito ay maaaring may kasamang pagpapalawig ng termino ng pautang, muling pagnegosasyon sa rate ng interes o pag"&amp;"sang-ayon sa isang tiyak na timetable para sa pagbebenta ng mga asset upang bayaran ang utang.
Kasunduan sa Buwis sa Estate: Ang mga buwis sa ari-arian ay ipinapataw sa buong ari-arian, kasama ang halaga ng ari-arian na binawasan ang anumang natitirang li"&amp;"en o lien. Kailangang isaalang-alang ng mga tagapagmana ang mga buwis na ito kapag nagpapasya kung paano pangasiwaan ang mana.
Consulting lawyer: Ang mga abogadong dalubhasa sa ari-arian at mana ay maaaring magbigay sa iyo ng mahalagang payo. Maaari nilan"&amp;"g ipaliwanag ang mga legal na implikasyon ng bawat opsyon, na isinasaalang-alang ang mga batas sa pamana at mortgage ng Pilipinas. Matutulungan ka rin nila na mag-navigate sa proseso ng pag-aayos sa labas ng korte o pamahalaan ang mga potensyal na hindi p"&amp;"agkakaunawaan sa mga nagpapautang.
Mga pangunahing punto:
Ang mga tagapagmana ay may mga opsyon kapag nagmamana ng ari-arian sa pamamagitan ng mortgage o mortgage.
Mahalagang kumunsulta sa isang abogado upang maunawaan ang iyong mga karapatan at obligasyo"&amp;"n at piliin ang pinakamahusay na paraan ng pagkilos batay sa iyong partikular na sitwasyon. Dapat isaalang-alang ang inheritance tax sa proseso ng paggawa ng desisyon. Sa pamamagitan ng pag-unawa sa mga legal na aspetong ito at paghingi ng propesyonal na "&amp;"payo, ang mga tagapagmana sa Pilipinas ay maaaring gumawa ng matalinong mga pagpipilian tungkol sa mga nasangla o nasangla na mga mana.")</f>
        <v>Ang pagmamana ng ari-arian sa pamamagitan ng mortgage o lien ay sumusunod sa parehong mga prinsipyo gaya ng iba pang hurisdiksyon, ngunit may ilang partikular na pagsasaalang-alang:
Ang mga tagapagmana ay nagmamana ng mga ari-arian, hindi mga utang:
Ang batas ng Pilipinas sa pangkalahatan ay hindi nag-aatas sa mga tagapagmana na personal na managot para sa pagsasangla o lien sa minanang ari-arian.
Ang pananagutan para sa utang ay nananatili sa ari-arian mismo at hindi sa mga tagapagmana.
Due-on-sale clause sa mga mortgage: Ang batas ng Pilipinas ay hindi nagpapataw ng due-on-sale clause sa mga mortgage para sa mga layunin ng mana. Nangangahulugan ito na ang mga tagapagmana ay may opsyon na panatilihin ang umiiral na mortgage nang hindi nangangailangan ng agarang buong pagbabayad mula sa nagpapahiram.
Mga pagpipilian at hakbang ng tagapagmana:
Suriin ang mga dokumento at pamagat ng pautang: Maingat na suriin ang mga dokumento ng mortgage upang maunawaan ang mga tuntunin ng pautang, mga rate ng interes, at mga parusa sa paunang pagbabayad ay maaaring mangyari.
Gayundin, suriin ang pamagat ng ari-arian upang makita kung may iba pang mga lien na naitala. Isaalang-alang ang iyong mga opsyon: Isaalang-alang ang iyong mga pananalapi at pangmatagalang plano para sa ari-arian. Narito ang ilang karaniwang paraan: Ipinapalagay na mortgage: Kung ikaw ay kuwalipikado sa pananalapi at nais mong panatilihin ang ari-arian, maaari kang makipag-ugnayan sa tagapagpahiram upang ipalagay sa kanila ang mortgage na magagamit na ngayon. Kabilang dito ang paglipat ng utang sa iyong pangalan at pagkuha ng personal na responsibilidad para sa utang.
Mortgage Refinance: Maaari mong isaalang-alang ang muling pagpopondo sa iyong mortgage gamit ang isang bagong loan sa iyong pangalan. Ito ay maaaring magresulta sa mas mababang mga rate ng interes o mas paborableng mga tuntunin.
Pagbebenta ng mga ari-arian: Kung hindi mamanahin ang utang, maaaring isang opsyon ang pagbebenta ng mga asset. Ang mga nalikom mula sa pagbebenta ay gagamitin upang bayaran ang mortgage o mortgage, na ang natitirang mga pondo ay ipapamahagi sa mga tagapagmana ayon sa plano ng ari-arian.
Extrajudicial Settlement with Creditor's Agreement (ESCWA): Ang opsyong ito ay nagbibigay-daan sa mga tagapagmana na magkaroon ng kasunduan sa pinagkakautangan (nagpapahiram) tungkol sa mortgage o lien sa panahon ng proseso ng settlement sa labas ng korte. Ang kasunduang ito ay maaaring may kasamang pagpapalawig ng termino ng pautang, muling pagnegosasyon sa rate ng interes o pagsang-ayon sa isang tiyak na timetable para sa pagbebenta ng mga asset upang bayaran ang utang.
Kasunduan sa Buwis sa Estate: Ang mga buwis sa ari-arian ay ipinapataw sa buong ari-arian, kasama ang halaga ng ari-arian na binawasan ang anumang natitirang lien o lien. Kailangang isaalang-alang ng mga tagapagmana ang mga buwis na ito kapag nagpapasya kung paano pangasiwaan ang mana.
Consulting lawyer: Ang mga abogadong dalubhasa sa ari-arian at mana ay maaaring magbigay sa iyo ng mahalagang payo. Maaari nilang ipaliwanag ang mga legal na implikasyon ng bawat opsyon, na isinasaalang-alang ang mga batas sa pamana at mortgage ng Pilipinas. Matutulungan ka rin nila na mag-navigate sa proseso ng pag-aayos sa labas ng korte o pamahalaan ang mga potensyal na hindi pagkakaunawaan sa mga nagpapautang.
Mga pangunahing punto:
Ang mga tagapagmana ay may mga opsyon kapag nagmamana ng ari-arian sa pamamagitan ng mortgage o mortgage.
Mahalagang kumunsulta sa isang abogado upang maunawaan ang iyong mga karapatan at obligasyon at piliin ang pinakamahusay na paraan ng pagkilos batay sa iyong partikular na sitwasyon. Dapat isaalang-alang ang inheritance tax sa proseso ng paggawa ng desisyon. Sa pamamagitan ng pag-unawa sa mga legal na aspetong ito at paghingi ng propesyonal na payo, ang mga tagapagmana sa Pilipinas ay maaaring gumawa ng matalinong mga pagpipilian tungkol sa mga nasangla o nasangla na mga mana.</v>
      </c>
      <c r="F448" s="2">
        <f t="shared" si="1"/>
        <v>0</v>
      </c>
      <c r="G448" s="2"/>
      <c r="H448" s="2"/>
      <c r="I448" s="2"/>
      <c r="J448" s="2"/>
      <c r="K448" s="2"/>
      <c r="L448" s="2"/>
      <c r="M448" s="2"/>
      <c r="N448" s="2"/>
      <c r="O448" s="2"/>
      <c r="P448" s="2"/>
      <c r="Q448" s="2"/>
      <c r="R448" s="2"/>
      <c r="S448" s="2"/>
      <c r="T448" s="2"/>
      <c r="U448" s="2"/>
      <c r="V448" s="2"/>
      <c r="W448" s="2"/>
      <c r="X448" s="2"/>
      <c r="Y448" s="2"/>
      <c r="Z448" s="2"/>
      <c r="AA448" s="2"/>
    </row>
    <row r="449">
      <c r="A449" s="1" t="s">
        <v>1224</v>
      </c>
      <c r="B449" s="1" t="s">
        <v>1609</v>
      </c>
      <c r="C449" s="1" t="s">
        <v>1610</v>
      </c>
      <c r="D449" s="1" t="s">
        <v>1611</v>
      </c>
      <c r="E449" s="2" t="str">
        <f>IFERROR(__xludf.DUMMYFUNCTION("GOOGLETRANSLATE(C449, ""en"", ""TL"")"),"Ang proseso ng paglilipat ng mana ay depende sa kung ang namatay ay nag-iwan ng testamento o hindi. Nasa ibaba ang pangkalahatang-ideya ng mga pangkalahatang hakbang at dokumentong kasangkot: Kung mayroong testamento (testate succession): Probate: Ang tes"&amp;"tamento ay dapat kumpirmahin ng korte sa pamamagitan ng prosesong tinatawag na probate. Tinitiyak nito ang pagiging tunay at legal na bisa nito.
Grant of Letters of Will: Pagkatapos masuri ang testamento, maglalabas ang hukuman ng mga liham ng testamento,"&amp;" na nagpapahintulot sa tagapagpatupad na pinangalanan sa testamento na pamahalaan ang ari-arian, kabilang ang paglilipat ng mga ari-arian sa mga benepisyaryo gaya ng tinukoy sa testamento.
Documentation: Orihinal na will Death certificate ng namatay
Mga d"&amp;"okumento ng mana (kontrata sa kasal, sertipiko ng kapanganakan)
Tax identification number (TIN) ng namatay at mga benepisyaryo
Kung walang will (intestate succession):
Illegal inheritance settlement (EJS): Kung walang habilin, maaaring isagawa ng mga taga"&amp;"pagmana ang EJS. Ito ay isang notarized na dokumento na nilagdaan ng lahat ng mga legal na tagapagmana, na nagsasaad ng mga ari-arian ng ari-arian at ang kanilang dibisyon.
Pagbabayad ng inheritance tax: Ang mga tagapagmana ay dapat maghain ng Inheritance"&amp;" Tax Return (ETR) at magbayad ng kaukulang inheritance tax bago ilipat ng Register of Deeds ang pagmamay-ari.
Deklarasyon ng mga Tagapagmana: Sa ilang mga kaso, kung hindi magkasundo ang mga tagapagmana sa dibisyon, maaaring kailanganin ng legal na aksyon"&amp;" para makakuha ng Deklarasyon ng mga Tagapagmana, na tumutukoy sa mga legal na tagapagmana at kanilang mga karapatan.
Dokumentasyon: Extrajudicial settlement documents (EJS)
Sertipiko ng kamatayan ng namatay
Mga dokumento ng mana (kontrata sa kasal, serti"&amp;"piko ng kapanganakan)
Tax identification number (TIN) ng namatay at mga benepisyaryo
Estate Tax Return (ETR) at resibo ng mga pagbabayad (kung mayroon man)
Mga karagdagang tala:
Dapat kang kumunsulta sa isang abogado na dalubhasa sa mga ari-arian ng batas"&amp;" ng ari-arian upang matiyak na ang proseso ng paglipat ay magiging maayos at sumusunod sa batas. Matutulungan ka nilang mag-navigate sa mga legal na isyu, ihanda ang mga kinakailangang dokumento at katawanin ka kung kinakailangan sa panahon ng proseso ng "&amp;"probate o EJS. Tandaan na ito ay isang pangkalahatang pangkalahatang-ideya, at ang mga partikular na kinakailangan ay maaaring mag-iba depende sa ari-arian at sitwasyon.")</f>
        <v>Ang proseso ng paglilipat ng mana ay depende sa kung ang namatay ay nag-iwan ng testamento o hindi. Nasa ibaba ang pangkalahatang-ideya ng mga pangkalahatang hakbang at dokumentong kasangkot: Kung mayroong testamento (testate succession): Probate: Ang testamento ay dapat kumpirmahin ng korte sa pamamagitan ng prosesong tinatawag na probate. Tinitiyak nito ang pagiging tunay at legal na bisa nito.
Grant of Letters of Will: Pagkatapos masuri ang testamento, maglalabas ang hukuman ng mga liham ng testamento, na nagpapahintulot sa tagapagpatupad na pinangalanan sa testamento na pamahalaan ang ari-arian, kabilang ang paglilipat ng mga ari-arian sa mga benepisyaryo gaya ng tinukoy sa testamento.
Documentation: Orihinal na will Death certificate ng namatay
Mga dokumento ng mana (kontrata sa kasal, sertipiko ng kapanganakan)
Tax identification number (TIN) ng namatay at mga benepisyaryo
Kung walang will (intestate succession):
Illegal inheritance settlement (EJS): Kung walang habilin, maaaring isagawa ng mga tagapagmana ang EJS. Ito ay isang notarized na dokumento na nilagdaan ng lahat ng mga legal na tagapagmana, na nagsasaad ng mga ari-arian ng ari-arian at ang kanilang dibisyon.
Pagbabayad ng inheritance tax: Ang mga tagapagmana ay dapat maghain ng Inheritance Tax Return (ETR) at magbayad ng kaukulang inheritance tax bago ilipat ng Register of Deeds ang pagmamay-ari.
Deklarasyon ng mga Tagapagmana: Sa ilang mga kaso, kung hindi magkasundo ang mga tagapagmana sa dibisyon, maaaring kailanganin ng legal na aksyon para makakuha ng Deklarasyon ng mga Tagapagmana, na tumutukoy sa mga legal na tagapagmana at kanilang mga karapatan.
Dokumentasyon: Extrajudicial settlement documents (EJS)
Sertipiko ng kamatayan ng namatay
Mga dokumento ng mana (kontrata sa kasal, sertipiko ng kapanganakan)
Tax identification number (TIN) ng namatay at mga benepisyaryo
Estate Tax Return (ETR) at resibo ng mga pagbabayad (kung mayroon man)
Mga karagdagang tala:
Dapat kang kumunsulta sa isang abogado na dalubhasa sa mga ari-arian ng batas ng ari-arian upang matiyak na ang proseso ng paglipat ay magiging maayos at sumusunod sa batas. Matutulungan ka nilang mag-navigate sa mga legal na isyu, ihanda ang mga kinakailangang dokumento at katawanin ka kung kinakailangan sa panahon ng proseso ng probate o EJS. Tandaan na ito ay isang pangkalahatang pangkalahatang-ideya, at ang mga partikular na kinakailangan ay maaaring mag-iba depende sa ari-arian at sitwasyon.</v>
      </c>
      <c r="F449" s="2">
        <f t="shared" si="1"/>
        <v>0</v>
      </c>
      <c r="G449" s="2"/>
      <c r="H449" s="2"/>
      <c r="I449" s="2"/>
      <c r="J449" s="2"/>
      <c r="K449" s="2"/>
      <c r="L449" s="2"/>
      <c r="M449" s="2"/>
      <c r="N449" s="2"/>
      <c r="O449" s="2"/>
      <c r="P449" s="2"/>
      <c r="Q449" s="2"/>
      <c r="R449" s="2"/>
      <c r="S449" s="2"/>
      <c r="T449" s="2"/>
      <c r="U449" s="2"/>
      <c r="V449" s="2"/>
      <c r="W449" s="2"/>
      <c r="X449" s="2"/>
      <c r="Y449" s="2"/>
      <c r="Z449" s="2"/>
      <c r="AA449" s="2"/>
    </row>
    <row r="450">
      <c r="A450" s="1" t="s">
        <v>1224</v>
      </c>
      <c r="B450" s="1" t="s">
        <v>1612</v>
      </c>
      <c r="C450" s="1" t="s">
        <v>1613</v>
      </c>
      <c r="D450" s="1" t="s">
        <v>1614</v>
      </c>
      <c r="E450" s="2" t="str">
        <f>IFERROR(__xludf.DUMMYFUNCTION("GOOGLETRANSLATE(C450, ""en"", ""TL"")"),"Mayroong dalawang pangunahing opsyon para sa paglutas ng mga hindi pagkakaunawaan sa pagitan ng mga tagapagmana:
Extrajudicial Settlement of Estate: Ito ang gustong paraan kung ang lahat ng tagapagmana ay magkakasundo kung paano hahatiin at pamamahala sa "&amp;"mana. Ito ay isang mas mabilis at mas murang proseso kaysa sa paglilitis. Ano ang kasama nito: Ang namatay ay hindi maaaring mag-iwan ng testamento.
Ang lahat ng tagapagmana na may ganap na mga karapatan ng paghalili ay dapat sumang-ayon.
Ang isang kasund"&amp;"uan sa pag-areglo sa labas ng korte, na naglalarawan ng mga detalye tulad ng: Ang kaugnayan ng mga tagapagmana sa namatay Paglalarawan ng ari-arian (mga asset) Kasunduan para sa paghahati ng mga ari-arian sa pagitan ng mga tagapagmana
Ang kasulatan ay dap"&amp;"at na notarized at nakarehistro sa Register of Deeds.
Judicial settlement of estate (demanda): Kung may hindi pagkakasundo sa pagitan ng mga tagapagmana o kung ang testamento ay pinagtatalunan, kinakailangan ang legal na aksyon. Kasama sa prosesong ito an"&amp;"g:
Pagsampa ng reklamo sa isang karampatang hukuman.
Magbigay ng ebidensya upang suportahan ang iyong claim.
Pagdinig at malamang na malitis.
Ang hukuman ay gagawa ng desisyon kung paano hatiin ang ari-arian.
Narito ang ilang karagdagang punto na dapat is"&amp;"aalang-alang:
Mayroong batas ng mga limitasyon sa paghahain ng petisyon para sa paghahati ng mana.
Karaniwan, ang panahong ito ay 10 taon mula sa petsa ng kamatayan (tulad ng itinakda sa Artikulo 623 ng Civil Code).
Isaalang-alang ang pamamagitan o iba pa"&amp;"ng mga opsyon sa alternatibong paglutas ng di-pagkakasundo (ADR) bago pumunta sa korte. Ang mga pamamaraang ito ay maaaring mas mabilis at mas mura kaysa sa paglilitis.
Disclaimer: Ito ay isang pangkalahatang pangkalahatang-ideya lamang at ang mga partiku"&amp;"lar na pamamaraan ay maaaring mag-iba depende sa iyong sitwasyon. Lubos naming inirerekumenda na kumonsulta ka sa isang kwalipikadong abogado para sa partikular na payong legal na naaayon sa iyong sitwasyon.")</f>
        <v>Mayroong dalawang pangunahing opsyon para sa paglutas ng mga hindi pagkakaunawaan sa pagitan ng mga tagapagmana:
Extrajudicial Settlement of Estate: Ito ang gustong paraan kung ang lahat ng tagapagmana ay magkakasundo kung paano hahatiin at pamamahala sa mana. Ito ay isang mas mabilis at mas murang proseso kaysa sa paglilitis. Ano ang kasama nito: Ang namatay ay hindi maaaring mag-iwan ng testamento.
Ang lahat ng tagapagmana na may ganap na mga karapatan ng paghalili ay dapat sumang-ayon.
Ang isang kasunduan sa pag-areglo sa labas ng korte, na naglalarawan ng mga detalye tulad ng: Ang kaugnayan ng mga tagapagmana sa namatay Paglalarawan ng ari-arian (mga asset) Kasunduan para sa paghahati ng mga ari-arian sa pagitan ng mga tagapagmana
Ang kasulatan ay dapat na notarized at nakarehistro sa Register of Deeds.
Judicial settlement of estate (demanda): Kung may hindi pagkakasundo sa pagitan ng mga tagapagmana o kung ang testamento ay pinagtatalunan, kinakailangan ang legal na aksyon. Kasama sa prosesong ito ang:
Pagsampa ng reklamo sa isang karampatang hukuman.
Magbigay ng ebidensya upang suportahan ang iyong claim.
Pagdinig at malamang na malitis.
Ang hukuman ay gagawa ng desisyon kung paano hatiin ang ari-arian.
Narito ang ilang karagdagang punto na dapat isaalang-alang:
Mayroong batas ng mga limitasyon sa paghahain ng petisyon para sa paghahati ng mana.
Karaniwan, ang panahong ito ay 10 taon mula sa petsa ng kamatayan (tulad ng itinakda sa Artikulo 623 ng Civil Code).
Isaalang-alang ang pamamagitan o iba pang mga opsyon sa alternatibong paglutas ng di-pagkakasundo (ADR) bago pumunta sa korte. Ang mga pamamaraang ito ay maaaring mas mabilis at mas mura kaysa sa paglilitis.
Disclaimer: Ito ay isang pangkalahatang pangkalahatang-ideya lamang at ang mga partikular na pamamaraan ay maaaring mag-iba depende sa iyong sitwasyon. Lubos naming inirerekumenda na kumonsulta ka sa isang kwalipikadong abogado para sa partikular na payong legal na naaayon sa iyong sitwasyon.</v>
      </c>
      <c r="F450" s="2">
        <f t="shared" si="1"/>
        <v>0</v>
      </c>
      <c r="G450" s="2"/>
      <c r="H450" s="2"/>
      <c r="I450" s="2"/>
      <c r="J450" s="2"/>
      <c r="K450" s="2"/>
      <c r="L450" s="2"/>
      <c r="M450" s="2"/>
      <c r="N450" s="2"/>
      <c r="O450" s="2"/>
      <c r="P450" s="2"/>
      <c r="Q450" s="2"/>
      <c r="R450" s="2"/>
      <c r="S450" s="2"/>
      <c r="T450" s="2"/>
      <c r="U450" s="2"/>
      <c r="V450" s="2"/>
      <c r="W450" s="2"/>
      <c r="X450" s="2"/>
      <c r="Y450" s="2"/>
      <c r="Z450" s="2"/>
      <c r="AA450" s="2"/>
    </row>
    <row r="451">
      <c r="A451" s="1" t="s">
        <v>1224</v>
      </c>
      <c r="B451" s="1" t="s">
        <v>1615</v>
      </c>
      <c r="C451" s="1" t="s">
        <v>1616</v>
      </c>
      <c r="D451" s="1" t="s">
        <v>1617</v>
      </c>
      <c r="E451" s="2" t="str">
        <f>IFERROR(__xludf.DUMMYFUNCTION("GOOGLETRANSLATE(C451, ""en"", ""TL"")"),"Ang pagmamana ng ari-arian sa isang homeowner's association (HOA) ay may ilang legal na pagsasaalang-alang tungkol sa mga regulasyon at bayarin sa HOA. Narito ang mga detalye:
Mga Panuntunan sa Mana at HOA:
HOA Membership: Sa pamamagitan ng pagmamana ng a"&amp;"ri-arian, awtomatiko kang nagiging miyembro ng HOA. Dapat bigyan ka ng HOA ng kopya ng Deklarasyon ng Mga Paghihigpit, Tipan at Kundisyon (DRCC) ng asosasyon na nagbabalangkas sa mga tuntunin at regulasyon na dapat mong sundin bilang isang may-ari.
Mga ob"&amp;"ligasyon ng mga tagapagmana patungkol sa mga bayarin sa HOA: Pagbabayad ng mga hindi nabayarang bayarin: Anumang hindi nabayarang mga bayarin sa HOA mula sa dating may-ari ay magiging responsibilidad mo sa mana. Ang pagkabigong magbayad ay maaaring magres"&amp;"ulta sa mga parusa o kahit na foreclosure ng HOA bilang huling paraan.
Mga Bayarin sa HOA sa hinaharap: Responsibilidad mong bayaran ang lahat ng mga bayarin sa HOA sa hinaharap.
Ang mga bayaring ito ay karaniwang sumasaklaw sa pagpapanatili, seguridad, k"&amp;"agamitan, at iba pang gastusin sa komunidad.
Mga Karapatan ng Tagapagmana:
Access sa HOA Records: May karapatan kang i-access ang mga nauugnay na dokumento ng HOA, kabilang ang mga financial statement at meeting minutes.
Makilahok sa mga aktibidad ng HOA:"&amp;" Maaari kang lumahok sa mga pulong ng HOA at bumoto sa mga isyu sa komunidad.
Mga Rekomendasyon:
Makipag-ugnayan kaagad sa HOA: Ipaalam sa HOA ang pagmamana ng ari-arian at magtanong tungkol sa anumang hindi nabayarang mga bayarin o paparating na mga pagt"&amp;"atasa.
Sanggunian ng DRCC: Maging pamilyar sa mga tuntunin at regulasyon ng HOA upang maiwasan ang mga hindi sinasadyang paglabag.
Badyet para sa Mga Bayarin sa HOA: Isaalang-alang ang mga bayarin sa HOA kapag nagpaplano ng pananalapi ng iyong ari-arian.
"&amp;"Tandaan: Ito ay isang pangkalahatang pangkalahatang-ideya, at ang mga partikular na sitwasyon ay maaaring mangailangan ng karagdagang pagsusuri. Para sa komprehensibong legal na payo tungkol sa iyong mana at paglahok sa HOA, isaalang-alang ang pag-iskedyu"&amp;"l ng isang konsultasyon sa isang abogado ng batas sa ari-arian. Maaari nilang malaman ang mga detalye ng iyong sitwasyon at mga partikular na regulasyon ng HOA.")</f>
        <v>Ang pagmamana ng ari-arian sa isang homeowner's association (HOA) ay may ilang legal na pagsasaalang-alang tungkol sa mga regulasyon at bayarin sa HOA. Narito ang mga detalye:
Mga Panuntunan sa Mana at HOA:
HOA Membership: Sa pamamagitan ng pagmamana ng ari-arian, awtomatiko kang nagiging miyembro ng HOA. Dapat bigyan ka ng HOA ng kopya ng Deklarasyon ng Mga Paghihigpit, Tipan at Kundisyon (DRCC) ng asosasyon na nagbabalangkas sa mga tuntunin at regulasyon na dapat mong sundin bilang isang may-ari.
Mga obligasyon ng mga tagapagmana patungkol sa mga bayarin sa HOA: Pagbabayad ng mga hindi nabayarang bayarin: Anumang hindi nabayarang mga bayarin sa HOA mula sa dating may-ari ay magiging responsibilidad mo sa mana. Ang pagkabigong magbayad ay maaaring magresulta sa mga parusa o kahit na foreclosure ng HOA bilang huling paraan.
Mga Bayarin sa HOA sa hinaharap: Responsibilidad mong bayaran ang lahat ng mga bayarin sa HOA sa hinaharap.
Ang mga bayaring ito ay karaniwang sumasaklaw sa pagpapanatili, seguridad, kagamitan, at iba pang gastusin sa komunidad.
Mga Karapatan ng Tagapagmana:
Access sa HOA Records: May karapatan kang i-access ang mga nauugnay na dokumento ng HOA, kabilang ang mga financial statement at meeting minutes.
Makilahok sa mga aktibidad ng HOA: Maaari kang lumahok sa mga pulong ng HOA at bumoto sa mga isyu sa komunidad.
Mga Rekomendasyon:
Makipag-ugnayan kaagad sa HOA: Ipaalam sa HOA ang pagmamana ng ari-arian at magtanong tungkol sa anumang hindi nabayarang mga bayarin o paparating na mga pagtatasa.
Sanggunian ng DRCC: Maging pamilyar sa mga tuntunin at regulasyon ng HOA upang maiwasan ang mga hindi sinasadyang paglabag.
Badyet para sa Mga Bayarin sa HOA: Isaalang-alang ang mga bayarin sa HOA kapag nagpaplano ng pananalapi ng iyong ari-arian.
Tandaan: Ito ay isang pangkalahatang pangkalahatang-ideya, at ang mga partikular na sitwasyon ay maaaring mangailangan ng karagdagang pagsusuri. Para sa komprehensibong legal na payo tungkol sa iyong mana at paglahok sa HOA, isaalang-alang ang pag-iskedyul ng isang konsultasyon sa isang abogado ng batas sa ari-arian. Maaari nilang malaman ang mga detalye ng iyong sitwasyon at mga partikular na regulasyon ng HOA.</v>
      </c>
      <c r="F451" s="2">
        <f t="shared" si="1"/>
        <v>0</v>
      </c>
      <c r="G451" s="2"/>
      <c r="H451" s="2"/>
      <c r="I451" s="2"/>
      <c r="J451" s="2"/>
      <c r="K451" s="2"/>
      <c r="L451" s="2"/>
      <c r="M451" s="2"/>
      <c r="N451" s="2"/>
      <c r="O451" s="2"/>
      <c r="P451" s="2"/>
      <c r="Q451" s="2"/>
      <c r="R451" s="2"/>
      <c r="S451" s="2"/>
      <c r="T451" s="2"/>
      <c r="U451" s="2"/>
      <c r="V451" s="2"/>
      <c r="W451" s="2"/>
      <c r="X451" s="2"/>
      <c r="Y451" s="2"/>
      <c r="Z451" s="2"/>
      <c r="AA451" s="2"/>
    </row>
    <row r="452">
      <c r="A452" s="1" t="s">
        <v>1224</v>
      </c>
      <c r="B452" s="1" t="s">
        <v>1618</v>
      </c>
      <c r="C452" s="1" t="s">
        <v>1619</v>
      </c>
      <c r="D452" s="1" t="s">
        <v>1620</v>
      </c>
      <c r="E452" s="2" t="str">
        <f>IFERROR(__xludf.DUMMYFUNCTION("GOOGLETRANSLATE(C452, ""en"", ""TL"")"),"Ang pagmamana ng ari-arian kasama ng mga kapatid o iba pang tagapagmana ay maaaring humantong sa mga hindi pagkakasundo sa paggamit o pagbebenta ng ari-arian. Nasa ibaba ang isang pangkalahatang-ideya ng mga legal na mekanismo upang malutas ang mga ganito"&amp;"ng sitwasyon: Paglutas ng mga hindi pagkakasundo sa mga nakabahaging asset:
Extrajudicial inheritance settlement (ESE): Kung ang lahat ng tagapagmana ay may kasunduan, pinapayagan ng ESE ang higit na patas na proseso ng pagbabahagi patungkol sa real estat"&amp;"e. Ito ay isang sinumpaang dokumento na naglalarawan sa paghahati ng mga ari-arian sa pagitan ng mga tagapagmana, sa gayon ay iniiwasan ang interbensyon ng korte. Gayunpaman, ang pamamaraang ito ay nangangailangan ng pinagkasunduan sa dibisyon o pagbebent"&amp;"a.
Judicial division: Kapag hindi naabot ang kasunduan, kailangan ang judicial division. Kabilang dito ang paghahain ng reklamo sa korte, kung saan ang isang hukom ang magpapasiya kung paano hahatiin nang patas ang mga ari-arian. Ang hukuman ay maaaring m"&amp;"ag-utos ng materyal na paghahati kung maaari, o pagbebenta ng mga nalikom na hinati ayon sa bahaging pag-aari ng bawat tagapagmana. Ang prosesong ito ay maaaring mahaba at magastos.
Kontrata sa kapwa pagmamay-ari: Ang mga tagapagmana ay maaaring gumawa ng"&amp;" isang kontrata ng kapwa pagmamay-ari na naglalarawan ng mga karapatan sa paggamit, mga responsibilidad sa pagpapanatili at posibleng mga pamamaraan sa pagbili sa hinaharap. Makakatulong ito na maiwasan ang mga salungatan sa hinaharap.
Bagama't hindi isan"&amp;"g legal na kinakailangan, ang isang maingat na binalangkas na kasunduan ay maaaring iharap sa korte upang suportahan ang posisyon ng tagapagmana sa isang aksyong partisyon.
Mahahalagang Pagsasaalang-alang:
Uri ng co-ownership: Ang legal na rehimen ay maaa"&amp;"ring bahagyang mag-iba depende sa uri ng co-ownership. Sa Pilipinas, ang pinakakaraniwan ay ang “joint property,” kung saan ang bawat tagapagmana ay nagmamay-ari ng isang tiyak, hindi nahahati na bahagi.
Pamana ng tagapagmana: Ang paghahati ng mga ari-ari"&amp;"an o mga nalikom mula sa pagbebenta ng mga ari-arian ay ibabatay sa mana ng bawat tagapagmana na tinutukoy ayon sa kalooban (kung mayroon man) o ayon sa batas sa paghalili ng mana nang walang testamento (kung walang testamento) .
Mga Rekomendasyon:
Huming"&amp;"i ng legal na payo: Ang pagkonsulta sa isang abogadong may karanasan sa estates at inheritance law ay maaaring maging lubhang kapaki-pakinabang. Magagawa nilang gabayan ka sa pinakaangkop na pagpipilian batay sa iyong mga partikular na kalagayan, na isina"&amp;"saalang-alang ang bilang ng mga tagapagmana, ang halaga ng mga ari-arian at ang likas na katangian ng hindi pagkakasundo. Tandaan na ang bukas na komunikasyon at isang pagpayag na makipagkompromiso ay mahalaga sa paglutas ng mga hindi pagkakasundo sa mga "&amp;"kasamang tagapagmana. Minsan hindi maiiwasan ang legal na interbensyon, ngunit matutulungan ka ng isang abogado na i-navigate nang epektibo ang proseso at protektahan ang iyong mga legal na karapatan.")</f>
        <v>Ang pagmamana ng ari-arian kasama ng mga kapatid o iba pang tagapagmana ay maaaring humantong sa mga hindi pagkakasundo sa paggamit o pagbebenta ng ari-arian. Nasa ibaba ang isang pangkalahatang-ideya ng mga legal na mekanismo upang malutas ang mga ganitong sitwasyon: Paglutas ng mga hindi pagkakasundo sa mga nakabahaging asset:
Extrajudicial inheritance settlement (ESE): Kung ang lahat ng tagapagmana ay may kasunduan, pinapayagan ng ESE ang higit na patas na proseso ng pagbabahagi patungkol sa real estate. Ito ay isang sinumpaang dokumento na naglalarawan sa paghahati ng mga ari-arian sa pagitan ng mga tagapagmana, sa gayon ay iniiwasan ang interbensyon ng korte. Gayunpaman, ang pamamaraang ito ay nangangailangan ng pinagkasunduan sa dibisyon o pagbebenta.
Judicial division: Kapag hindi naabot ang kasunduan, kailangan ang judicial division. Kabilang dito ang paghahain ng reklamo sa korte, kung saan ang isang hukom ang magpapasiya kung paano hahatiin nang patas ang mga ari-arian. Ang hukuman ay maaaring mag-utos ng materyal na paghahati kung maaari, o pagbebenta ng mga nalikom na hinati ayon sa bahaging pag-aari ng bawat tagapagmana. Ang prosesong ito ay maaaring mahaba at magastos.
Kontrata sa kapwa pagmamay-ari: Ang mga tagapagmana ay maaaring gumawa ng isang kontrata ng kapwa pagmamay-ari na naglalarawan ng mga karapatan sa paggamit, mga responsibilidad sa pagpapanatili at posibleng mga pamamaraan sa pagbili sa hinaharap. Makakatulong ito na maiwasan ang mga salungatan sa hinaharap.
Bagama't hindi isang legal na kinakailangan, ang isang maingat na binalangkas na kasunduan ay maaaring iharap sa korte upang suportahan ang posisyon ng tagapagmana sa isang aksyong partisyon.
Mahahalagang Pagsasaalang-alang:
Uri ng co-ownership: Ang legal na rehimen ay maaaring bahagyang mag-iba depende sa uri ng co-ownership. Sa Pilipinas, ang pinakakaraniwan ay ang “joint property,” kung saan ang bawat tagapagmana ay nagmamay-ari ng isang tiyak, hindi nahahati na bahagi.
Pamana ng tagapagmana: Ang paghahati ng mga ari-arian o mga nalikom mula sa pagbebenta ng mga ari-arian ay ibabatay sa mana ng bawat tagapagmana na tinutukoy ayon sa kalooban (kung mayroon man) o ayon sa batas sa paghalili ng mana nang walang testamento (kung walang testamento) .
Mga Rekomendasyon:
Humingi ng legal na payo: Ang pagkonsulta sa isang abogadong may karanasan sa estates at inheritance law ay maaaring maging lubhang kapaki-pakinabang. Magagawa nilang gabayan ka sa pinakaangkop na pagpipilian batay sa iyong mga partikular na kalagayan, na isinasaalang-alang ang bilang ng mga tagapagmana, ang halaga ng mga ari-arian at ang likas na katangian ng hindi pagkakasundo. Tandaan na ang bukas na komunikasyon at isang pagpayag na makipagkompromiso ay mahalaga sa paglutas ng mga hindi pagkakasundo sa mga kasamang tagapagmana. Minsan hindi maiiwasan ang legal na interbensyon, ngunit matutulungan ka ng isang abogado na i-navigate nang epektibo ang proseso at protektahan ang iyong mga legal na karapatan.</v>
      </c>
      <c r="F452" s="2">
        <f t="shared" si="1"/>
        <v>0</v>
      </c>
      <c r="G452" s="2"/>
      <c r="H452" s="2"/>
      <c r="I452" s="2"/>
      <c r="J452" s="2"/>
      <c r="K452" s="2"/>
      <c r="L452" s="2"/>
      <c r="M452" s="2"/>
      <c r="N452" s="2"/>
      <c r="O452" s="2"/>
      <c r="P452" s="2"/>
      <c r="Q452" s="2"/>
      <c r="R452" s="2"/>
      <c r="S452" s="2"/>
      <c r="T452" s="2"/>
      <c r="U452" s="2"/>
      <c r="V452" s="2"/>
      <c r="W452" s="2"/>
      <c r="X452" s="2"/>
      <c r="Y452" s="2"/>
      <c r="Z452" s="2"/>
      <c r="AA452" s="2"/>
    </row>
    <row r="453">
      <c r="A453" s="1" t="s">
        <v>1224</v>
      </c>
      <c r="B453" s="1" t="s">
        <v>1621</v>
      </c>
      <c r="C453" s="1" t="s">
        <v>1622</v>
      </c>
      <c r="D453" s="1" t="s">
        <v>1623</v>
      </c>
      <c r="E453" s="2" t="str">
        <f>IFERROR(__xludf.DUMMYFUNCTION("GOOGLETRANSLATE(C453, ""en"", ""TL"")"),"Ang mga implikasyon sa buwis ng pagmamana ng ari-arian ay iba sa maaaring asahan. Narito ang mga detalyadong figure:
Estate tax: Ang Pilipinas ay nagpapataw ng 6% estate tax sa mga net asset ng namatay. Ang buwis na ito ay ipinapataw sa kabuuang halaga ng"&amp;" mga ari-arian ng namatay na mas mababa ang pinahihintulutang pagbabawas at mga exemption. Ang ari-arian, hindi ang indibidwal, ang napapailalim sa buwis na ito. Karaniwang naaayos ito bago ipamahagi ang mga ari-arian sa mga tagapagmana.
Inheritance tax: "&amp;"Ang Pilipinas ay walang sariling inheritance tax. Ang mga benepisyaryo ay hindi direktang binubuwisan sa halaga ng mga ari-arian na kanilang minana.
Capital gains tax: Maaaring magkabisa ang buwis na ito sa hinaharap, ngunit hindi sa oras ng mana. Kung ma"&amp;"gpasya ang benepisyaryo na ibenta ang mana, maaari siyang mapatawan ng buwis sa capital gains sa anumang tubo na natamo mula sa pagbebenta. Ang capital gains tax rate sa Pilipinas ay 6% din.
Narito ang ilang karagdagang punto na dapat isaalang-alang:
Pagp"&amp;"apahalaga: Ang halaga ng isang asset na ginamit para sa mga layunin ng buwis sa ari-arian ay ang patas na halaga nito sa pamilihan sa oras ng kamatayan. Ito ay maaaring maging isang mahalagang kadahilanan sa pagtukoy ng kabuuang halaga ng inheritance tax."&amp;"
Pagtalikod sa mana: Kung pipiliin ng benepisyaryo na talikuran ang kanyang mana, maaari itong ituring na regalo at maaaring mag-trigger ng buwis sa donor (na may ibang istraktura ng rate ng buwis kaysa sa gift tax inheritance).
Mahalagang paalala: Isa it"&amp;"ong pangkalahatang pangkalahatang-ideya at maaaring maging kumplikado ang batas sa buwis. Para sa partikular na payo tungkol sa iyong sitwasyon, isinasaalang-alang ang mga salik gaya ng halaga ng mga ari-arian at ang kaugnayan ng benepisyaryo sa namatay, "&amp;"dapat kang kumunsulta sa isang espesyalista.")</f>
        <v>Ang mga implikasyon sa buwis ng pagmamana ng ari-arian ay iba sa maaaring asahan. Narito ang mga detalyadong figure:
Estate tax: Ang Pilipinas ay nagpapataw ng 6% estate tax sa mga net asset ng namatay. Ang buwis na ito ay ipinapataw sa kabuuang halaga ng mga ari-arian ng namatay na mas mababa ang pinahihintulutang pagbabawas at mga exemption. Ang ari-arian, hindi ang indibidwal, ang napapailalim sa buwis na ito. Karaniwang naaayos ito bago ipamahagi ang mga ari-arian sa mga tagapagmana.
Inheritance tax: Ang Pilipinas ay walang sariling inheritance tax. Ang mga benepisyaryo ay hindi direktang binubuwisan sa halaga ng mga ari-arian na kanilang minana.
Capital gains tax: Maaaring magkabisa ang buwis na ito sa hinaharap, ngunit hindi sa oras ng mana. Kung magpasya ang benepisyaryo na ibenta ang mana, maaari siyang mapatawan ng buwis sa capital gains sa anumang tubo na natamo mula sa pagbebenta. Ang capital gains tax rate sa Pilipinas ay 6% din.
Narito ang ilang karagdagang punto na dapat isaalang-alang:
Pagpapahalaga: Ang halaga ng isang asset na ginamit para sa mga layunin ng buwis sa ari-arian ay ang patas na halaga nito sa pamilihan sa oras ng kamatayan. Ito ay maaaring maging isang mahalagang kadahilanan sa pagtukoy ng kabuuang halaga ng inheritance tax.
Pagtalikod sa mana: Kung pipiliin ng benepisyaryo na talikuran ang kanyang mana, maaari itong ituring na regalo at maaaring mag-trigger ng buwis sa donor (na may ibang istraktura ng rate ng buwis kaysa sa gift tax inheritance).
Mahalagang paalala: Isa itong pangkalahatang pangkalahatang-ideya at maaaring maging kumplikado ang batas sa buwis. Para sa partikular na payo tungkol sa iyong sitwasyon, isinasaalang-alang ang mga salik gaya ng halaga ng mga ari-arian at ang kaugnayan ng benepisyaryo sa namatay, dapat kang kumunsulta sa isang espesyalista.</v>
      </c>
      <c r="F453" s="2">
        <f t="shared" si="1"/>
        <v>0</v>
      </c>
      <c r="G453" s="2"/>
      <c r="H453" s="2"/>
      <c r="I453" s="2"/>
      <c r="J453" s="2"/>
      <c r="K453" s="2"/>
      <c r="L453" s="2"/>
      <c r="M453" s="2"/>
      <c r="N453" s="2"/>
      <c r="O453" s="2"/>
      <c r="P453" s="2"/>
      <c r="Q453" s="2"/>
      <c r="R453" s="2"/>
      <c r="S453" s="2"/>
      <c r="T453" s="2"/>
      <c r="U453" s="2"/>
      <c r="V453" s="2"/>
      <c r="W453" s="2"/>
      <c r="X453" s="2"/>
      <c r="Y453" s="2"/>
      <c r="Z453" s="2"/>
      <c r="AA453" s="2"/>
    </row>
    <row r="454">
      <c r="A454" s="1" t="s">
        <v>1224</v>
      </c>
      <c r="B454" s="1" t="s">
        <v>1624</v>
      </c>
      <c r="C454" s="1" t="s">
        <v>1625</v>
      </c>
      <c r="D454" s="1" t="s">
        <v>1626</v>
      </c>
      <c r="E454" s="2" t="str">
        <f>IFERROR(__xludf.DUMMYFUNCTION("GOOGLETRANSLATE(C454, ""en"", ""TL"")"),"Talagang, narito ang isang breakdown ng mga legal na pagsasaalang-alang para sa mga tagapagmana na nagmamana ng ari-arian na may mga conservation easement o mga paghihigpit sa kapaligiran sa Pilipinas:
**Pag-unawa sa Mga Paghihigpit:**
* **Conservation Ea"&amp;"sement:** Ito ay isang legal na kasunduan na naghihigpit sa pag-unlad o paggamit ng ari-arian upang protektahan ang mga likas na yaman o makasaysayang kahalagahan nito. Ang mga partikular na limitasyon ay ilalarawan sa dokumento ng easement. Ang mga tagap"&amp;"agmana ay dapat kumuha ng kopya at lubusang maunawaan ang mga paghihigpit na inilalagay nito sa ari-arian [Civil Code of the Philippines, Article 1311].
* **Mga Paghihigpit sa Kapaligiran:** Maaaring magmula ang mga ito mula sa iba't ibang batas, tulad ng"&amp;" mga ordinansa sa pagsona o proklamasyon na nagtatatag ng mga protektadong lugar. Dapat suriin ng mga tagapagmana ang Department of Environment and Natural Resources (DENR) o ang local government unit (LGU) upang matukoy ang anumang partikular na paghihig"&amp;"pit sa kapaligiran na naaangkop sa ari-arian [Presidential Decree No. 1586, Executive Order No. 192].
**Epekto sa Mana:**
* **Mga Limitasyon sa Paggamit at Pag-unlad:** Mamanahin ng mga tagapagmana ang ari-arian kasama ng mga kasalukuyang paghihigpit. Hin"&amp;"di sila maaaring bumuo o gumamit ng ari-arian sa mga paraan na lumalabag sa conservation easement o mga regulasyon sa kapaligiran.
* **Pagpapahalaga:** Ang mga conservation easement at mga paghihigpit sa kapaligiran ay maaaring potensyal na mabawasan ang "&amp;"market value ng property. Maaaring makaapekto ito sa pagkalkula ng buwis sa mana [Tax Code, Section 88]. Maaaring kumonsulta ang mga tagapagmana sa isang kwalipikadong appraiser na dalubhasa sa pagpapahalaga sa mga ari-arian na may ganitong mga encumbranc"&amp;"es.
* **Mga Obligasyon ng mga Tagapagmana:** Ang mga tagapagmana ay nagiging responsable sa pagsunod sa mga tuntunin ng conservation easement at mga paghihigpit sa kapaligiran. Maaaring kabilang dito ang pagpapanatili ng ari-arian sa isang partikular na p"&amp;"araan o pagkuha ng mga permit para sa ilang partikular na aktibidad. **Mga Rekomendasyon para sa mga Tagapagmana:**
* **Repasuhin ang mga Dokumento:** Maingat na suriin ang conservation easement document at anumang nauugnay na mga regulasyon sa kapaligira"&amp;"n upang maunawaan ang mga partikular na limitasyon.
* **Humingi ng Legal na Payo:** Kumonsulta sa isang abogado na dalubhasa sa batas ng ari-arian at batas sa kapaligiran upang maunawaan ang iyong mga karapatan at obligasyon bilang mga tagapagmana. Maaari"&amp;" silang magpayo sa mga potensyal na hamon at matiyak ang pagsunod sa mga paghihigpit.
* **Makipag-ugnayan sa Holding Organization:** Kung ang conservation easement ay hawak ng isang kwalipikadong organisasyon, makipag-ugnayan sa kanila upang talakayin ang"&amp;" iyong mga responsibilidad at anumang magagamit na mga programa ng suporta.
* **Isaalang-alang ang Pagbebenta ng Ari-arian:** Kung ang mga paghihigpit ay lubos na nililimitahan ang iyong kakayahang gamitin o i-develop ang ari-arian, maaari mong isaalang-a"&amp;"lang ang pagbebenta nito sa isang taong kayang pamahalaan ito sa loob ng umiiral na mga limitasyon. Gayunpaman, kumunsulta sa iyong abogado tungkol sa anumang potensyal na implikasyon sa buwis ng pagbebenta ng minanang ari-arian.
Sa pamamagitan ng pag-una"&amp;"wa sa mga legal na pagsasaalang-alang na ito, ang mga tagapagmana ay maaaring mag-navigate nang maayos sa proseso ng mana at matiyak na sumusunod sila sa mahahalagang layunin sa kapaligiran at konserbasyon na nakalakip sa ari-arian.")</f>
        <v>Talagang, narito ang isang breakdown ng mga legal na pagsasaalang-alang para sa mga tagapagmana na nagmamana ng ari-arian na may mga conservation easement o mga paghihigpit sa kapaligiran sa Pilipinas:
**Pag-unawa sa Mga Paghihigpit:**
* **Conservation Easement:** Ito ay isang legal na kasunduan na naghihigpit sa pag-unlad o paggamit ng ari-arian upang protektahan ang mga likas na yaman o makasaysayang kahalagahan nito. Ang mga partikular na limitasyon ay ilalarawan sa dokumento ng easement. Ang mga tagapagmana ay dapat kumuha ng kopya at lubusang maunawaan ang mga paghihigpit na inilalagay nito sa ari-arian [Civil Code of the Philippines, Article 1311].
* **Mga Paghihigpit sa Kapaligiran:** Maaaring magmula ang mga ito mula sa iba't ibang batas, tulad ng mga ordinansa sa pagsona o proklamasyon na nagtatatag ng mga protektadong lugar. Dapat suriin ng mga tagapagmana ang Department of Environment and Natural Resources (DENR) o ang local government unit (LGU) upang matukoy ang anumang partikular na paghihigpit sa kapaligiran na naaangkop sa ari-arian [Presidential Decree No. 1586, Executive Order No. 192].
**Epekto sa Mana:**
* **Mga Limitasyon sa Paggamit at Pag-unlad:** Mamanahin ng mga tagapagmana ang ari-arian kasama ng mga kasalukuyang paghihigpit. Hindi sila maaaring bumuo o gumamit ng ari-arian sa mga paraan na lumalabag sa conservation easement o mga regulasyon sa kapaligiran.
* **Pagpapahalaga:** Ang mga conservation easement at mga paghihigpit sa kapaligiran ay maaaring potensyal na mabawasan ang market value ng property. Maaaring makaapekto ito sa pagkalkula ng buwis sa mana [Tax Code, Section 88]. Maaaring kumonsulta ang mga tagapagmana sa isang kwalipikadong appraiser na dalubhasa sa pagpapahalaga sa mga ari-arian na may ganitong mga encumbrances.
* **Mga Obligasyon ng mga Tagapagmana:** Ang mga tagapagmana ay nagiging responsable sa pagsunod sa mga tuntunin ng conservation easement at mga paghihigpit sa kapaligiran. Maaaring kabilang dito ang pagpapanatili ng ari-arian sa isang partikular na paraan o pagkuha ng mga permit para sa ilang partikular na aktibidad. **Mga Rekomendasyon para sa mga Tagapagmana:**
* **Repasuhin ang mga Dokumento:** Maingat na suriin ang conservation easement document at anumang nauugnay na mga regulasyon sa kapaligiran upang maunawaan ang mga partikular na limitasyon.
* **Humingi ng Legal na Payo:** Kumonsulta sa isang abogado na dalubhasa sa batas ng ari-arian at batas sa kapaligiran upang maunawaan ang iyong mga karapatan at obligasyon bilang mga tagapagmana. Maaari silang magpayo sa mga potensyal na hamon at matiyak ang pagsunod sa mga paghihigpit.
* **Makipag-ugnayan sa Holding Organization:** Kung ang conservation easement ay hawak ng isang kwalipikadong organisasyon, makipag-ugnayan sa kanila upang talakayin ang iyong mga responsibilidad at anumang magagamit na mga programa ng suporta.
* **Isaalang-alang ang Pagbebenta ng Ari-arian:** Kung ang mga paghihigpit ay lubos na nililimitahan ang iyong kakayahang gamitin o i-develop ang ari-arian, maaari mong isaalang-alang ang pagbebenta nito sa isang taong kayang pamahalaan ito sa loob ng umiiral na mga limitasyon. Gayunpaman, kumunsulta sa iyong abogado tungkol sa anumang potensyal na implikasyon sa buwis ng pagbebenta ng minanang ari-arian.
Sa pamamagitan ng pag-unawa sa mga legal na pagsasaalang-alang na ito, ang mga tagapagmana ay maaaring mag-navigate nang maayos sa proseso ng mana at matiyak na sumusunod sila sa mahahalagang layunin sa kapaligiran at konserbasyon na nakalakip sa ari-arian.</v>
      </c>
      <c r="F454" s="2">
        <f t="shared" si="1"/>
        <v>0</v>
      </c>
      <c r="G454" s="2"/>
      <c r="H454" s="2"/>
      <c r="I454" s="2"/>
      <c r="J454" s="2"/>
      <c r="K454" s="2"/>
      <c r="L454" s="2"/>
      <c r="M454" s="2"/>
      <c r="N454" s="2"/>
      <c r="O454" s="2"/>
      <c r="P454" s="2"/>
      <c r="Q454" s="2"/>
      <c r="R454" s="2"/>
      <c r="S454" s="2"/>
      <c r="T454" s="2"/>
      <c r="U454" s="2"/>
      <c r="V454" s="2"/>
      <c r="W454" s="2"/>
      <c r="X454" s="2"/>
      <c r="Y454" s="2"/>
      <c r="Z454" s="2"/>
      <c r="AA454" s="2"/>
    </row>
    <row r="455">
      <c r="A455" s="1" t="s">
        <v>1224</v>
      </c>
      <c r="B455" s="1" t="s">
        <v>1627</v>
      </c>
      <c r="C455" s="1" t="s">
        <v>1628</v>
      </c>
      <c r="D455" s="1" t="s">
        <v>1629</v>
      </c>
      <c r="E455" s="2" t="str">
        <f>IFERROR(__xludf.DUMMYFUNCTION("GOOGLETRANSLATE(C455, ""en"", ""TL"")"),"Sa Pilipinas, pinoprotektahan ng batas ang mga tagapagmana at kasalukuyang nangungupahan kapag nagmamana ng ari-arian na may kasunduan sa pag-upa. Narito ang isang breakdown batay sa mga nauugnay na batas ng Pilipinas:
**Pamana at Mga Umiiral na Kasunduan"&amp;" sa Pagpapaupa:**
* **Paggalang sa mga Umiiral na Kontrata (Artikulo 1124 ng Kodigo Sibil ng Pilipinas):** Tinitiyak ng prinsipyong ito na ang mga umiiral na kontrata, tulad ng mga kasunduan sa pag-upa, ay mananatiling wasto at maipapatupad kahit na pagka"&amp;"tapos ng pagbabago sa pagmamay-ari. Ang mga tagapagmana ay nagiging mga bagong panginoong maylupa, at pinananatili ng mga nangungupahan ang kanilang mga karapatan sa ilalim ng umiiral na kasunduan sa pag-upa.
* **Karapatang Magpatuloy sa Pananakop (Artiku"&amp;"lo 1678 ng Kodigo Sibil):** Ang mga nangungupahan ay may karapatang ipagpatuloy ang pag-okupa sa ari-arian para sa natitirang panahon ng pag-upa, kahit na pagkatapos ng mana. Nalalapat ito sa parehong nakasulat at pasalitang kasunduan, hangga't mapapatuna"&amp;"yan ang pasalitang kasunduan. **Mga Obligasyon ng Tagapagmana sa mga Nangungupahan:**
* **Honor Lease Agreement:** Dapat igalang ng mga tagapagmana ang mga tuntunin at kundisyon na nakabalangkas sa umiiral na kasunduan sa pag-upa, kabilang ang halaga ng u"&amp;"pa, tagal, at mga opsyon sa pag-renew. * **Magbigay ng Wastong Paunawa para sa Mga Pagbabago:** Kung ang mga tagapagmana ay nagnanais na baguhin ang mga tuntunin sa pag-upa pagkatapos mag-expire ang umiiral na kasunduan, dapat silang magbigay sa mga nangu"&amp;"ngupahan ng makatwirang paunawa gaya ng itinakda sa ilalim ng Urban Development and Housing Act (RA 7279).
* **Panatilihin ang Ari-arian:** Ang mga tagapagmana ay may pananagutan sa pagpapanatili ng ari-arian ayon sa mga pamantayang nakabalangkas sa kasun"&amp;"duan sa pag-upa, na tinitiyak ang mapayapang kasiyahan ng mga nangungupahan sa ari-arian.
* **Kolekta ng Renta:** Ang mga tagapagmana ay may karapatang mangolekta ng upa mula sa mga nangungupahan ayon sa napagkasunduang iskedyul.
**Mga Karagdagang Pagsasa"&amp;"alang-alang:**
* **Pagsusuri sa Kasunduan sa Pag-upa:** Hinihikayat ang mga tagapagmana na suriin nang lubusan ang umiiral na kasunduan sa pag-upa upang maunawaan ang kanilang mga karapatan at obligasyon bilang mga panginoong maylupa.
* **Naghahanap ng Le"&amp;"gal na Counsel:** Kung ang kasunduan sa pag-upa ay hindi malinaw o may mga potensyal na hindi pagkakaunawaan, makabubuting kumunsulta sa isang abogado na dalubhasa sa batas ng landlord-tenant para sa gabay.
**Sa konklusyon,** Tinitiyak ng batas ng Pilipin"&amp;"as ang isang maayos na paglipat para sa magkabilang partido kapag nagmamana ng ari-arian na may mga kasalukuyang kasunduan sa pag-upa. Ginagampanan ng mga tagapagmana ang tungkulin ng panginoong maylupa, iginagalang ang umiiral na pag-upa at ginagampanan "&amp;"ang kanilang mga obligasyon sa mga nangungupahan.")</f>
        <v>Sa Pilipinas, pinoprotektahan ng batas ang mga tagapagmana at kasalukuyang nangungupahan kapag nagmamana ng ari-arian na may kasunduan sa pag-upa. Narito ang isang breakdown batay sa mga nauugnay na batas ng Pilipinas:
**Pamana at Mga Umiiral na Kasunduan sa Pagpapaupa:**
* **Paggalang sa mga Umiiral na Kontrata (Artikulo 1124 ng Kodigo Sibil ng Pilipinas):** Tinitiyak ng prinsipyong ito na ang mga umiiral na kontrata, tulad ng mga kasunduan sa pag-upa, ay mananatiling wasto at maipapatupad kahit na pagkatapos ng pagbabago sa pagmamay-ari. Ang mga tagapagmana ay nagiging mga bagong panginoong maylupa, at pinananatili ng mga nangungupahan ang kanilang mga karapatan sa ilalim ng umiiral na kasunduan sa pag-upa.
* **Karapatang Magpatuloy sa Pananakop (Artikulo 1678 ng Kodigo Sibil):** Ang mga nangungupahan ay may karapatang ipagpatuloy ang pag-okupa sa ari-arian para sa natitirang panahon ng pag-upa, kahit na pagkatapos ng mana. Nalalapat ito sa parehong nakasulat at pasalitang kasunduan, hangga't mapapatunayan ang pasalitang kasunduan. **Mga Obligasyon ng Tagapagmana sa mga Nangungupahan:**
* **Honor Lease Agreement:** Dapat igalang ng mga tagapagmana ang mga tuntunin at kundisyon na nakabalangkas sa umiiral na kasunduan sa pag-upa, kabilang ang halaga ng upa, tagal, at mga opsyon sa pag-renew. * **Magbigay ng Wastong Paunawa para sa Mga Pagbabago:** Kung ang mga tagapagmana ay nagnanais na baguhin ang mga tuntunin sa pag-upa pagkatapos mag-expire ang umiiral na kasunduan, dapat silang magbigay sa mga nangungupahan ng makatwirang paunawa gaya ng itinakda sa ilalim ng Urban Development and Housing Act (RA 7279).
* **Panatilihin ang Ari-arian:** Ang mga tagapagmana ay may pananagutan sa pagpapanatili ng ari-arian ayon sa mga pamantayang nakabalangkas sa kasunduan sa pag-upa, na tinitiyak ang mapayapang kasiyahan ng mga nangungupahan sa ari-arian.
* **Kolekta ng Renta:** Ang mga tagapagmana ay may karapatang mangolekta ng upa mula sa mga nangungupahan ayon sa napagkasunduang iskedyul.
**Mga Karagdagang Pagsasaalang-alang:**
* **Pagsusuri sa Kasunduan sa Pag-upa:** Hinihikayat ang mga tagapagmana na suriin nang lubusan ang umiiral na kasunduan sa pag-upa upang maunawaan ang kanilang mga karapatan at obligasyon bilang mga panginoong maylupa.
* **Naghahanap ng Legal na Counsel:** Kung ang kasunduan sa pag-upa ay hindi malinaw o may mga potensyal na hindi pagkakaunawaan, makabubuting kumunsulta sa isang abogado na dalubhasa sa batas ng landlord-tenant para sa gabay.
**Sa konklusyon,** Tinitiyak ng batas ng Pilipinas ang isang maayos na paglipat para sa magkabilang partido kapag nagmamana ng ari-arian na may mga kasalukuyang kasunduan sa pag-upa. Ginagampanan ng mga tagapagmana ang tungkulin ng panginoong maylupa, iginagalang ang umiiral na pag-upa at ginagampanan ang kanilang mga obligasyon sa mga nangungupahan.</v>
      </c>
      <c r="F455" s="2">
        <f t="shared" si="1"/>
        <v>0</v>
      </c>
      <c r="G455" s="2"/>
      <c r="H455" s="2"/>
      <c r="I455" s="2"/>
      <c r="J455" s="2"/>
      <c r="K455" s="2"/>
      <c r="L455" s="2"/>
      <c r="M455" s="2"/>
      <c r="N455" s="2"/>
      <c r="O455" s="2"/>
      <c r="P455" s="2"/>
      <c r="Q455" s="2"/>
      <c r="R455" s="2"/>
      <c r="S455" s="2"/>
      <c r="T455" s="2"/>
      <c r="U455" s="2"/>
      <c r="V455" s="2"/>
      <c r="W455" s="2"/>
      <c r="X455" s="2"/>
      <c r="Y455" s="2"/>
      <c r="Z455" s="2"/>
      <c r="AA455" s="2"/>
    </row>
    <row r="456">
      <c r="A456" s="1" t="s">
        <v>1224</v>
      </c>
      <c r="B456" s="1" t="s">
        <v>1630</v>
      </c>
      <c r="C456" s="1" t="s">
        <v>1631</v>
      </c>
      <c r="D456" s="1" t="s">
        <v>1632</v>
      </c>
      <c r="E456" s="2" t="str">
        <f>IFERROR(__xludf.DUMMYFUNCTION("GOOGLETRANSLATE(C456, ""en"", ""TL"")"),"Mayroong dalawang paraan para ibenta ng mga tagapagmana ang kanilang bahagi ng minanang ari-arian sa Pilipinas:
Negotiated Buyout: Ito ang pinakasimpleng opsyon. Maaari mong lapitan ang iyong mga co-heirs at imungkahi na bilhin nila ang iyong interes sa p"&amp;"roperty. Ito ay maaaring sa isang napagkasunduang presyo o batay sa isang propesyonal na pagtatasa.
Pagkilos ng Partisyon: Kung hindi magagawa ang isang napagkasunduang buyout, maaari kang maghain ng aksyon sa partisyon sa korte. Pinipilit nitong ibenta a"&amp;"ng buong ari-arian, na ang mga nalikom ay nahahati sa mga tagapagmana ayon sa kanilang bahagi ng mana.
Narito ang ilang karagdagang punto na dapat isaalang-alang:
Karapatan sa Unang Pagtanggi: Ang mga kasamang tagapagmana ay kadalasang may karapatan sa un"&amp;"ang pagtanggi. Nangangahulugan ito na nakukuha nila ang unang pagkakataon na bilhin ang iyong bahagi bago mo ito ibenta sa ibang tao.
Fair Market Value: Upang matiyak ang isang patas na pagbebenta, inirerekumenda na makakuha ng isang propesyonal na pagtat"&amp;"asa ng ari-arian upang matukoy ang halaga nito sa pamilihan. Nakakatulong ito na magtatag ng makatwirang presyo para sa iyong bahagi o sa buong ari-arian kung sakaling magkaroon ng pagkilos sa partition.
Pagtiyak ng Makatarungang Pagbebenta:
Transparency:"&amp;" Maging transparent sa iyong mga co-heirs tungkol sa iyong intensyon na ibenta ang iyong share.
Dokumentasyon: Magpabalangkas ng isang abogado ng malinaw at komprehensibong kasunduan sa pagbebenta na nagbabalangkas sa mga tuntunin at kundisyon.
Paghahanap"&amp;" ng Abogado:
Bagama't hindi ako makakapagrekomenda ng mga partikular na abogado, maaari akong magmungkahi ng ilang mapagkukunan upang matulungan kang makahanap ng isang kwalipikadong propesyonal:
Philippine Bar Association: https://www.ibp.ph/
Mga Abugado"&amp;" sa Pilipinas: Maaari kang maghanap sa mga online na direktoryo tulad ng ""Lawyers Philippines: https://lawyerphilippines.org/""
Tandaan, ang impormasyong ito ay nagbibigay ng pangkalahatang pangkalahatang-ideya at hindi dapat ituring na kapalit ng legal "&amp;"na payo. Ang pagkonsulta sa isang abogado na dalubhasa sa batas ng ari-arian at pamana ay mahalaga upang matiyak ang maayos at legal na pagbebenta ng iyong minanang bahagi ng ari-arian.")</f>
        <v>Mayroong dalawang paraan para ibenta ng mga tagapagmana ang kanilang bahagi ng minanang ari-arian sa Pilipinas:
Negotiated Buyout: Ito ang pinakasimpleng opsyon. Maaari mong lapitan ang iyong mga co-heirs at imungkahi na bilhin nila ang iyong interes sa property. Ito ay maaaring sa isang napagkasunduang presyo o batay sa isang propesyonal na pagtatasa.
Pagkilos ng Partisyon: Kung hindi magagawa ang isang napagkasunduang buyout, maaari kang maghain ng aksyon sa partisyon sa korte. Pinipilit nitong ibenta ang buong ari-arian, na ang mga nalikom ay nahahati sa mga tagapagmana ayon sa kanilang bahagi ng mana.
Narito ang ilang karagdagang punto na dapat isaalang-alang:
Karapatan sa Unang Pagtanggi: Ang mga kasamang tagapagmana ay kadalasang may karapatan sa unang pagtanggi. Nangangahulugan ito na nakukuha nila ang unang pagkakataon na bilhin ang iyong bahagi bago mo ito ibenta sa ibang tao.
Fair Market Value: Upang matiyak ang isang patas na pagbebenta, inirerekumenda na makakuha ng isang propesyonal na pagtatasa ng ari-arian upang matukoy ang halaga nito sa pamilihan. Nakakatulong ito na magtatag ng makatwirang presyo para sa iyong bahagi o sa buong ari-arian kung sakaling magkaroon ng pagkilos sa partition.
Pagtiyak ng Makatarungang Pagbebenta:
Transparency: Maging transparent sa iyong mga co-heirs tungkol sa iyong intensyon na ibenta ang iyong share.
Dokumentasyon: Magpabalangkas ng isang abogado ng malinaw at komprehensibong kasunduan sa pagbebenta na nagbabalangkas sa mga tuntunin at kundisyon.
Paghahanap ng Abogado:
Bagama't hindi ako makakapagrekomenda ng mga partikular na abogado, maaari akong magmungkahi ng ilang mapagkukunan upang matulungan kang makahanap ng isang kwalipikadong propesyonal:
Philippine Bar Association: https://www.ibp.ph/
Mga Abugado sa Pilipinas: Maaari kang maghanap sa mga online na direktoryo tulad ng "Lawyers Philippines: https://lawyerphilippines.org/"
Tandaan, ang impormasyong ito ay nagbibigay ng pangkalahatang pangkalahatang-ideya at hindi dapat ituring na kapalit ng legal na payo. Ang pagkonsulta sa isang abogado na dalubhasa sa batas ng ari-arian at pamana ay mahalaga upang matiyak ang maayos at legal na pagbebenta ng iyong minanang bahagi ng ari-arian.</v>
      </c>
      <c r="F456" s="2">
        <f t="shared" si="1"/>
        <v>0</v>
      </c>
      <c r="G456" s="2"/>
      <c r="H456" s="2"/>
      <c r="I456" s="2"/>
      <c r="J456" s="2"/>
      <c r="K456" s="2"/>
      <c r="L456" s="2"/>
      <c r="M456" s="2"/>
      <c r="N456" s="2"/>
      <c r="O456" s="2"/>
      <c r="P456" s="2"/>
      <c r="Q456" s="2"/>
      <c r="R456" s="2"/>
      <c r="S456" s="2"/>
      <c r="T456" s="2"/>
      <c r="U456" s="2"/>
      <c r="V456" s="2"/>
      <c r="W456" s="2"/>
      <c r="X456" s="2"/>
      <c r="Y456" s="2"/>
      <c r="Z456" s="2"/>
      <c r="AA456" s="2"/>
    </row>
    <row r="457">
      <c r="A457" s="1" t="s">
        <v>1224</v>
      </c>
      <c r="B457" s="1" t="s">
        <v>1633</v>
      </c>
      <c r="C457" s="1" t="s">
        <v>1634</v>
      </c>
      <c r="D457" s="1" t="s">
        <v>1635</v>
      </c>
      <c r="E457" s="2" t="str">
        <f>IFERROR(__xludf.DUMMYFUNCTION("GOOGLETRANSLATE(C457, ""en"", ""TL"")"),"Paglilipat ng Minanang Ari-arian sa isang Tiwala sa Pilipinas
Mayroong ilang mga hakbang na kasangkot sa paglilipat ng minanang ari-arian sa isang trust para sa pangmatagalang pamamahala sa Pilipinas:
Estate Settlement:
Kung ang namatay ay nag-iwan ng isa"&amp;"ng testamento, ito ay kailangang probated sa korte.
Kung walang habilin, kakailanganin ng mga tagapagmana na kumuha ng ""Deklarasyon ng mga Tagapagmana"" mula sa korte, na nagtatatag ng kanilang nararapat na bahagi ng pagmamay-ari.
Gumawa ng Trust Deed:
B"&amp;"inabalangkas ng legal na dokumentong ito ang mga tuntunin ng tiwala, kabilang ang:
Grantor (s): Ang (mga) tao na naglilipat ng ari-arian (mga tagapagmana sa kasong ito)
(Mga) Trustee: Ang (mga) tao na responsable para sa pamamahala ng trust property
Mga B"&amp;"enepisyaryo: Ang (mga) tao na sa huli ay makikinabang sa tiwala (maaaring mga tagapagmana, mga susunod na henerasyon, o mga kawanggawa)
Mga Trust Asset: Paglalarawan ng minanang ari-arian na inililipat
Mga Probisyon sa Pamamahagi: Paano ang kita at sa hul"&amp;"i ang ari-arian mismo ay ipapamahagi sa mga benepisyaryo
Paglipat ng Ari-arian:
Kapag natapos na ang trust deed, kakailanganin ng mga tagapagmana na pormal na ilipat ang minanang ari-arian sa trustee. Kadalasang kasama rito ang pag-update ng mga titulo at"&amp;" pagpaparehistro sa mga naaangkop na ahensya ng gobyerno.
Mga Pagsasaalang-alang sa Buwis:
Maaaring may mga implikasyon sa buwis ng donor kapag naglilipat ng ari-arian sa isang trust. Napakahalagang kumonsulta sa isang tax advisor para maunawaan ang mga p"&amp;"otensyal na pananagutan sa buwis.
Mga Bentahe ng Trust:
Pangmatagalang Pamamahala: Ang isang tiwala ay nagbibigay-daan para sa propesyonal at sentralisadong pamamahala ng minanang ari-arian, na tinitiyak ang pangangalaga at paglago nito sa paglipas ng pan"&amp;"ahon.
Pagpaplano ng Estate: Ang mga trust ay maaaring maging isang mahalagang tool sa pagpaplano ng ari-arian. Maaari mong tukuyin kung paano ipinamamahagi ang ari-arian sa mga benepisyaryo, na pinapaliit ang mga potensyal na hindi pagkakaunawaan sa pagit"&amp;"an ng mga tagapagmana sa hinaharap.
Proteksyon ng Asset: Ang mga trust ay maaaring mag-alok ng ilang proteksyon laban sa mga nagpapautang ng mga benepisyaryo.
Mga Benepisyo sa Buwis: Sa ilang mga kaso, ang mga trust ay maaaring mag-alok ng mga benepisyo s"&amp;"a buwis, tulad ng pagbabawas ng mga buwis sa ari-arian para sa mga susunod na henerasyon.
Mahalagang Paalala:
Ito ay isang pinasimple na pangkalahatang-ideya, at ang partikular na legal na proseso ay maaaring mag-iba depende sa pagiging kumplikado ng ari-"&amp;"arian at sa mga tuntunin ng tiwala. Ang pagkonsulta sa isang kwalipikadong abogado na nagdadalubhasa sa mga trust at estate ay napakahalaga upang matiyak ang maayos at legal na paglilipat ng iyong minanang ari-arian.")</f>
        <v>Paglilipat ng Minanang Ari-arian sa isang Tiwala sa Pilipinas
Mayroong ilang mga hakbang na kasangkot sa paglilipat ng minanang ari-arian sa isang trust para sa pangmatagalang pamamahala sa Pilipinas:
Estate Settlement:
Kung ang namatay ay nag-iwan ng isang testamento, ito ay kailangang probated sa korte.
Kung walang habilin, kakailanganin ng mga tagapagmana na kumuha ng "Deklarasyon ng mga Tagapagmana" mula sa korte, na nagtatatag ng kanilang nararapat na bahagi ng pagmamay-ari.
Gumawa ng Trust Deed:
Binabalangkas ng legal na dokumentong ito ang mga tuntunin ng tiwala, kabilang ang:
Grantor (s): Ang (mga) tao na naglilipat ng ari-arian (mga tagapagmana sa kasong ito)
(Mga) Trustee: Ang (mga) tao na responsable para sa pamamahala ng trust property
Mga Benepisyaryo: Ang (mga) tao na sa huli ay makikinabang sa tiwala (maaaring mga tagapagmana, mga susunod na henerasyon, o mga kawanggawa)
Mga Trust Asset: Paglalarawan ng minanang ari-arian na inililipat
Mga Probisyon sa Pamamahagi: Paano ang kita at sa huli ang ari-arian mismo ay ipapamahagi sa mga benepisyaryo
Paglipat ng Ari-arian:
Kapag natapos na ang trust deed, kakailanganin ng mga tagapagmana na pormal na ilipat ang minanang ari-arian sa trustee. Kadalasang kasama rito ang pag-update ng mga titulo at pagpaparehistro sa mga naaangkop na ahensya ng gobyerno.
Mga Pagsasaalang-alang sa Buwis:
Maaaring may mga implikasyon sa buwis ng donor kapag naglilipat ng ari-arian sa isang trust. Napakahalagang kumonsulta sa isang tax advisor para maunawaan ang mga potensyal na pananagutan sa buwis.
Mga Bentahe ng Trust:
Pangmatagalang Pamamahala: Ang isang tiwala ay nagbibigay-daan para sa propesyonal at sentralisadong pamamahala ng minanang ari-arian, na tinitiyak ang pangangalaga at paglago nito sa paglipas ng panahon.
Pagpaplano ng Estate: Ang mga trust ay maaaring maging isang mahalagang tool sa pagpaplano ng ari-arian. Maaari mong tukuyin kung paano ipinamamahagi ang ari-arian sa mga benepisyaryo, na pinapaliit ang mga potensyal na hindi pagkakaunawaan sa pagitan ng mga tagapagmana sa hinaharap.
Proteksyon ng Asset: Ang mga trust ay maaaring mag-alok ng ilang proteksyon laban sa mga nagpapautang ng mga benepisyaryo.
Mga Benepisyo sa Buwis: Sa ilang mga kaso, ang mga trust ay maaaring mag-alok ng mga benepisyo sa buwis, tulad ng pagbabawas ng mga buwis sa ari-arian para sa mga susunod na henerasyon.
Mahalagang Paalala:
Ito ay isang pinasimple na pangkalahatang-ideya, at ang partikular na legal na proseso ay maaaring mag-iba depende sa pagiging kumplikado ng ari-arian at sa mga tuntunin ng tiwala. Ang pagkonsulta sa isang kwalipikadong abogado na nagdadalubhasa sa mga trust at estate ay napakahalaga upang matiyak ang maayos at legal na paglilipat ng iyong minanang ari-arian.</v>
      </c>
      <c r="F457" s="2">
        <f t="shared" si="1"/>
        <v>0</v>
      </c>
      <c r="G457" s="2"/>
      <c r="H457" s="2"/>
      <c r="I457" s="2"/>
      <c r="J457" s="2"/>
      <c r="K457" s="2"/>
      <c r="L457" s="2"/>
      <c r="M457" s="2"/>
      <c r="N457" s="2"/>
      <c r="O457" s="2"/>
      <c r="P457" s="2"/>
      <c r="Q457" s="2"/>
      <c r="R457" s="2"/>
      <c r="S457" s="2"/>
      <c r="T457" s="2"/>
      <c r="U457" s="2"/>
      <c r="V457" s="2"/>
      <c r="W457" s="2"/>
      <c r="X457" s="2"/>
      <c r="Y457" s="2"/>
      <c r="Z457" s="2"/>
      <c r="AA457" s="2"/>
    </row>
    <row r="458">
      <c r="A458" s="1" t="s">
        <v>1224</v>
      </c>
      <c r="B458" s="1" t="s">
        <v>1636</v>
      </c>
      <c r="C458" s="1" t="s">
        <v>1637</v>
      </c>
      <c r="D458" s="1" t="s">
        <v>1638</v>
      </c>
      <c r="E458" s="2" t="str">
        <f>IFERROR(__xludf.DUMMYFUNCTION("GOOGLETRANSLATE(C458, ""en"", ""TL"")"),"Ang mga tagapagmana ay nagmamana hindi lamang ng ari-arian ng namatay kundi pati na rin ang kanilang mga obligasyon, kabilang ang mga hindi pa nababayarang utang at pagkakasangla. Narito kung paano pinangangasiwaan ng batas ang mga ganitong sitwasyon at a"&amp;"ng mga hakbang na dapat gawin ng mga tagapagmana:
Pananagutan ng mga tagapagmana:
Limitadong Pananagutan: Pananagutan lamang ng mga tagapagmana ang mga utang ng namatay hanggang sa halaga ng mana na kanilang natatanggap. Nangangahulugan ito na hindi sila "&amp;"maaaring personal na managot para sa mga utang na lumampas sa halaga ng minanang ari-arian.
Mga Legal na Opsyon para sa mga Tagapagmana:
Tanggapin ang Mana na may Benepisyo ng Imbentaryo: Ito ay isang legal na proseso kung saan ang isang imbentaryo ng mga"&amp;" ari-arian at pananagutan ng namatay ay nilikha. Ang mga tagapagmana ay mananagot lamang para sa mga utang sa lawak ng naimbentaryo na mga ari-arian. Gayunpaman, ang prosesong ito ay maaaring mahaba at kumplikado.
Itakwil ang Mana: Ang mga tagapagmana ay "&amp;"maaaring ganap na tanggihan ang mana, pinalaya ang kanilang sarili sa anumang pananagutan para sa mga utang. Ngunit nangangahulugan din ito na mawawalan sila ng anumang mga karapatan sa minanang ari-arian.
Makipag-ayos sa Mga Pinagkakautangan: Maaaring ma"&amp;"kipag-ayos ang mga tagapagmana ng isang kasunduan sa mga nagpapautang, nag-aalok ng lump sum na pagbabayad o nagmumungkahi ng isang plano sa pagbabayad gamit ang minanang mga ari-arian.
Ibenta ang Ari-arian: Kung ang mga utang ay malaki, ang mga tagapagma"&amp;"na ay maaaring pumili na ibenta ang minanang ari-arian, gamitin ang mga nalikom upang bayaran ang mga utang, at pagkatapos ay hatiin ang natitirang halaga ayon sa kanilang mana.
Mga Inirerekomendang Hakbang:
Kumonsulta sa isang Abogado: Ang isang bihasang"&amp;" abogado na dalubhasa sa batas ng mana ay maaaring magpayo sa pinakamahusay na paraan ng pagkilos batay sa partikular na sitwasyon, kabilang ang halaga ng ari-arian, ang halaga ng utang, at ang bilang ng mga tagapagmana na kasangkot.
Magtipon ng mga Dokum"&amp;"ento: Kolektahin ang lahat ng mga dokumento na may kaugnayan sa mana, kabilang ang sertipiko ng kamatayan, ay (kung mayroon man), mga titulo ng ari-arian, at mga dokumento ng pautang para sa mortgage.
Mga Asset at Utang ng Imbentaryo: Gumawa ng detalyadon"&amp;"g listahan ng lahat ng minanang asset at ang kanilang tinantyang halaga, kasama ang kumpletong listahan ng mga hindi pa nababayarang utang.
Makipag-ugnayan sa Mga Pinagkakautangan: Dapat na agad na ipaalam ng mga tagapagmana ang mga nagpapautang tungkol s"&amp;"a pagkamatay ng may-ari ng ari-arian at ipahayag ang kanilang intensyon na tugunan ang mga hindi pa nababayarang utang.
Tandaan: Ang napapanahong pagkilos ay mahalaga. Hindi dapat ipagpaliban ng mga tagapagmana ang pagkonsulta sa isang abogado at gumawa n"&amp;"g mga kinakailangang hakbang upang matugunan ang mga minanang utang. Ang pagwawalang-bahala sa isyu ay maaaring humantong sa mga legal na komplikasyon, kabilang ang mga demanda sa pinagkakautangan at potensyal na foreclosure sa nakasangla na ari-arian.")</f>
        <v>Ang mga tagapagmana ay nagmamana hindi lamang ng ari-arian ng namatay kundi pati na rin ang kanilang mga obligasyon, kabilang ang mga hindi pa nababayarang utang at pagkakasangla. Narito kung paano pinangangasiwaan ng batas ang mga ganitong sitwasyon at ang mga hakbang na dapat gawin ng mga tagapagmana:
Pananagutan ng mga tagapagmana:
Limitadong Pananagutan: Pananagutan lamang ng mga tagapagmana ang mga utang ng namatay hanggang sa halaga ng mana na kanilang natatanggap. Nangangahulugan ito na hindi sila maaaring personal na managot para sa mga utang na lumampas sa halaga ng minanang ari-arian.
Mga Legal na Opsyon para sa mga Tagapagmana:
Tanggapin ang Mana na may Benepisyo ng Imbentaryo: Ito ay isang legal na proseso kung saan ang isang imbentaryo ng mga ari-arian at pananagutan ng namatay ay nilikha. Ang mga tagapagmana ay mananagot lamang para sa mga utang sa lawak ng naimbentaryo na mga ari-arian. Gayunpaman, ang prosesong ito ay maaaring mahaba at kumplikado.
Itakwil ang Mana: Ang mga tagapagmana ay maaaring ganap na tanggihan ang mana, pinalaya ang kanilang sarili sa anumang pananagutan para sa mga utang. Ngunit nangangahulugan din ito na mawawalan sila ng anumang mga karapatan sa minanang ari-arian.
Makipag-ayos sa Mga Pinagkakautangan: Maaaring makipag-ayos ang mga tagapagmana ng isang kasunduan sa mga nagpapautang, nag-aalok ng lump sum na pagbabayad o nagmumungkahi ng isang plano sa pagbabayad gamit ang minanang mga ari-arian.
Ibenta ang Ari-arian: Kung ang mga utang ay malaki, ang mga tagapagmana ay maaaring pumili na ibenta ang minanang ari-arian, gamitin ang mga nalikom upang bayaran ang mga utang, at pagkatapos ay hatiin ang natitirang halaga ayon sa kanilang mana.
Mga Inirerekomendang Hakbang:
Kumonsulta sa isang Abogado: Ang isang bihasang abogado na dalubhasa sa batas ng mana ay maaaring magpayo sa pinakamahusay na paraan ng pagkilos batay sa partikular na sitwasyon, kabilang ang halaga ng ari-arian, ang halaga ng utang, at ang bilang ng mga tagapagmana na kasangkot.
Magtipon ng mga Dokumento: Kolektahin ang lahat ng mga dokumento na may kaugnayan sa mana, kabilang ang sertipiko ng kamatayan, ay (kung mayroon man), mga titulo ng ari-arian, at mga dokumento ng pautang para sa mortgage.
Mga Asset at Utang ng Imbentaryo: Gumawa ng detalyadong listahan ng lahat ng minanang asset at ang kanilang tinantyang halaga, kasama ang kumpletong listahan ng mga hindi pa nababayarang utang.
Makipag-ugnayan sa Mga Pinagkakautangan: Dapat na agad na ipaalam ng mga tagapagmana ang mga nagpapautang tungkol sa pagkamatay ng may-ari ng ari-arian at ipahayag ang kanilang intensyon na tugunan ang mga hindi pa nababayarang utang.
Tandaan: Ang napapanahong pagkilos ay mahalaga. Hindi dapat ipagpaliban ng mga tagapagmana ang pagkonsulta sa isang abogado at gumawa ng mga kinakailangang hakbang upang matugunan ang mga minanang utang. Ang pagwawalang-bahala sa isyu ay maaaring humantong sa mga legal na komplikasyon, kabilang ang mga demanda sa pinagkakautangan at potensyal na foreclosure sa nakasangla na ari-arian.</v>
      </c>
      <c r="F458" s="2">
        <f t="shared" si="1"/>
        <v>0</v>
      </c>
      <c r="G458" s="2"/>
      <c r="H458" s="2"/>
      <c r="I458" s="2"/>
      <c r="J458" s="2"/>
      <c r="K458" s="2"/>
      <c r="L458" s="2"/>
      <c r="M458" s="2"/>
      <c r="N458" s="2"/>
      <c r="O458" s="2"/>
      <c r="P458" s="2"/>
      <c r="Q458" s="2"/>
      <c r="R458" s="2"/>
      <c r="S458" s="2"/>
      <c r="T458" s="2"/>
      <c r="U458" s="2"/>
      <c r="V458" s="2"/>
      <c r="W458" s="2"/>
      <c r="X458" s="2"/>
      <c r="Y458" s="2"/>
      <c r="Z458" s="2"/>
      <c r="AA458" s="2"/>
    </row>
    <row r="459">
      <c r="A459" s="1" t="s">
        <v>1224</v>
      </c>
      <c r="B459" s="1" t="s">
        <v>1639</v>
      </c>
      <c r="C459" s="1" t="s">
        <v>1640</v>
      </c>
      <c r="D459" s="1" t="s">
        <v>1641</v>
      </c>
      <c r="E459" s="2" t="str">
        <f>IFERROR(__xludf.DUMMYFUNCTION("GOOGLETRANSLATE(C459, ""en"", ""TL"")"),"Ang pagmamana ng ari-arian na may mahahalagang personal na ari-arian tulad ng likhang sining o mga collectible ay nagpapakita ng ilang natatanging legal na pagsasaalang-alang sa Pilipinas. Narito ang isang breakdown ng mga pangunahing punto na dapat tanda"&amp;"an:
Pagpapahalaga:
Napakahalaga ng Katumpakan: Ang tumpak na pagtatasa ng mga personal na asset ay mahalaga para sa ilang kadahilanan:
Makatarungang Dibisyon sa Mga Tagapagmana: Tinitiyak ang patas na pamamahagi ng mana kung ang mga ari-arian ay hinati o "&amp;"naibenta.
Mga Layunin ng Buwis: Maaaring sumailalim sa mga buwis sa ari-arian at donor, at ang wastong pagtatasa ay nakakaapekto sa halagang dapat bayaran.
Isaalang-alang ang Propesyonal na Pagtatasa: Para sa mahalagang likhang sining o mga collectible, l"&amp;"ubos na inirerekomendang makakuha ng propesyonal na pagtatasa ng isang kwalipikadong appraiser na pamilyar sa partikular na uri ng asset.
Imbentaryo at Safekeeping:
Detalyadong Imbentaryo: Gumawa ng detalyadong imbentaryo ng mga personal na asset, kabilan"&amp;"g ang mga paglalarawan, larawan, at anumang available na dokumentasyon na nagpapatunay ng pagiging tunay o halaga.
Secure Storage: Depende sa halaga at hina ng mga item, isaalang-alang ang mga secure na solusyon sa storage tulad ng mga pasilidad na kinoko"&amp;"ntrol ng klima o insurance na may espesyal na coverage para sa mga mahahalagang bagay.
Legal na Pagmamay-ari:
Will o Intestacy: Kung nag-iwan ng testamento ang namatay, maaaring tukuyin nito kung paano dapat ipamahagi ang mga personal na ari-arian sa mga "&amp;"tagapagmana. Kung walang testamento (intestacy), ang mga batas sa pamana ng Pilipinas ang magdidikta ng pamamahagi.
Pinagsanib na Pagmamay-ari: Ang ilang mga asset ay maaaring magkasamang pagmamay-ari ng namatay at ng ibang tao. Ang legal na payo ay mahal"&amp;"aga upang matukoy ang mga karapatan sa pagmamay-ari at potensyal na implikasyon sa buwis.
Pagbubuwis:
Estate Tax: Ang Pilipinas ay nagpapataw ng estate tax sa kabuuang halaga ng ari-arian ng namatay, kabilang ang mga personal na ari-arian. ([inalis ang in"&amp;"valid na URL])
Buwis ng Donor: Kung plano mong ibenta o iregalo ang minanang personal na mga ari-arian, maaaring mapasailalim ka sa buwis ng donor. Inirerekomenda ang pagkonsulta sa isang tax advisor tungkol sa mga potensyal na pananagutan sa buwis.
Pagbe"&amp;"benta o Pamamahagi:
Pananaliksik sa Market: Kung nagbebenta ng mga asset, magsaliksik sa merkado upang maunawaan ang potensyal na halaga ng mga ito at tukuyin ang mga potensyal na mamimili tulad ng mga auction house o mga dalubhasang dealer.
Mga Legal na "&amp;"Kasunduan: Kung magpasya ang mga tagapagmana na hatiin ang mga ari-arian sa kanilang sarili, isaalang-alang ang mga pormal na legal na kasunduan na nagbabalangkas sa mga karapatan at responsibilidad sa pagmamay-ari para sa bawat item.
Mga Karagdagang Pags"&amp;"asaalang-alang:
Kahalagahang Kultural: Ang ilang mga personal na ari-arian ay maaaring may kultural o historikal na kahalagahan. Galugarin ang mga opsyon para sa donasyon sa mga museo o institusyon kung naaangkop.
Mga Paghihigpit sa Pag-export: Kung ang m"&amp;"ga asset ay itinuturing na cultural heritage item, maaaring may mga paghihigpit sa pag-export ng mga ito mula sa Pilipinas. Magsaliksik ng anumang mga regulasyon sa pag-export bago subukang magbenta sa ibang bansa.
Tandaan, ito ay isang pangkalahatang pan"&amp;"gkalahatang-ideya, at ang mga partikular na legal na pagsasaalang-alang ay maaaring mag-iba depende sa mga pangyayari. Ang pagkonsulta sa isang abogado na dalubhasa sa batas sa mana at buwis ay lubos na inirerekomenda upang i-navigate ang mga kumplikadong"&amp;" ito at matiyak ang isang maayos na proseso para sa paghawak ng iyong mahalagang minanang mga personal na asset.")</f>
        <v>Ang pagmamana ng ari-arian na may mahahalagang personal na ari-arian tulad ng likhang sining o mga collectible ay nagpapakita ng ilang natatanging legal na pagsasaalang-alang sa Pilipinas. Narito ang isang breakdown ng mga pangunahing punto na dapat tandaan:
Pagpapahalaga:
Napakahalaga ng Katumpakan: Ang tumpak na pagtatasa ng mga personal na asset ay mahalaga para sa ilang kadahilanan:
Makatarungang Dibisyon sa Mga Tagapagmana: Tinitiyak ang patas na pamamahagi ng mana kung ang mga ari-arian ay hinati o naibenta.
Mga Layunin ng Buwis: Maaaring sumailalim sa mga buwis sa ari-arian at donor, at ang wastong pagtatasa ay nakakaapekto sa halagang dapat bayaran.
Isaalang-alang ang Propesyonal na Pagtatasa: Para sa mahalagang likhang sining o mga collectible, lubos na inirerekomendang makakuha ng propesyonal na pagtatasa ng isang kwalipikadong appraiser na pamilyar sa partikular na uri ng asset.
Imbentaryo at Safekeeping:
Detalyadong Imbentaryo: Gumawa ng detalyadong imbentaryo ng mga personal na asset, kabilang ang mga paglalarawan, larawan, at anumang available na dokumentasyon na nagpapatunay ng pagiging tunay o halaga.
Secure Storage: Depende sa halaga at hina ng mga item, isaalang-alang ang mga secure na solusyon sa storage tulad ng mga pasilidad na kinokontrol ng klima o insurance na may espesyal na coverage para sa mga mahahalagang bagay.
Legal na Pagmamay-ari:
Will o Intestacy: Kung nag-iwan ng testamento ang namatay, maaaring tukuyin nito kung paano dapat ipamahagi ang mga personal na ari-arian sa mga tagapagmana. Kung walang testamento (intestacy), ang mga batas sa pamana ng Pilipinas ang magdidikta ng pamamahagi.
Pinagsanib na Pagmamay-ari: Ang ilang mga asset ay maaaring magkasamang pagmamay-ari ng namatay at ng ibang tao. Ang legal na payo ay mahalaga upang matukoy ang mga karapatan sa pagmamay-ari at potensyal na implikasyon sa buwis.
Pagbubuwis:
Estate Tax: Ang Pilipinas ay nagpapataw ng estate tax sa kabuuang halaga ng ari-arian ng namatay, kabilang ang mga personal na ari-arian. ([inalis ang invalid na URL])
Buwis ng Donor: Kung plano mong ibenta o iregalo ang minanang personal na mga ari-arian, maaaring mapasailalim ka sa buwis ng donor. Inirerekomenda ang pagkonsulta sa isang tax advisor tungkol sa mga potensyal na pananagutan sa buwis.
Pagbebenta o Pamamahagi:
Pananaliksik sa Market: Kung nagbebenta ng mga asset, magsaliksik sa merkado upang maunawaan ang potensyal na halaga ng mga ito at tukuyin ang mga potensyal na mamimili tulad ng mga auction house o mga dalubhasang dealer.
Mga Legal na Kasunduan: Kung magpasya ang mga tagapagmana na hatiin ang mga ari-arian sa kanilang sarili, isaalang-alang ang mga pormal na legal na kasunduan na nagbabalangkas sa mga karapatan at responsibilidad sa pagmamay-ari para sa bawat item.
Mga Karagdagang Pagsasaalang-alang:
Kahalagahang Kultural: Ang ilang mga personal na ari-arian ay maaaring may kultural o historikal na kahalagahan. Galugarin ang mga opsyon para sa donasyon sa mga museo o institusyon kung naaangkop.
Mga Paghihigpit sa Pag-export: Kung ang mga asset ay itinuturing na cultural heritage item, maaaring may mga paghihigpit sa pag-export ng mga ito mula sa Pilipinas. Magsaliksik ng anumang mga regulasyon sa pag-export bago subukang magbenta sa ibang bansa.
Tandaan, ito ay isang pangkalahatang pangkalahatang-ideya, at ang mga partikular na legal na pagsasaalang-alang ay maaaring mag-iba depende sa mga pangyayari. Ang pagkonsulta sa isang abogado na dalubhasa sa batas sa mana at buwis ay lubos na inirerekomenda upang i-navigate ang mga kumplikadong ito at matiyak ang isang maayos na proseso para sa paghawak ng iyong mahalagang minanang mga personal na asset.</v>
      </c>
      <c r="F459" s="2">
        <f t="shared" si="1"/>
        <v>0</v>
      </c>
      <c r="G459" s="2"/>
      <c r="H459" s="2"/>
      <c r="I459" s="2"/>
      <c r="J459" s="2"/>
      <c r="K459" s="2"/>
      <c r="L459" s="2"/>
      <c r="M459" s="2"/>
      <c r="N459" s="2"/>
      <c r="O459" s="2"/>
      <c r="P459" s="2"/>
      <c r="Q459" s="2"/>
      <c r="R459" s="2"/>
      <c r="S459" s="2"/>
      <c r="T459" s="2"/>
      <c r="U459" s="2"/>
      <c r="V459" s="2"/>
      <c r="W459" s="2"/>
      <c r="X459" s="2"/>
      <c r="Y459" s="2"/>
      <c r="Z459" s="2"/>
      <c r="AA459" s="2"/>
    </row>
    <row r="460">
      <c r="A460" s="1" t="s">
        <v>1224</v>
      </c>
      <c r="B460" s="1" t="s">
        <v>1642</v>
      </c>
      <c r="C460" s="1" t="s">
        <v>1643</v>
      </c>
      <c r="D460" s="1" t="s">
        <v>1644</v>
      </c>
      <c r="E460" s="2" t="str">
        <f>IFERROR(__xludf.DUMMYFUNCTION("GOOGLETRANSLATE(C460, ""en"", ""TL"")"),"Ang pagmamana ng ari-arian na may patuloy na mga proyekto sa pagtatayo o pagsasaayos sa Pilipinas ay nagpapakita ng isang natatanging sitwasyon na nangangailangan ng maingat na legal na pag-navigate. Narito ang isang breakdown ng ilang mahahalagang hakban"&amp;"g upang matiyak ang pagkumpleto at pagsunod sa mga regulasyon:
Mangalap ng Impormasyon:
Suriin ang Mga Dokumento sa Konstruksyon: Kunin at suriin ang lahat ng umiiral na dokumento na may kaugnayan sa proyekto ng konstruksiyon, kabilang ang mga permit,"&amp;" kontrata sa mga tagabuo o arkitekto, at mga blueprint.
Tayahin ang Katayuan ng Proyekto: Suriin ang kasalukuyang yugto ng konstruksiyon, tukuyin ang anumang natitirang trabaho, at unawain ang mga potensyal na gastos para sa pagkumpleto.
Mga Rekord na P"&amp;"ananalapi: Ipunin ang lahat ng mga rekord sa pananalapi na may kaugnayan sa proyekto, kabilang ang mga resibo para sa natapos na trabaho at mga hindi pa nababayarang bayad.
Kumonsulta sa mga Propesyonal:
Abogado: Ang pagkonsulta sa isang abogadong may k"&amp;"aranasan sa batas sa konstruksiyon ay mahalaga. Maaari silang magpayo sa mga legal na karapatan at obligasyon bilang mga tagapagmana patungkol sa proyekto, kabilang ang mga potensyal na pananagutan para sa hindi natapos na trabaho o mga paglabag sa code n"&amp;"g gusali.
Inhinyero o Arkitekto: Ang pakikipag-ugnayan sa isang kwalipikadong inhinyero o arkitekto na pamilyar sa proyekto ay maaaring magbigay ng isang propesyonal na pagtatasa ng pag-unlad ng konstruksiyon at pagsunod sa mga code ng gusali. Maaari rin"&amp;" silang magpayo sa pagiging posible at gastos sa pagkumpleto ng proyekto.
Komunikasyon at Pakikipagtulungan:
Mga kasamang tagapagmana: Kung maraming tagapagmana, mahalaga ang bukas na komunikasyon. Talakayin ang mga intensyon tungkol sa proyekto (pagkum"&amp;"pleto, pagbebenta, atbp.) at magtatag ng isang malinaw na proseso ng paggawa ng desisyon.
Mga Kontratista/Tagabuo: Makipag-ugnayan sa sinumang kasalukuyang mga kontratista o tagabuo na kasangkot sa proyekto. Unawain ang kanilang tungkulin, mga obligasyon"&amp;" sa kontraktwal, at mga potensyal na bayad para sa pagkumpleto ng trabaho.
Mga Legal na Pagsasaalang-alang:
Mga Pahintulot at Lisensya: Tiyaking lahat ng kinakailangang permit at lisensya para sa proyekto ng pagtatayo ay wasto at napapanahon. Kung nag-e"&amp;"xpire na ang mga permit, kumunsulta sa iyong abogado tungkol sa proseso para sa pag-renew.
Pagsunod sa Building Code: I-verify na ang construction ay sumusunod sa mga kasalukuyang building code. Kung mayroong anumang mga paglabag, tugunan ang mga ito kaa"&amp;"gad upang maiwasan ang mga legal na isyu at potensyal na multa.
Mga Pagpipilian sa Pagkumpleto:
Batay sa impormasyong nakalap at propesyonal na payo, maaari mong tuklasin ang iba't ibang mga opsyon para sa pagkumpleto ng proyekto:
Ipagpatuloy ang Kon"&amp;"struksyon: Kung magagawa at mabubuhay sa pananalapi, isaalang-alang ang pagkuha ng mga bagong kontratista (kung kinakailangan) upang makumpleto ang proyekto ayon sa orihinal na mga plano.
Baguhin ang Proyekto: Depende sa sitwasyon, maaari mong piliin na "&amp;"baguhin ang orihinal na plano upang mabawasan ang mga gastos o matugunan ang mga hindi inaasahang hamon. Ang legal na patnubay ay mahalaga upang matiyak na ang anumang mga pagbabago ay sumusunod sa mga regulasyon.
Ibenta ang Ari-arian: Kung ang pagkumple"&amp;"to ng proyekto ay hindi isang opsyon, isaalang-alang ang pagbebenta ng ari-arian ""as-is."" Ibunyag ang hindi natapos na konstruksyon at mga potensyal na pananagutan sa mga potensyal na mamimili.
Tandaan: Ang pagkonsulta sa isang kwalipikadong abogado at"&amp;" propesyunal sa konstruksiyon ay mahalaga para sa pag-navigate sa mga legalidad at teknikal na detalye na kasangkot sa pagkumpleto ng minanang proyekto sa konstruksiyon. Makakatulong ang kanilang patnubay na matiyak ang maayos at sumusunod na proseso haba"&amp;"ng pinoprotektahan ang iyong mga karapatan at interes bilang mga tagapagmana.")</f>
        <v>Ang pagmamana ng ari-arian na may patuloy na mga proyekto sa pagtatayo o pagsasaayos sa Pilipinas ay nagpapakita ng isang natatanging sitwasyon na nangangailangan ng maingat na legal na pag-navigate. Narito ang isang breakdown ng ilang mahahalagang hakbang upang matiyak ang pagkumpleto at pagsunod sa mga regulasyon:
Mangalap ng Impormasyon:
Suriin ang Mga Dokumento sa Konstruksyon: Kunin at suriin ang lahat ng umiiral na dokumento na may kaugnayan sa proyekto ng konstruksiyon, kabilang ang mga permit, kontrata sa mga tagabuo o arkitekto, at mga blueprint.
Tayahin ang Katayuan ng Proyekto: Suriin ang kasalukuyang yugto ng konstruksiyon, tukuyin ang anumang natitirang trabaho, at unawain ang mga potensyal na gastos para sa pagkumpleto.
Mga Rekord na Pananalapi: Ipunin ang lahat ng mga rekord sa pananalapi na may kaugnayan sa proyekto, kabilang ang mga resibo para sa natapos na trabaho at mga hindi pa nababayarang bayad.
Kumonsulta sa mga Propesyonal:
Abogado: Ang pagkonsulta sa isang abogadong may karanasan sa batas sa konstruksiyon ay mahalaga. Maaari silang magpayo sa mga legal na karapatan at obligasyon bilang mga tagapagmana patungkol sa proyekto, kabilang ang mga potensyal na pananagutan para sa hindi natapos na trabaho o mga paglabag sa code ng gusali.
Inhinyero o Arkitekto: Ang pakikipag-ugnayan sa isang kwalipikadong inhinyero o arkitekto na pamilyar sa proyekto ay maaaring magbigay ng isang propesyonal na pagtatasa ng pag-unlad ng konstruksiyon at pagsunod sa mga code ng gusali. Maaari rin silang magpayo sa pagiging posible at gastos sa pagkumpleto ng proyekto.
Komunikasyon at Pakikipagtulungan:
Mga kasamang tagapagmana: Kung maraming tagapagmana, mahalaga ang bukas na komunikasyon. Talakayin ang mga intensyon tungkol sa proyekto (pagkumpleto, pagbebenta, atbp.) at magtatag ng isang malinaw na proseso ng paggawa ng desisyon.
Mga Kontratista/Tagabuo: Makipag-ugnayan sa sinumang kasalukuyang mga kontratista o tagabuo na kasangkot sa proyekto. Unawain ang kanilang tungkulin, mga obligasyon sa kontraktwal, at mga potensyal na bayad para sa pagkumpleto ng trabaho.
Mga Legal na Pagsasaalang-alang:
Mga Pahintulot at Lisensya: Tiyaking lahat ng kinakailangang permit at lisensya para sa proyekto ng pagtatayo ay wasto at napapanahon. Kung nag-expire na ang mga permit, kumunsulta sa iyong abogado tungkol sa proseso para sa pag-renew.
Pagsunod sa Building Code: I-verify na ang construction ay sumusunod sa mga kasalukuyang building code. Kung mayroong anumang mga paglabag, tugunan ang mga ito kaagad upang maiwasan ang mga legal na isyu at potensyal na multa.
Mga Pagpipilian sa Pagkumpleto:
Batay sa impormasyong nakalap at propesyonal na payo, maaari mong tuklasin ang iba't ibang mga opsyon para sa pagkumpleto ng proyekto:
Ipagpatuloy ang Konstruksyon: Kung magagawa at mabubuhay sa pananalapi, isaalang-alang ang pagkuha ng mga bagong kontratista (kung kinakailangan) upang makumpleto ang proyekto ayon sa orihinal na mga plano.
Baguhin ang Proyekto: Depende sa sitwasyon, maaari mong piliin na baguhin ang orihinal na plano upang mabawasan ang mga gastos o matugunan ang mga hindi inaasahang hamon. Ang legal na patnubay ay mahalaga upang matiyak na ang anumang mga pagbabago ay sumusunod sa mga regulasyon.
Ibenta ang Ari-arian: Kung ang pagkumpleto ng proyekto ay hindi isang opsyon, isaalang-alang ang pagbebenta ng ari-arian "as-is." Ibunyag ang hindi natapos na konstruksyon at mga potensyal na pananagutan sa mga potensyal na mamimili.
Tandaan: Ang pagkonsulta sa isang kwalipikadong abogado at propesyunal sa konstruksiyon ay mahalaga para sa pag-navigate sa mga legalidad at teknikal na detalye na kasangkot sa pagkumpleto ng minanang proyekto sa konstruksiyon. Makakatulong ang kanilang patnubay na matiyak ang maayos at sumusunod na proseso habang pinoprotektahan ang iyong mga karapatan at interes bilang mga tagapagmana.</v>
      </c>
      <c r="F460" s="2">
        <f t="shared" si="1"/>
        <v>0</v>
      </c>
      <c r="G460" s="2"/>
      <c r="H460" s="2"/>
      <c r="I460" s="2"/>
      <c r="J460" s="2"/>
      <c r="K460" s="2"/>
      <c r="L460" s="2"/>
      <c r="M460" s="2"/>
      <c r="N460" s="2"/>
      <c r="O460" s="2"/>
      <c r="P460" s="2"/>
      <c r="Q460" s="2"/>
      <c r="R460" s="2"/>
      <c r="S460" s="2"/>
      <c r="T460" s="2"/>
      <c r="U460" s="2"/>
      <c r="V460" s="2"/>
      <c r="W460" s="2"/>
      <c r="X460" s="2"/>
      <c r="Y460" s="2"/>
      <c r="Z460" s="2"/>
      <c r="AA460" s="2"/>
    </row>
    <row r="461">
      <c r="A461" s="1" t="s">
        <v>1224</v>
      </c>
      <c r="B461" s="1" t="s">
        <v>1645</v>
      </c>
      <c r="C461" s="1" t="s">
        <v>1646</v>
      </c>
      <c r="D461" s="1" t="s">
        <v>1647</v>
      </c>
      <c r="E461" s="2" t="str">
        <f>IFERROR(__xludf.DUMMYFUNCTION("GOOGLETRANSLATE(C461, ""en"", ""TL"")"),"Sa Pilipinas, ang pagmamana ng ari-arian na may umiiral na mga permit o karapatan sa paggamit ng lupa ay karaniwang sumusunod sa mga prinsipyong ito:
Pamana ng mga Pahintulot/Karapat-dapat:
Hindi Awtomatikong Inilipat: Ang mga permit at karapatan sa pagga"&amp;"mit ng lupa ay hindi awtomatikong inililipat kasama ng mismong ari-arian. Ang mga tagapagmana ay nagmamana ng pagmamay-ari ng ari-arian, ngunit ang mga permit/mga karapatan ay maaaring mangailangan ng mga partikular na hakbang para sa pagpapatuloy.
Suriin"&amp;" ang Mga Tuntunin ng Permit: Ang bawat permit/karapat-dapat ay magkakaroon ng mga partikular na tuntunin at kundisyon. Maingat na suriin ang mga dokumentong ito upang maunawaan kung may mga probisyon para sa paglipat sa mana. Ang ilang mga permit ay maaar"&amp;"ing itali sa orihinal na may-ari at maaaring kailanganing i-apply muli ng mga tagapagmana.
Mga Legal na Obligasyon ng mga Tagapagmana:
Panatilihin ang Pagsunod: Ang mga tagapagmana ay may legal na obligasyon na panatilihin ang pagsunod sa mga kasalukuyang"&amp;" regulasyon sa paggamit ng lupa na nakalakip sa ari-arian. Kabilang dito ang pagsunod sa anumang mga limitasyon sa paggamit, pagtatayo, o epekto sa kapaligiran na nakabalangkas sa mga permit.
Posibleng Pag-renew: Depende sa partikular na permiso/karapat-d"&amp;"apat, maaaring kailanganin ng mga tagapagmana na magpasimula ng proseso ng pag-renew sa nauugnay na ahensya ng gobyerno. Maaaring mag-iba ang mga pamamaraan sa pag-renew, kaya inirerekomenda ang pagkonsulta sa isang abogado na pamilyar sa mga regulasyon s"&amp;"a paggamit ng lupa.
Napapanahong Pagkilos: Ang pagkabigong sumunod sa mga regulasyon o pagpapabaya sa pag-renew ng mga permit ay maaaring humantong sa mga parusa kabilang ang mga multa, potensyal na pagbawi ng permit, o kahit na paghinto sa anumang patulo"&amp;"y na konstruksyon o aktibidad sa property.
Mga Karagdagang Pagsasaalang-alang:
Pagbubunyag sa Panahon ng Pagbebenta: Kung magpasya ang mga tagapagmana na ibenta ang ari-arian, legal na obligado silang ibunyag ang umiiral na mga permit sa paggamit ng lupa "&amp;"at mga karapatan (kabilang ang anumang mga limitasyon) sa mga potensyal na mamimili.
Epekto sa Halaga ng Ari-arian: Ang mga umiiral na permit/mga karapatan sa paggamit ng lupa ay maaaring makabuluhang makaapekto sa halaga ng ari-arian. Ang mga permit para"&amp;" sa komersyal na pagpapaunlad ay karaniwang may mas mataas na halaga kaysa sa mga permit sa paggamit ng agrikultura.
Mga Rekomendasyon:
Kumonsulta sa Abogado: Humingi ng legal na payo mula sa isang abogadong dalubhasa sa batas sa paggamit ng lupa. Maaari "&amp;"nilang suriin ang mga partikular na permit/mga karapatan at payuhan ang proseso ng mana, mga obligasyon sa pagsunod, at mga potensyal na kinakailangan sa pag-renew.
Makipag-ugnayan sa Ahensya ng Pamahalaan: Makipag-ugnayan sa ahensya ng gobyerno na nagbig"&amp;"ay ng mga permit/mga karapatan upang magtanong tungkol sa mga potensyal na pamamaraan ng paglipat o proseso ng pag-renew para sa mga tagapagmana.
Sa pamamagitan ng pag-unawa sa mga legal na aspetong ito at paggawa ng mga kinakailangang hakbang, matitiyak "&amp;"ng mga tagapagmana na maayos nilang pinangangasiwaan ang minanang ari-arian habang sumusunod sa mga kasalukuyang regulasyon sa paggamit ng lupa.")</f>
        <v>Sa Pilipinas, ang pagmamana ng ari-arian na may umiiral na mga permit o karapatan sa paggamit ng lupa ay karaniwang sumusunod sa mga prinsipyong ito:
Pamana ng mga Pahintulot/Karapat-dapat:
Hindi Awtomatikong Inilipat: Ang mga permit at karapatan sa paggamit ng lupa ay hindi awtomatikong inililipat kasama ng mismong ari-arian. Ang mga tagapagmana ay nagmamana ng pagmamay-ari ng ari-arian, ngunit ang mga permit/mga karapatan ay maaaring mangailangan ng mga partikular na hakbang para sa pagpapatuloy.
Suriin ang Mga Tuntunin ng Permit: Ang bawat permit/karapat-dapat ay magkakaroon ng mga partikular na tuntunin at kundisyon. Maingat na suriin ang mga dokumentong ito upang maunawaan kung may mga probisyon para sa paglipat sa mana. Ang ilang mga permit ay maaaring itali sa orihinal na may-ari at maaaring kailanganing i-apply muli ng mga tagapagmana.
Mga Legal na Obligasyon ng mga Tagapagmana:
Panatilihin ang Pagsunod: Ang mga tagapagmana ay may legal na obligasyon na panatilihin ang pagsunod sa mga kasalukuyang regulasyon sa paggamit ng lupa na nakalakip sa ari-arian. Kabilang dito ang pagsunod sa anumang mga limitasyon sa paggamit, pagtatayo, o epekto sa kapaligiran na nakabalangkas sa mga permit.
Posibleng Pag-renew: Depende sa partikular na permiso/karapat-dapat, maaaring kailanganin ng mga tagapagmana na magpasimula ng proseso ng pag-renew sa nauugnay na ahensya ng gobyerno. Maaaring mag-iba ang mga pamamaraan sa pag-renew, kaya inirerekomenda ang pagkonsulta sa isang abogado na pamilyar sa mga regulasyon sa paggamit ng lupa.
Napapanahong Pagkilos: Ang pagkabigong sumunod sa mga regulasyon o pagpapabaya sa pag-renew ng mga permit ay maaaring humantong sa mga parusa kabilang ang mga multa, potensyal na pagbawi ng permit, o kahit na paghinto sa anumang patuloy na konstruksyon o aktibidad sa property.
Mga Karagdagang Pagsasaalang-alang:
Pagbubunyag sa Panahon ng Pagbebenta: Kung magpasya ang mga tagapagmana na ibenta ang ari-arian, legal na obligado silang ibunyag ang umiiral na mga permit sa paggamit ng lupa at mga karapatan (kabilang ang anumang mga limitasyon) sa mga potensyal na mamimili.
Epekto sa Halaga ng Ari-arian: Ang mga umiiral na permit/mga karapatan sa paggamit ng lupa ay maaaring makabuluhang makaapekto sa halaga ng ari-arian. Ang mga permit para sa komersyal na pagpapaunlad ay karaniwang may mas mataas na halaga kaysa sa mga permit sa paggamit ng agrikultura.
Mga Rekomendasyon:
Kumonsulta sa Abogado: Humingi ng legal na payo mula sa isang abogadong dalubhasa sa batas sa paggamit ng lupa. Maaari nilang suriin ang mga partikular na permit/mga karapatan at payuhan ang proseso ng mana, mga obligasyon sa pagsunod, at mga potensyal na kinakailangan sa pag-renew.
Makipag-ugnayan sa Ahensya ng Pamahalaan: Makipag-ugnayan sa ahensya ng gobyerno na nagbigay ng mga permit/mga karapatan upang magtanong tungkol sa mga potensyal na pamamaraan ng paglipat o proseso ng pag-renew para sa mga tagapagmana.
Sa pamamagitan ng pag-unawa sa mga legal na aspetong ito at paggawa ng mga kinakailangang hakbang, matitiyak ng mga tagapagmana na maayos nilang pinangangasiwaan ang minanang ari-arian habang sumusunod sa mga kasalukuyang regulasyon sa paggamit ng lupa.</v>
      </c>
      <c r="F461" s="2">
        <f t="shared" si="1"/>
        <v>0</v>
      </c>
      <c r="G461" s="2"/>
      <c r="H461" s="2"/>
      <c r="I461" s="2"/>
      <c r="J461" s="2"/>
      <c r="K461" s="2"/>
      <c r="L461" s="2"/>
      <c r="M461" s="2"/>
      <c r="N461" s="2"/>
      <c r="O461" s="2"/>
      <c r="P461" s="2"/>
      <c r="Q461" s="2"/>
      <c r="R461" s="2"/>
      <c r="S461" s="2"/>
      <c r="T461" s="2"/>
      <c r="U461" s="2"/>
      <c r="V461" s="2"/>
      <c r="W461" s="2"/>
      <c r="X461" s="2"/>
      <c r="Y461" s="2"/>
      <c r="Z461" s="2"/>
      <c r="AA461" s="2"/>
    </row>
    <row r="462">
      <c r="A462" s="1" t="s">
        <v>1224</v>
      </c>
      <c r="B462" s="1" t="s">
        <v>1648</v>
      </c>
      <c r="C462" s="1" t="s">
        <v>1649</v>
      </c>
      <c r="D462" s="1" t="s">
        <v>1650</v>
      </c>
      <c r="E462" s="2" t="str">
        <f>IFERROR(__xludf.DUMMYFUNCTION("GOOGLETRANSLATE(C462, ""en"", ""TL"")"),"Ang pagmamana ng ari-arian na matatagpuan sa ibang bansa ay maaaring isang kumplikadong proseso na may iba't ibang legal na pagsasaalang-alang depende sa partikular na sitwasyon. Narito ang pangkalahatang pangkalahatang-ideya upang gabayan ka:
Mga Jurisdi"&amp;"ctional Consideration:
Naaangkop na Batas: Ang pangunahing salik ay ang pagtukoy kung aling mga batas ng bansa ang mamamahala sa proseso ng mana. Ito ay karaniwang nakasalalay sa:
Domicile ng Namatay: Ang bansa kung saan ang namatay na tao ay nagkaroon ng"&amp;" kanilang permanenteng paninirahan sa oras ng kamatayan ay kadalasang nagdidikta ng mga naaangkop na batas sa mana.
Lokasyon ng Ari-arian: Ang ilang mga bansa ay may mga batas na naglalapat ng kanilang mga panuntunan sa pamana sa ari-arian na nasa loob ng"&amp;" kanilang mga hangganan, anuman ang tirahan ng namatay.
Will vs. Intestacy: Kung nag-iwan ng testamento ang namatay, maaaring tukuyin nito kung aling mga batas ng hurisdiksyon ang dapat mamahala sa mana ng kanilang dayuhang ari-arian. Kung walang testamen"&amp;"to (intestacy), malalapat ang mga default na panuntunan ng nauugnay na bansa.
Legal na Proseso:
Mag-iiba-iba ang partikular na proseso depende sa hurisdiksyon, ngunit narito ang ilang pangkalahatang hakbang:
Hanapin ang Mga Kaugnay na Dokumento:
Sertipiko"&amp;" ng kamatayan (isinalin kung kinakailangan)
Will (isinalin kung kinakailangan)
Katibayan ng pagiging tagapagmana (mga sertipiko ng kapanganakan, sertipiko ng kasal)
Mga dokumento ng pagmamay-ari ng ari-arian para sa dayuhang asset
Probate o Estate Adminis"&amp;"tration:
Maaaring kailanganin mong simulan ang probate proceedings sa bansa kung saan matatagpuan ang property, kahit na nangyari na ang probate sa iyong sariling bansa.
Kasama sa prosesong ito ang pag-verify ng testamento (kung mayroon man), pagtukoy ng "&amp;"mga tagapagmana, pag-aayos ng mga utang, at pamamahagi ng mga natitirang asset.
Mga Implikasyon sa Buwis:
Parehong ang bansa kung saan naninirahan ang namatay at ang bansa kung saan matatagpuan ang ari-arian ay maaaring may mga buwis sa mana o estate. Ang"&amp;" pagkonsulta sa isang tax advisor na dalubhasa sa international inheritance ay napakahalaga.
Lokal na Kinatawan:
Isinasaalang-alang ang mga kumplikadong kasangkot, lubos na ipinapayong makipag-ugnayan sa isang abogadong may karanasan sa batas ng mana sa h"&amp;"urisdiksyon ng ibang bansa. Maaari silang mag-navigate sa mga legalidad, kumatawan sa iyo sa mga lokal na hukuman kung kinakailangan, at matiyak ang pagsunod sa mga nauugnay na regulasyon.
Mga Karagdagang Tip:
Maagang Komunikasyon: Makipag-ugnayan sa iban"&amp;"g mga tagapagmana na kasangkot sa mana sa lalong madaling panahon. Talakayin ang mga plano, responsibilidad, at potensyal na gastos na nauugnay sa pagmamana ng dayuhang ari-arian.
Mga Serbisyo sa Pagsasalin: Tiyaking naisalin ang lahat ng kinakailangang d"&amp;"okumento sa opisyal na wika ng hurisdiksyon ng ibang bansa, kung naaangkop.
Mga Gastos at Timeline: Maging handa para sa mga potensyal na pagkaantala at makabuluhang gastos na nauugnay sa mga legal na bayarin, buwis, at mga pamamaraang pang-administratibo"&amp;" sa dayuhang bansa.
Tandaan, ito ay isang pinasimple na pangkalahatang-ideya, at ang partikular na legal na proseso ay maaaring maging masalimuot. Ang pagkonsulta sa isang kwalipikadong abogado na dalubhasa sa international inheritance law ay napakahalaga"&amp;" para matiyak ang maayos at matagumpay na pamana ng iyong ari-arian sa ibang bansa.")</f>
        <v>Ang pagmamana ng ari-arian na matatagpuan sa ibang bansa ay maaaring isang kumplikadong proseso na may iba't ibang legal na pagsasaalang-alang depende sa partikular na sitwasyon. Narito ang pangkalahatang pangkalahatang-ideya upang gabayan ka:
Mga Jurisdictional Consideration:
Naaangkop na Batas: Ang pangunahing salik ay ang pagtukoy kung aling mga batas ng bansa ang mamamahala sa proseso ng mana. Ito ay karaniwang nakasalalay sa:
Domicile ng Namatay: Ang bansa kung saan ang namatay na tao ay nagkaroon ng kanilang permanenteng paninirahan sa oras ng kamatayan ay kadalasang nagdidikta ng mga naaangkop na batas sa mana.
Lokasyon ng Ari-arian: Ang ilang mga bansa ay may mga batas na naglalapat ng kanilang mga panuntunan sa pamana sa ari-arian na nasa loob ng kanilang mga hangganan, anuman ang tirahan ng namatay.
Will vs. Intestacy: Kung nag-iwan ng testamento ang namatay, maaaring tukuyin nito kung aling mga batas ng hurisdiksyon ang dapat mamahala sa mana ng kanilang dayuhang ari-arian. Kung walang testamento (intestacy), malalapat ang mga default na panuntunan ng nauugnay na bansa.
Legal na Proseso:
Mag-iiba-iba ang partikular na proseso depende sa hurisdiksyon, ngunit narito ang ilang pangkalahatang hakbang:
Hanapin ang Mga Kaugnay na Dokumento:
Sertipiko ng kamatayan (isinalin kung kinakailangan)
Will (isinalin kung kinakailangan)
Katibayan ng pagiging tagapagmana (mga sertipiko ng kapanganakan, sertipiko ng kasal)
Mga dokumento ng pagmamay-ari ng ari-arian para sa dayuhang asset
Probate o Estate Administration:
Maaaring kailanganin mong simulan ang probate proceedings sa bansa kung saan matatagpuan ang property, kahit na nangyari na ang probate sa iyong sariling bansa.
Kasama sa prosesong ito ang pag-verify ng testamento (kung mayroon man), pagtukoy ng mga tagapagmana, pag-aayos ng mga utang, at pamamahagi ng mga natitirang asset.
Mga Implikasyon sa Buwis:
Parehong ang bansa kung saan naninirahan ang namatay at ang bansa kung saan matatagpuan ang ari-arian ay maaaring may mga buwis sa mana o estate. Ang pagkonsulta sa isang tax advisor na dalubhasa sa international inheritance ay napakahalaga.
Lokal na Kinatawan:
Isinasaalang-alang ang mga kumplikadong kasangkot, lubos na ipinapayong makipag-ugnayan sa isang abogadong may karanasan sa batas ng mana sa hurisdiksyon ng ibang bansa. Maaari silang mag-navigate sa mga legalidad, kumatawan sa iyo sa mga lokal na hukuman kung kinakailangan, at matiyak ang pagsunod sa mga nauugnay na regulasyon.
Mga Karagdagang Tip:
Maagang Komunikasyon: Makipag-ugnayan sa ibang mga tagapagmana na kasangkot sa mana sa lalong madaling panahon. Talakayin ang mga plano, responsibilidad, at potensyal na gastos na nauugnay sa pagmamana ng dayuhang ari-arian.
Mga Serbisyo sa Pagsasalin: Tiyaking naisalin ang lahat ng kinakailangang dokumento sa opisyal na wika ng hurisdiksyon ng ibang bansa, kung naaangkop.
Mga Gastos at Timeline: Maging handa para sa mga potensyal na pagkaantala at makabuluhang gastos na nauugnay sa mga legal na bayarin, buwis, at mga pamamaraang pang-administratibo sa dayuhang bansa.
Tandaan, ito ay isang pinasimple na pangkalahatang-ideya, at ang partikular na legal na proseso ay maaaring maging masalimuot. Ang pagkonsulta sa isang kwalipikadong abogado na dalubhasa sa international inheritance law ay napakahalaga para matiyak ang maayos at matagumpay na pamana ng iyong ari-arian sa ibang bansa.</v>
      </c>
      <c r="F462" s="2">
        <f t="shared" si="1"/>
        <v>0</v>
      </c>
      <c r="G462" s="2"/>
      <c r="H462" s="2"/>
      <c r="I462" s="2"/>
      <c r="J462" s="2"/>
      <c r="K462" s="2"/>
      <c r="L462" s="2"/>
      <c r="M462" s="2"/>
      <c r="N462" s="2"/>
      <c r="O462" s="2"/>
      <c r="P462" s="2"/>
      <c r="Q462" s="2"/>
      <c r="R462" s="2"/>
      <c r="S462" s="2"/>
      <c r="T462" s="2"/>
      <c r="U462" s="2"/>
      <c r="V462" s="2"/>
      <c r="W462" s="2"/>
      <c r="X462" s="2"/>
      <c r="Y462" s="2"/>
      <c r="Z462" s="2"/>
      <c r="AA462" s="2"/>
    </row>
    <row r="463">
      <c r="A463" s="1" t="s">
        <v>1224</v>
      </c>
      <c r="B463" s="1" t="s">
        <v>1651</v>
      </c>
      <c r="C463" s="1" t="s">
        <v>1652</v>
      </c>
      <c r="D463" s="1" t="s">
        <v>1653</v>
      </c>
      <c r="E463" s="2" t="str">
        <f>IFERROR(__xludf.DUMMYFUNCTION("GOOGLETRANSLATE(C463, ""en"", ""TL"")"),"Ang mga tagapagmana sa Pilipinas ay may ilang legal na opsyon para sa pagbibigay ng minanang ari-arian sa isang organisasyong pangkawanggawa. Narito ang isang breakdown ng mga posibilidad at potensyal na benepisyo sa buwis:
Mga Pagpipilian sa Donasyon:
Di"&amp;"rektang Donasyon ng Ari-arian:
Maaaring direktang ibigay ng mga tagapagmana ang minanang ari-arian (lupa, bahay, atbp.) sa napiling organisasyong pangkawanggawa. Kabilang dito ang paglilipat ng titulo ng pagmamay-ari sa charity.
Pagbebenta at Donasyon ng "&amp;"mga Nalikom:
Maaaring piliin ng mga tagapagmana na ibenta ang minanang ari-arian at pagkatapos ay ibigay ang mga nalikom mula sa pagbebenta sa kawanggawa.
Donasyon ng isang Bahagi:
Maaaring panatilihin ng mga tagapagmana ang isang bahagi ng ari-arian para"&amp;" sa kanilang sarili at ibigay ang natitirang bahagi sa kawanggawa.
Mga Benepisyo sa Buwis:
Ang pagbibigay ng minanang ari-arian sa isang kwalipikadong organisasyon ng kawanggawa ay maaaring mag-alok ng ilang mga benepisyo sa buwis sa Pilipinas, ngunit mah"&amp;"alagang maunawaan ang mga partikular na regulasyon at kumunsulta sa isang tax advisor para sa mga tumpak na kalkulasyon. Narito ang ilang potensyal na benepisyo:
Exemption sa Buwis ng Donor: Ang mga donasyon ng real property (lupa, mga gusali) sa mga inst"&amp;"itusyong kawanggawa na kinikilala ng mga donor ay maaaring ma-exempt sa buwis ng donor, hanggang sa isang tiyak na porsyento ng netong halaga ng donor bawat taon. (https://www.bir.gov.ph/index.php/tax-information/donor-s-tax.html)
Pagbawas ng Buwis sa Kit"&amp;"a: Para sa mga donasyon ng personal na ari-arian (sining, mga collectible) sa mga done-accredited na institusyong kawanggawa, maaaring ibawas ang isang bahagi ng halaga mula sa buwis sa kita ng donor.
Mahahalagang Pagsasaalang-alang:
Mga Kwalipikadong Kaw"&amp;"anggawa: Upang maging kuwalipikado para sa mga pagbubukod sa buwis, ang organisasyong pangkawanggawa ay dapat na nakarehistro sa pamahalaan ng Pilipinas at humawak ng naaangkop na akreditasyon para sa pagtanggap ng mga donasyon.
Dokumentasyon: Panatilihin"&amp;" ang wastong dokumentasyon para sa donasyon, kabilang ang isang kasulatan ng donasyon at mga resibo para sa anumang nauugnay na gastos.
Mga Implikasyon sa Buwis: Depende sa napiling paraan ng donasyon (direktang pag-aari kumpara sa mga kita sa pagbebenta)"&amp;" at ang uri ng ari-arian, maaaring may iba't ibang implikasyon sa buwis. Ang pagkonsulta sa isang tax advisor ay napakahalaga upang maunawaan ang mga potensyal na benepisyo sa buwis at anumang potensyal na pananagutan sa buwis na nauugnay sa donasyon.
Mga"&amp;" Karagdagang Tip:
Makipag-ugnayan sa Charity: Talakayin ang proseso ng donasyon sa napiling organisasyong pangkawanggawa. Maaaring mayroon silang mga partikular na kinakailangan o pamamaraan para sa pagtanggap ng donasyong ari-arian.
Legal na Payo: Isaala"&amp;"ng-alang ang paghingi ng legal na tagapayo upang matiyak na ang proseso ng donasyon ay nakumpleto nang tama at sumusunod sa lahat ng nauugnay na regulasyon. Makakatulong ito na mabawasan ang anumang potensyal na legal o isyu sa buwis sa hinaharap.
Sa pama"&amp;"magitan ng maingat na pagsasaalang-alang sa iba't ibang legal na opsyon at potensyal na benepisyo sa buwis, ang mga tagapagmana ay makakagawa ng matalinong mga pagpapasya tungkol sa pagbibigay ng minanang ari-arian sa isang kawanggawa habang pinapalaki an"&amp;"g mga pinansiyal na bentahe ng kanilang kabutihang-loob. Tandaan, ang pagkonsulta sa isang tax advisor ay napakahalaga upang matiyak na nauunawaan mo ang mga partikular na implikasyon sa buwis na nauugnay sa iyong sitwasyon.")</f>
        <v>Ang mga tagapagmana sa Pilipinas ay may ilang legal na opsyon para sa pagbibigay ng minanang ari-arian sa isang organisasyong pangkawanggawa. Narito ang isang breakdown ng mga posibilidad at potensyal na benepisyo sa buwis:
Mga Pagpipilian sa Donasyon:
Direktang Donasyon ng Ari-arian:
Maaaring direktang ibigay ng mga tagapagmana ang minanang ari-arian (lupa, bahay, atbp.) sa napiling organisasyong pangkawanggawa. Kabilang dito ang paglilipat ng titulo ng pagmamay-ari sa charity.
Pagbebenta at Donasyon ng mga Nalikom:
Maaaring piliin ng mga tagapagmana na ibenta ang minanang ari-arian at pagkatapos ay ibigay ang mga nalikom mula sa pagbebenta sa kawanggawa.
Donasyon ng isang Bahagi:
Maaaring panatilihin ng mga tagapagmana ang isang bahagi ng ari-arian para sa kanilang sarili at ibigay ang natitirang bahagi sa kawanggawa.
Mga Benepisyo sa Buwis:
Ang pagbibigay ng minanang ari-arian sa isang kwalipikadong organisasyon ng kawanggawa ay maaaring mag-alok ng ilang mga benepisyo sa buwis sa Pilipinas, ngunit mahalagang maunawaan ang mga partikular na regulasyon at kumunsulta sa isang tax advisor para sa mga tumpak na kalkulasyon. Narito ang ilang potensyal na benepisyo:
Exemption sa Buwis ng Donor: Ang mga donasyon ng real property (lupa, mga gusali) sa mga institusyong kawanggawa na kinikilala ng mga donor ay maaaring ma-exempt sa buwis ng donor, hanggang sa isang tiyak na porsyento ng netong halaga ng donor bawat taon. (https://www.bir.gov.ph/index.php/tax-information/donor-s-tax.html)
Pagbawas ng Buwis sa Kita: Para sa mga donasyon ng personal na ari-arian (sining, mga collectible) sa mga done-accredited na institusyong kawanggawa, maaaring ibawas ang isang bahagi ng halaga mula sa buwis sa kita ng donor.
Mahahalagang Pagsasaalang-alang:
Mga Kwalipikadong Kawanggawa: Upang maging kuwalipikado para sa mga pagbubukod sa buwis, ang organisasyong pangkawanggawa ay dapat na nakarehistro sa pamahalaan ng Pilipinas at humawak ng naaangkop na akreditasyon para sa pagtanggap ng mga donasyon.
Dokumentasyon: Panatilihin ang wastong dokumentasyon para sa donasyon, kabilang ang isang kasulatan ng donasyon at mga resibo para sa anumang nauugnay na gastos.
Mga Implikasyon sa Buwis: Depende sa napiling paraan ng donasyon (direktang pag-aari kumpara sa mga kita sa pagbebenta) at ang uri ng ari-arian, maaaring may iba't ibang implikasyon sa buwis. Ang pagkonsulta sa isang tax advisor ay napakahalaga upang maunawaan ang mga potensyal na benepisyo sa buwis at anumang potensyal na pananagutan sa buwis na nauugnay sa donasyon.
Mga Karagdagang Tip:
Makipag-ugnayan sa Charity: Talakayin ang proseso ng donasyon sa napiling organisasyong pangkawanggawa. Maaaring mayroon silang mga partikular na kinakailangan o pamamaraan para sa pagtanggap ng donasyong ari-arian.
Legal na Payo: Isaalang-alang ang paghingi ng legal na tagapayo upang matiyak na ang proseso ng donasyon ay nakumpleto nang tama at sumusunod sa lahat ng nauugnay na regulasyon. Makakatulong ito na mabawasan ang anumang potensyal na legal o isyu sa buwis sa hinaharap.
Sa pamamagitan ng maingat na pagsasaalang-alang sa iba't ibang legal na opsyon at potensyal na benepisyo sa buwis, ang mga tagapagmana ay makakagawa ng matalinong mga pagpapasya tungkol sa pagbibigay ng minanang ari-arian sa isang kawanggawa habang pinapalaki ang mga pinansiyal na bentahe ng kanilang kabutihang-loob. Tandaan, ang pagkonsulta sa isang tax advisor ay napakahalaga upang matiyak na nauunawaan mo ang mga partikular na implikasyon sa buwis na nauugnay sa iyong sitwasyon.</v>
      </c>
      <c r="F463" s="2">
        <f t="shared" si="1"/>
        <v>0</v>
      </c>
      <c r="G463" s="2"/>
      <c r="H463" s="2"/>
      <c r="I463" s="2"/>
      <c r="J463" s="2"/>
      <c r="K463" s="2"/>
      <c r="L463" s="2"/>
      <c r="M463" s="2"/>
      <c r="N463" s="2"/>
      <c r="O463" s="2"/>
      <c r="P463" s="2"/>
      <c r="Q463" s="2"/>
      <c r="R463" s="2"/>
      <c r="S463" s="2"/>
      <c r="T463" s="2"/>
      <c r="U463" s="2"/>
      <c r="V463" s="2"/>
      <c r="W463" s="2"/>
      <c r="X463" s="2"/>
      <c r="Y463" s="2"/>
      <c r="Z463" s="2"/>
      <c r="AA463" s="2"/>
    </row>
    <row r="464">
      <c r="A464" s="1" t="s">
        <v>1224</v>
      </c>
      <c r="B464" s="1" t="s">
        <v>1654</v>
      </c>
      <c r="C464" s="1" t="s">
        <v>1655</v>
      </c>
      <c r="D464" s="1" t="s">
        <v>1656</v>
      </c>
      <c r="E464" s="2" t="str">
        <f>IFERROR(__xludf.DUMMYFUNCTION("GOOGLETRANSLATE(C464, ""en"", ""TL"")"),"Ang pag-probate ng testamento at pamamahagi ng minanang ari-arian sa Pilipinas ay nagsasangkot ng ilang legal na hakbang. Narito ang isang breakdown ng pangkalahatang proseso:
1. Magtipon ng Mga Kinakailangang Dokumento:
Sertipiko ng Kamatayan: Isang sert"&amp;"ipikadong kopya ng sertipiko ng kamatayan na inisyu ng Philippine Statistics Authority (PSA) o ng local civil registry.
Original Will: Ang orihinal na nilagdaang testamento ng namatay.
2. Paghahain ng Petisyon para sa Probate:
Ang tagapagmana, tagapagpatu"&amp;"pad na pinangalanan sa testamento, o isang abogado na kumakatawan sa kanila ay maghahain ng petisyon para sa probate sa naaangkop na hukuman. Karaniwang kasama sa petisyon na ito ang:
Mga detalye ng namatay, kasama ang kanilang pangalan, tirahan, at petsa"&amp;" ng kamatayan.
Mga kopya ng death certificate at will.
Isang listahan ng mga tagapagmana at benepisyaryo na pinangalanan sa testamento.
3. Paunawa sa mga Tagapagmana at Pinagkakautangan:
Ang hukuman ay maglalabas ng mga abiso sa lahat ng mga natukoy na ta"&amp;"gapagmana at pinagkakautangan ng namatay. Ito ay nagpapahintulot sa kanila na labanan ang bisa ng testamento o maghain ng mga paghahabol laban sa ari-arian.
4. Pagdinig sa Petisyon:
Ang hukuman ay magsasagawa ng pagdinig upang matukoy ang bisa ng testamen"&amp;"to. Maaaring kabilang dito ang mga testigo na nagpapatotoo sa wastong pagpapatupad ng testamento.
5. Pagpapalabas ng mga Liham Tipan:
Kung patunayan ng korte ang testamento, maglalabas ito ng ""Mga Sulat na Testamento"" sa hinirang na tagapagpatupad (o is"&amp;"ang tagapangasiwa kung walang pinangalanan). Opisyal na pinahihintulutan ng mga dokumentong ito ang tagapagpatupad na pamahalaan ang mga ari-arian ng ari-arian.
6. Imbentaryo at Pagtatasa ng mga Asset at Utang:
Ang tagapagpatupad ay gagawa ng isang detaly"&amp;"adong imbentaryo ng lahat ng mga ari-arian at pananagutan (mga utang) ng namatay. Ang imbentaryo na ito ay isusumite sa korte. Maaaring kabilang sa mga asset ang real estate, bank account, investment, at personal na ari-arian.
7. Pag-aayos ng mga Utang at"&amp;" Buwis:
Gagamitin ng tagapagpatupad ang mga pondo ng ari-arian upang bayaran ang mga utang ng namatay, kabilang ang mga gastos sa libing, hindi pa nababayarang mga pautang, at mga buwis. Maaaring kabilang dito ang pagbebenta ng mga asset kung kinakailanga"&amp;"n.
8. Pamamahagi ng Minanang Ari-arian:
Matapos mabayaran ang lahat ng utang at buwis, ipamahagi ng tagapagpatupad ang natitirang mga ari-arian sa mga benepisyaryo ayon sa mga tagubiling nakabalangkas sa testamento. Maaaring kabilang dito ang paghahati ng"&amp;" ari-arian sa mga tagapagmana o pagbebenta nito at pamamahagi ng mga nalikom.
9. Pagsara ng Estate:
Kapag nabayaran na ang lahat ng utang at buwis, at naipamahagi na ang mga ari-arian, maghahain ang tagapagpatupad ng huling account sa korte, na humihiling"&amp;" ng pag-apruba para sa pagsasara ng ari-arian.
Mahahalagang Pagsasaalang-alang:
Timeframe: Ang proseso ng probate ay maaaring tumagal kahit saan mula sa ilang buwan hanggang isang taon o higit pa, depende sa pagiging kumplikado ng ari-arian.
Legal na Tulo"&amp;"ng: Isinasaalang-alang ang mga kumplikadong kasangkot, lubos na inirerekomenda na humingi ng legal na tulong mula sa isang abogadong may karanasan sa probate law. Maaari ka nilang gabayan sa proseso, tiyakin ang wastong dokumentasyon, at katawanin ka sa k"&amp;"orte kung kinakailangan.
Intestacy: Kung ang namatay ay namatay nang walang wastong testamento, ang proseso ng pamamahagi ng ari-arian ay pamamahalaan ng mga batas sa kawalan ng buhay ng Pilipinas, na nagdidikta kung paano nahahati ang mga ari-arian sa mg"&amp;"a legal na tagapagmana.
Karagdagang Mga Mapagkukunan:
Ang Korte Suprema ng Pilipinas: https://sc.judiciary.gov.ph/
Ang Philippine Bar Association: https://www.ibp.ph/
Tandaan, ito ay isang pangkalahatang pangkalahatang-ideya, at ang mga partikular na hakb"&amp;"ang na kasangkot sa probate at pamamahagi ay maaaring mag-iba depende sa mga pangyayari. Ang pagkonsulta sa isang abogado ay mahalaga upang matiyak ang maayos at legal na proseso para sa paghawak ng iyong probate at inheritance na mga usapin.")</f>
        <v>Ang pag-probate ng testamento at pamamahagi ng minanang ari-arian sa Pilipinas ay nagsasangkot ng ilang legal na hakbang. Narito ang isang breakdown ng pangkalahatang proseso:
1. Magtipon ng Mga Kinakailangang Dokumento:
Sertipiko ng Kamatayan: Isang sertipikadong kopya ng sertipiko ng kamatayan na inisyu ng Philippine Statistics Authority (PSA) o ng local civil registry.
Original Will: Ang orihinal na nilagdaang testamento ng namatay.
2. Paghahain ng Petisyon para sa Probate:
Ang tagapagmana, tagapagpatupad na pinangalanan sa testamento, o isang abogado na kumakatawan sa kanila ay maghahain ng petisyon para sa probate sa naaangkop na hukuman. Karaniwang kasama sa petisyon na ito ang:
Mga detalye ng namatay, kasama ang kanilang pangalan, tirahan, at petsa ng kamatayan.
Mga kopya ng death certificate at will.
Isang listahan ng mga tagapagmana at benepisyaryo na pinangalanan sa testamento.
3. Paunawa sa mga Tagapagmana at Pinagkakautangan:
Ang hukuman ay maglalabas ng mga abiso sa lahat ng mga natukoy na tagapagmana at pinagkakautangan ng namatay. Ito ay nagpapahintulot sa kanila na labanan ang bisa ng testamento o maghain ng mga paghahabol laban sa ari-arian.
4. Pagdinig sa Petisyon:
Ang hukuman ay magsasagawa ng pagdinig upang matukoy ang bisa ng testamento. Maaaring kabilang dito ang mga testigo na nagpapatotoo sa wastong pagpapatupad ng testamento.
5. Pagpapalabas ng mga Liham Tipan:
Kung patunayan ng korte ang testamento, maglalabas ito ng "Mga Sulat na Testamento" sa hinirang na tagapagpatupad (o isang tagapangasiwa kung walang pinangalanan). Opisyal na pinahihintulutan ng mga dokumentong ito ang tagapagpatupad na pamahalaan ang mga ari-arian ng ari-arian.
6. Imbentaryo at Pagtatasa ng mga Asset at Utang:
Ang tagapagpatupad ay gagawa ng isang detalyadong imbentaryo ng lahat ng mga ari-arian at pananagutan (mga utang) ng namatay. Ang imbentaryo na ito ay isusumite sa korte. Maaaring kabilang sa mga asset ang real estate, bank account, investment, at personal na ari-arian.
7. Pag-aayos ng mga Utang at Buwis:
Gagamitin ng tagapagpatupad ang mga pondo ng ari-arian upang bayaran ang mga utang ng namatay, kabilang ang mga gastos sa libing, hindi pa nababayarang mga pautang, at mga buwis. Maaaring kabilang dito ang pagbebenta ng mga asset kung kinakailangan.
8. Pamamahagi ng Minanang Ari-arian:
Matapos mabayaran ang lahat ng utang at buwis, ipamahagi ng tagapagpatupad ang natitirang mga ari-arian sa mga benepisyaryo ayon sa mga tagubiling nakabalangkas sa testamento. Maaaring kabilang dito ang paghahati ng ari-arian sa mga tagapagmana o pagbebenta nito at pamamahagi ng mga nalikom.
9. Pagsara ng Estate:
Kapag nabayaran na ang lahat ng utang at buwis, at naipamahagi na ang mga ari-arian, maghahain ang tagapagpatupad ng huling account sa korte, na humihiling ng pag-apruba para sa pagsasara ng ari-arian.
Mahahalagang Pagsasaalang-alang:
Timeframe: Ang proseso ng probate ay maaaring tumagal kahit saan mula sa ilang buwan hanggang isang taon o higit pa, depende sa pagiging kumplikado ng ari-arian.
Legal na Tulong: Isinasaalang-alang ang mga kumplikadong kasangkot, lubos na inirerekomenda na humingi ng legal na tulong mula sa isang abogadong may karanasan sa probate law. Maaari ka nilang gabayan sa proseso, tiyakin ang wastong dokumentasyon, at katawanin ka sa korte kung kinakailangan.
Intestacy: Kung ang namatay ay namatay nang walang wastong testamento, ang proseso ng pamamahagi ng ari-arian ay pamamahalaan ng mga batas sa kawalan ng buhay ng Pilipinas, na nagdidikta kung paano nahahati ang mga ari-arian sa mga legal na tagapagmana.
Karagdagang Mga Mapagkukunan:
Ang Korte Suprema ng Pilipinas: https://sc.judiciary.gov.ph/
Ang Philippine Bar Association: https://www.ibp.ph/
Tandaan, ito ay isang pangkalahatang pangkalahatang-ideya, at ang mga partikular na hakbang na kasangkot sa probate at pamamahagi ay maaaring mag-iba depende sa mga pangyayari. Ang pagkonsulta sa isang abogado ay mahalaga upang matiyak ang maayos at legal na proseso para sa paghawak ng iyong probate at inheritance na mga usapin.</v>
      </c>
      <c r="F464" s="2">
        <f t="shared" si="1"/>
        <v>0</v>
      </c>
      <c r="G464" s="2"/>
      <c r="H464" s="2"/>
      <c r="I464" s="2"/>
      <c r="J464" s="2"/>
      <c r="K464" s="2"/>
      <c r="L464" s="2"/>
      <c r="M464" s="2"/>
      <c r="N464" s="2"/>
      <c r="O464" s="2"/>
      <c r="P464" s="2"/>
      <c r="Q464" s="2"/>
      <c r="R464" s="2"/>
      <c r="S464" s="2"/>
      <c r="T464" s="2"/>
      <c r="U464" s="2"/>
      <c r="V464" s="2"/>
      <c r="W464" s="2"/>
      <c r="X464" s="2"/>
      <c r="Y464" s="2"/>
      <c r="Z464" s="2"/>
      <c r="AA464" s="2"/>
    </row>
    <row r="465">
      <c r="A465" s="1" t="s">
        <v>1224</v>
      </c>
      <c r="B465" s="1" t="s">
        <v>1657</v>
      </c>
      <c r="C465" s="1" t="s">
        <v>1658</v>
      </c>
      <c r="D465" s="1" t="s">
        <v>1659</v>
      </c>
      <c r="E465" s="2" t="str">
        <f>IFERROR(__xludf.DUMMYFUNCTION("GOOGLETRANSLATE(C465, ""en"", ""TL"")"),"Sa Pilipinas, ang mga mana ay napapailalim sa estate tax kumpara sa inheritance tax. Narito ang isang breakdown ng mga pangunahing punto na dapat malaman ng mga tagapagmana:
Buwis sa ari-arian:
Buwis sa Estate: Ang Pilipinas ay nagpapataw ng 6% estate tax"&amp;" sa netong halaga ng ari-arian ng namatay sa oras ng kamatayan. Kabilang dito ang lahat ng asset na pag-aari ng namatay, tulad ng real estate, bank account, investment, at personal na ari-arian.
Pinahihintulutan ang mga pagbabawas: Pinapayagan ang ilang m"&amp;"ga pagbabawas mula sa kabuuang halaga ng ari-arian bago kalkulahin ang buwis sa ari-arian. Maaaring kabilang sa mga pagbabawas na ito ang:
Mga utang at gastos sa libing ng namatay
Mga gastos sa medikal na natamo sa loob ng nakaraang taon bago mamatay
Allo"&amp;"wance sa bahay ng pamilya para sa nabubuhay na asawa at mga menor de edad na anak
Marital at legitimate reserves (depende sa marital status)
Estate Tax Return: Ang mga tagapagmana o ang hinirang na tagapagpatupad ay may pananagutan sa paghahain ng Estate "&amp;"Tax Return (BIR Form 1801) sa Bureau of Internal Revenue (BIR) sa loob ng isang taon mula sa petsa ng kamatayan.
Pagbabayad ng Estate Tax: Ang estate tax ay karaniwang dapat bayaran at babayaran sa loob ng isang taon mula sa petsa ng kamatayan. Gayunpaman"&amp;", maaaring hilingin ang mga extension sa ilalim ng ilang partikular na sitwasyon.
Mga Implikasyon ng Buwis para sa mga Tagapagmana:
Ang mga tagapagmana ay hindi direktang binubuwisan: ang mga tagapagmana mismo ay hindi direktang binubuwisan sa mana na kan"&amp;"ilang natatanggap. Gayunpaman, ang buwis sa ari-arian ay binabayaran mula sa mga ari-arian ng ari-arian bago ipamahagi sa mga benepisyaryo. Nangangahulugan ito na ang halaga na natatanggap ng bawat tagapagmana ay maaaring mabawasan ng halaga ng buwis sa a"&amp;"ri-arian na dapat bayaran.
Buwis ng Donor sa mga Donasyon: Kung magpasya ang mga tagapagmana na magbenta o mag-abuloy ng minanang ari-arian, maaaring mapasailalim sila sa buwis ng donor. Nalalapat ang buwis na ito sa paglipat ng pagmamay-ari ng ari-arian "&amp;"nang walang anumang mahalagang konsiderasyon (kabayaran) bilang kapalit. Inirerekomenda ang pagkonsulta sa isang tax advisor tungkol sa mga potensyal na pananagutan sa buwis ng donor.
Income Tax sa Investment Income: Kung ang inheritance ay kinabibilangan"&amp;" ng income-generating asset tulad ng mga investment o rental property, ang mga tagapagmana ay mananagot sa pagbabayad ng income tax sa kita na kinita mula sa mga asset na ito.
Mga Rekomendasyon:
Kumonsulta sa Tax Advisor: Ang pag-unawa sa mga implikasyon "&amp;"sa buwis ay maaaring maging kumplikado. Lubos na inirerekomendang kumunsulta sa isang kwalipikadong tagapayo sa buwis na dalubhasa sa mga buwis sa ari-arian at mana. Maaari silang magpayo sa mga partikular na pananagutan sa buwis na nauugnay sa iyong sitw"&amp;"asyon at gabayan ka sa proseso ng pag-file at pagbabayad.
Mangalap ng Impormasyon: Ipunin ang lahat ng may-katuturang dokumento na may kaugnayan sa mga ari-arian at pananagutan ng namatay upang matiyak ang tumpak na halaga para sa pagkalkula ng buwis sa a"&amp;"ri-arian.
Plano para sa Pagbabayad ng Buwis: Magplano para sa potensyal na pananagutan sa buwis sa ari-arian nang maaga. Maaaring kabilang dito ang paglalaan ng mga pondo mula sa ari-arian upang masakop ang pagbabayad ng buwis.
Sa pamamagitan ng pag-unawa"&amp;" sa mga implikasyon ng buwis na ito at paghingi ng propesyonal na payo, matitiyak ng mga tagapagmana na sumusunod sila sa kanilang mga obligasyon sa buwis at mapakinabangan ang halaga na natatanggap nila mula sa kanilang mana.")</f>
        <v>Sa Pilipinas, ang mga mana ay napapailalim sa estate tax kumpara sa inheritance tax. Narito ang isang breakdown ng mga pangunahing punto na dapat malaman ng mga tagapagmana:
Buwis sa ari-arian:
Buwis sa Estate: Ang Pilipinas ay nagpapataw ng 6% estate tax sa netong halaga ng ari-arian ng namatay sa oras ng kamatayan. Kabilang dito ang lahat ng asset na pag-aari ng namatay, tulad ng real estate, bank account, investment, at personal na ari-arian.
Pinahihintulutan ang mga pagbabawas: Pinapayagan ang ilang mga pagbabawas mula sa kabuuang halaga ng ari-arian bago kalkulahin ang buwis sa ari-arian. Maaaring kabilang sa mga pagbabawas na ito ang:
Mga utang at gastos sa libing ng namatay
Mga gastos sa medikal na natamo sa loob ng nakaraang taon bago mamatay
Allowance sa bahay ng pamilya para sa nabubuhay na asawa at mga menor de edad na anak
Marital at legitimate reserves (depende sa marital status)
Estate Tax Return: Ang mga tagapagmana o ang hinirang na tagapagpatupad ay may pananagutan sa paghahain ng Estate Tax Return (BIR Form 1801) sa Bureau of Internal Revenue (BIR) sa loob ng isang taon mula sa petsa ng kamatayan.
Pagbabayad ng Estate Tax: Ang estate tax ay karaniwang dapat bayaran at babayaran sa loob ng isang taon mula sa petsa ng kamatayan. Gayunpaman, maaaring hilingin ang mga extension sa ilalim ng ilang partikular na sitwasyon.
Mga Implikasyon ng Buwis para sa mga Tagapagmana:
Ang mga tagapagmana ay hindi direktang binubuwisan: ang mga tagapagmana mismo ay hindi direktang binubuwisan sa mana na kanilang natatanggap. Gayunpaman, ang buwis sa ari-arian ay binabayaran mula sa mga ari-arian ng ari-arian bago ipamahagi sa mga benepisyaryo. Nangangahulugan ito na ang halaga na natatanggap ng bawat tagapagmana ay maaaring mabawasan ng halaga ng buwis sa ari-arian na dapat bayaran.
Buwis ng Donor sa mga Donasyon: Kung magpasya ang mga tagapagmana na magbenta o mag-abuloy ng minanang ari-arian, maaaring mapasailalim sila sa buwis ng donor. Nalalapat ang buwis na ito sa paglipat ng pagmamay-ari ng ari-arian nang walang anumang mahalagang konsiderasyon (kabayaran) bilang kapalit. Inirerekomenda ang pagkonsulta sa isang tax advisor tungkol sa mga potensyal na pananagutan sa buwis ng donor.
Income Tax sa Investment Income: Kung ang inheritance ay kinabibilangan ng income-generating asset tulad ng mga investment o rental property, ang mga tagapagmana ay mananagot sa pagbabayad ng income tax sa kita na kinita mula sa mga asset na ito.
Mga Rekomendasyon:
Kumonsulta sa Tax Advisor: Ang pag-unawa sa mga implikasyon sa buwis ay maaaring maging kumplikado. Lubos na inirerekomendang kumunsulta sa isang kwalipikadong tagapayo sa buwis na dalubhasa sa mga buwis sa ari-arian at mana. Maaari silang magpayo sa mga partikular na pananagutan sa buwis na nauugnay sa iyong sitwasyon at gabayan ka sa proseso ng pag-file at pagbabayad.
Mangalap ng Impormasyon: Ipunin ang lahat ng may-katuturang dokumento na may kaugnayan sa mga ari-arian at pananagutan ng namatay upang matiyak ang tumpak na halaga para sa pagkalkula ng buwis sa ari-arian.
Plano para sa Pagbabayad ng Buwis: Magplano para sa potensyal na pananagutan sa buwis sa ari-arian nang maaga. Maaaring kabilang dito ang paglalaan ng mga pondo mula sa ari-arian upang masakop ang pagbabayad ng buwis.
Sa pamamagitan ng pag-unawa sa mga implikasyon ng buwis na ito at paghingi ng propesyonal na payo, matitiyak ng mga tagapagmana na sumusunod sila sa kanilang mga obligasyon sa buwis at mapakinabangan ang halaga na natatanggap nila mula sa kanilang mana.</v>
      </c>
      <c r="F465" s="2">
        <f t="shared" si="1"/>
        <v>0</v>
      </c>
      <c r="G465" s="2"/>
      <c r="H465" s="2"/>
      <c r="I465" s="2"/>
      <c r="J465" s="2"/>
      <c r="K465" s="2"/>
      <c r="L465" s="2"/>
      <c r="M465" s="2"/>
      <c r="N465" s="2"/>
      <c r="O465" s="2"/>
      <c r="P465" s="2"/>
      <c r="Q465" s="2"/>
      <c r="R465" s="2"/>
      <c r="S465" s="2"/>
      <c r="T465" s="2"/>
      <c r="U465" s="2"/>
      <c r="V465" s="2"/>
      <c r="W465" s="2"/>
      <c r="X465" s="2"/>
      <c r="Y465" s="2"/>
      <c r="Z465" s="2"/>
      <c r="AA465" s="2"/>
    </row>
    <row r="466">
      <c r="A466" s="1" t="s">
        <v>1224</v>
      </c>
      <c r="B466" s="1" t="s">
        <v>1660</v>
      </c>
      <c r="C466" s="1" t="s">
        <v>1661</v>
      </c>
      <c r="D466" s="1" t="s">
        <v>1662</v>
      </c>
      <c r="E466" s="2" t="str">
        <f>IFERROR(__xludf.DUMMYFUNCTION("GOOGLETRANSLATE(C466, ""en"", ""TL"")"),"Sa Pilipinas, ang pakikipaglaban sa isang testamento ay isang seryosong legal na usapin. Narito ang isang breakdown ng proseso para sa paghamon sa isang testamento na nakakaapekto sa iyong mana:
Grounds para sa Paligsahan:
Mayroong ilang mga wastong dahil"&amp;"an upang labanan ang isang testamento sa Pilipinas. Ang ilang mga karaniwang batayan ay kinabibilangan ng:
Testamentary Capacity: Kung naniniwala ka na ang namatay ay kulang sa mental na kapasidad na maunawaan ang kalikasan at mga kahihinatnan ng paglikha"&amp;" ng isang testamento sa oras na ito ay nilagdaan.
Hindi Nararapat na Impluwensiya: Kung pinaghihinalaan mo ang isang tao na pinilit o pinilit ang namatay na baguhin ang kanilang kalooban laban sa kanilang kagustuhan.
Pamemeke: Kung mayroon kang ebidensya "&amp;"na ang mismong testamento o ang mga pirma sa testamento ay mapanlinlang.
Hindi Tamang Pagpapatupad: Kung ang testamento ay hindi nilagdaan at nasaksihan ayon sa legal na pormalidad na iniaatas ng batas ng Pilipinas.
Preterition: Kung ang isang lehitimong "&amp;"inapo (anak o apo) ay hindi sinasadyang tinanggal sa testamento nang walang wastong dahilan para sa kanilang pagbubukod.
Pagsisimula ng Paligsahan:
Maghain ng Petisyon: Upang labanan ang isang testamento, kakailanganin mong maghain ng petisyon sa naaangko"&amp;"p na hukuman, karaniwang ang Regional Trial Court (RTC) kung saan ang mga paglilitis sa probate ay nagpapatuloy o isasampa.
Nakatayo: Tanging ang mga may legal na interes sa ari-arian ang maaaring tumutol sa kalooban. Sa pangkalahatan, kasama rito ang mga"&amp;" tagapagmana na pinangalanan sa isang nakaraang testamento, mga legal na tagapagmana sa ilalim ng mga batas sa intestacy (kung walang wastong testamento), o mga benepisyaryo na naniniwalang sila ay hindi kasama sa kasalukuyang testamento.
Pagtitipon ng Eb"&amp;"idensya: Kakailanganin mong mangalap ng ebidensya upang suportahan ang iyong paghahabol. Maaaring kabilang dito ang mga medikal na rekord, mga testimonya ng saksi, mga dokumento sa pananalapi, o kahit na pagsusuri ng sulat-kamay (sa kaso ng pamemeke).
Pag"&amp;"dinig sa Hukuman:
Ang hukuman ay magsasagawa ng pagdinig upang marinig ang mga argumento mula sa magkabilang panig. Magkakaroon ka ng pagkakataong ipakita ang iyong ebidensya at hamunin ang bisa ng kalooban. Ang tagapagtaguyod ng testamento (kadalasan ang"&amp;" tagapagpatupad o isang benepisyaryo na pinangalanan sa testamento) ay magtatanggol sa pagiging tunay nito.
Desisyon: Batay sa mga ipinakitang ebidensya at argumento, ang hukuman ay maglalabas ng desisyon tungkol sa bisa ng testamento.
Mga Apela: Maaaring"&amp;" iapela ng alinmang partido ang desisyon ng korte sa mas mataas na hukuman kung hindi sila sumasang-ayon sa resulta.
Mahahalagang Pagsasaalang-alang:
Mga Limitasyon sa Oras: May tatlong taong limitasyon sa oras mula sa petsa na ang testamento ay nasubok u"&amp;"pang labanan ito. Ang pagkukulang sa deadline na ito ay maaaring makabuluhang magpahina sa iyong kaso.
Legal na Representasyon: Ang paligsahan sa isang testamento ay isang kumplikadong legal na proseso. Ang pagkonsulta sa isang abogadong may karanasan sa "&amp;"paglilitis sa ari-arian ay mahalaga. Maaari ka nilang gabayan sa proseso, tiyaking natutugunan mo ang lahat ng legal na kinakailangan, at epektibong kinakatawan ang iyong mga interes sa korte.
Mga Gastos: Ang paligsahan sa isang testamento ay maaaring mag"&amp;"astos dahil sa mga bayarin sa paghahain ng korte, bayad sa abogado, at potensyal na gastos ng ekspertong saksi. Isaalang-alang ang mga implikasyon sa pananalapi bago simulan ang isang hamon.
Alternatibong Resolusyon sa Di-pagkakasundo: Sa ilang mga kaso, "&amp;"maaaring maging kapaki-pakinabang na tuklasin ang mga opsyon sa alternatibong paglutas ng di-pagkakasundo (ADR) tulad ng pamamagitan sa iba pang mga tagapagmana upang maabot ang isang napagkasunduang solusyon sa labas ng hukuman.
Tandaan: Ang paligsahan s"&amp;"a isang testamento ay maaaring maging isang mahaba at emosyonal na proseso. Ang pag-unawa sa mga legal na batayan, paghingi ng propesyonal na legal na payo, at maingat na pagtimbang ng mga potensyal na gastos at benepisyo ay mahalaga bago magpasyang hamun"&amp;"in ang isang testamento.")</f>
        <v>Sa Pilipinas, ang pakikipaglaban sa isang testamento ay isang seryosong legal na usapin. Narito ang isang breakdown ng proseso para sa paghamon sa isang testamento na nakakaapekto sa iyong mana:
Grounds para sa Paligsahan:
Mayroong ilang mga wastong dahilan upang labanan ang isang testamento sa Pilipinas. Ang ilang mga karaniwang batayan ay kinabibilangan ng:
Testamentary Capacity: Kung naniniwala ka na ang namatay ay kulang sa mental na kapasidad na maunawaan ang kalikasan at mga kahihinatnan ng paglikha ng isang testamento sa oras na ito ay nilagdaan.
Hindi Nararapat na Impluwensiya: Kung pinaghihinalaan mo ang isang tao na pinilit o pinilit ang namatay na baguhin ang kanilang kalooban laban sa kanilang kagustuhan.
Pamemeke: Kung mayroon kang ebidensya na ang mismong testamento o ang mga pirma sa testamento ay mapanlinlang.
Hindi Tamang Pagpapatupad: Kung ang testamento ay hindi nilagdaan at nasaksihan ayon sa legal na pormalidad na iniaatas ng batas ng Pilipinas.
Preterition: Kung ang isang lehitimong inapo (anak o apo) ay hindi sinasadyang tinanggal sa testamento nang walang wastong dahilan para sa kanilang pagbubukod.
Pagsisimula ng Paligsahan:
Maghain ng Petisyon: Upang labanan ang isang testamento, kakailanganin mong maghain ng petisyon sa naaangkop na hukuman, karaniwang ang Regional Trial Court (RTC) kung saan ang mga paglilitis sa probate ay nagpapatuloy o isasampa.
Nakatayo: Tanging ang mga may legal na interes sa ari-arian ang maaaring tumutol sa kalooban. Sa pangkalahatan, kasama rito ang mga tagapagmana na pinangalanan sa isang nakaraang testamento, mga legal na tagapagmana sa ilalim ng mga batas sa intestacy (kung walang wastong testamento), o mga benepisyaryo na naniniwalang sila ay hindi kasama sa kasalukuyang testamento.
Pagtitipon ng Ebidensya: Kakailanganin mong mangalap ng ebidensya upang suportahan ang iyong paghahabol. Maaaring kabilang dito ang mga medikal na rekord, mga testimonya ng saksi, mga dokumento sa pananalapi, o kahit na pagsusuri ng sulat-kamay (sa kaso ng pamemeke).
Pagdinig sa Hukuman:
Ang hukuman ay magsasagawa ng pagdinig upang marinig ang mga argumento mula sa magkabilang panig. Magkakaroon ka ng pagkakataong ipakita ang iyong ebidensya at hamunin ang bisa ng kalooban. Ang tagapagtaguyod ng testamento (kadalasan ang tagapagpatupad o isang benepisyaryo na pinangalanan sa testamento) ay magtatanggol sa pagiging tunay nito.
Desisyon: Batay sa mga ipinakitang ebidensya at argumento, ang hukuman ay maglalabas ng desisyon tungkol sa bisa ng testamento.
Mga Apela: Maaaring iapela ng alinmang partido ang desisyon ng korte sa mas mataas na hukuman kung hindi sila sumasang-ayon sa resulta.
Mahahalagang Pagsasaalang-alang:
Mga Limitasyon sa Oras: May tatlong taong limitasyon sa oras mula sa petsa na ang testamento ay nasubok upang labanan ito. Ang pagkukulang sa deadline na ito ay maaaring makabuluhang magpahina sa iyong kaso.
Legal na Representasyon: Ang paligsahan sa isang testamento ay isang kumplikadong legal na proseso. Ang pagkonsulta sa isang abogadong may karanasan sa paglilitis sa ari-arian ay mahalaga. Maaari ka nilang gabayan sa proseso, tiyaking natutugunan mo ang lahat ng legal na kinakailangan, at epektibong kinakatawan ang iyong mga interes sa korte.
Mga Gastos: Ang paligsahan sa isang testamento ay maaaring magastos dahil sa mga bayarin sa paghahain ng korte, bayad sa abogado, at potensyal na gastos ng ekspertong saksi. Isaalang-alang ang mga implikasyon sa pananalapi bago simulan ang isang hamon.
Alternatibong Resolusyon sa Di-pagkakasundo: Sa ilang mga kaso, maaaring maging kapaki-pakinabang na tuklasin ang mga opsyon sa alternatibong paglutas ng di-pagkakasundo (ADR) tulad ng pamamagitan sa iba pang mga tagapagmana upang maabot ang isang napagkasunduang solusyon sa labas ng hukuman.
Tandaan: Ang paligsahan sa isang testamento ay maaaring maging isang mahaba at emosyonal na proseso. Ang pag-unawa sa mga legal na batayan, paghingi ng propesyonal na legal na payo, at maingat na pagtimbang ng mga potensyal na gastos at benepisyo ay mahalaga bago magpasyang hamunin ang isang testamento.</v>
      </c>
      <c r="F466" s="2">
        <f t="shared" si="1"/>
        <v>0</v>
      </c>
      <c r="G466" s="2"/>
      <c r="H466" s="2"/>
      <c r="I466" s="2"/>
      <c r="J466" s="2"/>
      <c r="K466" s="2"/>
      <c r="L466" s="2"/>
      <c r="M466" s="2"/>
      <c r="N466" s="2"/>
      <c r="O466" s="2"/>
      <c r="P466" s="2"/>
      <c r="Q466" s="2"/>
      <c r="R466" s="2"/>
      <c r="S466" s="2"/>
      <c r="T466" s="2"/>
      <c r="U466" s="2"/>
      <c r="V466" s="2"/>
      <c r="W466" s="2"/>
      <c r="X466" s="2"/>
      <c r="Y466" s="2"/>
      <c r="Z466" s="2"/>
      <c r="AA466" s="2"/>
    </row>
    <row r="467">
      <c r="A467" s="1" t="s">
        <v>1224</v>
      </c>
      <c r="B467" s="1" t="s">
        <v>1663</v>
      </c>
      <c r="C467" s="1" t="s">
        <v>1664</v>
      </c>
      <c r="D467" s="1" t="s">
        <v>1665</v>
      </c>
      <c r="E467" s="2" t="str">
        <f>IFERROR(__xludf.DUMMYFUNCTION("GOOGLETRANSLATE(C467, ""en"", ""TL"")"),"Ang pagmamana ng ari-arian na may mga hindi pa nababayarang utang o sangla sa Pilipinas ay nagpapakita ng kakaibang sitwasyon para sa mga tagapagmana. Narito ang isang breakdown kung paano karaniwang pinamamahalaan ang mga naturang property sa panahon ng "&amp;"proseso ng inheritance:
Pag-unawa sa Pananagutan ng mga Tagapagmana:
Limitadong Pananagutan: Ang mga tagapagmana ay mananagot lamang para sa mga minanang utang sa lawak ng halaga ng ari-arian na kanilang natatanggap. Nangangahulugan ito na hindi sila maaa"&amp;"ring personal na managot para sa mga utang na lampas sa halaga ng ari-arian.
Mga Opsyon sa Pamamahala para sa mga Tagapagmana:
Ang mga tagapagmana ay may ilang mga opsyon para sa pagharap sa minanang ari-arian na may mga utang:
Tanggapin ang Mana na may B"&amp;"enepisyo ng Imbentaryo:
Ito ay isang legal na proseso kung saan ang isang imbentaryo ng mga ari-arian at pananagutan ng namatay ay nilikha. Ang mga tagapagmana ay mananagot lamang para sa mga utang sa lawak ng naimbentaryo na mga ari-arian. Gayunpaman, an"&amp;"g prosesong ito ay maaaring mahaba at kumplikado.
Itakwil ang Mana:
Ang mga tagapagmana ay maaaring ganap na tanggihan ang mana, pinalaya ang kanilang sarili sa anumang responsibilidad para sa mga utang o sa ari-arian mismo. Ngunit nangangahulugan din ito"&amp;" na mawawalan sila ng anumang mga karapatan sa anumang potensyal na halaga sa ari-arian.
Makipag-ayos sa mga nagpapautang:
Ang mga tagapagmana ay maaaring makipag-ayos ng isang kasunduan sa mga nagpapautang, nag-aalok ng isang lump sum na pagbabayad o nag"&amp;"mumungkahi ng isang plano sa pagbabayad gamit ang mga pondo mula sa pagbebenta ng ari-arian (kung naaangkop).
Ibenta ang Ari-arian:
Kung malaki ang mga utang, maaaring piliin ng mga tagapagmana na ibenta ang minanang ari-arian. Maaari nilang gamitin ang m"&amp;"ga nalikom upang bayaran ang mga utang na nauugnay sa ari-arian at pagkatapos ay hatiin ang natitirang halaga ayon sa kanilang bahagi sa mana.
Mga Karagdagang Pagsasaalang-alang:
Proseso ng Probate: Sa panahon ng probate (kung naaangkop), maaaring utusan "&amp;"ng korte ang pagbebenta ng ari-arian upang bayaran ang mga hindi pa nababayarang utang bago ipamahagi ang natitirang mga ari-arian sa mga tagapagmana.
Panganib sa Foreclosure: Kung nabigo ang mga tagapagmana na tugunan ang mga pagbabayad ng mortgage sa mi"&amp;"nanang ari-arian, maaaring simulan ng tagapagpahiram ang mga paglilitis sa foreclosure at agawin ang ari-arian upang mabawi ang natitirang utang.
Mga Implikasyon sa Buwis: Depende sa napiling opsyon sa pamamahala (pagbebenta kumpara sa pagpapanatili ng ar"&amp;"i-arian), maaaring may mga implikasyon sa buwis para sa mga tagapagmana. Inirerekomenda ang pagkonsulta sa isang tagapayo sa buwis.
Mga Rekomendasyon:
Kumonsulta sa Abogado: Ang isang bihasang abogado na nagdadalubhasa sa batas sa mana at ari-arian ay maa"&amp;"aring magpayo sa pinakamahusay na paraan ng pagkilos batay sa partikular na sitwasyon, kabilang ang halaga ng ari-arian, ang halaga ng utang, at ang bilang ng mga tagapagmana na kasangkot.
Mangalap ng Impormasyon: Kolektahin ang lahat ng mga dokumento na "&amp;"may kaugnayan sa mana, kabilang ang sertipiko ng kamatayan, ay (kung mayroon man), mga titulo ng ari-arian, mga dokumento ng pautang para sa mortgage, at anumang mga pagtatasa.
Makipag-ugnayan sa Mga Pinagkakautangan: Dapat na agad na ipaalam ng mga tagap"&amp;"agmana ang mga nagpapautang tungkol sa pagkamatay ng may-ari ng ari-arian at ipahayag ang kanilang intensyon na tugunan ang mga hindi pa nababayarang utang.
Pagpaplanong Pinansyal: Isaalang-alang ang mga implikasyon sa pananalapi ng bawat opsyon. Salik sa"&amp;" mga potensyal na gastos tulad ng mga legal na bayarin, buwis, at patuloy na pagpapanatili kung pinapanatili ang ari-arian.
Sa pamamagitan ng pag-unawa sa kanilang mga opsyon, paghingi ng legal na payo, at maingat na pagsusuri sa mga implikasyon sa panana"&amp;"lapi, ang mga tagapagmana ay maaaring gumawa ng matalinong mga pagpapasya kung paano pamahalaan ang minanang ari-arian na may mga hindi pa nababayarang utang o pagkakasangla.")</f>
        <v>Ang pagmamana ng ari-arian na may mga hindi pa nababayarang utang o sangla sa Pilipinas ay nagpapakita ng kakaibang sitwasyon para sa mga tagapagmana. Narito ang isang breakdown kung paano karaniwang pinamamahalaan ang mga naturang property sa panahon ng proseso ng inheritance:
Pag-unawa sa Pananagutan ng mga Tagapagmana:
Limitadong Pananagutan: Ang mga tagapagmana ay mananagot lamang para sa mga minanang utang sa lawak ng halaga ng ari-arian na kanilang natatanggap. Nangangahulugan ito na hindi sila maaaring personal na managot para sa mga utang na lampas sa halaga ng ari-arian.
Mga Opsyon sa Pamamahala para sa mga Tagapagmana:
Ang mga tagapagmana ay may ilang mga opsyon para sa pagharap sa minanang ari-arian na may mga utang:
Tanggapin ang Mana na may Benepisyo ng Imbentaryo:
Ito ay isang legal na proseso kung saan ang isang imbentaryo ng mga ari-arian at pananagutan ng namatay ay nilikha. Ang mga tagapagmana ay mananagot lamang para sa mga utang sa lawak ng naimbentaryo na mga ari-arian. Gayunpaman, ang prosesong ito ay maaaring mahaba at kumplikado.
Itakwil ang Mana:
Ang mga tagapagmana ay maaaring ganap na tanggihan ang mana, pinalaya ang kanilang sarili sa anumang responsibilidad para sa mga utang o sa ari-arian mismo. Ngunit nangangahulugan din ito na mawawalan sila ng anumang mga karapatan sa anumang potensyal na halaga sa ari-arian.
Makipag-ayos sa mga nagpapautang:
Ang mga tagapagmana ay maaaring makipag-ayos ng isang kasunduan sa mga nagpapautang, nag-aalok ng isang lump sum na pagbabayad o nagmumungkahi ng isang plano sa pagbabayad gamit ang mga pondo mula sa pagbebenta ng ari-arian (kung naaangkop).
Ibenta ang Ari-arian:
Kung malaki ang mga utang, maaaring piliin ng mga tagapagmana na ibenta ang minanang ari-arian. Maaari nilang gamitin ang mga nalikom upang bayaran ang mga utang na nauugnay sa ari-arian at pagkatapos ay hatiin ang natitirang halaga ayon sa kanilang bahagi sa mana.
Mga Karagdagang Pagsasaalang-alang:
Proseso ng Probate: Sa panahon ng probate (kung naaangkop), maaaring utusan ng korte ang pagbebenta ng ari-arian upang bayaran ang mga hindi pa nababayarang utang bago ipamahagi ang natitirang mga ari-arian sa mga tagapagmana.
Panganib sa Foreclosure: Kung nabigo ang mga tagapagmana na tugunan ang mga pagbabayad ng mortgage sa minanang ari-arian, maaaring simulan ng tagapagpahiram ang mga paglilitis sa foreclosure at agawin ang ari-arian upang mabawi ang natitirang utang.
Mga Implikasyon sa Buwis: Depende sa napiling opsyon sa pamamahala (pagbebenta kumpara sa pagpapanatili ng ari-arian), maaaring may mga implikasyon sa buwis para sa mga tagapagmana. Inirerekomenda ang pagkonsulta sa isang tagapayo sa buwis.
Mga Rekomendasyon:
Kumonsulta sa Abogado: Ang isang bihasang abogado na nagdadalubhasa sa batas sa mana at ari-arian ay maaaring magpayo sa pinakamahusay na paraan ng pagkilos batay sa partikular na sitwasyon, kabilang ang halaga ng ari-arian, ang halaga ng utang, at ang bilang ng mga tagapagmana na kasangkot.
Mangalap ng Impormasyon: Kolektahin ang lahat ng mga dokumento na may kaugnayan sa mana, kabilang ang sertipiko ng kamatayan, ay (kung mayroon man), mga titulo ng ari-arian, mga dokumento ng pautang para sa mortgage, at anumang mga pagtatasa.
Makipag-ugnayan sa Mga Pinagkakautangan: Dapat na agad na ipaalam ng mga tagapagmana ang mga nagpapautang tungkol sa pagkamatay ng may-ari ng ari-arian at ipahayag ang kanilang intensyon na tugunan ang mga hindi pa nababayarang utang.
Pagpaplanong Pinansyal: Isaalang-alang ang mga implikasyon sa pananalapi ng bawat opsyon. Salik sa mga potensyal na gastos tulad ng mga legal na bayarin, buwis, at patuloy na pagpapanatili kung pinapanatili ang ari-arian.
Sa pamamagitan ng pag-unawa sa kanilang mga opsyon, paghingi ng legal na payo, at maingat na pagsusuri sa mga implikasyon sa pananalapi, ang mga tagapagmana ay maaaring gumawa ng matalinong mga pagpapasya kung paano pamahalaan ang minanang ari-arian na may mga hindi pa nababayarang utang o pagkakasangla.</v>
      </c>
      <c r="F467" s="2">
        <f t="shared" si="1"/>
        <v>1</v>
      </c>
      <c r="G467" s="2"/>
      <c r="H467" s="2"/>
      <c r="I467" s="2"/>
      <c r="J467" s="2"/>
      <c r="K467" s="2"/>
      <c r="L467" s="2"/>
      <c r="M467" s="2"/>
      <c r="N467" s="2"/>
      <c r="O467" s="2"/>
      <c r="P467" s="2"/>
      <c r="Q467" s="2"/>
      <c r="R467" s="2"/>
      <c r="S467" s="2"/>
      <c r="T467" s="2"/>
      <c r="U467" s="2"/>
      <c r="V467" s="2"/>
      <c r="W467" s="2"/>
      <c r="X467" s="2"/>
      <c r="Y467" s="2"/>
      <c r="Z467" s="2"/>
      <c r="AA467" s="2"/>
    </row>
    <row r="468">
      <c r="A468" s="1" t="s">
        <v>1224</v>
      </c>
      <c r="B468" s="1" t="s">
        <v>1666</v>
      </c>
      <c r="C468" s="1" t="s">
        <v>1667</v>
      </c>
      <c r="D468" s="1" t="s">
        <v>1668</v>
      </c>
      <c r="E468" s="2" t="str">
        <f>IFERROR(__xludf.DUMMYFUNCTION("GOOGLETRANSLATE(C468, ""en"", ""TL"")"),"Ang mga tagapagmana sa Pilipinas ay may ilang legal na opsyon para sa pagbebenta ng minanang ari-arian, at ang partikular na proseso ay depende sa mga pangyayari. Narito ang isang breakdown ng mga pangunahing opsyon at hakbang na kasangkot:
Mga Legal na O"&amp;"psyon para sa Pagbebenta ng Minanang Ari-arian:
Indibidwal na Pagbebenta ng mga Tagapagmana: Kung sumang-ayon ang lahat ng tagapagmana, maaari nilang piliin na ibenta ang ari-arian mismo. Kabilang dito ang paghahanap ng mamimili, pakikipag-ayos sa presyo "&amp;"ng pagbebenta at mga tuntunin, at pagkumpleto ng legal na papeles.
Pagbebenta sa Pamamagitan ng Ahente ng Real Estate: Ang mga tagapagmana ay maaaring humirang ng isang lisensyadong ahente ng real estate upang pangasiwaan ang marketing, negosasyon, at pap"&amp;"eles na nauugnay sa pagbebenta. Maaari itong maging isang magandang opsyon kung ang ari-arian ay mahirap ibenta o kung ang mga tagapagmana ay kulang sa oras o kadalubhasaan.
Pagbebenta na Iniutos ng Hukuman: Sa ilang mga kaso, maaaring kailanganin ang isa"&amp;"ng utos ng hukuman upang maibenta ang ari-arian. Ito ay maaaring mangyari kung may mga hindi pagkakasundo sa pagitan ng mga tagapagmana tungkol sa pagbebenta ng ari-arian, o kung ang ari-arian ay kailangang ibenta upang bayaran ang mga natitirang utang sa"&amp;" ari-arian.
Mga Hakbang na Kasangkot sa Pagbebenta:
Mangalap ng Impormasyon:
Mga Dokumento ng Ari-arian: Kolektahin ang lahat ng may-katuturang dokumento na nauugnay sa ari-arian, kabilang ang titulo ng titulo, mga resibo ng buwis, at anumang mga talaan s"&amp;"a pagpapanatili.
Impormasyon sa Estate: Kung ang ari-arian ay bahagi ng isang ari-arian na sumasailalim sa probate, kumuha ng mga kinakailangang dokumento mula sa tagapagpatupad o abogado na humahawak sa proseso.
Pananaliksik sa Market: Magsaliksik ng kas"&amp;"alukuyang mga uso sa merkado sa lugar upang matukoy ang isang patas na presyo ng pagbebenta. Isaalang-alang ang pagkuha ng isang propesyonal na pagtatasa para sa isang tumpak na paghahalaga.
Ihanda ang Ari-arian: Tiyaking presentable ang ari-arian para sa"&amp;" mga potensyal na mamimili. Maaaring may kasama itong maliliit na pag-aayos, paglilinis, at posibleng pagtatanghal ng ari-arian upang ipakita ang potensyal nito.
Marketing at Negosasyon:
Indibidwal na Pagbebenta: Kung nagbebenta nang nakapag-iisa, i-adver"&amp;"tise ang property sa pamamagitan ng mga online na platform, mga lokal na listahan, o mga sign na ""for sale"". Maging handa na makipag-ayos sa presyo at mga tuntunin sa mga potensyal na mamimili.
Ahente ng Real Estate: Talakayin ang iyong mga inaasahan sa"&amp;" ahente at tukuyin ang kanilang istraktura ng komisyon. Hahawakan nila ang marketing, open house, at negosasyon sa ngalan mo.
Legal na Dokumentasyon at Pagsara:
Kasunduan sa Pagbebenta: Kapag natagpuan ang isang mamimili, isang kasunduan sa pagbebenta na "&amp;"nagbabalangkas sa mga tuntunin at kundisyon ng pagbebenta ay bubuuin at lalagdaan ng lahat ng mga kasangkot na partido (mga tagapagmana at mamimili).
Pag-apruba ng Estate: Kung ang ari-arian ay bahagi ng isang ari-arian, tiyaking ang pagbebenta ay naaprub"&amp;"ahan ng hukuman na nangangasiwa sa probate (kung naaangkop).
Paglilipat ng Pamagat: Sa pagtanggap ng buong bayad mula sa bumibili, ang titulo ng ari-arian ay ililipat sa pangalan ng bumibili. Ang prosesong ito ay karaniwang nagsasangkot ng isang abogado a"&amp;"t mga bayarin sa dokumentaryo.
Mga Obligasyon sa Buwis: Ang mga tagapagmana ay maaaring sumailalim sa buwis sa capital gains o buwis ng donor depende sa presyo ng pagbebenta at ang kanilang kaugnayan sa namatay. Inirerekomenda ang pagkonsulta sa isang tag"&amp;"apayo sa buwis.
Mahahalagang Pagsasaalang-alang:
Kasunduan sa Tagapagmana: Kung maraming tagapagmana, tiyaking nasa parehong pahina ang lahat tungkol sa pagbebenta, ang gustong presyo ng pagbebenta, at ang pamamahagi ng mga nalikom. Ang bukas na komunikas"&amp;"yon at isang nilagdaang kasunduan ay maaaring maiwasan ang mga hindi pagkakaunawaan sa hinaharap.
Mga Natitirang Utang: Kung ang ari-arian ay may mga hindi pa nababayarang utang tulad ng isang mortgage, ang mga ito ay kailangang bayaran mula sa mga naliko"&amp;"m sa pagbebenta bago ipamahagi ang natitirang halaga sa mga tagapagmana.
Legal na Representasyon: Isaalang-alang ang pagkonsulta sa isang abogado na dalubhasa sa real estate at inheritance law upang matiyak na ang proseso ng pagbebenta ay sumusunod sa mga"&amp;" legalidad at pinoprotektahan ang iyong mga interes.
Sa pamamagitan ng pag-unawa sa mga legal na opsyon, maingat na pagpaplano ng proseso ng pagbebenta, at potensyal na paghingi ng propesyonal na patnubay, ang mga tagapagmana ay maaaring mahusay at matagu"&amp;"mpay na maibenta ang kanilang minanang ari-arian habang pinapaliit ang mga potensyal na komplikasyon sa legal o buwis.")</f>
        <v>Ang mga tagapagmana sa Pilipinas ay may ilang legal na opsyon para sa pagbebenta ng minanang ari-arian, at ang partikular na proseso ay depende sa mga pangyayari. Narito ang isang breakdown ng mga pangunahing opsyon at hakbang na kasangkot:
Mga Legal na Opsyon para sa Pagbebenta ng Minanang Ari-arian:
Indibidwal na Pagbebenta ng mga Tagapagmana: Kung sumang-ayon ang lahat ng tagapagmana, maaari nilang piliin na ibenta ang ari-arian mismo. Kabilang dito ang paghahanap ng mamimili, pakikipag-ayos sa presyo ng pagbebenta at mga tuntunin, at pagkumpleto ng legal na papeles.
Pagbebenta sa Pamamagitan ng Ahente ng Real Estate: Ang mga tagapagmana ay maaaring humirang ng isang lisensyadong ahente ng real estate upang pangasiwaan ang marketing, negosasyon, at papeles na nauugnay sa pagbebenta. Maaari itong maging isang magandang opsyon kung ang ari-arian ay mahirap ibenta o kung ang mga tagapagmana ay kulang sa oras o kadalubhasaan.
Pagbebenta na Iniutos ng Hukuman: Sa ilang mga kaso, maaaring kailanganin ang isang utos ng hukuman upang maibenta ang ari-arian. Ito ay maaaring mangyari kung may mga hindi pagkakasundo sa pagitan ng mga tagapagmana tungkol sa pagbebenta ng ari-arian, o kung ang ari-arian ay kailangang ibenta upang bayaran ang mga natitirang utang sa ari-arian.
Mga Hakbang na Kasangkot sa Pagbebenta:
Mangalap ng Impormasyon:
Mga Dokumento ng Ari-arian: Kolektahin ang lahat ng may-katuturang dokumento na nauugnay sa ari-arian, kabilang ang titulo ng titulo, mga resibo ng buwis, at anumang mga talaan sa pagpapanatili.
Impormasyon sa Estate: Kung ang ari-arian ay bahagi ng isang ari-arian na sumasailalim sa probate, kumuha ng mga kinakailangang dokumento mula sa tagapagpatupad o abogado na humahawak sa proseso.
Pananaliksik sa Market: Magsaliksik ng kasalukuyang mga uso sa merkado sa lugar upang matukoy ang isang patas na presyo ng pagbebenta. Isaalang-alang ang pagkuha ng isang propesyonal na pagtatasa para sa isang tumpak na paghahalaga.
Ihanda ang Ari-arian: Tiyaking presentable ang ari-arian para sa mga potensyal na mamimili. Maaaring may kasama itong maliliit na pag-aayos, paglilinis, at posibleng pagtatanghal ng ari-arian upang ipakita ang potensyal nito.
Marketing at Negosasyon:
Indibidwal na Pagbebenta: Kung nagbebenta nang nakapag-iisa, i-advertise ang property sa pamamagitan ng mga online na platform, mga lokal na listahan, o mga sign na "for sale". Maging handa na makipag-ayos sa presyo at mga tuntunin sa mga potensyal na mamimili.
Ahente ng Real Estate: Talakayin ang iyong mga inaasahan sa ahente at tukuyin ang kanilang istraktura ng komisyon. Hahawakan nila ang marketing, open house, at negosasyon sa ngalan mo.
Legal na Dokumentasyon at Pagsara:
Kasunduan sa Pagbebenta: Kapag natagpuan ang isang mamimili, isang kasunduan sa pagbebenta na nagbabalangkas sa mga tuntunin at kundisyon ng pagbebenta ay bubuuin at lalagdaan ng lahat ng mga kasangkot na partido (mga tagapagmana at mamimili).
Pag-apruba ng Estate: Kung ang ari-arian ay bahagi ng isang ari-arian, tiyaking ang pagbebenta ay naaprubahan ng hukuman na nangangasiwa sa probate (kung naaangkop).
Paglilipat ng Pamagat: Sa pagtanggap ng buong bayad mula sa bumibili, ang titulo ng ari-arian ay ililipat sa pangalan ng bumibili. Ang prosesong ito ay karaniwang nagsasangkot ng isang abogado at mga bayarin sa dokumentaryo.
Mga Obligasyon sa Buwis: Ang mga tagapagmana ay maaaring sumailalim sa buwis sa capital gains o buwis ng donor depende sa presyo ng pagbebenta at ang kanilang kaugnayan sa namatay. Inirerekomenda ang pagkonsulta sa isang tagapayo sa buwis.
Mahahalagang Pagsasaalang-alang:
Kasunduan sa Tagapagmana: Kung maraming tagapagmana, tiyaking nasa parehong pahina ang lahat tungkol sa pagbebenta, ang gustong presyo ng pagbebenta, at ang pamamahagi ng mga nalikom. Ang bukas na komunikasyon at isang nilagdaang kasunduan ay maaaring maiwasan ang mga hindi pagkakaunawaan sa hinaharap.
Mga Natitirang Utang: Kung ang ari-arian ay may mga hindi pa nababayarang utang tulad ng isang mortgage, ang mga ito ay kailangang bayaran mula sa mga nalikom sa pagbebenta bago ipamahagi ang natitirang halaga sa mga tagapagmana.
Legal na Representasyon: Isaalang-alang ang pagkonsulta sa isang abogado na dalubhasa sa real estate at inheritance law upang matiyak na ang proseso ng pagbebenta ay sumusunod sa mga legalidad at pinoprotektahan ang iyong mga interes.
Sa pamamagitan ng pag-unawa sa mga legal na opsyon, maingat na pagpaplano ng proseso ng pagbebenta, at potensyal na paghingi ng propesyonal na patnubay, ang mga tagapagmana ay maaaring mahusay at matagumpay na maibenta ang kanilang minanang ari-arian habang pinapaliit ang mga potensyal na komplikasyon sa legal o buwis.</v>
      </c>
      <c r="F468" s="2">
        <f t="shared" si="1"/>
        <v>0</v>
      </c>
      <c r="G468" s="2"/>
      <c r="H468" s="2"/>
      <c r="I468" s="2"/>
      <c r="J468" s="2"/>
      <c r="K468" s="2"/>
      <c r="L468" s="2"/>
      <c r="M468" s="2"/>
      <c r="N468" s="2"/>
      <c r="O468" s="2"/>
      <c r="P468" s="2"/>
      <c r="Q468" s="2"/>
      <c r="R468" s="2"/>
      <c r="S468" s="2"/>
      <c r="T468" s="2"/>
      <c r="U468" s="2"/>
      <c r="V468" s="2"/>
      <c r="W468" s="2"/>
      <c r="X468" s="2"/>
      <c r="Y468" s="2"/>
      <c r="Z468" s="2"/>
      <c r="AA468" s="2"/>
    </row>
    <row r="469">
      <c r="A469" s="1" t="s">
        <v>1224</v>
      </c>
      <c r="B469" s="1" t="s">
        <v>1669</v>
      </c>
      <c r="C469" s="1" t="s">
        <v>1670</v>
      </c>
      <c r="D469" s="1" t="s">
        <v>1671</v>
      </c>
      <c r="E469" s="2" t="str">
        <f>IFERROR(__xludf.DUMMYFUNCTION("GOOGLETRANSLATE(C469, ""en"", ""TL"")"),"Tiyak, kapag nagmamana ng ari-arian kasama ng iba pang mga benepisyaryo sa Pilipinas, maraming legal na pagsasaalang-alang ang dapat isaalang-alang. Narito ang ilang mahahalagang punto:
1. **Pamamahala ng Estate:**
- Ang proseso ng pangangasiwa ng ari-ari"&amp;"an ay nagsisimula sa pag-aayos ng ari-arian ng namatay na tao.
- Ang ari-arian ay maaaring dumaan sa probate, lalo na kung mayroong kalooban. Kung walang habilin, ang ari-arian ay ipapamahagi ayon sa mga patakaran ng intestate succession.
2. **Co-ownershi"&amp;"p:**
- Sa joint inheritance, ang mga benepisyaryo ay nagiging co-owner ng minanang ari-arian. Nangangahulugan ito na nagbabahagi sila ng mga karapatan sa pagmamay-ari, tulad ng pagmamay-ari, paggamit, at pagtatapon.
- Ang uri ng co-ownership ay mahalaga. "&amp;"Ang default sa ilalim ng batas ng Pilipinas ay co-ownership in equal shares maliban kung tinukoy kung hindi.
3. **Legal na Dokumentasyon:**
- Mahalagang matiyak na ang paglilipat ng ari-arian ay maayos na naidokumento. Ito ay karaniwang nagsasangkot ng pa"&amp;"gpapatupad ng isang Deed of Extra-judicial Settlement of Estate kung ang ari-arian ay hindi napapailalim sa probate ng korte.
4. **Pahintulot at Kasunduan:**
- Ang paggawa ng desisyon sa mga kapwa may-ari ay kadalasang nangangailangan ng pinagkasunduan, l"&amp;"alo na para sa mga pangunahing desisyon tulad ng pagbebenta ng ari-arian. Maipapayo na magkaroon ng malinaw na kasunduan sa mga kapwa may-ari upang maiwasan ang mga hindi pagkakaunawaan.
5. **Mga Buwis at Bayarin:**
- Magkaroon ng kamalayan sa anumang naa"&amp;"angkop na mga buwis at bayarin na may kaugnayan sa paglipat ng ari-arian. Kumonsulta sa isang propesyonal sa buwis upang maunawaan ang mga implikasyon at obligasyon sa buwis.
6. **Resolusyon sa Salungatan:**
- Kung may mga hindi pagkakaunawaan sa pagitan "&amp;"ng mga kapwa may-ari, ang batas ay nagbibigay ng mga mekanismo para sa paglutas. Ito ay maaaring may kasamang mga legal na aksyon tulad ng partition, kung saan ang ari-arian ay nahahati sa mga kapwa may-ari.
7. **Mga Paghihigpit sa Pagmamay-ari ng Dayuhan"&amp;":**
- Para sa mga hindi Pilipinong benepisyaryo, maaaring may mga paghihigpit sa pagmamay-ari ng lupa sa Pilipinas. Mahalagang sumunod sa mga nauugnay na batas, tulad ng mga probisyon ng Konstitusyon ng Pilipinas sa dayuhang pagmamay-ari ng lupa.
8. **Mga"&amp;" Karapatan at Pananagutan:**
- Ang mga kapwa may-ari ay may ilang mga karapatan at responsibilidad. Napakahalagang maunawaan ang mga ito, kabilang ang karapatang gamitin at tamasahin ang ari-arian, gayundin ang responsibilidad na mag-ambag sa mga kinakail"&amp;"angang gastos para sa pagpapanatili at pangangalaga ng ari-arian.
9. **Legal na Tulong:**
- Dahil sa pagiging kumplikado ng mga batas sa mana at mga usapin sa ari-arian, lubos na inirerekomenda ang paghingi ng legal na payo. Makakatulong ang pagkonsulta s"&amp;"a isang abogado na dalubhasa sa real estate at mana na matiyak ang pagsunod sa mga nauugnay na batas at regulasyon.
Palaging kumunsulta sa isang legal na propesyonal upang makakuha ng payo na naaayon sa iyong partikular na sitwasyon, dahil maaaring mag-ib"&amp;"a ang mga indibidwal na kaso.")</f>
        <v>Tiyak, kapag nagmamana ng ari-arian kasama ng iba pang mga benepisyaryo sa Pilipinas, maraming legal na pagsasaalang-alang ang dapat isaalang-alang. Narito ang ilang mahahalagang punto:
1. **Pamamahala ng Estate:**
- Ang proseso ng pangangasiwa ng ari-arian ay nagsisimula sa pag-aayos ng ari-arian ng namatay na tao.
- Ang ari-arian ay maaaring dumaan sa probate, lalo na kung mayroong kalooban. Kung walang habilin, ang ari-arian ay ipapamahagi ayon sa mga patakaran ng intestate succession.
2. **Co-ownership:**
- Sa joint inheritance, ang mga benepisyaryo ay nagiging co-owner ng minanang ari-arian. Nangangahulugan ito na nagbabahagi sila ng mga karapatan sa pagmamay-ari, tulad ng pagmamay-ari, paggamit, at pagtatapon.
- Ang uri ng co-ownership ay mahalaga. Ang default sa ilalim ng batas ng Pilipinas ay co-ownership in equal shares maliban kung tinukoy kung hindi.
3. **Legal na Dokumentasyon:**
- Mahalagang matiyak na ang paglilipat ng ari-arian ay maayos na naidokumento. Ito ay karaniwang nagsasangkot ng pagpapatupad ng isang Deed of Extra-judicial Settlement of Estate kung ang ari-arian ay hindi napapailalim sa probate ng korte.
4. **Pahintulot at Kasunduan:**
- Ang paggawa ng desisyon sa mga kapwa may-ari ay kadalasang nangangailangan ng pinagkasunduan, lalo na para sa mga pangunahing desisyon tulad ng pagbebenta ng ari-arian. Maipapayo na magkaroon ng malinaw na kasunduan sa mga kapwa may-ari upang maiwasan ang mga hindi pagkakaunawaan.
5. **Mga Buwis at Bayarin:**
- Magkaroon ng kamalayan sa anumang naaangkop na mga buwis at bayarin na may kaugnayan sa paglipat ng ari-arian. Kumonsulta sa isang propesyonal sa buwis upang maunawaan ang mga implikasyon at obligasyon sa buwis.
6. **Resolusyon sa Salungatan:**
- Kung may mga hindi pagkakaunawaan sa pagitan ng mga kapwa may-ari, ang batas ay nagbibigay ng mga mekanismo para sa paglutas. Ito ay maaaring may kasamang mga legal na aksyon tulad ng partition, kung saan ang ari-arian ay nahahati sa mga kapwa may-ari.
7. **Mga Paghihigpit sa Pagmamay-ari ng Dayuhan:**
- Para sa mga hindi Pilipinong benepisyaryo, maaaring may mga paghihigpit sa pagmamay-ari ng lupa sa Pilipinas. Mahalagang sumunod sa mga nauugnay na batas, tulad ng mga probisyon ng Konstitusyon ng Pilipinas sa dayuhang pagmamay-ari ng lupa.
8. **Mga Karapatan at Pananagutan:**
- Ang mga kapwa may-ari ay may ilang mga karapatan at responsibilidad. Napakahalagang maunawaan ang mga ito, kabilang ang karapatang gamitin at tamasahin ang ari-arian, gayundin ang responsibilidad na mag-ambag sa mga kinakailangang gastos para sa pagpapanatili at pangangalaga ng ari-arian.
9. **Legal na Tulong:**
- Dahil sa pagiging kumplikado ng mga batas sa mana at mga usapin sa ari-arian, lubos na inirerekomenda ang paghingi ng legal na payo. Makakatulong ang pagkonsulta sa isang abogado na dalubhasa sa real estate at mana na matiyak ang pagsunod sa mga nauugnay na batas at regulasyon.
Palaging kumunsulta sa isang legal na propesyonal upang makakuha ng payo na naaayon sa iyong partikular na sitwasyon, dahil maaaring mag-iba ang mga indibidwal na kaso.</v>
      </c>
      <c r="F469" s="2">
        <f t="shared" si="1"/>
        <v>0</v>
      </c>
      <c r="G469" s="2"/>
      <c r="H469" s="2"/>
      <c r="I469" s="2"/>
      <c r="J469" s="2"/>
      <c r="K469" s="2"/>
      <c r="L469" s="2"/>
      <c r="M469" s="2"/>
      <c r="N469" s="2"/>
      <c r="O469" s="2"/>
      <c r="P469" s="2"/>
      <c r="Q469" s="2"/>
      <c r="R469" s="2"/>
      <c r="S469" s="2"/>
      <c r="T469" s="2"/>
      <c r="U469" s="2"/>
      <c r="V469" s="2"/>
      <c r="W469" s="2"/>
      <c r="X469" s="2"/>
      <c r="Y469" s="2"/>
      <c r="Z469" s="2"/>
      <c r="AA469" s="2"/>
    </row>
    <row r="470">
      <c r="A470" s="1" t="s">
        <v>1224</v>
      </c>
      <c r="B470" s="1" t="s">
        <v>1672</v>
      </c>
      <c r="C470" s="1" t="s">
        <v>1673</v>
      </c>
      <c r="D470" s="1" t="s">
        <v>1674</v>
      </c>
      <c r="E470" s="2" t="str">
        <f>IFERROR(__xludf.DUMMYFUNCTION("GOOGLETRANSLATE(C470, ""en"", ""TL"")"),"Sa Pilipinas, ang proseso ng paglilipat ng minanang ari-arian sa isang trust para sa pangmatagalang pamamahala ay nagsasangkot ng ilang legal na hakbang. Narito ang mga pangunahing mekanismo at pagsasaalang-alang:
1. **Paglikha ng isang Tiwala:**
- Ang un"&amp;"ang hakbang ay ang gumawa ng trust agreement. Binabalangkas ng dokumentong ito ang mga tuntunin at kundisyon ng trust, kabilang ang mga pangalan ng mga benepisyaryo, ang trustee, ang layunin ng trust, at ang mga kapangyarihan at tungkulin ng trustee.
2. *"&amp;"*Pagpili ng Trustee:**
- Ang trustee ay ang tao o entity na responsable para sa pamamahala ng trust at pagtiyak na ang mga tuntunin ng trust agreement ay sinusunod. Napakahalagang pumili ng trustee na mapagkakatiwalaan, may kakayahan, at nasa isip ang pin"&amp;"akamahusay na interes ng mga benepisyaryo.
3. **Paglipat ng Pamagat:**
- Ang legal na titulo ng minanang ari-arian ay kailangang ilipat sa trust. Karaniwang kinabibilangan ito ng pagsasagawa ng isang deed of transfer, paglilipat ng pagmamay-ari mula sa mg"&amp;"a indibidwal na benepisyaryo patungo sa trust.
4. **Pagsunod sa Mga Legal na Pormal:**
- Tiyakin na ang lahat ng legal na pormalidad at mga kinakailangan para sa paglilipat ng ari-arian ay sinusunod. Maaaring kabilang dito ang pagnotaryo ng mga dokumento "&amp;"at pagpaparehistro sa naaangkop na awtoridad ng gobyerno.
5. **Pagpaparehistro ng Trust:**
- Sa ilang mga kaso, depende sa uri ng tiwala, maaaring kailanganing irehistro ang tiwala sa Securities and Exchange Commission (SEC) o iba pang nauugnay na ahensya"&amp;" ng gobyerno.
6. **Mga Pagsasaalang-alang sa Buwis:**
- Magkaroon ng kamalayan sa anumang mga implikasyon sa buwis na nauugnay sa paglipat ng ari-arian sa isang trust. Kumonsulta sa isang propesyonal sa buwis upang maunawaan ang mga obligasyon at benepisy"&amp;"o sa buwis.
7. **Pamamahagi at Pamamahala ng mga Asset:**
- Malinaw na binabalangkas sa trust agreement kung paano ang mga asset, kabilang ang minanang ari-arian, ay pamamahalaan, ipamahagi, at gagamitin para sa kapakinabangan ng mga benepisyaryo.
8. **Le"&amp;"gal na Payo:**
- Dahil sa mga legal na kumplikadong kasangkot sa paglikha ng isang tiwala at paglilipat ng ari-arian, ang paghingi ng payo ng isang abogado na may kadalubhasaan sa pagpaplano ng ari-arian, mga trust, at batas ng ari-arian ay lubos na inire"&amp;"rekomenda.
9. **Pagsunod sa Mga Batas sa Pagmamay-ari ng Dayuhan:**
- Kung ang sinuman sa mga benepisyaryo o tagapangasiwa ay hindi Pilipino, tiyakin ang pagsunod sa anumang mga paghihigpit sa dayuhang pagmamay-ari ng lupa ayon sa mga batas ng Pilipinas.
"&amp;"10. **Patuloy na Legal na Pagsunod:**
- Kapag naitatag na ang trust, mahalagang tiyakin ang patuloy na pagsunod sa mga legal na kinakailangan at pana-panahong suriin at i-update ang trust agreement kung kinakailangan.
Napakahalagang kumonsulta sa mga lega"&amp;"l na propesyonal na dalubhasa sa pagpaplano ng estate, trust, at batas ng ari-arian upang matiyak na ang paglipat ng minanang ari-arian sa isang trust ay gagawin alinsunod sa mga batas at regulasyon ng Pilipinas.")</f>
        <v>Sa Pilipinas, ang proseso ng paglilipat ng minanang ari-arian sa isang trust para sa pangmatagalang pamamahala ay nagsasangkot ng ilang legal na hakbang. Narito ang mga pangunahing mekanismo at pagsasaalang-alang:
1. **Paglikha ng isang Tiwala:**
- Ang unang hakbang ay ang gumawa ng trust agreement. Binabalangkas ng dokumentong ito ang mga tuntunin at kundisyon ng trust, kabilang ang mga pangalan ng mga benepisyaryo, ang trustee, ang layunin ng trust, at ang mga kapangyarihan at tungkulin ng trustee.
2. **Pagpili ng Trustee:**
- Ang trustee ay ang tao o entity na responsable para sa pamamahala ng trust at pagtiyak na ang mga tuntunin ng trust agreement ay sinusunod. Napakahalagang pumili ng trustee na mapagkakatiwalaan, may kakayahan, at nasa isip ang pinakamahusay na interes ng mga benepisyaryo.
3. **Paglipat ng Pamagat:**
- Ang legal na titulo ng minanang ari-arian ay kailangang ilipat sa trust. Karaniwang kinabibilangan ito ng pagsasagawa ng isang deed of transfer, paglilipat ng pagmamay-ari mula sa mga indibidwal na benepisyaryo patungo sa trust.
4. **Pagsunod sa Mga Legal na Pormal:**
- Tiyakin na ang lahat ng legal na pormalidad at mga kinakailangan para sa paglilipat ng ari-arian ay sinusunod. Maaaring kabilang dito ang pagnotaryo ng mga dokumento at pagpaparehistro sa naaangkop na awtoridad ng gobyerno.
5. **Pagpaparehistro ng Trust:**
- Sa ilang mga kaso, depende sa uri ng tiwala, maaaring kailanganing irehistro ang tiwala sa Securities and Exchange Commission (SEC) o iba pang nauugnay na ahensya ng gobyerno.
6. **Mga Pagsasaalang-alang sa Buwis:**
- Magkaroon ng kamalayan sa anumang mga implikasyon sa buwis na nauugnay sa paglipat ng ari-arian sa isang trust. Kumonsulta sa isang propesyonal sa buwis upang maunawaan ang mga obligasyon at benepisyo sa buwis.
7. **Pamamahagi at Pamamahala ng mga Asset:**
- Malinaw na binabalangkas sa trust agreement kung paano ang mga asset, kabilang ang minanang ari-arian, ay pamamahalaan, ipamahagi, at gagamitin para sa kapakinabangan ng mga benepisyaryo.
8. **Legal na Payo:**
- Dahil sa mga legal na kumplikadong kasangkot sa paglikha ng isang tiwala at paglilipat ng ari-arian, ang paghingi ng payo ng isang abogado na may kadalubhasaan sa pagpaplano ng ari-arian, mga trust, at batas ng ari-arian ay lubos na inirerekomenda.
9. **Pagsunod sa Mga Batas sa Pagmamay-ari ng Dayuhan:**
- Kung ang sinuman sa mga benepisyaryo o tagapangasiwa ay hindi Pilipino, tiyakin ang pagsunod sa anumang mga paghihigpit sa dayuhang pagmamay-ari ng lupa ayon sa mga batas ng Pilipinas.
10. **Patuloy na Legal na Pagsunod:**
- Kapag naitatag na ang trust, mahalagang tiyakin ang patuloy na pagsunod sa mga legal na kinakailangan at pana-panahong suriin at i-update ang trust agreement kung kinakailangan.
Napakahalagang kumonsulta sa mga legal na propesyonal na dalubhasa sa pagpaplano ng estate, trust, at batas ng ari-arian upang matiyak na ang paglipat ng minanang ari-arian sa isang trust ay gagawin alinsunod sa mga batas at regulasyon ng Pilipinas.</v>
      </c>
      <c r="F470" s="2">
        <f t="shared" si="1"/>
        <v>2</v>
      </c>
      <c r="G470" s="2"/>
      <c r="H470" s="2"/>
      <c r="I470" s="2"/>
      <c r="J470" s="2"/>
      <c r="K470" s="2"/>
      <c r="L470" s="2"/>
      <c r="M470" s="2"/>
      <c r="N470" s="2"/>
      <c r="O470" s="2"/>
      <c r="P470" s="2"/>
      <c r="Q470" s="2"/>
      <c r="R470" s="2"/>
      <c r="S470" s="2"/>
      <c r="T470" s="2"/>
      <c r="U470" s="2"/>
      <c r="V470" s="2"/>
      <c r="W470" s="2"/>
      <c r="X470" s="2"/>
      <c r="Y470" s="2"/>
      <c r="Z470" s="2"/>
      <c r="AA470" s="2"/>
    </row>
    <row r="471">
      <c r="A471" s="1" t="s">
        <v>1224</v>
      </c>
      <c r="B471" s="1" t="s">
        <v>1675</v>
      </c>
      <c r="C471" s="1" t="s">
        <v>1676</v>
      </c>
      <c r="D471" s="1" t="s">
        <v>1677</v>
      </c>
      <c r="E471" s="2" t="str">
        <f>IFERROR(__xludf.DUMMYFUNCTION("GOOGLETRANSLATE(C471, ""en"", ""TL"")"),"Tinutugunan ng batas ng Pilipinas ang mga hindi pagkakaunawaan sa pagitan ng mga tagapagmana hinggil sa minanang ari-arian sa pamamagitan ng dalawang pronged approach:
1. **Extrajudicial Settlement (EJS):** Ito ang gustong paraan kapag ang mga tagapagmana"&amp;" ay sumang-ayon sa paghahati at pamamahala ng ari-arian. Kabilang dito ang isang notarized na dokumento na tinatawag na ""Extrajudicial Settlement of Estate and Adjudication of Estate"" (EJS) na nagsasaad ng:
* Mga detalye ng namatay, kabilang ang sertipi"&amp;"ko ng kamatayan.
* Imbentaryo ng mga ari-arian ng ari-arian.
* Napagkasunduan na pamamahagi ng mga ari-arian sa mga tagapagmana.
Ito ay may bisa lamang kung walang testamento, walang utang, at lahat ng tagapagmana ay nasa legal na edad (o wastong kinakata"&amp;"wan).
2. **Judicial Settlement:** Kung mayroong hindi pagkakasundo o isang testamento ay ipinaglalaban, ang isang pag-areglo ng hukuman ay kinakailangan. Kabilang dito ang pagsasampa ng kaso sa probate court, na:
* Tukuyin ang bisa ng kalooban (kung mayro"&amp;"on man).
* Magtalaga ng isang tagapangasiwa upang pamahalaan ang ari-arian kung walang itinalaga sa testamento.
* Pangasiwaan ang pag-aayos ng mga utang at buwis.
* Lutasin ang mga hindi pagkakaunawaan tungkol sa paghahati at pamamahala ng ari-arian.
Nari"&amp;"to ang ilang kaugnay na batas ng Pilipinas tungkol sa mana:
* **Ang Bagong Kodigo Sibil ng Pilipinas (Batas ng Republika Blg. 68):** Ang batas na ito ay nagbibigay ng legal na balangkas para sa mana, kabilang ang intestacy (namamatay nang walang habilin) "&amp;"​​at succession. * **Tuntunin 74 ng Mga Tuntunin ng Hukuman:** Binabalangkas ng panuntunang ito ang pamamaraan para sa judicial settlement ng mga ari-arian.
Tandaan, ito ay isang pinasimpleng paliwanag. Para sa isang mas komprehensibong pag-unawa, ipinapa"&amp;"yong kumunsulta sa isang abogado na maaaring magsuri ng mga detalye ng iyong sitwasyon.")</f>
        <v>Tinutugunan ng batas ng Pilipinas ang mga hindi pagkakaunawaan sa pagitan ng mga tagapagmana hinggil sa minanang ari-arian sa pamamagitan ng dalawang pronged approach:
1. **Extrajudicial Settlement (EJS):** Ito ang gustong paraan kapag ang mga tagapagmana ay sumang-ayon sa paghahati at pamamahala ng ari-arian. Kabilang dito ang isang notarized na dokumento na tinatawag na "Extrajudicial Settlement of Estate and Adjudication of Estate" (EJS) na nagsasaad ng:
* Mga detalye ng namatay, kabilang ang sertipiko ng kamatayan.
* Imbentaryo ng mga ari-arian ng ari-arian.
* Napagkasunduan na pamamahagi ng mga ari-arian sa mga tagapagmana.
Ito ay may bisa lamang kung walang testamento, walang utang, at lahat ng tagapagmana ay nasa legal na edad (o wastong kinakatawan).
2. **Judicial Settlement:** Kung mayroong hindi pagkakasundo o isang testamento ay ipinaglalaban, ang isang pag-areglo ng hukuman ay kinakailangan. Kabilang dito ang pagsasampa ng kaso sa probate court, na:
* Tukuyin ang bisa ng kalooban (kung mayroon man).
* Magtalaga ng isang tagapangasiwa upang pamahalaan ang ari-arian kung walang itinalaga sa testamento.
* Pangasiwaan ang pag-aayos ng mga utang at buwis.
* Lutasin ang mga hindi pagkakaunawaan tungkol sa paghahati at pamamahala ng ari-arian.
Narito ang ilang kaugnay na batas ng Pilipinas tungkol sa mana:
* **Ang Bagong Kodigo Sibil ng Pilipinas (Batas ng Republika Blg. 68):** Ang batas na ito ay nagbibigay ng legal na balangkas para sa mana, kabilang ang intestacy (namamatay nang walang habilin) ​​at succession. * **Tuntunin 74 ng Mga Tuntunin ng Hukuman:** Binabalangkas ng panuntunang ito ang pamamaraan para sa judicial settlement ng mga ari-arian.
Tandaan, ito ay isang pinasimpleng paliwanag. Para sa isang mas komprehensibong pag-unawa, ipinapayong kumunsulta sa isang abogado na maaaring magsuri ng mga detalye ng iyong sitwasyon.</v>
      </c>
      <c r="F471" s="2">
        <f t="shared" si="1"/>
        <v>0</v>
      </c>
      <c r="G471" s="2"/>
      <c r="H471" s="2"/>
      <c r="I471" s="2"/>
      <c r="J471" s="2"/>
      <c r="K471" s="2"/>
      <c r="L471" s="2"/>
      <c r="M471" s="2"/>
      <c r="N471" s="2"/>
      <c r="O471" s="2"/>
      <c r="P471" s="2"/>
      <c r="Q471" s="2"/>
      <c r="R471" s="2"/>
      <c r="S471" s="2"/>
      <c r="T471" s="2"/>
      <c r="U471" s="2"/>
      <c r="V471" s="2"/>
      <c r="W471" s="2"/>
      <c r="X471" s="2"/>
      <c r="Y471" s="2"/>
      <c r="Z471" s="2"/>
      <c r="AA471" s="2"/>
    </row>
    <row r="472">
      <c r="A472" s="1" t="s">
        <v>1224</v>
      </c>
      <c r="B472" s="1" t="s">
        <v>1678</v>
      </c>
      <c r="C472" s="1" t="s">
        <v>1679</v>
      </c>
      <c r="D472" s="1" t="s">
        <v>1680</v>
      </c>
      <c r="E472" s="2" t="str">
        <f>IFERROR(__xludf.DUMMYFUNCTION("GOOGLETRANSLATE(C472, ""en"", ""TL"")"),"Pangunahing naaangkop ang batas ng Pilipinas sa ari-arian na matatagpuan sa loob ng Pilipinas. Ang paglilipat ng minanang ari-arian sa ibang bansa ay nagsasangkot ng mga karagdagang pagsasaalang-alang at maaaring mangailangan ng pagsunod sa mga batas ng i"&amp;"bang estado o bansa. Narito ang isang pangkalahatang balangkas upang maunawaan ang proseso:
1. **Tukuyin ang Ancillary Probate Needs:** Ang mga mana na kinasasangkutan ng ari-arian sa ibang estado (US) o bansa ay maaaring mangailangan ng ""ancillary proba"&amp;"te."" Ito ay isang hiwalay na paglilitis sa probate na isinasagawa sa estado/bansa kung saan matatagpuan ang ari-arian. Tinitiyak nito na ang ari-arian ay ipinamamahagi ayon sa mga lokal na batas at ang mga utang/buwis ay nababayaran.
2. **Kumonsulta sa M"&amp;"ga Kaugnay na Lokal na Legal na Propesyonal:** Humingi ng payo mula sa isang abogadong dalubhasa sa probate law sa kabilang estado/bansa. Maaari ka nilang gabayan sa mga partikular na kinakailangan para sa paglilipat ng ari-arian, kabilang ang:
* **Mga Im"&amp;"plikasyon sa Buwis:** Maaaring malapat ang mga buwis sa mana sa ibang hurisdiksyon. Maaaring magpayo ang abogado sa pagliit ng mga pananagutan sa buwis. * **Mga Pamamaraan ng Lokal na Probate:** Maaaring mag-iba ang proseso para sa paglilipat ng ari-arian"&amp;". Maaari nilang ipaliwanag ang mga hakbang na kasangkot, tulad ng paghahain ng mga kinakailangang dokumento at pag-navigate sa sistema ng hukuman.
3. **Makipag-ugnayan sa Kinatawan ng Pilipinas:** Maaaring kailanganin mo ang isang abogado ng Pilipinas upa"&amp;"ng pangasiwaan ang mga aspetong nauugnay sa ari-arian ng Pilipinas, tulad ng:
* Pagkuha ng mga kinakailangang dokumento mula sa Pilipinas (hal., death certificate, proof of heirship)
* Pagtiyak na ang ari-arian ng Pilipinas ay naayos bago ilipat ang dayuh"&amp;"ang ari-arian
**Mahahalagang Pagsasaalang-alang:**
* Mga Kasunduan: Ang Pilipinas ay maaaring magkaroon ng mga kasunduan sa ibang mga bansa tungkol sa pamana. Ang mga kasunduan na ito ay maaaring gawing simple ang proseso sa pamamagitan ng pagbabawas ng b"&amp;"urukrasya. Ang isang abogado ay maaaring magpayo tungkol sa pagiging angkop ng anumang naturang mga kasunduan. * Pagiging kumplikado: Ang proseso ay maaaring maging kumplikado, lalo na kung ang ari-arian ay mahalaga o may mga pagtatalo sa pagitan ng mga t"&amp;"agapagmana. Ang pagkonsulta sa mga nakaranasang legal na propesyonal sa parehong hurisdiksyon ay mahalaga.
**Disclaimer:** Ito ay isang pinasimple na pangkalahatang-ideya, at ang partikular na proseso ay mag-iiba depende sa lokasyon at mga pangyayari. Mah"&amp;"alagang kumunsulta sa mga kwalipikadong abogado sa Pilipinas at sa ibang estado/bansa para sa tumpak na payong legal.")</f>
        <v>Pangunahing naaangkop ang batas ng Pilipinas sa ari-arian na matatagpuan sa loob ng Pilipinas. Ang paglilipat ng minanang ari-arian sa ibang bansa ay nagsasangkot ng mga karagdagang pagsasaalang-alang at maaaring mangailangan ng pagsunod sa mga batas ng ibang estado o bansa. Narito ang isang pangkalahatang balangkas upang maunawaan ang proseso:
1. **Tukuyin ang Ancillary Probate Needs:** Ang mga mana na kinasasangkutan ng ari-arian sa ibang estado (US) o bansa ay maaaring mangailangan ng "ancillary probate." Ito ay isang hiwalay na paglilitis sa probate na isinasagawa sa estado/bansa kung saan matatagpuan ang ari-arian. Tinitiyak nito na ang ari-arian ay ipinamamahagi ayon sa mga lokal na batas at ang mga utang/buwis ay nababayaran.
2. **Kumonsulta sa Mga Kaugnay na Lokal na Legal na Propesyonal:** Humingi ng payo mula sa isang abogadong dalubhasa sa probate law sa kabilang estado/bansa. Maaari ka nilang gabayan sa mga partikular na kinakailangan para sa paglilipat ng ari-arian, kabilang ang:
* **Mga Implikasyon sa Buwis:** Maaaring malapat ang mga buwis sa mana sa ibang hurisdiksyon. Maaaring magpayo ang abogado sa pagliit ng mga pananagutan sa buwis. * **Mga Pamamaraan ng Lokal na Probate:** Maaaring mag-iba ang proseso para sa paglilipat ng ari-arian. Maaari nilang ipaliwanag ang mga hakbang na kasangkot, tulad ng paghahain ng mga kinakailangang dokumento at pag-navigate sa sistema ng hukuman.
3. **Makipag-ugnayan sa Kinatawan ng Pilipinas:** Maaaring kailanganin mo ang isang abogado ng Pilipinas upang pangasiwaan ang mga aspetong nauugnay sa ari-arian ng Pilipinas, tulad ng:
* Pagkuha ng mga kinakailangang dokumento mula sa Pilipinas (hal., death certificate, proof of heirship)
* Pagtiyak na ang ari-arian ng Pilipinas ay naayos bago ilipat ang dayuhang ari-arian
**Mahahalagang Pagsasaalang-alang:**
* Mga Kasunduan: Ang Pilipinas ay maaaring magkaroon ng mga kasunduan sa ibang mga bansa tungkol sa pamana. Ang mga kasunduan na ito ay maaaring gawing simple ang proseso sa pamamagitan ng pagbabawas ng burukrasya. Ang isang abogado ay maaaring magpayo tungkol sa pagiging angkop ng anumang naturang mga kasunduan. * Pagiging kumplikado: Ang proseso ay maaaring maging kumplikado, lalo na kung ang ari-arian ay mahalaga o may mga pagtatalo sa pagitan ng mga tagapagmana. Ang pagkonsulta sa mga nakaranasang legal na propesyonal sa parehong hurisdiksyon ay mahalaga.
**Disclaimer:** Ito ay isang pinasimple na pangkalahatang-ideya, at ang partikular na proseso ay mag-iiba depende sa lokasyon at mga pangyayari. Mahalagang kumunsulta sa mga kwalipikadong abogado sa Pilipinas at sa ibang estado/bansa para sa tumpak na payong legal.</v>
      </c>
      <c r="F472" s="2">
        <f t="shared" si="1"/>
        <v>0</v>
      </c>
      <c r="G472" s="2"/>
      <c r="H472" s="2"/>
      <c r="I472" s="2"/>
      <c r="J472" s="2"/>
      <c r="K472" s="2"/>
      <c r="L472" s="2"/>
      <c r="M472" s="2"/>
      <c r="N472" s="2"/>
      <c r="O472" s="2"/>
      <c r="P472" s="2"/>
      <c r="Q472" s="2"/>
      <c r="R472" s="2"/>
      <c r="S472" s="2"/>
      <c r="T472" s="2"/>
      <c r="U472" s="2"/>
      <c r="V472" s="2"/>
      <c r="W472" s="2"/>
      <c r="X472" s="2"/>
      <c r="Y472" s="2"/>
      <c r="Z472" s="2"/>
      <c r="AA472" s="2"/>
    </row>
    <row r="473">
      <c r="A473" s="1" t="s">
        <v>1224</v>
      </c>
      <c r="B473" s="1" t="s">
        <v>1681</v>
      </c>
      <c r="C473" s="1" t="s">
        <v>1682</v>
      </c>
      <c r="D473" s="1" t="s">
        <v>1683</v>
      </c>
      <c r="E473" s="2" t="str">
        <f>IFERROR(__xludf.DUMMYFUNCTION("GOOGLETRANSLATE(C473, ""en"", ""TL"")"),"Ang mga tagapagmana sa Pilipinas ay may ilang legal na obligasyon tungkol sa pagpapanatili at pangangalaga ng minanang ari-arian. Ang mga obligasyong ito ay nagmumula sa mga prinsipyo ng co-ownership at sa mga pangkalahatang tungkulin na ipinataw ng batas"&amp;". Narito ang ilang pangunahing legal na obligasyon:
1. **Mga Kontribusyon sa Mga Kinakailangang Gastos:**
- Ang mga kapwa may-ari, kabilang ang mga tagapagmana, ay karaniwang kinakailangan na mag-ambag sa mga kinakailangang gastos para sa pangangalaga at "&amp;"pagpapanatili ng ari-arian. Kabilang dito ang mga gastos para sa pag-aayos, buwis, at iba pang mga singil na mahalaga para mapanatiling nasa mabuting kondisyon ang ari-arian.
2. **Makatarungang Paggamit at Kasiyahan:**
- Ang mga tagapagmana ay may karapat"&amp;"an sa makatwirang paggamit at pagtatamasa ng minanang ari-arian. Gayunpaman, dapat nilang gamitin ang karapatang ito sa paraang hindi nakakapinsala sa mga karapatan ng iba pang mga kapwa may-ari.
3. **Consensus sa Mga Pangunahing Desisyon:**
- Ang mga tag"&amp;"apagmana ay dapat humingi ng consensus sa iba pang mga kapwa may-ari sa mga pangunahing desisyon tungkol sa ari-arian. Ito ay partikular na mahalaga pagdating sa mga makabuluhang aksyon tulad ng pagbebenta ng ari-arian o paggawa ng malalaking pagbabago.
4"&amp;". **Legal na Pagsunod:**
- Dapat sumunod ang mga tagapagmana sa lahat ng nauugnay na batas at regulasyon tungkol sa ari-arian, kabilang ang mga batas sa pagsona, mga code ng gusali, at mga regulasyon sa kapaligiran.
5. **Abiso ng Mga Pagbabago:**
- Kung a"&amp;"ng isang tagapagmana ay nagnanais na gumawa ng mga makabuluhang pagbabago sa ari-arian o magsagawa ng malalaking pag-aayos, ipinapayong ipaalam sa iba pang mga kapwa may-ari. Nakakatulong ito na mapanatili ang transparency at tinitiyak na ang mga desisyon"&amp;" ay gagawin nang sama-sama.
6. **Pagbabayad ng Mga Buwis sa Ari-arian:**
- Ang mga tagapagmana ay may pananagutan sa pagtiyak na ang mga buwis sa ari-arian ay nababayaran kaagad. Ang pagkabigong magbayad ng mga buwis sa ari-arian ay maaaring humantong sa "&amp;"mga legal na kahihinatnan at maaaring makaapekto sa pagsasaayos ng co-ownership.
7. **Pagpapanatili ng Mga Karaniwang Lugar:**
- Kung ang minanang ari-arian ay may mga karaniwang lugar o shared facility, ang mga tagapagmana ay karaniwang kinakailangang ma"&amp;"g-ambag sa pagpapanatili ng mga lugar na ito. Maaaring kabilang dito ang mga hardin, driveway, o iba pang shared space.
8. **Pagsunod sa Mga Batas sa Pangkapaligiran:**
- Ang mga tagapagmana ay dapat sumunod sa mga batas at regulasyon sa kapaligiran, na t"&amp;"initiyak na ang ari-arian ay hindi ginagamit sa paraang lumalabag sa mga pamantayan sa kapaligiran.
9. **Pag-iwas sa Basura o Pagkasira:**
- Obligado ang mga tagapagmana na iwasan ang pag-aaksaya o pagkasira ng ari-arian. Anumang mga aksyon na maaaring ma"&amp;"kabuluhang magpababa ng halaga o makapinsala sa ari-arian ay maaaring sumailalim sa legal na pagsusuri.
10. **Resolution of Disputes:**
- Sa kaso ng mga hindi pagkakasundo sa pagitan ng mga kapwa may-ari, kabilang ang mga tagapagmana, ang mga legal na mek"&amp;"anismo ay magagamit para sa paglutas ng mga hindi pagkakaunawaan. Maaaring kabilang dito ang paghingi ng legal na payo, pamamagitan, o, sa matinding mga kaso, paggamit ng mga legal na aksyon tulad ng partition upang hatiin ang ari-arian.
Mahalaga para sa "&amp;"mga tagapagmana na magkaroon ng kamalayan sa kanilang mga legal na obligasyon, epektibong makipag-ugnayan sa ibang mga kapwa may-ari, at humingi ng legal na payo kung kinakailangan upang matiyak ang pagsunod sa mga batas at regulasyon ng Pilipinas. Ang pa"&amp;"gkonsulta sa isang abogado na dalubhasa sa mga usapin sa real estate at pamana ay maaaring magbigay ng gabay na angkop sa partikular na sitwasyon.")</f>
        <v>Ang mga tagapagmana sa Pilipinas ay may ilang legal na obligasyon tungkol sa pagpapanatili at pangangalaga ng minanang ari-arian. Ang mga obligasyong ito ay nagmumula sa mga prinsipyo ng co-ownership at sa mga pangkalahatang tungkulin na ipinataw ng batas. Narito ang ilang pangunahing legal na obligasyon:
1. **Mga Kontribusyon sa Mga Kinakailangang Gastos:**
- Ang mga kapwa may-ari, kabilang ang mga tagapagmana, ay karaniwang kinakailangan na mag-ambag sa mga kinakailangang gastos para sa pangangalaga at pagpapanatili ng ari-arian. Kabilang dito ang mga gastos para sa pag-aayos, buwis, at iba pang mga singil na mahalaga para mapanatiling nasa mabuting kondisyon ang ari-arian.
2. **Makatarungang Paggamit at Kasiyahan:**
- Ang mga tagapagmana ay may karapatan sa makatwirang paggamit at pagtatamasa ng minanang ari-arian. Gayunpaman, dapat nilang gamitin ang karapatang ito sa paraang hindi nakakapinsala sa mga karapatan ng iba pang mga kapwa may-ari.
3. **Consensus sa Mga Pangunahing Desisyon:**
- Ang mga tagapagmana ay dapat humingi ng consensus sa iba pang mga kapwa may-ari sa mga pangunahing desisyon tungkol sa ari-arian. Ito ay partikular na mahalaga pagdating sa mga makabuluhang aksyon tulad ng pagbebenta ng ari-arian o paggawa ng malalaking pagbabago.
4. **Legal na Pagsunod:**
- Dapat sumunod ang mga tagapagmana sa lahat ng nauugnay na batas at regulasyon tungkol sa ari-arian, kabilang ang mga batas sa pagsona, mga code ng gusali, at mga regulasyon sa kapaligiran.
5. **Abiso ng Mga Pagbabago:**
- Kung ang isang tagapagmana ay nagnanais na gumawa ng mga makabuluhang pagbabago sa ari-arian o magsagawa ng malalaking pag-aayos, ipinapayong ipaalam sa iba pang mga kapwa may-ari. Nakakatulong ito na mapanatili ang transparency at tinitiyak na ang mga desisyon ay gagawin nang sama-sama.
6. **Pagbabayad ng Mga Buwis sa Ari-arian:**
- Ang mga tagapagmana ay may pananagutan sa pagtiyak na ang mga buwis sa ari-arian ay nababayaran kaagad. Ang pagkabigong magbayad ng mga buwis sa ari-arian ay maaaring humantong sa mga legal na kahihinatnan at maaaring makaapekto sa pagsasaayos ng co-ownership.
7. **Pagpapanatili ng Mga Karaniwang Lugar:**
- Kung ang minanang ari-arian ay may mga karaniwang lugar o shared facility, ang mga tagapagmana ay karaniwang kinakailangang mag-ambag sa pagpapanatili ng mga lugar na ito. Maaaring kabilang dito ang mga hardin, driveway, o iba pang shared space.
8. **Pagsunod sa Mga Batas sa Pangkapaligiran:**
- Ang mga tagapagmana ay dapat sumunod sa mga batas at regulasyon sa kapaligiran, na tinitiyak na ang ari-arian ay hindi ginagamit sa paraang lumalabag sa mga pamantayan sa kapaligiran.
9. **Pag-iwas sa Basura o Pagkasira:**
- Obligado ang mga tagapagmana na iwasan ang pag-aaksaya o pagkasira ng ari-arian. Anumang mga aksyon na maaaring makabuluhang magpababa ng halaga o makapinsala sa ari-arian ay maaaring sumailalim sa legal na pagsusuri.
10. **Resolution of Disputes:**
- Sa kaso ng mga hindi pagkakasundo sa pagitan ng mga kapwa may-ari, kabilang ang mga tagapagmana, ang mga legal na mekanismo ay magagamit para sa paglutas ng mga hindi pagkakaunawaan. Maaaring kabilang dito ang paghingi ng legal na payo, pamamagitan, o, sa matinding mga kaso, paggamit ng mga legal na aksyon tulad ng partition upang hatiin ang ari-arian.
Mahalaga para sa mga tagapagmana na magkaroon ng kamalayan sa kanilang mga legal na obligasyon, epektibong makipag-ugnayan sa ibang mga kapwa may-ari, at humingi ng legal na payo kung kinakailangan upang matiyak ang pagsunod sa mga batas at regulasyon ng Pilipinas. Ang pagkonsulta sa isang abogado na dalubhasa sa mga usapin sa real estate at pamana ay maaaring magbigay ng gabay na angkop sa partikular na sitwasyon.</v>
      </c>
      <c r="F473" s="2">
        <f t="shared" si="1"/>
        <v>0</v>
      </c>
      <c r="G473" s="2"/>
      <c r="H473" s="2"/>
      <c r="I473" s="2"/>
      <c r="J473" s="2"/>
      <c r="K473" s="2"/>
      <c r="L473" s="2"/>
      <c r="M473" s="2"/>
      <c r="N473" s="2"/>
      <c r="O473" s="2"/>
      <c r="P473" s="2"/>
      <c r="Q473" s="2"/>
      <c r="R473" s="2"/>
      <c r="S473" s="2"/>
      <c r="T473" s="2"/>
      <c r="U473" s="2"/>
      <c r="V473" s="2"/>
      <c r="W473" s="2"/>
      <c r="X473" s="2"/>
      <c r="Y473" s="2"/>
      <c r="Z473" s="2"/>
      <c r="AA473" s="2"/>
    </row>
    <row r="474">
      <c r="A474" s="1" t="s">
        <v>1224</v>
      </c>
      <c r="B474" s="1" t="s">
        <v>1684</v>
      </c>
      <c r="C474" s="1" t="s">
        <v>1685</v>
      </c>
      <c r="D474" s="1" t="s">
        <v>1686</v>
      </c>
      <c r="E474" s="2" t="str">
        <f>IFERROR(__xludf.DUMMYFUNCTION("GOOGLETRANSLATE(C474, ""en"", ""TL"")"),"Sa Pilipinas, ang mga pamana ng ari-arian na napapailalim sa mga regulasyon o mga paghihigpit sa kapaligiran ay pinamamahalaan gamit ang dalawang pronged approach, na isinasaalang-alang ang parehong mga batas sa kapaligiran ng Pilipinas at ang proseso ng "&amp;"mana:
**1. Mga Regulasyon at Paghihigpit sa Kapaligiran:**
* **Mga Batas sa Kapaligiran:** Ang Pilipinas ay may iba't ibang mga batas sa kapaligiran na maaaring magpataw ng mga regulasyon o paghihigpit sa paggamit ng ari-arian. Ang ilang mga susi ay kinab"&amp;"ibilangan ng:
* **Ang Ecological Solid Waste Management Act (Republic Act No. 9003):** Ang batas na ito ay kinokontrol ang pamamahala ng solid waste, na maaaring makaapekto sa kung paano magagamit ang ilang partikular na ari-arian. * **Ang Clean Water Act"&amp;" (Presidential Decree No. 1181):** Pinoprotektahan ng batas na ito ang kalidad ng tubig at maaaring paghigpitan ang mga aktibidad sa mga ari-arian na malapit sa mga anyong tubig.
* **Ang Forestry Reform Act (Republic Act No. 7161):** Ang batas na ito ay k"&amp;"inokontrol ang paggamit ng mga lupain sa kagubatan, na maaaring limitahan ang pag-unlad sa minanang ari-arian.
* **Epekto sa Pamamahala:** Ang mga partikular na regulasyon o paghihigpit sa kapaligiran ang magdidikta kung paano mapapamahalaan ang minanang "&amp;"ari-arian. Maaaring kabilang dito ang:
* **Pagkuha ng mga permit o lisensya** para sa ilang partikular na aktibidad sa property.
* **Pagsunod sa partikular na pagtatapon ng basura** o mga hakbang sa pagkontrol sa polusyon.
* **Pagsunod sa mga paghihigpit "&amp;"sa pagpapaunlad** o paggamit ng lupa.
**2. Proseso ng Pamana:**
* **Pagsisiwalat at Marapat na Pagsisikap:** Sa panahon ng proseso ng pagmamana, dapat ipaalam sa mga tagapagmana ang tungkol sa anumang mga regulasyon sa kapaligiran o mga paghihigpit na nak"&amp;"alakip sa ari-arian. Ito ay maaaring gawin sa pamamagitan ng kalooban (kung mayroon man) o sa pamamagitan ng pagsisiwalat ng mga kaugnay na dokumento.
* **Mga Desisyon sa Pamamahala:** Ang mga tagapagmana ay kailangang magpasya kung paano pamahalaan ang a"&amp;"ri-arian na isinasaalang-alang ang mga paghihigpit sa kapaligiran. Maaaring kabilang sa mga opsyon ang:
* **Pagbebenta ng ari-arian:** Kung ang mga paghihigpit ay nagpapahirap sa pag-unlad o paggamit, ang pagbebenta ay maaaring isang opsyon.
* **Naghahana"&amp;"p ng pagbabago ng mga paghihigpit:** Sa ilang mga kaso, maaaring posibleng humingi ng pagbabago ng mga paghihigpit mula sa nauugnay na ahensya ng gobyerno. Mangangailangan ito ng pagbibigay-katwiran at pagsunod sa isang partikular na proseso.
* **Pagsunod"&amp;" sa mga paghihigpit:** Maaaring piliin ng mga tagapagmana na sumunod sa mga paghihigpit at pamahalaan ang ari-arian sa paraang sumusunod sa mga regulasyon sa kapaligiran.
**Mahahalagang Pagsasaalang-alang:**
* **Propesyonal na Tulong:** Ang pagkonsulta sa"&amp;" isang environmental lawyer ay maaaring maging mahalaga sa pag-unawa sa mga partikular na regulasyon na nakakaapekto sa ari-arian at paggalugad ng mga opsyon para sa pamamahala. * **Mga Gastos sa Pagsunod:** Ang pagsunod sa mga regulasyon sa kapaligiran a"&amp;"y maaaring may kasamang mga karagdagang gastos para sa mga bagay tulad ng mga hakbang sa pagkontrol ng polusyon o pagtatapon ng basura. Dapat itong isama ng mga tagapagmana sa kanilang paggawa ng desisyon.
Sa pamamagitan ng pag-unawa sa mga regulasyong pa"&amp;"ngkapaligiran at sa proseso ng pagmamana, epektibong mapapamahalaan ng mga tagapagmana ang minanang ari-arian na napapailalim sa mga paghihigpit sa kapaligiran.")</f>
        <v>Sa Pilipinas, ang mga pamana ng ari-arian na napapailalim sa mga regulasyon o mga paghihigpit sa kapaligiran ay pinamamahalaan gamit ang dalawang pronged approach, na isinasaalang-alang ang parehong mga batas sa kapaligiran ng Pilipinas at ang proseso ng mana:
**1. Mga Regulasyon at Paghihigpit sa Kapaligiran:**
* **Mga Batas sa Kapaligiran:** Ang Pilipinas ay may iba't ibang mga batas sa kapaligiran na maaaring magpataw ng mga regulasyon o paghihigpit sa paggamit ng ari-arian. Ang ilang mga susi ay kinabibilangan ng:
* **Ang Ecological Solid Waste Management Act (Republic Act No. 9003):** Ang batas na ito ay kinokontrol ang pamamahala ng solid waste, na maaaring makaapekto sa kung paano magagamit ang ilang partikular na ari-arian. * **Ang Clean Water Act (Presidential Decree No. 1181):** Pinoprotektahan ng batas na ito ang kalidad ng tubig at maaaring paghigpitan ang mga aktibidad sa mga ari-arian na malapit sa mga anyong tubig.
* **Ang Forestry Reform Act (Republic Act No. 7161):** Ang batas na ito ay kinokontrol ang paggamit ng mga lupain sa kagubatan, na maaaring limitahan ang pag-unlad sa minanang ari-arian.
* **Epekto sa Pamamahala:** Ang mga partikular na regulasyon o paghihigpit sa kapaligiran ang magdidikta kung paano mapapamahalaan ang minanang ari-arian. Maaaring kabilang dito ang:
* **Pagkuha ng mga permit o lisensya** para sa ilang partikular na aktibidad sa property.
* **Pagsunod sa partikular na pagtatapon ng basura** o mga hakbang sa pagkontrol sa polusyon.
* **Pagsunod sa mga paghihigpit sa pagpapaunlad** o paggamit ng lupa.
**2. Proseso ng Pamana:**
* **Pagsisiwalat at Marapat na Pagsisikap:** Sa panahon ng proseso ng pagmamana, dapat ipaalam sa mga tagapagmana ang tungkol sa anumang mga regulasyon sa kapaligiran o mga paghihigpit na nakalakip sa ari-arian. Ito ay maaaring gawin sa pamamagitan ng kalooban (kung mayroon man) o sa pamamagitan ng pagsisiwalat ng mga kaugnay na dokumento.
* **Mga Desisyon sa Pamamahala:** Ang mga tagapagmana ay kailangang magpasya kung paano pamahalaan ang ari-arian na isinasaalang-alang ang mga paghihigpit sa kapaligiran. Maaaring kabilang sa mga opsyon ang:
* **Pagbebenta ng ari-arian:** Kung ang mga paghihigpit ay nagpapahirap sa pag-unlad o paggamit, ang pagbebenta ay maaaring isang opsyon.
* **Naghahanap ng pagbabago ng mga paghihigpit:** Sa ilang mga kaso, maaaring posibleng humingi ng pagbabago ng mga paghihigpit mula sa nauugnay na ahensya ng gobyerno. Mangangailangan ito ng pagbibigay-katwiran at pagsunod sa isang partikular na proseso.
* **Pagsunod sa mga paghihigpit:** Maaaring piliin ng mga tagapagmana na sumunod sa mga paghihigpit at pamahalaan ang ari-arian sa paraang sumusunod sa mga regulasyon sa kapaligiran.
**Mahahalagang Pagsasaalang-alang:**
* **Propesyonal na Tulong:** Ang pagkonsulta sa isang environmental lawyer ay maaaring maging mahalaga sa pag-unawa sa mga partikular na regulasyon na nakakaapekto sa ari-arian at paggalugad ng mga opsyon para sa pamamahala. * **Mga Gastos sa Pagsunod:** Ang pagsunod sa mga regulasyon sa kapaligiran ay maaaring may kasamang mga karagdagang gastos para sa mga bagay tulad ng mga hakbang sa pagkontrol ng polusyon o pagtatapon ng basura. Dapat itong isama ng mga tagapagmana sa kanilang paggawa ng desisyon.
Sa pamamagitan ng pag-unawa sa mga regulasyong pangkapaligiran at sa proseso ng pagmamana, epektibong mapapamahalaan ng mga tagapagmana ang minanang ari-arian na napapailalim sa mga paghihigpit sa kapaligiran.</v>
      </c>
      <c r="F474" s="2">
        <f t="shared" si="1"/>
        <v>0</v>
      </c>
      <c r="G474" s="2"/>
      <c r="H474" s="2"/>
      <c r="I474" s="2"/>
      <c r="J474" s="2"/>
      <c r="K474" s="2"/>
      <c r="L474" s="2"/>
      <c r="M474" s="2"/>
      <c r="N474" s="2"/>
      <c r="O474" s="2"/>
      <c r="P474" s="2"/>
      <c r="Q474" s="2"/>
      <c r="R474" s="2"/>
      <c r="S474" s="2"/>
      <c r="T474" s="2"/>
      <c r="U474" s="2"/>
      <c r="V474" s="2"/>
      <c r="W474" s="2"/>
      <c r="X474" s="2"/>
      <c r="Y474" s="2"/>
      <c r="Z474" s="2"/>
      <c r="AA474" s="2"/>
    </row>
    <row r="475">
      <c r="A475" s="1" t="s">
        <v>1224</v>
      </c>
      <c r="B475" s="1" t="s">
        <v>1687</v>
      </c>
      <c r="C475" s="1" t="s">
        <v>1688</v>
      </c>
      <c r="D475" s="1" t="s">
        <v>1689</v>
      </c>
      <c r="E475" s="2" t="str">
        <f>IFERROR(__xludf.DUMMYFUNCTION("GOOGLETRANSLATE(C475, ""en"", ""TL"")"),"Ang pagmamana ng ari-arian na may mga kasalukuyang kasunduan sa pag-upa o mga nangungupahan sa Pilipinas ay may ilang legal na implikasyon para sa bagong may-ari, gaya ng nakabalangkas sa ibaba:
**Paggalang sa mga Umiiral na Kasunduan sa Pagpapaupa:**
* *"&amp;"*Paggalang sa Mga Tuntunin:** Ikaw, bilang bagong may-ari, ay legal na obligado na igalang ang mga kasalukuyang kasunduan sa pag-upa sa mga nangungupahan. Kabilang dito ang:
* Halaga ng upa at iskedyul ng pagbabayad ayon sa itinakda sa kasunduan.
* Tagal "&amp;"ng pag-upa gaya ng tinukoy sa kasunduan (fixed-term o open-ended).
* Mga karapatan at obligasyon na nakabalangkas sa kasunduan, tulad ng mga responsibilidad sa pagpapanatili at mga karapatan ng nangungupahan.
* **Mga Pagbubukod:** Ang kasunduan ay maaarin"&amp;"g maging walang bisa sa mga partikular na sitwasyon, gaya ng:
* **Paglabag sa materyal ng nangungupahan:** Kung lumabag ang nangungupahan sa mahahalagang tuntunin (hal., hindi pagbabayad ng upa, pinsala sa ari-arian na lampas sa normal na pagkasira). Gayu"&amp;"npaman, maaaring kailanganin pa rin ang isang legal na proseso para sa pagpapaalis.
* **Pag-expire ng fixed-term lease:** Kung ang kasunduan ay fixed-term lease at mag-expire, maaari kang muling makipag-ayos sa mga tuntunin sa nangungupahan o humingi ng b"&amp;"agong nangungupahan sa pagtatapos ng lease.
**Komunikasyon sa mga Nangungupahan:**
* **Ipakilala ang Iyong Sarili:** Maipapayo na ipakilala ang iyong sarili sa mga nangungupahan bilang bagong may-ari at ipaalam sa kanila ang mana. Nagtatatag ito ng channe"&amp;"l ng komunikasyon at nagtatayo ng tiwala.
* **Magbigay ng Impormasyon sa Pakikipag-ugnayan:** Ibahagi ang iyong impormasyon sa pakikipag-ugnayan sa mga nangungupahan kung sakaling mayroon silang anumang mga katanungan o alalahanin tungkol sa ari-arian o k"&amp;"asunduan sa pag-upa.
**Pagsusuri sa Mga Kasunduan:**
* **Suriin ang Mga Tuntunin:** Maingat na suriin ang umiiral na mga kasunduan sa pagrenta upang maunawaan ang mga detalye tulad ng halaga ng upa, tagal ng pag-upa, at mga responsibilidad sa pagpapanatil"&amp;"i. Makakatulong ito sa iyong matukoy kung kailangan ang mga pagsasaayos sa pag-renew.
* **Humingi ng Legal na Payo:** Isaalang-alang ang pagkonsulta sa isang abogado na dalubhasa sa batas ng landlord-tenant upang suriin ang mga kasunduan at payuhan ang iy"&amp;"ong mga karapatan at obligasyon bilang bagong may-ari. **Mga Pagsasaalang-alang sa Hinaharap:**
* **Renewal ng Lease:** Kapag ang umiiral na lease ay nag-expire, maaari mong piliin na:
* **Muling makipag-ayos sa mga kasalukuyang nangungupahan:** Maaari ka"&amp;"ng makipag-ayos ng mga bagong tuntunin sa kasalukuyang mga nangungupahan batay sa mga presyo sa merkado at iyong mga kagustuhan.
* **Humanap ng mga bagong nangungupahan:** Maaari kang mag-advertise para sa mga bagong nangungupahan at mag-alok ng bagong ka"&amp;"sunduan sa pag-upa kasama ng iyong mga gustong tuntunin.
* **Mga Pagbabago sa Ari-arian:** Ang paggawa ng mga makabuluhang pagbabago sa ari-arian ay nangangailangan ng maingat na pagsasaalang-alang, lalo na kung ang mga kasunduan ay may mga sugnay tungkol"&amp;" sa mga pagbabago. * Pinakamainam na makipag-usap nang maaga sa anumang nakaplanong pagsasaayos sa mga nangungupahan at posibleng mag-alok ng pansamantalang tirahan kung kinakailangan.
Tandaan, ang pagmamana ng ari-arian kasama ng mga nangungupahan ay nan"&amp;"gangailangan sa iyo na kumilos bilang isang landlord at sumunod sa mga nauugnay na batas. Ang pagsunod sa mga alituntuning ito at paghingi ng legal na payo kung kinakailangan ay makakasiguro ng maayos na paglipat para sa iyo at sa mga kasalukuyang nangung"&amp;"upahan.")</f>
        <v>Ang pagmamana ng ari-arian na may mga kasalukuyang kasunduan sa pag-upa o mga nangungupahan sa Pilipinas ay may ilang legal na implikasyon para sa bagong may-ari, gaya ng nakabalangkas sa ibaba:
**Paggalang sa mga Umiiral na Kasunduan sa Pagpapaupa:**
* **Paggalang sa Mga Tuntunin:** Ikaw, bilang bagong may-ari, ay legal na obligado na igalang ang mga kasalukuyang kasunduan sa pag-upa sa mga nangungupahan. Kabilang dito ang:
* Halaga ng upa at iskedyul ng pagbabayad ayon sa itinakda sa kasunduan.
* Tagal ng pag-upa gaya ng tinukoy sa kasunduan (fixed-term o open-ended).
* Mga karapatan at obligasyon na nakabalangkas sa kasunduan, tulad ng mga responsibilidad sa pagpapanatili at mga karapatan ng nangungupahan.
* **Mga Pagbubukod:** Ang kasunduan ay maaaring maging walang bisa sa mga partikular na sitwasyon, gaya ng:
* **Paglabag sa materyal ng nangungupahan:** Kung lumabag ang nangungupahan sa mahahalagang tuntunin (hal., hindi pagbabayad ng upa, pinsala sa ari-arian na lampas sa normal na pagkasira). Gayunpaman, maaaring kailanganin pa rin ang isang legal na proseso para sa pagpapaalis.
* **Pag-expire ng fixed-term lease:** Kung ang kasunduan ay fixed-term lease at mag-expire, maaari kang muling makipag-ayos sa mga tuntunin sa nangungupahan o humingi ng bagong nangungupahan sa pagtatapos ng lease.
**Komunikasyon sa mga Nangungupahan:**
* **Ipakilala ang Iyong Sarili:** Maipapayo na ipakilala ang iyong sarili sa mga nangungupahan bilang bagong may-ari at ipaalam sa kanila ang mana. Nagtatatag ito ng channel ng komunikasyon at nagtatayo ng tiwala.
* **Magbigay ng Impormasyon sa Pakikipag-ugnayan:** Ibahagi ang iyong impormasyon sa pakikipag-ugnayan sa mga nangungupahan kung sakaling mayroon silang anumang mga katanungan o alalahanin tungkol sa ari-arian o kasunduan sa pag-upa.
**Pagsusuri sa Mga Kasunduan:**
* **Suriin ang Mga Tuntunin:** Maingat na suriin ang umiiral na mga kasunduan sa pagrenta upang maunawaan ang mga detalye tulad ng halaga ng upa, tagal ng pag-upa, at mga responsibilidad sa pagpapanatili. Makakatulong ito sa iyong matukoy kung kailangan ang mga pagsasaayos sa pag-renew.
* **Humingi ng Legal na Payo:** Isaalang-alang ang pagkonsulta sa isang abogado na dalubhasa sa batas ng landlord-tenant upang suriin ang mga kasunduan at payuhan ang iyong mga karapatan at obligasyon bilang bagong may-ari. **Mga Pagsasaalang-alang sa Hinaharap:**
* **Renewal ng Lease:** Kapag ang umiiral na lease ay nag-expire, maaari mong piliin na:
* **Muling makipag-ayos sa mga kasalukuyang nangungupahan:** Maaari kang makipag-ayos ng mga bagong tuntunin sa kasalukuyang mga nangungupahan batay sa mga presyo sa merkado at iyong mga kagustuhan.
* **Humanap ng mga bagong nangungupahan:** Maaari kang mag-advertise para sa mga bagong nangungupahan at mag-alok ng bagong kasunduan sa pag-upa kasama ng iyong mga gustong tuntunin.
* **Mga Pagbabago sa Ari-arian:** Ang paggawa ng mga makabuluhang pagbabago sa ari-arian ay nangangailangan ng maingat na pagsasaalang-alang, lalo na kung ang mga kasunduan ay may mga sugnay tungkol sa mga pagbabago. * Pinakamainam na makipag-usap nang maaga sa anumang nakaplanong pagsasaayos sa mga nangungupahan at posibleng mag-alok ng pansamantalang tirahan kung kinakailangan.
Tandaan, ang pagmamana ng ari-arian kasama ng mga nangungupahan ay nangangailangan sa iyo na kumilos bilang isang landlord at sumunod sa mga nauugnay na batas. Ang pagsunod sa mga alituntuning ito at paghingi ng legal na payo kung kinakailangan ay makakasiguro ng maayos na paglipat para sa iyo at sa mga kasalukuyang nangungupahan.</v>
      </c>
      <c r="F475" s="2">
        <f t="shared" si="1"/>
        <v>0</v>
      </c>
      <c r="G475" s="2"/>
      <c r="H475" s="2"/>
      <c r="I475" s="2"/>
      <c r="J475" s="2"/>
      <c r="K475" s="2"/>
      <c r="L475" s="2"/>
      <c r="M475" s="2"/>
      <c r="N475" s="2"/>
      <c r="O475" s="2"/>
      <c r="P475" s="2"/>
      <c r="Q475" s="2"/>
      <c r="R475" s="2"/>
      <c r="S475" s="2"/>
      <c r="T475" s="2"/>
      <c r="U475" s="2"/>
      <c r="V475" s="2"/>
      <c r="W475" s="2"/>
      <c r="X475" s="2"/>
      <c r="Y475" s="2"/>
      <c r="Z475" s="2"/>
      <c r="AA475" s="2"/>
    </row>
    <row r="476">
      <c r="A476" s="1" t="s">
        <v>1224</v>
      </c>
      <c r="B476" s="1" t="s">
        <v>1690</v>
      </c>
      <c r="C476" s="1" t="s">
        <v>1691</v>
      </c>
      <c r="D476" s="1" t="s">
        <v>1692</v>
      </c>
      <c r="E476" s="2" t="str">
        <f>IFERROR(__xludf.DUMMYFUNCTION("GOOGLETRANSLATE(C476, ""en"", ""TL"")"),"Ang pagmamana ng ari-arian na napapailalim sa mga tuntunin ng homeowners' association (HOA) ay nagpapakilala ng mga karagdagang legal na pagsasaalang-alang, dahil ang mga tagapagmana ay kailangang sumunod sa mga regulasyon at kasunduan na itinakda ng asos"&amp;"asyon ng mga may-ari ng bahay. Narito ang gabay sa mga legal na aspeto ng pagmamana ng naturang ari-arian:
1. **Suriin ang HOA Documents:**
- Masusing suriin ang mga dokumento ng asosasyon ng mga may-ari ng bahay, kabilang ang mga tipan, kundisyon, at pag"&amp;"hihigpit (CC&amp;R) at mga tuntunin. Binabalangkas ng mga dokumentong ito ang mga tuntunin at regulasyon na namamahala sa komunidad at sa ari-arian.
2. **Abiso sa HOA:**
- Ipaalam sa asosasyon ng mga may-ari ng bahay ang pagbabago sa pagmamay-ari dahil sa man"&amp;"a. Ibigay sa kanila ang kinakailangang dokumentasyon, tulad ng kopya ng death certificate at anumang legal na dokumentong nagpapatunay sa pagmamay-ari ng mga tagapagmana.
3. **Pagsunod sa Mga Panuntunan ng HOA:**
- Tiyakin ang mahigpit na pagsunod sa mga "&amp;"tuntunin at regulasyon ng HOA. Maaaring kabilang dito ang mga panuntunang nauugnay sa pagpapanatili ng ari-arian, mga pagbabago sa arkitektura, at paggamit ng mga karaniwang lugar. Ang pagkabigong sumunod ay maaaring humantong sa mga parusa o legal na aks"&amp;"yon ng asosasyon.
4. **Paglipat ng Membership:**
- Kung ang HOA membership ay nauugnay sa property, ang mga tagapagmana ay dapat magtanong tungkol sa proseso ng paglilipat ng membership sa mga bagong may-ari. Maaaring kabilang dito ang pagsusumite ng ilan"&amp;"g mga dokumento sa asosasyon ng mga may-ari ng bahay.
5. **Pagbabayad ng Mga Bayarin sa HOA:**
- Ipagpatuloy ang pagbabayad kaagad ng mga bayarin sa asosasyon ng mga may-ari ng bahay at mga pagtatasa. Ang hindi pagbabayad ay maaaring magresulta sa mga par"&amp;"usa o paghihigpit sa paggamit ng mga karaniwang pasilidad. Magkaroon ng kamalayan sa anumang hindi pa nababayarang bayarin o dapat bayaran mula sa namatay na may-ari.
6. **Paglahok sa HOA Meetings:**
- Dumalo sa mga pulong ng asosasyon ng mga may-ari ng b"&amp;"ahay, kung kinakailangan o pinapayagan. Ito ay isang pagkakataon upang manatiling may kaalaman tungkol sa anumang mga pagbabago sa mga panuntunan, paparating na mga pagtatasa, o mga usapin sa komunidad.
7. **Mga Pag-apruba sa Arkitektura:**
- Kung ang ari"&amp;"-arian ay napapailalim sa mga alituntunin sa arkitektura, humingi ng pag-apruba mula sa asosasyon ng mga may-ari ng bahay bago gumawa ng anumang mga pagbabago o pagdaragdag sa istruktura. Ang pagkabigong makakuha ng pag-apruba ay maaaring magresulta sa mg"&amp;"a multa o pangangailangang baligtarin ang mga pagbabago.
8. **Mga Mekanismo ng Paglutas ng Di-pagkakasundo:**
- Pamilyar ang iyong sarili sa mga mekanismo ng paglutas ng hindi pagkakaunawaan na nakabalangkas sa mga dokumento ng HOA. Maaaring kabilang dito"&amp;" ang mga proseso ng pamamagitan o arbitrasyon upang malutas ang mga salungatan sa pagitan ng mga tagapagmana at ng asosasyon ng mga may-ari ng bahay.
9. **Mga Kapangyarihan sa Pagpapatupad ng HOA:**
- Magkaroon ng kamalayan sa mga kapangyarihan ng pagpapa"&amp;"tupad ng asosasyon ng mga may-ari ng bahay. Maaaring mayroon silang awtoridad na magpataw ng mga multa, magbigay ng mga babala, o gumawa ng legal na aksyon upang ipatupad ang pagsunod sa mga panuntunan.
10. **Legal na Konsultasyon:**
- Kung may mga hindi "&amp;"katiyakan o hindi pagkakaunawaan sa asosasyon ng mga may-ari ng bahay, humingi ng legal na payo. Ang isang abogadong may karanasan sa batas ng ari-arian at mga usapin ng asosasyon ng mga may-ari ng bahay ay maaaring magbigay ng gabay sa pag-navigate sa mg"&amp;"a legal na isyu at pagprotekta sa iyong mga karapatan.
Mahalagang lapitan ang pagmamana ng ari-arian na napapailalim sa mga tuntunin ng asosasyon ng mga may-ari ng bahay nang may masusing pag-unawa sa mga obligasyon at responsibilidad na nakabalangkas sa "&amp;"mga dokumentong namamahala. Ang pagsunod sa mga panuntunang ito ay nakakatulong na mapanatili ang isang maayos na relasyon sa komunidad at maiwasan ang mga potensyal na legal na komplikasyon.")</f>
        <v>Ang pagmamana ng ari-arian na napapailalim sa mga tuntunin ng homeowners' association (HOA) ay nagpapakilala ng mga karagdagang legal na pagsasaalang-alang, dahil ang mga tagapagmana ay kailangang sumunod sa mga regulasyon at kasunduan na itinakda ng asosasyon ng mga may-ari ng bahay. Narito ang gabay sa mga legal na aspeto ng pagmamana ng naturang ari-arian:
1. **Suriin ang HOA Documents:**
- Masusing suriin ang mga dokumento ng asosasyon ng mga may-ari ng bahay, kabilang ang mga tipan, kundisyon, at paghihigpit (CC&amp;R) at mga tuntunin. Binabalangkas ng mga dokumentong ito ang mga tuntunin at regulasyon na namamahala sa komunidad at sa ari-arian.
2. **Abiso sa HOA:**
- Ipaalam sa asosasyon ng mga may-ari ng bahay ang pagbabago sa pagmamay-ari dahil sa mana. Ibigay sa kanila ang kinakailangang dokumentasyon, tulad ng kopya ng death certificate at anumang legal na dokumentong nagpapatunay sa pagmamay-ari ng mga tagapagmana.
3. **Pagsunod sa Mga Panuntunan ng HOA:**
- Tiyakin ang mahigpit na pagsunod sa mga tuntunin at regulasyon ng HOA. Maaaring kabilang dito ang mga panuntunang nauugnay sa pagpapanatili ng ari-arian, mga pagbabago sa arkitektura, at paggamit ng mga karaniwang lugar. Ang pagkabigong sumunod ay maaaring humantong sa mga parusa o legal na aksyon ng asosasyon.
4. **Paglipat ng Membership:**
- Kung ang HOA membership ay nauugnay sa property, ang mga tagapagmana ay dapat magtanong tungkol sa proseso ng paglilipat ng membership sa mga bagong may-ari. Maaaring kabilang dito ang pagsusumite ng ilang mga dokumento sa asosasyon ng mga may-ari ng bahay.
5. **Pagbabayad ng Mga Bayarin sa HOA:**
- Ipagpatuloy ang pagbabayad kaagad ng mga bayarin sa asosasyon ng mga may-ari ng bahay at mga pagtatasa. Ang hindi pagbabayad ay maaaring magresulta sa mga parusa o paghihigpit sa paggamit ng mga karaniwang pasilidad. Magkaroon ng kamalayan sa anumang hindi pa nababayarang bayarin o dapat bayaran mula sa namatay na may-ari.
6. **Paglahok sa HOA Meetings:**
- Dumalo sa mga pulong ng asosasyon ng mga may-ari ng bahay, kung kinakailangan o pinapayagan. Ito ay isang pagkakataon upang manatiling may kaalaman tungkol sa anumang mga pagbabago sa mga panuntunan, paparating na mga pagtatasa, o mga usapin sa komunidad.
7. **Mga Pag-apruba sa Arkitektura:**
- Kung ang ari-arian ay napapailalim sa mga alituntunin sa arkitektura, humingi ng pag-apruba mula sa asosasyon ng mga may-ari ng bahay bago gumawa ng anumang mga pagbabago o pagdaragdag sa istruktura. Ang pagkabigong makakuha ng pag-apruba ay maaaring magresulta sa mga multa o pangangailangang baligtarin ang mga pagbabago.
8. **Mga Mekanismo ng Paglutas ng Di-pagkakasundo:**
- Pamilyar ang iyong sarili sa mga mekanismo ng paglutas ng hindi pagkakaunawaan na nakabalangkas sa mga dokumento ng HOA. Maaaring kabilang dito ang mga proseso ng pamamagitan o arbitrasyon upang malutas ang mga salungatan sa pagitan ng mga tagapagmana at ng asosasyon ng mga may-ari ng bahay.
9. **Mga Kapangyarihan sa Pagpapatupad ng HOA:**
- Magkaroon ng kamalayan sa mga kapangyarihan ng pagpapatupad ng asosasyon ng mga may-ari ng bahay. Maaaring mayroon silang awtoridad na magpataw ng mga multa, magbigay ng mga babala, o gumawa ng legal na aksyon upang ipatupad ang pagsunod sa mga panuntunan.
10. **Legal na Konsultasyon:**
- Kung may mga hindi katiyakan o hindi pagkakaunawaan sa asosasyon ng mga may-ari ng bahay, humingi ng legal na payo. Ang isang abogadong may karanasan sa batas ng ari-arian at mga usapin ng asosasyon ng mga may-ari ng bahay ay maaaring magbigay ng gabay sa pag-navigate sa mga legal na isyu at pagprotekta sa iyong mga karapatan.
Mahalagang lapitan ang pagmamana ng ari-arian na napapailalim sa mga tuntunin ng asosasyon ng mga may-ari ng bahay nang may masusing pag-unawa sa mga obligasyon at responsibilidad na nakabalangkas sa mga dokumentong namamahala. Ang pagsunod sa mga panuntunang ito ay nakakatulong na mapanatili ang isang maayos na relasyon sa komunidad at maiwasan ang mga potensyal na legal na komplikasyon.</v>
      </c>
      <c r="F476" s="2">
        <f t="shared" si="1"/>
        <v>0</v>
      </c>
      <c r="G476" s="2"/>
      <c r="H476" s="2"/>
      <c r="I476" s="2"/>
      <c r="J476" s="2"/>
      <c r="K476" s="2"/>
      <c r="L476" s="2"/>
      <c r="M476" s="2"/>
      <c r="N476" s="2"/>
      <c r="O476" s="2"/>
      <c r="P476" s="2"/>
      <c r="Q476" s="2"/>
      <c r="R476" s="2"/>
      <c r="S476" s="2"/>
      <c r="T476" s="2"/>
      <c r="U476" s="2"/>
      <c r="V476" s="2"/>
      <c r="W476" s="2"/>
      <c r="X476" s="2"/>
      <c r="Y476" s="2"/>
      <c r="Z476" s="2"/>
      <c r="AA476" s="2"/>
    </row>
    <row r="477">
      <c r="A477" s="1" t="s">
        <v>1224</v>
      </c>
      <c r="B477" s="1" t="s">
        <v>1693</v>
      </c>
      <c r="C477" s="1" t="s">
        <v>1694</v>
      </c>
      <c r="D477" s="1" t="s">
        <v>1695</v>
      </c>
      <c r="E477" s="2" t="str">
        <f>IFERROR(__xludf.DUMMYFUNCTION("GOOGLETRANSLATE(C477, ""en"", ""TL"")"),"Sa Pilipinas, ang pagmamana ng ari-arian na may umiiral na mga permiso sa paggamit ng lupa o mga karapatan ay nagsasangkot ng mga pagsasaalang-alang na may kaugnayan sa paglilipat ng mga permiso o mga karapatan sa mga tagapagmana. Narito ang ilang pangkal"&amp;"ahatang legal na pagsasaalang-alang:
1. **Suriin ang Mga Umiiral na Pahintulot:**
- Dapat suriin ng mga tagapagmana ang umiiral na mga permit sa paggamit ng lupa o mga karapatan na nauugnay sa ari-arian. Maaaring kabilang dito ang mga zoning clearance, bu"&amp;"ilding permit, environmental permit, o anumang iba pang pag-apruba na ipinagkaloob ng mga awtoridad ng gobyerno.
2. **Paglipat ng Pagmamay-ari:**
- Ang ligal na paglipat ng ari-arian sa pamamagitan ng mana ay dapat na maayos na naidokumento. Maaaring kabi"&amp;"lang dito ang pagpapatupad ng Deed of Extra-judicial Settlement of Estate o iba pang legal na instrumento, depende sa mga pangyayari.
3. **Abiso sa Mga Kinauukulang Awtoridad:**
- Ipaalam sa mga may-katuturang awtoridad o ahensya ng gobyerno na nagbigay n"&amp;"g mga kasalukuyang permit tungkol sa pagbabago sa pagmamay-ari dahil sa mana. Ibigay sa kanila ang kinakailangang dokumentasyon, tulad ng patunay ng mana at na-update na mga dokumento ng ari-arian.
4. **Paglipat ng Mga Pahintulot:**
- Sa ilang mga kaso, m"&amp;"aaaring kailanganin ng mga tagapagmana na pormal na mag-aplay para sa paglipat ng mga umiiral na permit o mga karapatan upang ipakita ang pagbabago sa pagmamay-ari. Ang prosesong ito ay karaniwang nagsasangkot ng pagsusumite ng mga kinakailangang dokument"&amp;"o sa mga awtoridad na nagbibigay.
5. **Pagsunod sa Mga Kundisyon:**
- Siguraduhin na ang mga tagapagmana ay alam at handang sumunod sa anumang mga kondisyon o mga kinakailangan na kalakip sa mga umiiral na permit. Ang pagkabigong sumunod sa mga kundisyong"&amp;" ito ay maaaring magresulta sa pagbawi ng mga permit o iba pang legal na kahihinatnan.
6. **Pagsunod sa Kapaligiran:**
- Kung may mga environmental permit ang property, mahalagang sumunod sa mga batas at regulasyon sa kapaligiran. Maaaring kabilang dito a"&amp;"ng pagpapanatili ng ari-arian alinsunod sa mga inaprubahang plano at pagpapagaan ng anumang epekto sa kapaligiran.
7. **Pagsunod sa Arkitektural at Zoning:**
- Kung ang ari-arian ay napapailalim sa mga kinakailangan sa arkitektura o zoning, dapat tiyakin "&amp;"ng mga tagapagmana ang patuloy na pagsunod sa mga regulasyong ito. Humingi ng mga kinakailangang pag-apruba para sa anumang mga pagbabago o pagpapaunlad na maaaring planuhin para sa ari-arian.
8. **Konsultasyon sa mga Awtoridad:**
- Sa ilang mga kaso, maa"&amp;"aring ipinapayong kumonsulta ang mga tagapagmana sa mga may-katuturang awtoridad bago gumawa ng mga makabuluhang pagbabago sa ari-arian o paggamit nito. Makakatulong ito na maiwasan ang mga potensyal na legal na isyu at matiyak na naaayon ang mga pagbabag"&amp;"o sa mga kasalukuyang permit.
9. **Legal na Payo:**
- Dahil sa pagiging kumplikado ng mga regulasyon sa paggamit ng lupa, ang paghingi ng legal na payo ay lubos na inirerekomenda. Kumonsulta sa isang abogado na dalubhasa sa batas ng real estate upang i-na"&amp;"vigate ang mga legal na aspeto ng pagmamana ng ari-arian na may mga umiiral na permit at karapatan.
Mahalaga para sa mga tagapagmana na maging maagap sa pagtugon sa mga legal na implikasyon ng pagmamana ng ari-arian na may mga umiiral na permit o karapata"&amp;"n sa paggamit ng lupa. Ang pakikipagtulungan nang malapit sa mga legal na propesyonal at awtoridad ng gobyerno ay makakatulong na matiyak ang maayos na paglipat at pagsunod sa mga naaangkop na batas at regulasyon.")</f>
        <v>Sa Pilipinas, ang pagmamana ng ari-arian na may umiiral na mga permiso sa paggamit ng lupa o mga karapatan ay nagsasangkot ng mga pagsasaalang-alang na may kaugnayan sa paglilipat ng mga permiso o mga karapatan sa mga tagapagmana. Narito ang ilang pangkalahatang legal na pagsasaalang-alang:
1. **Suriin ang Mga Umiiral na Pahintulot:**
- Dapat suriin ng mga tagapagmana ang umiiral na mga permit sa paggamit ng lupa o mga karapatan na nauugnay sa ari-arian. Maaaring kabilang dito ang mga zoning clearance, building permit, environmental permit, o anumang iba pang pag-apruba na ipinagkaloob ng mga awtoridad ng gobyerno.
2. **Paglipat ng Pagmamay-ari:**
- Ang ligal na paglipat ng ari-arian sa pamamagitan ng mana ay dapat na maayos na naidokumento. Maaaring kabilang dito ang pagpapatupad ng Deed of Extra-judicial Settlement of Estate o iba pang legal na instrumento, depende sa mga pangyayari.
3. **Abiso sa Mga Kinauukulang Awtoridad:**
- Ipaalam sa mga may-katuturang awtoridad o ahensya ng gobyerno na nagbigay ng mga kasalukuyang permit tungkol sa pagbabago sa pagmamay-ari dahil sa mana. Ibigay sa kanila ang kinakailangang dokumentasyon, tulad ng patunay ng mana at na-update na mga dokumento ng ari-arian.
4. **Paglipat ng Mga Pahintulot:**
- Sa ilang mga kaso, maaaring kailanganin ng mga tagapagmana na pormal na mag-aplay para sa paglipat ng mga umiiral na permit o mga karapatan upang ipakita ang pagbabago sa pagmamay-ari. Ang prosesong ito ay karaniwang nagsasangkot ng pagsusumite ng mga kinakailangang dokumento sa mga awtoridad na nagbibigay.
5. **Pagsunod sa Mga Kundisyon:**
- Siguraduhin na ang mga tagapagmana ay alam at handang sumunod sa anumang mga kondisyon o mga kinakailangan na kalakip sa mga umiiral na permit. Ang pagkabigong sumunod sa mga kundisyong ito ay maaaring magresulta sa pagbawi ng mga permit o iba pang legal na kahihinatnan.
6. **Pagsunod sa Kapaligiran:**
- Kung may mga environmental permit ang property, mahalagang sumunod sa mga batas at regulasyon sa kapaligiran. Maaaring kabilang dito ang pagpapanatili ng ari-arian alinsunod sa mga inaprubahang plano at pagpapagaan ng anumang epekto sa kapaligiran.
7. **Pagsunod sa Arkitektural at Zoning:**
- Kung ang ari-arian ay napapailalim sa mga kinakailangan sa arkitektura o zoning, dapat tiyakin ng mga tagapagmana ang patuloy na pagsunod sa mga regulasyong ito. Humingi ng mga kinakailangang pag-apruba para sa anumang mga pagbabago o pagpapaunlad na maaaring planuhin para sa ari-arian.
8. **Konsultasyon sa mga Awtoridad:**
- Sa ilang mga kaso, maaaring ipinapayong kumonsulta ang mga tagapagmana sa mga may-katuturang awtoridad bago gumawa ng mga makabuluhang pagbabago sa ari-arian o paggamit nito. Makakatulong ito na maiwasan ang mga potensyal na legal na isyu at matiyak na naaayon ang mga pagbabago sa mga kasalukuyang permit.
9. **Legal na Payo:**
- Dahil sa pagiging kumplikado ng mga regulasyon sa paggamit ng lupa, ang paghingi ng legal na payo ay lubos na inirerekomenda. Kumonsulta sa isang abogado na dalubhasa sa batas ng real estate upang i-navigate ang mga legal na aspeto ng pagmamana ng ari-arian na may mga umiiral na permit at karapatan.
Mahalaga para sa mga tagapagmana na maging maagap sa pagtugon sa mga legal na implikasyon ng pagmamana ng ari-arian na may mga umiiral na permit o karapatan sa paggamit ng lupa. Ang pakikipagtulungan nang malapit sa mga legal na propesyonal at awtoridad ng gobyerno ay makakatulong na matiyak ang maayos na paglipat at pagsunod sa mga naaangkop na batas at regulasyon.</v>
      </c>
      <c r="F477" s="2">
        <f t="shared" si="1"/>
        <v>0</v>
      </c>
      <c r="G477" s="2"/>
      <c r="H477" s="2"/>
      <c r="I477" s="2"/>
      <c r="J477" s="2"/>
      <c r="K477" s="2"/>
      <c r="L477" s="2"/>
      <c r="M477" s="2"/>
      <c r="N477" s="2"/>
      <c r="O477" s="2"/>
      <c r="P477" s="2"/>
      <c r="Q477" s="2"/>
      <c r="R477" s="2"/>
      <c r="S477" s="2"/>
      <c r="T477" s="2"/>
      <c r="U477" s="2"/>
      <c r="V477" s="2"/>
      <c r="W477" s="2"/>
      <c r="X477" s="2"/>
      <c r="Y477" s="2"/>
      <c r="Z477" s="2"/>
      <c r="AA477" s="2"/>
    </row>
    <row r="478">
      <c r="A478" s="1" t="s">
        <v>1224</v>
      </c>
      <c r="B478" s="1" t="s">
        <v>1696</v>
      </c>
      <c r="C478" s="1" t="s">
        <v>1697</v>
      </c>
      <c r="D478" s="1" t="s">
        <v>1698</v>
      </c>
      <c r="E478" s="2" t="str">
        <f>IFERROR(__xludf.DUMMYFUNCTION("GOOGLETRANSLATE(C478, ""en"", ""TL"")"),"Pag-donate ng Minanang Ari-arian sa Charity (Philippines): Mga Legal na Opsyon
Ang mga tagapagmana sa Pilipinas ay may ilang mga opsyon pagdating sa pagbibigay ng minanang ari-arian sa isang organisasyong pangkawanggawa:
Direktang Donasyon: Ito ang "&amp;"pinakasimpleng paraan. Maaaring direktang ilipat ng mga tagapagmana ang pagmamay-ari ng ari-arian (cash, real estate, atbp.) sa kawanggawa sa pamamagitan ng isang notarized na Deed of Donation. Maaaring magkaroon ito ng kaunting bayad sa pagpaparehistro d"&amp;"epende sa uri ng ari-arian.
Disclaimer at Redirection: Maaaring pormal na tanggihan ng mga tagapagmana (disclaim) ang mana sa loob ng makatwirang takdang panahon na itinakda ng mga korte. Nagbibigay-daan ito sa property na direktang makapasa sa isang i"&amp;"tinalagang benepisyaryo, na maaaring ang napiling charity. Maaaring maging kapaki-pakinabang ang opsyong ito para sa mga layunin ng buwis o kung ang ari-arian ay may mga kumplikado (mga kalakip na utang).
Charitable Trust: Maaaring magtatag ng trust an"&amp;"g mga tagapagmana na may hawak ng minanang ari-arian. Ang trust ay namamahagi ng kita o mga asset sa charity sa paglipas ng panahon, gaya ng nakabalangkas sa isang trust agreement. Maaari itong mag-alok ng mga benepisyo sa buwis at magbigay-daan para sa k"&amp;"ontroladong pamamahagi sa charity.
Mahahalagang Pagsasaalang-alang:
Kumonsulta sa isang Abogado: Ang pagkonsulta sa isang abogado na dalubhasa sa pagpaplano ng ari-arian ay lubos na inirerekomenda. Maaari silang magpayo sa pinakamahusay na diskarte "&amp;"na isinasaalang-alang ang mga legalidad, implikasyon sa buwis, at pagtiyak ng maayos na proseso ng donasyon.
Magsaliksik sa Charity: Tiyaking ang napiling charity ay isang rehistrado at kagalang-galang na organisasyon na nakaayon sa iyong mga halaga.
Mg"&amp;"a Implikasyon sa Buwis: Maaaring may mga implikasyon sa buwis ang pagbibigay ng minanang ari-arian. Ang isang abogado ay maaaring magpayo sa pag-maximize ng mga potensyal na bawas sa buwis.
Mga Karagdagang Pagsasaalang-alang:
Probate: Kung ang halaga "&amp;"ng ari-arian ay lumampas sa isang partikular na legal na limitasyon, maaaring kailanganin itong sumailalim sa probate bago ang paglipat ng ari-arian. Maaaring gabayan ka ng isang abogado sa prosesong ito.
Kasunduan sa Tagapagmana: Kung maraming tagapagma"&amp;"na, tiyaking magkakasundo ang lahat sa pag-donate ng ari-arian.
Sa pamamagitan ng pag-unawa sa mga legal na opsyon na ito at paghanap ng propesyonal na patnubay, ang mga tagapagmana ay mahusay at legal na makakapag-donate ng minanang ari-arian sa isang k"&amp;"arapat-dapat na kawanggawa sa Pilipinas.")</f>
        <v>Pag-donate ng Minanang Ari-arian sa Charity (Philippines): Mga Legal na Opsyon
Ang mga tagapagmana sa Pilipinas ay may ilang mga opsyon pagdating sa pagbibigay ng minanang ari-arian sa isang organisasyong pangkawanggawa:
Direktang Donasyon: Ito ang pinakasimpleng paraan. Maaaring direktang ilipat ng mga tagapagmana ang pagmamay-ari ng ari-arian (cash, real estate, atbp.) sa kawanggawa sa pamamagitan ng isang notarized na Deed of Donation. Maaaring magkaroon ito ng kaunting bayad sa pagpaparehistro depende sa uri ng ari-arian.
Disclaimer at Redirection: Maaaring pormal na tanggihan ng mga tagapagmana (disclaim) ang mana sa loob ng makatwirang takdang panahon na itinakda ng mga korte. Nagbibigay-daan ito sa property na direktang makapasa sa isang itinalagang benepisyaryo, na maaaring ang napiling charity. Maaaring maging kapaki-pakinabang ang opsyong ito para sa mga layunin ng buwis o kung ang ari-arian ay may mga kumplikado (mga kalakip na utang).
Charitable Trust: Maaaring magtatag ng trust ang mga tagapagmana na may hawak ng minanang ari-arian. Ang trust ay namamahagi ng kita o mga asset sa charity sa paglipas ng panahon, gaya ng nakabalangkas sa isang trust agreement. Maaari itong mag-alok ng mga benepisyo sa buwis at magbigay-daan para sa kontroladong pamamahagi sa charity.
Mahahalagang Pagsasaalang-alang:
Kumonsulta sa isang Abogado: Ang pagkonsulta sa isang abogado na dalubhasa sa pagpaplano ng ari-arian ay lubos na inirerekomenda. Maaari silang magpayo sa pinakamahusay na diskarte na isinasaalang-alang ang mga legalidad, implikasyon sa buwis, at pagtiyak ng maayos na proseso ng donasyon.
Magsaliksik sa Charity: Tiyaking ang napiling charity ay isang rehistrado at kagalang-galang na organisasyon na nakaayon sa iyong mga halaga.
Mga Implikasyon sa Buwis: Maaaring may mga implikasyon sa buwis ang pagbibigay ng minanang ari-arian. Ang isang abogado ay maaaring magpayo sa pag-maximize ng mga potensyal na bawas sa buwis.
Mga Karagdagang Pagsasaalang-alang:
Probate: Kung ang halaga ng ari-arian ay lumampas sa isang partikular na legal na limitasyon, maaaring kailanganin itong sumailalim sa probate bago ang paglipat ng ari-arian. Maaaring gabayan ka ng isang abogado sa prosesong ito.
Kasunduan sa Tagapagmana: Kung maraming tagapagmana, tiyaking magkakasundo ang lahat sa pag-donate ng ari-arian.
Sa pamamagitan ng pag-unawa sa mga legal na opsyon na ito at paghanap ng propesyonal na patnubay, ang mga tagapagmana ay mahusay at legal na makakapag-donate ng minanang ari-arian sa isang karapat-dapat na kawanggawa sa Pilipinas.</v>
      </c>
      <c r="F478" s="2">
        <f t="shared" si="1"/>
        <v>0</v>
      </c>
      <c r="G478" s="2"/>
      <c r="H478" s="2"/>
      <c r="I478" s="2"/>
      <c r="J478" s="2"/>
      <c r="K478" s="2"/>
      <c r="L478" s="2"/>
      <c r="M478" s="2"/>
      <c r="N478" s="2"/>
      <c r="O478" s="2"/>
      <c r="P478" s="2"/>
      <c r="Q478" s="2"/>
      <c r="R478" s="2"/>
      <c r="S478" s="2"/>
      <c r="T478" s="2"/>
      <c r="U478" s="2"/>
      <c r="V478" s="2"/>
      <c r="W478" s="2"/>
      <c r="X478" s="2"/>
      <c r="Y478" s="2"/>
      <c r="Z478" s="2"/>
      <c r="AA478" s="2"/>
    </row>
    <row r="479">
      <c r="A479" s="1" t="s">
        <v>1224</v>
      </c>
      <c r="B479" s="1" t="s">
        <v>1699</v>
      </c>
      <c r="C479" s="1" t="s">
        <v>1700</v>
      </c>
      <c r="D479" s="1" t="s">
        <v>1701</v>
      </c>
      <c r="E479" s="2" t="str">
        <f>IFERROR(__xludf.DUMMYFUNCTION("GOOGLETRANSLATE(C479, ""en"", ""TL"")"),"Sa Pilipinas, ang proseso ng probate ay isang legal na pamamaraan na nagpapatunay at nag-aayos ng ari-arian ng isang namatay na tao. Ang prosesong ito ay mahalaga para sa pagmamana ng ari-arian at nagsasangkot ng ilang hakbang. Narito ang isang pangkalaha"&amp;"tang-ideya ng proseso ng probate:
1. **Paghahain ng Petisyon para sa Probate:**
- Ang unang hakbang ay maghain ng petition for probate sa Regional Trial Court (RTC) sa probinsya kung saan naninirahan ang namatay sa oras ng kamatayan. Ang petisyon na ito a"&amp;"y karaniwang inihain ng hinirang na tagapagpatupad o tagapangasiwa ng ari-arian.
2. **Paglalathala ng Paunawa:**
- Pagkatapos maghain ng petisyon, maglalabas ang korte ng notice of hearing, at ang petitioner ay kinakailangang i-publish ang notice na ito s"&amp;"a isang pahayagan ng pangkalahatang sirkulasyon. Nagsisilbi itong ipaalam sa mga nagpapautang at iba pang interesadong partido tungkol sa mga paglilitis sa probate.
3. **Pagdinig sa Probate:**
- Ang hukuman ay magsasagawa ng pagdinig upang matukoy ang bis"&amp;"a ng testamento (kung mayroon man) at upang italaga ang tagapagpatupad o tagapangasiwa. Kung ang namatay ay walang testamento, ang hukuman ay magtatalaga ng isang tagapangasiwa upang pamahalaan ang ari-arian.
4. **Mga Liham ng Pangangasiwa o Tipan:**
- Ku"&amp;"ng inaprubahan ng korte ang petisyon, naglalabas ito ng alinman sa Mga Liham ng Pangangasiwa (kung walang habilin) ​​o Mga Liham na Testamento (kung mayroong wastong testamento). Ang mga dokumentong ito ay nagbibigay ng awtoridad sa executor o administrat"&amp;"or na kumilos sa ngalan ng ari-arian.
5. **Imbentaryo at Pagtatasa:**
- Ang tagapagpatupad o tagapangasiwa ay kinakailangang maghanda ng isang imbentaryo ng mga ari-arian ng namatay na tao at ipasuri ang mga ito. Ang imbentaryo na ito ay isinumite sa kort"&amp;"e para sa pag-apruba.
6. **Mga Claim ng Creditor:**
- Ang mga nagpapautang ay binibigyan ng pagkakataon na maghain ng mga paghahabol laban sa ari-arian. Ang tagapagpatupad o tagapangasiwa ay dapat ayusin ang mga wastong paghahabol gamit ang mga ari-arian "&amp;"ng ari-arian.
7. **Pagbabayad ng Mga Buwis:**
- Ang ari-arian ay maaaring sumailalim sa inheritance tax. Ang tagapagpatupad o tagapangasiwa ay may pananagutan sa paghahain ng mga kinakailangang tax return at pagbabayad ng anumang mga buwis na dapat bayara"&amp;"n ng ari-arian.
8. **Pamamahagi ng mga Asset:**
- Pagkatapos mabayaran ang mga utang at buwis, ang natitirang mga ari-arian ay ipapamahagi sa mga tagapagmana ayon sa tinukoy sa testamento o ayon sa mga patakaran ng intestate succession kung walang will.
9"&amp;". **Final Accounting:**
- Ang tagapagpatupad o tagapangasiwa ay dapat magsumite ng pinal na accounting sa korte na nagdedetalye kung paano ipinamahagi ang mga asset at kung paano binayaran ang mga utang at buwis.
10. **Pagsasara ng Estate:**
- Kapag nasiy"&amp;"ahan na ang hukuman na natugunan na ang lahat ng legal na pangangailangan, naglalabas ito ng utos na isara ang ari-arian. Ang tagapagpatupad o tagapangasiwa ay pagkatapos ay tinanggal mula sa kanilang mga tungkulin.
Mahalagang tandaan na ang proseso ng pr"&amp;"obate ay maaaring mag-iba depende sa pagiging kumplikado ng ari-arian at iba pang mga kadahilanan. Ang paghingi ng legal na tulong mula sa isang abogadong may karanasan sa batas ng ari-arian ay ipinapayong mabisang mag-navigate sa proseso ng probate at ma"&amp;"tiyak ang pagsunod sa mga batas at regulasyon ng Pilipinas.")</f>
        <v>Sa Pilipinas, ang proseso ng probate ay isang legal na pamamaraan na nagpapatunay at nag-aayos ng ari-arian ng isang namatay na tao. Ang prosesong ito ay mahalaga para sa pagmamana ng ari-arian at nagsasangkot ng ilang hakbang. Narito ang isang pangkalahatang-ideya ng proseso ng probate:
1. **Paghahain ng Petisyon para sa Probate:**
- Ang unang hakbang ay maghain ng petition for probate sa Regional Trial Court (RTC) sa probinsya kung saan naninirahan ang namatay sa oras ng kamatayan. Ang petisyon na ito ay karaniwang inihain ng hinirang na tagapagpatupad o tagapangasiwa ng ari-arian.
2. **Paglalathala ng Paunawa:**
- Pagkatapos maghain ng petisyon, maglalabas ang korte ng notice of hearing, at ang petitioner ay kinakailangang i-publish ang notice na ito sa isang pahayagan ng pangkalahatang sirkulasyon. Nagsisilbi itong ipaalam sa mga nagpapautang at iba pang interesadong partido tungkol sa mga paglilitis sa probate.
3. **Pagdinig sa Probate:**
- Ang hukuman ay magsasagawa ng pagdinig upang matukoy ang bisa ng testamento (kung mayroon man) at upang italaga ang tagapagpatupad o tagapangasiwa. Kung ang namatay ay walang testamento, ang hukuman ay magtatalaga ng isang tagapangasiwa upang pamahalaan ang ari-arian.
4. **Mga Liham ng Pangangasiwa o Tipan:**
- Kung inaprubahan ng korte ang petisyon, naglalabas ito ng alinman sa Mga Liham ng Pangangasiwa (kung walang habilin) ​​o Mga Liham na Testamento (kung mayroong wastong testamento). Ang mga dokumentong ito ay nagbibigay ng awtoridad sa executor o administrator na kumilos sa ngalan ng ari-arian.
5. **Imbentaryo at Pagtatasa:**
- Ang tagapagpatupad o tagapangasiwa ay kinakailangang maghanda ng isang imbentaryo ng mga ari-arian ng namatay na tao at ipasuri ang mga ito. Ang imbentaryo na ito ay isinumite sa korte para sa pag-apruba.
6. **Mga Claim ng Creditor:**
- Ang mga nagpapautang ay binibigyan ng pagkakataon na maghain ng mga paghahabol laban sa ari-arian. Ang tagapagpatupad o tagapangasiwa ay dapat ayusin ang mga wastong paghahabol gamit ang mga ari-arian ng ari-arian.
7. **Pagbabayad ng Mga Buwis:**
- Ang ari-arian ay maaaring sumailalim sa inheritance tax. Ang tagapagpatupad o tagapangasiwa ay may pananagutan sa paghahain ng mga kinakailangang tax return at pagbabayad ng anumang mga buwis na dapat bayaran ng ari-arian.
8. **Pamamahagi ng mga Asset:**
- Pagkatapos mabayaran ang mga utang at buwis, ang natitirang mga ari-arian ay ipapamahagi sa mga tagapagmana ayon sa tinukoy sa testamento o ayon sa mga patakaran ng intestate succession kung walang will.
9. **Final Accounting:**
- Ang tagapagpatupad o tagapangasiwa ay dapat magsumite ng pinal na accounting sa korte na nagdedetalye kung paano ipinamahagi ang mga asset at kung paano binayaran ang mga utang at buwis.
10. **Pagsasara ng Estate:**
- Kapag nasiyahan na ang hukuman na natugunan na ang lahat ng legal na pangangailangan, naglalabas ito ng utos na isara ang ari-arian. Ang tagapagpatupad o tagapangasiwa ay pagkatapos ay tinanggal mula sa kanilang mga tungkulin.
Mahalagang tandaan na ang proseso ng probate ay maaaring mag-iba depende sa pagiging kumplikado ng ari-arian at iba pang mga kadahilanan. Ang paghingi ng legal na tulong mula sa isang abogadong may karanasan sa batas ng ari-arian ay ipinapayong mabisang mag-navigate sa proseso ng probate at matiyak ang pagsunod sa mga batas at regulasyon ng Pilipinas.</v>
      </c>
      <c r="F479" s="2">
        <f t="shared" si="1"/>
        <v>0</v>
      </c>
      <c r="G479" s="2"/>
      <c r="H479" s="2"/>
      <c r="I479" s="2"/>
      <c r="J479" s="2"/>
      <c r="K479" s="2"/>
      <c r="L479" s="2"/>
      <c r="M479" s="2"/>
      <c r="N479" s="2"/>
      <c r="O479" s="2"/>
      <c r="P479" s="2"/>
      <c r="Q479" s="2"/>
      <c r="R479" s="2"/>
      <c r="S479" s="2"/>
      <c r="T479" s="2"/>
      <c r="U479" s="2"/>
      <c r="V479" s="2"/>
      <c r="W479" s="2"/>
      <c r="X479" s="2"/>
      <c r="Y479" s="2"/>
      <c r="Z479" s="2"/>
      <c r="AA479" s="2"/>
    </row>
    <row r="480">
      <c r="A480" s="1" t="s">
        <v>1224</v>
      </c>
      <c r="B480" s="1" t="s">
        <v>1702</v>
      </c>
      <c r="C480" s="1" t="s">
        <v>1703</v>
      </c>
      <c r="D480" s="1" t="s">
        <v>1704</v>
      </c>
      <c r="E480" s="2" t="str">
        <f>IFERROR(__xludf.DUMMYFUNCTION("GOOGLETRANSLATE(C480, ""en"", ""TL"")"),"Sa Pilipinas, ang pagmamana ng ari-arian ay may ilang partikular na implikasyon sa buwis, pangunahin sa anyo ng mga buwis sa ari-arian at mga potensyal na buwis sa capital gains. Narito ang isang pangkalahatang-ideya:
1. **Mga Buwis sa Estate:**
- Ang mga"&amp;" buwis sa ari-arian ay ipinapataw sa paglipat ng netong ari-arian ng isang namatay na tao sa kanilang mga tagapagmana. Ang netong ari-arian ay kinakalkula sa pamamagitan ng pagbabawas ng mga pinahihintulutang pagbabawas mula sa kabuuang ari-arian. Maaarin"&amp;"g kabilang sa mga pagbabawas ang mga gastusin sa libing, mga gastusing medikal, at mga natitirang utang ng namatay.
- Ang rate ng buwis sa ari-arian noong huli kong pag-update ng kaalaman noong Enero 2022 ay flat rate na 6% sa netong ari-arian, na may kar"&amp;"aniwang bawas na Php 5 milyon. Ang tagapagpatupad o tagapangasiwa ng ari-arian ay may pananagutan sa paghahain ng estate tax return at pagbabayad ng mga naaangkop na buwis.
- Ang mga hindi residenteng dayuhan na nagmamana ng ari-arian sa Pilipinas ay maaa"&amp;"ring sumailalim sa mas mataas na estate tax rate na 15% sa net estate.
2. **Capital Gains Tax:**
- Capital gains tax (CGT) ay isang buwis na ipinapataw sa mga natamo o tubo mula sa pagbebenta o paglilipat ng real property. Kapag nagpasya ang mga tagapagma"&amp;"na na ibenta ang minanang ari-arian, maaari silang managot na magbayad ng buwis sa capital gains sa pagkakaiba sa pagitan ng presyo ng pagbebenta at ng patas na halaga sa pamilihan sa oras ng mana.
- Sa huling pag-update ng aking kaalaman noong Enero 2022"&amp;", ang rate ng buwis sa capital gains sa pagbebenta ng real property ay 6% ng mas mataas sa presyo ng pagbebenta o ang patas na halaga sa pamilihan na tinutukoy ng zonal valuation ng Bureau of Internal Revenue (BIR). .
3. **Buwis ng Donor:**
- Sa ilang mga"&amp;" kaso, maaaring matanggap ng mga tagapagmana ang ari-arian sa pamamagitan ng donasyon bago mamatay ang orihinal na may-ari. Sa ganitong mga pagkakataon, maaaring ilapat ang buwis ng donor sa halip na buwis sa ari-arian. Ang mga rate ng buwis ng donor ay n"&amp;"ag-iiba depende sa relasyon sa pagitan ng donor at ng donee.
4. **Mga Pagbubukod at Pagbawas:**
- Mayroong ilang mga exemption at mga pagbabawas na magagamit para sa parehong mga buwis sa ari-arian at mga buwis ng donor. Halimbawa, ang unang Php 10 milyon"&amp;" ng netong ari-arian ay hindi kasama sa buwis sa ari-arian, at ang ilang mga paglilipat sa mga miyembro ng pamilya ay maaaring hindi kasama sa buwis ng donor.
5. **Paghain at Pagbabayad ng Buwis:**
- Ang paghahain ng estate tax returns at pagbabayad ng es"&amp;"tate taxes ay karaniwang dapat bayaran sa loob ng anim na buwan mula sa pagkamatay ng yumao. Maaaring ibigay ang mga extension sa ilalim ng ilang mga pangyayari.
- Ang buwis sa capital gains ay binabayaran sa pagbebenta ng ari-arian, at ang tax return ay "&amp;"dapat na isampa sa loob ng 30 araw pagkatapos ng pagbebenta.
Mahalagang tandaan na maaaring magbago ang mga batas sa buwis, at ipinapayong kumonsulta sa isang propesyonal sa buwis o legal na tagapayo upang makuha ang pinaka-up-to-date at tumpak na imporma"&amp;"syon. Bukod pa rito, ang mga partikular na kalagayan ng mana, ang relasyon sa pagitan ng namatay at ng mga tagapagmana, at ang katangian ng ari-arian ay maaaring makaapekto sa mga naaangkop na buwis.")</f>
        <v>Sa Pilipinas, ang pagmamana ng ari-arian ay may ilang partikular na implikasyon sa buwis, pangunahin sa anyo ng mga buwis sa ari-arian at mga potensyal na buwis sa capital gains. Narito ang isang pangkalahatang-ideya:
1. **Mga Buwis sa Estate:**
- Ang mga buwis sa ari-arian ay ipinapataw sa paglipat ng netong ari-arian ng isang namatay na tao sa kanilang mga tagapagmana. Ang netong ari-arian ay kinakalkula sa pamamagitan ng pagbabawas ng mga pinahihintulutang pagbabawas mula sa kabuuang ari-arian. Maaaring kabilang sa mga pagbabawas ang mga gastusin sa libing, mga gastusing medikal, at mga natitirang utang ng namatay.
- Ang rate ng buwis sa ari-arian noong huli kong pag-update ng kaalaman noong Enero 2022 ay flat rate na 6% sa netong ari-arian, na may karaniwang bawas na Php 5 milyon. Ang tagapagpatupad o tagapangasiwa ng ari-arian ay may pananagutan sa paghahain ng estate tax return at pagbabayad ng mga naaangkop na buwis.
- Ang mga hindi residenteng dayuhan na nagmamana ng ari-arian sa Pilipinas ay maaaring sumailalim sa mas mataas na estate tax rate na 15% sa net estate.
2. **Capital Gains Tax:**
- Capital gains tax (CGT) ay isang buwis na ipinapataw sa mga natamo o tubo mula sa pagbebenta o paglilipat ng real property. Kapag nagpasya ang mga tagapagmana na ibenta ang minanang ari-arian, maaari silang managot na magbayad ng buwis sa capital gains sa pagkakaiba sa pagitan ng presyo ng pagbebenta at ng patas na halaga sa pamilihan sa oras ng mana.
- Sa huling pag-update ng aking kaalaman noong Enero 2022, ang rate ng buwis sa capital gains sa pagbebenta ng real property ay 6% ng mas mataas sa presyo ng pagbebenta o ang patas na halaga sa pamilihan na tinutukoy ng zonal valuation ng Bureau of Internal Revenue (BIR). .
3. **Buwis ng Donor:**
- Sa ilang mga kaso, maaaring matanggap ng mga tagapagmana ang ari-arian sa pamamagitan ng donasyon bago mamatay ang orihinal na may-ari. Sa ganitong mga pagkakataon, maaaring ilapat ang buwis ng donor sa halip na buwis sa ari-arian. Ang mga rate ng buwis ng donor ay nag-iiba depende sa relasyon sa pagitan ng donor at ng donee.
4. **Mga Pagbubukod at Pagbawas:**
- Mayroong ilang mga exemption at mga pagbabawas na magagamit para sa parehong mga buwis sa ari-arian at mga buwis ng donor. Halimbawa, ang unang Php 10 milyon ng netong ari-arian ay hindi kasama sa buwis sa ari-arian, at ang ilang mga paglilipat sa mga miyembro ng pamilya ay maaaring hindi kasama sa buwis ng donor.
5. **Paghain at Pagbabayad ng Buwis:**
- Ang paghahain ng estate tax returns at pagbabayad ng estate taxes ay karaniwang dapat bayaran sa loob ng anim na buwan mula sa pagkamatay ng yumao. Maaaring ibigay ang mga extension sa ilalim ng ilang mga pangyayari.
- Ang buwis sa capital gains ay binabayaran sa pagbebenta ng ari-arian, at ang tax return ay dapat na isampa sa loob ng 30 araw pagkatapos ng pagbebenta.
Mahalagang tandaan na maaaring magbago ang mga batas sa buwis, at ipinapayong kumonsulta sa isang propesyonal sa buwis o legal na tagapayo upang makuha ang pinaka-up-to-date at tumpak na impormasyon. Bukod pa rito, ang mga partikular na kalagayan ng mana, ang relasyon sa pagitan ng namatay at ng mga tagapagmana, at ang katangian ng ari-arian ay maaaring makaapekto sa mga naaangkop na buwis.</v>
      </c>
      <c r="F480" s="2">
        <f t="shared" si="1"/>
        <v>1</v>
      </c>
      <c r="G480" s="2"/>
      <c r="H480" s="2"/>
      <c r="I480" s="2"/>
      <c r="J480" s="2"/>
      <c r="K480" s="2"/>
      <c r="L480" s="2"/>
      <c r="M480" s="2"/>
      <c r="N480" s="2"/>
      <c r="O480" s="2"/>
      <c r="P480" s="2"/>
      <c r="Q480" s="2"/>
      <c r="R480" s="2"/>
      <c r="S480" s="2"/>
      <c r="T480" s="2"/>
      <c r="U480" s="2"/>
      <c r="V480" s="2"/>
      <c r="W480" s="2"/>
      <c r="X480" s="2"/>
      <c r="Y480" s="2"/>
      <c r="Z480" s="2"/>
      <c r="AA480" s="2"/>
    </row>
    <row r="481">
      <c r="A481" s="1" t="s">
        <v>1224</v>
      </c>
      <c r="B481" s="1" t="s">
        <v>1705</v>
      </c>
      <c r="C481" s="1" t="s">
        <v>1706</v>
      </c>
      <c r="D481" s="1" t="s">
        <v>1707</v>
      </c>
      <c r="E481" s="2" t="str">
        <f>IFERROR(__xludf.DUMMYFUNCTION("GOOGLETRANSLATE(C481, ""en"", ""TL"")"),"Oo, ang isang testamento ay maaaring labanan sa Pilipinas sa ilalim ng ilang mga pangyayari. Ang mga legal na batayan para sa paglaban sa isang testamento ay nakabalangkas sa Family Code at sa Rules of Court. Narito ang mga karaniwang batayan para sa pagh"&amp;"amon sa pamamahagi ng minanang ari-arian sa pamamagitan ng isang testamento:
1. **Kakulangan ng Kapasidad ng Tipan:**
- Isa sa mga pangunahing batayan para sa paglaban sa isang testamento ay ang di-umano'y kakulangan ng testamentary capacity ng testator ("&amp;"ang taong gumawa ng testamento). Ang kapasidad ng testamento ay tumutukoy sa kakayahang pangkaisipan ng testator na maunawaan ang kalikasan at mga kahihinatnan ng paggawa ng isang testamento.
2. **Hindi Nararapat na Impluwensiya:**
- Kung maipakita na ang"&amp;" testator ay labis na naimpluwensyahan o pinilit na gumawa ng ilang mga probisyon sa testamento, ang dokumento ay maaaring labanan. Ang hindi nararapat na impluwensya ay nagsasangkot ng isang sitwasyon kung saan ang malayang pagpapasya ng testator ay dina"&amp;"ig ng impluwensya ng ibang tao.
3. **Pandaraya o Pamemeke:**
- Maaaring labanan ang isang testamento kung may ebidensya ng pandaraya o pamemeke. Maaaring kabilang dito ang mga sitwasyon kung saan napeke ang pirma ng testator, o kung may mga maling represe"&amp;"ntasyong ginawa sa testator tungkol sa mga nilalaman ng testamento.
4. **Hindi Tamang Pagpapatupad:**
- Ang isang testamento ay dapat isagawa alinsunod sa mga pormalidad na iniaatas ng batas. Kung may mga iregularidad sa proseso ng pagpapatupad, tulad ng "&amp;"hindi wastong pagsaksi o kawalan ng wastong mga lagda, ang kalooban ay maaaring labanan.
5. **Pagbawi:**
- Kung may katibayan na binawi ng testator ang testamento o nilayon na bawiin ito ngunit napigilan itong gawin, maaaring tanungin ang bisa ng testamen"&amp;"to.
6. **Pagkamali o Pagpipilit:**
- Maaaring labanan ang isang testamento kung maipapakita na nagkamali ang testator sa testamento, o kung pinirmahan ng testator ang testamento.
7. **Paglabag sa Mga Panuntunan sa Sapilitang Pagmana:**
- Sa Pilipinas, may"&amp;" mga alituntunin sa sapilitang pagpapamana, na nagsasaad ng bahagi ng ari-arian na dapat ilaan para sa mga sapilitang tagapagmana (tulad ng mga anak). Kung ang kalooban ay lumalabag sa mga patakarang ito, maaari itong labanan.
8. **Pamemeke ng isang Codic"&amp;"il:**
- Ang codicil ay isang dokumento na nagsususog, nagbabago, o nagpapawalang-bisa sa isang testamento. Kung may katibayan na ang isang codicil ay napeke o naisakatuparan sa ilalim ng mapanlinlang na mga pangyayari, ito ay maaaring maging batayan para "&amp;"sa pagsalungat sa kalooban.
9. **Paglabag sa mga Pormal:**
- Ang kabiguang sumunod sa mga pormalidad na kinakailangan para sa pagpapatupad ng isang wastong testamento, tulad ng pagkakaroon ng mga saksi, ay maaaring maging batayan para sa paglaban sa pamam"&amp;"ahagi ng ari-arian sa pamamagitan ng testamento.
Mahalagang tandaan na ang pakikipaglaban sa isang testamento ay nagsasangkot ng isang legal na proseso at dapat na ituloy sa pamamagitan ng naaangkop na mga legal na channel. Ang mga naghahangad na makipagl"&amp;"aban sa isang testamento ay dapat kumunsulta sa isang abogado na dalubhasa sa batas ng ari-arian upang masuri ang bisa ng kanilang mga paghahabol at mag-navigate sa mga legal na pamamaraan na kasangkot. Bukod pa rito, maaaring mag-iba ang mga partikular n"&amp;"a batayan para sa paglaban sa isang testamento, at dapat humingi ng legal na payo batay sa mga indibidwal na kalagayan ng bawat kaso.")</f>
        <v>Oo, ang isang testamento ay maaaring labanan sa Pilipinas sa ilalim ng ilang mga pangyayari. Ang mga legal na batayan para sa paglaban sa isang testamento ay nakabalangkas sa Family Code at sa Rules of Court. Narito ang mga karaniwang batayan para sa paghamon sa pamamahagi ng minanang ari-arian sa pamamagitan ng isang testamento:
1. **Kakulangan ng Kapasidad ng Tipan:**
- Isa sa mga pangunahing batayan para sa paglaban sa isang testamento ay ang di-umano'y kakulangan ng testamentary capacity ng testator (ang taong gumawa ng testamento). Ang kapasidad ng testamento ay tumutukoy sa kakayahang pangkaisipan ng testator na maunawaan ang kalikasan at mga kahihinatnan ng paggawa ng isang testamento.
2. **Hindi Nararapat na Impluwensiya:**
- Kung maipakita na ang testator ay labis na naimpluwensyahan o pinilit na gumawa ng ilang mga probisyon sa testamento, ang dokumento ay maaaring labanan. Ang hindi nararapat na impluwensya ay nagsasangkot ng isang sitwasyon kung saan ang malayang pagpapasya ng testator ay dinaig ng impluwensya ng ibang tao.
3. **Pandaraya o Pamemeke:**
- Maaaring labanan ang isang testamento kung may ebidensya ng pandaraya o pamemeke. Maaaring kabilang dito ang mga sitwasyon kung saan napeke ang pirma ng testator, o kung may mga maling representasyong ginawa sa testator tungkol sa mga nilalaman ng testamento.
4. **Hindi Tamang Pagpapatupad:**
- Ang isang testamento ay dapat isagawa alinsunod sa mga pormalidad na iniaatas ng batas. Kung may mga iregularidad sa proseso ng pagpapatupad, tulad ng hindi wastong pagsaksi o kawalan ng wastong mga lagda, ang kalooban ay maaaring labanan.
5. **Pagbawi:**
- Kung may katibayan na binawi ng testator ang testamento o nilayon na bawiin ito ngunit napigilan itong gawin, maaaring tanungin ang bisa ng testamento.
6. **Pagkamali o Pagpipilit:**
- Maaaring labanan ang isang testamento kung maipapakita na nagkamali ang testator sa testamento, o kung pinirmahan ng testator ang testamento.
7. **Paglabag sa Mga Panuntunan sa Sapilitang Pagmana:**
- Sa Pilipinas, may mga alituntunin sa sapilitang pagpapamana, na nagsasaad ng bahagi ng ari-arian na dapat ilaan para sa mga sapilitang tagapagmana (tulad ng mga anak). Kung ang kalooban ay lumalabag sa mga patakarang ito, maaari itong labanan.
8. **Pamemeke ng isang Codicil:**
- Ang codicil ay isang dokumento na nagsususog, nagbabago, o nagpapawalang-bisa sa isang testamento. Kung may katibayan na ang isang codicil ay napeke o naisakatuparan sa ilalim ng mapanlinlang na mga pangyayari, ito ay maaaring maging batayan para sa pagsalungat sa kalooban.
9. **Paglabag sa mga Pormal:**
- Ang kabiguang sumunod sa mga pormalidad na kinakailangan para sa pagpapatupad ng isang wastong testamento, tulad ng pagkakaroon ng mga saksi, ay maaaring maging batayan para sa paglaban sa pamamahagi ng ari-arian sa pamamagitan ng testamento.
Mahalagang tandaan na ang pakikipaglaban sa isang testamento ay nagsasangkot ng isang legal na proseso at dapat na ituloy sa pamamagitan ng naaangkop na mga legal na channel. Ang mga naghahangad na makipaglaban sa isang testamento ay dapat kumunsulta sa isang abogado na dalubhasa sa batas ng ari-arian upang masuri ang bisa ng kanilang mga paghahabol at mag-navigate sa mga legal na pamamaraan na kasangkot. Bukod pa rito, maaaring mag-iba ang mga partikular na batayan para sa paglaban sa isang testamento, at dapat humingi ng legal na payo batay sa mga indibidwal na kalagayan ng bawat kaso.</v>
      </c>
      <c r="F481" s="2">
        <f t="shared" si="1"/>
        <v>0</v>
      </c>
      <c r="G481" s="2"/>
      <c r="H481" s="2"/>
      <c r="I481" s="2"/>
      <c r="J481" s="2"/>
      <c r="K481" s="2"/>
      <c r="L481" s="2"/>
      <c r="M481" s="2"/>
      <c r="N481" s="2"/>
      <c r="O481" s="2"/>
      <c r="P481" s="2"/>
      <c r="Q481" s="2"/>
      <c r="R481" s="2"/>
      <c r="S481" s="2"/>
      <c r="T481" s="2"/>
      <c r="U481" s="2"/>
      <c r="V481" s="2"/>
      <c r="W481" s="2"/>
      <c r="X481" s="2"/>
      <c r="Y481" s="2"/>
      <c r="Z481" s="2"/>
      <c r="AA481" s="2"/>
    </row>
    <row r="482">
      <c r="A482" s="1" t="s">
        <v>1224</v>
      </c>
      <c r="B482" s="1" t="s">
        <v>1708</v>
      </c>
      <c r="C482" s="1" t="s">
        <v>1709</v>
      </c>
      <c r="D482" s="1" t="s">
        <v>1710</v>
      </c>
      <c r="E482" s="2" t="str">
        <f>IFERROR(__xludf.DUMMYFUNCTION("GOOGLETRANSLATE(C482, ""en"", ""TL"")"),"Nag-aalok ang batas ng Pilipinas ng ilang proteksyon para sa mga tagapagmana na nagmamana ng ari-arian na may mga hindi pa nababayarang utang o sangla. Narito ang kailangan mong malaman:
Pananagutan ng tagapagmana:
Ang batas ng Pilipinas ay sumusuno"&amp;"d sa prinsipyo ng ""benefit of inventory"" (beneficium inventarii) na nakasaad sa Article 1023 ng Civil Code [Article 1023 Civil Code of the Philippines]. Ibig sabihin nito:
Limitadong Pananagutan: Ang pananagutan ng tagapagmana para sa mga utang ng ar"&amp;"i-arian ay limitado sa halaga ng minanang ari-arian mismo. Ang iyong mga personal na ari-arian ay karaniwang ligtas mula sa mga nagpapautang.
Imbentaryo ng mga Asset at Utang: Upang makuha ang benepisyong ito, maaaring humiling ang tagapagmana ng imbenta"&amp;"ryo ng mga ari-arian at pananagutan ng ari-arian. Nakakatulong ito na matukoy ang lawak ng kanilang pananagutan sa pananalapi.
Mortgage sa Minanang Ari-arian:
Nagpapatuloy ang Mortgage: Ang mortgage sa minanang ari-arian ay nananatiling may bisa. Ang "&amp;"mga tagapagmana ay nagiging responsable sa paggawa ng natitirang mga pagbabayad sa mortgage.
Panganib sa Foreclosure: Kung ang mga pagbabayad sa mortgage ay hindi natupad, ang nagpapahiram ay may karapatan na i-remata ang ari-arian.
Mga Pagpipilian para"&amp;" sa mga Tagapagmana:
Ibenta ang Ari-arian: Maaaring piliin ng mga tagapagmana na ibenta ang ari-arian upang bayaran ang mortgage at iba pang mga utang. Matapos mabayaran ang mga natitirang obligasyon, ang natitirang mga nalikom mula sa pagbebenta ay ma"&amp;"aaring hatiin sa mga tagapagmana ayon sa kanilang bahagi ng mana.
I-refinance ang Mortgage: Maaaring isaalang-alang ng mga tagapagmana ang muling pagpopondo sa mortgage, potensyal na makakuha ng mas mahusay na rate ng interes o pagpapahaba ng termino ng "&amp;"pautang, na gawing mas mapapamahalaan ang mga pagbabayad.
Itakwil ang Mana: Sa ilang partikular na pagkakataon, maaaring ganap na talikuran ng tagapagmana ang kanilang mana. Iniiwasan nito ang anumang pananagutan na nauugnay sa mga utang. Gayunpaman, nan"&amp;"gangahulugan din ito ng pagbibigay ng anumang mga karapatan sa ari-arian mismo.
Naghahanap ng Legal na Payo:
Maaaring maging kumplikado ang pag-navigate sa minanang ari-arian na may mga natitirang utang. Ang pagkonsulta sa isang abogado ng Pilipinas n"&amp;"a dalubhasa sa batas ng ari-arian ay lubos na inirerekomenda. Maaari silang:
Magbigay ng payo sa pinakamahusay na paraan ng pagkilos batay sa iyong partikular na sitwasyon.
Tulungan kang mag-navigate sa mga legal na prosesong kasangkot, tulad ng paghi"&amp;"ling ng imbentaryo o pakikitungo sa mortgagee.
Kinatawan ang iyong mga interes at tiyaking protektado ang iyong mga karapatan sa buong proseso.")</f>
        <v>Nag-aalok ang batas ng Pilipinas ng ilang proteksyon para sa mga tagapagmana na nagmamana ng ari-arian na may mga hindi pa nababayarang utang o sangla. Narito ang kailangan mong malaman:
Pananagutan ng tagapagmana:
Ang batas ng Pilipinas ay sumusunod sa prinsipyo ng "benefit of inventory" (beneficium inventarii) na nakasaad sa Article 1023 ng Civil Code [Article 1023 Civil Code of the Philippines]. Ibig sabihin nito:
Limitadong Pananagutan: Ang pananagutan ng tagapagmana para sa mga utang ng ari-arian ay limitado sa halaga ng minanang ari-arian mismo. Ang iyong mga personal na ari-arian ay karaniwang ligtas mula sa mga nagpapautang.
Imbentaryo ng mga Asset at Utang: Upang makuha ang benepisyong ito, maaaring humiling ang tagapagmana ng imbentaryo ng mga ari-arian at pananagutan ng ari-arian. Nakakatulong ito na matukoy ang lawak ng kanilang pananagutan sa pananalapi.
Mortgage sa Minanang Ari-arian:
Nagpapatuloy ang Mortgage: Ang mortgage sa minanang ari-arian ay nananatiling may bisa. Ang mga tagapagmana ay nagiging responsable sa paggawa ng natitirang mga pagbabayad sa mortgage.
Panganib sa Foreclosure: Kung ang mga pagbabayad sa mortgage ay hindi natupad, ang nagpapahiram ay may karapatan na i-remata ang ari-arian.
Mga Pagpipilian para sa mga Tagapagmana:
Ibenta ang Ari-arian: Maaaring piliin ng mga tagapagmana na ibenta ang ari-arian upang bayaran ang mortgage at iba pang mga utang. Matapos mabayaran ang mga natitirang obligasyon, ang natitirang mga nalikom mula sa pagbebenta ay maaaring hatiin sa mga tagapagmana ayon sa kanilang bahagi ng mana.
I-refinance ang Mortgage: Maaaring isaalang-alang ng mga tagapagmana ang muling pagpopondo sa mortgage, potensyal na makakuha ng mas mahusay na rate ng interes o pagpapahaba ng termino ng pautang, na gawing mas mapapamahalaan ang mga pagbabayad.
Itakwil ang Mana: Sa ilang partikular na pagkakataon, maaaring ganap na talikuran ng tagapagmana ang kanilang mana. Iniiwasan nito ang anumang pananagutan na nauugnay sa mga utang. Gayunpaman, nangangahulugan din ito ng pagbibigay ng anumang mga karapatan sa ari-arian mismo.
Naghahanap ng Legal na Payo:
Maaaring maging kumplikado ang pag-navigate sa minanang ari-arian na may mga natitirang utang. Ang pagkonsulta sa isang abogado ng Pilipinas na dalubhasa sa batas ng ari-arian ay lubos na inirerekomenda. Maaari silang:
Magbigay ng payo sa pinakamahusay na paraan ng pagkilos batay sa iyong partikular na sitwasyon.
Tulungan kang mag-navigate sa mga legal na prosesong kasangkot, tulad ng paghiling ng imbentaryo o pakikitungo sa mortgagee.
Kinatawan ang iyong mga interes at tiyaking protektado ang iyong mga karapatan sa buong proseso.</v>
      </c>
      <c r="F482" s="2">
        <f t="shared" si="1"/>
        <v>1</v>
      </c>
      <c r="G482" s="2"/>
      <c r="H482" s="2"/>
      <c r="I482" s="2"/>
      <c r="J482" s="2"/>
      <c r="K482" s="2"/>
      <c r="L482" s="2"/>
      <c r="M482" s="2"/>
      <c r="N482" s="2"/>
      <c r="O482" s="2"/>
      <c r="P482" s="2"/>
      <c r="Q482" s="2"/>
      <c r="R482" s="2"/>
      <c r="S482" s="2"/>
      <c r="T482" s="2"/>
      <c r="U482" s="2"/>
      <c r="V482" s="2"/>
      <c r="W482" s="2"/>
      <c r="X482" s="2"/>
      <c r="Y482" s="2"/>
      <c r="Z482" s="2"/>
      <c r="AA482" s="2"/>
    </row>
    <row r="483">
      <c r="A483" s="1" t="s">
        <v>1224</v>
      </c>
      <c r="B483" s="1" t="s">
        <v>1711</v>
      </c>
      <c r="C483" s="1" t="s">
        <v>1712</v>
      </c>
      <c r="D483" s="1" t="s">
        <v>1713</v>
      </c>
      <c r="E483" s="2" t="str">
        <f>IFERROR(__xludf.DUMMYFUNCTION("GOOGLETRANSLATE(C483, ""en"", ""TL"")"),"Ang pagmamana ng ari-arian ay maaaring maging isang mapalad na kaganapan at isang legal na masalimuot, lalo na pagdating sa pagbebenta nito. Narito ang isang breakdown ng pangkalahatang proseso para sa pagbebenta ng minanang ari-arian sa Pilipinas:
Settle"&amp;"ment of Estate:
Kasunduan sa Mga Tagapagmana: Una at higit sa lahat, kailangan ng lahat ng tagapagmana na magkaroon ng isang pinagkasunduan kung paano hahatiin ang ari-arian, kasama ang ari-arian. Magagawa ito sa pamamagitan ng Deed of Extrajudicial Settl"&amp;"ement (DES), na nagbibigay-daan sa pamamahagi nang walang interbensyon ng korte. Ang patnubay ng isang abogado ay lubos na inirerekomenda dito upang matiyak ang isang legal na maayos na kasunduan.
Estate Tax Settlement: Ang mga buwis sa ari-arian ay dapat"&amp;" bayaran sa Bureau of Internal Revenue (BIR) sa loob ng isang taon ng pagkamatay ng namatayan. Kabilang dito ang paghahain ng BIR Form 1801 at pagkuha ng Certificate Authorizing Registration (CAR) bago mailipat ang titulo ng ari-arian.
Pagbebenta ng Ari-a"&amp;"rian:
Indibidwal o Kolektibong Pagbebenta: Maaari lamang ibenta ng tagapagmana ang kanilang minanang bahagi, hindi ang buong ari-arian, maliban kung sumang-ayon ang ibang mga tagapagmana na ibenta rin ang kanila. Sa isip, para sa mas maayos na pagbebenta,"&amp;" lahat ng tagapagmana ay sumang-ayon na ibenta ang ari-arian nang sama-sama.
Legal na Dokumentasyon: Ang pagbebenta ay may kasamang Deed of Sale na nagbabalangkas sa mga tuntunin at kundisyon ng transaksyon. Maaaring tiyakin ng isang abogado na ang Deed a"&amp;"y komprehensibo at legal na may bisa.
Mga Karagdagang Pagsasaalang-alang:
Probate vs. Extrajudicial Settlement: Kung nag-iwan ng testamento ang namatay, maaaring kailanganin itong i-probete sa korte, na maaaring maging isang mahabang proseso. Ang isang ex"&amp;"trajudicial settlement, kung naaangkop, ay karaniwang mas mabilis at mas mura.
Capital Gains Tax: Ang (mga) nagbebenta ay maaaring managot para sa capital gains tax sa pagbebenta ng ari-arian. Makakatulong ang isang abogado o tagapayo sa buwis na matukoy "&amp;"ang mga implikasyon sa buwis.
Mahalagang Paalala:
Ito ay isang pinasimple na pangkalahatang-ideya, at ang mga partikular na legal na pamamaraan ay maaaring mag-iba depende sa iyong sitwasyon. Ang pagkonsulta sa isang kwalipikadong abogado ng Pilipinas ay "&amp;"napakahalaga upang matiyak ang maayos at legal na pagbebenta ng iyong minanang ari-arian. Maaari ka nilang gabayan sa mga kumplikado ng iyong partikular na kaso at epektibong kinakatawan ang iyong mga interes.")</f>
        <v>Ang pagmamana ng ari-arian ay maaaring maging isang mapalad na kaganapan at isang legal na masalimuot, lalo na pagdating sa pagbebenta nito. Narito ang isang breakdown ng pangkalahatang proseso para sa pagbebenta ng minanang ari-arian sa Pilipinas:
Settlement of Estate:
Kasunduan sa Mga Tagapagmana: Una at higit sa lahat, kailangan ng lahat ng tagapagmana na magkaroon ng isang pinagkasunduan kung paano hahatiin ang ari-arian, kasama ang ari-arian. Magagawa ito sa pamamagitan ng Deed of Extrajudicial Settlement (DES), na nagbibigay-daan sa pamamahagi nang walang interbensyon ng korte. Ang patnubay ng isang abogado ay lubos na inirerekomenda dito upang matiyak ang isang legal na maayos na kasunduan.
Estate Tax Settlement: Ang mga buwis sa ari-arian ay dapat bayaran sa Bureau of Internal Revenue (BIR) sa loob ng isang taon ng pagkamatay ng namatayan. Kabilang dito ang paghahain ng BIR Form 1801 at pagkuha ng Certificate Authorizing Registration (CAR) bago mailipat ang titulo ng ari-arian.
Pagbebenta ng Ari-arian:
Indibidwal o Kolektibong Pagbebenta: Maaari lamang ibenta ng tagapagmana ang kanilang minanang bahagi, hindi ang buong ari-arian, maliban kung sumang-ayon ang ibang mga tagapagmana na ibenta rin ang kanila. Sa isip, para sa mas maayos na pagbebenta, lahat ng tagapagmana ay sumang-ayon na ibenta ang ari-arian nang sama-sama.
Legal na Dokumentasyon: Ang pagbebenta ay may kasamang Deed of Sale na nagbabalangkas sa mga tuntunin at kundisyon ng transaksyon. Maaaring tiyakin ng isang abogado na ang Deed ay komprehensibo at legal na may bisa.
Mga Karagdagang Pagsasaalang-alang:
Probate vs. Extrajudicial Settlement: Kung nag-iwan ng testamento ang namatay, maaaring kailanganin itong i-probete sa korte, na maaaring maging isang mahabang proseso. Ang isang extrajudicial settlement, kung naaangkop, ay karaniwang mas mabilis at mas mura.
Capital Gains Tax: Ang (mga) nagbebenta ay maaaring managot para sa capital gains tax sa pagbebenta ng ari-arian. Makakatulong ang isang abogado o tagapayo sa buwis na matukoy ang mga implikasyon sa buwis.
Mahalagang Paalala:
Ito ay isang pinasimple na pangkalahatang-ideya, at ang mga partikular na legal na pamamaraan ay maaaring mag-iba depende sa iyong sitwasyon. Ang pagkonsulta sa isang kwalipikadong abogado ng Pilipinas ay napakahalaga upang matiyak ang maayos at legal na pagbebenta ng iyong minanang ari-arian. Maaari ka nilang gabayan sa mga kumplikado ng iyong partikular na kaso at epektibong kinakatawan ang iyong mga interes.</v>
      </c>
      <c r="F483" s="2">
        <f t="shared" si="1"/>
        <v>0</v>
      </c>
      <c r="G483" s="2"/>
      <c r="H483" s="2"/>
      <c r="I483" s="2"/>
      <c r="J483" s="2"/>
      <c r="K483" s="2"/>
      <c r="L483" s="2"/>
      <c r="M483" s="2"/>
      <c r="N483" s="2"/>
      <c r="O483" s="2"/>
      <c r="P483" s="2"/>
      <c r="Q483" s="2"/>
      <c r="R483" s="2"/>
      <c r="S483" s="2"/>
      <c r="T483" s="2"/>
      <c r="U483" s="2"/>
      <c r="V483" s="2"/>
      <c r="W483" s="2"/>
      <c r="X483" s="2"/>
      <c r="Y483" s="2"/>
      <c r="Z483" s="2"/>
      <c r="AA483" s="2"/>
    </row>
    <row r="484">
      <c r="A484" s="1" t="s">
        <v>1224</v>
      </c>
      <c r="B484" s="1" t="s">
        <v>1714</v>
      </c>
      <c r="C484" s="1" t="s">
        <v>1715</v>
      </c>
      <c r="D484" s="1" t="s">
        <v>1716</v>
      </c>
      <c r="E484" s="2" t="str">
        <f>IFERROR(__xludf.DUMMYFUNCTION("GOOGLETRANSLATE(C484, ""en"", ""TL"")"),"Sa Pilipinas, ang minanang ari-arian ay maaari ngang magkasamang pagmamay-ari ng iba pang mga benepisyaryo, ngunit ang legal na implikasyon ay depende sa kung paano itinatag ang magkasanib na pagmamay-ari. Narito ang isang breakdown ng dalawang pangunahin"&amp;"g opsyon:
Pinagsamang Pangungupahan na may Karapatan ng Survivorship:
Awtomatikong Paglilipat: Ang paraan ng magkasanib na pagmamay-ari na ito ay nagbibigay-daan sa (mga) nabubuhay na kasamang may-ari na awtomatikong magmana ng bahagi ng namatay na benepi"&amp;"syaryo sa kanilang kamatayan. Walang probate o extrajudicial settlement ang karaniwang kinakailangan para sa paglipat.
Pantay na Mga Bahagi: Maliban kung tinukoy, ang magkasanib na pangungupahan ay nagpapalagay ng pantay na bahagi ng pagmamay-ari sa lahat"&amp;" ng mga kapwa may-ari.
Karaniwang nangungupahan:
Mga Bahagi ng Indibidwal na Pagmamay-ari: Ang bawat benepisyaryo ay nagmamay-ari ng isang tiyak, hindi nahahati na bahagi ng ari-arian. Ang mga bahaging ito ay maaaring hindi pantay at maaaring maipasa sa p"&amp;"amamagitan ng isang testamento o intestate succession sa pagkamatay ng isang benepisyaryo.
Walang Awtomatikong Paglilipat: Ang bahagi ng namatay na benepisyaryo ay sumasailalim sa regular na proseso ng mana, na nangangailangan ng testamento o extrajudicia"&amp;"l settlement para sa pamamahagi.
Mga Legal na Pagsasaalang-alang:
Kasunduan sa Mga Tagapagmana: Anuman ang napiling anyo ng magkasanib na pagmamay-ari, lahat ng benepisyaryo ay dapat sumang-ayon sa pagsasaayos at malinaw na idokumento ito. Ang isang aboga"&amp;"do ay maaaring tumulong sa pagbalangkas ng isang nakasulat na kasunduan na nagbabalangkas sa mga porsyento ng pagmamay-ari, mga karapatan, at mga responsibilidad ng bawat kapwa may-ari.
Mga Implikasyon sa Buwis: Depende sa relasyon sa pagitan ng namatay a"&amp;"t ng mga nabubuhay na kasamang may-ari, maaaring ilapat ang inheritance tax sa minanang bahagi. Ang isang tagapayo sa buwis ay maaaring magbigay ng gabay sa mga potensyal na pananagutan sa buwis.
Pamamahala at Mga Hindi pagkakaunawaan: Ang magkasanib na p"&amp;"agmamay-ari ay nangangailangan ng malinaw na komunikasyon at pakikipagtulungan sa mga kapwa may-ari. Maaaring tugunan ng isang nakasulat na kasunduan kung paano gagawin ang mga desisyon tungkol sa ari-arian at kung paano malulutas ang mga potensyal na hin"&amp;"di pagkakasundo. Makakatulong ang isang abogado sa pagbalangkas ng mga probisyon upang mabawasan ang mga salungatan sa hinaharap.
Mga Karagdagang Puntos:
Mga Umiiral na Mortgage: Kung ang minanang ari-arian ay may umiiral nang mortgage, ang lahat ng kapwa"&amp;" may-ari ay magiging responsable para sa mga pagbabayad ng pautang.
Pagbebenta ng Ari-arian: Ang pagbebenta ng ari-arian ng magkasanib na pagmamay-ari ay nangangailangan ng pahintulot ng lahat ng kapwa may-ari.
Humingi ng Legal na Payo:
Bagama't ang magka"&amp;"sanib na pangungupahan at pangungupahan sa karaniwan ay mabubuhay na mga opsyon, ang pinakaangkop na diskarte ay nakasalalay sa iyong partikular na sitwasyon at mga layunin ng mga benepisyaryo. Ang pagkonsulta sa isang abogado ng Pilipinas na dalubhasa sa"&amp;" batas ng ari-arian at ari-arian ay lubos na inirerekomenda. Maaari silang:
Tulungan kang piliin ang pinakaangkop na paraan ng magkasanib na pagmamay-ari batay sa iyong mga pangangailangan at layunin.
Bumuo ng isang malinaw at legal na may bisang kasundua"&amp;"n na nagbabalangkas sa mga tuntunin ng magkasanib na pagmamay-ari.
Magbigay ng payo sa mga potensyal na implikasyon sa buwis at anumang iba pang legal na pagsasaalang-alang.
Tumulong na mag-navigate sa mga potensyal na kumplikado at tiyakin ang isang maay"&amp;"os na proseso para sa lahat ng mga benepisyaryo.")</f>
        <v>Sa Pilipinas, ang minanang ari-arian ay maaari ngang magkasamang pagmamay-ari ng iba pang mga benepisyaryo, ngunit ang legal na implikasyon ay depende sa kung paano itinatag ang magkasanib na pagmamay-ari. Narito ang isang breakdown ng dalawang pangunahing opsyon:
Pinagsamang Pangungupahan na may Karapatan ng Survivorship:
Awtomatikong Paglilipat: Ang paraan ng magkasanib na pagmamay-ari na ito ay nagbibigay-daan sa (mga) nabubuhay na kasamang may-ari na awtomatikong magmana ng bahagi ng namatay na benepisyaryo sa kanilang kamatayan. Walang probate o extrajudicial settlement ang karaniwang kinakailangan para sa paglipat.
Pantay na Mga Bahagi: Maliban kung tinukoy, ang magkasanib na pangungupahan ay nagpapalagay ng pantay na bahagi ng pagmamay-ari sa lahat ng mga kapwa may-ari.
Karaniwang nangungupahan:
Mga Bahagi ng Indibidwal na Pagmamay-ari: Ang bawat benepisyaryo ay nagmamay-ari ng isang tiyak, hindi nahahati na bahagi ng ari-arian. Ang mga bahaging ito ay maaaring hindi pantay at maaaring maipasa sa pamamagitan ng isang testamento o intestate succession sa pagkamatay ng isang benepisyaryo.
Walang Awtomatikong Paglilipat: Ang bahagi ng namatay na benepisyaryo ay sumasailalim sa regular na proseso ng mana, na nangangailangan ng testamento o extrajudicial settlement para sa pamamahagi.
Mga Legal na Pagsasaalang-alang:
Kasunduan sa Mga Tagapagmana: Anuman ang napiling anyo ng magkasanib na pagmamay-ari, lahat ng benepisyaryo ay dapat sumang-ayon sa pagsasaayos at malinaw na idokumento ito. Ang isang abogado ay maaaring tumulong sa pagbalangkas ng isang nakasulat na kasunduan na nagbabalangkas sa mga porsyento ng pagmamay-ari, mga karapatan, at mga responsibilidad ng bawat kapwa may-ari.
Mga Implikasyon sa Buwis: Depende sa relasyon sa pagitan ng namatay at ng mga nabubuhay na kasamang may-ari, maaaring ilapat ang inheritance tax sa minanang bahagi. Ang isang tagapayo sa buwis ay maaaring magbigay ng gabay sa mga potensyal na pananagutan sa buwis.
Pamamahala at Mga Hindi pagkakaunawaan: Ang magkasanib na pagmamay-ari ay nangangailangan ng malinaw na komunikasyon at pakikipagtulungan sa mga kapwa may-ari. Maaaring tugunan ng isang nakasulat na kasunduan kung paano gagawin ang mga desisyon tungkol sa ari-arian at kung paano malulutas ang mga potensyal na hindi pagkakasundo. Makakatulong ang isang abogado sa pagbalangkas ng mga probisyon upang mabawasan ang mga salungatan sa hinaharap.
Mga Karagdagang Puntos:
Mga Umiiral na Mortgage: Kung ang minanang ari-arian ay may umiiral nang mortgage, ang lahat ng kapwa may-ari ay magiging responsable para sa mga pagbabayad ng pautang.
Pagbebenta ng Ari-arian: Ang pagbebenta ng ari-arian ng magkasanib na pagmamay-ari ay nangangailangan ng pahintulot ng lahat ng kapwa may-ari.
Humingi ng Legal na Payo:
Bagama't ang magkasanib na pangungupahan at pangungupahan sa karaniwan ay mabubuhay na mga opsyon, ang pinakaangkop na diskarte ay nakasalalay sa iyong partikular na sitwasyon at mga layunin ng mga benepisyaryo. Ang pagkonsulta sa isang abogado ng Pilipinas na dalubhasa sa batas ng ari-arian at ari-arian ay lubos na inirerekomenda. Maaari silang:
Tulungan kang piliin ang pinakaangkop na paraan ng magkasanib na pagmamay-ari batay sa iyong mga pangangailangan at layunin.
Bumuo ng isang malinaw at legal na may bisang kasunduan na nagbabalangkas sa mga tuntunin ng magkasanib na pagmamay-ari.
Magbigay ng payo sa mga potensyal na implikasyon sa buwis at anumang iba pang legal na pagsasaalang-alang.
Tumulong na mag-navigate sa mga potensyal na kumplikado at tiyakin ang isang maayos na proseso para sa lahat ng mga benepisyaryo.</v>
      </c>
      <c r="F484" s="2">
        <f t="shared" si="1"/>
        <v>0</v>
      </c>
      <c r="G484" s="2"/>
      <c r="H484" s="2"/>
      <c r="I484" s="2"/>
      <c r="J484" s="2"/>
      <c r="K484" s="2"/>
      <c r="L484" s="2"/>
      <c r="M484" s="2"/>
      <c r="N484" s="2"/>
      <c r="O484" s="2"/>
      <c r="P484" s="2"/>
      <c r="Q484" s="2"/>
      <c r="R484" s="2"/>
      <c r="S484" s="2"/>
      <c r="T484" s="2"/>
      <c r="U484" s="2"/>
      <c r="V484" s="2"/>
      <c r="W484" s="2"/>
      <c r="X484" s="2"/>
      <c r="Y484" s="2"/>
      <c r="Z484" s="2"/>
      <c r="AA484" s="2"/>
    </row>
    <row r="485">
      <c r="A485" s="1" t="s">
        <v>1224</v>
      </c>
      <c r="B485" s="1" t="s">
        <v>1717</v>
      </c>
      <c r="C485" s="1" t="s">
        <v>1718</v>
      </c>
      <c r="D485" s="1" t="s">
        <v>1719</v>
      </c>
      <c r="E485" s="2" t="str">
        <f>IFERROR(__xludf.DUMMYFUNCTION("GOOGLETRANSLATE(C485, ""en"", ""TL"")"),"Sa Pilipinas, ang paglilipat ng minanang ari-arian sa isang trust para sa pamamahala o mga layunin ng buwis ay isang praktikal na opsyon, ngunit may ilang legal na pagsasaalang-alang at limitasyon na dapat malaman. Narito ang isang breakdown ng mga pangun"&amp;"ahing punto:
Mga Uri ng Trust:
Kinikilala ng batas ng Pilipinas ang dalawang pangunahing uri ng trust na may kaugnayan sa minanang ari-arian:
Testamentary Trust: Itinatag sa pamamagitan ng isang testamento ng namatay, na binabalangkas ang mga tuntunin ng "&amp;"trust, ang ari-arian na ililipat, at ang mga benepisyaryo. Nangangailangan ito ng probate ng will bago maging operational ang trust.
Deed of Trust: Ginawa sa panahon ng buhay ng orihinal na may-ari (settlor) sa pamamagitan ng legal na dokumento. Nagbibiga"&amp;"y-daan ito para sa higit na kakayahang umangkop sa paglilipat ng minanang ari-arian pagkatapos ng kamatayan ng may-ari.
Mga Benepisyo sa Buwis:
Ang mga potensyal na benepisyo sa buwis ng paggamit ng trust sa Pilipinas ay hindi gaanong malinaw kumpara sa i"&amp;"lang iba pang hurisdiksyon. Bagama't maaaring mag-alok ang mga trust ng ilang proteksyon sa asset at mga pakinabang sa pamamahala, maaaring limitado ang makabuluhang mga diskarte sa pagbabawas ng buwis.
Mga Legal na Pagsasaalang-alang:
Mga Panuntunan sa S"&amp;"apilitang Pagmana: Ang batas ng Pilipinas ay nagtataguyod ng mga patakaran sa sapilitang pagmamana, na nagdidikta sa isang partikular na bahagi ng ari-arian na dapat ipasa sa mga lehitimong inapo, asawa, at mga magulang. Maaari nitong limitahan ang kakaya"&amp;"hang umangkop kung gaano karaming ari-arian ang maaaring ilagay sa isang tiwala, lalo na kung may mga nabubuhay na sapilitang tagapagmana.
Mga Implikasyon sa Buwis: Ang mga implikasyon sa buwis ng paggamit ng mga trust sa Pilipinas ay maaaring kumplikado."&amp;" Mahalagang kumunsulta sa isang abogado at tagapayo sa buwis upang maunawaan ang potensyal na kita, mga kita sa kapital, at mga pananagutan sa buwis ng donor na nauugnay sa istruktura ng tiwala.
Trust Administration: Ang pag-set up at pamamahala ng trust "&amp;"ay nangangailangan ng maingat na pagpaplano at patuloy na gastos. Kabilang dito ang paghirang ng isang trustee, pag-draft ng mga dokumento ng trust, at potensyal na pakikitungo sa trust accounting at mga legal na bayarin.
Naghahanap ng Legal na Payo:
Isin"&amp;"asaalang-alang ang mga kumplikadong kasangkot, ang pagkonsulta sa isang kwalipikadong abogado ng Pilipinas na dalubhasa sa mga trust at estate planning ay napakahalaga. Maaari silang:
Suriin ang iyong partikular na sitwasyon at payuhan ang pinaka-angkop n"&amp;"a uri ng pagtitiwala para sa iyong mga layunin.
Bumuo ng legal na maayos na mga dokumento ng tiwala na sumusunod sa batas ng Pilipinas at mga panuntunan sa sapilitang tagapagmana.
Ipaliwanag ang mga potensyal na implikasyon sa buwis ng paggamit ng trust a"&amp;"t tulungan kang mag-navigate sa anumang mga diskarte sa pagpaplano ng buwis.
Gabayan ka sa paggawa ng tiwala at proseso ng pangangasiwa.
Mga Karagdagang Puntos:
Mga Alternatibo sa Mga Pagtitiwala: Depende sa iyong mga layunin, ang mga alternatibong opsyon"&amp;" tulad ng mga istruktura ng co-ownership o pinagsamang pangungupahan na may karapatan ng survivorship ay maaaring sulit na tuklasin kasama ng iyong abogado.
Propesyonal na Katiwala: Isaalang-alang ang mga benepisyo ng paghirang ng isang propesyonal na tag"&amp;"apangasiwa, tulad ng isang departamento ng tiwala sa bangko, upang pamahalaan ang mga ari-arian ng tiwala nang may layunin at ayon sa mga tuntunin ng tiwala.
Tandaan: Bagama't ang mga trust ay maaaring maging isang mahalagang tool para sa pamamahala ng mi"&amp;"nanang ari-arian, ang pag-navigate sa mga legalidad at pag-maximize ng mga potensyal na benepisyo ay nangangailangan ng maingat na pagpaplano at propesyonal na patnubay.")</f>
        <v>Sa Pilipinas, ang paglilipat ng minanang ari-arian sa isang trust para sa pamamahala o mga layunin ng buwis ay isang praktikal na opsyon, ngunit may ilang legal na pagsasaalang-alang at limitasyon na dapat malaman. Narito ang isang breakdown ng mga pangunahing punto:
Mga Uri ng Trust:
Kinikilala ng batas ng Pilipinas ang dalawang pangunahing uri ng trust na may kaugnayan sa minanang ari-arian:
Testamentary Trust: Itinatag sa pamamagitan ng isang testamento ng namatay, na binabalangkas ang mga tuntunin ng trust, ang ari-arian na ililipat, at ang mga benepisyaryo. Nangangailangan ito ng probate ng will bago maging operational ang trust.
Deed of Trust: Ginawa sa panahon ng buhay ng orihinal na may-ari (settlor) sa pamamagitan ng legal na dokumento. Nagbibigay-daan ito para sa higit na kakayahang umangkop sa paglilipat ng minanang ari-arian pagkatapos ng kamatayan ng may-ari.
Mga Benepisyo sa Buwis:
Ang mga potensyal na benepisyo sa buwis ng paggamit ng trust sa Pilipinas ay hindi gaanong malinaw kumpara sa ilang iba pang hurisdiksyon. Bagama't maaaring mag-alok ang mga trust ng ilang proteksyon sa asset at mga pakinabang sa pamamahala, maaaring limitado ang makabuluhang mga diskarte sa pagbabawas ng buwis.
Mga Legal na Pagsasaalang-alang:
Mga Panuntunan sa Sapilitang Pagmana: Ang batas ng Pilipinas ay nagtataguyod ng mga patakaran sa sapilitang pagmamana, na nagdidikta sa isang partikular na bahagi ng ari-arian na dapat ipasa sa mga lehitimong inapo, asawa, at mga magulang. Maaari nitong limitahan ang kakayahang umangkop kung gaano karaming ari-arian ang maaaring ilagay sa isang tiwala, lalo na kung may mga nabubuhay na sapilitang tagapagmana.
Mga Implikasyon sa Buwis: Ang mga implikasyon sa buwis ng paggamit ng mga trust sa Pilipinas ay maaaring kumplikado. Mahalagang kumunsulta sa isang abogado at tagapayo sa buwis upang maunawaan ang potensyal na kita, mga kita sa kapital, at mga pananagutan sa buwis ng donor na nauugnay sa istruktura ng tiwala.
Trust Administration: Ang pag-set up at pamamahala ng trust ay nangangailangan ng maingat na pagpaplano at patuloy na gastos. Kabilang dito ang paghirang ng isang trustee, pag-draft ng mga dokumento ng trust, at potensyal na pakikitungo sa trust accounting at mga legal na bayarin.
Naghahanap ng Legal na Payo:
Isinasaalang-alang ang mga kumplikadong kasangkot, ang pagkonsulta sa isang kwalipikadong abogado ng Pilipinas na dalubhasa sa mga trust at estate planning ay napakahalaga. Maaari silang:
Suriin ang iyong partikular na sitwasyon at payuhan ang pinaka-angkop na uri ng pagtitiwala para sa iyong mga layunin.
Bumuo ng legal na maayos na mga dokumento ng tiwala na sumusunod sa batas ng Pilipinas at mga panuntunan sa sapilitang tagapagmana.
Ipaliwanag ang mga potensyal na implikasyon sa buwis ng paggamit ng trust at tulungan kang mag-navigate sa anumang mga diskarte sa pagpaplano ng buwis.
Gabayan ka sa paggawa ng tiwala at proseso ng pangangasiwa.
Mga Karagdagang Puntos:
Mga Alternatibo sa Mga Pagtitiwala: Depende sa iyong mga layunin, ang mga alternatibong opsyon tulad ng mga istruktura ng co-ownership o pinagsamang pangungupahan na may karapatan ng survivorship ay maaaring sulit na tuklasin kasama ng iyong abogado.
Propesyonal na Katiwala: Isaalang-alang ang mga benepisyo ng paghirang ng isang propesyonal na tagapangasiwa, tulad ng isang departamento ng tiwala sa bangko, upang pamahalaan ang mga ari-arian ng tiwala nang may layunin at ayon sa mga tuntunin ng tiwala.
Tandaan: Bagama't ang mga trust ay maaaring maging isang mahalagang tool para sa pamamahala ng minanang ari-arian, ang pag-navigate sa mga legalidad at pag-maximize ng mga potensyal na benepisyo ay nangangailangan ng maingat na pagpaplano at propesyonal na patnubay.</v>
      </c>
      <c r="F485" s="2">
        <f t="shared" si="1"/>
        <v>1</v>
      </c>
      <c r="G485" s="2"/>
      <c r="H485" s="2"/>
      <c r="I485" s="2"/>
      <c r="J485" s="2"/>
      <c r="K485" s="2"/>
      <c r="L485" s="2"/>
      <c r="M485" s="2"/>
      <c r="N485" s="2"/>
      <c r="O485" s="2"/>
      <c r="P485" s="2"/>
      <c r="Q485" s="2"/>
      <c r="R485" s="2"/>
      <c r="S485" s="2"/>
      <c r="T485" s="2"/>
      <c r="U485" s="2"/>
      <c r="V485" s="2"/>
      <c r="W485" s="2"/>
      <c r="X485" s="2"/>
      <c r="Y485" s="2"/>
      <c r="Z485" s="2"/>
      <c r="AA485" s="2"/>
    </row>
    <row r="486">
      <c r="A486" s="1" t="s">
        <v>1224</v>
      </c>
      <c r="B486" s="1" t="s">
        <v>1720</v>
      </c>
      <c r="C486" s="1" t="s">
        <v>1721</v>
      </c>
      <c r="D486" s="1" t="s">
        <v>1722</v>
      </c>
      <c r="E486" s="2" t="str">
        <f>IFERROR(__xludf.DUMMYFUNCTION("GOOGLETRANSLATE(C486, ""en"", ""TL"")"),"Sa Pilipinas, ang mga hindi pagkakaunawaan sa pagitan ng mga tagapagmana tungkol sa pamamahagi ng minanang ari-arian ay maaaring malutas sa pamamagitan ng ilang mga paraan, depende sa kalubhaan at pagiging kumplikado ng hindi pagkakasundo. Narito ang isan"&amp;"g balangkas ng mga karaniwang diskarte:
1. Amicable Settlement:
Bukas na Komunikasyon: Ito ang palaging gustong diskarte. Maaaring subukan ng mga tagapagmana na maabot ang isang kasunduan sa isa't isa sa pamamagitan ng bukas na komunikasyon at negos"&amp;"asyon. Maaaring may kasama itong kompromiso sa paghahati ng mga ari-arian o pagbebenta ng ari-arian at pagbabahagi ng mga nalikom.
2. Extrajudicial Settlement:
Mas Mabilis at Mas Magastos: Kung naabot ang isang mapayapang kasunduan, maaaring gawing po"&amp;"rmal ang isang extrajudicial settlement (EJS). Ito ay isang dokumento na nagbabalangkas sa napagkasunduang pamamahagi ng ari-arian, na nilagdaan ng lahat ng tagapagmana. Ito ay karaniwang mas mabilis at mas mura kaysa sa mga paglilitis sa korte. Ang isang"&amp;" abogado ay maaaring tumulong sa pagbalangkas ng isang legal na maayos na EJS.
3. Pamamagitan:
Neutral na Third Party: Kung masira ang komunikasyon, maaaring maging kapaki-pakinabang na opsyon ang pamamagitan. Ang isang neutral na ikatlong partido, is"&amp;"ang tagapamagitan, ay nagpapadali sa talakayan at tumutulong sa mga tagapagmana na makahanap ng solusyon na katanggap-tanggap sa lahat ng partido.
4. Ordinaryong Pagkilos para sa Paghati:
Interbensyon ng Hukuman: Kapag nabigo ang isang amicable settle"&amp;"ment o mediation, maaaring maghain ang mga tagapagmana ng isang ordinaryong aksyon para sa partition sa korte. Ito ay nagsasangkot ng isang pormal na prosesong legal kung saan tinutukoy ng korte ang nararapat na pamamahagi ng ari-arian batay sa mga batas "&amp;"sa pamana ng Pilipinas.
Mga Salik na Nakakaapekto sa Resolusyon:
Presensya ng isang Testamento: Ang isang wastong testamento ay maaaring magbigay ng malinaw na mga tagubilin sa pamamahagi ng ari-arian, na posibleng mag-streamline ng proseso. Gayunpama"&amp;"n, maaari pa ring lumitaw ang mga hindi pagkakaunawaan tungkol sa interpretasyon ng kalooban.
Sapilitang Pagmamana: Ang batas ng Pilipinas ay nag-uutos na ang isang partikular na bahagi ng ari-arian ay mapupunta sa mga sapilitang tagapagmana (asawa, mga "&amp;"lehitimong inapo, mga magulang). Ang mga hindi pagkakaunawaan ay maaaring lumitaw kung ang namatay ay nagtangkang mag-disinherit ng isang sapilitang tagapagmana sa pamamagitan ng isang testamento.
Pagiging Kumplikado ng Estate: Ang bilang ng mga tagapagm"&amp;"ana, ang halaga at uri ng mga asset na kasangkot, at anumang umiiral na mga utang sa ari-arian ay maaaring makaimpluwensya lahat sa pagiging kumplikado ng proseso ng paglutas ng hindi pagkakaunawaan.
Naghahanap ng Legal na Payo:
Ang pagkonsulta sa isa"&amp;"ng abogado ng Pilipinas na dalubhasa sa batas ng ari-arian ay lubos na inirerekomenda kapag nakikitungo sa mga hindi pagkakaunawaan sa pagitan ng mga tagapagmana. Maaari silang:
Magbigay ng payo sa pinakaangkop na diskarte para sa paglutas ng hindi pag"&amp;"kakaunawaan batay sa iyong partikular na sitwasyon.
Kinatawan ang iyong mga interes sa pamamagitan o paglilitis sa korte.
Ipaglaban ang iyong nararapat na bahagi ng mana ayon sa batas ng Pilipinas.
Tumulong na makipag-ayos sa isang patas at maayos na k"&amp;"asunduan kung maaari.
Tandaan, ang mga legal na hindi pagkakaunawaan ay maaaring maging mabigat at matagal. Ang paggalugad ng mga opsyon para sa mga collaborative na solusyon tulad ng pamamagitan o paghingi ng propesyonal na legal na patnubay ay maaaring"&amp;" humantong sa isang mas mahusay at hindi gaanong acrimonious na resolusyon para sa lahat ng partidong kasangkot.")</f>
        <v>Sa Pilipinas, ang mga hindi pagkakaunawaan sa pagitan ng mga tagapagmana tungkol sa pamamahagi ng minanang ari-arian ay maaaring malutas sa pamamagitan ng ilang mga paraan, depende sa kalubhaan at pagiging kumplikado ng hindi pagkakasundo. Narito ang isang balangkas ng mga karaniwang diskarte:
1. Amicable Settlement:
Bukas na Komunikasyon: Ito ang palaging gustong diskarte. Maaaring subukan ng mga tagapagmana na maabot ang isang kasunduan sa isa't isa sa pamamagitan ng bukas na komunikasyon at negosasyon. Maaaring may kasama itong kompromiso sa paghahati ng mga ari-arian o pagbebenta ng ari-arian at pagbabahagi ng mga nalikom.
2. Extrajudicial Settlement:
Mas Mabilis at Mas Magastos: Kung naabot ang isang mapayapang kasunduan, maaaring gawing pormal ang isang extrajudicial settlement (EJS). Ito ay isang dokumento na nagbabalangkas sa napagkasunduang pamamahagi ng ari-arian, na nilagdaan ng lahat ng tagapagmana. Ito ay karaniwang mas mabilis at mas mura kaysa sa mga paglilitis sa korte. Ang isang abogado ay maaaring tumulong sa pagbalangkas ng isang legal na maayos na EJS.
3. Pamamagitan:
Neutral na Third Party: Kung masira ang komunikasyon, maaaring maging kapaki-pakinabang na opsyon ang pamamagitan. Ang isang neutral na ikatlong partido, isang tagapamagitan, ay nagpapadali sa talakayan at tumutulong sa mga tagapagmana na makahanap ng solusyon na katanggap-tanggap sa lahat ng partido.
4. Ordinaryong Pagkilos para sa Paghati:
Interbensyon ng Hukuman: Kapag nabigo ang isang amicable settlement o mediation, maaaring maghain ang mga tagapagmana ng isang ordinaryong aksyon para sa partition sa korte. Ito ay nagsasangkot ng isang pormal na prosesong legal kung saan tinutukoy ng korte ang nararapat na pamamahagi ng ari-arian batay sa mga batas sa pamana ng Pilipinas.
Mga Salik na Nakakaapekto sa Resolusyon:
Presensya ng isang Testamento: Ang isang wastong testamento ay maaaring magbigay ng malinaw na mga tagubilin sa pamamahagi ng ari-arian, na posibleng mag-streamline ng proseso. Gayunpaman, maaari pa ring lumitaw ang mga hindi pagkakaunawaan tungkol sa interpretasyon ng kalooban.
Sapilitang Pagmamana: Ang batas ng Pilipinas ay nag-uutos na ang isang partikular na bahagi ng ari-arian ay mapupunta sa mga sapilitang tagapagmana (asawa, mga lehitimong inapo, mga magulang). Ang mga hindi pagkakaunawaan ay maaaring lumitaw kung ang namatay ay nagtangkang mag-disinherit ng isang sapilitang tagapagmana sa pamamagitan ng isang testamento.
Pagiging Kumplikado ng Estate: Ang bilang ng mga tagapagmana, ang halaga at uri ng mga asset na kasangkot, at anumang umiiral na mga utang sa ari-arian ay maaaring makaimpluwensya lahat sa pagiging kumplikado ng proseso ng paglutas ng hindi pagkakaunawaan.
Naghahanap ng Legal na Payo:
Ang pagkonsulta sa isang abogado ng Pilipinas na dalubhasa sa batas ng ari-arian ay lubos na inirerekomenda kapag nakikitungo sa mga hindi pagkakaunawaan sa pagitan ng mga tagapagmana. Maaari silang:
Magbigay ng payo sa pinakaangkop na diskarte para sa paglutas ng hindi pagkakaunawaan batay sa iyong partikular na sitwasyon.
Kinatawan ang iyong mga interes sa pamamagitan o paglilitis sa korte.
Ipaglaban ang iyong nararapat na bahagi ng mana ayon sa batas ng Pilipinas.
Tumulong na makipag-ayos sa isang patas at maayos na kasunduan kung maaari.
Tandaan, ang mga legal na hindi pagkakaunawaan ay maaaring maging mabigat at matagal. Ang paggalugad ng mga opsyon para sa mga collaborative na solusyon tulad ng pamamagitan o paghingi ng propesyonal na legal na patnubay ay maaaring humantong sa isang mas mahusay at hindi gaanong acrimonious na resolusyon para sa lahat ng partidong kasangkot.</v>
      </c>
      <c r="F486" s="2">
        <f t="shared" si="1"/>
        <v>1</v>
      </c>
      <c r="G486" s="2"/>
      <c r="H486" s="2"/>
      <c r="I486" s="2"/>
      <c r="J486" s="2"/>
      <c r="K486" s="2"/>
      <c r="L486" s="2"/>
      <c r="M486" s="2"/>
      <c r="N486" s="2"/>
      <c r="O486" s="2"/>
      <c r="P486" s="2"/>
      <c r="Q486" s="2"/>
      <c r="R486" s="2"/>
      <c r="S486" s="2"/>
      <c r="T486" s="2"/>
      <c r="U486" s="2"/>
      <c r="V486" s="2"/>
      <c r="W486" s="2"/>
      <c r="X486" s="2"/>
      <c r="Y486" s="2"/>
      <c r="Z486" s="2"/>
      <c r="AA486" s="2"/>
    </row>
    <row r="487">
      <c r="A487" s="1" t="s">
        <v>1224</v>
      </c>
      <c r="B487" s="1" t="s">
        <v>1723</v>
      </c>
      <c r="C487" s="1" t="s">
        <v>1724</v>
      </c>
      <c r="D487" s="1" t="s">
        <v>1725</v>
      </c>
      <c r="E487" s="2" t="str">
        <f>IFERROR(__xludf.DUMMYFUNCTION("GOOGLETRANSLATE(C487, ""en"", ""TL"")"),"Talagang, ang pagmamana ng ari-arian na matatagpuan sa ibang estado o bansa ay nagpapakilala ng mga karagdagang legal na kumplikado kumpara sa pagmamana sa loob ng Pilipinas. Narito ang isang breakdown ng ilang pangunahing implikasyon:
Jurisdiction at "&amp;"Naaangkop na Batas:
Lex Situs (Batas ng Lokasyon): Sa pangkalahatan, ang mana ng ari-arian ay pinamamahalaan ng mga batas ng estado o bansa kung saan matatagpuan ang ari-arian (lex situs). Nangangahulugan ito na maaaring hindi nalalapat ang batas ng ma"&amp;"na ng Pilipinas.
Probate vs. Extrajudicial Settlement:
Iba't ibang Proseso: Ang proseso para sa pag-aayos ng ari-arian at pamamahagi ng ari-arian ay malamang na mag-iba sa Pilipinas. Maaaring kailanganin ang probate court sa hurisdiksyon ng ibang bans"&amp;"a, na maaaring magtagal at magastos.
Mga buwis:
Maramihang Pasan sa Buwis: Maaari kang makatagpo ng mga inheritance tax sa Pilipinas (sa iyong pandaigdigang ari-arian) at sa hurisdiksyon ng ibang bansa kung saan matatagpuan ang ari-arian. Ang mga kasu"&amp;"nduan sa buwis sa pagitan ng mga bansa ay maaaring makatulong kung minsan na mabawasan ang dobleng pagbubuwis.
Foreign Currency at Exchange Rates:
Mga Pagbabago at Gastos: Ang halaga ng minanang ari-arian ay maaaring maapektuhan ng mga pagbabago sa mg"&amp;"a halaga ng palitan ng dayuhang pera. Maaaring mayroon ding mga karagdagang gastos na nauugnay sa pag-convert ng foreign currency.
Mga Lokal na Legal at Administratibong Kinakailangan:
Pakikitungo sa mga Foreign Authority: Maaaring kailanganin mong ma"&amp;"g-navigate sa mga hindi pamilyar na legal at administratibong pamamaraan sa dayuhang bansa. Maaaring kabilang dito ang pakikitungo sa mga lokal na korte, awtoridad sa buwis, o mga rehistro ng ari-arian.
Mga Karagdagang Pagsasaalang-alang:
Pagiging Kum"&amp;"plikado ng Estate: Kung mas kumplikado ang ari-arian (maraming ari-arian, iba't ibang benepisyaryo), mas magiging mahirap na pamahalaan ang proseso ng mana sa mga hangganan.
Mga Hadlang sa Wika: Ang komunikasyon at pag-unawa sa mga legal na dokumento sa "&amp;"isang wikang banyaga ay maaaring lumikha ng mga kahirapan.
Humingi ng Propesyonal na Tulong:
Dahil sa mga kumplikadong kasangkot, ang paghahanap ng propesyonal na patnubay ay mahalaga:
Abogado ng Pilipinas: Maaaring payuhan ka ng isang abogadong pa"&amp;"milyar sa batas ng mana ng Pilipinas tungkol sa iyong mga obligasyon at potensyal na implikasyon sa buwis sa Pilipinas.
Foreign Lawyer: Ang pagkonsulta sa isang abogado na dalubhasa sa inheritance law sa bansa kung saan matatagpuan ang property ay lubos "&amp;"na inirerekomenda. Maaari ka nilang gabayan sa lokal na legal na proseso, mga buwis, at anumang mga kinakailangan sa pangangasiwa.
Tandaan, ang pagmamana ng dayuhang ari-arian ay maaaring maging isang kapakipakinabang na karanasan, ngunit ang wastong leg"&amp;"al na pagpaplano at propesyonal na tulong ay mahalaga upang mag-navigate sa mga legalidad at mapakinabangan ang iyong mga benepisyo.")</f>
        <v>Talagang, ang pagmamana ng ari-arian na matatagpuan sa ibang estado o bansa ay nagpapakilala ng mga karagdagang legal na kumplikado kumpara sa pagmamana sa loob ng Pilipinas. Narito ang isang breakdown ng ilang pangunahing implikasyon:
Jurisdiction at Naaangkop na Batas:
Lex Situs (Batas ng Lokasyon): Sa pangkalahatan, ang mana ng ari-arian ay pinamamahalaan ng mga batas ng estado o bansa kung saan matatagpuan ang ari-arian (lex situs). Nangangahulugan ito na maaaring hindi nalalapat ang batas ng mana ng Pilipinas.
Probate vs. Extrajudicial Settlement:
Iba't ibang Proseso: Ang proseso para sa pag-aayos ng ari-arian at pamamahagi ng ari-arian ay malamang na mag-iba sa Pilipinas. Maaaring kailanganin ang probate court sa hurisdiksyon ng ibang bansa, na maaaring magtagal at magastos.
Mga buwis:
Maramihang Pasan sa Buwis: Maaari kang makatagpo ng mga inheritance tax sa Pilipinas (sa iyong pandaigdigang ari-arian) at sa hurisdiksyon ng ibang bansa kung saan matatagpuan ang ari-arian. Ang mga kasunduan sa buwis sa pagitan ng mga bansa ay maaaring makatulong kung minsan na mabawasan ang dobleng pagbubuwis.
Foreign Currency at Exchange Rates:
Mga Pagbabago at Gastos: Ang halaga ng minanang ari-arian ay maaaring maapektuhan ng mga pagbabago sa mga halaga ng palitan ng dayuhang pera. Maaaring mayroon ding mga karagdagang gastos na nauugnay sa pag-convert ng foreign currency.
Mga Lokal na Legal at Administratibong Kinakailangan:
Pakikitungo sa mga Foreign Authority: Maaaring kailanganin mong mag-navigate sa mga hindi pamilyar na legal at administratibong pamamaraan sa dayuhang bansa. Maaaring kabilang dito ang pakikitungo sa mga lokal na korte, awtoridad sa buwis, o mga rehistro ng ari-arian.
Mga Karagdagang Pagsasaalang-alang:
Pagiging Kumplikado ng Estate: Kung mas kumplikado ang ari-arian (maraming ari-arian, iba't ibang benepisyaryo), mas magiging mahirap na pamahalaan ang proseso ng mana sa mga hangganan.
Mga Hadlang sa Wika: Ang komunikasyon at pag-unawa sa mga legal na dokumento sa isang wikang banyaga ay maaaring lumikha ng mga kahirapan.
Humingi ng Propesyonal na Tulong:
Dahil sa mga kumplikadong kasangkot, ang paghahanap ng propesyonal na patnubay ay mahalaga:
Abogado ng Pilipinas: Maaaring payuhan ka ng isang abogadong pamilyar sa batas ng mana ng Pilipinas tungkol sa iyong mga obligasyon at potensyal na implikasyon sa buwis sa Pilipinas.
Foreign Lawyer: Ang pagkonsulta sa isang abogado na dalubhasa sa inheritance law sa bansa kung saan matatagpuan ang property ay lubos na inirerekomenda. Maaari ka nilang gabayan sa lokal na legal na proseso, mga buwis, at anumang mga kinakailangan sa pangangasiwa.
Tandaan, ang pagmamana ng dayuhang ari-arian ay maaaring maging isang kapakipakinabang na karanasan, ngunit ang wastong legal na pagpaplano at propesyonal na tulong ay mahalaga upang mag-navigate sa mga legalidad at mapakinabangan ang iyong mga benepisyo.</v>
      </c>
      <c r="F487" s="2">
        <f t="shared" si="1"/>
        <v>0</v>
      </c>
      <c r="G487" s="2"/>
      <c r="H487" s="2"/>
      <c r="I487" s="2"/>
      <c r="J487" s="2"/>
      <c r="K487" s="2"/>
      <c r="L487" s="2"/>
      <c r="M487" s="2"/>
      <c r="N487" s="2"/>
      <c r="O487" s="2"/>
      <c r="P487" s="2"/>
      <c r="Q487" s="2"/>
      <c r="R487" s="2"/>
      <c r="S487" s="2"/>
      <c r="T487" s="2"/>
      <c r="U487" s="2"/>
      <c r="V487" s="2"/>
      <c r="W487" s="2"/>
      <c r="X487" s="2"/>
      <c r="Y487" s="2"/>
      <c r="Z487" s="2"/>
      <c r="AA487" s="2"/>
    </row>
    <row r="488">
      <c r="A488" s="1" t="s">
        <v>1224</v>
      </c>
      <c r="B488" s="1" t="s">
        <v>1726</v>
      </c>
      <c r="C488" s="1" t="s">
        <v>1727</v>
      </c>
      <c r="D488" s="1" t="s">
        <v>1728</v>
      </c>
      <c r="E488" s="2" t="str">
        <f>IFERROR(__xludf.DUMMYFUNCTION("GOOGLETRANSLATE(C488, ""en"", ""TL"")"),"Sa Pilipinas, ang mga legal na responsibilidad ng mga tagapagmana hinggil sa minanang pagmamantini at pangangalaga ng ari-arian ay nakadepende sa ilang pangunahing salik:
Uri ng Pagmamay-ari:
Indibidwal na Pagmamay-ari: Kung ang isang tagapagmana ay nagma"&amp;"mana lamang ng ari-arian, ang responsibilidad para sa pagpapanatili at pangangalaga ay ganap na nakasalalay sa kanila. May karapatan silang gamitin at tamasahin ang ari-arian ngunit gayundin ang obligasyon na panatilihin ito sa mabuting kondisyon.
Pinagsa"&amp;"nib na Pagmamay-ari: Kapag ang mga tagapagmana ay magkakasamang namamana ng ari-arian (co-ownership), ang mga responsibilidad ay nahahati. Sa isip, ang mga kasamang may-ari ay dapat magkaroon ng kasunduan kung paano mahahati ang mga gastos sa pagpapanatil"&amp;"i at kung sino ang hahawak sa mga gawain sa pangangalaga.
Hindi Nahahati na Ari-arian:
Kung ang ari-arian ay nananatiling hindi nahahati pagkatapos ng mana (ibig sabihin walang pormal na partisyon na naganap), ang sitwasyon ay nagiging mas kumplikado:
Pro"&amp;"active Maintenance: Bagama't walang malinaw na legal na obligasyon para sa bawat tagapagmana na mag-ambag sa pangangalaga, ang pagpapabaya sa ari-arian at magdulot ng pinsala ay maaaring humantong sa mga legal na hindi pagkakaunawaan sa pagitan ng mga tag"&amp;"apagmana.
Pasanin ng Patunay: Kung ang isang tagapagmana ay nagkukusa upang mapanatili ang ari-arian at humingi ng reimbursement mula sa iba, kakailanganin nilang patunayan ang pangangailangan ng mga pagkukumpuni at ang pagiging patas ng pagbabahagi sa ga"&amp;"stos.
Mga Tukoy na Sitwasyon:
Mga nangungupahan: Kung ang ari-arian ay may mga kasalukuyang nangungupahan, ang responsibilidad para sa pagpapanatili ay maaaring ilipat sa bahagi o kabuuan sa nangungupahan depende sa mga tuntunin ng kasunduan sa pag-upa.
P"&amp;"anganib sa Foreclosure: Ang pagpapabaya sa pagbabayad ng mga buwis sa ari-arian o mga pagbabayad ng mortgage ay maaaring humantong sa pagreremata, na makakaapekto sa lahat ng tagapagmana.
Pangkalahatang Legal na Prinsipyo:
Mabuting Pananampalataya: Ang mg"&amp;"a tagapagmana ay inaasahang kumilos nang may mabuting loob tungkol sa minanang ari-arian. Kabilang dito ang paggawa ng mga makatwirang hakbang upang maiwasan ang pagkasira nito.
Pagpapanatili ng Halaga: Ang mga tagapagmana ay may tiyak na interes sa pagpa"&amp;"panatili ng halaga ng kanilang mana. Ang wastong pagpapanatili ay nakakatulong na matiyak na ang ari-arian ay nananatiling nasa mabuting kondisyon.
Disclaimer: Ito ay isang pinasimple na pangkalahatang-ideya, at maaaring umiral ang mga partikular na legal"&amp;" na nuances depende sa sitwasyon.
Mga Rekomendasyon:
Komunikasyon at Mga Kasunduan: Ang bukas na komunikasyon at malinaw na mga kasunduan sa pagitan ng mga tagapagmana, lalo na tungkol sa pag-aari na pag-aari, ay maaaring makatulong na maiwasan ang mga hi"&amp;"ndi pagkakaunawaan sa hinaharap tungkol sa mga responsibilidad sa pagpapanatili.
Legal na Konsultasyon: Ang pagkonsulta sa isang abogado na dalubhasa sa batas ng ari-arian ay maaaring magbigay ng mas tiyak na patnubay batay sa iyong sitwasyon at ang uri n"&amp;"g minanang ari-arian. Maaari nilang linawin ang iyong mga legal na obligasyon at anumang potensyal na panganib na nauugnay sa pagpapabaya sa pagpapanatili.")</f>
        <v>Sa Pilipinas, ang mga legal na responsibilidad ng mga tagapagmana hinggil sa minanang pagmamantini at pangangalaga ng ari-arian ay nakadepende sa ilang pangunahing salik:
Uri ng Pagmamay-ari:
Indibidwal na Pagmamay-ari: Kung ang isang tagapagmana ay nagmamana lamang ng ari-arian, ang responsibilidad para sa pagpapanatili at pangangalaga ay ganap na nakasalalay sa kanila. May karapatan silang gamitin at tamasahin ang ari-arian ngunit gayundin ang obligasyon na panatilihin ito sa mabuting kondisyon.
Pinagsanib na Pagmamay-ari: Kapag ang mga tagapagmana ay magkakasamang namamana ng ari-arian (co-ownership), ang mga responsibilidad ay nahahati. Sa isip, ang mga kasamang may-ari ay dapat magkaroon ng kasunduan kung paano mahahati ang mga gastos sa pagpapanatili at kung sino ang hahawak sa mga gawain sa pangangalaga.
Hindi Nahahati na Ari-arian:
Kung ang ari-arian ay nananatiling hindi nahahati pagkatapos ng mana (ibig sabihin walang pormal na partisyon na naganap), ang sitwasyon ay nagiging mas kumplikado:
Proactive Maintenance: Bagama't walang malinaw na legal na obligasyon para sa bawat tagapagmana na mag-ambag sa pangangalaga, ang pagpapabaya sa ari-arian at magdulot ng pinsala ay maaaring humantong sa mga legal na hindi pagkakaunawaan sa pagitan ng mga tagapagmana.
Pasanin ng Patunay: Kung ang isang tagapagmana ay nagkukusa upang mapanatili ang ari-arian at humingi ng reimbursement mula sa iba, kakailanganin nilang patunayan ang pangangailangan ng mga pagkukumpuni at ang pagiging patas ng pagbabahagi sa gastos.
Mga Tukoy na Sitwasyon:
Mga nangungupahan: Kung ang ari-arian ay may mga kasalukuyang nangungupahan, ang responsibilidad para sa pagpapanatili ay maaaring ilipat sa bahagi o kabuuan sa nangungupahan depende sa mga tuntunin ng kasunduan sa pag-upa.
Panganib sa Foreclosure: Ang pagpapabaya sa pagbabayad ng mga buwis sa ari-arian o mga pagbabayad ng mortgage ay maaaring humantong sa pagreremata, na makakaapekto sa lahat ng tagapagmana.
Pangkalahatang Legal na Prinsipyo:
Mabuting Pananampalataya: Ang mga tagapagmana ay inaasahang kumilos nang may mabuting loob tungkol sa minanang ari-arian. Kabilang dito ang paggawa ng mga makatwirang hakbang upang maiwasan ang pagkasira nito.
Pagpapanatili ng Halaga: Ang mga tagapagmana ay may tiyak na interes sa pagpapanatili ng halaga ng kanilang mana. Ang wastong pagpapanatili ay nakakatulong na matiyak na ang ari-arian ay nananatiling nasa mabuting kondisyon.
Disclaimer: Ito ay isang pinasimple na pangkalahatang-ideya, at maaaring umiral ang mga partikular na legal na nuances depende sa sitwasyon.
Mga Rekomendasyon:
Komunikasyon at Mga Kasunduan: Ang bukas na komunikasyon at malinaw na mga kasunduan sa pagitan ng mga tagapagmana, lalo na tungkol sa pag-aari na pag-aari, ay maaaring makatulong na maiwasan ang mga hindi pagkakaunawaan sa hinaharap tungkol sa mga responsibilidad sa pagpapanatili.
Legal na Konsultasyon: Ang pagkonsulta sa isang abogado na dalubhasa sa batas ng ari-arian ay maaaring magbigay ng mas tiyak na patnubay batay sa iyong sitwasyon at ang uri ng minanang ari-arian. Maaari nilang linawin ang iyong mga legal na obligasyon at anumang potensyal na panganib na nauugnay sa pagpapabaya sa pagpapanatili.</v>
      </c>
      <c r="F488" s="2">
        <f t="shared" si="1"/>
        <v>1</v>
      </c>
      <c r="G488" s="2"/>
      <c r="H488" s="2"/>
      <c r="I488" s="2"/>
      <c r="J488" s="2"/>
      <c r="K488" s="2"/>
      <c r="L488" s="2"/>
      <c r="M488" s="2"/>
      <c r="N488" s="2"/>
      <c r="O488" s="2"/>
      <c r="P488" s="2"/>
      <c r="Q488" s="2"/>
      <c r="R488" s="2"/>
      <c r="S488" s="2"/>
      <c r="T488" s="2"/>
      <c r="U488" s="2"/>
      <c r="V488" s="2"/>
      <c r="W488" s="2"/>
      <c r="X488" s="2"/>
      <c r="Y488" s="2"/>
      <c r="Z488" s="2"/>
      <c r="AA488" s="2"/>
    </row>
    <row r="489">
      <c r="A489" s="1" t="s">
        <v>1224</v>
      </c>
      <c r="B489" s="1" t="s">
        <v>1729</v>
      </c>
      <c r="C489" s="1" t="s">
        <v>1730</v>
      </c>
      <c r="D489" s="1" t="s">
        <v>1731</v>
      </c>
      <c r="E489" s="2" t="str">
        <f>IFERROR(__xludf.DUMMYFUNCTION("GOOGLETRANSLATE(C489, ""en"", ""TL"")"),"Nakikipag-ugnayan ang batas sa mana sa Pilipinas sa mga regulasyon sa kapaligiran sa ilang mahahalagang paraan pagdating sa minanang ari-arian:
Mga Kinakailangan sa Pagbubunyag:
Karapatan ng Tagapagmana na Malaman: Ang mga tagapagmana ay may karapatang ma"&amp;"abisuhan tungkol sa anumang mga isyu sa kapaligiran o mga paghihigpit na nauugnay sa ari-arian na kanilang minana. Maaaring kabilang dito ang:
Mga paghihigpit sa zoning dahil sa pagiging sensitibo sa kapaligiran.
Pagkakaroon ng mga mapanganib na materyale"&amp;"s o kontaminasyon.
Patuloy na mga utos sa paglilinis ng kapaligiran.
Anumang natitirang multa o parusa na may kaugnayan sa mga paglabag sa kapaligiran.
Mga Potensyal na Pananagutan:
Prinsipyo ng ""Polluter Pays"": Sumusunod ang Pilipinas sa prinsipyong """&amp;"polluter pays"", na maaaring managot sa mga tagapagmana para sa mga problema sa kapaligiran na dulot ng ari-arian, kahit na hindi sila ang naging sanhi ng isyu. Ito ay maaaring partikular na may kaugnayan para sa mga ari-arian na may dati nang kontaminasy"&amp;"on.
Mga Obligasyon sa Pagsunod:
Patuloy na Pananagutan: Maaaring mamana ng mga tagapagmana ang responsibilidad na sumunod sa mga kasalukuyang regulasyon sa kapaligiran o patuloy na mga utos sa paglilinis. Maaaring kabilang dito ang:
Pagkuha ng mga kinakai"&amp;"langang permit para sa pagpapatakbo ng ilang uri ng negosyo sa property.
Pagpapatupad ng mga tiyak na hakbang sa pagkontrol ng polusyon.
Pagpapatuloy ng anumang patuloy na pagsisikap sa remediation sa kapaligiran.
Epekto sa Halaga ng Mana:
Pinababang Hala"&amp;"ga: Ang mga ari-arian na may mga isyu sa kapaligiran o paghihigpit ay maaaring magkaroon ng makabuluhang mas mababang halaga sa pamilihan kumpara sa mga katulad na ari-arian na walang ganoong mga pasanin. Maaari itong makaapekto sa kabuuang halaga ng mana"&amp;" para sa lahat ng tagapagmana.
Mga Legal na Pagsasaalang-alang:
Due Diligence: Bago tumanggap ng inheritance, lalo na ang ari-arian na may potensyal na mga alalahanin sa kapaligiran, napakahalaga para sa mga tagapagmana na magsagawa ng masusing due dilige"&amp;"nce. Maaaring kabilang dito ang:
Mga pagtatasa ng kapaligiran sa lugar upang matukoy ang potensyal na kontaminasyon.
Pagsusuri sa mga regulasyon at paghihigpit sa zoning.
Pagkonsulta sa isang abogado na dalubhasa sa batas sa kapaligiran.
Disclaimer: Ang m"&amp;"ga regulasyon sa kapaligiran at ang mga implikasyon ng mga ito sa mana ay maaaring kumplikado at partikular sa sitwasyon.
Mga Rekomendasyon:
Propesyonal na Patnubay: Ang mga tagapagmana na nagmamana ng ari-arian na may potensyal na mga isyu sa kapaligiran"&amp;" ay mahigpit na pinapayuhan na humingi ng legal na payo mula sa isang abogado na dalubhasa sa parehong batas sa kapaligiran at pamana. Maaari silang:
Magbigay ng payo sa mga potensyal na pananagutan at mga obligasyon sa pagsunod.
Tumulong sa pag-navigate "&amp;"sa mga legalidad ng pagharap sa mga paghihigpit sa kapaligiran.
Gabayan ka sa paggawa ng matalinong mga desisyon tungkol sa pagtanggap o pamamahala ng mana.
Ang pag-unawa sa mga pakikipag-ugnayang ito sa pagitan ng batas sa mana at mga regulasyon sa kapal"&amp;"igiran ay makakatulong sa mga tagapagmana na gumawa ng matalinong mga desisyon at protektahan ang kanilang sarili mula sa mga hindi inaasahang pananagutan o mga pasanin sa pananalapi na nauugnay sa minanang ari-arian.")</f>
        <v>Nakikipag-ugnayan ang batas sa mana sa Pilipinas sa mga regulasyon sa kapaligiran sa ilang mahahalagang paraan pagdating sa minanang ari-arian:
Mga Kinakailangan sa Pagbubunyag:
Karapatan ng Tagapagmana na Malaman: Ang mga tagapagmana ay may karapatang maabisuhan tungkol sa anumang mga isyu sa kapaligiran o mga paghihigpit na nauugnay sa ari-arian na kanilang minana. Maaaring kabilang dito ang:
Mga paghihigpit sa zoning dahil sa pagiging sensitibo sa kapaligiran.
Pagkakaroon ng mga mapanganib na materyales o kontaminasyon.
Patuloy na mga utos sa paglilinis ng kapaligiran.
Anumang natitirang multa o parusa na may kaugnayan sa mga paglabag sa kapaligiran.
Mga Potensyal na Pananagutan:
Prinsipyo ng "Polluter Pays": Sumusunod ang Pilipinas sa prinsipyong "polluter pays", na maaaring managot sa mga tagapagmana para sa mga problema sa kapaligiran na dulot ng ari-arian, kahit na hindi sila ang naging sanhi ng isyu. Ito ay maaaring partikular na may kaugnayan para sa mga ari-arian na may dati nang kontaminasyon.
Mga Obligasyon sa Pagsunod:
Patuloy na Pananagutan: Maaaring mamana ng mga tagapagmana ang responsibilidad na sumunod sa mga kasalukuyang regulasyon sa kapaligiran o patuloy na mga utos sa paglilinis. Maaaring kabilang dito ang:
Pagkuha ng mga kinakailangang permit para sa pagpapatakbo ng ilang uri ng negosyo sa property.
Pagpapatupad ng mga tiyak na hakbang sa pagkontrol ng polusyon.
Pagpapatuloy ng anumang patuloy na pagsisikap sa remediation sa kapaligiran.
Epekto sa Halaga ng Mana:
Pinababang Halaga: Ang mga ari-arian na may mga isyu sa kapaligiran o paghihigpit ay maaaring magkaroon ng makabuluhang mas mababang halaga sa pamilihan kumpara sa mga katulad na ari-arian na walang ganoong mga pasanin. Maaari itong makaapekto sa kabuuang halaga ng mana para sa lahat ng tagapagmana.
Mga Legal na Pagsasaalang-alang:
Due Diligence: Bago tumanggap ng inheritance, lalo na ang ari-arian na may potensyal na mga alalahanin sa kapaligiran, napakahalaga para sa mga tagapagmana na magsagawa ng masusing due diligence. Maaaring kabilang dito ang:
Mga pagtatasa ng kapaligiran sa lugar upang matukoy ang potensyal na kontaminasyon.
Pagsusuri sa mga regulasyon at paghihigpit sa zoning.
Pagkonsulta sa isang abogado na dalubhasa sa batas sa kapaligiran.
Disclaimer: Ang mga regulasyon sa kapaligiran at ang mga implikasyon ng mga ito sa mana ay maaaring kumplikado at partikular sa sitwasyon.
Mga Rekomendasyon:
Propesyonal na Patnubay: Ang mga tagapagmana na nagmamana ng ari-arian na may potensyal na mga isyu sa kapaligiran ay mahigpit na pinapayuhan na humingi ng legal na payo mula sa isang abogado na dalubhasa sa parehong batas sa kapaligiran at pamana. Maaari silang:
Magbigay ng payo sa mga potensyal na pananagutan at mga obligasyon sa pagsunod.
Tumulong sa pag-navigate sa mga legalidad ng pagharap sa mga paghihigpit sa kapaligiran.
Gabayan ka sa paggawa ng matalinong mga desisyon tungkol sa pagtanggap o pamamahala ng mana.
Ang pag-unawa sa mga pakikipag-ugnayang ito sa pagitan ng batas sa mana at mga regulasyon sa kapaligiran ay makakatulong sa mga tagapagmana na gumawa ng matalinong mga desisyon at protektahan ang kanilang sarili mula sa mga hindi inaasahang pananagutan o mga pasanin sa pananalapi na nauugnay sa minanang ari-arian.</v>
      </c>
      <c r="F489" s="2">
        <f t="shared" si="1"/>
        <v>1</v>
      </c>
      <c r="G489" s="2"/>
      <c r="H489" s="2"/>
      <c r="I489" s="2"/>
      <c r="J489" s="2"/>
      <c r="K489" s="2"/>
      <c r="L489" s="2"/>
      <c r="M489" s="2"/>
      <c r="N489" s="2"/>
      <c r="O489" s="2"/>
      <c r="P489" s="2"/>
      <c r="Q489" s="2"/>
      <c r="R489" s="2"/>
      <c r="S489" s="2"/>
      <c r="T489" s="2"/>
      <c r="U489" s="2"/>
      <c r="V489" s="2"/>
      <c r="W489" s="2"/>
      <c r="X489" s="2"/>
      <c r="Y489" s="2"/>
      <c r="Z489" s="2"/>
      <c r="AA489" s="2"/>
    </row>
    <row r="490">
      <c r="A490" s="1" t="s">
        <v>1224</v>
      </c>
      <c r="B490" s="1" t="s">
        <v>1732</v>
      </c>
      <c r="C490" s="1" t="s">
        <v>1733</v>
      </c>
      <c r="D490" s="1" t="s">
        <v>1734</v>
      </c>
      <c r="E490" s="2" t="str">
        <f>IFERROR(__xludf.DUMMYFUNCTION("GOOGLETRANSLATE(C490, ""en"", ""TL"")"),"Ang pagmamana ng ari-arian na may umiiral na mga kasunduan sa pag-upa o mga nangungupahan ay may kasamang partikular na hanay ng mga legal na karapatan at obligasyon para sa mga tagapagmana sa ilalim ng batas ng Pilipinas. Narito ang isang breakdown ng mg"&amp;"a pangunahing punto:
Mga Karapatan ng Tagapagmana:
Maging Bagong Nagpapaupa: Sa pagmamana ng ari-arian, ang mga tagapagmana ay sama-samang magiging mga bagong panginoong maylupa, na magmamana ng mga karapatan at obligasyon na nakabalangkas sa mga ka"&amp;"salukuyang kasunduan sa pag-upa sa mga nangungupahan.
Suriin ang Mga Kasunduan sa Pag-upa: Ang mga tagapagmana ay may karapatang suriin ang mga umiiral na kasunduan sa pag-upa upang maunawaan ang mga tuntunin at kundisyon, kabilang ang:
Halaga ng upa at"&amp;" iskedyul ng pagbabayad.
Ang haba ng termino ng pag-upa.
Mga karapatan at responsibilidad ng nangungupahan tungkol sa pagpapanatili at pagkukumpuni.
Mga probisyon para sa pagwawakas ng lease.
Mga Obligasyon sa mga Nangungupahan:
Igalang ang mga Umi"&amp;"iral na Kasunduan: Ang mga tagapagmana sa pangkalahatan ay nakatali sa paggalang sa mga umiiral na kasunduan sa pag-upa sa mga nangungupahan. Nangangahulugan ito ng pagtataguyod sa napagkasunduang upa, pagpapanatili ng ari-arian ayon sa mga tuntunin sa pa"&amp;"g-upa, at paggalang sa karapatan ng mga nangungupahan sa mapayapang pagtatamasa ng ari-arian.
Komunikasyon sa mga Nangungupahan: Ang mga tagapagmana ay dapat magtatag ng malinaw na mga channel ng komunikasyon sa mga nangungupahan. Maaaring kabilang dito "&amp;"ang pagpapaalam sa kanila tungkol sa pagbabago sa pagmamay-ari at pagbalangkas ng anumang potensyal na pagbabago sa mga kasunduan sa pag-upa sa panahon ng pag-renew.
Mga Pagpipilian para sa mga Tagapagmana:
Ipagpatuloy ang Mga Umiiral na Kasunduan: Ku"&amp;"ng ang mga tagapagmana ay komportable sa kasalukuyang mga tuntunin, maaari silang magpatuloy lamang sa mga umiiral na kasunduan sa pag-upa hanggang sa kanilang natural na pag-expire.
Renegotiate Terms: Ang mga tagapagmana ay maaaring magsimula ng mga tal"&amp;"akayan sa mga nangungupahan upang muling pag-usapan ang upa o iba pang mga tuntunin sa pag-upa sa pag-renew. Gayunpaman, dapat itong gawin sa loob ng legal na balangkas na nakabalangkas sa umiiral na kasunduan sa pag-upa at mga batas sa pag-upa sa Pilipin"&amp;"as.
Wakasan ang Lease Sa Pag-renew: Sa ilalim ng ilang mga pangyayari, at depende sa mga partikular na tuntunin sa pag-upa, maaaring may karapatan ang mga tagapagmana na wakasan ang lease sa natural na pag-expire nito at humanap ng mga bagong nangungupah"&amp;"an. Gayunpaman, ang tamang panahon ng paunawa at pagsunod sa mga batas sa pag-upa ng Pilipinas ay mahalaga.
Mga Legal na Pagsasaalang-alang:
Mga Batas sa Pagkontrol sa Pagpapaupa: Ang batas ng Pilipinas, partikular sa mga urban na lugar, ay maaaring m"&amp;"ay mga regulasyon sa pagkontrol sa renta na naglilimita sa kung magkano ang maaaring tumaas ng mga tagapagmana ng upa sa pag-renew ng lease.
Mga Depositong Panseguridad: Ang mga tagapagmana ay may pananagutan sa pag-iingat sa anumang mga depositong panse"&amp;"guridad na natanggap mula sa mga nangungupahan ng dating may-ari.
Proseso ng Eviction: Kung kinakailangan ang pagpapaalis, dapat sundin ng mga tagapagmana ang proseso ng legal na pagpapaalis na nakabalangkas sa batas ng Pilipinas. Ang pagkonsulta sa isan"&amp;"g abogado ay masisiguro ang maayos at legal na proseso ng pagpapaalis.
Mga Rekomendasyon:
Humingi ng Legal na Payo: Ang pagkonsulta sa isang abogado na dalubhasa sa batas sa pag-upa ay lubos na inirerekomenda. Maaari silang:
Suriin ang mga umiiral na"&amp;" kasunduan sa pag-upa at payuhan ang iyong mga karapatan at obligasyon.
Gabayan ka sa mga potensyal na pagbabago sa mga kasunduan sa pag-upa o sa proseso ng pagpapaalis.
Tiyaking sumusunod ka sa mga nauugnay na batas sa pag-upa sa Pilipinas.
Sa pamamag"&amp;"itan ng pag-unawa sa kanilang mga legal na karapatan at obligasyon tungkol sa mga kasalukuyang nangungupahan, ang mga tagapagmana ay maaaring mag-navigate nang maayos sa proseso ng mana at matiyak ang isang positibong karanasan para sa kanilang sarili at "&amp;"sa mga nangungupahan na naninirahan sa ari-arian.")</f>
        <v>Ang pagmamana ng ari-arian na may umiiral na mga kasunduan sa pag-upa o mga nangungupahan ay may kasamang partikular na hanay ng mga legal na karapatan at obligasyon para sa mga tagapagmana sa ilalim ng batas ng Pilipinas. Narito ang isang breakdown ng mga pangunahing punto:
Mga Karapatan ng Tagapagmana:
Maging Bagong Nagpapaupa: Sa pagmamana ng ari-arian, ang mga tagapagmana ay sama-samang magiging mga bagong panginoong maylupa, na magmamana ng mga karapatan at obligasyon na nakabalangkas sa mga kasalukuyang kasunduan sa pag-upa sa mga nangungupahan.
Suriin ang Mga Kasunduan sa Pag-upa: Ang mga tagapagmana ay may karapatang suriin ang mga umiiral na kasunduan sa pag-upa upang maunawaan ang mga tuntunin at kundisyon, kabilang ang:
Halaga ng upa at iskedyul ng pagbabayad.
Ang haba ng termino ng pag-upa.
Mga karapatan at responsibilidad ng nangungupahan tungkol sa pagpapanatili at pagkukumpuni.
Mga probisyon para sa pagwawakas ng lease.
Mga Obligasyon sa mga Nangungupahan:
Igalang ang mga Umiiral na Kasunduan: Ang mga tagapagmana sa pangkalahatan ay nakatali sa paggalang sa mga umiiral na kasunduan sa pag-upa sa mga nangungupahan. Nangangahulugan ito ng pagtataguyod sa napagkasunduang upa, pagpapanatili ng ari-arian ayon sa mga tuntunin sa pag-upa, at paggalang sa karapatan ng mga nangungupahan sa mapayapang pagtatamasa ng ari-arian.
Komunikasyon sa mga Nangungupahan: Ang mga tagapagmana ay dapat magtatag ng malinaw na mga channel ng komunikasyon sa mga nangungupahan. Maaaring kabilang dito ang pagpapaalam sa kanila tungkol sa pagbabago sa pagmamay-ari at pagbalangkas ng anumang potensyal na pagbabago sa mga kasunduan sa pag-upa sa panahon ng pag-renew.
Mga Pagpipilian para sa mga Tagapagmana:
Ipagpatuloy ang Mga Umiiral na Kasunduan: Kung ang mga tagapagmana ay komportable sa kasalukuyang mga tuntunin, maaari silang magpatuloy lamang sa mga umiiral na kasunduan sa pag-upa hanggang sa kanilang natural na pag-expire.
Renegotiate Terms: Ang mga tagapagmana ay maaaring magsimula ng mga talakayan sa mga nangungupahan upang muling pag-usapan ang upa o iba pang mga tuntunin sa pag-upa sa pag-renew. Gayunpaman, dapat itong gawin sa loob ng legal na balangkas na nakabalangkas sa umiiral na kasunduan sa pag-upa at mga batas sa pag-upa sa Pilipinas.
Wakasan ang Lease Sa Pag-renew: Sa ilalim ng ilang mga pangyayari, at depende sa mga partikular na tuntunin sa pag-upa, maaaring may karapatan ang mga tagapagmana na wakasan ang lease sa natural na pag-expire nito at humanap ng mga bagong nangungupahan. Gayunpaman, ang tamang panahon ng paunawa at pagsunod sa mga batas sa pag-upa ng Pilipinas ay mahalaga.
Mga Legal na Pagsasaalang-alang:
Mga Batas sa Pagkontrol sa Pagpapaupa: Ang batas ng Pilipinas, partikular sa mga urban na lugar, ay maaaring may mga regulasyon sa pagkontrol sa renta na naglilimita sa kung magkano ang maaaring tumaas ng mga tagapagmana ng upa sa pag-renew ng lease.
Mga Depositong Panseguridad: Ang mga tagapagmana ay may pananagutan sa pag-iingat sa anumang mga depositong panseguridad na natanggap mula sa mga nangungupahan ng dating may-ari.
Proseso ng Eviction: Kung kinakailangan ang pagpapaalis, dapat sundin ng mga tagapagmana ang proseso ng legal na pagpapaalis na nakabalangkas sa batas ng Pilipinas. Ang pagkonsulta sa isang abogado ay masisiguro ang maayos at legal na proseso ng pagpapaalis.
Mga Rekomendasyon:
Humingi ng Legal na Payo: Ang pagkonsulta sa isang abogado na dalubhasa sa batas sa pag-upa ay lubos na inirerekomenda. Maaari silang:
Suriin ang mga umiiral na kasunduan sa pag-upa at payuhan ang iyong mga karapatan at obligasyon.
Gabayan ka sa mga potensyal na pagbabago sa mga kasunduan sa pag-upa o sa proseso ng pagpapaalis.
Tiyaking sumusunod ka sa mga nauugnay na batas sa pag-upa sa Pilipinas.
Sa pamamagitan ng pag-unawa sa kanilang mga legal na karapatan at obligasyon tungkol sa mga kasalukuyang nangungupahan, ang mga tagapagmana ay maaaring mag-navigate nang maayos sa proseso ng mana at matiyak ang isang positibong karanasan para sa kanilang sarili at sa mga nangungupahan na naninirahan sa ari-arian.</v>
      </c>
      <c r="F490" s="2">
        <f t="shared" si="1"/>
        <v>1</v>
      </c>
      <c r="G490" s="2"/>
      <c r="H490" s="2"/>
      <c r="I490" s="2"/>
      <c r="J490" s="2"/>
      <c r="K490" s="2"/>
      <c r="L490" s="2"/>
      <c r="M490" s="2"/>
      <c r="N490" s="2"/>
      <c r="O490" s="2"/>
      <c r="P490" s="2"/>
      <c r="Q490" s="2"/>
      <c r="R490" s="2"/>
      <c r="S490" s="2"/>
      <c r="T490" s="2"/>
      <c r="U490" s="2"/>
      <c r="V490" s="2"/>
      <c r="W490" s="2"/>
      <c r="X490" s="2"/>
      <c r="Y490" s="2"/>
      <c r="Z490" s="2"/>
      <c r="AA490" s="2"/>
    </row>
    <row r="491">
      <c r="A491" s="1" t="s">
        <v>1224</v>
      </c>
      <c r="B491" s="1" t="s">
        <v>1735</v>
      </c>
      <c r="C491" s="1" t="s">
        <v>1736</v>
      </c>
      <c r="D491" s="1" t="s">
        <v>1737</v>
      </c>
      <c r="E491" s="2" t="str">
        <f>IFERROR(__xludf.DUMMYFUNCTION("GOOGLETRANSLATE(C491, ""en"", ""TL"")"),"Oo, ang minanang ari-arian na matatagpuan sa isang pag-unlad na may asosasyon ng mga may-ari ng bahay (homeowners' association o HOA) ay maaaring ganap na sumailalim sa mga tuntunin at bayad sa HOA. Narito kung paano ito gumagana:
HOA Membership Transfers"&amp;" na may Pagmamay-ari:
Nagbubuklod na Kasunduan: Kapag nagmana ka ng ari-arian sa loob ng isang komunidad ng HOA, mamanahin mo ang responsibilidad na sumunod sa mga tuntunin at regulasyon ng HOA, na nakabalangkas sa Mga Tipan, Kundisyon, at Mga Paghihigpit"&amp;" (CC&amp;R) ng HOA. Ang mga panuntunang ito ay namamahala sa lahat mula sa pagpapanatili ng ari-arian hanggang sa mga paghihigpit sa ingay.
Awtomatikong Membership: Ang membership sa HOA ay karaniwang awtomatikong inililipat sa paglipat ng pagmamay-ari. Magig"&amp;"ing miyembro ka sa pagmamana ng ari-arian.
Mga Bayarin at Pagsusuri sa HOA:
Mga Obligasyon sa Pinansyal: Ang mga tagapagmana ay nagiging responsable sa pagbabayad ng mga bayarin sa HOA at anumang mga espesyal na pagtasa na ipinapataw ng asosasyon. Sinasak"&amp;"law ng mga bayarin na ito ang gastos sa pagpapanatili ng mga karaniwang lugar, amenities, at mga gastusin sa pangangasiwa ng HOA.
Napapanahong Pagbabayad: Tulad ng sinumang may-ari ng bahay, ang mga huling pagbabayad sa HOA ay maaaring magresulta sa mga m"&amp;"ulta o kahit na legal na aksyon.
Mga Pananagutan ng mga Tagapagmana:
Pag-unawa sa CC&amp;Rs: Maging pamilyar sa mga CC&amp;R ng HOA upang maunawaan ang mga partikular na tuntunin at regulasyon na dapat mong sundin.
Komunikasyon sa HOA: Panatilihin ang bukas na ko"&amp;"munikasyon sa HOA tungkol sa anumang mga pagbabago sa pagmamay-ari o occupancy ng property.
Pagsunod sa Mga Panuntunan: Tiyaking ang minanang ari-arian ay sumusunod sa mga regulasyon ng HOA tungkol sa pagpapanatili, mga pagbabago, o mga paghihigpit sa par"&amp;"adahan.
Mga Pagpipilian para sa mga Tagapagmana:
Pagbebenta ng Ari-arian: Kung ang mga bayarin o tuntunin sa HOA ay hindi akma, maaaring piliin ng mga tagapagmana na ibenta ang ari-arian. Gayunpaman, ang anumang hindi pa nababayarang bayad sa HOA ay dapat"&amp;" bayaran bago ma-finalize ang pagbebenta.
Mahahalagang Pagsasaalang-alang:
Pagbubunyag sa Panahon ng Pagbebenta: Kung magpasya kang ibenta ang minanang ari-arian, obligado kang ibunyag ang pagkakaroon ng HOA at ang mga nauugnay na bayarin nito sa mga pote"&amp;"nsyal na mamimili.
Mga Rekomendasyon:
Makipag-ugnayan sa HOA: Sa pagmamana ng ari-arian, aktibong makipag-ugnayan sa HOA upang ipakilala ang iyong sarili bilang bagong may-ari at magtanong tungkol sa anumang hindi pa nababayarang bayad o paparating na mga"&amp;" pagtatasa.
Suriin ang mga CC&amp;R: Maingat na suriin ang mga CC&amp;R ng HOA upang maunawaan ang iyong mga karapatan at responsibilidad bilang isang may-ari ng bahay sa loob ng komunidad.
Humingi ng Legal na Payo: Kung mayroon kang anumang mga katanungan o alal"&amp;"ahanin tungkol sa mga tuntunin o bayad ng HOA, ang pagkonsulta sa isang abogado na dalubhasa sa batas sa real estate ay maaaring maging kapaki-pakinabang.
Tandaan, ang pagmamana ng ari-arian sa loob ng isang komunidad ng HOA ay may parehong mga benepisyo "&amp;"(pinapanatili ang mga karaniwang lugar, amenities) at mga responsibilidad (pagsunod sa mga patakaran, pagbabayad ng mga bayarin). Ang pag-unawa sa mga inaasahan na ito ay maaaring matiyak ang isang maayos na paglipat para sa iyo at isang positibong karana"&amp;"san sa loob ng komunidad ng HOA.")</f>
        <v>Oo, ang minanang ari-arian na matatagpuan sa isang pag-unlad na may asosasyon ng mga may-ari ng bahay (homeowners' association o HOA) ay maaaring ganap na sumailalim sa mga tuntunin at bayad sa HOA. Narito kung paano ito gumagana:
HOA Membership Transfers na may Pagmamay-ari:
Nagbubuklod na Kasunduan: Kapag nagmana ka ng ari-arian sa loob ng isang komunidad ng HOA, mamanahin mo ang responsibilidad na sumunod sa mga tuntunin at regulasyon ng HOA, na nakabalangkas sa Mga Tipan, Kundisyon, at Mga Paghihigpit (CC&amp;R) ng HOA. Ang mga panuntunang ito ay namamahala sa lahat mula sa pagpapanatili ng ari-arian hanggang sa mga paghihigpit sa ingay.
Awtomatikong Membership: Ang membership sa HOA ay karaniwang awtomatikong inililipat sa paglipat ng pagmamay-ari. Magiging miyembro ka sa pagmamana ng ari-arian.
Mga Bayarin at Pagsusuri sa HOA:
Mga Obligasyon sa Pinansyal: Ang mga tagapagmana ay nagiging responsable sa pagbabayad ng mga bayarin sa HOA at anumang mga espesyal na pagtasa na ipinapataw ng asosasyon. Sinasaklaw ng mga bayarin na ito ang gastos sa pagpapanatili ng mga karaniwang lugar, amenities, at mga gastusin sa pangangasiwa ng HOA.
Napapanahong Pagbabayad: Tulad ng sinumang may-ari ng bahay, ang mga huling pagbabayad sa HOA ay maaaring magresulta sa mga multa o kahit na legal na aksyon.
Mga Pananagutan ng mga Tagapagmana:
Pag-unawa sa CC&amp;Rs: Maging pamilyar sa mga CC&amp;R ng HOA upang maunawaan ang mga partikular na tuntunin at regulasyon na dapat mong sundin.
Komunikasyon sa HOA: Panatilihin ang bukas na komunikasyon sa HOA tungkol sa anumang mga pagbabago sa pagmamay-ari o occupancy ng property.
Pagsunod sa Mga Panuntunan: Tiyaking ang minanang ari-arian ay sumusunod sa mga regulasyon ng HOA tungkol sa pagpapanatili, mga pagbabago, o mga paghihigpit sa paradahan.
Mga Pagpipilian para sa mga Tagapagmana:
Pagbebenta ng Ari-arian: Kung ang mga bayarin o tuntunin sa HOA ay hindi akma, maaaring piliin ng mga tagapagmana na ibenta ang ari-arian. Gayunpaman, ang anumang hindi pa nababayarang bayad sa HOA ay dapat bayaran bago ma-finalize ang pagbebenta.
Mahahalagang Pagsasaalang-alang:
Pagbubunyag sa Panahon ng Pagbebenta: Kung magpasya kang ibenta ang minanang ari-arian, obligado kang ibunyag ang pagkakaroon ng HOA at ang mga nauugnay na bayarin nito sa mga potensyal na mamimili.
Mga Rekomendasyon:
Makipag-ugnayan sa HOA: Sa pagmamana ng ari-arian, aktibong makipag-ugnayan sa HOA upang ipakilala ang iyong sarili bilang bagong may-ari at magtanong tungkol sa anumang hindi pa nababayarang bayad o paparating na mga pagtatasa.
Suriin ang mga CC&amp;R: Maingat na suriin ang mga CC&amp;R ng HOA upang maunawaan ang iyong mga karapatan at responsibilidad bilang isang may-ari ng bahay sa loob ng komunidad.
Humingi ng Legal na Payo: Kung mayroon kang anumang mga katanungan o alalahanin tungkol sa mga tuntunin o bayad ng HOA, ang pagkonsulta sa isang abogado na dalubhasa sa batas sa real estate ay maaaring maging kapaki-pakinabang.
Tandaan, ang pagmamana ng ari-arian sa loob ng isang komunidad ng HOA ay may parehong mga benepisyo (pinapanatili ang mga karaniwang lugar, amenities) at mga responsibilidad (pagsunod sa mga patakaran, pagbabayad ng mga bayarin). Ang pag-unawa sa mga inaasahan na ito ay maaaring matiyak ang isang maayos na paglipat para sa iyo at isang positibong karanasan sa loob ng komunidad ng HOA.</v>
      </c>
      <c r="F491" s="2">
        <f t="shared" si="1"/>
        <v>3</v>
      </c>
      <c r="G491" s="2"/>
      <c r="H491" s="2"/>
      <c r="I491" s="2"/>
      <c r="J491" s="2"/>
      <c r="K491" s="2"/>
      <c r="L491" s="2"/>
      <c r="M491" s="2"/>
      <c r="N491" s="2"/>
      <c r="O491" s="2"/>
      <c r="P491" s="2"/>
      <c r="Q491" s="2"/>
      <c r="R491" s="2"/>
      <c r="S491" s="2"/>
      <c r="T491" s="2"/>
      <c r="U491" s="2"/>
      <c r="V491" s="2"/>
      <c r="W491" s="2"/>
      <c r="X491" s="2"/>
      <c r="Y491" s="2"/>
      <c r="Z491" s="2"/>
      <c r="AA491" s="2"/>
    </row>
    <row r="492">
      <c r="A492" s="1" t="s">
        <v>1224</v>
      </c>
      <c r="B492" s="1" t="s">
        <v>1738</v>
      </c>
      <c r="C492" s="1" t="s">
        <v>1739</v>
      </c>
      <c r="D492" s="1" t="s">
        <v>1740</v>
      </c>
      <c r="E492" s="2" t="str">
        <f>IFERROR(__xludf.DUMMYFUNCTION("GOOGLETRANSLATE(C492, ""en"", ""TL"")"),"Sa Pilipinas, ang batas sa pagmamana sa pangkalahatan ay hindi direktang tumutugon kung paano inililipat ang mga permit sa paggamit ng lupa o mga karapatan sa minanang ari-arian. Gayunpaman, mayroong ilang mga pangunahing punto na dapat isaalang-alang:
"&amp;"
Mga Permit na Nakalakip sa Lupa:
Karapatan sa Real Property: Ang mga permit at karapatan sa paggamit ng lupa ay karaniwang nakikita bilang mga karapatan na nakalakip sa mismong real property, hindi naman sa may-ari. Kaya, sa mana, ang mga permit at ka"&amp;"rapatan na ito ay karaniwang inililipat kasama ng ari-arian sa mga tagapagmana.
Mga Pagsasaalang-alang sa Pag-renew o Paglipat:
Mga Tukoy na Kundisyon: Bagama't maaaring ilipat ang mga permit o mga karapatan, maaaring may mga partikular na kundisyon n"&amp;"a kalakip sa kanilang pag-renew o paglilipat sa pagbabago ng pagmamay-ari. Ang mga kundisyong ito ay maaaring ibalangkas sa:
Mga ordinansa ng lokal na pamahalaan na may kaugnayan sa zoning at paggamit ng lupa.
Ang orihinal na permit o entitlement docume"&amp;"nts na inisyu ng ahensya ng gobyerno.
Mga Potensyal na Limitasyon:
Mga Non-Transferable Permit: Sa ilang pagkakataon, ang ilang partikular na permit sa paggamit ng lupa ay maaaring hindi awtomatikong maililipat sa mga bagong may-ari. Ito ay maaaring d"&amp;"ahil sa partikular na katangian ng permit o ang nilalayong paggamit ng ari-arian.
Mga Kinakailangan sa Pagsunod: Maaaring kailanganin ng mga tagapagmana na magpakita ng pagsunod sa mga partikular na kinakailangan na nakabalangkas sa permit o mga regulasy"&amp;"on sa pagsona upang mapanatili ang umiiral na mga karapatan sa paggamit ng lupa.
Tungkulin ng mga Tagapagmana:
Pagpapatunay at Marapat na Pagsisikap: Ang mga tagapagmana ay dapat magsagawa ng angkop na pagsusumikap upang i-verify ang mga uri ng mga pe"&amp;"rmit sa paggamit ng lupa o mga karapatan na nauugnay sa minanang ari-arian. Maaaring kabilang dito ang:
Pagsusuri sa orihinal na mga dokumento ng permit.
Pagkonsulta sa may-katuturang ahensya ng gobyerno na responsable sa pagbibigay ng mga permit.
Mga "&amp;"Legal na Pagsasaalang-alang:
Mga Regulasyon sa Pagsosona: Ang mga regulasyon sa pagsosona sa Pilipinas ay maaaring kumplikado at iba-iba depende sa lokasyon. Ang isang abogado na dalubhasa sa batas sa paggamit ng lupa ay maaaring magbigay ng patnubay s"&amp;"a mga partikular na regulasyon ng zoning na naaangkop sa minanang ari-arian at anumang potensyal na limitasyon sa mga kasalukuyang permit.
Mga Plano sa Pagpapaunlad sa Hinaharap: Kung plano ng mga tagapagmana na bumuo ng ari-arian sa paraang lumihis mula"&amp;" sa umiiral na mga permit sa paggamit ng lupa, maaaring kailanganin nilang mag-aplay para sa mga bagong permit o humingi ng mga pagbabago sa mga umiiral na. Ang pag-navigate sa prosesong ito ay maaaring may kasamang legal na kadalubhasaan.
Mga Rekomendas"&amp;"yon:
Humingi ng Propesyonal na Payo: Ang pagkonsulta sa isang abogado na may kadalubhasaan sa paggamit ng lupa at batas sa real estate ay lubos na inirerekomenda. Maaari silang:
Suriin ang mga partikular na permit sa paggamit ng lupa o mga karapatan n"&amp;"a nakalakip sa ari-arian.
Magbigay ng payo sa anumang mga potensyal na limitasyon o kinakailangan sa pag-renew.
Gabayan ka sa proseso ng pag-secure ng mga kinakailangang permit kung ang mga plano sa pagpapaunlad sa hinaharap ay naiiba sa mga kasalukuyan"&amp;"g karapatan.
Sa pamamagitan ng pag-unawa kung paano nakikipag-ugnayan ang batas sa mana sa mga permit at karapatan sa paggamit ng lupa, ang mga tagapagmana ay makakagawa ng matalinong mga desisyon tungkol sa pamamahala at potensyal na pagbuo ng minanang "&amp;"ari-arian.")</f>
        <v>Sa Pilipinas, ang batas sa pagmamana sa pangkalahatan ay hindi direktang tumutugon kung paano inililipat ang mga permit sa paggamit ng lupa o mga karapatan sa minanang ari-arian. Gayunpaman, mayroong ilang mga pangunahing punto na dapat isaalang-alang:
Mga Permit na Nakalakip sa Lupa:
Karapatan sa Real Property: Ang mga permit at karapatan sa paggamit ng lupa ay karaniwang nakikita bilang mga karapatan na nakalakip sa mismong real property, hindi naman sa may-ari. Kaya, sa mana, ang mga permit at karapatan na ito ay karaniwang inililipat kasama ng ari-arian sa mga tagapagmana.
Mga Pagsasaalang-alang sa Pag-renew o Paglipat:
Mga Tukoy na Kundisyon: Bagama't maaaring ilipat ang mga permit o mga karapatan, maaaring may mga partikular na kundisyon na kalakip sa kanilang pag-renew o paglilipat sa pagbabago ng pagmamay-ari. Ang mga kundisyong ito ay maaaring ibalangkas sa:
Mga ordinansa ng lokal na pamahalaan na may kaugnayan sa zoning at paggamit ng lupa.
Ang orihinal na permit o entitlement documents na inisyu ng ahensya ng gobyerno.
Mga Potensyal na Limitasyon:
Mga Non-Transferable Permit: Sa ilang pagkakataon, ang ilang partikular na permit sa paggamit ng lupa ay maaaring hindi awtomatikong maililipat sa mga bagong may-ari. Ito ay maaaring dahil sa partikular na katangian ng permit o ang nilalayong paggamit ng ari-arian.
Mga Kinakailangan sa Pagsunod: Maaaring kailanganin ng mga tagapagmana na magpakita ng pagsunod sa mga partikular na kinakailangan na nakabalangkas sa permit o mga regulasyon sa pagsona upang mapanatili ang umiiral na mga karapatan sa paggamit ng lupa.
Tungkulin ng mga Tagapagmana:
Pagpapatunay at Marapat na Pagsisikap: Ang mga tagapagmana ay dapat magsagawa ng angkop na pagsusumikap upang i-verify ang mga uri ng mga permit sa paggamit ng lupa o mga karapatan na nauugnay sa minanang ari-arian. Maaaring kabilang dito ang:
Pagsusuri sa orihinal na mga dokumento ng permit.
Pagkonsulta sa may-katuturang ahensya ng gobyerno na responsable sa pagbibigay ng mga permit.
Mga Legal na Pagsasaalang-alang:
Mga Regulasyon sa Pagsosona: Ang mga regulasyon sa pagsosona sa Pilipinas ay maaaring kumplikado at iba-iba depende sa lokasyon. Ang isang abogado na dalubhasa sa batas sa paggamit ng lupa ay maaaring magbigay ng patnubay sa mga partikular na regulasyon ng zoning na naaangkop sa minanang ari-arian at anumang potensyal na limitasyon sa mga kasalukuyang permit.
Mga Plano sa Pagpapaunlad sa Hinaharap: Kung plano ng mga tagapagmana na bumuo ng ari-arian sa paraang lumihis mula sa umiiral na mga permit sa paggamit ng lupa, maaaring kailanganin nilang mag-aplay para sa mga bagong permit o humingi ng mga pagbabago sa mga umiiral na. Ang pag-navigate sa prosesong ito ay maaaring may kasamang legal na kadalubhasaan.
Mga Rekomendasyon:
Humingi ng Propesyonal na Payo: Ang pagkonsulta sa isang abogado na may kadalubhasaan sa paggamit ng lupa at batas sa real estate ay lubos na inirerekomenda. Maaari silang:
Suriin ang mga partikular na permit sa paggamit ng lupa o mga karapatan na nakalakip sa ari-arian.
Magbigay ng payo sa anumang mga potensyal na limitasyon o kinakailangan sa pag-renew.
Gabayan ka sa proseso ng pag-secure ng mga kinakailangang permit kung ang mga plano sa pagpapaunlad sa hinaharap ay naiiba sa mga kasalukuyang karapatan.
Sa pamamagitan ng pag-unawa kung paano nakikipag-ugnayan ang batas sa mana sa mga permit at karapatan sa paggamit ng lupa, ang mga tagapagmana ay makakagawa ng matalinong mga desisyon tungkol sa pamamahala at potensyal na pagbuo ng minanang ari-arian.</v>
      </c>
      <c r="F492" s="2">
        <f t="shared" si="1"/>
        <v>1</v>
      </c>
      <c r="G492" s="2"/>
      <c r="H492" s="2"/>
      <c r="I492" s="2"/>
      <c r="J492" s="2"/>
      <c r="K492" s="2"/>
      <c r="L492" s="2"/>
      <c r="M492" s="2"/>
      <c r="N492" s="2"/>
      <c r="O492" s="2"/>
      <c r="P492" s="2"/>
      <c r="Q492" s="2"/>
      <c r="R492" s="2"/>
      <c r="S492" s="2"/>
      <c r="T492" s="2"/>
      <c r="U492" s="2"/>
      <c r="V492" s="2"/>
      <c r="W492" s="2"/>
      <c r="X492" s="2"/>
      <c r="Y492" s="2"/>
      <c r="Z492" s="2"/>
      <c r="AA492" s="2"/>
    </row>
    <row r="493">
      <c r="A493" s="1" t="s">
        <v>1224</v>
      </c>
      <c r="B493" s="1" t="s">
        <v>1741</v>
      </c>
      <c r="C493" s="1" t="s">
        <v>1742</v>
      </c>
      <c r="D493" s="1" t="s">
        <v>1743</v>
      </c>
      <c r="E493" s="2" t="str">
        <f>IFERROR(__xludf.DUMMYFUNCTION("GOOGLETRANSLATE(C493, ""en"", ""TL"")"),"Sa Pilipinas, ang mga tagapagmana ay may ilang legal na opsyon para sa pag-abuloy ng kanilang minanang ari-arian sa mga organisasyon o mga layunin ng kawanggawa. Narito ang isang breakdown ng mga pangunahing diskarte:
Direktang Donasyon:
Simple at D"&amp;"iretso: Kabilang dito ang paglilipat ng pagmamay-ari ng ari-arian nang direkta sa napiling organisasyong pangkawanggawa sa pamamagitan ng Deed of Donation. Makakatulong ang isang abogado na matiyak na ang Deed ay legal na tama at binabalangkas ang mga tun"&amp;"tunin ng donasyon (walang kondisyon o may mga partikular na paghihigpit).
Pagbebenta at Donasyon ng mga Nalikom:
Pagpipilian sa Monetization: Maaaring piliin ng mga tagapagmana na ibenta ang minanang ari-arian at pagkatapos ay i-donate ang mga nalikom"&amp;" mula sa pagbebenta sa kawanggawa na kanilang pinili. Ang pamamaraang ito ay maaaring maging kapaki-pakinabang kung ang ari-arian ay mahirap pangasiwaan o ang kawanggawa ay maaaring magamit ang mga pondo nang mas epektibo.
Pag-donate ng Bahagi ng Pagmama"&amp;"y-ari:
Bahagyang Donasyon: Kung ang ari-arian ay kapwa pagmamay-ari ng maraming tagapagmana, ang isa o higit pang tagapagmana ay maaaring pumili na ibigay ang kanilang indibidwal na bahagi ng pagmamay-ari sa kawanggawa. Ang mga legal na kasunduan na na"&amp;"gbabalangkas sa donasyon at anumang natitirang karapatan sa pagmamay-ari ay mahalaga.
Pagtatatag ng isang Tiwala:
Structured Donation: Maaaring mag-set up ng trust ang mga tagapagmana sa minanang ari-arian bilang pangunahing asset. Ang tiwala ay maaar"&amp;"ing idisenyo upang:
Ipamahagi ang isang bahagi ng kita na nabuo ng ari-arian sa kawanggawa sa paglipas ng panahon.
Ibigay ang buong ari-arian (o natitirang mga ari-arian) sa kawanggawa sa mga partikular na kundisyon o pagkatapos ng isang takdang panahon"&amp;".
Mga Pagsasaalang-alang sa Buwis:
Potensyal na Mga Benepisyo sa Buwis: Ang pag-donate ng ari-arian sa mga kwalipikadong organisasyong pangkawanggawa ay maaaring mag-alok ng ilang benepisyo sa buwis sa Pilipinas. Gayunpaman, napakahalagang kumunsulta "&amp;"sa isang tax advisor para maunawaan ang mga partikular na implikasyon sa buwis at mga kinakailangan sa pagiging kwalipikado.
Mga Rekomendasyon:
Kumonsulta sa Abogado: Anuman ang napiling paraan ng donasyon, ang paghingi ng legal na payo mula sa isang "&amp;"abogadong dalubhasa sa batas sa ari-arian at ari-arian ay lubos na inirerekomenda.
Maaari silang tumulong sa pagbalangkas ng mga kinakailangang legal na dokumento (Deed of Donation, trust agreements).
Siguraduhin na ang proseso ng donasyon ay sumusunod "&amp;"sa batas ng Pilipinas at i-maximize ang anumang potensyal na benepisyo sa buwis.
Makipag-ugnayan sa Charity: Magtatag ng komunikasyon sa napiling organisasyong pangkawanggawa upang matiyak na matatanggap nila ang donasyon at maunawaan ang anumang partiku"&amp;"lar na mga kinakailangan na maaaring mayroon sila.
Mga Karagdagang Pagsasaalang-alang:
Kalinawan ng Layunin: Malinaw na tukuyin ang layunin ng donasyon at anumang mga paghihigpit na nais mong ipataw (mga partikular na programa o dahilan kung saan dapa"&amp;"t gamitin ng charity ang mga pondo).
Due Diligence: Magsaliksik sa organisasyon ng kawanggawa upang matiyak ang kanilang pagiging lehitimo at pagkakahanay sa iyong mga halaga.
Sa pamamagitan ng paggalugad sa mga legal na opsyon at paghanap ng propesyona"&amp;"l na patnubay, matutupad ng mga tagapagmana ang kanilang mga layunin sa pagkakawanggawa at mag-ambag sa mga karapat-dapat na layunin habang nagna-navigate sa legalidad ng pagbibigay ng minanang ari-arian sa Pilipinas.")</f>
        <v>Sa Pilipinas, ang mga tagapagmana ay may ilang legal na opsyon para sa pag-abuloy ng kanilang minanang ari-arian sa mga organisasyon o mga layunin ng kawanggawa. Narito ang isang breakdown ng mga pangunahing diskarte:
Direktang Donasyon:
Simple at Diretso: Kabilang dito ang paglilipat ng pagmamay-ari ng ari-arian nang direkta sa napiling organisasyong pangkawanggawa sa pamamagitan ng Deed of Donation. Makakatulong ang isang abogado na matiyak na ang Deed ay legal na tama at binabalangkas ang mga tuntunin ng donasyon (walang kondisyon o may mga partikular na paghihigpit).
Pagbebenta at Donasyon ng mga Nalikom:
Pagpipilian sa Monetization: Maaaring piliin ng mga tagapagmana na ibenta ang minanang ari-arian at pagkatapos ay i-donate ang mga nalikom mula sa pagbebenta sa kawanggawa na kanilang pinili. Ang pamamaraang ito ay maaaring maging kapaki-pakinabang kung ang ari-arian ay mahirap pangasiwaan o ang kawanggawa ay maaaring magamit ang mga pondo nang mas epektibo.
Pag-donate ng Bahagi ng Pagmamay-ari:
Bahagyang Donasyon: Kung ang ari-arian ay kapwa pagmamay-ari ng maraming tagapagmana, ang isa o higit pang tagapagmana ay maaaring pumili na ibigay ang kanilang indibidwal na bahagi ng pagmamay-ari sa kawanggawa. Ang mga legal na kasunduan na nagbabalangkas sa donasyon at anumang natitirang karapatan sa pagmamay-ari ay mahalaga.
Pagtatatag ng isang Tiwala:
Structured Donation: Maaaring mag-set up ng trust ang mga tagapagmana sa minanang ari-arian bilang pangunahing asset. Ang tiwala ay maaaring idisenyo upang:
Ipamahagi ang isang bahagi ng kita na nabuo ng ari-arian sa kawanggawa sa paglipas ng panahon.
Ibigay ang buong ari-arian (o natitirang mga ari-arian) sa kawanggawa sa mga partikular na kundisyon o pagkatapos ng isang takdang panahon.
Mga Pagsasaalang-alang sa Buwis:
Potensyal na Mga Benepisyo sa Buwis: Ang pag-donate ng ari-arian sa mga kwalipikadong organisasyong pangkawanggawa ay maaaring mag-alok ng ilang benepisyo sa buwis sa Pilipinas. Gayunpaman, napakahalagang kumunsulta sa isang tax advisor para maunawaan ang mga partikular na implikasyon sa buwis at mga kinakailangan sa pagiging kwalipikado.
Mga Rekomendasyon:
Kumonsulta sa Abogado: Anuman ang napiling paraan ng donasyon, ang paghingi ng legal na payo mula sa isang abogadong dalubhasa sa batas sa ari-arian at ari-arian ay lubos na inirerekomenda.
Maaari silang tumulong sa pagbalangkas ng mga kinakailangang legal na dokumento (Deed of Donation, trust agreements).
Siguraduhin na ang proseso ng donasyon ay sumusunod sa batas ng Pilipinas at i-maximize ang anumang potensyal na benepisyo sa buwis.
Makipag-ugnayan sa Charity: Magtatag ng komunikasyon sa napiling organisasyong pangkawanggawa upang matiyak na matatanggap nila ang donasyon at maunawaan ang anumang partikular na mga kinakailangan na maaaring mayroon sila.
Mga Karagdagang Pagsasaalang-alang:
Kalinawan ng Layunin: Malinaw na tukuyin ang layunin ng donasyon at anumang mga paghihigpit na nais mong ipataw (mga partikular na programa o dahilan kung saan dapat gamitin ng charity ang mga pondo).
Due Diligence: Magsaliksik sa organisasyon ng kawanggawa upang matiyak ang kanilang pagiging lehitimo at pagkakahanay sa iyong mga halaga.
Sa pamamagitan ng paggalugad sa mga legal na opsyon at paghanap ng propesyonal na patnubay, matutupad ng mga tagapagmana ang kanilang mga layunin sa pagkakawanggawa at mag-ambag sa mga karapat-dapat na layunin habang nagna-navigate sa legalidad ng pagbibigay ng minanang ari-arian sa Pilipinas.</v>
      </c>
      <c r="F493" s="2">
        <f t="shared" si="1"/>
        <v>3</v>
      </c>
      <c r="G493" s="2"/>
      <c r="H493" s="2"/>
      <c r="I493" s="2"/>
      <c r="J493" s="2"/>
      <c r="K493" s="2"/>
      <c r="L493" s="2"/>
      <c r="M493" s="2"/>
      <c r="N493" s="2"/>
      <c r="O493" s="2"/>
      <c r="P493" s="2"/>
      <c r="Q493" s="2"/>
      <c r="R493" s="2"/>
      <c r="S493" s="2"/>
      <c r="T493" s="2"/>
      <c r="U493" s="2"/>
      <c r="V493" s="2"/>
      <c r="W493" s="2"/>
      <c r="X493" s="2"/>
      <c r="Y493" s="2"/>
      <c r="Z493" s="2"/>
      <c r="AA493" s="2"/>
    </row>
    <row r="494">
      <c r="A494" s="1" t="s">
        <v>1224</v>
      </c>
      <c r="B494" s="1" t="s">
        <v>1744</v>
      </c>
      <c r="C494" s="1" t="s">
        <v>1745</v>
      </c>
      <c r="D494" s="1" t="s">
        <v>1746</v>
      </c>
      <c r="E494" s="2" t="str">
        <f>IFERROR(__xludf.DUMMYFUNCTION("GOOGLETRANSLATE(C494, ""en"", ""TL"")"),"Ang mga buwis sa mana sa Pilipinas ay sumailalim sa malalaking pagbabago sa mga nakaraang taon. Narito ang isang breakdown ng kasalukuyang mga implikasyon sa buwis na dapat isaalang-alang ng mga tagapagmana:
Estate Tax vs. Inheritance Tax:
Unified E"&amp;"state Tax: Noong 2018, nagpapatupad ang Pilipinas ng unified estate tax system. Nangangahulugan ito na ang buong netong ari-arian ng namatay, anuman ang bilang ng mga tagapagmana, ay napapailalim sa isang solong rate ng buwis.
Rate ng Buwis:
Pinasimpl"&amp;"eng Istraktura: Ang kasalukuyang rate ng buwis sa ari-arian ay flat 6% sa halaga ng netong ari-arian na lampas sa Php 5,000,000 (humigit-kumulang $91,000 USD noong Marso 5, 2024).
Nabubuwisang Estate:
Pagkalkula ng Net Estate: Ang buwis ay kinakalkula"&amp;" sa halaga ng netong ari-arian, na kung saan ay ang patas na halaga sa pamilihan ng lahat ng mga ari-arian ng namatay na binawasan ng mga pinahihintulutang pagbabawas tulad ng mga utang, gastos sa libing, at mga gastos sa medikal.
Responsibilidad sa Pagb"&amp;"abayad ng Buwis:
Mga Tagapagpatupad o Tagapangasiwa: Ang pananagutan para sa paghahain ng estate tax return at pagbabayad ng buwis ay nakasalalay sa tagapagpatupad o tagapangasiwa ng ari-arian na itinalaga ng korte. Kung walang itinalagang tagapagpatup"&amp;"ad, ang sinumang tao sa aktwal o nakatutulong na pag-aari ng ari-arian ng namatay ay magiging responsable.
Mga Implikasyon ng Buwis para sa mga Tagapagmana:
Di-tuwirang Epekto: Bagama't ang mga tagapagmana mismo ay hindi direktang nagbabayad ng inheri"&amp;"tance tax, maaaring maapektuhan ng estate tax ang halagang kanilang mamanahin. Ang pananagutan sa buwis ay binabayaran bago ipamahagi ang ari-arian, kaya ang mas malaking pasanin sa buwis ay maaaring mabawasan ang netong halaga na natanggap ng bawat tagap"&amp;"agmana.
Mga Karagdagang Pagsasaalang-alang:
Mga Programa sa Tax Amnesty: Maaaring mag-alok ang Pilipinas ng mga programa sa tax amnesty paminsan-minsan, na nagpapahintulot sa mga tagapagmana na bayaran ang mga natitirang buwis sa ari-arian na may pina"&amp;"babang mga parusa o interes. Maipapayo na manatiling updated sa anumang naturang mga programa.
Mga Donated na Asset: Ang ari-arian na nai-donate sa mga kwalipikadong organisasyong pangkawanggawa ay maaaring ma-exempt sa buwis sa ari-arian, na posibleng m"&amp;"abawasan ang kabuuang pasanin sa buwis. Maaaring linawin ng pagkonsulta sa isang tax advisor ang mga kinakailangan sa pagiging kwalipikado.
Mga Dayuhang Asset: Kung ang namatay ay nagmamay-ari ng ari-arian na matatagpuan sa ibang bansa, ang mga karagdaga"&amp;"ng inheritance o estate tax ay maaaring naaangkop sa partikular na bansang iyon.
Mga Rekomendasyon:
Kumonsulta sa Tax Advisor: Ang paghingi ng patnubay mula sa isang tax advisor na dalubhasa sa estate tax ay lubos na inirerekomenda. Maaari silang:
Ka"&amp;"lkulahin ang potensyal na pananagutan sa buwis sa ari-arian batay sa mga partikular na kalagayan ng mana.
Magbigay ng payo sa mga estratehiya upang mabawasan ang pasanin sa buwis, kung naaangkop.
Gabayan ang tagapagpatupad o administrator sa pamamagitan"&amp;" ng paghahain ng buwis sa ari-arian at proseso ng pagbabayad.
Sa pamamagitan ng pag-unawa sa kasalukuyang rehimen ng buwis at paghingi ng propesyonal na payo, maaaring i-navigate ng mga tagapagmana ang proseso ng mana na may mas malinaw na larawan ng kan"&amp;"ilang mga potensyal na obligasyon sa buwis at i-maximize ang halaga na natatanggap nila mula sa kanilang mana.")</f>
        <v>Ang mga buwis sa mana sa Pilipinas ay sumailalim sa malalaking pagbabago sa mga nakaraang taon. Narito ang isang breakdown ng kasalukuyang mga implikasyon sa buwis na dapat isaalang-alang ng mga tagapagmana:
Estate Tax vs. Inheritance Tax:
Unified Estate Tax: Noong 2018, nagpapatupad ang Pilipinas ng unified estate tax system. Nangangahulugan ito na ang buong netong ari-arian ng namatay, anuman ang bilang ng mga tagapagmana, ay napapailalim sa isang solong rate ng buwis.
Rate ng Buwis:
Pinasimpleng Istraktura: Ang kasalukuyang rate ng buwis sa ari-arian ay flat 6% sa halaga ng netong ari-arian na lampas sa Php 5,000,000 (humigit-kumulang $91,000 USD noong Marso 5, 2024).
Nabubuwisang Estate:
Pagkalkula ng Net Estate: Ang buwis ay kinakalkula sa halaga ng netong ari-arian, na kung saan ay ang patas na halaga sa pamilihan ng lahat ng mga ari-arian ng namatay na binawasan ng mga pinahihintulutang pagbabawas tulad ng mga utang, gastos sa libing, at mga gastos sa medikal.
Responsibilidad sa Pagbabayad ng Buwis:
Mga Tagapagpatupad o Tagapangasiwa: Ang pananagutan para sa paghahain ng estate tax return at pagbabayad ng buwis ay nakasalalay sa tagapagpatupad o tagapangasiwa ng ari-arian na itinalaga ng korte. Kung walang itinalagang tagapagpatupad, ang sinumang tao sa aktwal o nakatutulong na pag-aari ng ari-arian ng namatay ay magiging responsable.
Mga Implikasyon ng Buwis para sa mga Tagapagmana:
Di-tuwirang Epekto: Bagama't ang mga tagapagmana mismo ay hindi direktang nagbabayad ng inheritance tax, maaaring maapektuhan ng estate tax ang halagang kanilang mamanahin. Ang pananagutan sa buwis ay binabayaran bago ipamahagi ang ari-arian, kaya ang mas malaking pasanin sa buwis ay maaaring mabawasan ang netong halaga na natanggap ng bawat tagapagmana.
Mga Karagdagang Pagsasaalang-alang:
Mga Programa sa Tax Amnesty: Maaaring mag-alok ang Pilipinas ng mga programa sa tax amnesty paminsan-minsan, na nagpapahintulot sa mga tagapagmana na bayaran ang mga natitirang buwis sa ari-arian na may pinababang mga parusa o interes. Maipapayo na manatiling updated sa anumang naturang mga programa.
Mga Donated na Asset: Ang ari-arian na nai-donate sa mga kwalipikadong organisasyong pangkawanggawa ay maaaring ma-exempt sa buwis sa ari-arian, na posibleng mabawasan ang kabuuang pasanin sa buwis. Maaaring linawin ng pagkonsulta sa isang tax advisor ang mga kinakailangan sa pagiging kwalipikado.
Mga Dayuhang Asset: Kung ang namatay ay nagmamay-ari ng ari-arian na matatagpuan sa ibang bansa, ang mga karagdagang inheritance o estate tax ay maaaring naaangkop sa partikular na bansang iyon.
Mga Rekomendasyon:
Kumonsulta sa Tax Advisor: Ang paghingi ng patnubay mula sa isang tax advisor na dalubhasa sa estate tax ay lubos na inirerekomenda. Maaari silang:
Kalkulahin ang potensyal na pananagutan sa buwis sa ari-arian batay sa mga partikular na kalagayan ng mana.
Magbigay ng payo sa mga estratehiya upang mabawasan ang pasanin sa buwis, kung naaangkop.
Gabayan ang tagapagpatupad o administrator sa pamamagitan ng paghahain ng buwis sa ari-arian at proseso ng pagbabayad.
Sa pamamagitan ng pag-unawa sa kasalukuyang rehimen ng buwis at paghingi ng propesyonal na payo, maaaring i-navigate ng mga tagapagmana ang proseso ng mana na may mas malinaw na larawan ng kanilang mga potensyal na obligasyon sa buwis at i-maximize ang halaga na natatanggap nila mula sa kanilang mana.</v>
      </c>
      <c r="F494" s="2">
        <f t="shared" si="1"/>
        <v>0</v>
      </c>
      <c r="G494" s="2"/>
      <c r="H494" s="2"/>
      <c r="I494" s="2"/>
      <c r="J494" s="2"/>
      <c r="K494" s="2"/>
      <c r="L494" s="2"/>
      <c r="M494" s="2"/>
      <c r="N494" s="2"/>
      <c r="O494" s="2"/>
      <c r="P494" s="2"/>
      <c r="Q494" s="2"/>
      <c r="R494" s="2"/>
      <c r="S494" s="2"/>
      <c r="T494" s="2"/>
      <c r="U494" s="2"/>
      <c r="V494" s="2"/>
      <c r="W494" s="2"/>
      <c r="X494" s="2"/>
      <c r="Y494" s="2"/>
      <c r="Z494" s="2"/>
      <c r="AA494" s="2"/>
    </row>
    <row r="495">
      <c r="A495" s="1" t="s">
        <v>1224</v>
      </c>
      <c r="B495" s="1" t="s">
        <v>1747</v>
      </c>
      <c r="C495" s="1" t="s">
        <v>1748</v>
      </c>
      <c r="D495" s="1" t="s">
        <v>1749</v>
      </c>
      <c r="E495" s="2" t="str">
        <f>IFERROR(__xludf.DUMMYFUNCTION("GOOGLETRANSLATE(C495, ""en"", ""TL"")"),"Ang mga legal na hakbang na kasangkot sa paglilipat ng minanang ari-arian sa mga benepisyaryo sa Pilipinas ay nakadepende sa kung ang namatay ay nag-iwan ng testamento o hindi. Narito ang isang breakdown ng dalawang pangunahing senaryo:
Sitwasyon 1: Ma"&amp;"y Habilin (Succession ng Testate)
Probate ng Will:
Ang hinirang na tagapagpatupad na pinangalanan sa testamento ay naghain ng petisyon sa korte upang masuri ang testamento. Ito ay nagpapatunay sa pagiging tunay at bisa ng testamento.
Settlement ng "&amp;"Estate Taxes:
Kinakalkula ng tagapagpatupad ang buwis sa ari-arian batay sa halaga ng netong ari-arian (lahat ng mga ari-arian binawasan ang mga bawas).
Ang isang estate tax return ay inihain sa Bureau of Internal Revenue (BIR) at ang buwis ay binabay"&amp;"aran.
Ang Certificate Authorizing Registration (CAR) ay nakukuha mula sa BIR pagkatapos ng tax clearance.
Extrajudicial Settlement of Estate (EJS) (Opsyonal):
Kung ang ari-arian ay hindi kumplikado at lahat ng mga tagapagmana ay sumang-ayon sa pamama"&amp;"hagi, ang isang EJS ay maaaring ihanda ng isang abogado. Ito ay isang notarized na dokumento na nagbabalangkas sa pamamahagi ng mga ari-arian sa mga benepisyaryo ayon sa kalooban.
Paglipat ng Mga Pamagat ng Ari-arian:
Sa pamamagitan ng testamento, pro"&amp;"bate order, at CAR (kung naaangkop), ang tagapagpatupad ay maaaring lumapit sa Registry of Deeds upang ilipat ang mga titulo ng mga minanang ari-arian sa mga pangalan ng mga benepisyaryo gaya ng nakabalangkas sa testamento.
Scenario 2: No Will (Intestate"&amp;" Succession)
Pahayag ng mga Tagapagmana:
Kung walang testamento, ang mga tagapagmana ay kailangang maghain ng petisyon sa korte para sa isang Deklarasyon ng mga Tagapagmana. Ang legal na prosesong ito ay nagtatatag ng pagkakakilanlan at legal na kar"&amp;"apatan ng bawat tagapagmana ayon sa mga batas ng Philippine intestate succession.
Extrajudicial Settlement of Estate (EJS):
Katulad ng proseso na may testamento, kapag naitatag na ang mga tagapagmana, ang EJS ay maaaring ihanda ng isang abogado na nag"&amp;"babalangkas sa napagkasunduang pamamahagi ng mga ari-arian sa mga tagapagmana.
Settlement ng Estate Taxes:
Ang parehong proseso para sa pagkalkula, pag-file, at pagbabayad ng buwis sa ari-arian ay nalalapat, na sinusundan ng pagkuha ng CAR mula sa BIR"&amp;".
Paglipat ng Mga Pamagat ng Ari-arian:
Sa Deklarasyon ng mga Tagapagmana, EJS, at CAR (kung naaangkop), ang mga tagapagmana ay maaaring magpatuloy sa Registry of Deeds upang ilipat ang mga titulo ng mga minanang ari-arian sa kani-kanilang mga pangala"&amp;"n.
Mga Karagdagang Pagsasaalang-alang:
Timeframe: Ang buong proseso ay maaaring tumagal ng ilang buwan, depende sa pagiging kumplikado ng ari-arian, mga paglilitis sa korte, at trabaho sa mga ahensya ng gobyerno.
Legal na Representasyon: Ang pagkonsu"&amp;"lta sa isang abogado na dalubhasa sa batas ng ari-arian ay lubos na inirerekomenda. Maaari ka nilang gabayan sa mga legal na hakbang, pangasiwaan ang mga papeles, at tiyakin ang pagsunod sa lahat ng legal na kinakailangan.
Komunikasyon at Mga Kasunduan: "&amp;"Ang bukas na komunikasyon at malinaw na mga kasunduan sa mga tagapagmana ay mahalaga, lalo na para sa mga sitwasyong walang kalooban, upang maiwasan ang mga hindi pagkakaunawaan sa panahon ng proseso ng pamamahagi.
Disclaimer: Ito ay isang pinasimple na "&amp;"pangkalahatang-ideya, at maaaring umiral ang mga partikular na pamamaraan o karagdagang kinakailangan depende sa sitwasyon.")</f>
        <v>Ang mga legal na hakbang na kasangkot sa paglilipat ng minanang ari-arian sa mga benepisyaryo sa Pilipinas ay nakadepende sa kung ang namatay ay nag-iwan ng testamento o hindi. Narito ang isang breakdown ng dalawang pangunahing senaryo:
Sitwasyon 1: May Habilin (Succession ng Testate)
Probate ng Will:
Ang hinirang na tagapagpatupad na pinangalanan sa testamento ay naghain ng petisyon sa korte upang masuri ang testamento. Ito ay nagpapatunay sa pagiging tunay at bisa ng testamento.
Settlement ng Estate Taxes:
Kinakalkula ng tagapagpatupad ang buwis sa ari-arian batay sa halaga ng netong ari-arian (lahat ng mga ari-arian binawasan ang mga bawas).
Ang isang estate tax return ay inihain sa Bureau of Internal Revenue (BIR) at ang buwis ay binabayaran.
Ang Certificate Authorizing Registration (CAR) ay nakukuha mula sa BIR pagkatapos ng tax clearance.
Extrajudicial Settlement of Estate (EJS) (Opsyonal):
Kung ang ari-arian ay hindi kumplikado at lahat ng mga tagapagmana ay sumang-ayon sa pamamahagi, ang isang EJS ay maaaring ihanda ng isang abogado. Ito ay isang notarized na dokumento na nagbabalangkas sa pamamahagi ng mga ari-arian sa mga benepisyaryo ayon sa kalooban.
Paglipat ng Mga Pamagat ng Ari-arian:
Sa pamamagitan ng testamento, probate order, at CAR (kung naaangkop), ang tagapagpatupad ay maaaring lumapit sa Registry of Deeds upang ilipat ang mga titulo ng mga minanang ari-arian sa mga pangalan ng mga benepisyaryo gaya ng nakabalangkas sa testamento.
Scenario 2: No Will (Intestate Succession)
Pahayag ng mga Tagapagmana:
Kung walang testamento, ang mga tagapagmana ay kailangang maghain ng petisyon sa korte para sa isang Deklarasyon ng mga Tagapagmana. Ang legal na prosesong ito ay nagtatatag ng pagkakakilanlan at legal na karapatan ng bawat tagapagmana ayon sa mga batas ng Philippine intestate succession.
Extrajudicial Settlement of Estate (EJS):
Katulad ng proseso na may testamento, kapag naitatag na ang mga tagapagmana, ang EJS ay maaaring ihanda ng isang abogado na nagbabalangkas sa napagkasunduang pamamahagi ng mga ari-arian sa mga tagapagmana.
Settlement ng Estate Taxes:
Ang parehong proseso para sa pagkalkula, pag-file, at pagbabayad ng buwis sa ari-arian ay nalalapat, na sinusundan ng pagkuha ng CAR mula sa BIR.
Paglipat ng Mga Pamagat ng Ari-arian:
Sa Deklarasyon ng mga Tagapagmana, EJS, at CAR (kung naaangkop), ang mga tagapagmana ay maaaring magpatuloy sa Registry of Deeds upang ilipat ang mga titulo ng mga minanang ari-arian sa kani-kanilang mga pangalan.
Mga Karagdagang Pagsasaalang-alang:
Timeframe: Ang buong proseso ay maaaring tumagal ng ilang buwan, depende sa pagiging kumplikado ng ari-arian, mga paglilitis sa korte, at trabaho sa mga ahensya ng gobyerno.
Legal na Representasyon: Ang pagkonsulta sa isang abogado na dalubhasa sa batas ng ari-arian ay lubos na inirerekomenda. Maaari ka nilang gabayan sa mga legal na hakbang, pangasiwaan ang mga papeles, at tiyakin ang pagsunod sa lahat ng legal na kinakailangan.
Komunikasyon at Mga Kasunduan: Ang bukas na komunikasyon at malinaw na mga kasunduan sa mga tagapagmana ay mahalaga, lalo na para sa mga sitwasyong walang kalooban, upang maiwasan ang mga hindi pagkakaunawaan sa panahon ng proseso ng pamamahagi.
Disclaimer: Ito ay isang pinasimple na pangkalahatang-ideya, at maaaring umiral ang mga partikular na pamamaraan o karagdagang kinakailangan depende sa sitwasyon.</v>
      </c>
      <c r="F495" s="2">
        <f t="shared" si="1"/>
        <v>0</v>
      </c>
      <c r="G495" s="2"/>
      <c r="H495" s="2"/>
      <c r="I495" s="2"/>
      <c r="J495" s="2"/>
      <c r="K495" s="2"/>
      <c r="L495" s="2"/>
      <c r="M495" s="2"/>
      <c r="N495" s="2"/>
      <c r="O495" s="2"/>
      <c r="P495" s="2"/>
      <c r="Q495" s="2"/>
      <c r="R495" s="2"/>
      <c r="S495" s="2"/>
      <c r="T495" s="2"/>
      <c r="U495" s="2"/>
      <c r="V495" s="2"/>
      <c r="W495" s="2"/>
      <c r="X495" s="2"/>
      <c r="Y495" s="2"/>
      <c r="Z495" s="2"/>
      <c r="AA495" s="2"/>
    </row>
    <row r="496">
      <c r="A496" s="1" t="s">
        <v>1224</v>
      </c>
      <c r="B496" s="1" t="s">
        <v>1750</v>
      </c>
      <c r="C496" s="1" t="s">
        <v>1751</v>
      </c>
      <c r="D496" s="1" t="s">
        <v>1752</v>
      </c>
      <c r="E496" s="2" t="str">
        <f>IFERROR(__xludf.DUMMYFUNCTION("GOOGLETRANSLATE(C496, ""en"", ""TL"")"),"Oo, ang isang testamento ay maaaring labanan sa Pilipinas sa ilalim ng ilang mga pangyayari. Narito ang sinasabi ng batas batay sa Mga Panuntunan ng Hukuman at Kodigo Sibil:
**Grounds para sa Paglaban sa isang Will:**
Maaaring hamunin ng mga tagapagmana a"&amp;"ng isang testamento kung naniniwala silang hindi ito wasto dahil sa:
* **Mga Pormal na Depekto:** Ang testamento ay hindi naisakatuparan kasunod ng mga wastong legal na pormalidad gaya ng nakabalangkas sa Mga Panuntunan ng Hukuman (Rule 74, Seksyon 2). Ka"&amp;"bilang dito ang mga kinakailangan tulad ng pagkakaroon ng isang tiyak na bilang ng mga saksi at pagpirma ng testator sa kanilang presensya. * **Kakayahan ng Testator:** Ang testator (taong sumulat ng testamento) ay kulang sa kapasidad ng testamentaryo sa "&amp;"oras ng pagsulat. Nangangahulugan ito na wala silang matinong pag-iisip o hindi naiintindihan ang mga kahihinatnan ng kanilang mga aksyon (Artikulo 832 ng Civil Code).
* **Hindi Nararapat na Impluwensiya o Pagpipilit:** Ang testator ay pinilit o pinilit n"&amp;"a gumawa ng testamento sa pamamagitan ng pamimilit o pagmamanipula (Artikulo 831 ng Civil Code).
**Sino ang Makakalaban ng isang Testamento:**
* **Mga Disinherited Heirs:** Kung iniwan ng testamento ang isang sapilitang tagapagmana (tulad ng asawa, mga le"&amp;"hitimong anak, o mga magulang), may karapatan silang ipaglaban ang testamento upang kunin ang kanilang nararapat na bahagi ng mana (Artikulo 878 ng Civil Code).
* **Mga Makikinabang na Naniniwalang Nakatanggap Sila ng Mas Kaunti kaysa Nararapat Nila:** Ba"&amp;"gama't hindi karaniwan, ang mga benepisyaryo na pinangalanan sa testamento ay maaari ding ipaglaban ito kung naniniwala silang hindi sila inilaan ng kanilang nararapat na bahagi gaya ng itinakda sa isang nakaraang testamento o codicil.
**Proseso ng Paglab"&amp;"an sa isang Testamento:**
* **Paghahain ng Petisyon:** Ang tagapagmana na humahamon sa testamento ay dapat maghain ng petisyon sa korte kung saan ang testamento ay sinusuri (ang legal na proseso ng pagpapatunay ng bisa ng isang testamento). Ang petisyon a"&amp;"y dapat magbalangkas ng mga batayan para sa paglaban sa kalooban.
* **Pagdinig sa Hukuman:** Isang pagdinig sa korte ay gaganapin upang marinig ang mga argumento mula sa magkabilang panig. Maaaring tawagin ang mga saksi upang tumestigo. * **Desisyon ng Ko"&amp;"rte:** Maglalabas ang korte ng desisyon sa bisa ng testamento. **Mahalagang Tandaan:**
* Ang pasanin ng patunay ay nakasalalay sa taong tumututol sa kalooban. Dapat silang magpakita ng nakakumbinsi na ebidensya para suportahan ang kanilang claim.
* Ang pa"&amp;"ligsahan sa isang testamento ay maaaring maging isang mahaba at mahal na proseso. Maipapayo na kumunsulta sa isang abogado bago gumawa ng anumang legal na aksyon.
**Mga Karagdagang Pagsasaalang-alang:**
* **Limit sa Oras para sa Paglalaban ng Testamento:*"&amp;"* May takdang oras para sa paglalaban ng testamento sa Pilipinas. Sa pangkalahatan, ang tagapagmana ay may tatlong (3) buwan mula sa petsa na nalaman nila ang pagkakaroon ng testamento para maghain ng petisyon (Rule 74, Section 5 ng Rules of Court).
Sa pa"&amp;"mamagitan ng pag-unawa sa mga legal na batayan at pamamaraang ito, maaaring matukoy ng mga tagapagmana kung mayroon silang wastong kaso para sa paglaban sa isang testamento sa Pilipinas. Mahalagang tandaan na ang impormasyong ito ay hindi maaaring palitan"&amp;" para sa legal na payo. Ang pagkonsulta sa isang kwalipikadong abogado ay mahalaga para sa pag-navigate sa mga kumplikado ng mga paligsahan sa testamento at pagprotekta sa iyong mga karapatan sa mana.")</f>
        <v>Oo, ang isang testamento ay maaaring labanan sa Pilipinas sa ilalim ng ilang mga pangyayari. Narito ang sinasabi ng batas batay sa Mga Panuntunan ng Hukuman at Kodigo Sibil:
**Grounds para sa Paglaban sa isang Will:**
Maaaring hamunin ng mga tagapagmana ang isang testamento kung naniniwala silang hindi ito wasto dahil sa:
* **Mga Pormal na Depekto:** Ang testamento ay hindi naisakatuparan kasunod ng mga wastong legal na pormalidad gaya ng nakabalangkas sa Mga Panuntunan ng Hukuman (Rule 74, Seksyon 2). Kabilang dito ang mga kinakailangan tulad ng pagkakaroon ng isang tiyak na bilang ng mga saksi at pagpirma ng testator sa kanilang presensya. * **Kakayahan ng Testator:** Ang testator (taong sumulat ng testamento) ay kulang sa kapasidad ng testamentaryo sa oras ng pagsulat. Nangangahulugan ito na wala silang matinong pag-iisip o hindi naiintindihan ang mga kahihinatnan ng kanilang mga aksyon (Artikulo 832 ng Civil Code).
* **Hindi Nararapat na Impluwensiya o Pagpipilit:** Ang testator ay pinilit o pinilit na gumawa ng testamento sa pamamagitan ng pamimilit o pagmamanipula (Artikulo 831 ng Civil Code).
**Sino ang Makakalaban ng isang Testamento:**
* **Mga Disinherited Heirs:** Kung iniwan ng testamento ang isang sapilitang tagapagmana (tulad ng asawa, mga lehitimong anak, o mga magulang), may karapatan silang ipaglaban ang testamento upang kunin ang kanilang nararapat na bahagi ng mana (Artikulo 878 ng Civil Code).
* **Mga Makikinabang na Naniniwalang Nakatanggap Sila ng Mas Kaunti kaysa Nararapat Nila:** Bagama't hindi karaniwan, ang mga benepisyaryo na pinangalanan sa testamento ay maaari ding ipaglaban ito kung naniniwala silang hindi sila inilaan ng kanilang nararapat na bahagi gaya ng itinakda sa isang nakaraang testamento o codicil.
**Proseso ng Paglaban sa isang Testamento:**
* **Paghahain ng Petisyon:** Ang tagapagmana na humahamon sa testamento ay dapat maghain ng petisyon sa korte kung saan ang testamento ay sinusuri (ang legal na proseso ng pagpapatunay ng bisa ng isang testamento). Ang petisyon ay dapat magbalangkas ng mga batayan para sa paglaban sa kalooban.
* **Pagdinig sa Hukuman:** Isang pagdinig sa korte ay gaganapin upang marinig ang mga argumento mula sa magkabilang panig. Maaaring tawagin ang mga saksi upang tumestigo. * **Desisyon ng Korte:** Maglalabas ang korte ng desisyon sa bisa ng testamento. **Mahalagang Tandaan:**
* Ang pasanin ng patunay ay nakasalalay sa taong tumututol sa kalooban. Dapat silang magpakita ng nakakumbinsi na ebidensya para suportahan ang kanilang claim.
* Ang paligsahan sa isang testamento ay maaaring maging isang mahaba at mahal na proseso. Maipapayo na kumunsulta sa isang abogado bago gumawa ng anumang legal na aksyon.
**Mga Karagdagang Pagsasaalang-alang:**
* **Limit sa Oras para sa Paglalaban ng Testamento:** May takdang oras para sa paglalaban ng testamento sa Pilipinas. Sa pangkalahatan, ang tagapagmana ay may tatlong (3) buwan mula sa petsa na nalaman nila ang pagkakaroon ng testamento para maghain ng petisyon (Rule 74, Section 5 ng Rules of Court).
Sa pamamagitan ng pag-unawa sa mga legal na batayan at pamamaraang ito, maaaring matukoy ng mga tagapagmana kung mayroon silang wastong kaso para sa paglaban sa isang testamento sa Pilipinas. Mahalagang tandaan na ang impormasyong ito ay hindi maaaring palitan para sa legal na payo. Ang pagkonsulta sa isang kwalipikadong abogado ay mahalaga para sa pag-navigate sa mga kumplikado ng mga paligsahan sa testamento at pagprotekta sa iyong mga karapatan sa mana.</v>
      </c>
      <c r="F496" s="2">
        <f t="shared" si="1"/>
        <v>0</v>
      </c>
      <c r="G496" s="2"/>
      <c r="H496" s="2"/>
      <c r="I496" s="2"/>
      <c r="J496" s="2"/>
      <c r="K496" s="2"/>
      <c r="L496" s="2"/>
      <c r="M496" s="2"/>
      <c r="N496" s="2"/>
      <c r="O496" s="2"/>
      <c r="P496" s="2"/>
      <c r="Q496" s="2"/>
      <c r="R496" s="2"/>
      <c r="S496" s="2"/>
      <c r="T496" s="2"/>
      <c r="U496" s="2"/>
      <c r="V496" s="2"/>
      <c r="W496" s="2"/>
      <c r="X496" s="2"/>
      <c r="Y496" s="2"/>
      <c r="Z496" s="2"/>
      <c r="AA496" s="2"/>
    </row>
    <row r="497">
      <c r="A497" s="1" t="s">
        <v>1224</v>
      </c>
      <c r="B497" s="1" t="s">
        <v>1753</v>
      </c>
      <c r="C497" s="1" t="s">
        <v>1754</v>
      </c>
      <c r="D497" s="1" t="s">
        <v>1755</v>
      </c>
      <c r="E497" s="2" t="str">
        <f>IFERROR(__xludf.DUMMYFUNCTION("GOOGLETRANSLATE(C497, ""en"", ""TL"")"),"Sa Pilipinas, ang pamana ng ari-arian na may mga hindi pa nababayarang utang o sangla ay tinutugunan ng Civil Code. Narito ang isang breakdown ng mga pangunahing punto:
* **Ang mga tagapagmana ay nagmamana ng parehong mga ari-arian at pananagutan:** Sa il"&amp;"alim ng Artikulo 774 ng Civil Code, ang mga tagapagmana ay nagtatagumpay hindi lamang sa mga karapatan ng namatay kundi pati na rin sa kanilang mga obligasyon. Nangangahulugan ito na kapag ang isang tao ay nagmana ng ari-arian, mamanahin din nila ang anum"&amp;"ang mga hindi pa nababayarang utang o sangla na nauugnay sa ari-arian na iyon.
* **Ang mga tagapagmana ay hindi mananagot nang higit sa halaga ng mana:** Ang Artikulo 1003 ng Civil Code ay nagbibigay ng ilang proteksyon para sa mga tagapagmana. Ang panana"&amp;"gutan ng tagapagmana para sa mga utang ng namatay ay limitado sa halaga ng ari-arian na kanilang minana. Hindi sila maaaring personal na managot para sa anumang natitirang utang.
**Mga Pagpipilian para sa Mga Tagapagmana:**
* **Tanggapin ang mana na may b"&amp;"enepisyo ng imbentaryo (BPI):** Ang opsyong ito ay nagpapahintulot sa tagapagmana na ihiwalay ang kanilang mga personal na ari-arian mula sa ari-arian. Sila ay mananagot lamang para sa mga utang ng namatay hanggang sa halaga ng minanang ari-arian (Artikul"&amp;"o 1003). Gayunpaman, nangangailangan ang BPI ng mas kumplikadong legal na proseso.
* **Talikuran ang mana:** Maaaring piliin ng mga tagapagmana na talikuran ang kanilang mana (Artikulo 885). Inaalis nito ang anumang responsibilidad para sa mga utang ng na"&amp;"matay.
* **Tanggapin ang mana nang wagas at simple:** Ito ang pinakasimpleng opsyon, ngunit ito ay may pinakamaraming panganib. Ang tagapagmana ay nagiging ganap na responsable para sa lahat ng mga utang at obligasyon na nauugnay sa ari-arian, kahit na lu"&amp;"mampas sila sa halaga ng mana (Artikulo 1003).
**Mahalagang Tandaan:**
* Ang pagkonsulta sa isang abogado ay lubos na inirerekomenda. Maaaring payuhan ng isang abogado ang mga tagapagmana sa pinakamahusay na paraan ng pagkilos batay sa mga partikular na k"&amp;"alagayan ng mana, kabilang ang halaga ng ari-arian, ang halaga ng natitirang utang, at sitwasyong pinansyal ng mga tagapagmana.
* Maaaring mag-apply ang mga deadline para sa pagtanggap o pagtanggi sa isang mana. Napakahalagang kumilos sa loob ng legal na "&amp;"takdang panahon.
Sa pamamagitan ng pag-unawa sa mga legal na prinsipyong ito, ang mga tagapagmana ay makakagawa ng matalinong mga desisyon tungkol sa pagmamana ng ari-arian na may mga hindi pa nababayarang utang o sangla sa Pilipinas. Tandaan, ang imporma"&amp;"syong ito ay hindi maituturing na legal na payo. Ang pagkonsulta sa isang kwalipikadong abogado ay napakahalaga para sa pag-navigate sa mga legalidad ng mana at pagprotekta sa iyong mga karapatan.")</f>
        <v>Sa Pilipinas, ang pamana ng ari-arian na may mga hindi pa nababayarang utang o sangla ay tinutugunan ng Civil Code. Narito ang isang breakdown ng mga pangunahing punto:
* **Ang mga tagapagmana ay nagmamana ng parehong mga ari-arian at pananagutan:** Sa ilalim ng Artikulo 774 ng Civil Code, ang mga tagapagmana ay nagtatagumpay hindi lamang sa mga karapatan ng namatay kundi pati na rin sa kanilang mga obligasyon. Nangangahulugan ito na kapag ang isang tao ay nagmana ng ari-arian, mamanahin din nila ang anumang mga hindi pa nababayarang utang o sangla na nauugnay sa ari-arian na iyon.
* **Ang mga tagapagmana ay hindi mananagot nang higit sa halaga ng mana:** Ang Artikulo 1003 ng Civil Code ay nagbibigay ng ilang proteksyon para sa mga tagapagmana. Ang pananagutan ng tagapagmana para sa mga utang ng namatay ay limitado sa halaga ng ari-arian na kanilang minana. Hindi sila maaaring personal na managot para sa anumang natitirang utang.
**Mga Pagpipilian para sa Mga Tagapagmana:**
* **Tanggapin ang mana na may benepisyo ng imbentaryo (BPI):** Ang opsyong ito ay nagpapahintulot sa tagapagmana na ihiwalay ang kanilang mga personal na ari-arian mula sa ari-arian. Sila ay mananagot lamang para sa mga utang ng namatay hanggang sa halaga ng minanang ari-arian (Artikulo 1003). Gayunpaman, nangangailangan ang BPI ng mas kumplikadong legal na proseso.
* **Talikuran ang mana:** Maaaring piliin ng mga tagapagmana na talikuran ang kanilang mana (Artikulo 885). Inaalis nito ang anumang responsibilidad para sa mga utang ng namatay.
* **Tanggapin ang mana nang wagas at simple:** Ito ang pinakasimpleng opsyon, ngunit ito ay may pinakamaraming panganib. Ang tagapagmana ay nagiging ganap na responsable para sa lahat ng mga utang at obligasyon na nauugnay sa ari-arian, kahit na lumampas sila sa halaga ng mana (Artikulo 1003).
**Mahalagang Tandaan:**
* Ang pagkonsulta sa isang abogado ay lubos na inirerekomenda. Maaaring payuhan ng isang abogado ang mga tagapagmana sa pinakamahusay na paraan ng pagkilos batay sa mga partikular na kalagayan ng mana, kabilang ang halaga ng ari-arian, ang halaga ng natitirang utang, at sitwasyong pinansyal ng mga tagapagmana.
* Maaaring mag-apply ang mga deadline para sa pagtanggap o pagtanggi sa isang mana. Napakahalagang kumilos sa loob ng legal na takdang panahon.
Sa pamamagitan ng pag-unawa sa mga legal na prinsipyong ito, ang mga tagapagmana ay makakagawa ng matalinong mga desisyon tungkol sa pagmamana ng ari-arian na may mga hindi pa nababayarang utang o sangla sa Pilipinas. Tandaan, ang impormasyong ito ay hindi maituturing na legal na payo. Ang pagkonsulta sa isang kwalipikadong abogado ay napakahalaga para sa pag-navigate sa mga legalidad ng mana at pagprotekta sa iyong mga karapatan.</v>
      </c>
      <c r="F497" s="2">
        <f t="shared" si="1"/>
        <v>0</v>
      </c>
      <c r="G497" s="2"/>
      <c r="H497" s="2"/>
      <c r="I497" s="2"/>
      <c r="J497" s="2"/>
      <c r="K497" s="2"/>
      <c r="L497" s="2"/>
      <c r="M497" s="2"/>
      <c r="N497" s="2"/>
      <c r="O497" s="2"/>
      <c r="P497" s="2"/>
      <c r="Q497" s="2"/>
      <c r="R497" s="2"/>
      <c r="S497" s="2"/>
      <c r="T497" s="2"/>
      <c r="U497" s="2"/>
      <c r="V497" s="2"/>
      <c r="W497" s="2"/>
      <c r="X497" s="2"/>
      <c r="Y497" s="2"/>
      <c r="Z497" s="2"/>
      <c r="AA497" s="2"/>
    </row>
    <row r="498">
      <c r="A498" s="1" t="s">
        <v>1224</v>
      </c>
      <c r="B498" s="1" t="s">
        <v>1756</v>
      </c>
      <c r="C498" s="1" t="s">
        <v>1757</v>
      </c>
      <c r="D498" s="1" t="s">
        <v>1758</v>
      </c>
      <c r="E498" s="2" t="str">
        <f>IFERROR(__xludf.DUMMYFUNCTION("GOOGLETRANSLATE(C498, ""en"", ""TL"")"),"Sa Pilipinas, ang pagbebenta ng minanang ari-arian ay kinabibilangan ng pagsunod sa mga partikular na legal na pamamaraan upang matiyak ang maayos at legal na transaksyon. Narito ang isang breakdown ng mga pangunahing hakbang at kung paano ibinabahagi ang"&amp;" mga nalikom:
**Bago ang Pagbebenta:**
1. **Settle the Estate:** Hindi ka maaaring magbenta ng minanang ari-arian hangga't hindi naaayos ang ari-arian ng namatay. Kabilang dito ang:
* **Pag-secure ng Death Certificate:** Kumuha ng sertipikadong kopya mula"&amp;" sa local civil registry o Philippine Statistics Authority (PSA). * **Probate of Will o Declaration of Heirs:** Kung may testamento, kailangan itong ma-probete sa korte para ma-verify ang validity nito. Kung walang testamento, ang Deklarasyon ng mga Tagap"&amp;"agmana na ibinigay ng korte ay kinakailangan upang matukoy ang mga legal na tagapagmana (Mga Panuntunan ng Hukuman). Maaaring tumulong ang isang abogado sa prosesong ito.
* **Pagbabayad ng Mga Buwis sa Estate:** Kalkulahin at magbayad ng mga buwis sa ari-"&amp;"arian batay sa halaga ng ari-arian sa oras ng kamatayan. I-file ang Estate Tax Return (BIR Form 1801) sa Bureau of Internal Revenue (BIR) sa loob ng isang taon upang maiwasan ang mga parusa (Tax Code).
* **Kasunduan sa Mga Tagapagmana:** Ang lahat ng taga"&amp;"pagmana na may mga legal na karapatan sa ari-arian ay dapat magkasundo sa pagbebenta nito at kung paano ipamahagi ang mga nalikom. Ang kasunduang ito ay maaaring gawing pormal sa pamamagitan ng Extrajudicial Settlement of Estate (EJS) kung walang hindi pa"&amp;"gkakasundo, o isang Judicial Settlement kung mayroong hindi pagkakaunawaan (Rule 74 ng Rules of Court).
2. **Estate Tax Clearance:** Kapag nabayaran na ang estate taxes, kumuha ng Certificate Authorizing Registration (CAR) mula sa BIR. Ito ay nagsisilbing"&amp;" clearance upang magpatuloy sa paglilipat ng titulo ng ari-arian.
**Pagbebenta ng Ari-arian:**
1. **Makipag-ugnayan sa isang Abogado:** Ang isang abogado ay maaaring tumulong sa pagbalangkas ng Deed of Sale, na tinitiyak na sumusunod ito sa mga legal na k"&amp;"inakailangan at pinoprotektahan ang mga interes ng lahat ng partidong kasangkot.
2. **Marketing at Negotiations:** Maghanap ng mamimili at makipag-ayos sa presyo ng pagbebenta.
**Pagkatapos ng Sale:**
1. **Rehistrasyon ng Pagbebenta:** Ipakita ang mga kin"&amp;"akailangang dokumento sa Register of Deeds, kabilang ang:
* Deed of Extrajudicial Settlement (o Judicial Settlement)
* Deed of Sale
* Duplicate ng may-ari ng titulo ng ari-arian
* Affidavit at Certification of Publication mula sa isang pahayagan
* KOTSE
*"&amp;" Pag-alis ng buwis sa ari-arian
* Paglilinaw ng buwis sa real estate
* Sertipikadong kopya ng deklarasyon ng buwis
* Anumang iba pang mga dokumento na hiniling ng Register of Deeds
2. **Pamamahagi ng Mga Nalikom:** Kapag nairehistro na ang pagbebenta at k"&amp;"umpleto na ang paglipat ng pagmamay-ari, ang mga nalikom ay ipapamahagi sa mga tagapagmana ayon sa napagkasunduang mga tuntunin sa EJS o Judicial Settlement. Ito ay maaaring isang pantay na bahagi para sa lahat ng mga tagapagmana, o isang partikular na po"&amp;"rsyento batay sa kalooban o kasunduan.
**Mahahalagang Pagsasaalang-alang:**
* Ang mga tagapagmana ay may pananagutan para sa anumang buwis sa capital gains na magmumula sa pagbebenta. * Ang pagkonsulta sa isang abogado sa buong proseso ay lubos na inirere"&amp;"komenda upang matiyak ang legal na pagsunod at maiwasan ang mga komplikasyon.
Sa pamamagitan ng pagsunod sa mga legal na pamamaraang ito, ang mga tagapagmana ay maaaring matagumpay na magbenta ng minanang ari-arian at ipamahagi ang mga nalikom nang patas "&amp;"sa kanilang mga sarili. Tandaan, ang impormasyong ito ay hindi maituturing na legal na payo. Ang pagkonsulta sa isang kwalipikadong abogado ay mahalaga para sa pag-navigate sa mga legalidad ng pagbebenta ng minanang ari-arian at pagprotekta sa iyong mga k"&amp;"arapatan.")</f>
        <v>Sa Pilipinas, ang pagbebenta ng minanang ari-arian ay kinabibilangan ng pagsunod sa mga partikular na legal na pamamaraan upang matiyak ang maayos at legal na transaksyon. Narito ang isang breakdown ng mga pangunahing hakbang at kung paano ibinabahagi ang mga nalikom:
**Bago ang Pagbebenta:**
1. **Settle the Estate:** Hindi ka maaaring magbenta ng minanang ari-arian hangga't hindi naaayos ang ari-arian ng namatay. Kabilang dito ang:
* **Pag-secure ng Death Certificate:** Kumuha ng sertipikadong kopya mula sa local civil registry o Philippine Statistics Authority (PSA). * **Probate of Will o Declaration of Heirs:** Kung may testamento, kailangan itong ma-probete sa korte para ma-verify ang validity nito. Kung walang testamento, ang Deklarasyon ng mga Tagapagmana na ibinigay ng korte ay kinakailangan upang matukoy ang mga legal na tagapagmana (Mga Panuntunan ng Hukuman). Maaaring tumulong ang isang abogado sa prosesong ito.
* **Pagbabayad ng Mga Buwis sa Estate:** Kalkulahin at magbayad ng mga buwis sa ari-arian batay sa halaga ng ari-arian sa oras ng kamatayan. I-file ang Estate Tax Return (BIR Form 1801) sa Bureau of Internal Revenue (BIR) sa loob ng isang taon upang maiwasan ang mga parusa (Tax Code).
* **Kasunduan sa Mga Tagapagmana:** Ang lahat ng tagapagmana na may mga legal na karapatan sa ari-arian ay dapat magkasundo sa pagbebenta nito at kung paano ipamahagi ang mga nalikom. Ang kasunduang ito ay maaaring gawing pormal sa pamamagitan ng Extrajudicial Settlement of Estate (EJS) kung walang hindi pagkakasundo, o isang Judicial Settlement kung mayroong hindi pagkakaunawaan (Rule 74 ng Rules of Court).
2. **Estate Tax Clearance:** Kapag nabayaran na ang estate taxes, kumuha ng Certificate Authorizing Registration (CAR) mula sa BIR. Ito ay nagsisilbing clearance upang magpatuloy sa paglilipat ng titulo ng ari-arian.
**Pagbebenta ng Ari-arian:**
1. **Makipag-ugnayan sa isang Abogado:** Ang isang abogado ay maaaring tumulong sa pagbalangkas ng Deed of Sale, na tinitiyak na sumusunod ito sa mga legal na kinakailangan at pinoprotektahan ang mga interes ng lahat ng partidong kasangkot.
2. **Marketing at Negotiations:** Maghanap ng mamimili at makipag-ayos sa presyo ng pagbebenta.
**Pagkatapos ng Sale:**
1. **Rehistrasyon ng Pagbebenta:** Ipakita ang mga kinakailangang dokumento sa Register of Deeds, kabilang ang:
* Deed of Extrajudicial Settlement (o Judicial Settlement)
* Deed of Sale
* Duplicate ng may-ari ng titulo ng ari-arian
* Affidavit at Certification of Publication mula sa isang pahayagan
* KOTSE
* Pag-alis ng buwis sa ari-arian
* Paglilinaw ng buwis sa real estate
* Sertipikadong kopya ng deklarasyon ng buwis
* Anumang iba pang mga dokumento na hiniling ng Register of Deeds
2. **Pamamahagi ng Mga Nalikom:** Kapag nairehistro na ang pagbebenta at kumpleto na ang paglipat ng pagmamay-ari, ang mga nalikom ay ipapamahagi sa mga tagapagmana ayon sa napagkasunduang mga tuntunin sa EJS o Judicial Settlement. Ito ay maaaring isang pantay na bahagi para sa lahat ng mga tagapagmana, o isang partikular na porsyento batay sa kalooban o kasunduan.
**Mahahalagang Pagsasaalang-alang:**
* Ang mga tagapagmana ay may pananagutan para sa anumang buwis sa capital gains na magmumula sa pagbebenta. * Ang pagkonsulta sa isang abogado sa buong proseso ay lubos na inirerekomenda upang matiyak ang legal na pagsunod at maiwasan ang mga komplikasyon.
Sa pamamagitan ng pagsunod sa mga legal na pamamaraang ito, ang mga tagapagmana ay maaaring matagumpay na magbenta ng minanang ari-arian at ipamahagi ang mga nalikom nang patas sa kanilang mga sarili. Tandaan, ang impormasyong ito ay hindi maituturing na legal na payo. Ang pagkonsulta sa isang kwalipikadong abogado ay mahalaga para sa pag-navigate sa mga legalidad ng pagbebenta ng minanang ari-arian at pagprotekta sa iyong mga karapatan.</v>
      </c>
      <c r="F498" s="2">
        <f t="shared" si="1"/>
        <v>0</v>
      </c>
      <c r="G498" s="2"/>
      <c r="H498" s="2"/>
      <c r="I498" s="2"/>
      <c r="J498" s="2"/>
      <c r="K498" s="2"/>
      <c r="L498" s="2"/>
      <c r="M498" s="2"/>
      <c r="N498" s="2"/>
      <c r="O498" s="2"/>
      <c r="P498" s="2"/>
      <c r="Q498" s="2"/>
      <c r="R498" s="2"/>
      <c r="S498" s="2"/>
      <c r="T498" s="2"/>
      <c r="U498" s="2"/>
      <c r="V498" s="2"/>
      <c r="W498" s="2"/>
      <c r="X498" s="2"/>
      <c r="Y498" s="2"/>
      <c r="Z498" s="2"/>
      <c r="AA498" s="2"/>
    </row>
    <row r="499">
      <c r="A499" s="1" t="s">
        <v>1224</v>
      </c>
      <c r="B499" s="1" t="s">
        <v>1759</v>
      </c>
      <c r="C499" s="1" t="s">
        <v>1760</v>
      </c>
      <c r="D499" s="1" t="s">
        <v>1761</v>
      </c>
      <c r="E499" s="2" t="str">
        <f>IFERROR(__xludf.DUMMYFUNCTION("GOOGLETRANSLATE(C499, ""en"", ""TL"")"),"Sa Pilipinas, ang minanang ari-arian ay maaaring sama-samang pagmamay-ari sa iba pang mga benepisyaryo, ngunit may mga legal na pagsasaalang-alang at mga paraan upang makamit ito depende sa iyong nais na resulta. Narito ang isang breakdown ng mga opsyon a"&amp;"t ang kanilang mga legal na implikasyon:
**1. Co-ownership sa pamamagitan ng Partition:**
* **Proseso:** Maaaring magpetisyon ang mga tagapagmana sa korte para sa partisyon ng minanang ari-arian. Ang legal na prosesong ito ay naghahati sa ari-arian sa mga"&amp;" indibidwal na titulo batay sa mga nararapat na bahagi ng bawat tagapagmana ayon sa itinakda ng isang testamento o mga batas sa intestacy (kung walang testamento). * **Mga Legal na Pagsasaalang-alang:** Kapag nahati, ang bawat tagapagmana ay makakatanggap"&amp;" ng hiwalay na titulo, na nagpapahintulot sa kanila na ibenta o pamahalaan ang kanilang bahagi nang nakapag-iisa. Ang pagpipiliang ito ay naghihiwalay sa magkasanib na pagmamay-ari.
**2. Co-ownership sa pamamagitan ng Indivisible Condominiums:**
* **Prose"&amp;"so:** Kung ang ari-arian ay itinuring na hindi mahahati (hal., isang solong bahay), maaaring sumang-ayon ang mga tagapagmana na pag-aari ito bilang isang hindi mahahati na condominium. Nangangailangan ito ng pormal na Deed of Co-ownership na nagbabalangka"&amp;"s sa porsyento ng pagmamay-ari at mga karapatan sa pamamahala ng bawat tagapagmana. * **Mga Legal na Pagsasaalang-alang:** Ang pagpipiliang ito ay nagbibigay-daan para sa magkasanib na pagmamay-ari at mga responsibilidad sa pamamahala tulad ng nakabalangk"&amp;"as sa Deed. Gayunpaman, ang pagbebenta ng buong ari-arian ay nangangailangan ng pahintulot ng lahat ng kapwa may-ari. **3. Co-ownership sa pamamagitan ng isang Trust:**
* **Proseso:** Ang mga tagapagmana ay maaaring magtatag ng isang tiwala kung saan ang "&amp;"ari-arian ay hawak ng isang tagapangasiwa para sa kapakinabangan ng lahat ng mga benepisyaryo. Kabilang dito ang isang Trust Agreement na nagbabalangkas sa mga tuntunin ng pagmamay-ari, pamamahala, at pamamahagi ng mga benepisyo (kita o mga nalikom sa pag"&amp;"bebenta).
* **Mga Legal na Pagsasaalang-alang:** Nag-aalok ang mga trust ng flexibility sa pamamahala sa property at pamamahagi ng mga benepisyo ayon sa kagustuhan ng settlor (taong lumikha ng trust). Gayunpaman, ang pagse-set up at pangangasiwa ng isang "&amp;"trust ay maaaring maging kumplikado at may kinalaman sa mga legal na bayarin.
**Mahahalagang Pagsasaalang-alang:**
* Anuman ang napiling paraan, ang isang abogado ay napakahalaga upang matiyak na ang kasunduan ay legal na tama at pinoprotektahan ang mga i"&amp;"nteres ng lahat ng mga kapwa may-ari. * Ang malinaw na komunikasyon at isang nakasulat na kasunduan na nagbabalangkas sa mga karapatan at responsibilidad sa kapwa pagmamay-ari ay mahalaga upang maiwasan ang mga hindi pagkakaunawaan sa hinaharap.
* Maaarin"&amp;"g malapat ang mga implikasyon ng buwis depende sa napiling paraan ng co-ownership. Inirerekomenda ang pagkonsulta sa isang propesyonal sa buwis.
**Alternatibong:**
* **Pagbebenta ng Ari-arian at Paghahati ng Mga Nalikom:** Kung hindi kanais-nais ang co-ow"&amp;"nership, maaaring piliin ng mga tagapagmana na ibenta ang ari-arian at ipamahagi ang mga nalikom ayon sa kanilang mga bahagi sa mana. Maaari itong maging isang mas simpleng opsyon ngunit maaaring hindi angkop kung gusto ng lahat ng tagapagmana na mapanati"&amp;"li ang isang stake sa property.
**Pagpili ng Tamang Opsyon:**
Ang pinakamahusay na diskarte ay depende sa iyong partikular na sitwasyon, ang uri ng ari-arian, at ang mga pangmatagalang layunin ng mga tagapagmana. Maingat na isaalang-alang ang iyong nais n"&amp;"a antas ng kontrol, mga responsibilidad sa pamamahala, at mga plano sa hinaharap para sa ari-arian bago magpasya sa isang paraan ng co-ownership. Ang pagkonsulta sa isang abogado at, potensyal, isang propesyonal sa buwis, ay maaaring makatulong sa iyo na "&amp;"mag-navigate sa mga legalidad at piliin ang pinaka-angkop na opsyon para sa iyong sitwasyon.")</f>
        <v>Sa Pilipinas, ang minanang ari-arian ay maaaring sama-samang pagmamay-ari sa iba pang mga benepisyaryo, ngunit may mga legal na pagsasaalang-alang at mga paraan upang makamit ito depende sa iyong nais na resulta. Narito ang isang breakdown ng mga opsyon at ang kanilang mga legal na implikasyon:
**1. Co-ownership sa pamamagitan ng Partition:**
* **Proseso:** Maaaring magpetisyon ang mga tagapagmana sa korte para sa partisyon ng minanang ari-arian. Ang legal na prosesong ito ay naghahati sa ari-arian sa mga indibidwal na titulo batay sa mga nararapat na bahagi ng bawat tagapagmana ayon sa itinakda ng isang testamento o mga batas sa intestacy (kung walang testamento). * **Mga Legal na Pagsasaalang-alang:** Kapag nahati, ang bawat tagapagmana ay makakatanggap ng hiwalay na titulo, na nagpapahintulot sa kanila na ibenta o pamahalaan ang kanilang bahagi nang nakapag-iisa. Ang pagpipiliang ito ay naghihiwalay sa magkasanib na pagmamay-ari.
**2. Co-ownership sa pamamagitan ng Indivisible Condominiums:**
* **Proseso:** Kung ang ari-arian ay itinuring na hindi mahahati (hal., isang solong bahay), maaaring sumang-ayon ang mga tagapagmana na pag-aari ito bilang isang hindi mahahati na condominium. Nangangailangan ito ng pormal na Deed of Co-ownership na nagbabalangkas sa porsyento ng pagmamay-ari at mga karapatan sa pamamahala ng bawat tagapagmana. * **Mga Legal na Pagsasaalang-alang:** Ang pagpipiliang ito ay nagbibigay-daan para sa magkasanib na pagmamay-ari at mga responsibilidad sa pamamahala tulad ng nakabalangkas sa Deed. Gayunpaman, ang pagbebenta ng buong ari-arian ay nangangailangan ng pahintulot ng lahat ng kapwa may-ari. **3. Co-ownership sa pamamagitan ng isang Trust:**
* **Proseso:** Ang mga tagapagmana ay maaaring magtatag ng isang tiwala kung saan ang ari-arian ay hawak ng isang tagapangasiwa para sa kapakinabangan ng lahat ng mga benepisyaryo. Kabilang dito ang isang Trust Agreement na nagbabalangkas sa mga tuntunin ng pagmamay-ari, pamamahala, at pamamahagi ng mga benepisyo (kita o mga nalikom sa pagbebenta).
* **Mga Legal na Pagsasaalang-alang:** Nag-aalok ang mga trust ng flexibility sa pamamahala sa property at pamamahagi ng mga benepisyo ayon sa kagustuhan ng settlor (taong lumikha ng trust). Gayunpaman, ang pagse-set up at pangangasiwa ng isang trust ay maaaring maging kumplikado at may kinalaman sa mga legal na bayarin.
**Mahahalagang Pagsasaalang-alang:**
* Anuman ang napiling paraan, ang isang abogado ay napakahalaga upang matiyak na ang kasunduan ay legal na tama at pinoprotektahan ang mga interes ng lahat ng mga kapwa may-ari. * Ang malinaw na komunikasyon at isang nakasulat na kasunduan na nagbabalangkas sa mga karapatan at responsibilidad sa kapwa pagmamay-ari ay mahalaga upang maiwasan ang mga hindi pagkakaunawaan sa hinaharap.
* Maaaring malapat ang mga implikasyon ng buwis depende sa napiling paraan ng co-ownership. Inirerekomenda ang pagkonsulta sa isang propesyonal sa buwis.
**Alternatibong:**
* **Pagbebenta ng Ari-arian at Paghahati ng Mga Nalikom:** Kung hindi kanais-nais ang co-ownership, maaaring piliin ng mga tagapagmana na ibenta ang ari-arian at ipamahagi ang mga nalikom ayon sa kanilang mga bahagi sa mana. Maaari itong maging isang mas simpleng opsyon ngunit maaaring hindi angkop kung gusto ng lahat ng tagapagmana na mapanatili ang isang stake sa property.
**Pagpili ng Tamang Opsyon:**
Ang pinakamahusay na diskarte ay depende sa iyong partikular na sitwasyon, ang uri ng ari-arian, at ang mga pangmatagalang layunin ng mga tagapagmana. Maingat na isaalang-alang ang iyong nais na antas ng kontrol, mga responsibilidad sa pamamahala, at mga plano sa hinaharap para sa ari-arian bago magpasya sa isang paraan ng co-ownership. Ang pagkonsulta sa isang abogado at, potensyal, isang propesyonal sa buwis, ay maaaring makatulong sa iyo na mag-navigate sa mga legalidad at piliin ang pinaka-angkop na opsyon para sa iyong sitwasyon.</v>
      </c>
      <c r="F499" s="2">
        <f t="shared" si="1"/>
        <v>1</v>
      </c>
      <c r="G499" s="2"/>
      <c r="H499" s="2"/>
      <c r="I499" s="2"/>
      <c r="J499" s="2"/>
      <c r="K499" s="2"/>
      <c r="L499" s="2"/>
      <c r="M499" s="2"/>
      <c r="N499" s="2"/>
      <c r="O499" s="2"/>
      <c r="P499" s="2"/>
      <c r="Q499" s="2"/>
      <c r="R499" s="2"/>
      <c r="S499" s="2"/>
      <c r="T499" s="2"/>
      <c r="U499" s="2"/>
      <c r="V499" s="2"/>
      <c r="W499" s="2"/>
      <c r="X499" s="2"/>
      <c r="Y499" s="2"/>
      <c r="Z499" s="2"/>
      <c r="AA499" s="2"/>
    </row>
    <row r="500">
      <c r="A500" s="1" t="s">
        <v>1224</v>
      </c>
      <c r="B500" s="1" t="s">
        <v>1672</v>
      </c>
      <c r="C500" s="1" t="s">
        <v>1762</v>
      </c>
      <c r="D500" s="1" t="s">
        <v>1674</v>
      </c>
      <c r="E500" s="2" t="str">
        <f>IFERROR(__xludf.DUMMYFUNCTION("GOOGLETRANSLATE(C500, ""en"", ""TL"")"),"Sa Pilipinas, mayroong dalawang pangunahing legal na mekanismo para sa paglilipat ng minanang ari-arian sa isang trust para sa pangmatagalang pamamahala:
**1. Deed of Trust and Extrajudicial Settlement of Estate (ESE):**
* **Proseso:**
* **Gumawa ng Trust"&amp;" Agreement:** Binabalangkas ng dokumentong ito ang mga tuntunin ng trust, kabilang ang layunin, ang mga asset na inilipat (inherited property), ang mga benepisyaryo, at ang mga kapangyarihan at tungkulin ng trustee. Makakatulong ang isang abogado sa pagba"&amp;"langkas ng isang legal na maayos na Trust Agreement.
* **Kumuha ng Extrajudicial Settlement of Estate (ESE):** Kung ang lahat ng tagapagmana ay sumang-ayon sa paglikha ng tiwala at pamamahagi ng mga ari-arian, maaaring gamitin ang ESE upang pormal na ilip"&amp;"at ang minanang ari-arian sa trustee. Iniiwasan nito ang pangangailangan para sa paglilitis sa korte (Rule 74 ng Rules of Court).
* **Irehistro ang Deed of Trust:** Kapag napirmahan ng (mga) grantor at trustee, ang Deed of Trust ay kailangang irehistro sa"&amp;" Register of Deeds para sa pampublikong rekord.
* **Mga Bentahe:** * Ito ay isang medyo simple at cost-effective na opsyon kung lahat ng tagapagmana ay sumasang-ayon.
* Maaaring mapabilis ng ESE ang proseso ng paglilipat kumpara sa mga paglilitis sa korte"&amp;".
**2. Deed of Trust at Judicial Settlement of Estate:**
* **Proseso:**
* Sundin ang mga hakbang 1a at 1c mula sa paraan ng Deed of Trust at ESE (paggawa ng Trust Agreement at pagpaparehistro ng Deed of Trust). * **Maghain ng Petisyon para sa Judicial Set"&amp;"tlement:** Kung mayroong anumang hindi pagkakasundo sa mga tagapagmana sa paglikha ng tiwala o pamamahagi ng mga ari-arian, isang petisyon para sa Judicial Settlement ay kailangang maghain sa korte. Ang hukuman pagkatapos ay magpapasya sa bisa ng tiwala a"&amp;"t mangangasiwa sa paglilipat ng ari-arian (Rule 74 ng Rules of Court).
* **Mga Bentahe:**
* Ang pamamaraang ito ay nagbibigay ng pangangasiwa sa korte at maaaring makatulong kung may mga pagtatalo sa pagitan ng mga tagapagmana.
* Nag-aalok ito ng mas porm"&amp;"al at secure na paraan upang maitatag ang tiwala, lalo na para sa mga mahahalagang ari-arian.
**Mahahalagang Pagsasaalang-alang:**
* Anuman ang paraan na pinili, ang pagkonsulta sa isang abogado ay napakahalaga upang matiyak na ang Trust Agreement ay lega"&amp;"l na tama at sumusunod sa mga batas ng tiwala sa Pilipinas. * Maaari ding payuhan ng abogado ang anumang implikasyon sa buwis na nauugnay sa paglilipat ng ari-arian sa isang trust.
* Ang mga tagapagmana na pinangalanan bilang mga benepisyaryo sa trust ay "&amp;"dapat ipaalam sa kanilang mga karapatan at sa mga tuntunin ng trust.
**Karagdagang Pagpipilian:**
* **Will with Testamentary Trust:** Kung walang umiiral na testamento, ang namatay ay maaaring gumawa ng testamento na nagtatatag ng testamentary trust. Tutu"&amp;"kuyin nito ang ari-arian na ililipat sa trust sa pagkamatay ng testator. Ang testamento ay dumaan sa probate, at ang ari-arian ay ililipat sa tiwala gaya ng nakabalangkas sa testamento. **Pagpili ng Tamang Paraan:**
Ang pinaka-angkop na paraan ay nakasala"&amp;"lay sa pagiging kumplikado ng sitwasyon. Kung may ganap na kasunduan sa mga tagapagmana, ang Deed of Trust at ESE na ruta ay mas simple at mas mabilis. Gayunpaman, kung may mga hindi pagkakasundo o ang ari-arian ay lubos na mahalaga, ang isang Judicial Se"&amp;"ttlement na may pangangasiwa ng hukuman ay maaaring mas mainam. Ang pagkonsulta sa isang abogado ay makakatulong sa iyo na matukoy ang pinakamahusay na diskarte para sa iyong mga partikular na kalagayan.")</f>
        <v>Sa Pilipinas, mayroong dalawang pangunahing legal na mekanismo para sa paglilipat ng minanang ari-arian sa isang trust para sa pangmatagalang pamamahala:
**1. Deed of Trust and Extrajudicial Settlement of Estate (ESE):**
* **Proseso:**
* **Gumawa ng Trust Agreement:** Binabalangkas ng dokumentong ito ang mga tuntunin ng trust, kabilang ang layunin, ang mga asset na inilipat (inherited property), ang mga benepisyaryo, at ang mga kapangyarihan at tungkulin ng trustee. Makakatulong ang isang abogado sa pagbalangkas ng isang legal na maayos na Trust Agreement.
* **Kumuha ng Extrajudicial Settlement of Estate (ESE):** Kung ang lahat ng tagapagmana ay sumang-ayon sa paglikha ng tiwala at pamamahagi ng mga ari-arian, maaaring gamitin ang ESE upang pormal na ilipat ang minanang ari-arian sa trustee. Iniiwasan nito ang pangangailangan para sa paglilitis sa korte (Rule 74 ng Rules of Court).
* **Irehistro ang Deed of Trust:** Kapag napirmahan ng (mga) grantor at trustee, ang Deed of Trust ay kailangang irehistro sa Register of Deeds para sa pampublikong rekord.
* **Mga Bentahe:** * Ito ay isang medyo simple at cost-effective na opsyon kung lahat ng tagapagmana ay sumasang-ayon.
* Maaaring mapabilis ng ESE ang proseso ng paglilipat kumpara sa mga paglilitis sa korte.
**2. Deed of Trust at Judicial Settlement of Estate:**
* **Proseso:**
* Sundin ang mga hakbang 1a at 1c mula sa paraan ng Deed of Trust at ESE (paggawa ng Trust Agreement at pagpaparehistro ng Deed of Trust). * **Maghain ng Petisyon para sa Judicial Settlement:** Kung mayroong anumang hindi pagkakasundo sa mga tagapagmana sa paglikha ng tiwala o pamamahagi ng mga ari-arian, isang petisyon para sa Judicial Settlement ay kailangang maghain sa korte. Ang hukuman pagkatapos ay magpapasya sa bisa ng tiwala at mangangasiwa sa paglilipat ng ari-arian (Rule 74 ng Rules of Court).
* **Mga Bentahe:**
* Ang pamamaraang ito ay nagbibigay ng pangangasiwa sa korte at maaaring makatulong kung may mga pagtatalo sa pagitan ng mga tagapagmana.
* Nag-aalok ito ng mas pormal at secure na paraan upang maitatag ang tiwala, lalo na para sa mga mahahalagang ari-arian.
**Mahahalagang Pagsasaalang-alang:**
* Anuman ang paraan na pinili, ang pagkonsulta sa isang abogado ay napakahalaga upang matiyak na ang Trust Agreement ay legal na tama at sumusunod sa mga batas ng tiwala sa Pilipinas. * Maaari ding payuhan ng abogado ang anumang implikasyon sa buwis na nauugnay sa paglilipat ng ari-arian sa isang trust.
* Ang mga tagapagmana na pinangalanan bilang mga benepisyaryo sa trust ay dapat ipaalam sa kanilang mga karapatan at sa mga tuntunin ng trust.
**Karagdagang Pagpipilian:**
* **Will with Testamentary Trust:** Kung walang umiiral na testamento, ang namatay ay maaaring gumawa ng testamento na nagtatatag ng testamentary trust. Tutukuyin nito ang ari-arian na ililipat sa trust sa pagkamatay ng testator. Ang testamento ay dumaan sa probate, at ang ari-arian ay ililipat sa tiwala gaya ng nakabalangkas sa testamento. **Pagpili ng Tamang Paraan:**
Ang pinaka-angkop na paraan ay nakasalalay sa pagiging kumplikado ng sitwasyon. Kung may ganap na kasunduan sa mga tagapagmana, ang Deed of Trust at ESE na ruta ay mas simple at mas mabilis. Gayunpaman, kung may mga hindi pagkakasundo o ang ari-arian ay lubos na mahalaga, ang isang Judicial Settlement na may pangangasiwa ng hukuman ay maaaring mas mainam. Ang pagkonsulta sa isang abogado ay makakatulong sa iyo na matukoy ang pinakamahusay na diskarte para sa iyong mga partikular na kalagayan.</v>
      </c>
      <c r="F500" s="2">
        <f t="shared" si="1"/>
        <v>1</v>
      </c>
      <c r="G500" s="2"/>
      <c r="H500" s="2"/>
      <c r="I500" s="2"/>
      <c r="J500" s="2"/>
      <c r="K500" s="2"/>
      <c r="L500" s="2"/>
      <c r="M500" s="2"/>
      <c r="N500" s="2"/>
      <c r="O500" s="2"/>
      <c r="P500" s="2"/>
      <c r="Q500" s="2"/>
      <c r="R500" s="2"/>
      <c r="S500" s="2"/>
      <c r="T500" s="2"/>
      <c r="U500" s="2"/>
      <c r="V500" s="2"/>
      <c r="W500" s="2"/>
      <c r="X500" s="2"/>
      <c r="Y500" s="2"/>
      <c r="Z500" s="2"/>
      <c r="AA500" s="2"/>
    </row>
    <row r="501">
      <c r="A501" s="1" t="s">
        <v>1224</v>
      </c>
      <c r="B501" s="1" t="s">
        <v>1763</v>
      </c>
      <c r="C501" s="1" t="s">
        <v>1764</v>
      </c>
      <c r="D501" s="1" t="s">
        <v>1765</v>
      </c>
      <c r="E501" s="2" t="str">
        <f>IFERROR(__xludf.DUMMYFUNCTION("GOOGLETRANSLATE(C501, ""en"", ""TL"")"),"Kapag ang mga tagapagmana ay hindi sumang-ayon sa kung paano hatiin o pamahalaan ang minanang ari-arian sa Pilipinas, ang batas ay nag-aalok ng ilang paraan para sa pagresolba sa hindi pagkakaunawaan. Narito ang isang breakdown ng mga potensyal na diskart"&amp;"e:
1. Amicable Resolution:
Bukas na Komunikasyon: Ang pinakakanais-nais na solusyon ay para sa mga tagapagmana na hayagang makipag-usap at subukang maabot ang isang solusyong napagkasunduan sa isa't isa tungkol sa paghahati o pamamahala ng ari-arian"&amp;". Ito ay maaaring may kasamang:
Pagtalakay sa mga alalahanin at priyoridad.
Isinasaalang-alang ang iba't ibang mga panukala para sa paghahati ng ari-arian (pisikal na paghahati, pagbebenta at paghahati ng mga nalikom).
Pagtatatag ng mga malinaw na kasu"&amp;"nduan sa pamamahala ng kapwa pagmamay-ari (mga responsibilidad sa pagpapanatili, mga kaayusan sa pag-upa).
2. Extrajudicial Settlement na may Partition Agreement:
Pormal na Kasunduan: Kung ang mga tagapagmana ay nagkasundo sa dibisyon, maaari nilang g"&amp;"awing pormal ito sa pamamagitan ng Extrajudicial Settlement of Estate (EJS) na may Partition Agreement.
Legal na Tulong: Makakatulong ang isang abogado sa pagbalangkas ng EJS, tinitiyak na sumusunod ito sa mga legal na kinakailangan at malinaw na binabal"&amp;"angkas ang napagkasunduang dibisyon ng ari-arian.
Notarized na Dokumento: Kapag napirmahan na ng lahat ng tagapagmana, ang EJS na may Partition Agreement ay magiging legal na may bisang dokumento.
3. Pamamagitan:
Neutral Third Party: Kung masira ang "&amp;"komunikasyon, maaaring pumili ang mga tagapagmana para sa pamamagitan. Ang isang neutral na tagapamagitan ng third-party ay nagpapadali sa mga talakayan at tinutulungan silang magkasundo sa paghahati o pamamahala sa ari-arian.
Cost-Effective Alternative:"&amp;" Ang pamamagitan ay maaaring maging isang mas mabilis at mas cost-effective na paraan upang malutas ang mga hindi pagkakaunawaan kumpara sa paglilitis.
4. Pagkilos ng Hukuman (Partition Suit):
Legal na Battleground: Bilang huling paraan, maaaring mags"&amp;"ampa ng partition suit ang mga tagapagmana sa korte. Ito ay isang pormal na prosesong legal kung saan tinutukoy ng isang hukom ang paghahati ng ari-arian batay sa mga batas sa pamana ng Pilipinas.
Umubos ng Oras at Mahal: Ang mga laban sa korte ay maaari"&amp;"ng mahaba, mabigat, at magkaroon ng malalaking legal na bayarin.
Mga Salik na Nakakaapekto sa Paglutas ng Hindi Pagkakaunawaan:
Pagiging Kumplikado ng Estate: Kung mas kumplikado ang ari-arian (maraming ari-arian, maraming tagapagmana), mas mahirap ma"&amp;"abot ang isang mapayapang kasunduan.
Presensya ng isang Testamento: Kung mayroong isang testamento, maaari nitong balangkasin ang mga naisin ng testator para sa paghahati ng ari-arian, na posibleng mabawasan ang mga hindi pagkakaunawaan.
Emosyonal na At"&amp;"tachment: Ang sentimental na attachment sa ilang partikular na katangian ay maaaring humantong sa emosyonal na salungatan sa pagitan ng mga tagapagmana.
Mga Rekomendasyon:
Humingi ng Legal na Patnubay: Ang pagkonsulta sa isang abogado na dalubhasa sa "&amp;"batas ng ari-arian at ari-arian ay maaaring makatulong sa paggabay sa iyo sa mga magagamit na opsyon para sa paglutas ng hindi pagkakaunawaan. Maaari silang:
Magbigay ng payo sa mga legal na implikasyon ng iba't ibang paraan.
Bumuo ng mga legal na dokum"&amp;"ento tulad ng EJS na may Partition Agreement.
Kinatawan ka sa pamamagitan o paglilitis sa korte, kung kinakailangan.
Unahin ang Komunikasyon: Ang bukas at tapat na komunikasyon sa pagitan ng mga tagapagmana ay mahalaga para sa paghahanap ng solusyon na "&amp;"gumagalang sa mga interes ng lahat at nagpapaliit ng salungatan.
Sa pamamagitan ng pagbibigay-priyoridad sa komunikasyon, pagtuklas ng mga mapayapang solusyon, at potensyal na paghingi ng legal na patnubay, mapapalaki ng mga tagapagmana ang kanilang mga "&amp;"pagkakataong malutas ang mga hindi pagkakaunawaan sa ari-arian nang epektibo at mahusay. Tandaan, ang paggamit sa paglilitis ay dapat ang huling paraan dahil sa pag-ubos ng oras at mahal nito.")</f>
        <v>Kapag ang mga tagapagmana ay hindi sumang-ayon sa kung paano hatiin o pamahalaan ang minanang ari-arian sa Pilipinas, ang batas ay nag-aalok ng ilang paraan para sa pagresolba sa hindi pagkakaunawaan. Narito ang isang breakdown ng mga potensyal na diskarte:
1. Amicable Resolution:
Bukas na Komunikasyon: Ang pinakakanais-nais na solusyon ay para sa mga tagapagmana na hayagang makipag-usap at subukang maabot ang isang solusyong napagkasunduan sa isa't isa tungkol sa paghahati o pamamahala ng ari-arian. Ito ay maaaring may kasamang:
Pagtalakay sa mga alalahanin at priyoridad.
Isinasaalang-alang ang iba't ibang mga panukala para sa paghahati ng ari-arian (pisikal na paghahati, pagbebenta at paghahati ng mga nalikom).
Pagtatatag ng mga malinaw na kasunduan sa pamamahala ng kapwa pagmamay-ari (mga responsibilidad sa pagpapanatili, mga kaayusan sa pag-upa).
2. Extrajudicial Settlement na may Partition Agreement:
Pormal na Kasunduan: Kung ang mga tagapagmana ay nagkasundo sa dibisyon, maaari nilang gawing pormal ito sa pamamagitan ng Extrajudicial Settlement of Estate (EJS) na may Partition Agreement.
Legal na Tulong: Makakatulong ang isang abogado sa pagbalangkas ng EJS, tinitiyak na sumusunod ito sa mga legal na kinakailangan at malinaw na binabalangkas ang napagkasunduang dibisyon ng ari-arian.
Notarized na Dokumento: Kapag napirmahan na ng lahat ng tagapagmana, ang EJS na may Partition Agreement ay magiging legal na may bisang dokumento.
3. Pamamagitan:
Neutral Third Party: Kung masira ang komunikasyon, maaaring pumili ang mga tagapagmana para sa pamamagitan. Ang isang neutral na tagapamagitan ng third-party ay nagpapadali sa mga talakayan at tinutulungan silang magkasundo sa paghahati o pamamahala sa ari-arian.
Cost-Effective Alternative: Ang pamamagitan ay maaaring maging isang mas mabilis at mas cost-effective na paraan upang malutas ang mga hindi pagkakaunawaan kumpara sa paglilitis.
4. Pagkilos ng Hukuman (Partition Suit):
Legal na Battleground: Bilang huling paraan, maaaring magsampa ng partition suit ang mga tagapagmana sa korte. Ito ay isang pormal na prosesong legal kung saan tinutukoy ng isang hukom ang paghahati ng ari-arian batay sa mga batas sa pamana ng Pilipinas.
Umubos ng Oras at Mahal: Ang mga laban sa korte ay maaaring mahaba, mabigat, at magkaroon ng malalaking legal na bayarin.
Mga Salik na Nakakaapekto sa Paglutas ng Hindi Pagkakaunawaan:
Pagiging Kumplikado ng Estate: Kung mas kumplikado ang ari-arian (maraming ari-arian, maraming tagapagmana), mas mahirap maabot ang isang mapayapang kasunduan.
Presensya ng isang Testamento: Kung mayroong isang testamento, maaari nitong balangkasin ang mga naisin ng testator para sa paghahati ng ari-arian, na posibleng mabawasan ang mga hindi pagkakaunawaan.
Emosyonal na Attachment: Ang sentimental na attachment sa ilang partikular na katangian ay maaaring humantong sa emosyonal na salungatan sa pagitan ng mga tagapagmana.
Mga Rekomendasyon:
Humingi ng Legal na Patnubay: Ang pagkonsulta sa isang abogado na dalubhasa sa batas ng ari-arian at ari-arian ay maaaring makatulong sa paggabay sa iyo sa mga magagamit na opsyon para sa paglutas ng hindi pagkakaunawaan. Maaari silang:
Magbigay ng payo sa mga legal na implikasyon ng iba't ibang paraan.
Bumuo ng mga legal na dokumento tulad ng EJS na may Partition Agreement.
Kinatawan ka sa pamamagitan o paglilitis sa korte, kung kinakailangan.
Unahin ang Komunikasyon: Ang bukas at tapat na komunikasyon sa pagitan ng mga tagapagmana ay mahalaga para sa paghahanap ng solusyon na gumagalang sa mga interes ng lahat at nagpapaliit ng salungatan.
Sa pamamagitan ng pagbibigay-priyoridad sa komunikasyon, pagtuklas ng mga mapayapang solusyon, at potensyal na paghingi ng legal na patnubay, mapapalaki ng mga tagapagmana ang kanilang mga pagkakataong malutas ang mga hindi pagkakaunawaan sa ari-arian nang epektibo at mahusay. Tandaan, ang paggamit sa paglilitis ay dapat ang huling paraan dahil sa pag-ubos ng oras at mahal nito.</v>
      </c>
      <c r="F501" s="2">
        <f t="shared" si="1"/>
        <v>1</v>
      </c>
      <c r="G501" s="2"/>
      <c r="H501" s="2"/>
      <c r="I501" s="2"/>
      <c r="J501" s="2"/>
      <c r="K501" s="2"/>
      <c r="L501" s="2"/>
      <c r="M501" s="2"/>
      <c r="N501" s="2"/>
      <c r="O501" s="2"/>
      <c r="P501" s="2"/>
      <c r="Q501" s="2"/>
      <c r="R501" s="2"/>
      <c r="S501" s="2"/>
      <c r="T501" s="2"/>
      <c r="U501" s="2"/>
      <c r="V501" s="2"/>
      <c r="W501" s="2"/>
      <c r="X501" s="2"/>
      <c r="Y501" s="2"/>
      <c r="Z501" s="2"/>
      <c r="AA501" s="2"/>
    </row>
    <row r="502">
      <c r="A502" s="1" t="s">
        <v>1224</v>
      </c>
      <c r="B502" s="1" t="s">
        <v>1766</v>
      </c>
      <c r="C502" s="1" t="s">
        <v>1767</v>
      </c>
      <c r="D502" s="1" t="s">
        <v>1768</v>
      </c>
      <c r="E502" s="2" t="str">
        <f>IFERROR(__xludf.DUMMYFUNCTION("GOOGLETRANSLATE(C502, ""en"", ""TL"")"),"Talagang, ang minanang ari-arian na matatagpuan sa ibang estado (kung sa loob ng parehong bansa) o ibang bansa ay maaaring sumailalim sa iba't ibang legal na pamamaraan at buwis kumpara sa pagmamana ng ari-arian sa iyong sariling hurisdiksyon. Narito ang "&amp;"isang breakdown ng mga pangunahing pagsasaalang-alang:
Iba't ibang Estado (Sa loob ng Parehong Bansa):
Mga Pagkakaiba-iba sa Inheritance Law: Bagama't maaaring mayroong pangkalahatang balangkas para sa batas ng mana sa loob ng isang bansa, ang mga i"&amp;"ndibidwal na estado ay maaaring magkaroon ng mga partikular na pagkakaiba-iba sa kanilang mga batas. Ang mga pagkakaiba-iba na ito ay maaaring makaapekto sa mga aspeto tulad ng:
Mga alituntunin ng intestate succession (pamamahagi ng ari-arian kung walang"&amp;" habilin).
Mga karapatan ng asawa (elective share na maaaring mayroon ang nabubuhay na asawa sa estate).
Pag-aari ng komunidad kumpara sa mga hiwalay na batas sa ari-arian (epekto sa kung paano nahahati ang mga ari-arian ng mag-asawa).
Mga Proseso ng P"&amp;"robate: Ang proseso ng probate para sa pagmamana ng ari-arian ay maaaring bahagyang naiiba sa pagitan ng mga estado. Maaaring kabilang dito ang:
Pag-iiba-iba ng mga timeline para sa mga paglilitis sa probate court.
Mga pagkakaiba sa kinakailangang papel"&amp;"es o bayad sa hukuman.
Iba't ibang Bansa (International Inheritance):
Mga Pagkakumplikado at Hamon: Ang pagmamana ng ari-arian sa mga internasyonal na hangganan ay nagdaragdag ng isang layer ng pagiging kumplikado. Narito kung bakit:
Iba't ibang Lega"&amp;"l na Sistema: Ang iba't ibang bansa ay may sariling mga batas sa pamana, mga code sa buwis, at mga legal na pamamaraan.
Mga Internasyonal na Kasunduan: Ang ilang mga bansa ay may mga bilateral na kasunduan na nauugnay sa mga buwis sa mana o pangangasiwa "&amp;"ng ari-arian na maaaring gawing simple ang proseso.
Mga Potensyal na Isyu sa International Inheritance:
Maramihang Jurisdictions: Ang ari-arian ay maaaring sumailalim sa probate o inheritance tax sa parehong bansang tinitirhan ng namatay at sa bansa k"&amp;"ung saan matatagpuan ang ari-arian.
Mga Foreign Estate Tax: Maaaring kailanganin ng mga tagapagmana na magbayad ng inheritance tax sa bansa kung saan matatagpuan ang property sa itaas ng anumang buwis na naaangkop sa kanilang sariling bansa.
Mga Banyaga"&amp;"ng Legal na Proseso: Ang pakikitungo sa mga dayuhang hukuman, hindi pamilyar na mga sistemang legal, at potensyal na nangangailangan ng lokal na legal na representasyon ay maaaring maging mahirap at magastos.
Mga Rekomendasyon:
Humingi ng Legal na Cou"&amp;"nsel: Ang pagkonsulta sa isang abogadong may karanasan sa international estate planning o inheritance law ay mahalaga. Maaari silang:
Magbigay ng payo sa mga partikular na legal na pamamaraan at mga implikasyon sa buwis na naaangkop sa parehong mga bansa"&amp;"ng kasangkot.
Gabayan ka sa pamamagitan ng pag-navigate sa proseso ng probate o paghahain ng buwis sa ibang bansa.
Tulungan kang maunawaan ang iyong mga karapatan at obligasyon bilang tagapagmana na nagmamana ng ari-arian sa ibang bansa.
Mga Karagdagan"&amp;"g Tip:
Mga Pagsasaalang-alang sa Pagpaplano ng Estate: Kung nagmamay-ari ka ng ari-arian sa ibang bansa, isaalang-alang ang pagsasama ng mga internasyonal na estratehiya sa pagpaplano ng ari-arian sa iyong kalooban upang mabawasan ang mga potensyal na "&amp;"komplikasyon para sa iyong mga tagapagmana.
Komunikasyon sa mga Dayuhang Tagapagmana: Kung may mga tagapagmana na naninirahan sa iba't ibang bansa, ang malinaw na komunikasyon at pakikipagtulungan ay mahalaga para sa maayos na pag-navigate sa proseso ng "&amp;"mana.
Tandaan, ang pagmamana ng ari-arian sa mga hangganan ay nangangailangan ng maingat na pagpaplano at propesyonal na patnubay upang matiyak na sumusunod ka sa lahat ng legal na kinakailangan at maiwasan ang mga hindi kinakailangang pasanin o pagkaant"&amp;"ala sa buwis.")</f>
        <v>Talagang, ang minanang ari-arian na matatagpuan sa ibang estado (kung sa loob ng parehong bansa) o ibang bansa ay maaaring sumailalim sa iba't ibang legal na pamamaraan at buwis kumpara sa pagmamana ng ari-arian sa iyong sariling hurisdiksyon. Narito ang isang breakdown ng mga pangunahing pagsasaalang-alang:
Iba't ibang Estado (Sa loob ng Parehong Bansa):
Mga Pagkakaiba-iba sa Inheritance Law: Bagama't maaaring mayroong pangkalahatang balangkas para sa batas ng mana sa loob ng isang bansa, ang mga indibidwal na estado ay maaaring magkaroon ng mga partikular na pagkakaiba-iba sa kanilang mga batas. Ang mga pagkakaiba-iba na ito ay maaaring makaapekto sa mga aspeto tulad ng:
Mga alituntunin ng intestate succession (pamamahagi ng ari-arian kung walang habilin).
Mga karapatan ng asawa (elective share na maaaring mayroon ang nabubuhay na asawa sa estate).
Pag-aari ng komunidad kumpara sa mga hiwalay na batas sa ari-arian (epekto sa kung paano nahahati ang mga ari-arian ng mag-asawa).
Mga Proseso ng Probate: Ang proseso ng probate para sa pagmamana ng ari-arian ay maaaring bahagyang naiiba sa pagitan ng mga estado. Maaaring kabilang dito ang:
Pag-iiba-iba ng mga timeline para sa mga paglilitis sa probate court.
Mga pagkakaiba sa kinakailangang papeles o bayad sa hukuman.
Iba't ibang Bansa (International Inheritance):
Mga Pagkakumplikado at Hamon: Ang pagmamana ng ari-arian sa mga internasyonal na hangganan ay nagdaragdag ng isang layer ng pagiging kumplikado. Narito kung bakit:
Iba't ibang Legal na Sistema: Ang iba't ibang bansa ay may sariling mga batas sa pamana, mga code sa buwis, at mga legal na pamamaraan.
Mga Internasyonal na Kasunduan: Ang ilang mga bansa ay may mga bilateral na kasunduan na nauugnay sa mga buwis sa mana o pangangasiwa ng ari-arian na maaaring gawing simple ang proseso.
Mga Potensyal na Isyu sa International Inheritance:
Maramihang Jurisdictions: Ang ari-arian ay maaaring sumailalim sa probate o inheritance tax sa parehong bansang tinitirhan ng namatay at sa bansa kung saan matatagpuan ang ari-arian.
Mga Foreign Estate Tax: Maaaring kailanganin ng mga tagapagmana na magbayad ng inheritance tax sa bansa kung saan matatagpuan ang property sa itaas ng anumang buwis na naaangkop sa kanilang sariling bansa.
Mga Banyagang Legal na Proseso: Ang pakikitungo sa mga dayuhang hukuman, hindi pamilyar na mga sistemang legal, at potensyal na nangangailangan ng lokal na legal na representasyon ay maaaring maging mahirap at magastos.
Mga Rekomendasyon:
Humingi ng Legal na Counsel: Ang pagkonsulta sa isang abogadong may karanasan sa international estate planning o inheritance law ay mahalaga. Maaari silang:
Magbigay ng payo sa mga partikular na legal na pamamaraan at mga implikasyon sa buwis na naaangkop sa parehong mga bansang kasangkot.
Gabayan ka sa pamamagitan ng pag-navigate sa proseso ng probate o paghahain ng buwis sa ibang bansa.
Tulungan kang maunawaan ang iyong mga karapatan at obligasyon bilang tagapagmana na nagmamana ng ari-arian sa ibang bansa.
Mga Karagdagang Tip:
Mga Pagsasaalang-alang sa Pagpaplano ng Estate: Kung nagmamay-ari ka ng ari-arian sa ibang bansa, isaalang-alang ang pagsasama ng mga internasyonal na estratehiya sa pagpaplano ng ari-arian sa iyong kalooban upang mabawasan ang mga potensyal na komplikasyon para sa iyong mga tagapagmana.
Komunikasyon sa mga Dayuhang Tagapagmana: Kung may mga tagapagmana na naninirahan sa iba't ibang bansa, ang malinaw na komunikasyon at pakikipagtulungan ay mahalaga para sa maayos na pag-navigate sa proseso ng mana.
Tandaan, ang pagmamana ng ari-arian sa mga hangganan ay nangangailangan ng maingat na pagpaplano at propesyonal na patnubay upang matiyak na sumusunod ka sa lahat ng legal na kinakailangan at maiwasan ang mga hindi kinakailangang pasanin o pagkaantala sa buwis.</v>
      </c>
      <c r="F502" s="2">
        <f t="shared" si="1"/>
        <v>0</v>
      </c>
      <c r="G502" s="2"/>
      <c r="H502" s="2"/>
      <c r="I502" s="2"/>
      <c r="J502" s="2"/>
      <c r="K502" s="2"/>
      <c r="L502" s="2"/>
      <c r="M502" s="2"/>
      <c r="N502" s="2"/>
      <c r="O502" s="2"/>
      <c r="P502" s="2"/>
      <c r="Q502" s="2"/>
      <c r="R502" s="2"/>
      <c r="S502" s="2"/>
      <c r="T502" s="2"/>
      <c r="U502" s="2"/>
      <c r="V502" s="2"/>
      <c r="W502" s="2"/>
      <c r="X502" s="2"/>
      <c r="Y502" s="2"/>
      <c r="Z502" s="2"/>
      <c r="AA502" s="2"/>
    </row>
    <row r="503">
      <c r="A503" s="1" t="s">
        <v>1224</v>
      </c>
      <c r="B503" s="1" t="s">
        <v>1726</v>
      </c>
      <c r="C503" s="1" t="s">
        <v>1769</v>
      </c>
      <c r="D503" s="2"/>
      <c r="E503" s="2" t="str">
        <f>IFERROR(__xludf.DUMMYFUNCTION("GOOGLETRANSLATE(C503, ""en"", ""TL"")"),"Sa Pilipinas, ang mga legal na responsibilidad ng mga tagapagmana hinggil sa minanang pagmamantini at pangangalaga ng ari-arian ay nakadepende sa ilang pangunahing salik:
1. Uri ng Pagmamay-ari:
Nag-iisang Pagmamay-ari: Kung ang isang tagapagmana ay nagma"&amp;"mana ng ari-arian bilang nag-iisang may-ari, ang responsibilidad para sa pagpapanatili at pangangalaga ay ganap na nakasalalay sa kanila. Malaya silang gumawa ng mga desisyon tungkol sa pagkukumpuni, pagsasaayos, o kung paano ginagamit ang property, basta"&amp;"'t sumusunod sila sa mga lokal na regulasyon sa zoning at mga panuntunan ng HOA (kung naaangkop).
Co-Ownership: Kung maraming tagapagmana ang magkakasamang magmamana ng ari-arian, sila ay magiging kapwa may-ari. Ang mga legal na responsibilidad para sa pa"&amp;"gpapanatili at pangangalaga ay naibabahagi. Ito ay maaaring may kasamang:
Mga Gastos sa Pagbabahagi: Ang mga tagapagmana ay karaniwang inaasahang mag-aambag nang proporsyonal sa mga gastos sa pagpapanatili, pagkukumpuni, at mga buwis sa ari-arian batay sa"&amp;" kanilang bahagi ng pagmamay-ari.
Pinagsamang Paggawa ng Desisyon: Ang mga makabuluhang desisyon tungkol sa pagpapanatili o mga pagbabago ay karaniwang nangangailangan ng kasunduan mula sa lahat ng mga kapwa may-ari. Ang bukas na komunikasyon at pakikipag"&amp;"tulungan ay mahalaga upang maiwasan ang mga hindi pagkakaunawaan.
2. Pagkakaroon ng Will:
Mga Tukoy na Tagubilin: Ang isang testamento ay maaaring maglaman ng mga tiyak na tagubilin mula sa namatay tungkol sa pangangalaga at pagpapanatili ng ari-arian. An"&amp;"g mga tagapagmana ay obligadong igalang ang mga kagustuhang ito sa loob ng mga legal na hangganan.
Pagtatalaga ng Pananagutan: Sa ilang mga kaso, ang isang testamento ay maaaring magtalaga ng isang partikular na tagapagmana o tagapagpatupad upang pangasiw"&amp;"aan ang pagpapanatili ng ari-arian sa ngalan ng lahat ng mga benepisyaryo.
3. Mga Legal na Pagsasaalang-alang:
Tungkulin sa Pagpapanatili: Ang mga tagapagmana ay may pangkalahatang legal na obligasyon na panatilihin ang minanang ari-arian sa isang makatwi"&amp;"rang kondisyon. Pinipigilan nito ang ari-arian na maging isang istorbo o panganib sa kaligtasan sa kapitbahayan.
Kapabayaan at Pananagutan: Kung ang ari-arian ay nasira dahil sa kapabayaan ng mga tagapagmana, at nagdudulot ito ng pinsala sa mga kalapit na"&amp;" ari-arian o pinsala sa isang tao, ang mga tagapagmana ay maaaring managot.
4. Komunikasyon at Mga Kasunduan:
Bukas na Komunikasyon: Para sa mga pag-aari na pag-aari, ang pagtatatag ng malinaw na komunikasyon at mga kasunduan sa mga tagapagmana hinggil sa"&amp;" mga responsibilidad sa pagpapanatili ay mahalaga. Maaaring kabilang dito ang:
Pagtalakay sa mga kontribusyong pinansyal para sa pangangalaga.
Paglikha ng iskedyul para sa mga nakabahaging gawain sa pagpapanatili.
Binabalangkas ang isang proseso ng paggaw"&amp;"a ng desisyon para sa malalaking pagkukumpuni o pagsasaayos.
Disclaimer: Ito ay isang pinasimple na pangkalahatang-ideya, at maaaring umiral ang mga partikular na legal na nuances depende sa sitwasyon. Ang pagkonsulta sa isang abogado na dalubhasa sa bata"&amp;"s ng ari-arian ay maaaring magbigay ng mas tiyak na patnubay.
Sa Buod:
Karaniwang responsable ang mga tagapagmana sa pagpapanatili ng minanang ari-arian, ngunit ang eksaktong legal na responsibilidad ay nakasalalay sa mga salik tulad ng uri ng pagmamay-ar"&amp;"i, pagkakaroon ng testamento, at mga kasunduan sa kapwa pagmamay-ari. Ang bukas na komunikasyon, pagsunod sa anumang partikular na tagubilin sa isang testamento, at pagtupad sa isang pangkalahatang tungkulin na panatilihin ang ari-arian sa isang makatwira"&amp;"ng kondisyon ay mga pangunahing aspeto na dapat isaalang-alang ng mga tagapagmana.")</f>
        <v>Sa Pilipinas, ang mga legal na responsibilidad ng mga tagapagmana hinggil sa minanang pagmamantini at pangangalaga ng ari-arian ay nakadepende sa ilang pangunahing salik:
1. Uri ng Pagmamay-ari:
Nag-iisang Pagmamay-ari: Kung ang isang tagapagmana ay nagmamana ng ari-arian bilang nag-iisang may-ari, ang responsibilidad para sa pagpapanatili at pangangalaga ay ganap na nakasalalay sa kanila. Malaya silang gumawa ng mga desisyon tungkol sa pagkukumpuni, pagsasaayos, o kung paano ginagamit ang property, basta't sumusunod sila sa mga lokal na regulasyon sa zoning at mga panuntunan ng HOA (kung naaangkop).
Co-Ownership: Kung maraming tagapagmana ang magkakasamang magmamana ng ari-arian, sila ay magiging kapwa may-ari. Ang mga legal na responsibilidad para sa pagpapanatili at pangangalaga ay naibabahagi. Ito ay maaaring may kasamang:
Mga Gastos sa Pagbabahagi: Ang mga tagapagmana ay karaniwang inaasahang mag-aambag nang proporsyonal sa mga gastos sa pagpapanatili, pagkukumpuni, at mga buwis sa ari-arian batay sa kanilang bahagi ng pagmamay-ari.
Pinagsamang Paggawa ng Desisyon: Ang mga makabuluhang desisyon tungkol sa pagpapanatili o mga pagbabago ay karaniwang nangangailangan ng kasunduan mula sa lahat ng mga kapwa may-ari. Ang bukas na komunikasyon at pakikipagtulungan ay mahalaga upang maiwasan ang mga hindi pagkakaunawaan.
2. Pagkakaroon ng Will:
Mga Tukoy na Tagubilin: Ang isang testamento ay maaaring maglaman ng mga tiyak na tagubilin mula sa namatay tungkol sa pangangalaga at pagpapanatili ng ari-arian. Ang mga tagapagmana ay obligadong igalang ang mga kagustuhang ito sa loob ng mga legal na hangganan.
Pagtatalaga ng Pananagutan: Sa ilang mga kaso, ang isang testamento ay maaaring magtalaga ng isang partikular na tagapagmana o tagapagpatupad upang pangasiwaan ang pagpapanatili ng ari-arian sa ngalan ng lahat ng mga benepisyaryo.
3. Mga Legal na Pagsasaalang-alang:
Tungkulin sa Pagpapanatili: Ang mga tagapagmana ay may pangkalahatang legal na obligasyon na panatilihin ang minanang ari-arian sa isang makatwirang kondisyon. Pinipigilan nito ang ari-arian na maging isang istorbo o panganib sa kaligtasan sa kapitbahayan.
Kapabayaan at Pananagutan: Kung ang ari-arian ay nasira dahil sa kapabayaan ng mga tagapagmana, at nagdudulot ito ng pinsala sa mga kalapit na ari-arian o pinsala sa isang tao, ang mga tagapagmana ay maaaring managot.
4. Komunikasyon at Mga Kasunduan:
Bukas na Komunikasyon: Para sa mga pag-aari na pag-aari, ang pagtatatag ng malinaw na komunikasyon at mga kasunduan sa mga tagapagmana hinggil sa mga responsibilidad sa pagpapanatili ay mahalaga. Maaaring kabilang dito ang:
Pagtalakay sa mga kontribusyong pinansyal para sa pangangalaga.
Paglikha ng iskedyul para sa mga nakabahaging gawain sa pagpapanatili.
Binabalangkas ang isang proseso ng paggawa ng desisyon para sa malalaking pagkukumpuni o pagsasaayos.
Disclaimer: Ito ay isang pinasimple na pangkalahatang-ideya, at maaaring umiral ang mga partikular na legal na nuances depende sa sitwasyon. Ang pagkonsulta sa isang abogado na dalubhasa sa batas ng ari-arian ay maaaring magbigay ng mas tiyak na patnubay.
Sa Buod:
Karaniwang responsable ang mga tagapagmana sa pagpapanatili ng minanang ari-arian, ngunit ang eksaktong legal na responsibilidad ay nakasalalay sa mga salik tulad ng uri ng pagmamay-ari, pagkakaroon ng testamento, at mga kasunduan sa kapwa pagmamay-ari. Ang bukas na komunikasyon, pagsunod sa anumang partikular na tagubilin sa isang testamento, at pagtupad sa isang pangkalahatang tungkulin na panatilihin ang ari-arian sa isang makatwirang kondisyon ay mga pangunahing aspeto na dapat isaalang-alang ng mga tagapagmana.</v>
      </c>
      <c r="F503" s="2">
        <f t="shared" si="1"/>
        <v>0</v>
      </c>
      <c r="G503" s="2"/>
      <c r="H503" s="2"/>
      <c r="I503" s="2"/>
      <c r="J503" s="2"/>
      <c r="K503" s="2"/>
      <c r="L503" s="2"/>
      <c r="M503" s="2"/>
      <c r="N503" s="2"/>
      <c r="O503" s="2"/>
      <c r="P503" s="2"/>
      <c r="Q503" s="2"/>
      <c r="R503" s="2"/>
      <c r="S503" s="2"/>
      <c r="T503" s="2"/>
      <c r="U503" s="2"/>
      <c r="V503" s="2"/>
      <c r="W503" s="2"/>
      <c r="X503" s="2"/>
      <c r="Y503" s="2"/>
      <c r="Z503" s="2"/>
      <c r="AA503" s="2"/>
    </row>
    <row r="504">
      <c r="A504" s="1" t="s">
        <v>1224</v>
      </c>
      <c r="B504" s="1" t="s">
        <v>1729</v>
      </c>
      <c r="C504" s="1" t="s">
        <v>1770</v>
      </c>
      <c r="D504" s="1" t="s">
        <v>1731</v>
      </c>
      <c r="E504" s="2" t="str">
        <f>IFERROR(__xludf.DUMMYFUNCTION("GOOGLETRANSLATE(C504, ""en"", ""TL"")"),"Ang batas ng mana sa Pilipinas ay nakikipag-ugnayan sa mga regulasyon sa kapaligiran at mga paghihigpit sa minanang ari-arian sa maraming paraan, na lumilikha ng parehong potensyal na pananagutan at mga limitasyon para sa mga tagapagmana. Narito ang isang"&amp;" breakdown ng mga pangunahing punto:
Karapatan ng Tagapagmana na Malaman:
Mga Kinakailangan sa Pagbubunyag: Ang mga tagapagmana ay may karapatang maabisuhan tungkol sa anumang mga isyu sa kapaligiran o mga paghihigpit na nauugnay sa ari-arian na kan"&amp;"ilang minana. Maaaring kabilang dito ang:
Mga paghihigpit sa zoning dahil sa pagiging sensitibo sa kapaligiran.
Pagkakaroon ng mga mapanganib na materyales o kontaminasyon.
Patuloy na mga utos sa paglilinis ng kapaligiran.
Anumang natitirang multa o p"&amp;"arusa na may kaugnayan sa mga paglabag sa kapaligiran.
Mga Potensyal na Pananagutan:
Prinsipyo ng ""Polluter Pays"": Sumusunod ang Pilipinas sa prinsipyong ""polluter pays"", na maaaring managot sa mga tagapagmana para sa mga problema sa kapaligiran n"&amp;"a dulot ng ari-arian, kahit na hindi sila ang naging sanhi ng isyu. Ito ay partikular na nauugnay para sa mga ari-arian na may dati nang kontaminasyon.
Mga Obligasyon sa Pagsunod:
Patuloy na Pananagutan: Maaaring mamana ng mga tagapagmana ang responsi"&amp;"bilidad na sumunod sa mga kasalukuyang regulasyon sa kapaligiran o patuloy na mga utos sa paglilinis. Maaaring kabilang dito ang:
Pagkuha ng mga kinakailangang permit para sa pagpapatakbo ng ilang uri ng negosyo sa property.
Pagpapatupad ng mga tiyak na"&amp;" hakbang sa pagkontrol ng polusyon.
Pagpapatuloy ng anumang patuloy na pagsisikap sa remediation sa kapaligiran.
Epekto sa Halaga ng Mana:
Pinababang Halaga: Ang mga ari-arian na may mga isyu sa kapaligiran o paghihigpit ay maaaring magkaroon ng maka"&amp;"buluhang mas mababang halaga sa pamilihan kumpara sa mga katulad na ari-arian na walang ganoong mga pasanin. Maaari itong makaapekto sa kabuuang halaga ng mana para sa lahat ng tagapagmana.
Mga Legal na Pagsasaalang-alang:
Due Diligence: Bago tumangga"&amp;"p ng inheritance, lalo na ang ari-arian na may potensyal na mga alalahanin sa kapaligiran, napakahalaga para sa mga tagapagmana na magsagawa ng masusing due diligence. Maaaring kabilang dito ang:
Mga pagtatasa ng kapaligiran sa lugar upang matukoy ang po"&amp;"tensyal na kontaminasyon.
Pagsusuri sa mga regulasyon at paghihigpit sa zoning.
Pagkonsulta sa isang abogado na dalubhasa sa batas sa kapaligiran.
Disclaimer: Ang mga regulasyon sa kapaligiran at ang mga implikasyon ng mga ito sa mana ay maaaring kumpl"&amp;"ikado at partikular sa sitwasyon.
Mga Rekomendasyon:
Humingi ng Legal na Patnubay: Ang mga tagapagmana na nagmamana ng ari-arian na may potensyal na mga isyu sa kapaligiran ay mahigpit na pinapayuhan na humingi ng legal na payo mula sa isang abogado"&amp;" na dalubhasa sa parehong batas sa kapaligiran at pamana. Maaari silang:
Magbigay ng payo sa mga potensyal na pananagutan at mga obligasyon sa pagsunod.
Tumulong sa pag-navigate sa mga legalidad ng pagharap sa mga paghihigpit sa kapaligiran.
Gabayan ka"&amp;" sa paggawa ng matalinong mga desisyon tungkol sa pagtanggap o pamamahala ng mana.
Ang pag-unawa sa mga pakikipag-ugnayang ito sa pagitan ng batas sa mana at mga regulasyon sa kapaligiran ay makakatulong sa mga tagapagmana na gumawa ng matalinong mga des"&amp;"isyon at protektahan ang kanilang sarili mula sa mga hindi inaasahang pananagutan o mga pasanin sa pananalapi na nauugnay sa minanang ari-arian.")</f>
        <v>Ang batas ng mana sa Pilipinas ay nakikipag-ugnayan sa mga regulasyon sa kapaligiran at mga paghihigpit sa minanang ari-arian sa maraming paraan, na lumilikha ng parehong potensyal na pananagutan at mga limitasyon para sa mga tagapagmana. Narito ang isang breakdown ng mga pangunahing punto:
Karapatan ng Tagapagmana na Malaman:
Mga Kinakailangan sa Pagbubunyag: Ang mga tagapagmana ay may karapatang maabisuhan tungkol sa anumang mga isyu sa kapaligiran o mga paghihigpit na nauugnay sa ari-arian na kanilang minana. Maaaring kabilang dito ang:
Mga paghihigpit sa zoning dahil sa pagiging sensitibo sa kapaligiran.
Pagkakaroon ng mga mapanganib na materyales o kontaminasyon.
Patuloy na mga utos sa paglilinis ng kapaligiran.
Anumang natitirang multa o parusa na may kaugnayan sa mga paglabag sa kapaligiran.
Mga Potensyal na Pananagutan:
Prinsipyo ng "Polluter Pays": Sumusunod ang Pilipinas sa prinsipyong "polluter pays", na maaaring managot sa mga tagapagmana para sa mga problema sa kapaligiran na dulot ng ari-arian, kahit na hindi sila ang naging sanhi ng isyu. Ito ay partikular na nauugnay para sa mga ari-arian na may dati nang kontaminasyon.
Mga Obligasyon sa Pagsunod:
Patuloy na Pananagutan: Maaaring mamana ng mga tagapagmana ang responsibilidad na sumunod sa mga kasalukuyang regulasyon sa kapaligiran o patuloy na mga utos sa paglilinis. Maaaring kabilang dito ang:
Pagkuha ng mga kinakailangang permit para sa pagpapatakbo ng ilang uri ng negosyo sa property.
Pagpapatupad ng mga tiyak na hakbang sa pagkontrol ng polusyon.
Pagpapatuloy ng anumang patuloy na pagsisikap sa remediation sa kapaligiran.
Epekto sa Halaga ng Mana:
Pinababang Halaga: Ang mga ari-arian na may mga isyu sa kapaligiran o paghihigpit ay maaaring magkaroon ng makabuluhang mas mababang halaga sa pamilihan kumpara sa mga katulad na ari-arian na walang ganoong mga pasanin. Maaari itong makaapekto sa kabuuang halaga ng mana para sa lahat ng tagapagmana.
Mga Legal na Pagsasaalang-alang:
Due Diligence: Bago tumanggap ng inheritance, lalo na ang ari-arian na may potensyal na mga alalahanin sa kapaligiran, napakahalaga para sa mga tagapagmana na magsagawa ng masusing due diligence. Maaaring kabilang dito ang:
Mga pagtatasa ng kapaligiran sa lugar upang matukoy ang potensyal na kontaminasyon.
Pagsusuri sa mga regulasyon at paghihigpit sa zoning.
Pagkonsulta sa isang abogado na dalubhasa sa batas sa kapaligiran.
Disclaimer: Ang mga regulasyon sa kapaligiran at ang mga implikasyon ng mga ito sa mana ay maaaring kumplikado at partikular sa sitwasyon.
Mga Rekomendasyon:
Humingi ng Legal na Patnubay: Ang mga tagapagmana na nagmamana ng ari-arian na may potensyal na mga isyu sa kapaligiran ay mahigpit na pinapayuhan na humingi ng legal na payo mula sa isang abogado na dalubhasa sa parehong batas sa kapaligiran at pamana. Maaari silang:
Magbigay ng payo sa mga potensyal na pananagutan at mga obligasyon sa pagsunod.
Tumulong sa pag-navigate sa mga legalidad ng pagharap sa mga paghihigpit sa kapaligiran.
Gabayan ka sa paggawa ng matalinong mga desisyon tungkol sa pagtanggap o pamamahala ng mana.
Ang pag-unawa sa mga pakikipag-ugnayang ito sa pagitan ng batas sa mana at mga regulasyon sa kapaligiran ay makakatulong sa mga tagapagmana na gumawa ng matalinong mga desisyon at protektahan ang kanilang sarili mula sa mga hindi inaasahang pananagutan o mga pasanin sa pananalapi na nauugnay sa minanang ari-arian.</v>
      </c>
      <c r="F504" s="2">
        <f t="shared" si="1"/>
        <v>0</v>
      </c>
      <c r="G504" s="2"/>
      <c r="H504" s="2"/>
      <c r="I504" s="2"/>
      <c r="J504" s="2"/>
      <c r="K504" s="2"/>
      <c r="L504" s="2"/>
      <c r="M504" s="2"/>
      <c r="N504" s="2"/>
      <c r="O504" s="2"/>
      <c r="P504" s="2"/>
      <c r="Q504" s="2"/>
      <c r="R504" s="2"/>
      <c r="S504" s="2"/>
      <c r="T504" s="2"/>
      <c r="U504" s="2"/>
      <c r="V504" s="2"/>
      <c r="W504" s="2"/>
      <c r="X504" s="2"/>
      <c r="Y504" s="2"/>
      <c r="Z504" s="2"/>
      <c r="AA504" s="2"/>
    </row>
    <row r="505">
      <c r="A505" s="1" t="s">
        <v>1224</v>
      </c>
      <c r="B505" s="1" t="s">
        <v>1732</v>
      </c>
      <c r="C505" s="1" t="s">
        <v>1771</v>
      </c>
      <c r="D505" s="1" t="s">
        <v>1734</v>
      </c>
      <c r="E505" s="2" t="str">
        <f>IFERROR(__xludf.DUMMYFUNCTION("GOOGLETRANSLATE(C505, ""en"", ""TL"")"),"Sa Pilipinas, ang mga tagapagmana na nagmamana ng ari-arian na may mga umiiral na kasunduan sa pag-upa o nangungupahan ay may legal na tinukoy na mga karapatan at obligasyon. Narito ang breakdown: Mga Karapatan ng Tagapagmana: Igalang ang mga kasalukuyang"&amp;" Pagpapaupa: Ang mga tagapagmana ay kinakailangang tuparin ang mga kasalukuyang kasunduan sa pag-upa sa mga nangungupahan. Ang mga tuntunin at kundisyon ng naunang may-ari ay nananatiling may bisa, kabilang ang halaga ng upa, tagal ng pag-upa, at iba pang"&amp;" mga probisyon sa kontrata. Collect Rent: Ang mga tagapagmana ay may karapatang mangolekta ng upa mula sa kasalukuyang mga nangungupahan alinsunod sa mga kondisyon ng umiiral na kasunduan sa pag-upa. Negotiate Renewal: Kapag nag-expire ang lease, ang mga "&amp;"tagapagmana ay may opsyon na makipag-ayos ng bagong lease arrangement sa mga kasalukuyang nangungupahan sa sarili nilang mga termino.
Pagpapalayas (Napapailalim sa mga tinukoy na Kondisyon): Ang mga tagapagmana ay maaari lamang magpaalis ng mga nangungupa"&amp;"han na binigyan ng mga tinukoy na legal na paliwanag na nakabalangkas sa Urban Development and Housing Act (RA No. 7279) o ng Civil Code of the Philippines. Ang hindi pagbabayad ng upa, paglabag sa mga tuntunin sa pag-upa, personal na paggamit ng ari-aria"&amp;"n, o demolisyon para sa muling pagpapaunlad (na may wastong paunawa) ay ilan sa mga posibleng dahilan.")</f>
        <v>Sa Pilipinas, ang mga tagapagmana na nagmamana ng ari-arian na may mga umiiral na kasunduan sa pag-upa o nangungupahan ay may legal na tinukoy na mga karapatan at obligasyon. Narito ang breakdown: Mga Karapatan ng Tagapagmana: Igalang ang mga kasalukuyang Pagpapaupa: Ang mga tagapagmana ay kinakailangang tuparin ang mga kasalukuyang kasunduan sa pag-upa sa mga nangungupahan. Ang mga tuntunin at kundisyon ng naunang may-ari ay nananatiling may bisa, kabilang ang halaga ng upa, tagal ng pag-upa, at iba pang mga probisyon sa kontrata. Collect Rent: Ang mga tagapagmana ay may karapatang mangolekta ng upa mula sa kasalukuyang mga nangungupahan alinsunod sa mga kondisyon ng umiiral na kasunduan sa pag-upa. Negotiate Renewal: Kapag nag-expire ang lease, ang mga tagapagmana ay may opsyon na makipag-ayos ng bagong lease arrangement sa mga kasalukuyang nangungupahan sa sarili nilang mga termino.
Pagpapalayas (Napapailalim sa mga tinukoy na Kondisyon): Ang mga tagapagmana ay maaari lamang magpaalis ng mga nangungupahan na binigyan ng mga tinukoy na legal na paliwanag na nakabalangkas sa Urban Development and Housing Act (RA No. 7279) o ng Civil Code of the Philippines. Ang hindi pagbabayad ng upa, paglabag sa mga tuntunin sa pag-upa, personal na paggamit ng ari-arian, o demolisyon para sa muling pagpapaunlad (na may wastong paunawa) ay ilan sa mga posibleng dahilan.</v>
      </c>
      <c r="F505" s="2">
        <f t="shared" si="1"/>
        <v>0</v>
      </c>
      <c r="G505" s="2"/>
      <c r="H505" s="2"/>
      <c r="I505" s="2"/>
      <c r="J505" s="2"/>
      <c r="K505" s="2"/>
      <c r="L505" s="2"/>
      <c r="M505" s="2"/>
      <c r="N505" s="2"/>
      <c r="O505" s="2"/>
      <c r="P505" s="2"/>
      <c r="Q505" s="2"/>
      <c r="R505" s="2"/>
      <c r="S505" s="2"/>
      <c r="T505" s="2"/>
      <c r="U505" s="2"/>
      <c r="V505" s="2"/>
      <c r="W505" s="2"/>
      <c r="X505" s="2"/>
      <c r="Y505" s="2"/>
      <c r="Z505" s="2"/>
      <c r="AA505" s="2"/>
    </row>
    <row r="506">
      <c r="A506" s="1" t="s">
        <v>1224</v>
      </c>
      <c r="B506" s="1" t="s">
        <v>1735</v>
      </c>
      <c r="C506" s="1" t="s">
        <v>1772</v>
      </c>
      <c r="D506" s="1" t="s">
        <v>1737</v>
      </c>
      <c r="E506" s="2" t="str">
        <f>IFERROR(__xludf.DUMMYFUNCTION("GOOGLETRANSLATE(C506, ""en"", ""TL"")"),"Ganap, ang minanang ari-arian sa Pilipinas ay maaaring sumailalim sa mga tuntunin at bayad sa homeowners' association (HOA). Narito kung paano ito gumagana:
Paglalapat ng HOA:
Lokasyon ng Ari-arian: Kung ang minanang ari-arian ay matatagpuan sa loob ng is"&amp;"ang subdivision o development na may rehistradong HOA, ito ay sasailalim sa mga tuntunin at bayad sa HOA.
Mga Obligasyon ng Tagapagmana:
Sumunod sa Mga Panuntunan ng HOA: Ang mga tagapagmana, bilang mga bagong may-ari, ay dapat sumunod sa Mga Tipan, Kundi"&amp;"syon, at Paghihigpit (CC&amp;R) ng HOA na namamahala sa mga bagay tulad ng pagpapanatili ng ari-arian, pagbabago, at pag-uugali ng komunidad.
Magbayad ng Mga Bayarin sa HOA: Ang mga tagapagmana ay may pananagutan sa pagbabayad ng mga regular na bayarin sa HOA"&amp;" para sa pagpapanatili ng mga karaniwang lugar, amenities, at mga serbisyong inaalok ng asosasyon. Ang mga bayarin na ito ay karaniwang sumasaklaw sa seguridad, pangongolekta ng basura, pagpapanatili ng pool, at iba pang mga shared expenses.
Pamamahala:
P"&amp;"agsusuri sa Mga Dokumento ng HOA: Ang mga tagapagmana ay dapat kumuha ng kopya ng CC&amp;R ng HOA at iskedyul ng bayad upang maunawaan ang kanilang mga partikular na obligasyon at ang pagkakahati-hati ng mga singil.
Pakikipag-ugnayan sa HOA: Pinakamainam na m"&amp;"akipag-ugnayan nang direkta sa HOA upang magtanong tungkol sa anumang hindi pa nababayarang bayad mula sa dating may-ari at magtatag ng komunikasyon para sa mga pagbabayad at update sa hinaharap.
Mahahalagang Punto:
Mga Bayarin sa Paglipat: Ang ilang HOA "&amp;"ay maaaring may mga bayarin sa paglilipat na nauugnay sa pagbabago sa pagmamay-ari. Ang mga bayarin na ito ay dapat na nakabalangkas sa mga dokumento ng HOA.
Mga kahihinatnan ng hindi pagbabayad: Ang hindi pagbabayad ng mga bayarin sa HOA ay maaaring huma"&amp;"ntong sa mga parusa, multa, o kahit na legal na aksyon ng HOA. Sa matinding mga kaso, maaari itong makaapekto sa titulo ng ari-arian.
Mga Rekomendasyon:
Proseso ng Pamana: Sa panahon ng proseso ng pagmamana, dapat magtanong ang mga tagapagmana tungkol sa "&amp;"anumang natitirang mga bayarin sa HOA na nauugnay sa ari-arian.
Pagbabadyet: Dapat isaalang-alang ng mga tagapagmana ang mga bayarin sa HOA kapag nagbabadyet para sa minanang ari-arian, lalo na kung plano nilang upahan ito o panatilihin itong bakante.
Dis"&amp;"claimer: Maaaring mag-iba ang mga regulasyon ng HOA depende sa partikular na komunidad. Para sa mas detalyadong pag-unawa sa iyong sitwasyon, ang pagkonsulta sa isang abogado na dalubhasa sa batas ng real estate na pamilyar sa mga HOA ay lubos na inirerek"&amp;"omenda. Maaari nilang suriin ang mga dokumento ng HOA at payuhan ka tungkol sa iyong mga partikular na karapatan at obligasyon.")</f>
        <v>Ganap, ang minanang ari-arian sa Pilipinas ay maaaring sumailalim sa mga tuntunin at bayad sa homeowners' association (HOA). Narito kung paano ito gumagana:
Paglalapat ng HOA:
Lokasyon ng Ari-arian: Kung ang minanang ari-arian ay matatagpuan sa loob ng isang subdivision o development na may rehistradong HOA, ito ay sasailalim sa mga tuntunin at bayad sa HOA.
Mga Obligasyon ng Tagapagmana:
Sumunod sa Mga Panuntunan ng HOA: Ang mga tagapagmana, bilang mga bagong may-ari, ay dapat sumunod sa Mga Tipan, Kundisyon, at Paghihigpit (CC&amp;R) ng HOA na namamahala sa mga bagay tulad ng pagpapanatili ng ari-arian, pagbabago, at pag-uugali ng komunidad.
Magbayad ng Mga Bayarin sa HOA: Ang mga tagapagmana ay may pananagutan sa pagbabayad ng mga regular na bayarin sa HOA para sa pagpapanatili ng mga karaniwang lugar, amenities, at mga serbisyong inaalok ng asosasyon. Ang mga bayarin na ito ay karaniwang sumasaklaw sa seguridad, pangongolekta ng basura, pagpapanatili ng pool, at iba pang mga shared expenses.
Pamamahala:
Pagsusuri sa Mga Dokumento ng HOA: Ang mga tagapagmana ay dapat kumuha ng kopya ng CC&amp;R ng HOA at iskedyul ng bayad upang maunawaan ang kanilang mga partikular na obligasyon at ang pagkakahati-hati ng mga singil.
Pakikipag-ugnayan sa HOA: Pinakamainam na makipag-ugnayan nang direkta sa HOA upang magtanong tungkol sa anumang hindi pa nababayarang bayad mula sa dating may-ari at magtatag ng komunikasyon para sa mga pagbabayad at update sa hinaharap.
Mahahalagang Punto:
Mga Bayarin sa Paglipat: Ang ilang HOA ay maaaring may mga bayarin sa paglilipat na nauugnay sa pagbabago sa pagmamay-ari. Ang mga bayarin na ito ay dapat na nakabalangkas sa mga dokumento ng HOA.
Mga kahihinatnan ng hindi pagbabayad: Ang hindi pagbabayad ng mga bayarin sa HOA ay maaaring humantong sa mga parusa, multa, o kahit na legal na aksyon ng HOA. Sa matinding mga kaso, maaari itong makaapekto sa titulo ng ari-arian.
Mga Rekomendasyon:
Proseso ng Pamana: Sa panahon ng proseso ng pagmamana, dapat magtanong ang mga tagapagmana tungkol sa anumang natitirang mga bayarin sa HOA na nauugnay sa ari-arian.
Pagbabadyet: Dapat isaalang-alang ng mga tagapagmana ang mga bayarin sa HOA kapag nagbabadyet para sa minanang ari-arian, lalo na kung plano nilang upahan ito o panatilihin itong bakante.
Disclaimer: Maaaring mag-iba ang mga regulasyon ng HOA depende sa partikular na komunidad. Para sa mas detalyadong pag-unawa sa iyong sitwasyon, ang pagkonsulta sa isang abogado na dalubhasa sa batas ng real estate na pamilyar sa mga HOA ay lubos na inirerekomenda. Maaari nilang suriin ang mga dokumento ng HOA at payuhan ka tungkol sa iyong mga partikular na karapatan at obligasyon.</v>
      </c>
      <c r="F506" s="2">
        <f t="shared" si="1"/>
        <v>2</v>
      </c>
      <c r="G506" s="2"/>
      <c r="H506" s="2"/>
      <c r="I506" s="2"/>
      <c r="J506" s="2"/>
      <c r="K506" s="2"/>
      <c r="L506" s="2"/>
      <c r="M506" s="2"/>
      <c r="N506" s="2"/>
      <c r="O506" s="2"/>
      <c r="P506" s="2"/>
      <c r="Q506" s="2"/>
      <c r="R506" s="2"/>
      <c r="S506" s="2"/>
      <c r="T506" s="2"/>
      <c r="U506" s="2"/>
      <c r="V506" s="2"/>
      <c r="W506" s="2"/>
      <c r="X506" s="2"/>
      <c r="Y506" s="2"/>
      <c r="Z506" s="2"/>
      <c r="AA506" s="2"/>
    </row>
    <row r="507">
      <c r="A507" s="1" t="s">
        <v>1224</v>
      </c>
      <c r="B507" s="1" t="s">
        <v>1738</v>
      </c>
      <c r="C507" s="1" t="s">
        <v>1773</v>
      </c>
      <c r="D507" s="1" t="s">
        <v>1740</v>
      </c>
      <c r="E507" s="2" t="str">
        <f>IFERROR(__xludf.DUMMYFUNCTION("GOOGLETRANSLATE(C507, ""en"", ""TL"")"),"Sa Pilipinas, ang batas sa pamana mismo ay hindi direktang tumutugon sa mga permit o karapatan sa paggamit ng lupa. Gayunpaman, ito ay hindi direktang nakakaapekto sa kanila sa pamamagitan ng paglipat ng pagmamay-ari. Narito kung paano ito gumagana:
Mga P"&amp;"ahintulot sa Pamana at Paggamit ng Lupa:
Paglipat ng Pagmamay-ari ng Ari-arian: Kapag ang ari-arian ay minana, ang mga karapatan sa pagmamay-ari ay ililipat sa mga tagapagmana. Gayunpaman, ang mga umiiral na permit o karapatan sa paggamit ng lupa ay karan"&amp;"iwang nakatali sa mismong ari-arian, hindi sa may-ari.
Pagpapatuloy ng Permit: Sa karamihan ng mga kaso, ang mga permit o entitlement na ito ay patuloy na may bisa pagkatapos ng mana. Ang mga tagapagmana ay nagmamana ng benepisyo ng mga umiiral na permit "&amp;"kasama ng ari-arian.
Mga Responsibilidad ng Tagapagmana:
Mga Pahintulot sa Pag-verify: Ang mga tagapagmana ay may pananagutan sa pag-verify ng mga umiiral na permit sa paggamit ng lupa at mga karapatan na nauugnay sa minanang ari-arian. Magagawa ito sa pa"&amp;"mamagitan ng ahensya ng gobyerno na nagbigay o sa pamamagitan ng pagrepaso sa mga dokumento ng ari-arian.
Pagsunod: Ang mga tagapagmana ay dapat sumunod sa mga kondisyong nakabalangkas sa mga permit upang mapanatili ang kanilang bisa. Maaaring kabilang di"&amp;"to ang pagsunod sa mga partikular na regulasyon sa pagsona, mga paghihigpit sa paggamit, o mga pamamaraan sa pag-renew.
Mga Potensyal na Isyu:
Pag-expire ng Permit: Ang ilang mga permit sa paggamit ng lupa ay maaaring may mga petsa ng pag-expire. Kailanga"&amp;"ng malaman ng mga tagapagmana ang mga deadline na ito at simulan nang maaga ang proseso ng pag-renew upang maiwasan ang mga pagkagambala sa kanilang mga plano para sa ari-arian.
Paglilipat ng Permit: Sa mga bihirang kaso, maaaring hindi awtomatikong maili"&amp;"lipat ang mga partikular na permit sa mana. Ang mga tagapagmana ay dapat sumangguni sa nagbigay ng ahensya upang kumpirmahin ang paglipat ng permit at anumang potensyal na kinakailangan para sa pagpapatuloy.
Mga Rekomendasyon:
Due Diligence: Sa panahon ng"&amp;" proseso ng mana, ang mga tagapagmana ay dapat magsagawa ng angkop na pagsusumikap upang maunawaan ang mga umiiral na permit sa paggamit ng lupa na nauugnay sa ari-arian at anumang potensyal na limitasyon na maaari nilang ipataw.
Legal na Konsultasyon: Ku"&amp;"ng mayroong anumang kawalan ng katiyakan tungkol sa paglipat o patuloy na bisa ng mga permit, ang pagkonsulta sa isang abogado na dalubhasa sa batas sa real estate ay lubos na inirerekomenda. Maaari ka nilang gabayan sa mga legalidad at matiyak ang maayos"&amp;" na paglipat ng pagmamay-ari.
Tandaan: Maaaring mag-iba ang mga regulasyon sa paggamit ng lupa at permit depende sa lokasyon at uri ng ari-arian. Para sa mga partikular na detalye at gabay, ang pagkonsulta sa isang abogado na pamilyar sa mga regulasyon ng"&amp;" iyong lugar ay palaging ipinapayong.")</f>
        <v>Sa Pilipinas, ang batas sa pamana mismo ay hindi direktang tumutugon sa mga permit o karapatan sa paggamit ng lupa. Gayunpaman, ito ay hindi direktang nakakaapekto sa kanila sa pamamagitan ng paglipat ng pagmamay-ari. Narito kung paano ito gumagana:
Mga Pahintulot sa Pamana at Paggamit ng Lupa:
Paglipat ng Pagmamay-ari ng Ari-arian: Kapag ang ari-arian ay minana, ang mga karapatan sa pagmamay-ari ay ililipat sa mga tagapagmana. Gayunpaman, ang mga umiiral na permit o karapatan sa paggamit ng lupa ay karaniwang nakatali sa mismong ari-arian, hindi sa may-ari.
Pagpapatuloy ng Permit: Sa karamihan ng mga kaso, ang mga permit o entitlement na ito ay patuloy na may bisa pagkatapos ng mana. Ang mga tagapagmana ay nagmamana ng benepisyo ng mga umiiral na permit kasama ng ari-arian.
Mga Responsibilidad ng Tagapagmana:
Mga Pahintulot sa Pag-verify: Ang mga tagapagmana ay may pananagutan sa pag-verify ng mga umiiral na permit sa paggamit ng lupa at mga karapatan na nauugnay sa minanang ari-arian. Magagawa ito sa pamamagitan ng ahensya ng gobyerno na nagbigay o sa pamamagitan ng pagrepaso sa mga dokumento ng ari-arian.
Pagsunod: Ang mga tagapagmana ay dapat sumunod sa mga kondisyong nakabalangkas sa mga permit upang mapanatili ang kanilang bisa. Maaaring kabilang dito ang pagsunod sa mga partikular na regulasyon sa pagsona, mga paghihigpit sa paggamit, o mga pamamaraan sa pag-renew.
Mga Potensyal na Isyu:
Pag-expire ng Permit: Ang ilang mga permit sa paggamit ng lupa ay maaaring may mga petsa ng pag-expire. Kailangang malaman ng mga tagapagmana ang mga deadline na ito at simulan nang maaga ang proseso ng pag-renew upang maiwasan ang mga pagkagambala sa kanilang mga plano para sa ari-arian.
Paglilipat ng Permit: Sa mga bihirang kaso, maaaring hindi awtomatikong maililipat ang mga partikular na permit sa mana. Ang mga tagapagmana ay dapat sumangguni sa nagbigay ng ahensya upang kumpirmahin ang paglipat ng permit at anumang potensyal na kinakailangan para sa pagpapatuloy.
Mga Rekomendasyon:
Due Diligence: Sa panahon ng proseso ng mana, ang mga tagapagmana ay dapat magsagawa ng angkop na pagsusumikap upang maunawaan ang mga umiiral na permit sa paggamit ng lupa na nauugnay sa ari-arian at anumang potensyal na limitasyon na maaari nilang ipataw.
Legal na Konsultasyon: Kung mayroong anumang kawalan ng katiyakan tungkol sa paglipat o patuloy na bisa ng mga permit, ang pagkonsulta sa isang abogado na dalubhasa sa batas sa real estate ay lubos na inirerekomenda. Maaari ka nilang gabayan sa mga legalidad at matiyak ang maayos na paglipat ng pagmamay-ari.
Tandaan: Maaaring mag-iba ang mga regulasyon sa paggamit ng lupa at permit depende sa lokasyon at uri ng ari-arian. Para sa mga partikular na detalye at gabay, ang pagkonsulta sa isang abogado na pamilyar sa mga regulasyon ng iyong lugar ay palaging ipinapayong.</v>
      </c>
      <c r="F507" s="2">
        <f t="shared" si="1"/>
        <v>0</v>
      </c>
      <c r="G507" s="2"/>
      <c r="H507" s="2"/>
      <c r="I507" s="2"/>
      <c r="J507" s="2"/>
      <c r="K507" s="2"/>
      <c r="L507" s="2"/>
      <c r="M507" s="2"/>
      <c r="N507" s="2"/>
      <c r="O507" s="2"/>
      <c r="P507" s="2"/>
      <c r="Q507" s="2"/>
      <c r="R507" s="2"/>
      <c r="S507" s="2"/>
      <c r="T507" s="2"/>
      <c r="U507" s="2"/>
      <c r="V507" s="2"/>
      <c r="W507" s="2"/>
      <c r="X507" s="2"/>
      <c r="Y507" s="2"/>
      <c r="Z507" s="2"/>
      <c r="AA507" s="2"/>
    </row>
    <row r="508">
      <c r="A508" s="1" t="s">
        <v>1224</v>
      </c>
      <c r="B508" s="1" t="s">
        <v>1741</v>
      </c>
      <c r="C508" s="1" t="s">
        <v>1774</v>
      </c>
      <c r="D508" s="1" t="s">
        <v>1743</v>
      </c>
      <c r="E508" s="2" t="str">
        <f>IFERROR(__xludf.DUMMYFUNCTION("GOOGLETRANSLATE(C508, ""en"", ""TL"")"),"Ang pagmamana ng ari-arian sa Pilipinas ay may opsyon na ibigay ito sa mga organisasyong pangkawanggawa o mga layunin. Narito ang isang breakdown ng mga legal na paraan upang pangasiwaan ang naturang donasyon:
Mga Pagpipilian sa Donasyon:
Direktang Donasy"&amp;"on: Maaaring piliin ng mga tagapagmana na i-donate ang ari-arian nang direkta sa isang rehistradong organisasyon ng kawanggawa. Kabilang dito ang isang donation deed na nagbabalangkas sa paglipat ng pagmamay-ari sa charity.
Mga Implikasyon sa Buwis: Mahal"&amp;"agang tandaan na ang mga donasyon sa ilang kwalipikadong institusyong pangkawanggawa ay maaaring hindi kasama sa buwis sa kita ng donor hanggang sa isang tiyak na halaga. Ang isang abogado ay maaaring magpayo sa mga detalye at matiyak na ang napiling kawa"&amp;"nggawa ay kwalipikado para sa mga benepisyo sa buwis.
Pagbebenta at Donasyon ng Mga Nalikom: Ang mga tagapagmana ay maaari ding pumili na ibenta ang ari-arian at pagkatapos ay ibigay ang mga nalikom sa isang kawanggawa. Ito ay maaaring mas mainam kung ang"&amp;" ari-arian ay mahirap pangasiwaan o panatilihin.
Mga Implikasyon sa Buwis: Maaaring ilapat ang buwis sa capital gains sa pagbebenta ng ari-arian, depende sa halaga ng pagkuha ng mga tagapagmana at ang presyo ng pagbebenta. Ang pagkonsulta sa isang tax adv"&amp;"isor ay makakatulong sa mga tagapagmana na maunawaan ang kanilang mga obligasyon sa buwis.
Mga Legal na Kinakailangan:
Pagtatasa ng Donated na Ari-arian: Ang halaga ng ari-arian ay kailangang masuri upang matukoy ang halaga ng donasyon para sa mga layunin"&amp;" ng buwis. Ang isang kwalipikadong appraiser ay maaaring makipag-ugnayan para sa layuning ito.
Deed ng Donasyon: Kailangang ma-draft at ma-notaryo ang isang donation deed. Binabalangkas ng dokumentong ito ang paglipat ng pagmamay-ari, ang partikular na ar"&amp;"i-arian na ibinibigay, at anumang napagkasunduang kondisyon.
Charity Registration: Dapat tiyakin ng mga tagapagmana na ang napiling charitable organization ay nararapat na nakarehistro sa Securities and Exchange Commission (SEC) o iba pang nauugnay na ahe"&amp;"nsya ng gobyerno.
Mga Karagdagang Pagsasaalang-alang:
Kasunduan sa Tagapagmana: Kung maraming tagapagmana, dapat sumang-ayon ang lahat ng tagapagmana sa donasyon ng ari-arian.
Mga Paghihigpit sa Donated na Ari-arian: Ang ilang mga kawanggawa ay maaaring m"&amp;"ay mga paghihigpit sa kung paano nila magagamit ang donasyong ari-arian. Dapat talakayin ng mga tagapagmana ang anumang naturang mga limitasyon sa kawanggawa bago pa man.
Legal na Counsel: Ang pagkonsulta sa isang abogado na dalubhasa sa batas ng ari-aria"&amp;"n at pagpaplano ng ari-arian ay lubos na inirerekomenda. Maaari ka nilang gabayan sa mga legalidad ng proseso ng donasyon, tiyakin ang wastong dokumentasyon, at payuhan ang anumang implikasyon sa buwis.
Ang pagbibigay ng minanang ari-arian ay maaaring mag"&amp;"ing isang maalalahaning paraan upang suportahan ang isang karapat-dapat na layunin. Sa pamamagitan ng pagsunod sa mga legal na hakbang na ito at paghingi ng propesyonal na patnubay, matitiyak ng mga tagapagmana ang maayos at matagumpay na proseso ng donas"&amp;"yon.")</f>
        <v>Ang pagmamana ng ari-arian sa Pilipinas ay may opsyon na ibigay ito sa mga organisasyong pangkawanggawa o mga layunin. Narito ang isang breakdown ng mga legal na paraan upang pangasiwaan ang naturang donasyon:
Mga Pagpipilian sa Donasyon:
Direktang Donasyon: Maaaring piliin ng mga tagapagmana na i-donate ang ari-arian nang direkta sa isang rehistradong organisasyon ng kawanggawa. Kabilang dito ang isang donation deed na nagbabalangkas sa paglipat ng pagmamay-ari sa charity.
Mga Implikasyon sa Buwis: Mahalagang tandaan na ang mga donasyon sa ilang kwalipikadong institusyong pangkawanggawa ay maaaring hindi kasama sa buwis sa kita ng donor hanggang sa isang tiyak na halaga. Ang isang abogado ay maaaring magpayo sa mga detalye at matiyak na ang napiling kawanggawa ay kwalipikado para sa mga benepisyo sa buwis.
Pagbebenta at Donasyon ng Mga Nalikom: Ang mga tagapagmana ay maaari ding pumili na ibenta ang ari-arian at pagkatapos ay ibigay ang mga nalikom sa isang kawanggawa. Ito ay maaaring mas mainam kung ang ari-arian ay mahirap pangasiwaan o panatilihin.
Mga Implikasyon sa Buwis: Maaaring ilapat ang buwis sa capital gains sa pagbebenta ng ari-arian, depende sa halaga ng pagkuha ng mga tagapagmana at ang presyo ng pagbebenta. Ang pagkonsulta sa isang tax advisor ay makakatulong sa mga tagapagmana na maunawaan ang kanilang mga obligasyon sa buwis.
Mga Legal na Kinakailangan:
Pagtatasa ng Donated na Ari-arian: Ang halaga ng ari-arian ay kailangang masuri upang matukoy ang halaga ng donasyon para sa mga layunin ng buwis. Ang isang kwalipikadong appraiser ay maaaring makipag-ugnayan para sa layuning ito.
Deed ng Donasyon: Kailangang ma-draft at ma-notaryo ang isang donation deed. Binabalangkas ng dokumentong ito ang paglipat ng pagmamay-ari, ang partikular na ari-arian na ibinibigay, at anumang napagkasunduang kondisyon.
Charity Registration: Dapat tiyakin ng mga tagapagmana na ang napiling charitable organization ay nararapat na nakarehistro sa Securities and Exchange Commission (SEC) o iba pang nauugnay na ahensya ng gobyerno.
Mga Karagdagang Pagsasaalang-alang:
Kasunduan sa Tagapagmana: Kung maraming tagapagmana, dapat sumang-ayon ang lahat ng tagapagmana sa donasyon ng ari-arian.
Mga Paghihigpit sa Donated na Ari-arian: Ang ilang mga kawanggawa ay maaaring may mga paghihigpit sa kung paano nila magagamit ang donasyong ari-arian. Dapat talakayin ng mga tagapagmana ang anumang naturang mga limitasyon sa kawanggawa bago pa man.
Legal na Counsel: Ang pagkonsulta sa isang abogado na dalubhasa sa batas ng ari-arian at pagpaplano ng ari-arian ay lubos na inirerekomenda. Maaari ka nilang gabayan sa mga legalidad ng proseso ng donasyon, tiyakin ang wastong dokumentasyon, at payuhan ang anumang implikasyon sa buwis.
Ang pagbibigay ng minanang ari-arian ay maaaring maging isang maalalahaning paraan upang suportahan ang isang karapat-dapat na layunin. Sa pamamagitan ng pagsunod sa mga legal na hakbang na ito at paghingi ng propesyonal na patnubay, matitiyak ng mga tagapagmana ang maayos at matagumpay na proseso ng donasyon.</v>
      </c>
      <c r="F508" s="2">
        <f t="shared" si="1"/>
        <v>2</v>
      </c>
      <c r="G508" s="2"/>
      <c r="H508" s="2"/>
      <c r="I508" s="2"/>
      <c r="J508" s="2"/>
      <c r="K508" s="2"/>
      <c r="L508" s="2"/>
      <c r="M508" s="2"/>
      <c r="N508" s="2"/>
      <c r="O508" s="2"/>
      <c r="P508" s="2"/>
      <c r="Q508" s="2"/>
      <c r="R508" s="2"/>
      <c r="S508" s="2"/>
      <c r="T508" s="2"/>
      <c r="U508" s="2"/>
      <c r="V508" s="2"/>
      <c r="W508" s="2"/>
      <c r="X508" s="2"/>
      <c r="Y508" s="2"/>
      <c r="Z508" s="2"/>
      <c r="AA508" s="2"/>
    </row>
    <row r="509">
      <c r="A509" s="1" t="s">
        <v>1224</v>
      </c>
      <c r="B509" s="1" t="s">
        <v>1775</v>
      </c>
      <c r="C509" s="1" t="s">
        <v>1776</v>
      </c>
      <c r="D509" s="1" t="s">
        <v>1743</v>
      </c>
      <c r="E509" s="2" t="str">
        <f>IFERROR(__xludf.DUMMYFUNCTION("GOOGLETRANSLATE(C509, ""en"", ""TL"")"),"Sa Pilipinas, ang pagkakaroon o kawalan ng valid ay makabuluhang makakaapekto sa kung paano ipinamamahagi ang minanang ari-arian. Narito ang isang breakdown:
May Wastong Will:
Testator's Control: Ang isang wastong testamento ay nagbibigay-daan sa namatay "&amp;"(testator) na malinaw na tukuyin kung paano nila gustong ipamahagi ang kanilang ari-arian. Maaaring tukuyin ng testamento ang mga benepisyaryo, ang bahagi ng ari-arian na natatanggap ng bawat isa, at kahit na magtalaga ng mga tagapag-alaga para sa mga men"&amp;"or de edad na bata.
Proseso ng Probate: Ang testamento ay kailangang dumaan sa probate**, isang legal na proseso kung saan pinapatunayan ng hukuman ang pagiging tunay ng testamento at pinangangasiwaan ang pamamahagi ng mga ari-arian ayon sa kagustuhan ng "&amp;"testator.
Nang walang Wastong Will:
Intestate Succession: Kung walang valid na will, ipapamahagi ang property ayon sa mga panuntunan ng intestate succession. Ang mga ito ay nakabalangkas sa Family Code of the Philippines at inuuna ang mga kadugo bilang be"&amp;"nepisyaryo.
Kautusan sa Pamamahagi: Tinutukoy ng Family Code ang isang hierarchy ng mga tagapagmana na nagmamana sa isang partikular na pagkakasunud-sunod. Ang mga asawa, mga lehitimong anak, at kinikilalang mga anak sa labas ay karaniwang inuuna, na sinu"&amp;"sundan ng mga magulang, kapatid, at iba pang mga kamag-anak.
Shares and Disputes: Ang mga share na natatanggap ng bawat tagapagmana ay itinakda din ng Family Code batay sa kanilang kaugnayan sa namatay. Maaari itong humantong sa mga hindi pagkakaunawaan s"&amp;"a pagitan ng mga tagapagmana kung ang pamamahagi ay hindi tulad ng kanilang inaasahan.
Ang isang wastong testamento ay nagbibigay sa namatay, na kilala bilang testator, ng makabuluhang kontrol sa kung paano ipinamamahagi ang kanilang ari-arian. Ang testam"&amp;"ento ay nagpapahintulot sa kanila na malinaw na tukuyin kung sino ang magmamana kung anong bahagi ng ari-arian. Maaaring kabilang dito ang pagtatalaga ng mga benepisyaryo, pagtatakda ng mga bahagi para sa bawat tatanggap, at maging ang pagbibigay ng panga"&amp;"lan sa mga tagapag-alaga para sa mga menor de edad na bata. Upang matiyak ang bisa ng testamento at mapangasiwaan ang pamamahagi ayon sa kagustuhan ng testator, ang dokumento ay kailangang dumaan sa probate, isang legal na proseso na pinangangasiwaan ng k"&amp;"orte.
Sa kabilang banda, kung walang wastong testamento, ang proseso ng mana ay pinamamahalaan ng mga patakaran ng intestate succession na nakabalangkas sa Family Code of the Philippines. Nangangahulugan ito na ibinabahagi ng korte ang ari-arian batay sa "&amp;"isang paunang natukoy na hierarchy, na inuuna ang mga kadugo bilang mga benepisyaryo. Idinidikta ng Family Code ang pagkakasunud-sunod kung saan ang mga kamag-anak ay nagmamana, kasama ang mga asawa, mga lehitimong anak, at kinikilalang mga anak sa labas "&amp;"na tumatanggap ng priyoridad, na sinusundan ng mga magulang, kapatid, at iba pang mga kamag-anak na mas mababa sa linya. Tinukoy din ng Kodigo ang bahaging natatanggap ng bawat tagapagmana batay sa kanilang kaugnayan sa namatay. Ang paunang natukoy na pam"&amp;"amahagi na ito kung minsan ay maaaring humantong sa mga hindi pagkakaunawaan sa pagitan ng mga tagapagmana kung hindi ito nagpapakita ng kanilang mga inaasahan.
Mga Karagdagang Puntos:
Partial Intestacy: Kahit na may testamento, ang isang bahagi ng ari-ar"&amp;"ian ay maaaring dumaan sa intestate succession kung ang testamento ay hindi tumutugon sa lahat ng asset o kung ang ilang mga benepisyaryo ay itinuring na disqualified.
Paglaban sa isang Testamento: Ang mga tagapagmana na naniniwala na ang testamento ay hi"&amp;"ndi wasto o hindi patas ay maaaring ipaglaban ito sa korte. Gayunpaman, ito ay isang kumplikadong proseso na may kasamang mga legal na bayarin.
Rekomendasyon:
Ang pagkakaroon ng wastong testamento ay lubos na inirerekomenda sa Pilipinas upang matiyak na a"&amp;"ng iyong mga kagustuhan tungkol sa pamamahagi ng ari-arian ay iginagalang. Ang pagkonsulta sa isang abogado na dalubhasa sa pagpaplano ng ari-arian ay maaaring makatulong sa iyo na magbalangkas ng isang malinaw at legal na mabuting kalooban na nagpapaliit"&amp;" sa panganib ng mga hindi pagkakaunawaan sa pagitan ng mga tagapagmana.")</f>
        <v>Sa Pilipinas, ang pagkakaroon o kawalan ng valid ay makabuluhang makakaapekto sa kung paano ipinamamahagi ang minanang ari-arian. Narito ang isang breakdown:
May Wastong Will:
Testator's Control: Ang isang wastong testamento ay nagbibigay-daan sa namatay (testator) na malinaw na tukuyin kung paano nila gustong ipamahagi ang kanilang ari-arian. Maaaring tukuyin ng testamento ang mga benepisyaryo, ang bahagi ng ari-arian na natatanggap ng bawat isa, at kahit na magtalaga ng mga tagapag-alaga para sa mga menor de edad na bata.
Proseso ng Probate: Ang testamento ay kailangang dumaan sa probate**, isang legal na proseso kung saan pinapatunayan ng hukuman ang pagiging tunay ng testamento at pinangangasiwaan ang pamamahagi ng mga ari-arian ayon sa kagustuhan ng testator.
Nang walang Wastong Will:
Intestate Succession: Kung walang valid na will, ipapamahagi ang property ayon sa mga panuntunan ng intestate succession. Ang mga ito ay nakabalangkas sa Family Code of the Philippines at inuuna ang mga kadugo bilang benepisyaryo.
Kautusan sa Pamamahagi: Tinutukoy ng Family Code ang isang hierarchy ng mga tagapagmana na nagmamana sa isang partikular na pagkakasunud-sunod. Ang mga asawa, mga lehitimong anak, at kinikilalang mga anak sa labas ay karaniwang inuuna, na sinusundan ng mga magulang, kapatid, at iba pang mga kamag-anak.
Shares and Disputes: Ang mga share na natatanggap ng bawat tagapagmana ay itinakda din ng Family Code batay sa kanilang kaugnayan sa namatay. Maaari itong humantong sa mga hindi pagkakaunawaan sa pagitan ng mga tagapagmana kung ang pamamahagi ay hindi tulad ng kanilang inaasahan.
Ang isang wastong testamento ay nagbibigay sa namatay, na kilala bilang testator, ng makabuluhang kontrol sa kung paano ipinamamahagi ang kanilang ari-arian. Ang testamento ay nagpapahintulot sa kanila na malinaw na tukuyin kung sino ang magmamana kung anong bahagi ng ari-arian. Maaaring kabilang dito ang pagtatalaga ng mga benepisyaryo, pagtatakda ng mga bahagi para sa bawat tatanggap, at maging ang pagbibigay ng pangalan sa mga tagapag-alaga para sa mga menor de edad na bata. Upang matiyak ang bisa ng testamento at mapangasiwaan ang pamamahagi ayon sa kagustuhan ng testator, ang dokumento ay kailangang dumaan sa probate, isang legal na proseso na pinangangasiwaan ng korte.
Sa kabilang banda, kung walang wastong testamento, ang proseso ng mana ay pinamamahalaan ng mga patakaran ng intestate succession na nakabalangkas sa Family Code of the Philippines. Nangangahulugan ito na ibinabahagi ng korte ang ari-arian batay sa isang paunang natukoy na hierarchy, na inuuna ang mga kadugo bilang mga benepisyaryo. Idinidikta ng Family Code ang pagkakasunud-sunod kung saan ang mga kamag-anak ay nagmamana, kasama ang mga asawa, mga lehitimong anak, at kinikilalang mga anak sa labas na tumatanggap ng priyoridad, na sinusundan ng mga magulang, kapatid, at iba pang mga kamag-anak na mas mababa sa linya. Tinukoy din ng Kodigo ang bahaging natatanggap ng bawat tagapagmana batay sa kanilang kaugnayan sa namatay. Ang paunang natukoy na pamamahagi na ito kung minsan ay maaaring humantong sa mga hindi pagkakaunawaan sa pagitan ng mga tagapagmana kung hindi ito nagpapakita ng kanilang mga inaasahan.
Mga Karagdagang Puntos:
Partial Intestacy: Kahit na may testamento, ang isang bahagi ng ari-arian ay maaaring dumaan sa intestate succession kung ang testamento ay hindi tumutugon sa lahat ng asset o kung ang ilang mga benepisyaryo ay itinuring na disqualified.
Paglaban sa isang Testamento: Ang mga tagapagmana na naniniwala na ang testamento ay hindi wasto o hindi patas ay maaaring ipaglaban ito sa korte. Gayunpaman, ito ay isang kumplikadong proseso na may kasamang mga legal na bayarin.
Rekomendasyon:
Ang pagkakaroon ng wastong testamento ay lubos na inirerekomenda sa Pilipinas upang matiyak na ang iyong mga kagustuhan tungkol sa pamamahagi ng ari-arian ay iginagalang. Ang pagkonsulta sa isang abogado na dalubhasa sa pagpaplano ng ari-arian ay maaaring makatulong sa iyo na magbalangkas ng isang malinaw at legal na mabuting kalooban na nagpapaliit sa panganib ng mga hindi pagkakaunawaan sa pagitan ng mga tagapagmana.</v>
      </c>
      <c r="F509" s="2">
        <f t="shared" si="1"/>
        <v>0</v>
      </c>
      <c r="G509" s="2"/>
      <c r="H509" s="2"/>
      <c r="I509" s="2"/>
      <c r="J509" s="2"/>
      <c r="K509" s="2"/>
      <c r="L509" s="2"/>
      <c r="M509" s="2"/>
      <c r="N509" s="2"/>
      <c r="O509" s="2"/>
      <c r="P509" s="2"/>
      <c r="Q509" s="2"/>
      <c r="R509" s="2"/>
      <c r="S509" s="2"/>
      <c r="T509" s="2"/>
      <c r="U509" s="2"/>
      <c r="V509" s="2"/>
      <c r="W509" s="2"/>
      <c r="X509" s="2"/>
      <c r="Y509" s="2"/>
      <c r="Z509" s="2"/>
      <c r="AA509" s="2"/>
    </row>
    <row r="510">
      <c r="A510" s="1" t="s">
        <v>1224</v>
      </c>
      <c r="B510" s="1" t="s">
        <v>1777</v>
      </c>
      <c r="C510" s="1" t="s">
        <v>1778</v>
      </c>
      <c r="D510" s="1" t="s">
        <v>1779</v>
      </c>
      <c r="E510" s="2" t="str">
        <f>IFERROR(__xludf.DUMMYFUNCTION("GOOGLETRANSLATE(C510, ""en"", ""TL"")"),"Ang proseso ng probate sa Pilipinas ay maaaring mukhang kumplikado, ngunit ito ay mahalagang legal na pamamaraan para sa pagpapatunay ng isang testamento at pamamahagi ng ari-arian ng namatay ayon sa kanilang kagustuhan. Narito ang isang breakdown ng mga "&amp;"pangkalahatang hakbang na kasangkot:
1. Paghahain ng Petisyon para sa Probate:
Tungkulin ng Tagapagpatupad: Ang taong pinangalanan bilang tagapagpatupad sa testamento ay may pananagutan sa pagpapasimula ng proseso ng probate. Maghahain sila ng petisyon pa"&amp;"ra sa probate sa naaangkop na hukuman, karaniwang ang Regional Trial Court (RTC) kung saan naninirahan ang namatay sa oras ng kamatayan.
Mga Kinakailangang Dokumento: Ang petisyon ay sasamahan ng orihinal na testamento, sertipiko ng kamatayan ng namatay, "&amp;"at patunay ng awtoridad ng tagapagpatupad (karaniwang isang sugnay sa testamento).
2. Paunawa sa mga Tagapagmana at Pinagkakautangan:
Notification ng Hukuman: Magbibigay ang korte ng paunawa sa lahat ng interesadong partido, kabilang ang mga tagapagmana n"&amp;"a pinangalanan sa testamento at sinumang kilalang pinagkakautangan ng namatay. Ang abiso na ito ay nagpapaalam sa kanila ng mga paglilitis sa probate at nagbibigay-daan sa kanila na itaas ang anumang pagtutol.
3. Paglalathala ng Paunawa:
Pampublikong Kama"&amp;"layan: Ang isang paunawa ng mga paglilitis sa probate ay mai-publish din sa isang pahayagan ng pangkalahatang sirkulasyon para sa isang tiyak na panahon. Nagsisilbi itong ipaalam sa sinumang hindi kilalang mga nagpapautang o potensyal na tagapagmana na ma"&amp;"aaring hindi direktang naabisuhan.
4. Pagdinig at Pag-aayos ng mga Utang:
Hitsura sa Hukuman: Maaaring hilingin sa tagapagpatupad na humarap sa korte upang sagutin ang mga tanong tungkol sa testamento at mga ari-arian at pananagutan ng ari-arian. Tutugon "&amp;"din ng korte ang anumang mga paghahabol na inihain ng mga nagpapautang at titiyakin na ang lahat ng hindi pa nababayarang utang ay nababayaran bago ang pamamahagi ng ari-arian.
5. Pagpapalabas ng mga Liham Tipan:
Awtoridad ng Tagapagpatupad: Kapag nasiyah"&amp;"an ang hukuman sa bisa ng testamento at pangangasiwa ng ari-arian, maglalabas ito ng Mga Liham na Testamento sa tagapagpatupad. Opisyal na binibigyan ng dokumentong ito ang tagapagpatupad ng legal na awtoridad na pamahalaan at ipamahagi ang mga ari-arian "&amp;"tulad ng nakabalangkas sa testamento.
6. Imbentaryo at Pagtatasa:
Mga Ari-arian: Ang tagapagpatupad ay maghahanda ng isang imbentaryo ng lahat ng mga ari-arian na pagmamay-ari ng ari-arian ng namatay. Maaaring kabilang dito ang ari-arian, mga bank account"&amp;", pamumuhunan, at iba pang mahahalagang bagay. Maaaring kailanganin din ng tagapagpatupad na ayusin ang mga pagtatasa upang matukoy ang patas na halaga sa pamilihan ng mga asset na ito.
7. Pagbabayad ng mga Buwis:
Mga Obligasyon sa Buwis: Ang ari-arian ay"&amp;" maaaring sumailalim sa iba't ibang mga buwis, tulad ng buwis sa ari-arian at buwis sa kita sa ilang mga ari-arian. Ang tagapagpatupad ay may pananagutan sa pagkalkula at pagbabayad ng mga buwis na ito bago ipamahagi ang natitirang mga ari-arian sa mga be"&amp;"nepisyaryo.
8. Pamamahagi ng mga Asset:
Pagsunod sa Testamento: Sa wakas, ang tagapagpatupad ay maaaring ipamahagi ang natitirang ari-arian sa mga benepisyaryo gaya ng tinukoy sa testamento. Maaaring kabilang dito ang paglilipat ng pagmamay-ari ng ari-ari"&amp;"an, pamamahagi ng pera o pamumuhunan, at pagtupad sa anumang iba pang kagustuhan na nakabalangkas sa testamento.
Mga Karagdagang Puntos:
Timeline: Maaaring tumagal ang proseso ng probate kahit saan mula sa ilang buwan hanggang ilang taon, depende sa pagig"&amp;"ing kumplikado ng ari-arian at anumang mga potensyal na hindi pagkakaunawaan.
Legal na Representasyon: Ang pagkonsulta sa isang abogado na dalubhasa sa probate law ay lubos na inirerekomenda. Maaari nilang gabayan ang tagapagpatupad sa proseso, tiyakin an"&amp;"g wastong dokumentasyon, at katawanin sila sa korte kung kinakailangan.
Extrajudicial Settlement: Sa ilang mga kaso, kung ang ari-arian ay hindi masyadong kumplikado at lahat ng tagapagmana ay sumang-ayon sa pamamahagi, ang isang extrajudicial settlement "&amp;"ay maaaring isang opsyon. Ito ay isang mas mabilis at mas murang alternatibo sa probate ngunit nangangailangan ng pahintulot at pag-apruba ng lahat ng tagapagmana mula sa BIR (Bureau of Internal Revenue).
Tandaan, ito ay isang pangkalahatang pangkalahatan"&amp;"g-ideya. Ang mga detalye ng proseso ng probate ay maaaring mag-iba depende sa mga kalagayan ng ari-arian. Ang pagkonsulta sa isang abogado na pamilyar sa batas ng probate ng Pilipinas ay palaging ipinapayong para sa personalized na patnubay.")</f>
        <v>Ang proseso ng probate sa Pilipinas ay maaaring mukhang kumplikado, ngunit ito ay mahalagang legal na pamamaraan para sa pagpapatunay ng isang testamento at pamamahagi ng ari-arian ng namatay ayon sa kanilang kagustuhan. Narito ang isang breakdown ng mga pangkalahatang hakbang na kasangkot:
1. Paghahain ng Petisyon para sa Probate:
Tungkulin ng Tagapagpatupad: Ang taong pinangalanan bilang tagapagpatupad sa testamento ay may pananagutan sa pagpapasimula ng proseso ng probate. Maghahain sila ng petisyon para sa probate sa naaangkop na hukuman, karaniwang ang Regional Trial Court (RTC) kung saan naninirahan ang namatay sa oras ng kamatayan.
Mga Kinakailangang Dokumento: Ang petisyon ay sasamahan ng orihinal na testamento, sertipiko ng kamatayan ng namatay, at patunay ng awtoridad ng tagapagpatupad (karaniwang isang sugnay sa testamento).
2. Paunawa sa mga Tagapagmana at Pinagkakautangan:
Notification ng Hukuman: Magbibigay ang korte ng paunawa sa lahat ng interesadong partido, kabilang ang mga tagapagmana na pinangalanan sa testamento at sinumang kilalang pinagkakautangan ng namatay. Ang abiso na ito ay nagpapaalam sa kanila ng mga paglilitis sa probate at nagbibigay-daan sa kanila na itaas ang anumang pagtutol.
3. Paglalathala ng Paunawa:
Pampublikong Kamalayan: Ang isang paunawa ng mga paglilitis sa probate ay mai-publish din sa isang pahayagan ng pangkalahatang sirkulasyon para sa isang tiyak na panahon. Nagsisilbi itong ipaalam sa sinumang hindi kilalang mga nagpapautang o potensyal na tagapagmana na maaaring hindi direktang naabisuhan.
4. Pagdinig at Pag-aayos ng mga Utang:
Hitsura sa Hukuman: Maaaring hilingin sa tagapagpatupad na humarap sa korte upang sagutin ang mga tanong tungkol sa testamento at mga ari-arian at pananagutan ng ari-arian. Tutugon din ng korte ang anumang mga paghahabol na inihain ng mga nagpapautang at titiyakin na ang lahat ng hindi pa nababayarang utang ay nababayaran bago ang pamamahagi ng ari-arian.
5. Pagpapalabas ng mga Liham Tipan:
Awtoridad ng Tagapagpatupad: Kapag nasiyahan ang hukuman sa bisa ng testamento at pangangasiwa ng ari-arian, maglalabas ito ng Mga Liham na Testamento sa tagapagpatupad. Opisyal na binibigyan ng dokumentong ito ang tagapagpatupad ng legal na awtoridad na pamahalaan at ipamahagi ang mga ari-arian tulad ng nakabalangkas sa testamento.
6. Imbentaryo at Pagtatasa:
Mga Ari-arian: Ang tagapagpatupad ay maghahanda ng isang imbentaryo ng lahat ng mga ari-arian na pagmamay-ari ng ari-arian ng namatay. Maaaring kabilang dito ang ari-arian, mga bank account, pamumuhunan, at iba pang mahahalagang bagay. Maaaring kailanganin din ng tagapagpatupad na ayusin ang mga pagtatasa upang matukoy ang patas na halaga sa pamilihan ng mga asset na ito.
7. Pagbabayad ng mga Buwis:
Mga Obligasyon sa Buwis: Ang ari-arian ay maaaring sumailalim sa iba't ibang mga buwis, tulad ng buwis sa ari-arian at buwis sa kita sa ilang mga ari-arian. Ang tagapagpatupad ay may pananagutan sa pagkalkula at pagbabayad ng mga buwis na ito bago ipamahagi ang natitirang mga ari-arian sa mga benepisyaryo.
8. Pamamahagi ng mga Asset:
Pagsunod sa Testamento: Sa wakas, ang tagapagpatupad ay maaaring ipamahagi ang natitirang ari-arian sa mga benepisyaryo gaya ng tinukoy sa testamento. Maaaring kabilang dito ang paglilipat ng pagmamay-ari ng ari-arian, pamamahagi ng pera o pamumuhunan, at pagtupad sa anumang iba pang kagustuhan na nakabalangkas sa testamento.
Mga Karagdagang Puntos:
Timeline: Maaaring tumagal ang proseso ng probate kahit saan mula sa ilang buwan hanggang ilang taon, depende sa pagiging kumplikado ng ari-arian at anumang mga potensyal na hindi pagkakaunawaan.
Legal na Representasyon: Ang pagkonsulta sa isang abogado na dalubhasa sa probate law ay lubos na inirerekomenda. Maaari nilang gabayan ang tagapagpatupad sa proseso, tiyakin ang wastong dokumentasyon, at katawanin sila sa korte kung kinakailangan.
Extrajudicial Settlement: Sa ilang mga kaso, kung ang ari-arian ay hindi masyadong kumplikado at lahat ng tagapagmana ay sumang-ayon sa pamamahagi, ang isang extrajudicial settlement ay maaaring isang opsyon. Ito ay isang mas mabilis at mas murang alternatibo sa probate ngunit nangangailangan ng pahintulot at pag-apruba ng lahat ng tagapagmana mula sa BIR (Bureau of Internal Revenue).
Tandaan, ito ay isang pangkalahatang pangkalahatang-ideya. Ang mga detalye ng proseso ng probate ay maaaring mag-iba depende sa mga kalagayan ng ari-arian. Ang pagkonsulta sa isang abogado na pamilyar sa batas ng probate ng Pilipinas ay palaging ipinapayong para sa personalized na patnubay.</v>
      </c>
      <c r="F510" s="2">
        <f t="shared" si="1"/>
        <v>0</v>
      </c>
      <c r="G510" s="2"/>
      <c r="H510" s="2"/>
      <c r="I510" s="2"/>
      <c r="J510" s="2"/>
      <c r="K510" s="2"/>
      <c r="L510" s="2"/>
      <c r="M510" s="2"/>
      <c r="N510" s="2"/>
      <c r="O510" s="2"/>
      <c r="P510" s="2"/>
      <c r="Q510" s="2"/>
      <c r="R510" s="2"/>
      <c r="S510" s="2"/>
      <c r="T510" s="2"/>
      <c r="U510" s="2"/>
      <c r="V510" s="2"/>
      <c r="W510" s="2"/>
      <c r="X510" s="2"/>
      <c r="Y510" s="2"/>
      <c r="Z510" s="2"/>
      <c r="AA510" s="2"/>
    </row>
    <row r="511">
      <c r="A511" s="1" t="s">
        <v>1224</v>
      </c>
      <c r="B511" s="1" t="s">
        <v>1572</v>
      </c>
      <c r="C511" s="1" t="s">
        <v>1780</v>
      </c>
      <c r="D511" s="1" t="s">
        <v>1574</v>
      </c>
      <c r="E511" s="2" t="str">
        <f>IFERROR(__xludf.DUMMYFUNCTION("GOOGLETRANSLATE(C511, ""en"", ""TL"")"),"Ang intestacy ay isang legal na konsepto na pumapasok kapag may namatay nang hindi nag-iiwan ng wastong testamento. Sa Pilipinas, ang Family Code ang nagdidikta kung paano ipinamamahagi ang ari-arian (estate) ng namatay sa mga ganitong sitwasyon.
Narito a"&amp;"ng isang breakdown ng intestacy at application nito:
Intestate Succession: Ito ay tumutukoy sa legal na pagkakasunud-sunod ng mana na nalalapat kapag walang kalooban. Ang Family Code ay nagtatatag ng hierarchy ng mga benepisyaryo na magmamana ng ari-arian"&amp;" batay sa kanilang relasyon sa namatay.
Mga Tagapagmana at Kanilang Bahagi:
Mga Pangunahing Tagapagmana: Ang una sa linya ay mga lehitimong anak ng namatay. Mamanahin nila ang buong ari-arian sa pantay na bahagi kung walang nabubuhay na asawa.
Surviving A"&amp;"sawa: Kung may nabubuhay na asawa ngunit walang anak, ang asawa ang magmamana ng buong ari-arian.
Mga Kasabay na Tagapagmana: Kung mayroong parehong nabubuhay na asawa at mga lehitimong/illegitimate na anak, ang ari-arian ay nahahati. Ang asawa ay nakakak"&amp;"uha ng kalahati, at ang mga bata ay nagbabahagi ng natitirang kalahati nang pantay.
Mga Pangalawang Tagapagmana: Kung walang mga anak o nabubuhay na asawa, ang ari-arian ay mapupunta sa mga magulang ng namatay sa pantay na bahagi.
Mga Karagdagang Tagapagm"&amp;"ana: Sa kawalan ng mga magulang, mga kapatid, mga pamangkin, at mga pamangkin ay magmamana sa isang tiyak na pagkakasunud-sunod na nakabalangkas sa Family Code, na may mga bahagi na tinutukoy ng kanilang kaugnayan sa namatay.
Mahalagang Paalala: Ang intes"&amp;"tate succession scheme ay isang paunang natukoy na plano sa pamamahagi. Maaaring hindi ito sumasalamin sa kagustuhan ng namatay**, lalo na kung nilayon nilang iwan ang isang bagay sa mga partikular na indibidwal o kawanggawa.
Narito ang ilang karagdagang "&amp;"punto na dapat isaalang-alang:
Mga Di-pagkakasundo: Kung minsan, ang kawalan ng katapatan ay maaaring humantong sa mga hindi pagkakaunawaan sa pagitan ng mga tagapagmana, lalo na kung hindi sila sumasang-ayon sa mga paunang natukoy na bahagi o ang interpr"&amp;"etasyon ng Family Code.
Mga Benepisyo: Bagama't tinitiyak nito ang isang plano sa pamamahagi sa kawalan ng isang testamento, ang kawalan ng lakas ay maaaring hindi gaanong mahusay at lumikha ng salungatan sa pamilya kumpara sa isang malinaw na kalooban.
R"&amp;"ekomendasyon:
Ang pagkakaroon ng wastong testamento ay lubos na inirerekomenda upang maiwasan ang mga potensyal na komplikasyon ng kawalan ng kakayahan. Ang isang testamento ay nagpapahintulot sa iyo na kontrolin kung paano ibinabahagi ang iyong ari-arian"&amp;" at tiyakin na ang iyong mga kagustuhan ay iginagalang pagkatapos mong pumanaw. Ang pagkonsulta sa isang abogado na dalubhasa sa pagpaplano ng ari-arian ay maaaring makatulong sa iyo na mag-draft ng isang testamento na sumasalamin sa iyong mga intensyon a"&amp;"t nagpapaliit sa panganib ng mga hindi pagkakaunawaan sa pagitan ng mga tagapagmana.")</f>
        <v>Ang intestacy ay isang legal na konsepto na pumapasok kapag may namatay nang hindi nag-iiwan ng wastong testamento. Sa Pilipinas, ang Family Code ang nagdidikta kung paano ipinamamahagi ang ari-arian (estate) ng namatay sa mga ganitong sitwasyon.
Narito ang isang breakdown ng intestacy at application nito:
Intestate Succession: Ito ay tumutukoy sa legal na pagkakasunud-sunod ng mana na nalalapat kapag walang kalooban. Ang Family Code ay nagtatatag ng hierarchy ng mga benepisyaryo na magmamana ng ari-arian batay sa kanilang relasyon sa namatay.
Mga Tagapagmana at Kanilang Bahagi:
Mga Pangunahing Tagapagmana: Ang una sa linya ay mga lehitimong anak ng namatay. Mamanahin nila ang buong ari-arian sa pantay na bahagi kung walang nabubuhay na asawa.
Surviving Asawa: Kung may nabubuhay na asawa ngunit walang anak, ang asawa ang magmamana ng buong ari-arian.
Mga Kasabay na Tagapagmana: Kung mayroong parehong nabubuhay na asawa at mga lehitimong/illegitimate na anak, ang ari-arian ay nahahati. Ang asawa ay nakakakuha ng kalahati, at ang mga bata ay nagbabahagi ng natitirang kalahati nang pantay.
Mga Pangalawang Tagapagmana: Kung walang mga anak o nabubuhay na asawa, ang ari-arian ay mapupunta sa mga magulang ng namatay sa pantay na bahagi.
Mga Karagdagang Tagapagmana: Sa kawalan ng mga magulang, mga kapatid, mga pamangkin, at mga pamangkin ay magmamana sa isang tiyak na pagkakasunud-sunod na nakabalangkas sa Family Code, na may mga bahagi na tinutukoy ng kanilang kaugnayan sa namatay.
Mahalagang Paalala: Ang intestate succession scheme ay isang paunang natukoy na plano sa pamamahagi. Maaaring hindi ito sumasalamin sa kagustuhan ng namatay**, lalo na kung nilayon nilang iwan ang isang bagay sa mga partikular na indibidwal o kawanggawa.
Narito ang ilang karagdagang punto na dapat isaalang-alang:
Mga Di-pagkakasundo: Kung minsan, ang kawalan ng katapatan ay maaaring humantong sa mga hindi pagkakaunawaan sa pagitan ng mga tagapagmana, lalo na kung hindi sila sumasang-ayon sa mga paunang natukoy na bahagi o ang interpretasyon ng Family Code.
Mga Benepisyo: Bagama't tinitiyak nito ang isang plano sa pamamahagi sa kawalan ng isang testamento, ang kawalan ng lakas ay maaaring hindi gaanong mahusay at lumikha ng salungatan sa pamilya kumpara sa isang malinaw na kalooban.
Rekomendasyon:
Ang pagkakaroon ng wastong testamento ay lubos na inirerekomenda upang maiwasan ang mga potensyal na komplikasyon ng kawalan ng kakayahan. Ang isang testamento ay nagpapahintulot sa iyo na kontrolin kung paano ibinabahagi ang iyong ari-arian at tiyakin na ang iyong mga kagustuhan ay iginagalang pagkatapos mong pumanaw. Ang pagkonsulta sa isang abogado na dalubhasa sa pagpaplano ng ari-arian ay maaaring makatulong sa iyo na mag-draft ng isang testamento na sumasalamin sa iyong mga intensyon at nagpapaliit sa panganib ng mga hindi pagkakaunawaan sa pagitan ng mga tagapagmana.</v>
      </c>
      <c r="F511" s="2">
        <f t="shared" si="1"/>
        <v>0</v>
      </c>
      <c r="G511" s="2"/>
      <c r="H511" s="2"/>
      <c r="I511" s="2"/>
      <c r="J511" s="2"/>
      <c r="K511" s="2"/>
      <c r="L511" s="2"/>
      <c r="M511" s="2"/>
      <c r="N511" s="2"/>
      <c r="O511" s="2"/>
      <c r="P511" s="2"/>
      <c r="Q511" s="2"/>
      <c r="R511" s="2"/>
      <c r="S511" s="2"/>
      <c r="T511" s="2"/>
      <c r="U511" s="2"/>
      <c r="V511" s="2"/>
      <c r="W511" s="2"/>
      <c r="X511" s="2"/>
      <c r="Y511" s="2"/>
      <c r="Z511" s="2"/>
      <c r="AA511" s="2"/>
    </row>
    <row r="512">
      <c r="A512" s="1" t="s">
        <v>1224</v>
      </c>
      <c r="B512" s="1" t="s">
        <v>1781</v>
      </c>
      <c r="C512" s="1" t="s">
        <v>1782</v>
      </c>
      <c r="D512" s="1" t="s">
        <v>1783</v>
      </c>
      <c r="E512" s="2" t="str">
        <f>IFERROR(__xludf.DUMMYFUNCTION("GOOGLETRANSLATE(C512, ""en"", ""TL"")"),"Sa Pilipinas, ang mga mana ay napapailalim sa dalawang pangunahing buwis: estate tax at capital gains tax. Narito ang isang breakdown ng kung paano sila mag-aplay at ang mga implikasyon para sa mga tagapagmana:
1. Estate Tax:
Buwis sa Estate: Ito ay"&amp;" isang buwis na ipinataw sa netong halaga ng ari-arian ng namatay sa oras ng kamatayan. Ito ay mahalagang buwis sa karapatang magpadala ng ari-arian.
Rate ng Buwis: Sa kasalukuyan, ang isang flat rate na 6% ay inilalapat sa netong ari-arian pagkatapos ib"&amp;"awas ang mga pinahihintulutang gastos mula sa kabuuang halaga ng ari-arian.
Responsibilidad ng mga Tagapagmana: Bagama't ang buwis sa ari-arian ay teknikal na ipinapataw sa ari-arian mismo, ang mga tagapagmana sa huli ay may pananagutan sa pagbabayad nit"&amp;"o** bago sila makapagmana ng anumang mga ari-arian. Ito ay maaaring mangailangan sa kanila na magbenta ng ilang mga asset o gumamit ng iba pang mga pondo upang bayaran ang obligasyon sa buwis.
Epekto sa Mga Tagapagmana: Ang buwis sa ari-arian ay binabawa"&amp;"san ang kabuuang halaga ng mana na natatanggap ng bawat tagapagmana. Ang pasanin ng pagbabayad ng buwis ay maaari ding lumikha ng pinansiyal na strain para sa mga tagapagmana, lalo na kung ang ari-arian ay hindi masyadong likido (madaling ma-convert sa ca"&amp;"sh).
2. Buwis sa Capital Gains:
Buwis sa Pagbebenta ng Asset: Nalalapat ang buwis na ito kapag ang mga tagapagmana ay nagbebenta ng minanang ari-arian**. Ang capital gain ay ang pagkakaiba sa pagitan ng presyo ng pagbebenta at ng acquisition cost** (a"&amp;"ng halaga kung saan nakuha ng namatay ang ari-arian).
Mga Rate ng Buwis: Ang mga rate ng buwis sa capital gains ay nag-iiba depende sa uri ng asset at ang haba ng panahon na hawak ito ng namatay. Para sa minanang ari-arian, ang gastos sa pagkuha ay karan"&amp;"iwang itinuturing na patas na halaga sa pamilihan sa oras ng pagkamatay ng namatayan.
Responsibilidad ng mga tagapagmana: Ang mga tagapagmana ay may pananagutan sa pagbabayad ng buwis sa capital gains kung magpasya silang ibenta ang minanang ari-arian. A"&amp;"ng buwis na ito ay hiwalay sa buwis sa ari-arian** at kinakalkula batay sa indibidwal na pagbebenta.
Epekto sa mga Tagapagmana: Ang buwis sa capital gains ay higit na binabawasan ang mga netong kita** na natatanggap ng mga tagapagmana mula sa pagbebenta "&amp;"ng minanang ari-arian. Mahalaga para sa mga tagapagmana na isaalang-alang ang buwis na ito kapag gumagawa ng mga desisyon tungkol sa pagbebenta ng mga minanang asset.
Mga Karagdagang Puntos:
Mga Exemption sa Buwis: Mayroong ilang mga exemption at mga "&amp;"pagbabawas** na magagamit para sa buwis sa ari-arian at buwis sa capital gains. Maaaring payuhan ng isang abogado ang mga tagapagmana sa mga ito depende sa mga partikular na kalagayan ng mana.
Pagpaplano ng Buwis: Maaaring ipatupad ang mga estratehiya sa"&amp;" panahon ng pagpaplano ng ari-arian upang mabawasan ang kabuuang pasanin ng buwis sa mga tagapagmana. Ang pagkonsulta sa isang abogado na dalubhasa sa batas sa buwis ay maaaring maging kapaki-pakinabang.
Mga Implikasyon para sa mga Tagapagmana:
Dapat "&amp;"malaman ng mga tagapagmana ang parehong buwis sa ari-arian at mga implikasyon ng buwis sa capital gains kapag nagmamana ng ari-arian.
Napakahalagang isali ang mga buwis na ito** kapag nagpaplano kung paano pamahalaan ang mga minanang asset.
Maaaring kai"&amp;"langanin ng mga tagapagmana na magbadyet para sa mga potensyal na pananagutan sa buwis** at talakayin ang mga opsyon sa pagbabayad sa tagapagpatupad ng ari-arian.
Ang pagkonsulta sa isang tax advisor** ay makakatulong sa mga tagapagmana na maunawaan ang "&amp;"kanilang mga obligasyon sa buwis at mag-navigate sa proseso ng paghahain.
Sa pamamagitan ng pag-unawa sa mga buwis na ito at sa kanilang mga implikasyon, ang mga tagapagmana ay makakagawa ng matalinong mga desisyon tungkol sa pamamahala ng kanilang mana "&amp;"at mabawasan ang epekto sa pananalapi.")</f>
        <v>Sa Pilipinas, ang mga mana ay napapailalim sa dalawang pangunahing buwis: estate tax at capital gains tax. Narito ang isang breakdown ng kung paano sila mag-aplay at ang mga implikasyon para sa mga tagapagmana:
1. Estate Tax:
Buwis sa Estate: Ito ay isang buwis na ipinataw sa netong halaga ng ari-arian ng namatay sa oras ng kamatayan. Ito ay mahalagang buwis sa karapatang magpadala ng ari-arian.
Rate ng Buwis: Sa kasalukuyan, ang isang flat rate na 6% ay inilalapat sa netong ari-arian pagkatapos ibawas ang mga pinahihintulutang gastos mula sa kabuuang halaga ng ari-arian.
Responsibilidad ng mga Tagapagmana: Bagama't ang buwis sa ari-arian ay teknikal na ipinapataw sa ari-arian mismo, ang mga tagapagmana sa huli ay may pananagutan sa pagbabayad nito** bago sila makapagmana ng anumang mga ari-arian. Ito ay maaaring mangailangan sa kanila na magbenta ng ilang mga asset o gumamit ng iba pang mga pondo upang bayaran ang obligasyon sa buwis.
Epekto sa Mga Tagapagmana: Ang buwis sa ari-arian ay binabawasan ang kabuuang halaga ng mana na natatanggap ng bawat tagapagmana. Ang pasanin ng pagbabayad ng buwis ay maaari ding lumikha ng pinansiyal na strain para sa mga tagapagmana, lalo na kung ang ari-arian ay hindi masyadong likido (madaling ma-convert sa cash).
2. Buwis sa Capital Gains:
Buwis sa Pagbebenta ng Asset: Nalalapat ang buwis na ito kapag ang mga tagapagmana ay nagbebenta ng minanang ari-arian**. Ang capital gain ay ang pagkakaiba sa pagitan ng presyo ng pagbebenta at ng acquisition cost** (ang halaga kung saan nakuha ng namatay ang ari-arian).
Mga Rate ng Buwis: Ang mga rate ng buwis sa capital gains ay nag-iiba depende sa uri ng asset at ang haba ng panahon na hawak ito ng namatay. Para sa minanang ari-arian, ang gastos sa pagkuha ay karaniwang itinuturing na patas na halaga sa pamilihan sa oras ng pagkamatay ng namatayan.
Responsibilidad ng mga tagapagmana: Ang mga tagapagmana ay may pananagutan sa pagbabayad ng buwis sa capital gains kung magpasya silang ibenta ang minanang ari-arian. Ang buwis na ito ay hiwalay sa buwis sa ari-arian** at kinakalkula batay sa indibidwal na pagbebenta.
Epekto sa mga Tagapagmana: Ang buwis sa capital gains ay higit na binabawasan ang mga netong kita** na natatanggap ng mga tagapagmana mula sa pagbebenta ng minanang ari-arian. Mahalaga para sa mga tagapagmana na isaalang-alang ang buwis na ito kapag gumagawa ng mga desisyon tungkol sa pagbebenta ng mga minanang asset.
Mga Karagdagang Puntos:
Mga Exemption sa Buwis: Mayroong ilang mga exemption at mga pagbabawas** na magagamit para sa buwis sa ari-arian at buwis sa capital gains. Maaaring payuhan ng isang abogado ang mga tagapagmana sa mga ito depende sa mga partikular na kalagayan ng mana.
Pagpaplano ng Buwis: Maaaring ipatupad ang mga estratehiya sa panahon ng pagpaplano ng ari-arian upang mabawasan ang kabuuang pasanin ng buwis sa mga tagapagmana. Ang pagkonsulta sa isang abogado na dalubhasa sa batas sa buwis ay maaaring maging kapaki-pakinabang.
Mga Implikasyon para sa mga Tagapagmana:
Dapat malaman ng mga tagapagmana ang parehong buwis sa ari-arian at mga implikasyon ng buwis sa capital gains kapag nagmamana ng ari-arian.
Napakahalagang isali ang mga buwis na ito** kapag nagpaplano kung paano pamahalaan ang mga minanang asset.
Maaaring kailanganin ng mga tagapagmana na magbadyet para sa mga potensyal na pananagutan sa buwis** at talakayin ang mga opsyon sa pagbabayad sa tagapagpatupad ng ari-arian.
Ang pagkonsulta sa isang tax advisor** ay makakatulong sa mga tagapagmana na maunawaan ang kanilang mga obligasyon sa buwis at mag-navigate sa proseso ng paghahain.
Sa pamamagitan ng pag-unawa sa mga buwis na ito at sa kanilang mga implikasyon, ang mga tagapagmana ay makakagawa ng matalinong mga desisyon tungkol sa pamamahala ng kanilang mana at mabawasan ang epekto sa pananalapi.</v>
      </c>
      <c r="F512" s="2">
        <f t="shared" si="1"/>
        <v>0</v>
      </c>
      <c r="G512" s="2"/>
      <c r="H512" s="2"/>
      <c r="I512" s="2"/>
      <c r="J512" s="2"/>
      <c r="K512" s="2"/>
      <c r="L512" s="2"/>
      <c r="M512" s="2"/>
      <c r="N512" s="2"/>
      <c r="O512" s="2"/>
      <c r="P512" s="2"/>
      <c r="Q512" s="2"/>
      <c r="R512" s="2"/>
      <c r="S512" s="2"/>
      <c r="T512" s="2"/>
      <c r="U512" s="2"/>
      <c r="V512" s="2"/>
      <c r="W512" s="2"/>
      <c r="X512" s="2"/>
      <c r="Y512" s="2"/>
      <c r="Z512" s="2"/>
      <c r="AA512" s="2"/>
    </row>
    <row r="513">
      <c r="A513" s="1" t="s">
        <v>1224</v>
      </c>
      <c r="B513" s="1" t="s">
        <v>1784</v>
      </c>
      <c r="C513" s="1" t="s">
        <v>1785</v>
      </c>
      <c r="D513" s="1" t="s">
        <v>1707</v>
      </c>
      <c r="E513" s="2" t="str">
        <f>IFERROR(__xludf.DUMMYFUNCTION("GOOGLETRANSLATE(C513, ""en"", ""TL"")"),"Sa Pilipinas, ang mga tagapagmana na nagmamana ng ari-arian na may mga umiiral na kasunduan sa pag-upa o nangungupahan ay may legal na tinukoy na mga karapatan at obligasyon. Narito ang breakdown:
Mga Karapatan ng Tagapagmana:
Igalang ang mga kasalukuyang"&amp;" Pagpapaupa: Ang mga tagapagmana ay kinakailangang igalang ang mga kasalukuyang kasunduan sa pagpapaupa sa mga nangungupahan. Ang mga tuntunin at kundisyon ng naunang may-ari ay nananatiling may bisa, kabilang ang halaga ng upa, tagal ng pag-upa, at iba p"&amp;"ang mga probisyon sa kontrata. Collect Rent: Ang mga tagapagmana ay may karapatang mangolekta ng upa mula sa kasalukuyang mga nangungupahan alinsunod sa mga kondisyon ng umiiral na kasunduan sa pag-upa. Negotiate Renewal: Kapag nag-expire ang lease, ang m"&amp;"ga tagapagmana ay may opsyon na makipag-ayos ng bagong lease arrangement sa mga kasalukuyang nangungupahan sa sarili nilang mga termino.
Pagpapalayas (Napapailalim sa mga tinukoy na Kondisyon): Ang mga tagapagmana ay maaari lamang magpaalis ng mga nangung"&amp;"upahan na binigyan ng mga tinukoy na legal na paliwanag na nakabalangkas sa Urban Development and Housing Act (RA No. 7279) o ng Civil Code of the Philippines. Ang hindi pagbabayad ng upa, paglabag sa mga tuntunin sa pag-upa, personal na paggamit ng ari-a"&amp;"rian, o demolisyon para sa muling pagpapaunlad (na may wastong paunawa) ay ilan sa mga posibleng dahilan.
Mga Obligasyon ng Tagapagmana:
Panatilihin ang Ari-arian: Ang mga tagapagmana ay may pananagutan sa pagpapanatili ng ari-arian sa mga pamantayang iti"&amp;"nakda sa kasunduan sa pag-upa, na tinitiyak ang mapayapang paggamit ng nangungupahan sa ari-arian. Mga Pag-aayos ng Karangalan: Dapat matugunan ng mga tagapagmana ang mga obligasyon ng dating may-ari tungkol sa pagkukumpuni gaya ng nakabalangkas sa kasund"&amp;"uan sa pag-upa. Responsable na sila sa paglutas ng anumang mahahalagang pagkukumpuni sa panahon ng pangungupahan. Magbigay ng Abiso ng mga pagbabago: Ang mga tagapagmana ay dapat magbigay ng wastong nakasulat na abiso sa mga nangungupahan ng anumang pagba"&amp;"bago sa mga kondisyon ng kasunduan sa pag-upa o pagwawakas ng lease sa pag-expire (kung hindi na-renew). Ang kinakailangang panahon ng paunawa ay nag-iiba depende sa uri ng pag-upa.
Mga karagdagang pagsasaalang-alang:
Suriin ang Kasunduan sa Pag-upa: Dapa"&amp;"t na maingat na basahin ng mga tagapagmana ang umiiral na kasunduan sa pag-upa upang maunawaan ang kanilang mga karapatan at obligasyon, tulad ng natitirang panahon ng pag-upa, halaga ng upa, at anumang partikular na mga sugnay. Humingi ng Legal na Payo: "&amp;"Mahalagang kumunsulta ka sa isang abogado na dalubhasa sa batas sa ari-arian at pangungupahan, lalo na kung mayroong anumang mga paghihirap o problema sa kasalukuyang mga umuupa. Tandaan, ito ay isang pangkalahatang buod ng batas ng Pilipinas. Ang mga par"&amp;"tikular na karapatan at obligasyon ay maaaring mag-iba depende sa natatanging mga pangyayari at sa mga probisyon ng umiiral na kasunduan sa pag-upa.")</f>
        <v>Sa Pilipinas, ang mga tagapagmana na nagmamana ng ari-arian na may mga umiiral na kasunduan sa pag-upa o nangungupahan ay may legal na tinukoy na mga karapatan at obligasyon. Narito ang breakdown:
Mga Karapatan ng Tagapagmana:
Igalang ang mga kasalukuyang Pagpapaupa: Ang mga tagapagmana ay kinakailangang igalang ang mga kasalukuyang kasunduan sa pagpapaupa sa mga nangungupahan. Ang mga tuntunin at kundisyon ng naunang may-ari ay nananatiling may bisa, kabilang ang halaga ng upa, tagal ng pag-upa, at iba pang mga probisyon sa kontrata. Collect Rent: Ang mga tagapagmana ay may karapatang mangolekta ng upa mula sa kasalukuyang mga nangungupahan alinsunod sa mga kondisyon ng umiiral na kasunduan sa pag-upa. Negotiate Renewal: Kapag nag-expire ang lease, ang mga tagapagmana ay may opsyon na makipag-ayos ng bagong lease arrangement sa mga kasalukuyang nangungupahan sa sarili nilang mga termino.
Pagpapalayas (Napapailalim sa mga tinukoy na Kondisyon): Ang mga tagapagmana ay maaari lamang magpaalis ng mga nangungupahan na binigyan ng mga tinukoy na legal na paliwanag na nakabalangkas sa Urban Development and Housing Act (RA No. 7279) o ng Civil Code of the Philippines. Ang hindi pagbabayad ng upa, paglabag sa mga tuntunin sa pag-upa, personal na paggamit ng ari-arian, o demolisyon para sa muling pagpapaunlad (na may wastong paunawa) ay ilan sa mga posibleng dahilan.
Mga Obligasyon ng Tagapagmana:
Panatilihin ang Ari-arian: Ang mga tagapagmana ay may pananagutan sa pagpapanatili ng ari-arian sa mga pamantayang itinakda sa kasunduan sa pag-upa, na tinitiyak ang mapayapang paggamit ng nangungupahan sa ari-arian. Mga Pag-aayos ng Karangalan: Dapat matugunan ng mga tagapagmana ang mga obligasyon ng dating may-ari tungkol sa pagkukumpuni gaya ng nakabalangkas sa kasunduan sa pag-upa. Responsable na sila sa paglutas ng anumang mahahalagang pagkukumpuni sa panahon ng pangungupahan. Magbigay ng Abiso ng mga pagbabago: Ang mga tagapagmana ay dapat magbigay ng wastong nakasulat na abiso sa mga nangungupahan ng anumang pagbabago sa mga kondisyon ng kasunduan sa pag-upa o pagwawakas ng lease sa pag-expire (kung hindi na-renew). Ang kinakailangang panahon ng paunawa ay nag-iiba depende sa uri ng pag-upa.
Mga karagdagang pagsasaalang-alang:
Suriin ang Kasunduan sa Pag-upa: Dapat na maingat na basahin ng mga tagapagmana ang umiiral na kasunduan sa pag-upa upang maunawaan ang kanilang mga karapatan at obligasyon, tulad ng natitirang panahon ng pag-upa, halaga ng upa, at anumang partikular na mga sugnay. Humingi ng Legal na Payo: Mahalagang kumunsulta ka sa isang abogado na dalubhasa sa batas sa ari-arian at pangungupahan, lalo na kung mayroong anumang mga paghihirap o problema sa kasalukuyang mga umuupa. Tandaan, ito ay isang pangkalahatang buod ng batas ng Pilipinas. Ang mga partikular na karapatan at obligasyon ay maaaring mag-iba depende sa natatanging mga pangyayari at sa mga probisyon ng umiiral na kasunduan sa pag-upa.</v>
      </c>
      <c r="F513" s="2">
        <f t="shared" si="1"/>
        <v>0</v>
      </c>
      <c r="G513" s="2"/>
      <c r="H513" s="2"/>
      <c r="I513" s="2"/>
      <c r="J513" s="2"/>
      <c r="K513" s="2"/>
      <c r="L513" s="2"/>
      <c r="M513" s="2"/>
      <c r="N513" s="2"/>
      <c r="O513" s="2"/>
      <c r="P513" s="2"/>
      <c r="Q513" s="2"/>
      <c r="R513" s="2"/>
      <c r="S513" s="2"/>
      <c r="T513" s="2"/>
      <c r="U513" s="2"/>
      <c r="V513" s="2"/>
      <c r="W513" s="2"/>
      <c r="X513" s="2"/>
      <c r="Y513" s="2"/>
      <c r="Z513" s="2"/>
      <c r="AA513" s="2"/>
    </row>
    <row r="514">
      <c r="A514" s="1" t="s">
        <v>1224</v>
      </c>
      <c r="B514" s="1" t="s">
        <v>1708</v>
      </c>
      <c r="C514" s="1" t="s">
        <v>1786</v>
      </c>
      <c r="D514" s="1" t="s">
        <v>1710</v>
      </c>
      <c r="E514" s="2" t="str">
        <f>IFERROR(__xludf.DUMMYFUNCTION("GOOGLETRANSLATE(C514, ""en"", ""TL"")"),"Sa Pilipinas, pinangangalagaan ng batas ang mga tagapagmana mula sa pagmamana ng mga personal na utang ng namatay. Gayunpaman, may mga natatanging kinakailangan para sa minanang ari-arian na may mga patuloy na utang o pagkakasangla: Mga Benepisyo ng Imben"&amp;"taryo: Kinikilala ng batas ng Pilipinas ang ""pakinabang ng imbentaryo"" (Artikulo 1023, Kodigo Sibil). Ang ideyang ito ay nagpapahintulot sa mga tagapagmana na limitahan ang kanilang pananagutan para sa mga utang ng ari-arian sa halaga ng minanang ari-ar"&amp;"ian. Maaaring tanggapin ng mga tagapagmana ang mana na may kalamangan sa imbentaryo, na nangangailangan ng pag-compile ng isang komprehensibong account ng mga ari-arian at pananagutan ng ari-arian.
Pagbabayad ng utang: Ang priyoridad ay napupunta sa Mga U"&amp;"tang sa Estate: Ang mga nagpapautang na may mga claim laban sa ari-arian, kabilang ang mga may hawak ng mortgage, ay tumatanggap ng unang priyoridad sa pagkuha ng bayad mula sa mga ari-arian ng ari-arian bago ang anumang mana ay binayaran sa mga benepisya"&amp;"ryo. Pagbebenta ng Asset para sa Pagbabayad: Kung ang mga ari-arian ng ari-arian (kabilang ang minanang ari-arian) ay hindi sapat upang bayaran ang lahat ng mga utang, ang ari-arian ay maaaring ibenta upang mabayaran ang natitirang sangla o iba pang mga u"&amp;"tang. Ang Pananagutan ng Tagapagmana ay Limitado: Kung ang mga tagapagmana ay wastong gumamit ng imbentaryo, hindi sila personal na mananagot para sa anumang mga hindi pa nababayarang utang na lumampas sa halaga ng minanang ari-arian.
Mga Pagpipilian sa T"&amp;"agapagmana: Tanggapin nang may Benepisyo ng Imbentaryo: Pinahihintulutan nito ang mga tagapagmana na magmana ng ari-arian habang nililimitahan ang kanilang pananagutan para sa mga utang sa halaga nito. Pagkatapos ay matutukoy nila kung ang pagbebenta ng b"&amp;"ahay upang mabayaran ang mga utang o paggamit ng iba pang ari-arian ay ang pinakamahusay na opsyon.
Itakwil ang Mana: Maaaring piliin ng mga tagapagmana na ganap na isuko ang kanilang mana. Tinatanggal nito ang anumang pananagutan para sa mga utang ng ari"&amp;"-arian habang ibinibigay din ang anumang mga karapatan sa ari-arian o iba pang mga ari-arian. Makipag-ayos sa Mga Pinagkakautangan: Maaaring subukan ng mga tagapagmana na makipag-ayos sa isang settlement o payback plan na nakikinabang sa magkabilang panig"&amp;", kabilang ang may-ari ng mortgage.
Mga karagdagang pagsasaalang-alang: Mga Limitasyon sa Oras: Dapat tukuyin ng mga tagapagmana kung tatanggapin ang pamana na may pakinabang ng imbentaryo sa loob ng tinukoy na takdang panahon. Ang pagkonsulta sa isang ab"&amp;"ogado ay mahalaga upang matiyak na ang mga wastong pamamaraan ay sinusunod sa loob ng mga kinakailangang takdang panahon. Pagiging Kumplikado ng Estate: Kapag mayroong maraming tagapagmana, kumplikadong sitwasyon sa pananalapi, o salungatan sa ari-arian, "&amp;"maaaring kailanganin ang legal na payo sa buong proseso.
Rekomendasyon: Ang pagmamana ng ari-arian na may mga hindi pa nababayarang utang o isang mortgage ay maaaring maging kumplikado. Mahigpit na ipinapayo na ang mga tagapagmana ay makipag-ugnayan sa is"&amp;"ang abogado na dalubhasa sa probate at inheritance law sa Pilipinas. Matutulungan ka nilang mag-navigate sa legal na pamamaraan, maunawaan ang iyong mga karapatan at obligasyon, at gumawa ng mga pinag-aralan na desisyon tungkol sa minanang ari-arian.")</f>
        <v>Sa Pilipinas, pinangangalagaan ng batas ang mga tagapagmana mula sa pagmamana ng mga personal na utang ng namatay. Gayunpaman, may mga natatanging kinakailangan para sa minanang ari-arian na may mga patuloy na utang o pagkakasangla: Mga Benepisyo ng Imbentaryo: Kinikilala ng batas ng Pilipinas ang "pakinabang ng imbentaryo" (Artikulo 1023, Kodigo Sibil). Ang ideyang ito ay nagpapahintulot sa mga tagapagmana na limitahan ang kanilang pananagutan para sa mga utang ng ari-arian sa halaga ng minanang ari-arian. Maaaring tanggapin ng mga tagapagmana ang mana na may kalamangan sa imbentaryo, na nangangailangan ng pag-compile ng isang komprehensibong account ng mga ari-arian at pananagutan ng ari-arian.
Pagbabayad ng utang: Ang priyoridad ay napupunta sa Mga Utang sa Estate: Ang mga nagpapautang na may mga claim laban sa ari-arian, kabilang ang mga may hawak ng mortgage, ay tumatanggap ng unang priyoridad sa pagkuha ng bayad mula sa mga ari-arian ng ari-arian bago ang anumang mana ay binayaran sa mga benepisyaryo. Pagbebenta ng Asset para sa Pagbabayad: Kung ang mga ari-arian ng ari-arian (kabilang ang minanang ari-arian) ay hindi sapat upang bayaran ang lahat ng mga utang, ang ari-arian ay maaaring ibenta upang mabayaran ang natitirang sangla o iba pang mga utang. Ang Pananagutan ng Tagapagmana ay Limitado: Kung ang mga tagapagmana ay wastong gumamit ng imbentaryo, hindi sila personal na mananagot para sa anumang mga hindi pa nababayarang utang na lumampas sa halaga ng minanang ari-arian.
Mga Pagpipilian sa Tagapagmana: Tanggapin nang may Benepisyo ng Imbentaryo: Pinahihintulutan nito ang mga tagapagmana na magmana ng ari-arian habang nililimitahan ang kanilang pananagutan para sa mga utang sa halaga nito. Pagkatapos ay matutukoy nila kung ang pagbebenta ng bahay upang mabayaran ang mga utang o paggamit ng iba pang ari-arian ay ang pinakamahusay na opsyon.
Itakwil ang Mana: Maaaring piliin ng mga tagapagmana na ganap na isuko ang kanilang mana. Tinatanggal nito ang anumang pananagutan para sa mga utang ng ari-arian habang ibinibigay din ang anumang mga karapatan sa ari-arian o iba pang mga ari-arian. Makipag-ayos sa Mga Pinagkakautangan: Maaaring subukan ng mga tagapagmana na makipag-ayos sa isang settlement o payback plan na nakikinabang sa magkabilang panig, kabilang ang may-ari ng mortgage.
Mga karagdagang pagsasaalang-alang: Mga Limitasyon sa Oras: Dapat tukuyin ng mga tagapagmana kung tatanggapin ang pamana na may pakinabang ng imbentaryo sa loob ng tinukoy na takdang panahon. Ang pagkonsulta sa isang abogado ay mahalaga upang matiyak na ang mga wastong pamamaraan ay sinusunod sa loob ng mga kinakailangang takdang panahon. Pagiging Kumplikado ng Estate: Kapag mayroong maraming tagapagmana, kumplikadong sitwasyon sa pananalapi, o salungatan sa ari-arian, maaaring kailanganin ang legal na payo sa buong proseso.
Rekomendasyon: Ang pagmamana ng ari-arian na may mga hindi pa nababayarang utang o isang mortgage ay maaaring maging kumplikado. Mahigpit na ipinapayo na ang mga tagapagmana ay makipag-ugnayan sa isang abogado na dalubhasa sa probate at inheritance law sa Pilipinas. Matutulungan ka nilang mag-navigate sa legal na pamamaraan, maunawaan ang iyong mga karapatan at obligasyon, at gumawa ng mga pinag-aralan na desisyon tungkol sa minanang ari-arian.</v>
      </c>
      <c r="F514" s="2">
        <f t="shared" si="1"/>
        <v>0</v>
      </c>
      <c r="G514" s="2"/>
      <c r="H514" s="2"/>
      <c r="I514" s="2"/>
      <c r="J514" s="2"/>
      <c r="K514" s="2"/>
      <c r="L514" s="2"/>
      <c r="M514" s="2"/>
      <c r="N514" s="2"/>
      <c r="O514" s="2"/>
      <c r="P514" s="2"/>
      <c r="Q514" s="2"/>
      <c r="R514" s="2"/>
      <c r="S514" s="2"/>
      <c r="T514" s="2"/>
      <c r="U514" s="2"/>
      <c r="V514" s="2"/>
      <c r="W514" s="2"/>
      <c r="X514" s="2"/>
      <c r="Y514" s="2"/>
      <c r="Z514" s="2"/>
      <c r="AA514" s="2"/>
    </row>
    <row r="515">
      <c r="A515" s="1" t="s">
        <v>1224</v>
      </c>
      <c r="B515" s="1" t="s">
        <v>1787</v>
      </c>
      <c r="C515" s="1" t="s">
        <v>1788</v>
      </c>
      <c r="D515" s="1" t="s">
        <v>1789</v>
      </c>
      <c r="E515" s="2" t="str">
        <f>IFERROR(__xludf.DUMMYFUNCTION("GOOGLETRANSLATE(C515, ""en"", ""TL"")"),"Sa Pilipinas, ang minanang ari-arian ay tiyak na maaring ibenta ng mga tagapagmana, ngunit may ilang mga legal na pamamaraan na dapat sundin upang matiyak ang maayos at matagumpay na transaksyon. Narito ang isang breakdown ng mga pangunahing hakbang na ka"&amp;"sangkot:
1. Settlement ng Estate:
Estate Settlement: Bago ibenta ang anumang minanang ari-arian, kailangang bayaran ang ari-arian ng namatay**. Karaniwang kinabibilangan ito ng pagdaan sa probate kung walang wastong testamento o pagsasagawa ng extrajudici"&amp;"al settlement kung ang lahat ng tagapagmana ay sumang-ayon sa pamamahagi.
Pag-aayos ng mga Utang at Buwis: Ang proseso ng pag-areglo ng ari-arian ay tumitiyak na lahat ng hindi pa nababayarang utang at buwis na nauugnay sa namatay ay nababayaran bago ang "&amp;"mga nalikom sa pagbebenta ay ipamahagi sa mga tagapagmana.
Malinaw na Pamagat: Bine-verify din ng prosesong ito na malinaw ang titulo sa property** at walang mga legal na sagabal na maaaring pumigil sa pagbebenta.
2. Pagkuha ng Kasunduan sa mga Tagapagman"&amp;"a:
Consensus Among Heirs: Kung maraming tagapagmana, lahat sila ay kailangang sumang-ayon na ibenta ang property. Maaaring kabilang dito ang mga talakayan at posibleng isang nilagdaang kasunduan na nagbabalangkas sa mga tuntunin ng pagbebenta at kung paan"&amp;"o mahahati ang mga nalikom.
Pagtugon sa mga Di-pagkakasundo: Sa kaso ng mga hindi pagkakasundo sa pagitan ng mga tagapagmana, ang pamamagitan o legal na konsultasyon** ay maaaring kailanganin upang magkaroon ng solusyon bago magpatuloy sa pagbebenta.
3. P"&amp;"aghahanda sa Pagbebenta ng Ari-arian:
Pagsusuri sa Market: Maaaring gusto ng mga tagapagmana na isaalang-alang ang pagkuha ng pagtatasa ng ari-arian** upang matukoy ang patas na halaga sa pamilihan ng ari-arian. Makakatulong din ang pagsusuri sa merkado n"&amp;"a matukoy ang pinakaangkop na presyo ng pagbebenta.
Mga Pag-aayos/Pagpapahusay ng Ari-arian: Depende sa kondisyon ng ari-arian, maaaring kailanganin ang ilang pag-aayos o pagsasaayos** upang maakit ang mga potensyal na mamimili at ma-maximize ang presyo n"&amp;"g pagbebenta.
4. Marketing at Pagbebenta ng Ari-arian:
Mga Istratehiya sa Marketing: Maaaring piliin ng mga tagapagmana na ibenta ang ari-arian mismo** o umarkila ng ahente ng real estate** upang pangasiwaan ang marketing at mga negosasyon. Ang mga epekti"&amp;"bong diskarte sa marketing ay maaaring makatulong sa pag-akit ng mas malawak na grupo ng mga mamimili at pataasin ang mga pagkakataon ng isang matagumpay na pagbebenta.
Kasunduan sa Pagbebenta at Pagsasara: Kapag natagpuan ang isang mamimili, isang kasund"&amp;"uan sa pagbebenta** na nagbabalangkas sa mga tuntunin at kundisyon ng pagbebenta ay bubuuin at lalagdaan ng parehong partido. Kasama sa proseso ng pagsasara ang paglilipat ng titulo ng pagmamay-ari** sa bumibili at ang pamamahagi ng mga nalikom sa pagbebe"&amp;"nta** sa mga tagapagmana ayon sa kanilang napagkasunduang bahagi.
Mga Legal na Dokumento na Kinakailangan:
Duplicate ng Pamagat ng May-ari: Ang dokumentong ito ay nagpapatunay ng pagmamay-ari ng ari-arian.
Estate Tax Clearance: Ito ay nagpapatunay na ang "&amp;"lahat ng mga buwis sa ari-arian ay nabayaran na.
Certificate Authorizing Registration (CAR): Inisyu ng BIR, ito ay nagpapahintulot sa paglipat ng titulo ng ari-arian sa bagong may-ari.
Deed of Extrajudicial Settlement (kung naaangkop): Ang dokumentong ito"&amp;" ay nagpapatunay ng settlement ng estate kung walang will.
Deed of Sale: Ang dokumentong ito na may legal na bisang legal ay nagpapapormal sa pagbebenta ng ari-arian.
Iba pang mga dokumento: Depende sa partikular na sitwasyon, maaaring kailanganin ang mga"&amp;" karagdagang dokumento tulad ng mga tax clearance, clearance mula sa mga asosasyon ng mga may-ari ng bahay (kung naaangkop), at patunay ng pagiging tagapagmana.
Mga Karagdagang Puntos:
Legal na Konsultasyon: Ang pagkonsulta sa isang abogado na dalubhasa s"&amp;"a real estate law** ay lubos na inirerekomenda sa buong proseso. Maaari nilang tiyakin ang legal na pagsunod, magpayo sa dokumentasyon, at kumatawan sa mga tagapagmana sa panahon ng mga negosasyon o mga potensyal na hindi pagkakaunawaan.
Mga Implikasyon s"&amp;"a Buwis: Maaaring managot ang mga tagapagmana para sa buwis sa capital gains** sa pagbebenta ng ari-arian. Makakatulong sa kanila ang isang tax advisor** na maunawaan ang kanilang mga obligasyon sa buwis at mag-navigate sa proseso ng pag-file.
Sa pamamagi"&amp;"tan ng pagsunod sa mga hakbang na ito at paghingi ng propesyonal na patnubay, matitiyak ng mga tagapagmana ang maayos at legal na pagbebenta ng minanang ari-arian.")</f>
        <v>Sa Pilipinas, ang minanang ari-arian ay tiyak na maaring ibenta ng mga tagapagmana, ngunit may ilang mga legal na pamamaraan na dapat sundin upang matiyak ang maayos at matagumpay na transaksyon. Narito ang isang breakdown ng mga pangunahing hakbang na kasangkot:
1. Settlement ng Estate:
Estate Settlement: Bago ibenta ang anumang minanang ari-arian, kailangang bayaran ang ari-arian ng namatay**. Karaniwang kinabibilangan ito ng pagdaan sa probate kung walang wastong testamento o pagsasagawa ng extrajudicial settlement kung ang lahat ng tagapagmana ay sumang-ayon sa pamamahagi.
Pag-aayos ng mga Utang at Buwis: Ang proseso ng pag-areglo ng ari-arian ay tumitiyak na lahat ng hindi pa nababayarang utang at buwis na nauugnay sa namatay ay nababayaran bago ang mga nalikom sa pagbebenta ay ipamahagi sa mga tagapagmana.
Malinaw na Pamagat: Bine-verify din ng prosesong ito na malinaw ang titulo sa property** at walang mga legal na sagabal na maaaring pumigil sa pagbebenta.
2. Pagkuha ng Kasunduan sa mga Tagapagmana:
Consensus Among Heirs: Kung maraming tagapagmana, lahat sila ay kailangang sumang-ayon na ibenta ang property. Maaaring kabilang dito ang mga talakayan at posibleng isang nilagdaang kasunduan na nagbabalangkas sa mga tuntunin ng pagbebenta at kung paano mahahati ang mga nalikom.
Pagtugon sa mga Di-pagkakasundo: Sa kaso ng mga hindi pagkakasundo sa pagitan ng mga tagapagmana, ang pamamagitan o legal na konsultasyon** ay maaaring kailanganin upang magkaroon ng solusyon bago magpatuloy sa pagbebenta.
3. Paghahanda sa Pagbebenta ng Ari-arian:
Pagsusuri sa Market: Maaaring gusto ng mga tagapagmana na isaalang-alang ang pagkuha ng pagtatasa ng ari-arian** upang matukoy ang patas na halaga sa pamilihan ng ari-arian. Makakatulong din ang pagsusuri sa merkado na matukoy ang pinakaangkop na presyo ng pagbebenta.
Mga Pag-aayos/Pagpapahusay ng Ari-arian: Depende sa kondisyon ng ari-arian, maaaring kailanganin ang ilang pag-aayos o pagsasaayos** upang maakit ang mga potensyal na mamimili at ma-maximize ang presyo ng pagbebenta.
4. Marketing at Pagbebenta ng Ari-arian:
Mga Istratehiya sa Marketing: Maaaring piliin ng mga tagapagmana na ibenta ang ari-arian mismo** o umarkila ng ahente ng real estate** upang pangasiwaan ang marketing at mga negosasyon. Ang mga epektibong diskarte sa marketing ay maaaring makatulong sa pag-akit ng mas malawak na grupo ng mga mamimili at pataasin ang mga pagkakataon ng isang matagumpay na pagbebenta.
Kasunduan sa Pagbebenta at Pagsasara: Kapag natagpuan ang isang mamimili, isang kasunduan sa pagbebenta** na nagbabalangkas sa mga tuntunin at kundisyon ng pagbebenta ay bubuuin at lalagdaan ng parehong partido. Kasama sa proseso ng pagsasara ang paglilipat ng titulo ng pagmamay-ari** sa bumibili at ang pamamahagi ng mga nalikom sa pagbebenta** sa mga tagapagmana ayon sa kanilang napagkasunduang bahagi.
Mga Legal na Dokumento na Kinakailangan:
Duplicate ng Pamagat ng May-ari: Ang dokumentong ito ay nagpapatunay ng pagmamay-ari ng ari-arian.
Estate Tax Clearance: Ito ay nagpapatunay na ang lahat ng mga buwis sa ari-arian ay nabayaran na.
Certificate Authorizing Registration (CAR): Inisyu ng BIR, ito ay nagpapahintulot sa paglipat ng titulo ng ari-arian sa bagong may-ari.
Deed of Extrajudicial Settlement (kung naaangkop): Ang dokumentong ito ay nagpapatunay ng settlement ng estate kung walang will.
Deed of Sale: Ang dokumentong ito na may legal na bisang legal ay nagpapapormal sa pagbebenta ng ari-arian.
Iba pang mga dokumento: Depende sa partikular na sitwasyon, maaaring kailanganin ang mga karagdagang dokumento tulad ng mga tax clearance, clearance mula sa mga asosasyon ng mga may-ari ng bahay (kung naaangkop), at patunay ng pagiging tagapagmana.
Mga Karagdagang Puntos:
Legal na Konsultasyon: Ang pagkonsulta sa isang abogado na dalubhasa sa real estate law** ay lubos na inirerekomenda sa buong proseso. Maaari nilang tiyakin ang legal na pagsunod, magpayo sa dokumentasyon, at kumatawan sa mga tagapagmana sa panahon ng mga negosasyon o mga potensyal na hindi pagkakaunawaan.
Mga Implikasyon sa Buwis: Maaaring managot ang mga tagapagmana para sa buwis sa capital gains** sa pagbebenta ng ari-arian. Makakatulong sa kanila ang isang tax advisor** na maunawaan ang kanilang mga obligasyon sa buwis at mag-navigate sa proseso ng pag-file.
Sa pamamagitan ng pagsunod sa mga hakbang na ito at paghingi ng propesyonal na patnubay, matitiyak ng mga tagapagmana ang maayos at legal na pagbebenta ng minanang ari-arian.</v>
      </c>
      <c r="F515" s="2">
        <f t="shared" si="1"/>
        <v>0</v>
      </c>
      <c r="G515" s="2"/>
      <c r="H515" s="2"/>
      <c r="I515" s="2"/>
      <c r="J515" s="2"/>
      <c r="K515" s="2"/>
      <c r="L515" s="2"/>
      <c r="M515" s="2"/>
      <c r="N515" s="2"/>
      <c r="O515" s="2"/>
      <c r="P515" s="2"/>
      <c r="Q515" s="2"/>
      <c r="R515" s="2"/>
      <c r="S515" s="2"/>
      <c r="T515" s="2"/>
      <c r="U515" s="2"/>
      <c r="V515" s="2"/>
      <c r="W515" s="2"/>
      <c r="X515" s="2"/>
      <c r="Y515" s="2"/>
      <c r="Z515" s="2"/>
      <c r="AA515" s="2"/>
    </row>
    <row r="516">
      <c r="A516" s="1" t="s">
        <v>1224</v>
      </c>
      <c r="B516" s="1" t="s">
        <v>1790</v>
      </c>
      <c r="C516" s="1" t="s">
        <v>1791</v>
      </c>
      <c r="D516" s="1" t="s">
        <v>1792</v>
      </c>
      <c r="E516" s="2" t="str">
        <f>IFERROR(__xludf.DUMMYFUNCTION("GOOGLETRANSLATE(C516, ""en"", ""TL"")"),"Oo, may iba't ibang legal na salik na dapat tandaan habang nagmamana ng ari-arian kasama ng iba pang tagapagmana sa ilalim ng batas ng Pilipinas. Narito ang isang breakdown ng ilang mahahalagang punto:
Uri ng co-ownership:
Ang paraan ng pagmamana mo sa ar"&amp;"i-arian ay nakakaimpluwensya kung paano mo ito maaangkin at ng iba pang tatanggap. Mayroong dalawang pangunahing uri:
Karaniwang Pangungupahan: Ang bawat tatanggap ay nagmamay-ari ng partikular na porsyento ng ari-arian. Ang bahaging ito ay maaaring panta"&amp;"y-pantay o hindi pantay-pantay, depende sa mga tuntunin ng kalooban o mga panuntunan sa intestacy (kung walang kalooban). Ang bahagi ng bawat benepisyaryo ay ipinapasa sa kanilang mga tagapagmana pagkatapos ng kanilang kamatayan.
Joint Tenancy with Right "&amp;"of Survivorship: Lahat ng benepisyaryo ay nagmamay-ari ng property bilang isang entity. Kung ang isang benepisyaryo ay namatay, ang kanilang stake ay awtomatikong ililipat sa mga natitirang benepisyaryo. Iniiwasan nito ang pag-aari na dumaan sa probate pa"&amp;"ra sa bahagi ng namatay na benepisyaryo.
Mga Kabahaging Pananagutan at Karapatan: Anuman ang uri ng co-ownership, ikaw at ang iba pang mga benepisyaryo ay magbabahagi ng mga partikular na karapatan at responsibilidad: - Pagbabahagi ng mga Gastos at Kita: "&amp;"Ikaw ay mananagot sa pagbabahagi ng anumang pangangalaga, buwis, at iba pang bayarin na may kaugnayan sa ari-arian. Kung inuupahan ang bahay, makakatanggap ka rin ng porsyento ng mga kita.
- Paggawa ng Desisyon: Ang mga pangunahing desisyon tungkol sa ari"&amp;"-arian, tulad ng pagbebenta o pagrenta nito, ay kadalasang nangangailangan ng nagkakaisang pag-apruba sa lahat ng mga kapwa may-ari.
Potensyal para sa Di-pagkakasundo: Ang co-ownership ay maaaring magresulta sa mga salungatan, lalo na kung: - Ang mga bene"&amp;"pisyaryo ay may iba't ibang intensyon para sa ari-arian (halimbawa, ang isa ay gustong magbenta habang ang isa ay gustong mapanatili ito). - Ang mga desisyon ay mahirap itatag ang pagkakaisa. Nabigo ang isang tatanggap na matugunan ang kanilang mga pinans"&amp;"iyal na pangako sa ari-arian.
Mga Rekomendasyon: Upang pagaanin ang mga potensyal na isyu: - Makipag-usap nang hayagan: Ibahagi ang iyong mga inaasahan at adhikain para sa ari-arian sa iba pang mga tatanggap. - Isaalang-alang ang isang nakasulat na kasund"&amp;"uan: Maaaring tulungan ka ng isang abogado na magtatag ng isang kasunduan na naglalarawan sa mga karapatan at obligasyon sa kapwa pagmamay-ari, mga proseso sa paggawa ng desisyon, at mga paraan ng paglutas ng hindi pagkakaunawaan. - Humingi ng legal na pa"&amp;"yo: Kung inaasahan mo ang anumang mga isyu, ang pagkonsulta sa isang abogado sa pagmamana ng ari-arian ay makakatulong.
Mga karagdagang pagsasaalang-alang: Mga Utang at Buwis: Ikaw at ang iba pang mga benepisyaryo ay maaaring managot para sa anumang natit"&amp;"irang mga utang o buwis sa ari-arian. Probate: Kung walang testamento o ang testamento ay pinagtatalunan, ang ari-arian ay maaaring dumaan sa probate, na maaaring isang matagal at masalimuot na proseso.
Tandaan, ito ay isang pangkalahatang pangkalahatang-"&amp;"ideya. Ang pagkonsulta sa isang abogadong may karanasan sa batas ng mana sa Pilipinas ay napakahalaga para sa pag-unawa sa iyong partikular na sitwasyon at pagtiyak ng maayos na proseso ng mana.")</f>
        <v>Oo, may iba't ibang legal na salik na dapat tandaan habang nagmamana ng ari-arian kasama ng iba pang tagapagmana sa ilalim ng batas ng Pilipinas. Narito ang isang breakdown ng ilang mahahalagang punto:
Uri ng co-ownership:
Ang paraan ng pagmamana mo sa ari-arian ay nakakaimpluwensya kung paano mo ito maaangkin at ng iba pang tatanggap. Mayroong dalawang pangunahing uri:
Karaniwang Pangungupahan: Ang bawat tatanggap ay nagmamay-ari ng partikular na porsyento ng ari-arian. Ang bahaging ito ay maaaring pantay-pantay o hindi pantay-pantay, depende sa mga tuntunin ng kalooban o mga panuntunan sa intestacy (kung walang kalooban). Ang bahagi ng bawat benepisyaryo ay ipinapasa sa kanilang mga tagapagmana pagkatapos ng kanilang kamatayan.
Joint Tenancy with Right of Survivorship: Lahat ng benepisyaryo ay nagmamay-ari ng property bilang isang entity. Kung ang isang benepisyaryo ay namatay, ang kanilang stake ay awtomatikong ililipat sa mga natitirang benepisyaryo. Iniiwasan nito ang pag-aari na dumaan sa probate para sa bahagi ng namatay na benepisyaryo.
Mga Kabahaging Pananagutan at Karapatan: Anuman ang uri ng co-ownership, ikaw at ang iba pang mga benepisyaryo ay magbabahagi ng mga partikular na karapatan at responsibilidad: - Pagbabahagi ng mga Gastos at Kita: Ikaw ay mananagot sa pagbabahagi ng anumang pangangalaga, buwis, at iba pang bayarin na may kaugnayan sa ari-arian. Kung inuupahan ang bahay, makakatanggap ka rin ng porsyento ng mga kita.
- Paggawa ng Desisyon: Ang mga pangunahing desisyon tungkol sa ari-arian, tulad ng pagbebenta o pagrenta nito, ay kadalasang nangangailangan ng nagkakaisang pag-apruba sa lahat ng mga kapwa may-ari.
Potensyal para sa Di-pagkakasundo: Ang co-ownership ay maaaring magresulta sa mga salungatan, lalo na kung: - Ang mga benepisyaryo ay may iba't ibang intensyon para sa ari-arian (halimbawa, ang isa ay gustong magbenta habang ang isa ay gustong mapanatili ito). - Ang mga desisyon ay mahirap itatag ang pagkakaisa. Nabigo ang isang tatanggap na matugunan ang kanilang mga pinansiyal na pangako sa ari-arian.
Mga Rekomendasyon: Upang pagaanin ang mga potensyal na isyu: - Makipag-usap nang hayagan: Ibahagi ang iyong mga inaasahan at adhikain para sa ari-arian sa iba pang mga tatanggap. - Isaalang-alang ang isang nakasulat na kasunduan: Maaaring tulungan ka ng isang abogado na magtatag ng isang kasunduan na naglalarawan sa mga karapatan at obligasyon sa kapwa pagmamay-ari, mga proseso sa paggawa ng desisyon, at mga paraan ng paglutas ng hindi pagkakaunawaan. - Humingi ng legal na payo: Kung inaasahan mo ang anumang mga isyu, ang pagkonsulta sa isang abogado sa pagmamana ng ari-arian ay makakatulong.
Mga karagdagang pagsasaalang-alang: Mga Utang at Buwis: Ikaw at ang iba pang mga benepisyaryo ay maaaring managot para sa anumang natitirang mga utang o buwis sa ari-arian. Probate: Kung walang testamento o ang testamento ay pinagtatalunan, ang ari-arian ay maaaring dumaan sa probate, na maaaring isang matagal at masalimuot na proseso.
Tandaan, ito ay isang pangkalahatang pangkalahatang-ideya. Ang pagkonsulta sa isang abogadong may karanasan sa batas ng mana sa Pilipinas ay napakahalaga para sa pag-unawa sa iyong partikular na sitwasyon at pagtiyak ng maayos na proseso ng mana.</v>
      </c>
      <c r="F516" s="2">
        <f t="shared" si="1"/>
        <v>0</v>
      </c>
      <c r="G516" s="2"/>
      <c r="H516" s="2"/>
      <c r="I516" s="2"/>
      <c r="J516" s="2"/>
      <c r="K516" s="2"/>
      <c r="L516" s="2"/>
      <c r="M516" s="2"/>
      <c r="N516" s="2"/>
      <c r="O516" s="2"/>
      <c r="P516" s="2"/>
      <c r="Q516" s="2"/>
      <c r="R516" s="2"/>
      <c r="S516" s="2"/>
      <c r="T516" s="2"/>
      <c r="U516" s="2"/>
      <c r="V516" s="2"/>
      <c r="W516" s="2"/>
      <c r="X516" s="2"/>
      <c r="Y516" s="2"/>
      <c r="Z516" s="2"/>
      <c r="AA516" s="2"/>
    </row>
    <row r="517">
      <c r="A517" s="1" t="s">
        <v>1224</v>
      </c>
      <c r="B517" s="1" t="s">
        <v>1717</v>
      </c>
      <c r="C517" s="1" t="s">
        <v>1793</v>
      </c>
      <c r="D517" s="1" t="s">
        <v>1719</v>
      </c>
      <c r="E517" s="2" t="str">
        <f>IFERROR(__xludf.DUMMYFUNCTION("GOOGLETRANSLATE(C517, ""en"", ""TL"")"),"Sa Pilipinas, may ilang legal na opsyon para sa paglipat ng minanang ari-arian sa isang trust para sa pamamahala o mga layunin ng buwis, ngunit dapat kang makipag-usap sa isang abogado ng Pilipinas upang matukoy ang pinakamahusay na diskarte para sa iyong"&amp;" natatanging sitwasyon. Ito ay isang pangkalahatang pangkalahatang-ideya: 1. Deed of Trust: Maaari kang lumikha ng trust gamit ang Deed of Trust, isang legal na instrumento na tumutukoy sa mga tuntunin ng trust, kasama ang
- Grantor (ang indibidwal na nag"&amp;"lilipat ng ari-arian) - Katiwala (isang taong namamahala sa ari-arian) - Mga Benepisyaryo (mga indibidwal na kalaunan ay makakakuha ng ari-arian) - Mga asset na inililipat (minanang ari-arian) - Mga direksyon sa pamamahala at pagpapakalat. Mga Implikasyon"&amp;" sa Buwis: Ang mga implikasyon sa buwis ng paggamit ng Deed of Trust ay depende sa uri ng tiwala at sa halaga ng ari-arian. Maaaring magpayo ang isang abogado tungkol sa buwis ng potensyal na donor, buwis sa capital gains, at buwis sa selyong pandokumenta"&amp;"ryo.
2. Judicial Reform of Instruments (JRI): - Kung ang minanang ari-arian ay natanggap sa pamamagitan ng isang testamento na walang probisyon ng tiwala, isaalang-alang ang Judicial Reformation of Instruments (JRI). - Ang JRI ay isang legal na proseso na"&amp;" nagsasangkot ng pagpetisyon sa korte na baguhin ang isang testamento upang isama ang isang tiwala batay sa hinuha na layunin ng namatay.
- Ang alternatibong ito ay mahirap at nangangailangan ng court clearance. Matutulungan ka ng isang abogado na matukoy"&amp;" ang pagiging posible at mag-navigate sa proseso ng JRI.
3. Estate Planning With A Lawyer: - Lubos na inirerekomenda na kumunsulta ka sa isang abogado ng Pilipinas na dalubhasa sa estate planning at trusts.
- Maaari silang magpayo tungkol sa pinakamahusay"&amp;" na uri ng tiwala (maaaring bawiin o hindi mababawi) batay sa iyong mga layunin (administrasyon, mga benepisyo sa buwis, atbp.).
- Maaari silang tumulong sa pagbalangkas ng Deed of Trust o petisyon ng JRI, na tinitiyak na sumusunod ito sa batas ng Pilipin"&amp;"as at binabawasan ang mga potensyal na pananagutan sa buwis.
Tandaan: - Maaaring kumplikado ang mga tuntunin at regulasyon ng Pilipinas. - Ang isang abogado ay maaaring magbigay ng personalized na payo batay sa uri ng iyong ari-arian, halaga, at mga layun"&amp;"in. Umaasa ako na ang materyal na ito ay kapaki-pakinabang bilang panimulang punto. Humingi ng ekspertong legal na tulong sa Pilipinas para sa mga rekomendasyon.")</f>
        <v>Sa Pilipinas, may ilang legal na opsyon para sa paglipat ng minanang ari-arian sa isang trust para sa pamamahala o mga layunin ng buwis, ngunit dapat kang makipag-usap sa isang abogado ng Pilipinas upang matukoy ang pinakamahusay na diskarte para sa iyong natatanging sitwasyon. Ito ay isang pangkalahatang pangkalahatang-ideya: 1. Deed of Trust: Maaari kang lumikha ng trust gamit ang Deed of Trust, isang legal na instrumento na tumutukoy sa mga tuntunin ng trust, kasama ang
- Grantor (ang indibidwal na naglilipat ng ari-arian) - Katiwala (isang taong namamahala sa ari-arian) - Mga Benepisyaryo (mga indibidwal na kalaunan ay makakakuha ng ari-arian) - Mga asset na inililipat (minanang ari-arian) - Mga direksyon sa pamamahala at pagpapakalat. Mga Implikasyon sa Buwis: Ang mga implikasyon sa buwis ng paggamit ng Deed of Trust ay depende sa uri ng tiwala at sa halaga ng ari-arian. Maaaring magpayo ang isang abogado tungkol sa buwis ng potensyal na donor, buwis sa capital gains, at buwis sa selyong pandokumentaryo.
2. Judicial Reform of Instruments (JRI): - Kung ang minanang ari-arian ay natanggap sa pamamagitan ng isang testamento na walang probisyon ng tiwala, isaalang-alang ang Judicial Reformation of Instruments (JRI). - Ang JRI ay isang legal na proseso na nagsasangkot ng pagpetisyon sa korte na baguhin ang isang testamento upang isama ang isang tiwala batay sa hinuha na layunin ng namatay.
- Ang alternatibong ito ay mahirap at nangangailangan ng court clearance. Matutulungan ka ng isang abogado na matukoy ang pagiging posible at mag-navigate sa proseso ng JRI.
3. Estate Planning With A Lawyer: - Lubos na inirerekomenda na kumunsulta ka sa isang abogado ng Pilipinas na dalubhasa sa estate planning at trusts.
- Maaari silang magpayo tungkol sa pinakamahusay na uri ng tiwala (maaaring bawiin o hindi mababawi) batay sa iyong mga layunin (administrasyon, mga benepisyo sa buwis, atbp.).
- Maaari silang tumulong sa pagbalangkas ng Deed of Trust o petisyon ng JRI, na tinitiyak na sumusunod ito sa batas ng Pilipinas at binabawasan ang mga potensyal na pananagutan sa buwis.
Tandaan: - Maaaring kumplikado ang mga tuntunin at regulasyon ng Pilipinas. - Ang isang abogado ay maaaring magbigay ng personalized na payo batay sa uri ng iyong ari-arian, halaga, at mga layunin. Umaasa ako na ang materyal na ito ay kapaki-pakinabang bilang panimulang punto. Humingi ng ekspertong legal na tulong sa Pilipinas para sa mga rekomendasyon.</v>
      </c>
      <c r="F517" s="2">
        <f t="shared" si="1"/>
        <v>0</v>
      </c>
      <c r="G517" s="2"/>
      <c r="H517" s="2"/>
      <c r="I517" s="2"/>
      <c r="J517" s="2"/>
      <c r="K517" s="2"/>
      <c r="L517" s="2"/>
      <c r="M517" s="2"/>
      <c r="N517" s="2"/>
      <c r="O517" s="2"/>
      <c r="P517" s="2"/>
      <c r="Q517" s="2"/>
      <c r="R517" s="2"/>
      <c r="S517" s="2"/>
      <c r="T517" s="2"/>
      <c r="U517" s="2"/>
      <c r="V517" s="2"/>
      <c r="W517" s="2"/>
      <c r="X517" s="2"/>
      <c r="Y517" s="2"/>
      <c r="Z517" s="2"/>
      <c r="AA517" s="2"/>
    </row>
    <row r="518">
      <c r="A518" s="1" t="s">
        <v>1224</v>
      </c>
      <c r="B518" s="1" t="s">
        <v>1720</v>
      </c>
      <c r="C518" s="1" t="s">
        <v>1794</v>
      </c>
      <c r="D518" s="1" t="s">
        <v>1722</v>
      </c>
      <c r="E518" s="2" t="str">
        <f>IFERROR(__xludf.DUMMYFUNCTION("GOOGLETRANSLATE(C518, ""en"", ""TL"")"),"Sa Pilipinas, ang mga hindi pagkakasundo sa pagitan ng mga tagapagmana tungkol sa minanang ari-arian ay maaaring ayusin sa pamamagitan ng maraming pamamaraan, na sumusunod sa mga pangunahing prinsipyong ito: Intestacy vs. Will: Kung ang patay ay nag-iwan "&amp;"ng wastong testamento, ang testamento ang namamahala sa paghahati ng ari-arian. Sa kaso ng intestacy (walang will), ang pamamahagi ay tinutukoy ng Philippine intestate succession law.
Paggalang sa Layunin ng Decedent: Idiniin ng mga korte sa Pilipinas ang"&amp;" pagsunod sa mga kagustuhan ng yumao na kinakatawan sa isang legal na testamento. Patas at Patas na Pamamahagi: Kung walang testamento, ang mana ay dapat na ipamahagi nang patas at pantay sa mga legal na tagapagmana.
Narito ang ilang paraan sa paglutas ng"&amp;" mga hindi pagkakaunawaan: Negosasyon at Kasunduan: Maaaring subukan ng mga tagapagmana na makamit ang isang kasunduan sa kanilang sarili o sa tulong ng isang tagapamagitan. Ito ang madalas na pinaka-epektibong gastos at solusyon sa pagpapanatili ng relas"&amp;"yon. Ang pamamagitan ay isang proseso kung saan hinihikayat ng neutral na ikatlong tao ang talakayan at tinutulungan ang mga tagapagmana sa pag-abot ng isang kasunduan. Arbitrasyon: Ang mga tagapagmana ay maaaring humirang ng isang pribadong arbitrator up"&amp;"ang magbigay ng isang may-bisang hatol sa hindi pagkakaunawaan. Litigation: Bilang huling paraan, maaaring magsimula ng demanda ang mga tagapagmana. Ito ay maaaring isang matagal at mahal na proseso, kaya maingat na isaalang-alang ang mga gastos at benepi"&amp;"syo.
Narito ang ilang lugar para sa karagdagang impormasyon tungkol sa mga batas sa pamana ng Pilipinas: - Ang Kodigo ng Pamamaraang Sibil (Aklat III, Pamagat I, Kabanata II (Sa partikular, tingnan ang Mga Panuntunan 74-81). - Ang Katipunan ng mga Abogado"&amp;" sa Patents (KAPAT), isang asosasyon ng abogado na tumututok sa batas ng intelektwal na ari-arian, ay nagbibigay ng isang kapaki-pakinabang na gabay sa pamana (naa-access sa Filipino)
Tandaan na ito ay isang malawak na pangkalahatang-ideya lamang; para sa"&amp;" anumang natatanging pangyayari, makipag-usap sa isang abogado ng mana. Maaari ka nilang payuhan sa pinakamahusay na paraan ng pagkilos batay sa mga detalye ng iyong sitwasyon.")</f>
        <v>Sa Pilipinas, ang mga hindi pagkakasundo sa pagitan ng mga tagapagmana tungkol sa minanang ari-arian ay maaaring ayusin sa pamamagitan ng maraming pamamaraan, na sumusunod sa mga pangunahing prinsipyong ito: Intestacy vs. Will: Kung ang patay ay nag-iwan ng wastong testamento, ang testamento ang namamahala sa paghahati ng ari-arian. Sa kaso ng intestacy (walang will), ang pamamahagi ay tinutukoy ng Philippine intestate succession law.
Paggalang sa Layunin ng Decedent: Idiniin ng mga korte sa Pilipinas ang pagsunod sa mga kagustuhan ng yumao na kinakatawan sa isang legal na testamento. Patas at Patas na Pamamahagi: Kung walang testamento, ang mana ay dapat na ipamahagi nang patas at pantay sa mga legal na tagapagmana.
Narito ang ilang paraan sa paglutas ng mga hindi pagkakaunawaan: Negosasyon at Kasunduan: Maaaring subukan ng mga tagapagmana na makamit ang isang kasunduan sa kanilang sarili o sa tulong ng isang tagapamagitan. Ito ang madalas na pinaka-epektibong gastos at solusyon sa pagpapanatili ng relasyon. Ang pamamagitan ay isang proseso kung saan hinihikayat ng neutral na ikatlong tao ang talakayan at tinutulungan ang mga tagapagmana sa pag-abot ng isang kasunduan. Arbitrasyon: Ang mga tagapagmana ay maaaring humirang ng isang pribadong arbitrator upang magbigay ng isang may-bisang hatol sa hindi pagkakaunawaan. Litigation: Bilang huling paraan, maaaring magsimula ng demanda ang mga tagapagmana. Ito ay maaaring isang matagal at mahal na proseso, kaya maingat na isaalang-alang ang mga gastos at benepisyo.
Narito ang ilang lugar para sa karagdagang impormasyon tungkol sa mga batas sa pamana ng Pilipinas: - Ang Kodigo ng Pamamaraang Sibil (Aklat III, Pamagat I, Kabanata II (Sa partikular, tingnan ang Mga Panuntunan 74-81). - Ang Katipunan ng mga Abogado sa Patents (KAPAT), isang asosasyon ng abogado na tumututok sa batas ng intelektwal na ari-arian, ay nagbibigay ng isang kapaki-pakinabang na gabay sa pamana (naa-access sa Filipino)
Tandaan na ito ay isang malawak na pangkalahatang-ideya lamang; para sa anumang natatanging pangyayari, makipag-usap sa isang abogado ng mana. Maaari ka nilang payuhan sa pinakamahusay na paraan ng pagkilos batay sa mga detalye ng iyong sitwasyon.</v>
      </c>
      <c r="F518" s="2">
        <f t="shared" si="1"/>
        <v>0</v>
      </c>
      <c r="G518" s="2"/>
      <c r="H518" s="2"/>
      <c r="I518" s="2"/>
      <c r="J518" s="2"/>
      <c r="K518" s="2"/>
      <c r="L518" s="2"/>
      <c r="M518" s="2"/>
      <c r="N518" s="2"/>
      <c r="O518" s="2"/>
      <c r="P518" s="2"/>
      <c r="Q518" s="2"/>
      <c r="R518" s="2"/>
      <c r="S518" s="2"/>
      <c r="T518" s="2"/>
      <c r="U518" s="2"/>
      <c r="V518" s="2"/>
      <c r="W518" s="2"/>
      <c r="X518" s="2"/>
      <c r="Y518" s="2"/>
      <c r="Z518" s="2"/>
      <c r="AA518" s="2"/>
    </row>
    <row r="519">
      <c r="A519" s="1" t="s">
        <v>1224</v>
      </c>
      <c r="B519" s="1" t="s">
        <v>1735</v>
      </c>
      <c r="C519" s="1" t="s">
        <v>1795</v>
      </c>
      <c r="D519" s="1" t="s">
        <v>1737</v>
      </c>
      <c r="E519" s="2" t="str">
        <f>IFERROR(__xludf.DUMMYFUNCTION("GOOGLETRANSLATE(C519, ""en"", ""TL"")"),"Oo, ang minanang ari-arian sa Pilipinas ay maaaring sumailalim sa mga tuntunin at bayad sa HOA. Ito ay kung paano ito gumagana.
Obligasyon na sundin ang mga tuntunin ng HOA at magbayad ng mga bayarin:
Ang mga Tagapagmana ay Naging Bagong May-ari: Sa"&amp;" pagmamana ng ari-arian, ikaw ang magiging bagong may-ari at pinamamahalaan ng kasalukuyang mga tuntunin at bayarin sa HOA.
Pagsunod sa mga Tipan: Ang mga batas ng HOA ay kadalasang nakasaad sa isang dokumentong kilala bilang Covenants, Conditions, and R"&amp;"estrictions (CC&amp;Rs). Kinokontrol ng mga panuntunang ito ang mga isyu kabilang ang bilang pangangalaga, panlabas na anyo, at pamumuhay sa komunidad. Bilang bagong may-ari, dapat mong sundin ang mga CC&amp;R na ito.
Mga Bayarin: Responsable ka rin sa pagbabaya"&amp;"d ng anumang mga bayarin sa HOA na may kaugnayan sa property. Kabilang dito ang anumang overdue na dapat bayaran ng dating may-ari.
Pamamahala ng mga bayarin sa HOA:
Mga Responsibilidad ng HOA: Ang mga pagbabayad sa HOA ay kadalasang sumasaklaw sa k"&amp;"araniwang pagpapanatili ng lugar, mga amenities, at, sa ilang mga kaso, insurance ng komunidad. Ang HOA ang namamahala sa mga perang ito at ginagarantiyahan ang tamang paggamit nito.
Mga Bayarin sa Paglipat: Ang ilang HOA ay maaaring maningil ng mga baya"&amp;"rin sa paglilipat para sa mga pagbabago sa pagmamay-ari dahil sa mana. Ang pagiging lehitimo ng naturang mga bayarin ay tinutukoy ng mga partikular na dokumento ng namamahala sa HOA at dapat na naaayon sa batas ng Pilipinas.
Mga Rekomendasyon:
Surii"&amp;"n ang CC&amp;Rs: Humiling ng kopya ng CC&amp;Rs mula sa HOA para mas maunawaan ang mga natatanging regulasyon at bayarin ng property.
Makipag-ugnayan sa HOA: Kung mayroon kang anumang mga isyu o reklamo, makipag-usap sa mga opisyal ng HOA.
Legal na Konsultasyon"&amp;": Kung mayroon kang mga tanong tungkol sa pag-uugali ng HOA o nasa mahirap na sitwasyon, isaalang-alang ang pagkonsulta sa isang abogado na dalubhasa sa mga karapatan sa ari-arian at mga asosasyon ng may-ari ng bahay.")</f>
        <v>Oo, ang minanang ari-arian sa Pilipinas ay maaaring sumailalim sa mga tuntunin at bayad sa HOA. Ito ay kung paano ito gumagana.
Obligasyon na sundin ang mga tuntunin ng HOA at magbayad ng mga bayarin:
Ang mga Tagapagmana ay Naging Bagong May-ari: Sa pagmamana ng ari-arian, ikaw ang magiging bagong may-ari at pinamamahalaan ng kasalukuyang mga tuntunin at bayarin sa HOA.
Pagsunod sa mga Tipan: Ang mga batas ng HOA ay kadalasang nakasaad sa isang dokumentong kilala bilang Covenants, Conditions, and Restrictions (CC&amp;Rs). Kinokontrol ng mga panuntunang ito ang mga isyu kabilang ang bilang pangangalaga, panlabas na anyo, at pamumuhay sa komunidad. Bilang bagong may-ari, dapat mong sundin ang mga CC&amp;R na ito.
Mga Bayarin: Responsable ka rin sa pagbabayad ng anumang mga bayarin sa HOA na may kaugnayan sa property. Kabilang dito ang anumang overdue na dapat bayaran ng dating may-ari.
Pamamahala ng mga bayarin sa HOA:
Mga Responsibilidad ng HOA: Ang mga pagbabayad sa HOA ay kadalasang sumasaklaw sa karaniwang pagpapanatili ng lugar, mga amenities, at, sa ilang mga kaso, insurance ng komunidad. Ang HOA ang namamahala sa mga perang ito at ginagarantiyahan ang tamang paggamit nito.
Mga Bayarin sa Paglipat: Ang ilang HOA ay maaaring maningil ng mga bayarin sa paglilipat para sa mga pagbabago sa pagmamay-ari dahil sa mana. Ang pagiging lehitimo ng naturang mga bayarin ay tinutukoy ng mga partikular na dokumento ng namamahala sa HOA at dapat na naaayon sa batas ng Pilipinas.
Mga Rekomendasyon:
Suriin ang CC&amp;Rs: Humiling ng kopya ng CC&amp;Rs mula sa HOA para mas maunawaan ang mga natatanging regulasyon at bayarin ng property.
Makipag-ugnayan sa HOA: Kung mayroon kang anumang mga isyu o reklamo, makipag-usap sa mga opisyal ng HOA.
Legal na Konsultasyon: Kung mayroon kang mga tanong tungkol sa pag-uugali ng HOA o nasa mahirap na sitwasyon, isaalang-alang ang pagkonsulta sa isang abogado na dalubhasa sa mga karapatan sa ari-arian at mga asosasyon ng may-ari ng bahay.</v>
      </c>
      <c r="F519" s="2">
        <f t="shared" si="1"/>
        <v>1</v>
      </c>
      <c r="G519" s="2"/>
      <c r="H519" s="2"/>
      <c r="I519" s="2"/>
      <c r="J519" s="2"/>
      <c r="K519" s="2"/>
      <c r="L519" s="2"/>
      <c r="M519" s="2"/>
      <c r="N519" s="2"/>
      <c r="O519" s="2"/>
      <c r="P519" s="2"/>
      <c r="Q519" s="2"/>
      <c r="R519" s="2"/>
      <c r="S519" s="2"/>
      <c r="T519" s="2"/>
      <c r="U519" s="2"/>
      <c r="V519" s="2"/>
      <c r="W519" s="2"/>
      <c r="X519" s="2"/>
      <c r="Y519" s="2"/>
      <c r="Z519" s="2"/>
      <c r="AA519" s="2"/>
    </row>
    <row r="520">
      <c r="A520" s="1" t="s">
        <v>1224</v>
      </c>
      <c r="B520" s="1" t="s">
        <v>1796</v>
      </c>
      <c r="C520" s="1" t="s">
        <v>1797</v>
      </c>
      <c r="D520" s="1" t="s">
        <v>1798</v>
      </c>
      <c r="E520" s="2" t="str">
        <f>IFERROR(__xludf.DUMMYFUNCTION("GOOGLETRANSLATE(C520, ""en"", ""TL"")"),"Oo, ang minanang ari-arian sa Pilipinas ay maaaring sumailalim sa mga tuntunin at bayad sa HOA. Ito ay kung paano ito gumagana.
Obligasyon na sundin ang mga tuntunin ng HOA at magbayad ng mga bayarin:
Ang mga Tagapagmana ay Naging Bagong May-ari: Sa"&amp;" pagmamana ng ari-arian, ikaw ang magiging bagong may-ari at pinamamahalaan ng kasalukuyang mga tuntunin at bayarin sa HOA. 
Pagsunod sa mga Tipan: Ang mga batas ng HOA ay kadalasang nakasaad sa isang dokumentong kilala bilang Covenants, Conditions, and "&amp;"Restrictions (CC&amp;Rs). Kinokontrol ng mga panuntunang ito ang mga isyu kabilang ang bilang pangangalaga, panlabas na anyo, at pamumuhay sa komunidad. Bilang bagong may-ari, dapat mong sundin ang mga CC&amp;R na ito.
Mga Bayarin: Responsable ka rin sa pagbabay"&amp;"ad ng anumang mga bayarin sa HOA na may kaugnayan sa property. Kabilang dito ang anumang overdue na dapat bayaran ng dating may-ari.
Pamamahala ng mga bayarin sa HOA:
Mga Responsibilidad ng HOA: Ang mga pagbabayad sa HOA ay kadalasang sumasaklaw sa "&amp;"karaniwang pagpapanatili ng lugar, mga amenities, at, sa ilang mga kaso, insurance ng komunidad. Ang HOA ang namamahala sa mga perang ito at ginagarantiyahan ang tamang paggamit nito.
Mga Bayarin sa Paglipat: Ang ilang HOA ay maaaring maningil ng mga bay"&amp;"arin sa paglilipat para sa mga pagbabago sa pagmamay-ari dahil sa mana. Ang pagiging lehitimo ng naturang mga bayarin ay tinutukoy ng mga partikular na dokumento ng namamahala sa HOA at dapat na naaayon sa batas ng Pilipinas.
Mga Rekomendasyon:
Suri"&amp;"in ang CC&amp;Rs: Humiling ng kopya ng CC&amp;Rs mula sa HOA para mas maunawaan ang mga natatanging regulasyon at bayarin ng property.
Makipag-ugnayan sa HOA: Kung mayroon kang anumang mga isyu o reklamo, makipag-usap sa mga opisyal ng HOA.
Legal na Konsultasyo"&amp;"n: Kung mayroon kang mga tanong tungkol sa pag-uugali ng HOA o nasa mahirap na sitwasyon, isaalang-alang ang pagkonsulta sa isang abogado na dalubhasa sa mga karapatan sa ari-arian at mga asosasyon ng may-ari ng bahay.")</f>
        <v>Oo, ang minanang ari-arian sa Pilipinas ay maaaring sumailalim sa mga tuntunin at bayad sa HOA. Ito ay kung paano ito gumagana.
Obligasyon na sundin ang mga tuntunin ng HOA at magbayad ng mga bayarin:
Ang mga Tagapagmana ay Naging Bagong May-ari: Sa pagmamana ng ari-arian, ikaw ang magiging bagong may-ari at pinamamahalaan ng kasalukuyang mga tuntunin at bayarin sa HOA. 
Pagsunod sa mga Tipan: Ang mga batas ng HOA ay kadalasang nakasaad sa isang dokumentong kilala bilang Covenants, Conditions, and Restrictions (CC&amp;Rs). Kinokontrol ng mga panuntunang ito ang mga isyu kabilang ang bilang pangangalaga, panlabas na anyo, at pamumuhay sa komunidad. Bilang bagong may-ari, dapat mong sundin ang mga CC&amp;R na ito.
Mga Bayarin: Responsable ka rin sa pagbabayad ng anumang mga bayarin sa HOA na may kaugnayan sa property. Kabilang dito ang anumang overdue na dapat bayaran ng dating may-ari.
Pamamahala ng mga bayarin sa HOA:
Mga Responsibilidad ng HOA: Ang mga pagbabayad sa HOA ay kadalasang sumasaklaw sa karaniwang pagpapanatili ng lugar, mga amenities, at, sa ilang mga kaso, insurance ng komunidad. Ang HOA ang namamahala sa mga perang ito at ginagarantiyahan ang tamang paggamit nito.
Mga Bayarin sa Paglipat: Ang ilang HOA ay maaaring maningil ng mga bayarin sa paglilipat para sa mga pagbabago sa pagmamay-ari dahil sa mana. Ang pagiging lehitimo ng naturang mga bayarin ay tinutukoy ng mga partikular na dokumento ng namamahala sa HOA at dapat na naaayon sa batas ng Pilipinas.
Mga Rekomendasyon:
Suriin ang CC&amp;Rs: Humiling ng kopya ng CC&amp;Rs mula sa HOA para mas maunawaan ang mga natatanging regulasyon at bayarin ng property.
Makipag-ugnayan sa HOA: Kung mayroon kang anumang mga isyu o reklamo, makipag-usap sa mga opisyal ng HOA.
Legal na Konsultasyon: Kung mayroon kang mga tanong tungkol sa pag-uugali ng HOA o nasa mahirap na sitwasyon, isaalang-alang ang pagkonsulta sa isang abogado na dalubhasa sa mga karapatan sa ari-arian at mga asosasyon ng may-ari ng bahay.</v>
      </c>
      <c r="F520" s="2">
        <f t="shared" si="1"/>
        <v>1</v>
      </c>
      <c r="G520" s="2"/>
      <c r="H520" s="2"/>
      <c r="I520" s="2"/>
      <c r="J520" s="2"/>
      <c r="K520" s="2"/>
      <c r="L520" s="2"/>
      <c r="M520" s="2"/>
      <c r="N520" s="2"/>
      <c r="O520" s="2"/>
      <c r="P520" s="2"/>
      <c r="Q520" s="2"/>
      <c r="R520" s="2"/>
      <c r="S520" s="2"/>
      <c r="T520" s="2"/>
      <c r="U520" s="2"/>
      <c r="V520" s="2"/>
      <c r="W520" s="2"/>
      <c r="X520" s="2"/>
      <c r="Y520" s="2"/>
      <c r="Z520" s="2"/>
      <c r="AA520" s="2"/>
    </row>
    <row r="521">
      <c r="A521" s="1" t="s">
        <v>1224</v>
      </c>
      <c r="B521" s="1" t="s">
        <v>1799</v>
      </c>
      <c r="C521" s="1" t="s">
        <v>1797</v>
      </c>
      <c r="D521" s="1" t="s">
        <v>1800</v>
      </c>
      <c r="E521" s="2" t="str">
        <f>IFERROR(__xludf.DUMMYFUNCTION("GOOGLETRANSLATE(C521, ""en"", ""TL"")"),"Oo, ang minanang ari-arian sa Pilipinas ay maaaring sumailalim sa mga tuntunin at bayad sa HOA. Ito ay kung paano ito gumagana.
Obligasyon na sundin ang mga tuntunin ng HOA at magbayad ng mga bayarin:
Ang mga Tagapagmana ay Naging Bagong May-ari: Sa"&amp;" pagmamana ng ari-arian, ikaw ang magiging bagong may-ari at pinamamahalaan ng kasalukuyang mga tuntunin at bayarin sa HOA. 
Pagsunod sa mga Tipan: Ang mga batas ng HOA ay kadalasang nakasaad sa isang dokumentong kilala bilang Covenants, Conditions, and "&amp;"Restrictions (CC&amp;Rs). Kinokontrol ng mga panuntunang ito ang mga isyu kabilang ang bilang pangangalaga, panlabas na anyo, at pamumuhay sa komunidad. Bilang bagong may-ari, dapat mong sundin ang mga CC&amp;R na ito.
Mga Bayarin: Responsable ka rin sa pagbabay"&amp;"ad ng anumang mga bayarin sa HOA na may kaugnayan sa property. Kabilang dito ang anumang overdue na dapat bayaran ng dating may-ari.
Pamamahala ng mga bayarin sa HOA:
Mga Responsibilidad ng HOA: Ang mga pagbabayad sa HOA ay kadalasang sumasaklaw sa "&amp;"karaniwang pagpapanatili ng lugar, mga amenities, at, sa ilang mga kaso, insurance ng komunidad. Ang HOA ang namamahala sa mga perang ito at ginagarantiyahan ang tamang paggamit nito.
Mga Bayarin sa Paglipat: Ang ilang HOA ay maaaring maningil ng mga bay"&amp;"arin sa paglilipat para sa mga pagbabago sa pagmamay-ari dahil sa mana. Ang pagiging lehitimo ng naturang mga bayarin ay tinutukoy ng mga partikular na dokumento ng namamahala sa HOA at dapat na naaayon sa batas ng Pilipinas.
Mga Rekomendasyon:
Suri"&amp;"in ang CC&amp;Rs: Humiling ng kopya ng CC&amp;Rs mula sa HOA para mas maunawaan ang mga natatanging regulasyon at bayarin ng property.
Makipag-ugnayan sa HOA: Kung mayroon kang anumang mga isyu o reklamo, makipag-usap sa mga opisyal ng HOA.
Legal na Konsultasyo"&amp;"n: Kung mayroon kang mga tanong tungkol sa pag-uugali ng HOA o nasa mahirap na sitwasyon, isaalang-alang ang pagkonsulta sa isang abogado na dalubhasa sa mga karapatan sa ari-arian at mga asosasyon ng may-ari ng bahay.")</f>
        <v>Oo, ang minanang ari-arian sa Pilipinas ay maaaring sumailalim sa mga tuntunin at bayad sa HOA. Ito ay kung paano ito gumagana.
Obligasyon na sundin ang mga tuntunin ng HOA at magbayad ng mga bayarin:
Ang mga Tagapagmana ay Naging Bagong May-ari: Sa pagmamana ng ari-arian, ikaw ang magiging bagong may-ari at pinamamahalaan ng kasalukuyang mga tuntunin at bayarin sa HOA. 
Pagsunod sa mga Tipan: Ang mga batas ng HOA ay kadalasang nakasaad sa isang dokumentong kilala bilang Covenants, Conditions, and Restrictions (CC&amp;Rs). Kinokontrol ng mga panuntunang ito ang mga isyu kabilang ang bilang pangangalaga, panlabas na anyo, at pamumuhay sa komunidad. Bilang bagong may-ari, dapat mong sundin ang mga CC&amp;R na ito.
Mga Bayarin: Responsable ka rin sa pagbabayad ng anumang mga bayarin sa HOA na may kaugnayan sa property. Kabilang dito ang anumang overdue na dapat bayaran ng dating may-ari.
Pamamahala ng mga bayarin sa HOA:
Mga Responsibilidad ng HOA: Ang mga pagbabayad sa HOA ay kadalasang sumasaklaw sa karaniwang pagpapanatili ng lugar, mga amenities, at, sa ilang mga kaso, insurance ng komunidad. Ang HOA ang namamahala sa mga perang ito at ginagarantiyahan ang tamang paggamit nito.
Mga Bayarin sa Paglipat: Ang ilang HOA ay maaaring maningil ng mga bayarin sa paglilipat para sa mga pagbabago sa pagmamay-ari dahil sa mana. Ang pagiging lehitimo ng naturang mga bayarin ay tinutukoy ng mga partikular na dokumento ng namamahala sa HOA at dapat na naaayon sa batas ng Pilipinas.
Mga Rekomendasyon:
Suriin ang CC&amp;Rs: Humiling ng kopya ng CC&amp;Rs mula sa HOA para mas maunawaan ang mga natatanging regulasyon at bayarin ng property.
Makipag-ugnayan sa HOA: Kung mayroon kang anumang mga isyu o reklamo, makipag-usap sa mga opisyal ng HOA.
Legal na Konsultasyon: Kung mayroon kang mga tanong tungkol sa pag-uugali ng HOA o nasa mahirap na sitwasyon, isaalang-alang ang pagkonsulta sa isang abogado na dalubhasa sa mga karapatan sa ari-arian at mga asosasyon ng may-ari ng bahay.</v>
      </c>
      <c r="F521" s="2">
        <f t="shared" si="1"/>
        <v>0</v>
      </c>
      <c r="G521" s="2"/>
      <c r="H521" s="2"/>
      <c r="I521" s="2"/>
      <c r="J521" s="2"/>
      <c r="K521" s="2"/>
      <c r="L521" s="2"/>
      <c r="M521" s="2"/>
      <c r="N521" s="2"/>
      <c r="O521" s="2"/>
      <c r="P521" s="2"/>
      <c r="Q521" s="2"/>
      <c r="R521" s="2"/>
      <c r="S521" s="2"/>
      <c r="T521" s="2"/>
      <c r="U521" s="2"/>
      <c r="V521" s="2"/>
      <c r="W521" s="2"/>
      <c r="X521" s="2"/>
      <c r="Y521" s="2"/>
      <c r="Z521" s="2"/>
      <c r="AA521" s="2"/>
    </row>
    <row r="522">
      <c r="A522" s="1" t="s">
        <v>1224</v>
      </c>
      <c r="B522" s="1" t="s">
        <v>1801</v>
      </c>
      <c r="C522" s="1" t="s">
        <v>1802</v>
      </c>
      <c r="D522" s="1" t="s">
        <v>1803</v>
      </c>
      <c r="E522" s="2" t="str">
        <f>IFERROR(__xludf.DUMMYFUNCTION("GOOGLETRANSLATE(C522, ""en"", ""TL"")"),"Pinoprotektahan ng batas sa pamana ng Pilipinas ang mga kasalukuyang kasunduan sa pag-upa at mga nangungupahan sa mga minanang ari-arian. Narito ang breakdown:
Mga Karapatan ng Nangungupahan:
Pagpapatuloy ng Pagpapaupa: Sa pagmamana, ang umiiral na "&amp;"kasunduan sa pagpapaupa sa pagitan ng naunang may-ari (patay) at ng nangungupahan ay wasto at maipapatupad [Civil Code of the Philippines, Article 1678].
Mga Karapatan at Obligasyon: Inaako ng bagong may-ari (tagapagmana) ang mga obligasyon ng dating may"&amp;"-ari sa ilalim ng pag-upa. Ito ay nagpapahiwatig na ang nangungupahan ay may karapatang sakupin ang ari-arian para sa natitirang panahon ng pag-upa sa ilalim ng parehong napagkasunduang mga kondisyon (upa, mga tuntunin ng paggamit, at iba pa). Ang umuupa "&amp;"ay kinakailangan pa ring magbayad ng upa at sumunod sa mga itinatakda ng kasunduan sa pag-upa.
Mga Karapatan ng Bagong May-ari:
Pagkolekta ng Renta: Ang bagong may-ari ay nagmamana ng karapatang mangolekta ng upa mula sa kasalukuyang umuupa alinsuno"&amp;"d sa kasunduan sa pag-upa.
Negotiating Renewal: Pagkatapos ng lease, ang bagong may-ari ay may opsyon na makipag-ayos ng bagong lease agreement sa nangungupahan sa mga bagong termino o tumanggi na mag-renew.
Mahahalagang puntos:
Hindi naaangkop sa "&amp;"mga impormal na kasunduan: Ang mga proteksyong ito ay nalalapat lamang sa mga pormal na kasunduan sa pag-upa na may nakasulat na dokumentasyon. Ang mga impormal na pandiwang kasunduan ay maaaring mas mahirap ipatupad.
Pagpapaalis: Hindi maaaring paalisin"&amp;" ng bagong may-ari ang nangungupahan nang walang sapat na dahilan sa ilalim ng Urban Development and Housing Act (RA 7219) [[invalid URL removed]].
Mga Rekomendasyon:
Suriin ang Kasunduan sa Pag-upa: Maingat na basahin ang umiiral na kasunduan sa pa"&amp;"g-upa upang maunawaan ang natitirang panahon ng pag-upa, halaga ng upa, at iba pang mga tuntunin.
Makipag-ugnayan sa Nangungupahan: Pinakamainam na makipag-ugnayan sa nangungupahan upang ipakilala ang iyong sarili bilang bagong may-ari at matugunan ang a"&amp;"numang mga problema.
Humingi ng Legal na Payo: Kung mayroong anumang mga alalahanin tungkol sa kasunduan sa pagpapaupa, humingi ng abogado na dalubhasa sa batas ng ari-arian at mana.")</f>
        <v>Pinoprotektahan ng batas sa pamana ng Pilipinas ang mga kasalukuyang kasunduan sa pag-upa at mga nangungupahan sa mga minanang ari-arian. Narito ang breakdown:
Mga Karapatan ng Nangungupahan:
Pagpapatuloy ng Pagpapaupa: Sa pagmamana, ang umiiral na kasunduan sa pagpapaupa sa pagitan ng naunang may-ari (patay) at ng nangungupahan ay wasto at maipapatupad [Civil Code of the Philippines, Article 1678].
Mga Karapatan at Obligasyon: Inaako ng bagong may-ari (tagapagmana) ang mga obligasyon ng dating may-ari sa ilalim ng pag-upa. Ito ay nagpapahiwatig na ang nangungupahan ay may karapatang sakupin ang ari-arian para sa natitirang panahon ng pag-upa sa ilalim ng parehong napagkasunduang mga kondisyon (upa, mga tuntunin ng paggamit, at iba pa). Ang umuupa ay kinakailangan pa ring magbayad ng upa at sumunod sa mga itinatakda ng kasunduan sa pag-upa.
Mga Karapatan ng Bagong May-ari:
Pagkolekta ng Renta: Ang bagong may-ari ay nagmamana ng karapatang mangolekta ng upa mula sa kasalukuyang umuupa alinsunod sa kasunduan sa pag-upa.
Negotiating Renewal: Pagkatapos ng lease, ang bagong may-ari ay may opsyon na makipag-ayos ng bagong lease agreement sa nangungupahan sa mga bagong termino o tumanggi na mag-renew.
Mahahalagang puntos:
Hindi naaangkop sa mga impormal na kasunduan: Ang mga proteksyong ito ay nalalapat lamang sa mga pormal na kasunduan sa pag-upa na may nakasulat na dokumentasyon. Ang mga impormal na pandiwang kasunduan ay maaaring mas mahirap ipatupad.
Pagpapaalis: Hindi maaaring paalisin ng bagong may-ari ang nangungupahan nang walang sapat na dahilan sa ilalim ng Urban Development and Housing Act (RA 7219) [[invalid URL removed]].
Mga Rekomendasyon:
Suriin ang Kasunduan sa Pag-upa: Maingat na basahin ang umiiral na kasunduan sa pag-upa upang maunawaan ang natitirang panahon ng pag-upa, halaga ng upa, at iba pang mga tuntunin.
Makipag-ugnayan sa Nangungupahan: Pinakamainam na makipag-ugnayan sa nangungupahan upang ipakilala ang iyong sarili bilang bagong may-ari at matugunan ang anumang mga problema.
Humingi ng Legal na Payo: Kung mayroong anumang mga alalahanin tungkol sa kasunduan sa pagpapaupa, humingi ng abogado na dalubhasa sa batas ng ari-arian at mana.</v>
      </c>
      <c r="F522" s="2">
        <f t="shared" si="1"/>
        <v>1</v>
      </c>
      <c r="G522" s="2"/>
      <c r="H522" s="2"/>
      <c r="I522" s="2"/>
      <c r="J522" s="2"/>
      <c r="K522" s="2"/>
      <c r="L522" s="2"/>
      <c r="M522" s="2"/>
      <c r="N522" s="2"/>
      <c r="O522" s="2"/>
      <c r="P522" s="2"/>
      <c r="Q522" s="2"/>
      <c r="R522" s="2"/>
      <c r="S522" s="2"/>
      <c r="T522" s="2"/>
      <c r="U522" s="2"/>
      <c r="V522" s="2"/>
      <c r="W522" s="2"/>
      <c r="X522" s="2"/>
      <c r="Y522" s="2"/>
      <c r="Z522" s="2"/>
      <c r="AA522" s="2"/>
    </row>
    <row r="523">
      <c r="A523" s="1" t="s">
        <v>1224</v>
      </c>
      <c r="B523" s="1" t="s">
        <v>1741</v>
      </c>
      <c r="C523" s="1" t="s">
        <v>1804</v>
      </c>
      <c r="D523" s="1" t="s">
        <v>1743</v>
      </c>
      <c r="E523" s="2" t="str">
        <f>IFERROR(__xludf.DUMMYFUNCTION("GOOGLETRANSLATE(C523, ""en"", ""TL"")"),"Ang mga tagapagmana sa Pilipinas ay may maraming mga legal na opsyon para sa pagbibigay ng minanang ari-arian sa mga organisasyong pangkawanggawa o mga layunin. Narito ang isang pangkalahatang-ideya ng mga pangunahing posibilidad.
1. Donasyon: Ito ang pin"&amp;"akasikat na pagpipilian. Ang mga tagapagmana ay maaaring pumasok sa isang Deed of Donation sa kawanggawa na kanilang pinili. Mga Artikulo 795 hanggang 868 ng Kodigo Sibil ng Pilipinas Mga mahalagang punto na dapat tandaan tungkol sa Donasyon:
Uri ng Ari-a"&amp;"rian: Maaaring ibigay ang mga donasyon para sa real property (lupa, gusali) o personal na ari-arian (sasakyan, alahas).
Mga implikasyon sa buwis: Ang mga tagapagmana ay maaaring sumailalim sa buwis ng donor batay sa halaga ng ari-arian at ang kanilang kau"&amp;"gnayan sa mga patay.
Mga Paghihigpit: Maaaring ilapat ang mga paghihigpit batay sa uri ng minanang ari-arian at sa katangian ng conjugal union (kung mayroon man). Halimbawa, ang isang asawa ay maaaring mangailangan ng pahintulot ng ibang asawa para sa mga"&amp;" donasyon na lampas sa makatwirang halaga mula sa conjugal property.
2. Pagbebenta at Donasyon ng pera: Maaaring piliin ng mga tagapagmana na ibenta ang minanang ari-arian at ibigay ang pera sa kawanggawa. Iniiwasan ng diskarteng ito ang buwis ng donor sa"&amp;" property ngunit maaaring magresulta sa capital gains tax sa pagbebenta.
3. Legacy o Bequest (kung naaangkop): Kung ang namatay ay nag-iwan ng testamento na tumutukoy sa isang donasyon para sa kawanggawa, ang mga tagapagmana ay kinakailangang isakatuparan"&amp;" ang mga nilalaman ng testamento hangga't sila ay may bisa. Iniiwasan ng diskarteng ito ang buwis ng donor para sa mga tagapagmana.
Mga karagdagang pagsasaalang-alang:
Pagkumpirma ng Charity Status: Upang ma-optimize ang mga potensyal na benepisyo sa buwi"&amp;"s, tiyaking ang napiling organisasyon ay isang rehistrado at aprubadong institusyong pangkawanggawa.
Legal na Tagapayo: Iminumungkahi na kumunsulta ka sa isang abogado ng estate at buwis upang magarantiya ang isang maayos na proseso ng donasyon at mabawas"&amp;"an ang iyong pananagutan sa buwis.
Tandaan na ang mga ito ay pangkalahatang alternatibo. Ang naaangkop na paraan ng pagkilos ay matutukoy sa pamamagitan ng mga natatanging pangyayari na nakapalibot sa iyong mana, ang uri ng ari-arian na kasangkot, at ang "&amp;"iyong sitwasyon sa buwis.")</f>
        <v>Ang mga tagapagmana sa Pilipinas ay may maraming mga legal na opsyon para sa pagbibigay ng minanang ari-arian sa mga organisasyong pangkawanggawa o mga layunin. Narito ang isang pangkalahatang-ideya ng mga pangunahing posibilidad.
1. Donasyon: Ito ang pinakasikat na pagpipilian. Ang mga tagapagmana ay maaaring pumasok sa isang Deed of Donation sa kawanggawa na kanilang pinili. Mga Artikulo 795 hanggang 868 ng Kodigo Sibil ng Pilipinas Mga mahalagang punto na dapat tandaan tungkol sa Donasyon:
Uri ng Ari-arian: Maaaring ibigay ang mga donasyon para sa real property (lupa, gusali) o personal na ari-arian (sasakyan, alahas).
Mga implikasyon sa buwis: Ang mga tagapagmana ay maaaring sumailalim sa buwis ng donor batay sa halaga ng ari-arian at ang kanilang kaugnayan sa mga patay.
Mga Paghihigpit: Maaaring ilapat ang mga paghihigpit batay sa uri ng minanang ari-arian at sa katangian ng conjugal union (kung mayroon man). Halimbawa, ang isang asawa ay maaaring mangailangan ng pahintulot ng ibang asawa para sa mga donasyon na lampas sa makatwirang halaga mula sa conjugal property.
2. Pagbebenta at Donasyon ng pera: Maaaring piliin ng mga tagapagmana na ibenta ang minanang ari-arian at ibigay ang pera sa kawanggawa. Iniiwasan ng diskarteng ito ang buwis ng donor sa property ngunit maaaring magresulta sa capital gains tax sa pagbebenta.
3. Legacy o Bequest (kung naaangkop): Kung ang namatay ay nag-iwan ng testamento na tumutukoy sa isang donasyon para sa kawanggawa, ang mga tagapagmana ay kinakailangang isakatuparan ang mga nilalaman ng testamento hangga't sila ay may bisa. Iniiwasan ng diskarteng ito ang buwis ng donor para sa mga tagapagmana.
Mga karagdagang pagsasaalang-alang:
Pagkumpirma ng Charity Status: Upang ma-optimize ang mga potensyal na benepisyo sa buwis, tiyaking ang napiling organisasyon ay isang rehistrado at aprubadong institusyong pangkawanggawa.
Legal na Tagapayo: Iminumungkahi na kumunsulta ka sa isang abogado ng estate at buwis upang magarantiya ang isang maayos na proseso ng donasyon at mabawasan ang iyong pananagutan sa buwis.
Tandaan na ang mga ito ay pangkalahatang alternatibo. Ang naaangkop na paraan ng pagkilos ay matutukoy sa pamamagitan ng mga natatanging pangyayari na nakapalibot sa iyong mana, ang uri ng ari-arian na kasangkot, at ang iyong sitwasyon sa buwis.</v>
      </c>
      <c r="F523" s="2">
        <f t="shared" si="1"/>
        <v>1</v>
      </c>
      <c r="G523" s="2"/>
      <c r="H523" s="2"/>
      <c r="I523" s="2"/>
      <c r="J523" s="2"/>
      <c r="K523" s="2"/>
      <c r="L523" s="2"/>
      <c r="M523" s="2"/>
      <c r="N523" s="2"/>
      <c r="O523" s="2"/>
      <c r="P523" s="2"/>
      <c r="Q523" s="2"/>
      <c r="R523" s="2"/>
      <c r="S523" s="2"/>
      <c r="T523" s="2"/>
      <c r="U523" s="2"/>
      <c r="V523" s="2"/>
      <c r="W523" s="2"/>
      <c r="X523" s="2"/>
      <c r="Y523" s="2"/>
      <c r="Z523" s="2"/>
      <c r="AA523" s="2"/>
    </row>
    <row r="524">
      <c r="A524" s="1" t="s">
        <v>1224</v>
      </c>
      <c r="B524" s="1" t="s">
        <v>1805</v>
      </c>
      <c r="C524" s="1" t="s">
        <v>1806</v>
      </c>
      <c r="D524" s="1" t="s">
        <v>1807</v>
      </c>
      <c r="E524" s="2" t="str">
        <f>IFERROR(__xludf.DUMMYFUNCTION("GOOGLETRANSLATE(C524, ""en"", ""TL"")"),"Sa Pilipinas, kung may namatay na walang testamento (intestate), ang batas ang magpapasya kung sino ang magmamana at magkano. Narito ang pangunahing ideya:
Nauuna ang mga anak at asawa: Ang mga bata ay karaniwang namamana nang pantay, at ang asawa ay t"&amp;"umatanggap din ng bahagi (karaniwang kalahati kung may mga anak, higit pa kung wala).
Walang anak? Kung walang anak, ang asawa ay maaaring tumanggap ng higit pa, habang ang mga magulang, lolo't lola, o mga anak sa labas ay maaaring magmana.
Kung mayroon"&amp;"g legal na kalooban, tinutukoy nito kung sino ang magmamana at kung magkano, na override ang mga default na alituntuning ito.
Tandaan na ito ay isang pinasimpleng paliwanag. Sa totoong buhay na mga sitwasyon, lalo na kapag walang kalooban o kapag kumpl"&amp;"ikado ang mga bagay, pinakamahusay na kumunsulta sa isang abogado.")</f>
        <v>Sa Pilipinas, kung may namatay na walang testamento (intestate), ang batas ang magpapasya kung sino ang magmamana at magkano. Narito ang pangunahing ideya:
Nauuna ang mga anak at asawa: Ang mga bata ay karaniwang namamana nang pantay, at ang asawa ay tumatanggap din ng bahagi (karaniwang kalahati kung may mga anak, higit pa kung wala).
Walang anak? Kung walang anak, ang asawa ay maaaring tumanggap ng higit pa, habang ang mga magulang, lolo't lola, o mga anak sa labas ay maaaring magmana.
Kung mayroong legal na kalooban, tinutukoy nito kung sino ang magmamana at kung magkano, na override ang mga default na alituntuning ito.
Tandaan na ito ay isang pinasimpleng paliwanag. Sa totoong buhay na mga sitwasyon, lalo na kapag walang kalooban o kapag kumplikado ang mga bagay, pinakamahusay na kumunsulta sa isang abogado.</v>
      </c>
      <c r="F524" s="2">
        <f t="shared" si="1"/>
        <v>0</v>
      </c>
      <c r="G524" s="2"/>
      <c r="H524" s="2"/>
      <c r="I524" s="2"/>
      <c r="J524" s="2"/>
      <c r="K524" s="2"/>
      <c r="L524" s="2"/>
      <c r="M524" s="2"/>
      <c r="N524" s="2"/>
      <c r="O524" s="2"/>
      <c r="P524" s="2"/>
      <c r="Q524" s="2"/>
      <c r="R524" s="2"/>
      <c r="S524" s="2"/>
      <c r="T524" s="2"/>
      <c r="U524" s="2"/>
      <c r="V524" s="2"/>
      <c r="W524" s="2"/>
      <c r="X524" s="2"/>
      <c r="Y524" s="2"/>
      <c r="Z524" s="2"/>
      <c r="AA524" s="2"/>
    </row>
    <row r="525">
      <c r="A525" s="1" t="s">
        <v>1224</v>
      </c>
      <c r="B525" s="1" t="s">
        <v>1808</v>
      </c>
      <c r="C525" s="1" t="s">
        <v>1809</v>
      </c>
      <c r="D525" s="1" t="s">
        <v>1810</v>
      </c>
      <c r="E525" s="2" t="str">
        <f>IFERROR(__xludf.DUMMYFUNCTION("GOOGLETRANSLATE(C525, ""en"", ""TL"")"),"Sa Pilipinas, ang proseso ng paglilipat ng minanang ari-arian ay binubuo ng iba't ibang pamamaraan na nag-iiba-iba depende kung ang patay ay nag-iwan ng testamento (testate) o hindi. Ito ay isang pangkalahatang pangkalahatang-ideya:
1. Kumuha ng sertipiko"&amp;" ng kamatayan:
• Kumuha ng sertipikadong kopya ng death certificate mula sa iyong lokal na tanggapan ng civil register o sa Philippine Statistics Authority (PSA).
2. Probate ng Will o Deklarasyon ng Pagmana:
• Probate ang isang testamento sa korte upang m"&amp;"atiyak ang legalidad. Kabilang dito ang paghahain ng testamento sa kaukulang hukuman at pag-abiso sa sinumang interesadong partido.
• Kung walang testamento, ang hukuman ay maglalabas ng Deklarasyon ng mga Tagapagmana upang matukoy kung sino ang makakakuh"&amp;"a ng ari-arian at ang kanilang mga bahagi. Ito ay kasunod ng intestate succession procedures na ibinigay sa Philippine Civil Code.
3. Judicial o extrajudicial settlement: • Kung hindi magkasundo ang mga tagapagmana sa paglalaan ng ari-arian, kinakailangan"&amp;" ang partisyon na pinangangasiwaan ng korte. Ito ay maaaring isang mahaba at magastos na proseso. • Ang mga tagapagmana na nagkasundo sa paghahati ng ari-arian ay maaaring gumamit ng Deed of Extrajudicial Settlement. Ito ay isang mas mabilis at mas cost-e"&amp;"ffective na solusyon.
4. Paglipat ng titulo: • Pagkatapos hatiin o ayusin ang ari-arian, ang titulo ay dapat ilipat sa mga tagapagmana. Kabilang dito ang: o Magsumite ng Deed of Adjudication sa Registry of Deeds. o Pagbabayad ng naaangkop na mga buwis sa "&amp;"paglilipat. · Pagkuha ng mga bagong titulo sa mga pangalan ng mga tagapagmana. Mga karagdagang kinakailangan:
• Kumuha ng Tax Identification Number (TIN) para sa mga namatay at sa kanilang mga tagapagmana.
• Ang mga buwis sa ari-arian ay dapat bayaran sa "&amp;"loob ng isang taon ng pumanaw ang yumao. Kabilang dito ang pagsusumite ng BIR Form 1904 at pagkuha ng Certificate Authorizing Registration mula sa Bureau of Internal Revenue (BIR).
• Ang ilang mga kaso ay maaaring mangailangan ng mga karagdagang dokumento"&amp;" tulad ng duplicate na titulo ng may-ari, realty tax clearance, tax declaration, at affidavit of publication of settlement.
Mahahalagang paalala: • Ito ay isang malawak na patnubay, at ang pamamaraan ay maaaring mag-iba batay sa sitwasyon. • Ang pagkonsul"&amp;"ta sa isang abogado na dalubhasa sa batas ng mana ng Pilipinas ay lubos na inirerekomenda. Maaari ka nilang payuhan sa pinakamahusay na paraan ng pagkilos para sa iyong partikular na senaryo habang tinitiyak din na sumusunod ka sa lahat ng legal na kinaka"&amp;"ilangan.")</f>
        <v>Sa Pilipinas, ang proseso ng paglilipat ng minanang ari-arian ay binubuo ng iba't ibang pamamaraan na nag-iiba-iba depende kung ang patay ay nag-iwan ng testamento (testate) o hindi. Ito ay isang pangkalahatang pangkalahatang-ideya:
1. Kumuha ng sertipiko ng kamatayan:
• Kumuha ng sertipikadong kopya ng death certificate mula sa iyong lokal na tanggapan ng civil register o sa Philippine Statistics Authority (PSA).
2. Probate ng Will o Deklarasyon ng Pagmana:
• Probate ang isang testamento sa korte upang matiyak ang legalidad. Kabilang dito ang paghahain ng testamento sa kaukulang hukuman at pag-abiso sa sinumang interesadong partido.
• Kung walang testamento, ang hukuman ay maglalabas ng Deklarasyon ng mga Tagapagmana upang matukoy kung sino ang makakakuha ng ari-arian at ang kanilang mga bahagi. Ito ay kasunod ng intestate succession procedures na ibinigay sa Philippine Civil Code.
3. Judicial o extrajudicial settlement: • Kung hindi magkasundo ang mga tagapagmana sa paglalaan ng ari-arian, kinakailangan ang partisyon na pinangangasiwaan ng korte. Ito ay maaaring isang mahaba at magastos na proseso. • Ang mga tagapagmana na nagkasundo sa paghahati ng ari-arian ay maaaring gumamit ng Deed of Extrajudicial Settlement. Ito ay isang mas mabilis at mas cost-effective na solusyon.
4. Paglipat ng titulo: • Pagkatapos hatiin o ayusin ang ari-arian, ang titulo ay dapat ilipat sa mga tagapagmana. Kabilang dito ang: o Magsumite ng Deed of Adjudication sa Registry of Deeds. o Pagbabayad ng naaangkop na mga buwis sa paglilipat. · Pagkuha ng mga bagong titulo sa mga pangalan ng mga tagapagmana. Mga karagdagang kinakailangan:
• Kumuha ng Tax Identification Number (TIN) para sa mga namatay at sa kanilang mga tagapagmana.
• Ang mga buwis sa ari-arian ay dapat bayaran sa loob ng isang taon ng pumanaw ang yumao. Kabilang dito ang pagsusumite ng BIR Form 1904 at pagkuha ng Certificate Authorizing Registration mula sa Bureau of Internal Revenue (BIR).
• Ang ilang mga kaso ay maaaring mangailangan ng mga karagdagang dokumento tulad ng duplicate na titulo ng may-ari, realty tax clearance, tax declaration, at affidavit of publication of settlement.
Mahahalagang paalala: • Ito ay isang malawak na patnubay, at ang pamamaraan ay maaaring mag-iba batay sa sitwasyon. • Ang pagkonsulta sa isang abogado na dalubhasa sa batas ng mana ng Pilipinas ay lubos na inirerekomenda. Maaari ka nilang payuhan sa pinakamahusay na paraan ng pagkilos para sa iyong partikular na senaryo habang tinitiyak din na sumusunod ka sa lahat ng legal na kinakailangan.</v>
      </c>
      <c r="F525" s="2">
        <f t="shared" si="1"/>
        <v>0</v>
      </c>
      <c r="G525" s="2"/>
      <c r="H525" s="2"/>
      <c r="I525" s="2"/>
      <c r="J525" s="2"/>
      <c r="K525" s="2"/>
      <c r="L525" s="2"/>
      <c r="M525" s="2"/>
      <c r="N525" s="2"/>
      <c r="O525" s="2"/>
      <c r="P525" s="2"/>
      <c r="Q525" s="2"/>
      <c r="R525" s="2"/>
      <c r="S525" s="2"/>
      <c r="T525" s="2"/>
      <c r="U525" s="2"/>
      <c r="V525" s="2"/>
      <c r="W525" s="2"/>
      <c r="X525" s="2"/>
      <c r="Y525" s="2"/>
      <c r="Z525" s="2"/>
      <c r="AA525" s="2"/>
    </row>
    <row r="526">
      <c r="A526" s="1" t="s">
        <v>1224</v>
      </c>
      <c r="B526" s="1" t="s">
        <v>1702</v>
      </c>
      <c r="C526" s="1" t="s">
        <v>1811</v>
      </c>
      <c r="D526" s="1" t="s">
        <v>1704</v>
      </c>
      <c r="E526" s="2" t="str">
        <f>IFERROR(__xludf.DUMMYFUNCTION("GOOGLETRANSLATE(C526, ""en"", ""TL"")"),"Sa Pilipinas, ang pagmamana ng ari-arian ay nagdadala ng dalawang pangunahing pinansiyal na kahihinatnan: buwis sa ari-arian at buwis sa capital gains. Narito ang isang breakdown batay sa batas ng Pilipinas: Estate Tax: Ang buwis sa ari-arian ay ipinapata"&amp;"w sa paglipat ng netong ari-arian ng isang namatay na tao sa kanilang mga tagapagmana. Ito ay epektibong pagpapataw sa pribilehiyo ng pagmamana ng ari-arian. Kinokolekta ng Bureau of Internal Revenue (BIR) ang mga buwis sa ari-arian. Mayroong progresibong"&amp;" rate ng buwis para sa mga estate na lumampas sa isang partikular na threshold. Nakalista sa website ng BIR ang kasalukuyang mga rate at exemptions.
Capital Gains Tax:
Ang buwis sa capital gains ay hindi agad ipinapataw sa mana. Gayunpaman, maaari itong m"&amp;"agamit kung ang tagapagmana ay nagpasya na ibenta ang minanang ari-arian. Ang buwis sa capital gains ay isang buwis sa mga kita mula sa pagbebenta ng isang capital asset, gaya ng real estate o stock. Ang buwis sa capital gains sa real estate ay karaniwang"&amp;" 6% ng presyo ng pagbebenta o patas na halaga sa pamilihan, alinman ang mas malaki.
Mahalagang tandaan:
Maaaring mag-apply ang ibang mga buwis batay sa uri ng ari-arian na minana. Halimbawa, ang nakadokumentong stamp tax ay madalas na inilalapat sa mga tr"&amp;"ansaksyon sa real estate. Ang partikular na katayuan ng buwis ay nag-iiba ayon sa mga pangyayari. Para sa karagdagang personalized na payo, kumunsulta sa isang tax specialist na may kaalaman sa batas sa buwis sa mana ng Pilipinas.")</f>
        <v>Sa Pilipinas, ang pagmamana ng ari-arian ay nagdadala ng dalawang pangunahing pinansiyal na kahihinatnan: buwis sa ari-arian at buwis sa capital gains. Narito ang isang breakdown batay sa batas ng Pilipinas: Estate Tax: Ang buwis sa ari-arian ay ipinapataw sa paglipat ng netong ari-arian ng isang namatay na tao sa kanilang mga tagapagmana. Ito ay epektibong pagpapataw sa pribilehiyo ng pagmamana ng ari-arian. Kinokolekta ng Bureau of Internal Revenue (BIR) ang mga buwis sa ari-arian. Mayroong progresibong rate ng buwis para sa mga estate na lumampas sa isang partikular na threshold. Nakalista sa website ng BIR ang kasalukuyang mga rate at exemptions.
Capital Gains Tax:
Ang buwis sa capital gains ay hindi agad ipinapataw sa mana. Gayunpaman, maaari itong magamit kung ang tagapagmana ay nagpasya na ibenta ang minanang ari-arian. Ang buwis sa capital gains ay isang buwis sa mga kita mula sa pagbebenta ng isang capital asset, gaya ng real estate o stock. Ang buwis sa capital gains sa real estate ay karaniwang 6% ng presyo ng pagbebenta o patas na halaga sa pamilihan, alinman ang mas malaki.
Mahalagang tandaan:
Maaaring mag-apply ang ibang mga buwis batay sa uri ng ari-arian na minana. Halimbawa, ang nakadokumentong stamp tax ay madalas na inilalapat sa mga transaksyon sa real estate. Ang partikular na katayuan ng buwis ay nag-iiba ayon sa mga pangyayari. Para sa karagdagang personalized na payo, kumunsulta sa isang tax specialist na may kaalaman sa batas sa buwis sa mana ng Pilipinas.</v>
      </c>
      <c r="F526" s="2">
        <f t="shared" si="1"/>
        <v>0</v>
      </c>
      <c r="G526" s="2"/>
      <c r="H526" s="2"/>
      <c r="I526" s="2"/>
      <c r="J526" s="2"/>
      <c r="K526" s="2"/>
      <c r="L526" s="2"/>
      <c r="M526" s="2"/>
      <c r="N526" s="2"/>
      <c r="O526" s="2"/>
      <c r="P526" s="2"/>
      <c r="Q526" s="2"/>
      <c r="R526" s="2"/>
      <c r="S526" s="2"/>
      <c r="T526" s="2"/>
      <c r="U526" s="2"/>
      <c r="V526" s="2"/>
      <c r="W526" s="2"/>
      <c r="X526" s="2"/>
      <c r="Y526" s="2"/>
      <c r="Z526" s="2"/>
      <c r="AA526" s="2"/>
    </row>
    <row r="527">
      <c r="A527" s="1" t="s">
        <v>1224</v>
      </c>
      <c r="B527" s="1" t="s">
        <v>1812</v>
      </c>
      <c r="C527" s="1" t="s">
        <v>1813</v>
      </c>
      <c r="D527" s="1" t="s">
        <v>1814</v>
      </c>
      <c r="E527" s="2" t="str">
        <f>IFERROR(__xludf.DUMMYFUNCTION("GOOGLETRANSLATE(C527, ""en"", ""TL"")"),"Oo, ang isang testamento ay maaaring hamunin sa Pilipinas sa ilalim ng ilang mga kundisyon. Narito ang kailangan mong malaman sa ilalim ng batas ng Pilipinas: Mga batayan para sa paglaban sa isang testamento:
Tinukoy ng Kodigo Sibil ng Pilipinas ang mga d"&amp;"ahilan kung bakit maaaring ipagbawal ang isang testamento (Artikulo 839). • Ang testamento ay hindi nakakatugon sa mga legal na pamantayan, tulad ng pagkakaroon ng sapat na mga saksi at pagiging wastong notaryo. • Testamentary incapacity: Ang testator ay "&amp;"walang kakayahan sa pag-iisip upang bigyang-kahulugan ang dokumento sa oras ng pagpirma. • Puwersa o hindi nararapat na impluwensya: Ang testator ay pinilit na lumagda sa kalooban sa pamamagitan ng takot o pagmamanipula. • Panloloko: Isang testamento na g"&amp;"inawa sa pamamagitan ng pandaraya o hindi tapat. Sino ang maaaring lumaban sa isang testamento:
Sa pangkalahatan, ang mga taong may legal na taya sa ari-arian ay may karapatang sumalungat sa kalooban. Maaaring kabilang dito ang: • Asawa o asawa • Mga inap"&amp;"o: supling, apo, atbp. • Ascendants: mga magulang, lolo't lola, atbp. • Iba pang mga benepisyaryo mula sa isang dating testamento.
Proseso ng paglaban sa isang testamento: Sa panahon ng proseso ng probate (ang pamamaraang panghukuman para sa pagpapatunay "&amp;"ng mga testamento at pamamahagi ng mga ari-arian), isang pormal na petisyon upang labanan ang testamento ay inihain sa naaangkop na hukuman. Kailangang gumawa ng ebidensya upang i-back up ang assertion na ang testamento ay hindi wasto. Karagdagang mga pun"&amp;"tos: • Ang paligsahan sa isang testamento batay lamang sa pamamahagi ng ari-arian ay hindi sapat. Gaya ng naunang sinabi, dapat na mayroong isang wastong legal na batayan. • Ang mga desisyon ng korte ay nakakaimpluwensya kung paano tinitingnan ang mga leg"&amp;"al na batayan na ito. • Ang pagkonsulta sa isang abogado na may kadalubhasaan sa batas ng mana ng Pilipinas ay lubos na iminumungkahi dahil sa pagiging kumplikado ng proseso.")</f>
        <v>Oo, ang isang testamento ay maaaring hamunin sa Pilipinas sa ilalim ng ilang mga kundisyon. Narito ang kailangan mong malaman sa ilalim ng batas ng Pilipinas: Mga batayan para sa paglaban sa isang testamento:
Tinukoy ng Kodigo Sibil ng Pilipinas ang mga dahilan kung bakit maaaring ipagbawal ang isang testamento (Artikulo 839). • Ang testamento ay hindi nakakatugon sa mga legal na pamantayan, tulad ng pagkakaroon ng sapat na mga saksi at pagiging wastong notaryo. • Testamentary incapacity: Ang testator ay walang kakayahan sa pag-iisip upang bigyang-kahulugan ang dokumento sa oras ng pagpirma. • Puwersa o hindi nararapat na impluwensya: Ang testator ay pinilit na lumagda sa kalooban sa pamamagitan ng takot o pagmamanipula. • Panloloko: Isang testamento na ginawa sa pamamagitan ng pandaraya o hindi tapat. Sino ang maaaring lumaban sa isang testamento:
Sa pangkalahatan, ang mga taong may legal na taya sa ari-arian ay may karapatang sumalungat sa kalooban. Maaaring kabilang dito ang: • Asawa o asawa • Mga inapo: supling, apo, atbp. • Ascendants: mga magulang, lolo't lola, atbp. • Iba pang mga benepisyaryo mula sa isang dating testamento.
Proseso ng paglaban sa isang testamento: Sa panahon ng proseso ng probate (ang pamamaraang panghukuman para sa pagpapatunay ng mga testamento at pamamahagi ng mga ari-arian), isang pormal na petisyon upang labanan ang testamento ay inihain sa naaangkop na hukuman. Kailangang gumawa ng ebidensya upang i-back up ang assertion na ang testamento ay hindi wasto. Karagdagang mga puntos: • Ang paligsahan sa isang testamento batay lamang sa pamamahagi ng ari-arian ay hindi sapat. Gaya ng naunang sinabi, dapat na mayroong isang wastong legal na batayan. • Ang mga desisyon ng korte ay nakakaimpluwensya kung paano tinitingnan ang mga legal na batayan na ito. • Ang pagkonsulta sa isang abogado na may kadalubhasaan sa batas ng mana ng Pilipinas ay lubos na iminumungkahi dahil sa pagiging kumplikado ng proseso.</v>
      </c>
      <c r="F527" s="2">
        <f t="shared" si="1"/>
        <v>0</v>
      </c>
      <c r="G527" s="2"/>
      <c r="H527" s="2"/>
      <c r="I527" s="2"/>
      <c r="J527" s="2"/>
      <c r="K527" s="2"/>
      <c r="L527" s="2"/>
      <c r="M527" s="2"/>
      <c r="N527" s="2"/>
      <c r="O527" s="2"/>
      <c r="P527" s="2"/>
      <c r="Q527" s="2"/>
      <c r="R527" s="2"/>
      <c r="S527" s="2"/>
      <c r="T527" s="2"/>
      <c r="U527" s="2"/>
      <c r="V527" s="2"/>
      <c r="W527" s="2"/>
      <c r="X527" s="2"/>
      <c r="Y527" s="2"/>
      <c r="Z527" s="2"/>
      <c r="AA527" s="2"/>
    </row>
    <row r="528">
      <c r="A528" s="1" t="s">
        <v>1224</v>
      </c>
      <c r="B528" s="1" t="s">
        <v>1663</v>
      </c>
      <c r="C528" s="1" t="s">
        <v>1815</v>
      </c>
      <c r="D528" s="1" t="s">
        <v>1665</v>
      </c>
      <c r="E528" s="2" t="str">
        <f>IFERROR(__xludf.DUMMYFUNCTION("GOOGLETRANSLATE(C528, ""en"", ""TL"")"),"Sa Pilipinas, ang proseso ng probate ay tumutugon sa mga minanang ari-arian na may mga hindi pa nababayarang utang o sangla, na ginagabayan ng mga sumusunod na prinsipyo:
Mga Priyoridad at Tungkulin:
Pag-clear ng mga Utang: Ang pangunahing paggamit ng mga"&amp;" ari-arian ng ari-arian, kabilang ang minanang ari-arian, ay upang bayaran ang mga obligasyon ng namatay. Sinasaklaw nito ang lahat ng wastong utang, hindi limitado sa mortgage (pinagmulan).
Tungkulin ng Tagapagpatupad: Hinirang man ng hukuman o pinangala"&amp;"nan sa testamento, ang tagapagpatupad ay may pananagutan sa pamamahala ng ari-arian. Kabilang dito ang pag-aayos ng mga utang at pamamahagi ng mga natitirang asset sa mga benepisyaryo.
Mga Opsyon para sa Mga Benepisyaryo: Ang mga indibidwal na nagmamana n"&amp;"g ari-arian na may mortgage ay may ilang mga pagpipilian:
Pagtanggap gamit ang Mortgage: Maaari nilang tanggapin ang ari-arian at tanggapin ang responsibilidad para sa mga hindi pa nababayarang mortgage.
Pagbebenta ng Ari-arian: Ang pagpili na ibenta ang "&amp;"ari-arian ay isa pang alternatibo upang mabayaran ang utang, na may anumang labis pagkatapos ng pagbebenta na maaaring mangailangan ng pag-apruba ng korte.
I-relinquish Inheritance: Maaaring piliin ng mga benepisyaryo na itakwil nang buo ang kanilang clai"&amp;"m sa property.
Pamamaraan ng Probate:
Imbentaryo ng Asset at Utang: Tinutukoy ng tagapagpatupad ang lahat ng mga ari-arian at pananagutan ng ari-arian, kabilang ang minanang ari-arian at ang nauugnay na mortgage nito.
Pag-aayos ng Utang: Ang mga pondo ng "&amp;"ari-arian, tulad ng cash at mga pamumuhunan, ay ginagamit ng tagapagpatupad upang bayaran ang mga nagpapautang kasunod ng isang legal na itinatag na kautusan. Maaaring magpatuloy ang mga pagbabayad sa mortgage sa yugtong ito.
Pagtatapon ng Ari-arian: Kapa"&amp;"g nalutas na ang mga utang o ginawa ang mga pagsasaayos para sa kanilang pag-areglo, tinutukoy ng korte ang naaangkop na pagkilos para sa ari-arian alinsunod sa napiling opsyon ng benepisyaryo (tanggapin, ibenta, talikuran).
Mahahalagang Salik:
Mortgage F"&amp;"oreclosure: Ang pagkabigong mapanatili ang mga pagbabayad ng mortgage sa panahon ng probate o pagkatapos ng mana ay maaaring humantong sa pagreremata ng nagpapahiram.
Responsibilidad ng Benepisyaryo: Sa pangkalahatan, ang mga benepisyaryo ay hindi persona"&amp;"l na mananagot para sa mga utang ng namatay na higit sa halaga ng minanang ari-arian.
Mga Implikasyon sa Buwis: Depende sa mga pangyayari, maaaring malapat ang mga buwis sa ari-arian at capital gains (sumangguni sa nakaraang Q&amp;A sa mga buwis sa mana).
Mga"&amp;" Rekomendasyon:
Ang paghingi ng patnubay mula sa isang abogado na dalubhasa sa Philippine probate at inheritance law ay mahalaga para sa epektibong pag-navigate sa proseso at pag-unawa sa mga implikasyon para sa mga benepisyaryo.
Ang mga tagapagpatupad ay"&amp;" dapat na bihasa sa kanilang mga tungkulin tungkol sa pag-aayos ng utang at pangangasiwa ng ari-arian.
Mahalagang tandaan na ito ay isang pangkalahatang pangkalahatang-ideya, at ang partikular na pangangasiwa ng minanang ari-arian na may utang ay depende "&amp;"sa mga natatanging detalye ng bawat kaso.")</f>
        <v>Sa Pilipinas, ang proseso ng probate ay tumutugon sa mga minanang ari-arian na may mga hindi pa nababayarang utang o sangla, na ginagabayan ng mga sumusunod na prinsipyo:
Mga Priyoridad at Tungkulin:
Pag-clear ng mga Utang: Ang pangunahing paggamit ng mga ari-arian ng ari-arian, kabilang ang minanang ari-arian, ay upang bayaran ang mga obligasyon ng namatay. Sinasaklaw nito ang lahat ng wastong utang, hindi limitado sa mortgage (pinagmulan).
Tungkulin ng Tagapagpatupad: Hinirang man ng hukuman o pinangalanan sa testamento, ang tagapagpatupad ay may pananagutan sa pamamahala ng ari-arian. Kabilang dito ang pag-aayos ng mga utang at pamamahagi ng mga natitirang asset sa mga benepisyaryo.
Mga Opsyon para sa Mga Benepisyaryo: Ang mga indibidwal na nagmamana ng ari-arian na may mortgage ay may ilang mga pagpipilian:
Pagtanggap gamit ang Mortgage: Maaari nilang tanggapin ang ari-arian at tanggapin ang responsibilidad para sa mga hindi pa nababayarang mortgage.
Pagbebenta ng Ari-arian: Ang pagpili na ibenta ang ari-arian ay isa pang alternatibo upang mabayaran ang utang, na may anumang labis pagkatapos ng pagbebenta na maaaring mangailangan ng pag-apruba ng korte.
I-relinquish Inheritance: Maaaring piliin ng mga benepisyaryo na itakwil nang buo ang kanilang claim sa property.
Pamamaraan ng Probate:
Imbentaryo ng Asset at Utang: Tinutukoy ng tagapagpatupad ang lahat ng mga ari-arian at pananagutan ng ari-arian, kabilang ang minanang ari-arian at ang nauugnay na mortgage nito.
Pag-aayos ng Utang: Ang mga pondo ng ari-arian, tulad ng cash at mga pamumuhunan, ay ginagamit ng tagapagpatupad upang bayaran ang mga nagpapautang kasunod ng isang legal na itinatag na kautusan. Maaaring magpatuloy ang mga pagbabayad sa mortgage sa yugtong ito.
Pagtatapon ng Ari-arian: Kapag nalutas na ang mga utang o ginawa ang mga pagsasaayos para sa kanilang pag-areglo, tinutukoy ng korte ang naaangkop na pagkilos para sa ari-arian alinsunod sa napiling opsyon ng benepisyaryo (tanggapin, ibenta, talikuran).
Mahahalagang Salik:
Mortgage Foreclosure: Ang pagkabigong mapanatili ang mga pagbabayad ng mortgage sa panahon ng probate o pagkatapos ng mana ay maaaring humantong sa pagreremata ng nagpapahiram.
Responsibilidad ng Benepisyaryo: Sa pangkalahatan, ang mga benepisyaryo ay hindi personal na mananagot para sa mga utang ng namatay na higit sa halaga ng minanang ari-arian.
Mga Implikasyon sa Buwis: Depende sa mga pangyayari, maaaring malapat ang mga buwis sa ari-arian at capital gains (sumangguni sa nakaraang Q&amp;A sa mga buwis sa mana).
Mga Rekomendasyon:
Ang paghingi ng patnubay mula sa isang abogado na dalubhasa sa Philippine probate at inheritance law ay mahalaga para sa epektibong pag-navigate sa proseso at pag-unawa sa mga implikasyon para sa mga benepisyaryo.
Ang mga tagapagpatupad ay dapat na bihasa sa kanilang mga tungkulin tungkol sa pag-aayos ng utang at pangangasiwa ng ari-arian.
Mahalagang tandaan na ito ay isang pangkalahatang pangkalahatang-ideya, at ang partikular na pangangasiwa ng minanang ari-arian na may utang ay depende sa mga natatanging detalye ng bawat kaso.</v>
      </c>
      <c r="F528" s="2">
        <f t="shared" si="1"/>
        <v>0</v>
      </c>
      <c r="G528" s="2"/>
      <c r="H528" s="2"/>
      <c r="I528" s="2"/>
      <c r="J528" s="2"/>
      <c r="K528" s="2"/>
      <c r="L528" s="2"/>
      <c r="M528" s="2"/>
      <c r="N528" s="2"/>
      <c r="O528" s="2"/>
      <c r="P528" s="2"/>
      <c r="Q528" s="2"/>
      <c r="R528" s="2"/>
      <c r="S528" s="2"/>
      <c r="T528" s="2"/>
      <c r="U528" s="2"/>
      <c r="V528" s="2"/>
      <c r="W528" s="2"/>
      <c r="X528" s="2"/>
      <c r="Y528" s="2"/>
      <c r="Z528" s="2"/>
      <c r="AA528" s="2"/>
    </row>
    <row r="529">
      <c r="A529" s="1" t="s">
        <v>1224</v>
      </c>
      <c r="B529" s="1" t="s">
        <v>1816</v>
      </c>
      <c r="C529" s="1" t="s">
        <v>1817</v>
      </c>
      <c r="D529" s="1" t="s">
        <v>1818</v>
      </c>
      <c r="E529" s="2" t="str">
        <f>IFERROR(__xludf.DUMMYFUNCTION("GOOGLETRANSLATE(C529, ""en"", ""TL"")"),"Mga Legal na Pagpipilian para sa mga Tagapagmana na Nagbebenta ng Minamanang Ari-arian
Sa Pilipinas, ang mga tagapagmana ay nagtataglay ng dalawang pangunahing pagpipilian para sa pagbebenta ng minanang ari-arian:
Extrajudicial Settlement of Estate "&amp;"(EJS): Mas mainam ang opsyong ito kapag walang habilin o hindi pinagtatalunan ng testamento ang pamamahagi ng ari-arian. Nag-aalok ito ng mas mabilis at mas cost-effective na proseso kumpara sa judicial settlement. Kabilang sa mga pangunahing hakbang ang:"&amp;"
Kasunduan sa Mga Tagapagmana: Ang lahat ng tagapagmana ay dapat magkasundo sa pagbebenta ng ari-arian at pagtukoy kung paano ipamahagi ang mga nalikom.
Paghahanda ng EJS: Tumutulong ang isang abogado sa pagbalangkas at pagnotaryo ng isang dokumento n"&amp;"g EJS na nagbabalangkas sa mga ari-arian ng ari-arian, mga utang (kung mayroon), at ang napagkasunduang pamamahagi sa mga tagapagmana.
Publikasyon: Ang EJS ay nai-publish sa isang malawak na circulated na pahayagan para sa isang tiyak na panahon.
Cleara"&amp;"nce ng BIR: Ang mga tagapagmana ay nangangailangan ng clearance ng Bureau of Internal Revenue (BIR), na nagpapatunay sa pag-aayos ng mga buwis sa ari-arian.
Judicial Settlement of Estate: Ang alternatibong ito ay magiging kinakailangan kung mayroong isan"&amp;"g testamento na tumututol sa pamamahagi ng ari-arian o walang testamento, at ang mga tagapagmana ay hindi maaaring sumang-ayon sa pamamahagi. Ito ay nagsasangkot ng mas matagal at masalimuot na proseso na pinamamahalaan sa pamamagitan ng mga paglilitis sa"&amp;" korte.
Mga Legal na Pamamaraan sa Pagbebenta
Kapag nalutas na ng mga tagapagmana ang ari-arian sa pamamagitan ng EJS o judicial settlement, maaari silang magpatuloy sa pagbebenta ng ari-arian. Narito ang isang pangkalahatang balangkas:
Pagpili n"&amp;"g Nagbebenta: Sa mga kaso ng maraming tagapagmana, maaari silang sama-samang magpasya na ibenta ang ari-arian o humirang ng isang tagapagmana upang pangasiwaan ang pagbebenta sa ngalan ng lahat.
Pagsunod sa Buwis: Ang pagbebenta ay nagkakaroon ng capital"&amp;" gains tax (karaniwang 6% ng presyo ng pagbebenta) na dapat bayaran.
Kasunduan sa Pagbebenta: Maaaring tumulong ang isang abogado sa paggawa ng isang kasunduan sa pagbebenta na tumutukoy sa mga tuntunin at kundisyon sa pagitan ng (mga) nagbebenta at ng m"&amp;"amimili.
Paglipat ng Titulo: Sa kumpletong pagbabayad, ang titulo ng ari-arian ay ililipat sa bumibili sa pamamagitan ng Deed of Sale na nakarehistro sa Registry of Deeds.
Mahahalagang Pagsasaalang-alang
Ang pagkonsulta sa isang abogado na dalubhasa "&amp;"sa batas ng pagmamana at ari-arian ng Pilipinas ay mahigpit na ipinapayo sa buong proseso.
Dapat tiyakin ng mga tagapagmana na lahat ng natitirang utang sa ari-arian ay nababayaran bago magpatuloy sa pagbebenta.
Isinasaalang-alang ang mga implikasyon sa"&amp;" buwis at pagtiyak na ang pagsunod ay mga kritikal na aspeto na dapat isaalang-alang.
Sa pamamagitan ng pagsunod sa mga legal na opsyon at pamamaraang ito, matitiyak ng mga tagapagmana sa Pilipinas ang maayos at legal na pagbebenta ng kanilang minanang a"&amp;"ri-arian.")</f>
        <v>Mga Legal na Pagpipilian para sa mga Tagapagmana na Nagbebenta ng Minamanang Ari-arian
Sa Pilipinas, ang mga tagapagmana ay nagtataglay ng dalawang pangunahing pagpipilian para sa pagbebenta ng minanang ari-arian:
Extrajudicial Settlement of Estate (EJS): Mas mainam ang opsyong ito kapag walang habilin o hindi pinagtatalunan ng testamento ang pamamahagi ng ari-arian. Nag-aalok ito ng mas mabilis at mas cost-effective na proseso kumpara sa judicial settlement. Kabilang sa mga pangunahing hakbang ang:
Kasunduan sa Mga Tagapagmana: Ang lahat ng tagapagmana ay dapat magkasundo sa pagbebenta ng ari-arian at pagtukoy kung paano ipamahagi ang mga nalikom.
Paghahanda ng EJS: Tumutulong ang isang abogado sa pagbalangkas at pagnotaryo ng isang dokumento ng EJS na nagbabalangkas sa mga ari-arian ng ari-arian, mga utang (kung mayroon), at ang napagkasunduang pamamahagi sa mga tagapagmana.
Publikasyon: Ang EJS ay nai-publish sa isang malawak na circulated na pahayagan para sa isang tiyak na panahon.
Clearance ng BIR: Ang mga tagapagmana ay nangangailangan ng clearance ng Bureau of Internal Revenue (BIR), na nagpapatunay sa pag-aayos ng mga buwis sa ari-arian.
Judicial Settlement of Estate: Ang alternatibong ito ay magiging kinakailangan kung mayroong isang testamento na tumututol sa pamamahagi ng ari-arian o walang testamento, at ang mga tagapagmana ay hindi maaaring sumang-ayon sa pamamahagi. Ito ay nagsasangkot ng mas matagal at masalimuot na proseso na pinamamahalaan sa pamamagitan ng mga paglilitis sa korte.
Mga Legal na Pamamaraan sa Pagbebenta
Kapag nalutas na ng mga tagapagmana ang ari-arian sa pamamagitan ng EJS o judicial settlement, maaari silang magpatuloy sa pagbebenta ng ari-arian. Narito ang isang pangkalahatang balangkas:
Pagpili ng Nagbebenta: Sa mga kaso ng maraming tagapagmana, maaari silang sama-samang magpasya na ibenta ang ari-arian o humirang ng isang tagapagmana upang pangasiwaan ang pagbebenta sa ngalan ng lahat.
Pagsunod sa Buwis: Ang pagbebenta ay nagkakaroon ng capital gains tax (karaniwang 6% ng presyo ng pagbebenta) na dapat bayaran.
Kasunduan sa Pagbebenta: Maaaring tumulong ang isang abogado sa paggawa ng isang kasunduan sa pagbebenta na tumutukoy sa mga tuntunin at kundisyon sa pagitan ng (mga) nagbebenta at ng mamimili.
Paglipat ng Titulo: Sa kumpletong pagbabayad, ang titulo ng ari-arian ay ililipat sa bumibili sa pamamagitan ng Deed of Sale na nakarehistro sa Registry of Deeds.
Mahahalagang Pagsasaalang-alang
Ang pagkonsulta sa isang abogado na dalubhasa sa batas ng pagmamana at ari-arian ng Pilipinas ay mahigpit na ipinapayo sa buong proseso.
Dapat tiyakin ng mga tagapagmana na lahat ng natitirang utang sa ari-arian ay nababayaran bago magpatuloy sa pagbebenta.
Isinasaalang-alang ang mga implikasyon sa buwis at pagtiyak na ang pagsunod ay mga kritikal na aspeto na dapat isaalang-alang.
Sa pamamagitan ng pagsunod sa mga legal na opsyon at pamamaraang ito, matitiyak ng mga tagapagmana sa Pilipinas ang maayos at legal na pagbebenta ng kanilang minanang ari-arian.</v>
      </c>
      <c r="F529" s="2">
        <f t="shared" si="1"/>
        <v>0</v>
      </c>
      <c r="G529" s="2"/>
      <c r="H529" s="2"/>
      <c r="I529" s="2"/>
      <c r="J529" s="2"/>
      <c r="K529" s="2"/>
      <c r="L529" s="2"/>
      <c r="M529" s="2"/>
      <c r="N529" s="2"/>
      <c r="O529" s="2"/>
      <c r="P529" s="2"/>
      <c r="Q529" s="2"/>
      <c r="R529" s="2"/>
      <c r="S529" s="2"/>
      <c r="T529" s="2"/>
      <c r="U529" s="2"/>
      <c r="V529" s="2"/>
      <c r="W529" s="2"/>
      <c r="X529" s="2"/>
      <c r="Y529" s="2"/>
      <c r="Z529" s="2"/>
      <c r="AA529" s="2"/>
    </row>
    <row r="530">
      <c r="A530" s="1" t="s">
        <v>1224</v>
      </c>
      <c r="B530" s="1" t="s">
        <v>1763</v>
      </c>
      <c r="C530" s="1" t="s">
        <v>1819</v>
      </c>
      <c r="D530" s="1" t="s">
        <v>1765</v>
      </c>
      <c r="E530" s="2" t="str">
        <f>IFERROR(__xludf.DUMMYFUNCTION("GOOGLETRANSLATE(C530, ""en"", ""TL"")"),"Sa Pilipinas, ang mga hindi pagkakasundo sa pagitan ng mga tagapagmana tungkol sa minanang ari-arian ay maaaring matugunan sa pamamagitan ng iba't ibang paraan, depende sa likas na katangian ng hindi pagkakaunawaan at layunin ng pagpapanatili ng pagkakais"&amp;"a ng pamilya. Narito ang isang breakdown ng mga magagamit na opsyon:
1. Amicable Settlement:
Ito ang gustong paraan, lalo na kung ang pagpreserba sa ugnayan ng pamilya ay isang priyoridad.
Ang mga tagapagmana ay maaaring makisali sa mga talakayan at negos"&amp;"asyon para magkaroon ng kasunduan sa paghahati o pamamahala ng ari-arian.
Ang isang abogado ay maaaring tumulong sa pamamagitan ng pamamagitan ng mga talakayan at pagbalangkas ng isang dokumento na nagbabalangkas sa mga napagkasunduang tuntunin.
2. Extraj"&amp;"udicial Settlement of Estate (EJS):
Sa mga kaso kung saan walang testamento o ang testamento ay hindi humahamon sa pamamahagi, at may hindi pagkakaunawaan sa panahon ng proseso ng EJS, maaaring subukan ng mga tagapagmana na makipagkasundo.
Maaaring pangas"&amp;"iwaan ng isang abogado ang mga talakayan at amyendahan ang dokumento ng EJS upang ipakita ang bagong napagkasunduang kasunduan.
3. Pamamagitan:
Ang isang neutral na tagapamagitan ng ikatlong partido ay gumagabay sa mga tagapagmana sa pagtalakay sa hindi p"&amp;"agkakaunawaan at paghahanap ng katanggap-tanggap na solusyon sa isa't isa.
Ang opsyong ito ay karaniwang mas mabilis at mas matipid kaysa sa paglilitis sa korte.
4. Arbitrasyon:
Katulad ng mediation, ngunit may awtoridad ang arbitrator na mag-isyu ng may-"&amp;"bisang desisyon sa hindi pagkakaunawaan.
Ito ay isang mas pormal na proseso na may potensyal na mas mataas na gastos kumpara sa pamamagitan.
5. Litigation:
Kung mabigo ang lahat ng iba pang paraan, ang mga tagapagmana ay maaaring magsampa ng kaso sa korte"&amp;".
Ito ang pinaka-adversarial at nakakaubos ng oras na diskarte, na may potensyal na mataas na legal na bayarin. Maglalabas ang korte ng hatol kung paano dapat hatiin o pamahalaan ang ari-arian.
Mga Salik na Dapat Isaalang-alang Kapag Pumipili ng Paraan ng"&amp;" Resolusyon:
Tindi ng Di-pagkakasundo: Ang mga maliliit na hindi pagkakasundo ay maaaring matugunan sa pamamagitan ng mapayapang pag-aayos o pamamagitan, habang ang mga kumplikadong isyu ay maaaring mangailangan ng arbitrasyon o paglilitis.
Gastos: Ang ma"&amp;"payapang pag-aayos at pamamagitan ay karaniwang mas matipid kaysa sa arbitrasyon o paglilitis.
Oras: Ang paglilitis ay tumatagal ng pinakamatagal, habang ang maayos na pag-aayos ay maaaring humantong sa isang mabilis na paglutas.
Pagpapanatili ng Mga Rela"&amp;"syon: Kung ang pagpapanatili ng pagkakasundo ng pamilya ay mahalaga, ang mapayapa na pag-aayos o pamamagitan ay mas mainam na mga opsyon.
Mga Rekomendasyon:
Ang pagkonsulta sa isang abogado na dalubhasa sa batas ng mana ng Pilipinas ay mahalaga. Maaari si"&amp;"lang magbigay ng gabay sa pinakaangkop na diskarte para sa iyong partikular na sitwasyon.
Ang pagtuklas ng mga alternatibong paraan ng paglutas ng dispute (ADR) tulad ng pamamagitan o arbitrasyon ay kadalasang inirerekomenda bago lumipat sa paglilitis.")</f>
        <v>Sa Pilipinas, ang mga hindi pagkakasundo sa pagitan ng mga tagapagmana tungkol sa minanang ari-arian ay maaaring matugunan sa pamamagitan ng iba't ibang paraan, depende sa likas na katangian ng hindi pagkakaunawaan at layunin ng pagpapanatili ng pagkakaisa ng pamilya. Narito ang isang breakdown ng mga magagamit na opsyon:
1. Amicable Settlement:
Ito ang gustong paraan, lalo na kung ang pagpreserba sa ugnayan ng pamilya ay isang priyoridad.
Ang mga tagapagmana ay maaaring makisali sa mga talakayan at negosasyon para magkaroon ng kasunduan sa paghahati o pamamahala ng ari-arian.
Ang isang abogado ay maaaring tumulong sa pamamagitan ng pamamagitan ng mga talakayan at pagbalangkas ng isang dokumento na nagbabalangkas sa mga napagkasunduang tuntunin.
2. Extrajudicial Settlement of Estate (EJS):
Sa mga kaso kung saan walang testamento o ang testamento ay hindi humahamon sa pamamahagi, at may hindi pagkakaunawaan sa panahon ng proseso ng EJS, maaaring subukan ng mga tagapagmana na makipagkasundo.
Maaaring pangasiwaan ng isang abogado ang mga talakayan at amyendahan ang dokumento ng EJS upang ipakita ang bagong napagkasunduang kasunduan.
3. Pamamagitan:
Ang isang neutral na tagapamagitan ng ikatlong partido ay gumagabay sa mga tagapagmana sa pagtalakay sa hindi pagkakaunawaan at paghahanap ng katanggap-tanggap na solusyon sa isa't isa.
Ang opsyong ito ay karaniwang mas mabilis at mas matipid kaysa sa paglilitis sa korte.
4. Arbitrasyon:
Katulad ng mediation, ngunit may awtoridad ang arbitrator na mag-isyu ng may-bisang desisyon sa hindi pagkakaunawaan.
Ito ay isang mas pormal na proseso na may potensyal na mas mataas na gastos kumpara sa pamamagitan.
5. Litigation:
Kung mabigo ang lahat ng iba pang paraan, ang mga tagapagmana ay maaaring magsampa ng kaso sa korte.
Ito ang pinaka-adversarial at nakakaubos ng oras na diskarte, na may potensyal na mataas na legal na bayarin. Maglalabas ang korte ng hatol kung paano dapat hatiin o pamahalaan ang ari-arian.
Mga Salik na Dapat Isaalang-alang Kapag Pumipili ng Paraan ng Resolusyon:
Tindi ng Di-pagkakasundo: Ang mga maliliit na hindi pagkakasundo ay maaaring matugunan sa pamamagitan ng mapayapang pag-aayos o pamamagitan, habang ang mga kumplikadong isyu ay maaaring mangailangan ng arbitrasyon o paglilitis.
Gastos: Ang mapayapang pag-aayos at pamamagitan ay karaniwang mas matipid kaysa sa arbitrasyon o paglilitis.
Oras: Ang paglilitis ay tumatagal ng pinakamatagal, habang ang maayos na pag-aayos ay maaaring humantong sa isang mabilis na paglutas.
Pagpapanatili ng Mga Relasyon: Kung ang pagpapanatili ng pagkakasundo ng pamilya ay mahalaga, ang mapayapa na pag-aayos o pamamagitan ay mas mainam na mga opsyon.
Mga Rekomendasyon:
Ang pagkonsulta sa isang abogado na dalubhasa sa batas ng mana ng Pilipinas ay mahalaga. Maaari silang magbigay ng gabay sa pinakaangkop na diskarte para sa iyong partikular na sitwasyon.
Ang pagtuklas ng mga alternatibong paraan ng paglutas ng dispute (ADR) tulad ng pamamagitan o arbitrasyon ay kadalasang inirerekomenda bago lumipat sa paglilitis.</v>
      </c>
      <c r="F530" s="2">
        <f t="shared" si="1"/>
        <v>0</v>
      </c>
      <c r="G530" s="2"/>
      <c r="H530" s="2"/>
      <c r="I530" s="2"/>
      <c r="J530" s="2"/>
      <c r="K530" s="2"/>
      <c r="L530" s="2"/>
      <c r="M530" s="2"/>
      <c r="N530" s="2"/>
      <c r="O530" s="2"/>
      <c r="P530" s="2"/>
      <c r="Q530" s="2"/>
      <c r="R530" s="2"/>
      <c r="S530" s="2"/>
      <c r="T530" s="2"/>
      <c r="U530" s="2"/>
      <c r="V530" s="2"/>
      <c r="W530" s="2"/>
      <c r="X530" s="2"/>
      <c r="Y530" s="2"/>
      <c r="Z530" s="2"/>
      <c r="AA530" s="2"/>
    </row>
    <row r="531">
      <c r="A531" s="1" t="s">
        <v>1224</v>
      </c>
      <c r="B531" s="1" t="s">
        <v>1759</v>
      </c>
      <c r="C531" s="1" t="s">
        <v>1820</v>
      </c>
      <c r="D531" s="1" t="s">
        <v>1761</v>
      </c>
      <c r="E531" s="2" t="str">
        <f>IFERROR(__xludf.DUMMYFUNCTION("GOOGLETRANSLATE(C531, ""en"", ""TL"")"),"Ang minanang ari-arian sa Pilipinas ay may potensyal para sa magkasanib na pagmamay-ari ng mga benepisyaryo. Gayunpaman, mayroong dalawang pangunahing paraan ng pagtatatag ng magkasanib na pagmamay-ari na ito, bawat isa ay nagdadala ng sarili nitong mga l"&amp;"egal na pagsasaalang-alang:
1. Co-ownership Through the Will
Ang indibidwal na lumikha ng testamento (testator) ay maaaring tahasang banggitin sa dokumento na ang mga partikular na benepisyaryo ay magkakasamang magmamana ng ari-arian.
Ang testament"&amp;"o ay dapat na malinaw na nakabalangkas sa mga porsyento ng pagmamay-ari na inilalaan sa bawat benepisyaryo, tulad ng 50/50 na hati sa pagitan ng dalawang magkapatid.
Mga Legal na Pagsasaalang-alang:
Pagpapakahulugan sa Will: Ang mga kalabuan sa wika n"&amp;"g testamento tungkol sa magkasanib na pagmamay-ari ay maaaring magresulta sa mga hindi pagkakaunawaan, na nangangailangan ng interpretasyon ng hukuman.
Ang paghingi ng legal na payo sa panahon ng proseso ng pagbalangkas ng testamento ay ipinapayong upang"&amp;" matiyak ang kalinawan.
2. Co-ownership sa pamamagitan ng Extrajudicial Settlement of Estate (EJS)
Sa mga sitwasyon kung saan walang testamento o ang testamento ay hindi tumutugon sa magkasanib na pagmamay-ari, maaaring magkasundo ang mga tagapagmana "&amp;"na maging mga kapwa may-ari bilang bahagi ng proseso ng EJS.
Ang dokumento ng EJS ay dapat na malinaw na nakasaad ang napagkasunduang porsyento ng pagmamay-ari para sa bawat tagapagmana.
Mga Legal na Pagsasaalang-alang:
Kasunduan sa Tagapagmana: Ang "&amp;"lahat ng kasangkot na tagapagmana ay dapat magkaroon ng isang pinagkasunduan tungkol sa magkasanib na pagmamay-ari at ang mga partikular na porsyento ng pamamahagi. Ang mga hindi pagkakasundo ay may potensyal na makahadlang sa proseso ng EJS o humantong s"&amp;"a paglilitis.
Mga Karagdagang Pagsasaalang-alang para sa Pinagsamang Pagmamay-ari:
Uri ng Co-ownership: Kinikilala ng batas ng Pilipinas ang iba't ibang uri ng co-ownership, tulad ng tenancy in common o joint tenancy na may karapatan ng survivorship. "&amp;"Ang pag-unawa sa mga pagkakaibang ito ay mahalaga, at ang legal na payo ay makakatulong na matukoy ang pinakaangkop na opsyon para sa partikular na sitwasyon.
Pamamahala at Mga Karapatan: Ang mga kapwa may-ari ay may mga karapatan at responsibilidad tung"&amp;"kol sa paggamit, pangangalaga, at potensyal na pagbebenta ng ari-arian. Ang isang dokumentadong kasunduan na nagbabalangkas sa mga aspetong ito ay maaaring maiwasan ang mga salungatan sa hinaharap.
Mga Rekomendasyon:
Ang pagkonsulta sa isang abogado n"&amp;"a dalubhasa sa batas ng mana ng Pilipinas ay lubos na inirerekomenda kapag pinag-iisipan ang magkasanib na pagmamay-ari ng minanang ari-arian.
Ang isang abogado ay maaaring magbigay ng patnubay sa mga legalidad ng pagtatatag ng magkasanib na pagmamay-ari"&amp;" sa pamamagitan ng isang testamento o EJS at magmungkahi ng pinakaangkop na istruktura ng co-ownership para sa sitwasyon.
Ang pagkakaroon ng malinaw at mahusay na pagkakabalangkas na testamento o EJS na dokumento na tumutukoy sa magkasanib na pagmamay-ar"&amp;"i at mga kaugnay na karapatan ay maaaring mabawasan ang panganib ng mga hindi pagkakaunawaan sa hinaharap sa mga benepisyaryo.")</f>
        <v>Ang minanang ari-arian sa Pilipinas ay may potensyal para sa magkasanib na pagmamay-ari ng mga benepisyaryo. Gayunpaman, mayroong dalawang pangunahing paraan ng pagtatatag ng magkasanib na pagmamay-ari na ito, bawat isa ay nagdadala ng sarili nitong mga legal na pagsasaalang-alang:
1. Co-ownership Through the Will
Ang indibidwal na lumikha ng testamento (testator) ay maaaring tahasang banggitin sa dokumento na ang mga partikular na benepisyaryo ay magkakasamang magmamana ng ari-arian.
Ang testamento ay dapat na malinaw na nakabalangkas sa mga porsyento ng pagmamay-ari na inilalaan sa bawat benepisyaryo, tulad ng 50/50 na hati sa pagitan ng dalawang magkapatid.
Mga Legal na Pagsasaalang-alang:
Pagpapakahulugan sa Will: Ang mga kalabuan sa wika ng testamento tungkol sa magkasanib na pagmamay-ari ay maaaring magresulta sa mga hindi pagkakaunawaan, na nangangailangan ng interpretasyon ng hukuman.
Ang paghingi ng legal na payo sa panahon ng proseso ng pagbalangkas ng testamento ay ipinapayong upang matiyak ang kalinawan.
2. Co-ownership sa pamamagitan ng Extrajudicial Settlement of Estate (EJS)
Sa mga sitwasyon kung saan walang testamento o ang testamento ay hindi tumutugon sa magkasanib na pagmamay-ari, maaaring magkasundo ang mga tagapagmana na maging mga kapwa may-ari bilang bahagi ng proseso ng EJS.
Ang dokumento ng EJS ay dapat na malinaw na nakasaad ang napagkasunduang porsyento ng pagmamay-ari para sa bawat tagapagmana.
Mga Legal na Pagsasaalang-alang:
Kasunduan sa Tagapagmana: Ang lahat ng kasangkot na tagapagmana ay dapat magkaroon ng isang pinagkasunduan tungkol sa magkasanib na pagmamay-ari at ang mga partikular na porsyento ng pamamahagi. Ang mga hindi pagkakasundo ay may potensyal na makahadlang sa proseso ng EJS o humantong sa paglilitis.
Mga Karagdagang Pagsasaalang-alang para sa Pinagsamang Pagmamay-ari:
Uri ng Co-ownership: Kinikilala ng batas ng Pilipinas ang iba't ibang uri ng co-ownership, tulad ng tenancy in common o joint tenancy na may karapatan ng survivorship. Ang pag-unawa sa mga pagkakaibang ito ay mahalaga, at ang legal na payo ay makakatulong na matukoy ang pinakaangkop na opsyon para sa partikular na sitwasyon.
Pamamahala at Mga Karapatan: Ang mga kapwa may-ari ay may mga karapatan at responsibilidad tungkol sa paggamit, pangangalaga, at potensyal na pagbebenta ng ari-arian. Ang isang dokumentadong kasunduan na nagbabalangkas sa mga aspetong ito ay maaaring maiwasan ang mga salungatan sa hinaharap.
Mga Rekomendasyon:
Ang pagkonsulta sa isang abogado na dalubhasa sa batas ng mana ng Pilipinas ay lubos na inirerekomenda kapag pinag-iisipan ang magkasanib na pagmamay-ari ng minanang ari-arian.
Ang isang abogado ay maaaring magbigay ng patnubay sa mga legalidad ng pagtatatag ng magkasanib na pagmamay-ari sa pamamagitan ng isang testamento o EJS at magmungkahi ng pinakaangkop na istruktura ng co-ownership para sa sitwasyon.
Ang pagkakaroon ng malinaw at mahusay na pagkakabalangkas na testamento o EJS na dokumento na tumutukoy sa magkasanib na pagmamay-ari at mga kaugnay na karapatan ay maaaring mabawasan ang panganib ng mga hindi pagkakaunawaan sa hinaharap sa mga benepisyaryo.</v>
      </c>
      <c r="F531" s="2">
        <f t="shared" si="1"/>
        <v>0</v>
      </c>
      <c r="G531" s="2"/>
      <c r="H531" s="2"/>
      <c r="I531" s="2"/>
      <c r="J531" s="2"/>
      <c r="K531" s="2"/>
      <c r="L531" s="2"/>
      <c r="M531" s="2"/>
      <c r="N531" s="2"/>
      <c r="O531" s="2"/>
      <c r="P531" s="2"/>
      <c r="Q531" s="2"/>
      <c r="R531" s="2"/>
      <c r="S531" s="2"/>
      <c r="T531" s="2"/>
      <c r="U531" s="2"/>
      <c r="V531" s="2"/>
      <c r="W531" s="2"/>
      <c r="X531" s="2"/>
      <c r="Y531" s="2"/>
      <c r="Z531" s="2"/>
      <c r="AA531" s="2"/>
    </row>
    <row r="532">
      <c r="A532" s="1" t="s">
        <v>1224</v>
      </c>
      <c r="B532" s="1" t="s">
        <v>1672</v>
      </c>
      <c r="C532" s="1" t="s">
        <v>1821</v>
      </c>
      <c r="D532" s="1" t="s">
        <v>1674</v>
      </c>
      <c r="E532" s="2" t="str">
        <f>IFERROR(__xludf.DUMMYFUNCTION("GOOGLETRANSLATE(C532, ""en"", ""TL"")"),"Depende sa kung nakumpleto na ang proseso ng pagmamana, may ilang sitwasyong dapat isaalang-alang:
Kung nagmana ka ng ari-arian at nilayon mong ilipat ito sa isang trust:
Ang karaniwang diskarte ay karaniwang nagsasangkot ng isang gawa, ang uri nito"&amp;" ay depende sa iyong lokasyon at likas na katangian ng ari-arian. Narito ang isang pangkalahatang balangkas:
Quitclaim Deed: Isang malawakang ginagamit na opsyon, inililipat ng kasulatang ito ang iyong interes sa pagmamay-ari sa property sa trust.
Mga"&amp;" hakbang na kasangkot (Ito ay mga pangkalahatang patnubay; kumunsulta sa isang abogado sa pagpaplano ng ari-arian para sa mga detalye):
Tapusin ang proseso ng mana: Tiyaking matagumpay na nailipat sa iyo ang legal na pagmamay-ari ng ari-arian mula sa a"&amp;"ri-arian ng namatay.
Humingi ng legal na payo: Kumonsulta sa isang abogado para talakayin ang iyong natatanging sitwasyon at ang uri ng tiwala na nais mong itatag (hal., isang nababawi na tiwala sa buhay). Gagabayan ka nila sa naaangkop na gawa at pamama"&amp;"halaan ang mga legal na aspeto.
Draft at isakatuparan ang kasulatan: Ihahanda ng abogado ang kasulatan, tinutukoy ang ari-arian at ipatutupad ang paglipat ng pagmamay-ari sa trust. Malamang na kakailanganin mong lagdaan ito sa presensya ng isang notaryo."&amp;"
Itala ang kasulatan: Opisyal na ilipat ang pagmamay-ari sa trust sa pamamagitan ng paghahain ng nilagdaang kasulatan sa kaukulang tanggapan ng gobyerno.
Kung ang mana ay itinalaga para sa isang tiwala sa kalooban:
Ang testamento mismo ay maaaring ma"&amp;"glarawan ng legal na proseso para sa paglilipat ng ari-arian. Maaaring kabilang dito ang tagapagpatupad ng testamento na sumusunod sa mga tiyak na tagubilin upang maihatid ang pagmamay-ari sa itinalagang tiwala.
Mahahalagang Pagsasaalang-alang:
Lega"&amp;"l na Dalubhasa: Ang pagsali sa isang abogado sa pagpaplano ng estate sa buong prosesong ito ay mahalaga. Maaari nilang tiyakin na ang paglipat ay sumusunod sa lahat ng legal na kinakailangan sa iyong hurisdiksyon.
Uri ng Trust: Ang iba't ibang trust ay n"&amp;"agsisilbi sa iba't ibang layunin. Makipag-usap sa iyong abogado upang matukoy kung aling tiwala ang pinakamahusay na naaayon sa iyong mga pangmatagalang pangangailangan sa pamamahala (hal., isang hindi mababawi na tiwala para sa proteksyon ng asset).
Mga"&amp;" Implikasyon sa Buwis: Ang paglilipat ng ari-arian sa isang trust ay maaaring may mga implikasyon sa buwis. Ang iyong abogado ay maaaring magbigay ng gabay sa mga potensyal na pananagutan sa buwis.
Mahalagang tandaan na ito ay isang pinasimple na pangkal"&amp;"ahatang-ideya. Ang pagkonsulta sa isang abogado sa pagpaplano ng ari-arian na bihasa sa iyong mga lokal na batas ay mahalaga upang magarantiya ang isang tuluy-tuloy at legal na paglipat ng minanang ari-arian sa isang trust.")</f>
        <v>Depende sa kung nakumpleto na ang proseso ng pagmamana, may ilang sitwasyong dapat isaalang-alang:
Kung nagmana ka ng ari-arian at nilayon mong ilipat ito sa isang trust:
Ang karaniwang diskarte ay karaniwang nagsasangkot ng isang gawa, ang uri nito ay depende sa iyong lokasyon at likas na katangian ng ari-arian. Narito ang isang pangkalahatang balangkas:
Quitclaim Deed: Isang malawakang ginagamit na opsyon, inililipat ng kasulatang ito ang iyong interes sa pagmamay-ari sa property sa trust.
Mga hakbang na kasangkot (Ito ay mga pangkalahatang patnubay; kumunsulta sa isang abogado sa pagpaplano ng ari-arian para sa mga detalye):
Tapusin ang proseso ng mana: Tiyaking matagumpay na nailipat sa iyo ang legal na pagmamay-ari ng ari-arian mula sa ari-arian ng namatay.
Humingi ng legal na payo: Kumonsulta sa isang abogado para talakayin ang iyong natatanging sitwasyon at ang uri ng tiwala na nais mong itatag (hal., isang nababawi na tiwala sa buhay). Gagabayan ka nila sa naaangkop na gawa at pamamahalaan ang mga legal na aspeto.
Draft at isakatuparan ang kasulatan: Ihahanda ng abogado ang kasulatan, tinutukoy ang ari-arian at ipatutupad ang paglipat ng pagmamay-ari sa trust. Malamang na kakailanganin mong lagdaan ito sa presensya ng isang notaryo.
Itala ang kasulatan: Opisyal na ilipat ang pagmamay-ari sa trust sa pamamagitan ng paghahain ng nilagdaang kasulatan sa kaukulang tanggapan ng gobyerno.
Kung ang mana ay itinalaga para sa isang tiwala sa kalooban:
Ang testamento mismo ay maaaring maglarawan ng legal na proseso para sa paglilipat ng ari-arian. Maaaring kabilang dito ang tagapagpatupad ng testamento na sumusunod sa mga tiyak na tagubilin upang maihatid ang pagmamay-ari sa itinalagang tiwala.
Mahahalagang Pagsasaalang-alang:
Legal na Dalubhasa: Ang pagsali sa isang abogado sa pagpaplano ng estate sa buong prosesong ito ay mahalaga. Maaari nilang tiyakin na ang paglipat ay sumusunod sa lahat ng legal na kinakailangan sa iyong hurisdiksyon.
Uri ng Trust: Ang iba't ibang trust ay nagsisilbi sa iba't ibang layunin. Makipag-usap sa iyong abogado upang matukoy kung aling tiwala ang pinakamahusay na naaayon sa iyong mga pangmatagalang pangangailangan sa pamamahala (hal., isang hindi mababawi na tiwala para sa proteksyon ng asset).
Mga Implikasyon sa Buwis: Ang paglilipat ng ari-arian sa isang trust ay maaaring may mga implikasyon sa buwis. Ang iyong abogado ay maaaring magbigay ng gabay sa mga potensyal na pananagutan sa buwis.
Mahalagang tandaan na ito ay isang pinasimple na pangkalahatang-ideya. Ang pagkonsulta sa isang abogado sa pagpaplano ng ari-arian na bihasa sa iyong mga lokal na batas ay mahalaga upang magarantiya ang isang tuluy-tuloy at legal na paglipat ng minanang ari-arian sa isang trust.</v>
      </c>
      <c r="F532" s="2">
        <f t="shared" si="1"/>
        <v>0</v>
      </c>
      <c r="G532" s="2"/>
      <c r="H532" s="2"/>
      <c r="I532" s="2"/>
      <c r="J532" s="2"/>
      <c r="K532" s="2"/>
      <c r="L532" s="2"/>
      <c r="M532" s="2"/>
      <c r="N532" s="2"/>
      <c r="O532" s="2"/>
      <c r="P532" s="2"/>
      <c r="Q532" s="2"/>
      <c r="R532" s="2"/>
      <c r="S532" s="2"/>
      <c r="T532" s="2"/>
      <c r="U532" s="2"/>
      <c r="V532" s="2"/>
      <c r="W532" s="2"/>
      <c r="X532" s="2"/>
      <c r="Y532" s="2"/>
      <c r="Z532" s="2"/>
      <c r="AA532" s="2"/>
    </row>
    <row r="533">
      <c r="A533" s="1" t="s">
        <v>1224</v>
      </c>
      <c r="B533" s="1" t="s">
        <v>1822</v>
      </c>
      <c r="C533" s="1" t="s">
        <v>1823</v>
      </c>
      <c r="D533" s="1" t="s">
        <v>1824</v>
      </c>
      <c r="E533" s="2" t="str">
        <f>IFERROR(__xludf.DUMMYFUNCTION("GOOGLETRANSLATE(C533, ""en"", ""TL"")"),"Sa Pilipinas, ang pagmamana ng ari-arian na napapailalim sa mga regulasyon o paghihigpit sa kapaligiran ay pinamamahalaan ng iba't ibang mga batas at regulasyon na idinisenyo upang protektahan ang kapaligiran. Nakatuon ang mga batas sa pagtiyak na ang pag"&amp;"gamit at pagbuo ng mga ari-arian ay sumusunod sa mga pamantayan sa kapaligiran. Narito ang mga pangunahing pagsasaalang-alang:
1. **Environmental Compliance Certificate (ECC):**
- Maaaring mangailangan ng Environmental Compliance Certificate (ECC) ang mga"&amp;" ari-arian na may mga potensyal na epekto sa kapaligiran, tulad ng mga kasangkot sa mga proyekto sa pagpapaunlad. Ang ECC ay inisyu ng Department of Environment and Natural Resources (DENR) pagkatapos ng pagsusuri sa epekto sa kapaligiran.
2. **Mga Protek"&amp;"tadong Lugar at Kritikal na Tirahan:**
- Ang ilang mga ari-arian ay maaaring matatagpuan sa loob ng mga protektadong lugar o kritikal na tirahan, kung saan nalalapat ang mga karagdagang regulasyon at paghihigpit. Ang National Integrated Protected Areas Sy"&amp;"stem (NIPAS) Act at iba pang nauugnay na batas ay namamahala sa mga lugar na ito.
3. **Mga Lupang Kagubatan at Mga Tubig:**
- Ang mga minanang ari-arian na matatagpuan sa mga kagubatan o watershed ay maaaring sumailalim sa mga partikular na regulasyon upa"&amp;"ng protektahan ang mahahalagang ecosystem na ito. Ang mga batas sa kagubatan at mga regulasyon sa pamamahala ng watershed ay naglalayong tiyakin ang napapanatiling paggamit ng lupa at konserbasyon ng mapagkukunan.
4. **Clean Air and Water Acts:**
- Ang Cl"&amp;"ean Air Act at ang Clean Water Act ay nagpapataw ng mga regulasyon upang mapanatili at mapabuti ang kalidad ng hangin at tubig. Ang mga ari-arian na maaaring makaapekto sa kalidad ng hangin o tubig ay dapat sumunod sa mga batas na ito.
5. **Pamamahala ng "&amp;"Solid Waste:**
- Ang mga minanang ari-arian ay napapailalim sa Ecological Solid Waste Management Act, na kumokontrol sa wastong pagtatapon at pamamahala ng solid waste. Ang pagsunod sa mga kasanayan sa pamamahala ng basura ay mahalaga para sa mga may-ari "&amp;"ng ari-arian.
6. **Environmental Impact Assessment (EIA):**
- Ang mga malalaking proyekto o pagpapaunlad ay maaaring mangailangan ng Environmental Impact Assessment (EIA) upang masuri ang mga potensyal na epekto sa kapaligiran. Ang pagtatasa na ito ay bah"&amp;"agi ng proseso para sa pagkuha ng ECC.
7. ** Pananagutan para sa Mga Paglabag sa Pangkapaligiran:**
- Maaaring managot ang mga tagapagmana para sa mga paglabag sa kapaligiran sa mga minanang ari-arian. Ang batas ay nagpapahintulot para sa pagpataw ng mga "&amp;"parusa at multa para sa hindi pagsunod sa mga regulasyon sa kapaligiran.
8. **Transparency at Public Participation:**
- Ang mga batas sa kapaligiran ay kadalasang nagsusulong ng transparency at pakikilahok ng publiko sa mga proseso ng paggawa ng desisyon."&amp;" Maaaring kailanganin ng mga tagapagmana na makipag-ugnayan sa mga kaugnay na awtoridad at komunidad, lalo na kung ang minanang ari-arian ay kasangkot sa mga proyektong nakakaapekto sa kapaligiran.
Kapag nagmamana ng ari-arian na napapailalim sa mga regul"&amp;"asyon sa kapaligiran, napakahalaga para sa mga tagapagmana na magsagawa ng angkop na pagsusumikap upang maunawaan ang kalagayan at pagsunod sa kapaligiran ng ari-arian. Ang paghingi ng legal na payo at pagkonsulta sa mga eksperto sa kapaligiran ay maaarin"&amp;"g makatulong sa pag-navigate sa mga kumplikado ng mga regulasyon sa kapaligiran at matiyak ang wastong pagsunod sa batas.")</f>
        <v>Sa Pilipinas, ang pagmamana ng ari-arian na napapailalim sa mga regulasyon o paghihigpit sa kapaligiran ay pinamamahalaan ng iba't ibang mga batas at regulasyon na idinisenyo upang protektahan ang kapaligiran. Nakatuon ang mga batas sa pagtiyak na ang paggamit at pagbuo ng mga ari-arian ay sumusunod sa mga pamantayan sa kapaligiran. Narito ang mga pangunahing pagsasaalang-alang:
1. **Environmental Compliance Certificate (ECC):**
- Maaaring mangailangan ng Environmental Compliance Certificate (ECC) ang mga ari-arian na may mga potensyal na epekto sa kapaligiran, tulad ng mga kasangkot sa mga proyekto sa pagpapaunlad. Ang ECC ay inisyu ng Department of Environment and Natural Resources (DENR) pagkatapos ng pagsusuri sa epekto sa kapaligiran.
2. **Mga Protektadong Lugar at Kritikal na Tirahan:**
- Ang ilang mga ari-arian ay maaaring matatagpuan sa loob ng mga protektadong lugar o kritikal na tirahan, kung saan nalalapat ang mga karagdagang regulasyon at paghihigpit. Ang National Integrated Protected Areas System (NIPAS) Act at iba pang nauugnay na batas ay namamahala sa mga lugar na ito.
3. **Mga Lupang Kagubatan at Mga Tubig:**
- Ang mga minanang ari-arian na matatagpuan sa mga kagubatan o watershed ay maaaring sumailalim sa mga partikular na regulasyon upang protektahan ang mahahalagang ecosystem na ito. Ang mga batas sa kagubatan at mga regulasyon sa pamamahala ng watershed ay naglalayong tiyakin ang napapanatiling paggamit ng lupa at konserbasyon ng mapagkukunan.
4. **Clean Air and Water Acts:**
- Ang Clean Air Act at ang Clean Water Act ay nagpapataw ng mga regulasyon upang mapanatili at mapabuti ang kalidad ng hangin at tubig. Ang mga ari-arian na maaaring makaapekto sa kalidad ng hangin o tubig ay dapat sumunod sa mga batas na ito.
5. **Pamamahala ng Solid Waste:**
- Ang mga minanang ari-arian ay napapailalim sa Ecological Solid Waste Management Act, na kumokontrol sa wastong pagtatapon at pamamahala ng solid waste. Ang pagsunod sa mga kasanayan sa pamamahala ng basura ay mahalaga para sa mga may-ari ng ari-arian.
6. **Environmental Impact Assessment (EIA):**
- Ang mga malalaking proyekto o pagpapaunlad ay maaaring mangailangan ng Environmental Impact Assessment (EIA) upang masuri ang mga potensyal na epekto sa kapaligiran. Ang pagtatasa na ito ay bahagi ng proseso para sa pagkuha ng ECC.
7. ** Pananagutan para sa Mga Paglabag sa Pangkapaligiran:**
- Maaaring managot ang mga tagapagmana para sa mga paglabag sa kapaligiran sa mga minanang ari-arian. Ang batas ay nagpapahintulot para sa pagpataw ng mga parusa at multa para sa hindi pagsunod sa mga regulasyon sa kapaligiran.
8. **Transparency at Public Participation:**
- Ang mga batas sa kapaligiran ay kadalasang nagsusulong ng transparency at pakikilahok ng publiko sa mga proseso ng paggawa ng desisyon. Maaaring kailanganin ng mga tagapagmana na makipag-ugnayan sa mga kaugnay na awtoridad at komunidad, lalo na kung ang minanang ari-arian ay kasangkot sa mga proyektong nakakaapekto sa kapaligiran.
Kapag nagmamana ng ari-arian na napapailalim sa mga regulasyon sa kapaligiran, napakahalaga para sa mga tagapagmana na magsagawa ng angkop na pagsusumikap upang maunawaan ang kalagayan at pagsunod sa kapaligiran ng ari-arian. Ang paghingi ng legal na payo at pagkonsulta sa mga eksperto sa kapaligiran ay maaaring makatulong sa pag-navigate sa mga kumplikado ng mga regulasyon sa kapaligiran at matiyak ang wastong pagsunod sa batas.</v>
      </c>
      <c r="F533" s="2">
        <f t="shared" si="1"/>
        <v>0</v>
      </c>
      <c r="G533" s="2"/>
      <c r="H533" s="2"/>
      <c r="I533" s="2"/>
      <c r="J533" s="2"/>
      <c r="K533" s="2"/>
      <c r="L533" s="2"/>
      <c r="M533" s="2"/>
      <c r="N533" s="2"/>
      <c r="O533" s="2"/>
      <c r="P533" s="2"/>
      <c r="Q533" s="2"/>
      <c r="R533" s="2"/>
      <c r="S533" s="2"/>
      <c r="T533" s="2"/>
      <c r="U533" s="2"/>
      <c r="V533" s="2"/>
      <c r="W533" s="2"/>
      <c r="X533" s="2"/>
      <c r="Y533" s="2"/>
      <c r="Z533" s="2"/>
      <c r="AA533" s="2"/>
    </row>
    <row r="534">
      <c r="A534" s="1" t="s">
        <v>1224</v>
      </c>
      <c r="B534" s="1" t="s">
        <v>1735</v>
      </c>
      <c r="C534" s="1" t="s">
        <v>1825</v>
      </c>
      <c r="D534" s="1" t="s">
        <v>1737</v>
      </c>
      <c r="E534" s="2" t="str">
        <f>IFERROR(__xludf.DUMMYFUNCTION("GOOGLETRANSLATE(C534, ""en"", ""TL"")"),"Oo, ang minanang ari-arian ay maaaring sumailalim sa mga tuntunin at bayad sa asosasyon ng mga may-ari ng bahay (homeowners' association (HOA) kung ang ari-arian ay nasa loob ng isang komunidad o pag-unlad na pinamamahalaan ng isang HOA. Ang mga asosasyon"&amp;" ng mga may-ari ng bahay ay karaniwan sa mga subdivision, condominium, at iba pang pamayanan ng tirahan sa Pilipinas. Ang mga tuntunin at bayad na itinakda ng HOA ay karaniwang may bisa sa lahat ng may-ari ng ari-arian sa loob ng komunidad, kabilang ang m"&amp;"ga tagapagmana ng minanang ari-arian.
Narito kung paano karaniwang gumagana ang pamamahala ng minanang ari-arian sa loob ng isang HOA:
1. **Mga Obligasyon sa HOA:**
- Ang mga tagapagmana ng minanang ari-arian ay karaniwang obligado na sumunod sa mga tuntu"&amp;"nin at regulasyon na itinakda ng asosasyon ng mga may-ari ng bahay. Maaaring saklawin ng mga panuntunang ito ang iba't ibang aspeto tulad ng mga alituntunin sa arkitektura, paggamit ng mga karaniwang lugar, at pagbabayad ng mga bayarin sa asosasyon.
2. **"&amp;"Abiso sa HOA:**
- Sa pagmamana ng ari-arian, dapat ipaalam ng mga tagapagmana ang asosasyon ng mga may-ari ng bahay tungkol sa pagbabago sa pagmamay-ari. Madalas itong ginagawa sa pamamagitan ng pagsusumite ng mga kinakailangang dokumento, tulad ng patuna"&amp;"y ng mana o paglipat ng titulo, sa HOA.
3. **Pagbabayad ng Mga Bayad sa Asosasyon:**
- Karaniwang responsable ang mga tagapagmana sa pagbabayad ng mga bayarin sa asosasyon, na nakakatulong sa pagpapanatili at pamamahala ng mga karaniwang lugar, seguridad,"&amp;" at iba pang mga serbisyong ibinibigay ng asosasyon ng mga may-ari ng bahay.
4. **Pagsunod sa Mga Panuntunan:**
- Dapat maging pamilyar ang mga tagapagmana sa mga tuntunin ng HOA at tiyakin ang pagsunod. Maaaring kabilang dito ang pagkuha ng pag-apruba mu"&amp;"la sa HOA para sa anumang pagbabago sa istruktura o pagsasaayos sa property.
5. **Paglahok sa HOA Meetings:**
- Maaaring may karapatan ang mga tagapagmana na lumahok sa mga pagpupulong ng asosasyon ng mga may-ari ng bahay, kung saan ang mga desisyon tungk"&amp;"ol sa mga usapin ng komunidad ay tinatalakay at binobotohan.
6. **Paghawak sa Mga Hindi pagkakaunawaan:**
- Kung may mga hindi pagkakasundo sa pagitan ng mga tagapagmana at ng HOA, dapat sundin ang mga mekanismo sa pagresolba ng hindi pagkakaunawaan na na"&amp;"kabalangkas sa mga dokumentong namamahala ng asosasyon. Maaaring may kasamang pamamagitan o iba pang prosesong tinukoy sa mga tuntunin ng asosasyon.
Mahalagang malaman ng mga tagapagmana ang mga partikular na panuntunan ng HOA na naaangkop sa minanang ari"&amp;"-arian at panatilihin ang bukas na komunikasyon sa asosasyon. Ang pagkabigong sumunod sa mga tuntunin ng asosasyon ay maaaring humantong sa mga parusa, multa, o iba pang mga hakbang sa pagpapatupad.
Upang matiyak ang maayos na paglipat at pag-unawa sa mga"&amp;" responsibilidad na nauugnay sa isang minanang ari-arian sa loob ng isang HOA, maaaring humingi ng legal na payo ang mga tagapagmana at makipag-ugnayan sa asosasyon ng mga may-ari ng bahay sa maagang proseso.")</f>
        <v>Oo, ang minanang ari-arian ay maaaring sumailalim sa mga tuntunin at bayad sa asosasyon ng mga may-ari ng bahay (homeowners' association (HOA) kung ang ari-arian ay nasa loob ng isang komunidad o pag-unlad na pinamamahalaan ng isang HOA. Ang mga asosasyon ng mga may-ari ng bahay ay karaniwan sa mga subdivision, condominium, at iba pang pamayanan ng tirahan sa Pilipinas. Ang mga tuntunin at bayad na itinakda ng HOA ay karaniwang may bisa sa lahat ng may-ari ng ari-arian sa loob ng komunidad, kabilang ang mga tagapagmana ng minanang ari-arian.
Narito kung paano karaniwang gumagana ang pamamahala ng minanang ari-arian sa loob ng isang HOA:
1. **Mga Obligasyon sa HOA:**
- Ang mga tagapagmana ng minanang ari-arian ay karaniwang obligado na sumunod sa mga tuntunin at regulasyon na itinakda ng asosasyon ng mga may-ari ng bahay. Maaaring saklawin ng mga panuntunang ito ang iba't ibang aspeto tulad ng mga alituntunin sa arkitektura, paggamit ng mga karaniwang lugar, at pagbabayad ng mga bayarin sa asosasyon.
2. **Abiso sa HOA:**
- Sa pagmamana ng ari-arian, dapat ipaalam ng mga tagapagmana ang asosasyon ng mga may-ari ng bahay tungkol sa pagbabago sa pagmamay-ari. Madalas itong ginagawa sa pamamagitan ng pagsusumite ng mga kinakailangang dokumento, tulad ng patunay ng mana o paglipat ng titulo, sa HOA.
3. **Pagbabayad ng Mga Bayad sa Asosasyon:**
- Karaniwang responsable ang mga tagapagmana sa pagbabayad ng mga bayarin sa asosasyon, na nakakatulong sa pagpapanatili at pamamahala ng mga karaniwang lugar, seguridad, at iba pang mga serbisyong ibinibigay ng asosasyon ng mga may-ari ng bahay.
4. **Pagsunod sa Mga Panuntunan:**
- Dapat maging pamilyar ang mga tagapagmana sa mga tuntunin ng HOA at tiyakin ang pagsunod. Maaaring kabilang dito ang pagkuha ng pag-apruba mula sa HOA para sa anumang pagbabago sa istruktura o pagsasaayos sa property.
5. **Paglahok sa HOA Meetings:**
- Maaaring may karapatan ang mga tagapagmana na lumahok sa mga pagpupulong ng asosasyon ng mga may-ari ng bahay, kung saan ang mga desisyon tungkol sa mga usapin ng komunidad ay tinatalakay at binobotohan.
6. **Paghawak sa Mga Hindi pagkakaunawaan:**
- Kung may mga hindi pagkakasundo sa pagitan ng mga tagapagmana at ng HOA, dapat sundin ang mga mekanismo sa pagresolba ng hindi pagkakaunawaan na nakabalangkas sa mga dokumentong namamahala ng asosasyon. Maaaring may kasamang pamamagitan o iba pang prosesong tinukoy sa mga tuntunin ng asosasyon.
Mahalagang malaman ng mga tagapagmana ang mga partikular na panuntunan ng HOA na naaangkop sa minanang ari-arian at panatilihin ang bukas na komunikasyon sa asosasyon. Ang pagkabigong sumunod sa mga tuntunin ng asosasyon ay maaaring humantong sa mga parusa, multa, o iba pang mga hakbang sa pagpapatupad.
Upang matiyak ang maayos na paglipat at pag-unawa sa mga responsibilidad na nauugnay sa isang minanang ari-arian sa loob ng isang HOA, maaaring humingi ng legal na payo ang mga tagapagmana at makipag-ugnayan sa asosasyon ng mga may-ari ng bahay sa maagang proseso.</v>
      </c>
      <c r="F534" s="2">
        <f t="shared" si="1"/>
        <v>0</v>
      </c>
      <c r="G534" s="2"/>
      <c r="H534" s="2"/>
      <c r="I534" s="2"/>
      <c r="J534" s="2"/>
      <c r="K534" s="2"/>
      <c r="L534" s="2"/>
      <c r="M534" s="2"/>
      <c r="N534" s="2"/>
      <c r="O534" s="2"/>
      <c r="P534" s="2"/>
      <c r="Q534" s="2"/>
      <c r="R534" s="2"/>
      <c r="S534" s="2"/>
      <c r="T534" s="2"/>
      <c r="U534" s="2"/>
      <c r="V534" s="2"/>
      <c r="W534" s="2"/>
      <c r="X534" s="2"/>
      <c r="Y534" s="2"/>
      <c r="Z534" s="2"/>
      <c r="AA534" s="2"/>
    </row>
    <row r="535">
      <c r="A535" s="1" t="s">
        <v>1224</v>
      </c>
      <c r="B535" s="1" t="s">
        <v>1796</v>
      </c>
      <c r="C535" s="1" t="s">
        <v>1826</v>
      </c>
      <c r="D535" s="1" t="s">
        <v>1798</v>
      </c>
      <c r="E535" s="2" t="str">
        <f>IFERROR(__xludf.DUMMYFUNCTION("GOOGLETRANSLATE(C535, ""en"", ""TL"")"),"Sa Pilipinas, ang mga legal na karapatan at obligasyon ng mga tagapagmana hinggil sa pagpapanatili at pangangalaga ng minanang ari-arian ay karaniwang pinamamahalaan ng Civil Code of the Philippines. Narito ang ilang mahahalagang puntong dapat isaalang-al"&amp;"ang:
### Mga Karapatan ng mga Tagapagmana:
1. **Karapatang Mag-aari:**
- Ang mga tagapagmana ay may karapatang angkinin at tamasahin ang minanang ari-arian sa pagkamatay ng yumao.
2. **Karapatang Mag-arkila o Magrenta:**
- Ang mga tagapagmana ay may awtor"&amp;"idad na umarkila o umupa ng minanang ari-arian, napapailalim sa anumang mga paghihigpit o kundisyon na ipinataw ng batas o mga tuntunin ng huling habilin at testamento.
3. **Karapatang Magkita:**
- Ang mga tagapagmana ay may karapatan sa anumang kita na n"&amp;"abuo ng minanang ari-arian, tulad ng kita sa pag-upa o kita mula sa paggamit nito.
4. **Karapatang Maglipat:**
- May karapatan ang mga tagapagmana na ibenta, ilipat, o kung hindi man ay itapon ang kanilang bahagi o interes sa minanang ari-arian, maliban k"&amp;"ung pinaghihigpitan ng mga tuntunin ng testamento o ng batas.
### Mga Obligasyon ng mga Tagapagmana:
1. **Pagpapanatili at Pagpapanatili:**
- Obligado ang mga tagapagmana na panatilihin at pangalagaan ang minanang ari-arian. Kabilang dito ang pagpapanatil"&amp;"ing nasa mabuting kondisyon ang ari-arian at paggawa ng mga kinakailangang pagkukumpuni upang maiwasan ang pagkasira.
2. **Pagbabayad ng mga Utang at Buwis:**
- Ang mga tagapagmana ay may pananagutan sa pag-aayos ng mga utang at obligasyon ng namatay, kab"&amp;"ilang ang mga buwis sa ari-arian at iba pang mga buwis na may kaugnayan sa minanang ari-arian.
3. **Pagsunod sa Mga Legal na Kinakailangan:**
- Dapat sumunod ang mga tagapagmana sa mga legal na kinakailangan, tulad ng pagpaparehistro ng paglilipat ng titu"&amp;"lo sa naaangkop na awtoridad ng gobyerno.
4. **Paggalang sa Mga Karapatan ng Co-heirs:**
- Ang mga tagapagmana na kapwa nagmamay-ari ng ari-arian sa iba (hal., mga kapatid) ay dapat igalang ang mga karapatan at interes ng bawat isa. Ang mga desisyon tungk"&amp;"ol sa ari-arian ay dapat gawin sa konsultasyon sa iba pang kasamang tagapagmana.
5. **Pagsunod sa mga Probisyon ng Will:**
- Kung may wastong testamento, ang mga tagapagmana ay obligadong sumunod sa mga probisyon na nakasaad sa testamento tungkol sa pagga"&amp;"mit, pagpapanatili, at pamamahagi ng minanang ari-arian.
Mahalaga para sa mga tagapagmana na makipag-ugnayan at makipagtulungan sa isa't isa upang matiyak ang wastong pamamahala ng minanang ari-arian. Ang paghingi ng legal na payo, lalo na sa mga kumplika"&amp;"dong sitwasyon o kapag may mga pagtatalo sa pagitan ng mga tagapagmana, ay maaaring makatulong na linawin ang mga karapatan at obligasyon at mapadali ang maayos na pangangasiwa ng ari-arian.")</f>
        <v>Sa Pilipinas, ang mga legal na karapatan at obligasyon ng mga tagapagmana hinggil sa pagpapanatili at pangangalaga ng minanang ari-arian ay karaniwang pinamamahalaan ng Civil Code of the Philippines. Narito ang ilang mahahalagang puntong dapat isaalang-alang:
### Mga Karapatan ng mga Tagapagmana:
1. **Karapatang Mag-aari:**
- Ang mga tagapagmana ay may karapatang angkinin at tamasahin ang minanang ari-arian sa pagkamatay ng yumao.
2. **Karapatang Mag-arkila o Magrenta:**
- Ang mga tagapagmana ay may awtoridad na umarkila o umupa ng minanang ari-arian, napapailalim sa anumang mga paghihigpit o kundisyon na ipinataw ng batas o mga tuntunin ng huling habilin at testamento.
3. **Karapatang Magkita:**
- Ang mga tagapagmana ay may karapatan sa anumang kita na nabuo ng minanang ari-arian, tulad ng kita sa pag-upa o kita mula sa paggamit nito.
4. **Karapatang Maglipat:**
- May karapatan ang mga tagapagmana na ibenta, ilipat, o kung hindi man ay itapon ang kanilang bahagi o interes sa minanang ari-arian, maliban kung pinaghihigpitan ng mga tuntunin ng testamento o ng batas.
### Mga Obligasyon ng mga Tagapagmana:
1. **Pagpapanatili at Pagpapanatili:**
- Obligado ang mga tagapagmana na panatilihin at pangalagaan ang minanang ari-arian. Kabilang dito ang pagpapanatiling nasa mabuting kondisyon ang ari-arian at paggawa ng mga kinakailangang pagkukumpuni upang maiwasan ang pagkasira.
2. **Pagbabayad ng mga Utang at Buwis:**
- Ang mga tagapagmana ay may pananagutan sa pag-aayos ng mga utang at obligasyon ng namatay, kabilang ang mga buwis sa ari-arian at iba pang mga buwis na may kaugnayan sa minanang ari-arian.
3. **Pagsunod sa Mga Legal na Kinakailangan:**
- Dapat sumunod ang mga tagapagmana sa mga legal na kinakailangan, tulad ng pagpaparehistro ng paglilipat ng titulo sa naaangkop na awtoridad ng gobyerno.
4. **Paggalang sa Mga Karapatan ng Co-heirs:**
- Ang mga tagapagmana na kapwa nagmamay-ari ng ari-arian sa iba (hal., mga kapatid) ay dapat igalang ang mga karapatan at interes ng bawat isa. Ang mga desisyon tungkol sa ari-arian ay dapat gawin sa konsultasyon sa iba pang kasamang tagapagmana.
5. **Pagsunod sa mga Probisyon ng Will:**
- Kung may wastong testamento, ang mga tagapagmana ay obligadong sumunod sa mga probisyon na nakasaad sa testamento tungkol sa paggamit, pagpapanatili, at pamamahagi ng minanang ari-arian.
Mahalaga para sa mga tagapagmana na makipag-ugnayan at makipagtulungan sa isa't isa upang matiyak ang wastong pamamahala ng minanang ari-arian. Ang paghingi ng legal na payo, lalo na sa mga kumplikadong sitwasyon o kapag may mga pagtatalo sa pagitan ng mga tagapagmana, ay maaaring makatulong na linawin ang mga karapatan at obligasyon at mapadali ang maayos na pangangasiwa ng ari-arian.</v>
      </c>
      <c r="F535" s="2">
        <f t="shared" si="1"/>
        <v>0</v>
      </c>
      <c r="G535" s="2"/>
      <c r="H535" s="2"/>
      <c r="I535" s="2"/>
      <c r="J535" s="2"/>
      <c r="K535" s="2"/>
      <c r="L535" s="2"/>
      <c r="M535" s="2"/>
      <c r="N535" s="2"/>
      <c r="O535" s="2"/>
      <c r="P535" s="2"/>
      <c r="Q535" s="2"/>
      <c r="R535" s="2"/>
      <c r="S535" s="2"/>
      <c r="T535" s="2"/>
      <c r="U535" s="2"/>
      <c r="V535" s="2"/>
      <c r="W535" s="2"/>
      <c r="X535" s="2"/>
      <c r="Y535" s="2"/>
      <c r="Z535" s="2"/>
      <c r="AA535" s="2"/>
    </row>
    <row r="536">
      <c r="A536" s="1" t="s">
        <v>1224</v>
      </c>
      <c r="B536" s="1" t="s">
        <v>1801</v>
      </c>
      <c r="C536" s="1" t="s">
        <v>1827</v>
      </c>
      <c r="D536" s="1" t="s">
        <v>1803</v>
      </c>
      <c r="E536" s="2" t="str">
        <f>IFERROR(__xludf.DUMMYFUNCTION("GOOGLETRANSLATE(C536, ""en"", ""TL"")"),"Sa Pilipinas, ang batas sa mana na pangunahing pinamamahalaan ng Civil Code of the Philippines ay tumutugon sa paglilipat ng mga ari-arian kapag namatay ang isang indibidwal. Pagdating sa mga ari-arian na may kasalukuyang mga kasunduan sa pag-upa o mga na"&amp;"ngungupahan, ang mga karapatan at responsibilidad ng parehong may-ari at ng mga nangungupahan ay karaniwang isinasaalang-alang.
Narito ang ilang mahahalagang puntong dapat isaalang-alang:
1. **Pagpapatuloy ng Mga Kasunduan sa Pagrenta:**
- Sa pangkalahata"&amp;"n, kapag ang isang may-ari ng ari-arian ay pumanaw, ang mga umiiral na kasunduan sa pag-upa ay mananatiling may bisa at patuloy na maipapatupad.
- Inaako ng mga tagapagmana o mga benepisyaryo ng namatay na may-ari ang mga karapatan at obligasyon ng may-ar"&amp;"i, kabilang ang mga nauugnay sa umiiral na mga kasunduan sa pag-upa.
2. **Paunawa sa Mga Nangungupahan:**
- Dapat ipaalam ng mga tagapagmana o benepisyaryo sa mga nangungupahan ang pagkamatay ng may-ari ng ari-arian sa lalong madaling panahon.
- Maaaring "&amp;"magbigay ng paunawa alinsunod sa mga tuntunin ng umiiral na kasunduan sa pag-upa o ayon sa hinihingi ng mga lokal na batas.
3. **Paglipat ng Pagmamay-ari:**
- Ang proseso ng paglilipat ng pagmamay-ari sa mga tagapagmana o benepisyaryo ay maaaring may kasa"&amp;"mang mga legal na pamamaraan, tulad ng probate ng testamento o settlement ng ari-arian.
- Ang paglipat ng pagmamay-ari ay hindi awtomatikong nagwawakas ng mga umiiral na kasunduan sa pag-upa.
4. **Mga Karapatan ng Mga Tagapagmana/Makikinabang:**
- Ang mga"&amp;" tagapagmana o benepisyaryo ay may karapatang tumanggap ng kita sa pag-upa mula sa ari-arian, tulad ng ginawa ng namatay na may-ari.
- Sila ang may pananagutan sa pagpapanatili ng ari-arian at pagtupad sa mga tuntunin ng anumang umiiral na mga lease.
5. *"&amp;"*Proteksyon ng Nangungupahan:**
- Ang mga nangungupahan ay karaniwang protektado sa ilalim ng umiiral na mga kasunduan sa pag-upa at naaangkop na mga batas sa pangungupahan.
- Ang pagkamatay ng may-ari ay karaniwang hindi nakakaapekto sa karapatan ng nang"&amp;"ungupahan na tumira, napapailalim sa mga tuntunin ng pag-upa.
6. **Mga Tuntunin ng Kasunduan sa Pag-upa:**
- Mahalagang suriin ang mga tuntunin ng umiiral na mga kasunduan sa pag-upa upang matukoy ang anumang partikular na probisyon tungkol sa paglipat ng"&amp;" pagmamay-ari o pagkamatay ng may-ari.
Napakahalaga para sa parehong mga tagapagmana at nangungupahan na makipag-usap nang hayagan at sumunod sa mga tuntunin ng mga kasalukuyang kasunduan. Maaaring humingi ng legal na payo upang matiyak ang isang maayos n"&amp;"a paglipat at upang matugunan ang anumang partikular na isyu na maaaring lumitaw sa panahon ng paglilipat ng mga minanang ari-arian na may umiiral na mga kasunduan sa pag-upa.")</f>
        <v>Sa Pilipinas, ang batas sa mana na pangunahing pinamamahalaan ng Civil Code of the Philippines ay tumutugon sa paglilipat ng mga ari-arian kapag namatay ang isang indibidwal. Pagdating sa mga ari-arian na may kasalukuyang mga kasunduan sa pag-upa o mga nangungupahan, ang mga karapatan at responsibilidad ng parehong may-ari at ng mga nangungupahan ay karaniwang isinasaalang-alang.
Narito ang ilang mahahalagang puntong dapat isaalang-alang:
1. **Pagpapatuloy ng Mga Kasunduan sa Pagrenta:**
- Sa pangkalahatan, kapag ang isang may-ari ng ari-arian ay pumanaw, ang mga umiiral na kasunduan sa pag-upa ay mananatiling may bisa at patuloy na maipapatupad.
- Inaako ng mga tagapagmana o mga benepisyaryo ng namatay na may-ari ang mga karapatan at obligasyon ng may-ari, kabilang ang mga nauugnay sa umiiral na mga kasunduan sa pag-upa.
2. **Paunawa sa Mga Nangungupahan:**
- Dapat ipaalam ng mga tagapagmana o benepisyaryo sa mga nangungupahan ang pagkamatay ng may-ari ng ari-arian sa lalong madaling panahon.
- Maaaring magbigay ng paunawa alinsunod sa mga tuntunin ng umiiral na kasunduan sa pag-upa o ayon sa hinihingi ng mga lokal na batas.
3. **Paglipat ng Pagmamay-ari:**
- Ang proseso ng paglilipat ng pagmamay-ari sa mga tagapagmana o benepisyaryo ay maaaring may kasamang mga legal na pamamaraan, tulad ng probate ng testamento o settlement ng ari-arian.
- Ang paglipat ng pagmamay-ari ay hindi awtomatikong nagwawakas ng mga umiiral na kasunduan sa pag-upa.
4. **Mga Karapatan ng Mga Tagapagmana/Makikinabang:**
- Ang mga tagapagmana o benepisyaryo ay may karapatang tumanggap ng kita sa pag-upa mula sa ari-arian, tulad ng ginawa ng namatay na may-ari.
- Sila ang may pananagutan sa pagpapanatili ng ari-arian at pagtupad sa mga tuntunin ng anumang umiiral na mga lease.
5. **Proteksyon ng Nangungupahan:**
- Ang mga nangungupahan ay karaniwang protektado sa ilalim ng umiiral na mga kasunduan sa pag-upa at naaangkop na mga batas sa pangungupahan.
- Ang pagkamatay ng may-ari ay karaniwang hindi nakakaapekto sa karapatan ng nangungupahan na tumira, napapailalim sa mga tuntunin ng pag-upa.
6. **Mga Tuntunin ng Kasunduan sa Pag-upa:**
- Mahalagang suriin ang mga tuntunin ng umiiral na mga kasunduan sa pag-upa upang matukoy ang anumang partikular na probisyon tungkol sa paglipat ng pagmamay-ari o pagkamatay ng may-ari.
Napakahalaga para sa parehong mga tagapagmana at nangungupahan na makipag-usap nang hayagan at sumunod sa mga tuntunin ng mga kasalukuyang kasunduan. Maaaring humingi ng legal na payo upang matiyak ang isang maayos na paglipat at upang matugunan ang anumang partikular na isyu na maaaring lumitaw sa panahon ng paglilipat ng mga minanang ari-arian na may umiiral na mga kasunduan sa pag-upa.</v>
      </c>
      <c r="F536" s="2">
        <f t="shared" si="1"/>
        <v>0</v>
      </c>
      <c r="G536" s="2"/>
      <c r="H536" s="2"/>
      <c r="I536" s="2"/>
      <c r="J536" s="2"/>
      <c r="K536" s="2"/>
      <c r="L536" s="2"/>
      <c r="M536" s="2"/>
      <c r="N536" s="2"/>
      <c r="O536" s="2"/>
      <c r="P536" s="2"/>
      <c r="Q536" s="2"/>
      <c r="R536" s="2"/>
      <c r="S536" s="2"/>
      <c r="T536" s="2"/>
      <c r="U536" s="2"/>
      <c r="V536" s="2"/>
      <c r="W536" s="2"/>
      <c r="X536" s="2"/>
      <c r="Y536" s="2"/>
      <c r="Z536" s="2"/>
      <c r="AA536" s="2"/>
    </row>
    <row r="537">
      <c r="A537" s="1" t="s">
        <v>1224</v>
      </c>
      <c r="B537" s="1" t="s">
        <v>1828</v>
      </c>
      <c r="C537" s="1" t="s">
        <v>1829</v>
      </c>
      <c r="D537" s="1" t="s">
        <v>1830</v>
      </c>
      <c r="E537" s="2" t="str">
        <f>IFERROR(__xludf.DUMMYFUNCTION("GOOGLETRANSLATE(C537, ""en"", ""TL"")"),"Talagang. Ang minanang ari-arian **ay tiyak na napapailalim sa mga regulasyon sa pagsona o mga paghihigpit sa paggamit ng lupa** sa Pilipinas. Ang mga regulasyong ito ay nagdidikta kung paano magagamit ang isang ari-arian sa loob ng isang partikular na di"&amp;"strito ng pagsona.
Narito ang isang breakdown ng mga implikasyon:
**Mga Paghihigpit sa Zoning at Paggamit ng Lupa:**
* Ang mga local government units (LGUs) tulad ng mga munisipalidad o lungsod ay nagpapatupad ng mga ordinansa ng zoning upang magplano at "&amp;"mag-regulate ng paggamit ng lupa sa loob ng kanilang nasasakupan. Hinahati ng mga ordinansang ito ang lugar sa iba't ibang distrito ng pagsona (hal., tirahan, komersyal, pang-industriya).
* Ang bawat zoning district ay may partikular na pinahihintulutang "&amp;"paggamit para sa lupa at mga istruktura sa loob ng mga hangganan nito. Halimbawa, maaaring payagan ng mga residential zone ang mga single-family home, habang ang mga commercial zone ay maaaring payagan ang mga tindahan at opisina.
**Epekto sa Minanang Ari"&amp;"-arian:**
* Kahit na ang ari-arian ay ginamit noon para sa isang tiyak na layunin ng namatay, ang mga regulasyon sa pag-zoning sa kasalukuyang panahon ay magdidikta sa mga pinapayagang paggamit nito. * Ang mga tagapagmana na magmamana ng ari-arian ay dapa"&amp;"t sumunod sa mga umiiral na paghihigpit sa zoning. Maaari nilang gamitin ang property para sa mga layuning pinahihintulutan sa loob ng itinalagang zoning district ng lokasyon ng property.
* **Non-conforming Uses:** Kung ang minanang ari-arian ay ginagamit"&amp;" para sa isang layunin na hindi na pinapayagan sa kasalukuyang zoning district (tinatawag na non-conforming use), maaaring may mga espesyal na probisyon na nagpapahintulot sa kasalukuyang paggamit na magpatuloy sa ilalim ng ilang mga kundisyon. Gayunpaman"&amp;", maaaring paghigpitan ang mga pagbabago o pagpapalawak sa hindi sumusunod na paggamit.
**Mga Legal na Implikasyon:**
* **Hindi Pagsunod:** Ang paggamit ng minanang ari-arian na lumalabag sa mga regulasyon ng zoning ay maaaring humantong sa mga legal na i"&amp;"syu. Ang LGU ay maaaring maglabas ng mga babala, multa, o kahit na humingi ng mga utos ng hukuman upang pilitin ang pagsunod. * **Mga Plano sa Pagpapaunlad:** Kung ang mga tagapagmana ay nagnanais na bumuo ng minanang ari-arian (hal., magtayo ng bagong gu"&amp;"sali), dapat nilang tiyakin na ang nakaplanong pag-unlad ay sumusunod sa mga regulasyon ng zoning at kumuha ng mga kinakailangang permit mula sa LGU.
* **Mga Pagbabago sa Zoning:** Sa ilang mga kaso, ang mga ordinansa ng zoning ay maaaring amyendahan ng L"&amp;"GU sa pamamagitan ng proseso ng pampublikong pagdinig. Ang mga tagapagmana ay maaaring lumahok sa mga naturang proseso upang isulong ang mga pagbabago sa zoning na mas angkop sa kanilang mga plano sa pagpapaunlad para sa minanang ari-arian. Gayunpaman, hi"&amp;"ndi ginagarantiyahan ang pag-apruba ng mga pagbabago sa zoning.
**Mga Rekomendasyon:**
* **Research Zoning Regulations:** Ang mga tagapagmana ay dapat magsaliksik ng mga partikular na regulasyon ng zoning na naaangkop sa minanang ari-arian. Karaniwang mak"&amp;"ukuha ang impormasyong ito sa opisina ng pagpaplano ng LGU.
* **Kumonsulta sa Abogado:** Kung may mga kalabuan tungkol sa pagpapahintulot sa zoning o mga plano sa pagpapaunlad, ipinapayong kumunsulta sa isang abogadong may karanasan sa batas sa paggamit n"&amp;"g lupa. Maaari silang magpayo sa mga kinakailangan sa pagsunod at mga potensyal na opsyon para sa paggamit ng minanang ari-arian sa loob ng mga regulasyon sa pagsona.
**Sa konklusyon,** ang mga regulasyon ng zoning ay isang mahalagang salik na dapat isaal"&amp;"ang-alang kapag nagmamana ng ari-arian. Ang pag-unawa sa mga paghihigpit sa zoning na naaangkop sa ari-arian at pagtiyak ng pagsunod ay makakatulong sa mga tagapagmana na maiwasan ang mga legal na isyu at gumawa ng matalinong mga desisyon tungkol sa kung "&amp;"paano gamitin o bubuo ang kanilang mana.")</f>
        <v>Talagang. Ang minanang ari-arian **ay tiyak na napapailalim sa mga regulasyon sa pagsona o mga paghihigpit sa paggamit ng lupa** sa Pilipinas. Ang mga regulasyong ito ay nagdidikta kung paano magagamit ang isang ari-arian sa loob ng isang partikular na distrito ng pagsona.
Narito ang isang breakdown ng mga implikasyon:
**Mga Paghihigpit sa Zoning at Paggamit ng Lupa:**
* Ang mga local government units (LGUs) tulad ng mga munisipalidad o lungsod ay nagpapatupad ng mga ordinansa ng zoning upang magplano at mag-regulate ng paggamit ng lupa sa loob ng kanilang nasasakupan. Hinahati ng mga ordinansang ito ang lugar sa iba't ibang distrito ng pagsona (hal., tirahan, komersyal, pang-industriya).
* Ang bawat zoning district ay may partikular na pinahihintulutang paggamit para sa lupa at mga istruktura sa loob ng mga hangganan nito. Halimbawa, maaaring payagan ng mga residential zone ang mga single-family home, habang ang mga commercial zone ay maaaring payagan ang mga tindahan at opisina.
**Epekto sa Minanang Ari-arian:**
* Kahit na ang ari-arian ay ginamit noon para sa isang tiyak na layunin ng namatay, ang mga regulasyon sa pag-zoning sa kasalukuyang panahon ay magdidikta sa mga pinapayagang paggamit nito. * Ang mga tagapagmana na magmamana ng ari-arian ay dapat sumunod sa mga umiiral na paghihigpit sa zoning. Maaari nilang gamitin ang property para sa mga layuning pinahihintulutan sa loob ng itinalagang zoning district ng lokasyon ng property.
* **Non-conforming Uses:** Kung ang minanang ari-arian ay ginagamit para sa isang layunin na hindi na pinapayagan sa kasalukuyang zoning district (tinatawag na non-conforming use), maaaring may mga espesyal na probisyon na nagpapahintulot sa kasalukuyang paggamit na magpatuloy sa ilalim ng ilang mga kundisyon. Gayunpaman, maaaring paghigpitan ang mga pagbabago o pagpapalawak sa hindi sumusunod na paggamit.
**Mga Legal na Implikasyon:**
* **Hindi Pagsunod:** Ang paggamit ng minanang ari-arian na lumalabag sa mga regulasyon ng zoning ay maaaring humantong sa mga legal na isyu. Ang LGU ay maaaring maglabas ng mga babala, multa, o kahit na humingi ng mga utos ng hukuman upang pilitin ang pagsunod. * **Mga Plano sa Pagpapaunlad:** Kung ang mga tagapagmana ay nagnanais na bumuo ng minanang ari-arian (hal., magtayo ng bagong gusali), dapat nilang tiyakin na ang nakaplanong pag-unlad ay sumusunod sa mga regulasyon ng zoning at kumuha ng mga kinakailangang permit mula sa LGU.
* **Mga Pagbabago sa Zoning:** Sa ilang mga kaso, ang mga ordinansa ng zoning ay maaaring amyendahan ng LGU sa pamamagitan ng proseso ng pampublikong pagdinig. Ang mga tagapagmana ay maaaring lumahok sa mga naturang proseso upang isulong ang mga pagbabago sa zoning na mas angkop sa kanilang mga plano sa pagpapaunlad para sa minanang ari-arian. Gayunpaman, hindi ginagarantiyahan ang pag-apruba ng mga pagbabago sa zoning.
**Mga Rekomendasyon:**
* **Research Zoning Regulations:** Ang mga tagapagmana ay dapat magsaliksik ng mga partikular na regulasyon ng zoning na naaangkop sa minanang ari-arian. Karaniwang makukuha ang impormasyong ito sa opisina ng pagpaplano ng LGU.
* **Kumonsulta sa Abogado:** Kung may mga kalabuan tungkol sa pagpapahintulot sa zoning o mga plano sa pagpapaunlad, ipinapayong kumunsulta sa isang abogadong may karanasan sa batas sa paggamit ng lupa. Maaari silang magpayo sa mga kinakailangan sa pagsunod at mga potensyal na opsyon para sa paggamit ng minanang ari-arian sa loob ng mga regulasyon sa pagsona.
**Sa konklusyon,** ang mga regulasyon ng zoning ay isang mahalagang salik na dapat isaalang-alang kapag nagmamana ng ari-arian. Ang pag-unawa sa mga paghihigpit sa zoning na naaangkop sa ari-arian at pagtiyak ng pagsunod ay makakatulong sa mga tagapagmana na maiwasan ang mga legal na isyu at gumawa ng matalinong mga desisyon tungkol sa kung paano gamitin o bubuo ang kanilang mana.</v>
      </c>
      <c r="F537" s="2">
        <f t="shared" si="1"/>
        <v>0</v>
      </c>
      <c r="G537" s="2"/>
      <c r="H537" s="2"/>
      <c r="I537" s="2"/>
      <c r="J537" s="2"/>
      <c r="K537" s="2"/>
      <c r="L537" s="2"/>
      <c r="M537" s="2"/>
      <c r="N537" s="2"/>
      <c r="O537" s="2"/>
      <c r="P537" s="2"/>
      <c r="Q537" s="2"/>
      <c r="R537" s="2"/>
      <c r="S537" s="2"/>
      <c r="T537" s="2"/>
      <c r="U537" s="2"/>
      <c r="V537" s="2"/>
      <c r="W537" s="2"/>
      <c r="X537" s="2"/>
      <c r="Y537" s="2"/>
      <c r="Z537" s="2"/>
      <c r="AA537" s="2"/>
    </row>
    <row r="538">
      <c r="A538" s="1" t="s">
        <v>1224</v>
      </c>
      <c r="B538" s="1" t="s">
        <v>1741</v>
      </c>
      <c r="C538" s="1" t="s">
        <v>1831</v>
      </c>
      <c r="D538" s="1" t="s">
        <v>1743</v>
      </c>
      <c r="E538" s="2" t="str">
        <f>IFERROR(__xludf.DUMMYFUNCTION("GOOGLETRANSLATE(C538, ""en"", ""TL"")"),"Ang mga tagapagmana sa Pilipinas ay may ilang mga legal na opsyon para sa pag-donate ng kanilang minanang ari-arian sa mga organisasyong pangkawanggawa o mga layunin. Narito ang isang breakdown ng mga pinakakaraniwang pamamaraan:
**Direktang Donasyon:**
*"&amp;" Ang pinakasimpleng diskarte ay isang **direktang donasyon**. Maaari mong ilipat ang pagmamay-ari ng property nang direkta sa napiling charity sa pamamagitan ng isang deed of donation. Ang kasulatang ito ay dapat na maayos na mabalangkas at manotaryo upan"&amp;"g matiyak ang legalidad.
* **Mga Implikasyon sa Buwis:** Habang ang mga donasyon sa mga rehistradong organisasyon ng kawanggawa sa Pilipinas ay maaaring mababawas sa buwis, kumunsulta sa isang propesyonal sa buwis upang maunawaan ang mga partikular na tun"&amp;"tunin at kinakailangan para sa pag-claim ng mga bawas sa buwis na nauugnay sa mga donasyon ng ari-arian.
**Pagbebenta ng Ari-arian at Pag-donate ng Mga Nalikom:**
* Maaaring piliin ng mga tagapagmana na **ibenta ang minanang ari-arian** at ibigay ang mga "&amp;"nalikom mula sa pagbebenta sa kawanggawa na kanilang pinili. Ito ay maaaring mas mabuti kung ang kawanggawa ay may mga partikular na pangangailangan na maaaring mas mahusay na matugunan ng mga cash na donasyon.
* **Mga Implikasyon sa Buwis:** Maaaring mal"&amp;"apat ang buwis sa capital gains sa pagbebenta ng property. Makakatulong sa iyo ang pagkonsulta sa isang propesyonal sa buwis na maunawaan ang iyong mga obligasyon sa buwis at i-maximize ang halaga ng donasyon na umaabot sa charity.
**Charitable Remainder "&amp;"Trust:**
* Ang **charitable remainder trust** ay maaaring maging isang mas kumplikado ngunit potensyal na kapaki-pakinabang na opsyon. Kabilang dito ang paglikha ng trust na may hawak ng minanang ari-arian. Ang tiwala ay nagbabayad ng kita sa mga tagapagm"&amp;"ana sa isang takdang panahon o habang-buhay, at pagkatapos ay ibibigay ang natitirang halaga ng ari-arian sa itinalagang kawanggawa sa pagtatapos ng tiwala.
* **Mga Benepisyo sa Buwis:** Maaaring mag-alok ang opsyong ito ng mga benepisyo sa buwis gaya ng "&amp;"pagbabawas ng buwis sa kita ng kawanggawa kapag pinondohan ang trust at pag-iwas sa buwis sa capital gains sa pagbebenta ng property (kung ibinebenta ito ng trust). Gayunpaman, mahalagang kumunsulta sa isang abogado at propesyonal sa buwis upang maunawaan"&amp;" ang mga partikular na implikasyon sa buwis at matiyak na maayos ang pagkakaayos ng tiwala.
**Mga Pagsasaalang-alang Kapag Pumipili ng Paraan:**
* **Halaga ng Ari-arian:** Ang halaga ng minanang ari-arian ay maaaring makaimpluwensya sa pinakamahusay na pa"&amp;"raan. Maaaring mas simple ang direktang donasyon para sa mga hindi gaanong mahalagang mga ari-arian, habang ang mga natitirang tiwala sa kawanggawa ay maaaring mas angkop para sa mga asset na may mataas na halaga.
* **Mga Pangangailangan ng Charity:** Isa"&amp;"alang-alang ang mga pangangailangan ng charity at kung paano nila pinakamahusay na magagamit ang iyong donasyon. Kung kailangan nila ang mismong ari-arian, mainam ang direktang donasyon. Para sa mga pangangailangan sa pera, ang pagbebenta ng ari-arian at "&amp;"pag-donate ng mga nalikom ay maaaring mas mahusay.
* **Mga Implikasyon sa Buwis:** Ang pag-unawa sa mga potensyal na kahihinatnan ng buwis ng bawat opsyon ay napakahalaga upang mapakinabangan ang epekto ng donasyon at mabawasan ang iyong pasanin sa buwis."&amp;" Ang pagkonsulta sa isang propesyonal sa buwis ay lubos na inirerekomenda.
**Mga Karagdagang Pagsasaalang-alang:**
* **Due Diligence on Charities:** Bago mag-donate sa anumang charity, saliksikin ang kanilang reputasyon at tiyaking nakarehistro sila sa Se"&amp;"curities and Exchange Commission (SEC) o may wastong Donor's Tax Exemption (DTE) na inisyu ng Bureau of Internal Revenue (BIR).
* **Humingi ng Payo sa Legal at Buwis:** Ang pagkonsulta sa isang abogado na may karanasan sa pagpaplano ng ari-arian at isang "&amp;"propesyonal sa buwis ay maaaring gabayan ka sa legal na proseso ng pag-donate ng minanang ari-arian, magbigay ng payo sa pinaka-mahusay na paraan sa buwis para sa iyong sitwasyon, at bumalangkas ng mga kinakailangang dokumento tulad ng deeds of donation o"&amp;"r trust agre")</f>
        <v>Ang mga tagapagmana sa Pilipinas ay may ilang mga legal na opsyon para sa pag-donate ng kanilang minanang ari-arian sa mga organisasyong pangkawanggawa o mga layunin. Narito ang isang breakdown ng mga pinakakaraniwang pamamaraan:
**Direktang Donasyon:**
* Ang pinakasimpleng diskarte ay isang **direktang donasyon**. Maaari mong ilipat ang pagmamay-ari ng property nang direkta sa napiling charity sa pamamagitan ng isang deed of donation. Ang kasulatang ito ay dapat na maayos na mabalangkas at manotaryo upang matiyak ang legalidad.
* **Mga Implikasyon sa Buwis:** Habang ang mga donasyon sa mga rehistradong organisasyon ng kawanggawa sa Pilipinas ay maaaring mababawas sa buwis, kumunsulta sa isang propesyonal sa buwis upang maunawaan ang mga partikular na tuntunin at kinakailangan para sa pag-claim ng mga bawas sa buwis na nauugnay sa mga donasyon ng ari-arian.
**Pagbebenta ng Ari-arian at Pag-donate ng Mga Nalikom:**
* Maaaring piliin ng mga tagapagmana na **ibenta ang minanang ari-arian** at ibigay ang mga nalikom mula sa pagbebenta sa kawanggawa na kanilang pinili. Ito ay maaaring mas mabuti kung ang kawanggawa ay may mga partikular na pangangailangan na maaaring mas mahusay na matugunan ng mga cash na donasyon.
* **Mga Implikasyon sa Buwis:** Maaaring malapat ang buwis sa capital gains sa pagbebenta ng property. Makakatulong sa iyo ang pagkonsulta sa isang propesyonal sa buwis na maunawaan ang iyong mga obligasyon sa buwis at i-maximize ang halaga ng donasyon na umaabot sa charity.
**Charitable Remainder Trust:**
* Ang **charitable remainder trust** ay maaaring maging isang mas kumplikado ngunit potensyal na kapaki-pakinabang na opsyon. Kabilang dito ang paglikha ng trust na may hawak ng minanang ari-arian. Ang tiwala ay nagbabayad ng kita sa mga tagapagmana sa isang takdang panahon o habang-buhay, at pagkatapos ay ibibigay ang natitirang halaga ng ari-arian sa itinalagang kawanggawa sa pagtatapos ng tiwala.
* **Mga Benepisyo sa Buwis:** Maaaring mag-alok ang opsyong ito ng mga benepisyo sa buwis gaya ng pagbabawas ng buwis sa kita ng kawanggawa kapag pinondohan ang trust at pag-iwas sa buwis sa capital gains sa pagbebenta ng property (kung ibinebenta ito ng trust). Gayunpaman, mahalagang kumunsulta sa isang abogado at propesyonal sa buwis upang maunawaan ang mga partikular na implikasyon sa buwis at matiyak na maayos ang pagkakaayos ng tiwala.
**Mga Pagsasaalang-alang Kapag Pumipili ng Paraan:**
* **Halaga ng Ari-arian:** Ang halaga ng minanang ari-arian ay maaaring makaimpluwensya sa pinakamahusay na paraan. Maaaring mas simple ang direktang donasyon para sa mga hindi gaanong mahalagang mga ari-arian, habang ang mga natitirang tiwala sa kawanggawa ay maaaring mas angkop para sa mga asset na may mataas na halaga.
* **Mga Pangangailangan ng Charity:** Isaalang-alang ang mga pangangailangan ng charity at kung paano nila pinakamahusay na magagamit ang iyong donasyon. Kung kailangan nila ang mismong ari-arian, mainam ang direktang donasyon. Para sa mga pangangailangan sa pera, ang pagbebenta ng ari-arian at pag-donate ng mga nalikom ay maaaring mas mahusay.
* **Mga Implikasyon sa Buwis:** Ang pag-unawa sa mga potensyal na kahihinatnan ng buwis ng bawat opsyon ay napakahalaga upang mapakinabangan ang epekto ng donasyon at mabawasan ang iyong pasanin sa buwis. Ang pagkonsulta sa isang propesyonal sa buwis ay lubos na inirerekomenda.
**Mga Karagdagang Pagsasaalang-alang:**
* **Due Diligence on Charities:** Bago mag-donate sa anumang charity, saliksikin ang kanilang reputasyon at tiyaking nakarehistro sila sa Securities and Exchange Commission (SEC) o may wastong Donor's Tax Exemption (DTE) na inisyu ng Bureau of Internal Revenue (BIR).
* **Humingi ng Payo sa Legal at Buwis:** Ang pagkonsulta sa isang abogado na may karanasan sa pagpaplano ng ari-arian at isang propesyonal sa buwis ay maaaring gabayan ka sa legal na proseso ng pag-donate ng minanang ari-arian, magbigay ng payo sa pinaka-mahusay na paraan sa buwis para sa iyong sitwasyon, at bumalangkas ng mga kinakailangang dokumento tulad ng deeds of donation or trust agre</v>
      </c>
      <c r="F538" s="2">
        <f t="shared" si="1"/>
        <v>0</v>
      </c>
      <c r="G538" s="2"/>
      <c r="H538" s="2"/>
      <c r="I538" s="2"/>
      <c r="J538" s="2"/>
      <c r="K538" s="2"/>
      <c r="L538" s="2"/>
      <c r="M538" s="2"/>
      <c r="N538" s="2"/>
      <c r="O538" s="2"/>
      <c r="P538" s="2"/>
      <c r="Q538" s="2"/>
      <c r="R538" s="2"/>
      <c r="S538" s="2"/>
      <c r="T538" s="2"/>
      <c r="U538" s="2"/>
      <c r="V538" s="2"/>
      <c r="W538" s="2"/>
      <c r="X538" s="2"/>
      <c r="Y538" s="2"/>
      <c r="Z538" s="2"/>
      <c r="AA538" s="2"/>
    </row>
    <row r="539">
      <c r="A539" s="1" t="s">
        <v>1224</v>
      </c>
      <c r="B539" s="1" t="s">
        <v>1832</v>
      </c>
      <c r="C539" s="1" t="s">
        <v>1833</v>
      </c>
      <c r="D539" s="1" t="s">
        <v>1834</v>
      </c>
      <c r="E539" s="2" t="str">
        <f>IFERROR(__xludf.DUMMYFUNCTION("GOOGLETRANSLATE(C539, ""en"", ""TL"")"),"Oo, ang minanang ari-arian sa Pilipinas **maaaring magamit bilang collateral para sa mga pautang o mga transaksyong pinansyal** kapag malinaw na ang pagmamay-ari mo sa ari-arian. Narito ang isang breakdown ng mga legal na pagsasaalang-alang na dapat tanda"&amp;"an:
**Paggamit ng Inherited Property bilang Collateral:**
* **Malinaw na Pamagat at Katibayan ng Pagmamay-ari:** Tiyaking mayroon kang **malinaw na titulo** sa ari-arian at patunay ng pagmamay-ari. Maaaring may kasama itong mga dokumento mula sa proseso n"&amp;"g probate o isang extrajudicial settlement kung naaangkop.
* **Walang Mga Umiiral na Encumbrances:** I-verify na ang property ay **libre sa mga encumbrances** tulad ng mga mortgage o lien. Ang mga ito ay maaaring maging kumplikado sa paggamit ng ari-arian"&amp;" bilang collateral dahil ang nagpapahiram ay maaaring mag-alinlangan kung mayroon nang mga paghahabol laban sa ari-arian.
* **Loan-to-Value Ratio (LTV):** Isinasaalang-alang ng mga nagpapahiram ang **halaga ng pautang** kumpara sa **appraised value** (LTV"&amp;") ng property. Ang mas mababang LTV sa pangkalahatan ay nangangahulugan ng mas mahusay na mga tuntunin sa pautang tulad ng mas mababang mga rate ng interes. Ang pagmamana ng ari-arian ay nagpapataas ng iyong kapasidad sa paghiram dahil ito ay nag-aambag s"&amp;"a iyong mga available na asset.
**Mga Legal na Pagsasaalang-alang:**
* **Will o Intestacy:** * **Will:** Kung mayroong will, tiyaking pinapayagan ng mga probisyon nito ang paggamit ng property bilang collateral. Ang ilang mga testamento ay maaaring may mg"&amp;"a paghihigpit sa kung paano magagamit ng mga benepisyaryo ang minanang ari-arian.
* **Intestacy:** Kung walang testamento at ang ari-arian ay minana sa pamamagitan ng mga batas ng intestacy, maaaring kailanganin ang lahat ng pahintulot ng mga tagapagmana "&amp;"bago ito gamitin bilang collateral upang maiwasan ang mga hindi pagkakaunawaan sa hinaharap.
* **Maraming Tagapagmana:** Kung maraming tagapagmana ng ari-arian, maaaring kailanganin mo ang kanilang nakasulat na pahintulot upang magamit ito bilang collater"&amp;"al, lalo na kung ang kanilang mga pangalan ay nasa titulo pa rin. Ang pagkakaroon ng malinaw na kasunduan sa mga tagapagmana tungkol sa paggamit ng collateral ay nagpoprotekta sa mga interes ng lahat. * **Legal na Payo:** Inirerekomenda ang pagkonsulta sa"&amp;" isang abogadong may karanasan sa real estate at mga transaksyon sa pautang. Maaari silang magpayo sa mga partikular na kinakailangan batay sa iyong sitwasyon (hal., pagkakaroon ng testamento, maraming tagapagmana), mga potensyal na panganib na kasangkot,"&amp;" at ang mga legal na hakbang upang wastong gamitin ang minanang ari-arian bilang collateral.
**Mga Karagdagang Pagsasaalang-alang:**
* **Mga Tuntunin sa Pautang:** Maingat na suriin ang mga tuntunin sa pautang na inaalok ng institusyong pampinansyal bago "&amp;"gamitin ang minanang ari-arian bilang collateral. Unawain ang mga rate ng interes, mga kondisyon sa pagbabayad, at mga potensyal na kahihinatnan ng hindi pagbabayad sa utang.
* **Risk of Loss:** Ang paggamit ng ari-arian bilang collateral ay nagdadala ng "&amp;"panganib ng foreclosure kung hindi mo mabayaran ang utang. Tiyakin na maaari mong kumportable na kayang bayaran ang mga buwanang pagbabayad ng pautang upang maiwasang malagay sa panganib ang iyong mana.
**Sa konklusyon,** ang minanang ari-arian ay maaarin"&amp;"g maging isang mahalagang asset na gagamitin bilang collateral para sa mga pautang. Gayunpaman, mahalagang tugunan ang mga legal na pagsasaalang-alang tulad ng kalinawan ng pagmamay-ari, kawalan ng mga encumbrances, at pagsunod sa anumang mga probisyon o "&amp;"kasunduan sa testamento ng mga tagapagmana. Ang pagkonsulta sa isang abogado ay makakatulong sa iyo na mag-navigate nang maayos sa proseso at mabawasan ang mga potensyal na panganib.")</f>
        <v>Oo, ang minanang ari-arian sa Pilipinas **maaaring magamit bilang collateral para sa mga pautang o mga transaksyong pinansyal** kapag malinaw na ang pagmamay-ari mo sa ari-arian. Narito ang isang breakdown ng mga legal na pagsasaalang-alang na dapat tandaan:
**Paggamit ng Inherited Property bilang Collateral:**
* **Malinaw na Pamagat at Katibayan ng Pagmamay-ari:** Tiyaking mayroon kang **malinaw na titulo** sa ari-arian at patunay ng pagmamay-ari. Maaaring may kasama itong mga dokumento mula sa proseso ng probate o isang extrajudicial settlement kung naaangkop.
* **Walang Mga Umiiral na Encumbrances:** I-verify na ang property ay **libre sa mga encumbrances** tulad ng mga mortgage o lien. Ang mga ito ay maaaring maging kumplikado sa paggamit ng ari-arian bilang collateral dahil ang nagpapahiram ay maaaring mag-alinlangan kung mayroon nang mga paghahabol laban sa ari-arian.
* **Loan-to-Value Ratio (LTV):** Isinasaalang-alang ng mga nagpapahiram ang **halaga ng pautang** kumpara sa **appraised value** (LTV) ng property. Ang mas mababang LTV sa pangkalahatan ay nangangahulugan ng mas mahusay na mga tuntunin sa pautang tulad ng mas mababang mga rate ng interes. Ang pagmamana ng ari-arian ay nagpapataas ng iyong kapasidad sa paghiram dahil ito ay nag-aambag sa iyong mga available na asset.
**Mga Legal na Pagsasaalang-alang:**
* **Will o Intestacy:** * **Will:** Kung mayroong will, tiyaking pinapayagan ng mga probisyon nito ang paggamit ng property bilang collateral. Ang ilang mga testamento ay maaaring may mga paghihigpit sa kung paano magagamit ng mga benepisyaryo ang minanang ari-arian.
* **Intestacy:** Kung walang testamento at ang ari-arian ay minana sa pamamagitan ng mga batas ng intestacy, maaaring kailanganin ang lahat ng pahintulot ng mga tagapagmana bago ito gamitin bilang collateral upang maiwasan ang mga hindi pagkakaunawaan sa hinaharap.
* **Maraming Tagapagmana:** Kung maraming tagapagmana ng ari-arian, maaaring kailanganin mo ang kanilang nakasulat na pahintulot upang magamit ito bilang collateral, lalo na kung ang kanilang mga pangalan ay nasa titulo pa rin. Ang pagkakaroon ng malinaw na kasunduan sa mga tagapagmana tungkol sa paggamit ng collateral ay nagpoprotekta sa mga interes ng lahat. * **Legal na Payo:** Inirerekomenda ang pagkonsulta sa isang abogadong may karanasan sa real estate at mga transaksyon sa pautang. Maaari silang magpayo sa mga partikular na kinakailangan batay sa iyong sitwasyon (hal., pagkakaroon ng testamento, maraming tagapagmana), mga potensyal na panganib na kasangkot, at ang mga legal na hakbang upang wastong gamitin ang minanang ari-arian bilang collateral.
**Mga Karagdagang Pagsasaalang-alang:**
* **Mga Tuntunin sa Pautang:** Maingat na suriin ang mga tuntunin sa pautang na inaalok ng institusyong pampinansyal bago gamitin ang minanang ari-arian bilang collateral. Unawain ang mga rate ng interes, mga kondisyon sa pagbabayad, at mga potensyal na kahihinatnan ng hindi pagbabayad sa utang.
* **Risk of Loss:** Ang paggamit ng ari-arian bilang collateral ay nagdadala ng panganib ng foreclosure kung hindi mo mabayaran ang utang. Tiyakin na maaari mong kumportable na kayang bayaran ang mga buwanang pagbabayad ng pautang upang maiwasang malagay sa panganib ang iyong mana.
**Sa konklusyon,** ang minanang ari-arian ay maaaring maging isang mahalagang asset na gagamitin bilang collateral para sa mga pautang. Gayunpaman, mahalagang tugunan ang mga legal na pagsasaalang-alang tulad ng kalinawan ng pagmamay-ari, kawalan ng mga encumbrances, at pagsunod sa anumang mga probisyon o kasunduan sa testamento ng mga tagapagmana. Ang pagkonsulta sa isang abogado ay makakatulong sa iyo na mag-navigate nang maayos sa proseso at mabawasan ang mga potensyal na panganib.</v>
      </c>
      <c r="F539" s="2">
        <f t="shared" si="1"/>
        <v>0</v>
      </c>
      <c r="G539" s="2"/>
      <c r="H539" s="2"/>
      <c r="I539" s="2"/>
      <c r="J539" s="2"/>
      <c r="K539" s="2"/>
      <c r="L539" s="2"/>
      <c r="M539" s="2"/>
      <c r="N539" s="2"/>
      <c r="O539" s="2"/>
      <c r="P539" s="2"/>
      <c r="Q539" s="2"/>
      <c r="R539" s="2"/>
      <c r="S539" s="2"/>
      <c r="T539" s="2"/>
      <c r="U539" s="2"/>
      <c r="V539" s="2"/>
      <c r="W539" s="2"/>
      <c r="X539" s="2"/>
      <c r="Y539" s="2"/>
      <c r="Z539" s="2"/>
      <c r="AA539" s="2"/>
    </row>
    <row r="540">
      <c r="A540" s="1" t="s">
        <v>1224</v>
      </c>
      <c r="B540" s="1" t="s">
        <v>1835</v>
      </c>
      <c r="C540" s="1" t="s">
        <v>1836</v>
      </c>
      <c r="D540" s="1" t="s">
        <v>1837</v>
      </c>
      <c r="E540" s="2" t="str">
        <f>IFERROR(__xludf.DUMMYFUNCTION("GOOGLETRANSLATE(C540, ""en"", ""TL"")"),"Ang pagmamana ng ari-arian na may mahahalagang personal na ari-arian o mahahalagang bagay ay nagdaragdag ng isa pang layer sa proseso ng pamana sa Pilipinas. Narito ang isang breakdown ng kung paano karaniwang pinangangasiwaan ang mga ito at ang mga legal"&amp;" na hakbang na kasangkot sa kanilang pamamahagi:
**Mga Paraan ng Pamamahagi:**
* **Will with Specific Instructions:** Kung ang namatay ay nag-iwan ng **will with specific instructions** hinggil sa pamamahagi ng mga personal na ari-arian at mahahalagang ba"&amp;"gay, dapat sundin ang mga tagubiling iyon hangga't sumusunod sila sa batas. Ang testamento ay maaaring maglista ng mga benepisyaryo para sa mga partikular na bagay o magbalangkas ng isang paraan ng paghahati (hal., bawat tagapagmana ay pumipili ng mga ite"&amp;"m sa turn).
* **Intestacy Laws (No Will):** Kung walang will, **intestacy laws** ang nagdidikta sa pamamahagi ng **lahat** ng mga ari-arian ng namatay, kabilang ang mga personal na gamit at mahahalagang bagay. Hindi isinasaalang-alang ng mga batas na ito "&amp;"ang sentimental na halaga at hinahati ang mga asset batay sa patas na halaga sa pamilihan, na maaaring humantong sa mga hindi pagkakaunawaan sa pagitan ng mga tagapagmana. * **Kasunduan sa Mga Tagapagmana:** Anuman ang presensya ng isang testamento, ang m"&amp;"ga tagapagmana ay maaaring palaging maabot ang isang **kasunduan** sa pamamahagi ng mga personal na ari-arian at mahahalagang bagay. Maaaring may kinalaman ito sa negosasyon, isinasaalang-alang ang sentimental na halaga kasama ng patas na halaga sa pamili"&amp;"han, o pagpayag sa mga tagapagmana na pumili ng mga item batay sa isang paunang natukoy na order.
**Kasangkot sa Mga Legal na Hakbang:**
Ang mga legal na hakbang na kasangkot ay nakasalalay sa pagkakaroon ng isang testamento at ang napiling paraan ng pama"&amp;"mahagi. Narito ang isang pangkalahatang patnubay:
* **Na may Habilin at Mga Tukoy na Tagubilin:**
* **Probate (kung naaangkop):** Kung ang ari-arian ay dumaan sa probate, pinangangasiwaan ng hukuman ang pamamahagi ng mga ari-arian ayon sa kalooban. Maaari"&amp;"ng kabilang dito ang pagtatasa ng mga mahahalagang bagay upang matiyak ang patas na paghahati kung ang kalooban ay tumutukoy sa paghahati batay sa halaga.
* **Tungkulin ng Tagapagpatupad:** Ang **tagapagpatupad** na pinangalanan sa testamento ay may panan"&amp;"agutan sa pagtukoy at pag-imbentaryo ng mga personal na ari-arian at mahahalagang bagay, na tinitiyak ang wastong pamamahagi ayon sa mga tagubilin ng testamento.
* **Na may Habilin Ngunit Walang Partikular na Tagubilin o Walang Habilin (Intestacy):**
* **"&amp;"Extrajudicial Settlement (kung naaangkop):** Kung ang lahat ng tagapagmana ay nasa legal na edad at sumang-ayon sa pamamahagi (kabilang ang mga personal na ari-arian at mahahalagang bagay), isang **extrajudicial settlement** ay maaaring ayusin upang maiwa"&amp;"san ang probate. Kabilang dito ang isang pormal na kasunduan na nagbabalangkas sa plano ng pamamahagi.
* **Legal na Konsultasyon:** Ang pagkonsulta sa isang abogado ay inirerekomenda upang matiyak ang isang patas at legal na maayos na proseso ng pamamahag"&amp;"i, lalo na kung walang kalooban o hindi pagkakasundo ang lumitaw sa mga tagapagmana. Ang abogado ay maaaring magpayo sa pagtatasa ng mga mahahalagang bagay at sa pamamagitan ng mga kasunduan kung kinakailangan.
**Mga Karagdagang Pagsasaalang-alang:**
* **"&amp;"Mga Pagtatasa:** Para sa mahahalagang bagay tulad ng alahas, sining, o mga antique, maaaring kailanganin ang mga propesyonal na **pagsusuri** upang matukoy ang patas na halaga sa pamilihan at matiyak ang pantay na pamamahagi sa mga tagapagmana, lalo na ku"&amp;"ng ang testamento ay tumutukoy sa paghahati batay sa halaga.
* **Mga Implikasyon sa Buwis:** Depende sa halaga ng mga minanang ari-arian at mahahalagang bagay, maaaring malapat ang mga buwis sa mana. Maaaring magpayo ang isang abogado tungkol sa mga oblig"&amp;"asyon sa buwis at mga kinakailangan sa paghahain.
* **Sentimental Value kumpara sa Fair Market Value:** Ang pamamahagi ng mga personal na gamit ay maaaring emosyonal na sisingilin dahil sa sentimental na halaga na nakalakip sa ilang partikular na item. An"&amp;"g bukas na komunikasyon at pagsasaalang-alang sa mga tagapagmana ay mahalaga upang maabot ang mga kasunduan na nagpaparangal sa parehong sentimental na attachment")</f>
        <v>Ang pagmamana ng ari-arian na may mahahalagang personal na ari-arian o mahahalagang bagay ay nagdaragdag ng isa pang layer sa proseso ng pamana sa Pilipinas. Narito ang isang breakdown ng kung paano karaniwang pinangangasiwaan ang mga ito at ang mga legal na hakbang na kasangkot sa kanilang pamamahagi:
**Mga Paraan ng Pamamahagi:**
* **Will with Specific Instructions:** Kung ang namatay ay nag-iwan ng **will with specific instructions** hinggil sa pamamahagi ng mga personal na ari-arian at mahahalagang bagay, dapat sundin ang mga tagubiling iyon hangga't sumusunod sila sa batas. Ang testamento ay maaaring maglista ng mga benepisyaryo para sa mga partikular na bagay o magbalangkas ng isang paraan ng paghahati (hal., bawat tagapagmana ay pumipili ng mga item sa turn).
* **Intestacy Laws (No Will):** Kung walang will, **intestacy laws** ang nagdidikta sa pamamahagi ng **lahat** ng mga ari-arian ng namatay, kabilang ang mga personal na gamit at mahahalagang bagay. Hindi isinasaalang-alang ng mga batas na ito ang sentimental na halaga at hinahati ang mga asset batay sa patas na halaga sa pamilihan, na maaaring humantong sa mga hindi pagkakaunawaan sa pagitan ng mga tagapagmana. * **Kasunduan sa Mga Tagapagmana:** Anuman ang presensya ng isang testamento, ang mga tagapagmana ay maaaring palaging maabot ang isang **kasunduan** sa pamamahagi ng mga personal na ari-arian at mahahalagang bagay. Maaaring may kinalaman ito sa negosasyon, isinasaalang-alang ang sentimental na halaga kasama ng patas na halaga sa pamilihan, o pagpayag sa mga tagapagmana na pumili ng mga item batay sa isang paunang natukoy na order.
**Kasangkot sa Mga Legal na Hakbang:**
Ang mga legal na hakbang na kasangkot ay nakasalalay sa pagkakaroon ng isang testamento at ang napiling paraan ng pamamahagi. Narito ang isang pangkalahatang patnubay:
* **Na may Habilin at Mga Tukoy na Tagubilin:**
* **Probate (kung naaangkop):** Kung ang ari-arian ay dumaan sa probate, pinangangasiwaan ng hukuman ang pamamahagi ng mga ari-arian ayon sa kalooban. Maaaring kabilang dito ang pagtatasa ng mga mahahalagang bagay upang matiyak ang patas na paghahati kung ang kalooban ay tumutukoy sa paghahati batay sa halaga.
* **Tungkulin ng Tagapagpatupad:** Ang **tagapagpatupad** na pinangalanan sa testamento ay may pananagutan sa pagtukoy at pag-imbentaryo ng mga personal na ari-arian at mahahalagang bagay, na tinitiyak ang wastong pamamahagi ayon sa mga tagubilin ng testamento.
* **Na may Habilin Ngunit Walang Partikular na Tagubilin o Walang Habilin (Intestacy):**
* **Extrajudicial Settlement (kung naaangkop):** Kung ang lahat ng tagapagmana ay nasa legal na edad at sumang-ayon sa pamamahagi (kabilang ang mga personal na ari-arian at mahahalagang bagay), isang **extrajudicial settlement** ay maaaring ayusin upang maiwasan ang probate. Kabilang dito ang isang pormal na kasunduan na nagbabalangkas sa plano ng pamamahagi.
* **Legal na Konsultasyon:** Ang pagkonsulta sa isang abogado ay inirerekomenda upang matiyak ang isang patas at legal na maayos na proseso ng pamamahagi, lalo na kung walang kalooban o hindi pagkakasundo ang lumitaw sa mga tagapagmana. Ang abogado ay maaaring magpayo sa pagtatasa ng mga mahahalagang bagay at sa pamamagitan ng mga kasunduan kung kinakailangan.
**Mga Karagdagang Pagsasaalang-alang:**
* **Mga Pagtatasa:** Para sa mahahalagang bagay tulad ng alahas, sining, o mga antique, maaaring kailanganin ang mga propesyonal na **pagsusuri** upang matukoy ang patas na halaga sa pamilihan at matiyak ang pantay na pamamahagi sa mga tagapagmana, lalo na kung ang testamento ay tumutukoy sa paghahati batay sa halaga.
* **Mga Implikasyon sa Buwis:** Depende sa halaga ng mga minanang ari-arian at mahahalagang bagay, maaaring malapat ang mga buwis sa mana. Maaaring magpayo ang isang abogado tungkol sa mga obligasyon sa buwis at mga kinakailangan sa paghahain.
* **Sentimental Value kumpara sa Fair Market Value:** Ang pamamahagi ng mga personal na gamit ay maaaring emosyonal na sisingilin dahil sa sentimental na halaga na nakalakip sa ilang partikular na item. Ang bukas na komunikasyon at pagsasaalang-alang sa mga tagapagmana ay mahalaga upang maabot ang mga kasunduan na nagpaparangal sa parehong sentimental na attachment</v>
      </c>
      <c r="F540" s="2">
        <f t="shared" si="1"/>
        <v>0</v>
      </c>
      <c r="G540" s="2"/>
      <c r="H540" s="2"/>
      <c r="I540" s="2"/>
      <c r="J540" s="2"/>
      <c r="K540" s="2"/>
      <c r="L540" s="2"/>
      <c r="M540" s="2"/>
      <c r="N540" s="2"/>
      <c r="O540" s="2"/>
      <c r="P540" s="2"/>
      <c r="Q540" s="2"/>
      <c r="R540" s="2"/>
      <c r="S540" s="2"/>
      <c r="T540" s="2"/>
      <c r="U540" s="2"/>
      <c r="V540" s="2"/>
      <c r="W540" s="2"/>
      <c r="X540" s="2"/>
      <c r="Y540" s="2"/>
      <c r="Z540" s="2"/>
      <c r="AA540" s="2"/>
    </row>
    <row r="541">
      <c r="A541" s="1" t="s">
        <v>1224</v>
      </c>
      <c r="B541" s="1" t="s">
        <v>1838</v>
      </c>
      <c r="C541" s="1" t="s">
        <v>1839</v>
      </c>
      <c r="D541" s="1" t="s">
        <v>1840</v>
      </c>
      <c r="E541" s="2" t="str">
        <f>IFERROR(__xludf.DUMMYFUNCTION("GOOGLETRANSLATE(C541, ""en"", ""TL"")"),"Ang pagmamana ng ari-arian na matatagpuan sa ibang hurisdiksyon o bansa ay nagdaragdag ng karagdagang layer ng pagiging kumplikado sa proseso. Narito ang isang breakdown ng mga pangkalahatang legal na kinakailangan para sa paglilipat ng minanang ari-arian"&amp;" sa buong mundo:
**Pag-unawa sa Mga Lokal na Batas:**
* Ang **mga batas ng bansa kung saan matatagpuan ang ari-arian** ay nagdidikta ng mga partikular na legal na kinakailangan para sa paglilipat ng minanang ari-arian. Ang mga batas na ito ay maaaring mal"&amp;"aki ang pagkakaiba sa mga batas ng iyong hurisdiksyon sa tahanan o sa bansa ng namatay.
* **Humingi ng Legal na Counsel:** Ang pagkonsulta sa isang **abogado na may karanasan sa international estate law** sa bansa kung saan matatagpuan ang property ay nap"&amp;"akahalaga. Maaari ka nilang payuhan sa mga partikular na legal na pamamaraan na kasangkot at tiyakin ang pagsunod sa mga lokal na regulasyon.
**Mga Potensyal na Kinakailangan:**
* **Probate sa Banyagang Bansa:** Kahit na naganap na ang probate sa iyong hu"&amp;"risdiksyon sa tahanan, maaaring kailanganin ang isang **ancillary probate** sa bansa kung saan matatagpuan ang property. Ang prosesong ito ay nagsasangkot ng paghirang ng isang lokal na kinatawan upang pangasiwaan ang paglilipat ng ari-arian ayon sa mga l"&amp;"okal na batas.
* **Mga Buwis:** Maaari kang managot para sa **inheritance taxes** sa bansa kung saan matatagpuan ang property. Ang mga buwis na ito ay maaaring malaki at dapat isama sa iyong desisyon na tanggapin ang mana.
* **Currency Exchange:** Isaalan"&amp;"g-alang ang **currency exchange rates** kapag naglilipat ng mga pondong nauugnay sa proseso ng inheritance. Ang mga pagbabago ay maaaring makaapekto sa huling halaga na iyong matatanggap.
* **Mga Kasunduan at Kasunduan:** Ang ilang mga bansa ay mayroong *"&amp;"*mga kasunduan** o **mga kasunduan** na nakalagay upang bawasan ang dobleng pagbubuwis at i-streamline ang proseso ng pamana para sa mga dayuhang tagapagmana. Ang isang abogado ay maaaring magpayo tungkol sa pagiging angkop ng mga naturang kasunduan sa iy"&amp;"ong partikular na kaso.
**Mga Karagdagang Pagsasaalang-alang:**
* **Pagsasalin ng Mga Dokumento:** Ang lahat ng dokumentong nauugnay sa mana (will, probate order, atbp.) ay maaaring kailangang **isalin at sertipikado** ng isang tagasalin na awtorisado sa "&amp;"dayuhang bansa.
* **Timeframe:** Ang proseso ng paglilipat ng minanang ari-arian sa ibang bansa ay maaaring **makakaubos ng oras** dahil sa iba't ibang legal na sistema at burukrasya. Maging handa para sa mga potensyal na pagkaantala.
**Kahalagahan ng Pag"&amp;"paplano:**
* Kung inaasahan mong magmana ng ari-arian sa ibang bansa, hikayatin ang namatay na kumunsulta sa isang **international estate planning lawyer**. Ang wastong pagpaplano sa pamamagitan ng mga testamento at iba pang mga instrumento ay maaaring ma"&amp;"bawasan ang mga komplikasyon at gastos sa panahon ng proseso ng mana.
**Sa konklusyon,** ang paglilipat ng minanang ari-arian na matatagpuan sa ibang hurisdiksyon ay nangangailangan ng maingat na pagsasaalang-alang sa mga dayuhang batas, potensyal na buwi"&amp;"s, at legal na pamamaraan. Ang pagkonsulta sa isang kwalipikadong abogado na may karanasan sa internasyonal na batas ng ari-arian ay mahalaga upang matiyak ang isang maayos at legal na sumusunod na paglipat.")</f>
        <v>Ang pagmamana ng ari-arian na matatagpuan sa ibang hurisdiksyon o bansa ay nagdaragdag ng karagdagang layer ng pagiging kumplikado sa proseso. Narito ang isang breakdown ng mga pangkalahatang legal na kinakailangan para sa paglilipat ng minanang ari-arian sa buong mundo:
**Pag-unawa sa Mga Lokal na Batas:**
* Ang **mga batas ng bansa kung saan matatagpuan ang ari-arian** ay nagdidikta ng mga partikular na legal na kinakailangan para sa paglilipat ng minanang ari-arian. Ang mga batas na ito ay maaaring malaki ang pagkakaiba sa mga batas ng iyong hurisdiksyon sa tahanan o sa bansa ng namatay.
* **Humingi ng Legal na Counsel:** Ang pagkonsulta sa isang **abogado na may karanasan sa international estate law** sa bansa kung saan matatagpuan ang property ay napakahalaga. Maaari ka nilang payuhan sa mga partikular na legal na pamamaraan na kasangkot at tiyakin ang pagsunod sa mga lokal na regulasyon.
**Mga Potensyal na Kinakailangan:**
* **Probate sa Banyagang Bansa:** Kahit na naganap na ang probate sa iyong hurisdiksyon sa tahanan, maaaring kailanganin ang isang **ancillary probate** sa bansa kung saan matatagpuan ang property. Ang prosesong ito ay nagsasangkot ng paghirang ng isang lokal na kinatawan upang pangasiwaan ang paglilipat ng ari-arian ayon sa mga lokal na batas.
* **Mga Buwis:** Maaari kang managot para sa **inheritance taxes** sa bansa kung saan matatagpuan ang property. Ang mga buwis na ito ay maaaring malaki at dapat isama sa iyong desisyon na tanggapin ang mana.
* **Currency Exchange:** Isaalang-alang ang **currency exchange rates** kapag naglilipat ng mga pondong nauugnay sa proseso ng inheritance. Ang mga pagbabago ay maaaring makaapekto sa huling halaga na iyong matatanggap.
* **Mga Kasunduan at Kasunduan:** Ang ilang mga bansa ay mayroong **mga kasunduan** o **mga kasunduan** na nakalagay upang bawasan ang dobleng pagbubuwis at i-streamline ang proseso ng pamana para sa mga dayuhang tagapagmana. Ang isang abogado ay maaaring magpayo tungkol sa pagiging angkop ng mga naturang kasunduan sa iyong partikular na kaso.
**Mga Karagdagang Pagsasaalang-alang:**
* **Pagsasalin ng Mga Dokumento:** Ang lahat ng dokumentong nauugnay sa mana (will, probate order, atbp.) ay maaaring kailangang **isalin at sertipikado** ng isang tagasalin na awtorisado sa dayuhang bansa.
* **Timeframe:** Ang proseso ng paglilipat ng minanang ari-arian sa ibang bansa ay maaaring **makakaubos ng oras** dahil sa iba't ibang legal na sistema at burukrasya. Maging handa para sa mga potensyal na pagkaantala.
**Kahalagahan ng Pagpaplano:**
* Kung inaasahan mong magmana ng ari-arian sa ibang bansa, hikayatin ang namatay na kumunsulta sa isang **international estate planning lawyer**. Ang wastong pagpaplano sa pamamagitan ng mga testamento at iba pang mga instrumento ay maaaring mabawasan ang mga komplikasyon at gastos sa panahon ng proseso ng mana.
**Sa konklusyon,** ang paglilipat ng minanang ari-arian na matatagpuan sa ibang hurisdiksyon ay nangangailangan ng maingat na pagsasaalang-alang sa mga dayuhang batas, potensyal na buwis, at legal na pamamaraan. Ang pagkonsulta sa isang kwalipikadong abogado na may karanasan sa internasyonal na batas ng ari-arian ay mahalaga upang matiyak ang isang maayos at legal na sumusunod na paglipat.</v>
      </c>
      <c r="F541" s="2">
        <f t="shared" si="1"/>
        <v>0</v>
      </c>
      <c r="G541" s="2"/>
      <c r="H541" s="2"/>
      <c r="I541" s="2"/>
      <c r="J541" s="2"/>
      <c r="K541" s="2"/>
      <c r="L541" s="2"/>
      <c r="M541" s="2"/>
      <c r="N541" s="2"/>
      <c r="O541" s="2"/>
      <c r="P541" s="2"/>
      <c r="Q541" s="2"/>
      <c r="R541" s="2"/>
      <c r="S541" s="2"/>
      <c r="T541" s="2"/>
      <c r="U541" s="2"/>
      <c r="V541" s="2"/>
      <c r="W541" s="2"/>
      <c r="X541" s="2"/>
      <c r="Y541" s="2"/>
      <c r="Z541" s="2"/>
      <c r="AA541" s="2"/>
    </row>
    <row r="542">
      <c r="A542" s="1" t="s">
        <v>1224</v>
      </c>
      <c r="B542" s="1" t="s">
        <v>1841</v>
      </c>
      <c r="C542" s="1" t="s">
        <v>1842</v>
      </c>
      <c r="D542" s="1" t="s">
        <v>1843</v>
      </c>
      <c r="E542" s="2" t="str">
        <f>IFERROR(__xludf.DUMMYFUNCTION("GOOGLETRANSLATE(C542, ""en"", ""TL"")"),"Oo, ang minanang ari-arian **ay maaaring sumailalim sa eminent domain** o pagkuha ng gobyerno sa Pilipinas. Gayunpaman, dapat sundin ng gobyerno ang **mga partikular na pamamaraan at magbigay ng makatarungang kabayaran** sa mga tagapagmana habang umiiral "&amp;"ang mga legal na proteksyon.
Narito ang isang breakdown ng mga pangunahing punto:
**Kilalang Domain at Mga Tagapagmana:**
* Ang Konstitusyon ng Pilipinas ay nagbibigay sa pamahalaan ng kapangyarihan ng eminent domain. Ito ay nagpapahintulot sa kanila na k"&amp;"umuha ng pribadong ari-arian para sa **pampublikong paggamit**, sa pagbabayad ng makatarungang kabayaran.
* Ang mga tagapagmana ay nagiging mga bagong may-ari ng ari-arian sa mana. Samakatuwid, maaaring gamitin ng pamahalaan ang eminent domain sa minanang"&amp;" ari-arian kung ito ay nagsisilbi sa pampublikong layunin.
**Mga Legal na Proteksyon para sa mga Tagapagmana:**
* **Makatarungang Kabayaran:** Ang isang mahalagang proteksyon para sa mga tagapagmana ay ang karapatan sa **makatarungang kabayaran**. Ang pam"&amp;"ahalaan ay dapat magbayad ng patas na halaga sa pamilihan para sa ari-arian na nakukuha. Ang kabayarang ito ay dapat sapat upang ilagay ang mga tagapagmana sa parehong posisyon sa pananalapi tulad ng kung wala sila sa pagkuha.
* **Karapatang Maghamon:** A"&amp;"ng mga tagapagmana ay may legal na karapatan na **hamon** ang paggamit ng pamahalaan ng eminent domain. Maaari nilang i-dispute ang mga sumusunod:
* **Pampublikong Paggamit:** Maaaring ipaglaban ng mga tagapagmana kung ang pagkuha ay tunay na nagsisilbi s"&amp;"a pampublikong layunin.
* **Makatarungang Kabayaran:** Maaaring magtaltalan ang mga tagapagmana na ang inaalok na kabayaran ay hindi sapat at humingi ng mas patas na halaga sa pamilihan sa pamamagitan ng negosasyon o legal na aksyon.
* **Due Process:** Da"&amp;"pat sundin ng gobyerno ang **due process** na mga pamamaraan para sa pagkuha. Kabilang dito ang wastong abiso sa mga tagapagmana at pagbibigay ng pagkakataon na marinig bago kunin ang ari-arian.
**Mga Rekomendasyon:**
* **Kumonsulta sa Abogado:** Kung ang"&amp;" iyong minanang ari-arian ay tina-target para sa eminent domain, ang pagkonsulta sa isang abogadong may karanasan sa real estate at eminent domain law ay mahalaga. Maaari ka nilang payuhan tungkol sa iyong mga legal na karapatan, tumulong na makipag-ayos "&amp;"sa makatarungang kabayaran, at katawanin ka sa korte kung kinakailangan.
* **Magtipon ng Ebidensya:** Idokumento ang kondisyon ng property, market value sa pamamagitan ng mga pagtatasa, at anumang patunay na sumasalungat sa inaangkin na pampublikong layun"&amp;"in ng pagkuha. Ang ebidensyang ito ay maaaring maging mahalaga sa mga negosasyon o legal na paglilitis.
* **Mag-explore ng Mga Alternatibo:** Depende sa sitwasyon, maaari mong tuklasin ang mga alternatibo sa gobyerno, gaya ng pakikipag-ayos sa isang bahag"&amp;"yang pagkuha o tulong sa relokasyon kung hindi mahalaga ang buong property. **Sa konklusyon,** habang ang eminent domain ay maaaring makaapekto sa minanang ari-arian, ang mga tagapagmana ay may mga legal na proteksyon upang matiyak ang patas na kabayaran "&amp;"at angkop na proseso. Ang paghingi ng legal na payo at pag-unawa sa iyong mga karapatan ay makakatulong sa iyo na mag-navigate nang epektibo sa proseso ng tanyag na domain.")</f>
        <v>Oo, ang minanang ari-arian **ay maaaring sumailalim sa eminent domain** o pagkuha ng gobyerno sa Pilipinas. Gayunpaman, dapat sundin ng gobyerno ang **mga partikular na pamamaraan at magbigay ng makatarungang kabayaran** sa mga tagapagmana habang umiiral ang mga legal na proteksyon.
Narito ang isang breakdown ng mga pangunahing punto:
**Kilalang Domain at Mga Tagapagmana:**
* Ang Konstitusyon ng Pilipinas ay nagbibigay sa pamahalaan ng kapangyarihan ng eminent domain. Ito ay nagpapahintulot sa kanila na kumuha ng pribadong ari-arian para sa **pampublikong paggamit**, sa pagbabayad ng makatarungang kabayaran.
* Ang mga tagapagmana ay nagiging mga bagong may-ari ng ari-arian sa mana. Samakatuwid, maaaring gamitin ng pamahalaan ang eminent domain sa minanang ari-arian kung ito ay nagsisilbi sa pampublikong layunin.
**Mga Legal na Proteksyon para sa mga Tagapagmana:**
* **Makatarungang Kabayaran:** Ang isang mahalagang proteksyon para sa mga tagapagmana ay ang karapatan sa **makatarungang kabayaran**. Ang pamahalaan ay dapat magbayad ng patas na halaga sa pamilihan para sa ari-arian na nakukuha. Ang kabayarang ito ay dapat sapat upang ilagay ang mga tagapagmana sa parehong posisyon sa pananalapi tulad ng kung wala sila sa pagkuha.
* **Karapatang Maghamon:** Ang mga tagapagmana ay may legal na karapatan na **hamon** ang paggamit ng pamahalaan ng eminent domain. Maaari nilang i-dispute ang mga sumusunod:
* **Pampublikong Paggamit:** Maaaring ipaglaban ng mga tagapagmana kung ang pagkuha ay tunay na nagsisilbi sa pampublikong layunin.
* **Makatarungang Kabayaran:** Maaaring magtaltalan ang mga tagapagmana na ang inaalok na kabayaran ay hindi sapat at humingi ng mas patas na halaga sa pamilihan sa pamamagitan ng negosasyon o legal na aksyon.
* **Due Process:** Dapat sundin ng gobyerno ang **due process** na mga pamamaraan para sa pagkuha. Kabilang dito ang wastong abiso sa mga tagapagmana at pagbibigay ng pagkakataon na marinig bago kunin ang ari-arian.
**Mga Rekomendasyon:**
* **Kumonsulta sa Abogado:** Kung ang iyong minanang ari-arian ay tina-target para sa eminent domain, ang pagkonsulta sa isang abogadong may karanasan sa real estate at eminent domain law ay mahalaga. Maaari ka nilang payuhan tungkol sa iyong mga legal na karapatan, tumulong na makipag-ayos sa makatarungang kabayaran, at katawanin ka sa korte kung kinakailangan.
* **Magtipon ng Ebidensya:** Idokumento ang kondisyon ng property, market value sa pamamagitan ng mga pagtatasa, at anumang patunay na sumasalungat sa inaangkin na pampublikong layunin ng pagkuha. Ang ebidensyang ito ay maaaring maging mahalaga sa mga negosasyon o legal na paglilitis.
* **Mag-explore ng Mga Alternatibo:** Depende sa sitwasyon, maaari mong tuklasin ang mga alternatibo sa gobyerno, gaya ng pakikipag-ayos sa isang bahagyang pagkuha o tulong sa relokasyon kung hindi mahalaga ang buong property. **Sa konklusyon,** habang ang eminent domain ay maaaring makaapekto sa minanang ari-arian, ang mga tagapagmana ay may mga legal na proteksyon upang matiyak ang patas na kabayaran at angkop na proseso. Ang paghingi ng legal na payo at pag-unawa sa iyong mga karapatan ay makakatulong sa iyo na mag-navigate nang epektibo sa proseso ng tanyag na domain.</v>
      </c>
      <c r="F542" s="2">
        <f t="shared" si="1"/>
        <v>0</v>
      </c>
      <c r="G542" s="2"/>
      <c r="H542" s="2"/>
      <c r="I542" s="2"/>
      <c r="J542" s="2"/>
      <c r="K542" s="2"/>
      <c r="L542" s="2"/>
      <c r="M542" s="2"/>
      <c r="N542" s="2"/>
      <c r="O542" s="2"/>
      <c r="P542" s="2"/>
      <c r="Q542" s="2"/>
      <c r="R542" s="2"/>
      <c r="S542" s="2"/>
      <c r="T542" s="2"/>
      <c r="U542" s="2"/>
      <c r="V542" s="2"/>
      <c r="W542" s="2"/>
      <c r="X542" s="2"/>
      <c r="Y542" s="2"/>
      <c r="Z542" s="2"/>
      <c r="AA542" s="2"/>
    </row>
    <row r="543">
      <c r="A543" s="1" t="s">
        <v>1224</v>
      </c>
      <c r="B543" s="1" t="s">
        <v>1844</v>
      </c>
      <c r="C543" s="1" t="s">
        <v>1845</v>
      </c>
      <c r="D543" s="1" t="s">
        <v>1846</v>
      </c>
      <c r="E543" s="2" t="str">
        <f>IFERROR(__xludf.DUMMYFUNCTION("GOOGLETRANSLATE(C543, ""en"", ""TL"")"),"Sa Pilipinas, **mga easement at encumbrances sa paglilipat ng ari-arian sa mismong ari-arian**. Nangangahulugan ito na ang sinumang magmana ng ari-arian ay magmamana rin ng mga karapatan at obligasyon na nauugnay sa mga easement at encumbrances na ito.
Na"&amp;"rito ang isang breakdown ng kung paano tinutugunan ng batas ang pagmamana ng mga ari-arian na nakakulong:
**Easements:**
* Ang **easement** ay nagbibigay ng isang partikular na karapatang gamitin ang bahagi ng ari-arian ng ibang tao para sa isang limitado"&amp;"ng layunin. Kasama sa mga karaniwang halimbawa ang right of way (access sa lupain ng iba) o mga utility easement (nagbibigay-daan sa mga utility company na mag-install ng mga linya sa property).
* **Epekto sa Mga Tagapagmana:** Kapag nagmana ka ng ari-ari"&amp;"an na may easement, dapat mong igalang ang mga karapatang ibinigay sa easement agreement. Halimbawa, kung ang iyong mana ay may easement na nagbibigay sa iyong kapitbahay ng karapatang daan sa isang bahagi ng lupain, hindi mo maaaring harangan ang kanilan"&amp;"g pag-access.
**Mga encumbrances:**
* Ang **encumbrance** ay isang claim o lien laban sa isang ari-arian na naghihigpit sa buong karapatan ng may-ari. Maaaring kabilang dito ang mga mortgage, buwis, o hatol laban sa namatay.
* **Epekto sa mga Tagapagmana:"&amp;"** Ang mga tagapagmana na nagmamana ng ari-arian na may mga encumbrances ay nagiging responsable sa pagtupad sa mga obligasyong kalakip sa mga encumbrances na iyon. Halimbawa, kung ang namatay ay nagkaroon ng mortgage sa ari-arian, ang mga tagapagmana ay "&amp;"magiging responsable para sa pagbabayad ng mortgage o panganib na foreclosure.
**Mga Legal na Implikasyon para sa mga Tagapagmana:**
* **Pag-unawa sa Encumbrance:** Napakahalaga para sa mga tagapagmana na maunawaan ang mga partikular na easement at encumb"&amp;"rances na nakalakip sa minanang ari-arian. Ang impormasyong ito ay dapat ibunyag sa panahon ng proseso ng probate o sa pamamagitan ng mga dokumento ng titulo.
* **Potensyal na Epekto sa Halaga:** Maaaring makaapekto ang mga easement at encumbrances sa mar"&amp;"ketability at halaga ng property. Dapat isaalang-alang ng mga tagapagmana ang mga paghihigpit na ito kapag isinasaalang-alang ang pagpapanatili o pagbebenta ng minanang ari-arian.
* **Mga Obligasyon sa Pananalapi:** Sa kaso ng mga encumbrances tulad ng mg"&amp;"a mortgage, mananagot ang mga tagapagmana para sa natitirang utang. Kailangan nilang magpasya kung kaya nilang bayaran ang mga pagbabayad o kung ang pagbebenta ng ari-arian ay isang mas mahusay na opsyon upang bayaran ang utang.
* **Dispute Resolution:** "&amp;"Kung may mga hindi pagkakasundo sa pagitan ng mga tagapagmana hinggil sa kanilang mga obligasyon sa mga easement o encumbrances, maaaring kailanganin ang legal na konsultasyon upang malutas ang hindi pagkakaunawaan.
**Mga Rekomendasyon:**
* **Kumonsulta s"&amp;"a isang Abogado:** Humingi ng legal na payo mula sa isang abogadong may karanasan sa real estate at inheritance law. Maaari nilang ipaliwanag ang mga partikular na implikasyon ng mga easement at encumbrances sa iyong minanang ari-arian at payuhan ang pina"&amp;"kamahusay na paraan ng pagkilos. * **Buong Pagbubunyag ng Nagbebenta:** Kung isinasaalang-alang mo ang pagbili ng isang ari-arian, tiyakin ang buong pagsisiwalat ng nagbebenta tungkol sa anumang mga umiiral na easement at encumbrances. Hayaang suriin ng i"&amp;"sang abogado ang titulo ng ari-arian at mga kaugnay na dokumento upang i-verify ang impormasyong ito.
**Sa konklusyon,** ang pagmamana ng ari-arian na may mga easement at encumbrances ay may parehong mga karapatan at obligasyon. Ang pag-unawa sa mga legal"&amp;" na implikasyon ng mga paghihigpit na ito ay makakatulong sa mga tagapagmana na gumawa ng matalinong mga desisyon tungkol sa pamamahala o pagtatapon ng minanang ari-arian.")</f>
        <v>Sa Pilipinas, **mga easement at encumbrances sa paglilipat ng ari-arian sa mismong ari-arian**. Nangangahulugan ito na ang sinumang magmana ng ari-arian ay magmamana rin ng mga karapatan at obligasyon na nauugnay sa mga easement at encumbrances na ito.
Narito ang isang breakdown ng kung paano tinutugunan ng batas ang pagmamana ng mga ari-arian na nakakulong:
**Easements:**
* Ang **easement** ay nagbibigay ng isang partikular na karapatang gamitin ang bahagi ng ari-arian ng ibang tao para sa isang limitadong layunin. Kasama sa mga karaniwang halimbawa ang right of way (access sa lupain ng iba) o mga utility easement (nagbibigay-daan sa mga utility company na mag-install ng mga linya sa property).
* **Epekto sa Mga Tagapagmana:** Kapag nagmana ka ng ari-arian na may easement, dapat mong igalang ang mga karapatang ibinigay sa easement agreement. Halimbawa, kung ang iyong mana ay may easement na nagbibigay sa iyong kapitbahay ng karapatang daan sa isang bahagi ng lupain, hindi mo maaaring harangan ang kanilang pag-access.
**Mga encumbrances:**
* Ang **encumbrance** ay isang claim o lien laban sa isang ari-arian na naghihigpit sa buong karapatan ng may-ari. Maaaring kabilang dito ang mga mortgage, buwis, o hatol laban sa namatay.
* **Epekto sa mga Tagapagmana:** Ang mga tagapagmana na nagmamana ng ari-arian na may mga encumbrances ay nagiging responsable sa pagtupad sa mga obligasyong kalakip sa mga encumbrances na iyon. Halimbawa, kung ang namatay ay nagkaroon ng mortgage sa ari-arian, ang mga tagapagmana ay magiging responsable para sa pagbabayad ng mortgage o panganib na foreclosure.
**Mga Legal na Implikasyon para sa mga Tagapagmana:**
* **Pag-unawa sa Encumbrance:** Napakahalaga para sa mga tagapagmana na maunawaan ang mga partikular na easement at encumbrances na nakalakip sa minanang ari-arian. Ang impormasyong ito ay dapat ibunyag sa panahon ng proseso ng probate o sa pamamagitan ng mga dokumento ng titulo.
* **Potensyal na Epekto sa Halaga:** Maaaring makaapekto ang mga easement at encumbrances sa marketability at halaga ng property. Dapat isaalang-alang ng mga tagapagmana ang mga paghihigpit na ito kapag isinasaalang-alang ang pagpapanatili o pagbebenta ng minanang ari-arian.
* **Mga Obligasyon sa Pananalapi:** Sa kaso ng mga encumbrances tulad ng mga mortgage, mananagot ang mga tagapagmana para sa natitirang utang. Kailangan nilang magpasya kung kaya nilang bayaran ang mga pagbabayad o kung ang pagbebenta ng ari-arian ay isang mas mahusay na opsyon upang bayaran ang utang.
* **Dispute Resolution:** Kung may mga hindi pagkakasundo sa pagitan ng mga tagapagmana hinggil sa kanilang mga obligasyon sa mga easement o encumbrances, maaaring kailanganin ang legal na konsultasyon upang malutas ang hindi pagkakaunawaan.
**Mga Rekomendasyon:**
* **Kumonsulta sa isang Abogado:** Humingi ng legal na payo mula sa isang abogadong may karanasan sa real estate at inheritance law. Maaari nilang ipaliwanag ang mga partikular na implikasyon ng mga easement at encumbrances sa iyong minanang ari-arian at payuhan ang pinakamahusay na paraan ng pagkilos. * **Buong Pagbubunyag ng Nagbebenta:** Kung isinasaalang-alang mo ang pagbili ng isang ari-arian, tiyakin ang buong pagsisiwalat ng nagbebenta tungkol sa anumang mga umiiral na easement at encumbrances. Hayaang suriin ng isang abogado ang titulo ng ari-arian at mga kaugnay na dokumento upang i-verify ang impormasyong ito.
**Sa konklusyon,** ang pagmamana ng ari-arian na may mga easement at encumbrances ay may parehong mga karapatan at obligasyon. Ang pag-unawa sa mga legal na implikasyon ng mga paghihigpit na ito ay makakatulong sa mga tagapagmana na gumawa ng matalinong mga desisyon tungkol sa pamamahala o pagtatapon ng minanang ari-arian.</v>
      </c>
      <c r="F543" s="2">
        <f t="shared" si="1"/>
        <v>0</v>
      </c>
      <c r="G543" s="2"/>
      <c r="H543" s="2"/>
      <c r="I543" s="2"/>
      <c r="J543" s="2"/>
      <c r="K543" s="2"/>
      <c r="L543" s="2"/>
      <c r="M543" s="2"/>
      <c r="N543" s="2"/>
      <c r="O543" s="2"/>
      <c r="P543" s="2"/>
      <c r="Q543" s="2"/>
      <c r="R543" s="2"/>
      <c r="S543" s="2"/>
      <c r="T543" s="2"/>
      <c r="U543" s="2"/>
      <c r="V543" s="2"/>
      <c r="W543" s="2"/>
      <c r="X543" s="2"/>
      <c r="Y543" s="2"/>
      <c r="Z543" s="2"/>
      <c r="AA543" s="2"/>
    </row>
    <row r="544">
      <c r="A544" s="1" t="s">
        <v>1224</v>
      </c>
      <c r="B544" s="1" t="s">
        <v>1847</v>
      </c>
      <c r="C544" s="1" t="s">
        <v>1848</v>
      </c>
      <c r="D544" s="1" t="s">
        <v>1849</v>
      </c>
      <c r="E544" s="2" t="str">
        <f>IFERROR(__xludf.DUMMYFUNCTION("GOOGLETRANSLATE(C544, ""en"", ""TL"")"),"Ang mga legal na kinakailangan para sa pagmamana ng ari-arian sa Pilipinas ay nakasalalay sa kung mayroong **kalooban** o wala. Narito ang isang breakdown ng mga pangunahing punto:
**Na may Habilin:**
* **Validity of the Will:** Ang will ay dapat **valid*"&amp;"* ayon sa batas ng Pilipinas. Nangangahulugan ito na dapat itong maayos na nilagdaan ng testator (taong gumagawa ng testamento) at mga saksi, at matugunan ang mga kinakailangan sa pormalidad na nakabalangkas sa Civil Code.
* **Pagkilala bilang isang Benep"&amp;"isyaryo:** Dapat kang malinaw na nakilala bilang isang benepisyaryo sa testamento. Dapat tukuyin ng testamento ang ari-arian na iyong minana at ang bahaging natatanggap mo.
**Walang Will (Intestacy):**
* **Intestacy Laws Apply:** Ang pamamahagi ng ari-ari"&amp;"an ay pinamamahalaan ng **intestacy laws**. Idinidikta ng mga batas na ito kung paano **dapat** hatiin ang ari-arian sa **mga sapilitang tagapagmana**. Nilalampasan nito ang mga kagustuhan ng namatay at maaaring hindi umayon sa kanilang orihinal na intens"&amp;"yon para sa pagmamana ng ari-arian.
* **Compulsory Heir Status:** Dapat kang maiuri bilang isang **compulsory heir** sa ilalim ng batas ng Pilipinas upang magmana ng ari-arian sa pamamagitan ng intestacy. Ang mga sapilitang tagapagmana ay kinabibilangan n"&amp;"g:
* **Spouse:** May karapatan sa isang bahagi ng parehong conjugal property at sa hiwalay na ari-arian ng namatay na asawa (nakadepende ang bahagi sa presensya ng mga inapo).
* **Mga Kaapu-apuhan (Mga Anak, Mga Apo):** Karaniwang nagmamana ng mayorya ng "&amp;"ari-arian, na ibinahagi nang pantay.
* **Mga Ascendants (Mga Magulang, Lola) sa kawalan ng mga inapo:** Magmana ng bahagi ng ari-arian kung ang namatay ay walang mga anak o apo.
**Mga Karagdagang Kinakailangan:**
* **Settlement of Debts and Taxes:** Bago "&amp;"maipamahagi ang ari-arian sa mga benepisyaryo, lahat ng utang at buwis ng namatay na ari-arian ay dapat bayaran. Maaaring kabilang dito ang pagbebenta ng mga asset kung kinakailangan.
* **Extrajudicial Settlement (kung naaangkop):** Kung ang lahat ng taga"&amp;"pagmana ay nasa legal na edad at sumasang-ayon sa pamamahagi ng ari-arian na nakabalangkas sa testamento (o sa pamamagitan ng mga batas ng intestacy kung walang testamento), isang **extrajudicial settlement** ay maaaring isaayos . Iniiwasan nito ang proba"&amp;"te court at pinapadali nito ang proseso. Maaaring payuhan ng isang abogado ang pagiging posible ng extrajudicial settlement sa iyong partikular na kaso. **Kahalagahan ng Legal na Patnubay:**
* Maaaring kumplikado ang mga batas sa mana. Ang pagkonsulta sa "&amp;"isang abogadong may karanasan sa estate planning at inheritance law ay inirerekomenda. Maaari silang magpayo tungkol sa bisa ng isang testamento, ang iyong mga karapatan bilang isang benepisyaryo sa ilalim ng mga batas ng testamento o kawalan ng katiyakan"&amp;", at gabayan ka sa legal na proseso ng pagmamana ng ari-arian.
**Sa konklusyon,** ang mga legal na kinakailangan para sa pagmamana ng ari-arian ay nakasalalay sa pagkakaroon ng isang testamento at iyong katayuan bilang isang benepisyaryo o sapilitang taga"&amp;"pagmana. Ang pag-unawa sa mga kinakailangang ito at paghingi ng legal na payo ay makakasiguro ng maayos at legal na maayos na proseso ng mana.")</f>
        <v>Ang mga legal na kinakailangan para sa pagmamana ng ari-arian sa Pilipinas ay nakasalalay sa kung mayroong **kalooban** o wala. Narito ang isang breakdown ng mga pangunahing punto:
**Na may Habilin:**
* **Validity of the Will:** Ang will ay dapat **valid** ayon sa batas ng Pilipinas. Nangangahulugan ito na dapat itong maayos na nilagdaan ng testator (taong gumagawa ng testamento) at mga saksi, at matugunan ang mga kinakailangan sa pormalidad na nakabalangkas sa Civil Code.
* **Pagkilala bilang isang Benepisyaryo:** Dapat kang malinaw na nakilala bilang isang benepisyaryo sa testamento. Dapat tukuyin ng testamento ang ari-arian na iyong minana at ang bahaging natatanggap mo.
**Walang Will (Intestacy):**
* **Intestacy Laws Apply:** Ang pamamahagi ng ari-arian ay pinamamahalaan ng **intestacy laws**. Idinidikta ng mga batas na ito kung paano **dapat** hatiin ang ari-arian sa **mga sapilitang tagapagmana**. Nilalampasan nito ang mga kagustuhan ng namatay at maaaring hindi umayon sa kanilang orihinal na intensyon para sa pagmamana ng ari-arian.
* **Compulsory Heir Status:** Dapat kang maiuri bilang isang **compulsory heir** sa ilalim ng batas ng Pilipinas upang magmana ng ari-arian sa pamamagitan ng intestacy. Ang mga sapilitang tagapagmana ay kinabibilangan ng:
* **Spouse:** May karapatan sa isang bahagi ng parehong conjugal property at sa hiwalay na ari-arian ng namatay na asawa (nakadepende ang bahagi sa presensya ng mga inapo).
* **Mga Kaapu-apuhan (Mga Anak, Mga Apo):** Karaniwang nagmamana ng mayorya ng ari-arian, na ibinahagi nang pantay.
* **Mga Ascendants (Mga Magulang, Lola) sa kawalan ng mga inapo:** Magmana ng bahagi ng ari-arian kung ang namatay ay walang mga anak o apo.
**Mga Karagdagang Kinakailangan:**
* **Settlement of Debts and Taxes:** Bago maipamahagi ang ari-arian sa mga benepisyaryo, lahat ng utang at buwis ng namatay na ari-arian ay dapat bayaran. Maaaring kabilang dito ang pagbebenta ng mga asset kung kinakailangan.
* **Extrajudicial Settlement (kung naaangkop):** Kung ang lahat ng tagapagmana ay nasa legal na edad at sumasang-ayon sa pamamahagi ng ari-arian na nakabalangkas sa testamento (o sa pamamagitan ng mga batas ng intestacy kung walang testamento), isang **extrajudicial settlement** ay maaaring isaayos . Iniiwasan nito ang probate court at pinapadali nito ang proseso. Maaaring payuhan ng isang abogado ang pagiging posible ng extrajudicial settlement sa iyong partikular na kaso. **Kahalagahan ng Legal na Patnubay:**
* Maaaring kumplikado ang mga batas sa mana. Ang pagkonsulta sa isang abogadong may karanasan sa estate planning at inheritance law ay inirerekomenda. Maaari silang magpayo tungkol sa bisa ng isang testamento, ang iyong mga karapatan bilang isang benepisyaryo sa ilalim ng mga batas ng testamento o kawalan ng katiyakan, at gabayan ka sa legal na proseso ng pagmamana ng ari-arian.
**Sa konklusyon,** ang mga legal na kinakailangan para sa pagmamana ng ari-arian ay nakasalalay sa pagkakaroon ng isang testamento at iyong katayuan bilang isang benepisyaryo o sapilitang tagapagmana. Ang pag-unawa sa mga kinakailangang ito at paghingi ng legal na payo ay makakasiguro ng maayos at legal na maayos na proseso ng mana.</v>
      </c>
      <c r="F544" s="2">
        <f t="shared" si="1"/>
        <v>0</v>
      </c>
      <c r="G544" s="2"/>
      <c r="H544" s="2"/>
      <c r="I544" s="2"/>
      <c r="J544" s="2"/>
      <c r="K544" s="2"/>
      <c r="L544" s="2"/>
      <c r="M544" s="2"/>
      <c r="N544" s="2"/>
      <c r="O544" s="2"/>
      <c r="P544" s="2"/>
      <c r="Q544" s="2"/>
      <c r="R544" s="2"/>
      <c r="S544" s="2"/>
      <c r="T544" s="2"/>
      <c r="U544" s="2"/>
      <c r="V544" s="2"/>
      <c r="W544" s="2"/>
      <c r="X544" s="2"/>
      <c r="Y544" s="2"/>
      <c r="Z544" s="2"/>
      <c r="AA544" s="2"/>
    </row>
    <row r="545">
      <c r="A545" s="1" t="s">
        <v>1224</v>
      </c>
      <c r="B545" s="1" t="s">
        <v>1850</v>
      </c>
      <c r="C545" s="1" t="s">
        <v>1851</v>
      </c>
      <c r="D545" s="1" t="s">
        <v>1852</v>
      </c>
      <c r="E545" s="2" t="str">
        <f>IFERROR(__xludf.DUMMYFUNCTION("GOOGLETRANSLATE(C545, ""en"", ""TL"")"),"Malaki ang papel ng probate sa proseso ng pamana sa Pilipinas, ngunit hindi ito palaging nalalapat. Narito ang isang breakdown kung paano nakakaapekto ang probate sa mana:
**Ano ang Probate?**
* Ang probate ay isang legal na proseso na pinangangasiwaan ng"&amp;" korte upang matukoy ang bisa ng isang testamento (kung mayroon man), tukuyin ang mga benepisyaryo, bayaran ang mga utang at buwis ng namatay, at ipamahagi ang natitirang mga ari-arian sa mga tagapagmana.
**Kailan Kinakailangan ang Probate?**
* Hindi sapi"&amp;"litan ang probate para sa **lahat** ng inheritance na sitwasyon sa Pilipinas. Karaniwan itong nalalapat sa mga sumusunod na kaso:
* **Presence of Complex Assets:** Kung ang namatay ay may malalaking asset tulad ng real estate, investments, o maramihang ba"&amp;"nk account, kadalasang kinakailangan ang probate upang i-verify ang pagmamay-ari at tiyakin ang maayos na paglipat sa mga benepisyaryo.
* **No Will o Unclear Will:** Kung walang testamento o ang kasalukuyang testamento ay hindi malinaw at pinagtatalunan, "&amp;"ang probate ay magiging kinakailangan upang matukoy ang mga legal na tagapagmana at ipamahagi ang mga asset ayon sa mga batas ng intestacy (kung walang will).
* **Mga Pagtatalo sa Mga Tagapagmana:** Kung may mga hindi pagkakasundo sa mga benepisyaryo tung"&amp;"kol sa bisa ng testamento o pamamahagi ng mga ari-arian, ang probate ay nagbibigay ng legal na balangkas para sa paglutas ng hindi pagkakaunawaan.
**Kailan Hindi Kinakailangan ang Probate?**
* Sa ilang partikular na sitwasyon, maaaring magpatuloy ang mana"&amp;" nang walang probate, na nag-aalok ng mas mabilis at mas murang proseso. Kasama sa mga sitwasyong ito ang:
* **Minimal Assets:** Kung ang namatay ay may limitadong ari-arian na binubuo pangunahin ng mga personal na ari-arian at isang maliit na halaga ng p"&amp;"era, ang isang extrajudicial settlement ay maaaring ayusin sa mga tagapagmana upang hatiin ang mga ari-arian nang walang paglahok sa korte.
* **Mga Bank Account na May Pinangalanang Mga Benepisyaryo:** Ang mga bank account na may mga itinalagang benepisya"&amp;"ryo ay awtomatikong naglilipat ng pagmamay-ari sa benepisyaryo sa pagkamatay ng may-ari ng account, na lumalampas sa probate.
**Epekto ng Probate sa Mana**
* **Oras:** Ang probate ay maaaring isang prosesong matagal, tumatagal kahit saan mula buwan hangga"&amp;"ng taon upang makumpleto, depende sa pagiging kumplikado ng ari-arian.
* **Gastos:** Ang probate ay nagsasangkot ng mga bayarin sa hukuman, bayad sa abogado, at iba pang gastusin sa pangangasiwa, na maaaring makabawas sa halaga ng ari-arian bago ipamahagi"&amp;" sa mga benepisyaryo. * **Transparency:** Ang Probate ay nagbibigay ng pampublikong rekord ng pangangasiwa ng ari-arian, na maaaring maging mahalaga para sa transparency at paglutas ng hindi pagkakaunawaan.
**Mga Alternatibo sa Probate:**
* Isaalang-alang"&amp;" ang paglikha ng isang buhay na tiwala habang buhay upang ilipat ang pagmamay-ari ng mga ari-arian sa isang tagapangasiwa na namamahala sa mga ito para sa kapakinabangan ng mga pinangalanang benepisyaryo sa iyong kamatayan. Maiiwasan nito ang probate para"&amp;" sa mga asset na inilagay sa trust.
**Kahalagahan ng Pagpaplano:**
* Ang pagkakaroon ng mahusay na pagkakabalangkas na kalooban at paggalugad ng mga diskarte sa pagpaplano ng ari-arian tulad ng mga living trust ay maaaring makatulong na mabawasan ang pang"&amp;"angailangan para sa probate at matiyak ang isang mas maayos na proseso ng mana para sa iyong mga mahal sa buhay.
**Sa konklusyon,** ang probate ay isang legal na proseso na maaaring makabuluhang makaapekto sa timeline ng mana at mga gastos sa Pilipinas. A"&amp;"ng pag-unawa kung kailan naaangkop ang probate at paggalugad ng mga alternatibo ay makakatulong sa iyong planuhin ang iyong ari-arian nang epektibo at i-streamline ang proseso ng mana para sa iyong mga benepisyaryo.")</f>
        <v>Malaki ang papel ng probate sa proseso ng pamana sa Pilipinas, ngunit hindi ito palaging nalalapat. Narito ang isang breakdown kung paano nakakaapekto ang probate sa mana:
**Ano ang Probate?**
* Ang probate ay isang legal na proseso na pinangangasiwaan ng korte upang matukoy ang bisa ng isang testamento (kung mayroon man), tukuyin ang mga benepisyaryo, bayaran ang mga utang at buwis ng namatay, at ipamahagi ang natitirang mga ari-arian sa mga tagapagmana.
**Kailan Kinakailangan ang Probate?**
* Hindi sapilitan ang probate para sa **lahat** ng inheritance na sitwasyon sa Pilipinas. Karaniwan itong nalalapat sa mga sumusunod na kaso:
* **Presence of Complex Assets:** Kung ang namatay ay may malalaking asset tulad ng real estate, investments, o maramihang bank account, kadalasang kinakailangan ang probate upang i-verify ang pagmamay-ari at tiyakin ang maayos na paglipat sa mga benepisyaryo.
* **No Will o Unclear Will:** Kung walang testamento o ang kasalukuyang testamento ay hindi malinaw at pinagtatalunan, ang probate ay magiging kinakailangan upang matukoy ang mga legal na tagapagmana at ipamahagi ang mga asset ayon sa mga batas ng intestacy (kung walang will).
* **Mga Pagtatalo sa Mga Tagapagmana:** Kung may mga hindi pagkakasundo sa mga benepisyaryo tungkol sa bisa ng testamento o pamamahagi ng mga ari-arian, ang probate ay nagbibigay ng legal na balangkas para sa paglutas ng hindi pagkakaunawaan.
**Kailan Hindi Kinakailangan ang Probate?**
* Sa ilang partikular na sitwasyon, maaaring magpatuloy ang mana nang walang probate, na nag-aalok ng mas mabilis at mas murang proseso. Kasama sa mga sitwasyong ito ang:
* **Minimal Assets:** Kung ang namatay ay may limitadong ari-arian na binubuo pangunahin ng mga personal na ari-arian at isang maliit na halaga ng pera, ang isang extrajudicial settlement ay maaaring ayusin sa mga tagapagmana upang hatiin ang mga ari-arian nang walang paglahok sa korte.
* **Mga Bank Account na May Pinangalanang Mga Benepisyaryo:** Ang mga bank account na may mga itinalagang benepisyaryo ay awtomatikong naglilipat ng pagmamay-ari sa benepisyaryo sa pagkamatay ng may-ari ng account, na lumalampas sa probate.
**Epekto ng Probate sa Mana**
* **Oras:** Ang probate ay maaaring isang prosesong matagal, tumatagal kahit saan mula buwan hanggang taon upang makumpleto, depende sa pagiging kumplikado ng ari-arian.
* **Gastos:** Ang probate ay nagsasangkot ng mga bayarin sa hukuman, bayad sa abogado, at iba pang gastusin sa pangangasiwa, na maaaring makabawas sa halaga ng ari-arian bago ipamahagi sa mga benepisyaryo. * **Transparency:** Ang Probate ay nagbibigay ng pampublikong rekord ng pangangasiwa ng ari-arian, na maaaring maging mahalaga para sa transparency at paglutas ng hindi pagkakaunawaan.
**Mga Alternatibo sa Probate:**
* Isaalang-alang ang paglikha ng isang buhay na tiwala habang buhay upang ilipat ang pagmamay-ari ng mga ari-arian sa isang tagapangasiwa na namamahala sa mga ito para sa kapakinabangan ng mga pinangalanang benepisyaryo sa iyong kamatayan. Maiiwasan nito ang probate para sa mga asset na inilagay sa trust.
**Kahalagahan ng Pagpaplano:**
* Ang pagkakaroon ng mahusay na pagkakabalangkas na kalooban at paggalugad ng mga diskarte sa pagpaplano ng ari-arian tulad ng mga living trust ay maaaring makatulong na mabawasan ang pangangailangan para sa probate at matiyak ang isang mas maayos na proseso ng mana para sa iyong mga mahal sa buhay.
**Sa konklusyon,** ang probate ay isang legal na proseso na maaaring makabuluhang makaapekto sa timeline ng mana at mga gastos sa Pilipinas. Ang pag-unawa kung kailan naaangkop ang probate at paggalugad ng mga alternatibo ay makakatulong sa iyong planuhin ang iyong ari-arian nang epektibo at i-streamline ang proseso ng mana para sa iyong mga benepisyaryo.</v>
      </c>
      <c r="F545" s="2">
        <f t="shared" si="1"/>
        <v>0</v>
      </c>
      <c r="G545" s="2"/>
      <c r="H545" s="2"/>
      <c r="I545" s="2"/>
      <c r="J545" s="2"/>
      <c r="K545" s="2"/>
      <c r="L545" s="2"/>
      <c r="M545" s="2"/>
      <c r="N545" s="2"/>
      <c r="O545" s="2"/>
      <c r="P545" s="2"/>
      <c r="Q545" s="2"/>
      <c r="R545" s="2"/>
      <c r="S545" s="2"/>
      <c r="T545" s="2"/>
      <c r="U545" s="2"/>
      <c r="V545" s="2"/>
      <c r="W545" s="2"/>
      <c r="X545" s="2"/>
      <c r="Y545" s="2"/>
      <c r="Z545" s="2"/>
      <c r="AA545" s="2"/>
    </row>
    <row r="546">
      <c r="A546" s="1" t="s">
        <v>1224</v>
      </c>
      <c r="B546" s="1" t="s">
        <v>1853</v>
      </c>
      <c r="C546" s="1" t="s">
        <v>1854</v>
      </c>
      <c r="D546" s="1" t="s">
        <v>1855</v>
      </c>
      <c r="E546" s="2" t="str">
        <f>IFERROR(__xludf.DUMMYFUNCTION("GOOGLETRANSLATE(C546, ""en"", ""TL"")"),"Oo, ang isang testamento ay maaaring ipaglaban sa korte sa Pilipinas sa ilalim ng ilang mga pangyayari. Narito ang isang breakdown ng **mga batayan para sa paglaban sa isang testamento**:
**Limitadong Grounds para sa Paligsahan:**
* Ipinapalagay ng sistem"&amp;"ang legal ng Pilipinas na ang isang testamento ay **wasto**. Ang pasanin ng patunay ay nakasalalay sa partidong tumututol sa kalooban na magpakita ng wastong dahilan kung bakit dapat itong ideklarang hindi wasto.
**Mga Karaniwang Grounds para sa Paligsaha"&amp;"n:**
* **Mga Pormal na Depekto:** Ang testamento ay dapat sumunod sa mga partikular na pormalidad na nakabalangkas sa Civil Code. Ang mga halimbawa ng mga pormal na depekto ay kinabibilangan ng:
* Hindi wastong nilagdaan ng testator (taong gumagawa ng tes"&amp;"tamento) at mga saksi.
* Kakulangan ng kinakailangang bilang ng mga saksi (karaniwan ay dalawa o higit pa).
* Saksi ang kawalan ng kakayahan (hal., pagiging menor de edad o hindi maayos ang pag-iisip).
* **Testamentary Capacity:** Ang testator ay dapat na"&amp;" may **testamentary capacity** sa oras ng pagpirma sa testamento. Nangangahulugan ito na dapat na sila ay nasa mabuting pag-iisip at naunawaan ang mga kahihinatnan ng kanilang mga aksyon. Maaaring isaalang-alang ang mga salik tulad ng sakit sa isip, pagka"&amp;"lasing, o matinding edad.
* **Hindi nararapat na Impluwensiya:** Nalikha ang testamento bilang resulta ng **hindi nararapat na impluwensya** sa testator. Nangangahulugan ito na may nagpilit o pinilit ang testator na gumawa ng testamento laban sa kanilang "&amp;"kagustuhan.
* **Pagkamali:** Ang testamento ay naglalaman ng isang pagkakamali na maling kumakatawan sa tunay na intensyon ng testator. Ito ay maaaring dahil sa error ng scrivener (error ng taong sumulat ng testamento) o hindi pagkakaunawaan ng testator.
"&amp;"**Pagpapatunay sa Grounds:**
* Ang partidong lumalaban sa testamento ay kailangang magpakita ng mapagkakatiwalaang ebidensya sa korte upang suportahan ang kanilang mga paghahabol tungkol sa mga pormal na depekto, kapasidad ng testamentaryo, hindi nararapa"&amp;"t na impluwensya, o pagkakamali. Maaaring kasama sa ebidensyang ito ang mga medikal na rekord, mga testimonya ng saksi, o mga naunang draft ng testamento.
**Naghahanap ng Legal na Tagapayo:**
* Ang paligsahan sa isang testamento ay isang kumplikadong lega"&amp;"l na proseso. Ang pagkonsulta sa isang abogadong may karanasan sa paglilitis sa ari-arian ay mahalaga. Maaari silang magpayo sa bisa ng iyong mga paghahabol at gagabay sa iyo sa mga pamamaraan ng korte na kasangkot sa paglaban sa isang testamento.
**Mga K"&amp;"aragdagang Pagsasaalang-alang:**
* **Mga Limitasyon sa Oras:** Maaaring may mga limitasyon sa oras ayon sa batas para sa pakikipaglaban sa isang testamento sa Pilipinas. Napakahalagang kumilos kaagad kung naniniwala kang hindi wasto ang testamento.
* **Ma"&amp;"mahaling Proseso:** Ang paligsahan sa isang testamento ay maaaring maging isang mahaba at mahal na proseso. Timbangin ang mga potensyal na benepisyo laban sa mga gastos na kasangkot bago magpasyang lumaban.
**Sa konklusyon,** habang ang mga testamento sa "&amp;"pangkalahatan ay ipinapalagay na wasto sa Pilipinas, may mga limitadong batayan para sa pagtatalo sa mga ito sa korte. Ang pag-unawa sa mga batayan na ito at paghingi ng legal na payo ay maaaring maging mahalaga kung naniniwala kang hindi wasto ang isang "&amp;"testamento at nais mong hamunin ito.")</f>
        <v>Oo, ang isang testamento ay maaaring ipaglaban sa korte sa Pilipinas sa ilalim ng ilang mga pangyayari. Narito ang isang breakdown ng **mga batayan para sa paglaban sa isang testamento**:
**Limitadong Grounds para sa Paligsahan:**
* Ipinapalagay ng sistemang legal ng Pilipinas na ang isang testamento ay **wasto**. Ang pasanin ng patunay ay nakasalalay sa partidong tumututol sa kalooban na magpakita ng wastong dahilan kung bakit dapat itong ideklarang hindi wasto.
**Mga Karaniwang Grounds para sa Paligsahan:**
* **Mga Pormal na Depekto:** Ang testamento ay dapat sumunod sa mga partikular na pormalidad na nakabalangkas sa Civil Code. Ang mga halimbawa ng mga pormal na depekto ay kinabibilangan ng:
* Hindi wastong nilagdaan ng testator (taong gumagawa ng testamento) at mga saksi.
* Kakulangan ng kinakailangang bilang ng mga saksi (karaniwan ay dalawa o higit pa).
* Saksi ang kawalan ng kakayahan (hal., pagiging menor de edad o hindi maayos ang pag-iisip).
* **Testamentary Capacity:** Ang testator ay dapat na may **testamentary capacity** sa oras ng pagpirma sa testamento. Nangangahulugan ito na dapat na sila ay nasa mabuting pag-iisip at naunawaan ang mga kahihinatnan ng kanilang mga aksyon. Maaaring isaalang-alang ang mga salik tulad ng sakit sa isip, pagkalasing, o matinding edad.
* **Hindi nararapat na Impluwensiya:** Nalikha ang testamento bilang resulta ng **hindi nararapat na impluwensya** sa testator. Nangangahulugan ito na may nagpilit o pinilit ang testator na gumawa ng testamento laban sa kanilang kagustuhan.
* **Pagkamali:** Ang testamento ay naglalaman ng isang pagkakamali na maling kumakatawan sa tunay na intensyon ng testator. Ito ay maaaring dahil sa error ng scrivener (error ng taong sumulat ng testamento) o hindi pagkakaunawaan ng testator.
**Pagpapatunay sa Grounds:**
* Ang partidong lumalaban sa testamento ay kailangang magpakita ng mapagkakatiwalaang ebidensya sa korte upang suportahan ang kanilang mga paghahabol tungkol sa mga pormal na depekto, kapasidad ng testamentaryo, hindi nararapat na impluwensya, o pagkakamali. Maaaring kasama sa ebidensyang ito ang mga medikal na rekord, mga testimonya ng saksi, o mga naunang draft ng testamento.
**Naghahanap ng Legal na Tagapayo:**
* Ang paligsahan sa isang testamento ay isang kumplikadong legal na proseso. Ang pagkonsulta sa isang abogadong may karanasan sa paglilitis sa ari-arian ay mahalaga. Maaari silang magpayo sa bisa ng iyong mga paghahabol at gagabay sa iyo sa mga pamamaraan ng korte na kasangkot sa paglaban sa isang testamento.
**Mga Karagdagang Pagsasaalang-alang:**
* **Mga Limitasyon sa Oras:** Maaaring may mga limitasyon sa oras ayon sa batas para sa pakikipaglaban sa isang testamento sa Pilipinas. Napakahalagang kumilos kaagad kung naniniwala kang hindi wasto ang testamento.
* **Mamahaling Proseso:** Ang paligsahan sa isang testamento ay maaaring maging isang mahaba at mahal na proseso. Timbangin ang mga potensyal na benepisyo laban sa mga gastos na kasangkot bago magpasyang lumaban.
**Sa konklusyon,** habang ang mga testamento sa pangkalahatan ay ipinapalagay na wasto sa Pilipinas, may mga limitadong batayan para sa pagtatalo sa mga ito sa korte. Ang pag-unawa sa mga batayan na ito at paghingi ng legal na payo ay maaaring maging mahalaga kung naniniwala kang hindi wasto ang isang testamento at nais mong hamunin ito.</v>
      </c>
      <c r="F546" s="2">
        <f t="shared" si="1"/>
        <v>0</v>
      </c>
      <c r="G546" s="2"/>
      <c r="H546" s="2"/>
      <c r="I546" s="2"/>
      <c r="J546" s="2"/>
      <c r="K546" s="2"/>
      <c r="L546" s="2"/>
      <c r="M546" s="2"/>
      <c r="N546" s="2"/>
      <c r="O546" s="2"/>
      <c r="P546" s="2"/>
      <c r="Q546" s="2"/>
      <c r="R546" s="2"/>
      <c r="S546" s="2"/>
      <c r="T546" s="2"/>
      <c r="U546" s="2"/>
      <c r="V546" s="2"/>
      <c r="W546" s="2"/>
      <c r="X546" s="2"/>
      <c r="Y546" s="2"/>
      <c r="Z546" s="2"/>
      <c r="AA546" s="2"/>
    </row>
    <row r="547">
      <c r="A547" s="1" t="s">
        <v>1224</v>
      </c>
      <c r="B547" s="1" t="s">
        <v>1856</v>
      </c>
      <c r="C547" s="1" t="s">
        <v>1857</v>
      </c>
      <c r="D547" s="1" t="s">
        <v>1858</v>
      </c>
      <c r="E547" s="2" t="str">
        <f>IFERROR(__xludf.DUMMYFUNCTION("GOOGLETRANSLATE(C547, ""en"", ""TL"")"),"Sa Pilipinas, kung may namatay **nang walang habilin** (intestacy), maraming bagay ang mangyayari:
* **Intestacy Laws Apply:** Ang pamamahagi ng kanilang mga asset ay pinamamahalaan ng **intestacy laws**. Ang mga paunang natukoy na batas na ito ang nagdid"&amp;"ikta kung paano **dapat** hatiin ang ari-arian sa **mga sapilitang tagapagmana**. Nalalagpasan nito ang kagustuhan ng namatay at maaaring humantong sa hindi sinasadyang pamamahagi ng mga ari-arian kumpara sa pagkakaroon ng testamento.
* **Mga Sapilitang T"&amp;"agapagmana:** Ang mga malalapit na kamag-anak na itinuturing na **mga sapilitang tagapagmana** ayon sa batas ay awtomatikong nagmamana ng bahagi ng ari-arian. Kabilang dito ang:
* **Spouse:** May karapatan sa isang bahagi ng parehong conjugal property at "&amp;"sa hiwalay na ari-arian ng namatay na asawa (nakadepende ang bahagi sa presensya ng mga inapo).
* **Mga Kaapu-apuhan (Mga Anak, Mga Apo):** Karaniwang nagmamana ng mayorya ng ari-arian, na ibinahagi nang pantay.
* **Mga Ascendants (Mga Magulang, Lola) sa "&amp;"kawalan ng mga inapo:** Magmana ng bahagi ng ari-arian kung ang namatay ay walang mga anak o apo.
* **Predefined Shares:** Tinukoy ng mga batas ng intestacy ang **share** na natatanggap ng bawat compulsory heir. Ang mga bahaging ito ay nag-iiba-iba depend"&amp;"e sa kumbinasyon ng mga nabubuhay na kamag-anak (asawa, inapo, ascendants). * **Mga Potensyal na Pagkakumplikado:**
* **Mga hindi pagkakasundo sa pagitan ng mga tagapagmana:** Kung walang malinaw na kalooban na nagbabalangkas sa mga kagustuhan sa pamamaha"&amp;"gi, maaaring hindi sumang-ayon ang mga tagapagmana sa paghahati ng mga ari-arian, na humahantong sa hindi pagkakasundo.
* **Extrajudicial Settlement vs. Probate Court:** Kung ang lahat ng tagapagmana ay sumang-ayon at nasa legal na edad, isang **extrajudi"&amp;"cial settlement** ay maaaring ayusin upang maiwasan ang probate court. Pinapasimple nito ang proseso ngunit maaaring mangailangan ng legal na patnubay.
* **Hindi Sinasadyang Pamamahagi:** Nawawalan ng kontrol ang namatay sa kung paano ipinamamahagi ang ka"&amp;"nilang mga asset. Maaaring hindi mapunta ang mga asset sa mga nilalayong benepisyaryo sa labas ng kategoryang sapilitang tagapagmana.
**Kahalagahan ng isang Habilin:**
Ang pagkakaroon ng **kalooban** ay nagbibigay-daan sa iyo na malinaw na sabihin ang iyo"&amp;"ng mga nais tungkol sa pamamahagi ng asset pagkatapos ng kamatayan. Makakatulong ito:
* **Iwasan ang Intestacy:** Nilalampasan ang mga kawalan ng katiyakan ng mga batas ng intestacy at tinitiyak na mapupunta ang iyong mga asset sa mga napili mong benepisy"&amp;"aryo.
* **Bawasan ang Salungatan:** Ang isang malinaw na kalooban ay nagbabawas sa posibilidad ng mga pagtatalo sa pagitan ng mga tagapagmana tungkol sa mana.
* **Protektahan ang mga Mahal sa Buhay:** Maaari mong tukuyin ang mga tagapag-alaga para sa mga "&amp;"menor de edad na bata at ipamahagi ang mga asset ayon sa nakikita mong angkop.
**Rekomendasyon:**
Ang pagkonsulta sa isang abogadong may karanasan sa estate planning ay lubos na inirerekomenda. Maaari ka nilang gabayan sa proseso ng paglikha ng testamento"&amp;", tiyakin ang pagsunod sa batas ng Pilipinas, at tulungan kang magplano para sa maayos na proseso ng pamana para sa iyong mga mahal sa buhay.")</f>
        <v>Sa Pilipinas, kung may namatay **nang walang habilin** (intestacy), maraming bagay ang mangyayari:
* **Intestacy Laws Apply:** Ang pamamahagi ng kanilang mga asset ay pinamamahalaan ng **intestacy laws**. Ang mga paunang natukoy na batas na ito ang nagdidikta kung paano **dapat** hatiin ang ari-arian sa **mga sapilitang tagapagmana**. Nalalagpasan nito ang kagustuhan ng namatay at maaaring humantong sa hindi sinasadyang pamamahagi ng mga ari-arian kumpara sa pagkakaroon ng testamento.
* **Mga Sapilitang Tagapagmana:** Ang mga malalapit na kamag-anak na itinuturing na **mga sapilitang tagapagmana** ayon sa batas ay awtomatikong nagmamana ng bahagi ng ari-arian. Kabilang dito ang:
* **Spouse:** May karapatan sa isang bahagi ng parehong conjugal property at sa hiwalay na ari-arian ng namatay na asawa (nakadepende ang bahagi sa presensya ng mga inapo).
* **Mga Kaapu-apuhan (Mga Anak, Mga Apo):** Karaniwang nagmamana ng mayorya ng ari-arian, na ibinahagi nang pantay.
* **Mga Ascendants (Mga Magulang, Lola) sa kawalan ng mga inapo:** Magmana ng bahagi ng ari-arian kung ang namatay ay walang mga anak o apo.
* **Predefined Shares:** Tinukoy ng mga batas ng intestacy ang **share** na natatanggap ng bawat compulsory heir. Ang mga bahaging ito ay nag-iiba-iba depende sa kumbinasyon ng mga nabubuhay na kamag-anak (asawa, inapo, ascendants). * **Mga Potensyal na Pagkakumplikado:**
* **Mga hindi pagkakasundo sa pagitan ng mga tagapagmana:** Kung walang malinaw na kalooban na nagbabalangkas sa mga kagustuhan sa pamamahagi, maaaring hindi sumang-ayon ang mga tagapagmana sa paghahati ng mga ari-arian, na humahantong sa hindi pagkakasundo.
* **Extrajudicial Settlement vs. Probate Court:** Kung ang lahat ng tagapagmana ay sumang-ayon at nasa legal na edad, isang **extrajudicial settlement** ay maaaring ayusin upang maiwasan ang probate court. Pinapasimple nito ang proseso ngunit maaaring mangailangan ng legal na patnubay.
* **Hindi Sinasadyang Pamamahagi:** Nawawalan ng kontrol ang namatay sa kung paano ipinamamahagi ang kanilang mga asset. Maaaring hindi mapunta ang mga asset sa mga nilalayong benepisyaryo sa labas ng kategoryang sapilitang tagapagmana.
**Kahalagahan ng isang Habilin:**
Ang pagkakaroon ng **kalooban** ay nagbibigay-daan sa iyo na malinaw na sabihin ang iyong mga nais tungkol sa pamamahagi ng asset pagkatapos ng kamatayan. Makakatulong ito:
* **Iwasan ang Intestacy:** Nilalampasan ang mga kawalan ng katiyakan ng mga batas ng intestacy at tinitiyak na mapupunta ang iyong mga asset sa mga napili mong benepisyaryo.
* **Bawasan ang Salungatan:** Ang isang malinaw na kalooban ay nagbabawas sa posibilidad ng mga pagtatalo sa pagitan ng mga tagapagmana tungkol sa mana.
* **Protektahan ang mga Mahal sa Buhay:** Maaari mong tukuyin ang mga tagapag-alaga para sa mga menor de edad na bata at ipamahagi ang mga asset ayon sa nakikita mong angkop.
**Rekomendasyon:**
Ang pagkonsulta sa isang abogadong may karanasan sa estate planning ay lubos na inirerekomenda. Maaari ka nilang gabayan sa proseso ng paglikha ng testamento, tiyakin ang pagsunod sa batas ng Pilipinas, at tulungan kang magplano para sa maayos na proseso ng pamana para sa iyong mga mahal sa buhay.</v>
      </c>
      <c r="F547" s="2">
        <f t="shared" si="1"/>
        <v>0</v>
      </c>
      <c r="G547" s="2"/>
      <c r="H547" s="2"/>
      <c r="I547" s="2"/>
      <c r="J547" s="2"/>
      <c r="K547" s="2"/>
      <c r="L547" s="2"/>
      <c r="M547" s="2"/>
      <c r="N547" s="2"/>
      <c r="O547" s="2"/>
      <c r="P547" s="2"/>
      <c r="Q547" s="2"/>
      <c r="R547" s="2"/>
      <c r="S547" s="2"/>
      <c r="T547" s="2"/>
      <c r="U547" s="2"/>
      <c r="V547" s="2"/>
      <c r="W547" s="2"/>
      <c r="X547" s="2"/>
      <c r="Y547" s="2"/>
      <c r="Z547" s="2"/>
      <c r="AA547" s="2"/>
    </row>
    <row r="548">
      <c r="A548" s="1" t="s">
        <v>1224</v>
      </c>
      <c r="B548" s="1" t="s">
        <v>1859</v>
      </c>
      <c r="C548" s="1" t="s">
        <v>1860</v>
      </c>
      <c r="D548" s="1" t="s">
        <v>1861</v>
      </c>
      <c r="E548" s="2" t="str">
        <f>IFERROR(__xludf.DUMMYFUNCTION("GOOGLETRANSLATE(C548, ""en"", ""TL"")"),"Sa Pilipinas, kung ang isang tao ay namatay **nang walang habilin** (intestacy), ang pamamahagi ng kanilang mga ari-arian ay pinamamahalaan ng **intestacy laws**. Idinidikta ng mga batas na ito kung paano **dapat** hatiin ang ari-arian sa **mga sapilitang"&amp;" tagapagmana**.
Narito ang isang breakdown kung paano ibinabahagi ang mga asset sa kawalan ng testamento:
**Mga Sapilitang Tagapagmana at Pagbabahagi:**
* Ang **mga batas sa kawalan ng katiyakan** ay tumutukoy sa mga partikular na kamag-anak na itinuturin"&amp;"g na **mga sapilitang tagapagmana**. Ang mga tagapagmanang ito ay may karapatan sa isang **iniresetang bahagi** ng ari-arian ng namatay. Ang mga bahagi ay nag-iiba depende sa mga nabubuhay na kamag-anak:
* **Presence of Asawa at Descendants (Mga Anak, Apo"&amp;"):** Ang ari-arian ay karaniwang nahahati sa mga sumusunod:
* **Nabubuhay na Asawa:** Nakukuha ang ½ (kalahati) ng conjugal property **at** ⅓ (one-third) ng hiwalay na ari-arian ng namatay na asawa.
* **Mga Kaapu-apuhan:** Ibahagi nang pantay-pantay ang n"&amp;"atitirang ⅓ (isang-katlo) ng hiwalay na ari-arian.
* **Kawalan ng mga Inapo ngunit Presensya ng Asawa at Ascendants (Mga Magulang):** Ang ari-arian ay hinati ayon sa sumusunod:
* **Nabubuhay na Asawa:** Nakukuha ang ½ (kalahati) ng conjugal property **at*"&amp;"* ⅔ (two-thirds) ng hiwalay na ari-arian ng namatay na asawa.
* **Mga Ascendant:** Ibahagi ang natitirang ⅓ (isang-katlo) ng hiwalay na ari-arian nang pantay-pantay.
* **Kawalan ng mga Inapo at Asawa ngunit Presensya ng mga Ascendants:** Ang buong ari-ari"&amp;"an ay napupunta sa mga ascendants (mga magulang o mga ninuno), na ibinahagi nang pantay-pantay.
**Mahahalagang Pagsasaalang-alang:**
* **Mga Iligal na Anak:** Ang mga anak sa labas na kinikilala ng legal **kwalipikado rin** bilang mga sapilitang tagapagma"&amp;"na at may karapatan sa bahagi ng mana.
* **Mga Predeceased Heirs:** Kung ang isang bata ay nauna sa namatay (namatay bago sila), ang kanilang bahagi ay karaniwang ipinapasa sa kanilang mga inapo (apo ng namatay) sa pamamagitan ng representasyon.
* **Extra"&amp;"judicial Settlement:** Kung ang lahat ng tagapagmana ay nasa legal na edad at sumang-ayon sa pamamahagi, isang **extrajudicial settlement** ay maaaring ayusin. Iniiwasan nito ang probate court at pinapadali nito ang proseso.
**Naghahanap ng Legal na Payo:"&amp;"**
* Kahit na may mga batas sa intestacy, ang proseso ng inheritance ay maaaring maging kumplikado. Inirerekomenda ang pagkonsulta sa isang abogadong may karanasan sa intestacy at estate administration. Maaari silang magpayo sa wastong aplikasyon ng mga b"&amp;"atas sa kawalan ng buhay sa iyong partikular na sitwasyon at tiyakin ang isang patas na pamamahagi ng mga ari-arian sa mga tagapagmana.
**Sa konklusyon,** ang kawalan ng isang testamento ay hindi pumipigil sa mana, ngunit ito ay **nagti-trigger ng mga bat"&amp;"as sa intestacy** upang ipamahagi ang ari-arian sa mga compulsory heirs. Ang pag-unawa sa mga batas na ito at potensyal na humingi ng legal na patnubay ay makakatulong na matiyak ang maayos na proseso ng mana ayon sa mga regulasyon ng Pilipinas.")</f>
        <v>Sa Pilipinas, kung ang isang tao ay namatay **nang walang habilin** (intestacy), ang pamamahagi ng kanilang mga ari-arian ay pinamamahalaan ng **intestacy laws**. Idinidikta ng mga batas na ito kung paano **dapat** hatiin ang ari-arian sa **mga sapilitang tagapagmana**.
Narito ang isang breakdown kung paano ibinabahagi ang mga asset sa kawalan ng testamento:
**Mga Sapilitang Tagapagmana at Pagbabahagi:**
* Ang **mga batas sa kawalan ng katiyakan** ay tumutukoy sa mga partikular na kamag-anak na itinuturing na **mga sapilitang tagapagmana**. Ang mga tagapagmanang ito ay may karapatan sa isang **iniresetang bahagi** ng ari-arian ng namatay. Ang mga bahagi ay nag-iiba depende sa mga nabubuhay na kamag-anak:
* **Presence of Asawa at Descendants (Mga Anak, Apo):** Ang ari-arian ay karaniwang nahahati sa mga sumusunod:
* **Nabubuhay na Asawa:** Nakukuha ang ½ (kalahati) ng conjugal property **at** ⅓ (one-third) ng hiwalay na ari-arian ng namatay na asawa.
* **Mga Kaapu-apuhan:** Ibahagi nang pantay-pantay ang natitirang ⅓ (isang-katlo) ng hiwalay na ari-arian.
* **Kawalan ng mga Inapo ngunit Presensya ng Asawa at Ascendants (Mga Magulang):** Ang ari-arian ay hinati ayon sa sumusunod:
* **Nabubuhay na Asawa:** Nakukuha ang ½ (kalahati) ng conjugal property **at** ⅔ (two-thirds) ng hiwalay na ari-arian ng namatay na asawa.
* **Mga Ascendant:** Ibahagi ang natitirang ⅓ (isang-katlo) ng hiwalay na ari-arian nang pantay-pantay.
* **Kawalan ng mga Inapo at Asawa ngunit Presensya ng mga Ascendants:** Ang buong ari-arian ay napupunta sa mga ascendants (mga magulang o mga ninuno), na ibinahagi nang pantay-pantay.
**Mahahalagang Pagsasaalang-alang:**
* **Mga Iligal na Anak:** Ang mga anak sa labas na kinikilala ng legal **kwalipikado rin** bilang mga sapilitang tagapagmana at may karapatan sa bahagi ng mana.
* **Mga Predeceased Heirs:** Kung ang isang bata ay nauna sa namatay (namatay bago sila), ang kanilang bahagi ay karaniwang ipinapasa sa kanilang mga inapo (apo ng namatay) sa pamamagitan ng representasyon.
* **Extrajudicial Settlement:** Kung ang lahat ng tagapagmana ay nasa legal na edad at sumang-ayon sa pamamahagi, isang **extrajudicial settlement** ay maaaring ayusin. Iniiwasan nito ang probate court at pinapadali nito ang proseso.
**Naghahanap ng Legal na Payo:**
* Kahit na may mga batas sa intestacy, ang proseso ng inheritance ay maaaring maging kumplikado. Inirerekomenda ang pagkonsulta sa isang abogadong may karanasan sa intestacy at estate administration. Maaari silang magpayo sa wastong aplikasyon ng mga batas sa kawalan ng buhay sa iyong partikular na sitwasyon at tiyakin ang isang patas na pamamahagi ng mga ari-arian sa mga tagapagmana.
**Sa konklusyon,** ang kawalan ng isang testamento ay hindi pumipigil sa mana, ngunit ito ay **nagti-trigger ng mga batas sa intestacy** upang ipamahagi ang ari-arian sa mga compulsory heirs. Ang pag-unawa sa mga batas na ito at potensyal na humingi ng legal na patnubay ay makakatulong na matiyak ang maayos na proseso ng mana ayon sa mga regulasyon ng Pilipinas.</v>
      </c>
      <c r="F548" s="2">
        <f t="shared" si="1"/>
        <v>0</v>
      </c>
      <c r="G548" s="2"/>
      <c r="H548" s="2"/>
      <c r="I548" s="2"/>
      <c r="J548" s="2"/>
      <c r="K548" s="2"/>
      <c r="L548" s="2"/>
      <c r="M548" s="2"/>
      <c r="N548" s="2"/>
      <c r="O548" s="2"/>
      <c r="P548" s="2"/>
      <c r="Q548" s="2"/>
      <c r="R548" s="2"/>
      <c r="S548" s="2"/>
      <c r="T548" s="2"/>
      <c r="U548" s="2"/>
      <c r="V548" s="2"/>
      <c r="W548" s="2"/>
      <c r="X548" s="2"/>
      <c r="Y548" s="2"/>
      <c r="Z548" s="2"/>
      <c r="AA548" s="2"/>
    </row>
    <row r="549">
      <c r="A549" s="1" t="s">
        <v>1224</v>
      </c>
      <c r="B549" s="1" t="s">
        <v>1862</v>
      </c>
      <c r="C549" s="1" t="s">
        <v>1863</v>
      </c>
      <c r="D549" s="1" t="s">
        <v>1864</v>
      </c>
      <c r="E549" s="2" t="str">
        <f>IFERROR(__xludf.DUMMYFUNCTION("GOOGLETRANSLATE(C549, ""en"", ""TL"")"),"Ang tagapagpatupad ay gumaganap ng isang kritikal na papel sa proseso ng pamana sa Pilipinas. Sila ang **personal na kinatawan** ng ari-arian ng namatay, na responsable sa pamamahala ng mga ari-arian at pamamahagi ng mga ito sa mga benepisyaryo ayon sa mg"&amp;"a batas sa kalooban o kawalan ng katiyakan.
Narito ang isang breakdown ng mga pangunahing responsibilidad ng isang tagapagpatupad sa Pilipinas:
**Pagtitipon at Pag-secure ng Mga Asset:**
* Hanapin ang lahat ng mga ari-arian ng namatay, kabilang ang mga ba"&amp;"nk account, pamumuhunan, real estate, at mga personal na ari-arian.
* I-secure ang mga asset upang maiwasan ang pagkawala o pinsala. Maaaring kabilang dito ang pagsasara ng mga bank account, pagkuha ng probate (kung kinakailangan), at pag-insure ng ari-ar"&amp;"ian.
**Pagbabayad ng mga Utang at Buwis:**
* Tukuyin ang lahat ng mga utang ng namatay, kabilang ang mga mortgage, mga pautang, utang sa credit card, at mga hindi nabayarang buwis.
* Bayaran ang mga utang na ito gamit ang mga pondo mula sa ari-arian sa ta"&amp;"mang pagkakasunud-sunod ng priyoridad gaya ng tinukoy ng batas ng Pilipinas.
**Pamamahala sa Estate:**
* Maingat na pamahalaan ang mga ari-arian ng ari-arian hanggang sa maipamahagi ang mga ito sa mga benepisyaryo. Maaaring kabilang dito ang pagkolekta ng"&amp;" mga renta mula sa real estate, pamumuhunan ng mga pondo nang naaangkop, o pagtatapon ng mga hindi kinakailangang asset.
**Paghanap ng mga Makikinabang:**
* Tukuyin at hanapin ang lahat ng mga benepisyaryo na pinangalanan sa testamento o tinukoy ng mga ba"&amp;"tas sa kawalan ng buhay. Maaaring kasangkot dito ang mga pagsisikap sa pananaliksik at komunikasyon.
**Pamamahagi ng Mana:**
* Kapag nabayaran na ang mga utang at buwis, at nabayaran na ang ari-arian, ipamahagi ang natitirang mga ari-arian sa mga benepisy"&amp;"aryo ayon sa mga tagubilin sa testamento (kung mayroon) o mga batas sa kawalan ng buhay.
**Mga Karagdagang Responsibilidad:**
* Depende sa pagiging kumplikado ng ari-arian, maaaring kailanganin ng executor na pangasiwaan ang mga karagdagang gawain gaya ng"&amp;":
* Pag-file ng mga legal na dokumento para sa probate (kung kinakailangan)
* Pagharap sa mga pagtatasa para sa mga ari-arian
* Pamamahala ng mga legal na hamon sa kalooban (kung mayroon man)
* Pag-file ng huling tax return para sa namatay
**Mga Kwalipika"&amp;"syon at Pagsasaalang-alang:**
* Ang tagapagpatupad ay karaniwang pinangalanan sa testamento ng namatay. Maaari itong maging isang pinagkakatiwalaang kaibigan, miyembro ng pamilya, abogado, o kumpanya ng pinagkakatiwalaan.
* Ang tagapagpatupad ay dapat na "&amp;"isang taong responsable, organisado, at pamilyar sa mga pamamaraan ng pangangasiwa ng ari-arian.
* Sa mga kumplikadong estate, ang paghirang ng isang propesyonal na tagapagpatupad tulad ng isang abogado o kumpanya ng tiwala ay maaaring maipapayo.
**Kahala"&amp;"gahan ng Tungkulin ng Tagapagpatupad:**
* Ang tungkulin ng tagapagpatupad ay mahalaga para sa pagtiyak ng maayos at mahusay na proseso ng pamana. Pinoprotektahan nila ang mga ari-arian, tinutupad ang mga kagustuhan ng namatay (tulad ng ipinahayag sa testa"&amp;"mento), at namamahagi ng mana nang patas sa mga benepisyaryo.
**Sa konklusyon,** ang tagapagpatupad ay may malaking responsibilidad sa proseso ng pamana sa Pilipinas. Ang pag-unawa sa kanilang mga tungkulin at ang kahalagahan ng kanilang tungkulin ay maka"&amp;"katulong na matiyak ang isang patas at maayos na pamamahagi ng ari-arian ng namatay.")</f>
        <v>Ang tagapagpatupad ay gumaganap ng isang kritikal na papel sa proseso ng pamana sa Pilipinas. Sila ang **personal na kinatawan** ng ari-arian ng namatay, na responsable sa pamamahala ng mga ari-arian at pamamahagi ng mga ito sa mga benepisyaryo ayon sa mga batas sa kalooban o kawalan ng katiyakan.
Narito ang isang breakdown ng mga pangunahing responsibilidad ng isang tagapagpatupad sa Pilipinas:
**Pagtitipon at Pag-secure ng Mga Asset:**
* Hanapin ang lahat ng mga ari-arian ng namatay, kabilang ang mga bank account, pamumuhunan, real estate, at mga personal na ari-arian.
* I-secure ang mga asset upang maiwasan ang pagkawala o pinsala. Maaaring kabilang dito ang pagsasara ng mga bank account, pagkuha ng probate (kung kinakailangan), at pag-insure ng ari-arian.
**Pagbabayad ng mga Utang at Buwis:**
* Tukuyin ang lahat ng mga utang ng namatay, kabilang ang mga mortgage, mga pautang, utang sa credit card, at mga hindi nabayarang buwis.
* Bayaran ang mga utang na ito gamit ang mga pondo mula sa ari-arian sa tamang pagkakasunud-sunod ng priyoridad gaya ng tinukoy ng batas ng Pilipinas.
**Pamamahala sa Estate:**
* Maingat na pamahalaan ang mga ari-arian ng ari-arian hanggang sa maipamahagi ang mga ito sa mga benepisyaryo. Maaaring kabilang dito ang pagkolekta ng mga renta mula sa real estate, pamumuhunan ng mga pondo nang naaangkop, o pagtatapon ng mga hindi kinakailangang asset.
**Paghanap ng mga Makikinabang:**
* Tukuyin at hanapin ang lahat ng mga benepisyaryo na pinangalanan sa testamento o tinukoy ng mga batas sa kawalan ng buhay. Maaaring kasangkot dito ang mga pagsisikap sa pananaliksik at komunikasyon.
**Pamamahagi ng Mana:**
* Kapag nabayaran na ang mga utang at buwis, at nabayaran na ang ari-arian, ipamahagi ang natitirang mga ari-arian sa mga benepisyaryo ayon sa mga tagubilin sa testamento (kung mayroon) o mga batas sa kawalan ng buhay.
**Mga Karagdagang Responsibilidad:**
* Depende sa pagiging kumplikado ng ari-arian, maaaring kailanganin ng executor na pangasiwaan ang mga karagdagang gawain gaya ng:
* Pag-file ng mga legal na dokumento para sa probate (kung kinakailangan)
* Pagharap sa mga pagtatasa para sa mga ari-arian
* Pamamahala ng mga legal na hamon sa kalooban (kung mayroon man)
* Pag-file ng huling tax return para sa namatay
**Mga Kwalipikasyon at Pagsasaalang-alang:**
* Ang tagapagpatupad ay karaniwang pinangalanan sa testamento ng namatay. Maaari itong maging isang pinagkakatiwalaang kaibigan, miyembro ng pamilya, abogado, o kumpanya ng pinagkakatiwalaan.
* Ang tagapagpatupad ay dapat na isang taong responsable, organisado, at pamilyar sa mga pamamaraan ng pangangasiwa ng ari-arian.
* Sa mga kumplikadong estate, ang paghirang ng isang propesyonal na tagapagpatupad tulad ng isang abogado o kumpanya ng tiwala ay maaaring maipapayo.
**Kahalagahan ng Tungkulin ng Tagapagpatupad:**
* Ang tungkulin ng tagapagpatupad ay mahalaga para sa pagtiyak ng maayos at mahusay na proseso ng pamana. Pinoprotektahan nila ang mga ari-arian, tinutupad ang mga kagustuhan ng namatay (tulad ng ipinahayag sa testamento), at namamahagi ng mana nang patas sa mga benepisyaryo.
**Sa konklusyon,** ang tagapagpatupad ay may malaking responsibilidad sa proseso ng pamana sa Pilipinas. Ang pag-unawa sa kanilang mga tungkulin at ang kahalagahan ng kanilang tungkulin ay makakatulong na matiyak ang isang patas at maayos na pamamahagi ng ari-arian ng namatay.</v>
      </c>
      <c r="F549" s="2">
        <f t="shared" si="1"/>
        <v>0</v>
      </c>
      <c r="G549" s="2"/>
      <c r="H549" s="2"/>
      <c r="I549" s="2"/>
      <c r="J549" s="2"/>
      <c r="K549" s="2"/>
      <c r="L549" s="2"/>
      <c r="M549" s="2"/>
      <c r="N549" s="2"/>
      <c r="O549" s="2"/>
      <c r="P549" s="2"/>
      <c r="Q549" s="2"/>
      <c r="R549" s="2"/>
      <c r="S549" s="2"/>
      <c r="T549" s="2"/>
      <c r="U549" s="2"/>
      <c r="V549" s="2"/>
      <c r="W549" s="2"/>
      <c r="X549" s="2"/>
      <c r="Y549" s="2"/>
      <c r="Z549" s="2"/>
      <c r="AA549" s="2"/>
    </row>
    <row r="550">
      <c r="A550" s="1" t="s">
        <v>1224</v>
      </c>
      <c r="B550" s="1" t="s">
        <v>1865</v>
      </c>
      <c r="C550" s="1" t="s">
        <v>1866</v>
      </c>
      <c r="D550" s="1" t="s">
        <v>1867</v>
      </c>
      <c r="E550" s="2" t="str">
        <f>IFERROR(__xludf.DUMMYFUNCTION("GOOGLETRANSLATE(C550, ""en"", ""TL"")"),"Oo, maaaring ma-disinherit ang isang tao sa Pilipinas, ngunit may mahigpit na limitasyon kung kailan at paano ito mangyayari. Pinoprotektahan ng batas ng Pilipinas ang mga compulsory heirs, na malapit na kamag-anak na may karapatan sa bahagi ng ari-arian."&amp;" Ang disinheritance ay maaari lamang mangyari sa ilalim ng mga partikular na pangyayari na nakabalangkas sa batas, at dapat itong gawin sa pamamagitan ng wastong testamento.
Narito ang isang breakdown ng mga pangunahing punto sa disinheritance sa Pilipina"&amp;"s:
**Mga Sapilitang Tagapagmana:**
* Kinikilala ng Pilipinas ang **compulsory heirs** na may **legal na karapatan** na magmana ng bahagi ng ari-arian ng namatay. Kabilang dito ang:
* **Mga lehitimong inapo (mga anak, apo):** Sa pangkalahatan, sila ang nag"&amp;"mamana ng karamihan sa ari-arian.
* **Nabubuhay na asawa:** May karapatan sa isang minimum na bahagi ng conjugal property at isang bahagi ng hiwalay na ari-arian ng namatay na asawa (depende sa presensya ng mga inapo).
* **Ascendants (magulang, lolo't lol"&amp;"a) sa kawalan ng mga inapo:** Kung ang namatay ay walang mga anak o apo, ang mga magulang o ninuno ay magmamana ng bahagi ng ari-arian.
**Grounds para sa Disinheritance:**
* Ang isang sapilitang tagapagmana **maaaring alisin sa pamana para lamang sa mga p"&amp;"artikular na dahilan** na nakasaad sa Civil Code. Kabilang sa mga kadahilanang ito ang:
* **Mga ilang krimen laban sa testator (taong gumagawa ng testamento) o sa kanilang pamilya:** Maaaring kabilang dito ang pisikal na karahasan, pagbabanta, o pagtatang"&amp;"ka laban sa buhay ng testator, kanilang asawa, inapo, o ascendants.
* **Pormal na akusasyon ng isang krimen na alam na hindi totoo:** Kung maling inaakusahan ng sapilitang tagapagmana ang testator ng isang seryosong krimen na mapaparusahan ng pagkakulong "&amp;"nang higit sa anim na taon, maaaring posible ang pagkawala ng mana.
* **Pag-abandona ng testator nang walang makatwirang dahilan:** Mas karaniwan itong nalalapat sa mga bata na umabandona sa kanilang mga magulang nang walang wastong dahilan.
* **Seduction"&amp;", corruption, o concubinage:** Sa mga bihirang kaso, kung hinikayat ng magulang ang kanilang anak sa isang imoral na pamumuhay, maaaring isaalang-alang ang disinheritance.
**Mga Kinakailangan para sa Disinheritance:**
* Kahit na may mga batayan, ang disin"&amp;"heritance ay dapat gawin nang maayos upang maging wasto. Narito kung ano ang kinakailangan:
* **Pag-alis sa mana sa pamamagitan ng isang testamento:** Dapat mayroong isang wastong testamento na tahasang nagbabanggit ng disinheritance at nagsasaad ng mga b"&amp;"atayan para dito.
* **Malinaw at nakakumbinsi na ebidensya:** Ang mga dahilan ng pagkawala ng mana ay dapat na malinaw na nakasaad sa testamento, at maaaring kailanganin ang ebidensya upang suportahan ang mga claim (hal., mga ulat ng pulisya para sa mga k"&amp;"rimen).
**Naghahanap ng Legal na Payo:**
* Ang disinheritance ay maaaring isang kumplikadong legal na usapin. Ang pagkonsulta sa isang abogadong may karanasan sa estate planning at inheritance law ay lubos na inirerekomenda. Maaari silang magpayo tungkol "&amp;"sa bisa ng mga sugnay ng disinheritance sa isang testamento at gabayan ang mga partido sa legal na proseso kung ang isang disinheritance ay pinagtatalunan. **Sa konklusyon,** habang posible ang disinheritance sa Pilipinas sa ilalim ng mga partikular na pa"&amp;"ngyayari, napapailalim ito sa mahigpit na mga kinakailangan sa batas. Ang pag-unawa sa mga batayan para sa disinheritance, mga wastong pamamaraan, at paghingi ng legal na patnubay ay makakatulong na matiyak ang isang patas at legal na maayos na proseso ng"&amp;" mana.")</f>
        <v>Oo, maaaring ma-disinherit ang isang tao sa Pilipinas, ngunit may mahigpit na limitasyon kung kailan at paano ito mangyayari. Pinoprotektahan ng batas ng Pilipinas ang mga compulsory heirs, na malapit na kamag-anak na may karapatan sa bahagi ng ari-arian. Ang disinheritance ay maaari lamang mangyari sa ilalim ng mga partikular na pangyayari na nakabalangkas sa batas, at dapat itong gawin sa pamamagitan ng wastong testamento.
Narito ang isang breakdown ng mga pangunahing punto sa disinheritance sa Pilipinas:
**Mga Sapilitang Tagapagmana:**
* Kinikilala ng Pilipinas ang **compulsory heirs** na may **legal na karapatan** na magmana ng bahagi ng ari-arian ng namatay. Kabilang dito ang:
* **Mga lehitimong inapo (mga anak, apo):** Sa pangkalahatan, sila ang nagmamana ng karamihan sa ari-arian.
* **Nabubuhay na asawa:** May karapatan sa isang minimum na bahagi ng conjugal property at isang bahagi ng hiwalay na ari-arian ng namatay na asawa (depende sa presensya ng mga inapo).
* **Ascendants (magulang, lolo't lola) sa kawalan ng mga inapo:** Kung ang namatay ay walang mga anak o apo, ang mga magulang o ninuno ay magmamana ng bahagi ng ari-arian.
**Grounds para sa Disinheritance:**
* Ang isang sapilitang tagapagmana **maaaring alisin sa pamana para lamang sa mga partikular na dahilan** na nakasaad sa Civil Code. Kabilang sa mga kadahilanang ito ang:
* **Mga ilang krimen laban sa testator (taong gumagawa ng testamento) o sa kanilang pamilya:** Maaaring kabilang dito ang pisikal na karahasan, pagbabanta, o pagtatangka laban sa buhay ng testator, kanilang asawa, inapo, o ascendants.
* **Pormal na akusasyon ng isang krimen na alam na hindi totoo:** Kung maling inaakusahan ng sapilitang tagapagmana ang testator ng isang seryosong krimen na mapaparusahan ng pagkakulong nang higit sa anim na taon, maaaring posible ang pagkawala ng mana.
* **Pag-abandona ng testator nang walang makatwirang dahilan:** Mas karaniwan itong nalalapat sa mga bata na umabandona sa kanilang mga magulang nang walang wastong dahilan.
* **Seduction, corruption, o concubinage:** Sa mga bihirang kaso, kung hinikayat ng magulang ang kanilang anak sa isang imoral na pamumuhay, maaaring isaalang-alang ang disinheritance.
**Mga Kinakailangan para sa Disinheritance:**
* Kahit na may mga batayan, ang disinheritance ay dapat gawin nang maayos upang maging wasto. Narito kung ano ang kinakailangan:
* **Pag-alis sa mana sa pamamagitan ng isang testamento:** Dapat mayroong isang wastong testamento na tahasang nagbabanggit ng disinheritance at nagsasaad ng mga batayan para dito.
* **Malinaw at nakakumbinsi na ebidensya:** Ang mga dahilan ng pagkawala ng mana ay dapat na malinaw na nakasaad sa testamento, at maaaring kailanganin ang ebidensya upang suportahan ang mga claim (hal., mga ulat ng pulisya para sa mga krimen).
**Naghahanap ng Legal na Payo:**
* Ang disinheritance ay maaaring isang kumplikadong legal na usapin. Ang pagkonsulta sa isang abogadong may karanasan sa estate planning at inheritance law ay lubos na inirerekomenda. Maaari silang magpayo tungkol sa bisa ng mga sugnay ng disinheritance sa isang testamento at gabayan ang mga partido sa legal na proseso kung ang isang disinheritance ay pinagtatalunan. **Sa konklusyon,** habang posible ang disinheritance sa Pilipinas sa ilalim ng mga partikular na pangyayari, napapailalim ito sa mahigpit na mga kinakailangan sa batas. Ang pag-unawa sa mga batayan para sa disinheritance, mga wastong pamamaraan, at paghingi ng legal na patnubay ay makakatulong na matiyak ang isang patas at legal na maayos na proseso ng mana.</v>
      </c>
      <c r="F550" s="2">
        <f t="shared" si="1"/>
        <v>0</v>
      </c>
      <c r="G550" s="2"/>
      <c r="H550" s="2"/>
      <c r="I550" s="2"/>
      <c r="J550" s="2"/>
      <c r="K550" s="2"/>
      <c r="L550" s="2"/>
      <c r="M550" s="2"/>
      <c r="N550" s="2"/>
      <c r="O550" s="2"/>
      <c r="P550" s="2"/>
      <c r="Q550" s="2"/>
      <c r="R550" s="2"/>
      <c r="S550" s="2"/>
      <c r="T550" s="2"/>
      <c r="U550" s="2"/>
      <c r="V550" s="2"/>
      <c r="W550" s="2"/>
      <c r="X550" s="2"/>
      <c r="Y550" s="2"/>
      <c r="Z550" s="2"/>
      <c r="AA550" s="2"/>
    </row>
    <row r="551">
      <c r="A551" s="1" t="s">
        <v>1224</v>
      </c>
      <c r="B551" s="1" t="s">
        <v>1868</v>
      </c>
      <c r="C551" s="1" t="s">
        <v>1869</v>
      </c>
      <c r="D551" s="1" t="s">
        <v>1870</v>
      </c>
      <c r="E551" s="2" t="str">
        <f>IFERROR(__xludf.DUMMYFUNCTION("GOOGLETRANSLATE(C551, ""en"", ""TL"")"),"Sa Pilipinas, ang mga utang ay hinahawakan sa proseso ng mana **bago** ipamahagi ang mga asset sa mga benepisyaryo. Narito ang isang breakdown ng mga pangunahing punto:
**Utang Nanguna:**
* Lahat ng **valid na utang** ng namatay **ay dapat bayaran** bago "&amp;"ipamahagi ang anumang mana sa mga benepisyaryo. Kabilang dito ang mga mortgage, loan, utang sa credit card, hindi nabayarang buwis, at iba pang mga obligasyon sa pananalapi.
**Estate bilang Pinagmulan ng Pagbabayad:**
* Ang ari-arian mismo, na sumasaklaw "&amp;"sa lahat ng ari-arian ng namatay, ay ang pangunahing pinagmumulan ng pag-aayos ng mga utang. Maaaring kabilang dito ang pagbebenta ng mga asset kung kinakailangan upang makabuo ng sapat na pondo.
**Uri ng Pagbabayad:**
* Maaaring may partikular na pagkaka"&amp;"sunud-sunod kung saan nababayaran ang mga utang, depende sa batas ng Pilipinas at sa uri ng utang. Sa pangkalahatan, ang mga secured na utang (tulad ng mga mortgage) ay may priyoridad kaysa sa mga hindi secure na utang (tulad ng mga credit card).
** Panan"&amp;"agutan ng Makikinabang:**
* Sa karamihan ng mga kaso, ang mga benepisyaryo ay hindi personal na mananagot para sa mga utang ng namatay na higit sa halaga ng mga ari-arian na kanilang minana. Nangangahulugan ito na hindi sila maaaring managot para sa mga u"&amp;"tang na lampas sa halaga ng kanilang mana.
**Mga Pagbubukod sa Limitadong Pananagutan:**
* Maaaring may mga pagbubukod sa limitadong pananagutan sa ilang partikular na sitwasyon. Halimbawa, kung ang isang benepisyaryo ay pumirma ng isang personal na garan"&amp;"tiya sa isa sa mga utang ng namatay, maaari silang personal na managot para sa utang na iyon.
**Kahalagahan ng Pagkilala sa mga Utang:**
* Napakahalaga para sa tagapagpatupad o tagapangasiwa ng ari-arian na tukuyin ang lahat ng mga utang ng namatay sa lal"&amp;"ong madaling panahon. Kabilang dito ang pagrepaso sa mga financial statement, pakikipag-ugnayan sa mga nagpapautang, at pangangalap ng kinakailangang dokumentasyon.
**Epekto sa Halaga ng Mana:**
* Ang pagkakaroon at dami ng mga utang ay maaaring makabuluh"&amp;"ang bawasan ang halaga ng mana na sa huli ay natanggap ng mga benepisyaryo. Ang pag-unawa sa kabuuang larawan ng utang ay tumutulong sa mga benepisyaryo na magplano nang naaayon.
**Mga Rekomendasyon:**
* Isaalang-alang ang mga patakaran sa seguro sa buhay"&amp;" upang magbigay ng mga pondo para sa pag-aayos ng utang at mabawasan ang epekto sa mana ng mga benepisyaryo.
* Ang pagkonsulta sa isang abogado na may karanasan sa pagpaplano ng ari-arian at pag-aayos ng utang ay maaaring maging mahalaga sa buong proseso "&amp;"ng mana. Maaari silang magpayo sa mahusay na paghawak ng mga utang at pagprotekta sa mga interes ng mga benepisyaryo.
**Sa konklusyon,** ang mga utang ay isang mahalagang salik sa proseso ng pamana sa Pilipinas. Ang pag-unawa sa kung paano pinangangasiwaa"&amp;"n ang mga utang at ang paghingi ng propesyonal na patnubay ay makakatulong na matiyak ang maayos at patas na pamamahagi ng mga ari-arian habang tinutupad ang lahat ng obligasyon sa pananalapi ng namatay.")</f>
        <v>Sa Pilipinas, ang mga utang ay hinahawakan sa proseso ng mana **bago** ipamahagi ang mga asset sa mga benepisyaryo. Narito ang isang breakdown ng mga pangunahing punto:
**Utang Nanguna:**
* Lahat ng **valid na utang** ng namatay **ay dapat bayaran** bago ipamahagi ang anumang mana sa mga benepisyaryo. Kabilang dito ang mga mortgage, loan, utang sa credit card, hindi nabayarang buwis, at iba pang mga obligasyon sa pananalapi.
**Estate bilang Pinagmulan ng Pagbabayad:**
* Ang ari-arian mismo, na sumasaklaw sa lahat ng ari-arian ng namatay, ay ang pangunahing pinagmumulan ng pag-aayos ng mga utang. Maaaring kabilang dito ang pagbebenta ng mga asset kung kinakailangan upang makabuo ng sapat na pondo.
**Uri ng Pagbabayad:**
* Maaaring may partikular na pagkakasunud-sunod kung saan nababayaran ang mga utang, depende sa batas ng Pilipinas at sa uri ng utang. Sa pangkalahatan, ang mga secured na utang (tulad ng mga mortgage) ay may priyoridad kaysa sa mga hindi secure na utang (tulad ng mga credit card).
** Pananagutan ng Makikinabang:**
* Sa karamihan ng mga kaso, ang mga benepisyaryo ay hindi personal na mananagot para sa mga utang ng namatay na higit sa halaga ng mga ari-arian na kanilang minana. Nangangahulugan ito na hindi sila maaaring managot para sa mga utang na lampas sa halaga ng kanilang mana.
**Mga Pagbubukod sa Limitadong Pananagutan:**
* Maaaring may mga pagbubukod sa limitadong pananagutan sa ilang partikular na sitwasyon. Halimbawa, kung ang isang benepisyaryo ay pumirma ng isang personal na garantiya sa isa sa mga utang ng namatay, maaari silang personal na managot para sa utang na iyon.
**Kahalagahan ng Pagkilala sa mga Utang:**
* Napakahalaga para sa tagapagpatupad o tagapangasiwa ng ari-arian na tukuyin ang lahat ng mga utang ng namatay sa lalong madaling panahon. Kabilang dito ang pagrepaso sa mga financial statement, pakikipag-ugnayan sa mga nagpapautang, at pangangalap ng kinakailangang dokumentasyon.
**Epekto sa Halaga ng Mana:**
* Ang pagkakaroon at dami ng mga utang ay maaaring makabuluhang bawasan ang halaga ng mana na sa huli ay natanggap ng mga benepisyaryo. Ang pag-unawa sa kabuuang larawan ng utang ay tumutulong sa mga benepisyaryo na magplano nang naaayon.
**Mga Rekomendasyon:**
* Isaalang-alang ang mga patakaran sa seguro sa buhay upang magbigay ng mga pondo para sa pag-aayos ng utang at mabawasan ang epekto sa mana ng mga benepisyaryo.
* Ang pagkonsulta sa isang abogado na may karanasan sa pagpaplano ng ari-arian at pag-aayos ng utang ay maaaring maging mahalaga sa buong proseso ng mana. Maaari silang magpayo sa mahusay na paghawak ng mga utang at pagprotekta sa mga interes ng mga benepisyaryo.
**Sa konklusyon,** ang mga utang ay isang mahalagang salik sa proseso ng pamana sa Pilipinas. Ang pag-unawa sa kung paano pinangangasiwaan ang mga utang at ang paghingi ng propesyonal na patnubay ay makakatulong na matiyak ang maayos at patas na pamamahagi ng mga ari-arian habang tinutupad ang lahat ng obligasyon sa pananalapi ng namatay.</v>
      </c>
      <c r="F551" s="2">
        <f t="shared" si="1"/>
        <v>0</v>
      </c>
      <c r="G551" s="2"/>
      <c r="H551" s="2"/>
      <c r="I551" s="2"/>
      <c r="J551" s="2"/>
      <c r="K551" s="2"/>
      <c r="L551" s="2"/>
      <c r="M551" s="2"/>
      <c r="N551" s="2"/>
      <c r="O551" s="2"/>
      <c r="P551" s="2"/>
      <c r="Q551" s="2"/>
      <c r="R551" s="2"/>
      <c r="S551" s="2"/>
      <c r="T551" s="2"/>
      <c r="U551" s="2"/>
      <c r="V551" s="2"/>
      <c r="W551" s="2"/>
      <c r="X551" s="2"/>
      <c r="Y551" s="2"/>
      <c r="Z551" s="2"/>
      <c r="AA551" s="2"/>
    </row>
    <row r="552">
      <c r="A552" s="1" t="s">
        <v>1224</v>
      </c>
      <c r="B552" s="1" t="s">
        <v>1871</v>
      </c>
      <c r="C552" s="1" t="s">
        <v>1872</v>
      </c>
      <c r="D552" s="1" t="s">
        <v>1873</v>
      </c>
      <c r="E552" s="2" t="str">
        <f>IFERROR(__xludf.DUMMYFUNCTION("GOOGLETRANSLATE(C552, ""en"", ""TL"")"),"Ang pagmamana ng ari-arian sa Pilipinas ay may mga implikasyon sa buwis depende sa uri ng ari-arian, halaga nito, at ang iyong kaugnayan sa namatay. Narito ang isang breakdown ng mga pangunahing buwis na kasangkot:
**Buwis sa Estate:**
* Ito ay isang buwi"&amp;"s na ipinapataw sa **net estate** ng namatay bago ipamahagi sa mga tagapagmana. Ang kasalukuyang estate tax rate sa Pilipinas ay **6%**.
* **Sino ang Nagbabayad:** Ang ari-arian mismo ang may pananagutan sa pagbabayad ng buwis sa ari-arian. Gayunpaman, an"&amp;"g pasanin ng pagbabayad ay kadalasang nahuhulog sa mga tagapagmana bago nila matanggap ang kanilang mana.
* **Threshold Exemption:** Mayroong estate tax exemption na ₱5 milyon (humigit-kumulang $90,000 USD, napapailalim sa mga pagbabago sa halaga ng palit"&amp;"an). Ang mga ari-arian na nagkakahalaga ng ₱5 milyon o mas mababa ay karaniwang hindi kasama sa buwis sa ari-arian.
**Capital Gains Tax:**
* Ang buwis na ito ay ipinapataw sa **tubo** na ginawa kapag nagbebenta ka ng minanang asset (karaniwang real estate"&amp;"). Ang rate ng buwis ay nagtapos batay sa halaga ng capital gain.
* **Pagkalkula:** Ang capital gain ay ang pagkakaiba sa pagitan ng **gastos sa pagkuha** ng ari-arian ng namatay at ang **kasalukuyang market value nito** sa oras ng mana.
* **Sino ang Nagb"&amp;"abayad:** Ang tagapagmana na nagmamana at kalaunan ay nagbebenta ng ari-arian ay may pananagutan sa pagbabayad ng capital gains tax sa kita na kinita.
**Mga Buwis sa Paglipat:**
* Ito ay iba't ibang buwis na nauugnay sa paglipat ng pagmamay-ari ng minanan"&amp;"g ari-arian mula sa namatay patungo sa tagapagmana. Kabilang sa mga ito ang:
* **Documentary Stamp Tax:** Isang nakapirming buwis batay sa idineklarang market value ng property.
* **Bayarin sa Pagpaparehistro:** Isang bayad na binayaran sa Registry of Dee"&amp;"ds para sa pagproseso ng paglilipat ng pagmamay-ari.
**Mga Implikasyon sa Buwis para sa Mag-asawa kumpara sa Iba pang Tagapagmana:**
* **Mga Asawa:** Ang nabubuhay na asawa sa pangkalahatan ay may ilang **minimum na garantisadong bahagi** ng conjugal prop"&amp;"erty at maaaring makatanggap ng mga benepisyo sa buwis depende sa pagkakaroon ng mga inapo (mga anak) ng namatay. Ang pagkonsulta sa isang tax advisor ay inirerekomenda upang maunawaan ang partikular na pagtrato sa buwis para sa mga asawa.
* **Ibang Tagap"&amp;"agmana:** Ang mga bata, magulang, o iba pang benepisyaryo ay karaniwang walang mga espesyal na benepisyo sa buwis at maaaring sumailalim sa buong buwis na binanggit sa itaas.
**Kahalagahan ng Wastong Pagpapahalaga:**
* Ang katumpakan ng pagtatasa ng ari-a"&amp;"rian ay makabuluhang nakakaapekto sa halaga ng buwis sa ari-arian at potensyal na pananagutan sa buwis sa capital gains. Maaaring kailanganin ang mga propesyonal na pagtatasa upang matiyak na ang patas na halaga sa pamilihan ay makikita para sa mga layuni"&amp;"n ng buwis.
**Naghahanap ng Propesyonal na Payo:**
* Ang mga implikasyon sa buwis ng pagmamana ng ari-arian ay maaaring kumplikado. Ang pagkonsulta sa isang tax advisor na may karanasan sa estate planning at inheritance taxation ay lubos na inirerekomenda"&amp;". Maaari silang magpayo sa pagliit ng mga pasanin sa buwis at tiyakin ang pagsunod sa mga regulasyon sa buwis.
**Sa konklusyon,** ang pagmamana ng ari-arian sa Pilipinas ay nagsasangkot ng ilang potensyal na buwis, kabilang ang buwis sa ari-arian, buwis s"&amp;"a capital gains, at mga buwis sa paglilipat. Ang pag-unawa sa mga buwis na ito at paghingi ng propesyonal na payo ay makakatulong sa iyong mabisang pagpaplano at pamahalaan ang iyong mga obligasyon sa buwis na nauugnay sa iyong mana.")</f>
        <v>Ang pagmamana ng ari-arian sa Pilipinas ay may mga implikasyon sa buwis depende sa uri ng ari-arian, halaga nito, at ang iyong kaugnayan sa namatay. Narito ang isang breakdown ng mga pangunahing buwis na kasangkot:
**Buwis sa Estate:**
* Ito ay isang buwis na ipinapataw sa **net estate** ng namatay bago ipamahagi sa mga tagapagmana. Ang kasalukuyang estate tax rate sa Pilipinas ay **6%**.
* **Sino ang Nagbabayad:** Ang ari-arian mismo ang may pananagutan sa pagbabayad ng buwis sa ari-arian. Gayunpaman, ang pasanin ng pagbabayad ay kadalasang nahuhulog sa mga tagapagmana bago nila matanggap ang kanilang mana.
* **Threshold Exemption:** Mayroong estate tax exemption na ₱5 milyon (humigit-kumulang $90,000 USD, napapailalim sa mga pagbabago sa halaga ng palitan). Ang mga ari-arian na nagkakahalaga ng ₱5 milyon o mas mababa ay karaniwang hindi kasama sa buwis sa ari-arian.
**Capital Gains Tax:**
* Ang buwis na ito ay ipinapataw sa **tubo** na ginawa kapag nagbebenta ka ng minanang asset (karaniwang real estate). Ang rate ng buwis ay nagtapos batay sa halaga ng capital gain.
* **Pagkalkula:** Ang capital gain ay ang pagkakaiba sa pagitan ng **gastos sa pagkuha** ng ari-arian ng namatay at ang **kasalukuyang market value nito** sa oras ng mana.
* **Sino ang Nagbabayad:** Ang tagapagmana na nagmamana at kalaunan ay nagbebenta ng ari-arian ay may pananagutan sa pagbabayad ng capital gains tax sa kita na kinita.
**Mga Buwis sa Paglipat:**
* Ito ay iba't ibang buwis na nauugnay sa paglipat ng pagmamay-ari ng minanang ari-arian mula sa namatay patungo sa tagapagmana. Kabilang sa mga ito ang:
* **Documentary Stamp Tax:** Isang nakapirming buwis batay sa idineklarang market value ng property.
* **Bayarin sa Pagpaparehistro:** Isang bayad na binayaran sa Registry of Deeds para sa pagproseso ng paglilipat ng pagmamay-ari.
**Mga Implikasyon sa Buwis para sa Mag-asawa kumpara sa Iba pang Tagapagmana:**
* **Mga Asawa:** Ang nabubuhay na asawa sa pangkalahatan ay may ilang **minimum na garantisadong bahagi** ng conjugal property at maaaring makatanggap ng mga benepisyo sa buwis depende sa pagkakaroon ng mga inapo (mga anak) ng namatay. Ang pagkonsulta sa isang tax advisor ay inirerekomenda upang maunawaan ang partikular na pagtrato sa buwis para sa mga asawa.
* **Ibang Tagapagmana:** Ang mga bata, magulang, o iba pang benepisyaryo ay karaniwang walang mga espesyal na benepisyo sa buwis at maaaring sumailalim sa buong buwis na binanggit sa itaas.
**Kahalagahan ng Wastong Pagpapahalaga:**
* Ang katumpakan ng pagtatasa ng ari-arian ay makabuluhang nakakaapekto sa halaga ng buwis sa ari-arian at potensyal na pananagutan sa buwis sa capital gains. Maaaring kailanganin ang mga propesyonal na pagtatasa upang matiyak na ang patas na halaga sa pamilihan ay makikita para sa mga layunin ng buwis.
**Naghahanap ng Propesyonal na Payo:**
* Ang mga implikasyon sa buwis ng pagmamana ng ari-arian ay maaaring kumplikado. Ang pagkonsulta sa isang tax advisor na may karanasan sa estate planning at inheritance taxation ay lubos na inirerekomenda. Maaari silang magpayo sa pagliit ng mga pasanin sa buwis at tiyakin ang pagsunod sa mga regulasyon sa buwis.
**Sa konklusyon,** ang pagmamana ng ari-arian sa Pilipinas ay nagsasangkot ng ilang potensyal na buwis, kabilang ang buwis sa ari-arian, buwis sa capital gains, at mga buwis sa paglilipat. Ang pag-unawa sa mga buwis na ito at paghingi ng propesyonal na payo ay makakatulong sa iyong mabisang pagpaplano at pamahalaan ang iyong mga obligasyon sa buwis na nauugnay sa iyong mana.</v>
      </c>
      <c r="F552" s="2">
        <f t="shared" si="1"/>
        <v>0</v>
      </c>
      <c r="G552" s="2"/>
      <c r="H552" s="2"/>
      <c r="I552" s="2"/>
      <c r="J552" s="2"/>
      <c r="K552" s="2"/>
      <c r="L552" s="2"/>
      <c r="M552" s="2"/>
      <c r="N552" s="2"/>
      <c r="O552" s="2"/>
      <c r="P552" s="2"/>
      <c r="Q552" s="2"/>
      <c r="R552" s="2"/>
      <c r="S552" s="2"/>
      <c r="T552" s="2"/>
      <c r="U552" s="2"/>
      <c r="V552" s="2"/>
      <c r="W552" s="2"/>
      <c r="X552" s="2"/>
      <c r="Y552" s="2"/>
      <c r="Z552" s="2"/>
      <c r="AA552" s="2"/>
    </row>
    <row r="553">
      <c r="A553" s="1" t="s">
        <v>1224</v>
      </c>
      <c r="B553" s="1" t="s">
        <v>1874</v>
      </c>
      <c r="C553" s="1" t="s">
        <v>1875</v>
      </c>
      <c r="D553" s="1" t="s">
        <v>1876</v>
      </c>
      <c r="E553" s="2" t="str">
        <f>IFERROR(__xludf.DUMMYFUNCTION("GOOGLETRANSLATE(C553, ""en"", ""TL"")"),"Oo, ang isang menor de edad **ay maaaring magmana ng ari-arian sa Pilipinas**. Pinahihintulutan ng batas ng Pilipinas ang mana anuman ang edad. Gayunpaman, may ilang mahahalagang pagsasaalang-alang kapag ang isang menor de edad ay nagmamana ng ari-arian:
"&amp;"* **Legal na Representasyon:** Ang mga menor de edad ay itinuturing na legal na walang kakayahan upang pamahalaan ang kanilang sariling mga gawain. Samakatuwid, kakailanganin nila ng legal na kinatawan para pangasiwaan ang minanang ari-arian para sa kanil"&amp;"a. Ang kinatawan na ito ay maaaring:
* **Mga Magulang na may Awtoridad ng Magulang:** Kung ang parehong mga magulang ay may awtoridad ng magulang, sa pangkalahatan ay maaari nilang pamahalaan ang ari-arian para sa benepisyo ng menor de edad na bata.
* **L"&amp;"egal na Tagapangalaga:** Kung ang mga magulang ay namatay na o hindi magawang kumilos bilang mga legal na kinatawan, ang hukuman ay magtatalaga ng isang legal na tagapag-alaga upang pamahalaan ang ari-arian.
* **Mga Paghihigpit sa Disposisyon:** Ang legal"&amp;" na kinatawan ay hindi maaaring magbenta o magtapon ng minanang ari-arian nang walang pag-apruba ng korte. Pinoprotektahan nito ang mana ng menor de edad at tinitiyak na mapangalagaan ito para sa kanilang benepisyo sa hinaharap.
* **Pamamahala at Paggamit"&amp;" ng Ari-arian:** Ang legal na kinatawan ay may katiwalang tungkulin na pamahalaan ang ari-arian nang maingat at para sa pinakamahusay na interes ng menor de edad. Maaaring kabilang dito ang pagkolekta ng mga renta mula sa real estate, pamumuhunan ng mga p"&amp;"ondo nang naaangkop, o paggamit ng kita para sa mga pangangailangan ng menor de edad.
* **Pag-abot sa Edad ng Karamihan:** Kapag ang menor de edad ay umabot na sa edad ng mayorya (18 taong gulang sa Pilipinas), magkakaroon sila ng ganap na kontrol sa kani"&amp;"lang minanang ari-arian. **Mga Karagdagang Pagsasaalang-alang:**
* **Will vs. Intestacy:** Kung mayroong isang testamento, maaari nitong tukuyin ang isang testamentary trustee upang pamahalaan ang mana ng menor de edad. Ang tagapangasiwa na ito ay magkaka"&amp;"roon ng mga tiyak na kapangyarihan at tungkulin na nakabalangkas sa kalooban.
* **Pagiging Kumplikado ng Estate:** Para sa mga kumplikadong estate na kinasasangkutan ng mahahalagang asset, maaaring maging kapaki-pakinabang ang pagkonsulta sa isang abogado"&amp;"ng may karanasan sa paghawak ng mana ng menor de edad. Maaaring gabayan ng abogado ang legal na kinatawan sa wastong pamamahala ng ari-arian at tiyakin ang pagsunod sa mga legal na kinakailangan.
**Sa konklusyon,** habang ang mga menor de edad ay maaaring"&amp;" magmana ng ari-arian sa Pilipinas, ang mga espesyal na pagsasaalang-alang ay nalalapat dahil sa kanilang edad. Ang pagkakaroon ng legal na kinatawan na mamahala sa ari-arian at potensyal na humingi ng legal na patnubay ay makakatulong na matiyak na ang m"&amp;"ana ay protektado at ginagamit para sa benepisyo ng menor de edad hanggang sa maabot nila ang edad ng mayorya.")</f>
        <v>Oo, ang isang menor de edad **ay maaaring magmana ng ari-arian sa Pilipinas**. Pinahihintulutan ng batas ng Pilipinas ang mana anuman ang edad. Gayunpaman, may ilang mahahalagang pagsasaalang-alang kapag ang isang menor de edad ay nagmamana ng ari-arian:
* **Legal na Representasyon:** Ang mga menor de edad ay itinuturing na legal na walang kakayahan upang pamahalaan ang kanilang sariling mga gawain. Samakatuwid, kakailanganin nila ng legal na kinatawan para pangasiwaan ang minanang ari-arian para sa kanila. Ang kinatawan na ito ay maaaring:
* **Mga Magulang na may Awtoridad ng Magulang:** Kung ang parehong mga magulang ay may awtoridad ng magulang, sa pangkalahatan ay maaari nilang pamahalaan ang ari-arian para sa benepisyo ng menor de edad na bata.
* **Legal na Tagapangalaga:** Kung ang mga magulang ay namatay na o hindi magawang kumilos bilang mga legal na kinatawan, ang hukuman ay magtatalaga ng isang legal na tagapag-alaga upang pamahalaan ang ari-arian.
* **Mga Paghihigpit sa Disposisyon:** Ang legal na kinatawan ay hindi maaaring magbenta o magtapon ng minanang ari-arian nang walang pag-apruba ng korte. Pinoprotektahan nito ang mana ng menor de edad at tinitiyak na mapangalagaan ito para sa kanilang benepisyo sa hinaharap.
* **Pamamahala at Paggamit ng Ari-arian:** Ang legal na kinatawan ay may katiwalang tungkulin na pamahalaan ang ari-arian nang maingat at para sa pinakamahusay na interes ng menor de edad. Maaaring kabilang dito ang pagkolekta ng mga renta mula sa real estate, pamumuhunan ng mga pondo nang naaangkop, o paggamit ng kita para sa mga pangangailangan ng menor de edad.
* **Pag-abot sa Edad ng Karamihan:** Kapag ang menor de edad ay umabot na sa edad ng mayorya (18 taong gulang sa Pilipinas), magkakaroon sila ng ganap na kontrol sa kanilang minanang ari-arian. **Mga Karagdagang Pagsasaalang-alang:**
* **Will vs. Intestacy:** Kung mayroong isang testamento, maaari nitong tukuyin ang isang testamentary trustee upang pamahalaan ang mana ng menor de edad. Ang tagapangasiwa na ito ay magkakaroon ng mga tiyak na kapangyarihan at tungkulin na nakabalangkas sa kalooban.
* **Pagiging Kumplikado ng Estate:** Para sa mga kumplikadong estate na kinasasangkutan ng mahahalagang asset, maaaring maging kapaki-pakinabang ang pagkonsulta sa isang abogadong may karanasan sa paghawak ng mana ng menor de edad. Maaaring gabayan ng abogado ang legal na kinatawan sa wastong pamamahala ng ari-arian at tiyakin ang pagsunod sa mga legal na kinakailangan.
**Sa konklusyon,** habang ang mga menor de edad ay maaaring magmana ng ari-arian sa Pilipinas, ang mga espesyal na pagsasaalang-alang ay nalalapat dahil sa kanilang edad. Ang pagkakaroon ng legal na kinatawan na mamahala sa ari-arian at potensyal na humingi ng legal na patnubay ay makakatulong na matiyak na ang mana ay protektado at ginagamit para sa benepisyo ng menor de edad hanggang sa maabot nila ang edad ng mayorya.</v>
      </c>
      <c r="F553" s="2">
        <f t="shared" si="1"/>
        <v>0</v>
      </c>
      <c r="G553" s="2"/>
      <c r="H553" s="2"/>
      <c r="I553" s="2"/>
      <c r="J553" s="2"/>
      <c r="K553" s="2"/>
      <c r="L553" s="2"/>
      <c r="M553" s="2"/>
      <c r="N553" s="2"/>
      <c r="O553" s="2"/>
      <c r="P553" s="2"/>
      <c r="Q553" s="2"/>
      <c r="R553" s="2"/>
      <c r="S553" s="2"/>
      <c r="T553" s="2"/>
      <c r="U553" s="2"/>
      <c r="V553" s="2"/>
      <c r="W553" s="2"/>
      <c r="X553" s="2"/>
      <c r="Y553" s="2"/>
      <c r="Z553" s="2"/>
      <c r="AA553" s="2"/>
    </row>
    <row r="554">
      <c r="A554" s="1" t="s">
        <v>1224</v>
      </c>
      <c r="B554" s="1" t="s">
        <v>1877</v>
      </c>
      <c r="C554" s="1" t="s">
        <v>1878</v>
      </c>
      <c r="D554" s="1" t="s">
        <v>1879</v>
      </c>
      <c r="E554" s="2" t="str">
        <f>IFERROR(__xludf.DUMMYFUNCTION("GOOGLETRANSLATE(C554, ""en"", ""TL"")"),"Sa Pilipinas, ang mana ay nahahati sa dalawang kategorya: probate at non-probet assets. Narito ang isang breakdown ng mga pangunahing pagkakaiba sa pagitan nila:
**Probate Asset:**
* **Kahulugan:** Ito ang mga asset na **pumupunta sa proseso ng probate co"&amp;"urt** na ipapamahagi sa mga benepisyaryo. * **Mga Katangian:**
* Pag-aari lamang ng namatay sa kanilang indibidwal na pangalan.
* Walang itinalagang benepisyaryo sa labas ng isang testamento. * Hindi pinanghahawakan kasama ng mga karapatan ng survivorship"&amp;". * **Mga Halimbawa:**
* Real estate (lupa, bahay, atbp.) na pag-aari lamang ng namatay
* Mga bank account sa pangalan lamang ng namatay
* Mga investment account (mga stock, bond) na pag-aari lamang ng namatay
* Mga personal na gamit (alahas, muwebles, at"&amp;"bp.) na hindi partikular na itinalaga sa ibang tao
**Mga Non-Probate Asset:**
* **Kahulugan:** Ito ang mga asset na **nag-bypass sa probate court** at direktang inilipat sa mga itinalagang benepisyaryo nang walang paglahok sa korte.
* **Mga Katangian:**
*"&amp;" Magkaroon ng itinalagang benepisyaryo sa labas ng isang testamento (hal., life insurance policy, retirement account).
* Idinaos nang magkasama sa ibang tao na may itinakda na ""mga karapatan ng survivorship"". * Pagmamay-ari sa isang transfer-on-death (T"&amp;"OD) o pay-on-death (POD) account kung saan awtomatikong ililipat ang pagmamay-ari kapag namatay.
* **Mga Halimbawa:**
* Mga patakaran sa seguro sa buhay na may nakatalagang benepisyaryo
* Mga account sa pagreretiro (401(k), IRA) na may itinalagang benepis"&amp;"yaryo
* Ang mga bank account na hawak nang magkasama sa mga karapatan ng survivorship
* Mga account sa pamumuhunan na hawak nang magkasama sa mga karapatan ng survivorship
* Mga asset na pagmamay-ari sa isang TOD o POD account na itinalaga sa isang benepi"&amp;"syaryo
**Mga Pangunahing Pagkakaiba sa Paghawak:**
* **Oras at Gastos:** Ang probate ay maaaring maging isang mahaba at magastos na proseso na tumatagal ng ilang buwan o kahit na taon upang makumpleto. Ang mga hindi probate na asset ay inilipat nang mas m"&amp;"abilis at sa pangkalahatan ay nagkakaroon ng mas mababang bayad.
* **Paglahok sa Korte:** Ang probate ay nangangailangan ng pangangasiwa ng korte upang bayaran ang mga utang at ipamahagi ang mga ari-arian. Iniiwasan ng mga hindi probate na asset ang pagla"&amp;"hok sa korte.
* **Privacy:** Nagiging pampublikong rekord ang probate, habang ang mga paglilipat na hindi probate ay nananatiling pribado.
**Kahalagahan ng Pagpaplano:**
Ang pag-unawa sa pagkakaiba sa pagitan ng probate at non-probate na mga asset ay maka"&amp;"katulong sa iyong planuhin ang iyong ari-arian nang epektibo. Sa pamamagitan ng pagtatalaga ng mga benepisyaryo para sa ilang partikular na asset at pagsasaalang-alang sa magkasanib na pagmamay-ari sa mga karapatan ng survivorship, maaari mong i-streamlin"&amp;"e ang proseso ng mana para sa iyong mga mahal sa buhay.")</f>
        <v>Sa Pilipinas, ang mana ay nahahati sa dalawang kategorya: probate at non-probet assets. Narito ang isang breakdown ng mga pangunahing pagkakaiba sa pagitan nila:
**Probate Asset:**
* **Kahulugan:** Ito ang mga asset na **pumupunta sa proseso ng probate court** na ipapamahagi sa mga benepisyaryo. * **Mga Katangian:**
* Pag-aari lamang ng namatay sa kanilang indibidwal na pangalan.
* Walang itinalagang benepisyaryo sa labas ng isang testamento. * Hindi pinanghahawakan kasama ng mga karapatan ng survivorship. * **Mga Halimbawa:**
* Real estate (lupa, bahay, atbp.) na pag-aari lamang ng namatay
* Mga bank account sa pangalan lamang ng namatay
* Mga investment account (mga stock, bond) na pag-aari lamang ng namatay
* Mga personal na gamit (alahas, muwebles, atbp.) na hindi partikular na itinalaga sa ibang tao
**Mga Non-Probate Asset:**
* **Kahulugan:** Ito ang mga asset na **nag-bypass sa probate court** at direktang inilipat sa mga itinalagang benepisyaryo nang walang paglahok sa korte.
* **Mga Katangian:**
* Magkaroon ng itinalagang benepisyaryo sa labas ng isang testamento (hal., life insurance policy, retirement account).
* Idinaos nang magkasama sa ibang tao na may itinakda na "mga karapatan ng survivorship". * Pagmamay-ari sa isang transfer-on-death (TOD) o pay-on-death (POD) account kung saan awtomatikong ililipat ang pagmamay-ari kapag namatay.
* **Mga Halimbawa:**
* Mga patakaran sa seguro sa buhay na may nakatalagang benepisyaryo
* Mga account sa pagreretiro (401(k), IRA) na may itinalagang benepisyaryo
* Ang mga bank account na hawak nang magkasama sa mga karapatan ng survivorship
* Mga account sa pamumuhunan na hawak nang magkasama sa mga karapatan ng survivorship
* Mga asset na pagmamay-ari sa isang TOD o POD account na itinalaga sa isang benepisyaryo
**Mga Pangunahing Pagkakaiba sa Paghawak:**
* **Oras at Gastos:** Ang probate ay maaaring maging isang mahaba at magastos na proseso na tumatagal ng ilang buwan o kahit na taon upang makumpleto. Ang mga hindi probate na asset ay inilipat nang mas mabilis at sa pangkalahatan ay nagkakaroon ng mas mababang bayad.
* **Paglahok sa Korte:** Ang probate ay nangangailangan ng pangangasiwa ng korte upang bayaran ang mga utang at ipamahagi ang mga ari-arian. Iniiwasan ng mga hindi probate na asset ang paglahok sa korte.
* **Privacy:** Nagiging pampublikong rekord ang probate, habang ang mga paglilipat na hindi probate ay nananatiling pribado.
**Kahalagahan ng Pagpaplano:**
Ang pag-unawa sa pagkakaiba sa pagitan ng probate at non-probate na mga asset ay makakatulong sa iyong planuhin ang iyong ari-arian nang epektibo. Sa pamamagitan ng pagtatalaga ng mga benepisyaryo para sa ilang partikular na asset at pagsasaalang-alang sa magkasanib na pagmamay-ari sa mga karapatan ng survivorship, maaari mong i-streamline ang proseso ng mana para sa iyong mga mahal sa buhay.</v>
      </c>
      <c r="F554" s="2">
        <f t="shared" si="1"/>
        <v>0</v>
      </c>
      <c r="G554" s="2"/>
      <c r="H554" s="2"/>
      <c r="I554" s="2"/>
      <c r="J554" s="2"/>
      <c r="K554" s="2"/>
      <c r="L554" s="2"/>
      <c r="M554" s="2"/>
      <c r="N554" s="2"/>
      <c r="O554" s="2"/>
      <c r="P554" s="2"/>
      <c r="Q554" s="2"/>
      <c r="R554" s="2"/>
      <c r="S554" s="2"/>
      <c r="T554" s="2"/>
      <c r="U554" s="2"/>
      <c r="V554" s="2"/>
      <c r="W554" s="2"/>
      <c r="X554" s="2"/>
      <c r="Y554" s="2"/>
      <c r="Z554" s="2"/>
      <c r="AA554" s="2"/>
    </row>
    <row r="555">
      <c r="A555" s="1" t="s">
        <v>1224</v>
      </c>
      <c r="B555" s="1" t="s">
        <v>1880</v>
      </c>
      <c r="C555" s="1" t="s">
        <v>1881</v>
      </c>
      <c r="D555" s="1" t="s">
        <v>1882</v>
      </c>
      <c r="E555" s="2" t="str">
        <f>IFERROR(__xludf.DUMMYFUNCTION("GOOGLETRANSLATE(C555, ""en"", ""TL"")"),"Oo, ang mga patakaran sa seguro sa buhay **maaaring labanan sa mga kaso ng mana** sa Pilipinas sa ilalim ng ilang partikular na sitwasyon. Narito ang isang breakdown ng mga sitwasyon kung saan maaaring magkaroon ng paligsahan:
**Mga Di-pagkakasundo ng Mak"&amp;"ikinabang:**
* Ang pinakakaraniwang dahilan para sa pakikipaglaban sa isang patakaran sa seguro sa buhay ay isang pagtatalo sa itinalagang benepisyaryo. Ito ay maaaring mangyari kung:
* Pinapalitan ng policyholder ang benepisyaryo ngunit hindi maayos na i"&amp;"na-update ang pagtatalaga sa kompanya ng insurance. Ito ay maaaring humantong sa isang hindi pagkakaunawaan sa pagitan ng orihinal na pinangalanang benepisyaryo at ang nilalayong bagong benepisyaryo. * May tanong tungkol sa validity ng pagtatalaga ng bene"&amp;"pisyaryo dahil sa mental incapacity ng policyholder sa oras na ginawa ang pagbabago.
* Tinutukoy ng testamento ang ibang benepisyaryo kaysa sa pinangalanan sa patakaran sa seguro sa buhay, na lumilikha ng salungatan sa pagitan ng dalawang dokumento.
**Mga"&amp;" Mapanlinlang na Aktibidad:**
* Maaaring labanan ang isang benepisyaryo kung may ebidensya ng mapanlinlang na aktibidad na nauugnay sa patakaran, tulad ng:
* Pinatay ng benepisyaryo ang may-ari ng polisiya upang mangolekta ng bayad sa insurance.
* Napeke "&amp;"ng benepisyaryo ang lagda ng may-ari ng patakaran upang baguhin ang pagtatalaga ng benepisyaryo.
**Mga Probisyon ng Patakaran:**
* Sa mga bihirang kaso, ang patakaran sa seguro sa buhay mismo ay maaaring naglalaman ng mga probisyon na maaaring humantong s"&amp;"a isang paligsahan. Halimbawa, kung ang policyholder ay nagpakamatay sa loob ng isang partikular na panahon pagkatapos kunin ang patakaran, ang kompanya ng seguro ay maaaring tumutol sa pagbabayad batay sa isang sugnay sa pagbubukod ng patakaran.
**Pagkuh"&amp;"a ng Paligsahan sa Korte:**
* Kung mayroon kang mga batayan upang labanan ang pagtatalaga ng benepisyaryo o ang bisa ng isang claim sa patakaran sa seguro sa buhay, kakailanganin mong magsampa ng kaso sa korte. Ang prosesong ito ay maaaring maging kumplik"&amp;"ado, at ang pagkonsulta sa isang abogado na dalubhasa sa batas ng seguro ay lubos na inirerekomenda.
**Sa konklusyon,** habang ang mga patakaran sa seguro sa buhay ay karaniwang inilaan upang magbigay ng pinansiyal na seguridad para sa mga benepisyaryo, m"&amp;"ay mga sitwasyon kung saan ang mismong patakaran o ang pagtatalaga ng benepisyaryo ay maaaring labanan sa korte. Ang pag-unawa sa mga potensyal na batayan para sa paligsahan at paghingi ng legal na payo ay maaaring maging mahalaga kung naniniwala kang may"&amp;"roon kang claim na nauugnay sa isang patakaran sa seguro sa buhay.")</f>
        <v>Oo, ang mga patakaran sa seguro sa buhay **maaaring labanan sa mga kaso ng mana** sa Pilipinas sa ilalim ng ilang partikular na sitwasyon. Narito ang isang breakdown ng mga sitwasyon kung saan maaaring magkaroon ng paligsahan:
**Mga Di-pagkakasundo ng Makikinabang:**
* Ang pinakakaraniwang dahilan para sa pakikipaglaban sa isang patakaran sa seguro sa buhay ay isang pagtatalo sa itinalagang benepisyaryo. Ito ay maaaring mangyari kung:
* Pinapalitan ng policyholder ang benepisyaryo ngunit hindi maayos na ina-update ang pagtatalaga sa kompanya ng insurance. Ito ay maaaring humantong sa isang hindi pagkakaunawaan sa pagitan ng orihinal na pinangalanang benepisyaryo at ang nilalayong bagong benepisyaryo. * May tanong tungkol sa validity ng pagtatalaga ng benepisyaryo dahil sa mental incapacity ng policyholder sa oras na ginawa ang pagbabago.
* Tinutukoy ng testamento ang ibang benepisyaryo kaysa sa pinangalanan sa patakaran sa seguro sa buhay, na lumilikha ng salungatan sa pagitan ng dalawang dokumento.
**Mga Mapanlinlang na Aktibidad:**
* Maaaring labanan ang isang benepisyaryo kung may ebidensya ng mapanlinlang na aktibidad na nauugnay sa patakaran, tulad ng:
* Pinatay ng benepisyaryo ang may-ari ng polisiya upang mangolekta ng bayad sa insurance.
* Napeke ng benepisyaryo ang lagda ng may-ari ng patakaran upang baguhin ang pagtatalaga ng benepisyaryo.
**Mga Probisyon ng Patakaran:**
* Sa mga bihirang kaso, ang patakaran sa seguro sa buhay mismo ay maaaring naglalaman ng mga probisyon na maaaring humantong sa isang paligsahan. Halimbawa, kung ang policyholder ay nagpakamatay sa loob ng isang partikular na panahon pagkatapos kunin ang patakaran, ang kompanya ng seguro ay maaaring tumutol sa pagbabayad batay sa isang sugnay sa pagbubukod ng patakaran.
**Pagkuha ng Paligsahan sa Korte:**
* Kung mayroon kang mga batayan upang labanan ang pagtatalaga ng benepisyaryo o ang bisa ng isang claim sa patakaran sa seguro sa buhay, kakailanganin mong magsampa ng kaso sa korte. Ang prosesong ito ay maaaring maging kumplikado, at ang pagkonsulta sa isang abogado na dalubhasa sa batas ng seguro ay lubos na inirerekomenda.
**Sa konklusyon,** habang ang mga patakaran sa seguro sa buhay ay karaniwang inilaan upang magbigay ng pinansiyal na seguridad para sa mga benepisyaryo, may mga sitwasyon kung saan ang mismong patakaran o ang pagtatalaga ng benepisyaryo ay maaaring labanan sa korte. Ang pag-unawa sa mga potensyal na batayan para sa paligsahan at paghingi ng legal na payo ay maaaring maging mahalaga kung naniniwala kang mayroon kang claim na nauugnay sa isang patakaran sa seguro sa buhay.</v>
      </c>
      <c r="F555" s="2">
        <f t="shared" si="1"/>
        <v>0</v>
      </c>
      <c r="G555" s="2"/>
      <c r="H555" s="2"/>
      <c r="I555" s="2"/>
      <c r="J555" s="2"/>
      <c r="K555" s="2"/>
      <c r="L555" s="2"/>
      <c r="M555" s="2"/>
      <c r="N555" s="2"/>
      <c r="O555" s="2"/>
      <c r="P555" s="2"/>
      <c r="Q555" s="2"/>
      <c r="R555" s="2"/>
      <c r="S555" s="2"/>
      <c r="T555" s="2"/>
      <c r="U555" s="2"/>
      <c r="V555" s="2"/>
      <c r="W555" s="2"/>
      <c r="X555" s="2"/>
      <c r="Y555" s="2"/>
      <c r="Z555" s="2"/>
      <c r="AA555" s="2"/>
    </row>
    <row r="556">
      <c r="A556" s="1" t="s">
        <v>1224</v>
      </c>
      <c r="B556" s="1" t="s">
        <v>1883</v>
      </c>
      <c r="C556" s="1" t="s">
        <v>1884</v>
      </c>
      <c r="D556" s="1" t="s">
        <v>1885</v>
      </c>
      <c r="E556" s="2" t="str">
        <f>IFERROR(__xludf.DUMMYFUNCTION("GOOGLETRANSLATE(C556, ""en"", ""TL"")"),"Narito kung paano pinangangasiwaan ang mga pinagsamang asset sa mga kaso ng mana sa Pilipinas:
**Pag-unawa sa Pinagsanib na Pagmamay-ari:**
* Mayroong dalawang pangunahing uri ng magkasanib na pagmamay-ari sa Pilipinas na nakakaapekto sa mana:
* **Joint T"&amp;"enancy with Right of Survivorship (JTWROS):** Sa ganitong uri ng pagmamay-ari, awtomatikong mapupunta ang pagmamay-ari ng buong asset sa (mga) nabubuhay na pinagsamang may-ari kapag namatay ang isang may-ari. Hindi na kailangan ng probate.
* **Tenancy in "&amp;"Common:** Ang bawat pinagsamang may-ari ay may partikular na bahagi ng pagmamay-ari (porsiyento) sa asset. Sa pagkamatay ng isang magkasanib na may-ari, ang kanilang bahagi sa pagmamay-ari ay magiging bahagi ng kanilang ari-arian at ibinahagi ayon sa kani"&amp;"lang kalooban (kung mayroon) o mga batas sa intestacy (kung walang testamento).
**Epekto sa Mana:**
* **JTWROS:** Ang mga asset na hawak sa JTWROS **pangkaraniwang iniiwasan ang probate** dahil awtomatikong inililipat ang pagmamay-ari sa (mga) kasamang ma"&amp;"y-ari. Ito ay maaaring isang **mas mabilis at mas simple** na proseso kumpara sa mana sa pamamagitan ng isang testamento o intestacy.
* **Tenancy in Common:** Ang bahagi ng asset ng namatay na pinagsamang may-ari ay naging bahagi ng kanilang ari-arian. An"&amp;"g proseso ng pagmamana ay nakasalalay sa kung mayroong isang testamento:
* **With Will:** Ang testamento ng namatay na may-ari ay tumutukoy kung sino ang magmamana ng kanilang bahagi sa asset na pinagsama-samang pag-aari.
* **Walang Will (Intestacy):** An"&amp;"g bahagi ng namatay na may-ari ay ibinahagi ayon sa mga batas sa kawalan ng katiyakan ng Pilipinas, na maaaring may kasamang paghahati ng bahagi sa mga asawa at mga anak.
**Mahahalagang Pagsasaalang-alang:**
* **Pagsusuri sa Mga Dokumento ng Pagmamay-ari:"&amp;"** Napakahalagang suriin ang mga dokumento ng pagmamay-ari na nauugnay sa magkasanib na mga asset upang maunawaan ang partikular na uri ng magkasanib na pagmamay-ari (JTWROS o Tenancy in Common).
* **Mga Implikasyon sa Buwis:** Maaaring may mga potensyal "&amp;"na implikasyon sa buwis depende sa uri ng asset, halaga, at ugnayan sa pagitan ng namatay at ng nabubuhay na magkasanib na (mga) may-ari. Ang pagkonsulta sa isang tax advisor ay inirerekomenda para sa partikular na payo sa buwis.
**Sa konklusyon,** ang pa"&amp;"g-unawa sa uri ng magkasanib na pagmamay-ari (JTWROS o Tenancy in Common) ay mahalaga upang matukoy kung paano pinangangasiwaan ang mga pinagsamang asset sa panahon ng pagmamana. Sa pangkalahatan, iniiwasan ng JTWROS ang probate, habang ang Tenancy in Com"&amp;"mon ay sumusunod sa proseso ng pagmamana na nakabalangkas sa mga batas ng testamento ng namatay na may-ari o kawalan ng buhay. Ang pagkonsulta sa isang abogado na pamilyar sa estate planning at inheritance ay maaaring magbigay ng karagdagang gabay sa iyon"&amp;"g partikular na sitwasyon.")</f>
        <v>Narito kung paano pinangangasiwaan ang mga pinagsamang asset sa mga kaso ng mana sa Pilipinas:
**Pag-unawa sa Pinagsanib na Pagmamay-ari:**
* Mayroong dalawang pangunahing uri ng magkasanib na pagmamay-ari sa Pilipinas na nakakaapekto sa mana:
* **Joint Tenancy with Right of Survivorship (JTWROS):** Sa ganitong uri ng pagmamay-ari, awtomatikong mapupunta ang pagmamay-ari ng buong asset sa (mga) nabubuhay na pinagsamang may-ari kapag namatay ang isang may-ari. Hindi na kailangan ng probate.
* **Tenancy in Common:** Ang bawat pinagsamang may-ari ay may partikular na bahagi ng pagmamay-ari (porsiyento) sa asset. Sa pagkamatay ng isang magkasanib na may-ari, ang kanilang bahagi sa pagmamay-ari ay magiging bahagi ng kanilang ari-arian at ibinahagi ayon sa kanilang kalooban (kung mayroon) o mga batas sa intestacy (kung walang testamento).
**Epekto sa Mana:**
* **JTWROS:** Ang mga asset na hawak sa JTWROS **pangkaraniwang iniiwasan ang probate** dahil awtomatikong inililipat ang pagmamay-ari sa (mga) kasamang may-ari. Ito ay maaaring isang **mas mabilis at mas simple** na proseso kumpara sa mana sa pamamagitan ng isang testamento o intestacy.
* **Tenancy in Common:** Ang bahagi ng asset ng namatay na pinagsamang may-ari ay naging bahagi ng kanilang ari-arian. Ang proseso ng pagmamana ay nakasalalay sa kung mayroong isang testamento:
* **With Will:** Ang testamento ng namatay na may-ari ay tumutukoy kung sino ang magmamana ng kanilang bahagi sa asset na pinagsama-samang pag-aari.
* **Walang Will (Intestacy):** Ang bahagi ng namatay na may-ari ay ibinahagi ayon sa mga batas sa kawalan ng katiyakan ng Pilipinas, na maaaring may kasamang paghahati ng bahagi sa mga asawa at mga anak.
**Mahahalagang Pagsasaalang-alang:**
* **Pagsusuri sa Mga Dokumento ng Pagmamay-ari:** Napakahalagang suriin ang mga dokumento ng pagmamay-ari na nauugnay sa magkasanib na mga asset upang maunawaan ang partikular na uri ng magkasanib na pagmamay-ari (JTWROS o Tenancy in Common).
* **Mga Implikasyon sa Buwis:** Maaaring may mga potensyal na implikasyon sa buwis depende sa uri ng asset, halaga, at ugnayan sa pagitan ng namatay at ng nabubuhay na magkasanib na (mga) may-ari. Ang pagkonsulta sa isang tax advisor ay inirerekomenda para sa partikular na payo sa buwis.
**Sa konklusyon,** ang pag-unawa sa uri ng magkasanib na pagmamay-ari (JTWROS o Tenancy in Common) ay mahalaga upang matukoy kung paano pinangangasiwaan ang mga pinagsamang asset sa panahon ng pagmamana. Sa pangkalahatan, iniiwasan ng JTWROS ang probate, habang ang Tenancy in Common ay sumusunod sa proseso ng pagmamana na nakabalangkas sa mga batas ng testamento ng namatay na may-ari o kawalan ng buhay. Ang pagkonsulta sa isang abogado na pamilyar sa estate planning at inheritance ay maaaring magbigay ng karagdagang gabay sa iyong partikular na sitwasyon.</v>
      </c>
      <c r="F556" s="2">
        <f t="shared" si="1"/>
        <v>0</v>
      </c>
      <c r="G556" s="2"/>
      <c r="H556" s="2"/>
      <c r="I556" s="2"/>
      <c r="J556" s="2"/>
      <c r="K556" s="2"/>
      <c r="L556" s="2"/>
      <c r="M556" s="2"/>
      <c r="N556" s="2"/>
      <c r="O556" s="2"/>
      <c r="P556" s="2"/>
      <c r="Q556" s="2"/>
      <c r="R556" s="2"/>
      <c r="S556" s="2"/>
      <c r="T556" s="2"/>
      <c r="U556" s="2"/>
      <c r="V556" s="2"/>
      <c r="W556" s="2"/>
      <c r="X556" s="2"/>
      <c r="Y556" s="2"/>
      <c r="Z556" s="2"/>
      <c r="AA556" s="2"/>
    </row>
    <row r="557">
      <c r="A557" s="1" t="s">
        <v>1224</v>
      </c>
      <c r="B557" s="1" t="s">
        <v>1886</v>
      </c>
      <c r="C557" s="1" t="s">
        <v>1887</v>
      </c>
      <c r="D557" s="1" t="s">
        <v>1888</v>
      </c>
      <c r="E557" s="2" t="str">
        <f>IFERROR(__xludf.DUMMYFUNCTION("GOOGLETRANSLATE(C557, ""en"", ""TL"")"),"Oo, ang isang tiwala ay maaaring makaapekto sa proseso ng pamana sa Pilipinas sa maraming paraan:
**Pamamahagi ng Asset sa Labas ng Probate:**
* Binibigyang-daan ka ng mga trust na ilipat ang pagmamay-ari ng mga asset (pera, ari-arian, atbp.) sa isang tru"&amp;"stee para sa kapakinabangan ng mga benepisyaryo na itinalaga mo. Ang mga asset na inilagay sa isang maayos na itinatag na tiwala sa pangkalahatan ay umiiwas sa probate, na maaaring maging isang mahaba at magastos na proseso ng korte.
**Nakadirektang Pamam"&amp;"ahagi at Kontrol:**
* Sa isang tiwala, malinaw mong matutukoy kung paano mo gustong ipamahagi ang iyong mga asset sa mga benepisyaryo. Maaaring kabilang dito ang mga itinatakda tungkol sa edad, pagkumpleto ng edukasyon, o responsableng pamamahala sa panan"&amp;"alapi bago matanggap ng mga benepisyaryo ang ganap na access sa kanilang mana.
**Proteksyon para sa mga Makikinabang:**
* Ang mga trust ay maaaring gamitin upang protektahan ang mga asset mula sa mga pinagkakautangan ng mga benepisyaryo o kung sakaling wa"&amp;"la pa sa gulang o kawalan ng kakayahan. Pinamamahalaan ng trustee ang mga asset at ipinamamahagi ang mga ito ayon sa mga tuntunin ng trust, na tinitiyak ang seguridad sa pananalapi para sa mga benepisyaryo.
**Mga Implikasyon sa Buwis (Potensyal na Mga Ben"&amp;"episyo):**
* Maaaring may potensyal na benepisyo sa buwis na nauugnay sa mga trust sa Pilipinas, lalo na para sa mga indibidwal na may mataas na halaga. Gayunpaman, ang mga batas sa buwis ay maaaring maging kumplikado, at ang pagkonsulta sa isang tax advi"&amp;"sor ay mahalaga upang maunawaan ang mga partikular na implikasyon sa buwis ng paggamit ng trust sa iyong sitwasyon.
**Mga Uri ng Trust sa Pilipinas:**
* **Testamentary Trust:** Itinatag sa pamamagitan ng testamento, na magkakabisa sa pagkamatay ng settlor"&amp;" (tagalikha).
* **Irrevocable Trusts:** Ang mga asset na inilagay sa mga trust na ito sa pangkalahatan ay hindi maaaring makuha ng settlor pagkatapos ng paggawa. Nag-aalok sila ng malakas na mga benepisyo sa proteksyon ng asset.
* **Revocable Trusts:** Ma"&amp;"aaring mapanatili ng settlor ang kontrol sa mga asset habang nabubuhay sila at posibleng bawiin o baguhin ang trust. Ang mga ito ay maaaring hindi nag-aalok ng parehong antas ng proteksyon sa asset gaya ng mga hindi mababawi na trust.
**Mahahalagang Pagsa"&amp;"saalang-alang:**
* **Legal na Pagiging Kumplikado:** Ang mga trust ay maaaring legal na kumplikadong mga instrumento. Ang pagkonsulta sa isang abogadong may karanasan sa trust law ay lubos na inirerekomenda upang matiyak na ang tiwala ay naitatag nang tam"&amp;"a at makamit ang iyong mga ninanais na layunin.
* **Limitadong Paggamit sa Pilipinas:** Habang ang mga trust ay nagiging mas karaniwan sa estate planning, ang paggamit ng mga ito ay hindi kasing laganap sa Pilipinas kumpara sa mga common law na bansa. Ang"&amp;" isang abogado ay maaaring magpayo sa pagiging posible at pagiging epektibo ng paggamit ng isang tiwala sa iyong sitwasyon.
**Sa konklusyon,** ang mga trust ay maaaring maging isang mahalagang tool para maapektuhan ang proseso ng pamana sa Pilipinas. Nag-"&amp;"aalok sila ng mga benepisyo tulad ng pag-iwas sa probate, direktang pamamahagi ng mga ari-arian, at proteksyon para sa mga benepisyaryo. Gayunpaman, ang pagkonsulta sa isang abogado na dalubhasa sa trust law ay napakahalaga para maunawaan ang mga legal na"&amp;" kumplikado at matukoy kung ang trust ay ang tamang diskarte para sa iyong mga layunin sa pagpaplano ng estate sa legal na konteksto ng Pilipinas.")</f>
        <v>Oo, ang isang tiwala ay maaaring makaapekto sa proseso ng pamana sa Pilipinas sa maraming paraan:
**Pamamahagi ng Asset sa Labas ng Probate:**
* Binibigyang-daan ka ng mga trust na ilipat ang pagmamay-ari ng mga asset (pera, ari-arian, atbp.) sa isang trustee para sa kapakinabangan ng mga benepisyaryo na itinalaga mo. Ang mga asset na inilagay sa isang maayos na itinatag na tiwala sa pangkalahatan ay umiiwas sa probate, na maaaring maging isang mahaba at magastos na proseso ng korte.
**Nakadirektang Pamamahagi at Kontrol:**
* Sa isang tiwala, malinaw mong matutukoy kung paano mo gustong ipamahagi ang iyong mga asset sa mga benepisyaryo. Maaaring kabilang dito ang mga itinatakda tungkol sa edad, pagkumpleto ng edukasyon, o responsableng pamamahala sa pananalapi bago matanggap ng mga benepisyaryo ang ganap na access sa kanilang mana.
**Proteksyon para sa mga Makikinabang:**
* Ang mga trust ay maaaring gamitin upang protektahan ang mga asset mula sa mga pinagkakautangan ng mga benepisyaryo o kung sakaling wala pa sa gulang o kawalan ng kakayahan. Pinamamahalaan ng trustee ang mga asset at ipinamamahagi ang mga ito ayon sa mga tuntunin ng trust, na tinitiyak ang seguridad sa pananalapi para sa mga benepisyaryo.
**Mga Implikasyon sa Buwis (Potensyal na Mga Benepisyo):**
* Maaaring may potensyal na benepisyo sa buwis na nauugnay sa mga trust sa Pilipinas, lalo na para sa mga indibidwal na may mataas na halaga. Gayunpaman, ang mga batas sa buwis ay maaaring maging kumplikado, at ang pagkonsulta sa isang tax advisor ay mahalaga upang maunawaan ang mga partikular na implikasyon sa buwis ng paggamit ng trust sa iyong sitwasyon.
**Mga Uri ng Trust sa Pilipinas:**
* **Testamentary Trust:** Itinatag sa pamamagitan ng testamento, na magkakabisa sa pagkamatay ng settlor (tagalikha).
* **Irrevocable Trusts:** Ang mga asset na inilagay sa mga trust na ito sa pangkalahatan ay hindi maaaring makuha ng settlor pagkatapos ng paggawa. Nag-aalok sila ng malakas na mga benepisyo sa proteksyon ng asset.
* **Revocable Trusts:** Maaaring mapanatili ng settlor ang kontrol sa mga asset habang nabubuhay sila at posibleng bawiin o baguhin ang trust. Ang mga ito ay maaaring hindi nag-aalok ng parehong antas ng proteksyon sa asset gaya ng mga hindi mababawi na trust.
**Mahahalagang Pagsasaalang-alang:**
* **Legal na Pagiging Kumplikado:** Ang mga trust ay maaaring legal na kumplikadong mga instrumento. Ang pagkonsulta sa isang abogadong may karanasan sa trust law ay lubos na inirerekomenda upang matiyak na ang tiwala ay naitatag nang tama at makamit ang iyong mga ninanais na layunin.
* **Limitadong Paggamit sa Pilipinas:** Habang ang mga trust ay nagiging mas karaniwan sa estate planning, ang paggamit ng mga ito ay hindi kasing laganap sa Pilipinas kumpara sa mga common law na bansa. Ang isang abogado ay maaaring magpayo sa pagiging posible at pagiging epektibo ng paggamit ng isang tiwala sa iyong sitwasyon.
**Sa konklusyon,** ang mga trust ay maaaring maging isang mahalagang tool para maapektuhan ang proseso ng pamana sa Pilipinas. Nag-aalok sila ng mga benepisyo tulad ng pag-iwas sa probate, direktang pamamahagi ng mga ari-arian, at proteksyon para sa mga benepisyaryo. Gayunpaman, ang pagkonsulta sa isang abogado na dalubhasa sa trust law ay napakahalaga para maunawaan ang mga legal na kumplikado at matukoy kung ang trust ay ang tamang diskarte para sa iyong mga layunin sa pagpaplano ng estate sa legal na konteksto ng Pilipinas.</v>
      </c>
      <c r="F557" s="2">
        <f t="shared" si="1"/>
        <v>0</v>
      </c>
      <c r="G557" s="2"/>
      <c r="H557" s="2"/>
      <c r="I557" s="2"/>
      <c r="J557" s="2"/>
      <c r="K557" s="2"/>
      <c r="L557" s="2"/>
      <c r="M557" s="2"/>
      <c r="N557" s="2"/>
      <c r="O557" s="2"/>
      <c r="P557" s="2"/>
      <c r="Q557" s="2"/>
      <c r="R557" s="2"/>
      <c r="S557" s="2"/>
      <c r="T557" s="2"/>
      <c r="U557" s="2"/>
      <c r="V557" s="2"/>
      <c r="W557" s="2"/>
      <c r="X557" s="2"/>
      <c r="Y557" s="2"/>
      <c r="Z557" s="2"/>
      <c r="AA557" s="2"/>
    </row>
    <row r="558">
      <c r="A558" s="1" t="s">
        <v>1224</v>
      </c>
      <c r="B558" s="1" t="s">
        <v>1889</v>
      </c>
      <c r="C558" s="1" t="s">
        <v>1890</v>
      </c>
      <c r="D558" s="1" t="s">
        <v>1891</v>
      </c>
      <c r="E558" s="2" t="str">
        <f>IFERROR(__xludf.DUMMYFUNCTION("GOOGLETRANSLATE(C558, ""en"", ""TL"")"),"Ang mga karapatan sa mana para sa mga asawa sa Pilipinas ay naiiba sa iba pang mga benepisyaryo sa ilang mahahalagang paraan:
**Mga Karapatan ng Mag-asawa sa ilalim ng Batas:**
* **Minimum Share:** Ang nabubuhay na asawa, hindi alintana kung may testament"&amp;"o, ay may karapatan sa pinakamababang bahagi ng ari-arian ng namatay na asawa sa ilalim ng batas ng Pilipinas. Ang bahaging ito ay nag-iiba depende sa pagkakaroon ng mga inapo (mga anak) ng namatay na asawa.
* **May mga Descendants:** Ang nabubuhay na asa"&amp;"wa ay tumatanggap ng hindi bababa sa ½ (kalahati) ng conjugal property at ½ (kalahati) ng hiwalay na ari-arian ng namatay na asawa pagkatapos mabayaran ang mga utang.
* **Walang mga Descendants:** Ang nabubuhay na asawa ay nagmamana ng buong conjugal prop"&amp;"erty at ½ (kalahati) ng hiwalay na ari-arian ng namatay na asawa pagkatapos mabayaran ang mga utang.
* **Komunidad kumpara sa Hiwalay na Ari-arian:** Ang pagkakaiba sa pagitan ng conjugal property (nakuha sa panahon ng kasal) at hiwalay na ari-arian (pag-"&amp;"aari bago kasal o minana) ay mahalaga. Ang nabubuhay na asawa ay may mga awtomatikong karapatan sa isang bahagi ng conjugal na ari-arian, habang ang kanilang mga karapatan sa mana para sa hiwalay na ari-arian ay nakasalalay sa pagkakaroon ng mga inapo at "&amp;"pagkakaroon ng isang testamento.
**Epekto ng Isang Habilin:**
* Habang ang nabubuhay na asawa ay may pinakamababang garantisadong karapatan, maaaring baguhin ng isang testamento ang pamamahagi ng mga ari-arian. Ang namatay na asawa ay maaaring pumili na m"&amp;"ag-iwan ng mas malaki o mas maliit na bahagi ng kanilang hiwalay na ari-arian sa nabubuhay na asawa kumpara sa kung ano ang matatanggap nila sa ilalim ng mga batas sa intestacy (kung walang habilin).
**Pamana na Kumpara sa Iba Pang Mga Benepisyaryo:**
* *"&amp;"*Priyoridad:** Ang nabubuhay na asawa sa pangkalahatan ay may priyoridad na karapatan sa mana kumpara sa ibang mga benepisyaryo gaya ng mga anak o magulang ng namatay. Ang kanilang pinakamababang bahagi ay ginagarantiyahan ng batas.
* **Mga Karapatan ng B"&amp;"ata:** Ang mga anak ng namatay ay mayroon ding mga karapatan sa mana. Ang partikular na bahagi na kanilang natatanggap ay nakasalalay sa pagkakaroon ng nabubuhay na asawa at sa pagkakaroon ng isang testamento.
* **Kakayahang umangkop sa isang Testamento:*"&amp;"* Ang isang mahusay na pagkakabalangkas na testamento ay maaaring gamitin upang tukuyin ang mga hinahangad na mana para sa asawa at iba pang mga benepisyaryo, na tinitiyak ang isang patas na pamamahagi ng mga ari-arian ayon sa mga intensyon ng namatay.
**"&amp;"Sa konklusyon,** habang ang mga mag-asawa ay may ilang garantisadong karapatan sa mana sa ilalim ng batas ng Pilipinas, ang isang testamento ay maaaring magbigay ng flexibility at kalinawan tungkol sa pamamahagi ng mga ari-arian sa pagitan ng asawa at iba"&amp;" pang mga benepisyaryo. Ang pag-unawa sa pagkakaiba sa pagitan ng conjugal at hiwalay na ari-arian ay mahalaga din kapag tinutukoy ang mga karapatan sa mana para sa mga asawa. Ang pagkonsulta sa isang abogado na dalubhasa sa pagpaplano ng ari-arian ay maa"&amp;"aring magbigay ng mahalagang gabay sa iyong partikular na sitwasyon at makakatulong na matiyak na ang iyong mga kagustuhan ay makikita sa iyong plano sa ari-arian.")</f>
        <v>Ang mga karapatan sa mana para sa mga asawa sa Pilipinas ay naiiba sa iba pang mga benepisyaryo sa ilang mahahalagang paraan:
**Mga Karapatan ng Mag-asawa sa ilalim ng Batas:**
* **Minimum Share:** Ang nabubuhay na asawa, hindi alintana kung may testamento, ay may karapatan sa pinakamababang bahagi ng ari-arian ng namatay na asawa sa ilalim ng batas ng Pilipinas. Ang bahaging ito ay nag-iiba depende sa pagkakaroon ng mga inapo (mga anak) ng namatay na asawa.
* **May mga Descendants:** Ang nabubuhay na asawa ay tumatanggap ng hindi bababa sa ½ (kalahati) ng conjugal property at ½ (kalahati) ng hiwalay na ari-arian ng namatay na asawa pagkatapos mabayaran ang mga utang.
* **Walang mga Descendants:** Ang nabubuhay na asawa ay nagmamana ng buong conjugal property at ½ (kalahati) ng hiwalay na ari-arian ng namatay na asawa pagkatapos mabayaran ang mga utang.
* **Komunidad kumpara sa Hiwalay na Ari-arian:** Ang pagkakaiba sa pagitan ng conjugal property (nakuha sa panahon ng kasal) at hiwalay na ari-arian (pag-aari bago kasal o minana) ay mahalaga. Ang nabubuhay na asawa ay may mga awtomatikong karapatan sa isang bahagi ng conjugal na ari-arian, habang ang kanilang mga karapatan sa mana para sa hiwalay na ari-arian ay nakasalalay sa pagkakaroon ng mga inapo at pagkakaroon ng isang testamento.
**Epekto ng Isang Habilin:**
* Habang ang nabubuhay na asawa ay may pinakamababang garantisadong karapatan, maaaring baguhin ng isang testamento ang pamamahagi ng mga ari-arian. Ang namatay na asawa ay maaaring pumili na mag-iwan ng mas malaki o mas maliit na bahagi ng kanilang hiwalay na ari-arian sa nabubuhay na asawa kumpara sa kung ano ang matatanggap nila sa ilalim ng mga batas sa intestacy (kung walang habilin).
**Pamana na Kumpara sa Iba Pang Mga Benepisyaryo:**
* **Priyoridad:** Ang nabubuhay na asawa sa pangkalahatan ay may priyoridad na karapatan sa mana kumpara sa ibang mga benepisyaryo gaya ng mga anak o magulang ng namatay. Ang kanilang pinakamababang bahagi ay ginagarantiyahan ng batas.
* **Mga Karapatan ng Bata:** Ang mga anak ng namatay ay mayroon ding mga karapatan sa mana. Ang partikular na bahagi na kanilang natatanggap ay nakasalalay sa pagkakaroon ng nabubuhay na asawa at sa pagkakaroon ng isang testamento.
* **Kakayahang umangkop sa isang Testamento:** Ang isang mahusay na pagkakabalangkas na testamento ay maaaring gamitin upang tukuyin ang mga hinahangad na mana para sa asawa at iba pang mga benepisyaryo, na tinitiyak ang isang patas na pamamahagi ng mga ari-arian ayon sa mga intensyon ng namatay.
**Sa konklusyon,** habang ang mga mag-asawa ay may ilang garantisadong karapatan sa mana sa ilalim ng batas ng Pilipinas, ang isang testamento ay maaaring magbigay ng flexibility at kalinawan tungkol sa pamamahagi ng mga ari-arian sa pagitan ng asawa at iba pang mga benepisyaryo. Ang pag-unawa sa pagkakaiba sa pagitan ng conjugal at hiwalay na ari-arian ay mahalaga din kapag tinutukoy ang mga karapatan sa mana para sa mga asawa. Ang pagkonsulta sa isang abogado na dalubhasa sa pagpaplano ng ari-arian ay maaaring magbigay ng mahalagang gabay sa iyong partikular na sitwasyon at makakatulong na matiyak na ang iyong mga kagustuhan ay makikita sa iyong plano sa ari-arian.</v>
      </c>
      <c r="F558" s="2">
        <f t="shared" si="1"/>
        <v>0</v>
      </c>
      <c r="G558" s="2"/>
      <c r="H558" s="2"/>
      <c r="I558" s="2"/>
      <c r="J558" s="2"/>
      <c r="K558" s="2"/>
      <c r="L558" s="2"/>
      <c r="M558" s="2"/>
      <c r="N558" s="2"/>
      <c r="O558" s="2"/>
      <c r="P558" s="2"/>
      <c r="Q558" s="2"/>
      <c r="R558" s="2"/>
      <c r="S558" s="2"/>
      <c r="T558" s="2"/>
      <c r="U558" s="2"/>
      <c r="V558" s="2"/>
      <c r="W558" s="2"/>
      <c r="X558" s="2"/>
      <c r="Y558" s="2"/>
      <c r="Z558" s="2"/>
      <c r="AA558" s="2"/>
    </row>
    <row r="559">
      <c r="A559" s="1" t="s">
        <v>1224</v>
      </c>
      <c r="B559" s="1" t="s">
        <v>1892</v>
      </c>
      <c r="C559" s="1" t="s">
        <v>1893</v>
      </c>
      <c r="D559" s="1" t="s">
        <v>1894</v>
      </c>
      <c r="E559" s="2" t="str">
        <f>IFERROR(__xludf.DUMMYFUNCTION("GOOGLETRANSLATE(C559, ""en"", ""TL"")"),"Narito ang isang breakdown ng proseso para sa paglilipat ng pagmamay-ari ng real estate pagkatapos ng mana sa Pilipinas:
**1. Secure na Mga Kinakailangang Dokumento:**
* **Death Certificate:** Ito ay isang mahalagang dokumento upang matiyak na ang may-ari"&amp;" ng ari-arian ay pumanaw na. Maaari kang makakuha ng sertipikadong kopya mula sa Philippine Statistics Authority (PSA).
* **Original Title Deed:** Ang dokumentong ito ay nagpapatunay ng pagmamay-ari ng ari-arian ng namatay.
* **Estate Tax Clearance:** Kak"&amp;"ailanganin mo ng sertipiko mula sa Bureau of Internal Revenue (BIR) na nagsasaad na ang lahat ng buwis sa ari-arian na nauugnay sa mana ay nabayaran na.
* **Pagpapamana:**
* **Will:** Kung may testamento, dapat itong isumite upang patunayan ang iyong mga "&amp;"karapatan sa mana at ang pamamahagi ng ari-arian gaya ng tinukoy sa testamento.
* **Affidavit of Self-Adjudication (Extrajudicial Settlement):** Kung walang testamento at lahat ng tagapagmana ay sumang-ayon sa pamamahagi, ang dokumentong ito ay maaaring g"&amp;"amitin upang ideklara ang pagmamay-ari nang walang interbensyon ng korte.
* **Utos ng Hukuman (Judicial Settlement):** Sa kaso ng mga hindi pagkakasundo sa pagitan ng mga tagapagmana o kumplikadong mga sitwasyon, maaaring kailanganin ang isang pag-areglo "&amp;"ng hukuman sa pamamagitan ng mga prosesong panghukuman upang matukoy ang pagmamay-ari.
* **Mga Pagpapahayag ng Buwis:** Ang pinakabagong mga deklarasyon ng buwis sa ari-arian ng minanang real estate.
**2. Magbayad ng Mga Buwis sa Paglipat:**
* Maaaring na"&amp;"bayaran na ang buwis sa ari-arian para sa buong ari-arian, ngunit may mga karagdagang buwis na nauugnay sa mismong paglipat ng pagmamay-ari. Kabilang sa mga buwis na ito ang:
* **Capital Gains Tax:** Ang buwis na ito ay ipinapataw sa pagkakaiba sa pagitan"&amp;" ng halaga ng pagkuha ng ari-arian ng namatay at ng kasalukuyang halaga nito sa pamilihan. * **Documentary Stamp Tax:** Isang nakapirming buwis batay sa idineklarang market value ng property.
* **Bayarin sa Pagpaparehistro:** Isang bayad na binayaran sa R"&amp;"egistry of Deeds para sa pagproseso ng paglilipat ng pagmamay-ari.
**3. Magsumite ng mga Dokumento at Magbayad ng Bayarin:**
* Kapag nakuha mo na ang lahat ng kinakailangang dokumento at nabayaran mo na ang mga kaukulang buwis, isumite ang mga ito sa Regi"&amp;"stry of Deeds na may hurisdiksyon sa property.
* Maaaring may mga karagdagang bayad na nauugnay sa proseso ng pagpaparehistro sa Registry of Deeds.
**4. Kumuha ng Bagong Title Deed:**
* Pagkatapos ng pagproseso at pagpapatunay ng mga dokumento at pagbabay"&amp;"ad ng mga bayarin, ang Registry of Deeds ay maglalabas ng mga bagong titulo ng titulo na sumasalamin sa mga pangalan ng mga tagapagmana bilang mga bagong may-ari.
**Mga Karagdagang Pagsasaalang-alang:**
* **Timeframe:** Ang buong proseso ay maaaring tumag"&amp;"al ng ilang linggo o kahit na buwan depende sa pagkakumpleto ng mga dokumento at potensyal na paglahok ng korte (kung naaangkop).
* **Propesyonal na Tulong:** Maaaring gabayan ka ng isang bihasang abogado na dalubhasa sa batas ng ari-arian sa proseso, tiy"&amp;"akin ang tamang dokumentasyon, at tugunan ang anumang mga komplikasyon na maaaring lumitaw.
**Sa konklusyon,** ang paglilipat ng pagmamay-ari ng real estate pagkatapos ng mana sa Pilipinas ay nagsasangkot ng pagkolekta ng mga partikular na dokumento, pag-"&amp;"aayos ng mga buwis sa ari-arian, pagbabayad ng mga buwis sa paglilipat, at pagpaparehistro ng pagbabago ng pagmamay-ari sa Registry of Deeds. Makakatulong ang pagkonsulta sa isang abogado na matiyak ang maayos at mahusay na proseso.")</f>
        <v>Narito ang isang breakdown ng proseso para sa paglilipat ng pagmamay-ari ng real estate pagkatapos ng mana sa Pilipinas:
**1. Secure na Mga Kinakailangang Dokumento:**
* **Death Certificate:** Ito ay isang mahalagang dokumento upang matiyak na ang may-ari ng ari-arian ay pumanaw na. Maaari kang makakuha ng sertipikadong kopya mula sa Philippine Statistics Authority (PSA).
* **Original Title Deed:** Ang dokumentong ito ay nagpapatunay ng pagmamay-ari ng ari-arian ng namatay.
* **Estate Tax Clearance:** Kakailanganin mo ng sertipiko mula sa Bureau of Internal Revenue (BIR) na nagsasaad na ang lahat ng buwis sa ari-arian na nauugnay sa mana ay nabayaran na.
* **Pagpapamana:**
* **Will:** Kung may testamento, dapat itong isumite upang patunayan ang iyong mga karapatan sa mana at ang pamamahagi ng ari-arian gaya ng tinukoy sa testamento.
* **Affidavit of Self-Adjudication (Extrajudicial Settlement):** Kung walang testamento at lahat ng tagapagmana ay sumang-ayon sa pamamahagi, ang dokumentong ito ay maaaring gamitin upang ideklara ang pagmamay-ari nang walang interbensyon ng korte.
* **Utos ng Hukuman (Judicial Settlement):** Sa kaso ng mga hindi pagkakasundo sa pagitan ng mga tagapagmana o kumplikadong mga sitwasyon, maaaring kailanganin ang isang pag-areglo ng hukuman sa pamamagitan ng mga prosesong panghukuman upang matukoy ang pagmamay-ari.
* **Mga Pagpapahayag ng Buwis:** Ang pinakabagong mga deklarasyon ng buwis sa ari-arian ng minanang real estate.
**2. Magbayad ng Mga Buwis sa Paglipat:**
* Maaaring nabayaran na ang buwis sa ari-arian para sa buong ari-arian, ngunit may mga karagdagang buwis na nauugnay sa mismong paglipat ng pagmamay-ari. Kabilang sa mga buwis na ito ang:
* **Capital Gains Tax:** Ang buwis na ito ay ipinapataw sa pagkakaiba sa pagitan ng halaga ng pagkuha ng ari-arian ng namatay at ng kasalukuyang halaga nito sa pamilihan. * **Documentary Stamp Tax:** Isang nakapirming buwis batay sa idineklarang market value ng property.
* **Bayarin sa Pagpaparehistro:** Isang bayad na binayaran sa Registry of Deeds para sa pagproseso ng paglilipat ng pagmamay-ari.
**3. Magsumite ng mga Dokumento at Magbayad ng Bayarin:**
* Kapag nakuha mo na ang lahat ng kinakailangang dokumento at nabayaran mo na ang mga kaukulang buwis, isumite ang mga ito sa Registry of Deeds na may hurisdiksyon sa property.
* Maaaring may mga karagdagang bayad na nauugnay sa proseso ng pagpaparehistro sa Registry of Deeds.
**4. Kumuha ng Bagong Title Deed:**
* Pagkatapos ng pagproseso at pagpapatunay ng mga dokumento at pagbabayad ng mga bayarin, ang Registry of Deeds ay maglalabas ng mga bagong titulo ng titulo na sumasalamin sa mga pangalan ng mga tagapagmana bilang mga bagong may-ari.
**Mga Karagdagang Pagsasaalang-alang:**
* **Timeframe:** Ang buong proseso ay maaaring tumagal ng ilang linggo o kahit na buwan depende sa pagkakumpleto ng mga dokumento at potensyal na paglahok ng korte (kung naaangkop).
* **Propesyonal na Tulong:** Maaaring gabayan ka ng isang bihasang abogado na dalubhasa sa batas ng ari-arian sa proseso, tiyakin ang tamang dokumentasyon, at tugunan ang anumang mga komplikasyon na maaaring lumitaw.
**Sa konklusyon,** ang paglilipat ng pagmamay-ari ng real estate pagkatapos ng mana sa Pilipinas ay nagsasangkot ng pagkolekta ng mga partikular na dokumento, pag-aayos ng mga buwis sa ari-arian, pagbabayad ng mga buwis sa paglilipat, at pagpaparehistro ng pagbabago ng pagmamay-ari sa Registry of Deeds. Makakatulong ang pagkonsulta sa isang abogado na matiyak ang maayos at mahusay na proseso.</v>
      </c>
      <c r="F559" s="2">
        <f t="shared" si="1"/>
        <v>0</v>
      </c>
      <c r="G559" s="2"/>
      <c r="H559" s="2"/>
      <c r="I559" s="2"/>
      <c r="J559" s="2"/>
      <c r="K559" s="2"/>
      <c r="L559" s="2"/>
      <c r="M559" s="2"/>
      <c r="N559" s="2"/>
      <c r="O559" s="2"/>
      <c r="P559" s="2"/>
      <c r="Q559" s="2"/>
      <c r="R559" s="2"/>
      <c r="S559" s="2"/>
      <c r="T559" s="2"/>
      <c r="U559" s="2"/>
      <c r="V559" s="2"/>
      <c r="W559" s="2"/>
      <c r="X559" s="2"/>
      <c r="Y559" s="2"/>
      <c r="Z559" s="2"/>
      <c r="AA559" s="2"/>
    </row>
    <row r="560">
      <c r="A560" s="1" t="s">
        <v>1224</v>
      </c>
      <c r="B560" s="1" t="s">
        <v>1895</v>
      </c>
      <c r="C560" s="1" t="s">
        <v>1896</v>
      </c>
      <c r="D560" s="1" t="s">
        <v>1897</v>
      </c>
      <c r="E560" s="2" t="str">
        <f>IFERROR(__xludf.DUMMYFUNCTION("GOOGLETRANSLATE(C560, ""en"", ""TL"")"),"Sa Pilipinas, **walang legal na obligasyon para sa mga benepisyaryo na tanggapin ang kanilang mana**. Ang mga benepisyaryo ay may karapatan na magpasya kung tatanggapin o hindi ang mana na ipinangalan sa kanila sa isang testamento o sa pamamagitan ng mga "&amp;"batas sa intestacy (kung walang will).
Narito ang isang breakdown ng mga opsyon na mayroon ang mga benepisyaryo:
* **Pagtanggap na may Benepisyo:** Ito ay nangangahulugan ng ganap na pagtanggap sa mana, kabilang ang parehong mga ari-arian at pananagutan n"&amp;"g ari-arian. Ang benepisyaryo ay magiging responsable para sa anumang mga utang na nauugnay sa minanang mga ari-arian, hanggang sa halaga ng mga ari-arian na iyon.
* **Pagtanggap nang may Reserbasyon:** Nagbibigay-daan ito sa mga benepisyaryo na limitahan"&amp;" ang kanilang pananagutan sa halaga ng mga minanang asset. Hindi sila personal na mananagot para sa mga utang na lampas sa halaga ng mana. Gayunpaman, ang mga partikular na legal na pamamaraan ay dapat sundin sa loob ng isang tiyak na takdang panahon upan"&amp;"g maangkin ang limitadong pananagutan na ito. Ang pagkonsulta sa isang abogado ay lubos na inirerekomenda para sa tamang gabay sa opsyong ito.
* **Pagtatakwil sa Mana:** Maaaring piliin ng mga benepisyaryo na pormal na talikuran ang kanilang mana. Nangang"&amp;"ahulugan ito na ganap nilang ibinibigay ang anumang mga karapatan sa minanang mga ari-arian. Ang mana ay ipapasa sa mga kahaliling benepisyaryo na pinangalanan sa testamento (kung mayroon) o ayon sa mga batas sa kawalan ng buhay.
**Mahahalagang Pagsasaala"&amp;"ng-alang:**
* **Mga Implikasyon sa Buwis:** Kahit na talikuran mo ang mana, maaaring may mga implikasyon pa rin sa buwis depende sa uri ng asset at relasyon sa pagitan ng namatay at ng benepisyaryo. Ang pagkonsulta sa isang tax advisor ay inirerekomenda u"&amp;"pang maunawaan ang mga potensyal na obligasyon sa buwis.
* **Mga Deadline para sa mga Desisyon:** Maaaring may mga limitasyon sa oras para sa pagtanggap nang may reserbasyon o pagtalikod sa isang mana. Maaaring payuhan ka ng pagkonsulta sa isang abogado t"&amp;"ungkol sa mga naaangkop na timeframe sa iyong sitwasyon.
**Sa konklusyon,** habang ang mga benepisyaryo ay walang legal na obligasyon na tumanggap ng mana sa Pilipinas, dapat nilang maingat na isaalang-alang ang mga implikasyon ng bawat opsyon (pagtanggap"&amp;" nang may benepisyo, may reserbasyon, o pagtanggi) bago gumawa ng desisyon. Ang pagkonsulta sa isang abogado na dalubhasa sa pagpaplano ng ari-arian ay maaaring magbigay ng mahalagang patnubay sa pag-unawa sa iyong mga karapatan at obligasyon bilang isang"&amp;" benepisyaryo at pagpili ng pinakamahusay na paraan ng pagkilos para sa iyong mga partikular na kalagayan.")</f>
        <v>Sa Pilipinas, **walang legal na obligasyon para sa mga benepisyaryo na tanggapin ang kanilang mana**. Ang mga benepisyaryo ay may karapatan na magpasya kung tatanggapin o hindi ang mana na ipinangalan sa kanila sa isang testamento o sa pamamagitan ng mga batas sa intestacy (kung walang will).
Narito ang isang breakdown ng mga opsyon na mayroon ang mga benepisyaryo:
* **Pagtanggap na may Benepisyo:** Ito ay nangangahulugan ng ganap na pagtanggap sa mana, kabilang ang parehong mga ari-arian at pananagutan ng ari-arian. Ang benepisyaryo ay magiging responsable para sa anumang mga utang na nauugnay sa minanang mga ari-arian, hanggang sa halaga ng mga ari-arian na iyon.
* **Pagtanggap nang may Reserbasyon:** Nagbibigay-daan ito sa mga benepisyaryo na limitahan ang kanilang pananagutan sa halaga ng mga minanang asset. Hindi sila personal na mananagot para sa mga utang na lampas sa halaga ng mana. Gayunpaman, ang mga partikular na legal na pamamaraan ay dapat sundin sa loob ng isang tiyak na takdang panahon upang maangkin ang limitadong pananagutan na ito. Ang pagkonsulta sa isang abogado ay lubos na inirerekomenda para sa tamang gabay sa opsyong ito.
* **Pagtatakwil sa Mana:** Maaaring piliin ng mga benepisyaryo na pormal na talikuran ang kanilang mana. Nangangahulugan ito na ganap nilang ibinibigay ang anumang mga karapatan sa minanang mga ari-arian. Ang mana ay ipapasa sa mga kahaliling benepisyaryo na pinangalanan sa testamento (kung mayroon) o ayon sa mga batas sa kawalan ng buhay.
**Mahahalagang Pagsasaalang-alang:**
* **Mga Implikasyon sa Buwis:** Kahit na talikuran mo ang mana, maaaring may mga implikasyon pa rin sa buwis depende sa uri ng asset at relasyon sa pagitan ng namatay at ng benepisyaryo. Ang pagkonsulta sa isang tax advisor ay inirerekomenda upang maunawaan ang mga potensyal na obligasyon sa buwis.
* **Mga Deadline para sa mga Desisyon:** Maaaring may mga limitasyon sa oras para sa pagtanggap nang may reserbasyon o pagtalikod sa isang mana. Maaaring payuhan ka ng pagkonsulta sa isang abogado tungkol sa mga naaangkop na timeframe sa iyong sitwasyon.
**Sa konklusyon,** habang ang mga benepisyaryo ay walang legal na obligasyon na tumanggap ng mana sa Pilipinas, dapat nilang maingat na isaalang-alang ang mga implikasyon ng bawat opsyon (pagtanggap nang may benepisyo, may reserbasyon, o pagtanggi) bago gumawa ng desisyon. Ang pagkonsulta sa isang abogado na dalubhasa sa pagpaplano ng ari-arian ay maaaring magbigay ng mahalagang patnubay sa pag-unawa sa iyong mga karapatan at obligasyon bilang isang benepisyaryo at pagpili ng pinakamahusay na paraan ng pagkilos para sa iyong mga partikular na kalagayan.</v>
      </c>
      <c r="F560" s="2">
        <f t="shared" si="1"/>
        <v>0</v>
      </c>
      <c r="G560" s="2"/>
      <c r="H560" s="2"/>
      <c r="I560" s="2"/>
      <c r="J560" s="2"/>
      <c r="K560" s="2"/>
      <c r="L560" s="2"/>
      <c r="M560" s="2"/>
      <c r="N560" s="2"/>
      <c r="O560" s="2"/>
      <c r="P560" s="2"/>
      <c r="Q560" s="2"/>
      <c r="R560" s="2"/>
      <c r="S560" s="2"/>
      <c r="T560" s="2"/>
      <c r="U560" s="2"/>
      <c r="V560" s="2"/>
      <c r="W560" s="2"/>
      <c r="X560" s="2"/>
      <c r="Y560" s="2"/>
      <c r="Z560" s="2"/>
      <c r="AA560" s="2"/>
    </row>
    <row r="561">
      <c r="A561" s="1" t="s">
        <v>1224</v>
      </c>
      <c r="B561" s="1" t="s">
        <v>1898</v>
      </c>
      <c r="C561" s="1" t="s">
        <v>1899</v>
      </c>
      <c r="D561" s="1" t="s">
        <v>1900</v>
      </c>
      <c r="E561" s="2" t="str">
        <f>IFERROR(__xludf.DUMMYFUNCTION("GOOGLETRANSLATE(C561, ""en"", ""TL"")"),"Ang proseso ng pamana para sa pinaghalo pamilya sa Pilipinas ay maaaring maging mas kumplikado kumpara sa mga tradisyonal na pamilya dahil sa pagkakaroon ng mga bata mula sa mga nakaraang relasyon. Narito ang isang breakdown ng mga pangunahing pagkakaiba:"&amp;"
**Intestacy vs. Wills:**
* **Intestacy (No Will):** Kung ang isang tao ay namatay nang walang testamento (intestate), ang mga batas sa kawalan ng katiyakan ng Pilipinas ang nagdidikta kung paano nahahati ang ari-arian. Maaari itong maging problema para s"&amp;"a mga pinaghalo na pamilya dahil maaaring hindi ito sumasalamin sa mga kagustuhan ng namatay tungkol sa pamamahagi ng mga ari-arian sa isang nabubuhay na asawa at mga anak mula sa mga nakaraang relasyon.
* **Wills:** Ang pagkakaroon ng well-drafted will a"&amp;"y mahalaga para sa pinaghalo pamilya. Malinaw na maibabalangkas ng testamento kung paano nais ng namatay na ipamahagi ang kanilang mga ari-arian, na tinitiyak ang seguridad sa pananalapi para sa kanilang asawa at mga anak mula sa parehong relasyon.
**Pote"&amp;"nsyal na Mga Salungatan:**
* **Spousal Rights vs. Children's Rights:** Ang batas ng Pilipinas ay nagbibigay sa nabubuhay na asawa ng ilang karapatan sa mana. Gayunpaman, maaaring magkaroon ng mga salungatan kung nais ng namatay na iwanan ang isang bahagi "&amp;"ng kanilang ari-arian sa mga anak mula sa nakaraang kasal. Ang isang mahusay na pagkakabalangkas na kalooban ay maaaring makatulong na mabawasan ang mga naturang salungatan sa pamamagitan ng malinaw na pagtukoy sa mga pagbabahagi ng mana.
* **Stepchildren"&amp;" vs. Biological Children:** Sa kawalan ng testamento, ang mga stepchildren sa pangkalahatan ay hindi nagmamana mula sa kanilang stepparent sa ilalim ng mga batas sa intestacy. Maaaring gamitin ang isang testamento upang isama ang mga stepchildren sa inher"&amp;"itance plan kung ninanais.
**Mga Istratehiya sa Pagpaplano:**
* **Mga Kasunduan sa Pag-aasawa (Prenuptial/Postnuptial):** Makakatulong ang mga kasunduang ito na tukuyin ang hiwalay na ari-arian na pagmamay-ari ng bawat asawa bago ang kasal at protektahan "&amp;"ang mga kasalukuyang asset para sa mga bata mula sa mga nakaraang relasyon.
* **Life Insurance:** Ang mga patakaran sa life insurance ay maaaring gamitin upang magbigay ng pinansiyal na seguridad para sa mga partikular na benepisyaryo, tulad ng mga anak m"&amp;"ula sa nakaraang kasal.
* **Trusts (Limited Use):** Bagama't hindi gaanong karaniwan sa Pilipinas kumpara sa ibang mga bansa, ang mga hindi mababawi na trust ay maaaring mag-alok ng mga benepisyo sa proteksyon ng asset at direktang pamamahagi sa mga nilal"&amp;"ayong makikinabang. Ang pagkonsulta sa isang abogado na dalubhasa sa pagpaplano ng ari-arian ay mahalaga upang tuklasin ang pagiging posible ng mga pinagkakatiwalaan sa iyong sitwasyon.
**Legal na Patnubay:**
* Ang pagkonsulta sa isang abogadong may karan"&amp;"asan sa estate planning para sa mga pinaghalo na pamilya ay lubos na inirerekomenda. Maaari ka nilang gabayan sa mga legal na proseso, bumalangkas ng testamento na sumasalamin sa iyong mga kagustuhan, at mabawasan ang panganib ng mga salungatan sa hinahar"&amp;"ap sa pagitan ng mga tagapagmana.
**Sa konklusyon,** ang proseso ng pagmamana para sa mga pinaghalo na pamilya ay nangangailangan ng maingat na pagpaplano at malinaw na komunikasyon upang matiyak ang isang patas at walang salungat na pamamahagi ng mga ass"&amp;"et. Sa pamamagitan ng paggamit ng mga testamento, kasunduan sa pag-aasawa, seguro sa buhay, at potensyal na pagtitiwala (na may legal na patnubay), makakatulong kang protektahan ang seguridad sa pananalapi ng lahat ng iyong mga mahal sa buhay pagkatapos m"&amp;"ong mawala.")</f>
        <v>Ang proseso ng pamana para sa pinaghalo pamilya sa Pilipinas ay maaaring maging mas kumplikado kumpara sa mga tradisyonal na pamilya dahil sa pagkakaroon ng mga bata mula sa mga nakaraang relasyon. Narito ang isang breakdown ng mga pangunahing pagkakaiba:
**Intestacy vs. Wills:**
* **Intestacy (No Will):** Kung ang isang tao ay namatay nang walang testamento (intestate), ang mga batas sa kawalan ng katiyakan ng Pilipinas ang nagdidikta kung paano nahahati ang ari-arian. Maaari itong maging problema para sa mga pinaghalo na pamilya dahil maaaring hindi ito sumasalamin sa mga kagustuhan ng namatay tungkol sa pamamahagi ng mga ari-arian sa isang nabubuhay na asawa at mga anak mula sa mga nakaraang relasyon.
* **Wills:** Ang pagkakaroon ng well-drafted will ay mahalaga para sa pinaghalo pamilya. Malinaw na maibabalangkas ng testamento kung paano nais ng namatay na ipamahagi ang kanilang mga ari-arian, na tinitiyak ang seguridad sa pananalapi para sa kanilang asawa at mga anak mula sa parehong relasyon.
**Potensyal na Mga Salungatan:**
* **Spousal Rights vs. Children's Rights:** Ang batas ng Pilipinas ay nagbibigay sa nabubuhay na asawa ng ilang karapatan sa mana. Gayunpaman, maaaring magkaroon ng mga salungatan kung nais ng namatay na iwanan ang isang bahagi ng kanilang ari-arian sa mga anak mula sa nakaraang kasal. Ang isang mahusay na pagkakabalangkas na kalooban ay maaaring makatulong na mabawasan ang mga naturang salungatan sa pamamagitan ng malinaw na pagtukoy sa mga pagbabahagi ng mana.
* **Stepchildren vs. Biological Children:** Sa kawalan ng testamento, ang mga stepchildren sa pangkalahatan ay hindi nagmamana mula sa kanilang stepparent sa ilalim ng mga batas sa intestacy. Maaaring gamitin ang isang testamento upang isama ang mga stepchildren sa inheritance plan kung ninanais.
**Mga Istratehiya sa Pagpaplano:**
* **Mga Kasunduan sa Pag-aasawa (Prenuptial/Postnuptial):** Makakatulong ang mga kasunduang ito na tukuyin ang hiwalay na ari-arian na pagmamay-ari ng bawat asawa bago ang kasal at protektahan ang mga kasalukuyang asset para sa mga bata mula sa mga nakaraang relasyon.
* **Life Insurance:** Ang mga patakaran sa life insurance ay maaaring gamitin upang magbigay ng pinansiyal na seguridad para sa mga partikular na benepisyaryo, tulad ng mga anak mula sa nakaraang kasal.
* **Trusts (Limited Use):** Bagama't hindi gaanong karaniwan sa Pilipinas kumpara sa ibang mga bansa, ang mga hindi mababawi na trust ay maaaring mag-alok ng mga benepisyo sa proteksyon ng asset at direktang pamamahagi sa mga nilalayong makikinabang. Ang pagkonsulta sa isang abogado na dalubhasa sa pagpaplano ng ari-arian ay mahalaga upang tuklasin ang pagiging posible ng mga pinagkakatiwalaan sa iyong sitwasyon.
**Legal na Patnubay:**
* Ang pagkonsulta sa isang abogadong may karanasan sa estate planning para sa mga pinaghalo na pamilya ay lubos na inirerekomenda. Maaari ka nilang gabayan sa mga legal na proseso, bumalangkas ng testamento na sumasalamin sa iyong mga kagustuhan, at mabawasan ang panganib ng mga salungatan sa hinaharap sa pagitan ng mga tagapagmana.
**Sa konklusyon,** ang proseso ng pagmamana para sa mga pinaghalo na pamilya ay nangangailangan ng maingat na pagpaplano at malinaw na komunikasyon upang matiyak ang isang patas at walang salungat na pamamahagi ng mga asset. Sa pamamagitan ng paggamit ng mga testamento, kasunduan sa pag-aasawa, seguro sa buhay, at potensyal na pagtitiwala (na may legal na patnubay), makakatulong kang protektahan ang seguridad sa pananalapi ng lahat ng iyong mga mahal sa buhay pagkatapos mong mawala.</v>
      </c>
      <c r="F561" s="2">
        <f t="shared" si="1"/>
        <v>0</v>
      </c>
      <c r="G561" s="2"/>
      <c r="H561" s="2"/>
      <c r="I561" s="2"/>
      <c r="J561" s="2"/>
      <c r="K561" s="2"/>
      <c r="L561" s="2"/>
      <c r="M561" s="2"/>
      <c r="N561" s="2"/>
      <c r="O561" s="2"/>
      <c r="P561" s="2"/>
      <c r="Q561" s="2"/>
      <c r="R561" s="2"/>
      <c r="S561" s="2"/>
      <c r="T561" s="2"/>
      <c r="U561" s="2"/>
      <c r="V561" s="2"/>
      <c r="W561" s="2"/>
      <c r="X561" s="2"/>
      <c r="Y561" s="2"/>
      <c r="Z561" s="2"/>
      <c r="AA561" s="2"/>
    </row>
    <row r="562">
      <c r="A562" s="1" t="s">
        <v>1224</v>
      </c>
      <c r="B562" s="1" t="s">
        <v>1901</v>
      </c>
      <c r="C562" s="1" t="s">
        <v>1902</v>
      </c>
      <c r="D562" s="1" t="s">
        <v>1903</v>
      </c>
      <c r="E562" s="2" t="str">
        <f>IFERROR(__xludf.DUMMYFUNCTION("GOOGLETRANSLATE(C562, ""en"", ""TL"")"),"Ang pagmamana ng mga digital na asset sa Pilipinas ay medyo bagong konsepto, at ang legal na tanawin ay patuloy pa rin sa pag-unlad. Gayunpaman, narito ang alam natin sa ngayon:
**Mga Mamanahin na Digital Asset:**
* Sa pangkalahatan, ang **mga digital na "&amp;"asset na ganap mong pagmamay-ari at maaaring ilipat** ay maaaring mamana. Maaaring kabilang dito ang:
* **Cryptocurrency** (gaya ng Bitcoin o Ethereum)
* **Non-fungible token (NFTs)**
* **Mga digital na file** (tulad ng musika, mga larawan, o mga dokument"&amp;"o) - ang mga karapatan sa mana ay maaaring depende sa pagmamay-ari ng copyright
* **Mga domain name**
* **Mga online na account na may mga pondo** (hal., PayPal, online store credit) - depende sa mga tuntunin ng serbisyo ng platform
**Mga Hamon sa Pamana:"&amp;"**
* **Kakulangan ng Malinaw na Batas:** Sa kasalukuyan ay walang mga partikular na batas sa Pilipinas na tahasang tumutugon sa pagmamana ng mga digital na asset. Maaari itong lumikha ng kawalan ng katiyakan tungkol sa paglipat ng pagmamay-ari pagkatapos "&amp;"ng kamatayan.
* **Mga Tuntunin ng Mga Paghihigpit sa Serbisyo:** Maraming online na platform at service provider ang may mga tuntunin ng serbisyo (TOS) na maaaring limitahan ang mga karapatan sa mana o pag-access sa account kapag namatay ang user. Mahalag"&amp;"ang suriin ang TOS ng mga nauugnay na platform upang maunawaan ang kanilang mga patakaran tungkol sa mana. * **Accessibility ng Digital Assets:** Ang mga digital asset ay maaaring naka-store sa iba't ibang device o platform, at ang access ay maaaring mang"&amp;"ailangan ng mga password o pribadong key. Kung walang wastong pagpaplano, maaaring mahihirapan ang mga tagapagmana sa pag-access o pagmamana ng mga asset na ito.
**Pagpaplano para sa Digital Asset Inheritance:**
* **Makipag-ugnayan sa Mga Tagapagmana:** I"&amp;"paalam sa iyong mga tagapagmana ang tungkol sa pagkakaroon at lokasyon ng iyong mga digital na asset, kabilang ang mga password at impormasyon ng account (secure na mag-imbak ngunit tiyaking naa-access ang mga tagapagmana).
* **Digital Legacy Options:** N"&amp;"ag-aalok ang ilang platform ng mga digital legacy na opsyon na nagbibigay-daan sa iyong magtalaga ng mga benepisyaryo para sa iyong mga online na account. I-explore ang mga ganitong opsyon kung available sa mga platform kung saan may hawak kang mga digita"&amp;"l asset.
* **Isaalang-alang ang Legal na Payo:** Ang isang abogado na dalubhasa sa batas ng teknolohiya ay maaaring magbigay ng gabay sa pinakamahusay na diskarte sa pagpaplano para sa mana ng iyong mga digital na asset na isinasaalang-alang ang mga parti"&amp;"kular na asset na kasangkot at ang kasalukuyang legal na tanawin sa Pilipinas.
**Sa konklusyon,** habang ang pagmamana ng mga digital na asset ay posible sa Pilipinas, mahalagang malaman ang mga hamon at gumawa ng mga hakbang upang magplano para sa maayos"&amp;" na paglipat sa iyong mga tagapagmana. Ang pakikipag-usap sa mga tagapagmana, pagtuklas ng mga opsyon sa digital na legacy na inaalok ng mga platform, at pagkonsulta sa isang abogado ay makakatulong na matiyak na ang iyong mga digital na asset ay pinangan"&amp;"gasiwaan ayon sa iyong mga kagustuhan pagkatapos mong mawala.")</f>
        <v>Ang pagmamana ng mga digital na asset sa Pilipinas ay medyo bagong konsepto, at ang legal na tanawin ay patuloy pa rin sa pag-unlad. Gayunpaman, narito ang alam natin sa ngayon:
**Mga Mamanahin na Digital Asset:**
* Sa pangkalahatan, ang **mga digital na asset na ganap mong pagmamay-ari at maaaring ilipat** ay maaaring mamana. Maaaring kabilang dito ang:
* **Cryptocurrency** (gaya ng Bitcoin o Ethereum)
* **Non-fungible token (NFTs)**
* **Mga digital na file** (tulad ng musika, mga larawan, o mga dokumento) - ang mga karapatan sa mana ay maaaring depende sa pagmamay-ari ng copyright
* **Mga domain name**
* **Mga online na account na may mga pondo** (hal., PayPal, online store credit) - depende sa mga tuntunin ng serbisyo ng platform
**Mga Hamon sa Pamana:**
* **Kakulangan ng Malinaw na Batas:** Sa kasalukuyan ay walang mga partikular na batas sa Pilipinas na tahasang tumutugon sa pagmamana ng mga digital na asset. Maaari itong lumikha ng kawalan ng katiyakan tungkol sa paglipat ng pagmamay-ari pagkatapos ng kamatayan.
* **Mga Tuntunin ng Mga Paghihigpit sa Serbisyo:** Maraming online na platform at service provider ang may mga tuntunin ng serbisyo (TOS) na maaaring limitahan ang mga karapatan sa mana o pag-access sa account kapag namatay ang user. Mahalagang suriin ang TOS ng mga nauugnay na platform upang maunawaan ang kanilang mga patakaran tungkol sa mana. * **Accessibility ng Digital Assets:** Ang mga digital asset ay maaaring naka-store sa iba't ibang device o platform, at ang access ay maaaring mangailangan ng mga password o pribadong key. Kung walang wastong pagpaplano, maaaring mahihirapan ang mga tagapagmana sa pag-access o pagmamana ng mga asset na ito.
**Pagpaplano para sa Digital Asset Inheritance:**
* **Makipag-ugnayan sa Mga Tagapagmana:** Ipaalam sa iyong mga tagapagmana ang tungkol sa pagkakaroon at lokasyon ng iyong mga digital na asset, kabilang ang mga password at impormasyon ng account (secure na mag-imbak ngunit tiyaking naa-access ang mga tagapagmana).
* **Digital Legacy Options:** Nag-aalok ang ilang platform ng mga digital legacy na opsyon na nagbibigay-daan sa iyong magtalaga ng mga benepisyaryo para sa iyong mga online na account. I-explore ang mga ganitong opsyon kung available sa mga platform kung saan may hawak kang mga digital asset.
* **Isaalang-alang ang Legal na Payo:** Ang isang abogado na dalubhasa sa batas ng teknolohiya ay maaaring magbigay ng gabay sa pinakamahusay na diskarte sa pagpaplano para sa mana ng iyong mga digital na asset na isinasaalang-alang ang mga partikular na asset na kasangkot at ang kasalukuyang legal na tanawin sa Pilipinas.
**Sa konklusyon,** habang ang pagmamana ng mga digital na asset ay posible sa Pilipinas, mahalagang malaman ang mga hamon at gumawa ng mga hakbang upang magplano para sa maayos na paglipat sa iyong mga tagapagmana. Ang pakikipag-usap sa mga tagapagmana, pagtuklas ng mga opsyon sa digital na legacy na inaalok ng mga platform, at pagkonsulta sa isang abogado ay makakatulong na matiyak na ang iyong mga digital na asset ay pinangangasiwaan ayon sa iyong mga kagustuhan pagkatapos mong mawala.</v>
      </c>
      <c r="F562" s="2">
        <f t="shared" si="1"/>
        <v>0</v>
      </c>
      <c r="G562" s="2"/>
      <c r="H562" s="2"/>
      <c r="I562" s="2"/>
      <c r="J562" s="2"/>
      <c r="K562" s="2"/>
      <c r="L562" s="2"/>
      <c r="M562" s="2"/>
      <c r="N562" s="2"/>
      <c r="O562" s="2"/>
      <c r="P562" s="2"/>
      <c r="Q562" s="2"/>
      <c r="R562" s="2"/>
      <c r="S562" s="2"/>
      <c r="T562" s="2"/>
      <c r="U562" s="2"/>
      <c r="V562" s="2"/>
      <c r="W562" s="2"/>
      <c r="X562" s="2"/>
      <c r="Y562" s="2"/>
      <c r="Z562" s="2"/>
      <c r="AA562" s="2"/>
    </row>
    <row r="563">
      <c r="A563" s="1" t="s">
        <v>1224</v>
      </c>
      <c r="B563" s="1" t="s">
        <v>1904</v>
      </c>
      <c r="C563" s="1" t="s">
        <v>1905</v>
      </c>
      <c r="D563" s="1" t="s">
        <v>1906</v>
      </c>
      <c r="E563" s="2" t="str">
        <f>IFERROR(__xludf.DUMMYFUNCTION("GOOGLETRANSLATE(C563, ""en"", ""TL"")"),"Sa mga kaso ng mana na kinasasangkutan ng mga menor de edad sa Pilipinas, gumaganap ang isang guardian ad litem (GAL) ng mahalagang papel sa pagprotekta sa mga legal na karapatan at interes ng menor de edad. Narito ang isang breakdown ng kanilang mga resp"&amp;"onsibilidad:
**Representasyon sa Mga Pamamaraan ng Korte:**
* Isang guardian ad litem ang kumikilos bilang legal na kinatawan ng menor de edad sa korte sa panahon ng mga kaso ng mana. Maaaring kabilang dito ang mga sitwasyon tulad ng:
* Probate proceeding"&amp;"s para ayusin ang ari-arian ng namatay kung ang menor de edad ay benepisyaryo.
* Mga pagtatalo na nagmumula tungkol sa bisa ng isang testamento o mga karapatan sa mana.
* Tinitiyak ng GAL na ang mga interes ng menor de edad ay isinasaalang-alang at ipinak"&amp;"ita sa buong legal na proseso.
**Pagsisiyasat sa Pinakamahuhusay na Interes ng Menor:**
* Ang GAL ay may pananagutan na siyasatin ang sitwasyon ng mana at tukuyin kung ano ang tunay na kumakatawan sa pinakamahusay na interes ng menor de edad. Maaaring kab"&amp;"ilang dito ang:
* Pagsusuri sa mga tuntunin ng isang testamento (kung naaangkop).
* Pagsusuri sa halaga at komposisyon ng mana.
* Isinasaalang-alang ang mga potensyal na implikasyon sa buwis na nauugnay sa mana.
* Batay sa kanilang imbestigasyon, ang GAL "&amp;"ay gumagawa ng mga rekomendasyon sa korte tungkol sa kung paano dapat pangasiwaan ang mana para makinabang ang menor de edad.
**Malayang Kinatawan:**
* Napakahalagang maunawaan na ang GAL ay kumikilos nang nakapag-iisa at para lamang sa kapakinabangan ng "&amp;"menor de edad. Hindi nila kinakatawan ang mga interes ng mga magulang o iba pang miyembro ng pamilya.
* Kahit na ang mga magulang ay may kustodiya ng menor de edad, ang GAL ay may tungkulin na tiyakin na ang mana ay pinangangasiwaan at napreserba hanggang"&amp;" ang menor de edad ay umabot sa legal na edad (18 sa Pilipinas).
**Sino ang Nagtalaga ng Tagapangalaga na Ad Litem?**
* Ang hukuman ay karaniwang nagtatalaga ng guardian ad litem sa panahon ng probate proceedings o kapag hiniling ng isang partidong sangko"&amp;"t sa inheritance case.
* Sa karamihan ng mga kaso, ang hukuman ay nagtatalaga ng isang kwalipikadong abogado bilang tagapag-alaga ng ad litem dahil sa mga legal na kumplikadong kasangkot sa mga usapin sa mana.
**Mga Karagdagang Pagsasaalang-alang:**
* Ang"&amp;" mga bayarin na nauugnay sa guardian ad litem ay karaniwang binabayaran mula sa ari-arian ng namatay.
* Mahalagang tandaan na ang isang tagapag-alaga na ad litem para sa mga kaso ng mana ay naiiba sa isang legal na tagapag-alaga na itinalaga upang pangala"&amp;"gaan ang pang-araw-araw na pangangailangan at kapakanan ng isang menor de edad.
**Sa konklusyon,** ang isang guardian ad litem ay gumaganap ng mahalagang papel sa mga kaso ng inheritance na kinasasangkutan ng mga menor de edad sa pamamagitan ng pagprotekt"&amp;"a sa kanilang mga legal na karapatan at pagtiyak na ang kanilang mana ay pinangangasiwaan sa kanilang pinakamahusay na interes sa buong legal na proseso.")</f>
        <v>Sa mga kaso ng mana na kinasasangkutan ng mga menor de edad sa Pilipinas, gumaganap ang isang guardian ad litem (GAL) ng mahalagang papel sa pagprotekta sa mga legal na karapatan at interes ng menor de edad. Narito ang isang breakdown ng kanilang mga responsibilidad:
**Representasyon sa Mga Pamamaraan ng Korte:**
* Isang guardian ad litem ang kumikilos bilang legal na kinatawan ng menor de edad sa korte sa panahon ng mga kaso ng mana. Maaaring kabilang dito ang mga sitwasyon tulad ng:
* Probate proceedings para ayusin ang ari-arian ng namatay kung ang menor de edad ay benepisyaryo.
* Mga pagtatalo na nagmumula tungkol sa bisa ng isang testamento o mga karapatan sa mana.
* Tinitiyak ng GAL na ang mga interes ng menor de edad ay isinasaalang-alang at ipinakita sa buong legal na proseso.
**Pagsisiyasat sa Pinakamahuhusay na Interes ng Menor:**
* Ang GAL ay may pananagutan na siyasatin ang sitwasyon ng mana at tukuyin kung ano ang tunay na kumakatawan sa pinakamahusay na interes ng menor de edad. Maaaring kabilang dito ang:
* Pagsusuri sa mga tuntunin ng isang testamento (kung naaangkop).
* Pagsusuri sa halaga at komposisyon ng mana.
* Isinasaalang-alang ang mga potensyal na implikasyon sa buwis na nauugnay sa mana.
* Batay sa kanilang imbestigasyon, ang GAL ay gumagawa ng mga rekomendasyon sa korte tungkol sa kung paano dapat pangasiwaan ang mana para makinabang ang menor de edad.
**Malayang Kinatawan:**
* Napakahalagang maunawaan na ang GAL ay kumikilos nang nakapag-iisa at para lamang sa kapakinabangan ng menor de edad. Hindi nila kinakatawan ang mga interes ng mga magulang o iba pang miyembro ng pamilya.
* Kahit na ang mga magulang ay may kustodiya ng menor de edad, ang GAL ay may tungkulin na tiyakin na ang mana ay pinangangasiwaan at napreserba hanggang ang menor de edad ay umabot sa legal na edad (18 sa Pilipinas).
**Sino ang Nagtalaga ng Tagapangalaga na Ad Litem?**
* Ang hukuman ay karaniwang nagtatalaga ng guardian ad litem sa panahon ng probate proceedings o kapag hiniling ng isang partidong sangkot sa inheritance case.
* Sa karamihan ng mga kaso, ang hukuman ay nagtatalaga ng isang kwalipikadong abogado bilang tagapag-alaga ng ad litem dahil sa mga legal na kumplikadong kasangkot sa mga usapin sa mana.
**Mga Karagdagang Pagsasaalang-alang:**
* Ang mga bayarin na nauugnay sa guardian ad litem ay karaniwang binabayaran mula sa ari-arian ng namatay.
* Mahalagang tandaan na ang isang tagapag-alaga na ad litem para sa mga kaso ng mana ay naiiba sa isang legal na tagapag-alaga na itinalaga upang pangalagaan ang pang-araw-araw na pangangailangan at kapakanan ng isang menor de edad.
**Sa konklusyon,** ang isang guardian ad litem ay gumaganap ng mahalagang papel sa mga kaso ng inheritance na kinasasangkutan ng mga menor de edad sa pamamagitan ng pagprotekta sa kanilang mga legal na karapatan at pagtiyak na ang kanilang mana ay pinangangasiwaan sa kanilang pinakamahusay na interes sa buong legal na proseso.</v>
      </c>
      <c r="F563" s="2">
        <f t="shared" si="1"/>
        <v>0</v>
      </c>
      <c r="G563" s="2"/>
      <c r="H563" s="2"/>
      <c r="I563" s="2"/>
      <c r="J563" s="2"/>
      <c r="K563" s="2"/>
      <c r="L563" s="2"/>
      <c r="M563" s="2"/>
      <c r="N563" s="2"/>
      <c r="O563" s="2"/>
      <c r="P563" s="2"/>
      <c r="Q563" s="2"/>
      <c r="R563" s="2"/>
      <c r="S563" s="2"/>
      <c r="T563" s="2"/>
      <c r="U563" s="2"/>
      <c r="V563" s="2"/>
      <c r="W563" s="2"/>
      <c r="X563" s="2"/>
      <c r="Y563" s="2"/>
      <c r="Z563" s="2"/>
      <c r="AA563" s="2"/>
    </row>
    <row r="564">
      <c r="A564" s="1" t="s">
        <v>1224</v>
      </c>
      <c r="B564" s="1" t="s">
        <v>1907</v>
      </c>
      <c r="C564" s="1" t="s">
        <v>1908</v>
      </c>
      <c r="D564" s="1" t="s">
        <v>1909</v>
      </c>
      <c r="E564" s="2" t="str">
        <f>IFERROR(__xludf.DUMMYFUNCTION("GOOGLETRANSLATE(C564, ""en"", ""TL"")"),"Oo, sa Pilipinas, ang pamana ay maaaring hamunin batay sa kawalan ng kakayahan sa pag-iisip ng namatay sa oras na nilikha nila ang kanilang kalooban. Narito ang isang breakdown ng mga pangunahing punto:
* **Testamentary Capacity:** Ito ay tumutukoy sa men"&amp;"tal na kakayahan ng isang tao na maunawaan ang kalikasan at mga kahihinatnan ng paglikha ng isang kalooban. Ang testator (taong gumagawa ng testamento) ay dapat na matino kapag nilagdaan nila ang testamento.
* **Grounds for Challenge:** Kung may ebidensya"&amp;"ng nagmumungkahi na ang testator ay kulang sa testamentary capacity dahil sa sakit sa pag-iisip, dementia, matinding pagkalasing, o hindi nararapat na impluwensya, maaaring labanan ng isang benepisyaryo (o potensyal na tagapagmana) ang kalooban sa korte.
"&amp;"* **Burden of Proof:** Ang taong humahamon sa kalooban (contestant) ay may pasanin ng patunay. Kailangan nilang magpakita ng nakakumbinsi na ebidensya upang ipakita ang kawalan ng kakayahan sa pag-iisip ng testator sa oras na nilagdaan ang testamento.
* *"&amp;"*Ebidensya para sa Hamon:** Ang mga medikal na rekord, mga testimonya ng saksi tungkol sa kalagayan ng pag-iisip ng testator, at mga hindi pagkakapare-pareho sa loob ng testamento mismo ay maaaring gamitin bilang ebidensya para sa isang hamon.
**Narito an"&amp;"g isang talahanayan na nagbubuod sa mga pangunahing punto:**
| Aspeto | Impormasyon |
|---|---|
| Legal na Batayan | Kakulangan ng testamentary capacity |
| Sino ang Maaaring Hamunin | Benepisyaryo (o potensyal na tagapagmana) |
| Pasanin ng Patunay | Kas"&amp;"inungalingan sa contestant |
| Mga Uri ng Katibayan | Mga rekord ng medikal, patotoo ng mga saksi, hindi pagkakatugma sa kalooban |
**Mahahalagang Pagsasaalang-alang:**
* **Mga Limitasyon sa Oras:** May mga limitasyon sa oras para sa pakikipaglaban sa isa"&amp;"ng testamento sa Pilipinas. Ang pagkonsulta sa isang abogado ay mahalaga upang maunawaan ang partikular na takdang panahon na naaangkop sa iyong sitwasyon.
* **Pagiging Kumplikado ng Mga Kaso:** Ang paghamon sa isang testamento batay sa kawalan ng kakayah"&amp;"an sa pag-iisip ay maaaring maging kumplikado at may kasamang patotoo ng ekspertong saksi (hal., mga doktor). Ang pagkonsulta sa isang abogado na nag-specialize sa paglilitis sa ari-arian ay lubos na inirerekomenda upang mabisang mag-navigate sa legal na "&amp;"proseso.
* **Alternatibong Resolusyon sa Di-pagkakasundo:** Sa ilang mga kaso, ang alternatibong paglutas ng di-pagkakasundo (ADR) gaya ng pamamagitan ay maaaring tuklasin upang magkaroon ng kasunduan sa pagitan ng mga lumalaban na partido sa labas ng huk"&amp;"uman.
**Sa konklusyon,** habang ang paghamon sa isang testamento batay sa mental incapacity ay posible, ito ay nangangailangan ng pagtugon sa mga partikular na pamantayan at pagbibigay ng sapat na ebidensya. Ang pagkonsulta sa isang abogadong may karanasa"&amp;"n sa paglilitis sa ari-arian ay maaaring magbigay ng mahalagang gabay sa pagiging posible ng isang hamon at ang mga hakbang na kasangkot sa proseso.")</f>
        <v>Oo, sa Pilipinas, ang pamana ay maaaring hamunin batay sa kawalan ng kakayahan sa pag-iisip ng namatay sa oras na nilikha nila ang kanilang kalooban. Narito ang isang breakdown ng mga pangunahing punto:
* **Testamentary Capacity:** Ito ay tumutukoy sa mental na kakayahan ng isang tao na maunawaan ang kalikasan at mga kahihinatnan ng paglikha ng isang kalooban. Ang testator (taong gumagawa ng testamento) ay dapat na matino kapag nilagdaan nila ang testamento.
* **Grounds for Challenge:** Kung may ebidensyang nagmumungkahi na ang testator ay kulang sa testamentary capacity dahil sa sakit sa pag-iisip, dementia, matinding pagkalasing, o hindi nararapat na impluwensya, maaaring labanan ng isang benepisyaryo (o potensyal na tagapagmana) ang kalooban sa korte.
* **Burden of Proof:** Ang taong humahamon sa kalooban (contestant) ay may pasanin ng patunay. Kailangan nilang magpakita ng nakakumbinsi na ebidensya upang ipakita ang kawalan ng kakayahan sa pag-iisip ng testator sa oras na nilagdaan ang testamento.
* **Ebidensya para sa Hamon:** Ang mga medikal na rekord, mga testimonya ng saksi tungkol sa kalagayan ng pag-iisip ng testator, at mga hindi pagkakapare-pareho sa loob ng testamento mismo ay maaaring gamitin bilang ebidensya para sa isang hamon.
**Narito ang isang talahanayan na nagbubuod sa mga pangunahing punto:**
| Aspeto | Impormasyon |
|---|---|
| Legal na Batayan | Kakulangan ng testamentary capacity |
| Sino ang Maaaring Hamunin | Benepisyaryo (o potensyal na tagapagmana) |
| Pasanin ng Patunay | Kasinungalingan sa contestant |
| Mga Uri ng Katibayan | Mga rekord ng medikal, patotoo ng mga saksi, hindi pagkakatugma sa kalooban |
**Mahahalagang Pagsasaalang-alang:**
* **Mga Limitasyon sa Oras:** May mga limitasyon sa oras para sa pakikipaglaban sa isang testamento sa Pilipinas. Ang pagkonsulta sa isang abogado ay mahalaga upang maunawaan ang partikular na takdang panahon na naaangkop sa iyong sitwasyon.
* **Pagiging Kumplikado ng Mga Kaso:** Ang paghamon sa isang testamento batay sa kawalan ng kakayahan sa pag-iisip ay maaaring maging kumplikado at may kasamang patotoo ng ekspertong saksi (hal., mga doktor). Ang pagkonsulta sa isang abogado na nag-specialize sa paglilitis sa ari-arian ay lubos na inirerekomenda upang mabisang mag-navigate sa legal na proseso.
* **Alternatibong Resolusyon sa Di-pagkakasundo:** Sa ilang mga kaso, ang alternatibong paglutas ng di-pagkakasundo (ADR) gaya ng pamamagitan ay maaaring tuklasin upang magkaroon ng kasunduan sa pagitan ng mga lumalaban na partido sa labas ng hukuman.
**Sa konklusyon,** habang ang paghamon sa isang testamento batay sa mental incapacity ay posible, ito ay nangangailangan ng pagtugon sa mga partikular na pamantayan at pagbibigay ng sapat na ebidensya. Ang pagkonsulta sa isang abogadong may karanasan sa paglilitis sa ari-arian ay maaaring magbigay ng mahalagang gabay sa pagiging posible ng isang hamon at ang mga hakbang na kasangkot sa proseso.</v>
      </c>
      <c r="F564" s="2">
        <f t="shared" si="1"/>
        <v>0</v>
      </c>
      <c r="G564" s="2"/>
      <c r="H564" s="2"/>
      <c r="I564" s="2"/>
      <c r="J564" s="2"/>
      <c r="K564" s="2"/>
      <c r="L564" s="2"/>
      <c r="M564" s="2"/>
      <c r="N564" s="2"/>
      <c r="O564" s="2"/>
      <c r="P564" s="2"/>
      <c r="Q564" s="2"/>
      <c r="R564" s="2"/>
      <c r="S564" s="2"/>
      <c r="T564" s="2"/>
      <c r="U564" s="2"/>
      <c r="V564" s="2"/>
      <c r="W564" s="2"/>
      <c r="X564" s="2"/>
      <c r="Y564" s="2"/>
      <c r="Z564" s="2"/>
      <c r="AA564" s="2"/>
    </row>
    <row r="565">
      <c r="A565" s="1" t="s">
        <v>1224</v>
      </c>
      <c r="B565" s="1" t="s">
        <v>1910</v>
      </c>
      <c r="C565" s="1" t="s">
        <v>1911</v>
      </c>
      <c r="D565" s="1" t="s">
        <v>1912</v>
      </c>
      <c r="E565" s="2" t="str">
        <f>IFERROR(__xludf.DUMMYFUNCTION("GOOGLETRANSLATE(C565, ""en"", ""TL"")"),"Narito kung paano pinangangasiwaan ang mga retirement account sa proseso ng mana sa Pilipinas:
**Ang Pagtatalaga ng Makikinabang ay Susi:**
* Kapag may nagbukas ng retirement account (hal., SSS, GSIS, Pag-IBIG MP2), karaniwang kinakailangan silang magtala"&amp;"ga ng mga benepisyaryo. * Ang mga benepisyaryo na ito ay nagmamana ng natitirang balanse sa account sa pagkamatay ng may-ari ng account. * **Ang pagkakaroon ng itinalagang benepisyaryo ay mahalaga upang maiwasan ang account na dumaan sa probate**, na maaa"&amp;"ring maging isang mahaba at magastos na proseso.
**Ano ang Mangyayari kung Walang Itinalagang Benepisyaryo?**
* Kung walang itinalagang benepisyaryo, o namatay ang itinalagang benepisyaryo, maaaring mangyari ang mga sumusunod:
* Ang payout ay maaaring ipa"&amp;"mahagi ayon sa mga batas ng intestacy (kung ang namatay ay walang testamento). Ito ay maaaring may kasamang masalimuot na proseso ng pagtukoy ng mga legal na tagapagmana at paghahati ng payout sa kanila.
* Ang institusyon ng pagreretiro ay maaaring may mg"&amp;"a partikular na tuntunin para sa paghawak ng mga ganitong sitwasyon, na posibleng kinasasangkutan ng pamamahagi sa mga pinakamalapit na kamag-anak.
**Mga Uri ng Mga Benepisyaryo:**
* Maaari kang magtalaga ng isa o maraming pangunahing benepisyaryo.
* Maru"&amp;"nong ding pangalanan ang mga contingent na benepisyaryo kung sakaling maunahan ka ng iyong mga pangunahing benepisyaryo. * Maaari kang pumili ng porsyentong bahagi para sa bawat benepisyaryo o hatiin ang balanse ng account nang pantay-pantay.
**Mga Benepi"&amp;"syo ng Pagtatalaga ng mga Makikinabang:**
* **Mas mabilis at Mas Makinis na Proseso:** Ang pagkakaroon ng benepisyaryo ay nag-iwas sa probate, na nagpapadali sa proseso ng mana para sa iyong mga mahal sa buhay.
* **Control Over Distribution:** Pipiliin mo"&amp;" kung sino ang magmamana ng mga pondo, tinitiyak na mapupunta sila sa iyong mga nilalayong benepisyaryo.
* **Mga Kalamangan sa Buwis (Potensyal):** Depende sa account sa pagreretiro at relasyon ng benepisyaryo, maaaring may ilang mga benepisyo sa buwis sa"&amp;" mga withdrawal para sa mga benepisyaryo. Gayunpaman, inirerekomenda ang pagkonsulta sa isang propesyonal sa buwis para sa mga partikular na detalye.
**Pag-update ng Impormasyon ng Makikinabang:**
* Mahalagang suriin at i-update ang mga pagtatalaga ng iyo"&amp;"ng benepisyaryo sa pana-panahon, lalo na pagkatapos ng mga pangunahing kaganapan sa buhay (kasal, kapanganakan ng mga bata, atbp.).
**Narito ang isang talahanayan na nagbubuod sa mga pangunahing punto:**
| Aspeto | Mahalagang Impormasyon |
|---|---|
| Pag"&amp;"tatalaga ng Benepisyaryo | Mahalaga upang maiwasan ang probate |
| Walang Itinalagang Benepisyaryo | Pamamahagi sa pamamagitan ng mga batas sa intestacy o mga panuntunan ng institusyon |
| Mga Uri ng Benepisyaryo | Pangunahin, Contingent |
| Mga Benepisyo"&amp;" ng Mga Benepisyaryo | Mas mabilis na proseso, kontrol sa pamamahagi, mga potensyal na benepisyo sa buwis |
| Pag-update ng Impormasyon | Regular na suriin at i-update |
**Sa konklusyon,** sa pamamagitan ng pag-unawa kung paano pinangangasiwaan ang mga ac"&amp;"count sa pagreretiro sa Pilipinas at ang kahalagahan ng pagtatalaga ng benepisyaryo, masisiguro mong maayos na maipamahagi ang iyong mga ipon sa pagreretiro at ayon sa iyong kagustuhan pagkatapos mong pumanaw. Ang pagkonsulta sa isang financial advisor o "&amp;"abogado na pamilyar sa mga batas sa mana ay maaaring magbigay ng karagdagang gabay para sa iyong partikular na sitwasyon.")</f>
        <v>Narito kung paano pinangangasiwaan ang mga retirement account sa proseso ng mana sa Pilipinas:
**Ang Pagtatalaga ng Makikinabang ay Susi:**
* Kapag may nagbukas ng retirement account (hal., SSS, GSIS, Pag-IBIG MP2), karaniwang kinakailangan silang magtalaga ng mga benepisyaryo. * Ang mga benepisyaryo na ito ay nagmamana ng natitirang balanse sa account sa pagkamatay ng may-ari ng account. * **Ang pagkakaroon ng itinalagang benepisyaryo ay mahalaga upang maiwasan ang account na dumaan sa probate**, na maaaring maging isang mahaba at magastos na proseso.
**Ano ang Mangyayari kung Walang Itinalagang Benepisyaryo?**
* Kung walang itinalagang benepisyaryo, o namatay ang itinalagang benepisyaryo, maaaring mangyari ang mga sumusunod:
* Ang payout ay maaaring ipamahagi ayon sa mga batas ng intestacy (kung ang namatay ay walang testamento). Ito ay maaaring may kasamang masalimuot na proseso ng pagtukoy ng mga legal na tagapagmana at paghahati ng payout sa kanila.
* Ang institusyon ng pagreretiro ay maaaring may mga partikular na tuntunin para sa paghawak ng mga ganitong sitwasyon, na posibleng kinasasangkutan ng pamamahagi sa mga pinakamalapit na kamag-anak.
**Mga Uri ng Mga Benepisyaryo:**
* Maaari kang magtalaga ng isa o maraming pangunahing benepisyaryo.
* Marunong ding pangalanan ang mga contingent na benepisyaryo kung sakaling maunahan ka ng iyong mga pangunahing benepisyaryo. * Maaari kang pumili ng porsyentong bahagi para sa bawat benepisyaryo o hatiin ang balanse ng account nang pantay-pantay.
**Mga Benepisyo ng Pagtatalaga ng mga Makikinabang:**
* **Mas mabilis at Mas Makinis na Proseso:** Ang pagkakaroon ng benepisyaryo ay nag-iwas sa probate, na nagpapadali sa proseso ng mana para sa iyong mga mahal sa buhay.
* **Control Over Distribution:** Pipiliin mo kung sino ang magmamana ng mga pondo, tinitiyak na mapupunta sila sa iyong mga nilalayong benepisyaryo.
* **Mga Kalamangan sa Buwis (Potensyal):** Depende sa account sa pagreretiro at relasyon ng benepisyaryo, maaaring may ilang mga benepisyo sa buwis sa mga withdrawal para sa mga benepisyaryo. Gayunpaman, inirerekomenda ang pagkonsulta sa isang propesyonal sa buwis para sa mga partikular na detalye.
**Pag-update ng Impormasyon ng Makikinabang:**
* Mahalagang suriin at i-update ang mga pagtatalaga ng iyong benepisyaryo sa pana-panahon, lalo na pagkatapos ng mga pangunahing kaganapan sa buhay (kasal, kapanganakan ng mga bata, atbp.).
**Narito ang isang talahanayan na nagbubuod sa mga pangunahing punto:**
| Aspeto | Mahalagang Impormasyon |
|---|---|
| Pagtatalaga ng Benepisyaryo | Mahalaga upang maiwasan ang probate |
| Walang Itinalagang Benepisyaryo | Pamamahagi sa pamamagitan ng mga batas sa intestacy o mga panuntunan ng institusyon |
| Mga Uri ng Benepisyaryo | Pangunahin, Contingent |
| Mga Benepisyo ng Mga Benepisyaryo | Mas mabilis na proseso, kontrol sa pamamahagi, mga potensyal na benepisyo sa buwis |
| Pag-update ng Impormasyon | Regular na suriin at i-update |
**Sa konklusyon,** sa pamamagitan ng pag-unawa kung paano pinangangasiwaan ang mga account sa pagreretiro sa Pilipinas at ang kahalagahan ng pagtatalaga ng benepisyaryo, masisiguro mong maayos na maipamahagi ang iyong mga ipon sa pagreretiro at ayon sa iyong kagustuhan pagkatapos mong pumanaw. Ang pagkonsulta sa isang financial advisor o abogado na pamilyar sa mga batas sa mana ay maaaring magbigay ng karagdagang gabay para sa iyong partikular na sitwasyon.</v>
      </c>
      <c r="F565" s="2">
        <f t="shared" si="1"/>
        <v>0</v>
      </c>
      <c r="G565" s="2"/>
      <c r="H565" s="2"/>
      <c r="I565" s="2"/>
      <c r="J565" s="2"/>
      <c r="K565" s="2"/>
      <c r="L565" s="2"/>
      <c r="M565" s="2"/>
      <c r="N565" s="2"/>
      <c r="O565" s="2"/>
      <c r="P565" s="2"/>
      <c r="Q565" s="2"/>
      <c r="R565" s="2"/>
      <c r="S565" s="2"/>
      <c r="T565" s="2"/>
      <c r="U565" s="2"/>
      <c r="V565" s="2"/>
      <c r="W565" s="2"/>
      <c r="X565" s="2"/>
      <c r="Y565" s="2"/>
      <c r="Z565" s="2"/>
      <c r="AA565" s="2"/>
    </row>
    <row r="566">
      <c r="A566" s="1" t="s">
        <v>1224</v>
      </c>
      <c r="B566" s="1" t="s">
        <v>1913</v>
      </c>
      <c r="C566" s="1" t="s">
        <v>1914</v>
      </c>
      <c r="D566" s="1" t="s">
        <v>1915</v>
      </c>
      <c r="E566" s="2" t="str">
        <f>IFERROR(__xludf.DUMMYFUNCTION("GOOGLETRANSLATE(C566, ""en"", ""TL"")"),"Sa Pilipinas, ang Medicaid, na kilala rin bilang Philippine Health Insurance Corporation (PhilHealth), sa pangkalahatan ay walang direktang karapatan na mabawi ang mga pondo mula sa mana para sa mga benepisyong ibinibigay sa namatay. Narito kung bakit:
* "&amp;"**Social Health Insurance Program:** Ang PhilHealth ay gumaganap bilang isang social health insurance program. Ang mga kontribusyon ay ibinibigay sa panahon ng trabaho o kusang-loob ng mga miyembro, at ang mga kontribusyong ito ay nagpopondo sa mga benepi"&amp;"syong pangkalusugan para sa mga miyembro.
* **No Clawback Provision:** Hindi tulad ng ilang welfare programs sa ibang mga bansa, ang PhilHealth ay kasalukuyang walang legal na probisyon na nagpapahintulot sa kanila na i-cwback ang mga pondo mula sa ari-ar"&amp;"ian ng isang miyembro upang bayaran ang mga benepisyong natanggap sa kanilang buhay.
**Gayunpaman,** maaaring may mga hindi direktang sitwasyon kung saan maaaring maapektuhan ang mana:
* **Estate Recovery for Long-Term Care:** Bagama't hindi direktang nau"&amp;"ugnay sa PhilHealth, ang gobyerno ng Pilipinas ay may hiwalay na programa para sa mga serbisyong pangmatagalang pangangalaga para sa mga mahihirap na senior citizen. Ang programang ito ay maaaring may mga probisyon sa pagbawi na nagpapahintulot sa pamahal"&amp;"aan na mag-claim ng reimbursement mula sa ari-arian ng namatay na benepisyaryo hanggang sa isang tiyak na halaga para sa mga serbisyong ibinigay. Gayunpaman, nalalapat lamang ito sa mga partikular na sitwasyon at hindi direktang nauugnay sa mga benepisyo "&amp;"ng PhilHealth.
**Mahalagang Tandaan:**
* Maaaring magbago ang PhilHealth at mga patakaran ng gobyerno. Maipapayo na kumunsulta sa isang abogado na dalubhasa sa nakatatanda na batas o mga programa sa kapakanang panlipunan para sa pinakabagong impormasyon t"&amp;"ungkol sa mga potensyal na alalahanin sa pagbawi ng ari-arian.
**Sa konklusyon,** habang ang mana sa pangkalahatan ay hindi napapailalim sa direktang pagbawi ng PhilHealth sa Pilipinas, palaging ipinapayong manatiling may kaalaman tungkol sa mga potensyal"&amp;" na pagbabago sa mga programa ng pamahalaan at humingi ng legal na payo kung mayroon kang mga partikular na alalahanin tungkol sa pagbawi ng ari-arian at mana.")</f>
        <v>Sa Pilipinas, ang Medicaid, na kilala rin bilang Philippine Health Insurance Corporation (PhilHealth), sa pangkalahatan ay walang direktang karapatan na mabawi ang mga pondo mula sa mana para sa mga benepisyong ibinibigay sa namatay. Narito kung bakit:
* **Social Health Insurance Program:** Ang PhilHealth ay gumaganap bilang isang social health insurance program. Ang mga kontribusyon ay ibinibigay sa panahon ng trabaho o kusang-loob ng mga miyembro, at ang mga kontribusyong ito ay nagpopondo sa mga benepisyong pangkalusugan para sa mga miyembro.
* **No Clawback Provision:** Hindi tulad ng ilang welfare programs sa ibang mga bansa, ang PhilHealth ay kasalukuyang walang legal na probisyon na nagpapahintulot sa kanila na i-cwback ang mga pondo mula sa ari-arian ng isang miyembro upang bayaran ang mga benepisyong natanggap sa kanilang buhay.
**Gayunpaman,** maaaring may mga hindi direktang sitwasyon kung saan maaaring maapektuhan ang mana:
* **Estate Recovery for Long-Term Care:** Bagama't hindi direktang nauugnay sa PhilHealth, ang gobyerno ng Pilipinas ay may hiwalay na programa para sa mga serbisyong pangmatagalang pangangalaga para sa mga mahihirap na senior citizen. Ang programang ito ay maaaring may mga probisyon sa pagbawi na nagpapahintulot sa pamahalaan na mag-claim ng reimbursement mula sa ari-arian ng namatay na benepisyaryo hanggang sa isang tiyak na halaga para sa mga serbisyong ibinigay. Gayunpaman, nalalapat lamang ito sa mga partikular na sitwasyon at hindi direktang nauugnay sa mga benepisyo ng PhilHealth.
**Mahalagang Tandaan:**
* Maaaring magbago ang PhilHealth at mga patakaran ng gobyerno. Maipapayo na kumunsulta sa isang abogado na dalubhasa sa nakatatanda na batas o mga programa sa kapakanang panlipunan para sa pinakabagong impormasyon tungkol sa mga potensyal na alalahanin sa pagbawi ng ari-arian.
**Sa konklusyon,** habang ang mana sa pangkalahatan ay hindi napapailalim sa direktang pagbawi ng PhilHealth sa Pilipinas, palaging ipinapayong manatiling may kaalaman tungkol sa mga potensyal na pagbabago sa mga programa ng pamahalaan at humingi ng legal na payo kung mayroon kang mga partikular na alalahanin tungkol sa pagbawi ng ari-arian at mana.</v>
      </c>
      <c r="F566" s="2">
        <f t="shared" si="1"/>
        <v>0</v>
      </c>
      <c r="G566" s="2"/>
      <c r="H566" s="2"/>
      <c r="I566" s="2"/>
      <c r="J566" s="2"/>
      <c r="K566" s="2"/>
      <c r="L566" s="2"/>
      <c r="M566" s="2"/>
      <c r="N566" s="2"/>
      <c r="O566" s="2"/>
      <c r="P566" s="2"/>
      <c r="Q566" s="2"/>
      <c r="R566" s="2"/>
      <c r="S566" s="2"/>
      <c r="T566" s="2"/>
      <c r="U566" s="2"/>
      <c r="V566" s="2"/>
      <c r="W566" s="2"/>
      <c r="X566" s="2"/>
      <c r="Y566" s="2"/>
      <c r="Z566" s="2"/>
      <c r="AA566" s="2"/>
    </row>
    <row r="567">
      <c r="A567" s="1" t="s">
        <v>1224</v>
      </c>
      <c r="B567" s="1" t="s">
        <v>1916</v>
      </c>
      <c r="C567" s="1" t="s">
        <v>1917</v>
      </c>
      <c r="D567" s="1" t="s">
        <v>1918</v>
      </c>
      <c r="E567" s="2" t="str">
        <f>IFERROR(__xludf.DUMMYFUNCTION("GOOGLETRANSLATE(C567, ""en"", ""TL"")"),"Kung kailangan mong harapin ang mana kung saan pumanaw ang namatay sa ibang bansa, ang proseso ay maaaring maging kumplikado at may kinalaman sa maraming hurisdiksyon. Narito ang isang pangkalahatang roadmap upang i-navigate ang sitwasyong ito:
1. **Magta"&amp;"tag ng Legal na Kinatawan:**
* Maghanap ng isang abogado na dalubhasa sa internasyonal na batas ng ari-arian. Maaari silang magpayo sa mga partikular na prosesong kasangkot para sa bansa kung saan naganap ang kamatayan at sa Pilipinas (kung ang mana ay it"&amp;"inuro doon).
2. **Death Certificate at Local Proceedings:**
* Kumuha ng sertipikadong kopya ng death certificate na inisyu ng mga awtoridad sa bansa kung saan nangyari ang kamatayan. Ang dokumentong ito ay magiging mahalaga para sa iba't ibang mga proseso"&amp;"ng administratibo.
* Maaaring may mga lokal na pamamaraan ng mana na dapat sundin sa bansa ng kamatayan. Maaaring gabayan ka ng abogado sa mga kinakailangang ito, na maaaring may kasamang probate o iba pang legal na proseso upang ayusin ang lokal na ari-a"&amp;"rian at ilabas ang mga ari-arian.
3. **Pag-unawa sa Kalooban:**
* Hanapin ang kalooban ng namatay (kung mayroon). Ang testamento ay dapat magbalangkas ng kanilang mga kagustuhan tungkol sa pamamahagi ng asset. Kung ginawa ang testamento sa Pilipinas, maaa"&amp;"ring may bisa rin ito sa ibang bansa, depende sa mga kasunduan sa kasunduan sa pagitan ng dalawang bansa. Ang abogado ay maaaring magpayo sa bisa ng testamento at applicability sa parehong hurisdiksyon.
4. **Pag-imbentaryo ng Mga Asset:**
* Gumawa ng isan"&amp;"g komprehensibong listahan ng lahat ng mga ari-arian ng namatay, kabilang ang lokasyon at tinantyang halaga. Maaaring kabilang dito ang mga bank account, real estate, pamumuhunan, atbp., sa Pilipinas at sa ibang bansa.
5. **Mga Implikasyon sa Buwis:**
* M"&amp;"aaaring may mga implikasyon sa buwis sa mana sa parehong bansa ng kamatayan at sa Pilipinas. Maaaring payuhan ang abogado sa paghahain ng anumang kinakailangang tax return at pagtiyak ng pagsunod sa mga batas sa buwis ng dalawang bansa.
6. **Pamamahagi ng"&amp;" Mana:**
* Kapag natugunan na ang mga legal na kinakailangan at nabayaran na ang mga buwis, maaaring ipamahagi ang mana sa mga benepisyaryo ayon sa mga batas sa kalooban o kawalan ng katiyakan (kung walang valid na will). Maaaring kabilang dito ang paglil"&amp;"ipat ng mga pondo sa pagitan ng mga bansa, na maaaring may nauugnay na mga halaga ng palitan ng pera at mga bayarin sa pagbabangko. Maaaring gabayan ka ng abogado sa pamamagitan ng mga pinaka-epektibo at cost-effective na pamamaraan para sa pamamahagi ng "&amp;"mana.
**Mga Karagdagang Pagsasaalang-alang:**
* **Timeframe:** Ang pagresolba ng international inheritance ay maaaring mas matagal kaysa sa domestic case. Maging handa para sa isang mahabang proseso na kinasasangkutan ng komunikasyon sa pagitan ng mga abo"&amp;"gado sa iba't ibang bansa.
* **Pagiging kumplikado:** Ang mga partikular na hakbang na kasangkot ay maaaring mag-iba depende sa mga bansang kasangkot, ang pagiging kumplikado ng ari-arian, at ang pagkakaroon ng isang testamento.
* **Mga Pagkakaiba sa Kult"&amp;"ura:** Ang mga batas at kaugalian sa mana ay maaaring magkaiba sa pagitan ng mga bansa. Ang pag-unawa sa mga pagkakaibang ito ay makakatulong na maiwasan ang mga hindi pagkakaunawaan at pagkaantala.
**Tandaan,** ang pagkonsulta sa isang abugado na dalubha"&amp;"sa sa internasyonal na batas ng ari-arian ay napakahalaga upang ma-navigate ang mga kumplikado ng mana kapag ang namatay ay pumanaw sa ibang bansa. Maaari ka nilang gabayan sa mga legal na proseso, tiyakin ang pagsunod sa mga nauugnay na batas sa parehong"&amp;" bansa, at tulungan kang ipamahagi ang mana nang mahusay at tama.")</f>
        <v>Kung kailangan mong harapin ang mana kung saan pumanaw ang namatay sa ibang bansa, ang proseso ay maaaring maging kumplikado at may kinalaman sa maraming hurisdiksyon. Narito ang isang pangkalahatang roadmap upang i-navigate ang sitwasyong ito:
1. **Magtatag ng Legal na Kinatawan:**
* Maghanap ng isang abogado na dalubhasa sa internasyonal na batas ng ari-arian. Maaari silang magpayo sa mga partikular na prosesong kasangkot para sa bansa kung saan naganap ang kamatayan at sa Pilipinas (kung ang mana ay itinuro doon).
2. **Death Certificate at Local Proceedings:**
* Kumuha ng sertipikadong kopya ng death certificate na inisyu ng mga awtoridad sa bansa kung saan nangyari ang kamatayan. Ang dokumentong ito ay magiging mahalaga para sa iba't ibang mga prosesong administratibo.
* Maaaring may mga lokal na pamamaraan ng mana na dapat sundin sa bansa ng kamatayan. Maaaring gabayan ka ng abogado sa mga kinakailangang ito, na maaaring may kasamang probate o iba pang legal na proseso upang ayusin ang lokal na ari-arian at ilabas ang mga ari-arian.
3. **Pag-unawa sa Kalooban:**
* Hanapin ang kalooban ng namatay (kung mayroon). Ang testamento ay dapat magbalangkas ng kanilang mga kagustuhan tungkol sa pamamahagi ng asset. Kung ginawa ang testamento sa Pilipinas, maaaring may bisa rin ito sa ibang bansa, depende sa mga kasunduan sa kasunduan sa pagitan ng dalawang bansa. Ang abogado ay maaaring magpayo sa bisa ng testamento at applicability sa parehong hurisdiksyon.
4. **Pag-imbentaryo ng Mga Asset:**
* Gumawa ng isang komprehensibong listahan ng lahat ng mga ari-arian ng namatay, kabilang ang lokasyon at tinantyang halaga. Maaaring kabilang dito ang mga bank account, real estate, pamumuhunan, atbp., sa Pilipinas at sa ibang bansa.
5. **Mga Implikasyon sa Buwis:**
* Maaaring may mga implikasyon sa buwis sa mana sa parehong bansa ng kamatayan at sa Pilipinas. Maaaring payuhan ang abogado sa paghahain ng anumang kinakailangang tax return at pagtiyak ng pagsunod sa mga batas sa buwis ng dalawang bansa.
6. **Pamamahagi ng Mana:**
* Kapag natugunan na ang mga legal na kinakailangan at nabayaran na ang mga buwis, maaaring ipamahagi ang mana sa mga benepisyaryo ayon sa mga batas sa kalooban o kawalan ng katiyakan (kung walang valid na will). Maaaring kabilang dito ang paglilipat ng mga pondo sa pagitan ng mga bansa, na maaaring may nauugnay na mga halaga ng palitan ng pera at mga bayarin sa pagbabangko. Maaaring gabayan ka ng abogado sa pamamagitan ng mga pinaka-epektibo at cost-effective na pamamaraan para sa pamamahagi ng mana.
**Mga Karagdagang Pagsasaalang-alang:**
* **Timeframe:** Ang pagresolba ng international inheritance ay maaaring mas matagal kaysa sa domestic case. Maging handa para sa isang mahabang proseso na kinasasangkutan ng komunikasyon sa pagitan ng mga abogado sa iba't ibang bansa.
* **Pagiging kumplikado:** Ang mga partikular na hakbang na kasangkot ay maaaring mag-iba depende sa mga bansang kasangkot, ang pagiging kumplikado ng ari-arian, at ang pagkakaroon ng isang testamento.
* **Mga Pagkakaiba sa Kultura:** Ang mga batas at kaugalian sa mana ay maaaring magkaiba sa pagitan ng mga bansa. Ang pag-unawa sa mga pagkakaibang ito ay makakatulong na maiwasan ang mga hindi pagkakaunawaan at pagkaantala.
**Tandaan,** ang pagkonsulta sa isang abugado na dalubhasa sa internasyonal na batas ng ari-arian ay napakahalaga upang ma-navigate ang mga kumplikado ng mana kapag ang namatay ay pumanaw sa ibang bansa. Maaari ka nilang gabayan sa mga legal na proseso, tiyakin ang pagsunod sa mga nauugnay na batas sa parehong bansa, at tulungan kang ipamahagi ang mana nang mahusay at tama.</v>
      </c>
      <c r="F567" s="2">
        <f t="shared" si="1"/>
        <v>0</v>
      </c>
      <c r="G567" s="2"/>
      <c r="H567" s="2"/>
      <c r="I567" s="2"/>
      <c r="J567" s="2"/>
      <c r="K567" s="2"/>
      <c r="L567" s="2"/>
      <c r="M567" s="2"/>
      <c r="N567" s="2"/>
      <c r="O567" s="2"/>
      <c r="P567" s="2"/>
      <c r="Q567" s="2"/>
      <c r="R567" s="2"/>
      <c r="S567" s="2"/>
      <c r="T567" s="2"/>
      <c r="U567" s="2"/>
      <c r="V567" s="2"/>
      <c r="W567" s="2"/>
      <c r="X567" s="2"/>
      <c r="Y567" s="2"/>
      <c r="Z567" s="2"/>
      <c r="AA567" s="2"/>
    </row>
    <row r="568">
      <c r="A568" s="1" t="s">
        <v>1224</v>
      </c>
      <c r="B568" s="1" t="s">
        <v>1919</v>
      </c>
      <c r="C568" s="1" t="s">
        <v>1920</v>
      </c>
      <c r="D568" s="1" t="s">
        <v>1921</v>
      </c>
      <c r="E568" s="2" t="str">
        <f>IFERROR(__xludf.DUMMYFUNCTION("GOOGLETRANSLATE(C568, ""en"", ""TL"")"),"Ang Pilipinas talaga **walang inheritance tax**. Maaaring magkaroon ng ilang pagkalito dahil ang terminong ""inheritance tax"" ay minsang ginagamit nang palitan ng ""estate tax"" sa mga pangkalahatang talakayan. Gayunpaman, narito ang isang breakdown ng p"&amp;"angunahing pagkakaiba:
* **Inheritance Tax:** Ang isang inheritance tax ay ipinapataw sa halaga ng mga asset na natanggap ng bawat indibidwal na benepisyaryo na nagmamana mula sa isang ari-arian. Maaaring mag-iba ang rate ng buwis depende sa kaugnayan ng "&amp;"benepisyaryo sa namatay at sa halagang kanilang minana.
* **Estate Tax:** Ang estate tax ay sinisingil sa kabuuang halaga ng ari-arian ng namatay bago ito ipamahagi sa mga benepisyaryo. Sa Pilipinas, mayroong **rate ng buwis sa flat estate na 6%** na inil"&amp;"apat sa halaga ng netong ari-arian (kabuuang mga asset na binawasan ng mga pinapayagang pagbabawas).
Narito ang isang talahanayan na nagbubuod sa pangunahing pagkakaiba:
| Uri ng Buwis | Nalalapat Sa | Rate |
|---|---|---|
| Inheritance Tax | Halaga ng mg"&amp;"a asset na natanggap ng BAWAT benepisyaryo | Nag-iiba depende sa benepisyaryo at halaga ng mana (Pilipinas - Wala) |
| Buwis sa Estate | Kabuuang halaga ng ari-arian ng NAMATAY | Flat rate (Philippines - 6% ng net estate value) |
**Mga Karagdagang Punto:*"&amp;"*
* Ang Pilipinas ay may stamp tax na 10% na ipinapataw sa ""gratuitous acquisition of goods by individuals,"" na maaaring ilapat sa mana at mga regalo. Gayunpaman, ito ay isang beses na buwis sa pagkuha mismo, hindi progresibong pagbubuwis batay sa halag"&amp;"a ng mana tulad ng isang tunay na buwis sa mana.
* Ang ilang mga bansa ay may parehong inheritance tax at estate tax. Ang mga nuances ng inheritance taxation ay maaaring mag-iba nang malaki depende sa mga partikular na batas sa buwis ng bansa.
**Sa konklu"&amp;"syon,** ang pag-unawa sa pagkakaiba sa pagitan ng inheritance tax at estate tax ay napakahalaga. Ang Pilipinas ay kasalukuyang mayroon lamang estate tax system, ibig sabihin, ang mga tagapagmana ay nagmamana nang walang karagdagang pagbubuwis batay sa kan"&amp;"ilang halaga ng mana. May stamp tax na nauugnay sa inheritance, ngunit ito ay flat fee, hindi progressive taxation tulad ng isang tunay na inheritance tax.")</f>
        <v>Ang Pilipinas talaga **walang inheritance tax**. Maaaring magkaroon ng ilang pagkalito dahil ang terminong "inheritance tax" ay minsang ginagamit nang palitan ng "estate tax" sa mga pangkalahatang talakayan. Gayunpaman, narito ang isang breakdown ng pangunahing pagkakaiba:
* **Inheritance Tax:** Ang isang inheritance tax ay ipinapataw sa halaga ng mga asset na natanggap ng bawat indibidwal na benepisyaryo na nagmamana mula sa isang ari-arian. Maaaring mag-iba ang rate ng buwis depende sa kaugnayan ng benepisyaryo sa namatay at sa halagang kanilang minana.
* **Estate Tax:** Ang estate tax ay sinisingil sa kabuuang halaga ng ari-arian ng namatay bago ito ipamahagi sa mga benepisyaryo. Sa Pilipinas, mayroong **rate ng buwis sa flat estate na 6%** na inilapat sa halaga ng netong ari-arian (kabuuang mga asset na binawasan ng mga pinapayagang pagbabawas).
Narito ang isang talahanayan na nagbubuod sa pangunahing pagkakaiba:
| Uri ng Buwis | Nalalapat Sa | Rate |
|---|---|---|
| Inheritance Tax | Halaga ng mga asset na natanggap ng BAWAT benepisyaryo | Nag-iiba depende sa benepisyaryo at halaga ng mana (Pilipinas - Wala) |
| Buwis sa Estate | Kabuuang halaga ng ari-arian ng NAMATAY | Flat rate (Philippines - 6% ng net estate value) |
**Mga Karagdagang Punto:**
* Ang Pilipinas ay may stamp tax na 10% na ipinapataw sa "gratuitous acquisition of goods by individuals," na maaaring ilapat sa mana at mga regalo. Gayunpaman, ito ay isang beses na buwis sa pagkuha mismo, hindi progresibong pagbubuwis batay sa halaga ng mana tulad ng isang tunay na buwis sa mana.
* Ang ilang mga bansa ay may parehong inheritance tax at estate tax. Ang mga nuances ng inheritance taxation ay maaaring mag-iba nang malaki depende sa mga partikular na batas sa buwis ng bansa.
**Sa konklusyon,** ang pag-unawa sa pagkakaiba sa pagitan ng inheritance tax at estate tax ay napakahalaga. Ang Pilipinas ay kasalukuyang mayroon lamang estate tax system, ibig sabihin, ang mga tagapagmana ay nagmamana nang walang karagdagang pagbubuwis batay sa kanilang halaga ng mana. May stamp tax na nauugnay sa inheritance, ngunit ito ay flat fee, hindi progressive taxation tulad ng isang tunay na inheritance tax.</v>
      </c>
      <c r="F568" s="2">
        <f t="shared" si="1"/>
        <v>0</v>
      </c>
      <c r="G568" s="2"/>
      <c r="H568" s="2"/>
      <c r="I568" s="2"/>
      <c r="J568" s="2"/>
      <c r="K568" s="2"/>
      <c r="L568" s="2"/>
      <c r="M568" s="2"/>
      <c r="N568" s="2"/>
      <c r="O568" s="2"/>
      <c r="P568" s="2"/>
      <c r="Q568" s="2"/>
      <c r="R568" s="2"/>
      <c r="S568" s="2"/>
      <c r="T568" s="2"/>
      <c r="U568" s="2"/>
      <c r="V568" s="2"/>
      <c r="W568" s="2"/>
      <c r="X568" s="2"/>
      <c r="Y568" s="2"/>
      <c r="Z568" s="2"/>
      <c r="AA568" s="2"/>
    </row>
    <row r="569">
      <c r="A569" s="1" t="s">
        <v>1224</v>
      </c>
      <c r="B569" s="1" t="s">
        <v>1922</v>
      </c>
      <c r="C569" s="1" t="s">
        <v>1923</v>
      </c>
      <c r="D569" s="1" t="s">
        <v>1924</v>
      </c>
      <c r="E569" s="2" t="str">
        <f>IFERROR(__xludf.DUMMYFUNCTION("GOOGLETRANSLATE(C569, ""en"", ""TL"")"),"Sa Pilipinas, may mga limitadong paraan upang ganap na maprotektahan ang mana mula sa mga nagpapautang. Gayunpaman, ang ilang mga diskarte ay maaaring gawing mas mahirap para sa mga nagpapautang na ma-access ang mga minanang asset:
* **Pagtanggap na may B"&amp;"enepisyo vs. Pagtanggap na may Reserbasyon:**
* May opsyon ang mga tagapagmana na tumanggap ng mana na may benepisyo o may reserbasyon. Ang pagtanggap nang may benepisyo ay nangangahulugan ng ganap na pagtanggap sa ari-arian, kabilang ang parehong mga ari"&amp;"-arian at pananagutan. Ang mga nagpapautang ay maaaring potensyal na humabol sa minanang mga ari-arian upang bayaran ang mga utang ng namatay.
* Ang pagtanggap nang may reserbasyon ay nagpapahintulot sa mga tagapagmana na limitahan ang kanilang pananaguta"&amp;"n sa halaga ng minanang mga ari-arian. Ang mga nagpapautang ay hindi maaaring humanap ng mga personal na ari-arian ng mga tagapagmana na lampas sa halaga ng mana. Ang opsyong ito ay nangangailangan ng pagsunod sa mga partikular na legal na pamamaraan sa l"&amp;"oob ng isang tiyak na takdang panahon. Ang pagkonsulta sa isang abogado ay lubos na inirerekomenda para sa tamang gabay.
* **Trusts (Limitadong Paggamit):**
* Bagama't hindi karaniwan sa Pilipinas tulad ng sa ibang mga bansa, ang mga hindi mababawi na tru"&amp;"st ay maaaring mag-alok ng ilang benepisyo sa proteksyon ng asset. Ang mga asset na inilagay sa isang maayos na itinatag na irrevocable trust sa pangkalahatan ay nagiging hiwalay sa estate ng grantor (taong lumikha ng trust) at maaaring protektahan mula s"&amp;"a mga pinagkakautangan ng grantor o ng benepisyaryo (depende sa istraktura ng trust). Gayunpaman, may mga mahigpit na legal na kinakailangan para sa pagtatatag ng mga wastong irrevocable trust, at maaaring hindi angkop ang mga ito para sa lahat ng sitwasy"&amp;"on. Ang pagkonsulta sa isang abogado na dalubhasa sa pagpaplano ng ari-arian at mga pinagkakatiwalaan ay napakahalaga upang tuklasin ang opsyong ito.
* **Maingat na Pamamahagi ng Asset:**
* Kung walang kalooban o ang kalooban ay nagbibigay ng kakayahang u"&amp;"mangkop, ang tagapagpatupad (responsable sa pamamahala ng ari-arian) ay maaaring magbahagi ng mga asset sa madiskarteng paraan. Ang pagbibigay-priyoridad sa pagbabayad ng utang bago ipamahagi ang mga natitirang asset sa mga benepisyaryo ay maaaring mabawa"&amp;"san ang halagang nakalantad sa mga nagpapautang.
**Mahahalagang Pagsasaalang-alang:**
* **Mga Mapanlinlang na Paglipat:** May mga batas laban sa mapanlinlang na paglilipat ng mga ari-arian upang maiwasan ang mga nagpapautang. Anumang mga aksyon na ginawa "&amp;"pangunahin upang maiwasan ang mga nagpapautang ay maaaring hamunin sa korte.
* **Pagpaplano kumpara sa Reaksyon:** Ang mga estratehiya para sa pagprotekta sa mana mula sa mga nagpapautang ay pinakamabisa kapag maagap na ipinatupad sa panahon ng pagpaplano"&amp;" ng ari-arian. Ang pagsisikap na protektahan ang mga ari-arian pagkatapos na maging maliwanag ang mga utang ay maaaring magkaroon ng limitadong tagumpay.
* **Kumonsulta sa isang Abogado:** Ang legal na tanawin tungkol sa mana at mga karapatan ng pinagkaka"&amp;"utangan ay maaaring kumplikado. Ang pagkonsulta sa isang abogado na dalubhasa sa pagpaplano ng ari-arian ay lubos na inirerekomenda upang talakayin ang iyong partikular na sitwasyon at tuklasin ang mga pinakaepektibong opsyon para sa pagprotekta sa iyong "&amp;"mana mula sa mga nagpapautang.
**Sa konklusyon,** habang ang ganap na pagtatanggol sa mana mula sa mga nagpapautang ay maaaring maging mahirap, may mga diskarte tulad ng pagtanggap nang may reserbasyon at mga potensyal na hindi na mababawi na pagtitiwala "&amp;"(na may legal na patnubay) na maaaring magdagdag ng ilang proteksyon. Tandaan, ang maagap na pagpaplano sa pamamagitan ng pagpaplano ng ari-arian kasama ang isang abogado ay susi sa pag-maximize ng proteksyon para sa iyong mga tagapagmana.")</f>
        <v>Sa Pilipinas, may mga limitadong paraan upang ganap na maprotektahan ang mana mula sa mga nagpapautang. Gayunpaman, ang ilang mga diskarte ay maaaring gawing mas mahirap para sa mga nagpapautang na ma-access ang mga minanang asset:
* **Pagtanggap na may Benepisyo vs. Pagtanggap na may Reserbasyon:**
* May opsyon ang mga tagapagmana na tumanggap ng mana na may benepisyo o may reserbasyon. Ang pagtanggap nang may benepisyo ay nangangahulugan ng ganap na pagtanggap sa ari-arian, kabilang ang parehong mga ari-arian at pananagutan. Ang mga nagpapautang ay maaaring potensyal na humabol sa minanang mga ari-arian upang bayaran ang mga utang ng namatay.
* Ang pagtanggap nang may reserbasyon ay nagpapahintulot sa mga tagapagmana na limitahan ang kanilang pananagutan sa halaga ng minanang mga ari-arian. Ang mga nagpapautang ay hindi maaaring humanap ng mga personal na ari-arian ng mga tagapagmana na lampas sa halaga ng mana. Ang opsyong ito ay nangangailangan ng pagsunod sa mga partikular na legal na pamamaraan sa loob ng isang tiyak na takdang panahon. Ang pagkonsulta sa isang abogado ay lubos na inirerekomenda para sa tamang gabay.
* **Trusts (Limitadong Paggamit):**
* Bagama't hindi karaniwan sa Pilipinas tulad ng sa ibang mga bansa, ang mga hindi mababawi na trust ay maaaring mag-alok ng ilang benepisyo sa proteksyon ng asset. Ang mga asset na inilagay sa isang maayos na itinatag na irrevocable trust sa pangkalahatan ay nagiging hiwalay sa estate ng grantor (taong lumikha ng trust) at maaaring protektahan mula sa mga pinagkakautangan ng grantor o ng benepisyaryo (depende sa istraktura ng trust). Gayunpaman, may mga mahigpit na legal na kinakailangan para sa pagtatatag ng mga wastong irrevocable trust, at maaaring hindi angkop ang mga ito para sa lahat ng sitwasyon. Ang pagkonsulta sa isang abogado na dalubhasa sa pagpaplano ng ari-arian at mga pinagkakatiwalaan ay napakahalaga upang tuklasin ang opsyong ito.
* **Maingat na Pamamahagi ng Asset:**
* Kung walang kalooban o ang kalooban ay nagbibigay ng kakayahang umangkop, ang tagapagpatupad (responsable sa pamamahala ng ari-arian) ay maaaring magbahagi ng mga asset sa madiskarteng paraan. Ang pagbibigay-priyoridad sa pagbabayad ng utang bago ipamahagi ang mga natitirang asset sa mga benepisyaryo ay maaaring mabawasan ang halagang nakalantad sa mga nagpapautang.
**Mahahalagang Pagsasaalang-alang:**
* **Mga Mapanlinlang na Paglipat:** May mga batas laban sa mapanlinlang na paglilipat ng mga ari-arian upang maiwasan ang mga nagpapautang. Anumang mga aksyon na ginawa pangunahin upang maiwasan ang mga nagpapautang ay maaaring hamunin sa korte.
* **Pagpaplano kumpara sa Reaksyon:** Ang mga estratehiya para sa pagprotekta sa mana mula sa mga nagpapautang ay pinakamabisa kapag maagap na ipinatupad sa panahon ng pagpaplano ng ari-arian. Ang pagsisikap na protektahan ang mga ari-arian pagkatapos na maging maliwanag ang mga utang ay maaaring magkaroon ng limitadong tagumpay.
* **Kumonsulta sa isang Abogado:** Ang legal na tanawin tungkol sa mana at mga karapatan ng pinagkakautangan ay maaaring kumplikado. Ang pagkonsulta sa isang abogado na dalubhasa sa pagpaplano ng ari-arian ay lubos na inirerekomenda upang talakayin ang iyong partikular na sitwasyon at tuklasin ang mga pinakaepektibong opsyon para sa pagprotekta sa iyong mana mula sa mga nagpapautang.
**Sa konklusyon,** habang ang ganap na pagtatanggol sa mana mula sa mga nagpapautang ay maaaring maging mahirap, may mga diskarte tulad ng pagtanggap nang may reserbasyon at mga potensyal na hindi na mababawi na pagtitiwala (na may legal na patnubay) na maaaring magdagdag ng ilang proteksyon. Tandaan, ang maagap na pagpaplano sa pamamagitan ng pagpaplano ng ari-arian kasama ang isang abogado ay susi sa pag-maximize ng proteksyon para sa iyong mga tagapagmana.</v>
      </c>
      <c r="F569" s="2">
        <f t="shared" si="1"/>
        <v>0</v>
      </c>
      <c r="G569" s="2"/>
      <c r="H569" s="2"/>
      <c r="I569" s="2"/>
      <c r="J569" s="2"/>
      <c r="K569" s="2"/>
      <c r="L569" s="2"/>
      <c r="M569" s="2"/>
      <c r="N569" s="2"/>
      <c r="O569" s="2"/>
      <c r="P569" s="2"/>
      <c r="Q569" s="2"/>
      <c r="R569" s="2"/>
      <c r="S569" s="2"/>
      <c r="T569" s="2"/>
      <c r="U569" s="2"/>
      <c r="V569" s="2"/>
      <c r="W569" s="2"/>
      <c r="X569" s="2"/>
      <c r="Y569" s="2"/>
      <c r="Z569" s="2"/>
      <c r="AA569" s="2"/>
    </row>
    <row r="570">
      <c r="A570" s="1" t="s">
        <v>1224</v>
      </c>
      <c r="B570" s="1" t="s">
        <v>1925</v>
      </c>
      <c r="C570" s="1" t="s">
        <v>1926</v>
      </c>
      <c r="D570" s="1" t="s">
        <v>1924</v>
      </c>
      <c r="E570" s="2" t="str">
        <f>IFERROR(__xludf.DUMMYFUNCTION("GOOGLETRANSLATE(C570, ""en"", ""TL"")"),"Sa Pilipinas, ang mga prenuptial agreement (prenup) at postnuptial agreement (postnup) ay maaaring makaapekto sa mga karapatan sa mana, ngunit may ilang pangunahing limitasyon:
* **Limitadong Epekto sa Manang Mag-asawa:** Ang batas ng Pilipinas ay inuuna "&amp;"ang mga karapatan ng isang nabubuhay na asawa. Ang isang prenup o postnup ay hindi maaaring ganap na maalis ang mga karapatan sa mana ng isang asawa.
* **Minimum Share:** Ang nabubuhay na asawa ay may karapatan sa isang minimum na bahagi ng ari-arian ng n"&amp;"amatay na asawa, na kilala bilang ""absolute community share"" o ""conjugal share."" Ang bahaging ito ay karaniwang kalahati ng mga ari-arian na nakuha sa panahon ng kasal (conjugal property). Hindi maaaring bawasan ng prenup o postnup ang bahaging ito na"&amp;"ng mas mababa sa isang partikular na porsyento na tinukoy ng batas.
* **Karapatang Mahalal:** Sa ilang mga kaso, ang nabubuhay na asawa ay maaaring may karapatang pumili sa pagitan ng pagtanggap ng kanilang bahagi sa ilalim ng prenup/postnup o kanilang ga"&amp;"nap na bahagi sa komunidad (alin man ang mas pabor).
* **Prenup/Postnup Can Define Separate Property:** Ang prenup o postnup ay maaaring maging epektibo sa malinaw na pagtukoy kung aling mga asset ang itinuturing na hiwalay na ari-arian (pag-aari ng bawat"&amp;" asawa nang paisa-isa). Ang mga hiwalay na asset na ito sa pangkalahatan ay hindi bahagi ng conjugal property at hindi sasailalim sa ganap na pagkalkula ng bahagi ng komunidad ng nabubuhay na asawa. Maaari itong maging kapaki-pakinabang kung nais ng isang"&amp;" asawa na tiyakin na ang ilang mga ari-arian ay maipapasa sa mga partikular na tagapagmana (mga anak mula sa nakaraang kasal, atbp.).
* **Walang Epekto sa Pamana mula sa Iba pang Mga Pinagmumulan:** Ang prenup o postnup ay nakakaapekto lamang sa mana sa p"&amp;"agitan ng mag-asawa. Hindi nito naaapektuhan kung paano pinipili ng mag-asawa na iwanan ang kanilang mana sa mga anak o iba pang mga benepisyaryo sa kanilang kalooban. Narito ang isang talahanayan na nagbubuod sa mga pangunahing punto:
| Aspeto | Epekto n"&amp;"g Prenup/Postnup |
| Karapatan ng Mag-asawa sa Minimum na Bahagi (Ganap na Bahagi ng Komunidad) | Hindi maalis ang karapatang ito |
| Pamana mula sa Hiwalay na Ari-arian | Maaaring idirekta sa mga partikular na tagapagmana sa pamamagitan ng prenup/postnup"&amp;" definition |
| Pamana mula sa Iba Pang Mga Pinagmumulan (hal., Mga Bata) | Hindi apektado ng prenup/postnup |
**Mahahalagang Pagsasaalang-alang:**
* **Ang Prenup/Postnup ay Dapat Sumunod sa Batas:** Para maging wasto ang isang prenup o postnup, dapat ito"&amp;"ng isagawa nang kusang-loob, nakasulat, at na-notaryo. Hindi rin ito maaaring maglaman ng mga probisyon na walang konsensya (lubhang hindi patas sa isang asawa).
* **Kumonsulta sa isang Abogado:** Ang mga kasunduan sa prenuptial at postnuptial ay maaaring"&amp;" maging kumplikado. Ang pagkonsulta sa isang abogado na dalubhasa sa batas ng pamilya at pagpaplano ng ari-arian ay lubos na inirerekomenda upang matiyak na ang kasunduan ay nabalangkas nang tama at sumusunod sa batas ng Pilipinas. **Sa konklusyon,** haba"&amp;"ng ang mga prenups at postnups sa Pilipinas ay hindi ganap na maalis ang mga karapatan sa mana ng isang asawa, maaari silang maging epektibong tool para sa pagtukoy ng hiwalay na ari-arian at pagpaplano kung paano minana ang ilang partikular na asset. Gay"&amp;"unpaman, mahalagang maunawaan ang mga limitasyon at humingi ng legal na patnubay upang matiyak na wasto ang kasunduan at tumpak na nagpapakita ng iyong mga kagustuhan.")</f>
        <v>Sa Pilipinas, ang mga prenuptial agreement (prenup) at postnuptial agreement (postnup) ay maaaring makaapekto sa mga karapatan sa mana, ngunit may ilang pangunahing limitasyon:
* **Limitadong Epekto sa Manang Mag-asawa:** Ang batas ng Pilipinas ay inuuna ang mga karapatan ng isang nabubuhay na asawa. Ang isang prenup o postnup ay hindi maaaring ganap na maalis ang mga karapatan sa mana ng isang asawa.
* **Minimum Share:** Ang nabubuhay na asawa ay may karapatan sa isang minimum na bahagi ng ari-arian ng namatay na asawa, na kilala bilang "absolute community share" o "conjugal share." Ang bahaging ito ay karaniwang kalahati ng mga ari-arian na nakuha sa panahon ng kasal (conjugal property). Hindi maaaring bawasan ng prenup o postnup ang bahaging ito nang mas mababa sa isang partikular na porsyento na tinukoy ng batas.
* **Karapatang Mahalal:** Sa ilang mga kaso, ang nabubuhay na asawa ay maaaring may karapatang pumili sa pagitan ng pagtanggap ng kanilang bahagi sa ilalim ng prenup/postnup o kanilang ganap na bahagi sa komunidad (alin man ang mas pabor).
* **Prenup/Postnup Can Define Separate Property:** Ang prenup o postnup ay maaaring maging epektibo sa malinaw na pagtukoy kung aling mga asset ang itinuturing na hiwalay na ari-arian (pag-aari ng bawat asawa nang paisa-isa). Ang mga hiwalay na asset na ito sa pangkalahatan ay hindi bahagi ng conjugal property at hindi sasailalim sa ganap na pagkalkula ng bahagi ng komunidad ng nabubuhay na asawa. Maaari itong maging kapaki-pakinabang kung nais ng isang asawa na tiyakin na ang ilang mga ari-arian ay maipapasa sa mga partikular na tagapagmana (mga anak mula sa nakaraang kasal, atbp.).
* **Walang Epekto sa Pamana mula sa Iba pang Mga Pinagmumulan:** Ang prenup o postnup ay nakakaapekto lamang sa mana sa pagitan ng mag-asawa. Hindi nito naaapektuhan kung paano pinipili ng mag-asawa na iwanan ang kanilang mana sa mga anak o iba pang mga benepisyaryo sa kanilang kalooban. Narito ang isang talahanayan na nagbubuod sa mga pangunahing punto:
| Aspeto | Epekto ng Prenup/Postnup |
| Karapatan ng Mag-asawa sa Minimum na Bahagi (Ganap na Bahagi ng Komunidad) | Hindi maalis ang karapatang ito |
| Pamana mula sa Hiwalay na Ari-arian | Maaaring idirekta sa mga partikular na tagapagmana sa pamamagitan ng prenup/postnup definition |
| Pamana mula sa Iba Pang Mga Pinagmumulan (hal., Mga Bata) | Hindi apektado ng prenup/postnup |
**Mahahalagang Pagsasaalang-alang:**
* **Ang Prenup/Postnup ay Dapat Sumunod sa Batas:** Para maging wasto ang isang prenup o postnup, dapat itong isagawa nang kusang-loob, nakasulat, at na-notaryo. Hindi rin ito maaaring maglaman ng mga probisyon na walang konsensya (lubhang hindi patas sa isang asawa).
* **Kumonsulta sa isang Abogado:** Ang mga kasunduan sa prenuptial at postnuptial ay maaaring maging kumplikado. Ang pagkonsulta sa isang abogado na dalubhasa sa batas ng pamilya at pagpaplano ng ari-arian ay lubos na inirerekomenda upang matiyak na ang kasunduan ay nabalangkas nang tama at sumusunod sa batas ng Pilipinas. **Sa konklusyon,** habang ang mga prenups at postnups sa Pilipinas ay hindi ganap na maalis ang mga karapatan sa mana ng isang asawa, maaari silang maging epektibong tool para sa pagtukoy ng hiwalay na ari-arian at pagpaplano kung paano minana ang ilang partikular na asset. Gayunpaman, mahalagang maunawaan ang mga limitasyon at humingi ng legal na patnubay upang matiyak na wasto ang kasunduan at tumpak na nagpapakita ng iyong mga kagustuhan.</v>
      </c>
      <c r="F570" s="2">
        <f t="shared" si="1"/>
        <v>0</v>
      </c>
      <c r="G570" s="2"/>
      <c r="H570" s="2"/>
      <c r="I570" s="2"/>
      <c r="J570" s="2"/>
      <c r="K570" s="2"/>
      <c r="L570" s="2"/>
      <c r="M570" s="2"/>
      <c r="N570" s="2"/>
      <c r="O570" s="2"/>
      <c r="P570" s="2"/>
      <c r="Q570" s="2"/>
      <c r="R570" s="2"/>
      <c r="S570" s="2"/>
      <c r="T570" s="2"/>
      <c r="U570" s="2"/>
      <c r="V570" s="2"/>
      <c r="W570" s="2"/>
      <c r="X570" s="2"/>
      <c r="Y570" s="2"/>
      <c r="Z570" s="2"/>
      <c r="AA570" s="2"/>
    </row>
    <row r="571">
      <c r="A571" s="1" t="s">
        <v>1224</v>
      </c>
      <c r="B571" s="1" t="s">
        <v>1927</v>
      </c>
      <c r="C571" s="1" t="s">
        <v>1928</v>
      </c>
      <c r="D571" s="1" t="s">
        <v>1929</v>
      </c>
      <c r="E571" s="2" t="str">
        <f>IFERROR(__xludf.DUMMYFUNCTION("GOOGLETRANSLATE(C571, ""en"", ""TL"")"),"Hindi, sa Pilipinas, ang mga alagang hayop ay hindi maaaring direktang isama sa isang testamento para sa mga layunin ng mana. Ang mga alagang hayop ay itinuturing na personal na ari-arian sa ilalim ng batas ng Pilipinas, at ang mga pamana sa mga hayop ay "&amp;"hindi kinikilala.
Gayunpaman, may mga alternatibong paraan upang matiyak ang kapakanan ng iyong alagang hayop pagkatapos mong pumanaw:
* **Pagtatalaga ng isang Caretaker:** Maaari mong pangalanan ang isang pinagkakatiwalaang kaibigan o miyembro ng pamilya"&amp;" bilang isang caretaker sa iyong kalooban. Ang taong ito ay magiging responsable para sa pangangalaga at kapakanan ng iyong alagang hayop pagkatapos mong mawala. Maaari ka ring mag-iwan ng mga pondo sa tagapag-alaga upang tumulong sa pagsagot sa mga gasto"&amp;"s na nauugnay sa pag-aalaga ng alagang hayop.
* **Pet Trust:** Bagama't hindi pa karaniwang ginagamit sa Pilipinas, ang pet trust ay isang opsyon upang isaalang-alang. Ang pet trust ay isang legal na dokumento na naglalaan ng mga pondo partikular para sa "&amp;"pangangalaga ng iyong alagang hayop. Ang isang tagapangasiwa (responsableng tao) ang namamahala sa mga pondo at namamahagi ng mga ito para sa mga pangangailangan ng iyong alagang hayop ayon sa iyong kagustuhan. Ang pagkonsulta sa isang abogado na dalubhas"&amp;"a sa pagpaplano ng ari-arian ay mahalaga kung isasaalang-alang mo ang opsyong ito, dahil nangangailangan ito ng maingat na legal na pagbalangkas upang matiyak ang pagpapatupad.
* **Open Communication with Loved Ones:** Kahit na hindi ka direktang makapag-"&amp;"iwan ng mana sa iyong alaga, ang lantarang pakikipag-usap sa iyong mga kagustuhan sa mga mahal sa buhay ay makakatulong na matiyak na makakahanap ang iyong alaga ng mapagmahal na tahanan. Talakayin ang iyong mga hangarin para sa pangangalaga ng iyong alag"&amp;"ang hayop sa mga potensyal na tagapag-alaga at isaalang-alang ang pagkakaroon ng mga impormal na kasunduan sa lugar upang hikayatin silang igalang ang iyong mga kagustuhan.
**Narito ang isang buod ng mga opsyon para sa pag-aalaga sa iyong alagang hayop pa"&amp;"gkatapos mong mawala:**
* **Pagtatalaga ng Caretaker sa Will**
* **Pet Trust (kumunsulta sa isang abogado)**
* **Open Communication sa mga Mahal sa Buhay**
**Tandaan,** habang hindi ka maaaring direktang mag-iwan ng mana sa iyong alagang hayop, may mga pa"&amp;"raan upang magplano para sa kanilang kapakanan sa hinaharap. Sa pamamagitan ng paggalugad sa mga opsyong ito at hayagang pagsasabi ng iyong mga kagustuhan, makakatulong kang matiyak na ang iyong mabalahibong kaibigan ay inaalagaan kahit na wala ka na.")</f>
        <v>Hindi, sa Pilipinas, ang mga alagang hayop ay hindi maaaring direktang isama sa isang testamento para sa mga layunin ng mana. Ang mga alagang hayop ay itinuturing na personal na ari-arian sa ilalim ng batas ng Pilipinas, at ang mga pamana sa mga hayop ay hindi kinikilala.
Gayunpaman, may mga alternatibong paraan upang matiyak ang kapakanan ng iyong alagang hayop pagkatapos mong pumanaw:
* **Pagtatalaga ng isang Caretaker:** Maaari mong pangalanan ang isang pinagkakatiwalaang kaibigan o miyembro ng pamilya bilang isang caretaker sa iyong kalooban. Ang taong ito ay magiging responsable para sa pangangalaga at kapakanan ng iyong alagang hayop pagkatapos mong mawala. Maaari ka ring mag-iwan ng mga pondo sa tagapag-alaga upang tumulong sa pagsagot sa mga gastos na nauugnay sa pag-aalaga ng alagang hayop.
* **Pet Trust:** Bagama't hindi pa karaniwang ginagamit sa Pilipinas, ang pet trust ay isang opsyon upang isaalang-alang. Ang pet trust ay isang legal na dokumento na naglalaan ng mga pondo partikular para sa pangangalaga ng iyong alagang hayop. Ang isang tagapangasiwa (responsableng tao) ang namamahala sa mga pondo at namamahagi ng mga ito para sa mga pangangailangan ng iyong alagang hayop ayon sa iyong kagustuhan. Ang pagkonsulta sa isang abogado na dalubhasa sa pagpaplano ng ari-arian ay mahalaga kung isasaalang-alang mo ang opsyong ito, dahil nangangailangan ito ng maingat na legal na pagbalangkas upang matiyak ang pagpapatupad.
* **Open Communication with Loved Ones:** Kahit na hindi ka direktang makapag-iwan ng mana sa iyong alaga, ang lantarang pakikipag-usap sa iyong mga kagustuhan sa mga mahal sa buhay ay makakatulong na matiyak na makakahanap ang iyong alaga ng mapagmahal na tahanan. Talakayin ang iyong mga hangarin para sa pangangalaga ng iyong alagang hayop sa mga potensyal na tagapag-alaga at isaalang-alang ang pagkakaroon ng mga impormal na kasunduan sa lugar upang hikayatin silang igalang ang iyong mga kagustuhan.
**Narito ang isang buod ng mga opsyon para sa pag-aalaga sa iyong alagang hayop pagkatapos mong mawala:**
* **Pagtatalaga ng Caretaker sa Will**
* **Pet Trust (kumunsulta sa isang abogado)**
* **Open Communication sa mga Mahal sa Buhay**
**Tandaan,** habang hindi ka maaaring direktang mag-iwan ng mana sa iyong alagang hayop, may mga paraan upang magplano para sa kanilang kapakanan sa hinaharap. Sa pamamagitan ng paggalugad sa mga opsyong ito at hayagang pagsasabi ng iyong mga kagustuhan, makakatulong kang matiyak na ang iyong mabalahibong kaibigan ay inaalagaan kahit na wala ka na.</v>
      </c>
      <c r="F571" s="2">
        <f t="shared" si="1"/>
        <v>0</v>
      </c>
      <c r="G571" s="2"/>
      <c r="H571" s="2"/>
      <c r="I571" s="2"/>
      <c r="J571" s="2"/>
      <c r="K571" s="2"/>
      <c r="L571" s="2"/>
      <c r="M571" s="2"/>
      <c r="N571" s="2"/>
      <c r="O571" s="2"/>
      <c r="P571" s="2"/>
      <c r="Q571" s="2"/>
      <c r="R571" s="2"/>
      <c r="S571" s="2"/>
      <c r="T571" s="2"/>
      <c r="U571" s="2"/>
      <c r="V571" s="2"/>
      <c r="W571" s="2"/>
      <c r="X571" s="2"/>
      <c r="Y571" s="2"/>
      <c r="Z571" s="2"/>
      <c r="AA571" s="2"/>
    </row>
    <row r="572">
      <c r="A572" s="1" t="s">
        <v>1224</v>
      </c>
      <c r="B572" s="1" t="s">
        <v>1930</v>
      </c>
      <c r="C572" s="1" t="s">
        <v>1931</v>
      </c>
      <c r="D572" s="1" t="s">
        <v>1932</v>
      </c>
      <c r="E572" s="2" t="str">
        <f>IFERROR(__xludf.DUMMYFUNCTION("GOOGLETRANSLATE(C572, ""en"", ""TL"")"),"Sa Pilipinas, ang mga adopted children ay may parehong karapatan gaya ng mga biological na bata pagdating sa mana. Ibig sabihin nito:
* **Treated as Legitimate Children:** Kapag legal na inampon, ang isang adopted child ay ituturing na lehitimong anak ng "&amp;"(mga) adopting parent para sa lahat ng layunin at layunin.
* **Pamana mula sa Mga Magulang na Nag-ampon:** Ang isang ampon na anak ay may karapatang magmana mula sa kanilang (mga) magulang na nag-ampon tulad ng gagawin ng isang biyolohikal na anak. Kabila"&amp;"ng dito ang pamana sa pamamagitan ng isang testamento o sa pamamagitan ng mga batas ng kawalan ng katiyakan (kung walang umiiral na wastong testamento).
* **Walang Mga Karapatan sa Pamana mula sa Biyolohikal na Magulang (Sa pangkalahatan):** Sa legal na p"&amp;"ag-aampon, ang mga legal na ugnayan sa pagitan ng (mga) biyolohikal na magulang at ng ampon na anak ay pinutol. Sa pangkalahatan, nangangahulugan ito na ang pinagtibay na bata ay hindi maaaring magmana mula sa kanilang mga biyolohikal na magulang sa pamam"&amp;"agitan ng mga batas sa kawalan ng buhay o maliban kung sila ay partikular na pinangalanan bilang mga benepisyaryo sa isang testamento.
Narito ang ilang mahahalagang puntong dapat tandaan:
* **Domestic Adoption Act:** Ang legal na batayan para sa mga karap"&amp;"atang ito ay mula sa Domestic Adoption Act of 1998 (RA No. 8552) at sa Domestic Administrative Adoption and Alternative Child Care Act (RA No. 11642).
* **Exceptions:** Bagama't bihira, maaaring may mga sitwasyon kung saan nalalapat ang mga exception. Ang"&amp;" pagkonsulta sa isang abogado ay ipinapayong kung ang proseso ng pag-aampon ay lumihis sa mga karaniwang pamamaraan o may kinalaman sa hindi pangkaraniwang mga pangyayari.
**Narito ang isang talahanayan na nagbubuod sa mga karapatan sa mana ng mga ampon n"&amp;"a bata:**
| Pamana Mula sa | Mga Karapatan ng Ampon |
|---|---|
| Mga Magulang na Nag-ampon | Oo, nagmamana tulad ng isang biological na bata (sa pamamagitan ng kalooban o kawalan ng lakas) |
| Biyolohikal na Magulang | Sa pangkalahatan Hindi (maliban kun"&amp;"g pinangalanan bilang benepisyaryo sa isang testamento) | **Sa konklusyon,** ang mga ampon sa Pilipinas ay nagtatamasa ng parehong mga karapatan sa mana gaya ng mga biological na bata pagdating sa mga ari-arian ng kanilang adoptive parents. Gayunpaman, ka"&amp;"dalasang nawawalan sila ng mga karapatan sa mana mula sa kanilang mga biyolohikal na magulang sa legal na pag-aampon. Kung mayroon kang anumang mga tanong o alalahanin tungkol sa mga partikular na pangyayari, inirerekomenda ang pagkonsulta sa isang abogad"&amp;"o na dalubhasa sa batas ng pamilya at mana.")</f>
        <v>Sa Pilipinas, ang mga adopted children ay may parehong karapatan gaya ng mga biological na bata pagdating sa mana. Ibig sabihin nito:
* **Treated as Legitimate Children:** Kapag legal na inampon, ang isang adopted child ay ituturing na lehitimong anak ng (mga) adopting parent para sa lahat ng layunin at layunin.
* **Pamana mula sa Mga Magulang na Nag-ampon:** Ang isang ampon na anak ay may karapatang magmana mula sa kanilang (mga) magulang na nag-ampon tulad ng gagawin ng isang biyolohikal na anak. Kabilang dito ang pamana sa pamamagitan ng isang testamento o sa pamamagitan ng mga batas ng kawalan ng katiyakan (kung walang umiiral na wastong testamento).
* **Walang Mga Karapatan sa Pamana mula sa Biyolohikal na Magulang (Sa pangkalahatan):** Sa legal na pag-aampon, ang mga legal na ugnayan sa pagitan ng (mga) biyolohikal na magulang at ng ampon na anak ay pinutol. Sa pangkalahatan, nangangahulugan ito na ang pinagtibay na bata ay hindi maaaring magmana mula sa kanilang mga biyolohikal na magulang sa pamamagitan ng mga batas sa kawalan ng buhay o maliban kung sila ay partikular na pinangalanan bilang mga benepisyaryo sa isang testamento.
Narito ang ilang mahahalagang puntong dapat tandaan:
* **Domestic Adoption Act:** Ang legal na batayan para sa mga karapatang ito ay mula sa Domestic Adoption Act of 1998 (RA No. 8552) at sa Domestic Administrative Adoption and Alternative Child Care Act (RA No. 11642).
* **Exceptions:** Bagama't bihira, maaaring may mga sitwasyon kung saan nalalapat ang mga exception. Ang pagkonsulta sa isang abogado ay ipinapayong kung ang proseso ng pag-aampon ay lumihis sa mga karaniwang pamamaraan o may kinalaman sa hindi pangkaraniwang mga pangyayari.
**Narito ang isang talahanayan na nagbubuod sa mga karapatan sa mana ng mga ampon na bata:**
| Pamana Mula sa | Mga Karapatan ng Ampon |
|---|---|
| Mga Magulang na Nag-ampon | Oo, nagmamana tulad ng isang biological na bata (sa pamamagitan ng kalooban o kawalan ng lakas) |
| Biyolohikal na Magulang | Sa pangkalahatan Hindi (maliban kung pinangalanan bilang benepisyaryo sa isang testamento) | **Sa konklusyon,** ang mga ampon sa Pilipinas ay nagtatamasa ng parehong mga karapatan sa mana gaya ng mga biological na bata pagdating sa mga ari-arian ng kanilang adoptive parents. Gayunpaman, kadalasang nawawalan sila ng mga karapatan sa mana mula sa kanilang mga biyolohikal na magulang sa legal na pag-aampon. Kung mayroon kang anumang mga tanong o alalahanin tungkol sa mga partikular na pangyayari, inirerekomenda ang pagkonsulta sa isang abogado na dalubhasa sa batas ng pamilya at mana.</v>
      </c>
      <c r="F572" s="2">
        <f t="shared" si="1"/>
        <v>0</v>
      </c>
      <c r="G572" s="2"/>
      <c r="H572" s="2"/>
      <c r="I572" s="2"/>
      <c r="J572" s="2"/>
      <c r="K572" s="2"/>
      <c r="L572" s="2"/>
      <c r="M572" s="2"/>
      <c r="N572" s="2"/>
      <c r="O572" s="2"/>
      <c r="P572" s="2"/>
      <c r="Q572" s="2"/>
      <c r="R572" s="2"/>
      <c r="S572" s="2"/>
      <c r="T572" s="2"/>
      <c r="U572" s="2"/>
      <c r="V572" s="2"/>
      <c r="W572" s="2"/>
      <c r="X572" s="2"/>
      <c r="Y572" s="2"/>
      <c r="Z572" s="2"/>
      <c r="AA572" s="2"/>
    </row>
    <row r="573">
      <c r="A573" s="1" t="s">
        <v>1224</v>
      </c>
      <c r="B573" s="1" t="s">
        <v>1933</v>
      </c>
      <c r="C573" s="1" t="s">
        <v>1934</v>
      </c>
      <c r="D573" s="1" t="s">
        <v>1935</v>
      </c>
      <c r="E573" s="2" t="str">
        <f>IFERROR(__xludf.DUMMYFUNCTION("GOOGLETRANSLATE(C573, ""en"", ""TL"")"),"Ang pagmamana ng mga asset na hawak sa loob ng isang negosyo sa Pilipinas ay maaaring mag-iba depende sa uri ng istraktura ng negosyo. Narito ang isang breakdown ng ilang karaniwang mga sitwasyon:
**Sole Proprietorship:**
* Ang isang sole proprietorship a"&amp;"y mahalagang pag-aari at pinamamahalaan ng isang tao. Sa kasong ito, ang mga asset ng negosyo ay itinuturing na personal na ari-arian ng may-ari.
* Ang mana para sa isang solong pagmamay-ari ay sumusunod sa parehong mga prinsipyo tulad ng iba pang mga per"&amp;"sonal na asset. Maaaring magtalaga ang may-ari ng mga benepisyaryo sa isang testamento, at kung walang testamento, idinidikta ng mga batas sa kawalan ng katiyakan kung paano ipinamamahagi ang mga ari-arian sa mga tagapagmana.
**Partnership:**
* Ang isang "&amp;"partnership ay nagsasangkot ng dalawa o higit pang mga indibidwal na kapwa nagmamay-ari ng isang negosyo. Mayroong iba't ibang istruktura ng pakikipagsosyo, ngunit sa pangkalahatan, ang interes ng pagmamay-ari ng namatay na kasosyo sa negosyo ay nagiging "&amp;"bahagi ng kanilang ari-arian.
* Ang kasunduan sa pakikipagsosyo ay dapat na mainam na magbalangkas kung paano hahawakan ang interes ng namatay na kasosyo. Maaaring kabilang dito ang:
* **Buy-Sell Agreement:** Isang paunang natukoy na proseso kung saan ang"&amp;" natitirang mga kasosyo ay sumang-ayon na bilhin ang interes ng namatay na kasosyo sa isang patas na presyo.
* **Continuation Clause:** Ang partnership ay nagpapatuloy sa mga natitirang partner, at ang interes ng namatay na partner ay ipapasa sa kanilang "&amp;"mga benepisyaryo ayon sa kanilang will o intestacy laws. * **Sapilitang Pagbebenta:** Kung walang paunang natukoy na kasunduan, maaaring may karapatan ang natitirang mga kasosyo na pilitin ang ari-arian ng namatay na kasosyo na ibenta ang kanilang interes"&amp;".
**Corporation:**
* Ang isang korporasyon ay isang hiwalay na legal na entity mula sa mga may-ari nito (mga shareholder). Ang pagmamay-ari ay kinakatawan ng mga pagbabahagi.
* Sa kaso ng pagkamatay ng isang shareholder, ang kanilang mga shares ng stock s"&amp;"a korporasyon ay magiging bahagi ng kanilang ari-arian at ipapamahagi sa mga benepisyaryo ayon sa kanilang kalooban o mga batas sa intestacy.
* Ang korporasyon mismo ay patuloy na nagpapatakbo nang hiwalay sa mga pagbabago sa pagmamay-ari.
* Ang mga benep"&amp;"isyaryo na nagmamana ng mga bahagi ay nagiging mga shareholder sa korporasyon at maaaring magkaroon ng mga karapatan sa pagboto depende sa bilang ng mga share na minana.
**Kahalagahan ng Pagpaplano:**
* Anuman ang istraktura ng negosyo, ang malinaw na pag"&amp;"paplano ay mahalaga upang matiyak ang isang maayos na paglipat ng pagmamay-ari sa mana. * **Buy-Sell Agreements:** Para sa mga partnership, ang pagkakaroon ng buy-sell agreement ay maaaring mabawasan ang mga hindi pagkakaunawaan sa pagitan ng mga natitira"&amp;"ng partner at mga tagapagmana ng namatay na partner. * **Estate Planning:** Ang wastong pagpaplano ng ari-arian sa pamamagitan ng isang testamento ay maaaring malinaw na tukuyin ang mga hiling tungkol sa mga ari-arian ng negosyo at maiwasan ang pagkalito "&amp;"sa panahon ng pagmamana.
**Naghahanap ng Propesyonal na Patnubay:**
* Ang pagkonsulta sa isang abogado na dalubhasa sa batas ng negosyo at pagpaplano ng ari-arian ay lubos na inirerekomenda. * Maaari silang magpayo sa pinakamahusay na diskarte para sa iyo"&amp;"ng partikular na istraktura ng negosyo at tumulong sa pagbalangkas ng mga kasunduan o mga probisyon ng kalooban upang matiyak ang isang malinaw at mahusay na proseso ng pamana para sa mga asset ng negosyo.
**Sa konklusyon,** ang pagmamana ng mga asset na "&amp;"hawak sa isang negosyo ay nangangailangan ng pagsasaalang-alang sa istruktura ng negosyo at mga potensyal na kasunduan sa lugar. Ang wastong pagpaplano at potensyal na paghingi ng legal na patnubay ay maaaring makatulong na mapadali ang isang maayos na pr"&amp;"oseso ng mana at mabawasan ang mga pagkagambala sa mga operasyon ng negosyo.")</f>
        <v>Ang pagmamana ng mga asset na hawak sa loob ng isang negosyo sa Pilipinas ay maaaring mag-iba depende sa uri ng istraktura ng negosyo. Narito ang isang breakdown ng ilang karaniwang mga sitwasyon:
**Sole Proprietorship:**
* Ang isang sole proprietorship ay mahalagang pag-aari at pinamamahalaan ng isang tao. Sa kasong ito, ang mga asset ng negosyo ay itinuturing na personal na ari-arian ng may-ari.
* Ang mana para sa isang solong pagmamay-ari ay sumusunod sa parehong mga prinsipyo tulad ng iba pang mga personal na asset. Maaaring magtalaga ang may-ari ng mga benepisyaryo sa isang testamento, at kung walang testamento, idinidikta ng mga batas sa kawalan ng katiyakan kung paano ipinamamahagi ang mga ari-arian sa mga tagapagmana.
**Partnership:**
* Ang isang partnership ay nagsasangkot ng dalawa o higit pang mga indibidwal na kapwa nagmamay-ari ng isang negosyo. Mayroong iba't ibang istruktura ng pakikipagsosyo, ngunit sa pangkalahatan, ang interes ng pagmamay-ari ng namatay na kasosyo sa negosyo ay nagiging bahagi ng kanilang ari-arian.
* Ang kasunduan sa pakikipagsosyo ay dapat na mainam na magbalangkas kung paano hahawakan ang interes ng namatay na kasosyo. Maaaring kabilang dito ang:
* **Buy-Sell Agreement:** Isang paunang natukoy na proseso kung saan ang natitirang mga kasosyo ay sumang-ayon na bilhin ang interes ng namatay na kasosyo sa isang patas na presyo.
* **Continuation Clause:** Ang partnership ay nagpapatuloy sa mga natitirang partner, at ang interes ng namatay na partner ay ipapasa sa kanilang mga benepisyaryo ayon sa kanilang will o intestacy laws. * **Sapilitang Pagbebenta:** Kung walang paunang natukoy na kasunduan, maaaring may karapatan ang natitirang mga kasosyo na pilitin ang ari-arian ng namatay na kasosyo na ibenta ang kanilang interes.
**Corporation:**
* Ang isang korporasyon ay isang hiwalay na legal na entity mula sa mga may-ari nito (mga shareholder). Ang pagmamay-ari ay kinakatawan ng mga pagbabahagi.
* Sa kaso ng pagkamatay ng isang shareholder, ang kanilang mga shares ng stock sa korporasyon ay magiging bahagi ng kanilang ari-arian at ipapamahagi sa mga benepisyaryo ayon sa kanilang kalooban o mga batas sa intestacy.
* Ang korporasyon mismo ay patuloy na nagpapatakbo nang hiwalay sa mga pagbabago sa pagmamay-ari.
* Ang mga benepisyaryo na nagmamana ng mga bahagi ay nagiging mga shareholder sa korporasyon at maaaring magkaroon ng mga karapatan sa pagboto depende sa bilang ng mga share na minana.
**Kahalagahan ng Pagpaplano:**
* Anuman ang istraktura ng negosyo, ang malinaw na pagpaplano ay mahalaga upang matiyak ang isang maayos na paglipat ng pagmamay-ari sa mana. * **Buy-Sell Agreements:** Para sa mga partnership, ang pagkakaroon ng buy-sell agreement ay maaaring mabawasan ang mga hindi pagkakaunawaan sa pagitan ng mga natitirang partner at mga tagapagmana ng namatay na partner. * **Estate Planning:** Ang wastong pagpaplano ng ari-arian sa pamamagitan ng isang testamento ay maaaring malinaw na tukuyin ang mga hiling tungkol sa mga ari-arian ng negosyo at maiwasan ang pagkalito sa panahon ng pagmamana.
**Naghahanap ng Propesyonal na Patnubay:**
* Ang pagkonsulta sa isang abogado na dalubhasa sa batas ng negosyo at pagpaplano ng ari-arian ay lubos na inirerekomenda. * Maaari silang magpayo sa pinakamahusay na diskarte para sa iyong partikular na istraktura ng negosyo at tumulong sa pagbalangkas ng mga kasunduan o mga probisyon ng kalooban upang matiyak ang isang malinaw at mahusay na proseso ng pamana para sa mga asset ng negosyo.
**Sa konklusyon,** ang pagmamana ng mga asset na hawak sa isang negosyo ay nangangailangan ng pagsasaalang-alang sa istruktura ng negosyo at mga potensyal na kasunduan sa lugar. Ang wastong pagpaplano at potensyal na paghingi ng legal na patnubay ay maaaring makatulong na mapadali ang isang maayos na proseso ng mana at mabawasan ang mga pagkagambala sa mga operasyon ng negosyo.</v>
      </c>
      <c r="F573" s="2">
        <f t="shared" si="1"/>
        <v>0</v>
      </c>
      <c r="G573" s="2"/>
      <c r="H573" s="2"/>
      <c r="I573" s="2"/>
      <c r="J573" s="2"/>
      <c r="K573" s="2"/>
      <c r="L573" s="2"/>
      <c r="M573" s="2"/>
      <c r="N573" s="2"/>
      <c r="O573" s="2"/>
      <c r="P573" s="2"/>
      <c r="Q573" s="2"/>
      <c r="R573" s="2"/>
      <c r="S573" s="2"/>
      <c r="T573" s="2"/>
      <c r="U573" s="2"/>
      <c r="V573" s="2"/>
      <c r="W573" s="2"/>
      <c r="X573" s="2"/>
      <c r="Y573" s="2"/>
      <c r="Z573" s="2"/>
      <c r="AA573" s="2"/>
    </row>
    <row r="574">
      <c r="A574" s="1" t="s">
        <v>1224</v>
      </c>
      <c r="B574" s="1" t="s">
        <v>1936</v>
      </c>
      <c r="C574" s="1" t="s">
        <v>1937</v>
      </c>
      <c r="D574" s="1" t="s">
        <v>1938</v>
      </c>
      <c r="E574" s="2" t="str">
        <f>IFERROR(__xludf.DUMMYFUNCTION("GOOGLETRANSLATE(C574, ""en"", ""TL"")"),"Oo, talagang! Sa Pilipinas, ang isang kawanggawa ay maaaring pangalanan bilang isang benepisyaryo sa isang testamento. Narito kung bakit posible:
* **Freedom of Disposition:** Pinahihintulutan ng batas ng Pilipinas ang mga testator (mga taong nagsusulat n"&amp;"g testamento) ng kalayaan na itapon ang kanilang ari-arian sa pamamagitan ng isang testamento, kabilang ang pag-iwan ng mga bequest sa mga organisasyong pangkawanggawa.
* **Non-profit Status Not a Barrier:** Ang katotohanan na ang isang charity ay isang n"&amp;"on-profit na organisasyon ay hindi pumipigil dito sa pagtanggap ng mga mana. **Malinaw na Tinukoy ang Charity:**
* Mahalagang malinaw na tukuyin ang kawanggawa na nais mong isama sa iyong kalooban. Kabilang dito ang pagbibigay ng buong legal na pangalan a"&amp;"t nakarehistrong address ng kawanggawa upang maiwasan ang pagkalito o pagkaantala.
**Mga Uri ng Charitable Bequests:**
* Mayroon kang kakayahang umangkop sa kung paano ka mag-iiwan ng isang kawanggawa na donasyon sa pamamagitan ng iyong kalooban. Narito a"&amp;"ng ilang mga opsyon:
* **Specific Asset:** Maaari kang mag-iwan ng isang partikular na asset, tulad ng cash, stock, o real estate, sa charity.
* **Porsyento ng Estate:** Maaari kang magtalaga ng isang partikular na porsyento ng iyong ari-arian upang mapun"&amp;"ta sa charity.
* **Residual Beneficiary:** Maaari mong pangalanan ang charity bilang natitirang benepisyaryo, ibig sabihin, magmamana sila ng anumang natitirang asset pagkatapos mabayaran ang iba pang mga bequest at utang.
**Mga Benepisyo ng Pag-iiwan ng "&amp;"Charitable Bequest:**
* **Pagsuporta sa Isang Dahilan na Pinapahalagahan Mo:** Ito ay nagpapahintulot sa iyo na mag-ambag sa isang layunin na pinaniniwalaan mo kahit na pagkatapos mong pumanaw.
* **Potensyal na Mga Benepisyo sa Buwis:** Depende sa partiku"&amp;"lar na sitwasyon ng buwis, ang mga pamana sa kawanggawa ay maaaring mababawas sa buwis, na posibleng makabawas sa pananagutan sa buwis ng ari-arian. **Pagkonsulta sa isang Abogado:**
* Habang ang pagsasama ng isang kawanggawa sa iyong kalooban ay tuwiran,"&amp;" ang pagkonsulta sa isang abogado na dalubhasa sa pagpaplano ng ari-arian ay inirerekomenda. Maaari silang magpayo tungkol sa pinakamahusay na paraan upang ayusin ang iyong kawanggawa na pamana upang mapakinabangan ang epekto nito at matiyak ang pagsunod "&amp;"sa mga legal na kinakailangan.
**Sa konklusyon, ang pagsasama ng isang charity bilang isang benepisyaryo sa iyong Philippine will ay isang mahusay na paraan upang suportahan ang isang layunin na mahalaga sa iyo at potensyal na makatanggap ng mga benepisyo"&amp;" sa buwis. Sa pamamagitan ng malinaw na pagtukoy sa charity at potensyal na pagkonsulta sa isang abogado, matitiyak mong mabisang natutupad ang iyong mga hangarin sa kawanggawa.**")</f>
        <v>Oo, talagang! Sa Pilipinas, ang isang kawanggawa ay maaaring pangalanan bilang isang benepisyaryo sa isang testamento. Narito kung bakit posible:
* **Freedom of Disposition:** Pinahihintulutan ng batas ng Pilipinas ang mga testator (mga taong nagsusulat ng testamento) ng kalayaan na itapon ang kanilang ari-arian sa pamamagitan ng isang testamento, kabilang ang pag-iwan ng mga bequest sa mga organisasyong pangkawanggawa.
* **Non-profit Status Not a Barrier:** Ang katotohanan na ang isang charity ay isang non-profit na organisasyon ay hindi pumipigil dito sa pagtanggap ng mga mana. **Malinaw na Tinukoy ang Charity:**
* Mahalagang malinaw na tukuyin ang kawanggawa na nais mong isama sa iyong kalooban. Kabilang dito ang pagbibigay ng buong legal na pangalan at nakarehistrong address ng kawanggawa upang maiwasan ang pagkalito o pagkaantala.
**Mga Uri ng Charitable Bequests:**
* Mayroon kang kakayahang umangkop sa kung paano ka mag-iiwan ng isang kawanggawa na donasyon sa pamamagitan ng iyong kalooban. Narito ang ilang mga opsyon:
* **Specific Asset:** Maaari kang mag-iwan ng isang partikular na asset, tulad ng cash, stock, o real estate, sa charity.
* **Porsyento ng Estate:** Maaari kang magtalaga ng isang partikular na porsyento ng iyong ari-arian upang mapunta sa charity.
* **Residual Beneficiary:** Maaari mong pangalanan ang charity bilang natitirang benepisyaryo, ibig sabihin, magmamana sila ng anumang natitirang asset pagkatapos mabayaran ang iba pang mga bequest at utang.
**Mga Benepisyo ng Pag-iiwan ng Charitable Bequest:**
* **Pagsuporta sa Isang Dahilan na Pinapahalagahan Mo:** Ito ay nagpapahintulot sa iyo na mag-ambag sa isang layunin na pinaniniwalaan mo kahit na pagkatapos mong pumanaw.
* **Potensyal na Mga Benepisyo sa Buwis:** Depende sa partikular na sitwasyon ng buwis, ang mga pamana sa kawanggawa ay maaaring mababawas sa buwis, na posibleng makabawas sa pananagutan sa buwis ng ari-arian. **Pagkonsulta sa isang Abogado:**
* Habang ang pagsasama ng isang kawanggawa sa iyong kalooban ay tuwiran, ang pagkonsulta sa isang abogado na dalubhasa sa pagpaplano ng ari-arian ay inirerekomenda. Maaari silang magpayo tungkol sa pinakamahusay na paraan upang ayusin ang iyong kawanggawa na pamana upang mapakinabangan ang epekto nito at matiyak ang pagsunod sa mga legal na kinakailangan.
**Sa konklusyon, ang pagsasama ng isang charity bilang isang benepisyaryo sa iyong Philippine will ay isang mahusay na paraan upang suportahan ang isang layunin na mahalaga sa iyo at potensyal na makatanggap ng mga benepisyo sa buwis. Sa pamamagitan ng malinaw na pagtukoy sa charity at potensyal na pagkonsulta sa isang abogado, matitiyak mong mabisang natutupad ang iyong mga hangarin sa kawanggawa.**</v>
      </c>
      <c r="F574" s="2">
        <f t="shared" si="1"/>
        <v>0</v>
      </c>
      <c r="G574" s="2"/>
      <c r="H574" s="2"/>
      <c r="I574" s="2"/>
      <c r="J574" s="2"/>
      <c r="K574" s="2"/>
      <c r="L574" s="2"/>
      <c r="M574" s="2"/>
      <c r="N574" s="2"/>
      <c r="O574" s="2"/>
      <c r="P574" s="2"/>
      <c r="Q574" s="2"/>
      <c r="R574" s="2"/>
      <c r="S574" s="2"/>
      <c r="T574" s="2"/>
      <c r="U574" s="2"/>
      <c r="V574" s="2"/>
      <c r="W574" s="2"/>
      <c r="X574" s="2"/>
      <c r="Y574" s="2"/>
      <c r="Z574" s="2"/>
      <c r="AA574" s="2"/>
    </row>
    <row r="575">
      <c r="A575" s="1" t="s">
        <v>1224</v>
      </c>
      <c r="B575" s="1" t="s">
        <v>1939</v>
      </c>
      <c r="C575" s="1" t="s">
        <v>1940</v>
      </c>
      <c r="D575" s="1" t="s">
        <v>1941</v>
      </c>
      <c r="E575" s="2" t="str">
        <f>IFERROR(__xludf.DUMMYFUNCTION("GOOGLETRANSLATE(C575, ""en"", ""TL"")"),"Sa Pilipinas, ang pagpapatunay ng bisa ng isang testamento sa korte, na kilala rin bilang probate, ay nagsasangkot ng isang partikular na proseso na pinangangasiwaan ng Regional Trial Court (RTC) na may hurisdiksyon sa tirahan ng namatay sa oras ng kamata"&amp;"yan. Narito ang isang breakdown ng mga pangunahing hakbang:
**Paghain ng Petisyon para sa Probate:**
* Ang unang hakbang ay karaniwang kinasasangkutan ng isang interesadong partido, kadalasan ang tagapagpatupad na pinangalanan sa testamento, na naghahain "&amp;"ng petisyon para sa probate sa naaangkop na RTC. * Dapat kasama sa petisyon ang:
* Isang kopya ng testamento.
* Katibayan ng pagkamatay ng testator (taong sumulat ng testamento).
* Impormasyon tungkol sa mga benepisyaryo at tagapagmana.
**Abiso ng mga Int"&amp;"eresadong Partido:**
* Aabisuhan ng hukuman ang lahat ng mga interesadong partido, kabilang ang mga benepisyaryo at sinumang potensyal na tagapagmana na maaaring hindi kasama ng testamento. Tinitiyak ng notification na ito na ang lahat ng may stake sa est"&amp;"ate ay may pagkakataon na lumahok sa mga paglilitis.
**Pagdinig at Paglalahad ng Ebidensya:**
* Ang isang pagdinig ay iiskedyul kung saan ang nagsusulong (taong nagsusulong para sa bisa ng testamento) ay magpapakita ng ebidensya upang patunayan ang pagigi"&amp;"ng tunay ng testamento at pagsunod sa mga legal na kinakailangan. Maaaring kasama sa ebidensyang ito ang:
* Patotoo mula sa mga saksi na pumirma sa testamento.
* Katunayan na ang testator ay may mabuting pag-iisip sa oras ng pagpirma.
* Katibayan na ang t"&amp;"estamento ay wastong naisakatuparan ayon sa batas ng Pilipinas (nakasulat, pinirmahan ng testator at mga testigo na may mga tiyak na pormalidad).
**Mga Posibleng Hamon:**
* Ang sinumang interesadong partido ay maaaring labanan ang bisa ng testamento sa pa"&amp;"nahon ng pagdinig. Ang mga karaniwang batayan para sa paglalaban ng isang kalooban ay kinabibilangan ng:
* Kakulangan ng testamentary capacity (testator wasn't mentally sound when signing).
* Hindi nararapat na impluwensya o pamimilit sa testator.
* Hindi"&amp;" wastong pagpapatupad (hindi pagsunod sa mga legal na pormalidad).
* Pamemeke.
* Kung ang kalooban ay hinamon, ang hukuman ay diringgin ang mga argumento mula sa magkabilang panig at susuriin ang mga ebidensyang ipinakita. **Desisyon ng Korte:**
* Pagkata"&amp;"pos isaalang-alang ang lahat ng ebidensya at argumento, ang hukuman ay maglalabas ng desisyon. Ang hukuman ay maaaring:
* Panindigan ang bisa ng testamento (magbigay ng probate). * Ideklarang di-wasto ang testamento (ang mga batas sa intestacy ay ilalapat"&amp;" para sa mana).
* Bahagyang itinataguyod ang kalooban kung ang ilang bahagi ay itinuring na hindi wasto.
**Pag-isyu ng mga Liham na Tipan (opsyonal):**
* Kung ang testamento ay pinagtibay, ang hukuman ay maaaring mag-isyu ng Letters Testamentary. Ang doku"&amp;"mentong ito ay opisyal na nagtatalaga ng tagapagpatupad at binibigyan sila ng legal na awtoridad na pamahalaan ang ari-arian ayon sa mga tagubilin ng testamento. **Timeframe at Mga Gastos:**
* Ang proseso ng probate ay maaaring tumagal ng ilang buwan hang"&amp;"gang isang taon o higit pa, depende sa pagiging kumplikado ng kaso at anumang mga hamon na ipinakita. * May mga nauugnay na bayad sa hukuman at posibleng bayad sa abogado na kasangkot sa proseso.
**Mga Alternatibo sa Pormal na Probate:**
* Sa ilang mga ka"&amp;"so, ang isang mas simpleng proseso na tinatawag na ""extrajudicial settlement"" ay maaaring isang opsyon. Kabilang dito ang lahat ng tagapagmana na sumasang-ayon sa pamamahagi ng mga ari-arian nang walang interbensyon ng korte. Gayunpaman, ang pamamaraang"&amp;" ito ay angkop lamang para sa hindi kumplikadong mga ari-arian kung saan walang pagtatalo sa mga tagapagmana.
**Kahalagahan ng Legal na Patnubay:**
* Ang pag-navigate sa proseso ng probate ay maaaring maging kumplikado. Ang pagkonsulta sa isang abogadong "&amp;"may karanasan sa estate planning at probate law ay lubos na inirerekomenda. * Maaari silang magpayo sa mga partikular na hakbang na kailangan sa iyong sitwasyon, kumatawan sa iyo sa korte kung kinakailangan, at matiyak na ang proseso ay nakumpleto nang ma"&amp;"husay at epektibo.
**Sa konklusyon,** ang pagpapatunay ng bisa ng isang testamento sa Pilipinas ay nangangailangan ng paghahain ng petisyon sa korte, pagpapakita ng ebidensya, at potensyal na pagtugon sa anumang mga hamon. Maaaring magtagal ang proseso, a"&amp;"t ang paghanap ng legal na patnubay ay napakahalaga upang ma-navigate ang mga legalidad at matiyak ang maayos na paglutas.")</f>
        <v>Sa Pilipinas, ang pagpapatunay ng bisa ng isang testamento sa korte, na kilala rin bilang probate, ay nagsasangkot ng isang partikular na proseso na pinangangasiwaan ng Regional Trial Court (RTC) na may hurisdiksyon sa tirahan ng namatay sa oras ng kamatayan. Narito ang isang breakdown ng mga pangunahing hakbang:
**Paghain ng Petisyon para sa Probate:**
* Ang unang hakbang ay karaniwang kinasasangkutan ng isang interesadong partido, kadalasan ang tagapagpatupad na pinangalanan sa testamento, na naghahain ng petisyon para sa probate sa naaangkop na RTC. * Dapat kasama sa petisyon ang:
* Isang kopya ng testamento.
* Katibayan ng pagkamatay ng testator (taong sumulat ng testamento).
* Impormasyon tungkol sa mga benepisyaryo at tagapagmana.
**Abiso ng mga Interesadong Partido:**
* Aabisuhan ng hukuman ang lahat ng mga interesadong partido, kabilang ang mga benepisyaryo at sinumang potensyal na tagapagmana na maaaring hindi kasama ng testamento. Tinitiyak ng notification na ito na ang lahat ng may stake sa estate ay may pagkakataon na lumahok sa mga paglilitis.
**Pagdinig at Paglalahad ng Ebidensya:**
* Ang isang pagdinig ay iiskedyul kung saan ang nagsusulong (taong nagsusulong para sa bisa ng testamento) ay magpapakita ng ebidensya upang patunayan ang pagiging tunay ng testamento at pagsunod sa mga legal na kinakailangan. Maaaring kasama sa ebidensyang ito ang:
* Patotoo mula sa mga saksi na pumirma sa testamento.
* Katunayan na ang testator ay may mabuting pag-iisip sa oras ng pagpirma.
* Katibayan na ang testamento ay wastong naisakatuparan ayon sa batas ng Pilipinas (nakasulat, pinirmahan ng testator at mga testigo na may mga tiyak na pormalidad).
**Mga Posibleng Hamon:**
* Ang sinumang interesadong partido ay maaaring labanan ang bisa ng testamento sa panahon ng pagdinig. Ang mga karaniwang batayan para sa paglalaban ng isang kalooban ay kinabibilangan ng:
* Kakulangan ng testamentary capacity (testator wasn't mentally sound when signing).
* Hindi nararapat na impluwensya o pamimilit sa testator.
* Hindi wastong pagpapatupad (hindi pagsunod sa mga legal na pormalidad).
* Pamemeke.
* Kung ang kalooban ay hinamon, ang hukuman ay diringgin ang mga argumento mula sa magkabilang panig at susuriin ang mga ebidensyang ipinakita. **Desisyon ng Korte:**
* Pagkatapos isaalang-alang ang lahat ng ebidensya at argumento, ang hukuman ay maglalabas ng desisyon. Ang hukuman ay maaaring:
* Panindigan ang bisa ng testamento (magbigay ng probate). * Ideklarang di-wasto ang testamento (ang mga batas sa intestacy ay ilalapat para sa mana).
* Bahagyang itinataguyod ang kalooban kung ang ilang bahagi ay itinuring na hindi wasto.
**Pag-isyu ng mga Liham na Tipan (opsyonal):**
* Kung ang testamento ay pinagtibay, ang hukuman ay maaaring mag-isyu ng Letters Testamentary. Ang dokumentong ito ay opisyal na nagtatalaga ng tagapagpatupad at binibigyan sila ng legal na awtoridad na pamahalaan ang ari-arian ayon sa mga tagubilin ng testamento. **Timeframe at Mga Gastos:**
* Ang proseso ng probate ay maaaring tumagal ng ilang buwan hanggang isang taon o higit pa, depende sa pagiging kumplikado ng kaso at anumang mga hamon na ipinakita. * May mga nauugnay na bayad sa hukuman at posibleng bayad sa abogado na kasangkot sa proseso.
**Mga Alternatibo sa Pormal na Probate:**
* Sa ilang mga kaso, ang isang mas simpleng proseso na tinatawag na "extrajudicial settlement" ay maaaring isang opsyon. Kabilang dito ang lahat ng tagapagmana na sumasang-ayon sa pamamahagi ng mga ari-arian nang walang interbensyon ng korte. Gayunpaman, ang pamamaraang ito ay angkop lamang para sa hindi kumplikadong mga ari-arian kung saan walang pagtatalo sa mga tagapagmana.
**Kahalagahan ng Legal na Patnubay:**
* Ang pag-navigate sa proseso ng probate ay maaaring maging kumplikado. Ang pagkonsulta sa isang abogadong may karanasan sa estate planning at probate law ay lubos na inirerekomenda. * Maaari silang magpayo sa mga partikular na hakbang na kailangan sa iyong sitwasyon, kumatawan sa iyo sa korte kung kinakailangan, at matiyak na ang proseso ay nakumpleto nang mahusay at epektibo.
**Sa konklusyon,** ang pagpapatunay ng bisa ng isang testamento sa Pilipinas ay nangangailangan ng paghahain ng petisyon sa korte, pagpapakita ng ebidensya, at potensyal na pagtugon sa anumang mga hamon. Maaaring magtagal ang proseso, at ang paghanap ng legal na patnubay ay napakahalaga upang ma-navigate ang mga legalidad at matiyak ang maayos na paglutas.</v>
      </c>
      <c r="F575" s="2">
        <f t="shared" si="1"/>
        <v>0</v>
      </c>
      <c r="G575" s="2"/>
      <c r="H575" s="2"/>
      <c r="I575" s="2"/>
      <c r="J575" s="2"/>
      <c r="K575" s="2"/>
      <c r="L575" s="2"/>
      <c r="M575" s="2"/>
      <c r="N575" s="2"/>
      <c r="O575" s="2"/>
      <c r="P575" s="2"/>
      <c r="Q575" s="2"/>
      <c r="R575" s="2"/>
      <c r="S575" s="2"/>
      <c r="T575" s="2"/>
      <c r="U575" s="2"/>
      <c r="V575" s="2"/>
      <c r="W575" s="2"/>
      <c r="X575" s="2"/>
      <c r="Y575" s="2"/>
      <c r="Z575" s="2"/>
      <c r="AA575" s="2"/>
    </row>
    <row r="576">
      <c r="A576" s="1" t="s">
        <v>1224</v>
      </c>
      <c r="B576" s="1" t="s">
        <v>1942</v>
      </c>
      <c r="C576" s="1" t="s">
        <v>1943</v>
      </c>
      <c r="D576" s="1" t="s">
        <v>1944</v>
      </c>
      <c r="E576" s="2" t="str">
        <f>IFERROR(__xludf.DUMMYFUNCTION("GOOGLETRANSLATE(C576, ""en"", ""TL"")"),"Oo, ang isang testamento sa Pilipinas ay maaaring bawiin o amyendahan pagkatapos itong maisakatuparan. Ganito:
**Pagbawi:**
* Ang isang testamento ay maaaring ganap na bawiin sa maraming paraan:
* **Paggawa ng Later Will:** Ang susunod na testamento na ta"&amp;"hasang nagsasaad na binabawi nito ang lahat ng naunang habilin ay ang pinakasimpleng paraan.
* **Pisikal na Pagkasira:** Ang sadyang pagsira sa pisikal na kalooban na may layuning bawiin ito ay maaaring maging wastong batayan para sa pagpapawalang-bisa. G"&amp;"ayunpaman, ang ebidensya ay mahalaga upang patunayan ang intensyon. Ang pagpunit nito nang hindi sinasadya ay hindi bawiin ang kalooban.
* **Paggawa ng Codicil:** Ang codicil ay isang nakasulat na dokumento na nagbabago sa isang umiiral na testamento nang"&amp;" hindi ito ganap na binabawi. Gayunpaman, ang isang codicil ay dapat dumaan sa parehong mga pormalidad tulad ng orihinal na kalooban upang maging wasto (nakasulat, pinirmahan ng testator at mga saksi).
**Pagbabago:**
* Ang isang testamento ay maaaring sus"&amp;"ugan sa pamamagitan ng isang codicil, tulad ng nabanggit sa itaas. Maaaring baguhin ng codicil ang mga partikular na pamana, magtalaga ng ibang tagapagpatupad, o tugunan ang anumang iba pang aspeto na nais mong i-update sa iyong orihinal na kalooban.
**Ka"&amp;"halagahan ng Kalinawan at Wastong Pagpapatupad:**
* Upang maiwasan ang pagkalito at mga potensyal na hamon, mahalagang tiyaking malinaw na ginagawa ang anumang pagbawi o pag-amyenda at sumusunod sa wastong mga legal na pamamaraan. Ang hindi malinaw na mga"&amp;" pagtatangka sa pagpapawalang-bisa o mga codicil na may hindi wastong pagpapatupad ay maaaring hindi pagtibayin sa korte.
**Pagkonsulta sa isang Abogado:**
* Dahil sa legal na implikasyon, ang pagkonsulta sa isang abogado na dalubhasa sa estate planning a"&amp;"y lubos na inirerekomenda kung plano mong bawiin o baguhin ang iyong kalooban. Maaari silang magpayo sa pinakamahusay na paraan ng pagkilos batay sa iyong partikular na sitwasyon at tiyaking nakumpleto nang tama ang proseso upang maiwasan ang mga hindi pa"&amp;"gkakaunawaan sa hinaharap.
**Sa konklusyon,** habang ang isang testamento ay nagiging epektibo sa iyong kamatayan, hindi ito itinatakda sa bato sa panahon ng iyong buhay. Mayroon kang kakayahang umangkop na bawiin ito nang buo o baguhin ang mga partikular"&amp;" na probisyon sa pamamagitan ng maayos na pagkakabalangkas at isinagawa na codicil. Ang pagkonsulta sa isang abogado sa buong proseso ay ipinapayong matiyak na ang iyong mga kagustuhan ay malinaw na makikita at legal na tama.")</f>
        <v>Oo, ang isang testamento sa Pilipinas ay maaaring bawiin o amyendahan pagkatapos itong maisakatuparan. Ganito:
**Pagbawi:**
* Ang isang testamento ay maaaring ganap na bawiin sa maraming paraan:
* **Paggawa ng Later Will:** Ang susunod na testamento na tahasang nagsasaad na binabawi nito ang lahat ng naunang habilin ay ang pinakasimpleng paraan.
* **Pisikal na Pagkasira:** Ang sadyang pagsira sa pisikal na kalooban na may layuning bawiin ito ay maaaring maging wastong batayan para sa pagpapawalang-bisa. Gayunpaman, ang ebidensya ay mahalaga upang patunayan ang intensyon. Ang pagpunit nito nang hindi sinasadya ay hindi bawiin ang kalooban.
* **Paggawa ng Codicil:** Ang codicil ay isang nakasulat na dokumento na nagbabago sa isang umiiral na testamento nang hindi ito ganap na binabawi. Gayunpaman, ang isang codicil ay dapat dumaan sa parehong mga pormalidad tulad ng orihinal na kalooban upang maging wasto (nakasulat, pinirmahan ng testator at mga saksi).
**Pagbabago:**
* Ang isang testamento ay maaaring susugan sa pamamagitan ng isang codicil, tulad ng nabanggit sa itaas. Maaaring baguhin ng codicil ang mga partikular na pamana, magtalaga ng ibang tagapagpatupad, o tugunan ang anumang iba pang aspeto na nais mong i-update sa iyong orihinal na kalooban.
**Kahalagahan ng Kalinawan at Wastong Pagpapatupad:**
* Upang maiwasan ang pagkalito at mga potensyal na hamon, mahalagang tiyaking malinaw na ginagawa ang anumang pagbawi o pag-amyenda at sumusunod sa wastong mga legal na pamamaraan. Ang hindi malinaw na mga pagtatangka sa pagpapawalang-bisa o mga codicil na may hindi wastong pagpapatupad ay maaaring hindi pagtibayin sa korte.
**Pagkonsulta sa isang Abogado:**
* Dahil sa legal na implikasyon, ang pagkonsulta sa isang abogado na dalubhasa sa estate planning ay lubos na inirerekomenda kung plano mong bawiin o baguhin ang iyong kalooban. Maaari silang magpayo sa pinakamahusay na paraan ng pagkilos batay sa iyong partikular na sitwasyon at tiyaking nakumpleto nang tama ang proseso upang maiwasan ang mga hindi pagkakaunawaan sa hinaharap.
**Sa konklusyon,** habang ang isang testamento ay nagiging epektibo sa iyong kamatayan, hindi ito itinatakda sa bato sa panahon ng iyong buhay. Mayroon kang kakayahang umangkop na bawiin ito nang buo o baguhin ang mga partikular na probisyon sa pamamagitan ng maayos na pagkakabalangkas at isinagawa na codicil. Ang pagkonsulta sa isang abogado sa buong proseso ay ipinapayong matiyak na ang iyong mga kagustuhan ay malinaw na makikita at legal na tama.</v>
      </c>
      <c r="F576" s="2">
        <f t="shared" si="1"/>
        <v>0</v>
      </c>
      <c r="G576" s="2"/>
      <c r="H576" s="2"/>
      <c r="I576" s="2"/>
      <c r="J576" s="2"/>
      <c r="K576" s="2"/>
      <c r="L576" s="2"/>
      <c r="M576" s="2"/>
      <c r="N576" s="2"/>
      <c r="O576" s="2"/>
      <c r="P576" s="2"/>
      <c r="Q576" s="2"/>
      <c r="R576" s="2"/>
      <c r="S576" s="2"/>
      <c r="T576" s="2"/>
      <c r="U576" s="2"/>
      <c r="V576" s="2"/>
      <c r="W576" s="2"/>
      <c r="X576" s="2"/>
      <c r="Y576" s="2"/>
      <c r="Z576" s="2"/>
      <c r="AA576" s="2"/>
    </row>
    <row r="577">
      <c r="A577" s="1" t="s">
        <v>1224</v>
      </c>
      <c r="B577" s="1" t="s">
        <v>1945</v>
      </c>
      <c r="C577" s="1" t="s">
        <v>1946</v>
      </c>
      <c r="D577" s="1" t="s">
        <v>1947</v>
      </c>
      <c r="E577" s="2" t="str">
        <f>IFERROR(__xludf.DUMMYFUNCTION("GOOGLETRANSLATE(C577, ""en"", ""TL"")"),"Ang mga stock at pamumuhunan ay itinuturing na bahagi ng ari-arian sa Pilipinas at pinangangasiwaan nang katulad ng iba pang mga ari-arian sa panahon ng pagmamana. Narito ang isang breakdown ng proseso:
**Imbentaryo at Pagpapahalaga:**
* Ang tagapagpatupa"&amp;"d o tagapangasiwa ng ari-arian (responsable sa pamamahala sa mga ari-arian at utang ng namatay) ay kailangan munang gumawa ng imbentaryo ng lahat ng ari-arian, kabilang ang mga stock at pamumuhunan.
* Ang imbentaryo na ito ay dapat magdetalye ng uri ng pa"&amp;"mumuhunan (mga stock, bono, mutual funds, atbp.), ang nag-isyu (kumpanya na nagbigay ng seguridad), ang bilang ng mga share o unit na hawak, at ang kanilang tinantyang market value sa petsa ng kamatayan.
**Pagbabayad ng mga Utang:**
* Tulad ng ibang mga a"&amp;"ri-arian, ang mga utang sa ari-arian (hindi nabayarang mga pautang, buwis, atbp.) ay nangunguna kaysa sa mana. Ang mga utang na ito ay kailangang bayaran bago maipamahagi ang anumang mga ari-arian, kabilang ang mga stock at pamumuhunan, sa mga benepisyary"&amp;"o.
**Mga Opsyon sa Pamamahagi:**
* Kapag nabayaran na ang mga utang, maaaring ipamahagi ang mga stock at investment sa mga benepisyaryo ayon sa mga tagubilin sa testamento (kung mayroon man). Maaaring tukuyin ng testamento kung sinong benepisyaryo ang mag"&amp;"mamana ng mga partikular na stock o payagan ang tagapagpatupad na ipamahagi ang mga ito sa kanilang paghuhusga.
* Kung walang wastong testamento, ang mga batas sa kawalan ng buhay ay nagdidikta kung paano ipinamamahagi ang mga ari-arian sa mga tagapagmana"&amp;". Maaaring hindi isinaalang-alang ng mga batas na ito ang mga partikular na pamumuhunan, kaya maaaring kailanganin ng tagapagpatupad na ibenta ang mga ito at ipamahagi ang mga nalikom ayon sa mga panuntunan sa intestacy.
**Mahahalagang Pagsasaalang-alang:"&amp;"**
* **Pagbabago ng Market:** Maaaring magbago ang halaga ng mga stock at investment. Ang halaga na ginagamit para sa mga layunin ng pamamahagi ay depende sa mga partikular na probisyon sa mga batas sa testamento o intestacy. Maaaring tukuyin ng ilang mga"&amp;" testamento ang paggamit ng halaga sa pamilihan sa petsa ng kamatayan, habang ang iba ay maaaring payagan ang paggamit ng average na halaga sa isang partikular na panahon.
* **Mga Implikasyon sa Buwis:** Depende sa uri ng pamumuhunan at sa panahon ng pagh"&amp;"awak, maaaring may mga buwis sa capital gain na isasaalang-alang kapag nagbebenta ng mga minanang stock o pamumuhunan. Ang pagkonsulta sa isang tax advisor ay inirerekomenda upang maunawaan ang potensyal na pananagutan sa buwis.
* **Paglipat ng Account:**"&amp;" Ang paglilipat ng pagmamay-ari ng mga stock at pamumuhunan sa mga benepisyaryo ay maaaring may kasamang mga partikular na pamamaraan sa custodian bank o brokerage firm. Kailangang sundin ng tagapagpatupad ang mga wastong pamamaraan upang matiyak ang maay"&amp;"os na paglipat ng pagmamay-ari.
**Tungkulin ng Tagapagpatupad:**
* Ang tagapagpatupad ay gumaganap ng isang mahalagang papel sa pamamahala ng minanang mga stock at pamumuhunan. Sila ay responsable para sa:
* **Pagkuha ng mga stock certificate o account st"&amp;"atement.**
* **Nakikipagtulungan sa mga institusyong pampinansyal upang ilipat ang pagmamay-ari sa mga benepisyaryo.**
* **Paggawa ng matalinong mga pagpapasya tungkol sa pagbebenta o paghawak ng mga pamumuhunan.** Maaaring kabilang dito ang pagsasaalang-"&amp;"alang sa mga layunin sa pamumuhunan ng benepisyaryo at pagpaparaya sa panganib.
**Naghahanap ng Propesyonal na Patnubay:**
* Maaaring maging kumplikado ang mana na kinasasangkutan ng mga stock at pamumuhunan. Ang pagkonsulta sa isang abogado na dalubhasa "&amp;"sa pagpaplano ng ari-arian at isang tagapayo sa pananalapi ay maaaring maging kapaki-pakinabang. * **Ang mga abogado** ay maaaring magpayo sa mga legal na kinakailangan para sa paglilipat ng pagmamay-ari at matiyak ang pagsunod sa mga batas sa mana.
* **A"&amp;"ng mga tagapayo sa pananalapi** ay maaaring magbigay ng patnubay sa pamamahala ng mga minanang pamumuhunan upang umayon sa mga layunin sa pananalapi ng mga benepisyaryo at pagpaparaya sa panganib.
**Sa konklusyon,** ang pagmamana ng mga stock at pamumuhun"&amp;"an ay nangangailangan ng maingat na pagsasaalang-alang sa pagtatasa, mga opsyon sa pamamahagi, mga implikasyon sa buwis, at mga pamamaraan sa paglilipat ng account. Sa pamamagitan ng pagpaplano nang maaga at potensyal na humingi ng propesyonal na patnubay"&amp;", matitiyak ng tagapagpatupad ang isang maayos na paglipat ng mga asset na ito sa mga benepisyaryo.")</f>
        <v>Ang mga stock at pamumuhunan ay itinuturing na bahagi ng ari-arian sa Pilipinas at pinangangasiwaan nang katulad ng iba pang mga ari-arian sa panahon ng pagmamana. Narito ang isang breakdown ng proseso:
**Imbentaryo at Pagpapahalaga:**
* Ang tagapagpatupad o tagapangasiwa ng ari-arian (responsable sa pamamahala sa mga ari-arian at utang ng namatay) ay kailangan munang gumawa ng imbentaryo ng lahat ng ari-arian, kabilang ang mga stock at pamumuhunan.
* Ang imbentaryo na ito ay dapat magdetalye ng uri ng pamumuhunan (mga stock, bono, mutual funds, atbp.), ang nag-isyu (kumpanya na nagbigay ng seguridad), ang bilang ng mga share o unit na hawak, at ang kanilang tinantyang market value sa petsa ng kamatayan.
**Pagbabayad ng mga Utang:**
* Tulad ng ibang mga ari-arian, ang mga utang sa ari-arian (hindi nabayarang mga pautang, buwis, atbp.) ay nangunguna kaysa sa mana. Ang mga utang na ito ay kailangang bayaran bago maipamahagi ang anumang mga ari-arian, kabilang ang mga stock at pamumuhunan, sa mga benepisyaryo.
**Mga Opsyon sa Pamamahagi:**
* Kapag nabayaran na ang mga utang, maaaring ipamahagi ang mga stock at investment sa mga benepisyaryo ayon sa mga tagubilin sa testamento (kung mayroon man). Maaaring tukuyin ng testamento kung sinong benepisyaryo ang magmamana ng mga partikular na stock o payagan ang tagapagpatupad na ipamahagi ang mga ito sa kanilang paghuhusga.
* Kung walang wastong testamento, ang mga batas sa kawalan ng buhay ay nagdidikta kung paano ipinamamahagi ang mga ari-arian sa mga tagapagmana. Maaaring hindi isinaalang-alang ng mga batas na ito ang mga partikular na pamumuhunan, kaya maaaring kailanganin ng tagapagpatupad na ibenta ang mga ito at ipamahagi ang mga nalikom ayon sa mga panuntunan sa intestacy.
**Mahahalagang Pagsasaalang-alang:**
* **Pagbabago ng Market:** Maaaring magbago ang halaga ng mga stock at investment. Ang halaga na ginagamit para sa mga layunin ng pamamahagi ay depende sa mga partikular na probisyon sa mga batas sa testamento o intestacy. Maaaring tukuyin ng ilang mga testamento ang paggamit ng halaga sa pamilihan sa petsa ng kamatayan, habang ang iba ay maaaring payagan ang paggamit ng average na halaga sa isang partikular na panahon.
* **Mga Implikasyon sa Buwis:** Depende sa uri ng pamumuhunan at sa panahon ng paghawak, maaaring may mga buwis sa capital gain na isasaalang-alang kapag nagbebenta ng mga minanang stock o pamumuhunan. Ang pagkonsulta sa isang tax advisor ay inirerekomenda upang maunawaan ang potensyal na pananagutan sa buwis.
* **Paglipat ng Account:** Ang paglilipat ng pagmamay-ari ng mga stock at pamumuhunan sa mga benepisyaryo ay maaaring may kasamang mga partikular na pamamaraan sa custodian bank o brokerage firm. Kailangang sundin ng tagapagpatupad ang mga wastong pamamaraan upang matiyak ang maayos na paglipat ng pagmamay-ari.
**Tungkulin ng Tagapagpatupad:**
* Ang tagapagpatupad ay gumaganap ng isang mahalagang papel sa pamamahala ng minanang mga stock at pamumuhunan. Sila ay responsable para sa:
* **Pagkuha ng mga stock certificate o account statement.**
* **Nakikipagtulungan sa mga institusyong pampinansyal upang ilipat ang pagmamay-ari sa mga benepisyaryo.**
* **Paggawa ng matalinong mga pagpapasya tungkol sa pagbebenta o paghawak ng mga pamumuhunan.** Maaaring kabilang dito ang pagsasaalang-alang sa mga layunin sa pamumuhunan ng benepisyaryo at pagpaparaya sa panganib.
**Naghahanap ng Propesyonal na Patnubay:**
* Maaaring maging kumplikado ang mana na kinasasangkutan ng mga stock at pamumuhunan. Ang pagkonsulta sa isang abogado na dalubhasa sa pagpaplano ng ari-arian at isang tagapayo sa pananalapi ay maaaring maging kapaki-pakinabang. * **Ang mga abogado** ay maaaring magpayo sa mga legal na kinakailangan para sa paglilipat ng pagmamay-ari at matiyak ang pagsunod sa mga batas sa mana.
* **Ang mga tagapayo sa pananalapi** ay maaaring magbigay ng patnubay sa pamamahala ng mga minanang pamumuhunan upang umayon sa mga layunin sa pananalapi ng mga benepisyaryo at pagpaparaya sa panganib.
**Sa konklusyon,** ang pagmamana ng mga stock at pamumuhunan ay nangangailangan ng maingat na pagsasaalang-alang sa pagtatasa, mga opsyon sa pamamahagi, mga implikasyon sa buwis, at mga pamamaraan sa paglilipat ng account. Sa pamamagitan ng pagpaplano nang maaga at potensyal na humingi ng propesyonal na patnubay, matitiyak ng tagapagpatupad ang isang maayos na paglipat ng mga asset na ito sa mga benepisyaryo.</v>
      </c>
      <c r="F577" s="2">
        <f t="shared" si="1"/>
        <v>0</v>
      </c>
      <c r="G577" s="2"/>
      <c r="H577" s="2"/>
      <c r="I577" s="2"/>
      <c r="J577" s="2"/>
      <c r="K577" s="2"/>
      <c r="L577" s="2"/>
      <c r="M577" s="2"/>
      <c r="N577" s="2"/>
      <c r="O577" s="2"/>
      <c r="P577" s="2"/>
      <c r="Q577" s="2"/>
      <c r="R577" s="2"/>
      <c r="S577" s="2"/>
      <c r="T577" s="2"/>
      <c r="U577" s="2"/>
      <c r="V577" s="2"/>
      <c r="W577" s="2"/>
      <c r="X577" s="2"/>
      <c r="Y577" s="2"/>
      <c r="Z577" s="2"/>
      <c r="AA577" s="2"/>
    </row>
    <row r="578">
      <c r="A578" s="1" t="s">
        <v>1224</v>
      </c>
      <c r="B578" s="1" t="s">
        <v>1948</v>
      </c>
      <c r="C578" s="1" t="s">
        <v>1949</v>
      </c>
      <c r="D578" s="1" t="s">
        <v>1950</v>
      </c>
      <c r="E578" s="2" t="str">
        <f>IFERROR(__xludf.DUMMYFUNCTION("GOOGLETRANSLATE(C578, ""en"", ""TL"")"),"Oo, may ilang limitasyon sa kung ano ang maaari mong isama sa isang testamento sa Pilipinas. Narito ang isang breakdown ng mga pangunahing paghihigpit:
* **Illegality:** Ang testamento ay hindi maaaring maglaman ng mga probisyon na lumalabag sa batas ng P"&amp;"ilipinas o pampublikong patakaran. Halimbawa, hindi mo maaaring iwanan ang ari-arian sa isang tao na may kondisyon na gumawa sila ng krimen.
* **Impossibility:** Hindi maaaring isama sa will ang mga bequest na imposibleng matupad. Ang pag-iwan sa isang ta"&amp;"o ng lumilipad na kotse, halimbawa, ay hindi maipapatupad.
* **Pag-uudyok na Gumawa ng Krimen:** Ang kalooban ay hindi maaaring magbigay ng insentibo sa ilegal na aktibidad. Ang pag-iwan ng pera sa isang tao sa kondisyong makapinsala sila sa ibang tao ay "&amp;"malinaw na hindi pinapayagan.
* **Pagpigil sa Pag-aasawa:** Ipinagbabawal ng batas ng Pilipinas ang mga kondisyon sa mga testamento na naghihigpit sa karapatan ng isang tao na magpakasal. Hindi mo maaaring ipagkait ang mana kung ang isang benepisyaryo ay "&amp;"ikinasal.
* **Hindi Nararapat na Impluwensiya:** Bagama't maaari mong iwanan ang iyong mga ari-arian sa sinumang pipiliin mo, ang kalooban ay hindi maaaring resulta ng hindi nararapat na impluwensya o pamimilit. Kung may nag-pressure sa iyo na iwan sa kan"&amp;"ya ang isang bagay na hindi mo makukuha, ang probisyon ay maaaring hamunin sa korte.
* **Kakayahan ng Makikinabang:** Sa ilang mga sitwasyon, ang pag-iwan ng isang bagay sa isang menor de edad o isang taong itinuturing na walang kakayahan sa pag-iisip na "&amp;"pamahalaan ang kanilang mga pananalapi ay maaaring mangailangan ng mga karagdagang legal na pagsasaalang-alang. Maaaring kailanganin ang isang tiwala upang matiyak ang wastong pamamahala ng mana para sa kanilang kapakinabangan.
**Mahahalagang Pagsasaalang"&amp;"-alang:**
* **Clarity and Specificity:** Ang testamento ay dapat na malinaw at tiyak tungkol sa kung ano ang iyong iiwan sa bawat benepisyaryo. Ang hindi maliwanag na mga salita ay maaaring humantong sa mga hindi pagkakaunawaan sa ibang pagkakataon.
* **P"&amp;"ropesyonal na Pag-draft:** Bagama't hindi sapilitan, ang pagkonsulta sa isang abogado na dalubhasa sa pagpaplano ng ari-arian ay makakatulong na matiyak na ang iyong kalooban ay legal na tama, pinapaliit ang kalabuan, at ipinapakita ang iyong tunay na mga"&amp;" kagustuhan.
* **Pag-update ng Iyong Will:** Maaaring magbago ang iyong mga kalagayan at kagustuhan sa paglipas ng panahon. Napakahalagang suriin at i-update ang iyong kalooban nang pana-panahon upang matiyak na ito ay nananatiling tumpak at sumasalamin s"&amp;"a iyong kasalukuyang mga intensyon.
**Sa konklusyon,** habang mayroon kang maraming kalayaan sa kung paano mo ipamahagi ang iyong mga ari-arian sa pamamagitan ng isang testamento sa Pilipinas, may ilang mga limitasyon na dapat isaalang-alang. Ang pagtutuo"&amp;"n sa legalidad, kalinawan, at potensyal na paghingi ng legal na patnubay ay makakatulong na matiyak na ang iyong kalooban ay maipapatupad at mabisang maisakatuparan ang iyong mga kagustuhan.")</f>
        <v>Oo, may ilang limitasyon sa kung ano ang maaari mong isama sa isang testamento sa Pilipinas. Narito ang isang breakdown ng mga pangunahing paghihigpit:
* **Illegality:** Ang testamento ay hindi maaaring maglaman ng mga probisyon na lumalabag sa batas ng Pilipinas o pampublikong patakaran. Halimbawa, hindi mo maaaring iwanan ang ari-arian sa isang tao na may kondisyon na gumawa sila ng krimen.
* **Impossibility:** Hindi maaaring isama sa will ang mga bequest na imposibleng matupad. Ang pag-iwan sa isang tao ng lumilipad na kotse, halimbawa, ay hindi maipapatupad.
* **Pag-uudyok na Gumawa ng Krimen:** Ang kalooban ay hindi maaaring magbigay ng insentibo sa ilegal na aktibidad. Ang pag-iwan ng pera sa isang tao sa kondisyong makapinsala sila sa ibang tao ay malinaw na hindi pinapayagan.
* **Pagpigil sa Pag-aasawa:** Ipinagbabawal ng batas ng Pilipinas ang mga kondisyon sa mga testamento na naghihigpit sa karapatan ng isang tao na magpakasal. Hindi mo maaaring ipagkait ang mana kung ang isang benepisyaryo ay ikinasal.
* **Hindi Nararapat na Impluwensiya:** Bagama't maaari mong iwanan ang iyong mga ari-arian sa sinumang pipiliin mo, ang kalooban ay hindi maaaring resulta ng hindi nararapat na impluwensya o pamimilit. Kung may nag-pressure sa iyo na iwan sa kanya ang isang bagay na hindi mo makukuha, ang probisyon ay maaaring hamunin sa korte.
* **Kakayahan ng Makikinabang:** Sa ilang mga sitwasyon, ang pag-iwan ng isang bagay sa isang menor de edad o isang taong itinuturing na walang kakayahan sa pag-iisip na pamahalaan ang kanilang mga pananalapi ay maaaring mangailangan ng mga karagdagang legal na pagsasaalang-alang. Maaaring kailanganin ang isang tiwala upang matiyak ang wastong pamamahala ng mana para sa kanilang kapakinabangan.
**Mahahalagang Pagsasaalang-alang:**
* **Clarity and Specificity:** Ang testamento ay dapat na malinaw at tiyak tungkol sa kung ano ang iyong iiwan sa bawat benepisyaryo. Ang hindi maliwanag na mga salita ay maaaring humantong sa mga hindi pagkakaunawaan sa ibang pagkakataon.
* **Propesyonal na Pag-draft:** Bagama't hindi sapilitan, ang pagkonsulta sa isang abogado na dalubhasa sa pagpaplano ng ari-arian ay makakatulong na matiyak na ang iyong kalooban ay legal na tama, pinapaliit ang kalabuan, at ipinapakita ang iyong tunay na mga kagustuhan.
* **Pag-update ng Iyong Will:** Maaaring magbago ang iyong mga kalagayan at kagustuhan sa paglipas ng panahon. Napakahalagang suriin at i-update ang iyong kalooban nang pana-panahon upang matiyak na ito ay nananatiling tumpak at sumasalamin sa iyong kasalukuyang mga intensyon.
**Sa konklusyon,** habang mayroon kang maraming kalayaan sa kung paano mo ipamahagi ang iyong mga ari-arian sa pamamagitan ng isang testamento sa Pilipinas, may ilang mga limitasyon na dapat isaalang-alang. Ang pagtutuon sa legalidad, kalinawan, at potensyal na paghingi ng legal na patnubay ay makakatulong na matiyak na ang iyong kalooban ay maipapatupad at mabisang maisakatuparan ang iyong mga kagustuhan.</v>
      </c>
      <c r="F578" s="2">
        <f t="shared" si="1"/>
        <v>0</v>
      </c>
      <c r="G578" s="2"/>
      <c r="H578" s="2"/>
      <c r="I578" s="2"/>
      <c r="J578" s="2"/>
      <c r="K578" s="2"/>
      <c r="L578" s="2"/>
      <c r="M578" s="2"/>
      <c r="N578" s="2"/>
      <c r="O578" s="2"/>
      <c r="P578" s="2"/>
      <c r="Q578" s="2"/>
      <c r="R578" s="2"/>
      <c r="S578" s="2"/>
      <c r="T578" s="2"/>
      <c r="U578" s="2"/>
      <c r="V578" s="2"/>
      <c r="W578" s="2"/>
      <c r="X578" s="2"/>
      <c r="Y578" s="2"/>
      <c r="Z578" s="2"/>
      <c r="AA578" s="2"/>
    </row>
    <row r="579">
      <c r="A579" s="1" t="s">
        <v>1224</v>
      </c>
      <c r="B579" s="1" t="s">
        <v>1951</v>
      </c>
      <c r="C579" s="1" t="s">
        <v>1952</v>
      </c>
      <c r="D579" s="1" t="s">
        <v>1953</v>
      </c>
      <c r="E579" s="2" t="str">
        <f>IFERROR(__xludf.DUMMYFUNCTION("GOOGLETRANSLATE(C579, ""en"", ""TL"")"),"Sa Pilipinas, ang pamana mismo ay hindi napapailalim sa buwis sa regalo. Gayunpaman, may ilang sitwasyon kung saan maaaring mag-trigger ng mga implikasyon sa buwis sa regalo ang ilang partikular na pagkilos na nauugnay sa mana:
* **Pagtalikod sa Mana:** M"&amp;"ay pagkakaiba sa pagitan ng pangkalahatang pagtalikod sa mana at pagtalikod sa pabor sa isang partikular na tagapagmana.
* **Pangkalahatang Pagtalikod:** Kung pinili ng isang benepisyaryo na ganap na tanggihan ang kanyang mana, sa pangkalahatan ay hindi i"&amp;"to napapailalim sa buwis sa regalo. Itinuturing nilang karapatan na tanggihan ang mana.
* **Partial Renunciation in Favor of Another Heir:** Ang scenario na ito ay maaaring ituring na regalo sa benepisyaryo na tumatanggap ng renounced na bahagi. Itinuturi"&amp;"ng na ngayon ng batas ng Pilipinas, sa pamamagitan ng Revenue Memorandum Circular No. 94-2021 na inisyu ng Bureau of Internal Revenue (BIR), ang naturang partial renunciation bilang isang taxable gift kung ang halaga ng renounced portion ay lumampas sa an"&amp;"nual gift tax exemption (kasalukuyang Php 250,000).
* **Pamamahagi ng Mga Asset sa Mga Tagapagmana:** Bagama't ang mismong paglilipat ng mana ay hindi binubuwisan, ang paraan ng pamamahagi ng ari-arian ng mga ari-arian sa mga tagapagmana ay maaaring magka"&amp;"roon ng mga implikasyon sa buwis sa regalo kung ito ay lumihis sa mga tagubilin ng testamento o mga batas sa intestacy. * **Pagsunod sa Will o Intestacy:** Ang pamamahagi ng mga asset ayon sa malinaw na nakasaad na mga kagustuhan sa isang wastong testamen"&amp;"to o pagsunod sa mga batas ng intestacy ay karaniwang hindi nagti-trigger ng buwis sa regalo.
* **Hindi Pantay na Pamamahagi Lampas sa Kalooban o Intestacy:** Kung ang tagapagpatupad o mga tagapagmana ay sumang-ayon na ipamahagi ang mga ari-arian nang hin"&amp;"di pantay-pantay sa paraang makabuluhang nakikinabang ang isang tagapagmana kaysa sa iba, at hindi ito makikita sa mga batas ng kalooban o kawalan ng katiyakan, kung gayon ang labis na halaga na natanggap ng benepisyaryo ay maaaring ituring na isang buwis"&amp;" na regalo.
**Kahalagahan ng Malinaw na Komunikasyon at Legal na Payo:**
* Ang bukas na komunikasyon sa mga tagapagmana tungkol sa mga hinahangad ng mana at mga plano sa pamamahagi ay maaaring makatulong na maiwasan ang hindi sinasadyang mga implikasyon n"&amp;"g buwis sa regalo.
* Ang pagkonsulta sa isang abogado na dalubhasa sa pagpaplano ng ari-arian at batas sa buwis ay lubos na inirerekomenda upang maunawaan ang mga potensyal na kahihinatnan ng buwis sa regalo ng mga desisyon sa mana at matiyak ang pagsunod"&amp;" sa mga regulasyon sa buwis sa Pilipinas.
**Sa konklusyon,** habang ang inheritance mismo ay hindi napapailalim sa gift tax sa Pilipinas, ang ilang pagkilos na nauugnay sa inheritance tulad ng bahagyang pagtalikod o hindi pantay na pamamahagi ng asset ay "&amp;"maaaring magkaroon ng mga implikasyon sa buwis sa regalo. Ang maingat na pagpaplano, malinaw na komunikasyon, at pagkonsulta sa isang abogado ay maaaring makatulong na maiwasan ang mga hindi sinasadyang pananagutan sa buwis sa panahon ng proseso ng mana.")</f>
        <v>Sa Pilipinas, ang pamana mismo ay hindi napapailalim sa buwis sa regalo. Gayunpaman, may ilang sitwasyon kung saan maaaring mag-trigger ng mga implikasyon sa buwis sa regalo ang ilang partikular na pagkilos na nauugnay sa mana:
* **Pagtalikod sa Mana:** May pagkakaiba sa pagitan ng pangkalahatang pagtalikod sa mana at pagtalikod sa pabor sa isang partikular na tagapagmana.
* **Pangkalahatang Pagtalikod:** Kung pinili ng isang benepisyaryo na ganap na tanggihan ang kanyang mana, sa pangkalahatan ay hindi ito napapailalim sa buwis sa regalo. Itinuturing nilang karapatan na tanggihan ang mana.
* **Partial Renunciation in Favor of Another Heir:** Ang scenario na ito ay maaaring ituring na regalo sa benepisyaryo na tumatanggap ng renounced na bahagi. Itinuturing na ngayon ng batas ng Pilipinas, sa pamamagitan ng Revenue Memorandum Circular No. 94-2021 na inisyu ng Bureau of Internal Revenue (BIR), ang naturang partial renunciation bilang isang taxable gift kung ang halaga ng renounced portion ay lumampas sa annual gift tax exemption (kasalukuyang Php 250,000).
* **Pamamahagi ng Mga Asset sa Mga Tagapagmana:** Bagama't ang mismong paglilipat ng mana ay hindi binubuwisan, ang paraan ng pamamahagi ng ari-arian ng mga ari-arian sa mga tagapagmana ay maaaring magkaroon ng mga implikasyon sa buwis sa regalo kung ito ay lumihis sa mga tagubilin ng testamento o mga batas sa intestacy. * **Pagsunod sa Will o Intestacy:** Ang pamamahagi ng mga asset ayon sa malinaw na nakasaad na mga kagustuhan sa isang wastong testamento o pagsunod sa mga batas ng intestacy ay karaniwang hindi nagti-trigger ng buwis sa regalo.
* **Hindi Pantay na Pamamahagi Lampas sa Kalooban o Intestacy:** Kung ang tagapagpatupad o mga tagapagmana ay sumang-ayon na ipamahagi ang mga ari-arian nang hindi pantay-pantay sa paraang makabuluhang nakikinabang ang isang tagapagmana kaysa sa iba, at hindi ito makikita sa mga batas ng kalooban o kawalan ng katiyakan, kung gayon ang labis na halaga na natanggap ng benepisyaryo ay maaaring ituring na isang buwis na regalo.
**Kahalagahan ng Malinaw na Komunikasyon at Legal na Payo:**
* Ang bukas na komunikasyon sa mga tagapagmana tungkol sa mga hinahangad ng mana at mga plano sa pamamahagi ay maaaring makatulong na maiwasan ang hindi sinasadyang mga implikasyon ng buwis sa regalo.
* Ang pagkonsulta sa isang abogado na dalubhasa sa pagpaplano ng ari-arian at batas sa buwis ay lubos na inirerekomenda upang maunawaan ang mga potensyal na kahihinatnan ng buwis sa regalo ng mga desisyon sa mana at matiyak ang pagsunod sa mga regulasyon sa buwis sa Pilipinas.
**Sa konklusyon,** habang ang inheritance mismo ay hindi napapailalim sa gift tax sa Pilipinas, ang ilang pagkilos na nauugnay sa inheritance tulad ng bahagyang pagtalikod o hindi pantay na pamamahagi ng asset ay maaaring magkaroon ng mga implikasyon sa buwis sa regalo. Ang maingat na pagpaplano, malinaw na komunikasyon, at pagkonsulta sa isang abogado ay maaaring makatulong na maiwasan ang mga hindi sinasadyang pananagutan sa buwis sa panahon ng proseso ng mana.</v>
      </c>
      <c r="F579" s="2">
        <f t="shared" si="1"/>
        <v>0</v>
      </c>
      <c r="G579" s="2"/>
      <c r="H579" s="2"/>
      <c r="I579" s="2"/>
      <c r="J579" s="2"/>
      <c r="K579" s="2"/>
      <c r="L579" s="2"/>
      <c r="M579" s="2"/>
      <c r="N579" s="2"/>
      <c r="O579" s="2"/>
      <c r="P579" s="2"/>
      <c r="Q579" s="2"/>
      <c r="R579" s="2"/>
      <c r="S579" s="2"/>
      <c r="T579" s="2"/>
      <c r="U579" s="2"/>
      <c r="V579" s="2"/>
      <c r="W579" s="2"/>
      <c r="X579" s="2"/>
      <c r="Y579" s="2"/>
      <c r="Z579" s="2"/>
      <c r="AA579" s="2"/>
    </row>
    <row r="580">
      <c r="A580" s="1" t="s">
        <v>1224</v>
      </c>
      <c r="B580" s="1" t="s">
        <v>1954</v>
      </c>
      <c r="C580" s="1" t="s">
        <v>1955</v>
      </c>
      <c r="D580" s="1" t="s">
        <v>1956</v>
      </c>
      <c r="E580" s="2" t="str">
        <f>IFERROR(__xludf.DUMMYFUNCTION("GOOGLETRANSLATE(C580, ""en"", ""TL"")"),"Kung maraming testamento ang makikita pagkatapos ng kamatayan ng isang tao sa Pilipinas, narito ang karaniwang nangyayari:
**Pagtukoy sa Bisa:**
* Ang probate court ay kasangkot sa pagtukoy kung aling testamento ang wasto. Narito ang ilang mga kadahilanan"&amp;" na kanilang isinasaalang-alang:
* **Petsa:** Sa pangkalahatan, ang pinakahuling testamento ay ipinapalagay na wasto, na sumasalamin sa pinakabagong mga kahilingan ng namatay.
* **Sugnay sa Pagpapawalang-bisa:** Karamihan sa mga testamento ay naglalaman n"&amp;"g isang sugnay na nagsasaad na ang lahat ng mga nakaraang testamento ay binawi. Kung may nakitang mas naunang testamento, ngunit hindi ito naglalaman ng sugnay sa pagbawi, maaari itong magduda sa bisa ng susunod na testamento.
* **Tamang Pagpapatupad:** A"&amp;"ng testamento ay dapat na maisagawa nang maayos ayon sa batas ng Pilipinas. Karaniwang nangangahulugan ito na dapat itong nakasulat, pinirmahan ng testator (taong sumulat ng testamento) sa presensya ng mga saksi na pumipirma rin sa dokumento.
* **Partial "&amp;"Validity:** Sa ilang mga kaso, ang mga bahagi ng maramihang mga will ay maaaring ituring na wasto. Halimbawa, ang isang susunod na testamento ay maaaring magtapon ng mga bagong nakuhang asset habang ang isang naunang testamento ay maaaring may bisa pa rin"&amp;" para sa iba pang mga asset.
**Mga Hamon sa Validity:**
* Maaaring hamunin ng mga benepisyaryo o potensyal na tagapagmana na hindi kasama sa diumano'y valid na will ang validity nito sa korte. Maaari silang magtaltalan na ang testamento ay huwad, ang test"&amp;"ator ay walang kakayahan sa pag-iisip kapag nilagdaan ito, o ang hindi nararapat na impluwensya ay ginamit upang pilitin ang testator na lumikha ng testamento.
**Kahalagahan ng Malinaw at Kamakailang Will:**
* Ang pagkakaroon ng malinaw na nakabalangkas a"&amp;"t kamakailang testamento ay makakatulong na maiwasan ang pagkalito at mga pagtatalo tungkol sa bisa nito.
**Mga Karagdagang Pagsasaalang-alang:**
* **Mga Batas sa Intestacy:** Kung wala sa mga testamento ang itinuring na wasto, ididikta ng mga batas sa ka"&amp;"walan ng katiyakan kung paano ipinamamahagi ang mga asset sa mga tagapagmana.
* **Legal na Representasyon:** Ang pagharap sa maramihang mga testamento ay maaaring maging kumplikado. Ang pagkonsulta sa isang abogado na dalubhasa sa estate planning at proba"&amp;"te ay lubos na inirerekomenda. Maaari silang magpayo sa legal na proseso, kumatawan sa mga partido sa korte kung kinakailangan, at magtrabaho para sa isang resolusyon na iginagalang ang mga kagustuhan ng namatay hangga't maaari ayon sa mga pangyayari.
**S"&amp;"a konklusyon,** maaaring gawing kumplikado ng maramihang mga testamento ang proseso ng mana. Ang pagkakaroon ng malinaw at kamakailang kalooban kasama ng bukas na komunikasyon sa mga miyembro ng pamilya ay makakatulong na mabawasan ang panganib ng mga hin"&amp;"di pagkakaunawaan. Kung lalabas ang maramihang mga kalooban, ang paghingi ng legal na patnubay ay napakahalaga upang ma-navigate ang mga legalidad at matiyak ang isang patas na resolusyon ayon sa batas ng Pilipinas.")</f>
        <v>Kung maraming testamento ang makikita pagkatapos ng kamatayan ng isang tao sa Pilipinas, narito ang karaniwang nangyayari:
**Pagtukoy sa Bisa:**
* Ang probate court ay kasangkot sa pagtukoy kung aling testamento ang wasto. Narito ang ilang mga kadahilanan na kanilang isinasaalang-alang:
* **Petsa:** Sa pangkalahatan, ang pinakahuling testamento ay ipinapalagay na wasto, na sumasalamin sa pinakabagong mga kahilingan ng namatay.
* **Sugnay sa Pagpapawalang-bisa:** Karamihan sa mga testamento ay naglalaman ng isang sugnay na nagsasaad na ang lahat ng mga nakaraang testamento ay binawi. Kung may nakitang mas naunang testamento, ngunit hindi ito naglalaman ng sugnay sa pagbawi, maaari itong magduda sa bisa ng susunod na testamento.
* **Tamang Pagpapatupad:** Ang testamento ay dapat na maisagawa nang maayos ayon sa batas ng Pilipinas. Karaniwang nangangahulugan ito na dapat itong nakasulat, pinirmahan ng testator (taong sumulat ng testamento) sa presensya ng mga saksi na pumipirma rin sa dokumento.
* **Partial Validity:** Sa ilang mga kaso, ang mga bahagi ng maramihang mga will ay maaaring ituring na wasto. Halimbawa, ang isang susunod na testamento ay maaaring magtapon ng mga bagong nakuhang asset habang ang isang naunang testamento ay maaaring may bisa pa rin para sa iba pang mga asset.
**Mga Hamon sa Validity:**
* Maaaring hamunin ng mga benepisyaryo o potensyal na tagapagmana na hindi kasama sa diumano'y valid na will ang validity nito sa korte. Maaari silang magtaltalan na ang testamento ay huwad, ang testator ay walang kakayahan sa pag-iisip kapag nilagdaan ito, o ang hindi nararapat na impluwensya ay ginamit upang pilitin ang testator na lumikha ng testamento.
**Kahalagahan ng Malinaw at Kamakailang Will:**
* Ang pagkakaroon ng malinaw na nakabalangkas at kamakailang testamento ay makakatulong na maiwasan ang pagkalito at mga pagtatalo tungkol sa bisa nito.
**Mga Karagdagang Pagsasaalang-alang:**
* **Mga Batas sa Intestacy:** Kung wala sa mga testamento ang itinuring na wasto, ididikta ng mga batas sa kawalan ng katiyakan kung paano ipinamamahagi ang mga asset sa mga tagapagmana.
* **Legal na Representasyon:** Ang pagharap sa maramihang mga testamento ay maaaring maging kumplikado. Ang pagkonsulta sa isang abogado na dalubhasa sa estate planning at probate ay lubos na inirerekomenda. Maaari silang magpayo sa legal na proseso, kumatawan sa mga partido sa korte kung kinakailangan, at magtrabaho para sa isang resolusyon na iginagalang ang mga kagustuhan ng namatay hangga't maaari ayon sa mga pangyayari.
**Sa konklusyon,** maaaring gawing kumplikado ng maramihang mga testamento ang proseso ng mana. Ang pagkakaroon ng malinaw at kamakailang kalooban kasama ng bukas na komunikasyon sa mga miyembro ng pamilya ay makakatulong na mabawasan ang panganib ng mga hindi pagkakaunawaan. Kung lalabas ang maramihang mga kalooban, ang paghingi ng legal na patnubay ay napakahalaga upang ma-navigate ang mga legalidad at matiyak ang isang patas na resolusyon ayon sa batas ng Pilipinas.</v>
      </c>
      <c r="F580" s="2">
        <f t="shared" si="1"/>
        <v>0</v>
      </c>
      <c r="G580" s="2"/>
      <c r="H580" s="2"/>
      <c r="I580" s="2"/>
      <c r="J580" s="2"/>
      <c r="K580" s="2"/>
      <c r="L580" s="2"/>
      <c r="M580" s="2"/>
      <c r="N580" s="2"/>
      <c r="O580" s="2"/>
      <c r="P580" s="2"/>
      <c r="Q580" s="2"/>
      <c r="R580" s="2"/>
      <c r="S580" s="2"/>
      <c r="T580" s="2"/>
      <c r="U580" s="2"/>
      <c r="V580" s="2"/>
      <c r="W580" s="2"/>
      <c r="X580" s="2"/>
      <c r="Y580" s="2"/>
      <c r="Z580" s="2"/>
      <c r="AA580" s="2"/>
    </row>
    <row r="581">
      <c r="A581" s="1" t="s">
        <v>1224</v>
      </c>
      <c r="B581" s="1" t="s">
        <v>1957</v>
      </c>
      <c r="C581" s="1" t="s">
        <v>1958</v>
      </c>
      <c r="D581" s="1" t="s">
        <v>1959</v>
      </c>
      <c r="E581" s="2" t="str">
        <f>IFERROR(__xludf.DUMMYFUNCTION("GOOGLETRANSLATE(C581, ""en"", ""TL"")"),"Sa Pilipinas, ang mga hindi pagkakaunawaan sa pagitan ng mga benepisyaryo ay maaaring malutas sa pamamagitan ng ilang mga pamamaraan, depende sa kalubhaan at pagiging kumplikado ng isyu. Narito ang isang breakdown ng mga opsyon:
**Impormal na Resolusyon:*"&amp;"*
* **Komunikasyon at Negosasyon:** Ang pinakakanais-nais na diskarte ay madalas para sa mga benepisyaryo na makipag-usap nang hayagan at subukang magkaroon ng kasunduan sa pamamagitan ng negosasyon. Ito ay maaaring may kasamang:
* Pagtalakay sa hindi pag"&amp;"kakasundo nang may paggalang.
* Isinasaalang-alang ang pananaw ng bawat benepisyaryo.
* Paghahanap ng solusyon sa kompromiso na patas na tumutugon sa mga alalahanin ng lahat.
* **Family Mediation:** Ang isang neutral na third party, tulad ng isang pinagka"&amp;"katiwalaang kaibigan ng pamilya o isang propesyonal na tagapamagitan, ay maaaring mapadali ang komunikasyon at gabayan ang mga benepisyaryo patungo sa isang mapayapang resolusyon.
**Pormal na Resolusyon:**
* **Paghahabla:** Kung mabigo ang mga impormal na"&amp;" pamamaraan, maaaring magsampa ng kaso ang isang benepisyaryo laban sa tagapagpatupad o iba pang mga benepisyaryo. Ito ay isang mas adversarial na proseso na maaaring magastos at matagal. * **Probate Court:** Maraming inheritance dispute ang napupunta sa "&amp;"probate court. * Ang hukuman ay maaaring gumawa ng mga desisyon sa iba't ibang mga isyu, tulad ng:
* Ang bisa ng kalooban (kung hinamon)
* Ang interpretasyon ng hindi maliwanag na wika sa kalooban
* Ang pamamahagi ng mga ari-arian ayon sa batas kung walan"&amp;"g valid na will
**Mga Salik na Nakakaimpluwensya sa Pamamaraan ng Resolusyon:**
* **Tindi ng Di-pagkakasundo:** Maaaring impormal na lutasin ang mga maliliit na hindi pagkakasundo, habang ang mga kumplikadong isyu na nauugnay sa bisa ng testamento o makab"&amp;"uluhang pamamahagi ng asset ay maaaring mangailangan ng interbensyon ng hukuman.
* **Halaga at Oras:** Ang mga demanda at proseso ng probate court ay maaaring magastos at matagal. Ang mga opsyon sa impormal na resolution ay karaniwang mas mabilis at mas m"&amp;"atipid.
* **Mga Relasyon at Komunikasyon:** Ang ugnayan sa pagitan ng mga benepisyaryo at kanilang pagpayag na makipag-usap nang mabisa ay maaaring makabuluhang makaimpluwensya sa pagpili ng paraan ng paglutas.
**Tungkulin ng mga Abogado:**
* Ang pagkonsu"&amp;"lta sa isang abogado na dalubhasa sa estate planning at inheritance law ay lubos na inirerekomenda, lalo na para sa mga kumplikadong hindi pagkakaunawaan. Maaari silang:
* Magbigay ng payo sa pinakamahusay na paraan ng pagkilos batay sa partikular na sitw"&amp;"asyon.
* Kinakatawan ang mga benepisyaryo sa korte o mga proseso ng pamamagitan.
* Tumulong sa pagbalangkas ng mga kasunduan sa pag-aayos.
**Sa pangkalahatan, habang ang pagresolba sa mga hindi pagkakaunawaan sa mana ay maaaring maging mahirap, ang pagbib"&amp;"igay-priyoridad sa komunikasyon, paggalugad muna ng mga impormal na opsyon, at paghingi ng legal na patnubay kung kinakailangan ay maaaring humantong sa isang mas mahusay at kasiya-siyang resulta para sa lahat ng partidong kasangkot.**")</f>
        <v>Sa Pilipinas, ang mga hindi pagkakaunawaan sa pagitan ng mga benepisyaryo ay maaaring malutas sa pamamagitan ng ilang mga pamamaraan, depende sa kalubhaan at pagiging kumplikado ng isyu. Narito ang isang breakdown ng mga opsyon:
**Impormal na Resolusyon:**
* **Komunikasyon at Negosasyon:** Ang pinakakanais-nais na diskarte ay madalas para sa mga benepisyaryo na makipag-usap nang hayagan at subukang magkaroon ng kasunduan sa pamamagitan ng negosasyon. Ito ay maaaring may kasamang:
* Pagtalakay sa hindi pagkakasundo nang may paggalang.
* Isinasaalang-alang ang pananaw ng bawat benepisyaryo.
* Paghahanap ng solusyon sa kompromiso na patas na tumutugon sa mga alalahanin ng lahat.
* **Family Mediation:** Ang isang neutral na third party, tulad ng isang pinagkakatiwalaang kaibigan ng pamilya o isang propesyonal na tagapamagitan, ay maaaring mapadali ang komunikasyon at gabayan ang mga benepisyaryo patungo sa isang mapayapang resolusyon.
**Pormal na Resolusyon:**
* **Paghahabla:** Kung mabigo ang mga impormal na pamamaraan, maaaring magsampa ng kaso ang isang benepisyaryo laban sa tagapagpatupad o iba pang mga benepisyaryo. Ito ay isang mas adversarial na proseso na maaaring magastos at matagal. * **Probate Court:** Maraming inheritance dispute ang napupunta sa probate court. * Ang hukuman ay maaaring gumawa ng mga desisyon sa iba't ibang mga isyu, tulad ng:
* Ang bisa ng kalooban (kung hinamon)
* Ang interpretasyon ng hindi maliwanag na wika sa kalooban
* Ang pamamahagi ng mga ari-arian ayon sa batas kung walang valid na will
**Mga Salik na Nakakaimpluwensya sa Pamamaraan ng Resolusyon:**
* **Tindi ng Di-pagkakasundo:** Maaaring impormal na lutasin ang mga maliliit na hindi pagkakasundo, habang ang mga kumplikadong isyu na nauugnay sa bisa ng testamento o makabuluhang pamamahagi ng asset ay maaaring mangailangan ng interbensyon ng hukuman.
* **Halaga at Oras:** Ang mga demanda at proseso ng probate court ay maaaring magastos at matagal. Ang mga opsyon sa impormal na resolution ay karaniwang mas mabilis at mas matipid.
* **Mga Relasyon at Komunikasyon:** Ang ugnayan sa pagitan ng mga benepisyaryo at kanilang pagpayag na makipag-usap nang mabisa ay maaaring makabuluhang makaimpluwensya sa pagpili ng paraan ng paglutas.
**Tungkulin ng mga Abogado:**
* Ang pagkonsulta sa isang abogado na dalubhasa sa estate planning at inheritance law ay lubos na inirerekomenda, lalo na para sa mga kumplikadong hindi pagkakaunawaan. Maaari silang:
* Magbigay ng payo sa pinakamahusay na paraan ng pagkilos batay sa partikular na sitwasyon.
* Kinakatawan ang mga benepisyaryo sa korte o mga proseso ng pamamagitan.
* Tumulong sa pagbalangkas ng mga kasunduan sa pag-aayos.
**Sa pangkalahatan, habang ang pagresolba sa mga hindi pagkakaunawaan sa mana ay maaaring maging mahirap, ang pagbibigay-priyoridad sa komunikasyon, paggalugad muna ng mga impormal na opsyon, at paghingi ng legal na patnubay kung kinakailangan ay maaaring humantong sa isang mas mahusay at kasiya-siyang resulta para sa lahat ng partidong kasangkot.**</v>
      </c>
      <c r="F581" s="2">
        <f t="shared" si="1"/>
        <v>0</v>
      </c>
      <c r="G581" s="2"/>
      <c r="H581" s="2"/>
      <c r="I581" s="2"/>
      <c r="J581" s="2"/>
      <c r="K581" s="2"/>
      <c r="L581" s="2"/>
      <c r="M581" s="2"/>
      <c r="N581" s="2"/>
      <c r="O581" s="2"/>
      <c r="P581" s="2"/>
      <c r="Q581" s="2"/>
      <c r="R581" s="2"/>
      <c r="S581" s="2"/>
      <c r="T581" s="2"/>
      <c r="U581" s="2"/>
      <c r="V581" s="2"/>
      <c r="W581" s="2"/>
      <c r="X581" s="2"/>
      <c r="Y581" s="2"/>
      <c r="Z581" s="2"/>
      <c r="AA581" s="2"/>
    </row>
    <row r="582">
      <c r="A582" s="1" t="s">
        <v>1224</v>
      </c>
      <c r="B582" s="1" t="s">
        <v>1960</v>
      </c>
      <c r="C582" s="1" t="s">
        <v>1961</v>
      </c>
      <c r="D582" s="1" t="s">
        <v>1962</v>
      </c>
      <c r="E582" s="2" t="str">
        <f>IFERROR(__xludf.DUMMYFUNCTION("GOOGLETRANSLATE(C582, ""en"", ""TL"")"),"Oo, ang mana sa Pilipinas ay maaaring gamitin upang bayaran ang mga gastusin sa libing, ngunit may ilang mahahalagang puntong dapat isaalang-alang:
**Priyoridad ng mga Utang:**
* Bagama't maaaring gamitin ang mana para sa mga gastos sa libing, mahalagang "&amp;"tandaan na inuuna ng batas ng Pilipinas ang pag-aayos sa mga hindi pa nababayarang utang ng namatay bago ipamahagi ang anumang mga ari-arian sa mga benepisyaryo. Kabilang dito ang:
* Mga hindi nabayarang pautang (mga mortgage, personal na pautang, credit "&amp;"card)
* Mga singil sa medikal
* Mga buwis na inutang
* Mga legal na bayarin na nauugnay sa probate (kung naaangkop)
* Pagkatapos lamang mabayaran ang lahat ng mga utang na ito, magagamit ang natitirang mana para sa mga gastusin sa libing o ipamahagi sa mg"&amp;"a benepisyaryo ayon sa testamento (kung mayroon man) o mga batas ng intestacy (kung walang testamento).
**Responsibilidad para sa mga Gastos sa Funeral:**
* Sa kawalan ng sapat na pondo sa ari-arian upang mabayaran ang parehong mga utang at mga gastos sa "&amp;"libing, ang batas ng Pilipinas sa pangkalahatan ay may pananagutan sa pinakamalapit na kamag-anak para sa mga gastos sa libing. Karaniwang kasama rito ang asawa, mga anak, mga magulang, o mga kapatid ng namatay.
* Gayunpaman, ang mga malalapit na kamag-an"&amp;"ak na ito ay hindi personal na mananagot sa mga utang na lampas sa halaga ng mana na kanilang natatanggap.
**Mga Alternatibo para sa Mga Gastos sa Funeral:**
* Kung ang ari-arian at mana ay hindi sapat upang mabayaran ang mga gastos sa libing, ang ilang p"&amp;"amilya ay maaaring:
* Maghanap ng tulong pinansyal mula sa mga organisasyong pangkawanggawa o mga programa ng pamahalaan na tumutulong sa mga gastos sa libing.
* Mag-opt para sa isang mas katamtamang serbisyo ng libing.
**Pagpaplano para sa mga Gastos sa "&amp;"Funeral:**
* Upang maiwasan ang paglalagay ng pinansiyal na pasanin sa mga mahal sa buhay, isaalang-alang ang pagpaplano para sa iyong sariling mga gastos sa libing nang maaga. Maaaring kabilang dito ang:
* Pagtabi ng mga ipon partikular para sa mga gasto"&amp;"s sa libing.
* Pagbili ng pre-need funeral plan.
* Pag-usapan ang iyong mga kagustuhan at badyet para sa iyong libing kasama ang iyong pamilya.
**Tungkulin ng Tagapagpatupad:**
* Ang tagapagpatupad o tagapangasiwa ng ari-arian (responsable sa paghawak ng "&amp;"mga ari-arian at mga utang ng namatay) sa huli ay responsable sa pagtiyak na ang lahat ng mga utang ay nababayaran at ang mga gastos sa libing ay binabayaran sa loob ng mga limitasyon ng magagamit na mga pondo sa ari-arian.
**Konklusyon:**
Ang mana ay maa"&amp;"aring pagmulan ng pondo para sa mga gastusin sa libing sa Pilipinas, ngunit mahalagang unahin ang pag-aayos sa mga hindi pa nababayarang utang. Ang pagpaplano nang maaga para sa mga gastos sa libing at malinaw na komunikasyon sa mga mahal sa buhay ay maka"&amp;"katulong na matiyak ang isang magalang at marangal na pamamaalam nang hindi lumilikha ng isang pinansiyal na pasanin para sa pamilya.")</f>
        <v>Oo, ang mana sa Pilipinas ay maaaring gamitin upang bayaran ang mga gastusin sa libing, ngunit may ilang mahahalagang puntong dapat isaalang-alang:
**Priyoridad ng mga Utang:**
* Bagama't maaaring gamitin ang mana para sa mga gastos sa libing, mahalagang tandaan na inuuna ng batas ng Pilipinas ang pag-aayos sa mga hindi pa nababayarang utang ng namatay bago ipamahagi ang anumang mga ari-arian sa mga benepisyaryo. Kabilang dito ang:
* Mga hindi nabayarang pautang (mga mortgage, personal na pautang, credit card)
* Mga singil sa medikal
* Mga buwis na inutang
* Mga legal na bayarin na nauugnay sa probate (kung naaangkop)
* Pagkatapos lamang mabayaran ang lahat ng mga utang na ito, magagamit ang natitirang mana para sa mga gastusin sa libing o ipamahagi sa mga benepisyaryo ayon sa testamento (kung mayroon man) o mga batas ng intestacy (kung walang testamento).
**Responsibilidad para sa mga Gastos sa Funeral:**
* Sa kawalan ng sapat na pondo sa ari-arian upang mabayaran ang parehong mga utang at mga gastos sa libing, ang batas ng Pilipinas sa pangkalahatan ay may pananagutan sa pinakamalapit na kamag-anak para sa mga gastos sa libing. Karaniwang kasama rito ang asawa, mga anak, mga magulang, o mga kapatid ng namatay.
* Gayunpaman, ang mga malalapit na kamag-anak na ito ay hindi personal na mananagot sa mga utang na lampas sa halaga ng mana na kanilang natatanggap.
**Mga Alternatibo para sa Mga Gastos sa Funeral:**
* Kung ang ari-arian at mana ay hindi sapat upang mabayaran ang mga gastos sa libing, ang ilang pamilya ay maaaring:
* Maghanap ng tulong pinansyal mula sa mga organisasyong pangkawanggawa o mga programa ng pamahalaan na tumutulong sa mga gastos sa libing.
* Mag-opt para sa isang mas katamtamang serbisyo ng libing.
**Pagpaplano para sa mga Gastos sa Funeral:**
* Upang maiwasan ang paglalagay ng pinansiyal na pasanin sa mga mahal sa buhay, isaalang-alang ang pagpaplano para sa iyong sariling mga gastos sa libing nang maaga. Maaaring kabilang dito ang:
* Pagtabi ng mga ipon partikular para sa mga gastos sa libing.
* Pagbili ng pre-need funeral plan.
* Pag-usapan ang iyong mga kagustuhan at badyet para sa iyong libing kasama ang iyong pamilya.
**Tungkulin ng Tagapagpatupad:**
* Ang tagapagpatupad o tagapangasiwa ng ari-arian (responsable sa paghawak ng mga ari-arian at mga utang ng namatay) sa huli ay responsable sa pagtiyak na ang lahat ng mga utang ay nababayaran at ang mga gastos sa libing ay binabayaran sa loob ng mga limitasyon ng magagamit na mga pondo sa ari-arian.
**Konklusyon:**
Ang mana ay maaaring pagmulan ng pondo para sa mga gastusin sa libing sa Pilipinas, ngunit mahalagang unahin ang pag-aayos sa mga hindi pa nababayarang utang. Ang pagpaplano nang maaga para sa mga gastos sa libing at malinaw na komunikasyon sa mga mahal sa buhay ay makakatulong na matiyak ang isang magalang at marangal na pamamaalam nang hindi lumilikha ng isang pinansiyal na pasanin para sa pamilya.</v>
      </c>
      <c r="F582" s="2">
        <f t="shared" si="1"/>
        <v>0</v>
      </c>
      <c r="G582" s="2"/>
      <c r="H582" s="2"/>
      <c r="I582" s="2"/>
      <c r="J582" s="2"/>
      <c r="K582" s="2"/>
      <c r="L582" s="2"/>
      <c r="M582" s="2"/>
      <c r="N582" s="2"/>
      <c r="O582" s="2"/>
      <c r="P582" s="2"/>
      <c r="Q582" s="2"/>
      <c r="R582" s="2"/>
      <c r="S582" s="2"/>
      <c r="T582" s="2"/>
      <c r="U582" s="2"/>
      <c r="V582" s="2"/>
      <c r="W582" s="2"/>
      <c r="X582" s="2"/>
      <c r="Y582" s="2"/>
      <c r="Z582" s="2"/>
      <c r="AA582" s="2"/>
    </row>
    <row r="583">
      <c r="A583" s="1" t="s">
        <v>1224</v>
      </c>
      <c r="B583" s="1" t="s">
        <v>1963</v>
      </c>
      <c r="C583" s="1" t="s">
        <v>1964</v>
      </c>
      <c r="D583" s="1" t="s">
        <v>1965</v>
      </c>
      <c r="E583" s="2" t="str">
        <f>IFERROR(__xludf.DUMMYFUNCTION("GOOGLETRANSLATE(C583, ""en"", ""TL"")"),"Ang pagmamana ng mga digital asset tulad ng cryptocurrency sa Pilipinas ay medyo bago at umuusbong na lugar. Wala pang partikular na batas na iniakma para sa digital asset inheritance, ngunit narito ang pangkalahatang-ideya ng mga kasalukuyang pagsasaalan"&amp;"g-alang:
**Mga Hamon sa Digital Assets:**
* **Intangible Nature:** Hindi tulad ng mga pisikal na asset, ang cryptocurrency ay umiiral nang digital at ang access ay kadalasang umaasa sa mga pribadong key o password. Maaari nitong maging mahirap na isama an"&amp;"g crypto sa isang tradisyunal na kalooban at matiyak na maaabot nito ang nilalayong benepisyaryo.
* **Kakulangan ng Legal na Kalinawan:** Ang batas ng Pilipinas ay hindi pa nagtatag ng malinaw na mga alituntunin para sa pagmamana ng cryptocurrency. Lumili"&amp;"kha ito ng kawalan ng katiyakan tungkol sa paglipat ng pagmamay-ari pagkatapos ng kamatayan.
**Mga Istratehiya sa Pagpaplano:**
Sa kabila ng mga hamong ito, may mga paraan upang magplano para sa pamana ng mga digital na asset:
* **Mga Tukoy na Tagubilin s"&amp;"a Will:** Bagama't maaaring hindi tiyak ang legal na timbang, maaari pa ring banggitin ng isang testamento ang iyong pagmamay-ari ng cryptocurrency at malinaw na isaad ang iyong mga kahilingan para sa mana nito. Maaaring kabilang dito ang pagtukoy sa bene"&amp;"pisyaryo at pagbibigay ng mga tagubilin sa pag-access sa crypto sa pamamagitan ng mga pribadong key o impormasyon ng account (secure na nakaimbak sa isang pinagkakatiwalaang indibidwal o paggamit ng safe deposit box na may malinaw na mga tagubilin para sa"&amp;" pag-access).
* **Digital Asset Management Platforms:** Nag-aalok na ngayon ang ilang cryptocurrency exchange o custodial services ng mga feature sa pagpaplano ng mana. Ang mga ito ay maaaring magpapahintulot sa iyo na magtalaga ng isang benepisyaryo para"&amp;" sa iyong mga crypto holding sa loob mismo ng platform.
* **Komunikasyon at Edukasyon:** Ang pagtalakay sa iyong mga digital na asset sa iyong mga nilalayong makikinabang ay napakahalaga. Turuan sila tungkol sa pagkakaroon ng iyong cryptocurrency, kung sa"&amp;"an ito nakaimbak, at kung paano ito i-access kapag pumasa ka. Isaalang-alang ang ligtas na pag-imbak ng mga pribadong key o impormasyon ng account ngunit sa paraang mauunawaan at makukuha nila nang may wastong gabay. **Kahalagahan ng Ligtas na Imbakan:**
"&amp;"* Anuman ang paraan na pinili, ang secure na imbakan ng mga pribadong key o mga kredensyal ng account ay pinakamahalaga. Ang pagkawala ng mga kredensyal na ito ay maaaring mangahulugan ng pagkawala ng access sa cryptocurrency magpakailanman, kahit na para"&amp;" sa nilalayong benepisyaryo.
**Mga Legal na Pag-unlad:**
* Ang Pilipinas ay bahagi ng mga bansang miyembro ng ASEAN na nagtatrabaho sa isang balangkas para sa digital na pera. Ang mga regulasyon sa hinaharap ay maaaring magbigay ng higit na kalinawan sa p"&amp;"amana ng digital asset.
**Pagkonsulta sa isang Abogado:**
* Dahil sa umuusbong na legal na tanawin, ang pagkonsulta sa isang abogado na dalubhasa sa parehong estate planning at cryptocurrency ay lubos na inirerekomenda. Maaari silang magpayo sa pinakamabi"&amp;"sang diskarte para sa iyong partikular na sitwasyon at tulungan kang magplano para sa maayos na proseso ng pamana para sa iyong mga digital na asset.
**Sa konklusyon,** ang pagmamana ng cryptocurrency sa Pilipinas ay nangangailangan ng maingat na pagpapla"&amp;"no dahil sa kakulangan ng itinatag na legal na mga balangkas. Sa pamamagitan ng pagsasama-sama ng malinaw na komunikasyon sa iyong mga benepisyaryo, secure na pag-iimbak ng mga kredensyal sa pag-access, at potensyal na paggamit ng mga digital asset manage"&amp;"ment platform kapag available, maaari mong pataasin ang mga pagkakataon na maabot ng iyong cryptocurrency ang nilalayon nitong destinasyon pagkatapos ng iyong kamatayan.")</f>
        <v>Ang pagmamana ng mga digital asset tulad ng cryptocurrency sa Pilipinas ay medyo bago at umuusbong na lugar. Wala pang partikular na batas na iniakma para sa digital asset inheritance, ngunit narito ang pangkalahatang-ideya ng mga kasalukuyang pagsasaalang-alang:
**Mga Hamon sa Digital Assets:**
* **Intangible Nature:** Hindi tulad ng mga pisikal na asset, ang cryptocurrency ay umiiral nang digital at ang access ay kadalasang umaasa sa mga pribadong key o password. Maaari nitong maging mahirap na isama ang crypto sa isang tradisyunal na kalooban at matiyak na maaabot nito ang nilalayong benepisyaryo.
* **Kakulangan ng Legal na Kalinawan:** Ang batas ng Pilipinas ay hindi pa nagtatag ng malinaw na mga alituntunin para sa pagmamana ng cryptocurrency. Lumilikha ito ng kawalan ng katiyakan tungkol sa paglipat ng pagmamay-ari pagkatapos ng kamatayan.
**Mga Istratehiya sa Pagpaplano:**
Sa kabila ng mga hamong ito, may mga paraan upang magplano para sa pamana ng mga digital na asset:
* **Mga Tukoy na Tagubilin sa Will:** Bagama't maaaring hindi tiyak ang legal na timbang, maaari pa ring banggitin ng isang testamento ang iyong pagmamay-ari ng cryptocurrency at malinaw na isaad ang iyong mga kahilingan para sa mana nito. Maaaring kabilang dito ang pagtukoy sa benepisyaryo at pagbibigay ng mga tagubilin sa pag-access sa crypto sa pamamagitan ng mga pribadong key o impormasyon ng account (secure na nakaimbak sa isang pinagkakatiwalaang indibidwal o paggamit ng safe deposit box na may malinaw na mga tagubilin para sa pag-access).
* **Digital Asset Management Platforms:** Nag-aalok na ngayon ang ilang cryptocurrency exchange o custodial services ng mga feature sa pagpaplano ng mana. Ang mga ito ay maaaring magpapahintulot sa iyo na magtalaga ng isang benepisyaryo para sa iyong mga crypto holding sa loob mismo ng platform.
* **Komunikasyon at Edukasyon:** Ang pagtalakay sa iyong mga digital na asset sa iyong mga nilalayong makikinabang ay napakahalaga. Turuan sila tungkol sa pagkakaroon ng iyong cryptocurrency, kung saan ito nakaimbak, at kung paano ito i-access kapag pumasa ka. Isaalang-alang ang ligtas na pag-imbak ng mga pribadong key o impormasyon ng account ngunit sa paraang mauunawaan at makukuha nila nang may wastong gabay. **Kahalagahan ng Ligtas na Imbakan:**
* Anuman ang paraan na pinili, ang secure na imbakan ng mga pribadong key o mga kredensyal ng account ay pinakamahalaga. Ang pagkawala ng mga kredensyal na ito ay maaaring mangahulugan ng pagkawala ng access sa cryptocurrency magpakailanman, kahit na para sa nilalayong benepisyaryo.
**Mga Legal na Pag-unlad:**
* Ang Pilipinas ay bahagi ng mga bansang miyembro ng ASEAN na nagtatrabaho sa isang balangkas para sa digital na pera. Ang mga regulasyon sa hinaharap ay maaaring magbigay ng higit na kalinawan sa pamana ng digital asset.
**Pagkonsulta sa isang Abogado:**
* Dahil sa umuusbong na legal na tanawin, ang pagkonsulta sa isang abogado na dalubhasa sa parehong estate planning at cryptocurrency ay lubos na inirerekomenda. Maaari silang magpayo sa pinakamabisang diskarte para sa iyong partikular na sitwasyon at tulungan kang magplano para sa maayos na proseso ng pamana para sa iyong mga digital na asset.
**Sa konklusyon,** ang pagmamana ng cryptocurrency sa Pilipinas ay nangangailangan ng maingat na pagpaplano dahil sa kakulangan ng itinatag na legal na mga balangkas. Sa pamamagitan ng pagsasama-sama ng malinaw na komunikasyon sa iyong mga benepisyaryo, secure na pag-iimbak ng mga kredensyal sa pag-access, at potensyal na paggamit ng mga digital asset management platform kapag available, maaari mong pataasin ang mga pagkakataon na maabot ng iyong cryptocurrency ang nilalayon nitong destinasyon pagkatapos ng iyong kamatayan.</v>
      </c>
      <c r="F583" s="2">
        <f t="shared" si="1"/>
        <v>0</v>
      </c>
      <c r="G583" s="2"/>
      <c r="H583" s="2"/>
      <c r="I583" s="2"/>
      <c r="J583" s="2"/>
      <c r="K583" s="2"/>
      <c r="L583" s="2"/>
      <c r="M583" s="2"/>
      <c r="N583" s="2"/>
      <c r="O583" s="2"/>
      <c r="P583" s="2"/>
      <c r="Q583" s="2"/>
      <c r="R583" s="2"/>
      <c r="S583" s="2"/>
      <c r="T583" s="2"/>
      <c r="U583" s="2"/>
      <c r="V583" s="2"/>
      <c r="W583" s="2"/>
      <c r="X583" s="2"/>
      <c r="Y583" s="2"/>
      <c r="Z583" s="2"/>
      <c r="AA583" s="2"/>
    </row>
    <row r="584">
      <c r="A584" s="1" t="s">
        <v>1224</v>
      </c>
      <c r="B584" s="1" t="s">
        <v>1966</v>
      </c>
      <c r="C584" s="1" t="s">
        <v>1967</v>
      </c>
      <c r="D584" s="1" t="s">
        <v>1968</v>
      </c>
      <c r="E584" s="2" t="str">
        <f>IFERROR(__xludf.DUMMYFUNCTION("GOOGLETRANSLATE(C584, ""en"", ""TL"")"),"Oo, ang mana sa Pilipinas ay maaaring maapektuhan nang malaki ng mga natitirang legal na obligasyon ng namatay. Narito ang isang breakdown kung paano:
**Nangunguna ang Utang kaysa Mana:**
* May karapatan ang mga nagpapautang na mabayaran bago matanggap ng"&amp;" mga benepisyaryo ang kanilang mana. Nangangahulugan ito na bago ipamahagi ang anumang mga ari-arian sa mga tagapagmana, kailangang bayaran ng ari-arian ang lahat ng hindi pa nababayarang utang at legal na obligasyon ng namatay. Maaaring kabilang sa mga o"&amp;"bligasyong ito ang:
* Mga hindi nabayarang pautang (mga mortgage, personal na pautang, credit card)
* Mga singil sa medikal
* Mga buwis na inutang
* Mga legal na bayarin na nauugnay sa probate (kung naaangkop)
**Proseso ng Pag-aayos ng mga Utang:**
1. **I"&amp;"mbentaryo ng mga Asset at Utang:** Ang tagapagpatupad o tagapangasiwa ng ari-arian (responsable sa paghawak ng mga ari-arian at utang ng namatay) ay gagawa muna ng imbentaryo ng lahat ng ari-arian at mga natitirang utang.
2. **Pyoridad sa Pagbabayad:** An"&amp;"g batas ng Pilipinas ay nagtatatag ng hierarchy para sa pag-aayos ng mga utang. Ang mga secure na nagpapautang (na may collateral tulad ng isang bahay para sa isang mortgage) ay may priyoridad kaysa sa mga hindi secure na nagpapautang (na walang collatera"&amp;"l tulad ng utang sa credit card). Maaaring may priyoridad din ang mga buwis at ilang partikular na bayarin sa gobyerno depende sa partikular na kaso.
3. **Pagbebenta ng mga Asset (kung kinakailangan):** Kung ang ari-arian ay walang sapat na pera na madali"&amp;"ng makuha upang bayaran ang lahat ng mga utang, ang ilang mga ari-arian ay maaaring kailangang ibenta upang makabuo ng mga pondo. 4. **Natitirang Mga Asset na Naipamahagi:** Kapag nabayaran na ang lahat ng utang at obligasyon, ang natitirang mga ari-arian"&amp;" sa ari-arian ay maaaring ipamahagi sa mga benepisyaryo ayon sa kalooban (kung mayroon) o mga batas sa kawalan ng katiyakan (kung walang testamento).
**Ang mga benepisyaryo ay hindi mananagot para sa mga utang na lampas sa mana:**
Mahalagang tandaan na sa"&amp;" Pilipinas, ang mga benepisyaryo sa pangkalahatan ay hindi personal na mananagot para sa mga utang ng namatay na higit sa halaga ng mana na kanilang natatanggap. Nangangahulugan ito na hindi sila maaaring pilitin na bayaran ang mga utang mula sa kanilang "&amp;"sariling mga bulsa kung ang mga ari-arian ng ari-arian ay hindi sapat. **Ano ang Magagawa ng Mga Makikinabang:**
* Ang mga benepisyaryo ay may karapatang malaman ang tungkol sa kalagayang pinansyal ng ari-arian, kabilang ang halaga ng mga utang.
* Maaari "&amp;"nilang piliin na:
* Tanggapin ang kanilang mana pagkatapos mabayaran ang mga utang (kung mayroon pang natitirang mga ari-arian).
* I-disclaim (tanggihan) ang kanilang mana nang buo upang maiwasan ang anumang potensyal na pananagutan.
**Kung isasaalang-ala"&amp;"ng ang mga puntong ito, malinaw na ang hindi pa nababayarang legal na mga obligasyon ng namatay ay maaaring magkaroon ng malaking epekto sa kung magkano, kung mayroon man, ang mga benepisyaryo sa huli ay mamanahin.**")</f>
        <v>Oo, ang mana sa Pilipinas ay maaaring maapektuhan nang malaki ng mga natitirang legal na obligasyon ng namatay. Narito ang isang breakdown kung paano:
**Nangunguna ang Utang kaysa Mana:**
* May karapatan ang mga nagpapautang na mabayaran bago matanggap ng mga benepisyaryo ang kanilang mana. Nangangahulugan ito na bago ipamahagi ang anumang mga ari-arian sa mga tagapagmana, kailangang bayaran ng ari-arian ang lahat ng hindi pa nababayarang utang at legal na obligasyon ng namatay. Maaaring kabilang sa mga obligasyong ito ang:
* Mga hindi nabayarang pautang (mga mortgage, personal na pautang, credit card)
* Mga singil sa medikal
* Mga buwis na inutang
* Mga legal na bayarin na nauugnay sa probate (kung naaangkop)
**Proseso ng Pag-aayos ng mga Utang:**
1. **Imbentaryo ng mga Asset at Utang:** Ang tagapagpatupad o tagapangasiwa ng ari-arian (responsable sa paghawak ng mga ari-arian at utang ng namatay) ay gagawa muna ng imbentaryo ng lahat ng ari-arian at mga natitirang utang.
2. **Pyoridad sa Pagbabayad:** Ang batas ng Pilipinas ay nagtatatag ng hierarchy para sa pag-aayos ng mga utang. Ang mga secure na nagpapautang (na may collateral tulad ng isang bahay para sa isang mortgage) ay may priyoridad kaysa sa mga hindi secure na nagpapautang (na walang collateral tulad ng utang sa credit card). Maaaring may priyoridad din ang mga buwis at ilang partikular na bayarin sa gobyerno depende sa partikular na kaso.
3. **Pagbebenta ng mga Asset (kung kinakailangan):** Kung ang ari-arian ay walang sapat na pera na madaling makuha upang bayaran ang lahat ng mga utang, ang ilang mga ari-arian ay maaaring kailangang ibenta upang makabuo ng mga pondo. 4. **Natitirang Mga Asset na Naipamahagi:** Kapag nabayaran na ang lahat ng utang at obligasyon, ang natitirang mga ari-arian sa ari-arian ay maaaring ipamahagi sa mga benepisyaryo ayon sa kalooban (kung mayroon) o mga batas sa kawalan ng katiyakan (kung walang testamento).
**Ang mga benepisyaryo ay hindi mananagot para sa mga utang na lampas sa mana:**
Mahalagang tandaan na sa Pilipinas, ang mga benepisyaryo sa pangkalahatan ay hindi personal na mananagot para sa mga utang ng namatay na higit sa halaga ng mana na kanilang natatanggap. Nangangahulugan ito na hindi sila maaaring pilitin na bayaran ang mga utang mula sa kanilang sariling mga bulsa kung ang mga ari-arian ng ari-arian ay hindi sapat. **Ano ang Magagawa ng Mga Makikinabang:**
* Ang mga benepisyaryo ay may karapatang malaman ang tungkol sa kalagayang pinansyal ng ari-arian, kabilang ang halaga ng mga utang.
* Maaari nilang piliin na:
* Tanggapin ang kanilang mana pagkatapos mabayaran ang mga utang (kung mayroon pang natitirang mga ari-arian).
* I-disclaim (tanggihan) ang kanilang mana nang buo upang maiwasan ang anumang potensyal na pananagutan.
**Kung isasaalang-alang ang mga puntong ito, malinaw na ang hindi pa nababayarang legal na mga obligasyon ng namatay ay maaaring magkaroon ng malaking epekto sa kung magkano, kung mayroon man, ang mga benepisyaryo sa huli ay mamanahin.**</v>
      </c>
      <c r="F584" s="2">
        <f t="shared" si="1"/>
        <v>0</v>
      </c>
      <c r="G584" s="2"/>
      <c r="H584" s="2"/>
      <c r="I584" s="2"/>
      <c r="J584" s="2"/>
      <c r="K584" s="2"/>
      <c r="L584" s="2"/>
      <c r="M584" s="2"/>
      <c r="N584" s="2"/>
      <c r="O584" s="2"/>
      <c r="P584" s="2"/>
      <c r="Q584" s="2"/>
      <c r="R584" s="2"/>
      <c r="S584" s="2"/>
      <c r="T584" s="2"/>
      <c r="U584" s="2"/>
      <c r="V584" s="2"/>
      <c r="W584" s="2"/>
      <c r="X584" s="2"/>
      <c r="Y584" s="2"/>
      <c r="Z584" s="2"/>
      <c r="AA584" s="2"/>
    </row>
    <row r="585">
      <c r="A585" s="1" t="s">
        <v>1224</v>
      </c>
      <c r="B585" s="1" t="s">
        <v>1969</v>
      </c>
      <c r="C585" s="1" t="s">
        <v>1970</v>
      </c>
      <c r="D585" s="1" t="s">
        <v>1971</v>
      </c>
      <c r="E585" s="2" t="str">
        <f>IFERROR(__xludf.DUMMYFUNCTION("GOOGLETRANSLATE(C585, ""en"", ""TL"")"),"Kung ang tagapagpatupad na pinangalanan sa isang testamento ay hindi magampanan ang kanilang mga tungkulin sa Pilipinas, narito ang maaaring mangyari:
**Mga Dahilan ng Kawalan ng Kakayahan:**
Mayroong iba't ibang dahilan kung bakit maaaring hindi magampan"&amp;"an ng isang tagapagpatupad ang kanilang mga responsibilidad, tulad ng:
* **Kamatayan o Kawalan ng Kakayahan:** Kung ang tagapagpatupad ay nauna sa testator (ang taong sumulat ng testamento) o nawalan ng kakayahan dahil sa sakit o paghina ng pag-iisip, hin"&amp;"di na nila kayang pangasiwaan ang ari-arian.
* **Hindi Kagustuhang Maglingkod:** Maaaring ayaw o hindi kayang gampanan ng tagapagpatupad ang mga responsibilidad dahil sa mga hadlang sa oras, kakulangan ng karanasan, o mga salungatan ng interes.
* **Pag-al"&amp;"is para sa Dahilan:** Sa mga bihirang kaso, maaaring alisin ng hukuman ang tagapagpatupad sa kanilang posisyon dahil sa maling pag-uugali, maling pamamahala sa ari-arian, o hindi pagtupad sa kanilang mga tungkulin.
**Mga Kahaliling Opsyon:**
Ang mga sumus"&amp;"unod na opsyon ay gumagana depende sa sitwasyon:
* **Kapalit na Tagapagpatupad:**
* **Pinangalanang Kapalit:** Ang testamento ay maaaring magtalaga ng isang kapalit na tagapagpatupad na humahawak sa mga tungkulin kung ang pangunahing tagapagpatupad ay hin"&amp;"di magagawa o ayaw maglingkod. Ito ang pinaka-ideal na senaryo.
* **Walang Pinangalanang Kapalit:** Kung walang pinangalanang kapalit, maaaring isaalang-alang ang mga sumusunod na opsyon:
* **Kasunduan sa Benepisyaryo:** Ang mga benepisyaryo na pinangalan"&amp;"an sa testamento ay maaaring magkasundo sa isang taong angkop na kumilos bilang tagapagpatupad at magpetisyon sa korte para sa kanilang appointment.
* **Court-Appointed Administrator:** Kung walang kasunduan sa mga benepisyaryo o isang pinangalanang kahal"&amp;"ili, ang hukuman ay magtatalaga ng isang administrator upang pangasiwaan ang ari-arian. Ang administrator na ito ay maaaring isang propesyonal na katiwala tulad ng isang bank trust department o isang kwalipikadong abogado.
**Proseso at Pagsasaalang-alang:"&amp;"**
* **Petisyon sa Korte:** Sa karamihan ng mga kaso na kinasasangkutan ng isang walang kakayahan o ayaw na tagapagpatupad, ang isang benepisyaryo o interesadong partido ay kailangang maghain ng petisyon sa korte upang simulan ang proseso ng pagpapalit sa"&amp;" tagapagpatupad o paghirang ng isang administrator.
* **Mga Pagdinig sa Hukuman:** Maaaring magsagawa ng mga pagdinig ang hukuman upang matukoy ang pinakamahusay na paraan ng pagkilos, isinasaalang-alang ang mga salik tulad ng mga tuntunin ng testamento, "&amp;"ang mga kwalipikasyon ng mga potensyal na kapalit, at ang mga kagustuhan ng mga benepisyaryo.
* **Mga Kinakailangan sa Pagbubuklod:** Ang mga tagapagpatupad o mga tagapangasiwa na hinirang ng hukuman ay karaniwang kailangang kumuha ng isang bono upang mat"&amp;"iyak na matutupad nila ang kanilang mga tungkulin nang may pananagutan. Ang halaga ng bono ay karaniwang nakabatay sa halaga ng ari-arian. **Kahalagahan ng isang Habilin:**
* Ang isang mahusay na draft na testamento na malinaw na nagpapangalan sa isang ka"&amp;"palit na tagapagpatupad ay maaaring makatulong na maiwasan ang mga komplikasyon at pagkaantala sa proseso ng probate kung ang pangunahing tagapagpatupad ay hindi makapaglingkod.
* Ang testamento ay maaari ring tukuyin ang mga kagustuhan ng testator tungko"&amp;"l sa paghirang ng isang tagapangasiwa ng korte, kung kinakailangan.
**Pagkonsulta sa isang Abogado:**
* Ang pagharap sa mga sitwasyon kung saan ang tagapagpatupad ay hindi makakilos ay maaaring maging kumplikado. Ang pagkonsulta sa isang abogado na dalubh"&amp;"asa sa estate planning at probate ay lubos na inirerekomenda. Maaari ka nilang gabayan sa legal na proseso, payuhan ang pinakamahusay na paraan ng pagkilos, at tiyakin ang maayos na pangangasiwa ng ari-arian ayon sa kagustuhan ng testator.")</f>
        <v>Kung ang tagapagpatupad na pinangalanan sa isang testamento ay hindi magampanan ang kanilang mga tungkulin sa Pilipinas, narito ang maaaring mangyari:
**Mga Dahilan ng Kawalan ng Kakayahan:**
Mayroong iba't ibang dahilan kung bakit maaaring hindi magampanan ng isang tagapagpatupad ang kanilang mga responsibilidad, tulad ng:
* **Kamatayan o Kawalan ng Kakayahan:** Kung ang tagapagpatupad ay nauna sa testator (ang taong sumulat ng testamento) o nawalan ng kakayahan dahil sa sakit o paghina ng pag-iisip, hindi na nila kayang pangasiwaan ang ari-arian.
* **Hindi Kagustuhang Maglingkod:** Maaaring ayaw o hindi kayang gampanan ng tagapagpatupad ang mga responsibilidad dahil sa mga hadlang sa oras, kakulangan ng karanasan, o mga salungatan ng interes.
* **Pag-alis para sa Dahilan:** Sa mga bihirang kaso, maaaring alisin ng hukuman ang tagapagpatupad sa kanilang posisyon dahil sa maling pag-uugali, maling pamamahala sa ari-arian, o hindi pagtupad sa kanilang mga tungkulin.
**Mga Kahaliling Opsyon:**
Ang mga sumusunod na opsyon ay gumagana depende sa sitwasyon:
* **Kapalit na Tagapagpatupad:**
* **Pinangalanang Kapalit:** Ang testamento ay maaaring magtalaga ng isang kapalit na tagapagpatupad na humahawak sa mga tungkulin kung ang pangunahing tagapagpatupad ay hindi magagawa o ayaw maglingkod. Ito ang pinaka-ideal na senaryo.
* **Walang Pinangalanang Kapalit:** Kung walang pinangalanang kapalit, maaaring isaalang-alang ang mga sumusunod na opsyon:
* **Kasunduan sa Benepisyaryo:** Ang mga benepisyaryo na pinangalanan sa testamento ay maaaring magkasundo sa isang taong angkop na kumilos bilang tagapagpatupad at magpetisyon sa korte para sa kanilang appointment.
* **Court-Appointed Administrator:** Kung walang kasunduan sa mga benepisyaryo o isang pinangalanang kahalili, ang hukuman ay magtatalaga ng isang administrator upang pangasiwaan ang ari-arian. Ang administrator na ito ay maaaring isang propesyonal na katiwala tulad ng isang bank trust department o isang kwalipikadong abogado.
**Proseso at Pagsasaalang-alang:**
* **Petisyon sa Korte:** Sa karamihan ng mga kaso na kinasasangkutan ng isang walang kakayahan o ayaw na tagapagpatupad, ang isang benepisyaryo o interesadong partido ay kailangang maghain ng petisyon sa korte upang simulan ang proseso ng pagpapalit sa tagapagpatupad o paghirang ng isang administrator.
* **Mga Pagdinig sa Hukuman:** Maaaring magsagawa ng mga pagdinig ang hukuman upang matukoy ang pinakamahusay na paraan ng pagkilos, isinasaalang-alang ang mga salik tulad ng mga tuntunin ng testamento, ang mga kwalipikasyon ng mga potensyal na kapalit, at ang mga kagustuhan ng mga benepisyaryo.
* **Mga Kinakailangan sa Pagbubuklod:** Ang mga tagapagpatupad o mga tagapangasiwa na hinirang ng hukuman ay karaniwang kailangang kumuha ng isang bono upang matiyak na matutupad nila ang kanilang mga tungkulin nang may pananagutan. Ang halaga ng bono ay karaniwang nakabatay sa halaga ng ari-arian. **Kahalagahan ng isang Habilin:**
* Ang isang mahusay na draft na testamento na malinaw na nagpapangalan sa isang kapalit na tagapagpatupad ay maaaring makatulong na maiwasan ang mga komplikasyon at pagkaantala sa proseso ng probate kung ang pangunahing tagapagpatupad ay hindi makapaglingkod.
* Ang testamento ay maaari ring tukuyin ang mga kagustuhan ng testator tungkol sa paghirang ng isang tagapangasiwa ng korte, kung kinakailangan.
**Pagkonsulta sa isang Abogado:**
* Ang pagharap sa mga sitwasyon kung saan ang tagapagpatupad ay hindi makakilos ay maaaring maging kumplikado. Ang pagkonsulta sa isang abogado na dalubhasa sa estate planning at probate ay lubos na inirerekomenda. Maaari ka nilang gabayan sa legal na proseso, payuhan ang pinakamahusay na paraan ng pagkilos, at tiyakin ang maayos na pangangasiwa ng ari-arian ayon sa kagustuhan ng testator.</v>
      </c>
      <c r="F585" s="2">
        <f t="shared" si="1"/>
        <v>0</v>
      </c>
      <c r="G585" s="2"/>
      <c r="H585" s="2"/>
      <c r="I585" s="2"/>
      <c r="J585" s="2"/>
      <c r="K585" s="2"/>
      <c r="L585" s="2"/>
      <c r="M585" s="2"/>
      <c r="N585" s="2"/>
      <c r="O585" s="2"/>
      <c r="P585" s="2"/>
      <c r="Q585" s="2"/>
      <c r="R585" s="2"/>
      <c r="S585" s="2"/>
      <c r="T585" s="2"/>
      <c r="U585" s="2"/>
      <c r="V585" s="2"/>
      <c r="W585" s="2"/>
      <c r="X585" s="2"/>
      <c r="Y585" s="2"/>
      <c r="Z585" s="2"/>
      <c r="AA585" s="2"/>
    </row>
    <row r="586">
      <c r="A586" s="1" t="s">
        <v>1224</v>
      </c>
      <c r="B586" s="1" t="s">
        <v>1972</v>
      </c>
      <c r="C586" s="1" t="s">
        <v>1973</v>
      </c>
      <c r="D586" s="1" t="s">
        <v>1974</v>
      </c>
      <c r="E586" s="2" t="str">
        <f>IFERROR(__xludf.DUMMYFUNCTION("GOOGLETRANSLATE(C586, ""en"", ""TL"")"),"Ang pamana para sa mga personal na ari-arian at sentimental na bagay ay maaaring magkaiba sa pagmamana ng mga asset na pinansyal o real estate sa ilang mahahalagang paraan:
**Pamamahagi Batay sa Will o Intestacy (Katulad):**
* **Will Prevails:** Katulad n"&amp;"g iba pang asset, kung may testamento, maaari nitong tukuyin kung sino ang dapat magmana ng mga partikular na personal na gamit o sentimental na item. Ito ang pinakasimpleng paraan upang matiyak na masusunod ang iyong mga kagustuhan.
* **Mga Batas sa Inte"&amp;"stacy (kung walang testamento):** Kung walang testamento, idinidikta ng mga batas sa kawalan ng katiyakan kung paano ipinamamahagi ang mga item na ito sa mga tagapagmana. Maaaring kabilang dito ang paghahati sa kanila ng pantay o pagsunod sa isang tiyak n"&amp;"a pagkakasunud-sunod ng mana ayon sa mga relasyon sa pamilya.
**Mga Hamon sa Pagpapahalaga:**
* **Monetary Value vs. Sentimental Value:** Hindi tulad ng mga financial asset o property na may malinaw na market value, ang mga personal na gamit at sentimenta"&amp;"l na item ay kadalasang nagtataglay ng makabuluhang emosyonal na halaga na hindi madaling matukoy. Maaari itong humantong sa mga hindi pagkakasundo sa pagitan ng mga tagapagmana na maaaring may iba't ibang attachment sa mga item na ito.
**Dibisyon at Pagk"&amp;"amakatarungan:**
* **Emosyonal na Attachment:** Ang sentimental na halaga na nakalakip sa mga item na ito ay maaaring gawing mas kumplikado ang paghahati sa mga ito kaysa sa paghahati ng mga purong pinansyal na asset. Walang one-size-fits-all na solusyon,"&amp;" at ang bukas na komunikasyon at kompromiso sa mga tagapagmana ay mahalaga.
**Mga Alternatibong Paraan ng Pamamahagi:**
* **Mga Tukoy na Pamana sa Testamento:** Ang isang testamento ay maaaring maging napaka-tiyak tungkol sa kung sino ang magmamana ng ila"&amp;"ng partikular na item, na binabawasan ang potensyal para sa mga hindi pagkakaunawaan. Halimbawa, maaaring sabihin nitong ""Iniiwan ko ang locket ng aking lola sa aking pamangkin na si Sarah.""
* **Mga Memento at Pagbabahagi:** Maaaring piliin ng mga tagap"&amp;"agmana na hatiin ang ilang partikular na koleksyon sa pamamagitan ng pagpayag sa bawat tao na pumili ng isang partikular na item hanggang sa maipamahagi ang lahat. Bilang kahalili, ang ilang mga bagay ay maaaring panatilihing hindi nahahati bilang mga ibi"&amp;"nahaging alaala ng pamilya.
* **Sentimental Value Assessment:** Sa ilang mga kaso, maaaring makipagtulungan ang mga tagapagmana sa isang propesyonal na appraiser na dalubhasa sa pagsusuri ng sentimental na halaga ng mga ari-arian. Hindi ito nagbibigay ng "&amp;"halaga sa pera ngunit makakatulong na maunawaan ang emosyonal na kahalagahan ng bawat item at gabayan ang isang patas na pamamahagi.
**Kahalagahan ng Komunikasyon:**
* **Open Discussions:** Bago magsimula ang proseso ng inheritance, pagkakaroon ng bukas n"&amp;"a talakayan sa mga miyembro ng pamilya tungkol sa kung sino ang nagpapahalaga kung aling mga item ang makakatulong na maiwasan ang mga salungatan sa hinaharap. * **Respecting Wishes:** Kung may malinaw na indikasyon sa isang testamento o sa pamamagitan ng"&amp;" mga naunang pag-uusap tungkol sa kagustuhan ng testator para sa ilang partikular na ari-arian, mahalagang igalang ang mga kagustuhang iyon hangga't maaari.
**Mga Karagdagang Pagsasaalang-alang:**
* **Mga Implikasyon sa Buwis:** Depende sa halaga ng mga m"&amp;"inanang item, maaaring may mga implikasyon sa buwis na dapat isaalang-alang. Inirerekomenda ang pagkonsulta sa isang tagapayo sa buwis kung kasangkot ang malalaking mahahalagang koleksyon.
* **Mga Digital na Asset:** Sa pagtaas ng digital na teknolohiya, "&amp;"isaalang-alang kung paano pangasiwaan ang mga digital na asset tulad ng mga larawan, video, o online na account na naglalaman ng sentimental na halaga. Ang malinaw na mga tagubilin sa isang testamento o mga talakayan sa pagitan ng pamilya ay maaaring maka"&amp;"tulong na matiyak na ang mga ito ay mapangalagaan at maipamahagi nang naaayon.
**Sa konklusyon,** habang ang legal na proseso para sa pagmamana ng mga personal na ari-arian at sentimental na item ay maaaring katulad ng iba pang mga asset, ang emosyonal na"&amp;" attachment ay nagdaragdag ng isang layer ng pagiging kumplikado. Ang bukas na komunikasyon, paggalang sa kagustuhan ng namatay, at malikhaing paraan ng pamamahagi ay susi sa maayos na pag-navigate sa aspetong ito ng mana.")</f>
        <v>Ang pamana para sa mga personal na ari-arian at sentimental na bagay ay maaaring magkaiba sa pagmamana ng mga asset na pinansyal o real estate sa ilang mahahalagang paraan:
**Pamamahagi Batay sa Will o Intestacy (Katulad):**
* **Will Prevails:** Katulad ng iba pang asset, kung may testamento, maaari nitong tukuyin kung sino ang dapat magmana ng mga partikular na personal na gamit o sentimental na item. Ito ang pinakasimpleng paraan upang matiyak na masusunod ang iyong mga kagustuhan.
* **Mga Batas sa Intestacy (kung walang testamento):** Kung walang testamento, idinidikta ng mga batas sa kawalan ng katiyakan kung paano ipinamamahagi ang mga item na ito sa mga tagapagmana. Maaaring kabilang dito ang paghahati sa kanila ng pantay o pagsunod sa isang tiyak na pagkakasunud-sunod ng mana ayon sa mga relasyon sa pamilya.
**Mga Hamon sa Pagpapahalaga:**
* **Monetary Value vs. Sentimental Value:** Hindi tulad ng mga financial asset o property na may malinaw na market value, ang mga personal na gamit at sentimental na item ay kadalasang nagtataglay ng makabuluhang emosyonal na halaga na hindi madaling matukoy. Maaari itong humantong sa mga hindi pagkakasundo sa pagitan ng mga tagapagmana na maaaring may iba't ibang attachment sa mga item na ito.
**Dibisyon at Pagkamakatarungan:**
* **Emosyonal na Attachment:** Ang sentimental na halaga na nakalakip sa mga item na ito ay maaaring gawing mas kumplikado ang paghahati sa mga ito kaysa sa paghahati ng mga purong pinansyal na asset. Walang one-size-fits-all na solusyon, at ang bukas na komunikasyon at kompromiso sa mga tagapagmana ay mahalaga.
**Mga Alternatibong Paraan ng Pamamahagi:**
* **Mga Tukoy na Pamana sa Testamento:** Ang isang testamento ay maaaring maging napaka-tiyak tungkol sa kung sino ang magmamana ng ilang partikular na item, na binabawasan ang potensyal para sa mga hindi pagkakaunawaan. Halimbawa, maaaring sabihin nitong "Iniiwan ko ang locket ng aking lola sa aking pamangkin na si Sarah."
* **Mga Memento at Pagbabahagi:** Maaaring piliin ng mga tagapagmana na hatiin ang ilang partikular na koleksyon sa pamamagitan ng pagpayag sa bawat tao na pumili ng isang partikular na item hanggang sa maipamahagi ang lahat. Bilang kahalili, ang ilang mga bagay ay maaaring panatilihing hindi nahahati bilang mga ibinahaging alaala ng pamilya.
* **Sentimental Value Assessment:** Sa ilang mga kaso, maaaring makipagtulungan ang mga tagapagmana sa isang propesyonal na appraiser na dalubhasa sa pagsusuri ng sentimental na halaga ng mga ari-arian. Hindi ito nagbibigay ng halaga sa pera ngunit makakatulong na maunawaan ang emosyonal na kahalagahan ng bawat item at gabayan ang isang patas na pamamahagi.
**Kahalagahan ng Komunikasyon:**
* **Open Discussions:** Bago magsimula ang proseso ng inheritance, pagkakaroon ng bukas na talakayan sa mga miyembro ng pamilya tungkol sa kung sino ang nagpapahalaga kung aling mga item ang makakatulong na maiwasan ang mga salungatan sa hinaharap. * **Respecting Wishes:** Kung may malinaw na indikasyon sa isang testamento o sa pamamagitan ng mga naunang pag-uusap tungkol sa kagustuhan ng testator para sa ilang partikular na ari-arian, mahalagang igalang ang mga kagustuhang iyon hangga't maaari.
**Mga Karagdagang Pagsasaalang-alang:**
* **Mga Implikasyon sa Buwis:** Depende sa halaga ng mga minanang item, maaaring may mga implikasyon sa buwis na dapat isaalang-alang. Inirerekomenda ang pagkonsulta sa isang tagapayo sa buwis kung kasangkot ang malalaking mahahalagang koleksyon.
* **Mga Digital na Asset:** Sa pagtaas ng digital na teknolohiya, isaalang-alang kung paano pangasiwaan ang mga digital na asset tulad ng mga larawan, video, o online na account na naglalaman ng sentimental na halaga. Ang malinaw na mga tagubilin sa isang testamento o mga talakayan sa pagitan ng pamilya ay maaaring makatulong na matiyak na ang mga ito ay mapangalagaan at maipamahagi nang naaayon.
**Sa konklusyon,** habang ang legal na proseso para sa pagmamana ng mga personal na ari-arian at sentimental na item ay maaaring katulad ng iba pang mga asset, ang emosyonal na attachment ay nagdaragdag ng isang layer ng pagiging kumplikado. Ang bukas na komunikasyon, paggalang sa kagustuhan ng namatay, at malikhaing paraan ng pamamahagi ay susi sa maayos na pag-navigate sa aspetong ito ng mana.</v>
      </c>
      <c r="F586" s="2">
        <f t="shared" si="1"/>
        <v>0</v>
      </c>
      <c r="G586" s="2"/>
      <c r="H586" s="2"/>
      <c r="I586" s="2"/>
      <c r="J586" s="2"/>
      <c r="K586" s="2"/>
      <c r="L586" s="2"/>
      <c r="M586" s="2"/>
      <c r="N586" s="2"/>
      <c r="O586" s="2"/>
      <c r="P586" s="2"/>
      <c r="Q586" s="2"/>
      <c r="R586" s="2"/>
      <c r="S586" s="2"/>
      <c r="T586" s="2"/>
      <c r="U586" s="2"/>
      <c r="V586" s="2"/>
      <c r="W586" s="2"/>
      <c r="X586" s="2"/>
      <c r="Y586" s="2"/>
      <c r="Z586" s="2"/>
      <c r="AA586" s="2"/>
    </row>
    <row r="587">
      <c r="A587" s="1" t="s">
        <v>1224</v>
      </c>
      <c r="B587" s="1" t="s">
        <v>1975</v>
      </c>
      <c r="C587" s="1" t="s">
        <v>1976</v>
      </c>
      <c r="D587" s="1" t="s">
        <v>1977</v>
      </c>
      <c r="E587" s="2" t="str">
        <f>IFERROR(__xludf.DUMMYFUNCTION("GOOGLETRANSLATE(C587, ""en"", ""TL"")"),"Oo, ang mana sa Pilipinas ay maaaring hamunin batay sa hindi nararapat na impluwensya o pamimilit. Narito ang isang breakdown ng sitwasyon:
* **Grounds for Contest:** Ang isang benepisyaryo, isang potensyal na tagapagmana na hindi kasama sa testamento, o "&amp;"kahit isang pinagkakautangan ay maaaring makipaglaban sa isang testamento kung naniniwala silang hindi ito ang tunay na salamin ng mga kagustuhan ng namatay dahil sa hindi nararapat na impluwensya o pamimilit.
* **Undue Influence Defined:** Undue influenc"&amp;"e occurs when someone pressures, manipulate, or threatened the testator (taong sumulat ng will) to make a will be benefit them in a way that wouldn't happen without such pressure. Maaaring may kinalaman ito sa mga bagay tulad ng:
* Pinagsasamantalahan ang"&amp;" isang mapagkakatiwalaang relasyon
* Sinasamantala ang mental o emosyonal na kahinaan ng testator
* Ihiwalay ang testator mula sa pamilya at mga kaibigan
* **Pagpipilit Tinukoy:** Ang pamimilit ay kinabibilangan ng paggamit ng puwersa, pagbabanta, o panan"&amp;"akot upang pilitin ang testator na lumikha ng isang testamento na makikinabang sa isang partikular na tao. Ito ay isang mas matinding anyo ng hindi nararapat na impluwensya.
* **Burden of Proof:** Ang taong humahamon sa kalooban ay may pasanin na patunaya"&amp;"n ang hindi nararapat na impluwensya o pamimilit sa pamamagitan ng mas maraming ebidensya (mas malamang kaysa hindi). Ito ay maaaring maging mahirap, dahil nangangailangan ito ng pagtatatag kung ano ang tunay na nais ng testator at pagpapakita kung paano "&amp;"sila pinilit na baguhin ang mga ito.
**Mga Halimbawa ng Katibayan:**
* **Mga Pagbabago sa Testamento:** Ang biglaan o hindi maipaliwanag na mga pagbabago sa testamento, lalo na kung malaki ang pakinabang ng mga ito sa isang taong may malapit na kaugnayan "&amp;"sa testator at nagkaroon ng hindi nararapat na impluwensya, ay maaaring maging kahina-hinala.
* **Testimonya ng Saksi:** Ang mga saksi na naroroon noong nilagdaan ang testamento ay maaaring makapagpatotoo tungkol sa kalagayan ng pag-iisip ng testator o an"&amp;"umang panggigipit na ginawa ng pinag-uusapang benepisyaryo.
* **Mga Rekord na Medikal:** Kung ang testator ay may anumang kapansanan sa pag-iisip o pisikal sa oras na nilagdaan ang testamento, maaaring gamitin ang mga medikal na rekord upang suportahan an"&amp;"g isang paghahabol ng hindi nararapat na impluwensya.
* **Mga Talaang Pananalapi:** Ang mga talaan sa pananalapi na nagpapakita ng mga kahina-hinalang transaksyon o mga regalo sa benepisyaryo sa oras na isinulat ang testamento ay maaaring may kaugnayang e"&amp;"bidensya.
**Kahalagahan ng Legal na Kinatawan:**
Ang paghamon sa isang testamento batay sa hindi nararapat na impluwensya o pamimilit ay isang kumplikadong legal na proseso. Ang pagkonsulta sa isang abogado na dalubhasa sa paglilitis sa ari-arian ay mahal"&amp;"aga. Makakatulong silang mangalap ng ebidensya, bumuo ng isang malakas na kaso, at mag-navigate sa mga paglilitis sa korte.
**Sa pangkalahatan,** habang ang paghamon sa isang testamento sa mga batayan na ito ay mahirap, maaari itong maging matagumpay kung"&amp;" mayroong sapat na ebidensya. Kung naniniwala kang ang isang mana ay nakuha sa pamamagitan ng hindi nararapat na impluwensya o pamimilit, ang pakikipag-usap sa isang abogado ay makakatulong na matukoy kung mayroon kang isang wastong kaso.")</f>
        <v>Oo, ang mana sa Pilipinas ay maaaring hamunin batay sa hindi nararapat na impluwensya o pamimilit. Narito ang isang breakdown ng sitwasyon:
* **Grounds for Contest:** Ang isang benepisyaryo, isang potensyal na tagapagmana na hindi kasama sa testamento, o kahit isang pinagkakautangan ay maaaring makipaglaban sa isang testamento kung naniniwala silang hindi ito ang tunay na salamin ng mga kagustuhan ng namatay dahil sa hindi nararapat na impluwensya o pamimilit.
* **Undue Influence Defined:** Undue influence occurs when someone pressures, manipulate, or threatened the testator (taong sumulat ng will) to make a will be benefit them in a way that wouldn't happen without such pressure. Maaaring may kinalaman ito sa mga bagay tulad ng:
* Pinagsasamantalahan ang isang mapagkakatiwalaang relasyon
* Sinasamantala ang mental o emosyonal na kahinaan ng testator
* Ihiwalay ang testator mula sa pamilya at mga kaibigan
* **Pagpipilit Tinukoy:** Ang pamimilit ay kinabibilangan ng paggamit ng puwersa, pagbabanta, o pananakot upang pilitin ang testator na lumikha ng isang testamento na makikinabang sa isang partikular na tao. Ito ay isang mas matinding anyo ng hindi nararapat na impluwensya.
* **Burden of Proof:** Ang taong humahamon sa kalooban ay may pasanin na patunayan ang hindi nararapat na impluwensya o pamimilit sa pamamagitan ng mas maraming ebidensya (mas malamang kaysa hindi). Ito ay maaaring maging mahirap, dahil nangangailangan ito ng pagtatatag kung ano ang tunay na nais ng testator at pagpapakita kung paano sila pinilit na baguhin ang mga ito.
**Mga Halimbawa ng Katibayan:**
* **Mga Pagbabago sa Testamento:** Ang biglaan o hindi maipaliwanag na mga pagbabago sa testamento, lalo na kung malaki ang pakinabang ng mga ito sa isang taong may malapit na kaugnayan sa testator at nagkaroon ng hindi nararapat na impluwensya, ay maaaring maging kahina-hinala.
* **Testimonya ng Saksi:** Ang mga saksi na naroroon noong nilagdaan ang testamento ay maaaring makapagpatotoo tungkol sa kalagayan ng pag-iisip ng testator o anumang panggigipit na ginawa ng pinag-uusapang benepisyaryo.
* **Mga Rekord na Medikal:** Kung ang testator ay may anumang kapansanan sa pag-iisip o pisikal sa oras na nilagdaan ang testamento, maaaring gamitin ang mga medikal na rekord upang suportahan ang isang paghahabol ng hindi nararapat na impluwensya.
* **Mga Talaang Pananalapi:** Ang mga talaan sa pananalapi na nagpapakita ng mga kahina-hinalang transaksyon o mga regalo sa benepisyaryo sa oras na isinulat ang testamento ay maaaring may kaugnayang ebidensya.
**Kahalagahan ng Legal na Kinatawan:**
Ang paghamon sa isang testamento batay sa hindi nararapat na impluwensya o pamimilit ay isang kumplikadong legal na proseso. Ang pagkonsulta sa isang abogado na dalubhasa sa paglilitis sa ari-arian ay mahalaga. Makakatulong silang mangalap ng ebidensya, bumuo ng isang malakas na kaso, at mag-navigate sa mga paglilitis sa korte.
**Sa pangkalahatan,** habang ang paghamon sa isang testamento sa mga batayan na ito ay mahirap, maaari itong maging matagumpay kung mayroong sapat na ebidensya. Kung naniniwala kang ang isang mana ay nakuha sa pamamagitan ng hindi nararapat na impluwensya o pamimilit, ang pakikipag-usap sa isang abogado ay makakatulong na matukoy kung mayroon kang isang wastong kaso.</v>
      </c>
      <c r="F587" s="2">
        <f t="shared" si="1"/>
        <v>0</v>
      </c>
      <c r="G587" s="2"/>
      <c r="H587" s="2"/>
      <c r="I587" s="2"/>
      <c r="J587" s="2"/>
      <c r="K587" s="2"/>
      <c r="L587" s="2"/>
      <c r="M587" s="2"/>
      <c r="N587" s="2"/>
      <c r="O587" s="2"/>
      <c r="P587" s="2"/>
      <c r="Q587" s="2"/>
      <c r="R587" s="2"/>
      <c r="S587" s="2"/>
      <c r="T587" s="2"/>
      <c r="U587" s="2"/>
      <c r="V587" s="2"/>
      <c r="W587" s="2"/>
      <c r="X587" s="2"/>
      <c r="Y587" s="2"/>
      <c r="Z587" s="2"/>
      <c r="AA587" s="2"/>
    </row>
    <row r="588">
      <c r="A588" s="1" t="s">
        <v>1224</v>
      </c>
      <c r="B588" s="1" t="s">
        <v>1978</v>
      </c>
      <c r="C588" s="1" t="s">
        <v>1979</v>
      </c>
      <c r="D588" s="1" t="s">
        <v>1980</v>
      </c>
      <c r="E588" s="2" t="str">
        <f>IFERROR(__xludf.DUMMYFUNCTION("GOOGLETRANSLATE(C588, ""en"", ""TL"")"),"Sa Pilipinas, kapag ang isang menor de edad ay nagmana ng mga ari-arian, isang mahalagang papel ang ginagampanan ng isang tagapag-alaga sa pamamahala sa mana na iyon para sa kanilang kapakinabangan. Narito ang isang breakdown ng kanilang mga responsibilid"&amp;"ad:
**Pagprotekta at Pagpapanatili ng mga Asset:**
* Ang pangunahing tungkulin ng tagapag-alaga ay pangalagaan ang minanang ari-arian ng menor de edad. Kabilang dito ang:
* Pagkuha ng imbentaryo ng lahat ng minanang asset (cash, property, investments)
* P"&amp;"agtiyak ng wastong legal na pagpaparehistro at dokumentasyon ng mga ari-arian sa pangalan ng menor de edad
* Pag-secure ng mga asset mula sa pagkawala, pinsala, o maling paggamit
**Paggawa ng Maingat na mga Desisyon sa Pamumuhunan:**
* Ang tagapag-alaga a"&amp;"y hindi maaaring basta-basta humawak sa mga ari-arian. Inaasahan silang mamuhunan nang matalino upang mapanatili at potensyal na mapalago ang kanilang halaga para sa hinaharap na benepisyo ng menor de edad. Kabilang dito ang:
* Pagsunod sa isang maingat n"&amp;"a pamantayan ng mamumuhunan, ibig sabihin ay paggawa ng mga tamang desisyon sa pamumuhunan batay sa edad ng menor de edad, pagpaparaya sa panganib, at pangmatagalang layunin.
* Pag-iba-iba ng mga pamumuhunan upang mabawasan ang panganib.
**Pamamahala ng K"&amp;"ita at Mga Gastos:**
* Ang anumang kita na nabuo mula sa minanang mga ari-arian (renta, interes) ay kailangang pamahalaan nang responsable. Maaaring kabilang dito ang:
* Paggamit ng ilang kita para sa mga pangangailangan ng menor de edad (edukasyon, panga"&amp;"ngalagang pangkalusugan) kung kinakailangan.
* Muling i-invest ang isang bahagi ng kita upang mapalago ang mana para sa kinabukasan ng menor de edad.
**Pagtugon sa Mga Legal na Kinakailangan:**
* Maaaring kailanganin ng tagapag-alaga na sumunod sa mga par"&amp;"tikular na legal na kinakailangan depende sa uri at halaga ng mana. Maaaring kabilang dito ang:
* Pag-file ng mga tax return sa ngalan ng menor de edad para sa kita na nabuo mula sa mga asset.
* Pagkuha ng pag-apruba ng hukuman para sa ilang partikular na"&amp;" transaksyong kinasasangkutan ng mga asset, lalo na ang mga pamumuhunan na may mataas na panganib o pagbebenta ng mahahalagang asset.
**Pag-uulat at Pananagutan:**
* Ang tagapag-alaga ay karaniwang nananagot sa korte at/o sa mga magulang ng menor de edad "&amp;"(kung buhay pa) para sa kanilang pamamahala sa mana. Maaaring kabilang dito ang:
* Pagpapanatili ng mga detalyadong talaan ng lahat ng transaksyong nauugnay sa minanang mga ari-arian.
* Pagsusumite ng mga pana-panahong ulat sa korte o mga magulang tungkol"&amp;" sa katayuan ng mana.
**Transitioning to Adulthood:**
* Habang papalapit ang menor de edad sa pagtanda (karaniwan ay 18 taong gulang sa Pilipinas), ang tungkulin ng tagapag-alaga ay tulungan silang maunawaan ang kanilang mana at ihanda silang pamahalaan i"&amp;"to nang responsable. Maaaring kabilang dito ang:
* Pagbibigay ng financial literacy education
* Pagpapaliwanag ng mga diskarte sa pamumuhunan
* Pagtulong sa ligal na paglipat ng pagmamay-ari ng mga ari-arian sa menor de edad kapag nasa hustong gulang na.
"&amp;"**Mahahalagang Pagsasaalang-alang:**
* Ang mga partikular na tungkulin at limitasyon ng isang tagapag-alaga tungkol sa pamamahala ng mana ay maaaring ibalangkas sa isang utos ng hukuman na humirang sa kanila. * Ang pagkonsulta sa isang abogado na dalubhas"&amp;"a sa estate planning at minor guardianship ay lubos na inirerekomenda upang maunawaan ang mga legalidad at matiyak na ginagampanan ng tagapag-alaga ang kanilang mga responsibilidad ayon sa batas.
Sa esensya, ang isang tagapag-alaga ay kumikilos bilang isa"&amp;"ng responsableng tagapangasiwa ng mana ng menor de edad, tinitiyak na ito ay protektado, lumalaki, at sa huli ay nakikinabang ang menor de edad kapag sila ay nasa hustong gulang.")</f>
        <v>Sa Pilipinas, kapag ang isang menor de edad ay nagmana ng mga ari-arian, isang mahalagang papel ang ginagampanan ng isang tagapag-alaga sa pamamahala sa mana na iyon para sa kanilang kapakinabangan. Narito ang isang breakdown ng kanilang mga responsibilidad:
**Pagprotekta at Pagpapanatili ng mga Asset:**
* Ang pangunahing tungkulin ng tagapag-alaga ay pangalagaan ang minanang ari-arian ng menor de edad. Kabilang dito ang:
* Pagkuha ng imbentaryo ng lahat ng minanang asset (cash, property, investments)
* Pagtiyak ng wastong legal na pagpaparehistro at dokumentasyon ng mga ari-arian sa pangalan ng menor de edad
* Pag-secure ng mga asset mula sa pagkawala, pinsala, o maling paggamit
**Paggawa ng Maingat na mga Desisyon sa Pamumuhunan:**
* Ang tagapag-alaga ay hindi maaaring basta-basta humawak sa mga ari-arian. Inaasahan silang mamuhunan nang matalino upang mapanatili at potensyal na mapalago ang kanilang halaga para sa hinaharap na benepisyo ng menor de edad. Kabilang dito ang:
* Pagsunod sa isang maingat na pamantayan ng mamumuhunan, ibig sabihin ay paggawa ng mga tamang desisyon sa pamumuhunan batay sa edad ng menor de edad, pagpaparaya sa panganib, at pangmatagalang layunin.
* Pag-iba-iba ng mga pamumuhunan upang mabawasan ang panganib.
**Pamamahala ng Kita at Mga Gastos:**
* Ang anumang kita na nabuo mula sa minanang mga ari-arian (renta, interes) ay kailangang pamahalaan nang responsable. Maaaring kabilang dito ang:
* Paggamit ng ilang kita para sa mga pangangailangan ng menor de edad (edukasyon, pangangalagang pangkalusugan) kung kinakailangan.
* Muling i-invest ang isang bahagi ng kita upang mapalago ang mana para sa kinabukasan ng menor de edad.
**Pagtugon sa Mga Legal na Kinakailangan:**
* Maaaring kailanganin ng tagapag-alaga na sumunod sa mga partikular na legal na kinakailangan depende sa uri at halaga ng mana. Maaaring kabilang dito ang:
* Pag-file ng mga tax return sa ngalan ng menor de edad para sa kita na nabuo mula sa mga asset.
* Pagkuha ng pag-apruba ng hukuman para sa ilang partikular na transaksyong kinasasangkutan ng mga asset, lalo na ang mga pamumuhunan na may mataas na panganib o pagbebenta ng mahahalagang asset.
**Pag-uulat at Pananagutan:**
* Ang tagapag-alaga ay karaniwang nananagot sa korte at/o sa mga magulang ng menor de edad (kung buhay pa) para sa kanilang pamamahala sa mana. Maaaring kabilang dito ang:
* Pagpapanatili ng mga detalyadong talaan ng lahat ng transaksyong nauugnay sa minanang mga ari-arian.
* Pagsusumite ng mga pana-panahong ulat sa korte o mga magulang tungkol sa katayuan ng mana.
**Transitioning to Adulthood:**
* Habang papalapit ang menor de edad sa pagtanda (karaniwan ay 18 taong gulang sa Pilipinas), ang tungkulin ng tagapag-alaga ay tulungan silang maunawaan ang kanilang mana at ihanda silang pamahalaan ito nang responsable. Maaaring kabilang dito ang:
* Pagbibigay ng financial literacy education
* Pagpapaliwanag ng mga diskarte sa pamumuhunan
* Pagtulong sa ligal na paglipat ng pagmamay-ari ng mga ari-arian sa menor de edad kapag nasa hustong gulang na.
**Mahahalagang Pagsasaalang-alang:**
* Ang mga partikular na tungkulin at limitasyon ng isang tagapag-alaga tungkol sa pamamahala ng mana ay maaaring ibalangkas sa isang utos ng hukuman na humirang sa kanila. * Ang pagkonsulta sa isang abogado na dalubhasa sa estate planning at minor guardianship ay lubos na inirerekomenda upang maunawaan ang mga legalidad at matiyak na ginagampanan ng tagapag-alaga ang kanilang mga responsibilidad ayon sa batas.
Sa esensya, ang isang tagapag-alaga ay kumikilos bilang isang responsableng tagapangasiwa ng mana ng menor de edad, tinitiyak na ito ay protektado, lumalaki, at sa huli ay nakikinabang ang menor de edad kapag sila ay nasa hustong gulang.</v>
      </c>
      <c r="F588" s="2">
        <f t="shared" si="1"/>
        <v>0</v>
      </c>
      <c r="G588" s="2"/>
      <c r="H588" s="2"/>
      <c r="I588" s="2"/>
      <c r="J588" s="2"/>
      <c r="K588" s="2"/>
      <c r="L588" s="2"/>
      <c r="M588" s="2"/>
      <c r="N588" s="2"/>
      <c r="O588" s="2"/>
      <c r="P588" s="2"/>
      <c r="Q588" s="2"/>
      <c r="R588" s="2"/>
      <c r="S588" s="2"/>
      <c r="T588" s="2"/>
      <c r="U588" s="2"/>
      <c r="V588" s="2"/>
      <c r="W588" s="2"/>
      <c r="X588" s="2"/>
      <c r="Y588" s="2"/>
      <c r="Z588" s="2"/>
      <c r="AA588" s="2"/>
    </row>
    <row r="589">
      <c r="A589" s="1" t="s">
        <v>1224</v>
      </c>
      <c r="B589" s="1" t="s">
        <v>1981</v>
      </c>
      <c r="C589" s="1" t="s">
        <v>1982</v>
      </c>
      <c r="D589" s="1" t="s">
        <v>1983</v>
      </c>
      <c r="E589" s="2" t="str">
        <f>IFERROR(__xludf.DUMMYFUNCTION("GOOGLETRANSLATE(C589, ""en"", ""TL"")"),"Sa Pilipinas, ang paglipat ng mga karapatan sa mana ay nakasalalay sa partikular na sitwasyon:
* **Pagtatalaga ng Mana:** Maaaring may limitadong mga posibilidad para sa pagtatalaga ng mga karapatan sa mana. Narito ang isang breakdown:
* **Na may Pahintul"&amp;"ot:** Kung ang benepisyaryo ay buhay pa, maaari nilang italaga ang kanilang mga karapatan sa mana sa ibang tao **nang may pahintulot ng taong mag-iiwan sa kanila ng mana (ang testator)**. Ito ay malamang na gawing pormal sa isang legal na kasunduan.
* **W"&amp;"alang Pahintulot (Limitado):** Sa ilang mga sitwasyon, kahit na walang pahintulot ng testator, pinapayagan ng batas ng Pilipinas ang isang benepisyaryo na pumasok sa isang ""pact of inheritance"" sa isang third party. Ang kasunduang ito ay mahalagang pang"&amp;"ako na ibahagi ang mana kung matanggap ito ng benepisyaryo. Gayunpaman, ang mga kasunduan na ito ay hindi palaging maipapatupad sa korte, at may mga partikular na kinakailangan para maging wasto ang mga ito. * **Disclaimer of Inheritance:** Ang isang bene"&amp;"pisyaryo ay maaaring pumili na **i-disclaim ang kanilang inheritance nang buo**. Nangangahulugan ito na pormal nilang tinatanggihan ang kanilang karapatang magmana. Sa sandaling i-disclaim, ang mana ay ipapasa sa susunod na benepisyaryo ayon sa mga batas "&amp;"sa kalooban o kawalan ng buhay.
**Mahahalagang Pagsasaalang-alang:**
* **Mga Probisyon ng Will:** Maaaring tahasang ipagbawal o paghigpitan ng mga tuntunin ng testamento ang pagtatalaga ng mga karapatan sa mana. Napakahalaga na maingat na suriin ang wika "&amp;"ng kalooban.
* **Legal na Payo:** Ang pagkonsulta sa isang abogado na dalubhasa sa pagpaplano ng ari-arian ay lubos na inirerekomenda upang maunawaan ang mga legalidad ng paglipat ng mana sa iyong partikular na sitwasyon. **Narito ang isang pagkakatulad:*"&amp;"* Isipin ang mga karapatan sa mana tulad ng isang hindi naililipat na tiket sa isang konsiyerto. Maaari mong isuko ang iyong tiket (disclaim), ngunit sa pangkalahatan ay hindi mo ito maaaring ibenta sa iba (assignment) nang walang pahintulot ng organizer "&amp;"(testator).
**Sa konklusyon,** habang maaaring may limitadong mga opsyon para sa pagtatalaga ng mga karapatan sa mana sa Pilipinas na may pahintulot ng testator, hindi ito isang diretsong proseso. Ang pagtanggi sa mana ay isang mas malinaw na opsyon, ngun"&amp;"it nangangahulugan itong ganap na isuko ang mana. Ang pagkonsulta sa isang abugado ay napakahalaga upang ma-navigate ang mga legalidad at maunawaan ang iyong pinakamahusay na paraan ng pagkilos.")</f>
        <v>Sa Pilipinas, ang paglipat ng mga karapatan sa mana ay nakasalalay sa partikular na sitwasyon:
* **Pagtatalaga ng Mana:** Maaaring may limitadong mga posibilidad para sa pagtatalaga ng mga karapatan sa mana. Narito ang isang breakdown:
* **Na may Pahintulot:** Kung ang benepisyaryo ay buhay pa, maaari nilang italaga ang kanilang mga karapatan sa mana sa ibang tao **nang may pahintulot ng taong mag-iiwan sa kanila ng mana (ang testator)**. Ito ay malamang na gawing pormal sa isang legal na kasunduan.
* **Walang Pahintulot (Limitado):** Sa ilang mga sitwasyon, kahit na walang pahintulot ng testator, pinapayagan ng batas ng Pilipinas ang isang benepisyaryo na pumasok sa isang "pact of inheritance" sa isang third party. Ang kasunduang ito ay mahalagang pangako na ibahagi ang mana kung matanggap ito ng benepisyaryo. Gayunpaman, ang mga kasunduan na ito ay hindi palaging maipapatupad sa korte, at may mga partikular na kinakailangan para maging wasto ang mga ito. * **Disclaimer of Inheritance:** Ang isang benepisyaryo ay maaaring pumili na **i-disclaim ang kanilang inheritance nang buo**. Nangangahulugan ito na pormal nilang tinatanggihan ang kanilang karapatang magmana. Sa sandaling i-disclaim, ang mana ay ipapasa sa susunod na benepisyaryo ayon sa mga batas sa kalooban o kawalan ng buhay.
**Mahahalagang Pagsasaalang-alang:**
* **Mga Probisyon ng Will:** Maaaring tahasang ipagbawal o paghigpitan ng mga tuntunin ng testamento ang pagtatalaga ng mga karapatan sa mana. Napakahalaga na maingat na suriin ang wika ng kalooban.
* **Legal na Payo:** Ang pagkonsulta sa isang abogado na dalubhasa sa pagpaplano ng ari-arian ay lubos na inirerekomenda upang maunawaan ang mga legalidad ng paglipat ng mana sa iyong partikular na sitwasyon. **Narito ang isang pagkakatulad:** Isipin ang mga karapatan sa mana tulad ng isang hindi naililipat na tiket sa isang konsiyerto. Maaari mong isuko ang iyong tiket (disclaim), ngunit sa pangkalahatan ay hindi mo ito maaaring ibenta sa iba (assignment) nang walang pahintulot ng organizer (testator).
**Sa konklusyon,** habang maaaring may limitadong mga opsyon para sa pagtatalaga ng mga karapatan sa mana sa Pilipinas na may pahintulot ng testator, hindi ito isang diretsong proseso. Ang pagtanggi sa mana ay isang mas malinaw na opsyon, ngunit nangangahulugan itong ganap na isuko ang mana. Ang pagkonsulta sa isang abugado ay napakahalaga upang ma-navigate ang mga legalidad at maunawaan ang iyong pinakamahusay na paraan ng pagkilos.</v>
      </c>
      <c r="F589" s="2">
        <f t="shared" si="1"/>
        <v>0</v>
      </c>
      <c r="G589" s="2"/>
      <c r="H589" s="2"/>
      <c r="I589" s="2"/>
      <c r="J589" s="2"/>
      <c r="K589" s="2"/>
      <c r="L589" s="2"/>
      <c r="M589" s="2"/>
      <c r="N589" s="2"/>
      <c r="O589" s="2"/>
      <c r="P589" s="2"/>
      <c r="Q589" s="2"/>
      <c r="R589" s="2"/>
      <c r="S589" s="2"/>
      <c r="T589" s="2"/>
      <c r="U589" s="2"/>
      <c r="V589" s="2"/>
      <c r="W589" s="2"/>
      <c r="X589" s="2"/>
      <c r="Y589" s="2"/>
      <c r="Z589" s="2"/>
      <c r="AA589" s="2"/>
    </row>
    <row r="590">
      <c r="A590" s="1" t="s">
        <v>1224</v>
      </c>
      <c r="B590" s="1" t="s">
        <v>1984</v>
      </c>
      <c r="C590" s="1" t="s">
        <v>1985</v>
      </c>
      <c r="D590" s="1" t="s">
        <v>1986</v>
      </c>
      <c r="E590" s="2" t="str">
        <f>IFERROR(__xludf.DUMMYFUNCTION("GOOGLETRANSLATE(C590, ""en"", ""TL"")"),"Ang mga karapatan sa intelektuwal na ari-arian (IP) ay maaaring mamana tulad ng iba pang mga asset, ngunit may ilang partikular na pagsasaalang-alang na dapat tandaan sa panahon ng proseso ng pagmamana. Narito ang isang breakdown:
**Pagmamana ng Mga Karap"&amp;"atan sa IP:**
* **Katulad ng Iba Pang Mga Asset:** Tulad ng pagmamana ng bahay o kotse, ang mga copyright, patent, trademark, at iba pang anyo ng IP ay maaaring ipasa sa mga benepisyaryo sa pamamagitan ng testamento o sa pamamagitan ng mga batas sa intest"&amp;"acy (kung walang testamento).
* **Paglipat ng Pagmamay-ari:** Ang benepisyaryo ay nagiging bagong may-ari ng mga karapatan sa IP, na nagbibigay sa kanila ng parehong mga legal na karapatan gaya ng orihinal na lumikha. Kabilang dito ang kakayahang:
* Gamit"&amp;"in ang intelektwal na ari-arian
* Lisensyahan o ibenta ang mga karapatan sa iba
* Magsagawa ng legal na aksyon laban sa paglabag
**Kahalagahan ng isang Habilin:**
* **Kalinawan at Kontrol:** Napakahalaga ng isang mahusay na draft na testamento na tumutuko"&amp;"y kung paano dapat mamana ang mga karapatan sa IP. * Maaari itong magtalaga ng mga partikular na benepisyaryo para sa bawat asset ng IP.
* Maaari itong magbalangkas ng anumang kundisyon o limitasyon sa kung paano magagamit ng benepisyaryo ang IP.
* Makaka"&amp;"tulong ito na maiwasan ang pagkalito at mga potensyal na hindi pagkakaunawaan sa pagitan ng mga tagapagmana.
**Mga Uri ng IP at Mga Pagsasaalang-alang:**
* **Mga Copyright:** Ang mga ito ay karaniwang tumatagal sa buhay ng may-akda at 70 taon sa Pilipinas"&amp;". Ang paglilipat ng pagmamay-ari ay hindi makakaapekto sa tagal ng proteksyon sa copyright.
* **Mga Patent:** Ang mga eksklusibong karapatan na ipinagkaloob para sa mga imbensyon ay karaniwang tumatagal ng 20 taon mula sa petsa ng paghaharap sa Pilipinas."&amp;" Kailangang panatilihin ng mga benepisyaryo ang mga bayarin sa patent upang mapanatiling aktibo ang proteksyon. * **Mga Trademark:** Ang mga pagpaparehistro ay karaniwang tumatagal ng 10 taon sa Pilipinas at maaaring i-renew nang walang katapusan. Kailang"&amp;"ang malaman ng mga benepisyaryo ang mga kinakailangan sa pag-renew.
**Mga Implikasyon sa Buwis:**
* Ang pagmamana ng mga asset ng IP ay maaaring magkaroon ng mga implikasyon sa buwis, gaya ng mga buwis sa mana o mga buwis sa capital gains kapag naibenta a"&amp;"ng IP. Inirerekomenda ang pagkonsulta sa isang tax advisor.
**Mga Karagdagang Pagsasaalang-alang:**
* **Pamamahala ng Complex IP:** Kung ang IP ay nagsasangkot ng mga patuloy na proyekto, kasunduan sa paglilisensya, o pakikipagsosyo, maaaring kailanganin "&amp;"ang mga karagdagang legal at administratibong hakbang upang matiyak ang maayos na paglipat sa benepisyaryo.
* **Mga Kasunduan sa Pagkakumpidensyal:** Maaaring kailanganin ng mga benepisyaryo na nagmamana ng IP sa anumang umiiral na mga kasunduan sa pagigi"&amp;"ng kumpidensyal na nauugnay sa intelektwal na ari-arian.
**Sa pangkalahatan, ang maingat na pagpaplano at malinaw na komunikasyon ay mahalaga kapag nagmamana ng intelektuwal na ari-arian.** Ang pagkonsulta sa mga abogadong dalubhasa sa intelektwal na ari-"&amp;"arian at pagpaplano ng ari-arian ay makakatulong na matiyak ang maayos at matagumpay na proseso ng pamana para sa mga mahahalagang asset na ito.")</f>
        <v>Ang mga karapatan sa intelektuwal na ari-arian (IP) ay maaaring mamana tulad ng iba pang mga asset, ngunit may ilang partikular na pagsasaalang-alang na dapat tandaan sa panahon ng proseso ng pagmamana. Narito ang isang breakdown:
**Pagmamana ng Mga Karapatan sa IP:**
* **Katulad ng Iba Pang Mga Asset:** Tulad ng pagmamana ng bahay o kotse, ang mga copyright, patent, trademark, at iba pang anyo ng IP ay maaaring ipasa sa mga benepisyaryo sa pamamagitan ng testamento o sa pamamagitan ng mga batas sa intestacy (kung walang testamento).
* **Paglipat ng Pagmamay-ari:** Ang benepisyaryo ay nagiging bagong may-ari ng mga karapatan sa IP, na nagbibigay sa kanila ng parehong mga legal na karapatan gaya ng orihinal na lumikha. Kabilang dito ang kakayahang:
* Gamitin ang intelektwal na ari-arian
* Lisensyahan o ibenta ang mga karapatan sa iba
* Magsagawa ng legal na aksyon laban sa paglabag
**Kahalagahan ng isang Habilin:**
* **Kalinawan at Kontrol:** Napakahalaga ng isang mahusay na draft na testamento na tumutukoy kung paano dapat mamana ang mga karapatan sa IP. * Maaari itong magtalaga ng mga partikular na benepisyaryo para sa bawat asset ng IP.
* Maaari itong magbalangkas ng anumang kundisyon o limitasyon sa kung paano magagamit ng benepisyaryo ang IP.
* Makakatulong ito na maiwasan ang pagkalito at mga potensyal na hindi pagkakaunawaan sa pagitan ng mga tagapagmana.
**Mga Uri ng IP at Mga Pagsasaalang-alang:**
* **Mga Copyright:** Ang mga ito ay karaniwang tumatagal sa buhay ng may-akda at 70 taon sa Pilipinas. Ang paglilipat ng pagmamay-ari ay hindi makakaapekto sa tagal ng proteksyon sa copyright.
* **Mga Patent:** Ang mga eksklusibong karapatan na ipinagkaloob para sa mga imbensyon ay karaniwang tumatagal ng 20 taon mula sa petsa ng paghaharap sa Pilipinas. Kailangang panatilihin ng mga benepisyaryo ang mga bayarin sa patent upang mapanatiling aktibo ang proteksyon. * **Mga Trademark:** Ang mga pagpaparehistro ay karaniwang tumatagal ng 10 taon sa Pilipinas at maaaring i-renew nang walang katapusan. Kailangang malaman ng mga benepisyaryo ang mga kinakailangan sa pag-renew.
**Mga Implikasyon sa Buwis:**
* Ang pagmamana ng mga asset ng IP ay maaaring magkaroon ng mga implikasyon sa buwis, gaya ng mga buwis sa mana o mga buwis sa capital gains kapag naibenta ang IP. Inirerekomenda ang pagkonsulta sa isang tax advisor.
**Mga Karagdagang Pagsasaalang-alang:**
* **Pamamahala ng Complex IP:** Kung ang IP ay nagsasangkot ng mga patuloy na proyekto, kasunduan sa paglilisensya, o pakikipagsosyo, maaaring kailanganin ang mga karagdagang legal at administratibong hakbang upang matiyak ang maayos na paglipat sa benepisyaryo.
* **Mga Kasunduan sa Pagkakumpidensyal:** Maaaring kailanganin ng mga benepisyaryo na nagmamana ng IP sa anumang umiiral na mga kasunduan sa pagiging kumpidensyal na nauugnay sa intelektwal na ari-arian.
**Sa pangkalahatan, ang maingat na pagpaplano at malinaw na komunikasyon ay mahalaga kapag nagmamana ng intelektuwal na ari-arian.** Ang pagkonsulta sa mga abogadong dalubhasa sa intelektwal na ari-arian at pagpaplano ng ari-arian ay makakatulong na matiyak ang maayos at matagumpay na proseso ng pamana para sa mga mahahalagang asset na ito.</v>
      </c>
      <c r="F590" s="2">
        <f t="shared" si="1"/>
        <v>0</v>
      </c>
      <c r="G590" s="2"/>
      <c r="H590" s="2"/>
      <c r="I590" s="2"/>
      <c r="J590" s="2"/>
      <c r="K590" s="2"/>
      <c r="L590" s="2"/>
      <c r="M590" s="2"/>
      <c r="N590" s="2"/>
      <c r="O590" s="2"/>
      <c r="P590" s="2"/>
      <c r="Q590" s="2"/>
      <c r="R590" s="2"/>
      <c r="S590" s="2"/>
      <c r="T590" s="2"/>
      <c r="U590" s="2"/>
      <c r="V590" s="2"/>
      <c r="W590" s="2"/>
      <c r="X590" s="2"/>
      <c r="Y590" s="2"/>
      <c r="Z590" s="2"/>
      <c r="AA590" s="2"/>
    </row>
    <row r="591">
      <c r="A591" s="1" t="s">
        <v>1224</v>
      </c>
      <c r="B591" s="1" t="s">
        <v>1987</v>
      </c>
      <c r="C591" s="1" t="s">
        <v>1988</v>
      </c>
      <c r="D591" s="1" t="s">
        <v>1989</v>
      </c>
      <c r="E591" s="2" t="str">
        <f>IFERROR(__xludf.DUMMYFUNCTION("GOOGLETRANSLATE(C591, ""en"", ""TL"")"),"Sa Pilipinas, ang pagkabangkarote ng isang benepisyaryo sa pangkalahatan **ay hindi direktang pumipigil sa kanila na magmana**. Narito kung bakit:
* **Mga Karapatan sa Pamana:** Ang mga karapatan sa mana ay itinatag sa oras ng pagkamatay ng namatay (testa"&amp;"tor) at hiwalay sa sitwasyong pinansyal ng benepisyaryo.
* **Proteksyon ng Creditor:** Ang mana mismo ay nagiging pag-aari ng benepisyaryo, ngunit may mga paraan upang maprotektahan ito mula sa kanilang mga pinagkakautangan:
* **Spendthrift Trust:** Ang t"&amp;"estator ay maaaring magtatag ng isang magastos na tiwala sa kanilang kalooban. Ang ganitong uri ng tiwala ay nagbibigay-daan sa benepisyaryo na makatanggap ng mga benepisyo ng mana (tulad ng kita mula sa mga pamumuhunan) nang hindi nagbibigay sa mga nagpa"&amp;"pautang ng direktang access sa pangunahing halaga. * **Mga Exempt na Asset:** Ang ilang uri ng minanang asset ay maaaring hindi maagaw ng mga nagpapautang sa Pilipinas (hal., minimum na allowance ng pamilya).
Gayunpaman, may ilang hindi direktang paraan n"&amp;"a maaaring makaapekto ang pagkabangkarote ng benepisyaryo sa kanilang mana:
* **Pamamahala ng Inherited Assets:** Kung ang pagkabangkarote ng benepisyaryo ay nagsasangkot ng mga trustee na hinirang ng hukuman o mga plano sa pagbabayad ng utang, maaaring m"&amp;"ay kontrol ang mga entity na ito sa kung paano pinamamahalaan o ginagamit ang mga minanang asset para bayaran ang mga natitirang utang.
* **Timing ng Pamamahagi ng Mana:** Kung ang ari-arian ay kumplikado o may kasamang probate, maaaring magkaroon ng pagk"&amp;"aantala sa pamamahagi ng mana. Ito ay maaaring maging problema para sa isang bangkarota na benepisyaryo na nangangailangan ng agarang pag-access sa mga pondo.
* **Mga Buwis:** Depende sa halaga ng mana, maaaring may utang ang benepisyaryo sa pagtanggap ni"&amp;"to. Kung sila ay nahihirapan sa pananalapi dahil sa pagkabangkarote, maaari itong lumikha ng karagdagang pasanin.
**Sa pangkalahatan**, bagama't hindi inaalis ng pagkabangkarote ang isang tao na magmana, maaari nitong maimpluwensyahan kung paano nila ina-"&amp;"access o pinamamahalaan ang mga minanang asset.
Narito ang ilang karagdagang punto na dapat isaalang-alang:
* Ang partikular na sitwasyon ay depende sa mga detalye ng kaso ng pagkabangkarote at ang mga tuntunin ng mana.
* Ang pagkonsulta sa isang abogado "&amp;"na dalubhasa sa bangkarota at pagpaplano ng ari-arian ay maaaring makatulong para sa testator (kapag gumagawa ng kanilang kalooban) at sa benepisyaryo (upang maunawaan ang kanilang mga opsyon).")</f>
        <v>Sa Pilipinas, ang pagkabangkarote ng isang benepisyaryo sa pangkalahatan **ay hindi direktang pumipigil sa kanila na magmana**. Narito kung bakit:
* **Mga Karapatan sa Pamana:** Ang mga karapatan sa mana ay itinatag sa oras ng pagkamatay ng namatay (testator) at hiwalay sa sitwasyong pinansyal ng benepisyaryo.
* **Proteksyon ng Creditor:** Ang mana mismo ay nagiging pag-aari ng benepisyaryo, ngunit may mga paraan upang maprotektahan ito mula sa kanilang mga pinagkakautangan:
* **Spendthrift Trust:** Ang testator ay maaaring magtatag ng isang magastos na tiwala sa kanilang kalooban. Ang ganitong uri ng tiwala ay nagbibigay-daan sa benepisyaryo na makatanggap ng mga benepisyo ng mana (tulad ng kita mula sa mga pamumuhunan) nang hindi nagbibigay sa mga nagpapautang ng direktang access sa pangunahing halaga. * **Mga Exempt na Asset:** Ang ilang uri ng minanang asset ay maaaring hindi maagaw ng mga nagpapautang sa Pilipinas (hal., minimum na allowance ng pamilya).
Gayunpaman, may ilang hindi direktang paraan na maaaring makaapekto ang pagkabangkarote ng benepisyaryo sa kanilang mana:
* **Pamamahala ng Inherited Assets:** Kung ang pagkabangkarote ng benepisyaryo ay nagsasangkot ng mga trustee na hinirang ng hukuman o mga plano sa pagbabayad ng utang, maaaring may kontrol ang mga entity na ito sa kung paano pinamamahalaan o ginagamit ang mga minanang asset para bayaran ang mga natitirang utang.
* **Timing ng Pamamahagi ng Mana:** Kung ang ari-arian ay kumplikado o may kasamang probate, maaaring magkaroon ng pagkaantala sa pamamahagi ng mana. Ito ay maaaring maging problema para sa isang bangkarota na benepisyaryo na nangangailangan ng agarang pag-access sa mga pondo.
* **Mga Buwis:** Depende sa halaga ng mana, maaaring may utang ang benepisyaryo sa pagtanggap nito. Kung sila ay nahihirapan sa pananalapi dahil sa pagkabangkarote, maaari itong lumikha ng karagdagang pasanin.
**Sa pangkalahatan**, bagama't hindi inaalis ng pagkabangkarote ang isang tao na magmana, maaari nitong maimpluwensyahan kung paano nila ina-access o pinamamahalaan ang mga minanang asset.
Narito ang ilang karagdagang punto na dapat isaalang-alang:
* Ang partikular na sitwasyon ay depende sa mga detalye ng kaso ng pagkabangkarote at ang mga tuntunin ng mana.
* Ang pagkonsulta sa isang abogado na dalubhasa sa bangkarota at pagpaplano ng ari-arian ay maaaring makatulong para sa testator (kapag gumagawa ng kanilang kalooban) at sa benepisyaryo (upang maunawaan ang kanilang mga opsyon).</v>
      </c>
      <c r="F591" s="2">
        <f t="shared" si="1"/>
        <v>0</v>
      </c>
      <c r="G591" s="2"/>
      <c r="H591" s="2"/>
      <c r="I591" s="2"/>
      <c r="J591" s="2"/>
      <c r="K591" s="2"/>
      <c r="L591" s="2"/>
      <c r="M591" s="2"/>
      <c r="N591" s="2"/>
      <c r="O591" s="2"/>
      <c r="P591" s="2"/>
      <c r="Q591" s="2"/>
      <c r="R591" s="2"/>
      <c r="S591" s="2"/>
      <c r="T591" s="2"/>
      <c r="U591" s="2"/>
      <c r="V591" s="2"/>
      <c r="W591" s="2"/>
      <c r="X591" s="2"/>
      <c r="Y591" s="2"/>
      <c r="Z591" s="2"/>
      <c r="AA591" s="2"/>
    </row>
    <row r="592">
      <c r="A592" s="1" t="s">
        <v>1224</v>
      </c>
      <c r="B592" s="1" t="s">
        <v>1990</v>
      </c>
      <c r="C592" s="1" t="s">
        <v>1991</v>
      </c>
      <c r="D592" s="1" t="s">
        <v>1992</v>
      </c>
      <c r="E592" s="2" t="str">
        <f>IFERROR(__xludf.DUMMYFUNCTION("GOOGLETRANSLATE(C592, ""en"", ""TL"")"),"Ang pagmamana ng mga dayuhang asset ay maaaring magdagdag ng kumplikado sa proseso ng mana. Narito ang isang breakdown ng ilang mahahalagang punto na dapat isaalang-alang:
**Jurisdiction at Batas:**
* Ang proseso para sa paghawak ng mga dayuhang asset ay "&amp;"tinutukoy ng dalawang pangunahing salik:
* **Domicile of the deceased (testator):** Ito ay tumutukoy sa bansang itinuring ng namatay na kanilang permanenteng tahanan.
* **Lokasyon ng mga dayuhang asset:** Ito ay tumutukoy sa partikular na bansa kung saan "&amp;"hawak ang mga asset (property, bank account, investments).
* Ang bawat bansa ay may kanya-kanyang batas sa pamana na magdidikta ng mga bagay tulad ng:
* Pagbubuwis ng minanang mga ari-arian * Mga kinakailangan sa probate (legal na proseso para pangasiwaan"&amp;" ang ari-arian)
* Pamamahagi ng mga ari-arian ayon sa isang testamento o intestacy na batas (kung walang testamento)
**Mga Posibleng Sitwasyon:**
* **Tugma ang tirahan ng Testator at ang lokasyon ng dayuhang asset:** Pinapasimple nito nang kaunti ang mga "&amp;"bagay, dahil pamamahalaan ng mga batas ng isang bansa ang buong proseso ng mana.
* **Magkaiba ang tirahan ng testator at ang lokasyon ng dayuhang asset:** Ito ay mas kumplikado at maaaring may kasamang:
* **Ancillary probate:** Maaaring kailanganin ang is"&amp;"ang hiwalay na proseso ng probate sa bansa kung saan matatagpuan ang mga dayuhang asset upang pangasiwaan ang mga partikular na asset na iyon ayon sa mga lokal na batas.
* **International estate planning:** Ang pagkonsulta sa mga abogado na dalubhasa sa p"&amp;"arehong tirahan ng testator at ang lokasyon ng dayuhang asset ay mahalaga upang matiyak ang maayos na proseso ng mana.
**Mga Karagdagang Pagsasaalang-alang:**
* **Mga Buwis:** Ang pagmamana ng mga dayuhang asset ay maaaring mag-trigger ng mga inheritance "&amp;"tax sa domicile ng testator at sa bansa kung saan matatagpuan ang mga asset. Ang mga kasunduan sa buwis sa pagitan ng mga bansa ay maaaring mag-alok ng mga pagbubukod o pinababang mga rate. Inirerekomenda ang pagkonsulta sa isang tax advisor na pamilyar s"&amp;"a international inheritance taxation.
* **Currency Exchange:** Ang mga pagbabago sa currency exchange rates ay maaaring makaapekto sa halaga ng inheritance na natanggap.
* **Mga Gastos sa Legal at Administrative:** Ang pakikitungo sa mga dayuhang asset ay"&amp;" kadalasang nagsasangkot ng mga karagdagang legal at administratibong gastos dahil sa pangangailangan para sa mga potensyal na dayuhang abogado, tagapagsalin, at pag-navigate sa hindi pamilyar na mga legal na proseso.
**Mga Rekomendasyon:**
* Kung mayroon"&amp;" kang dayuhang mga ari-arian, ang pagkonsulta sa isang abogado sa pagpaplano ng estate na may karanasan sa mga internasyonal na usapin ay napakahalaga. Maaari ka nilang payuhan sa pagbubuo ng iyong plano sa ari-arian upang mabawasan ang mga kumplikado at "&amp;"pasanin sa buwis para sa iyong mga benepisyaryo.
* Dapat ding malaman ng iyong mga benepisyaryo ang mga potensyal na hamon ng pagmamana ng mga dayuhang pag-aari at maging handa para sa karagdagang oras at gastos na maaaring kasangkot dito.")</f>
        <v>Ang pagmamana ng mga dayuhang asset ay maaaring magdagdag ng kumplikado sa proseso ng mana. Narito ang isang breakdown ng ilang mahahalagang punto na dapat isaalang-alang:
**Jurisdiction at Batas:**
* Ang proseso para sa paghawak ng mga dayuhang asset ay tinutukoy ng dalawang pangunahing salik:
* **Domicile of the deceased (testator):** Ito ay tumutukoy sa bansang itinuring ng namatay na kanilang permanenteng tahanan.
* **Lokasyon ng mga dayuhang asset:** Ito ay tumutukoy sa partikular na bansa kung saan hawak ang mga asset (property, bank account, investments).
* Ang bawat bansa ay may kanya-kanyang batas sa pamana na magdidikta ng mga bagay tulad ng:
* Pagbubuwis ng minanang mga ari-arian * Mga kinakailangan sa probate (legal na proseso para pangasiwaan ang ari-arian)
* Pamamahagi ng mga ari-arian ayon sa isang testamento o intestacy na batas (kung walang testamento)
**Mga Posibleng Sitwasyon:**
* **Tugma ang tirahan ng Testator at ang lokasyon ng dayuhang asset:** Pinapasimple nito nang kaunti ang mga bagay, dahil pamamahalaan ng mga batas ng isang bansa ang buong proseso ng mana.
* **Magkaiba ang tirahan ng testator at ang lokasyon ng dayuhang asset:** Ito ay mas kumplikado at maaaring may kasamang:
* **Ancillary probate:** Maaaring kailanganin ang isang hiwalay na proseso ng probate sa bansa kung saan matatagpuan ang mga dayuhang asset upang pangasiwaan ang mga partikular na asset na iyon ayon sa mga lokal na batas.
* **International estate planning:** Ang pagkonsulta sa mga abogado na dalubhasa sa parehong tirahan ng testator at ang lokasyon ng dayuhang asset ay mahalaga upang matiyak ang maayos na proseso ng mana.
**Mga Karagdagang Pagsasaalang-alang:**
* **Mga Buwis:** Ang pagmamana ng mga dayuhang asset ay maaaring mag-trigger ng mga inheritance tax sa domicile ng testator at sa bansa kung saan matatagpuan ang mga asset. Ang mga kasunduan sa buwis sa pagitan ng mga bansa ay maaaring mag-alok ng mga pagbubukod o pinababang mga rate. Inirerekomenda ang pagkonsulta sa isang tax advisor na pamilyar sa international inheritance taxation.
* **Currency Exchange:** Ang mga pagbabago sa currency exchange rates ay maaaring makaapekto sa halaga ng inheritance na natanggap.
* **Mga Gastos sa Legal at Administrative:** Ang pakikitungo sa mga dayuhang asset ay kadalasang nagsasangkot ng mga karagdagang legal at administratibong gastos dahil sa pangangailangan para sa mga potensyal na dayuhang abogado, tagapagsalin, at pag-navigate sa hindi pamilyar na mga legal na proseso.
**Mga Rekomendasyon:**
* Kung mayroon kang dayuhang mga ari-arian, ang pagkonsulta sa isang abogado sa pagpaplano ng estate na may karanasan sa mga internasyonal na usapin ay napakahalaga. Maaari ka nilang payuhan sa pagbubuo ng iyong plano sa ari-arian upang mabawasan ang mga kumplikado at pasanin sa buwis para sa iyong mga benepisyaryo.
* Dapat ding malaman ng iyong mga benepisyaryo ang mga potensyal na hamon ng pagmamana ng mga dayuhang pag-aari at maging handa para sa karagdagang oras at gastos na maaaring kasangkot dito.</v>
      </c>
      <c r="F592" s="2">
        <f t="shared" si="1"/>
        <v>0</v>
      </c>
      <c r="G592" s="2"/>
      <c r="H592" s="2"/>
      <c r="I592" s="2"/>
      <c r="J592" s="2"/>
      <c r="K592" s="2"/>
      <c r="L592" s="2"/>
      <c r="M592" s="2"/>
      <c r="N592" s="2"/>
      <c r="O592" s="2"/>
      <c r="P592" s="2"/>
      <c r="Q592" s="2"/>
      <c r="R592" s="2"/>
      <c r="S592" s="2"/>
      <c r="T592" s="2"/>
      <c r="U592" s="2"/>
      <c r="V592" s="2"/>
      <c r="W592" s="2"/>
      <c r="X592" s="2"/>
      <c r="Y592" s="2"/>
      <c r="Z592" s="2"/>
      <c r="AA592" s="2"/>
    </row>
    <row r="593">
      <c r="A593" s="1" t="s">
        <v>1224</v>
      </c>
      <c r="B593" s="1" t="s">
        <v>1993</v>
      </c>
      <c r="C593" s="1" t="s">
        <v>1994</v>
      </c>
      <c r="D593" s="1" t="s">
        <v>1992</v>
      </c>
      <c r="E593" s="2" t="str">
        <f>IFERROR(__xludf.DUMMYFUNCTION("GOOGLETRANSLATE(C593, ""en"", ""TL"")"),"Oo, ang mana ay maaaring maapektuhan ng mga natitirang legal na obligasyon ng namatay sa Pilipinas. Ganito:
**Nangunguna ang mga Utang kaysa Mana:** Ang mga nagpapautang ay may karapatang mabayaran bago matanggap ng mga benepisyaryo ang kanilang mana. Nan"&amp;"gangahulugan ito na bago ipamahagi ang anumang mga ari-arian sa mga tagapagmana, kailangang bayaran ng ari-arian ang lahat ng hindi pa nababayarang utang at legal na obligasyon ng namatay. Maaaring kabilang sa mga obligasyong ito ang:
* Mga hindi nabayara"&amp;"ng pautang (mga mortgage, personal na pautang, credit card)
* Mga singil sa medikal
* Mga buwis na inutang
* Mga legal na bayarin na nauugnay sa probate (kung naaangkop)
**Proseso ng Pag-aayos ng mga Utang:**
1. **Imbentaryo ng mga Asset at Utang:** Ang t"&amp;"agapagpatupad o tagapangasiwa ng ari-arian (responsable sa paghawak ng mga ari-arian at utang ng namatay) ay gagawa muna ng imbentaryo ng lahat ng ari-arian at mga natitirang utang.
2. **Pyoridad sa Pagbabayad:** Ang batas ng Pilipinas ay nagtatatag ng hi"&amp;"erarchy para sa pag-aayos ng mga utang. Ang mga secure na nagpapautang (na may collateral tulad ng isang bahay para sa isang mortgage) ay may priyoridad kaysa sa mga hindi secure na nagpapautang (na walang collateral tulad ng utang sa credit card). Maaari"&amp;"ng may priyoridad din ang mga buwis at ilang partikular na bayarin sa gobyerno depende sa partikular na kaso.
3. **Pagbebenta ng mga Asset (kung kinakailangan):** Kung ang ari-arian ay walang sapat na pera na madaling makuha upang bayaran ang lahat ng mga"&amp;" utang, ang ilang mga ari-arian ay maaaring kailangang ibenta upang makabuo ng mga pondo. 4. **Natitirang Mga Asset na Naipamahagi:** Kapag nabayaran na ang lahat ng utang at obligasyon, ang natitirang mga ari-arian sa ari-arian ay maaaring ipamahagi sa m"&amp;"ga benepisyaryo ayon sa kalooban (kung mayroon) o mga batas sa kawalan ng katiyakan (kung walang testamento).
**Ang mga benepisyaryo ay hindi mananagot para sa mga utang:**
Mahalagang tandaan na sa Pilipinas, ang mga benepisyaryo sa pangkalahatan ay hindi"&amp;" personal na mananagot para sa mga utang ng namatay na higit sa halaga ng mana na kanilang natatanggap. Nangangahulugan ito na hindi sila maaaring pilitin na bayaran ang mga utang mula sa kanilang sariling mga bulsa kung ang mga ari-arian ng ari-arian ay "&amp;"hindi sapat. **Ano ang Magagawa ng Mga Makikinabang:**
* Ang mga benepisyaryo ay may karapatang malaman ang tungkol sa kalagayang pinansyal ng ari-arian, kabilang ang halaga ng mga utang.
* Maaari nilang piliin na:
* Tanggapin ang kanilang mana pagkatapos"&amp;" mabayaran ang mga utang (kung mayroon pang natitirang mga ari-arian).
* I-disclaim (tanggihan) ang kanilang mana nang buo upang maiwasan ang anumang potensyal na pananagutan.
**Kung isasaalang-alang ang mga puntong ito, malinaw na ang hindi pa nababayara"&amp;"ng legal na mga obligasyon ng namatay ay maaaring magkaroon ng malaking epekto sa kung magkano, kung mayroon man, ang mga benepisyaryo sa huli ay mamanahin.**")</f>
        <v>Oo, ang mana ay maaaring maapektuhan ng mga natitirang legal na obligasyon ng namatay sa Pilipinas. Ganito:
**Nangunguna ang mga Utang kaysa Mana:** Ang mga nagpapautang ay may karapatang mabayaran bago matanggap ng mga benepisyaryo ang kanilang mana. Nangangahulugan ito na bago ipamahagi ang anumang mga ari-arian sa mga tagapagmana, kailangang bayaran ng ari-arian ang lahat ng hindi pa nababayarang utang at legal na obligasyon ng namatay. Maaaring kabilang sa mga obligasyong ito ang:
* Mga hindi nabayarang pautang (mga mortgage, personal na pautang, credit card)
* Mga singil sa medikal
* Mga buwis na inutang
* Mga legal na bayarin na nauugnay sa probate (kung naaangkop)
**Proseso ng Pag-aayos ng mga Utang:**
1. **Imbentaryo ng mga Asset at Utang:** Ang tagapagpatupad o tagapangasiwa ng ari-arian (responsable sa paghawak ng mga ari-arian at utang ng namatay) ay gagawa muna ng imbentaryo ng lahat ng ari-arian at mga natitirang utang.
2. **Pyoridad sa Pagbabayad:** Ang batas ng Pilipinas ay nagtatatag ng hierarchy para sa pag-aayos ng mga utang. Ang mga secure na nagpapautang (na may collateral tulad ng isang bahay para sa isang mortgage) ay may priyoridad kaysa sa mga hindi secure na nagpapautang (na walang collateral tulad ng utang sa credit card). Maaaring may priyoridad din ang mga buwis at ilang partikular na bayarin sa gobyerno depende sa partikular na kaso.
3. **Pagbebenta ng mga Asset (kung kinakailangan):** Kung ang ari-arian ay walang sapat na pera na madaling makuha upang bayaran ang lahat ng mga utang, ang ilang mga ari-arian ay maaaring kailangang ibenta upang makabuo ng mga pondo. 4. **Natitirang Mga Asset na Naipamahagi:** Kapag nabayaran na ang lahat ng utang at obligasyon, ang natitirang mga ari-arian sa ari-arian ay maaaring ipamahagi sa mga benepisyaryo ayon sa kalooban (kung mayroon) o mga batas sa kawalan ng katiyakan (kung walang testamento).
**Ang mga benepisyaryo ay hindi mananagot para sa mga utang:**
Mahalagang tandaan na sa Pilipinas, ang mga benepisyaryo sa pangkalahatan ay hindi personal na mananagot para sa mga utang ng namatay na higit sa halaga ng mana na kanilang natatanggap. Nangangahulugan ito na hindi sila maaaring pilitin na bayaran ang mga utang mula sa kanilang sariling mga bulsa kung ang mga ari-arian ng ari-arian ay hindi sapat. **Ano ang Magagawa ng Mga Makikinabang:**
* Ang mga benepisyaryo ay may karapatang malaman ang tungkol sa kalagayang pinansyal ng ari-arian, kabilang ang halaga ng mga utang.
* Maaari nilang piliin na:
* Tanggapin ang kanilang mana pagkatapos mabayaran ang mga utang (kung mayroon pang natitirang mga ari-arian).
* I-disclaim (tanggihan) ang kanilang mana nang buo upang maiwasan ang anumang potensyal na pananagutan.
**Kung isasaalang-alang ang mga puntong ito, malinaw na ang hindi pa nababayarang legal na mga obligasyon ng namatay ay maaaring magkaroon ng malaking epekto sa kung magkano, kung mayroon man, ang mga benepisyaryo sa huli ay mamanahin.**</v>
      </c>
      <c r="F593" s="2">
        <f t="shared" si="1"/>
        <v>0</v>
      </c>
      <c r="G593" s="2"/>
      <c r="H593" s="2"/>
      <c r="I593" s="2"/>
      <c r="J593" s="2"/>
      <c r="K593" s="2"/>
      <c r="L593" s="2"/>
      <c r="M593" s="2"/>
      <c r="N593" s="2"/>
      <c r="O593" s="2"/>
      <c r="P593" s="2"/>
      <c r="Q593" s="2"/>
      <c r="R593" s="2"/>
      <c r="S593" s="2"/>
      <c r="T593" s="2"/>
      <c r="U593" s="2"/>
      <c r="V593" s="2"/>
      <c r="W593" s="2"/>
      <c r="X593" s="2"/>
      <c r="Y593" s="2"/>
      <c r="Z593" s="2"/>
      <c r="AA593" s="2"/>
    </row>
    <row r="594">
      <c r="A594" s="1" t="s">
        <v>1224</v>
      </c>
      <c r="B594" s="1" t="s">
        <v>1995</v>
      </c>
      <c r="C594" s="1" t="s">
        <v>1996</v>
      </c>
      <c r="D594" s="1" t="s">
        <v>1997</v>
      </c>
      <c r="E594" s="2" t="str">
        <f>IFERROR(__xludf.DUMMYFUNCTION("GOOGLETRANSLATE(C594, ""en"", ""TL"")"),"Sa Pilipinas, kung ang isang benepisyaryo ay nauna sa testator (ang taong sumulat ng testamento), ang kalalabasan ay depende sa kung ang testamento ay may kasamang probisyon para sa naturang senaryo at ang uri ng regalong ipinamana. Narito ang isang break"&amp;"down:
* **Lapse of Bequest:** Ang pangkalahatang sitwasyon ay ang isang bequest ay ""mawawala"" kung ang benepisyaryo ay namatay bago ang testator. Nangangahulugan ito na ang regalo na dapat na matanggap ng benepisyaryo ay wala nang bisa. * **Mga Anti-Lap"&amp;"se Statutes (Limited Application):** Ang Pilipinas ay may limitadong anti-lapse na mga batas. Ito ang mga batas na kung minsan ay maaaring mag-redirect ng isang lipas na bequest sa mga inapo ng benepisyaryo (mga anak, apo) kung matutugunan ang ilang mga k"&amp;"undisyon. Gayunpaman, ang mga probisyon ng anti-lapse sa Pilipinas ay nalalapat lamang sa mga partikular na sitwasyon, tulad ng kung ang benepisyaryo ay isang lehitimong anak o inapo ng testator.
* **Will Provisions:** Ang pinakamahalagang salik ay kung a"&amp;"no ang sinasabi ng will. Ang isang mahusay na draft na kalooban ay maaaring magsama ng isang **substitutionary clause** o isang **residuary clause** na tumutukoy kung ano ang mangyayari sa isang lapsed bequest:
* **Substitutionary Clause:** Ang sugnay na "&amp;"ito ay pinangalanan ang isang contingent beneficiary na tatanggap ng regalo kung ang pangunahing benepisyaryo ay nauna sa testator.
* **Residuary Clause:** Tinutukoy ng sugnay na ito kung paano ipapamahagi ang anumang natitirang ari-arian, kabilang ang mg"&amp;"a lapsed bequests. Maaari silang pumunta sa ibang pinangalanang benepisyaryo o maging bahagi ng isang pangkalahatang pool na hahatiin ayon sa mga tagubilin ng testamento.
* **Mga Uri ng Regalo:** Ang uri ng regalo na itinalaga sa testamento ay maaari ding"&amp;" makaimpluwensya sa resulta:
* **Mga Espesyal na Regalo:** Kung ang regalo ay isang partikular na item (hal., isang kotse, isang bahay), karaniwan itong nawawala at nagiging bahagi ng nalalabi ng ari-arian. * **Mga Regalo sa Isang Klase:** Kung ang regalo"&amp;" ay para sa isang klase ng mga benepisyaryo (hal., ""sa lahat ng aking mga apo""), ang mga natitirang miyembro ng klase ay karaniwang magbabahagi ng pamana, hindi kasama ang naunang benepisyaryo.
**Mga Rekomendasyon:**
* Upang maiwasan ang pagkalito at ma"&amp;"tiyak na masusunod ang iyong mga kagustuhan, mahalagang kumunsulta sa isang abogado na dalubhasa sa pagpaplano ng ari-arian kapag gumagawa ng iyong kalooban. * Maaaring payuhan ka ng abogado na isama ang malinaw at komprehensibong pananalita tungkol sa ku"&amp;"ng ano ang mangyayari sa isang pamana kung ang isang benepisyaryo ay nauna sa iyo.
* Maaari mo ring bisitahin muli at i-update ang iyong kalooban sa pana-panahon upang ipakita ang mga pagbabago sa sitwasyon ng iyong pamilya o ang katayuan ng iyong mga ben"&amp;"episyaryo.")</f>
        <v>Sa Pilipinas, kung ang isang benepisyaryo ay nauna sa testator (ang taong sumulat ng testamento), ang kalalabasan ay depende sa kung ang testamento ay may kasamang probisyon para sa naturang senaryo at ang uri ng regalong ipinamana. Narito ang isang breakdown:
* **Lapse of Bequest:** Ang pangkalahatang sitwasyon ay ang isang bequest ay "mawawala" kung ang benepisyaryo ay namatay bago ang testator. Nangangahulugan ito na ang regalo na dapat na matanggap ng benepisyaryo ay wala nang bisa. * **Mga Anti-Lapse Statutes (Limited Application):** Ang Pilipinas ay may limitadong anti-lapse na mga batas. Ito ang mga batas na kung minsan ay maaaring mag-redirect ng isang lipas na bequest sa mga inapo ng benepisyaryo (mga anak, apo) kung matutugunan ang ilang mga kundisyon. Gayunpaman, ang mga probisyon ng anti-lapse sa Pilipinas ay nalalapat lamang sa mga partikular na sitwasyon, tulad ng kung ang benepisyaryo ay isang lehitimong anak o inapo ng testator.
* **Will Provisions:** Ang pinakamahalagang salik ay kung ano ang sinasabi ng will. Ang isang mahusay na draft na kalooban ay maaaring magsama ng isang **substitutionary clause** o isang **residuary clause** na tumutukoy kung ano ang mangyayari sa isang lapsed bequest:
* **Substitutionary Clause:** Ang sugnay na ito ay pinangalanan ang isang contingent beneficiary na tatanggap ng regalo kung ang pangunahing benepisyaryo ay nauna sa testator.
* **Residuary Clause:** Tinutukoy ng sugnay na ito kung paano ipapamahagi ang anumang natitirang ari-arian, kabilang ang mga lapsed bequests. Maaari silang pumunta sa ibang pinangalanang benepisyaryo o maging bahagi ng isang pangkalahatang pool na hahatiin ayon sa mga tagubilin ng testamento.
* **Mga Uri ng Regalo:** Ang uri ng regalo na itinalaga sa testamento ay maaari ding makaimpluwensya sa resulta:
* **Mga Espesyal na Regalo:** Kung ang regalo ay isang partikular na item (hal., isang kotse, isang bahay), karaniwan itong nawawala at nagiging bahagi ng nalalabi ng ari-arian. * **Mga Regalo sa Isang Klase:** Kung ang regalo ay para sa isang klase ng mga benepisyaryo (hal., "sa lahat ng aking mga apo"), ang mga natitirang miyembro ng klase ay karaniwang magbabahagi ng pamana, hindi kasama ang naunang benepisyaryo.
**Mga Rekomendasyon:**
* Upang maiwasan ang pagkalito at matiyak na masusunod ang iyong mga kagustuhan, mahalagang kumunsulta sa isang abogado na dalubhasa sa pagpaplano ng ari-arian kapag gumagawa ng iyong kalooban. * Maaaring payuhan ka ng abogado na isama ang malinaw at komprehensibong pananalita tungkol sa kung ano ang mangyayari sa isang pamana kung ang isang benepisyaryo ay nauna sa iyo.
* Maaari mo ring bisitahin muli at i-update ang iyong kalooban sa pana-panahon upang ipakita ang mga pagbabago sa sitwasyon ng iyong pamilya o ang katayuan ng iyong mga benepisyaryo.</v>
      </c>
      <c r="F594" s="2">
        <f t="shared" si="1"/>
        <v>0</v>
      </c>
      <c r="G594" s="2"/>
      <c r="H594" s="2"/>
      <c r="I594" s="2"/>
      <c r="J594" s="2"/>
      <c r="K594" s="2"/>
      <c r="L594" s="2"/>
      <c r="M594" s="2"/>
      <c r="N594" s="2"/>
      <c r="O594" s="2"/>
      <c r="P594" s="2"/>
      <c r="Q594" s="2"/>
      <c r="R594" s="2"/>
      <c r="S594" s="2"/>
      <c r="T594" s="2"/>
      <c r="U594" s="2"/>
      <c r="V594" s="2"/>
      <c r="W594" s="2"/>
      <c r="X594" s="2"/>
      <c r="Y594" s="2"/>
      <c r="Z594" s="2"/>
      <c r="AA594" s="2"/>
    </row>
    <row r="595">
      <c r="A595" s="1" t="s">
        <v>1224</v>
      </c>
      <c r="B595" s="1" t="s">
        <v>1998</v>
      </c>
      <c r="C595" s="1" t="s">
        <v>1999</v>
      </c>
      <c r="D595" s="1" t="s">
        <v>2000</v>
      </c>
      <c r="E595" s="2" t="str">
        <f>IFERROR(__xludf.DUMMYFUNCTION("GOOGLETRANSLATE(C595, ""en"", ""TL"")"),"Hindi, sa Pilipinas, ang diborsyo ng benepisyaryo sa pangkalahatan **ay hindi nakakaapekto sa kanilang karapatang magmana**. Narito kung bakit:
* **Mga Karapatan sa Inheritance:** Ang mga karapatan sa mana ay itinatag sa oras ng pagkamatay ng namatay (tes"&amp;"tator) o dinidiktahan ng mga batas sa intestacy (kung walang testamento). Ang isang diborsiyo ay nangyayari sa panahon ng buhay ng benepisyaryo, na hiwalay sa proseso ng mana.
* **Hiwalay na Ari-arian:** Ang mga asset na nakuha sa panahon ng kasal ay kara"&amp;"niwang itinuturing na conjugal property, ngunit ang mga minanang asset ay karaniwang itinuturing na hiwalay na ari-arian. Ang asawa ng benepisyaryo ay hindi magkakaroon ng claim sa minanang mga ari-arian maliban kung sila ay nahalo sa mga conjugal fund. G"&amp;"ayunpaman, may ilang sitwasyon kung saan ang diborsiyo *maaaring* hindi direktang nakakaapekto sa mana:
* **Prenuptial Agreement:** Kung nagkaroon ng prenuptial agreement sa pagitan ng namatay at ng benepisyaryo (kanilang dating asawa), posibleng limitaha"&amp;"n nito ang mga karapatan sa mana kung partikular na tinutugunan ng kasunduan ang mga minanang asset.
* **Pag-aari ng Komunidad (ilang mga eksepsiyon):** Sa ilang partikular na sitwasyon, depende sa rehimeng mag-asawa na pinili ng mag-asawa, ang mga minana"&amp;"ng asset ay maaaring maging conjugal property. Ito ay hindi karaniwan ngunit posible sa mga bihirang kaso.
* **Will with Specific Conditions:** Ang testator (namatay na sumulat ng will) ay maaaring may kasamang clause sa kanilang will na nagsasaad ng inhe"&amp;"ritance sa marital status ng benepisyaryo. Ito ay hindi pangkaraniwan ngunit legal na posible (bagaman ang pagpapatupad ay maaaring hamunin).
**Sa pangkalahatan**, ang diborsyo ng benepisyaryo ay karaniwang hindi nakakaapekto sa kanilang mga karapatan sa "&amp;"mana sa Pilipinas. Gayunpaman, kung may mga pambihirang pangyayari tulad ng isang prenuptial agreement o isang partikular na sugnay sa testamento, pinakamahusay na kumunsulta sa isang abogado na dalubhasa sa pagpaplano ng ari-arian at batas ng pamilya.")</f>
        <v>Hindi, sa Pilipinas, ang diborsyo ng benepisyaryo sa pangkalahatan **ay hindi nakakaapekto sa kanilang karapatang magmana**. Narito kung bakit:
* **Mga Karapatan sa Inheritance:** Ang mga karapatan sa mana ay itinatag sa oras ng pagkamatay ng namatay (testator) o dinidiktahan ng mga batas sa intestacy (kung walang testamento). Ang isang diborsiyo ay nangyayari sa panahon ng buhay ng benepisyaryo, na hiwalay sa proseso ng mana.
* **Hiwalay na Ari-arian:** Ang mga asset na nakuha sa panahon ng kasal ay karaniwang itinuturing na conjugal property, ngunit ang mga minanang asset ay karaniwang itinuturing na hiwalay na ari-arian. Ang asawa ng benepisyaryo ay hindi magkakaroon ng claim sa minanang mga ari-arian maliban kung sila ay nahalo sa mga conjugal fund. Gayunpaman, may ilang sitwasyon kung saan ang diborsiyo *maaaring* hindi direktang nakakaapekto sa mana:
* **Prenuptial Agreement:** Kung nagkaroon ng prenuptial agreement sa pagitan ng namatay at ng benepisyaryo (kanilang dating asawa), posibleng limitahan nito ang mga karapatan sa mana kung partikular na tinutugunan ng kasunduan ang mga minanang asset.
* **Pag-aari ng Komunidad (ilang mga eksepsiyon):** Sa ilang partikular na sitwasyon, depende sa rehimeng mag-asawa na pinili ng mag-asawa, ang mga minanang asset ay maaaring maging conjugal property. Ito ay hindi karaniwan ngunit posible sa mga bihirang kaso.
* **Will with Specific Conditions:** Ang testator (namatay na sumulat ng will) ay maaaring may kasamang clause sa kanilang will na nagsasaad ng inheritance sa marital status ng benepisyaryo. Ito ay hindi pangkaraniwan ngunit legal na posible (bagaman ang pagpapatupad ay maaaring hamunin).
**Sa pangkalahatan**, ang diborsyo ng benepisyaryo ay karaniwang hindi nakakaapekto sa kanilang mga karapatan sa mana sa Pilipinas. Gayunpaman, kung may mga pambihirang pangyayari tulad ng isang prenuptial agreement o isang partikular na sugnay sa testamento, pinakamahusay na kumunsulta sa isang abogado na dalubhasa sa pagpaplano ng ari-arian at batas ng pamilya.</v>
      </c>
      <c r="F595" s="2">
        <f t="shared" si="1"/>
        <v>0</v>
      </c>
      <c r="G595" s="2"/>
      <c r="H595" s="2"/>
      <c r="I595" s="2"/>
      <c r="J595" s="2"/>
      <c r="K595" s="2"/>
      <c r="L595" s="2"/>
      <c r="M595" s="2"/>
      <c r="N595" s="2"/>
      <c r="O595" s="2"/>
      <c r="P595" s="2"/>
      <c r="Q595" s="2"/>
      <c r="R595" s="2"/>
      <c r="S595" s="2"/>
      <c r="T595" s="2"/>
      <c r="U595" s="2"/>
      <c r="V595" s="2"/>
      <c r="W595" s="2"/>
      <c r="X595" s="2"/>
      <c r="Y595" s="2"/>
      <c r="Z595" s="2"/>
      <c r="AA595" s="2"/>
    </row>
    <row r="596">
      <c r="A596" s="1" t="s">
        <v>1224</v>
      </c>
      <c r="B596" s="1" t="s">
        <v>2001</v>
      </c>
      <c r="C596" s="1" t="s">
        <v>2002</v>
      </c>
      <c r="D596" s="1" t="s">
        <v>2003</v>
      </c>
      <c r="E596" s="2" t="str">
        <f>IFERROR(__xludf.DUMMYFUNCTION("GOOGLETRANSLATE(C596, ""en"", ""TL"")"),"Iba ang paggana ng mana na may mga asset na hawak sa isang trust kaysa sa tradisyonal na pamana. Narito ang isang breakdown:
**Traditional Inheritance vs. Trust:**
* **Tradisyunal na Pamana:** Ang mga asset ay direktang ipinapasa mula sa namatay (nagbigay"&amp;") sa mga benepisyaryo na pinangalanan sa kanilang kalooban o ayon sa mga batas ng intestacy (kung walang testamento). * **Trust:** Ang mga asset ay inililipat sa isang trust habang nabubuhay ang nagbigay. Binabalangkas ng dokumento ng tiwala kung paano pa"&amp;"mamahalaan ang mga ari-arian (ng isang tagapangasiwa) at sa huli ay ipapamahagi sa mga benepisyaryo ayon sa kagustuhan ng tagapagbigay.
**Pamana mula sa isang Trust:**
* **Pagsunod sa Trust Document:** Ang pamamahagi ng mga asset mula sa isang trust ay id"&amp;"inidikta ng mga tuntuning nakalagay sa trust document. Tinutukoy ng dokumentong ito ang:
* **Mga benepisyaryo:** Sino ang magmamana ng mga asset ng tiwala.
* **Iskedyul ng Pamamahagi:** Kailan at paano matatanggap ng mga benepisyaryo ang kanilang mana (ha"&amp;"l., sa kabuuan, sa ilang partikular na edad, o batay sa mga partikular na kundisyon).
* **Mga Tungkulin ng Trustee:** Ang mga responsibilidad ng trustee na namamahala sa mga asset ng trust para sa kapakinabangan ng mga benepisyaryo.
* **Pag-iwas sa Probat"&amp;"e:** Ang mga asset na hawak sa isang trust ay karaniwang umiiwas sa probate, na siyang legal na proseso ng pangangasiwa ng isang testamento. Makakatipid ito ng oras at pera para sa mga benepisyaryo.
**Mga Uri ng Trust at Inheritance:**
* **Revocable Livin"&amp;"g Trust:** Maaaring baguhin o bawiin ng grantor ang trust habang nabubuhay siya. Sa pagkamatay ng nagbigay, ang natitirang mga ari-arian sa tiwala ay ipapamahagi sa mga benepisyaryo gaya ng nakabalangkas sa dokumento ng tiwala.
* **Irrevocable Trust:** Ib"&amp;"inigay ng grantor ang pagmamay-ari ng mga asset na inilagay sa trust at hindi maaaring gumawa ng mga pagbabago sa mga tuntunin ng trust. Ang mana para sa mga benepisyaryo ay naayos ayon sa dokumento ng tiwala.
**Mga Benepisyo ng Pamana sa Pamamagitan ng T"&amp;"iwala:**
* **Nabawasan ang mga gastos at oras ng probate**
* **Higit na kontrol sa pamamahagi ng asset**
* **Potensyal na proteksyon ng asset mula sa mga nagpapautang**
* **Pamamahala ng mana para sa mga benepisyaryo na maaaring wala pang pananagutan sa p"&amp;"ananalapi**
**Mahahalagang Pagsasaalang-alang:**
* Napakahalagang maunawaan ang mga partikular na tuntunin ng dokumento ng tiwala upang malaman kung paano hahawakan ang mana.
* Ang pagkonsulta sa isang abogado na dalubhasa sa mga trust at estate planning "&amp;"ay maaaring makatulong, lalo na kung ang dokumento ng trust ay kumplikado o may mga potensyal na isyu.
**Sa pangkalahatan,** ang mana mula sa isang trust ay nag-aalok ng higit na flexibility at kontrol kumpara sa tradisyonal na mana. Gayunpaman, mahalagan"&amp;"g maunawaan ang partikular na istraktura ng tiwala at ang epekto nito sa mga karapatan ng benepisyaryo.")</f>
        <v>Iba ang paggana ng mana na may mga asset na hawak sa isang trust kaysa sa tradisyonal na pamana. Narito ang isang breakdown:
**Traditional Inheritance vs. Trust:**
* **Tradisyunal na Pamana:** Ang mga asset ay direktang ipinapasa mula sa namatay (nagbigay) sa mga benepisyaryo na pinangalanan sa kanilang kalooban o ayon sa mga batas ng intestacy (kung walang testamento). * **Trust:** Ang mga asset ay inililipat sa isang trust habang nabubuhay ang nagbigay. Binabalangkas ng dokumento ng tiwala kung paano pamamahalaan ang mga ari-arian (ng isang tagapangasiwa) at sa huli ay ipapamahagi sa mga benepisyaryo ayon sa kagustuhan ng tagapagbigay.
**Pamana mula sa isang Trust:**
* **Pagsunod sa Trust Document:** Ang pamamahagi ng mga asset mula sa isang trust ay idinidikta ng mga tuntuning nakalagay sa trust document. Tinutukoy ng dokumentong ito ang:
* **Mga benepisyaryo:** Sino ang magmamana ng mga asset ng tiwala.
* **Iskedyul ng Pamamahagi:** Kailan at paano matatanggap ng mga benepisyaryo ang kanilang mana (hal., sa kabuuan, sa ilang partikular na edad, o batay sa mga partikular na kundisyon).
* **Mga Tungkulin ng Trustee:** Ang mga responsibilidad ng trustee na namamahala sa mga asset ng trust para sa kapakinabangan ng mga benepisyaryo.
* **Pag-iwas sa Probate:** Ang mga asset na hawak sa isang trust ay karaniwang umiiwas sa probate, na siyang legal na proseso ng pangangasiwa ng isang testamento. Makakatipid ito ng oras at pera para sa mga benepisyaryo.
**Mga Uri ng Trust at Inheritance:**
* **Revocable Living Trust:** Maaaring baguhin o bawiin ng grantor ang trust habang nabubuhay siya. Sa pagkamatay ng nagbigay, ang natitirang mga ari-arian sa tiwala ay ipapamahagi sa mga benepisyaryo gaya ng nakabalangkas sa dokumento ng tiwala.
* **Irrevocable Trust:** Ibinigay ng grantor ang pagmamay-ari ng mga asset na inilagay sa trust at hindi maaaring gumawa ng mga pagbabago sa mga tuntunin ng trust. Ang mana para sa mga benepisyaryo ay naayos ayon sa dokumento ng tiwala.
**Mga Benepisyo ng Pamana sa Pamamagitan ng Tiwala:**
* **Nabawasan ang mga gastos at oras ng probate**
* **Higit na kontrol sa pamamahagi ng asset**
* **Potensyal na proteksyon ng asset mula sa mga nagpapautang**
* **Pamamahala ng mana para sa mga benepisyaryo na maaaring wala pang pananagutan sa pananalapi**
**Mahahalagang Pagsasaalang-alang:**
* Napakahalagang maunawaan ang mga partikular na tuntunin ng dokumento ng tiwala upang malaman kung paano hahawakan ang mana.
* Ang pagkonsulta sa isang abogado na dalubhasa sa mga trust at estate planning ay maaaring makatulong, lalo na kung ang dokumento ng trust ay kumplikado o may mga potensyal na isyu.
**Sa pangkalahatan,** ang mana mula sa isang trust ay nag-aalok ng higit na flexibility at kontrol kumpara sa tradisyonal na mana. Gayunpaman, mahalagang maunawaan ang partikular na istraktura ng tiwala at ang epekto nito sa mga karapatan ng benepisyaryo.</v>
      </c>
      <c r="F596" s="2">
        <f t="shared" si="1"/>
        <v>0</v>
      </c>
      <c r="G596" s="2"/>
      <c r="H596" s="2"/>
      <c r="I596" s="2"/>
      <c r="J596" s="2"/>
      <c r="K596" s="2"/>
      <c r="L596" s="2"/>
      <c r="M596" s="2"/>
      <c r="N596" s="2"/>
      <c r="O596" s="2"/>
      <c r="P596" s="2"/>
      <c r="Q596" s="2"/>
      <c r="R596" s="2"/>
      <c r="S596" s="2"/>
      <c r="T596" s="2"/>
      <c r="U596" s="2"/>
      <c r="V596" s="2"/>
      <c r="W596" s="2"/>
      <c r="X596" s="2"/>
      <c r="Y596" s="2"/>
      <c r="Z596" s="2"/>
      <c r="AA596" s="2"/>
    </row>
    <row r="597">
      <c r="A597" s="1" t="s">
        <v>1224</v>
      </c>
      <c r="B597" s="1" t="s">
        <v>2004</v>
      </c>
      <c r="C597" s="1" t="s">
        <v>2005</v>
      </c>
      <c r="D597" s="1" t="s">
        <v>2006</v>
      </c>
      <c r="E597" s="2" t="str">
        <f>IFERROR(__xludf.DUMMYFUNCTION("GOOGLETRANSLATE(C597, ""en"", ""TL"")"),"Sa Pilipinas, ang kapansanan o kawalan ng kakayahan ng isang benepisyaryo sa pangkalahatan ay **ay hindi nag-aalis sa kanila** mula sa pagtanggap ng kanilang mana. Gayunpaman, may mga sitwasyon kung saan maaaring makaapekto ito kung paano nila ito natatan"&amp;"ggap:
* **Pamamahala ng mga Minanang Asset:** * Kung ang isang benepisyaryo ay may kapansanan na nakakaapekto sa kanilang kakayahang pamahalaan ang pera nang responsable, maaaring magtalaga ang isang hukuman ng isang tagapag-alaga o conservator upang mang"&amp;"asiwa sa kanilang mana. * Ang taong ito ay magiging responsable para sa pamamahala ng mga pondo at tiyaking ginagamit ang mga ito para sa benepisyo ng benepisyaryo.
* **Pagtitiwala sa Espesyal na Pangangailangan:**
* Sa ilang mga kaso, ang isang testator "&amp;"(ang taong sumulat ng testamento) ay maaaring magtatag ng isang espesyal na pangangailangan na tiwala para sa isang may kapansanan na benepisyaryo. * Ang tiwala na ito ay nagpapahintulot sa benepisyaryo na makatanggap ng mga benepisyo ng mana nang hindi n"&amp;"alalagay sa panganib ang kanilang pagiging karapat-dapat para sa mga programa ng tulong ng pamahalaan.
* **Kawalan ng Pamana (Mga Rare Case):**
* Bagama't hindi karaniwan, maaaring piliin ng testator na i-disinherit ang isang benepisyaryo dahil sa kapansa"&amp;"nan, ngunit kailangang may matibay na katwiran. * Ang pagbibigay-katwiran na ito ay malamang na may kinalaman sa pagpapatunay na ang kapansanan ng benepisyaryo ay magdudulot ng malaking pinsala sa mana o sa kanilang sarili kung direktang natanggap nila it"&amp;"o.
Narito ang ilang karagdagang punto na dapat isaalang-alang:
* **Uri ng Kapansanan:** Ang epekto ng kapansanan sa mana ay mag-iiba depende sa uri at kalubhaan ng kapansanan.
* **Will vs. Intestacy:** Kung mayroong will, ang mga tagubilin ng testator tun"&amp;"gkol sa isang may kapansanan na benepisyaryo ay maaaring nakabalangkas. Sa kawalan ng testamento (intestacy), ang hukuman ang magpapasya kung paano haharapin ang mana batay sa sitwasyon ng benepisyaryo. * **Legal na Patnubay:** Ang pagkonsulta sa isang ab"&amp;"ogado na dalubhasa sa estate planning at trust ay napakahalaga, lalo na kung ang isang benepisyaryo ay may kapansanan. Maaari silang magpayo sa pinakamahusay na paraan upang ayusin ang mana upang matiyak na ito ay makikinabang sa benepisyaryo habang isina"&amp;"saalang-alang ang kanilang mga partikular na pangangailangan.
Tandaan, ito ay isang pangkalahatang pangkalahatang-ideya, at ang mga detalye ay depende sa indibidwal na mga pangyayari.")</f>
        <v>Sa Pilipinas, ang kapansanan o kawalan ng kakayahan ng isang benepisyaryo sa pangkalahatan ay **ay hindi nag-aalis sa kanila** mula sa pagtanggap ng kanilang mana. Gayunpaman, may mga sitwasyon kung saan maaaring makaapekto ito kung paano nila ito natatanggap:
* **Pamamahala ng mga Minanang Asset:** * Kung ang isang benepisyaryo ay may kapansanan na nakakaapekto sa kanilang kakayahang pamahalaan ang pera nang responsable, maaaring magtalaga ang isang hukuman ng isang tagapag-alaga o conservator upang mangasiwa sa kanilang mana. * Ang taong ito ay magiging responsable para sa pamamahala ng mga pondo at tiyaking ginagamit ang mga ito para sa benepisyo ng benepisyaryo.
* **Pagtitiwala sa Espesyal na Pangangailangan:**
* Sa ilang mga kaso, ang isang testator (ang taong sumulat ng testamento) ay maaaring magtatag ng isang espesyal na pangangailangan na tiwala para sa isang may kapansanan na benepisyaryo. * Ang tiwala na ito ay nagpapahintulot sa benepisyaryo na makatanggap ng mga benepisyo ng mana nang hindi nalalagay sa panganib ang kanilang pagiging karapat-dapat para sa mga programa ng tulong ng pamahalaan.
* **Kawalan ng Pamana (Mga Rare Case):**
* Bagama't hindi karaniwan, maaaring piliin ng testator na i-disinherit ang isang benepisyaryo dahil sa kapansanan, ngunit kailangang may matibay na katwiran. * Ang pagbibigay-katwiran na ito ay malamang na may kinalaman sa pagpapatunay na ang kapansanan ng benepisyaryo ay magdudulot ng malaking pinsala sa mana o sa kanilang sarili kung direktang natanggap nila ito.
Narito ang ilang karagdagang punto na dapat isaalang-alang:
* **Uri ng Kapansanan:** Ang epekto ng kapansanan sa mana ay mag-iiba depende sa uri at kalubhaan ng kapansanan.
* **Will vs. Intestacy:** Kung mayroong will, ang mga tagubilin ng testator tungkol sa isang may kapansanan na benepisyaryo ay maaaring nakabalangkas. Sa kawalan ng testamento (intestacy), ang hukuman ang magpapasya kung paano haharapin ang mana batay sa sitwasyon ng benepisyaryo. * **Legal na Patnubay:** Ang pagkonsulta sa isang abogado na dalubhasa sa estate planning at trust ay napakahalaga, lalo na kung ang isang benepisyaryo ay may kapansanan. Maaari silang magpayo sa pinakamahusay na paraan upang ayusin ang mana upang matiyak na ito ay makikinabang sa benepisyaryo habang isinasaalang-alang ang kanilang mga partikular na pangangailangan.
Tandaan, ito ay isang pangkalahatang pangkalahatang-ideya, at ang mga detalye ay depende sa indibidwal na mga pangyayari.</v>
      </c>
      <c r="F597" s="2">
        <f t="shared" si="1"/>
        <v>0</v>
      </c>
      <c r="G597" s="2"/>
      <c r="H597" s="2"/>
      <c r="I597" s="2"/>
      <c r="J597" s="2"/>
      <c r="K597" s="2"/>
      <c r="L597" s="2"/>
      <c r="M597" s="2"/>
      <c r="N597" s="2"/>
      <c r="O597" s="2"/>
      <c r="P597" s="2"/>
      <c r="Q597" s="2"/>
      <c r="R597" s="2"/>
      <c r="S597" s="2"/>
      <c r="T597" s="2"/>
      <c r="U597" s="2"/>
      <c r="V597" s="2"/>
      <c r="W597" s="2"/>
      <c r="X597" s="2"/>
      <c r="Y597" s="2"/>
      <c r="Z597" s="2"/>
      <c r="AA597" s="2"/>
    </row>
    <row r="598">
      <c r="A598" s="1" t="s">
        <v>1224</v>
      </c>
      <c r="B598" s="1" t="s">
        <v>2007</v>
      </c>
      <c r="C598" s="1" t="s">
        <v>2008</v>
      </c>
      <c r="D598" s="1" t="s">
        <v>2009</v>
      </c>
      <c r="E598" s="2" t="str">
        <f>IFERROR(__xludf.DUMMYFUNCTION("GOOGLETRANSLATE(C598, ""en"", ""TL"")"),"Ang pag-claim ng mana mula sa isang dayuhang ari-arian ay maaaring isang kumplikadong proseso na may mga karagdagang pagsasaalang-alang kumpara sa pagmamana mula sa isang lokal na ari-arian. Narito ang isang breakdown ng mga pangkalahatang hakbang na kasa"&amp;"ngkot:
**1. Hanapin ang Legal na Kinatawan:**
* Alamin kung nag-iwan ng testamento ang namatay. Kung gayon, dapat pangalanan ng testamento ang isang tagapagpatupad o tagapangasiwa na responsable sa paghawak ng ari-arian. * Kung walang will (intestacy), an"&amp;"g mga batas ng bansa kung saan matatagpuan ang mga asset ay tutukuyin kung sino ang magmamana at kung paano inaayos ang ari-arian. Maaaring kailanganin mong magsaliksik ng mga batas sa pamana ng partikular na bansang iyon.
**2. Magtipon ng Mga Kinakailang"&amp;"ang Dokumento:**
* **Death certificate of the deceased** (isinalin at itinapon kung kinakailangan ng dayuhang bansa)
* **Katibayan ng iyong pagkakakilanlan at katayuan ng benepisyaryo** (mga sertipiko ng kapanganakan, sertipiko ng kasal, anumang legal na "&amp;"dokumentong nagpapangalan sa iyo bilang tagapagmana)
* **Posibleng tax identification number** (maaaring mag-iba ayon sa bansa)
**3. Mag-navigate sa Probate (kung naaangkop):**
* Ang probate ay ang legal na proseso ng pangangasiwa sa ari-arian, kabilang a"&amp;"ng pagbabayad ng mga utang at buwis bago ipamahagi ang mga ari-arian sa mga benepisyaryo. * Kung kinakailangan ang probate ay depende sa mga batas ng bansa at sa halaga ng mga ari-arian. * Sa ilang mga kaso, maaaring kailanganin ang isang ancillary probat"&amp;"e sa iyong sariling bansa upang pangasiwaan ang lokal na pamamahagi ng mga minanang asset.
**4. Mga Implikasyon sa Buwis:**
* Maaari kang managot para sa mga buwis sa mana sa ibang bansa at sa iyong sariling bansa. * Magsaliksik ng mga kasunduan sa buwis "&amp;"sa pagitan ng dalawang bansa upang makita kung may anumang mga exemption o pinababang mga rate ang nalalapat.
* Napakahalagang kumonsulta sa isang tax advisor na pamilyar sa mga internasyonal na buwis sa mana.
**5. Paglilipat ng mga Asset:**
* Ang proseso"&amp;" para sa paglilipat ng mga asset tulad ng ari-arian o mga bank account ay depende sa partikular na lokasyon at uri ng asset. * Maaaring kailanganin mong makipagtulungan sa mga lokal na abogado o institusyong pampinansyal upang mag-navigate sa mga pamamara"&amp;"an ng paglilipat.
**Mga Karagdagang Pagsasaalang-alang:**
* **Legal na Representasyon:** Dahil sa mga kumplikadong kasangkot, ang pagkonsulta sa mga abogado na dalubhasa sa internasyonal na batas sa mana sa parehong banyagang bansa at sa iyong sariling ba"&amp;"nsa ay lubos na inirerekomenda. * **Palitan ng Pera:** Isaalang-alang ang mga potensyal na pagbabago sa rate ng palitan ng pera kapag tinatanggap at pinamamahalaan ang mana.
* **Translation at Apostille Services:** Ang mga dokumento ay maaaring mangailang"&amp;"an ng pagsasalin sa opisyal na wika ng dayuhang bansa at apostille certification (pag-verify ng pagiging tunay) para sa mga legal na layunin.
Tandaan, ito ay isang pangkalahatang pangkalahatang-ideya, at ang partikular na proseso ay mag-iiba depende sa ba"&amp;"nsa kung saan matatagpuan ang ari-arian, ang uri ng mga asset na kasangkot, at ang pagkakaroon ng isang testamento.")</f>
        <v>Ang pag-claim ng mana mula sa isang dayuhang ari-arian ay maaaring isang kumplikadong proseso na may mga karagdagang pagsasaalang-alang kumpara sa pagmamana mula sa isang lokal na ari-arian. Narito ang isang breakdown ng mga pangkalahatang hakbang na kasangkot:
**1. Hanapin ang Legal na Kinatawan:**
* Alamin kung nag-iwan ng testamento ang namatay. Kung gayon, dapat pangalanan ng testamento ang isang tagapagpatupad o tagapangasiwa na responsable sa paghawak ng ari-arian. * Kung walang will (intestacy), ang mga batas ng bansa kung saan matatagpuan ang mga asset ay tutukuyin kung sino ang magmamana at kung paano inaayos ang ari-arian. Maaaring kailanganin mong magsaliksik ng mga batas sa pamana ng partikular na bansang iyon.
**2. Magtipon ng Mga Kinakailangang Dokumento:**
* **Death certificate of the deceased** (isinalin at itinapon kung kinakailangan ng dayuhang bansa)
* **Katibayan ng iyong pagkakakilanlan at katayuan ng benepisyaryo** (mga sertipiko ng kapanganakan, sertipiko ng kasal, anumang legal na dokumentong nagpapangalan sa iyo bilang tagapagmana)
* **Posibleng tax identification number** (maaaring mag-iba ayon sa bansa)
**3. Mag-navigate sa Probate (kung naaangkop):**
* Ang probate ay ang legal na proseso ng pangangasiwa sa ari-arian, kabilang ang pagbabayad ng mga utang at buwis bago ipamahagi ang mga ari-arian sa mga benepisyaryo. * Kung kinakailangan ang probate ay depende sa mga batas ng bansa at sa halaga ng mga ari-arian. * Sa ilang mga kaso, maaaring kailanganin ang isang ancillary probate sa iyong sariling bansa upang pangasiwaan ang lokal na pamamahagi ng mga minanang asset.
**4. Mga Implikasyon sa Buwis:**
* Maaari kang managot para sa mga buwis sa mana sa ibang bansa at sa iyong sariling bansa. * Magsaliksik ng mga kasunduan sa buwis sa pagitan ng dalawang bansa upang makita kung may anumang mga exemption o pinababang mga rate ang nalalapat.
* Napakahalagang kumonsulta sa isang tax advisor na pamilyar sa mga internasyonal na buwis sa mana.
**5. Paglilipat ng mga Asset:**
* Ang proseso para sa paglilipat ng mga asset tulad ng ari-arian o mga bank account ay depende sa partikular na lokasyon at uri ng asset. * Maaaring kailanganin mong makipagtulungan sa mga lokal na abogado o institusyong pampinansyal upang mag-navigate sa mga pamamaraan ng paglilipat.
**Mga Karagdagang Pagsasaalang-alang:**
* **Legal na Representasyon:** Dahil sa mga kumplikadong kasangkot, ang pagkonsulta sa mga abogado na dalubhasa sa internasyonal na batas sa mana sa parehong banyagang bansa at sa iyong sariling bansa ay lubos na inirerekomenda. * **Palitan ng Pera:** Isaalang-alang ang mga potensyal na pagbabago sa rate ng palitan ng pera kapag tinatanggap at pinamamahalaan ang mana.
* **Translation at Apostille Services:** Ang mga dokumento ay maaaring mangailangan ng pagsasalin sa opisyal na wika ng dayuhang bansa at apostille certification (pag-verify ng pagiging tunay) para sa mga legal na layunin.
Tandaan, ito ay isang pangkalahatang pangkalahatang-ideya, at ang partikular na proseso ay mag-iiba depende sa bansa kung saan matatagpuan ang ari-arian, ang uri ng mga asset na kasangkot, at ang pagkakaroon ng isang testamento.</v>
      </c>
      <c r="F598" s="2">
        <f t="shared" si="1"/>
        <v>0</v>
      </c>
      <c r="G598" s="2"/>
      <c r="H598" s="2"/>
      <c r="I598" s="2"/>
      <c r="J598" s="2"/>
      <c r="K598" s="2"/>
      <c r="L598" s="2"/>
      <c r="M598" s="2"/>
      <c r="N598" s="2"/>
      <c r="O598" s="2"/>
      <c r="P598" s="2"/>
      <c r="Q598" s="2"/>
      <c r="R598" s="2"/>
      <c r="S598" s="2"/>
      <c r="T598" s="2"/>
      <c r="U598" s="2"/>
      <c r="V598" s="2"/>
      <c r="W598" s="2"/>
      <c r="X598" s="2"/>
      <c r="Y598" s="2"/>
      <c r="Z598" s="2"/>
      <c r="AA598" s="2"/>
    </row>
    <row r="599">
      <c r="A599" s="3" t="s">
        <v>2010</v>
      </c>
      <c r="B599" s="1" t="s">
        <v>2011</v>
      </c>
      <c r="C599" s="1" t="s">
        <v>2012</v>
      </c>
      <c r="D599" s="1" t="s">
        <v>2013</v>
      </c>
      <c r="E599" s="2" t="str">
        <f>IFERROR(__xludf.DUMMYFUNCTION("GOOGLETRANSLATE(C599, ""en"", ""TL"")"),"Ang legal na kahulugan ng pag-hack ay maaaring iba, ngunit sa pangkalahatan ay umiikot sa hindi awtorisadong pag-access, pagbabago, o pagkagambala ng isang computer system o network, para sa anumang labag sa batas na layunin. Kabilang sa mga pangunahing s"&amp;"alik ang: kakulangan ng pahintulot, kung ang hacker ay lumampas sa awtorisadong pag-access, layunin (hal., magnakaw ng data, magdulot ng pinsala), at ang uri ng system na naka-target (mga protektadong computer, kritikal na imprastraktura). Ang mga batas t"&amp;"ulad ng US Computer Fraud and Abuse Act at mga katulad na batas sa ibang mga bansa ay ginagawang kriminal ang mga pagkilos na ito, habang ang ""etikal na pag-hack"" na isinasagawa nang may pahintulot at para sa mga kapaki-pakinabang na layunin ay wala sa "&amp;"legal na kahulugan. Mahalagang tandaan na ang konteksto at intensyon ay mahalaga sa pagtukoy kung ang isang gawa ay bumubuo ng ilegal na pag-hack.")</f>
        <v>Ang legal na kahulugan ng pag-hack ay maaaring iba, ngunit sa pangkalahatan ay umiikot sa hindi awtorisadong pag-access, pagbabago, o pagkagambala ng isang computer system o network, para sa anumang labag sa batas na layunin. Kabilang sa mga pangunahing salik ang: kakulangan ng pahintulot, kung ang hacker ay lumampas sa awtorisadong pag-access, layunin (hal., magnakaw ng data, magdulot ng pinsala), at ang uri ng system na naka-target (mga protektadong computer, kritikal na imprastraktura). Ang mga batas tulad ng US Computer Fraud and Abuse Act at mga katulad na batas sa ibang mga bansa ay ginagawang kriminal ang mga pagkilos na ito, habang ang "etikal na pag-hack" na isinasagawa nang may pahintulot at para sa mga kapaki-pakinabang na layunin ay wala sa legal na kahulugan. Mahalagang tandaan na ang konteksto at intensyon ay mahalaga sa pagtukoy kung ang isang gawa ay bumubuo ng ilegal na pag-hack.</v>
      </c>
      <c r="F599" s="2">
        <f t="shared" si="1"/>
        <v>0</v>
      </c>
      <c r="G599" s="2"/>
      <c r="H599" s="2"/>
      <c r="I599" s="2"/>
      <c r="J599" s="2"/>
      <c r="K599" s="2"/>
      <c r="L599" s="2"/>
      <c r="M599" s="2"/>
      <c r="N599" s="2"/>
      <c r="O599" s="2"/>
      <c r="P599" s="2"/>
      <c r="Q599" s="2"/>
      <c r="R599" s="2"/>
      <c r="S599" s="2"/>
      <c r="T599" s="2"/>
      <c r="U599" s="2"/>
      <c r="V599" s="2"/>
      <c r="W599" s="2"/>
      <c r="X599" s="2"/>
      <c r="Y599" s="2"/>
      <c r="Z599" s="2"/>
      <c r="AA599" s="2"/>
    </row>
    <row r="600">
      <c r="A600" s="3" t="s">
        <v>2010</v>
      </c>
      <c r="B600" s="1" t="s">
        <v>2014</v>
      </c>
      <c r="C600" s="1" t="s">
        <v>2015</v>
      </c>
      <c r="D600" s="1" t="s">
        <v>2016</v>
      </c>
      <c r="E600" s="2" t="str">
        <f>IFERROR(__xludf.DUMMYFUNCTION("GOOGLETRANSLATE(C600, ""en"", ""TL"")"),"Hindi, sa pangkalahatan ay hindi ka ligal na mananagot para sa mga krimeng ginawa sa pamamagitan ng iyong na-hack na computer, lalo na kung gumawa ka ng mga makatwirang pag-iingat tulad ng paggamit ng mga malalakas na password at antivirus software. Gayun"&amp;"paman, ang mga partikular na sitwasyon, tulad ng kapabayaan sa mga kasanayan sa cybersecurity o partikular na mga obligasyon sa kontraktwal, ay maaaring magbukas sa iyo sa pananagutan sa ilang mga kaso. Ang pagkonsulta sa isang abogado tungkol sa iyong pa"&amp;"rtikular na sitwasyon at mga kasanayan sa cyber hygiene ay pinakamainam para sa tiyak na patnubay.")</f>
        <v>Hindi, sa pangkalahatan ay hindi ka ligal na mananagot para sa mga krimeng ginawa sa pamamagitan ng iyong na-hack na computer, lalo na kung gumawa ka ng mga makatwirang pag-iingat tulad ng paggamit ng mga malalakas na password at antivirus software. Gayunpaman, ang mga partikular na sitwasyon, tulad ng kapabayaan sa mga kasanayan sa cybersecurity o partikular na mga obligasyon sa kontraktwal, ay maaaring magbukas sa iyo sa pananagutan sa ilang mga kaso. Ang pagkonsulta sa isang abogado tungkol sa iyong partikular na sitwasyon at mga kasanayan sa cyber hygiene ay pinakamainam para sa tiyak na patnubay.</v>
      </c>
      <c r="F600" s="2">
        <f t="shared" si="1"/>
        <v>0</v>
      </c>
      <c r="G600" s="2"/>
      <c r="H600" s="2"/>
      <c r="I600" s="2"/>
      <c r="J600" s="2"/>
      <c r="K600" s="2"/>
      <c r="L600" s="2"/>
      <c r="M600" s="2"/>
      <c r="N600" s="2"/>
      <c r="O600" s="2"/>
      <c r="P600" s="2"/>
      <c r="Q600" s="2"/>
      <c r="R600" s="2"/>
      <c r="S600" s="2"/>
      <c r="T600" s="2"/>
      <c r="U600" s="2"/>
      <c r="V600" s="2"/>
      <c r="W600" s="2"/>
      <c r="X600" s="2"/>
      <c r="Y600" s="2"/>
      <c r="Z600" s="2"/>
      <c r="AA600" s="2"/>
    </row>
    <row r="601">
      <c r="A601" s="3" t="s">
        <v>2010</v>
      </c>
      <c r="B601" s="1" t="s">
        <v>2017</v>
      </c>
      <c r="C601" s="1" t="s">
        <v>2018</v>
      </c>
      <c r="D601" s="1" t="s">
        <v>2019</v>
      </c>
      <c r="E601" s="2" t="str">
        <f>IFERROR(__xludf.DUMMYFUNCTION("GOOGLETRANSLATE(C601, ""en"", ""TL"")"),"Ang pag-hack sa social media ng isang tao ay isang malubhang pagkakasala na may mabigat na legal na kahihinatnan. Lumalabag ito sa mga batas ng pederal at estado tulad ng hindi awtorisadong pag-access sa computer, pagnanakaw ng pagkakakilanlan, at pandara"&amp;"ya, na posibleng humahantong sa mabibigat na multa, panahon ng pagkakulong, at sibil na demanda para sa mga pinsala. Kahit na ang mga tila hindi nakakapinsalang aksyon ay maaaring magdulot sa iyo ng problema, at ang kalubhaan ay nakasalalay sa impormasyon"&amp;"g na-access, pinsalang dulot, at hurisdiksyon. Pinakamainam na manatili sa ligtas na bahagi at igalang ang online privacy ng iba.")</f>
        <v>Ang pag-hack sa social media ng isang tao ay isang malubhang pagkakasala na may mabigat na legal na kahihinatnan. Lumalabag ito sa mga batas ng pederal at estado tulad ng hindi awtorisadong pag-access sa computer, pagnanakaw ng pagkakakilanlan, at pandaraya, na posibleng humahantong sa mabibigat na multa, panahon ng pagkakulong, at sibil na demanda para sa mga pinsala. Kahit na ang mga tila hindi nakakapinsalang aksyon ay maaaring magdulot sa iyo ng problema, at ang kalubhaan ay nakasalalay sa impormasyong na-access, pinsalang dulot, at hurisdiksyon. Pinakamainam na manatili sa ligtas na bahagi at igalang ang online privacy ng iba.</v>
      </c>
      <c r="F601" s="2">
        <f t="shared" si="1"/>
        <v>0</v>
      </c>
      <c r="G601" s="2"/>
      <c r="H601" s="2"/>
      <c r="I601" s="2"/>
      <c r="J601" s="2"/>
      <c r="K601" s="2"/>
      <c r="L601" s="2"/>
      <c r="M601" s="2"/>
      <c r="N601" s="2"/>
      <c r="O601" s="2"/>
      <c r="P601" s="2"/>
      <c r="Q601" s="2"/>
      <c r="R601" s="2"/>
      <c r="S601" s="2"/>
      <c r="T601" s="2"/>
      <c r="U601" s="2"/>
      <c r="V601" s="2"/>
      <c r="W601" s="2"/>
      <c r="X601" s="2"/>
      <c r="Y601" s="2"/>
      <c r="Z601" s="2"/>
      <c r="AA601" s="2"/>
    </row>
    <row r="602">
      <c r="A602" s="3" t="s">
        <v>2010</v>
      </c>
      <c r="B602" s="1" t="s">
        <v>2020</v>
      </c>
      <c r="C602" s="1" t="s">
        <v>2021</v>
      </c>
      <c r="D602" s="1" t="s">
        <v>2022</v>
      </c>
      <c r="E602" s="2" t="str">
        <f>IFERROR(__xludf.DUMMYFUNCTION("GOOGLETRANSLATE(C602, ""en"", ""TL"")"),"Ang mga legal na pananagutan na kinakaharap mo bilang may-ari ng kumpanya pagkatapos ng pag-hack ng database ay nakadepende sa iba't ibang salik, ngunit maaaring maging makabuluhan. Maaari kang humarap sa mga kasong sibil mula sa mga apektadong indibidwal"&amp;" na naghahabol ng mga pinsala tulad ng pagnanakaw ng pagkakakilanlan, pagkawala ng pananalapi, o emosyonal na pagkabalisa. Maaari ka ring magkaroon ng mga multa sa regulasyon para sa paglabag sa mga batas sa privacy ng data o hindi pagtupad ng mga sapat n"&amp;"a hakbang sa seguridad. Bukod pa rito, maaari kang humarap sa mga kontraktwal na parusa kung ang anumang mga kasunduan ay nilabag dahil sa hack. Napakahalagang humingi kaagad ng legal na payo pagkatapos ng isang paglabag upang mabawasan ang mga potensyal "&amp;"na pananagutan at matiyak ang wastong pag-abiso at mga hakbang sa pagpapagaan.")</f>
        <v>Ang mga legal na pananagutan na kinakaharap mo bilang may-ari ng kumpanya pagkatapos ng pag-hack ng database ay nakadepende sa iba't ibang salik, ngunit maaaring maging makabuluhan. Maaari kang humarap sa mga kasong sibil mula sa mga apektadong indibidwal na naghahabol ng mga pinsala tulad ng pagnanakaw ng pagkakakilanlan, pagkawala ng pananalapi, o emosyonal na pagkabalisa. Maaari ka ring magkaroon ng mga multa sa regulasyon para sa paglabag sa mga batas sa privacy ng data o hindi pagtupad ng mga sapat na hakbang sa seguridad. Bukod pa rito, maaari kang humarap sa mga kontraktwal na parusa kung ang anumang mga kasunduan ay nilabag dahil sa hack. Napakahalagang humingi kaagad ng legal na payo pagkatapos ng isang paglabag upang mabawasan ang mga potensyal na pananagutan at matiyak ang wastong pag-abiso at mga hakbang sa pagpapagaan.</v>
      </c>
      <c r="F602" s="2">
        <f t="shared" si="1"/>
        <v>0</v>
      </c>
      <c r="G602" s="2"/>
      <c r="H602" s="2"/>
      <c r="I602" s="2"/>
      <c r="J602" s="2"/>
      <c r="K602" s="2"/>
      <c r="L602" s="2"/>
      <c r="M602" s="2"/>
      <c r="N602" s="2"/>
      <c r="O602" s="2"/>
      <c r="P602" s="2"/>
      <c r="Q602" s="2"/>
      <c r="R602" s="2"/>
      <c r="S602" s="2"/>
      <c r="T602" s="2"/>
      <c r="U602" s="2"/>
      <c r="V602" s="2"/>
      <c r="W602" s="2"/>
      <c r="X602" s="2"/>
      <c r="Y602" s="2"/>
      <c r="Z602" s="2"/>
      <c r="AA602" s="2"/>
    </row>
    <row r="603">
      <c r="A603" s="3" t="s">
        <v>2010</v>
      </c>
      <c r="B603" s="1" t="s">
        <v>2023</v>
      </c>
      <c r="C603" s="1" t="s">
        <v>2024</v>
      </c>
      <c r="D603" s="1" t="s">
        <v>2025</v>
      </c>
      <c r="E603" s="2" t="str">
        <f>IFERROR(__xludf.DUMMYFUNCTION("GOOGLETRANSLATE(C603, ""en"", ""TL"")"),"Sa Pilipinas, ang legal na sitwasyon sa pag-access sa Wi-Fi network ng isang tao nang walang pahintulot ay hindi lubos na malinaw. Walang partikular na batas na direktang tumutugon sa isyung ito. Gayunpaman, may ilang mga punto na dapat isaalang-alang:
Co"&amp;"mputer Fraud and Abuse Act: Ang batas na ito, na pinagtibay noong 1986, ay ginagawang kriminal ang hindi awtorisadong pag-access sa isang computer system. Bagama't hindi gaanong karaniwan noon ang mga Wi-Fi network, posibleng mabigyang-kahulugan ang batas"&amp;" na ito upang masakop ang hindi awtorisadong pag-access sa Wi-Fi.
Legalidad ng Piggybacking: Ang mga desisyon ng korte sa ibang mga bansa ay tumugon sa Wi-Fi access. Isang kaso noong 2017 sa Japan ang nagpasiya na ang simpleng pag-access sa isang hindi se"&amp;"cure na Wi-Fi network ay hindi krimen, kahit na mayroong password. Gayunpaman, ang paggamit sa access na iyon upang gumawa ng iba pang mga krimen, tulad ng pagnanakaw ng data, ay magiging ilegal.
Mga Etikal na Implikasyon:
Kahit na walang malinaw na legal"&amp;" na parusa, ang pag-access sa Wi-Fi ng isang tao nang walang pahintulot ay nagdudulot ng mga alalahaning etikal:
Panganib sa Seguridad: Maaaring inilalantad mo ang iyong device sa mga kahinaan sa network.
Pagnanakaw ng Bandwidth: Ginagamit mo ang kanilang"&amp;" mga mapagkukunan sa internet nang walang pahintulot nila.
Network Strain: Maaari nitong pabagalin ang koneksyon para sa mga awtorisadong user.
Mga alternatibo:
Mayroong higit pang mga etikal na paraan upang ma-access ang internet:
Hilingin ang password: "&amp;"Maaaring handang ibahagi ito sa iyo ng may-ari ng bahay.
Gumamit ng pampublikong Wi-Fi: Maraming mga aklatan, cafe, at parke ang nag-aalok ng libreng Wi-Fi access.
Isaalang-alang ang mobile data: Maraming mga plano sa telepono ang nag-aalok ng mga pakete "&amp;"ng data para sa internet access sa iyong telepono.
Rekomendasyon:
Pinakamainam na magkamali sa panig ng pag-iingat at iwasang ma-access ang Wi-Fi network ng isang tao nang walang pahintulot nila. May posibilidad na ito ay maituturing na isang krimen, at i"&amp;"to ay walang paggalang sa kanilang privacy at mga mapagkukunan. Maghanap ng mga alternatibong paraan upang kumonekta sa internet.")</f>
        <v>Sa Pilipinas, ang legal na sitwasyon sa pag-access sa Wi-Fi network ng isang tao nang walang pahintulot ay hindi lubos na malinaw. Walang partikular na batas na direktang tumutugon sa isyung ito. Gayunpaman, may ilang mga punto na dapat isaalang-alang:
Computer Fraud and Abuse Act: Ang batas na ito, na pinagtibay noong 1986, ay ginagawang kriminal ang hindi awtorisadong pag-access sa isang computer system. Bagama't hindi gaanong karaniwan noon ang mga Wi-Fi network, posibleng mabigyang-kahulugan ang batas na ito upang masakop ang hindi awtorisadong pag-access sa Wi-Fi.
Legalidad ng Piggybacking: Ang mga desisyon ng korte sa ibang mga bansa ay tumugon sa Wi-Fi access. Isang kaso noong 2017 sa Japan ang nagpasiya na ang simpleng pag-access sa isang hindi secure na Wi-Fi network ay hindi krimen, kahit na mayroong password. Gayunpaman, ang paggamit sa access na iyon upang gumawa ng iba pang mga krimen, tulad ng pagnanakaw ng data, ay magiging ilegal.
Mga Etikal na Implikasyon:
Kahit na walang malinaw na legal na parusa, ang pag-access sa Wi-Fi ng isang tao nang walang pahintulot ay nagdudulot ng mga alalahaning etikal:
Panganib sa Seguridad: Maaaring inilalantad mo ang iyong device sa mga kahinaan sa network.
Pagnanakaw ng Bandwidth: Ginagamit mo ang kanilang mga mapagkukunan sa internet nang walang pahintulot nila.
Network Strain: Maaari nitong pabagalin ang koneksyon para sa mga awtorisadong user.
Mga alternatibo:
Mayroong higit pang mga etikal na paraan upang ma-access ang internet:
Hilingin ang password: Maaaring handang ibahagi ito sa iyo ng may-ari ng bahay.
Gumamit ng pampublikong Wi-Fi: Maraming mga aklatan, cafe, at parke ang nag-aalok ng libreng Wi-Fi access.
Isaalang-alang ang mobile data: Maraming mga plano sa telepono ang nag-aalok ng mga pakete ng data para sa internet access sa iyong telepono.
Rekomendasyon:
Pinakamainam na magkamali sa panig ng pag-iingat at iwasang ma-access ang Wi-Fi network ng isang tao nang walang pahintulot nila. May posibilidad na ito ay maituturing na isang krimen, at ito ay walang paggalang sa kanilang privacy at mga mapagkukunan. Maghanap ng mga alternatibong paraan upang kumonekta sa internet.</v>
      </c>
      <c r="F603" s="2">
        <f t="shared" si="1"/>
        <v>0</v>
      </c>
      <c r="G603" s="2"/>
      <c r="H603" s="2"/>
      <c r="I603" s="2"/>
      <c r="J603" s="2"/>
      <c r="K603" s="2"/>
      <c r="L603" s="2"/>
      <c r="M603" s="2"/>
      <c r="N603" s="2"/>
      <c r="O603" s="2"/>
      <c r="P603" s="2"/>
      <c r="Q603" s="2"/>
      <c r="R603" s="2"/>
      <c r="S603" s="2"/>
      <c r="T603" s="2"/>
      <c r="U603" s="2"/>
      <c r="V603" s="2"/>
      <c r="W603" s="2"/>
      <c r="X603" s="2"/>
      <c r="Y603" s="2"/>
      <c r="Z603" s="2"/>
      <c r="AA603" s="2"/>
    </row>
    <row r="604">
      <c r="A604" s="3" t="s">
        <v>2010</v>
      </c>
      <c r="B604" s="1" t="s">
        <v>2026</v>
      </c>
      <c r="C604" s="1" t="s">
        <v>2027</v>
      </c>
      <c r="D604" s="1" t="s">
        <v>2028</v>
      </c>
      <c r="E604" s="2" t="str">
        <f>IFERROR(__xludf.DUMMYFUNCTION("GOOGLETRANSLATE(C604, ""en"", ""TL"")"),"Kung maaari mong idemanda ang isang kumpanya para sa hindi sapat na mga hakbang sa cybersecurity kung ang iyong personal na impormasyon ay na-hack mula sa kanilang database ay depende sa ilang mga kadahilanan, kabilang ang mga partikular na batas ng iyong"&amp;" hurisdiksyon. Sa Pilipinas, ang legal na tanawin sa paligid ng data privacy ay umuunlad, ngunit narito ang ilang pangkalahatang impormasyon na dapat isaalang-alang:
Data Privacy Act of 2012 (DPA):
Pinoprotektahan ng batas na ito ang privacy ng personal n"&amp;"a impormasyon at nagpapataw ng mga obligasyon sa mga personal information controllers (PICs) gaya ng mga kumpanya.
Inaatasan ng DPA ang mga PIC na magpatupad ng naaangkop na mga hakbang sa seguridad** upang maprotektahan ang personal na impormasyon.
Poten"&amp;"syal na mga batayan ng demanda:
Kapabayaan: Kung nabigo ang isang kumpanya na magpatupad ng mga makatwirang hakbang sa seguridad** ayon sa iniaatas ng DPA, at ang pagkabigo na ito ay humahantong sa isang paglabag sa data kung saan nakompromiso ang iyong p"&amp;"ersonal na impormasyon, maaari kang magkaroon ng mga batayan para sa isang demanda batay sa kapabayaan.
Abiso sa Paglabag sa Privacy: Inaatasan din ng DPA ang mga PIC na abisuhan ang mga apektadong indibidwal sa kaso ng paglabag sa data. Kung nabigo ang i"&amp;"sang kumpanya na ipaalam sa iyo ang isang paglabag, maaari nitong palakasin ang iyong kaso.
Mga Hamon ng Paghahabla:
Pagpapatunay ng Kapabayaan: Maaaring mahirap patunayan** na ang mga hakbang sa seguridad ng isang kumpanya ay hindi sapat at direktang nag"&amp;"ing sanhi ng paglabag**.
Mga Pinsala: Kakailanganin mo ring ipakita ang mga pinsala** na natamo dahil sa paglabag sa data, gaya ng pagnanakaw ng pagkakakilanlan o pagkawala ng pananalapi.
Alternatibong Resolusyon sa Di-pagkakasundo:
Nag-aalok ang National"&amp;" Privacy Commission (NPC), ang ahensya ng gobyerno na may katungkulan sa pagpapatupad ng DPA, ng mga alternatibong mekanismo sa pagresolba ng dispute (ADR) para sa mga alalahanin sa privacy ng data. Ito ay maaaring isang mas mabilis at mas mura** na paraa"&amp;"n upang humingi ng lunas kumpara sa isang demanda.
Rekomendasyon:
Iulat ang Paglabag: Kung naniniwala kang nakompromiso ang iyong personal na impormasyon sa isang paglabag sa data, iulat ito sa NPC** upang magsampa ng reklamo laban sa kumpanya.
Kumonsulta"&amp;" sa isang Abogado: Kung isinasaalang-alang mo ang isang demanda, ang pagkonsulta sa isang abogado na dalubhasa sa batas sa privacy ng data** ay lubos na inirerekomenda. Maaari nilang tasahin ang iyong partikular na sitwasyon, payuhan ang posibilidad na ma"&amp;"gtagumpay, at gabayan ka sa legal na proseso.
Umuunlad na Legal na Landscape:
Nakikita ng Pilipinas ang mga pag-unlad sa mga regulasyon sa privacy ng data. Ang mga iminungkahing pagbabago sa DPA, na kilala bilang Data Protection Act, ay kasalukuyang nasa "&amp;"ilalim ng deliberasyon. Ang mga pagbabagong ito ay maaaring potensyal na palakasin ang legal na balangkas para sa seguridad at privacy ng data.
Tandaan: Ito ay isang pangkalahatang pangkalahatang-ideya, at ang mga partikular na batas at ang kanilang aplik"&amp;"asyon ay maaaring mag-iba. Ang pagkonsulta sa isang abogado na pamilyar sa batas sa privacy ng data sa Pilipinas ay mahalaga para sa personalized na payo.")</f>
        <v>Kung maaari mong idemanda ang isang kumpanya para sa hindi sapat na mga hakbang sa cybersecurity kung ang iyong personal na impormasyon ay na-hack mula sa kanilang database ay depende sa ilang mga kadahilanan, kabilang ang mga partikular na batas ng iyong hurisdiksyon. Sa Pilipinas, ang legal na tanawin sa paligid ng data privacy ay umuunlad, ngunit narito ang ilang pangkalahatang impormasyon na dapat isaalang-alang:
Data Privacy Act of 2012 (DPA):
Pinoprotektahan ng batas na ito ang privacy ng personal na impormasyon at nagpapataw ng mga obligasyon sa mga personal information controllers (PICs) gaya ng mga kumpanya.
Inaatasan ng DPA ang mga PIC na magpatupad ng naaangkop na mga hakbang sa seguridad** upang maprotektahan ang personal na impormasyon.
Potensyal na mga batayan ng demanda:
Kapabayaan: Kung nabigo ang isang kumpanya na magpatupad ng mga makatwirang hakbang sa seguridad** ayon sa iniaatas ng DPA, at ang pagkabigo na ito ay humahantong sa isang paglabag sa data kung saan nakompromiso ang iyong personal na impormasyon, maaari kang magkaroon ng mga batayan para sa isang demanda batay sa kapabayaan.
Abiso sa Paglabag sa Privacy: Inaatasan din ng DPA ang mga PIC na abisuhan ang mga apektadong indibidwal sa kaso ng paglabag sa data. Kung nabigo ang isang kumpanya na ipaalam sa iyo ang isang paglabag, maaari nitong palakasin ang iyong kaso.
Mga Hamon ng Paghahabla:
Pagpapatunay ng Kapabayaan: Maaaring mahirap patunayan** na ang mga hakbang sa seguridad ng isang kumpanya ay hindi sapat at direktang naging sanhi ng paglabag**.
Mga Pinsala: Kakailanganin mo ring ipakita ang mga pinsala** na natamo dahil sa paglabag sa data, gaya ng pagnanakaw ng pagkakakilanlan o pagkawala ng pananalapi.
Alternatibong Resolusyon sa Di-pagkakasundo:
Nag-aalok ang National Privacy Commission (NPC), ang ahensya ng gobyerno na may katungkulan sa pagpapatupad ng DPA, ng mga alternatibong mekanismo sa pagresolba ng dispute (ADR) para sa mga alalahanin sa privacy ng data. Ito ay maaaring isang mas mabilis at mas mura** na paraan upang humingi ng lunas kumpara sa isang demanda.
Rekomendasyon:
Iulat ang Paglabag: Kung naniniwala kang nakompromiso ang iyong personal na impormasyon sa isang paglabag sa data, iulat ito sa NPC** upang magsampa ng reklamo laban sa kumpanya.
Kumonsulta sa isang Abogado: Kung isinasaalang-alang mo ang isang demanda, ang pagkonsulta sa isang abogado na dalubhasa sa batas sa privacy ng data** ay lubos na inirerekomenda. Maaari nilang tasahin ang iyong partikular na sitwasyon, payuhan ang posibilidad na magtagumpay, at gabayan ka sa legal na proseso.
Umuunlad na Legal na Landscape:
Nakikita ng Pilipinas ang mga pag-unlad sa mga regulasyon sa privacy ng data. Ang mga iminungkahing pagbabago sa DPA, na kilala bilang Data Protection Act, ay kasalukuyang nasa ilalim ng deliberasyon. Ang mga pagbabagong ito ay maaaring potensyal na palakasin ang legal na balangkas para sa seguridad at privacy ng data.
Tandaan: Ito ay isang pangkalahatang pangkalahatang-ideya, at ang mga partikular na batas at ang kanilang aplikasyon ay maaaring mag-iba. Ang pagkonsulta sa isang abogado na pamilyar sa batas sa privacy ng data sa Pilipinas ay mahalaga para sa personalized na payo.</v>
      </c>
      <c r="F604" s="2">
        <f t="shared" si="1"/>
        <v>0</v>
      </c>
      <c r="G604" s="2"/>
      <c r="H604" s="2"/>
      <c r="I604" s="2"/>
      <c r="J604" s="2"/>
      <c r="K604" s="2"/>
      <c r="L604" s="2"/>
      <c r="M604" s="2"/>
      <c r="N604" s="2"/>
      <c r="O604" s="2"/>
      <c r="P604" s="2"/>
      <c r="Q604" s="2"/>
      <c r="R604" s="2"/>
      <c r="S604" s="2"/>
      <c r="T604" s="2"/>
      <c r="U604" s="2"/>
      <c r="V604" s="2"/>
      <c r="W604" s="2"/>
      <c r="X604" s="2"/>
      <c r="Y604" s="2"/>
      <c r="Z604" s="2"/>
      <c r="AA604" s="2"/>
    </row>
    <row r="605">
      <c r="A605" s="3" t="s">
        <v>2010</v>
      </c>
      <c r="B605" s="1" t="s">
        <v>2029</v>
      </c>
      <c r="C605" s="1" t="s">
        <v>2030</v>
      </c>
      <c r="D605" s="1" t="s">
        <v>2031</v>
      </c>
      <c r="E605" s="2" t="str">
        <f>IFERROR(__xludf.DUMMYFUNCTION("GOOGLETRANSLATE(C605, ""en"", ""TL"")"),"Ang Pilipinas ay may mga legal na proteksyon na umuusbong kasabay ng lumalaking kahalagahan ng cybersecurity. Narito ang isang breakdown ng kasalukuyang framework at kung paano ito makakatulong sa mga biktima ng pag-hack:
Data Privacy Act of 2012 (DPA):
A"&amp;"ng batas na ito ay nagsisilbing pundasyon para sa mga karapatan sa privacy ng data. Narito kung paano nito pinoprotektahan ang mga biktima ng pag-hack:
Mga Panukala sa Seguridad: Ang DPA ay nangangailangan ng mga personal information controller (PIC) tula"&amp;"d ng mga kumpanya na magpatupad ng ""mga naaangkop na hakbang sa seguridad""** upang pangalagaan ang personal na data. Ang isang insidente ng pag-hack dahil sa hindi sapat na seguridad ay maaaring isang paglabag.
Notification ng Data Breach: Ang DPA ay na"&amp;"g-uutos na ang mga PIC ay abisuhan ang mga apektadong indibidwal** kung sakaling magkaroon ng data breach. Nagbibigay-daan ito sa mga biktima na gumawa ng mga hakbang upang protektahan ang kanilang sarili mula sa potensyal na pinsalang dulot ng nakompromi"&amp;"song data.
Mga Potensyal na Legal na Aksyon:
Bagama't hindi tahasang nagbibigay ang DPA ng pribadong karapatang kumilos, may mga potensyal na legal na paraan para sa mga biktima ng pag-hack depende sa mga pangyayari:
Paghahabla sa Kapabayaan: Kung ang kab"&amp;"iguan ng isang kumpanya na magpatupad ng mga makatwirang hakbang sa seguridad** ayon sa iniaatas ng DPA ay humantong sa isang paglabag sa data na nakompromiso ang iyong impormasyon, maaari kang magkaroon ng dahilan upang magdemanda batay sa kapabayaan. An"&amp;"g pagpapatunay na ito ay maaaring maging mahirap, ngunit maaaring tasahin ng isang abogado ang iyong kaso.
Karapatan sa Kompensasyon: Ang mga iminungkahing pagbabago sa DPA, na kilala bilang Data Protection Act, ay nagpapakilala ng karapatan sa kabayaran "&amp;"para sa mga pinsalang dulot ng paglabag sa data. Pinalalakas nito ang legal na paraan para sa mga biktima, ngunit ang mga pagbabagong ito ay hindi pa ganap na naipapatupad.
National Privacy Commission (NPC):
Ang ahensya ng gobyerno na ito ay nangangasiwa "&amp;"sa privacy ng data:
Paghahain ng Reklamo: Ang mga biktima ng pag-hack ay maaaring magsampa ng reklamo sa NPC** laban sa kumpanyang responsable para sa paglabag sa data. Maaaring mag-imbestiga ang NPC at posibleng magpataw ng mga parusa sa kumpanya.
Altern"&amp;"atibong Dispute Resolution (ADR): Nag-aalok ang NPC ng mga mekanismo ng ADR para sa mga alalahanin sa privacy ng data. Ito ay maaaring isang mas mabilis at mas mura** na paraan upang humingi ng lunas kumpara sa isang demanda.
Mga Karagdagang Proteksyon:
C"&amp;"ybercrime Law: Ang Cybercrime Prevention Act of 2012 ay nagpaparusa sa iba't ibang cybercrime, kabilang ang ilegal na pag-access sa mga computer system. Bagama't maaaring hindi direktang tugunan ng batas na ito ang mga paglabag sa data mula sa hindi sapat"&amp;" na seguridad, pinapalakas nito ang pangkalahatang balangkas ng cybersecurity.
Mga Hamon at Rekomendasyon:
Pagpapatunay ng Kapabayaan: Ang pagpapakita ng seguridad ng kumpanya ay direktang nagdulot ng paglabag ay maaaring maging mahirap.
Mga Pinsala: Upan"&amp;"g ituloy ang legal na aksyon, malamang na kailangan mong magpakita ng mga mabibilang na pinsala** na natamo dahil sa insidente ng pag-hack, gaya ng pagnanakaw ng pagkakakilanlan o pagkawala ng pananalapi.
Pagkonsulta sa isang Abogado:
Para sa isang partik"&amp;"ular na sitwasyon, ang pagkonsulta sa isang abogado na dalubhasa sa batas sa privacy ng data** ay lubos na inirerekomenda. Maaari nilang tasahin ang mga merito ng iyong kaso, payuhan ang pinakamahusay na paraan ng pagkilos, at gabayan ka sa legal na prose"&amp;"so.
Nagbabagong Landscape:
Ang mga regulasyon sa privacy ng data ng Pilipinas ay patuloy na nagbabago. Ang mga iminungkahing pagbabago sa DPA ay nag-aalok ng mga promising development para sa proteksyon ng biktima. Ang pananatiling may kaalaman tungkol sa"&amp;" mga pagbabagong ito ay makakatulong sa iyong mas maunawaan ang iyong mga karapatan.
Tandaan: Ito ay isang pangkalahatang pangkalahatang-ideya, at ang mga partikular na batas at ang kanilang aplikasyon ay maaaring mag-iba. Ang pagkonsulta sa isang abogado"&amp;" na pamilyar sa batas sa privacy ng data sa Pilipinas ay mahalaga para sa personalized na payo.")</f>
        <v>Ang Pilipinas ay may mga legal na proteksyon na umuusbong kasabay ng lumalaking kahalagahan ng cybersecurity. Narito ang isang breakdown ng kasalukuyang framework at kung paano ito makakatulong sa mga biktima ng pag-hack:
Data Privacy Act of 2012 (DPA):
Ang batas na ito ay nagsisilbing pundasyon para sa mga karapatan sa privacy ng data. Narito kung paano nito pinoprotektahan ang mga biktima ng pag-hack:
Mga Panukala sa Seguridad: Ang DPA ay nangangailangan ng mga personal information controller (PIC) tulad ng mga kumpanya na magpatupad ng "mga naaangkop na hakbang sa seguridad"** upang pangalagaan ang personal na data. Ang isang insidente ng pag-hack dahil sa hindi sapat na seguridad ay maaaring isang paglabag.
Notification ng Data Breach: Ang DPA ay nag-uutos na ang mga PIC ay abisuhan ang mga apektadong indibidwal** kung sakaling magkaroon ng data breach. Nagbibigay-daan ito sa mga biktima na gumawa ng mga hakbang upang protektahan ang kanilang sarili mula sa potensyal na pinsalang dulot ng nakompromisong data.
Mga Potensyal na Legal na Aksyon:
Bagama't hindi tahasang nagbibigay ang DPA ng pribadong karapatang kumilos, may mga potensyal na legal na paraan para sa mga biktima ng pag-hack depende sa mga pangyayari:
Paghahabla sa Kapabayaan: Kung ang kabiguan ng isang kumpanya na magpatupad ng mga makatwirang hakbang sa seguridad** ayon sa iniaatas ng DPA ay humantong sa isang paglabag sa data na nakompromiso ang iyong impormasyon, maaari kang magkaroon ng dahilan upang magdemanda batay sa kapabayaan. Ang pagpapatunay na ito ay maaaring maging mahirap, ngunit maaaring tasahin ng isang abogado ang iyong kaso.
Karapatan sa Kompensasyon: Ang mga iminungkahing pagbabago sa DPA, na kilala bilang Data Protection Act, ay nagpapakilala ng karapatan sa kabayaran para sa mga pinsalang dulot ng paglabag sa data. Pinalalakas nito ang legal na paraan para sa mga biktima, ngunit ang mga pagbabagong ito ay hindi pa ganap na naipapatupad.
National Privacy Commission (NPC):
Ang ahensya ng gobyerno na ito ay nangangasiwa sa privacy ng data:
Paghahain ng Reklamo: Ang mga biktima ng pag-hack ay maaaring magsampa ng reklamo sa NPC** laban sa kumpanyang responsable para sa paglabag sa data. Maaaring mag-imbestiga ang NPC at posibleng magpataw ng mga parusa sa kumpanya.
Alternatibong Dispute Resolution (ADR): Nag-aalok ang NPC ng mga mekanismo ng ADR para sa mga alalahanin sa privacy ng data. Ito ay maaaring isang mas mabilis at mas mura** na paraan upang humingi ng lunas kumpara sa isang demanda.
Mga Karagdagang Proteksyon:
Cybercrime Law: Ang Cybercrime Prevention Act of 2012 ay nagpaparusa sa iba't ibang cybercrime, kabilang ang ilegal na pag-access sa mga computer system. Bagama't maaaring hindi direktang tugunan ng batas na ito ang mga paglabag sa data mula sa hindi sapat na seguridad, pinapalakas nito ang pangkalahatang balangkas ng cybersecurity.
Mga Hamon at Rekomendasyon:
Pagpapatunay ng Kapabayaan: Ang pagpapakita ng seguridad ng kumpanya ay direktang nagdulot ng paglabag ay maaaring maging mahirap.
Mga Pinsala: Upang ituloy ang legal na aksyon, malamang na kailangan mong magpakita ng mga mabibilang na pinsala** na natamo dahil sa insidente ng pag-hack, gaya ng pagnanakaw ng pagkakakilanlan o pagkawala ng pananalapi.
Pagkonsulta sa isang Abogado:
Para sa isang partikular na sitwasyon, ang pagkonsulta sa isang abogado na dalubhasa sa batas sa privacy ng data** ay lubos na inirerekomenda. Maaari nilang tasahin ang mga merito ng iyong kaso, payuhan ang pinakamahusay na paraan ng pagkilos, at gabayan ka sa legal na proseso.
Nagbabagong Landscape:
Ang mga regulasyon sa privacy ng data ng Pilipinas ay patuloy na nagbabago. Ang mga iminungkahing pagbabago sa DPA ay nag-aalok ng mga promising development para sa proteksyon ng biktima. Ang pananatiling may kaalaman tungkol sa mga pagbabagong ito ay makakatulong sa iyong mas maunawaan ang iyong mga karapatan.
Tandaan: Ito ay isang pangkalahatang pangkalahatang-ideya, at ang mga partikular na batas at ang kanilang aplikasyon ay maaaring mag-iba. Ang pagkonsulta sa isang abogado na pamilyar sa batas sa privacy ng data sa Pilipinas ay mahalaga para sa personalized na payo.</v>
      </c>
      <c r="F605" s="2">
        <f t="shared" si="1"/>
        <v>0</v>
      </c>
      <c r="G605" s="2"/>
      <c r="H605" s="2"/>
      <c r="I605" s="2"/>
      <c r="J605" s="2"/>
      <c r="K605" s="2"/>
      <c r="L605" s="2"/>
      <c r="M605" s="2"/>
      <c r="N605" s="2"/>
      <c r="O605" s="2"/>
      <c r="P605" s="2"/>
      <c r="Q605" s="2"/>
      <c r="R605" s="2"/>
      <c r="S605" s="2"/>
      <c r="T605" s="2"/>
      <c r="U605" s="2"/>
      <c r="V605" s="2"/>
      <c r="W605" s="2"/>
      <c r="X605" s="2"/>
      <c r="Y605" s="2"/>
      <c r="Z605" s="2"/>
      <c r="AA605" s="2"/>
    </row>
    <row r="606">
      <c r="A606" s="3" t="s">
        <v>2010</v>
      </c>
      <c r="B606" s="1" t="s">
        <v>2032</v>
      </c>
      <c r="C606" s="1" t="s">
        <v>2033</v>
      </c>
      <c r="D606" s="1" t="s">
        <v>2034</v>
      </c>
      <c r="E606" s="2" t="str">
        <f>IFERROR(__xludf.DUMMYFUNCTION("GOOGLETRANSLATE(C606, ""en"", ""TL"")"),"Oo, ang pag-hack sa isang database ng gobyerno ay karaniwang nagreresulta sa mas matinding parusa kaysa sa pag-hack sa account ng isang pribadong indibidwal. Narito kung bakit:
Kalubhaan ng Impormasyong Na-access: Ang mga database ng pamahalaan ay kadalas"&amp;"ang naglalaman ng sensitibong impormasyon**, gaya ng mga lihim ng pambansang seguridad, mga naiuri na dokumento, o personal na data ng milyun-milyong mamamayan. Ang matagumpay na pag-hack sa isang database ng gobyerno ay maaaring magkaroon ng mas malawak "&amp;"na epekto kaysa sa pagkompromiso sa account ng isang tao.
Banta sa Pambansang Seguridad: Ang mga pagtatangka sa pag-hack sa mga sistema ng pamahalaan ay makikita bilang isang banta sa pambansang seguridad**. Sineseryoso ng mga pamahalaan ang mga insidente"&amp;"ng ito, at ang mga parusa ay nagpapakita ng potensyal na pinsala na maaaring idulot ng mga paglabag.
Mga Alalahanin sa Cyberwarfare: Sa mundo ngayon, ang cyberattacks ay maaaring maging isang anyo ng digmaan sa pagitan ng mga bansa. Ang pag-hack sa isang "&amp;"database ng pamahalaan ay maaaring ipakahulugan bilang isang pagkilos ng pagsalakay, na humahantong sa mas mataas na mga parusa**.
Mga Partikular na Batas at Parusa:
Ang Pilipinas, tulad ng maraming bansa, ay may mga partikular na batas na tumutugon sa mg"&amp;"a cybercrime. Narito ang ilang nauugnay na halimbawa:
Cybercrime Prevention Act of 2012: Ang batas na ito ay nagpaparusa sa iba't ibang cybercrimes, kabilang ang:
Ilegal na Pag-access: Ang pagkakaroon ng hindi awtorisadong pag-access sa isang computer sys"&amp;"tem o network, partikular na ng gobyerno o mga kritikal na sistema ng imprastraktura**, ay may mabibigat na parusa kabilang ang pagkakulong.
Mga Paglabag sa Data: Ang pagdudulot ng paglabag sa data na kinasasangkutan ng sensitibong personal na impormasyon"&amp;" ay maaari ding magresulta sa malalaking multa at oras ng pagkakakulong**.
Mga Batas sa Espionage: Depende sa uri ng impormasyong na-access at sa mga motibo ng hacker, ang mga batas ng espionage ay maaari ding maglaro, na humahantong sa mas malupit na par"&amp;"usa**.
Nadagdagang Pagsusuri at Mga Mapagkukunan:
Ang mga ahensya ng gobyerno ay pangunahing target para sa mga cyberattack, at naglalaan sila ng mga makabuluhang mapagkukunan sa mga hakbang at pagsisiyasat sa cybersecurity. Ang pagtuklas at pag-uusig sa "&amp;"mga hacker na nagta-target sa mga sistema ng gobyerno ay kadalasang binibigyang-priyoridad**, na humahantong sa mas mataas na pagkakataong mahuli at humarap sa malalang kahihinatnan.
Sa konklusyon:
Ang pag-hack sa isang database ng pamahalaan ay isang mal"&amp;"ubhang pagkakasala** na may potensyal na mas malala pa na legal na epekto** kumpara sa pag-hack sa account ng isang pribadong indibidwal. Ang pagiging sensitibo ng impormasyong na-access, mga alalahanin sa pambansang seguridad, at mga partikular na batas "&amp;"sa cybercrime** ay lahat ay nakakatulong sa pagtaas ng kalubhaan ng mga parusa para sa mga ganitong uri ng pag-atake.")</f>
        <v>Oo, ang pag-hack sa isang database ng gobyerno ay karaniwang nagreresulta sa mas matinding parusa kaysa sa pag-hack sa account ng isang pribadong indibidwal. Narito kung bakit:
Kalubhaan ng Impormasyong Na-access: Ang mga database ng pamahalaan ay kadalasang naglalaman ng sensitibong impormasyon**, gaya ng mga lihim ng pambansang seguridad, mga naiuri na dokumento, o personal na data ng milyun-milyong mamamayan. Ang matagumpay na pag-hack sa isang database ng gobyerno ay maaaring magkaroon ng mas malawak na epekto kaysa sa pagkompromiso sa account ng isang tao.
Banta sa Pambansang Seguridad: Ang mga pagtatangka sa pag-hack sa mga sistema ng pamahalaan ay makikita bilang isang banta sa pambansang seguridad**. Sineseryoso ng mga pamahalaan ang mga insidenteng ito, at ang mga parusa ay nagpapakita ng potensyal na pinsala na maaaring idulot ng mga paglabag.
Mga Alalahanin sa Cyberwarfare: Sa mundo ngayon, ang cyberattacks ay maaaring maging isang anyo ng digmaan sa pagitan ng mga bansa. Ang pag-hack sa isang database ng pamahalaan ay maaaring ipakahulugan bilang isang pagkilos ng pagsalakay, na humahantong sa mas mataas na mga parusa**.
Mga Partikular na Batas at Parusa:
Ang Pilipinas, tulad ng maraming bansa, ay may mga partikular na batas na tumutugon sa mga cybercrime. Narito ang ilang nauugnay na halimbawa:
Cybercrime Prevention Act of 2012: Ang batas na ito ay nagpaparusa sa iba't ibang cybercrimes, kabilang ang:
Ilegal na Pag-access: Ang pagkakaroon ng hindi awtorisadong pag-access sa isang computer system o network, partikular na ng gobyerno o mga kritikal na sistema ng imprastraktura**, ay may mabibigat na parusa kabilang ang pagkakulong.
Mga Paglabag sa Data: Ang pagdudulot ng paglabag sa data na kinasasangkutan ng sensitibong personal na impormasyon ay maaari ding magresulta sa malalaking multa at oras ng pagkakakulong**.
Mga Batas sa Espionage: Depende sa uri ng impormasyong na-access at sa mga motibo ng hacker, ang mga batas ng espionage ay maaari ding maglaro, na humahantong sa mas malupit na parusa**.
Nadagdagang Pagsusuri at Mga Mapagkukunan:
Ang mga ahensya ng gobyerno ay pangunahing target para sa mga cyberattack, at naglalaan sila ng mga makabuluhang mapagkukunan sa mga hakbang at pagsisiyasat sa cybersecurity. Ang pagtuklas at pag-uusig sa mga hacker na nagta-target sa mga sistema ng gobyerno ay kadalasang binibigyang-priyoridad**, na humahantong sa mas mataas na pagkakataong mahuli at humarap sa malalang kahihinatnan.
Sa konklusyon:
Ang pag-hack sa isang database ng pamahalaan ay isang malubhang pagkakasala** na may potensyal na mas malala pa na legal na epekto** kumpara sa pag-hack sa account ng isang pribadong indibidwal. Ang pagiging sensitibo ng impormasyong na-access, mga alalahanin sa pambansang seguridad, at mga partikular na batas sa cybercrime** ay lahat ay nakakatulong sa pagtaas ng kalubhaan ng mga parusa para sa mga ganitong uri ng pag-atake.</v>
      </c>
      <c r="F606" s="2">
        <f t="shared" si="1"/>
        <v>0</v>
      </c>
      <c r="G606" s="2"/>
      <c r="H606" s="2"/>
      <c r="I606" s="2"/>
      <c r="J606" s="2"/>
      <c r="K606" s="2"/>
      <c r="L606" s="2"/>
      <c r="M606" s="2"/>
      <c r="N606" s="2"/>
      <c r="O606" s="2"/>
      <c r="P606" s="2"/>
      <c r="Q606" s="2"/>
      <c r="R606" s="2"/>
      <c r="S606" s="2"/>
      <c r="T606" s="2"/>
      <c r="U606" s="2"/>
      <c r="V606" s="2"/>
      <c r="W606" s="2"/>
      <c r="X606" s="2"/>
      <c r="Y606" s="2"/>
      <c r="Z606" s="2"/>
      <c r="AA606" s="2"/>
    </row>
    <row r="607">
      <c r="A607" s="3" t="s">
        <v>2010</v>
      </c>
      <c r="B607" s="1" t="s">
        <v>2035</v>
      </c>
      <c r="C607" s="1" t="s">
        <v>2036</v>
      </c>
      <c r="D607" s="1" t="s">
        <v>2037</v>
      </c>
      <c r="E607" s="2" t="str">
        <f>IFERROR(__xludf.DUMMYFUNCTION("GOOGLETRANSLATE(C607, ""en"", ""TL"")"),"Bagama't walang iisang legal na aksyon na agad na gagawin kapag may hinala sa isang hack, narito ang mga hakbang na maaari mong sundin upang protektahan ang iyong sarili nang legal at mabawasan ang potensyal na pinsala:
1. I-secure ang Iyong System:
Idisk"&amp;"onekta sa Internet: Ihiwalay ang iyong computer sa internet upang maiwasan ang karagdagang hindi awtorisadong pag-access at potensyal na pag-exfiltrate ng data.
Baguhin ang Mga Password: Agad na palitan ang mga password para sa lahat ng online na account "&amp;"na ina-access mo mula sa device na ito, kabilang ang email, banking, social media, at anumang iba pang mahahalagang account. Gumamit ng malakas at natatanging mga password para sa bawat account.
Mag-scan para sa Malware: Magpatakbo ng masusing pag-scan ng"&amp;" malware gamit ang mapagkakatiwalaang antivirus at anti-malware software upang matukoy at alisin ang anumang mga nakakahamak na program na maaaring nakalusot sa iyong system.
Isaalang-alang ang isang System Restore: Depende sa kalubhaan ng pinaghihinalaan"&amp;"g hack, isang system restore sa isang punto bago ang potensyal na paglabag ay maaaring kailanganin. Gayunpaman, magpatuloy nang may pag-iingat dahil maaaring burahin nito ang mahalagang data.
2. Idokumento ang Insidente:
Mga Detalye ng Pag-record: Panatil"&amp;"ihin ang isang talaan ng petsa at oras na napansin mo ang kahina-hinalang aktibidad, anumang mensahe ng error na nakatagpo, at anumang hindi pangkaraniwang pag-uugali ng iyong system. Maaaring makatulong ang dokumentasyong ito para sa sanggunian sa hinaha"&amp;"rap at potensyal na legal na aksyon.
Mga Screenshot at Log: Kumuha ng mga screenshot ng anumang kahina-hinalang aktibidad o mga mensahe ng error na nakatagpo mo. I-save ang anumang nauugnay na mga log ng system na maaaring magbigay ng mga pahiwatig tungko"&amp;"l sa hack.
3. Iulat ang Insidente:
Mag-ulat sa Mga Awtoridad: Isaalang-alang ang paghahain ng ulat sa Philippine National Bureau of Investigation (NBI) Cybercrime Division. Dalubhasa sila sa pagsisiyasat ng mga cybercrime at maaaring mag-alok ng gabay bat"&amp;"ay sa iyong partikular na sitwasyon.
Iulat sa Mga Platform: Kung ang hack ay tila nagta-target ng isang partikular na online na account (hal., email hack), iulat ang insidente sa security team ng platform. Matutulungan ka nilang i-secure ang iyong account"&amp;" at imbestigahan pa ang paglabag.
4. Isaalang-alang ang Legal na Payo:
Kumonsulta sa isang Abogado: Bagama't hindi kinakailangan kaagad ang isang abogado, maaaring maging kapaki-pakinabang ang pagkonsulta sa isang abogado na dalubhasa sa cybercrime o bata"&amp;"s sa privacy ng data. Maaari ka nilang ipaalam sa iyong mga legal na karapatan at potensyal na mga kurso ng aksyon depende sa uri at kalubhaan ng hack.
Mga Karagdagang Puntos:
Abiso sa Paglabag sa Data: Kung matuklasan mong nakompromiso ang personal na im"&amp;"pormasyon ng iba dahil sa pag-hack sa iyong system (hal., isang may-ari ng negosyo), maaaring may legal kang obligasyon na abisuhan ang mga apektadong indibidwal na iyon depende sa uri ng data at partikular na mga batas sa iyong nasasakupan. Ang pagkonsul"&amp;"ta sa isang abogado ay maaaring magbigay ng gabay tungkol dito.
Tumutok sa Pag-iwas: Ang pagsasagawa ng mga hakbang sa pag-iwas tulad ng paggamit ng malalakas na password, pagpapagana ng two-factor na pagpapatotoo, at pagpapanatiling na-update ng software"&amp;" ay maaaring makabuluhang bawasan ang panganib na ma-hack sa unang pagkakataon.
Tandaan, ito ay isang pangkalahatang pangkalahatang-ideya. Ang mga partikular na legal na implikasyon at mga kinakailangang aksyon ay maaaring mag-iba depende sa mga kalagayan"&amp;" ng iyong sitwasyon. Ang pagkonsulta sa isang abogadong pamilyar sa mga batas sa cybercrime sa Pilipinas ay lubos na inirerekomenda para sa personalized na payo.")</f>
        <v>Bagama't walang iisang legal na aksyon na agad na gagawin kapag may hinala sa isang hack, narito ang mga hakbang na maaari mong sundin upang protektahan ang iyong sarili nang legal at mabawasan ang potensyal na pinsala:
1. I-secure ang Iyong System:
Idiskonekta sa Internet: Ihiwalay ang iyong computer sa internet upang maiwasan ang karagdagang hindi awtorisadong pag-access at potensyal na pag-exfiltrate ng data.
Baguhin ang Mga Password: Agad na palitan ang mga password para sa lahat ng online na account na ina-access mo mula sa device na ito, kabilang ang email, banking, social media, at anumang iba pang mahahalagang account. Gumamit ng malakas at natatanging mga password para sa bawat account.
Mag-scan para sa Malware: Magpatakbo ng masusing pag-scan ng malware gamit ang mapagkakatiwalaang antivirus at anti-malware software upang matukoy at alisin ang anumang mga nakakahamak na program na maaaring nakalusot sa iyong system.
Isaalang-alang ang isang System Restore: Depende sa kalubhaan ng pinaghihinalaang hack, isang system restore sa isang punto bago ang potensyal na paglabag ay maaaring kailanganin. Gayunpaman, magpatuloy nang may pag-iingat dahil maaaring burahin nito ang mahalagang data.
2. Idokumento ang Insidente:
Mga Detalye ng Pag-record: Panatilihin ang isang talaan ng petsa at oras na napansin mo ang kahina-hinalang aktibidad, anumang mensahe ng error na nakatagpo, at anumang hindi pangkaraniwang pag-uugali ng iyong system. Maaaring makatulong ang dokumentasyong ito para sa sanggunian sa hinaharap at potensyal na legal na aksyon.
Mga Screenshot at Log: Kumuha ng mga screenshot ng anumang kahina-hinalang aktibidad o mga mensahe ng error na nakatagpo mo. I-save ang anumang nauugnay na mga log ng system na maaaring magbigay ng mga pahiwatig tungkol sa hack.
3. Iulat ang Insidente:
Mag-ulat sa Mga Awtoridad: Isaalang-alang ang paghahain ng ulat sa Philippine National Bureau of Investigation (NBI) Cybercrime Division. Dalubhasa sila sa pagsisiyasat ng mga cybercrime at maaaring mag-alok ng gabay batay sa iyong partikular na sitwasyon.
Iulat sa Mga Platform: Kung ang hack ay tila nagta-target ng isang partikular na online na account (hal., email hack), iulat ang insidente sa security team ng platform. Matutulungan ka nilang i-secure ang iyong account at imbestigahan pa ang paglabag.
4. Isaalang-alang ang Legal na Payo:
Kumonsulta sa isang Abogado: Bagama't hindi kinakailangan kaagad ang isang abogado, maaaring maging kapaki-pakinabang ang pagkonsulta sa isang abogado na dalubhasa sa cybercrime o batas sa privacy ng data. Maaari ka nilang ipaalam sa iyong mga legal na karapatan at potensyal na mga kurso ng aksyon depende sa uri at kalubhaan ng hack.
Mga Karagdagang Puntos:
Abiso sa Paglabag sa Data: Kung matuklasan mong nakompromiso ang personal na impormasyon ng iba dahil sa pag-hack sa iyong system (hal., isang may-ari ng negosyo), maaaring may legal kang obligasyon na abisuhan ang mga apektadong indibidwal na iyon depende sa uri ng data at partikular na mga batas sa iyong nasasakupan. Ang pagkonsulta sa isang abogado ay maaaring magbigay ng gabay tungkol dito.
Tumutok sa Pag-iwas: Ang pagsasagawa ng mga hakbang sa pag-iwas tulad ng paggamit ng malalakas na password, pagpapagana ng two-factor na pagpapatotoo, at pagpapanatiling na-update ng software ay maaaring makabuluhang bawasan ang panganib na ma-hack sa unang pagkakataon.
Tandaan, ito ay isang pangkalahatang pangkalahatang-ideya. Ang mga partikular na legal na implikasyon at mga kinakailangang aksyon ay maaaring mag-iba depende sa mga kalagayan ng iyong sitwasyon. Ang pagkonsulta sa isang abogadong pamilyar sa mga batas sa cybercrime sa Pilipinas ay lubos na inirerekomenda para sa personalized na payo.</v>
      </c>
      <c r="F607" s="2">
        <f t="shared" si="1"/>
        <v>0</v>
      </c>
      <c r="G607" s="2"/>
      <c r="H607" s="2"/>
      <c r="I607" s="2"/>
      <c r="J607" s="2"/>
      <c r="K607" s="2"/>
      <c r="L607" s="2"/>
      <c r="M607" s="2"/>
      <c r="N607" s="2"/>
      <c r="O607" s="2"/>
      <c r="P607" s="2"/>
      <c r="Q607" s="2"/>
      <c r="R607" s="2"/>
      <c r="S607" s="2"/>
      <c r="T607" s="2"/>
      <c r="U607" s="2"/>
      <c r="V607" s="2"/>
      <c r="W607" s="2"/>
      <c r="X607" s="2"/>
      <c r="Y607" s="2"/>
      <c r="Z607" s="2"/>
      <c r="AA607" s="2"/>
    </row>
    <row r="608">
      <c r="A608" s="3" t="s">
        <v>2010</v>
      </c>
      <c r="B608" s="1" t="s">
        <v>2038</v>
      </c>
      <c r="C608" s="1" t="s">
        <v>2039</v>
      </c>
      <c r="D608" s="1" t="s">
        <v>2040</v>
      </c>
      <c r="E608" s="2" t="str">
        <f>IFERROR(__xludf.DUMMYFUNCTION("GOOGLETRANSLATE(C608, ""en"", ""TL"")"),"Kung labag sa batas ang pag-access ng impormasyong available sa publiko na hindi nilayon para sa pampublikong panonood ay depende sa ilang mga kadahilanan at maaaring maging isang kulay-abo na lugar. Narito ang isang breakdown na dapat isaalang-alang:
Pan"&amp;"gkalahatang Naa-access kumpara sa Intentional Obscurement:
Magagamit ng Publiko: Ang impormasyong sadyang inilagay online at naa-access ng sinumang bumibisita sa isang website (kahit sa pamamagitan ng mga listahan ng direktoryo) ay karaniwang hindi itinut"&amp;"uring na ilegal na ma-access**.
Sadyang Nakakubli: Kung ang impormasyon ay sadyang nakatago** sa likod ng proteksyon ng password, mga kumplikadong URL, o mga paghihigpit sa robots.txt, ang pag-access dito ay maaaring ituring na paglabag** sa digital world"&amp;".
Ang Legalidad ay Depende sa Layunin at Paggamit:
Kahit na naa-access ng publiko, ang iyong layunin sa pag-access sa impormasyon ay maaaring maging isang kadahilanan**.
Lehitimong Paggamit: Ang pag-access ng impormasyon para sa pananaliksik, mga layuning"&amp;" pang-edukasyon, o pangkalahatang pag-usisa** ay karaniwang hindi labag sa batas.
Nakakahamak na Layunin: Kung i-access mo ang impormasyon upang magnakaw ng data, gumawa ng panloloko, makagambala sa mga operasyon, o magdulot ng pinsala**, maaari itong mag"&amp;"ing ilegal kahit na ito ay teknikal na pampubliko.
Mga Tukoy na Batas at Mga Tuntunin sa Website:
Computer Fraud and Abuse Act (Philippines): Ang batas na ito ay nag-kriminal ng hindi awtorisadong pag-access sa isang computer system**. Gayunpaman, maaarin"&amp;"g pagtalunan ang mga interpretasyon sa kung ano ang ""hindi awtorisado"" sa konteksto ng impormasyong naa-access ng publiko.
Mga Tuntunin ng Serbisyo ng Website (TOS): Maraming website ang may Mga Tuntunin ng Serbisyo (TOS)** na nagbabalangkas ng katangga"&amp;"p-tanggap na paggamit ng kanilang platform. Ang paglabag sa mga tuntuning ito (kahit na hindi sinasadya) ay maaaring magkaroon ng mga kahihinatnan** tulad ng pagsususpinde ng account o pagka-block mula sa website.
Rekomendasyon:
Err on the side of Caution"&amp;": Kung hindi ka sigurado kung naaangkop ang pag-access sa ilang partikular na impormasyon, pinakamahusay na iwasan ito**.
Igalang ang Robots.txt: Ang Robots.txt ay isang file na nagsasabi sa mga search engine at bot kung aling mga bahagi ng isang website "&amp;"ang hindi dapat i-index. Ang paggalang sa file na ito ay nagpapakita ng magandang digital etiquette.
Humingi ng Pahintulot Kapag Hindi Sigurado: Kung kailangan mo ng partikular na impormasyon** at hindi sigurado sa direktang pag-access dito, ang pakikipag"&amp;"-ugnayan sa may-ari ng website o administrator para sa pahintulot ay ang pinakaligtas na paraan.
Tandaan: Ang mga batas at interpretasyon ay maaaring umunlad, at ito ay isang pangkalahatang pangkalahatang-ideya. Ang pagkonsulta sa isang abogado** na dalub"&amp;"hasa sa cyber law** ay maaaring magbigay ng partikular na patnubay batay sa eksaktong sitwasyon at ang iyong nilalayong paggamit ng impormasyon.")</f>
        <v>Kung labag sa batas ang pag-access ng impormasyong available sa publiko na hindi nilayon para sa pampublikong panonood ay depende sa ilang mga kadahilanan at maaaring maging isang kulay-abo na lugar. Narito ang isang breakdown na dapat isaalang-alang:
Pangkalahatang Naa-access kumpara sa Intentional Obscurement:
Magagamit ng Publiko: Ang impormasyong sadyang inilagay online at naa-access ng sinumang bumibisita sa isang website (kahit sa pamamagitan ng mga listahan ng direktoryo) ay karaniwang hindi itinuturing na ilegal na ma-access**.
Sadyang Nakakubli: Kung ang impormasyon ay sadyang nakatago** sa likod ng proteksyon ng password, mga kumplikadong URL, o mga paghihigpit sa robots.txt, ang pag-access dito ay maaaring ituring na paglabag** sa digital world.
Ang Legalidad ay Depende sa Layunin at Paggamit:
Kahit na naa-access ng publiko, ang iyong layunin sa pag-access sa impormasyon ay maaaring maging isang kadahilanan**.
Lehitimong Paggamit: Ang pag-access ng impormasyon para sa pananaliksik, mga layuning pang-edukasyon, o pangkalahatang pag-usisa** ay karaniwang hindi labag sa batas.
Nakakahamak na Layunin: Kung i-access mo ang impormasyon upang magnakaw ng data, gumawa ng panloloko, makagambala sa mga operasyon, o magdulot ng pinsala**, maaari itong maging ilegal kahit na ito ay teknikal na pampubliko.
Mga Tukoy na Batas at Mga Tuntunin sa Website:
Computer Fraud and Abuse Act (Philippines): Ang batas na ito ay nag-kriminal ng hindi awtorisadong pag-access sa isang computer system**. Gayunpaman, maaaring pagtalunan ang mga interpretasyon sa kung ano ang "hindi awtorisado" sa konteksto ng impormasyong naa-access ng publiko.
Mga Tuntunin ng Serbisyo ng Website (TOS): Maraming website ang may Mga Tuntunin ng Serbisyo (TOS)** na nagbabalangkas ng katanggap-tanggap na paggamit ng kanilang platform. Ang paglabag sa mga tuntuning ito (kahit na hindi sinasadya) ay maaaring magkaroon ng mga kahihinatnan** tulad ng pagsususpinde ng account o pagka-block mula sa website.
Rekomendasyon:
Err on the side of Caution: Kung hindi ka sigurado kung naaangkop ang pag-access sa ilang partikular na impormasyon, pinakamahusay na iwasan ito**.
Igalang ang Robots.txt: Ang Robots.txt ay isang file na nagsasabi sa mga search engine at bot kung aling mga bahagi ng isang website ang hindi dapat i-index. Ang paggalang sa file na ito ay nagpapakita ng magandang digital etiquette.
Humingi ng Pahintulot Kapag Hindi Sigurado: Kung kailangan mo ng partikular na impormasyon** at hindi sigurado sa direktang pag-access dito, ang pakikipag-ugnayan sa may-ari ng website o administrator para sa pahintulot ay ang pinakaligtas na paraan.
Tandaan: Ang mga batas at interpretasyon ay maaaring umunlad, at ito ay isang pangkalahatang pangkalahatang-ideya. Ang pagkonsulta sa isang abogado** na dalubhasa sa cyber law** ay maaaring magbigay ng partikular na patnubay batay sa eksaktong sitwasyon at ang iyong nilalayong paggamit ng impormasyon.</v>
      </c>
      <c r="F608" s="2">
        <f t="shared" si="1"/>
        <v>0</v>
      </c>
      <c r="G608" s="2"/>
      <c r="H608" s="2"/>
      <c r="I608" s="2"/>
      <c r="J608" s="2"/>
      <c r="K608" s="2"/>
      <c r="L608" s="2"/>
      <c r="M608" s="2"/>
      <c r="N608" s="2"/>
      <c r="O608" s="2"/>
      <c r="P608" s="2"/>
      <c r="Q608" s="2"/>
      <c r="R608" s="2"/>
      <c r="S608" s="2"/>
      <c r="T608" s="2"/>
      <c r="U608" s="2"/>
      <c r="V608" s="2"/>
      <c r="W608" s="2"/>
      <c r="X608" s="2"/>
      <c r="Y608" s="2"/>
      <c r="Z608" s="2"/>
      <c r="AA608" s="2"/>
    </row>
    <row r="609">
      <c r="A609" s="3" t="s">
        <v>2010</v>
      </c>
      <c r="B609" s="1" t="s">
        <v>2041</v>
      </c>
      <c r="C609" s="1" t="s">
        <v>2042</v>
      </c>
      <c r="D609" s="1" t="s">
        <v>2043</v>
      </c>
      <c r="E609" s="2" t="str">
        <f>IFERROR(__xludf.DUMMYFUNCTION("GOOGLETRANSLATE(C609, ""en"", ""TL"")"),"Kung pinaghihinalaan mo ang iyong dating kasosyo ay nagha-hack sa iyong email account, narito ang ilang hakbang na maaari mong gawin upang ma-secure ang iyong account at posibleng matugunan ang sitwasyon nang legal:
1. I-secure ang Iyong Email Account:
Pa"&amp;"litan kaagad ang iyong password: Gumamit ng malakas at natatanging password na mahirap hulaan. Huwag muling gumamit ng mga password mula sa ibang mga account. Isaalang-alang ang paggamit ng isang tagapamahala ng password upang bumuo at mag-imbak ng mga ma"&amp;"lalakas na password para sa lahat ng iyong mga online na account.
I-enable ang two-factor authentication (2FA): Nagdaragdag ito ng karagdagang layer ng seguridad sa pamamagitan ng pag-aatas ng code mula sa iyong telepono o ibang device bilang karagdagan s"&amp;"a iyong password para mag-log in.
Tingnan kung may kahina-hinalang aktibidad: Suriin ang iyong kamakailang kasaysayan sa pag-log in para sa anumang hindi nakikilalang mga lokasyon o device. Pag-isipang mag-log out sa lahat ng device at mag-log in lang gam"&amp;"it ang iyong mga pinagkakatiwalaang device.
Mag-scan para sa malware: Magpatakbo ng masusing pag-scan ng malware sa iyong mga device (computer, telepono) upang matukoy at alisin ang anumang mga nakakahamak na program na maaaring na-install ng iyong dating"&amp;" upang subaybayan ang iyong aktibidad.
2. Magtipon ng Ebidensya (Opsyonal):
Idokumento ang kahina-hinalang aktibidad: Panatilihin ang isang talaan ng petsa at oras na napansin mo ang anumang kahina-hinala, anumang mensahe ng error na naranasan, at anumang"&amp;" hindi pangkaraniwang pag-uugali ng iyong account. Maaaring makatulong ang dokumentasyong ito kung magpasya kang magsagawa ng legal na aksyon.
Mga Screenshot: Kumuha ng mga screenshot ng anumang kahina-hinalang pagtatangka sa pag-log in o hindi pangkarani"&amp;"wang aktibidad na nakatagpo mo sa iyong email account.
3. Isaalang-alang ang Legal na Aksyon:
Kumonsulta sa isang abogado: Maaaring payuhan ka ng isang abogado na dalubhasa sa cybercrime o data privacy law sa iyong mga legal na karapatan at mga potensyal "&amp;"na kurso ng aksyon depende sa iyong sitwasyon.
Iulat sa mga awtoridad: Sa Pilipinas, maaari mong isaalang-alang ang paghahain ng ulat sa National Bureau of Investigation (NBI) Cybercrime Division. Dalubhasa sila sa pagsisiyasat sa mga cybercrime tulad ng "&amp;"pag-hack.
4. Protektahan ang Iyong Sarili mula sa Panghihimasok sa Hinaharap:
Mag-ingat kung anong impormasyon ang ibinabahagi mo online: Iwasang magbahagi ng personal na impormasyon o password sa social media o mga pampublikong forum.
Mag-ingat sa mga sc"&amp;"am sa phishing: Madalas na sinusubukan ng mga email ng phishing na linlangin ka upang ibunyag ang iyong mga kredensyal sa pag-log in. Maging maingat sa mga email na may mga kahina-hinalang link o attachment, lalo na kung mukhang mula sa isang taong kilala"&amp;" mo.
5. Isaalang-alang ang Pagbabago ng Iyong Email Address (Opsyonal):
Sa ilang mga kaso, depende sa kalubhaan ng sitwasyon at ang antas ng tiwala na mayroon ka sa pag-secure ng iyong kasalukuyang account, maaari mong isaalang-alang ang paggawa ng bago a"&amp;"t secure na email address**. Maaari itong maging isang bagong simula at bigyan ka ng higit na kontrol sa kung sino ang may access sa iyong komunikasyon.
Mahalagang Paalala:
Mahalagang tandaan na ang pangangalap ng ebidensiya at pagsasagawa ng legal na aks"&amp;"yon ay maaaring isang kumplikadong proseso. Ang desisyon kung gaano kalayo upang ituloy ito ay depende sa iyong antas ng kaginhawaan, ang kalubhaan ng sitwasyon, at ang mga potensyal na kahihinatnan. Makakatulong sa iyo ang pagkonsulta sa isang abogado na"&amp;" ma-navigate ang mga kumplikadong ito.
Sa pamamagitan ng pagsasagawa ng mga hakbang na ito, makakatulong ka na protektahan ang iyong sarili mula sa karagdagang mga pagtatangka sa pag-hack at posibleng panagutin ang iyong dating kasosyo para sa kanilang mg"&amp;"a aksyon.")</f>
        <v>Kung pinaghihinalaan mo ang iyong dating kasosyo ay nagha-hack sa iyong email account, narito ang ilang hakbang na maaari mong gawin upang ma-secure ang iyong account at posibleng matugunan ang sitwasyon nang legal:
1. I-secure ang Iyong Email Account:
Palitan kaagad ang iyong password: Gumamit ng malakas at natatanging password na mahirap hulaan. Huwag muling gumamit ng mga password mula sa ibang mga account. Isaalang-alang ang paggamit ng isang tagapamahala ng password upang bumuo at mag-imbak ng mga malalakas na password para sa lahat ng iyong mga online na account.
I-enable ang two-factor authentication (2FA): Nagdaragdag ito ng karagdagang layer ng seguridad sa pamamagitan ng pag-aatas ng code mula sa iyong telepono o ibang device bilang karagdagan sa iyong password para mag-log in.
Tingnan kung may kahina-hinalang aktibidad: Suriin ang iyong kamakailang kasaysayan sa pag-log in para sa anumang hindi nakikilalang mga lokasyon o device. Pag-isipang mag-log out sa lahat ng device at mag-log in lang gamit ang iyong mga pinagkakatiwalaang device.
Mag-scan para sa malware: Magpatakbo ng masusing pag-scan ng malware sa iyong mga device (computer, telepono) upang matukoy at alisin ang anumang mga nakakahamak na program na maaaring na-install ng iyong dating upang subaybayan ang iyong aktibidad.
2. Magtipon ng Ebidensya (Opsyonal):
Idokumento ang kahina-hinalang aktibidad: Panatilihin ang isang talaan ng petsa at oras na napansin mo ang anumang kahina-hinala, anumang mensahe ng error na naranasan, at anumang hindi pangkaraniwang pag-uugali ng iyong account. Maaaring makatulong ang dokumentasyong ito kung magpasya kang magsagawa ng legal na aksyon.
Mga Screenshot: Kumuha ng mga screenshot ng anumang kahina-hinalang pagtatangka sa pag-log in o hindi pangkaraniwang aktibidad na nakatagpo mo sa iyong email account.
3. Isaalang-alang ang Legal na Aksyon:
Kumonsulta sa isang abogado: Maaaring payuhan ka ng isang abogado na dalubhasa sa cybercrime o data privacy law sa iyong mga legal na karapatan at mga potensyal na kurso ng aksyon depende sa iyong sitwasyon.
Iulat sa mga awtoridad: Sa Pilipinas, maaari mong isaalang-alang ang paghahain ng ulat sa National Bureau of Investigation (NBI) Cybercrime Division. Dalubhasa sila sa pagsisiyasat sa mga cybercrime tulad ng pag-hack.
4. Protektahan ang Iyong Sarili mula sa Panghihimasok sa Hinaharap:
Mag-ingat kung anong impormasyon ang ibinabahagi mo online: Iwasang magbahagi ng personal na impormasyon o password sa social media o mga pampublikong forum.
Mag-ingat sa mga scam sa phishing: Madalas na sinusubukan ng mga email ng phishing na linlangin ka upang ibunyag ang iyong mga kredensyal sa pag-log in. Maging maingat sa mga email na may mga kahina-hinalang link o attachment, lalo na kung mukhang mula sa isang taong kilala mo.
5. Isaalang-alang ang Pagbabago ng Iyong Email Address (Opsyonal):
Sa ilang mga kaso, depende sa kalubhaan ng sitwasyon at ang antas ng tiwala na mayroon ka sa pag-secure ng iyong kasalukuyang account, maaari mong isaalang-alang ang paggawa ng bago at secure na email address**. Maaari itong maging isang bagong simula at bigyan ka ng higit na kontrol sa kung sino ang may access sa iyong komunikasyon.
Mahalagang Paalala:
Mahalagang tandaan na ang pangangalap ng ebidensiya at pagsasagawa ng legal na aksyon ay maaaring isang kumplikadong proseso. Ang desisyon kung gaano kalayo upang ituloy ito ay depende sa iyong antas ng kaginhawaan, ang kalubhaan ng sitwasyon, at ang mga potensyal na kahihinatnan. Makakatulong sa iyo ang pagkonsulta sa isang abogado na ma-navigate ang mga kumplikadong ito.
Sa pamamagitan ng pagsasagawa ng mga hakbang na ito, makakatulong ka na protektahan ang iyong sarili mula sa karagdagang mga pagtatangka sa pag-hack at posibleng panagutin ang iyong dating kasosyo para sa kanilang mga aksyon.</v>
      </c>
      <c r="F609" s="2">
        <f t="shared" si="1"/>
        <v>0</v>
      </c>
      <c r="G609" s="2"/>
      <c r="H609" s="2"/>
      <c r="I609" s="2"/>
      <c r="J609" s="2"/>
      <c r="K609" s="2"/>
      <c r="L609" s="2"/>
      <c r="M609" s="2"/>
      <c r="N609" s="2"/>
      <c r="O609" s="2"/>
      <c r="P609" s="2"/>
      <c r="Q609" s="2"/>
      <c r="R609" s="2"/>
      <c r="S609" s="2"/>
      <c r="T609" s="2"/>
      <c r="U609" s="2"/>
      <c r="V609" s="2"/>
      <c r="W609" s="2"/>
      <c r="X609" s="2"/>
      <c r="Y609" s="2"/>
      <c r="Z609" s="2"/>
      <c r="AA609" s="2"/>
    </row>
    <row r="610">
      <c r="A610" s="3" t="s">
        <v>2010</v>
      </c>
      <c r="B610" s="1" t="s">
        <v>2044</v>
      </c>
      <c r="C610" s="1" t="s">
        <v>2045</v>
      </c>
      <c r="D610" s="1" t="s">
        <v>2046</v>
      </c>
      <c r="E610" s="2" t="str">
        <f>IFERROR(__xludf.DUMMYFUNCTION("GOOGLETRANSLATE(C610, ""en"", ""TL"")"),"Sa Pilipinas, ang hindi sinasadyang pag-access sa mga file ng ibang tao sa isang nakabahaging network** ay karaniwang hindi itinuturing na pag-hack at hindi magreresulta sa mga singil sa pag-hack. Narito kung bakit:
Intentionality is Key: Ang pag-hack ay "&amp;"karaniwang kinasasangkutan ng sinasadyang** hindi awtorisadong pag-access sa isang computer system o network. Ang hindi sinasadyang pag-access sa isang file dahil sa isang isyu sa pagsasaayos o error ng tao ay hindi mahuhulog sa ilalim ng kahulugang ito.
"&amp;"Tumutok sa Nakakahamak na Layunin: Ang focus ay madalas sa malisyosong layunin**. Kung sinasadya mong subukang i-access ang mga file ng ibang tao nang walang pahintulot, iyon ay maaaring ituring na isang krimen. Ngunit ang simpleng pagkatisod sa isang buk"&amp;"as na file o pagkakaroon ng error sa pahintulot ay hindi magiging malisyoso.
Gayunpaman, mayroon pa ring ilang mga bagay na dapat isaalang-alang:
Pagiging Kumpidensyal ng Impormasyon: Kahit na hindi sinasadya, ang pag-access ng kumpidensyal na impormasyon"&amp;"** na hindi mo sinasadyang makita ay naglalabas ng mga alalahanin sa etika**. Dapat mong iwasang tingnan o ibahagi pa ang impormasyong ito.
Paggalang sa Mga Pahintulot ng User: Ang mga nakabahaging network na kapaligiran ay kadalasang may mga itinalagang "&amp;"antas ng pag-access**. Ang paggalang sa mga pahintulot na ito** at pag-iwas sa mga pagtatangka na i-access ang mga file na lampas sa iyong itinalagang access** ay mahalaga.
Pag-uulat ng Insidente: Kung hindi mo sinasadyang ma-access ang mga file ng ibang "&amp;"tao, ang etikal na diskarte** ay iulat ang insidente** sa administrator ng network o sa nilalayong tatanggap ng mga file na iyon. Nagpapakita ito ng transparency at iniiwasan ang anumang hindi pagkakaunawaan.
Mga Legal na Implikasyon ng Kapabayaan:
Bagama"&amp;"'t hindi malamang sa isang simpleng senaryo ng hindi sinasadyang pag-access, may malayong posibilidad ng mga legal na implikasyon batay sa kapabayaan:
Mga Panukala sa Seguridad ng Data: Kung ang organisasyon ay may hindi sapat na mga hakbang sa seguridad "&amp;"ng data** na nagpapahintulot sa hindi sinasadyang pag-access, at nagresulta ito sa mga pinsala** (hal., paglabag sa data), maaaring may mga potensyal na legal na isyu para sa organisasyon**, hindi para sa iyo.
Rekomendasyon:
Mag-ingat sa Mga Nakabahaging "&amp;"Network: Kapag nagtatrabaho sa mga nakabahaging network, mag-ingat sa mga file na iyong ina-access**. Manatili sa mga folder na itinalaga para sa iyong paggamit at iwasang makipagsapalaran sa mga lugar na hindi dapat.
Humingi ng Paglilinaw kung Hindi Sigu"&amp;"rado: Kung hindi ka sigurado tungkol sa pag-access sa isang partikular na file o folder, magkamali sa panig ng pag-iingat** at humingi ng paglilinaw mula sa administrator ng network o sa may-ari ng file.
Tandaan: Ito ay isang pangkalahatang pangkalahatang"&amp;"-ideya, at ang mga partikular na legalidad ay maaaring mag-iba depende sa mga pangyayari. Kung nag-aalala ka tungkol sa isang partikular na sitwasyon, inirerekomenda ang pagkonsulta sa isang abogado na dalubhasa sa cyber law.")</f>
        <v>Sa Pilipinas, ang hindi sinasadyang pag-access sa mga file ng ibang tao sa isang nakabahaging network** ay karaniwang hindi itinuturing na pag-hack at hindi magreresulta sa mga singil sa pag-hack. Narito kung bakit:
Intentionality is Key: Ang pag-hack ay karaniwang kinasasangkutan ng sinasadyang** hindi awtorisadong pag-access sa isang computer system o network. Ang hindi sinasadyang pag-access sa isang file dahil sa isang isyu sa pagsasaayos o error ng tao ay hindi mahuhulog sa ilalim ng kahulugang ito.
Tumutok sa Nakakahamak na Layunin: Ang focus ay madalas sa malisyosong layunin**. Kung sinasadya mong subukang i-access ang mga file ng ibang tao nang walang pahintulot, iyon ay maaaring ituring na isang krimen. Ngunit ang simpleng pagkatisod sa isang bukas na file o pagkakaroon ng error sa pahintulot ay hindi magiging malisyoso.
Gayunpaman, mayroon pa ring ilang mga bagay na dapat isaalang-alang:
Pagiging Kumpidensyal ng Impormasyon: Kahit na hindi sinasadya, ang pag-access ng kumpidensyal na impormasyon** na hindi mo sinasadyang makita ay naglalabas ng mga alalahanin sa etika**. Dapat mong iwasang tingnan o ibahagi pa ang impormasyong ito.
Paggalang sa Mga Pahintulot ng User: Ang mga nakabahaging network na kapaligiran ay kadalasang may mga itinalagang antas ng pag-access**. Ang paggalang sa mga pahintulot na ito** at pag-iwas sa mga pagtatangka na i-access ang mga file na lampas sa iyong itinalagang access** ay mahalaga.
Pag-uulat ng Insidente: Kung hindi mo sinasadyang ma-access ang mga file ng ibang tao, ang etikal na diskarte** ay iulat ang insidente** sa administrator ng network o sa nilalayong tatanggap ng mga file na iyon. Nagpapakita ito ng transparency at iniiwasan ang anumang hindi pagkakaunawaan.
Mga Legal na Implikasyon ng Kapabayaan:
Bagama't hindi malamang sa isang simpleng senaryo ng hindi sinasadyang pag-access, may malayong posibilidad ng mga legal na implikasyon batay sa kapabayaan:
Mga Panukala sa Seguridad ng Data: Kung ang organisasyon ay may hindi sapat na mga hakbang sa seguridad ng data** na nagpapahintulot sa hindi sinasadyang pag-access, at nagresulta ito sa mga pinsala** (hal., paglabag sa data), maaaring may mga potensyal na legal na isyu para sa organisasyon**, hindi para sa iyo.
Rekomendasyon:
Mag-ingat sa Mga Nakabahaging Network: Kapag nagtatrabaho sa mga nakabahaging network, mag-ingat sa mga file na iyong ina-access**. Manatili sa mga folder na itinalaga para sa iyong paggamit at iwasang makipagsapalaran sa mga lugar na hindi dapat.
Humingi ng Paglilinaw kung Hindi Sigurado: Kung hindi ka sigurado tungkol sa pag-access sa isang partikular na file o folder, magkamali sa panig ng pag-iingat** at humingi ng paglilinaw mula sa administrator ng network o sa may-ari ng file.
Tandaan: Ito ay isang pangkalahatang pangkalahatang-ideya, at ang mga partikular na legalidad ay maaaring mag-iba depende sa mga pangyayari. Kung nag-aalala ka tungkol sa isang partikular na sitwasyon, inirerekomenda ang pagkonsulta sa isang abogado na dalubhasa sa cyber law.</v>
      </c>
      <c r="F610" s="2">
        <f t="shared" si="1"/>
        <v>0</v>
      </c>
      <c r="G610" s="2"/>
      <c r="H610" s="2"/>
      <c r="I610" s="2"/>
      <c r="J610" s="2"/>
      <c r="K610" s="2"/>
      <c r="L610" s="2"/>
      <c r="M610" s="2"/>
      <c r="N610" s="2"/>
      <c r="O610" s="2"/>
      <c r="P610" s="2"/>
      <c r="Q610" s="2"/>
      <c r="R610" s="2"/>
      <c r="S610" s="2"/>
      <c r="T610" s="2"/>
      <c r="U610" s="2"/>
      <c r="V610" s="2"/>
      <c r="W610" s="2"/>
      <c r="X610" s="2"/>
      <c r="Y610" s="2"/>
      <c r="Z610" s="2"/>
      <c r="AA610" s="2"/>
    </row>
    <row r="611">
      <c r="A611" s="3" t="s">
        <v>2010</v>
      </c>
      <c r="B611" s="1" t="s">
        <v>2047</v>
      </c>
      <c r="C611" s="1" t="s">
        <v>2048</v>
      </c>
      <c r="D611" s="1" t="s">
        <v>2049</v>
      </c>
      <c r="E611" s="2" t="str">
        <f>IFERROR(__xludf.DUMMYFUNCTION("GOOGLETRANSLATE(C611, ""en"", ""TL"")"),"Sa konteksto ng mga batas sa pag-hack, ang hindi awtorisadong pag-access ay tumutukoy sa pagkakaroon ng pagpasok sa isang computer system, network, o data nang walang pahintulot o lumampas sa awtorisadong pag-access**. Ang pangunahing elemento dito ay ang"&amp;" kawalan ng pahintulot o paglampas sa mga limitasyon ng pinahihintulutang pag-access.
Pag-unawa sa ""Pahintulot"" sa Hindi Awtorisadong Pag-access:
Tahasang Pahintulot: Maaaring tahasan ang pahintulot**, gaya ng pagkakaroon ng username at password para sa"&amp;" isang partikular na system.
Implicit Pahintulot: Ang pahintulot ay maaari ding implicit**, gaya ng pagbibigay ng access sa isang nakabahaging folder sa isang network. Gayunpaman, ang paglampas sa saklaw ng tahasang pahintulot na ito (hal., pag-access ng "&amp;"mga kumpidensyal na file na lampas sa iyong itinalagang antas ng pag-access) ay maaaring ituring na hindi awtorisado.
Mga Halimbawa ng Hindi Awtorisadong Pag-access:
Pag-crack ng mga password: Paggamit ng mga tool o diskarte upang i-bypass ang mga mekanis"&amp;"mo ng proteksyon ng password.
Pagsasamantala sa mga kahinaan: Sinasamantala ang mga kahinaan sa seguridad sa isang system upang makakuha ng access.
Social engineering: Panlilinlang o pagmamanipula sa isang tao para magbigay ng access sa isang system o ibu"&amp;"nyag ang kanilang mga kredensyal.
Paglampas sa awtorisadong pag-access: Pag-access sa mga file o functionality na lampas sa iyong pinahihintulutang antas sa isang system na mayroon kang ilang access.
Paggamit ng mga ninakaw na kredensyal: Paggamit ng user"&amp;"name at password ng ibang tao upang ma-access ang isang system.
Pagkakaroon ng access sa pamamagitan ng isang guest account at pagkatapos ay gamitin ito upang ma-access ang mga hindi awtorisadong bahagi ng system.
Layunin at Konteksto na Mahalaga:
Nakakah"&amp;"amak na Layunin: Bagama't maaaring hindi labag sa batas ang hindi sinasadyang pag-access, ang hindi awtorisadong pag-access na may malisyosong layunin** ay kadalasang bumubuo sa ubod ng mga krimen sa pag-hack. Maaaring kabilang sa layuning ito ang pagnana"&amp;"kaw ng data, pag-abala sa mga operasyon, pagtatanim ng malware, o pagdulot ng iba pang pinsala.
Mahalaga ang Konteksto: Mahalaga rin ang partikular na konteksto**. Halimbawa, ang hindi sinasadyang pag-access sa isang pampublikong dokumento sa isang shared"&amp;" drive ay hindi maituturing na hindi awtorisadong pag-access, samantalang ang sinasadyang pag-access ng isang pribadong file sa parehong drive ay magiging.
Ang Umuunlad na Landscape ng Mga Batas sa Pag-hack:
Ang mga batas sa pag-hack ay patuloy na umuunla"&amp;"d upang makasabay sa mga bagong teknolohiya at paraan ng pag-hack. Ang partikular na kahulugan ng hindi awtorisadong pag-access ay maaaring mag-iba depende sa hurisdiksyon at partikular na batas na inilalapat.
Kahalagahan ng Pagkonsulta sa isang Abogado:
"&amp;"Kung hindi ka sigurado kung ang iyong mga aksyon ay bumubuo ng hindi awtorisadong pag-access** o nahaharap sa mga akusasyon ng pag-hack, ang pagkonsulta sa isang abogado na dalubhasa sa cybercrime law** ay napakahalaga. Maaari silang magbigay ng partikula"&amp;"r na patnubay batay sa iyong sitwasyon at mga naaangkop na batas sa iyong hurisdiksyon.")</f>
        <v>Sa konteksto ng mga batas sa pag-hack, ang hindi awtorisadong pag-access ay tumutukoy sa pagkakaroon ng pagpasok sa isang computer system, network, o data nang walang pahintulot o lumampas sa awtorisadong pag-access**. Ang pangunahing elemento dito ay ang kawalan ng pahintulot o paglampas sa mga limitasyon ng pinahihintulutang pag-access.
Pag-unawa sa "Pahintulot" sa Hindi Awtorisadong Pag-access:
Tahasang Pahintulot: Maaaring tahasan ang pahintulot**, gaya ng pagkakaroon ng username at password para sa isang partikular na system.
Implicit Pahintulot: Ang pahintulot ay maaari ding implicit**, gaya ng pagbibigay ng access sa isang nakabahaging folder sa isang network. Gayunpaman, ang paglampas sa saklaw ng tahasang pahintulot na ito (hal., pag-access ng mga kumpidensyal na file na lampas sa iyong itinalagang antas ng pag-access) ay maaaring ituring na hindi awtorisado.
Mga Halimbawa ng Hindi Awtorisadong Pag-access:
Pag-crack ng mga password: Paggamit ng mga tool o diskarte upang i-bypass ang mga mekanismo ng proteksyon ng password.
Pagsasamantala sa mga kahinaan: Sinasamantala ang mga kahinaan sa seguridad sa isang system upang makakuha ng access.
Social engineering: Panlilinlang o pagmamanipula sa isang tao para magbigay ng access sa isang system o ibunyag ang kanilang mga kredensyal.
Paglampas sa awtorisadong pag-access: Pag-access sa mga file o functionality na lampas sa iyong pinahihintulutang antas sa isang system na mayroon kang ilang access.
Paggamit ng mga ninakaw na kredensyal: Paggamit ng username at password ng ibang tao upang ma-access ang isang system.
Pagkakaroon ng access sa pamamagitan ng isang guest account at pagkatapos ay gamitin ito upang ma-access ang mga hindi awtorisadong bahagi ng system.
Layunin at Konteksto na Mahalaga:
Nakakahamak na Layunin: Bagama't maaaring hindi labag sa batas ang hindi sinasadyang pag-access, ang hindi awtorisadong pag-access na may malisyosong layunin** ay kadalasang bumubuo sa ubod ng mga krimen sa pag-hack. Maaaring kabilang sa layuning ito ang pagnanakaw ng data, pag-abala sa mga operasyon, pagtatanim ng malware, o pagdulot ng iba pang pinsala.
Mahalaga ang Konteksto: Mahalaga rin ang partikular na konteksto**. Halimbawa, ang hindi sinasadyang pag-access sa isang pampublikong dokumento sa isang shared drive ay hindi maituturing na hindi awtorisadong pag-access, samantalang ang sinasadyang pag-access ng isang pribadong file sa parehong drive ay magiging.
Ang Umuunlad na Landscape ng Mga Batas sa Pag-hack:
Ang mga batas sa pag-hack ay patuloy na umuunlad upang makasabay sa mga bagong teknolohiya at paraan ng pag-hack. Ang partikular na kahulugan ng hindi awtorisadong pag-access ay maaaring mag-iba depende sa hurisdiksyon at partikular na batas na inilalapat.
Kahalagahan ng Pagkonsulta sa isang Abogado:
Kung hindi ka sigurado kung ang iyong mga aksyon ay bumubuo ng hindi awtorisadong pag-access** o nahaharap sa mga akusasyon ng pag-hack, ang pagkonsulta sa isang abogado na dalubhasa sa cybercrime law** ay napakahalaga. Maaari silang magbigay ng partikular na patnubay batay sa iyong sitwasyon at mga naaangkop na batas sa iyong hurisdiksyon.</v>
      </c>
      <c r="F611" s="2">
        <f t="shared" si="1"/>
        <v>0</v>
      </c>
      <c r="G611" s="2"/>
      <c r="H611" s="2"/>
      <c r="I611" s="2"/>
      <c r="J611" s="2"/>
      <c r="K611" s="2"/>
      <c r="L611" s="2"/>
      <c r="M611" s="2"/>
      <c r="N611" s="2"/>
      <c r="O611" s="2"/>
      <c r="P611" s="2"/>
      <c r="Q611" s="2"/>
      <c r="R611" s="2"/>
      <c r="S611" s="2"/>
      <c r="T611" s="2"/>
      <c r="U611" s="2"/>
      <c r="V611" s="2"/>
      <c r="W611" s="2"/>
      <c r="X611" s="2"/>
      <c r="Y611" s="2"/>
      <c r="Z611" s="2"/>
      <c r="AA611" s="2"/>
    </row>
    <row r="612">
      <c r="A612" s="3" t="s">
        <v>2010</v>
      </c>
      <c r="B612" s="1" t="s">
        <v>2050</v>
      </c>
      <c r="C612" s="1" t="s">
        <v>2051</v>
      </c>
      <c r="D612" s="1" t="s">
        <v>2052</v>
      </c>
      <c r="E612" s="2" t="str">
        <f>IFERROR(__xludf.DUMMYFUNCTION("GOOGLETRANSLATE(C612, ""en"", ""TL"")"),"Ang pag-hack sa isang website para sa mga layuning pang-edukasyon ay maaari pa ring humantong sa mga legal na kahihinatnan** sa Pilipinas, kahit na ang iyong layunin ay hindi nakakapinsala. Narito kung bakit:
Ang Legalidad ay Nakadepende sa Pahintulot:
An"&amp;"g Di-awtorisadong Pag-access ay isang Krimen: Ang pangunahing isyu ay nakasalalay sa hindi awtorisadong pag-access**. Ang batas (Cybercrime Prevention Act of 2012) ay ginagawang kriminal ang pagkakaroon ng hindi awtorisadong pag-access sa isang computer s"&amp;"ystem o network.
Ang Pahintulot ay Susi: Kahit na ang iyong mga intensyon ay pang-edukasyon, ang pag-access sa isang system nang walang pahintulot** ay isang paglabag pa rin. Ang mga website ay kadalasang mayroong mga hakbang sa seguridad upang maiwasan a"&amp;"ng hindi awtorisadong pag-access, at ang pag-bypass sa mga hakbang na ito ay makikita bilang isang krimen.
Pag-unawa sa Legalidad kumpara sa Etika:
Mga Etikal na Alalahanin: Bagama't hindi kinakailangang ilegal sa bawat kaso, ang pag-hack sa isang website"&amp;" para sa mga layuning pang-edukasyon ay nagdudulot ng mga alalahaning etikal**. Maaari nitong ilagay sa panganib ang seguridad ng website** at posibleng makagambala sa mga operasyon**.
Mga Alternatibong Paraan sa Pag-aaral: Maraming etikal at legal na par"&amp;"aan** upang matutunan ang tungkol sa seguridad ng website. Kabilang dito ang:
Mga online na mapagkukunan: Maraming mga website at platform ng edukasyon ang nag-aalok ng mga kurso at tutorial sa mga konsepto ng seguridad ng website.
Mga bug bounty program:"&amp;" Ang ilang kumpanya ay nagpapatakbo ng mga bug bounty program kung saan ginagantimpalaan nila ang mga etikal na hacker para sa pagtuklas at pag-uulat ng mga kahinaan sa kanilang mga system.
Mga simulation ng etikal na pag-hack: May mga software program na"&amp;" ginagaya ang mga totoong sitwasyon sa pag-hack sa isang ligtas at legal na kapaligiran.
Mga Potensyal na Bunga:
Kahit na may layuning pang-edukasyon, ang mga kahihinatnan ng mahuli sa pag-hack ng isang website ay maaaring:
Mga Legal na Singil: Depende sa"&amp;" kalubhaan ng panghihimasok at impormasyong na-access, maaari kang humarap sa mga kasong kriminal** sa ilalim ng Cybercrime Prevention Act. Maaari itong humantong sa mga multa at maging sa oras ng pagkakakulong**.
Civil Lawsuit: Ang may-ari ng website ay "&amp;"maaari ding magsampa ng kasong sibil** laban sa iyo para sa mga pinsalang dulot ng panghihimasok.
Napinsalang Reputasyon: Maaaring makapinsala sa iyong reputasyon** ang isang hatol o demanda sa pag-hack at posibleng makahadlang sa mga pagkakataon sa karer"&amp;"a sa hinaharap.
Rekomendasyon:
Humingi ng Pahintulot o Gumamit ng Mga Alternatibo: Palaging humingi ng pahintulot mula sa may-ari ng website** bago subukan ang anumang uri ng pagsubok sa seguridad. Kung hindi ibinigay ang pahintulot, tuklasin ang mga alte"&amp;"rnatibong pamamaraang pang-edukasyon** na binanggit kanina.
Igalang ang Batas at Etika: Igalang ang batas at iwasan ang mga pagkilos na maaaring magkaroon ng negatibong kahihinatnan** para sa iyong sarili at sa may-ari ng website.
Tandaan: Ito ay isang pa"&amp;"ngkalahatang pangkalahatang-ideya, at ang mga partikular na legalidad ay maaaring mag-iba depende sa mga pangyayari. Ang pagkonsulta sa isang abogado na dalubhasa sa cyber law ay inirerekomenda** para sa mas tiyak na sagot batay sa partikular na website a"&amp;"t sa iyong mga nilalayong aksyon.")</f>
        <v>Ang pag-hack sa isang website para sa mga layuning pang-edukasyon ay maaari pa ring humantong sa mga legal na kahihinatnan** sa Pilipinas, kahit na ang iyong layunin ay hindi nakakapinsala. Narito kung bakit:
Ang Legalidad ay Nakadepende sa Pahintulot:
Ang Di-awtorisadong Pag-access ay isang Krimen: Ang pangunahing isyu ay nakasalalay sa hindi awtorisadong pag-access**. Ang batas (Cybercrime Prevention Act of 2012) ay ginagawang kriminal ang pagkakaroon ng hindi awtorisadong pag-access sa isang computer system o network.
Ang Pahintulot ay Susi: Kahit na ang iyong mga intensyon ay pang-edukasyon, ang pag-access sa isang system nang walang pahintulot** ay isang paglabag pa rin. Ang mga website ay kadalasang mayroong mga hakbang sa seguridad upang maiwasan ang hindi awtorisadong pag-access, at ang pag-bypass sa mga hakbang na ito ay makikita bilang isang krimen.
Pag-unawa sa Legalidad kumpara sa Etika:
Mga Etikal na Alalahanin: Bagama't hindi kinakailangang ilegal sa bawat kaso, ang pag-hack sa isang website para sa mga layuning pang-edukasyon ay nagdudulot ng mga alalahaning etikal**. Maaari nitong ilagay sa panganib ang seguridad ng website** at posibleng makagambala sa mga operasyon**.
Mga Alternatibong Paraan sa Pag-aaral: Maraming etikal at legal na paraan** upang matutunan ang tungkol sa seguridad ng website. Kabilang dito ang:
Mga online na mapagkukunan: Maraming mga website at platform ng edukasyon ang nag-aalok ng mga kurso at tutorial sa mga konsepto ng seguridad ng website.
Mga bug bounty program: Ang ilang kumpanya ay nagpapatakbo ng mga bug bounty program kung saan ginagantimpalaan nila ang mga etikal na hacker para sa pagtuklas at pag-uulat ng mga kahinaan sa kanilang mga system.
Mga simulation ng etikal na pag-hack: May mga software program na ginagaya ang mga totoong sitwasyon sa pag-hack sa isang ligtas at legal na kapaligiran.
Mga Potensyal na Bunga:
Kahit na may layuning pang-edukasyon, ang mga kahihinatnan ng mahuli sa pag-hack ng isang website ay maaaring:
Mga Legal na Singil: Depende sa kalubhaan ng panghihimasok at impormasyong na-access, maaari kang humarap sa mga kasong kriminal** sa ilalim ng Cybercrime Prevention Act. Maaari itong humantong sa mga multa at maging sa oras ng pagkakakulong**.
Civil Lawsuit: Ang may-ari ng website ay maaari ding magsampa ng kasong sibil** laban sa iyo para sa mga pinsalang dulot ng panghihimasok.
Napinsalang Reputasyon: Maaaring makapinsala sa iyong reputasyon** ang isang hatol o demanda sa pag-hack at posibleng makahadlang sa mga pagkakataon sa karera sa hinaharap.
Rekomendasyon:
Humingi ng Pahintulot o Gumamit ng Mga Alternatibo: Palaging humingi ng pahintulot mula sa may-ari ng website** bago subukan ang anumang uri ng pagsubok sa seguridad. Kung hindi ibinigay ang pahintulot, tuklasin ang mga alternatibong pamamaraang pang-edukasyon** na binanggit kanina.
Igalang ang Batas at Etika: Igalang ang batas at iwasan ang mga pagkilos na maaaring magkaroon ng negatibong kahihinatnan** para sa iyong sarili at sa may-ari ng website.
Tandaan: Ito ay isang pangkalahatang pangkalahatang-ideya, at ang mga partikular na legalidad ay maaaring mag-iba depende sa mga pangyayari. Ang pagkonsulta sa isang abogado na dalubhasa sa cyber law ay inirerekomenda** para sa mas tiyak na sagot batay sa partikular na website at sa iyong mga nilalayong aksyon.</v>
      </c>
      <c r="F612" s="2">
        <f t="shared" si="1"/>
        <v>0</v>
      </c>
      <c r="G612" s="2"/>
      <c r="H612" s="2"/>
      <c r="I612" s="2"/>
      <c r="J612" s="2"/>
      <c r="K612" s="2"/>
      <c r="L612" s="2"/>
      <c r="M612" s="2"/>
      <c r="N612" s="2"/>
      <c r="O612" s="2"/>
      <c r="P612" s="2"/>
      <c r="Q612" s="2"/>
      <c r="R612" s="2"/>
      <c r="S612" s="2"/>
      <c r="T612" s="2"/>
      <c r="U612" s="2"/>
      <c r="V612" s="2"/>
      <c r="W612" s="2"/>
      <c r="X612" s="2"/>
      <c r="Y612" s="2"/>
      <c r="Z612" s="2"/>
      <c r="AA612" s="2"/>
    </row>
    <row r="613">
      <c r="A613" s="3" t="s">
        <v>2010</v>
      </c>
      <c r="B613" s="1" t="s">
        <v>2053</v>
      </c>
      <c r="C613" s="1" t="s">
        <v>2054</v>
      </c>
      <c r="D613" s="1" t="s">
        <v>2055</v>
      </c>
      <c r="E613" s="2" t="str">
        <f>IFERROR(__xludf.DUMMYFUNCTION("GOOGLETRANSLATE(C613, ""en"", ""TL"")"),"Sa Pilipinas, ang paggamit ng mga kredensyal sa pag-log in ng ibang tao nang may pahintulot nila** ay karaniwang napapabilang sa isang legal na lugar na kulay abo. Walang tiyak na sagot, ngunit narito ang isang breakdown ng mga salik na dapat isaalang-ala"&amp;"ng:
Maliwanag na Legal:
Sa panlabas, ang paggamit ng mga kredensyal sa pag-log in na may pahintulot ay tila legal**. Pagkatapos ng lahat, ang may-ari ay nagbibigay ng access. Gayunpaman, may mga potensyal na kumplikado:
Paglabag sa Mga Tuntunin ng Serbisy"&amp;"o (TOS): Maraming website at online na serbisyo ang may Mga Tuntunin ng Serbisyo (TOS)** na nagbabalangkas ng katanggap-tanggap na paggamit ng kanilang platform. Ang pagbabahagi ng mga kredensyal sa pag-log in ay maaaring lumabag sa mga tuntuning ito**, k"&amp;"ahit na pumayag ang may-ari. Maaaring kabilang sa mga kahihinatnan ang pagsususpinde o pagwawakas ng account.
Mga Panganib sa Seguridad: Ang pagbabahagi ng mga kredensyal ay nagpapataas ng panganib sa seguridad**. Kung makompromiso ang mga hiniram na kred"&amp;"ensyal, maaaring masugatan ang parehong mga account**.
Mga Nuances Batay sa Konteksto:
Ang mga potensyal na legal na implikasyon ay maaaring mag-iba depende sa konteksto**:
Pagbabahagi sa loob ng Organisasyon: Sa ilang organisasyon, ang pagbabahagi ng mga"&amp;" kredensyal sa pag-log in ay maaaring isang pangkaraniwang kasanayan** para sa mga partikular na gawain, lalo na kung may mga tamang kontrol sa pag-access.
Mga Alalahanin sa Pagpapanggap: Kung ginagamit mo ang mga kredensyal upang gayahin ang may-ari** at"&amp;" makisali sa mga aktibidad na hindi nila gagawin, maaaring ilegal iyon.
Limitadong Legal na Precedent:
May limitadong legal na pamarisan** sa Pilipinas tungkol sa paggamit ng mga kredensyal sa pag-log in ng ibang tao nang may pahintulot. Maaaring mapagpas"&amp;"yahan ang mga kaso batay sa mga partikular na pangyayari at potensyal na pinsalang dulot.
Mga Rekomendasyon:
Mga Alternatibo para sa Nakabahaging Pag-access: Maraming platform ang nag-aalok ng mga mas secure na paraan para magbahagi ng access**, gaya ng m"&amp;"ga guest account, nakabahaging folder na may mga itinalagang pahintulot, o multi-factor na pagpapatotoo.
Unahin ang Matatag na Password: Hikayatin ang may-ari na gumamit ng malalakas at natatanging password** at iwasang ibahagi ang mga ito para sa pang-ar"&amp;"aw-araw na gawain.
Isaalang-alang ang isang Tagapamahala ng Password: Makakatulong ang mga tagapamahala ng password sa mga user na lumikha at mag-imbak ng malakas at natatanging mga password para sa iba't ibang mga account, na inaalis ang pangangailangang"&amp;" magbahagi ng mga kredensyal.
Humingi ng Legal na Payo:
Para sa isang partikular na sitwasyon, ang pagkonsulta sa isang abogado na dalubhasa sa cyber law** ay inirerekomenda. Maaari silang magbigay ng mas malinaw na patnubay** batay sa eksaktong konteksto"&amp;", platform o serbisyong kasangkot, at ang nilalayong paggamit ng mga nakabahaging kredensyal.")</f>
        <v>Sa Pilipinas, ang paggamit ng mga kredensyal sa pag-log in ng ibang tao nang may pahintulot nila** ay karaniwang napapabilang sa isang legal na lugar na kulay abo. Walang tiyak na sagot, ngunit narito ang isang breakdown ng mga salik na dapat isaalang-alang:
Maliwanag na Legal:
Sa panlabas, ang paggamit ng mga kredensyal sa pag-log in na may pahintulot ay tila legal**. Pagkatapos ng lahat, ang may-ari ay nagbibigay ng access. Gayunpaman, may mga potensyal na kumplikado:
Paglabag sa Mga Tuntunin ng Serbisyo (TOS): Maraming website at online na serbisyo ang may Mga Tuntunin ng Serbisyo (TOS)** na nagbabalangkas ng katanggap-tanggap na paggamit ng kanilang platform. Ang pagbabahagi ng mga kredensyal sa pag-log in ay maaaring lumabag sa mga tuntuning ito**, kahit na pumayag ang may-ari. Maaaring kabilang sa mga kahihinatnan ang pagsususpinde o pagwawakas ng account.
Mga Panganib sa Seguridad: Ang pagbabahagi ng mga kredensyal ay nagpapataas ng panganib sa seguridad**. Kung makompromiso ang mga hiniram na kredensyal, maaaring masugatan ang parehong mga account**.
Mga Nuances Batay sa Konteksto:
Ang mga potensyal na legal na implikasyon ay maaaring mag-iba depende sa konteksto**:
Pagbabahagi sa loob ng Organisasyon: Sa ilang organisasyon, ang pagbabahagi ng mga kredensyal sa pag-log in ay maaaring isang pangkaraniwang kasanayan** para sa mga partikular na gawain, lalo na kung may mga tamang kontrol sa pag-access.
Mga Alalahanin sa Pagpapanggap: Kung ginagamit mo ang mga kredensyal upang gayahin ang may-ari** at makisali sa mga aktibidad na hindi nila gagawin, maaaring ilegal iyon.
Limitadong Legal na Precedent:
May limitadong legal na pamarisan** sa Pilipinas tungkol sa paggamit ng mga kredensyal sa pag-log in ng ibang tao nang may pahintulot. Maaaring mapagpasyahan ang mga kaso batay sa mga partikular na pangyayari at potensyal na pinsalang dulot.
Mga Rekomendasyon:
Mga Alternatibo para sa Nakabahaging Pag-access: Maraming platform ang nag-aalok ng mga mas secure na paraan para magbahagi ng access**, gaya ng mga guest account, nakabahaging folder na may mga itinalagang pahintulot, o multi-factor na pagpapatotoo.
Unahin ang Matatag na Password: Hikayatin ang may-ari na gumamit ng malalakas at natatanging password** at iwasang ibahagi ang mga ito para sa pang-araw-araw na gawain.
Isaalang-alang ang isang Tagapamahala ng Password: Makakatulong ang mga tagapamahala ng password sa mga user na lumikha at mag-imbak ng malakas at natatanging mga password para sa iba't ibang mga account, na inaalis ang pangangailangang magbahagi ng mga kredensyal.
Humingi ng Legal na Payo:
Para sa isang partikular na sitwasyon, ang pagkonsulta sa isang abogado na dalubhasa sa cyber law** ay inirerekomenda. Maaari silang magbigay ng mas malinaw na patnubay** batay sa eksaktong konteksto, platform o serbisyong kasangkot, at ang nilalayong paggamit ng mga nakabahaging kredensyal.</v>
      </c>
      <c r="F613" s="2">
        <f t="shared" si="1"/>
        <v>0</v>
      </c>
      <c r="G613" s="2"/>
      <c r="H613" s="2"/>
      <c r="I613" s="2"/>
      <c r="J613" s="2"/>
      <c r="K613" s="2"/>
      <c r="L613" s="2"/>
      <c r="M613" s="2"/>
      <c r="N613" s="2"/>
      <c r="O613" s="2"/>
      <c r="P613" s="2"/>
      <c r="Q613" s="2"/>
      <c r="R613" s="2"/>
      <c r="S613" s="2"/>
      <c r="T613" s="2"/>
      <c r="U613" s="2"/>
      <c r="V613" s="2"/>
      <c r="W613" s="2"/>
      <c r="X613" s="2"/>
      <c r="Y613" s="2"/>
      <c r="Z613" s="2"/>
      <c r="AA613" s="2"/>
    </row>
    <row r="614">
      <c r="A614" s="3" t="s">
        <v>2010</v>
      </c>
      <c r="B614" s="1" t="s">
        <v>2056</v>
      </c>
      <c r="C614" s="1" t="s">
        <v>2057</v>
      </c>
      <c r="D614" s="1" t="s">
        <v>2058</v>
      </c>
      <c r="E614" s="2" t="str">
        <f>IFERROR(__xludf.DUMMYFUNCTION("GOOGLETRANSLATE(C614, ""en"", ""TL"")"),"Ang legalidad ng pagbebenta o pamamahagi ng mga tool o software sa pag-hack sa Pilipinas ay hindi ganap na black and white. Walang mga partikular na batas na direktang tumutugon sa isyung ito, ngunit narito ang isang breakdown ng mga nauugnay na salik na "&amp;"dapat isaalang-alang:
Mga Potensyal na Paglabag:
Cybercrime Prevention Act (CPA): Ang batas na ito ay nagsasakriminal sa mga gawaing maaaring mapadali ng mga tool sa pag-hack**. Kabilang dito ang:
Ilegal na Pag-access: Ang pagkakaroon ng hindi awtorisadon"&amp;"g pag-access sa isang computer system o network ay maaaring isang paglabag** kung ang mga tool sa pag-hack ay idinisenyo at partikular na ibinebenta para sa mga naturang layunin.
Mga Paglabag sa Data: Ang mga tool sa pag-hack na nagbibigay-daan sa pagnana"&amp;"kaw ng data** mula sa mga computer system ay maaaring makita bilang pagtulong sa isang krimen.
Ang Legalidad ay Depende sa Layunin:
Dual-Use Nature: Maraming mga tool sa pag-hack ang may mga lehitimong gamit din**, gaya ng penetration testing (ethical hac"&amp;"king) upang matukoy ang mga kahinaan sa mga computer system. Ang pagbebenta ng mga tool na ibinebenta at nilayon para sa mga lehitimong layunin** ay maaaring mas malamang na ituring na ilegal.
Tumutok sa Nakakahamak na Layunin:
Ang pangunahing salik ay la"&amp;"yunin**. Kung nagbebenta ka ng mga tool sa pag-hack pangunahin para sa mga malisyosong layunin**, maaari kang makaharap ng mga legal na epekto**. Gayunpaman, maaaring pinahihintulutan ang pagbebenta ng mga tool na may mga lehitimong gamit**.
Iba pang mga "&amp;"pagsasaalang-alang:
Mga Paglabag sa Mga Tuntunin ng Serbisyo (TOS): Ang pagbebenta ng mga tool sa pag-hack ay maaaring lumabag sa TOS** ng mga platform na ginagamit mo para sa advertising o pamamahagi.
Rekomendasyon:
Mag-ingat: Dahil sa legal na gray na l"&amp;"ugar, pinakamahusay na mag-ingat** kapag nagbebenta o namamahagi ng mga tool sa pag-hack.
Kumonsulta sa isang Abogado: Kung isinasaalang-alang mo ang pagbebenta ng mga tool sa pag-hack, kumunsulta sa isang abogado na dalubhasa sa cyber law**. Maaari ka ni"&amp;"lang payuhan tungkol sa mga legal na panganib** batay sa mga partikular na functionality ng mga tool at iyong nilalayon na diskarte sa marketing.
Mga alternatibong pagsasaalang-alang:
Tumutok sa Ethical Hacking Tools: Kung interesado ka sa larangan ng seg"&amp;"uridad, isaalang-alang ang pagbuo o pagbebenta ng mga tool na partikular na idinisenyo para sa etikal na pag-hack** at pagsubok sa pagtagos.
Pagsasanay sa Kamalayan sa Seguridad: Ang isa pang opsyon ay ang pagtuunan ng pansin ang pagsasanay sa kaalaman sa"&amp;" seguridad**. Makakatulong ito na turuan ang mga tao tungkol sa mga pinakamahuhusay na kagawian sa cybersecurity at kung paano protektahan ang kanilang sarili mula sa mga pag-atake sa pag-hack.
Tandaan: Maaaring mag-evolve ang mga batas at interpretasyon."&amp;" Ito ay isang pangkalahatang pangkalahatang-ideya, at ang pagkonsulta sa isang abogadong pamilyar sa mga batas sa cybercrime sa Pilipinas ay napakahalaga para sa partikular na patnubay.")</f>
        <v>Ang legalidad ng pagbebenta o pamamahagi ng mga tool o software sa pag-hack sa Pilipinas ay hindi ganap na black and white. Walang mga partikular na batas na direktang tumutugon sa isyung ito, ngunit narito ang isang breakdown ng mga nauugnay na salik na dapat isaalang-alang:
Mga Potensyal na Paglabag:
Cybercrime Prevention Act (CPA): Ang batas na ito ay nagsasakriminal sa mga gawaing maaaring mapadali ng mga tool sa pag-hack**. Kabilang dito ang:
Ilegal na Pag-access: Ang pagkakaroon ng hindi awtorisadong pag-access sa isang computer system o network ay maaaring isang paglabag** kung ang mga tool sa pag-hack ay idinisenyo at partikular na ibinebenta para sa mga naturang layunin.
Mga Paglabag sa Data: Ang mga tool sa pag-hack na nagbibigay-daan sa pagnanakaw ng data** mula sa mga computer system ay maaaring makita bilang pagtulong sa isang krimen.
Ang Legalidad ay Depende sa Layunin:
Dual-Use Nature: Maraming mga tool sa pag-hack ang may mga lehitimong gamit din**, gaya ng penetration testing (ethical hacking) upang matukoy ang mga kahinaan sa mga computer system. Ang pagbebenta ng mga tool na ibinebenta at nilayon para sa mga lehitimong layunin** ay maaaring mas malamang na ituring na ilegal.
Tumutok sa Nakakahamak na Layunin:
Ang pangunahing salik ay layunin**. Kung nagbebenta ka ng mga tool sa pag-hack pangunahin para sa mga malisyosong layunin**, maaari kang makaharap ng mga legal na epekto**. Gayunpaman, maaaring pinahihintulutan ang pagbebenta ng mga tool na may mga lehitimong gamit**.
Iba pang mga pagsasaalang-alang:
Mga Paglabag sa Mga Tuntunin ng Serbisyo (TOS): Ang pagbebenta ng mga tool sa pag-hack ay maaaring lumabag sa TOS** ng mga platform na ginagamit mo para sa advertising o pamamahagi.
Rekomendasyon:
Mag-ingat: Dahil sa legal na gray na lugar, pinakamahusay na mag-ingat** kapag nagbebenta o namamahagi ng mga tool sa pag-hack.
Kumonsulta sa isang Abogado: Kung isinasaalang-alang mo ang pagbebenta ng mga tool sa pag-hack, kumunsulta sa isang abogado na dalubhasa sa cyber law**. Maaari ka nilang payuhan tungkol sa mga legal na panganib** batay sa mga partikular na functionality ng mga tool at iyong nilalayon na diskarte sa marketing.
Mga alternatibong pagsasaalang-alang:
Tumutok sa Ethical Hacking Tools: Kung interesado ka sa larangan ng seguridad, isaalang-alang ang pagbuo o pagbebenta ng mga tool na partikular na idinisenyo para sa etikal na pag-hack** at pagsubok sa pagtagos.
Pagsasanay sa Kamalayan sa Seguridad: Ang isa pang opsyon ay ang pagtuunan ng pansin ang pagsasanay sa kaalaman sa seguridad**. Makakatulong ito na turuan ang mga tao tungkol sa mga pinakamahuhusay na kagawian sa cybersecurity at kung paano protektahan ang kanilang sarili mula sa mga pag-atake sa pag-hack.
Tandaan: Maaaring mag-evolve ang mga batas at interpretasyon. Ito ay isang pangkalahatang pangkalahatang-ideya, at ang pagkonsulta sa isang abogadong pamilyar sa mga batas sa cybercrime sa Pilipinas ay napakahalaga para sa partikular na patnubay.</v>
      </c>
      <c r="F614" s="2">
        <f t="shared" si="1"/>
        <v>0</v>
      </c>
      <c r="G614" s="2"/>
      <c r="H614" s="2"/>
      <c r="I614" s="2"/>
      <c r="J614" s="2"/>
      <c r="K614" s="2"/>
      <c r="L614" s="2"/>
      <c r="M614" s="2"/>
      <c r="N614" s="2"/>
      <c r="O614" s="2"/>
      <c r="P614" s="2"/>
      <c r="Q614" s="2"/>
      <c r="R614" s="2"/>
      <c r="S614" s="2"/>
      <c r="T614" s="2"/>
      <c r="U614" s="2"/>
      <c r="V614" s="2"/>
      <c r="W614" s="2"/>
      <c r="X614" s="2"/>
      <c r="Y614" s="2"/>
      <c r="Z614" s="2"/>
      <c r="AA614" s="2"/>
    </row>
    <row r="615">
      <c r="A615" s="3" t="s">
        <v>2010</v>
      </c>
      <c r="B615" s="1" t="s">
        <v>2059</v>
      </c>
      <c r="C615" s="1" t="s">
        <v>2060</v>
      </c>
      <c r="D615" s="1" t="s">
        <v>2061</v>
      </c>
      <c r="E615" s="2" t="str">
        <f>IFERROR(__xludf.DUMMYFUNCTION("GOOGLETRANSLATE(C615, ""en"", ""TL"")"),"Kung maaari kang managot para sa mga pinsalang dulot ng isang hacker na nagsamantala sa isang hindi natatakpan na kahinaan sa iyong system ay depende sa ilang mga salik at maaaring mag-iba depende sa partikular na sitwasyon. Narito ang isang breakdown na "&amp;"dapat isaalang-alang:
Potensyal na Pananagutan:
Mga Batas sa Kapabayaan: Sa Pilipinas, maaaring ilapat ang mga batas sa kapabayaan**. Ang mga batas na ito ay may pananagutan sa mga indibidwal o entity para sa mga pinsalang dulot ng kanilang pagkabigo na k"&amp;"umuha ng makatwirang pangangalaga.
Tungkulin na Panatilihin ang Seguridad: Maaari kang makita na may tungkuling panatilihin ang seguridad** ng iyong system sa pamamagitan ng paglalapat ng mga available na patch. Ang pagkabigong gawin ito ay maaaring ituri"&amp;"ng na kapabayaan**.
Mga Salik na Nakakaimpluwensya sa Pananagutan:
Kalubhaan ng Kahinaan: Ang kalubhaan ng hindi na-patch na kahinaan** ay gumaganap ng isang papel. Ang isang kritikal, kilalang kahinaan na napabayaan mong i-patch ay maaaring magpapataas s"&amp;"a iyong potensyal na pananagutan.
Pagkakatuwiran ng Pag-patch: Maaaring isaalang-alang ng mga korte ang pagiging makatwiran ng pag-patch**. Kung ang patch ay madaling makuha, madaling i-install, at hindi nagdulot ng makabuluhang pagkaantala, ang iyong hin"&amp;"di pag-patch ay maaaring makita na hindi gaanong makatwiran.
Foreseeability of Harm: Ang foreseeability of harm** ay isa ring salik. Kung mahuhulaan ng isang eksperto sa seguridad ang isang partikular na pag-atake dahil sa hindi natatakpan na kahinaan, pi"&amp;"nalalakas nito ang kaso para sa kapabayaan.
Mga Tukoy na Halimbawa at Konteksto:
Personal Computer: Para sa isang personal na computer**, mas maliit ang posibilidad na mademanda para sa mga pinsalang dulot ng isang hacker na nagsasamantala sa isang hindi "&amp;"na-patch na kahinaan**. Gayunpaman, hindi imposible, lalo na kung ang nakompromisong system ay nagdulot ng pinsala sa iba (hal., pagkalat ng malware).
Mga Negosyo: Para sa mga negosyo**, mas mataas ang potensyal para sa pananagutan**. Kadalasang may legal"&amp;" na obligasyon ang mga negosyo na mapanatili ang seguridad ng data**, at ang hindi pag-patch ng mga kilalang kahinaan ay maaaring makita bilang isang paglabag sa tungkuling iyon. Kung ang isang paglabag sa data ay nangyari dahil sa isang hindi na-patch na"&amp;" kahinaan, ang negosyo ay maaaring kasuhan ng mga apektadong customer o ng mga regulatory body.
Mga Rekomendasyon:
Unahin ang Patch Management: Gawing priyoridad ang pamamahala ng patch**. Regular na i-update ang iyong mga system gamit ang pinakabagong mg"&amp;"a patch ng seguridad upang mabawasan ang mga kahinaan.
Isaalang-alang ang Cyber ​​Insurance: Para sa mga negosyo, ang cyber insurance** ay makakatulong na mabawasan ang mga panganib sa pananalapi na nauugnay sa mga cyberattack at mga paglabag sa data.
Kum"&amp;"onsulta sa isang Abogado: Kung nag-aalala ka tungkol sa potensyal na pananagutan, kumunsulta sa isang abogado na dalubhasa sa cyber law**. Maaari ka nilang payuhan tungkol sa mga partikular na panganib sa iyong sitwasyon at ang mga hakbang na maaari mong "&amp;"gawin upang mabawasan ang mga ito.
Tandaan: Ito ay isang pangkalahatang pangkalahatang-ideya, at ang mga partikular na legalidad ay maaaring mag-iba depende sa mga pangyayari. Ang pagkonsulta sa isang abogadong pamilyar sa mga batas sa cybercrime sa Pilip"&amp;"inas ay lubos na inirerekomenda para sa personalized na payo.")</f>
        <v>Kung maaari kang managot para sa mga pinsalang dulot ng isang hacker na nagsamantala sa isang hindi natatakpan na kahinaan sa iyong system ay depende sa ilang mga salik at maaaring mag-iba depende sa partikular na sitwasyon. Narito ang isang breakdown na dapat isaalang-alang:
Potensyal na Pananagutan:
Mga Batas sa Kapabayaan: Sa Pilipinas, maaaring ilapat ang mga batas sa kapabayaan**. Ang mga batas na ito ay may pananagutan sa mga indibidwal o entity para sa mga pinsalang dulot ng kanilang pagkabigo na kumuha ng makatwirang pangangalaga.
Tungkulin na Panatilihin ang Seguridad: Maaari kang makita na may tungkuling panatilihin ang seguridad** ng iyong system sa pamamagitan ng paglalapat ng mga available na patch. Ang pagkabigong gawin ito ay maaaring ituring na kapabayaan**.
Mga Salik na Nakakaimpluwensya sa Pananagutan:
Kalubhaan ng Kahinaan: Ang kalubhaan ng hindi na-patch na kahinaan** ay gumaganap ng isang papel. Ang isang kritikal, kilalang kahinaan na napabayaan mong i-patch ay maaaring magpapataas sa iyong potensyal na pananagutan.
Pagkakatuwiran ng Pag-patch: Maaaring isaalang-alang ng mga korte ang pagiging makatwiran ng pag-patch**. Kung ang patch ay madaling makuha, madaling i-install, at hindi nagdulot ng makabuluhang pagkaantala, ang iyong hindi pag-patch ay maaaring makita na hindi gaanong makatwiran.
Foreseeability of Harm: Ang foreseeability of harm** ay isa ring salik. Kung mahuhulaan ng isang eksperto sa seguridad ang isang partikular na pag-atake dahil sa hindi natatakpan na kahinaan, pinalalakas nito ang kaso para sa kapabayaan.
Mga Tukoy na Halimbawa at Konteksto:
Personal Computer: Para sa isang personal na computer**, mas maliit ang posibilidad na mademanda para sa mga pinsalang dulot ng isang hacker na nagsasamantala sa isang hindi na-patch na kahinaan**. Gayunpaman, hindi imposible, lalo na kung ang nakompromisong system ay nagdulot ng pinsala sa iba (hal., pagkalat ng malware).
Mga Negosyo: Para sa mga negosyo**, mas mataas ang potensyal para sa pananagutan**. Kadalasang may legal na obligasyon ang mga negosyo na mapanatili ang seguridad ng data**, at ang hindi pag-patch ng mga kilalang kahinaan ay maaaring makita bilang isang paglabag sa tungkuling iyon. Kung ang isang paglabag sa data ay nangyari dahil sa isang hindi na-patch na kahinaan, ang negosyo ay maaaring kasuhan ng mga apektadong customer o ng mga regulatory body.
Mga Rekomendasyon:
Unahin ang Patch Management: Gawing priyoridad ang pamamahala ng patch**. Regular na i-update ang iyong mga system gamit ang pinakabagong mga patch ng seguridad upang mabawasan ang mga kahinaan.
Isaalang-alang ang Cyber ​​Insurance: Para sa mga negosyo, ang cyber insurance** ay makakatulong na mabawasan ang mga panganib sa pananalapi na nauugnay sa mga cyberattack at mga paglabag sa data.
Kumonsulta sa isang Abogado: Kung nag-aalala ka tungkol sa potensyal na pananagutan, kumunsulta sa isang abogado na dalubhasa sa cyber law**. Maaari ka nilang payuhan tungkol sa mga partikular na panganib sa iyong sitwasyon at ang mga hakbang na maaari mong gawin upang mabawasan ang mga ito.
Tandaan: Ito ay isang pangkalahatang pangkalahatang-ideya, at ang mga partikular na legalidad ay maaaring mag-iba depende sa mga pangyayari. Ang pagkonsulta sa isang abogadong pamilyar sa mga batas sa cybercrime sa Pilipinas ay lubos na inirerekomenda para sa personalized na payo.</v>
      </c>
      <c r="F615" s="2">
        <f t="shared" si="1"/>
        <v>0</v>
      </c>
      <c r="G615" s="2"/>
      <c r="H615" s="2"/>
      <c r="I615" s="2"/>
      <c r="J615" s="2"/>
      <c r="K615" s="2"/>
      <c r="L615" s="2"/>
      <c r="M615" s="2"/>
      <c r="N615" s="2"/>
      <c r="O615" s="2"/>
      <c r="P615" s="2"/>
      <c r="Q615" s="2"/>
      <c r="R615" s="2"/>
      <c r="S615" s="2"/>
      <c r="T615" s="2"/>
      <c r="U615" s="2"/>
      <c r="V615" s="2"/>
      <c r="W615" s="2"/>
      <c r="X615" s="2"/>
      <c r="Y615" s="2"/>
      <c r="Z615" s="2"/>
      <c r="AA615" s="2"/>
    </row>
    <row r="616">
      <c r="A616" s="3" t="s">
        <v>2010</v>
      </c>
      <c r="B616" s="1" t="s">
        <v>2062</v>
      </c>
      <c r="C616" s="1" t="s">
        <v>2063</v>
      </c>
      <c r="D616" s="1" t="s">
        <v>2064</v>
      </c>
      <c r="E616" s="2" t="str">
        <f>IFERROR(__xludf.DUMMYFUNCTION("GOOGLETRANSLATE(C616, ""en"", ""TL"")"),"Ang partikular na batas ng mga limitasyon para sa pag-uusig ng mga paglabag sa pag-hack sa Pilipinas ay nakasalalay sa partikular na krimen na ginawa sa ilalim ng Cybercrime Prevention Act of 2012 (Republic Act No. 10175). Narito ang isang breakdown:
Sa p"&amp;"angkalahatan: Ang eksaktong takdang panahon ay hindi pangkalahatang nakasaad sa akto. Ipinagpapaliban nito ang mga probisyon ng Revised Penal Code (RPC)** ng Pilipinas para sa pangkalahatang batas ng mga limitasyon**.
Binagong Kodigo Penal: Ang RPC sa pan"&amp;"gkalahatan ay nag-uutos ng labinlimang (15) taon** na batas ng mga limitasyon para sa pag-uusig sa mga pagkakasala na mapaparusahan ng Reclusión temporal (pagkakulong na higit sa anim (6) na taon at isang (1) araw hanggang labindalawang (12) taon).
Mga Pa"&amp;"rtikular na Pagkakasala sa ilalim ng Cybercrime Act: Gayunpaman, ang ilang partikular na pagkakasala sa loob ng Cybercrime Act ay maaaring magkaroon ng sarili nilang mga itinakdang panahon ng limitasyon**.
Para sa mas tiyak na sagot sa batas ng mga limita"&amp;"syon na naaangkop sa isang partikular na paglabag sa pag-hack, napakahalagang kumunsulta sa isang abogadong dalubhasa sa cyber law** sa Pilipinas. Maaari nilang suriin ang mga partikular na probisyon ng Cybercrime Act** na may kaugnayan sa pinaghihinalaan"&amp;"g pagkakasala at sumangguni sa mga nauugnay na seksyon ng RPC** upang matukoy ang naaangkop na timeframe para sa pag-uusig.
Narito ang ilang halimbawa ng mga partikular na pagkakasala sa loob ng Cybercrime Act:
Ilegal na Pag-access: Ang paglabag na ito ay"&amp;" maaaring magkaroon ng parusang pagkakulong mula anim (6) na buwan hanggang tatlong (3) taon**. Kung ito ay nasa ilalim ng pangkalahatang mga probisyon ng RPC, ang batas ng mga limitasyon ay maaaring labinlimang (15) taon**.
Mga Paglabag sa Data: Ang paru"&amp;"sa para sa mga paglabag sa data ay maaaring mag-iba depende sa kalubhaan**. Sa ilang mga kaso, maaaring nasa ilalim ito ng mga pangkalahatang probisyon ng RPC** na may labinlimang (15) taon** na panahon ng limitasyon.
Kahalagahan ng Legal na Dalubhasa:
Da"&amp;"hil sa pagiging kumplikado ng mga batas sa cybercrime at interplay sa pagitan ng Cybercrime Act at ng RPC, ang pagkonsulta sa isang abogado** ay lubos na inirerekomenda upang maunawaan ang partikular na batas ng mga limitasyon na naaangkop sa iyong sitwas"&amp;"yon o isang kaso kung saan ka interesado.")</f>
        <v>Ang partikular na batas ng mga limitasyon para sa pag-uusig ng mga paglabag sa pag-hack sa Pilipinas ay nakasalalay sa partikular na krimen na ginawa sa ilalim ng Cybercrime Prevention Act of 2012 (Republic Act No. 10175). Narito ang isang breakdown:
Sa pangkalahatan: Ang eksaktong takdang panahon ay hindi pangkalahatang nakasaad sa akto. Ipinagpapaliban nito ang mga probisyon ng Revised Penal Code (RPC)** ng Pilipinas para sa pangkalahatang batas ng mga limitasyon**.
Binagong Kodigo Penal: Ang RPC sa pangkalahatan ay nag-uutos ng labinlimang (15) taon** na batas ng mga limitasyon para sa pag-uusig sa mga pagkakasala na mapaparusahan ng Reclusión temporal (pagkakulong na higit sa anim (6) na taon at isang (1) araw hanggang labindalawang (12) taon).
Mga Partikular na Pagkakasala sa ilalim ng Cybercrime Act: Gayunpaman, ang ilang partikular na pagkakasala sa loob ng Cybercrime Act ay maaaring magkaroon ng sarili nilang mga itinakdang panahon ng limitasyon**.
Para sa mas tiyak na sagot sa batas ng mga limitasyon na naaangkop sa isang partikular na paglabag sa pag-hack, napakahalagang kumunsulta sa isang abogadong dalubhasa sa cyber law** sa Pilipinas. Maaari nilang suriin ang mga partikular na probisyon ng Cybercrime Act** na may kaugnayan sa pinaghihinalaang pagkakasala at sumangguni sa mga nauugnay na seksyon ng RPC** upang matukoy ang naaangkop na timeframe para sa pag-uusig.
Narito ang ilang halimbawa ng mga partikular na pagkakasala sa loob ng Cybercrime Act:
Ilegal na Pag-access: Ang paglabag na ito ay maaaring magkaroon ng parusang pagkakulong mula anim (6) na buwan hanggang tatlong (3) taon**. Kung ito ay nasa ilalim ng pangkalahatang mga probisyon ng RPC, ang batas ng mga limitasyon ay maaaring labinlimang (15) taon**.
Mga Paglabag sa Data: Ang parusa para sa mga paglabag sa data ay maaaring mag-iba depende sa kalubhaan**. Sa ilang mga kaso, maaaring nasa ilalim ito ng mga pangkalahatang probisyon ng RPC** na may labinlimang (15) taon** na panahon ng limitasyon.
Kahalagahan ng Legal na Dalubhasa:
Dahil sa pagiging kumplikado ng mga batas sa cybercrime at interplay sa pagitan ng Cybercrime Act at ng RPC, ang pagkonsulta sa isang abogado** ay lubos na inirerekomenda upang maunawaan ang partikular na batas ng mga limitasyon na naaangkop sa iyong sitwasyon o isang kaso kung saan ka interesado.</v>
      </c>
      <c r="F616" s="2">
        <f t="shared" si="1"/>
        <v>0</v>
      </c>
      <c r="G616" s="2"/>
      <c r="H616" s="2"/>
      <c r="I616" s="2"/>
      <c r="J616" s="2"/>
      <c r="K616" s="2"/>
      <c r="L616" s="2"/>
      <c r="M616" s="2"/>
      <c r="N616" s="2"/>
      <c r="O616" s="2"/>
      <c r="P616" s="2"/>
      <c r="Q616" s="2"/>
      <c r="R616" s="2"/>
      <c r="S616" s="2"/>
      <c r="T616" s="2"/>
      <c r="U616" s="2"/>
      <c r="V616" s="2"/>
      <c r="W616" s="2"/>
      <c r="X616" s="2"/>
      <c r="Y616" s="2"/>
      <c r="Z616" s="2"/>
      <c r="AA616" s="2"/>
    </row>
    <row r="617">
      <c r="A617" s="3" t="s">
        <v>2010</v>
      </c>
      <c r="B617" s="1" t="s">
        <v>2065</v>
      </c>
      <c r="C617" s="1" t="s">
        <v>2066</v>
      </c>
      <c r="D617" s="1" t="s">
        <v>2067</v>
      </c>
      <c r="E617" s="2" t="str">
        <f>IFERROR(__xludf.DUMMYFUNCTION("GOOGLETRANSLATE(C617, ""en"", ""TL"")"),"Oo, sa Pilipinas, maaari kang kasuhan sa pag-hack kahit na wala kang napala sa pag-access sa system. Narito kung bakit:
Tumutok sa Hindi Pinahintulutang Pag-access: Ang pangunahing ng mga paglabag sa pag-hack sa ilalim ng Cybercrime Prevention Act of 2012"&amp;" (CPA) ay nakasalalay sa hindi awtorisadong pag-access. Ang batas ay nagpaparusa sa pagkakaroon ng hindi awtorisadong pag-access sa isang computer system o network, hindi alintana kung nakakuha ka ng anumang bagay.
Intensiyon vs. Epekto: Ang batas ay nag-"&amp;"iiba sa pagitan ng intensyon at epekto. Kahit na hindi mo nilayon na magnakaw ng data o magdulot ng pinsala, ang pag-bypass lang sa mga hakbang sa seguridad upang ma-access ang isang system na hindi ka awtorisadong puntahan ay isang krimen.
Mga Halimbawa "&amp;"ng Mga Naiuusig na Pagkakasala: Narito ang ilang halimbawa mula sa CPA na maaaring humantong sa pag-uusig kahit na walang natatanggap:
Illegal Access: Ito ang pinakapangunahing pagkakasala at nalalapat sa anumang hindi awtorisadong pag-access sa isang com"&amp;"puter system o network.
Cyber ​​Intrusion: Nalalapat ang paglabag na ito sa mga pagtatangka na i-bypass ang mga hakbang sa seguridad upang ma-access ang isang computer system o network.
Kahalagahan ng Layunin, Ngunit Hindi Kinakailangan:
Maaaring Magpataa"&amp;"s ng mga Parusa ang Nakakahamak na Layunin: Bagama't maaaring hindi kinakailangan ang pagkakaroon ng isang bagay para sa pag-uusig, ang malisyosong layunin** gaya ng pagnanakaw ng data o pag-abala sa mga operasyon ay maaaring tumaas ang mga parusa** na ka"&amp;"kaharapin mo kung nahatulan.
Mga Rekomendasyon:
Igalang ang Cybersecurity: Ang pinakamahusay na diskarte ay ang paggalang sa mga hakbang sa cybersecurity** at iwasang subukang i-access ang mga system na hindi ka awtorisadong gamitin.
Ethical Hacking na ma"&amp;"y Pahintulot: Kung interesado ka sa etikal na pag-hack (penetration testing) upang matukoy ang mga kahinaan sa mga system, palaging humingi ng pahintulot** mula sa may-ari ng system bago magsagawa ng anumang mga pagsubok.
Tandaan: Ito ay isang pangkalahat"&amp;"ang pangkalahatang-ideya, at ang mga partikular na legalidad ay maaaring mag-iba depende sa mga pangyayari. Ang pagkonsulta sa isang abogado na dalubhasa sa cyber law** ay lubos na inirerekomenda para sa mas tiyak na sagot batay sa mga partikular na detal"&amp;"ye ng iyong sitwasyon.")</f>
        <v>Oo, sa Pilipinas, maaari kang kasuhan sa pag-hack kahit na wala kang napala sa pag-access sa system. Narito kung bakit:
Tumutok sa Hindi Pinahintulutang Pag-access: Ang pangunahing ng mga paglabag sa pag-hack sa ilalim ng Cybercrime Prevention Act of 2012 (CPA) ay nakasalalay sa hindi awtorisadong pag-access. Ang batas ay nagpaparusa sa pagkakaroon ng hindi awtorisadong pag-access sa isang computer system o network, hindi alintana kung nakakuha ka ng anumang bagay.
Intensiyon vs. Epekto: Ang batas ay nag-iiba sa pagitan ng intensyon at epekto. Kahit na hindi mo nilayon na magnakaw ng data o magdulot ng pinsala, ang pag-bypass lang sa mga hakbang sa seguridad upang ma-access ang isang system na hindi ka awtorisadong puntahan ay isang krimen.
Mga Halimbawa ng Mga Naiuusig na Pagkakasala: Narito ang ilang halimbawa mula sa CPA na maaaring humantong sa pag-uusig kahit na walang natatanggap:
Illegal Access: Ito ang pinakapangunahing pagkakasala at nalalapat sa anumang hindi awtorisadong pag-access sa isang computer system o network.
Cyber ​​Intrusion: Nalalapat ang paglabag na ito sa mga pagtatangka na i-bypass ang mga hakbang sa seguridad upang ma-access ang isang computer system o network.
Kahalagahan ng Layunin, Ngunit Hindi Kinakailangan:
Maaaring Magpataas ng mga Parusa ang Nakakahamak na Layunin: Bagama't maaaring hindi kinakailangan ang pagkakaroon ng isang bagay para sa pag-uusig, ang malisyosong layunin** gaya ng pagnanakaw ng data o pag-abala sa mga operasyon ay maaaring tumaas ang mga parusa** na kakaharapin mo kung nahatulan.
Mga Rekomendasyon:
Igalang ang Cybersecurity: Ang pinakamahusay na diskarte ay ang paggalang sa mga hakbang sa cybersecurity** at iwasang subukang i-access ang mga system na hindi ka awtorisadong gamitin.
Ethical Hacking na may Pahintulot: Kung interesado ka sa etikal na pag-hack (penetration testing) upang matukoy ang mga kahinaan sa mga system, palaging humingi ng pahintulot** mula sa may-ari ng system bago magsagawa ng anumang mga pagsubok.
Tandaan: Ito ay isang pangkalahatang pangkalahatang-ideya, at ang mga partikular na legalidad ay maaaring mag-iba depende sa mga pangyayari. Ang pagkonsulta sa isang abogado na dalubhasa sa cyber law** ay lubos na inirerekomenda para sa mas tiyak na sagot batay sa mga partikular na detalye ng iyong sitwasyon.</v>
      </c>
      <c r="F617" s="2">
        <f t="shared" si="1"/>
        <v>0</v>
      </c>
      <c r="G617" s="2"/>
      <c r="H617" s="2"/>
      <c r="I617" s="2"/>
      <c r="J617" s="2"/>
      <c r="K617" s="2"/>
      <c r="L617" s="2"/>
      <c r="M617" s="2"/>
      <c r="N617" s="2"/>
      <c r="O617" s="2"/>
      <c r="P617" s="2"/>
      <c r="Q617" s="2"/>
      <c r="R617" s="2"/>
      <c r="S617" s="2"/>
      <c r="T617" s="2"/>
      <c r="U617" s="2"/>
      <c r="V617" s="2"/>
      <c r="W617" s="2"/>
      <c r="X617" s="2"/>
      <c r="Y617" s="2"/>
      <c r="Z617" s="2"/>
      <c r="AA617" s="2"/>
    </row>
    <row r="618">
      <c r="A618" s="3" t="s">
        <v>2010</v>
      </c>
      <c r="B618" s="1" t="s">
        <v>2068</v>
      </c>
      <c r="C618" s="1" t="s">
        <v>2069</v>
      </c>
      <c r="D618" s="1" t="s">
        <v>2070</v>
      </c>
      <c r="E618" s="2" t="str">
        <f>IFERROR(__xludf.DUMMYFUNCTION("GOOGLETRANSLATE(C618, ""en"", ""TL"")"),"Ang Pilipinas ay may ilang legal na proteksyon para sa mga whistleblower, ngunit ang kasalukuyang framework ay hindi tahasang tinutugunan ang whistleblowing sa pamamagitan ng pag-hack. Narito ang isang breakdown ng kung ano ang kailangan mong malaman:
Rep"&amp;"ublic Act No. 6713 (The Whistleblower Protection Act):
Ang batas na ito ay nag-aalok ng mga pangkalahatang proteksyon para sa mga whistleblower** na nag-uulat ng pag-iwas sa buwis, graft at mga katiwaliang gawi, matinding kawalan ng kakayahan o kawalan ng"&amp;" kakayahan sa gobyerno**.
Mga Limitasyon: Hindi nito tahasang binabanggit ang mga pribadong kumpanya** o mga sitwasyon kung saan sangkot ang pag-hack.
Mga Iminungkahing Pagbabago:
Kasama sa mga iminungkahing pagbabago** sa Whistleblower Protection Act ang"&amp;" mas malawak na proteksyon para sa mga whistleblower sa pribadong sektor.
Gayunpaman, ang legalidad ng pag-hack upang makakuha ng ebidensya** ay malamang na hindi matugunan kahit na sa binagong bersyon.
Mga Potensyal na Legal na Isyu sa Pag-hack:
Cybercri"&amp;"me Prevention Act (CPA): Ang pag-hack sa isang system, kahit na ilantad ang maling gawain, ay maaaring ituring na isang krimen** sa ilalim ng hindi awtorisadong mga probisyon ng pag-access** ng CPA.
Mga Alternatibong Pamamaraan para sa mga Whistleblower:
"&amp;"Kung pinaghihinalaan mo ang maling gawain sa loob ng isang organisasyon, narito ang ilang mas ligtas na opsyon** na dapat isaalang-alang:
Mag-ulat sa loob: Maraming organisasyon ang may panloob na mekanismo sa pag-uulat** para sa mga empleyado na mag-ulat"&amp;" ng pinaghihinalaang maling pag-uugali. Gamitin muna ang mga channel na ito kung available.
Mag-ulat sa mga awtoridad: Maaari kang mag-ulat ng pinaghihinalaang maling gawain sa mga nauugnay na ahensya ng gobyerno depende sa uri ng pagkakasala**.
Humingi n"&amp;"g legal na patnubay: Maaaring payuhan ka ng isang abogado na dalubhasa sa proteksyon ng whistleblower sa mga legal na opsyon** at kung paano iulat ang maling gawain nang hindi sinasaktan ang iyong sarili**.
Ang Papel ng mga Mamamahayag:
Minsan nakakatangg"&amp;"ap ang mga mamamahayag ng impormasyon mula sa mga whistleblower, kabilang ang mga na-hack na materyales. Maaaring mayroon silang mga legal na proteksyon** depende sa mga batas sa kalayaan sa pamamahayag. Gayunpaman, malamang na maiiwasan nila ang paghikay"&amp;"at ng mga aktibidad sa pag-hack** ng kanilang mga pinagmulan.
Sa pangkalahatan, ang legal na tanawin para sa whistleblowing sa pamamagitan ng pag-hack sa Pilipinas ay umuunlad. Bagama't may mga proteksyon para sa whistleblowing sa pangkalahatan, ang parti"&amp;"kular na pagkilos ng pag-hack upang makakuha ng ebidensya ay nananatiling isang kulay-abo na lugar. Ang pagkonsulta sa isang abogado na dalubhasa sa parehong proteksyon ng whistleblower at batas sa cybercrime ay lubos na inirerekomenda upang maunawaan ang"&amp;" iyong mga opsyon sa mga ganitong sitwasyon.")</f>
        <v>Ang Pilipinas ay may ilang legal na proteksyon para sa mga whistleblower, ngunit ang kasalukuyang framework ay hindi tahasang tinutugunan ang whistleblowing sa pamamagitan ng pag-hack. Narito ang isang breakdown ng kung ano ang kailangan mong malaman:
Republic Act No. 6713 (The Whistleblower Protection Act):
Ang batas na ito ay nag-aalok ng mga pangkalahatang proteksyon para sa mga whistleblower** na nag-uulat ng pag-iwas sa buwis, graft at mga katiwaliang gawi, matinding kawalan ng kakayahan o kawalan ng kakayahan sa gobyerno**.
Mga Limitasyon: Hindi nito tahasang binabanggit ang mga pribadong kumpanya** o mga sitwasyon kung saan sangkot ang pag-hack.
Mga Iminungkahing Pagbabago:
Kasama sa mga iminungkahing pagbabago** sa Whistleblower Protection Act ang mas malawak na proteksyon para sa mga whistleblower sa pribadong sektor.
Gayunpaman, ang legalidad ng pag-hack upang makakuha ng ebidensya** ay malamang na hindi matugunan kahit na sa binagong bersyon.
Mga Potensyal na Legal na Isyu sa Pag-hack:
Cybercrime Prevention Act (CPA): Ang pag-hack sa isang system, kahit na ilantad ang maling gawain, ay maaaring ituring na isang krimen** sa ilalim ng hindi awtorisadong mga probisyon ng pag-access** ng CPA.
Mga Alternatibong Pamamaraan para sa mga Whistleblower:
Kung pinaghihinalaan mo ang maling gawain sa loob ng isang organisasyon, narito ang ilang mas ligtas na opsyon** na dapat isaalang-alang:
Mag-ulat sa loob: Maraming organisasyon ang may panloob na mekanismo sa pag-uulat** para sa mga empleyado na mag-ulat ng pinaghihinalaang maling pag-uugali. Gamitin muna ang mga channel na ito kung available.
Mag-ulat sa mga awtoridad: Maaari kang mag-ulat ng pinaghihinalaang maling gawain sa mga nauugnay na ahensya ng gobyerno depende sa uri ng pagkakasala**.
Humingi ng legal na patnubay: Maaaring payuhan ka ng isang abogado na dalubhasa sa proteksyon ng whistleblower sa mga legal na opsyon** at kung paano iulat ang maling gawain nang hindi sinasaktan ang iyong sarili**.
Ang Papel ng mga Mamamahayag:
Minsan nakakatanggap ang mga mamamahayag ng impormasyon mula sa mga whistleblower, kabilang ang mga na-hack na materyales. Maaaring mayroon silang mga legal na proteksyon** depende sa mga batas sa kalayaan sa pamamahayag. Gayunpaman, malamang na maiiwasan nila ang paghikayat ng mga aktibidad sa pag-hack** ng kanilang mga pinagmulan.
Sa pangkalahatan, ang legal na tanawin para sa whistleblowing sa pamamagitan ng pag-hack sa Pilipinas ay umuunlad. Bagama't may mga proteksyon para sa whistleblowing sa pangkalahatan, ang partikular na pagkilos ng pag-hack upang makakuha ng ebidensya ay nananatiling isang kulay-abo na lugar. Ang pagkonsulta sa isang abogado na dalubhasa sa parehong proteksyon ng whistleblower at batas sa cybercrime ay lubos na inirerekomenda upang maunawaan ang iyong mga opsyon sa mga ganitong sitwasyon.</v>
      </c>
      <c r="F618" s="2">
        <f t="shared" si="1"/>
        <v>0</v>
      </c>
      <c r="G618" s="2"/>
      <c r="H618" s="2"/>
      <c r="I618" s="2"/>
      <c r="J618" s="2"/>
      <c r="K618" s="2"/>
      <c r="L618" s="2"/>
      <c r="M618" s="2"/>
      <c r="N618" s="2"/>
      <c r="O618" s="2"/>
      <c r="P618" s="2"/>
      <c r="Q618" s="2"/>
      <c r="R618" s="2"/>
      <c r="S618" s="2"/>
      <c r="T618" s="2"/>
      <c r="U618" s="2"/>
      <c r="V618" s="2"/>
      <c r="W618" s="2"/>
      <c r="X618" s="2"/>
      <c r="Y618" s="2"/>
      <c r="Z618" s="2"/>
      <c r="AA618" s="2"/>
    </row>
    <row r="619">
      <c r="A619" s="3" t="s">
        <v>2010</v>
      </c>
      <c r="B619" s="1" t="s">
        <v>2071</v>
      </c>
      <c r="C619" s="1" t="s">
        <v>2072</v>
      </c>
      <c r="D619" s="1" t="s">
        <v>2073</v>
      </c>
      <c r="E619" s="2" t="str">
        <f>IFERROR(__xludf.DUMMYFUNCTION("GOOGLETRANSLATE(C619, ""en"", ""TL"")"),"Ang pag-hack sa system ng isang self-driving na kotse ay maaaring magresulta sa iba't ibang legal na kahihinatnan** kumpara sa pag-hack sa isang tradisyunal na sistema ng kotse sa Pilipinas, dahil sa tumaas na potensyal para sa pinsala** na nauugnay sa mg"&amp;"a self-driving na sasakyan. Narito kung bakit:
Mga Tradisyunal na Sasakyan kumpara sa Mga Sasakyang Nagmamaneho sa Sarili:
Mga Tradisyunal na Kotse: Ang pag-hack ng tradisyonal na kotse ay maaaring magbigay sa isang tao ng malayuang kontrol ng mga functio"&amp;"n** tulad ng mga kandado, ilaw, o stereo. Bagama't hindi maginhawa, ang panganib ng malubhang pinsala ay karaniwang mas mababa.
Self-Driving Cars: Ang pag-hack ng self-driving na kotse ay maaaring magbigay-daan sa pagmamanipula ng mga kritikal na system**"&amp;" tulad ng pagpipiloto, pagpepreno, at acceleration. Ito ay nagdudulot ng malaking panganib ng mga aksidente at pinsala**.
Mga Potensyal na Legal na Ramipikasyon:
Mga Umiiral na Batas: Ang Pilipinas ay mayroon nang mga batas** tulad ng Cybercrime Preventio"&amp;"n Act (CPA) na nagsasakriminal sa hindi awtorisadong pag-access sa mga computer system. Ang pag-hack sa sistema ng self-driving na kotse ay malamang na mapailalim sa kategoryang ito.
Mas mataas na mga Parusa: Dahil sa mas mataas na potensyal para sa pinsa"&amp;"la**, ang mga hukom ay maaaring mas malamang na magpataw ng mas matinding parusa** para sa pag-hack ng self-driving na kotse kumpara sa isang tradisyunal na kotse.
Mga Umuusbong na Batas: Habang nagiging laganap ang teknolohiya ng self-driving na sasakyan"&amp;", maaaring bumuo ng mga bagong batas** partikular na tumutugon sa mga panganib sa pag-hack at cybersecurity**. Ang mga batas na ito ay maaaring lumikha ng mas mahigpit na pananagutan** para sa mga taong nakikialam sa mga self-driving na sistema ng sasakya"&amp;"n.
Mga Kawalang-katiyakan at Legal na Gray na Lugar:
Responsibilidad ng Aksidente: Ang legal na tanawin tungkol sa mga aksidente na dulot ng mga na-hack na self-driving na mga sasakyan** ay umuunlad pa rin. Hindi malinaw kung sino ang mananagot (ang hacke"&amp;"r, ang tagagawa ng kotse, atbp.).
Intent vs. Recklessness: Ang pagkakaiba sa pagitan ng intent at recklessness** ay maaaring isang salik. Ang isang hacker na sadyang sumusubok na magdulot ng pinsala sa pamamagitan ng isang self-driving na pag-atake ng kot"&amp;"se ay malamang na mahaharap sa mas malupit na parusa kumpara sa isang taong na-hack dahil sa pag-usisa ngunit nauwi sa isang aksidente.
Mga Rekomendasyon:
Huwag I-hack ang Mga Self-Driving na Kotse: Masyadong mataas ang mga potensyal na legal at etikal na"&amp;" kahihinatnan**.
Mag-ulat ng Mga Kahinaan: Kung matuklasan mo ang isang kahinaan sa isang self-driving na sistema ng kotse, iulat ito nang may pananagutan** sa tagagawa o mga nauugnay na awtoridad.
Ang legal na balangkas na nakapalibot sa pag-hack ng mga "&amp;"self-driving na kotse ay umuunlad pa rin, ngunit ang mga potensyal na kahihinatnan ay makabuluhan. Ang pananatili sa ligtas na bahagi at paggalang sa cybersecurity ay mahalaga.")</f>
        <v>Ang pag-hack sa system ng isang self-driving na kotse ay maaaring magresulta sa iba't ibang legal na kahihinatnan** kumpara sa pag-hack sa isang tradisyunal na sistema ng kotse sa Pilipinas, dahil sa tumaas na potensyal para sa pinsala** na nauugnay sa mga self-driving na sasakyan. Narito kung bakit:
Mga Tradisyunal na Sasakyan kumpara sa Mga Sasakyang Nagmamaneho sa Sarili:
Mga Tradisyunal na Kotse: Ang pag-hack ng tradisyonal na kotse ay maaaring magbigay sa isang tao ng malayuang kontrol ng mga function** tulad ng mga kandado, ilaw, o stereo. Bagama't hindi maginhawa, ang panganib ng malubhang pinsala ay karaniwang mas mababa.
Self-Driving Cars: Ang pag-hack ng self-driving na kotse ay maaaring magbigay-daan sa pagmamanipula ng mga kritikal na system** tulad ng pagpipiloto, pagpepreno, at acceleration. Ito ay nagdudulot ng malaking panganib ng mga aksidente at pinsala**.
Mga Potensyal na Legal na Ramipikasyon:
Mga Umiiral na Batas: Ang Pilipinas ay mayroon nang mga batas** tulad ng Cybercrime Prevention Act (CPA) na nagsasakriminal sa hindi awtorisadong pag-access sa mga computer system. Ang pag-hack sa sistema ng self-driving na kotse ay malamang na mapailalim sa kategoryang ito.
Mas mataas na mga Parusa: Dahil sa mas mataas na potensyal para sa pinsala**, ang mga hukom ay maaaring mas malamang na magpataw ng mas matinding parusa** para sa pag-hack ng self-driving na kotse kumpara sa isang tradisyunal na kotse.
Mga Umuusbong na Batas: Habang nagiging laganap ang teknolohiya ng self-driving na sasakyan, maaaring bumuo ng mga bagong batas** partikular na tumutugon sa mga panganib sa pag-hack at cybersecurity**. Ang mga batas na ito ay maaaring lumikha ng mas mahigpit na pananagutan** para sa mga taong nakikialam sa mga self-driving na sistema ng sasakyan.
Mga Kawalang-katiyakan at Legal na Gray na Lugar:
Responsibilidad ng Aksidente: Ang legal na tanawin tungkol sa mga aksidente na dulot ng mga na-hack na self-driving na mga sasakyan** ay umuunlad pa rin. Hindi malinaw kung sino ang mananagot (ang hacker, ang tagagawa ng kotse, atbp.).
Intent vs. Recklessness: Ang pagkakaiba sa pagitan ng intent at recklessness** ay maaaring isang salik. Ang isang hacker na sadyang sumusubok na magdulot ng pinsala sa pamamagitan ng isang self-driving na pag-atake ng kotse ay malamang na mahaharap sa mas malupit na parusa kumpara sa isang taong na-hack dahil sa pag-usisa ngunit nauwi sa isang aksidente.
Mga Rekomendasyon:
Huwag I-hack ang Mga Self-Driving na Kotse: Masyadong mataas ang mga potensyal na legal at etikal na kahihinatnan**.
Mag-ulat ng Mga Kahinaan: Kung matuklasan mo ang isang kahinaan sa isang self-driving na sistema ng kotse, iulat ito nang may pananagutan** sa tagagawa o mga nauugnay na awtoridad.
Ang legal na balangkas na nakapalibot sa pag-hack ng mga self-driving na kotse ay umuunlad pa rin, ngunit ang mga potensyal na kahihinatnan ay makabuluhan. Ang pananatili sa ligtas na bahagi at paggalang sa cybersecurity ay mahalaga.</v>
      </c>
      <c r="F619" s="2">
        <f t="shared" si="1"/>
        <v>0</v>
      </c>
      <c r="G619" s="2"/>
      <c r="H619" s="2"/>
      <c r="I619" s="2"/>
      <c r="J619" s="2"/>
      <c r="K619" s="2"/>
      <c r="L619" s="2"/>
      <c r="M619" s="2"/>
      <c r="N619" s="2"/>
      <c r="O619" s="2"/>
      <c r="P619" s="2"/>
      <c r="Q619" s="2"/>
      <c r="R619" s="2"/>
      <c r="S619" s="2"/>
      <c r="T619" s="2"/>
      <c r="U619" s="2"/>
      <c r="V619" s="2"/>
      <c r="W619" s="2"/>
      <c r="X619" s="2"/>
      <c r="Y619" s="2"/>
      <c r="Z619" s="2"/>
      <c r="AA619" s="2"/>
    </row>
    <row r="620">
      <c r="A620" s="3" t="s">
        <v>2010</v>
      </c>
      <c r="B620" s="1" t="s">
        <v>2074</v>
      </c>
      <c r="C620" s="1" t="s">
        <v>2075</v>
      </c>
      <c r="D620" s="1" t="s">
        <v>2076</v>
      </c>
      <c r="E620" s="2" t="str">
        <f>IFERROR(__xludf.DUMMYFUNCTION("GOOGLETRANSLATE(C620, ""en"", ""TL"")"),"Ang mga batas sa pag-hack na inilapat sa mga aktibidad na isinasagawa sa mga internasyonal na hangganan** ay maaaring maging kumplikado dahil sa mga hamon sa hurisdiksyon**. Narito ang isang breakdown ng mga pangunahing pagsasaalang-alang:
Mga Hamon ng In"&amp;"ternational Hacking:
Lokasyon ng Hacker: Maaaring nasa ibang bansa ang hacker kaysa sa computer system na kanilang tina-target**. Lumilikha ito ng tanong kung aling mga batas ng bansa ang nalalapat**.
Lokasyon ng Server: Ang server na nagho-host ng naka-t"&amp;"arget na sistema** ay maaaring matatagpuan sa isang ikatlong bansa, na lalong nagpapagulo sa hurisdiksyon.
International Cooperation: Ang pagsisiyasat at pag-uusig sa cross-border hacking ay kadalasang nangangailangan ng kooperasyon** sa pagitan ng mga ah"&amp;"ensyang nagpapatupad ng batas ng iba't ibang bansa**. Ang pagtutulungang ito ay maaaring mabagal at kumplikado.
Mga Potensyal na Legal na Sitwasyon:
Pag-target ng System sa Iyong Sariling Bansa: Kung na-hack mo ang isang system sa sarili mong bansa**, mal"&amp;"amang na malalapat ang mga batas ng iyong bansa**, anuman ang lokasyon mo kapag nagha-hack.
Pag-target ng System sa Ibang Bansa: Mas nakakalito ang mga bagay dito. Ang bansa kung saan matatagpuan ang system** ay maaaring may hurisdiksyon na usigin ka, kah"&amp;"it na nagha-hack ka mula sa ibang bansa**.
Mga Internasyonal na Kasunduan: Ang ilang mga bansa ay may mga internasyonal na kasunduan** sa cybercrime na maaaring mapadali ang pakikipagtulungan at extradition ng mga cybercriminal.
Tumutok sa Pinsala na Dulo"&amp;"t: Ang bansa kung saan sanhi ang pinsala** (hal., paglabag sa data na nakakaapekto sa mga mamamayan sa bansang iyon) ay maaari ding magkaroon ng claim upang usigin.
Mga kahirapan sa Pagpapatupad:
Iba't ibang Batas: Ang iba't ibang bansa ay may iba't ibang"&amp;" batas sa cybercrime** na may iba't ibang kahulugan ng pag-hack at mga parusa.
Mga Hamon sa Extradition: Extradition (pagbibigay ng suspek sa ibang bansa para sa paglilitis)** ay maaaring maging isang mahaba at kumplikadong proseso**.
Mga Rekomendasyon:
M"&amp;"agkaroon ng Kamalayan sa mga Internasyonal na Implikasyon: Kung isinasaalang-alang mo ang anumang aksyon na maaaring may kinalaman sa pag-hack ng isang computer system, magkaroon ng kamalayan sa mga potensyal na internasyonal na legal na implikasyon**.
Ig"&amp;"alang ang Batas: Ang pinakaligtas na paraan ay ang paggalang sa batas** at iwasan ang mga aktibidad sa pag-hack.
Humingi ng Legal na Payo: Kung mayroon kang anumang mga tanong tungkol sa mga legal na implikasyon ng iyong mga aksyon, kumunsulta sa isang ab"&amp;"ogado na dalubhasa sa cybercrime law**. Maaari ka nilang payuhan batay sa mga partikular na pangyayari at mga bansang kasangkot.
Ang larangan ng internasyonal na batas sa cybercrime ay patuloy na umuunlad. Ang mga bagong kasunduan at mekanismo ng pakikipa"&amp;"gtulungan ay binuo, ngunit nananatili ang mga hamon**. Napakahalagang maging maingat** at iwasang makisali sa mga aktibidad na maaaring magkaroon ng legal na epekto sa mga hangganan.")</f>
        <v>Ang mga batas sa pag-hack na inilapat sa mga aktibidad na isinasagawa sa mga internasyonal na hangganan** ay maaaring maging kumplikado dahil sa mga hamon sa hurisdiksyon**. Narito ang isang breakdown ng mga pangunahing pagsasaalang-alang:
Mga Hamon ng International Hacking:
Lokasyon ng Hacker: Maaaring nasa ibang bansa ang hacker kaysa sa computer system na kanilang tina-target**. Lumilikha ito ng tanong kung aling mga batas ng bansa ang nalalapat**.
Lokasyon ng Server: Ang server na nagho-host ng naka-target na sistema** ay maaaring matatagpuan sa isang ikatlong bansa, na lalong nagpapagulo sa hurisdiksyon.
International Cooperation: Ang pagsisiyasat at pag-uusig sa cross-border hacking ay kadalasang nangangailangan ng kooperasyon** sa pagitan ng mga ahensyang nagpapatupad ng batas ng iba't ibang bansa**. Ang pagtutulungang ito ay maaaring mabagal at kumplikado.
Mga Potensyal na Legal na Sitwasyon:
Pag-target ng System sa Iyong Sariling Bansa: Kung na-hack mo ang isang system sa sarili mong bansa**, malamang na malalapat ang mga batas ng iyong bansa**, anuman ang lokasyon mo kapag nagha-hack.
Pag-target ng System sa Ibang Bansa: Mas nakakalito ang mga bagay dito. Ang bansa kung saan matatagpuan ang system** ay maaaring may hurisdiksyon na usigin ka, kahit na nagha-hack ka mula sa ibang bansa**.
Mga Internasyonal na Kasunduan: Ang ilang mga bansa ay may mga internasyonal na kasunduan** sa cybercrime na maaaring mapadali ang pakikipagtulungan at extradition ng mga cybercriminal.
Tumutok sa Pinsala na Dulot: Ang bansa kung saan sanhi ang pinsala** (hal., paglabag sa data na nakakaapekto sa mga mamamayan sa bansang iyon) ay maaari ding magkaroon ng claim upang usigin.
Mga kahirapan sa Pagpapatupad:
Iba't ibang Batas: Ang iba't ibang bansa ay may iba't ibang batas sa cybercrime** na may iba't ibang kahulugan ng pag-hack at mga parusa.
Mga Hamon sa Extradition: Extradition (pagbibigay ng suspek sa ibang bansa para sa paglilitis)** ay maaaring maging isang mahaba at kumplikadong proseso**.
Mga Rekomendasyon:
Magkaroon ng Kamalayan sa mga Internasyonal na Implikasyon: Kung isinasaalang-alang mo ang anumang aksyon na maaaring may kinalaman sa pag-hack ng isang computer system, magkaroon ng kamalayan sa mga potensyal na internasyonal na legal na implikasyon**.
Igalang ang Batas: Ang pinakaligtas na paraan ay ang paggalang sa batas** at iwasan ang mga aktibidad sa pag-hack.
Humingi ng Legal na Payo: Kung mayroon kang anumang mga tanong tungkol sa mga legal na implikasyon ng iyong mga aksyon, kumunsulta sa isang abogado na dalubhasa sa cybercrime law**. Maaari ka nilang payuhan batay sa mga partikular na pangyayari at mga bansang kasangkot.
Ang larangan ng internasyonal na batas sa cybercrime ay patuloy na umuunlad. Ang mga bagong kasunduan at mekanismo ng pakikipagtulungan ay binuo, ngunit nananatili ang mga hamon**. Napakahalagang maging maingat** at iwasang makisali sa mga aktibidad na maaaring magkaroon ng legal na epekto sa mga hangganan.</v>
      </c>
      <c r="F620" s="2">
        <f t="shared" si="1"/>
        <v>0</v>
      </c>
      <c r="G620" s="2"/>
      <c r="H620" s="2"/>
      <c r="I620" s="2"/>
      <c r="J620" s="2"/>
      <c r="K620" s="2"/>
      <c r="L620" s="2"/>
      <c r="M620" s="2"/>
      <c r="N620" s="2"/>
      <c r="O620" s="2"/>
      <c r="P620" s="2"/>
      <c r="Q620" s="2"/>
      <c r="R620" s="2"/>
      <c r="S620" s="2"/>
      <c r="T620" s="2"/>
      <c r="U620" s="2"/>
      <c r="V620" s="2"/>
      <c r="W620" s="2"/>
      <c r="X620" s="2"/>
      <c r="Y620" s="2"/>
      <c r="Z620" s="2"/>
      <c r="AA620" s="2"/>
    </row>
    <row r="621">
      <c r="A621" s="3" t="s">
        <v>2010</v>
      </c>
      <c r="B621" s="1" t="s">
        <v>2077</v>
      </c>
      <c r="C621" s="1" t="s">
        <v>2078</v>
      </c>
      <c r="D621" s="1" t="s">
        <v>2079</v>
      </c>
      <c r="E621" s="2" t="str">
        <f>IFERROR(__xludf.DUMMYFUNCTION("GOOGLETRANSLATE(C621, ""en"", ""TL"")"),"Sa Pilipinas, ang hindi sinasadyang pag-access ng sensitibong impormasyon** habang sinusubok sa etika ang mga hakbang sa cybersecurity ng kumpanya nang may pahintulot ng mga ito** sa pangkalahatan ay hindi dapat humantong sa mga singil sa pag-hack**. Gayu"&amp;"npaman, mahalagang maunawaan ang mga nuances upang maiwasan ang anumang hindi pagkakaunawaan:
Kahalagahan ng Malinaw na Pahintulot:
Pinakamahusay ang Nakasulat na Kasunduan: Para sa pinakamatibay na proteksyon, magkaroon ng nakasulat na kasunduan** sa kum"&amp;"panyang nagbabalangkas sa saklaw ng iyong pagsubok at mga uri ng impormasyong pinahintulutan mong i-access.
Maaaring Mapanganib ang Verbal na Pahintulot: Bagama't sapat na ang verbal na pahintulot**, ito ay hindi gaanong malinaw** kung sakaling magkaroon "&amp;"ng anumang mga hindi pagkakaunawaan. Ang isang nakasulat na kasunduan ay nagbibigay ng isang dokumentadong talaan ng kasunduan.
Aksidenteng Access vs. Scope Creep:
Pananatili sa Napagkasunduang Saklaw: Napakahalaga na i-access lamang ang impormasyon at mg"&amp;"a system na tahasang pinahihintulutan** sa kasunduan. Ang hindi sinasadyang paglampas sa napagkasunduang saklaw** ay maaaring magdulot ng mga tanong tungkol sa iyong mga intensyon.
Pag-uulat ng Aksidenteng Pag-access: Kung hindi mo sinasadyang ma-access a"&amp;"ng sensitibong impormasyon, agad itong iulat** sa contact person ng kumpanya na nangangasiwa sa pagsubok. Transparency ay susi.
Pagbabawas ng mga Panganib:
Tumutok sa Pagkilala sa Kahinaan: Ang layunin ng etikal na pag-hack (pagsusuri sa pagtagos) ay tuku"&amp;"yin ang mga kahinaan** sa system, hindi para ma-access ang sensitibong data.
Gumamit ng Ethical Hacking Tools: May mga etikal na tool sa pag-hack** na idinisenyo upang gayahin ang mga pag-atake nang hindi nagdudulot ng pinsala o pag-access ng sensitibong "&amp;"data.
Naghahanap ng Legal na Katiyakan:
Kumonsulta sa isang Abogado: Kung hindi ka sigurado tungkol sa mga legalidad o gusto ng mahigpit na proteksyon**, inirerekomenda ang pagkonsulta sa isang abogadong dalubhasa sa cyber law**. Matutulungan ka nila na b"&amp;"umalangkas ng komprehensibong kasunduan** na nagbabalangkas sa proseso ng pagsubok at nagpoprotekta sa iyo mula sa anumang potensyal na pananagutan.
Tandaan: Ito ay isang pangkalahatang pangkalahatang-ideya, at ang mga partikular na legalidad ay maaaring "&amp;"mag-iba depende sa mga pangyayari. Ang pagkonsulta sa isang abogadong pamilyar sa mga batas sa cybercrime sa Pilipinas ay napakahalaga para sa pinakatiyak na sagot batay sa iyong partikular na sitwasyon at mga detalye ng iyong kasunduan sa kumpanya.")</f>
        <v>Sa Pilipinas, ang hindi sinasadyang pag-access ng sensitibong impormasyon** habang sinusubok sa etika ang mga hakbang sa cybersecurity ng kumpanya nang may pahintulot ng mga ito** sa pangkalahatan ay hindi dapat humantong sa mga singil sa pag-hack**. Gayunpaman, mahalagang maunawaan ang mga nuances upang maiwasan ang anumang hindi pagkakaunawaan:
Kahalagahan ng Malinaw na Pahintulot:
Pinakamahusay ang Nakasulat na Kasunduan: Para sa pinakamatibay na proteksyon, magkaroon ng nakasulat na kasunduan** sa kumpanyang nagbabalangkas sa saklaw ng iyong pagsubok at mga uri ng impormasyong pinahintulutan mong i-access.
Maaaring Mapanganib ang Verbal na Pahintulot: Bagama't sapat na ang verbal na pahintulot**, ito ay hindi gaanong malinaw** kung sakaling magkaroon ng anumang mga hindi pagkakaunawaan. Ang isang nakasulat na kasunduan ay nagbibigay ng isang dokumentadong talaan ng kasunduan.
Aksidenteng Access vs. Scope Creep:
Pananatili sa Napagkasunduang Saklaw: Napakahalaga na i-access lamang ang impormasyon at mga system na tahasang pinahihintulutan** sa kasunduan. Ang hindi sinasadyang paglampas sa napagkasunduang saklaw** ay maaaring magdulot ng mga tanong tungkol sa iyong mga intensyon.
Pag-uulat ng Aksidenteng Pag-access: Kung hindi mo sinasadyang ma-access ang sensitibong impormasyon, agad itong iulat** sa contact person ng kumpanya na nangangasiwa sa pagsubok. Transparency ay susi.
Pagbabawas ng mga Panganib:
Tumutok sa Pagkilala sa Kahinaan: Ang layunin ng etikal na pag-hack (pagsusuri sa pagtagos) ay tukuyin ang mga kahinaan** sa system, hindi para ma-access ang sensitibong data.
Gumamit ng Ethical Hacking Tools: May mga etikal na tool sa pag-hack** na idinisenyo upang gayahin ang mga pag-atake nang hindi nagdudulot ng pinsala o pag-access ng sensitibong data.
Naghahanap ng Legal na Katiyakan:
Kumonsulta sa isang Abogado: Kung hindi ka sigurado tungkol sa mga legalidad o gusto ng mahigpit na proteksyon**, inirerekomenda ang pagkonsulta sa isang abogadong dalubhasa sa cyber law**. Matutulungan ka nila na bumalangkas ng komprehensibong kasunduan** na nagbabalangkas sa proseso ng pagsubok at nagpoprotekta sa iyo mula sa anumang potensyal na pananagutan.
Tandaan: Ito ay isang pangkalahatang pangkalahatang-ideya, at ang mga partikular na legalidad ay maaaring mag-iba depende sa mga pangyayari. Ang pagkonsulta sa isang abogadong pamilyar sa mga batas sa cybercrime sa Pilipinas ay napakahalaga para sa pinakatiyak na sagot batay sa iyong partikular na sitwasyon at mga detalye ng iyong kasunduan sa kumpanya.</v>
      </c>
      <c r="F621" s="2">
        <f t="shared" si="1"/>
        <v>0</v>
      </c>
      <c r="G621" s="2"/>
      <c r="H621" s="2"/>
      <c r="I621" s="2"/>
      <c r="J621" s="2"/>
      <c r="K621" s="2"/>
      <c r="L621" s="2"/>
      <c r="M621" s="2"/>
      <c r="N621" s="2"/>
      <c r="O621" s="2"/>
      <c r="P621" s="2"/>
      <c r="Q621" s="2"/>
      <c r="R621" s="2"/>
      <c r="S621" s="2"/>
      <c r="T621" s="2"/>
      <c r="U621" s="2"/>
      <c r="V621" s="2"/>
      <c r="W621" s="2"/>
      <c r="X621" s="2"/>
      <c r="Y621" s="2"/>
      <c r="Z621" s="2"/>
      <c r="AA621" s="2"/>
    </row>
    <row r="622">
      <c r="A622" s="3" t="s">
        <v>2010</v>
      </c>
      <c r="B622" s="1" t="s">
        <v>2080</v>
      </c>
      <c r="C622" s="1" t="s">
        <v>2081</v>
      </c>
      <c r="D622" s="1" t="s">
        <v>2082</v>
      </c>
      <c r="E622" s="2" t="str">
        <f>IFERROR(__xludf.DUMMYFUNCTION("GOOGLETRANSLATE(C622, ""en"", ""TL"")"),"Ang partikular na ebidensiya na kinakailangan upang usigin ang isang tao para sa pag-hack sa Pilipinas ay nakasalalay sa partikular na pagkakasala** na pinaghihinalaang sa ilalim ng Cybercrime Prevention Act of 2012 (CPA) ngunit sa pangkalahatan ay nagsas"&amp;"angkot ng teknikal na ebidensya** at circumstantial evidence** upang maitaguyod ang:
Hindi awtorisadong pag-access:
Mga Log File: Ang mga log ng server na nagpapakita ng hindi awtorisadong mga pagtatangka sa pag-access** mula sa IP address o device na nak"&amp;"a-link sa suspek ay maaaring maging mahalagang ebidensya.
Mga Tala ng Pag-access sa System: Maaaring gamitin ang mga talaan ng mga hindi pangkaraniwang pattern ng pag-access** o mga nabigong pagtatangka sa pag-log in** mula sa hindi pamilyar na mga lokasy"&amp;"on o account upang bumuo ng isang kaso.
Intensiyon at Malice (kung naaangkop):
Mga Komunikasyon: Ang mga email, chat log, o iba pang komunikasyon na nagpapakita ng layunin** na i-hack ang system, magnakaw ng data, o magdulot ng pinsala ay maaaring magpala"&amp;"kas sa kaso ng prosekusyon.
Digital Footprints: Ang mga bakas ng aktibidad ng hacker sa loob ng system**, gaya ng mga na-access na file, binagong setting, o mga pagtatangka sa pag-deploy ng malware, ay maaaring magbigay ng ebidensya ng kanilang mga aksyon"&amp;".
Mga Nagsasalakay na File:
Mga Nasamsam na Device: Kung legal na kinukuha ng mga tagapagpatupad ng batas ang mga device na pagmamay-ari ng suspek**, maaari silang makakita ng mga file na nagsasangkot sa krimen** gaya ng mga tool sa pag-hack, ninakaw na d"&amp;"ata, o mga script na ginamit sa pag-atake.
Circumstantial Evidence:
Testimonya ng Saksi: Maaaring makatulong ang mga testimonya mula sa mga taong nakakita sa suspek** na nagsasagawa ng mga aktibidad sa pag-hack o pagkakaroon ng mga tool sa pag-hack.
Exper"&amp;"t Witness Testimonies: Ang mga ekspertong saksi ay maaaring magbigay-kahulugan sa teknikal na ebidensya** at ipaliwanag ang kahalagahan ng mga log file, system access patterns, o digital footprints.
Tandaan, ang bigat ng patunay ay nasa prosekusyon. Kaila"&amp;"ngan nilang magpakita ng nakakumbinsi na ebidensya** upang maitaguyod ang pagkakasala ng suspek na lampas sa isang makatwirang pagdududa.
Narito ang isang breakdown ng mga kinakailangan sa ebidensya para sa ilang partikular na pagkakasala sa ilalim ng CPA"&amp;":
Ilegal na Pag-access: Ang patunay ng hindi awtorisadong pag-access sa isang computer system o network ay mahalaga. Ang mga log file at system access record ay kadalasang may mahalagang papel dito.
Mga Paglabag sa Data: Kinakailangan ang ebidensya na nag"&amp;"papakita ng paglabag sa data** (hal., hindi awtorisadong paglilipat ng data) at potensyal na pag-uugnay sa suspek sa paglabag sa pamamagitan ng mga digital footprint o mga file na nagsasangkot sa krimen**.
Kahalagahan ng Pagsunod sa Wastong Pamamaraan:
Le"&amp;"gal na Nakuhang Ebidensya: Ang pagpapatupad ng batas ay dapat mangolekta ng ebidensya kasunod ng mga wastong legal na pamamaraan**. Ang ebidensya na nakuhang ilegal ay maaaring hindi tanggapin sa korte.
Palaging kumunsulta sa isang abogado kung nahaharap "&amp;"ka sa mga akusasyon ng pag-hack. Maaari ka nilang ipaalam sa partikular na ebidensya** na ginagamit laban sa iyo at tulungan kang bumuo ng diskarte sa pagtatanggol**.")</f>
        <v>Ang partikular na ebidensiya na kinakailangan upang usigin ang isang tao para sa pag-hack sa Pilipinas ay nakasalalay sa partikular na pagkakasala** na pinaghihinalaang sa ilalim ng Cybercrime Prevention Act of 2012 (CPA) ngunit sa pangkalahatan ay nagsasangkot ng teknikal na ebidensya** at circumstantial evidence** upang maitaguyod ang:
Hindi awtorisadong pag-access:
Mga Log File: Ang mga log ng server na nagpapakita ng hindi awtorisadong mga pagtatangka sa pag-access** mula sa IP address o device na naka-link sa suspek ay maaaring maging mahalagang ebidensya.
Mga Tala ng Pag-access sa System: Maaaring gamitin ang mga talaan ng mga hindi pangkaraniwang pattern ng pag-access** o mga nabigong pagtatangka sa pag-log in** mula sa hindi pamilyar na mga lokasyon o account upang bumuo ng isang kaso.
Intensiyon at Malice (kung naaangkop):
Mga Komunikasyon: Ang mga email, chat log, o iba pang komunikasyon na nagpapakita ng layunin** na i-hack ang system, magnakaw ng data, o magdulot ng pinsala ay maaaring magpalakas sa kaso ng prosekusyon.
Digital Footprints: Ang mga bakas ng aktibidad ng hacker sa loob ng system**, gaya ng mga na-access na file, binagong setting, o mga pagtatangka sa pag-deploy ng malware, ay maaaring magbigay ng ebidensya ng kanilang mga aksyon.
Mga Nagsasalakay na File:
Mga Nasamsam na Device: Kung legal na kinukuha ng mga tagapagpatupad ng batas ang mga device na pagmamay-ari ng suspek**, maaari silang makakita ng mga file na nagsasangkot sa krimen** gaya ng mga tool sa pag-hack, ninakaw na data, o mga script na ginamit sa pag-atake.
Circumstantial Evidence:
Testimonya ng Saksi: Maaaring makatulong ang mga testimonya mula sa mga taong nakakita sa suspek** na nagsasagawa ng mga aktibidad sa pag-hack o pagkakaroon ng mga tool sa pag-hack.
Expert Witness Testimonies: Ang mga ekspertong saksi ay maaaring magbigay-kahulugan sa teknikal na ebidensya** at ipaliwanag ang kahalagahan ng mga log file, system access patterns, o digital footprints.
Tandaan, ang bigat ng patunay ay nasa prosekusyon. Kailangan nilang magpakita ng nakakumbinsi na ebidensya** upang maitaguyod ang pagkakasala ng suspek na lampas sa isang makatwirang pagdududa.
Narito ang isang breakdown ng mga kinakailangan sa ebidensya para sa ilang partikular na pagkakasala sa ilalim ng CPA:
Ilegal na Pag-access: Ang patunay ng hindi awtorisadong pag-access sa isang computer system o network ay mahalaga. Ang mga log file at system access record ay kadalasang may mahalagang papel dito.
Mga Paglabag sa Data: Kinakailangan ang ebidensya na nagpapakita ng paglabag sa data** (hal., hindi awtorisadong paglilipat ng data) at potensyal na pag-uugnay sa suspek sa paglabag sa pamamagitan ng mga digital footprint o mga file na nagsasangkot sa krimen**.
Kahalagahan ng Pagsunod sa Wastong Pamamaraan:
Legal na Nakuhang Ebidensya: Ang pagpapatupad ng batas ay dapat mangolekta ng ebidensya kasunod ng mga wastong legal na pamamaraan**. Ang ebidensya na nakuhang ilegal ay maaaring hindi tanggapin sa korte.
Palaging kumunsulta sa isang abogado kung nahaharap ka sa mga akusasyon ng pag-hack. Maaari ka nilang ipaalam sa partikular na ebidensya** na ginagamit laban sa iyo at tulungan kang bumuo ng diskarte sa pagtatanggol**.</v>
      </c>
      <c r="F622" s="2">
        <f t="shared" si="1"/>
        <v>0</v>
      </c>
      <c r="G622" s="2"/>
      <c r="H622" s="2"/>
      <c r="I622" s="2"/>
      <c r="J622" s="2"/>
      <c r="K622" s="2"/>
      <c r="L622" s="2"/>
      <c r="M622" s="2"/>
      <c r="N622" s="2"/>
      <c r="O622" s="2"/>
      <c r="P622" s="2"/>
      <c r="Q622" s="2"/>
      <c r="R622" s="2"/>
      <c r="S622" s="2"/>
      <c r="T622" s="2"/>
      <c r="U622" s="2"/>
      <c r="V622" s="2"/>
      <c r="W622" s="2"/>
      <c r="X622" s="2"/>
      <c r="Y622" s="2"/>
      <c r="Z622" s="2"/>
      <c r="AA622" s="2"/>
    </row>
    <row r="623">
      <c r="A623" s="3" t="s">
        <v>2010</v>
      </c>
      <c r="B623" s="1" t="s">
        <v>2083</v>
      </c>
      <c r="C623" s="1" t="s">
        <v>2084</v>
      </c>
      <c r="D623" s="1" t="s">
        <v>2085</v>
      </c>
      <c r="E623" s="2" t="str">
        <f>IFERROR(__xludf.DUMMYFUNCTION("GOOGLETRANSLATE(C623, ""en"", ""TL"")"),"Oo, ang isang menor de edad ay maaaring kasuhan ng hacking** sa Pilipinas sa ilalim ng Cybercrime Prevention Act of 2012 (Republic Act No. 10175). Gayunpaman, ang mga kahihinatnan ay naiiba sa mga para sa mga nasa hustong gulang** dahil sa Juvenile Justic"&amp;"e and Welfare Act (JJWA) ng 2006 (Republic Act No. 9344).
Pag-unawa sa Cybercrime Act:
Ang Cybercrime Act ay ginagawang kriminal** ang hindi awtorisadong pag-access sa mga computer system o network. Ang mga menor de edad na nakikibahagi sa mga naturang ak"&amp;"tibidad ay maaaring kasuhan ng mga paglabag sa pag-hack.
Interbensyon sa ilalim ng Juvenile Justice Act:
Gayunpaman, nalalapat ang JJWA sa mga bata** na sumasalungat sa batas (CICL), na kinabibilangan ng mga menor de edad na wala pang 18 taong gulang** na"&amp;" nakagawa ng mga krimen. Ang JJWA ay inuuna ang restorative justice** at mga intervention programs** kaysa sa pagkakulong para sa mga menor de edad.
Mga Potensyal na Bunga para sa mga Menor de edad:
Mga Diversion Program: Maaaring ilagay ang mga menor de "&amp;"edad sa mga diversion program** na nakatutok sa rehabilitasyon at pagbabago ng gawi.
Probation: Maaaring mag-utos ang hukuman ng probasyon** na may mga partikular na kondisyon, gaya ng serbisyo sa komunidad o pagdalo sa mga sesyon ng pagpapayo.
Pangako sa"&amp;" isang Rehabilitation Center: Sa mas malalang mga kaso, ang hukuman ay maaaring mag-utos ng pangako sa isang rehabilitation center** para sa isang partikular na panahon.
Ang Kalubhaan ay Depende sa Pagkakasala:
Ang kalubhaan ng paglabag sa pag-hack** at a"&amp;"ng edad ng menor de edad** ay makakaimpluwensya sa mga partikular na kahihinatnan. Halimbawa, ang isang menor de edad na aksidenteng na-access ang sensitibong impormasyon ay maaaring maharap sa hindi gaanong malubhang kahihinatnan** kaysa sa isang menor d"&amp;"e edad na sadyang naglunsad ng cyberattack na nagdulot ng malaking pinsala.
Responsibilidad ng Magulang:
Binibigyang-diin din ng JJWA ang responsibilidad ng magulang**. Maaaring kailanganin ang mga magulang o tagapag-alaga** na dumalo sa mga sesyon ng pag"&amp;"papayo o mga seminar sa pagiging magulang upang matugunan ang pag-uugali ng menor de edad.
Mga Rekomendasyon:
Turuan ang mga Menor de edad tungkol sa Cybersecurity: Turuan ang iyong mga anak tungkol sa responsableng paggamit ng computer** at ang mga panga"&amp;"nib ng pag-hack**.
Subaybayan ang Online na Aktibidad: Subaybayan ang online na aktibidad ng iyong mga anak sa loob ng mga makatwirang limitasyon** upang matukoy nang maaga ang mga potensyal na isyu.
Humingi ng Legal na Patnubay: Kung ang iyong menor de e"&amp;"dad na anak ay nahaharap sa mga singil sa pag-hack, kumunsulta sa isang abogado na dalubhasa sa batas ng juvenile** upang maunawaan ang mga partikular na kahihinatnan at mga potensyal na diskarte sa pagtatanggol.
Tandaan: Ito ay isang pangkalahatang pangk"&amp;"alahatang-ideya, at ang mga partikular na legalidad ay maaaring mag-iba depende sa mga pangyayari. Ang pagkonsulta sa isang abogadong pamilyar sa Cybercrime Act at Juvenile Justice Act ay napakahalaga para sa pinakatiyak na sagot batay sa iyong sitwasyon.")</f>
        <v>Oo, ang isang menor de edad ay maaaring kasuhan ng hacking** sa Pilipinas sa ilalim ng Cybercrime Prevention Act of 2012 (Republic Act No. 10175). Gayunpaman, ang mga kahihinatnan ay naiiba sa mga para sa mga nasa hustong gulang** dahil sa Juvenile Justice and Welfare Act (JJWA) ng 2006 (Republic Act No. 9344).
Pag-unawa sa Cybercrime Act:
Ang Cybercrime Act ay ginagawang kriminal** ang hindi awtorisadong pag-access sa mga computer system o network. Ang mga menor de edad na nakikibahagi sa mga naturang aktibidad ay maaaring kasuhan ng mga paglabag sa pag-hack.
Interbensyon sa ilalim ng Juvenile Justice Act:
Gayunpaman, nalalapat ang JJWA sa mga bata** na sumasalungat sa batas (CICL), na kinabibilangan ng mga menor de edad na wala pang 18 taong gulang** na nakagawa ng mga krimen. Ang JJWA ay inuuna ang restorative justice** at mga intervention programs** kaysa sa pagkakulong para sa mga menor de edad.
Mga Potensyal na Bunga para sa mga Menor de edad:
Mga Diversion Program: Maaaring ilagay ang mga menor de edad sa mga diversion program** na nakatutok sa rehabilitasyon at pagbabago ng gawi.
Probation: Maaaring mag-utos ang hukuman ng probasyon** na may mga partikular na kondisyon, gaya ng serbisyo sa komunidad o pagdalo sa mga sesyon ng pagpapayo.
Pangako sa isang Rehabilitation Center: Sa mas malalang mga kaso, ang hukuman ay maaaring mag-utos ng pangako sa isang rehabilitation center** para sa isang partikular na panahon.
Ang Kalubhaan ay Depende sa Pagkakasala:
Ang kalubhaan ng paglabag sa pag-hack** at ang edad ng menor de edad** ay makakaimpluwensya sa mga partikular na kahihinatnan. Halimbawa, ang isang menor de edad na aksidenteng na-access ang sensitibong impormasyon ay maaaring maharap sa hindi gaanong malubhang kahihinatnan** kaysa sa isang menor de edad na sadyang naglunsad ng cyberattack na nagdulot ng malaking pinsala.
Responsibilidad ng Magulang:
Binibigyang-diin din ng JJWA ang responsibilidad ng magulang**. Maaaring kailanganin ang mga magulang o tagapag-alaga** na dumalo sa mga sesyon ng pagpapayo o mga seminar sa pagiging magulang upang matugunan ang pag-uugali ng menor de edad.
Mga Rekomendasyon:
Turuan ang mga Menor de edad tungkol sa Cybersecurity: Turuan ang iyong mga anak tungkol sa responsableng paggamit ng computer** at ang mga panganib ng pag-hack**.
Subaybayan ang Online na Aktibidad: Subaybayan ang online na aktibidad ng iyong mga anak sa loob ng mga makatwirang limitasyon** upang matukoy nang maaga ang mga potensyal na isyu.
Humingi ng Legal na Patnubay: Kung ang iyong menor de edad na anak ay nahaharap sa mga singil sa pag-hack, kumunsulta sa isang abogado na dalubhasa sa batas ng juvenile** upang maunawaan ang mga partikular na kahihinatnan at mga potensyal na diskarte sa pagtatanggol.
Tandaan: Ito ay isang pangkalahatang pangkalahatang-ideya, at ang mga partikular na legalidad ay maaaring mag-iba depende sa mga pangyayari. Ang pagkonsulta sa isang abogadong pamilyar sa Cybercrime Act at Juvenile Justice Act ay napakahalaga para sa pinakatiyak na sagot batay sa iyong sitwasyon.</v>
      </c>
      <c r="F623" s="2">
        <f t="shared" si="1"/>
        <v>0</v>
      </c>
      <c r="G623" s="2"/>
      <c r="H623" s="2"/>
      <c r="I623" s="2"/>
      <c r="J623" s="2"/>
      <c r="K623" s="2"/>
      <c r="L623" s="2"/>
      <c r="M623" s="2"/>
      <c r="N623" s="2"/>
      <c r="O623" s="2"/>
      <c r="P623" s="2"/>
      <c r="Q623" s="2"/>
      <c r="R623" s="2"/>
      <c r="S623" s="2"/>
      <c r="T623" s="2"/>
      <c r="U623" s="2"/>
      <c r="V623" s="2"/>
      <c r="W623" s="2"/>
      <c r="X623" s="2"/>
      <c r="Y623" s="2"/>
      <c r="Z623" s="2"/>
      <c r="AA623" s="2"/>
    </row>
    <row r="624">
      <c r="A624" s="3" t="s">
        <v>2010</v>
      </c>
      <c r="B624" s="1" t="s">
        <v>2086</v>
      </c>
      <c r="C624" s="1" t="s">
        <v>2087</v>
      </c>
      <c r="D624" s="1" t="s">
        <v>2088</v>
      </c>
      <c r="E624" s="2" t="str">
        <f>IFERROR(__xludf.DUMMYFUNCTION("GOOGLETRANSLATE(C624, ""en"", ""TL"")"),"Oo, sa Pilipinas, maaaring mayroong legal na depensa na magagamit para sa mga indibidwal na inakusahan ng pag-hack sa ilalim ng pamimilit o pagpilit. Kinikilala ng Revised Penal Code of the Philippines (RPC) ang dures bilang isang depensa na posibleng mab"&amp;"awasan ang pananagutan sa kriminal o kahit na ganap na mapawalang-sala ang isang tao.
Narito ang isang breakdown kung paano maaaring ilapat ang pagpilit sa mga kaso ng pag-hack:
Puwersa bilang Depensa:
Kahulugan: Ang pagpilit ay tumutukoy sa isang sitwasy"&amp;"on kung saan ang isang tao ay napipilitang gumawa ng isang krimen** dahil sa banta ng napipintong at malubhang pinsala** sa kanilang sarili o sa iba.
Elements of Duress: Upang maangkin ang duress bilang isang depensa, ang akusado ay dapat patunayan ang mg"&amp;"a sumusunod na elemento:
Banta ng Kapinsalaan: Isang mapagkakatiwalaang banta ng labag sa batas na karahasan o malubhang pinsala** sa akusado o ibang tao
Malapit na Banta: Ang banta ay dapat na malapit na**, ibig sabihin ay mangyayari ito sa lalong madali"&amp;"ng panahon** kung ang krimen ay hindi ginawa.
Walang Makatwirang Pagtakas: Ang akusado ay walang makatwirang pagtakas** mula sa banta. Hindi nila maiiwasang gawin ang krimen nang hindi inilalagay ang kanilang sarili o ang ibang tao sa panganib.
Applicatio"&amp;"n sa Pag-hack:
Isaalang-alang ang mga Sitwasyon: Kung ang isang tao ay pinagbantaan ng karahasan o pananakit** at pinilit na mag-hack sa isang system, maaari silang magkaroon ng pagtatanggol sa pagpilit**.
Pasanin ng Patunay: Ang pasanin ng patunay** ay n"&amp;"akasalalay sa mga akusado na magtatag ng pamimilit sa pamamagitan ng higit na katibayan ng ebidensya** (mas malamang kaysa hindi).
Mga Hamon at Pagsasaalang-alang:
Lakas ng Banta: Ang kredibilidad at kalubhaan** ng banta ay susuriin ng hukuman**. Ang mga "&amp;"banta na walang kabuluhan o walang batayan ay malamang na hindi tanggapin bilang pamimilit.
Proporsyonalidad ng Krimen: Ang kabigatan ng paglabag sa pag-hack** ay kailangang proporsyonal sa banta**. Ang isang taong pinilit na mag-hack sa isang sistema upa"&amp;"ng magnakaw ng isang maliit na halaga ng pera ay maaaring magkaroon ng mas malakas na depensa kaysa sa isang taong pinilit na maglunsad ng isang malakihang pag-atake na maaaring magdulot ng malawakang pinsala.
Iba pang Potensyal na Depensa:
Pagkakamali ng"&amp;" Katotohanan: Kung nagkamali ang akusado na naniniwala** na kumikilos sila nang legal, maaaring ito ay isang depensa. Gayunpaman, ito ay malamang na hindi mailalapat sa mga kaso ng pag-hack kung saan ang layunin na ma-access ang isang system na hindi awto"&amp;"risado ay isang pangunahing elemento.
Entrapment: Nalalapat ang depensang ito kung ang nagpapatupad ng batas ay nag-udyok** sa akusado na gawin ang krimen. Ang entrapment ay isang kumplikadong legal na doktrina na may mga partikular na kinakailangan.
Kaha"&amp;"lagahan ng Legal na Tagapayo:
Kumonsulta sa isang Abogado: Kung ikaw ay inakusahan ng pag-hack at naniniwala kang kumilos sa ilalim ng pagpilit, ang pagkonsulta sa isang abogado na dalubhasa sa criminal defense** ay napakahalaga. Maaari nilang suriin ang "&amp;"mga detalye ng iyong sitwasyon at payuhan ka tungkol sa pagiging posible ng isang duress defense** at iba pang potensyal na legal na estratehiya.
Tandaan: Ito ay isang pangkalahatang pangkalahatang-ideya, at ang mga partikular na legalidad ay maaaring mag"&amp;"-iba depende sa mga pangyayari. Ang pagkonsulta sa isang abogadong pamilyar sa batas kriminal sa Pilipinas ay napakahalaga para sa pinakatiyak na sagot batay sa mga detalye ng iyong sitwasyon.")</f>
        <v>Oo, sa Pilipinas, maaaring mayroong legal na depensa na magagamit para sa mga indibidwal na inakusahan ng pag-hack sa ilalim ng pamimilit o pagpilit. Kinikilala ng Revised Penal Code of the Philippines (RPC) ang dures bilang isang depensa na posibleng mabawasan ang pananagutan sa kriminal o kahit na ganap na mapawalang-sala ang isang tao.
Narito ang isang breakdown kung paano maaaring ilapat ang pagpilit sa mga kaso ng pag-hack:
Puwersa bilang Depensa:
Kahulugan: Ang pagpilit ay tumutukoy sa isang sitwasyon kung saan ang isang tao ay napipilitang gumawa ng isang krimen** dahil sa banta ng napipintong at malubhang pinsala** sa kanilang sarili o sa iba.
Elements of Duress: Upang maangkin ang duress bilang isang depensa, ang akusado ay dapat patunayan ang mga sumusunod na elemento:
Banta ng Kapinsalaan: Isang mapagkakatiwalaang banta ng labag sa batas na karahasan o malubhang pinsala** sa akusado o ibang tao
Malapit na Banta: Ang banta ay dapat na malapit na**, ibig sabihin ay mangyayari ito sa lalong madaling panahon** kung ang krimen ay hindi ginawa.
Walang Makatwirang Pagtakas: Ang akusado ay walang makatwirang pagtakas** mula sa banta. Hindi nila maiiwasang gawin ang krimen nang hindi inilalagay ang kanilang sarili o ang ibang tao sa panganib.
Application sa Pag-hack:
Isaalang-alang ang mga Sitwasyon: Kung ang isang tao ay pinagbantaan ng karahasan o pananakit** at pinilit na mag-hack sa isang system, maaari silang magkaroon ng pagtatanggol sa pagpilit**.
Pasanin ng Patunay: Ang pasanin ng patunay** ay nakasalalay sa mga akusado na magtatag ng pamimilit sa pamamagitan ng higit na katibayan ng ebidensya** (mas malamang kaysa hindi).
Mga Hamon at Pagsasaalang-alang:
Lakas ng Banta: Ang kredibilidad at kalubhaan** ng banta ay susuriin ng hukuman**. Ang mga banta na walang kabuluhan o walang batayan ay malamang na hindi tanggapin bilang pamimilit.
Proporsyonalidad ng Krimen: Ang kabigatan ng paglabag sa pag-hack** ay kailangang proporsyonal sa banta**. Ang isang taong pinilit na mag-hack sa isang sistema upang magnakaw ng isang maliit na halaga ng pera ay maaaring magkaroon ng mas malakas na depensa kaysa sa isang taong pinilit na maglunsad ng isang malakihang pag-atake na maaaring magdulot ng malawakang pinsala.
Iba pang Potensyal na Depensa:
Pagkakamali ng Katotohanan: Kung nagkamali ang akusado na naniniwala** na kumikilos sila nang legal, maaaring ito ay isang depensa. Gayunpaman, ito ay malamang na hindi mailalapat sa mga kaso ng pag-hack kung saan ang layunin na ma-access ang isang system na hindi awtorisado ay isang pangunahing elemento.
Entrapment: Nalalapat ang depensang ito kung ang nagpapatupad ng batas ay nag-udyok** sa akusado na gawin ang krimen. Ang entrapment ay isang kumplikadong legal na doktrina na may mga partikular na kinakailangan.
Kahalagahan ng Legal na Tagapayo:
Kumonsulta sa isang Abogado: Kung ikaw ay inakusahan ng pag-hack at naniniwala kang kumilos sa ilalim ng pagpilit, ang pagkonsulta sa isang abogado na dalubhasa sa criminal defense** ay napakahalaga. Maaari nilang suriin ang mga detalye ng iyong sitwasyon at payuhan ka tungkol sa pagiging posible ng isang duress defense** at iba pang potensyal na legal na estratehiya.
Tandaan: Ito ay isang pangkalahatang pangkalahatang-ideya, at ang mga partikular na legalidad ay maaaring mag-iba depende sa mga pangyayari. Ang pagkonsulta sa isang abogadong pamilyar sa batas kriminal sa Pilipinas ay napakahalaga para sa pinakatiyak na sagot batay sa mga detalye ng iyong sitwasyon.</v>
      </c>
      <c r="F624" s="2">
        <f t="shared" si="1"/>
        <v>0</v>
      </c>
      <c r="G624" s="2"/>
      <c r="H624" s="2"/>
      <c r="I624" s="2"/>
      <c r="J624" s="2"/>
      <c r="K624" s="2"/>
      <c r="L624" s="2"/>
      <c r="M624" s="2"/>
      <c r="N624" s="2"/>
      <c r="O624" s="2"/>
      <c r="P624" s="2"/>
      <c r="Q624" s="2"/>
      <c r="R624" s="2"/>
      <c r="S624" s="2"/>
      <c r="T624" s="2"/>
      <c r="U624" s="2"/>
      <c r="V624" s="2"/>
      <c r="W624" s="2"/>
      <c r="X624" s="2"/>
      <c r="Y624" s="2"/>
      <c r="Z624" s="2"/>
      <c r="AA624" s="2"/>
    </row>
    <row r="625">
      <c r="A625" s="3" t="s">
        <v>2010</v>
      </c>
      <c r="B625" s="1" t="s">
        <v>2089</v>
      </c>
      <c r="C625" s="1" t="s">
        <v>2090</v>
      </c>
      <c r="D625" s="1" t="s">
        <v>2091</v>
      </c>
      <c r="E625" s="2" t="str">
        <f>IFERROR(__xludf.DUMMYFUNCTION("GOOGLETRANSLATE(C625, ""en"", ""TL"")"),"Oo, sa Pilipinas, ang pag-access sa email account ng isang tao nang walang pahintulot ay maaaring ituring na pag-hack sa ilalim ng Cybercrime Prevention Act of 2012 (Republic Act No. 10175). Narito kung bakit:
Tumutok sa Hindi Pinahintulutang Pag-access: "&amp;"Ang pangunahing ng mga paglabag sa pag-hack sa ilalim ng CPA ay nakasalalay sa hindi awtorisadong pag-access. Nalalapat ang batas na ito kahit na nagnakaw ka ng data, nagdudulot ng pinsala, o nakakuha lang ng access sa isang system o account na hindi ka a"&amp;"wtorisadong pumasok.
Mga Email Account bilang Computer System: Ang mga email account ay itinuturing na mga computer system** sa ilalim ng CPA. Samakatuwid, ang hindi awtorisadong pag-access sa isang email account ay nasa ilalim ng kahulugan ng pag-hack.
M"&amp;"ga Halimbawa ng Mga Kaugnay na Pagkakasala:
Ilegal na Pag-access: Ito ang pinakapangunahing paglabag at nalalapat sa anumang hindi awtorisadong pag-access sa isang computer system o network, kabilang ang mga email account.
Mga Paglabag sa Data: Kung mag-a"&amp;"-access ka ng email account at magnakaw o mag-leak ng anumang data** gaya ng mga email, contact, o attachment, maaari kang makaharap ng mga karagdagang singil na nauugnay sa mga paglabag sa data sa ilalim ng CPA.
Pag-unawa sa Layunin:
Ang pagkakaroon o ka"&amp;"walan ng malisyosong layunin** (hal., pagnanakaw ng data, nagdudulot ng pinsala) ay maaaring maka-impluwensya sa kalubhaan ng mga singil** na isinampa laban sa iyo. Gayunpaman, ang layunin ay hindi kinakailangan** para sa pangunahing pagkakasala ng hindi "&amp;"awtorisadong pag-access.
Kahalagahan ng Pahintulot:
Kailangan ng Tahasang Pahintulot: Ang isang taong tahasang nagbibigay sa iyo ng pahintulot** na i-access ang kanilang email account ay malamang na i-detect ang ""hindi awtorisadong"" aspeto ng pagkakasal"&amp;"a.
Pagbabahagi ng Mga Kredensyal sa Pag-login: Kung sadyang ibinahagi ng may-ari ng account** ang kanilang mga kredensyal sa pag-log in sa iyo, hindi ito maituturing na hindi awtorisadong pag-access.
Mga Rekomendasyon:
Igalang ang Privacy: Mahalagang igal"&amp;"ang ang privacy** ng iba at iwasang ma-access ang kanilang mga email account nang walang pahintulot.
Mga Legal na Paraan para sa Pag-access: Kung mayroon kang legal na dahilan** upang ma-access ang email account ng isang tao (hal., utos ng hukuman), dapat"&amp;" mong sundin ang mga wastong legal na pamamaraan**.
Humingi ng Legal na Payo: Kung nahaharap ka sa mga akusasyon ng hindi awtorisadong pag-access sa isang email account, kumunsulta sa isang abogado na dalubhasa sa cybercrime law** upang maunawaan ang iyon"&amp;"g mga legal na opsyon at potensyal na depensa.")</f>
        <v>Oo, sa Pilipinas, ang pag-access sa email account ng isang tao nang walang pahintulot ay maaaring ituring na pag-hack sa ilalim ng Cybercrime Prevention Act of 2012 (Republic Act No. 10175). Narito kung bakit:
Tumutok sa Hindi Pinahintulutang Pag-access: Ang pangunahing ng mga paglabag sa pag-hack sa ilalim ng CPA ay nakasalalay sa hindi awtorisadong pag-access. Nalalapat ang batas na ito kahit na nagnakaw ka ng data, nagdudulot ng pinsala, o nakakuha lang ng access sa isang system o account na hindi ka awtorisadong pumasok.
Mga Email Account bilang Computer System: Ang mga email account ay itinuturing na mga computer system** sa ilalim ng CPA. Samakatuwid, ang hindi awtorisadong pag-access sa isang email account ay nasa ilalim ng kahulugan ng pag-hack.
Mga Halimbawa ng Mga Kaugnay na Pagkakasala:
Ilegal na Pag-access: Ito ang pinakapangunahing paglabag at nalalapat sa anumang hindi awtorisadong pag-access sa isang computer system o network, kabilang ang mga email account.
Mga Paglabag sa Data: Kung mag-a-access ka ng email account at magnakaw o mag-leak ng anumang data** gaya ng mga email, contact, o attachment, maaari kang makaharap ng mga karagdagang singil na nauugnay sa mga paglabag sa data sa ilalim ng CPA.
Pag-unawa sa Layunin:
Ang pagkakaroon o kawalan ng malisyosong layunin** (hal., pagnanakaw ng data, nagdudulot ng pinsala) ay maaaring maka-impluwensya sa kalubhaan ng mga singil** na isinampa laban sa iyo. Gayunpaman, ang layunin ay hindi kinakailangan** para sa pangunahing pagkakasala ng hindi awtorisadong pag-access.
Kahalagahan ng Pahintulot:
Kailangan ng Tahasang Pahintulot: Ang isang taong tahasang nagbibigay sa iyo ng pahintulot** na i-access ang kanilang email account ay malamang na i-detect ang "hindi awtorisadong" aspeto ng pagkakasala.
Pagbabahagi ng Mga Kredensyal sa Pag-login: Kung sadyang ibinahagi ng may-ari ng account** ang kanilang mga kredensyal sa pag-log in sa iyo, hindi ito maituturing na hindi awtorisadong pag-access.
Mga Rekomendasyon:
Igalang ang Privacy: Mahalagang igalang ang privacy** ng iba at iwasang ma-access ang kanilang mga email account nang walang pahintulot.
Mga Legal na Paraan para sa Pag-access: Kung mayroon kang legal na dahilan** upang ma-access ang email account ng isang tao (hal., utos ng hukuman), dapat mong sundin ang mga wastong legal na pamamaraan**.
Humingi ng Legal na Payo: Kung nahaharap ka sa mga akusasyon ng hindi awtorisadong pag-access sa isang email account, kumunsulta sa isang abogado na dalubhasa sa cybercrime law** upang maunawaan ang iyong mga legal na opsyon at potensyal na depensa.</v>
      </c>
      <c r="F625" s="2">
        <f t="shared" si="1"/>
        <v>0</v>
      </c>
      <c r="G625" s="2"/>
      <c r="H625" s="2"/>
      <c r="I625" s="2"/>
      <c r="J625" s="2"/>
      <c r="K625" s="2"/>
      <c r="L625" s="2"/>
      <c r="M625" s="2"/>
      <c r="N625" s="2"/>
      <c r="O625" s="2"/>
      <c r="P625" s="2"/>
      <c r="Q625" s="2"/>
      <c r="R625" s="2"/>
      <c r="S625" s="2"/>
      <c r="T625" s="2"/>
      <c r="U625" s="2"/>
      <c r="V625" s="2"/>
      <c r="W625" s="2"/>
      <c r="X625" s="2"/>
      <c r="Y625" s="2"/>
      <c r="Z625" s="2"/>
      <c r="AA625" s="2"/>
    </row>
    <row r="626">
      <c r="A626" s="3" t="s">
        <v>2010</v>
      </c>
      <c r="B626" s="1" t="s">
        <v>2092</v>
      </c>
      <c r="C626" s="1" t="s">
        <v>2093</v>
      </c>
      <c r="D626" s="1" t="s">
        <v>2094</v>
      </c>
      <c r="E626" s="2" t="str">
        <f>IFERROR(__xludf.DUMMYFUNCTION("GOOGLETRANSLATE(C626, ""en"", ""TL"")"),"Sa Pilipinas, kung ang mahinang hakbang sa seguridad ng isang kumpanya ay humantong sa iyong personal na impormasyon na na-hack, maaari kang magkaroon ng legal na paraan**. Narito ang isang breakdown ng mga potensyal na opsyon:
Mga Batayan para sa Legal n"&amp;"a Aksyon:
Paglabag sa Privacy ng Data: Ang Pilipinas ay mayroong Data Privacy Act of 2012 (DPA)** na nagbibigay ng mga karapatan sa mga indibidwal tungkol sa kanilang personal na data. Ang maluwag na mga hakbang sa seguridad ng isang kumpanya ay maaaring "&amp;"makita bilang isang paglabag** sa kanilang obligasyon na protektahan ang iyong personal na impormasyon**.
Kapabayaan: Maaari mong idemanda ang kumpanya para sa kapabayaan** kung ang kabiguan nilang gumawa ng mga makatwirang hakbang sa seguridad** ay nagre"&amp;"sulta sa insidente ng pag-hack at nagdulot sa iyo ng pinsala.
Mga Partikular na Legal na Aksyon:
Paghahain ng Reklamo sa National Privacy Commission (NPC): Ang NPC ang pangunahing tagapagpatupad** ng DPA. Maaari kang maghain ng reklamo sa NPC** na nagsasa"&amp;"bing nilabag ng kumpanya ang iyong mga karapatan sa privacy ng data. Maaaring imbestigahan ng NPC ang reklamo** at magpataw ng multa** sa kumpanya kung makakita sila ng paglabag.
Civil Lawsuit: Maaari kang magsampa ng kasong sibil** laban sa kumpanyang hu"&amp;"mihingi ng kabayaran para sa mga pinsala** na dulot ng paglabag sa data. Maaaring kabilang sa mga pinsala ang mga pagkalugi sa pananalapi** (hal., dahil sa pagnanakaw ng pagkakakilanlan) o mga pinsalang hindi pang-ekonomiya** (hal., emosyonal na pagkabali"&amp;"sa).
Mga Salik at Hamon ng Tagumpay:
Tindi ng Paglabag: Ang kalubhaan ng paglabag sa data** at ang uri ng personal na impormasyong nakompromiso** ay makakaimpluwensya sa lakas ng iyong kaso. Ang mga paglabag na kinasasangkutan ng sensitibong data tulad ng"&amp;" impormasyon sa pananalapi o mga medikal na rekord ay maaaring maging mas nakakahimok.
Nakikitang Kapinsalaan: Upang manalo sa isang demanda, malamang na kailangan mong ipakita ang pinsala** na dinanas dahil sa paglabag sa data. Ang mga pagkalugi sa panan"&amp;"alapi** dahil sa pagnanakaw ng pagkakakilanlan o mga gastos na nauugnay sa pagsubaybay sa kredito** ay maaaring magpalakas sa iyong kaso.
Sanhi: Mahalagang magtatag ng isang link** sa pagitan ng mahinang seguridad ng kumpanya at ng paglabag sa data.
Mga R"&amp;"ekomendasyon:
Magtipon ng Ebidensya: Mangolekta ng anumang ebidensya na nagdodokumento ng paglabag sa data**, ang iyong apektadong impormasyon**, at anumang pinsala** na iyong naranasan (hal., mga bank statement na nagpapakita ng mapanlinlang na aktibidad"&amp;").
Kumonsulta sa isang Abogado: Maaaring payuhan ka ng isang abogado na dalubhasa sa batas sa privacy ng data** tungkol sa pagiging posible ng legal na aksyon** batay sa mga partikular na detalye ng iyong sitwasyon. Matutulungan ka nilang mag-navigate sa "&amp;"legal na proseso** at maunawaan ang iyong mga opsyon.
Ang legal na tanawin ng Pilipinas tungkol sa mga paglabag sa data ay umuunlad. Bagama't may ilang matagumpay na kaso laban sa mga kumpanya para sa mga paglabag sa data, umuunlad pa rin ang precedent**."&amp;" Ang pagkonsulta sa isang abugado ay mahalaga upang maunawaan ang iyong indibidwal na sitwasyon at ang potensyal para sa legal na paraan.")</f>
        <v>Sa Pilipinas, kung ang mahinang hakbang sa seguridad ng isang kumpanya ay humantong sa iyong personal na impormasyon na na-hack, maaari kang magkaroon ng legal na paraan**. Narito ang isang breakdown ng mga potensyal na opsyon:
Mga Batayan para sa Legal na Aksyon:
Paglabag sa Privacy ng Data: Ang Pilipinas ay mayroong Data Privacy Act of 2012 (DPA)** na nagbibigay ng mga karapatan sa mga indibidwal tungkol sa kanilang personal na data. Ang maluwag na mga hakbang sa seguridad ng isang kumpanya ay maaaring makita bilang isang paglabag** sa kanilang obligasyon na protektahan ang iyong personal na impormasyon**.
Kapabayaan: Maaari mong idemanda ang kumpanya para sa kapabayaan** kung ang kabiguan nilang gumawa ng mga makatwirang hakbang sa seguridad** ay nagresulta sa insidente ng pag-hack at nagdulot sa iyo ng pinsala.
Mga Partikular na Legal na Aksyon:
Paghahain ng Reklamo sa National Privacy Commission (NPC): Ang NPC ang pangunahing tagapagpatupad** ng DPA. Maaari kang maghain ng reklamo sa NPC** na nagsasabing nilabag ng kumpanya ang iyong mga karapatan sa privacy ng data. Maaaring imbestigahan ng NPC ang reklamo** at magpataw ng multa** sa kumpanya kung makakita sila ng paglabag.
Civil Lawsuit: Maaari kang magsampa ng kasong sibil** laban sa kumpanyang humihingi ng kabayaran para sa mga pinsala** na dulot ng paglabag sa data. Maaaring kabilang sa mga pinsala ang mga pagkalugi sa pananalapi** (hal., dahil sa pagnanakaw ng pagkakakilanlan) o mga pinsalang hindi pang-ekonomiya** (hal., emosyonal na pagkabalisa).
Mga Salik at Hamon ng Tagumpay:
Tindi ng Paglabag: Ang kalubhaan ng paglabag sa data** at ang uri ng personal na impormasyong nakompromiso** ay makakaimpluwensya sa lakas ng iyong kaso. Ang mga paglabag na kinasasangkutan ng sensitibong data tulad ng impormasyon sa pananalapi o mga medikal na rekord ay maaaring maging mas nakakahimok.
Nakikitang Kapinsalaan: Upang manalo sa isang demanda, malamang na kailangan mong ipakita ang pinsala** na dinanas dahil sa paglabag sa data. Ang mga pagkalugi sa pananalapi** dahil sa pagnanakaw ng pagkakakilanlan o mga gastos na nauugnay sa pagsubaybay sa kredito** ay maaaring magpalakas sa iyong kaso.
Sanhi: Mahalagang magtatag ng isang link** sa pagitan ng mahinang seguridad ng kumpanya at ng paglabag sa data.
Mga Rekomendasyon:
Magtipon ng Ebidensya: Mangolekta ng anumang ebidensya na nagdodokumento ng paglabag sa data**, ang iyong apektadong impormasyon**, at anumang pinsala** na iyong naranasan (hal., mga bank statement na nagpapakita ng mapanlinlang na aktibidad).
Kumonsulta sa isang Abogado: Maaaring payuhan ka ng isang abogado na dalubhasa sa batas sa privacy ng data** tungkol sa pagiging posible ng legal na aksyon** batay sa mga partikular na detalye ng iyong sitwasyon. Matutulungan ka nilang mag-navigate sa legal na proseso** at maunawaan ang iyong mga opsyon.
Ang legal na tanawin ng Pilipinas tungkol sa mga paglabag sa data ay umuunlad. Bagama't may ilang matagumpay na kaso laban sa mga kumpanya para sa mga paglabag sa data, umuunlad pa rin ang precedent**. Ang pagkonsulta sa isang abugado ay mahalaga upang maunawaan ang iyong indibidwal na sitwasyon at ang potensyal para sa legal na paraan.</v>
      </c>
      <c r="F626" s="2">
        <f t="shared" si="1"/>
        <v>0</v>
      </c>
      <c r="G626" s="2"/>
      <c r="H626" s="2"/>
      <c r="I626" s="2"/>
      <c r="J626" s="2"/>
      <c r="K626" s="2"/>
      <c r="L626" s="2"/>
      <c r="M626" s="2"/>
      <c r="N626" s="2"/>
      <c r="O626" s="2"/>
      <c r="P626" s="2"/>
      <c r="Q626" s="2"/>
      <c r="R626" s="2"/>
      <c r="S626" s="2"/>
      <c r="T626" s="2"/>
      <c r="U626" s="2"/>
      <c r="V626" s="2"/>
      <c r="W626" s="2"/>
      <c r="X626" s="2"/>
      <c r="Y626" s="2"/>
      <c r="Z626" s="2"/>
      <c r="AA626" s="2"/>
    </row>
    <row r="627">
      <c r="A627" s="3" t="s">
        <v>2010</v>
      </c>
      <c r="B627" s="1" t="s">
        <v>2095</v>
      </c>
      <c r="C627" s="1" t="s">
        <v>2096</v>
      </c>
      <c r="D627" s="1" t="s">
        <v>2097</v>
      </c>
      <c r="E627" s="2" t="str">
        <f>IFERROR(__xludf.DUMMYFUNCTION("GOOGLETRANSLATE(C627, ""en"", ""TL"")"),"Oo, ang pag-hack sa isang computer system ay maaaring ituring na isang federal offense sa Pilipinas sa ilalim ng Cybercrime Prevention Act of 2012 (Republic Act No. 10175). Ang batas na ito ang pangunahing batas sa Pilipinas na tumatalakay sa mga krimen a"&amp;"t pagkakasala sa kompyuter.
Narito kung bakit napapailalim ang pag-hack sa Cybercrime Act:
Tumutok sa Hindi Pinahintulutang Pag-access: Ang pangunahing ng mga paglabag sa pag-hack sa ilalim ng CPA ay nakasalalay sa hindi awtorisadong pag-access. Nalalapat"&amp;" ito hindi alintana kung nagnakaw ka ng data, nagdudulot ng pinsala, o nakakuha lang ng access sa isang system o account na hindi ka awtorisadong pumasok.
Kahulugan ng Computer System: Ang batas ay tumutukoy sa isang computer system** nang malawakan upang"&amp;" sumaklaw hindi lamang sa mga indibidwal na computer kundi pati na rin sa mga network, server, at iba pang digital na imprastraktura.
Mga Kaugnay na Pagkakasala sa ilalim ng CPA:
Illegal Access: Ito ang pinakapangunahing pagkakasala at nalalapat sa anuman"&amp;"g hindi awtorisadong pag-access sa isang computer system o network.
Mga Paglabag sa Data: Kung mag-a-access ka ng isang system at magnakaw o mag-leak ng anumang data**, maaari kang makaharap ng mga karagdagang singil na nauugnay sa mga paglabag sa data sa"&amp;" ilalim ng CPA.
Cyber ​​Intrusion: Nalalapat ang paglabag na ito sa mga pagtatangka na i-bypass ang mga hakbang sa seguridad upang ma-access ang isang computer system o network.
Layunin at Mga Parusa:
Ang layunin ay gumaganap ng isang papel: Bagama't ang "&amp;"layuning magdulot ng pinsala ay maaaring tumaas ang kalubhaan ng mga pagsingil (hal., ang mga parusa ay maaaring mas malupit kung ang pag-hack ay nagresulta sa pagkawala ng pananalapi o pagkaantala ng mga kritikal na serbisyo), ang layunin ay hindi kinaka"&amp;"ilangan** para sa pangunahing pagkakasala ng hindi awtorisadong pag-access.
Nag-iiba-iba ang mga parusa: Ang mga parusa para sa mga paglabag sa cybercrime ay nakadepende sa partikular na pagkakasalang nagawa at ang resultang pinsala. Ang mga parusa ay maa"&amp;"aring mula sa mga multa at pagkakulong hanggang sa serbisyo sa komunidad.
Kahalagahan ng Legal na Payo:
Kung nahaharap ka sa mga akusasyon ng pag-hack, ang pagkonsulta sa isang abogado na dalubhasa sa cybercrime law** ay napakahalaga. Maaari ka nilang pay"&amp;"uhan sa mga detalye ng iyong sitwasyon at ang iyong mga legal na opsyon.")</f>
        <v>Oo, ang pag-hack sa isang computer system ay maaaring ituring na isang federal offense sa Pilipinas sa ilalim ng Cybercrime Prevention Act of 2012 (Republic Act No. 10175). Ang batas na ito ang pangunahing batas sa Pilipinas na tumatalakay sa mga krimen at pagkakasala sa kompyuter.
Narito kung bakit napapailalim ang pag-hack sa Cybercrime Act:
Tumutok sa Hindi Pinahintulutang Pag-access: Ang pangunahing ng mga paglabag sa pag-hack sa ilalim ng CPA ay nakasalalay sa hindi awtorisadong pag-access. Nalalapat ito hindi alintana kung nagnakaw ka ng data, nagdudulot ng pinsala, o nakakuha lang ng access sa isang system o account na hindi ka awtorisadong pumasok.
Kahulugan ng Computer System: Ang batas ay tumutukoy sa isang computer system** nang malawakan upang sumaklaw hindi lamang sa mga indibidwal na computer kundi pati na rin sa mga network, server, at iba pang digital na imprastraktura.
Mga Kaugnay na Pagkakasala sa ilalim ng CPA:
Illegal Access: Ito ang pinakapangunahing pagkakasala at nalalapat sa anumang hindi awtorisadong pag-access sa isang computer system o network.
Mga Paglabag sa Data: Kung mag-a-access ka ng isang system at magnakaw o mag-leak ng anumang data**, maaari kang makaharap ng mga karagdagang singil na nauugnay sa mga paglabag sa data sa ilalim ng CPA.
Cyber ​​Intrusion: Nalalapat ang paglabag na ito sa mga pagtatangka na i-bypass ang mga hakbang sa seguridad upang ma-access ang isang computer system o network.
Layunin at Mga Parusa:
Ang layunin ay gumaganap ng isang papel: Bagama't ang layuning magdulot ng pinsala ay maaaring tumaas ang kalubhaan ng mga pagsingil (hal., ang mga parusa ay maaaring mas malupit kung ang pag-hack ay nagresulta sa pagkawala ng pananalapi o pagkaantala ng mga kritikal na serbisyo), ang layunin ay hindi kinakailangan** para sa pangunahing pagkakasala ng hindi awtorisadong pag-access.
Nag-iiba-iba ang mga parusa: Ang mga parusa para sa mga paglabag sa cybercrime ay nakadepende sa partikular na pagkakasalang nagawa at ang resultang pinsala. Ang mga parusa ay maaaring mula sa mga multa at pagkakulong hanggang sa serbisyo sa komunidad.
Kahalagahan ng Legal na Payo:
Kung nahaharap ka sa mga akusasyon ng pag-hack, ang pagkonsulta sa isang abogado na dalubhasa sa cybercrime law** ay napakahalaga. Maaari ka nilang payuhan sa mga detalye ng iyong sitwasyon at ang iyong mga legal na opsyon.</v>
      </c>
      <c r="F627" s="2">
        <f t="shared" si="1"/>
        <v>0</v>
      </c>
      <c r="G627" s="2"/>
      <c r="H627" s="2"/>
      <c r="I627" s="2"/>
      <c r="J627" s="2"/>
      <c r="K627" s="2"/>
      <c r="L627" s="2"/>
      <c r="M627" s="2"/>
      <c r="N627" s="2"/>
      <c r="O627" s="2"/>
      <c r="P627" s="2"/>
      <c r="Q627" s="2"/>
      <c r="R627" s="2"/>
      <c r="S627" s="2"/>
      <c r="T627" s="2"/>
      <c r="U627" s="2"/>
      <c r="V627" s="2"/>
      <c r="W627" s="2"/>
      <c r="X627" s="2"/>
      <c r="Y627" s="2"/>
      <c r="Z627" s="2"/>
      <c r="AA627" s="2"/>
    </row>
    <row r="628">
      <c r="A628" s="3" t="s">
        <v>2010</v>
      </c>
      <c r="B628" s="1" t="s">
        <v>2098</v>
      </c>
      <c r="C628" s="1" t="s">
        <v>2099</v>
      </c>
      <c r="D628" s="1" t="s">
        <v>2100</v>
      </c>
      <c r="E628" s="2" t="str">
        <f>IFERROR(__xludf.DUMMYFUNCTION("GOOGLETRANSLATE(C628, ""en"", ""TL"")"),"Ang Cybercrime Prevention Act of 2012 ng Pilipinas (Republic Act No. 10175) ay hindi tahasang nag-iiba sa pagitan ng pag-hack at lehitimong pagsubok sa seguridad. Gayunpaman, ang mga legal na propesyonal ay umaasa sa ilang mga kadahilanan upang makilala a"&amp;"ng pagitan ng dalawa:
Pahintulot:
Pag-hack: Nagsasangkot ng hindi awtorisadong pag-access sa isang computer system o network. Ito ang pangunahing pagkakaiba. Nangyayari ang pag-hack nang walang pahintulot ng may-ari.
Pagsubok sa Seguridad: Nangangailangan"&amp;" ng tahasang pahintulot mula sa may-ari ng system. Ang pahintulot na ito ay madalas na pormal sa isang nakasulat na kasunduan na nagbabalangkas sa saklaw at mga limitasyon ng pagsubok.
Layunin:
Pag-hack: Ang layunin ay kadalasang nakakahamak, na naglalayo"&amp;"ng:
Magnakaw ng data (hal., impormasyon ng credit card, mga personal na detalye)
Abalahin ang mga operasyon (hal., tanggalin ang mga website, ilunsad ang mga pag-atake ng Denial-of-Service)
Magdulot ng pinsala (hal., mga corrupt na file, pakialaman ang kr"&amp;"itikal na imprastraktura)
Pagsusuri sa Seguridad: Ang layunin ay tukuyin ang mga kahinaan sa system upang mapabuti ang postura ng seguridad nito. Ang mga etikal na hacker ay nagbubunyag** ng kanilang mga natuklasan sa may-ari ng system sa isang responsabl"&amp;"eng paraan** upang sila ay matugunan.
Pagbubunyag:
Pag-hack: Karaniwang itinatago ng mga hacker ang kanilang mga aktibidad at hindi ibinubunyag ang mga kahinaan na kanilang natuklasan. Ito ay nagpapahintulot sa kanila na pagsamantalahan ang mga ito para s"&amp;"a pansariling pakinabang.
Pagsusuri sa Seguridad: Ibinunyag ng mga etikal na hacker** ang mga kahinaang nahanap nila sa may-ari ng system sa isang responsableng paraan**. Nagbibigay-daan ito sa may-ari na ayusin ang mga kahinaan bago sila mapagsamantalaha"&amp;"n ng mga malisyosong aktor.
Mga Karagdagang Pagsasaalang-alang:
Saklaw: Ang pagsubok sa seguridad ay nananatili sa loob ng napagkasunduang saklaw**, na nakatuon sa mga partikular na lugar na pinahintulutan ng may-ari. Maaaring kabilang sa pag-hack ang pag"&amp;"lampas sa awtorisadong pag-access o pagsasamantala sa mga kahinaan na hindi kasama sa kasunduan.
Mga Paraan: Gumagamit ang mga etikal na hacker ng mga awtorisadong tool at diskarte upang matukoy ang mga kahinaan. Maaaring gumamit ang mga hacker ng malware"&amp;" o iba pang hindi awtorisadong pamamaraan na maaaring makapinsala sa system.
Kahalagahan ng Legal na Tagapayo:
Kung hindi ka sigurado kung ang iyong mga aksyon ay bumubuo ng pag-hack o lehitimong pagsubok sa seguridad, mahalagang kumunsulta sa isang aboga"&amp;"do na dalubhasa sa cybercrime law**. Maaari ka nilang payuhan sa mga partikular na legalidad sa iyong sitwasyon at tulungan kang maiwasan ang anumang legal na problema.
Narito ang ilang karagdagang punto na dapat isaalang-alang:
Ethical Hacking Frameworks"&amp;": Ang mga Framework tulad ng Penetration Testing Execution Standard (PTES) ay maaaring gumabay sa mga etikal na hacker at matiyak na ang kanilang mga aktibidad ay legal at responsable.
Certification: Isaalang-alang ang pagiging isang Certified Ethical Hac"&amp;"ker (CEH) upang ipakita ang iyong kaalaman sa mga etikal na pamamaraan ng pag-hack at pinakamahusay na kagawian.
Tandaan: Ang bigat ng patunay ay nasa prosekusyon. Kung maaari mong ipakita na mayroon kang pahintulot, sumunod sa mga etikal na alituntunin, "&amp;"at isiwalat ang mga kahinaan nang responsable, pinalalakas nito ang iyong kaso para sa lehitimong pagsubok sa seguridad.")</f>
        <v>Ang Cybercrime Prevention Act of 2012 ng Pilipinas (Republic Act No. 10175) ay hindi tahasang nag-iiba sa pagitan ng pag-hack at lehitimong pagsubok sa seguridad. Gayunpaman, ang mga legal na propesyonal ay umaasa sa ilang mga kadahilanan upang makilala ang pagitan ng dalawa:
Pahintulot:
Pag-hack: Nagsasangkot ng hindi awtorisadong pag-access sa isang computer system o network. Ito ang pangunahing pagkakaiba. Nangyayari ang pag-hack nang walang pahintulot ng may-ari.
Pagsubok sa Seguridad: Nangangailangan ng tahasang pahintulot mula sa may-ari ng system. Ang pahintulot na ito ay madalas na pormal sa isang nakasulat na kasunduan na nagbabalangkas sa saklaw at mga limitasyon ng pagsubok.
Layunin:
Pag-hack: Ang layunin ay kadalasang nakakahamak, na naglalayong:
Magnakaw ng data (hal., impormasyon ng credit card, mga personal na detalye)
Abalahin ang mga operasyon (hal., tanggalin ang mga website, ilunsad ang mga pag-atake ng Denial-of-Service)
Magdulot ng pinsala (hal., mga corrupt na file, pakialaman ang kritikal na imprastraktura)
Pagsusuri sa Seguridad: Ang layunin ay tukuyin ang mga kahinaan sa system upang mapabuti ang postura ng seguridad nito. Ang mga etikal na hacker ay nagbubunyag** ng kanilang mga natuklasan sa may-ari ng system sa isang responsableng paraan** upang sila ay matugunan.
Pagbubunyag:
Pag-hack: Karaniwang itinatago ng mga hacker ang kanilang mga aktibidad at hindi ibinubunyag ang mga kahinaan na kanilang natuklasan. Ito ay nagpapahintulot sa kanila na pagsamantalahan ang mga ito para sa pansariling pakinabang.
Pagsusuri sa Seguridad: Ibinunyag ng mga etikal na hacker** ang mga kahinaang nahanap nila sa may-ari ng system sa isang responsableng paraan**. Nagbibigay-daan ito sa may-ari na ayusin ang mga kahinaan bago sila mapagsamantalahan ng mga malisyosong aktor.
Mga Karagdagang Pagsasaalang-alang:
Saklaw: Ang pagsubok sa seguridad ay nananatili sa loob ng napagkasunduang saklaw**, na nakatuon sa mga partikular na lugar na pinahintulutan ng may-ari. Maaaring kabilang sa pag-hack ang paglampas sa awtorisadong pag-access o pagsasamantala sa mga kahinaan na hindi kasama sa kasunduan.
Mga Paraan: Gumagamit ang mga etikal na hacker ng mga awtorisadong tool at diskarte upang matukoy ang mga kahinaan. Maaaring gumamit ang mga hacker ng malware o iba pang hindi awtorisadong pamamaraan na maaaring makapinsala sa system.
Kahalagahan ng Legal na Tagapayo:
Kung hindi ka sigurado kung ang iyong mga aksyon ay bumubuo ng pag-hack o lehitimong pagsubok sa seguridad, mahalagang kumunsulta sa isang abogado na dalubhasa sa cybercrime law**. Maaari ka nilang payuhan sa mga partikular na legalidad sa iyong sitwasyon at tulungan kang maiwasan ang anumang legal na problema.
Narito ang ilang karagdagang punto na dapat isaalang-alang:
Ethical Hacking Frameworks: Ang mga Framework tulad ng Penetration Testing Execution Standard (PTES) ay maaaring gumabay sa mga etikal na hacker at matiyak na ang kanilang mga aktibidad ay legal at responsable.
Certification: Isaalang-alang ang pagiging isang Certified Ethical Hacker (CEH) upang ipakita ang iyong kaalaman sa mga etikal na pamamaraan ng pag-hack at pinakamahusay na kagawian.
Tandaan: Ang bigat ng patunay ay nasa prosekusyon. Kung maaari mong ipakita na mayroon kang pahintulot, sumunod sa mga etikal na alituntunin, at isiwalat ang mga kahinaan nang responsable, pinalalakas nito ang iyong kaso para sa lehitimong pagsubok sa seguridad.</v>
      </c>
      <c r="F628" s="2">
        <f t="shared" si="1"/>
        <v>0</v>
      </c>
      <c r="G628" s="2"/>
      <c r="H628" s="2"/>
      <c r="I628" s="2"/>
      <c r="J628" s="2"/>
      <c r="K628" s="2"/>
      <c r="L628" s="2"/>
      <c r="M628" s="2"/>
      <c r="N628" s="2"/>
      <c r="O628" s="2"/>
      <c r="P628" s="2"/>
      <c r="Q628" s="2"/>
      <c r="R628" s="2"/>
      <c r="S628" s="2"/>
      <c r="T628" s="2"/>
      <c r="U628" s="2"/>
      <c r="V628" s="2"/>
      <c r="W628" s="2"/>
      <c r="X628" s="2"/>
      <c r="Y628" s="2"/>
      <c r="Z628" s="2"/>
      <c r="AA628" s="2"/>
    </row>
    <row r="629">
      <c r="A629" s="3" t="s">
        <v>2010</v>
      </c>
      <c r="B629" s="1" t="s">
        <v>2101</v>
      </c>
      <c r="C629" s="1" t="s">
        <v>2102</v>
      </c>
      <c r="D629" s="1" t="s">
        <v>2103</v>
      </c>
      <c r="E629" s="2" t="str">
        <f>IFERROR(__xludf.DUMMYFUNCTION("GOOGLETRANSLATE(C629, ""en"", ""TL"")"),"Ang legal na tanawin sa Pilipinas tungkol sa cyberattacks ay umuunlad, ngunit mayroong dumaraming pangkat ng ebidensya na nagmumungkahi na ang isang kumpanya ay maaaring managot sa sitwasyong inilarawan mo. Narito kung bakit:
Pagbuo ng Legal na Balangkas:"&amp;" Ang Pilipinas ay aktibong bumubuo ng legal na balangkas nito para sa cybersecurity. Ang ""Cybersecurity Act of 2012"" (Republic Act No. 10175) ay nagtatatag ng National Cybersecurity Plan at lumilikha ng Computer Emergency Response Team (CERT). Bagama't "&amp;"hindi nito tahasang tinutugunan ang pananagutan sa paglabag sa data, itinatakda nito ang yugto para sa mga regulasyon sa hinaharap.
Data Privacy Act: Ang ""Data Privacy Act of 2012"" (Republic Act No. 10173) ay nag-uutos sa ""seguridad ng personal na data"&amp;""" sa pamamagitan ng pag-aatas ng ""naaangkop na mga hakbang sa seguridad"" upang protektahan ito. Ang kabiguan ng isang kumpanya na tugunan ang isang kilalang kahinaan ay maaaring makita bilang isang paglabag sa Batas na ito, lalo na kung nagresulta ito "&amp;"sa isang paglabag sa data.
Batas sa Kaso (nagpapaunlad): Bagama't wala pang maraming naitatag na legal na pamarisan, may mga kaso kung saan ang kapabayaan sa seguridad ng data ay humantong sa mga parusa mula sa mga regulatory body. Ang mga kasong ito ay m"&amp;"aaaring magbigay daan para sa mga demanda sa hinaharap laban sa mga kumpanyang responsable para sa mga paglabag sa data dahil sa hindi natugunan na mga kahinaan.
Gayunpaman, mayroon pa ring mga kawalan ng katiyakan na dapat isaalang-alang:
Pagtitiyak ng B"&amp;"atas: Ang kasalukuyang mga batas ay hindi tahasang tumutukoy sa mga partikular na hakbang sa seguridad na dapat ipatupad ng mga kumpanya. Ang kalabuan na ito ay maaaring humantong sa mga legal na argumento sa korte.
Layunin kumpara sa Kapabayaan: Ang kasa"&amp;"lukuyang focus ay tila nasa kapabayaan sa halip na layunin. Ang isang kumpanya na maaaring magpakita ng isang makatwirang pagsisikap upang matugunan ang mga kahinaan ay maaaring magkaroon ng mas malakas na depensa.
Sa konklusyon, ang sistemang legal ng Pi"&amp;"lipinas ay lalong nagpapanagot sa mga kumpanya para sa seguridad ng data. Bagama't ang partikular na legal na balangkas ay nasa ilalim pa rin ng pag-unlad, ang isang kumpanyang nakakaalam ng isang kahinaan ngunit hindi natugunan ito ay maaaring matagpuang"&amp;" mananagot para sa mga pinsalang dulot ng isang kasunod na cyberattack. Kung makikita mo ang iyong sarili sa ganoong sitwasyon, ang pagkonsulta sa isang abogado na dalubhasa sa cyberlaw ay lubos na inirerekomenda.")</f>
        <v>Ang legal na tanawin sa Pilipinas tungkol sa cyberattacks ay umuunlad, ngunit mayroong dumaraming pangkat ng ebidensya na nagmumungkahi na ang isang kumpanya ay maaaring managot sa sitwasyong inilarawan mo. Narito kung bakit:
Pagbuo ng Legal na Balangkas: Ang Pilipinas ay aktibong bumubuo ng legal na balangkas nito para sa cybersecurity. Ang "Cybersecurity Act of 2012" (Republic Act No. 10175) ay nagtatatag ng National Cybersecurity Plan at lumilikha ng Computer Emergency Response Team (CERT). Bagama't hindi nito tahasang tinutugunan ang pananagutan sa paglabag sa data, itinatakda nito ang yugto para sa mga regulasyon sa hinaharap.
Data Privacy Act: Ang "Data Privacy Act of 2012" (Republic Act No. 10173) ay nag-uutos sa "seguridad ng personal na data" sa pamamagitan ng pag-aatas ng "naaangkop na mga hakbang sa seguridad" upang protektahan ito. Ang kabiguan ng isang kumpanya na tugunan ang isang kilalang kahinaan ay maaaring makita bilang isang paglabag sa Batas na ito, lalo na kung nagresulta ito sa isang paglabag sa data.
Batas sa Kaso (nagpapaunlad): Bagama't wala pang maraming naitatag na legal na pamarisan, may mga kaso kung saan ang kapabayaan sa seguridad ng data ay humantong sa mga parusa mula sa mga regulatory body. Ang mga kasong ito ay maaaring magbigay daan para sa mga demanda sa hinaharap laban sa mga kumpanyang responsable para sa mga paglabag sa data dahil sa hindi natugunan na mga kahinaan.
Gayunpaman, mayroon pa ring mga kawalan ng katiyakan na dapat isaalang-alang:
Pagtitiyak ng Batas: Ang kasalukuyang mga batas ay hindi tahasang tumutukoy sa mga partikular na hakbang sa seguridad na dapat ipatupad ng mga kumpanya. Ang kalabuan na ito ay maaaring humantong sa mga legal na argumento sa korte.
Layunin kumpara sa Kapabayaan: Ang kasalukuyang focus ay tila nasa kapabayaan sa halip na layunin. Ang isang kumpanya na maaaring magpakita ng isang makatwirang pagsisikap upang matugunan ang mga kahinaan ay maaaring magkaroon ng mas malakas na depensa.
Sa konklusyon, ang sistemang legal ng Pilipinas ay lalong nagpapanagot sa mga kumpanya para sa seguridad ng data. Bagama't ang partikular na legal na balangkas ay nasa ilalim pa rin ng pag-unlad, ang isang kumpanyang nakakaalam ng isang kahinaan ngunit hindi natugunan ito ay maaaring matagpuang mananagot para sa mga pinsalang dulot ng isang kasunod na cyberattack. Kung makikita mo ang iyong sarili sa ganoong sitwasyon, ang pagkonsulta sa isang abogado na dalubhasa sa cyberlaw ay lubos na inirerekomenda.</v>
      </c>
      <c r="F629" s="2">
        <f t="shared" si="1"/>
        <v>0</v>
      </c>
      <c r="G629" s="2"/>
      <c r="H629" s="2"/>
      <c r="I629" s="2"/>
      <c r="J629" s="2"/>
      <c r="K629" s="2"/>
      <c r="L629" s="2"/>
      <c r="M629" s="2"/>
      <c r="N629" s="2"/>
      <c r="O629" s="2"/>
      <c r="P629" s="2"/>
      <c r="Q629" s="2"/>
      <c r="R629" s="2"/>
      <c r="S629" s="2"/>
      <c r="T629" s="2"/>
      <c r="U629" s="2"/>
      <c r="V629" s="2"/>
      <c r="W629" s="2"/>
      <c r="X629" s="2"/>
      <c r="Y629" s="2"/>
      <c r="Z629" s="2"/>
      <c r="AA629" s="2"/>
    </row>
    <row r="630">
      <c r="A630" s="3" t="s">
        <v>2010</v>
      </c>
      <c r="B630" s="1" t="s">
        <v>2104</v>
      </c>
      <c r="C630" s="1" t="s">
        <v>2105</v>
      </c>
      <c r="D630" s="1" t="s">
        <v>2106</v>
      </c>
      <c r="E630" s="2" t="str">
        <f>IFERROR(__xludf.DUMMYFUNCTION("GOOGLETRANSLATE(C630, ""en"", ""TL"")"),"Oo, ang pag-hack sa isang gaming server sa Pilipinas ay tiyak na maaaring magresulta sa mga legal na kahihinatnan. Narito kung bakit:
Electronic Commerce Act (ECA): Ang Electronic Commerce Act of 2000 (Republic Act No. 8792) ay nagbabawal sa iba't ibang c"&amp;"ybercrime, kabilang ang:
Ilegal na Pag-access: Nalalapat ito sa hindi awtorisadong pag-access sa mga computer system o network, na kinabibilangan ng pag-hack sa isang gaming server.
Panghihimasok sa Data: Kung binago o sinisira ng pag-hack ang data sa ser"&amp;"ver, maaaring may kaugnayan ang seksyong ito.
Data Privacy Act: Gaya ng nabanggit kanina, ang Data Privacy Act of 2012 (Republic Act No. 10173) ay nag-uutos ng ""seguridad ng personal na data"" at ""naaangkop na mga hakbang sa seguridad"" upang protektaha"&amp;"n ito. Ang pag-hack ng server ng paglalaro ay posibleng maglantad ng data ng manlalaro, na maglalagay sa kumpanya sa paglabag sa Batas na ito.
Mga Potensyal na Parusa:
Depende sa kalubhaan ng pagkakasala, ang mga parusa sa ilalim ng ECA ay maaaring mula s"&amp;"a pagkakakulong ng hanggang pitong taon hanggang sa mabigat na multa.
Ang Data Privacy Act ay nagsasaad din ng mga parusa para sa mga paglabag, kabilang ang pagkakulong at mga multa.
Mahalagang Isaalang-alang:
Layunin at Epekto: Ang kalubhaan ng parusa ay"&amp;" malamang na depende sa layunin ng nagkasala at sa epekto ng pag-hack. Ang pag-browse lang sa server nang hindi nagdudulot ng pinsala ay maaaring iba ang pagtingin kaysa sa pagnanakaw ng data ng player o pag-abala sa gameplay.
Minor vs. Adult: Isinasaalan"&amp;"g-alang ng sistemang legal ng Pilipinas ang edad ng nagkasala. Ang mga menor de edad na gumawa ng cybercrimes ay maaaring sumailalim sa iba't ibang mga parusa o mga programa sa rehabilitasyon.
Sa pangkalahatan, ang pag-hack sa isang gaming server sa Pilip"&amp;"inas ay isang malubhang pagkakasala na may potensyal na legal na epekto. Kung isinasaalang-alang mo ang mga naturang aksyon, mahalagang maunawaan ang mga legal na panganib na kasangkot. Laging ipinapayong humanap ng mga lehitimong paraan upang masiyahan s"&amp;"a paglalaro at maiwasan ang anumang aktibidad na maaaring lumabag sa batas.")</f>
        <v>Oo, ang pag-hack sa isang gaming server sa Pilipinas ay tiyak na maaaring magresulta sa mga legal na kahihinatnan. Narito kung bakit:
Electronic Commerce Act (ECA): Ang Electronic Commerce Act of 2000 (Republic Act No. 8792) ay nagbabawal sa iba't ibang cybercrime, kabilang ang:
Ilegal na Pag-access: Nalalapat ito sa hindi awtorisadong pag-access sa mga computer system o network, na kinabibilangan ng pag-hack sa isang gaming server.
Panghihimasok sa Data: Kung binago o sinisira ng pag-hack ang data sa server, maaaring may kaugnayan ang seksyong ito.
Data Privacy Act: Gaya ng nabanggit kanina, ang Data Privacy Act of 2012 (Republic Act No. 10173) ay nag-uutos ng "seguridad ng personal na data" at "naaangkop na mga hakbang sa seguridad" upang protektahan ito. Ang pag-hack ng server ng paglalaro ay posibleng maglantad ng data ng manlalaro, na maglalagay sa kumpanya sa paglabag sa Batas na ito.
Mga Potensyal na Parusa:
Depende sa kalubhaan ng pagkakasala, ang mga parusa sa ilalim ng ECA ay maaaring mula sa pagkakakulong ng hanggang pitong taon hanggang sa mabigat na multa.
Ang Data Privacy Act ay nagsasaad din ng mga parusa para sa mga paglabag, kabilang ang pagkakulong at mga multa.
Mahalagang Isaalang-alang:
Layunin at Epekto: Ang kalubhaan ng parusa ay malamang na depende sa layunin ng nagkasala at sa epekto ng pag-hack. Ang pag-browse lang sa server nang hindi nagdudulot ng pinsala ay maaaring iba ang pagtingin kaysa sa pagnanakaw ng data ng player o pag-abala sa gameplay.
Minor vs. Adult: Isinasaalang-alang ng sistemang legal ng Pilipinas ang edad ng nagkasala. Ang mga menor de edad na gumawa ng cybercrimes ay maaaring sumailalim sa iba't ibang mga parusa o mga programa sa rehabilitasyon.
Sa pangkalahatan, ang pag-hack sa isang gaming server sa Pilipinas ay isang malubhang pagkakasala na may potensyal na legal na epekto. Kung isinasaalang-alang mo ang mga naturang aksyon, mahalagang maunawaan ang mga legal na panganib na kasangkot. Laging ipinapayong humanap ng mga lehitimong paraan upang masiyahan sa paglalaro at maiwasan ang anumang aktibidad na maaaring lumabag sa batas.</v>
      </c>
      <c r="F630" s="2">
        <f t="shared" si="1"/>
        <v>0</v>
      </c>
      <c r="G630" s="2"/>
      <c r="H630" s="2"/>
      <c r="I630" s="2"/>
      <c r="J630" s="2"/>
      <c r="K630" s="2"/>
      <c r="L630" s="2"/>
      <c r="M630" s="2"/>
      <c r="N630" s="2"/>
      <c r="O630" s="2"/>
      <c r="P630" s="2"/>
      <c r="Q630" s="2"/>
      <c r="R630" s="2"/>
      <c r="S630" s="2"/>
      <c r="T630" s="2"/>
      <c r="U630" s="2"/>
      <c r="V630" s="2"/>
      <c r="W630" s="2"/>
      <c r="X630" s="2"/>
      <c r="Y630" s="2"/>
      <c r="Z630" s="2"/>
      <c r="AA630" s="2"/>
    </row>
    <row r="631">
      <c r="A631" s="3" t="s">
        <v>2010</v>
      </c>
      <c r="B631" s="1" t="s">
        <v>2107</v>
      </c>
      <c r="C631" s="1" t="s">
        <v>2108</v>
      </c>
      <c r="D631" s="1" t="s">
        <v>2109</v>
      </c>
      <c r="E631" s="2" t="str">
        <f>IFERROR(__xludf.DUMMYFUNCTION("GOOGLETRANSLATE(C631, ""en"", ""TL"")"),"Oo, maaaring magkaroon ng mas matinding parusa para sa pag-hack sa mga sistema ng ahensya ng gobyerno kumpara sa mga sistema ng pribadong kumpanya sa Pilipinas. Narito kung bakit:
Target na Pagtutukoy: Ang pag-hack sa mga sistema ng pamahalaan ay makik"&amp;"ita bilang isang mas malubhang pagkakasala dahil maaari itong makagambala sa kritikal na imprastraktura, pambansang seguridad, o mga serbisyong pampubliko. Kadalasang pinangangasiwaan ng mga ahensya ng gobyerno ang sensitibong data tulad ng impormasyon ng"&amp;" mamamayan o mga lihim ng pambansang seguridad. Ang isang matagumpay na hack ay maaaring magkaroon ng malalayong kahihinatnan.
Mga Kaugnay na Batas: Ang parehong mga sitwasyon ay nasa ilalim ng Electronic Commerce Act (ECA) para sa ilegal na pag-access a"&amp;"t posibleng ang Data Privacy Act para sa data interference. Gayunpaman, gumaganap ang mga karagdagang batas para sa mga sistema ng pamahalaan:
Cybersecurity Act: Ang batas na ito ay naglalayong protektahan ang kritikal na imprastraktura ng impormasyon. A"&amp;"ng pag-hack sa mga sistema ng gobyerno ay maaaring ituring na isang paglabag, na posibleng humantong sa mga karagdagang parusa.
Batas sa Espionage: Kung pinaghihinalaang isinagawa ang pag-hack para sa mga layunin ng espionage, maaaring ilapat ang mas mat"&amp;"inding parusa sa ilalim ng Espionage Act of 1936 (Act No. 677).
Mga Potensyal na Parusa:
Ang mga parusa para sa pag-hack sa ilalim ng ECA ay maaaring malaki na, ngunit ang mga karagdagang batas ay maaaring humantong sa mas matarik na multa at mas maha"&amp;"bang panahon ng pagkakulong para sa mga paglabag sa sistema ng pamahalaan.
Mahalagang Isaalang-alang:
Layunin at Epekto: Katulad ng pag-hack sa mga pribadong system, ang layunin at epekto ng hack ay makakaimpluwensya pa rin sa parusa. Ang pagnanakaw n"&amp;"g inuri-uri na impormasyon ay titingnan nang mas seryoso kaysa sa hindi awtorisadong pag-access nang hindi nagdudulot ng pinsala.
Internasyonal na Kooperasyon: Sa ilang mga kaso, ang pag-hack sa mga sistema ng pamahalaan ay maaaring may kasamang internas"&amp;"yonal na kooperasyon o lumabag sa mga internasyonal na kasunduan, na lalong nagpapalubha sa kaso.
Bilang konklusyon, ang pag-hack sa mga sistema ng ahensya ng gobyerno sa Pilipinas ay nagdadala ng mas malaking panganib ng matinding legal na kahihinatnan "&amp;"kumpara sa pag-hack sa sistema ng pribadong kumpanya. Ang mga karagdagang batas at potensyal para sa mga implikasyon ng pambansang seguridad ay maaaring makabuluhang tumaas ang mga parusa.")</f>
        <v>Oo, maaaring magkaroon ng mas matinding parusa para sa pag-hack sa mga sistema ng ahensya ng gobyerno kumpara sa mga sistema ng pribadong kumpanya sa Pilipinas. Narito kung bakit:
Target na Pagtutukoy: Ang pag-hack sa mga sistema ng pamahalaan ay makikita bilang isang mas malubhang pagkakasala dahil maaari itong makagambala sa kritikal na imprastraktura, pambansang seguridad, o mga serbisyong pampubliko. Kadalasang pinangangasiwaan ng mga ahensya ng gobyerno ang sensitibong data tulad ng impormasyon ng mamamayan o mga lihim ng pambansang seguridad. Ang isang matagumpay na hack ay maaaring magkaroon ng malalayong kahihinatnan.
Mga Kaugnay na Batas: Ang parehong mga sitwasyon ay nasa ilalim ng Electronic Commerce Act (ECA) para sa ilegal na pag-access at posibleng ang Data Privacy Act para sa data interference. Gayunpaman, gumaganap ang mga karagdagang batas para sa mga sistema ng pamahalaan:
Cybersecurity Act: Ang batas na ito ay naglalayong protektahan ang kritikal na imprastraktura ng impormasyon. Ang pag-hack sa mga sistema ng gobyerno ay maaaring ituring na isang paglabag, na posibleng humantong sa mga karagdagang parusa.
Batas sa Espionage: Kung pinaghihinalaang isinagawa ang pag-hack para sa mga layunin ng espionage, maaaring ilapat ang mas matinding parusa sa ilalim ng Espionage Act of 1936 (Act No. 677).
Mga Potensyal na Parusa:
Ang mga parusa para sa pag-hack sa ilalim ng ECA ay maaaring malaki na, ngunit ang mga karagdagang batas ay maaaring humantong sa mas matarik na multa at mas mahabang panahon ng pagkakulong para sa mga paglabag sa sistema ng pamahalaan.
Mahalagang Isaalang-alang:
Layunin at Epekto: Katulad ng pag-hack sa mga pribadong system, ang layunin at epekto ng hack ay makakaimpluwensya pa rin sa parusa. Ang pagnanakaw ng inuri-uri na impormasyon ay titingnan nang mas seryoso kaysa sa hindi awtorisadong pag-access nang hindi nagdudulot ng pinsala.
Internasyonal na Kooperasyon: Sa ilang mga kaso, ang pag-hack sa mga sistema ng pamahalaan ay maaaring may kasamang internasyonal na kooperasyon o lumabag sa mga internasyonal na kasunduan, na lalong nagpapalubha sa kaso.
Bilang konklusyon, ang pag-hack sa mga sistema ng ahensya ng gobyerno sa Pilipinas ay nagdadala ng mas malaking panganib ng matinding legal na kahihinatnan kumpara sa pag-hack sa sistema ng pribadong kumpanya. Ang mga karagdagang batas at potensyal para sa mga implikasyon ng pambansang seguridad ay maaaring makabuluhang tumaas ang mga parusa.</v>
      </c>
      <c r="F631" s="2">
        <f t="shared" si="1"/>
        <v>0</v>
      </c>
      <c r="G631" s="2"/>
      <c r="H631" s="2"/>
      <c r="I631" s="2"/>
      <c r="J631" s="2"/>
      <c r="K631" s="2"/>
      <c r="L631" s="2"/>
      <c r="M631" s="2"/>
      <c r="N631" s="2"/>
      <c r="O631" s="2"/>
      <c r="P631" s="2"/>
      <c r="Q631" s="2"/>
      <c r="R631" s="2"/>
      <c r="S631" s="2"/>
      <c r="T631" s="2"/>
      <c r="U631" s="2"/>
      <c r="V631" s="2"/>
      <c r="W631" s="2"/>
      <c r="X631" s="2"/>
      <c r="Y631" s="2"/>
      <c r="Z631" s="2"/>
      <c r="AA631" s="2"/>
    </row>
    <row r="632">
      <c r="A632" s="3" t="s">
        <v>2010</v>
      </c>
      <c r="B632" s="1" t="s">
        <v>2110</v>
      </c>
      <c r="C632" s="1" t="s">
        <v>2111</v>
      </c>
      <c r="D632" s="1" t="s">
        <v>2112</v>
      </c>
      <c r="E632" s="2" t="str">
        <f>IFERROR(__xludf.DUMMYFUNCTION("GOOGLETRANSLATE(C632, ""en"", ""TL"")"),"Sa Pilipinas, ang pag-access sa social media account ng isang tao nang may pahintulot nila ay hindi maituturing na pag-hack sa ilalim ng kasalukuyang mga batas. Narito kung bakit:
Mga sentro ng pag-hack sa hindi awtorisadong pag-access. Kung may taong "&amp;"kusang-loob na magbibigay sa iyo ng pahintulot na i-access ang kanilang account, hindi ito magiging walang pahintulot.
Gayunpaman, ang paglabag sa mga tuntunin ng serbisyo ng platform ng social media ay maaari pa ring magkaroon ng mga kahihinatnan:
Pa"&amp;"gsususpinde o Pagwawakas ng Account: Maaaring suspindihin o wakasan ng platform ang mga account na sangkot sa paglabag sa kanilang mga tuntunin ng serbisyo.
Civil Dispute: Sa teorya, maaaring idemanda ka ng may-ari ng account dahil sa paglabag sa kanilan"&amp;"g privacy kahit na nagbigay sila ng pahintulot (depende sa mga partikular na aksyon na gagawin mo habang ina-access ang account). Ito ay malabong kung nagba-browse ka lang o tinutulungan sila sa isang simpleng gawain, ngunit ito ay isang posibilidad na is"&amp;"aalang-alang.
Narito ang isang rekomendasyon:
Maging Transparent sa Platform: Kung talagang kailangan mong i-access ang social media account ng isang tao nang may pahintulot nila, maaaring pinakamahusay na suriin sa suporta ng platform upang makita ku"&amp;"ng mayroong isang lehitimong paraan upang gawin ito nang hindi nilalabag ang kanilang mga tuntunin ng serbisyo. Maaaring may mga feature ang ilang platform para sa pagkuha ng account o pansamantalang pag-access para sa mga partikular na layunin.
Sa pangk"&amp;"alahatan, bagama't hindi ito pag-hack, ang pag-access sa social media account ng isang tao nang may pahintulot nila ay maaari pa ring magdulot ng mga isyu sa mismong platform. Mahalagang magkaroon ng kamalayan sa mga tuntunin ng platform at maging transpa"&amp;"rent tungkol sa iyong mga aksyon upang maiwasan ang hindi sinasadyang mga kahihinatnan.")</f>
        <v>Sa Pilipinas, ang pag-access sa social media account ng isang tao nang may pahintulot nila ay hindi maituturing na pag-hack sa ilalim ng kasalukuyang mga batas. Narito kung bakit:
Mga sentro ng pag-hack sa hindi awtorisadong pag-access. Kung may taong kusang-loob na magbibigay sa iyo ng pahintulot na i-access ang kanilang account, hindi ito magiging walang pahintulot.
Gayunpaman, ang paglabag sa mga tuntunin ng serbisyo ng platform ng social media ay maaari pa ring magkaroon ng mga kahihinatnan:
Pagsususpinde o Pagwawakas ng Account: Maaaring suspindihin o wakasan ng platform ang mga account na sangkot sa paglabag sa kanilang mga tuntunin ng serbisyo.
Civil Dispute: Sa teorya, maaaring idemanda ka ng may-ari ng account dahil sa paglabag sa kanilang privacy kahit na nagbigay sila ng pahintulot (depende sa mga partikular na aksyon na gagawin mo habang ina-access ang account). Ito ay malabong kung nagba-browse ka lang o tinutulungan sila sa isang simpleng gawain, ngunit ito ay isang posibilidad na isaalang-alang.
Narito ang isang rekomendasyon:
Maging Transparent sa Platform: Kung talagang kailangan mong i-access ang social media account ng isang tao nang may pahintulot nila, maaaring pinakamahusay na suriin sa suporta ng platform upang makita kung mayroong isang lehitimong paraan upang gawin ito nang hindi nilalabag ang kanilang mga tuntunin ng serbisyo. Maaaring may mga feature ang ilang platform para sa pagkuha ng account o pansamantalang pag-access para sa mga partikular na layunin.
Sa pangkalahatan, bagama't hindi ito pag-hack, ang pag-access sa social media account ng isang tao nang may pahintulot nila ay maaari pa ring magdulot ng mga isyu sa mismong platform. Mahalagang magkaroon ng kamalayan sa mga tuntunin ng platform at maging transparent tungkol sa iyong mga aksyon upang maiwasan ang hindi sinasadyang mga kahihinatnan.</v>
      </c>
      <c r="F632" s="2">
        <f t="shared" si="1"/>
        <v>0</v>
      </c>
      <c r="G632" s="2"/>
      <c r="H632" s="2"/>
      <c r="I632" s="2"/>
      <c r="J632" s="2"/>
      <c r="K632" s="2"/>
      <c r="L632" s="2"/>
      <c r="M632" s="2"/>
      <c r="N632" s="2"/>
      <c r="O632" s="2"/>
      <c r="P632" s="2"/>
      <c r="Q632" s="2"/>
      <c r="R632" s="2"/>
      <c r="S632" s="2"/>
      <c r="T632" s="2"/>
      <c r="U632" s="2"/>
      <c r="V632" s="2"/>
      <c r="W632" s="2"/>
      <c r="X632" s="2"/>
      <c r="Y632" s="2"/>
      <c r="Z632" s="2"/>
      <c r="AA632" s="2"/>
    </row>
    <row r="633">
      <c r="A633" s="3" t="s">
        <v>2010</v>
      </c>
      <c r="B633" s="1" t="s">
        <v>2113</v>
      </c>
      <c r="C633" s="1" t="s">
        <v>2114</v>
      </c>
      <c r="D633" s="1" t="s">
        <v>2115</v>
      </c>
      <c r="E633" s="2" t="str">
        <f>IFERROR(__xludf.DUMMYFUNCTION("GOOGLETRANSLATE(C633, ""en"", ""TL"")"),"Sa Pilipinas, ang hindi sinasadyang pag-access sa cloud storage ng isang tao dahil sa isang typo sa email address ay malamang na hindi magresulta sa mga singil sa pag-hack. Narito kung bakit:
Tumutok sa Layunin: Ang mga batas sa cybercrime ng Pilipinas tu"&amp;"lad ng Electronic Commerce Act (ECA) ay karaniwang nakatuon sa ilegal na pag-access. Nangangahulugan ito na kailangang magkaroon ng intensyon na makakuha ng hindi awtorisadong pag-access. Ang isang simpleng typo ay maituturing na isang pagkakamali, hindi "&amp;"isang sadyang pagtatangka na i-hack.
Gayunpaman, mayroon pa ring ilang mga bagay na dapat isaalang-alang:
Pagsasamantala sa Access: Kung napagtanto mong na-access mo ang maling account dahil sa isang typo at pagkatapos ay magpatuloy sa pag-download ng mga"&amp;" file, mag-browse ng pribadong impormasyon, o gumawa ng mga pagbabago, iyon ay maaaring makita bilang lampas sa saklaw ng hindi sinasadyang pag-access.
Data Privacy Act: Ang Data Privacy Act (DPA) ay nangangailangan ng mga indibidwal na igalang ang privac"&amp;"y ng iba. Kahit na hindi sinasadya, ang pag-access sa cloud storage ng isang tao ay maaaring isang teknikal na paglabag sa DPA, lalo na kung hindi ka gagawa ng mga hakbang upang itama ang sitwasyon.
Narito ang dapat mong gawin kung mangyari ito:
Idiskonek"&amp;"ta Kaagad: Kapag napagtanto mong hindi ito ang iyong account, idiskonekta mula sa cloud storage upang maiwasan ang karagdagang pag-access.
Iulat ang Insidente: Karamihan sa mga provider ng cloud storage ay may mga opsyon na mag-ulat ng potensyal na paglab"&amp;"ag sa seguridad. Gamitin ang tampok na ito upang iulat ang hindi sinasadyang pag-access.
Isaalang-alang ang Pakikipag-ugnayan sa May-ari ng Account (Opsyonal): Kung komportable ka, maaari kang gumawa ng magalang na email na nagpapaliwanag ng typo at hindi"&amp;" sinasadyang pag-access. Bigyang-diin na hindi ka tumingin o nag-download ng anumang impormasyon.
Sa konklusyon, habang ang hindi sinasadyang pag-access dahil sa isang typo ay malamang na hindi na-hack, iwasang gumawa ng anumang karagdagang aksyon kapag n"&amp;"apagtanto mo ang pagkakamali. Iulat ang insidente at pag-isipang makipag-ugnayan sa may-ari ng account upang ipakita ang transparency. Kung hindi ka sigurado tungkol sa anumang partikular na sitwasyon, palaging magandang ideya ang pagkonsulta sa isang abo"&amp;"gado na dalubhasa sa cyberlaw.")</f>
        <v>Sa Pilipinas, ang hindi sinasadyang pag-access sa cloud storage ng isang tao dahil sa isang typo sa email address ay malamang na hindi magresulta sa mga singil sa pag-hack. Narito kung bakit:
Tumutok sa Layunin: Ang mga batas sa cybercrime ng Pilipinas tulad ng Electronic Commerce Act (ECA) ay karaniwang nakatuon sa ilegal na pag-access. Nangangahulugan ito na kailangang magkaroon ng intensyon na makakuha ng hindi awtorisadong pag-access. Ang isang simpleng typo ay maituturing na isang pagkakamali, hindi isang sadyang pagtatangka na i-hack.
Gayunpaman, mayroon pa ring ilang mga bagay na dapat isaalang-alang:
Pagsasamantala sa Access: Kung napagtanto mong na-access mo ang maling account dahil sa isang typo at pagkatapos ay magpatuloy sa pag-download ng mga file, mag-browse ng pribadong impormasyon, o gumawa ng mga pagbabago, iyon ay maaaring makita bilang lampas sa saklaw ng hindi sinasadyang pag-access.
Data Privacy Act: Ang Data Privacy Act (DPA) ay nangangailangan ng mga indibidwal na igalang ang privacy ng iba. Kahit na hindi sinasadya, ang pag-access sa cloud storage ng isang tao ay maaaring isang teknikal na paglabag sa DPA, lalo na kung hindi ka gagawa ng mga hakbang upang itama ang sitwasyon.
Narito ang dapat mong gawin kung mangyari ito:
Idiskonekta Kaagad: Kapag napagtanto mong hindi ito ang iyong account, idiskonekta mula sa cloud storage upang maiwasan ang karagdagang pag-access.
Iulat ang Insidente: Karamihan sa mga provider ng cloud storage ay may mga opsyon na mag-ulat ng potensyal na paglabag sa seguridad. Gamitin ang tampok na ito upang iulat ang hindi sinasadyang pag-access.
Isaalang-alang ang Pakikipag-ugnayan sa May-ari ng Account (Opsyonal): Kung komportable ka, maaari kang gumawa ng magalang na email na nagpapaliwanag ng typo at hindi sinasadyang pag-access. Bigyang-diin na hindi ka tumingin o nag-download ng anumang impormasyon.
Sa konklusyon, habang ang hindi sinasadyang pag-access dahil sa isang typo ay malamang na hindi na-hack, iwasang gumawa ng anumang karagdagang aksyon kapag napagtanto mo ang pagkakamali. Iulat ang insidente at pag-isipang makipag-ugnayan sa may-ari ng account upang ipakita ang transparency. Kung hindi ka sigurado tungkol sa anumang partikular na sitwasyon, palaging magandang ideya ang pagkonsulta sa isang abogado na dalubhasa sa cyberlaw.</v>
      </c>
      <c r="F633" s="2">
        <f t="shared" si="1"/>
        <v>0</v>
      </c>
      <c r="G633" s="2"/>
      <c r="H633" s="2"/>
      <c r="I633" s="2"/>
      <c r="J633" s="2"/>
      <c r="K633" s="2"/>
      <c r="L633" s="2"/>
      <c r="M633" s="2"/>
      <c r="N633" s="2"/>
      <c r="O633" s="2"/>
      <c r="P633" s="2"/>
      <c r="Q633" s="2"/>
      <c r="R633" s="2"/>
      <c r="S633" s="2"/>
      <c r="T633" s="2"/>
      <c r="U633" s="2"/>
      <c r="V633" s="2"/>
      <c r="W633" s="2"/>
      <c r="X633" s="2"/>
      <c r="Y633" s="2"/>
      <c r="Z633" s="2"/>
      <c r="AA633" s="2"/>
    </row>
    <row r="634">
      <c r="A634" s="3" t="s">
        <v>2010</v>
      </c>
      <c r="B634" s="1" t="s">
        <v>2116</v>
      </c>
      <c r="C634" s="1" t="s">
        <v>2117</v>
      </c>
      <c r="D634" s="1" t="s">
        <v>2118</v>
      </c>
      <c r="E634" s="2" t="str">
        <f>IFERROR(__xludf.DUMMYFUNCTION("GOOGLETRANSLATE(C634, ""en"", ""TL"")"),"Ang legal na tanawin ng Pilipinas tungkol sa pag-hack ng empleyado ay hindi pa ganap na naayos, ngunit may matitinding argumento para sa pananagutan sa kanila sa ilalim ng mga umiiral na batas. Narito ang isang breakdown:
Kakulangan ng Partikular na Batas"&amp;": Kasalukuyang walang batas na tahasang tumutugon sa pag-hack ng empleyado. Gayunpaman, maaaring ilapat ang ibang mga batas depende sa likas na katangian ng hack at mga kahihinatnan nito.
Electronic Commerce Act (ECA): Ipinagbabawal ng batas na ito ang il"&amp;"egal na pag-access (hindi awtorisadong pag-access sa mga computer system). Kung ang isang empleyado ay na-hack sa system ng kanilang employer nang walang pahintulot, ito ay maaaring isang paglabag.
Data Privacy Act (DPA): Ipinag-uutos ng DPA ang seguridad"&amp;" ng personal na data at nangangailangan ng ""naaangkop na mga hakbang sa seguridad"" upang protektahan ito. Ang isang empleyado na lumalampas sa mga hakbang sa seguridad upang ma-access ang data ay maaaring makita bilang isang paglabag, lalo na kung ito a"&amp;"y nagsasangkot ng sensitibong impormasyon.
Mga Potensyal na Parusa:
Ang mga parusa sa ilalim ng ECA ay mula sa pagkakakulong (hanggang pitong taon) hanggang sa mga multa. Ang DPA ay nagtatalaga rin ng mga parusa para sa mga paglabag.
Ang kalubhaan ay depe"&amp;"nde sa mga salik tulad ng layunin sa likod ng pag-hack, ang uri ng data na na-access, at ang pinsalang idinulot.
Mga Karagdagang Pagsasaalang-alang:
Kontrata sa Pagtatrabaho: Karamihan sa mga kontrata sa pagtatrabaho ay malamang na may mga sugnay na nagba"&amp;"bawal sa hindi awtorisadong pag-access sa mga system at data ng kumpanya. Ang paglabag sa mga sugnay na ito ay maaaring maging batayan para sa pagwawakas.
Trade Secrets Law: Kung ang empleyado ay naghack para magnakaw ng mga trade secret, ang Intellectual"&amp;" Property Code of the Philippines ay maaaring gamitin, na humahantong sa mga karagdagang legal na isyu.
Sa pangkalahatan, habang walang iisang batas para sa pag-hack ng empleyado, ang kumbinasyon ng mga kasalukuyang batas at potensyal na paglabag sa kontr"&amp;"aktwal ay lumilikha ng isang malakas na kaso para sa pananagutan sa kanila. Ang mga partikular na kahihinatnan ay depende sa mga detalye ng kaso.
Narito ang ilang karagdagang payo:
Mga Employer: Magpatupad ng matibay na mga hakbang sa cybersecurity, turua"&amp;"n ang mga empleyado tungkol sa mga patakaran sa katanggap-tanggap na paggamit, at magkaroon ng malinaw na mga kahihinatnan na nakabalangkas sa mga kontrata sa pagtatrabaho para sa mga paglabag sa data.
Mga Empleyado: Huwag kailanman i-access ang mga syste"&amp;"m o data ng employer nang walang pahintulot. Kung mayroon kang mga lehitimong dahilan kung bakit kailangan mo ng access, sundin ang mga wastong pamamaraan at kumuha ng mga kinakailangang pahintulot.
Tandaan, ito ay isang kumplikadong legal na lugar, at an"&amp;"g pagkonsulta sa isang abogado na dalubhasa sa cyberlaw ay lubos na inirerekomenda para sa parehong mga employer at empleyado na nahaharap sa mga ganitong sitwasyon.")</f>
        <v>Ang legal na tanawin ng Pilipinas tungkol sa pag-hack ng empleyado ay hindi pa ganap na naayos, ngunit may matitinding argumento para sa pananagutan sa kanila sa ilalim ng mga umiiral na batas. Narito ang isang breakdown:
Kakulangan ng Partikular na Batas: Kasalukuyang walang batas na tahasang tumutugon sa pag-hack ng empleyado. Gayunpaman, maaaring ilapat ang ibang mga batas depende sa likas na katangian ng hack at mga kahihinatnan nito.
Electronic Commerce Act (ECA): Ipinagbabawal ng batas na ito ang ilegal na pag-access (hindi awtorisadong pag-access sa mga computer system). Kung ang isang empleyado ay na-hack sa system ng kanilang employer nang walang pahintulot, ito ay maaaring isang paglabag.
Data Privacy Act (DPA): Ipinag-uutos ng DPA ang seguridad ng personal na data at nangangailangan ng "naaangkop na mga hakbang sa seguridad" upang protektahan ito. Ang isang empleyado na lumalampas sa mga hakbang sa seguridad upang ma-access ang data ay maaaring makita bilang isang paglabag, lalo na kung ito ay nagsasangkot ng sensitibong impormasyon.
Mga Potensyal na Parusa:
Ang mga parusa sa ilalim ng ECA ay mula sa pagkakakulong (hanggang pitong taon) hanggang sa mga multa. Ang DPA ay nagtatalaga rin ng mga parusa para sa mga paglabag.
Ang kalubhaan ay depende sa mga salik tulad ng layunin sa likod ng pag-hack, ang uri ng data na na-access, at ang pinsalang idinulot.
Mga Karagdagang Pagsasaalang-alang:
Kontrata sa Pagtatrabaho: Karamihan sa mga kontrata sa pagtatrabaho ay malamang na may mga sugnay na nagbabawal sa hindi awtorisadong pag-access sa mga system at data ng kumpanya. Ang paglabag sa mga sugnay na ito ay maaaring maging batayan para sa pagwawakas.
Trade Secrets Law: Kung ang empleyado ay naghack para magnakaw ng mga trade secret, ang Intellectual Property Code of the Philippines ay maaaring gamitin, na humahantong sa mga karagdagang legal na isyu.
Sa pangkalahatan, habang walang iisang batas para sa pag-hack ng empleyado, ang kumbinasyon ng mga kasalukuyang batas at potensyal na paglabag sa kontraktwal ay lumilikha ng isang malakas na kaso para sa pananagutan sa kanila. Ang mga partikular na kahihinatnan ay depende sa mga detalye ng kaso.
Narito ang ilang karagdagang payo:
Mga Employer: Magpatupad ng matibay na mga hakbang sa cybersecurity, turuan ang mga empleyado tungkol sa mga patakaran sa katanggap-tanggap na paggamit, at magkaroon ng malinaw na mga kahihinatnan na nakabalangkas sa mga kontrata sa pagtatrabaho para sa mga paglabag sa data.
Mga Empleyado: Huwag kailanman i-access ang mga system o data ng employer nang walang pahintulot. Kung mayroon kang mga lehitimong dahilan kung bakit kailangan mo ng access, sundin ang mga wastong pamamaraan at kumuha ng mga kinakailangang pahintulot.
Tandaan, ito ay isang kumplikadong legal na lugar, at ang pagkonsulta sa isang abogado na dalubhasa sa cyberlaw ay lubos na inirerekomenda para sa parehong mga employer at empleyado na nahaharap sa mga ganitong sitwasyon.</v>
      </c>
      <c r="F634" s="2">
        <f t="shared" si="1"/>
        <v>0</v>
      </c>
      <c r="G634" s="2"/>
      <c r="H634" s="2"/>
      <c r="I634" s="2"/>
      <c r="J634" s="2"/>
      <c r="K634" s="2"/>
      <c r="L634" s="2"/>
      <c r="M634" s="2"/>
      <c r="N634" s="2"/>
      <c r="O634" s="2"/>
      <c r="P634" s="2"/>
      <c r="Q634" s="2"/>
      <c r="R634" s="2"/>
      <c r="S634" s="2"/>
      <c r="T634" s="2"/>
      <c r="U634" s="2"/>
      <c r="V634" s="2"/>
      <c r="W634" s="2"/>
      <c r="X634" s="2"/>
      <c r="Y634" s="2"/>
      <c r="Z634" s="2"/>
      <c r="AA634" s="2"/>
    </row>
    <row r="635">
      <c r="A635" s="3" t="s">
        <v>2010</v>
      </c>
      <c r="B635" s="1" t="s">
        <v>2119</v>
      </c>
      <c r="C635" s="1" t="s">
        <v>2120</v>
      </c>
      <c r="D635" s="1" t="s">
        <v>2121</v>
      </c>
      <c r="E635" s="2" t="str">
        <f>IFERROR(__xludf.DUMMYFUNCTION("GOOGLETRANSLATE(C635, ""en"", ""TL"")"),"Hindi, sa Pilipinas, hindi ka sisingilin ng pag-hack para sa malayuang pag-access sa iyong sariling device kahit na nawala o ninakaw ito, hangga't ikaw ang lehitimong may-ari at awtorisadong gumagamit.
Narito kung bakit:
Mga sentro ng pag-hack sa hindi aw"&amp;"torisadong pag-access. Dahil ikaw ang may-ari, ang iyong pag-access ay hindi magiging walang pahintulot.
Gayunpaman, may ilang bagay na dapat isaalang-alang:
Mga Panukala sa Seguridad: Kung gumagamit ka ng mga tool sa malayuang pag-access, tiyaking mayroo"&amp;"n silang matatag na mga hakbang sa seguridad tulad ng two-factor authentication. Ito ay nagiging mas mahalaga kung ang iyong device ay nawala o nanakaw.
Pag-wipe ng Data: Ang ilang mga tool sa malayuang pag-access ay nagbibigay-daan para sa mga wipe ng da"&amp;"ta sa mga nawawalang device. Maaari itong maging isang kapaki-pakinabang na hakbang sa seguridad upang maprotektahan ang iyong impormasyon kung sakaling mahulog ang device sa maling mga kamay.
Narito ang ilang rekomendasyon:
Iulat ang Nawala o Ninakaw na "&amp;"Device: Kung napagtanto mong nawala o nanakaw ang iyong device, iulat ito kaagad sa mga awtoridad at sa iyong service provider. Makakatulong ito sa kanila na subaybayan ang device at posibleng maiwasan ang hindi awtorisadong pag-access.
Baguhin ang Mga Kr"&amp;"edensyal sa Pag-login: Baguhin ang iyong mga kredensyal sa pag-log in para sa anumang mga account na na-access mo nang malayuan mula sa nawalang device. Nagdaragdag ito ng isa pang layer ng seguridad at ginagawang mas mahirap para sa sinuman na makakuha n"&amp;"g access sa iyong impormasyon.
Sa konklusyon, walang legal na alalahanin para sa pag-access ng iyong sariling device nang malayuan sa Pilipinas, kahit na ito ay nawala o ninakaw. Gayunpaman, ang pagsasagawa ng mahusay na kalinisan sa seguridad at pagsasag"&amp;"awa ng mga pag-iingat tulad ng malalakas na password at remote na mga opsyon sa pag-wipe ay maaaring higit pang maprotektahan ang iyong data sa mga ganitong sitwasyon.")</f>
        <v>Hindi, sa Pilipinas, hindi ka sisingilin ng pag-hack para sa malayuang pag-access sa iyong sariling device kahit na nawala o ninakaw ito, hangga't ikaw ang lehitimong may-ari at awtorisadong gumagamit.
Narito kung bakit:
Mga sentro ng pag-hack sa hindi awtorisadong pag-access. Dahil ikaw ang may-ari, ang iyong pag-access ay hindi magiging walang pahintulot.
Gayunpaman, may ilang bagay na dapat isaalang-alang:
Mga Panukala sa Seguridad: Kung gumagamit ka ng mga tool sa malayuang pag-access, tiyaking mayroon silang matatag na mga hakbang sa seguridad tulad ng two-factor authentication. Ito ay nagiging mas mahalaga kung ang iyong device ay nawala o nanakaw.
Pag-wipe ng Data: Ang ilang mga tool sa malayuang pag-access ay nagbibigay-daan para sa mga wipe ng data sa mga nawawalang device. Maaari itong maging isang kapaki-pakinabang na hakbang sa seguridad upang maprotektahan ang iyong impormasyon kung sakaling mahulog ang device sa maling mga kamay.
Narito ang ilang rekomendasyon:
Iulat ang Nawala o Ninakaw na Device: Kung napagtanto mong nawala o nanakaw ang iyong device, iulat ito kaagad sa mga awtoridad at sa iyong service provider. Makakatulong ito sa kanila na subaybayan ang device at posibleng maiwasan ang hindi awtorisadong pag-access.
Baguhin ang Mga Kredensyal sa Pag-login: Baguhin ang iyong mga kredensyal sa pag-log in para sa anumang mga account na na-access mo nang malayuan mula sa nawalang device. Nagdaragdag ito ng isa pang layer ng seguridad at ginagawang mas mahirap para sa sinuman na makakuha ng access sa iyong impormasyon.
Sa konklusyon, walang legal na alalahanin para sa pag-access ng iyong sariling device nang malayuan sa Pilipinas, kahit na ito ay nawala o ninakaw. Gayunpaman, ang pagsasagawa ng mahusay na kalinisan sa seguridad at pagsasagawa ng mga pag-iingat tulad ng malalakas na password at remote na mga opsyon sa pag-wipe ay maaaring higit pang maprotektahan ang iyong data sa mga ganitong sitwasyon.</v>
      </c>
      <c r="F635" s="2">
        <f t="shared" si="1"/>
        <v>0</v>
      </c>
      <c r="G635" s="2"/>
      <c r="H635" s="2"/>
      <c r="I635" s="2"/>
      <c r="J635" s="2"/>
      <c r="K635" s="2"/>
      <c r="L635" s="2"/>
      <c r="M635" s="2"/>
      <c r="N635" s="2"/>
      <c r="O635" s="2"/>
      <c r="P635" s="2"/>
      <c r="Q635" s="2"/>
      <c r="R635" s="2"/>
      <c r="S635" s="2"/>
      <c r="T635" s="2"/>
      <c r="U635" s="2"/>
      <c r="V635" s="2"/>
      <c r="W635" s="2"/>
      <c r="X635" s="2"/>
      <c r="Y635" s="2"/>
      <c r="Z635" s="2"/>
      <c r="AA635" s="2"/>
    </row>
    <row r="636">
      <c r="A636" s="3" t="s">
        <v>2010</v>
      </c>
      <c r="B636" s="1" t="s">
        <v>2122</v>
      </c>
      <c r="C636" s="1" t="s">
        <v>2123</v>
      </c>
      <c r="D636" s="1" t="s">
        <v>2124</v>
      </c>
      <c r="E636" s="2" t="str">
        <f>IFERROR(__xludf.DUMMYFUNCTION("GOOGLETRANSLATE(C636, ""en"", ""TL"")"),"Ang mga legal na proteksyon para sa mga indibidwal na ang mga device ay na-hack ng mga ahensyang nagpapatupad ng batas sa Pilipinas ay umuunlad pa rin. Bagama't walang mga garantiya, narito ang maaari mong isaalang-alang:
Limitadong Legal na Balangkas:
Wa"&amp;"lang partikular na batas ang Pilipinas na tumutugon sa pag-hack ng pagpapatupad ng batas. Gayunpaman, maaaring mag-alok ang ibang mga batas ng ilang mga pananggalang:
Konstitusyon: Ginagarantiyahan ng Konstitusyon ng Pilipinas ang karapatan sa privacy (Ar"&amp;"tikulo III, Seksyon 3). Ito ay maaaring pagtalunan upang limitahan ang saklaw ng walang warrant na pag-hack ng mga nagpapatupad ng batas.
Panuntunan ng Batas: Inaasahang susundin ng mga ahensyang nagpapatupad ng batas ang mga itinatag na legal na pamamara"&amp;"an, na karaniwang may kinalaman sa pagkuha ng mga warrant para sa mga paghahanap at pagsamsam. Maaaring hamunin ang walang warrant na pag-hack bilang isang paglabag sa mga pamamaraang ito.
Mga Potensyal na Legal na Hamon:
Ang mga abogadong dalubhasa sa cy"&amp;"berlaw ay maaaring magtaltalan na ang pag-hack ay lumabag sa iyong konstitusyonal na karapatan sa privacy at angkop na proseso.
Maaari nilang hamunin ang legalidad ng ebidensyang nakuha sa pamamagitan ng pag-hack kung hindi natiyak ang mga tamang warrant."&amp;"
Gayunpaman, may mga limitasyon sa mga proteksyong ito:
Pambansang Seguridad: Ang pagpapatupad ng batas ay maaaring magkaroon ng mas malawak na mga katwiran para sa pag-hack sa mga kaso na nauugnay sa pambansang seguridad o pagpigil sa mga napipintong pag"&amp;"babanta.
Mga Teknikal na Hamon: Ang pagpapatunay na ang iyong device ay na-hack ng tagapagpatupad ng batas at ang partikular na impormasyong na-access ay maaaring maging mahirap.
Mga Rekomendasyon:
Kumonsulta sa Abogado: Kung pinaghihinalaan mong na-hack "&amp;"ang iyong device ng nagpapatupad ng batas, mahalagang kumunsulta sa isang abogadong dalubhasa sa cyberlaw. Maaari nilang tasahin ang iyong sitwasyon at payuhan ka sa mga potensyal na legal na hamon.
Mga Kasanayan sa Digital Security: Bagama't hindi ito is"&amp;"ang walang kabuluhang solusyon, isaalang-alang ang paggamit ng malalakas na password, mga tool sa pag-encrypt, at panatilihing na-update ang iyong software upang gawing mas mahirap ang pag-hack.
Ang Sitwasyon ay umuunlad:
Nagsisimula nang makipagbuno ang "&amp;"mga korte sa Pilipinas sa mga isyu sa digital rights. Ang mga kaso ng landmark ay maaaring magtatag ng mas matibay na ligal na pamarisan para sa mga proteksyon sa digital privacy sa hinaharap.
Sa pangkalahatan, habang hindi sigurado ang legal na tanawin, "&amp;"may mga potensyal na legal na argumento at mapagkukunan na available para sa mga indibidwal na naniniwalang ang kanilang mga device ay na-hack ng nagpapatupad ng batas. Ang pagkonsulta sa isang abogadong nag-specialize sa cyberlaw ay ang pinakamahusay na "&amp;"paraan ng pagkilos upang i-navigate ang masalimuot na sitwasyong ito.")</f>
        <v>Ang mga legal na proteksyon para sa mga indibidwal na ang mga device ay na-hack ng mga ahensyang nagpapatupad ng batas sa Pilipinas ay umuunlad pa rin. Bagama't walang mga garantiya, narito ang maaari mong isaalang-alang:
Limitadong Legal na Balangkas:
Walang partikular na batas ang Pilipinas na tumutugon sa pag-hack ng pagpapatupad ng batas. Gayunpaman, maaaring mag-alok ang ibang mga batas ng ilang mga pananggalang:
Konstitusyon: Ginagarantiyahan ng Konstitusyon ng Pilipinas ang karapatan sa privacy (Artikulo III, Seksyon 3). Ito ay maaaring pagtalunan upang limitahan ang saklaw ng walang warrant na pag-hack ng mga nagpapatupad ng batas.
Panuntunan ng Batas: Inaasahang susundin ng mga ahensyang nagpapatupad ng batas ang mga itinatag na legal na pamamaraan, na karaniwang may kinalaman sa pagkuha ng mga warrant para sa mga paghahanap at pagsamsam. Maaaring hamunin ang walang warrant na pag-hack bilang isang paglabag sa mga pamamaraang ito.
Mga Potensyal na Legal na Hamon:
Ang mga abogadong dalubhasa sa cyberlaw ay maaaring magtaltalan na ang pag-hack ay lumabag sa iyong konstitusyonal na karapatan sa privacy at angkop na proseso.
Maaari nilang hamunin ang legalidad ng ebidensyang nakuha sa pamamagitan ng pag-hack kung hindi natiyak ang mga tamang warrant.
Gayunpaman, may mga limitasyon sa mga proteksyong ito:
Pambansang Seguridad: Ang pagpapatupad ng batas ay maaaring magkaroon ng mas malawak na mga katwiran para sa pag-hack sa mga kaso na nauugnay sa pambansang seguridad o pagpigil sa mga napipintong pagbabanta.
Mga Teknikal na Hamon: Ang pagpapatunay na ang iyong device ay na-hack ng tagapagpatupad ng batas at ang partikular na impormasyong na-access ay maaaring maging mahirap.
Mga Rekomendasyon:
Kumonsulta sa Abogado: Kung pinaghihinalaan mong na-hack ang iyong device ng nagpapatupad ng batas, mahalagang kumunsulta sa isang abogadong dalubhasa sa cyberlaw. Maaari nilang tasahin ang iyong sitwasyon at payuhan ka sa mga potensyal na legal na hamon.
Mga Kasanayan sa Digital Security: Bagama't hindi ito isang walang kabuluhang solusyon, isaalang-alang ang paggamit ng malalakas na password, mga tool sa pag-encrypt, at panatilihing na-update ang iyong software upang gawing mas mahirap ang pag-hack.
Ang Sitwasyon ay umuunlad:
Nagsisimula nang makipagbuno ang mga korte sa Pilipinas sa mga isyu sa digital rights. Ang mga kaso ng landmark ay maaaring magtatag ng mas matibay na ligal na pamarisan para sa mga proteksyon sa digital privacy sa hinaharap.
Sa pangkalahatan, habang hindi sigurado ang legal na tanawin, may mga potensyal na legal na argumento at mapagkukunan na available para sa mga indibidwal na naniniwalang ang kanilang mga device ay na-hack ng nagpapatupad ng batas. Ang pagkonsulta sa isang abogadong nag-specialize sa cyberlaw ay ang pinakamahusay na paraan ng pagkilos upang i-navigate ang masalimuot na sitwasyong ito.</v>
      </c>
      <c r="F636" s="2">
        <f t="shared" si="1"/>
        <v>0</v>
      </c>
      <c r="G636" s="2"/>
      <c r="H636" s="2"/>
      <c r="I636" s="2"/>
      <c r="J636" s="2"/>
      <c r="K636" s="2"/>
      <c r="L636" s="2"/>
      <c r="M636" s="2"/>
      <c r="N636" s="2"/>
      <c r="O636" s="2"/>
      <c r="P636" s="2"/>
      <c r="Q636" s="2"/>
      <c r="R636" s="2"/>
      <c r="S636" s="2"/>
      <c r="T636" s="2"/>
      <c r="U636" s="2"/>
      <c r="V636" s="2"/>
      <c r="W636" s="2"/>
      <c r="X636" s="2"/>
      <c r="Y636" s="2"/>
      <c r="Z636" s="2"/>
      <c r="AA636" s="2"/>
    </row>
    <row r="637">
      <c r="A637" s="3" t="s">
        <v>2010</v>
      </c>
      <c r="B637" s="1" t="s">
        <v>2125</v>
      </c>
      <c r="C637" s="1" t="s">
        <v>2126</v>
      </c>
      <c r="D637" s="1" t="s">
        <v>2127</v>
      </c>
      <c r="E637" s="2" t="str">
        <f>IFERROR(__xludf.DUMMYFUNCTION("GOOGLETRANSLATE(C637, ""en"", ""TL"")"),"Oo, ang pag-hack sa isang medikal na aparato ay maaaring ituring na isang mas matinding pagkakasala kumpara sa pag-hack sa iba pang mga uri ng mga aparato sa Pilipinas, dahil sa potensyal para sa malubhang kahihinatnan. Narito kung bakit:
Tumaas na Pangan"&amp;"ib na Mapinsala: Ang mga medikal na kagamitan ay kritikal para sa kapakanan ng pasyente. Maaaring maabala ng pag-hack ang kanilang function, baguhin ang data, o maging sanhi ng pisikal na pinsala sa pasyente.
Potensyal na Pagkawala ng Buhay: Sa pinakamasa"&amp;"mang sitwasyon, ang pag-hack ng isang medikal na aparato ay maaaring humantong sa malubhang pinsala o kamatayan ng pasyente. Itinataas nito ang kabigatan ng pagkakasala kumpara sa pag-hack ng device na hindi direktang nakakaapekto sa kalusugan.
Mga Umiira"&amp;"l na Batas at Potensyal na Parusa:
Ang Pilipinas ay mayroon nang mga batas na maaaring ilapat sa pag-hack ng mga kagamitang medikal:
Electronic Commerce Act (ECA): Ipinagbabawal ng batas na ito ang ilegal na pag-access (hindi awtorisadong pag-access sa mg"&amp;"a computer system), na nalalapat sa mga medikal na device na may mga bahagi ng computer.
Cybersecurity Act: Ang Batas na ito ay naglalayong protektahan ang kritikal na imprastraktura ng impormasyon, at ang mga medikal na device ay maaaring ituring na baha"&amp;"gi ng imprastraktura na iyon sa ilang mga kaso.
Batas sa Privacy ng Data: Kung nilalabag ng pag-hack ang privacy ng data ng pasyente, maaaring may kaugnayan din ang Batas na ito.
Bukod pa rito, narito ang ilang salik na maaaring maka-impluwensya sa kalubh"&amp;"aan ng pagkakasala:
Layunin at Epekto: Ang isang taong hindi sinasadyang nag-access ng isang medikal na aparato habang sinusubukang mag-hack sa isa pang system ay malamang na tratuhin nang iba kaysa sa isang taong sadyang nag-hack ng isang aparato upang s"&amp;"aktan ang isang pasyente.
Uri ng Medical Device: Ang kalubhaan ng mga potensyal na kahihinatnan ay magkakaroon din ng papel. Ang pag-hack ng isang pacemaker ay maaaring makitang mas seryoso kaysa sa pag-hack ng isang hindi kritikal na device.
Sa pangkalah"&amp;"atan, ang pag-hack sa isang medikal na aparato ay nagdadala ng malaking panganib ng pinsala at maaaring magresulta sa mas mabibigat na parusa sa ilalim ng mga kasalukuyang batas ng Pilipinas.
Narito ang ilang karagdagang punto na dapat isaalang-alang:
Umu"&amp;"unlad na Legal na Landscape: Patuloy na binubuo ng Pilipinas ang legal na balangkas nito para sa cybersecurity. Maaaring lumabas ang mga bagong batas na partikular na tumutugon sa pag-hack ng mga medikal na device sa hinaharap.
International Cooperation: "&amp;"Maaaring magkaroon ng internasyonal na implikasyon ang pag-hack ng medikal na device, at maaaring may pakikipagtulungan sa ibang mga bansa sa pag-iimbestiga at pag-uusig sa mga naturang pagkakasala.
Kung naniniwala kang na-hack ang isang medikal na device"&amp;", mahalagang iulat kaagad ang insidente sa mga nauugnay na awtoridad at sa manufacturer ng medikal na device. Maaari silang gumawa ng mga hakbang upang pagaanin ang mga panganib at imbestigahan pa ang bagay.")</f>
        <v>Oo, ang pag-hack sa isang medikal na aparato ay maaaring ituring na isang mas matinding pagkakasala kumpara sa pag-hack sa iba pang mga uri ng mga aparato sa Pilipinas, dahil sa potensyal para sa malubhang kahihinatnan. Narito kung bakit:
Tumaas na Panganib na Mapinsala: Ang mga medikal na kagamitan ay kritikal para sa kapakanan ng pasyente. Maaaring maabala ng pag-hack ang kanilang function, baguhin ang data, o maging sanhi ng pisikal na pinsala sa pasyente.
Potensyal na Pagkawala ng Buhay: Sa pinakamasamang sitwasyon, ang pag-hack ng isang medikal na aparato ay maaaring humantong sa malubhang pinsala o kamatayan ng pasyente. Itinataas nito ang kabigatan ng pagkakasala kumpara sa pag-hack ng device na hindi direktang nakakaapekto sa kalusugan.
Mga Umiiral na Batas at Potensyal na Parusa:
Ang Pilipinas ay mayroon nang mga batas na maaaring ilapat sa pag-hack ng mga kagamitang medikal:
Electronic Commerce Act (ECA): Ipinagbabawal ng batas na ito ang ilegal na pag-access (hindi awtorisadong pag-access sa mga computer system), na nalalapat sa mga medikal na device na may mga bahagi ng computer.
Cybersecurity Act: Ang Batas na ito ay naglalayong protektahan ang kritikal na imprastraktura ng impormasyon, at ang mga medikal na device ay maaaring ituring na bahagi ng imprastraktura na iyon sa ilang mga kaso.
Batas sa Privacy ng Data: Kung nilalabag ng pag-hack ang privacy ng data ng pasyente, maaaring may kaugnayan din ang Batas na ito.
Bukod pa rito, narito ang ilang salik na maaaring maka-impluwensya sa kalubhaan ng pagkakasala:
Layunin at Epekto: Ang isang taong hindi sinasadyang nag-access ng isang medikal na aparato habang sinusubukang mag-hack sa isa pang system ay malamang na tratuhin nang iba kaysa sa isang taong sadyang nag-hack ng isang aparato upang saktan ang isang pasyente.
Uri ng Medical Device: Ang kalubhaan ng mga potensyal na kahihinatnan ay magkakaroon din ng papel. Ang pag-hack ng isang pacemaker ay maaaring makitang mas seryoso kaysa sa pag-hack ng isang hindi kritikal na device.
Sa pangkalahatan, ang pag-hack sa isang medikal na aparato ay nagdadala ng malaking panganib ng pinsala at maaaring magresulta sa mas mabibigat na parusa sa ilalim ng mga kasalukuyang batas ng Pilipinas.
Narito ang ilang karagdagang punto na dapat isaalang-alang:
Umuunlad na Legal na Landscape: Patuloy na binubuo ng Pilipinas ang legal na balangkas nito para sa cybersecurity. Maaaring lumabas ang mga bagong batas na partikular na tumutugon sa pag-hack ng mga medikal na device sa hinaharap.
International Cooperation: Maaaring magkaroon ng internasyonal na implikasyon ang pag-hack ng medikal na device, at maaaring may pakikipagtulungan sa ibang mga bansa sa pag-iimbestiga at pag-uusig sa mga naturang pagkakasala.
Kung naniniwala kang na-hack ang isang medikal na device, mahalagang iulat kaagad ang insidente sa mga nauugnay na awtoridad at sa manufacturer ng medikal na device. Maaari silang gumawa ng mga hakbang upang pagaanin ang mga panganib at imbestigahan pa ang bagay.</v>
      </c>
      <c r="F637" s="2">
        <f t="shared" si="1"/>
        <v>0</v>
      </c>
      <c r="G637" s="2"/>
      <c r="H637" s="2"/>
      <c r="I637" s="2"/>
      <c r="J637" s="2"/>
      <c r="K637" s="2"/>
      <c r="L637" s="2"/>
      <c r="M637" s="2"/>
      <c r="N637" s="2"/>
      <c r="O637" s="2"/>
      <c r="P637" s="2"/>
      <c r="Q637" s="2"/>
      <c r="R637" s="2"/>
      <c r="S637" s="2"/>
      <c r="T637" s="2"/>
      <c r="U637" s="2"/>
      <c r="V637" s="2"/>
      <c r="W637" s="2"/>
      <c r="X637" s="2"/>
      <c r="Y637" s="2"/>
      <c r="Z637" s="2"/>
      <c r="AA637" s="2"/>
    </row>
    <row r="638">
      <c r="A638" s="3" t="s">
        <v>2010</v>
      </c>
      <c r="B638" s="1" t="s">
        <v>2128</v>
      </c>
      <c r="C638" s="1" t="s">
        <v>2129</v>
      </c>
      <c r="D638" s="1" t="s">
        <v>2130</v>
      </c>
      <c r="E638" s="2" t="str">
        <f>IFERROR(__xludf.DUMMYFUNCTION("GOOGLETRANSLATE(C638, ""en"", ""TL"")"),"Ang paggamit ng VPN o proxy mismo ay hindi ilegal sa Pilipinas. Gayunpaman, nalalapat pa rin ang mga batas sa pag-hack sa mga aktibidad na ginagawa mo sa pamamagitan ng mga ito. Narito ang isang breakdown:
Mga VPN at Proxies: Ang mga tool na ito ay mahala"&amp;"gang ruta ang iyong trapiko sa internet sa pamamagitan ng isang tagapamagitan na server, na tinatago ang iyong IP address at lokasyon. Kasama sa mga lehitimong paggamit ng mga VPN at proxy ang pag-access ng content na pinaghihigpitan ng geo o paggamit ng "&amp;"pampublikong Wi-Fi nang mas secure.
Mga Batas sa Pag-hack: Ang Pilipinas ay may mga batas tulad ng Electronic Commerce Act (ECA) na nagbabawal sa ilegal na pag-access sa mga computer system. Nalalapat ang mga batas na ito kahit na gumagamit ka man ng VPN "&amp;"o proxy. Kung na-hack mo ang isang system sa pamamagitan ng VPN o proxy, maaari ka pa ring managot.
Narito kung bakit hindi ginagawang legal ng paggamit ng VPN o proxy ang pag-hack:
Layunin sa Likod ng Aksyon: Nakatuon ang batas sa mismong aksyon (pag-hac"&amp;"k) at sa iyong layunin. Ang paggamit ng VPN o proxy upang i-mask ang iyong pagkakakilanlan habang ang pag-hack ay nagpapahiwatig ng isang malisyosong layunin.
Pag-angat ng Belo: Maaaring may mga paraan ang pagpapatupad ng batas upang matukoy ang mga user "&amp;"na gumagawa ng mga krimen sa pamamagitan ng mga VPN o proxy, lalo na sa mga seryosong kaso.
Ilang karagdagang bagay na dapat isaalang-alang:
Mga VPN Provider: Bagama't hindi ilegal ang paggamit ng VPN, maaaring may mga tuntunin ng serbisyo ang ilang provi"&amp;"der ng VPN na nagbabawal sa mga ilegal na aktibidad sa kanilang network. Ang paglabag sa mga tuntuning ito ay maaaring magresulta sa iyong account na masuspinde.
Mga Lehitimo kumpara sa Ilegal na Aktibidad: Ang paggamit ng VPN upang ma-access ang nilalama"&amp;"ng pinaghihigpitan ng geo mula sa isang serbisyo ng streaming ay maaaring labag sa kanilang mga tuntunin, ngunit hindi kinakailangang ilegal. Gayunpaman, ang pag-hack sa isang sistema ay palaging ilegal.
Sa konklusyon, ang paggamit ng VPN o proxy ay hindi"&amp;" nagbibigay sa iyo ng libreng pass para gumawa ng mga aktibidad sa pag-hack sa Pilipinas. Nalalapat pa rin ang mga batas tungkol sa ilegal na pag-access, at maaari kang managot sa iyong mga aksyon. Mahalagang gamitin ang mga tool na ito nang responsable a"&amp;"t para sa mga lehitimong layunin.")</f>
        <v>Ang paggamit ng VPN o proxy mismo ay hindi ilegal sa Pilipinas. Gayunpaman, nalalapat pa rin ang mga batas sa pag-hack sa mga aktibidad na ginagawa mo sa pamamagitan ng mga ito. Narito ang isang breakdown:
Mga VPN at Proxies: Ang mga tool na ito ay mahalagang ruta ang iyong trapiko sa internet sa pamamagitan ng isang tagapamagitan na server, na tinatago ang iyong IP address at lokasyon. Kasama sa mga lehitimong paggamit ng mga VPN at proxy ang pag-access ng content na pinaghihigpitan ng geo o paggamit ng pampublikong Wi-Fi nang mas secure.
Mga Batas sa Pag-hack: Ang Pilipinas ay may mga batas tulad ng Electronic Commerce Act (ECA) na nagbabawal sa ilegal na pag-access sa mga computer system. Nalalapat ang mga batas na ito kahit na gumagamit ka man ng VPN o proxy. Kung na-hack mo ang isang system sa pamamagitan ng VPN o proxy, maaari ka pa ring managot.
Narito kung bakit hindi ginagawang legal ng paggamit ng VPN o proxy ang pag-hack:
Layunin sa Likod ng Aksyon: Nakatuon ang batas sa mismong aksyon (pag-hack) at sa iyong layunin. Ang paggamit ng VPN o proxy upang i-mask ang iyong pagkakakilanlan habang ang pag-hack ay nagpapahiwatig ng isang malisyosong layunin.
Pag-angat ng Belo: Maaaring may mga paraan ang pagpapatupad ng batas upang matukoy ang mga user na gumagawa ng mga krimen sa pamamagitan ng mga VPN o proxy, lalo na sa mga seryosong kaso.
Ilang karagdagang bagay na dapat isaalang-alang:
Mga VPN Provider: Bagama't hindi ilegal ang paggamit ng VPN, maaaring may mga tuntunin ng serbisyo ang ilang provider ng VPN na nagbabawal sa mga ilegal na aktibidad sa kanilang network. Ang paglabag sa mga tuntuning ito ay maaaring magresulta sa iyong account na masuspinde.
Mga Lehitimo kumpara sa Ilegal na Aktibidad: Ang paggamit ng VPN upang ma-access ang nilalamang pinaghihigpitan ng geo mula sa isang serbisyo ng streaming ay maaaring labag sa kanilang mga tuntunin, ngunit hindi kinakailangang ilegal. Gayunpaman, ang pag-hack sa isang sistema ay palaging ilegal.
Sa konklusyon, ang paggamit ng VPN o proxy ay hindi nagbibigay sa iyo ng libreng pass para gumawa ng mga aktibidad sa pag-hack sa Pilipinas. Nalalapat pa rin ang mga batas tungkol sa ilegal na pag-access, at maaari kang managot sa iyong mga aksyon. Mahalagang gamitin ang mga tool na ito nang responsable at para sa mga lehitimong layunin.</v>
      </c>
      <c r="F638" s="2">
        <f t="shared" si="1"/>
        <v>0</v>
      </c>
      <c r="G638" s="2"/>
      <c r="H638" s="2"/>
      <c r="I638" s="2"/>
      <c r="J638" s="2"/>
      <c r="K638" s="2"/>
      <c r="L638" s="2"/>
      <c r="M638" s="2"/>
      <c r="N638" s="2"/>
      <c r="O638" s="2"/>
      <c r="P638" s="2"/>
      <c r="Q638" s="2"/>
      <c r="R638" s="2"/>
      <c r="S638" s="2"/>
      <c r="T638" s="2"/>
      <c r="U638" s="2"/>
      <c r="V638" s="2"/>
      <c r="W638" s="2"/>
      <c r="X638" s="2"/>
      <c r="Y638" s="2"/>
      <c r="Z638" s="2"/>
      <c r="AA638" s="2"/>
    </row>
    <row r="639">
      <c r="A639" s="3" t="s">
        <v>2010</v>
      </c>
      <c r="B639" s="1" t="s">
        <v>2131</v>
      </c>
      <c r="C639" s="1" t="s">
        <v>2132</v>
      </c>
      <c r="D639" s="1" t="s">
        <v>2133</v>
      </c>
      <c r="E639" s="2" t="str">
        <f>IFERROR(__xludf.DUMMYFUNCTION("GOOGLETRANSLATE(C639, ""en"", ""TL"")"),"Sa Pilipinas, ang tanong kung maaari kang managot kung ang isang tao ay gumagamit ng iyong koneksyon sa internet upang gumawa ng mga pagkakasala sa pag-hack ay maaaring maging kumplikado. Wala pang tiyak na legal na sagot, ngunit narito ang isang breakdow"&amp;"n ng sitwasyon:
Hindi Malinaw na Legal na Precedent:
Umuunlad pa rin ang sistemang legal ng Pilipinas tungkol sa cybercrimes. Wala pang maraming kaso sa korte na partikular na tumutugon sa sitwasyong ito.
Dalawang Panig ng Argumento:
Mahigpit na"&amp;" Pananagutan: Ang ilan ay nangangatuwiran na ang mga internet service provider (ISP) at mga may hawak ng account ay posibleng managot dahil sa isang pamantayan sa kapabayaan. Nangangahulugan ito na kung nabigo kang gumawa ng mga makatwirang pag-iingat upa"&amp;"ng ma-secure ang iyong network (tulad ng paggamit ng malalakas na password at pagpapanatiling na-update ang software), maaari kang makitang bahagyang responsable.
Layunin kumpara sa Kaalaman: Nagtatalo ang iba na ang pananagutan sa isang tao ay nangangai"&amp;"langan ng patunay ng kaalaman o layunin. Kung may nang-hack sa iyong network nang hindi mo nalalaman at ginagamit ito para sa mga ilegal na aktibidad, maaaring mahirap kang panagutin.
Ano ang Magagawa Mo upang Bawasan ang Panganib:
I-secure ang Iyong "&amp;"Network: Gumawa ng mga hakbang upang ma-secure ang iyong Wi-Fi network gamit ang isang malakas na password, paganahin ang pag-encrypt (WPA2 o WPA3), at huwag paganahin ang mga feature tulad ng pag-access ng bisita kapag hindi ginagamit.
Subaybayan ang Pa"&amp;"ggamit: Bagama't hindi isang walang tigil na solusyon, subaybayan ang iyong aktibidad sa network para sa anumang hindi pangkaraniwang mga pattern na maaaring magpahiwatig ng hindi awtorisadong pag-access.
Mag-ulat ng Kahina-hinalang Aktibidad: Kung pinag"&amp;"hihinalaan mong nakompromiso ang iyong network, iulat ito sa iyong ISP at pag-isipang baguhin ang iyong mga password.
Kahalagahan ng Legal na Konsultasyon:
Kung nakita mo ang iyong sarili sa isang sitwasyon kung saan ang iyong koneksyon sa internet ay"&amp;" maaaring ginamit para sa pag-hack, ang pagkonsulta sa isang abogado na dalubhasa sa cyberlaw ay lubos na inirerekomenda. Maaari nilang tasahin ang iyong partikular na sitwasyon at payuhan ka sa pinakamahusay na paraan ng pagkilos.
Konklusyon:
Ang kas"&amp;"alukuyang legal na tanawin ay nagpapahirap na sabihin nang tiyak kung maaari kang panagutin sa gayong sitwasyon.
Sa pamamagitan ng pagsasagawa ng mga hakbang upang ma-secure ang iyong network at pag-uulat ng kahina-hinalang aktibidad, maaari mong subukan"&amp;"g pagaanin ang mga panganib.
Kung nahaharap sa ganitong sitwasyon, ang pagkonsulta sa isang abogado ay napakahalaga.")</f>
        <v>Sa Pilipinas, ang tanong kung maaari kang managot kung ang isang tao ay gumagamit ng iyong koneksyon sa internet upang gumawa ng mga pagkakasala sa pag-hack ay maaaring maging kumplikado. Wala pang tiyak na legal na sagot, ngunit narito ang isang breakdown ng sitwasyon:
Hindi Malinaw na Legal na Precedent:
Umuunlad pa rin ang sistemang legal ng Pilipinas tungkol sa cybercrimes. Wala pang maraming kaso sa korte na partikular na tumutugon sa sitwasyong ito.
Dalawang Panig ng Argumento:
Mahigpit na Pananagutan: Ang ilan ay nangangatuwiran na ang mga internet service provider (ISP) at mga may hawak ng account ay posibleng managot dahil sa isang pamantayan sa kapabayaan. Nangangahulugan ito na kung nabigo kang gumawa ng mga makatwirang pag-iingat upang ma-secure ang iyong network (tulad ng paggamit ng malalakas na password at pagpapanatiling na-update ang software), maaari kang makitang bahagyang responsable.
Layunin kumpara sa Kaalaman: Nagtatalo ang iba na ang pananagutan sa isang tao ay nangangailangan ng patunay ng kaalaman o layunin. Kung may nang-hack sa iyong network nang hindi mo nalalaman at ginagamit ito para sa mga ilegal na aktibidad, maaaring mahirap kang panagutin.
Ano ang Magagawa Mo upang Bawasan ang Panganib:
I-secure ang Iyong Network: Gumawa ng mga hakbang upang ma-secure ang iyong Wi-Fi network gamit ang isang malakas na password, paganahin ang pag-encrypt (WPA2 o WPA3), at huwag paganahin ang mga feature tulad ng pag-access ng bisita kapag hindi ginagamit.
Subaybayan ang Paggamit: Bagama't hindi isang walang tigil na solusyon, subaybayan ang iyong aktibidad sa network para sa anumang hindi pangkaraniwang mga pattern na maaaring magpahiwatig ng hindi awtorisadong pag-access.
Mag-ulat ng Kahina-hinalang Aktibidad: Kung pinaghihinalaan mong nakompromiso ang iyong network, iulat ito sa iyong ISP at pag-isipang baguhin ang iyong mga password.
Kahalagahan ng Legal na Konsultasyon:
Kung nakita mo ang iyong sarili sa isang sitwasyon kung saan ang iyong koneksyon sa internet ay maaaring ginamit para sa pag-hack, ang pagkonsulta sa isang abogado na dalubhasa sa cyberlaw ay lubos na inirerekomenda. Maaari nilang tasahin ang iyong partikular na sitwasyon at payuhan ka sa pinakamahusay na paraan ng pagkilos.
Konklusyon:
Ang kasalukuyang legal na tanawin ay nagpapahirap na sabihin nang tiyak kung maaari kang panagutin sa gayong sitwasyon.
Sa pamamagitan ng pagsasagawa ng mga hakbang upang ma-secure ang iyong network at pag-uulat ng kahina-hinalang aktibidad, maaari mong subukang pagaanin ang mga panganib.
Kung nahaharap sa ganitong sitwasyon, ang pagkonsulta sa isang abogado ay napakahalaga.</v>
      </c>
      <c r="F639" s="2">
        <f t="shared" si="1"/>
        <v>0</v>
      </c>
      <c r="G639" s="2"/>
      <c r="H639" s="2"/>
      <c r="I639" s="2"/>
      <c r="J639" s="2"/>
      <c r="K639" s="2"/>
      <c r="L639" s="2"/>
      <c r="M639" s="2"/>
      <c r="N639" s="2"/>
      <c r="O639" s="2"/>
      <c r="P639" s="2"/>
      <c r="Q639" s="2"/>
      <c r="R639" s="2"/>
      <c r="S639" s="2"/>
      <c r="T639" s="2"/>
      <c r="U639" s="2"/>
      <c r="V639" s="2"/>
      <c r="W639" s="2"/>
      <c r="X639" s="2"/>
      <c r="Y639" s="2"/>
      <c r="Z639" s="2"/>
      <c r="AA639" s="2"/>
    </row>
    <row r="640">
      <c r="A640" s="3" t="s">
        <v>2010</v>
      </c>
      <c r="B640" s="1" t="s">
        <v>2134</v>
      </c>
      <c r="C640" s="1" t="s">
        <v>2135</v>
      </c>
      <c r="D640" s="1" t="s">
        <v>2136</v>
      </c>
      <c r="E640" s="2" t="str">
        <f>IFERROR(__xludf.DUMMYFUNCTION("GOOGLETRANSLATE(C640, ""en"", ""TL"")"),"Kung matuklasan mo ang hindi awtorisadong pag-access sa iyong mga computer system sa Pilipinas, narito ang ilang mga hakbang na maaari mong gawin upang protektahan ang iyong sarili nang legal:
1. I-secure ang Iyong Mga System:
Maglaman ng Paglabag: "&amp;"Una at pangunahin, gumawa ng mga hakbang upang maiwasan ang higit pang hindi awtorisadong pag-access. Idiskonekta ang iyong system sa internet kung maaari, baguhin ang mga password para sa lahat ng apektadong account, at magpatakbo ng isang pag-scan sa se"&amp;"guridad upang matukoy at maalis ang anumang malware.
2. Idokumento ang Insidente:
Magtipon ng Ebidensya: Mangolekta ng maraming ebidensya hangga't maaari, kabilang ang mga timestamp ng hindi awtorisadong pag-access, anumang mga kahina-hinalang log ng "&amp;"aktibidad, at mga mensahe ng error. Kumuha ng mga screenshot kung maaari.
Mga Detalyadong Tala: Isulat ang isang detalyadong timeline ng mga kaganapan, kabilang ang kung kailan mo natuklasan ang hindi awtorisadong pag-access, kung ano ang iyong naobserba"&amp;"han, at ang mga aksyon na iyong ginawa upang ma-secure ang iyong system.
3. Iulat ang Insidente:
Mga Awtoridad: Iulat ang insidente sa Philippine National Police (PNP) Anti-Cybercrime Unit. Maaari nilang imbestigahan ang bagay at posibleng matukoy ang"&amp;" salarin.
Mga ISP: Kung pinaghihinalaan mo ang hindi awtorisadong pag-access ay nagmula sa iyong internet service provider (ISP), iulat din ang insidente sa kanila. Maaari silang makapagbigay ng karagdagang impormasyon o tumulong sa pagsisiyasat.
4. Isa"&amp;"alang-alang ang Legal na Konsultasyon:
Cybersecurity Lawyer: Ang pagkonsulta sa isang abogado na dalubhasa sa cyberlaw ay lubos na inirerekomenda. Maaari nilang tasahin ang sitwasyon, payuhan ka tungkol sa iyong mga legal na karapatan, at tulungan kang"&amp;" mag-navigate sa legal na proseso kung pipiliin mong magsagawa ng legal na aksyon laban sa may kasalanan.
Narito ang ilang karagdagang tip:
Regular na Baguhin ang Mga Password: Ugaliing baguhin ang iyong mga password para sa lahat ng iyong account nan"&amp;"g regular, lalo na pagkatapos ng paglabag sa seguridad.
Mga Pag-backup ng Data: Panatilihin ang mga regular na pag-backup ng iyong data sa isang secure na lokasyon. Maaari itong maging mahalaga kung sakaling makompromiso ang iyong mga system at mawala o "&amp;"masira ang data.
Security Software: Gumamit ng mapagkakatiwalaang software ng seguridad tulad ng mga firewall at antivirus program upang protektahan ang iyong mga system mula sa malware at hindi awtorisadong mga pagtatangka sa pag-access.
Sa pamamagitan"&amp;" ng pagsasagawa ng mga hakbang na ito, makakatulong kang protektahan ang iyong sarili nang legal at mabawasan ang pinsalang dulot ng hindi awtorisadong pag-access sa mga system ng iyong computer. Tandaan, ang paghingi ng propesyonal na legal na payo mula "&amp;"sa isang abogado na dalubhasa sa cyberlaw ay mahalaga para sa pag-navigate sa mga legal na kumplikado ng mga ganitong sitwasyon.")</f>
        <v>Kung matuklasan mo ang hindi awtorisadong pag-access sa iyong mga computer system sa Pilipinas, narito ang ilang mga hakbang na maaari mong gawin upang protektahan ang iyong sarili nang legal:
1. I-secure ang Iyong Mga System:
Maglaman ng Paglabag: Una at pangunahin, gumawa ng mga hakbang upang maiwasan ang higit pang hindi awtorisadong pag-access. Idiskonekta ang iyong system sa internet kung maaari, baguhin ang mga password para sa lahat ng apektadong account, at magpatakbo ng isang pag-scan sa seguridad upang matukoy at maalis ang anumang malware.
2. Idokumento ang Insidente:
Magtipon ng Ebidensya: Mangolekta ng maraming ebidensya hangga't maaari, kabilang ang mga timestamp ng hindi awtorisadong pag-access, anumang mga kahina-hinalang log ng aktibidad, at mga mensahe ng error. Kumuha ng mga screenshot kung maaari.
Mga Detalyadong Tala: Isulat ang isang detalyadong timeline ng mga kaganapan, kabilang ang kung kailan mo natuklasan ang hindi awtorisadong pag-access, kung ano ang iyong naobserbahan, at ang mga aksyon na iyong ginawa upang ma-secure ang iyong system.
3. Iulat ang Insidente:
Mga Awtoridad: Iulat ang insidente sa Philippine National Police (PNP) Anti-Cybercrime Unit. Maaari nilang imbestigahan ang bagay at posibleng matukoy ang salarin.
Mga ISP: Kung pinaghihinalaan mo ang hindi awtorisadong pag-access ay nagmula sa iyong internet service provider (ISP), iulat din ang insidente sa kanila. Maaari silang makapagbigay ng karagdagang impormasyon o tumulong sa pagsisiyasat.
4. Isaalang-alang ang Legal na Konsultasyon:
Cybersecurity Lawyer: Ang pagkonsulta sa isang abogado na dalubhasa sa cyberlaw ay lubos na inirerekomenda. Maaari nilang tasahin ang sitwasyon, payuhan ka tungkol sa iyong mga legal na karapatan, at tulungan kang mag-navigate sa legal na proseso kung pipiliin mong magsagawa ng legal na aksyon laban sa may kasalanan.
Narito ang ilang karagdagang tip:
Regular na Baguhin ang Mga Password: Ugaliing baguhin ang iyong mga password para sa lahat ng iyong account nang regular, lalo na pagkatapos ng paglabag sa seguridad.
Mga Pag-backup ng Data: Panatilihin ang mga regular na pag-backup ng iyong data sa isang secure na lokasyon. Maaari itong maging mahalaga kung sakaling makompromiso ang iyong mga system at mawala o masira ang data.
Security Software: Gumamit ng mapagkakatiwalaang software ng seguridad tulad ng mga firewall at antivirus program upang protektahan ang iyong mga system mula sa malware at hindi awtorisadong mga pagtatangka sa pag-access.
Sa pamamagitan ng pagsasagawa ng mga hakbang na ito, makakatulong kang protektahan ang iyong sarili nang legal at mabawasan ang pinsalang dulot ng hindi awtorisadong pag-access sa mga system ng iyong computer. Tandaan, ang paghingi ng propesyonal na legal na payo mula sa isang abogado na dalubhasa sa cyberlaw ay mahalaga para sa pag-navigate sa mga legal na kumplikado ng mga ganitong sitwasyon.</v>
      </c>
      <c r="F640" s="2">
        <f t="shared" si="1"/>
        <v>0</v>
      </c>
      <c r="G640" s="2"/>
      <c r="H640" s="2"/>
      <c r="I640" s="2"/>
      <c r="J640" s="2"/>
      <c r="K640" s="2"/>
      <c r="L640" s="2"/>
      <c r="M640" s="2"/>
      <c r="N640" s="2"/>
      <c r="O640" s="2"/>
      <c r="P640" s="2"/>
      <c r="Q640" s="2"/>
      <c r="R640" s="2"/>
      <c r="S640" s="2"/>
      <c r="T640" s="2"/>
      <c r="U640" s="2"/>
      <c r="V640" s="2"/>
      <c r="W640" s="2"/>
      <c r="X640" s="2"/>
      <c r="Y640" s="2"/>
      <c r="Z640" s="2"/>
      <c r="AA640" s="2"/>
    </row>
    <row r="641">
      <c r="A641" s="3" t="s">
        <v>2010</v>
      </c>
      <c r="B641" s="1" t="s">
        <v>2137</v>
      </c>
      <c r="C641" s="1" t="s">
        <v>2138</v>
      </c>
      <c r="D641" s="1" t="s">
        <v>2139</v>
      </c>
      <c r="E641" s="2" t="str">
        <f>IFERROR(__xludf.DUMMYFUNCTION("GOOGLETRANSLATE(C641, ""en"", ""TL"")"),"Sa Pilipinas, ang pag-hack sa isang website upang ilantad ang mga kahinaan sa seguridad ay maaaring maging isang legal na lugar. Narito ang isang breakdown ng sitwasyon:
Walang Partikular na Batas:
Kasalukuyang walang batas sa Pilipinas na tahasang tumutu"&amp;"gon sa pag-hack para sa layuning ilantad ang mga kahinaan.
Mga Potensyal na Singil sa Ilalim ng Mga Umiiral na Batas:
Electronic Commerce Act (ECA): Ipinagbabawal ng batas na ito ang ilegal na pag-access (hindi awtorisadong pag-access sa mga computer syst"&amp;"em). Ang pag-hack sa isang website ay maaaring makita bilang isang paglabag, kahit na ang layunin ay ilantad ang mga kahinaan.
Data Privacy Act (DPA): Kung ang pag-hack ay naglantad ng anumang personal na data na nakaimbak sa website, maaaring ito ay isan"&amp;"g paglabag sa kinakailangan ng DPA na i-secure ang personal na data.
Gayunpaman, may mga argumento para sa pagpapaubaya:
Good Samaritan Defense: Ang ilang mga legal na eksperto ay nangangatuwiran na kung ang hacker ay kumilos nang responsable sa pamamagit"&amp;"an ng pagsisiwalat ng kahinaan sa may-ari ng website at hindi ito pagsasamantalahan para sa personal na pakinabang, maaari silang maprotektahan sa ilalim ng isang ""mabuting Samaritan"" na pagtatanggol. Nalalapat ang depensang ito sa mga indibidwal na gum"&amp;"agawa ng mga aksyon upang tulungan ang iba, kahit na lumabag sila sa isang teknikal na tuntunin.
White Hat Hacking: Ang konsepto ng ""white hat hacking"" ay tumutukoy sa etikal na pag-hack kung saan ang mga kahinaan ay nakalantad na may layuning pahusayin"&amp;" ang seguridad. Kung susundin ng hacker ang mga responsableng kasanayan sa pagsisiwalat at iiwasang magdulot ng pinsala, maaaring may kaso para sa pagpapaubaya.
Ano ang Magagawa Mo para Bawasan ang Legal na Panganib:
Kumuha ng Pahintulot: Ang pinakaligtas"&amp;" na paraan ay ang kumuha ng pahintulot mula sa may-ari ng website bago subukan ang anumang pagsubok sa seguridad. Inaalis nito ang isyu ng hindi awtorisadong pag-access.
Responsableng Pagbubunyag: Kung hindi makukuha ang pahintulot, sundin ang responsable"&amp;"ng mga kasanayan sa pagsisiwalat. Kabilang dito ang pag-abiso sa may-ari ng website ng kahinaan sa pribadong paraan at pagbibigay sa kanila ng makatwirang timeframe upang ayusin ito bago isapubliko ang kahinaan.
Kumonsulta sa isang Abogado: Kung hindi ka "&amp;"sigurado tungkol sa legalidad ng iyong mga aksyon, ang pagkonsulta sa isang abogado na dalubhasa sa cyberlaw ay lubos na inirerekomenda. Maaari nilang tasahin ang partikular na sitwasyon at payuhan ka sa pinakamahusay na paraan ng pagkilos.
Sa pangkalahat"&amp;"an, ang pag-hack sa isang website sa Pilipinas, kahit na may magandang intensyon, ay maaaring maging legal na panganib. Sa pamamagitan ng pagkuha ng pahintulot, pagsunod sa mga responsableng kasanayan sa pagsisiwalat, at potensyal na paghingi ng legal na "&amp;"payo, maaari mong bawasan ang mga panganib na ito.")</f>
        <v>Sa Pilipinas, ang pag-hack sa isang website upang ilantad ang mga kahinaan sa seguridad ay maaaring maging isang legal na lugar. Narito ang isang breakdown ng sitwasyon:
Walang Partikular na Batas:
Kasalukuyang walang batas sa Pilipinas na tahasang tumutugon sa pag-hack para sa layuning ilantad ang mga kahinaan.
Mga Potensyal na Singil sa Ilalim ng Mga Umiiral na Batas:
Electronic Commerce Act (ECA): Ipinagbabawal ng batas na ito ang ilegal na pag-access (hindi awtorisadong pag-access sa mga computer system). Ang pag-hack sa isang website ay maaaring makita bilang isang paglabag, kahit na ang layunin ay ilantad ang mga kahinaan.
Data Privacy Act (DPA): Kung ang pag-hack ay naglantad ng anumang personal na data na nakaimbak sa website, maaaring ito ay isang paglabag sa kinakailangan ng DPA na i-secure ang personal na data.
Gayunpaman, may mga argumento para sa pagpapaubaya:
Good Samaritan Defense: Ang ilang mga legal na eksperto ay nangangatuwiran na kung ang hacker ay kumilos nang responsable sa pamamagitan ng pagsisiwalat ng kahinaan sa may-ari ng website at hindi ito pagsasamantalahan para sa personal na pakinabang, maaari silang maprotektahan sa ilalim ng isang "mabuting Samaritan" na pagtatanggol. Nalalapat ang depensang ito sa mga indibidwal na gumagawa ng mga aksyon upang tulungan ang iba, kahit na lumabag sila sa isang teknikal na tuntunin.
White Hat Hacking: Ang konsepto ng "white hat hacking" ay tumutukoy sa etikal na pag-hack kung saan ang mga kahinaan ay nakalantad na may layuning pahusayin ang seguridad. Kung susundin ng hacker ang mga responsableng kasanayan sa pagsisiwalat at iiwasang magdulot ng pinsala, maaaring may kaso para sa pagpapaubaya.
Ano ang Magagawa Mo para Bawasan ang Legal na Panganib:
Kumuha ng Pahintulot: Ang pinakaligtas na paraan ay ang kumuha ng pahintulot mula sa may-ari ng website bago subukan ang anumang pagsubok sa seguridad. Inaalis nito ang isyu ng hindi awtorisadong pag-access.
Responsableng Pagbubunyag: Kung hindi makukuha ang pahintulot, sundin ang responsableng mga kasanayan sa pagsisiwalat. Kabilang dito ang pag-abiso sa may-ari ng website ng kahinaan sa pribadong paraan at pagbibigay sa kanila ng makatwirang timeframe upang ayusin ito bago isapubliko ang kahinaan.
Kumonsulta sa isang Abogado: Kung hindi ka sigurado tungkol sa legalidad ng iyong mga aksyon, ang pagkonsulta sa isang abogado na dalubhasa sa cyberlaw ay lubos na inirerekomenda. Maaari nilang tasahin ang partikular na sitwasyon at payuhan ka sa pinakamahusay na paraan ng pagkilos.
Sa pangkalahatan, ang pag-hack sa isang website sa Pilipinas, kahit na may magandang intensyon, ay maaaring maging legal na panganib. Sa pamamagitan ng pagkuha ng pahintulot, pagsunod sa mga responsableng kasanayan sa pagsisiwalat, at potensyal na paghingi ng legal na payo, maaari mong bawasan ang mga panganib na ito.</v>
      </c>
      <c r="F641" s="2">
        <f t="shared" si="1"/>
        <v>0</v>
      </c>
      <c r="G641" s="2"/>
      <c r="H641" s="2"/>
      <c r="I641" s="2"/>
      <c r="J641" s="2"/>
      <c r="K641" s="2"/>
      <c r="L641" s="2"/>
      <c r="M641" s="2"/>
      <c r="N641" s="2"/>
      <c r="O641" s="2"/>
      <c r="P641" s="2"/>
      <c r="Q641" s="2"/>
      <c r="R641" s="2"/>
      <c r="S641" s="2"/>
      <c r="T641" s="2"/>
      <c r="U641" s="2"/>
      <c r="V641" s="2"/>
      <c r="W641" s="2"/>
      <c r="X641" s="2"/>
      <c r="Y641" s="2"/>
      <c r="Z641" s="2"/>
      <c r="AA641" s="2"/>
    </row>
    <row r="642">
      <c r="A642" s="3" t="s">
        <v>2010</v>
      </c>
      <c r="B642" s="1" t="s">
        <v>2140</v>
      </c>
      <c r="C642" s="1" t="s">
        <v>2141</v>
      </c>
      <c r="D642" s="1" t="s">
        <v>2142</v>
      </c>
      <c r="E642" s="2" t="str">
        <f>IFERROR(__xludf.DUMMYFUNCTION("GOOGLETRANSLATE(C642, ""en"", ""TL"")"),"Sa Pilipinas, ang legal na tanawin tungkol sa mga indibidwal na nakatuklas at nag-uulat ng mga kahinaan sa seguridad (madalas na tinatawag na ""bug bounty hunters"" o ""ethical hackers"") ay umuunlad. Walang iisang batas na partikular na tumutugon sa sitw"&amp;"asyong ito, ngunit narito ang isang breakdown ng mga potensyal na implikasyon:
Kasalukuyang Legal na Balangkas:
Tumutok sa Di-awtorisadong Pag-access: Ang mga kasalukuyang batas tulad ng Electronic Commerce Act (ECA) ay pangunahing nakatuon sa ""ile"&amp;"gal na pag-access"" sa mga computer system. Ang pag-hack sa isang system, kahit na upang ilantad ang mga kahinaan, ay maaaring teknikal na makita bilang hindi awtorisadong pag-access.
Data Privacy Act (DPA): Kung ang kahinaan ay naglantad ng personal na "&amp;"data, maaaring ito ay isang paglabag sa kinakailangan ng DPA para sa pag-secure ng naturang data.
Gayunpaman, may mga argumento para sa pagpapaubaya:
Good Samaritan Defense: Ang mga eksperto sa batas ay nagmumungkahi ng isang ""mabuting Samaritan"" na"&amp;" pagtatanggol na maaaring ilapat. Pinoprotektahan nito ang mga indibidwal na hindi sinasadyang lumabag sa isang teknikal na panuntunan habang kumikilos nang may mabuting loob upang tumulong sa iba (sa kasong ito, pagbutihin ang seguridad sa website ng kum"&amp;"panya).
Responsableng Pagsisiwalat: Ang konsepto ng ""responsableng pagsisiwalat"" ay naghihikayat ng etikal na pag-hack kung saan ang mga kahinaan ay pribado na iniuulat sa kumpanya na may makatwirang timeframe upang ayusin ang mga ito bago ipaalam sa p"&amp;"ubliko. Ang responsableng paraan na ito ay nagpapatibay sa mabuting Samaritan argumento.
Pagbabawas ng mga Legal na Panganib:
Huwag Mag-hack nang Walang Pahintulot: Ang pinakaligtas na diskarte ay ang kumuha ng tahasang pahintulot mula sa kumpanya bag"&amp;"o subukan ang anumang pagsubok sa seguridad. Inaalis nito ang hindi awtorisadong alalahanin sa pag-access.
Sundin ang Mga Kasanayan sa Responsableng Pagbubunyag: Kung hindi available ang pahintulot, sundin ang responsableng pagsisiwalat. Ipaalam sa kumpa"&amp;"nya nang pribado ang tungkol sa kahinaan, bigyan sila ng oras upang ayusin ito, at iwasan ang pagsasamantala nito para sa personal na pakinabang.
Isaalang-alang ang Mga Bug Bounty Programs: Maraming kumpanya ang may mga bug bounty program na nagbibigay n"&amp;"g gantimpala sa mga etikal na hacker para sa responsableng pagsisiwalat ng mga kahinaan. Nagbibigay ito ng legal at sanction na paraan para lumahok sa pagpapabuti ng seguridad ng website.
Kumonsulta sa isang Abogado: Para sa mga kumplikadong sitwasyon o "&amp;"kung hindi ka sigurado tungkol sa legalidad ng iyong mga aksyon, ang pagkonsulta sa isang abogado na dalubhasa sa cyberlaw ay lubos na inirerekomenda.
Ang Hinaharap ng Bug Bounty Hunting:
Ang Pilipinas ay patuloy na nagpapaunlad ng cybersecurity frame"&amp;"work nito. Ang mga batas na partikular na tumutugon sa responsableng pagbubunyag at mga programa ng bug bounty ay maaaring lumabas sa hinaharap, na nagbibigay ng mas malinaw na legal na pundasyon para sa mga etikal na hacker.
Ang mga organisasyon tulad n"&amp;"g Philippine National Police (PNP) Anti-Cybercrime Unit ay nagsisimula nang kilalanin ang halaga ng ethical hacking sa pagpapabuti ng pambansang cybersecurity.
Konklusyon:
Bagama't hindi pa ganap na naaayos ang kasalukuyang legal na sitwasyon, may mga"&amp;" paraan para mabawasan ang mga legal na panganib para sa mga etikal na hacker sa Pilipinas. Ang pagsunod sa mga responsableng kasanayan sa pagbubunyag, paghingi ng pahintulot hangga't maaari, at pagsasaalang-alang sa mga bug bounty program ay lahat ng mah"&amp;"ahalagang hakbang. Ang legal na tanawin ay umuunlad, at ang mga pagsulong sa hinaharap ay maaaring lumikha ng isang mas sumusuportang kapaligiran para sa etikal na pag-hack at pag-uulat ng kahinaan.")</f>
        <v>Sa Pilipinas, ang legal na tanawin tungkol sa mga indibidwal na nakatuklas at nag-uulat ng mga kahinaan sa seguridad (madalas na tinatawag na "bug bounty hunters" o "ethical hackers") ay umuunlad. Walang iisang batas na partikular na tumutugon sa sitwasyong ito, ngunit narito ang isang breakdown ng mga potensyal na implikasyon:
Kasalukuyang Legal na Balangkas:
Tumutok sa Di-awtorisadong Pag-access: Ang mga kasalukuyang batas tulad ng Electronic Commerce Act (ECA) ay pangunahing nakatuon sa "ilegal na pag-access" sa mga computer system. Ang pag-hack sa isang system, kahit na upang ilantad ang mga kahinaan, ay maaaring teknikal na makita bilang hindi awtorisadong pag-access.
Data Privacy Act (DPA): Kung ang kahinaan ay naglantad ng personal na data, maaaring ito ay isang paglabag sa kinakailangan ng DPA para sa pag-secure ng naturang data.
Gayunpaman, may mga argumento para sa pagpapaubaya:
Good Samaritan Defense: Ang mga eksperto sa batas ay nagmumungkahi ng isang "mabuting Samaritan" na pagtatanggol na maaaring ilapat. Pinoprotektahan nito ang mga indibidwal na hindi sinasadyang lumabag sa isang teknikal na panuntunan habang kumikilos nang may mabuting loob upang tumulong sa iba (sa kasong ito, pagbutihin ang seguridad sa website ng kumpanya).
Responsableng Pagsisiwalat: Ang konsepto ng "responsableng pagsisiwalat" ay naghihikayat ng etikal na pag-hack kung saan ang mga kahinaan ay pribado na iniuulat sa kumpanya na may makatwirang timeframe upang ayusin ang mga ito bago ipaalam sa publiko. Ang responsableng paraan na ito ay nagpapatibay sa mabuting Samaritan argumento.
Pagbabawas ng mga Legal na Panganib:
Huwag Mag-hack nang Walang Pahintulot: Ang pinakaligtas na diskarte ay ang kumuha ng tahasang pahintulot mula sa kumpanya bago subukan ang anumang pagsubok sa seguridad. Inaalis nito ang hindi awtorisadong alalahanin sa pag-access.
Sundin ang Mga Kasanayan sa Responsableng Pagbubunyag: Kung hindi available ang pahintulot, sundin ang responsableng pagsisiwalat. Ipaalam sa kumpanya nang pribado ang tungkol sa kahinaan, bigyan sila ng oras upang ayusin ito, at iwasan ang pagsasamantala nito para sa personal na pakinabang.
Isaalang-alang ang Mga Bug Bounty Programs: Maraming kumpanya ang may mga bug bounty program na nagbibigay ng gantimpala sa mga etikal na hacker para sa responsableng pagsisiwalat ng mga kahinaan. Nagbibigay ito ng legal at sanction na paraan para lumahok sa pagpapabuti ng seguridad ng website.
Kumonsulta sa isang Abogado: Para sa mga kumplikadong sitwasyon o kung hindi ka sigurado tungkol sa legalidad ng iyong mga aksyon, ang pagkonsulta sa isang abogado na dalubhasa sa cyberlaw ay lubos na inirerekomenda.
Ang Hinaharap ng Bug Bounty Hunting:
Ang Pilipinas ay patuloy na nagpapaunlad ng cybersecurity framework nito. Ang mga batas na partikular na tumutugon sa responsableng pagbubunyag at mga programa ng bug bounty ay maaaring lumabas sa hinaharap, na nagbibigay ng mas malinaw na legal na pundasyon para sa mga etikal na hacker.
Ang mga organisasyon tulad ng Philippine National Police (PNP) Anti-Cybercrime Unit ay nagsisimula nang kilalanin ang halaga ng ethical hacking sa pagpapabuti ng pambansang cybersecurity.
Konklusyon:
Bagama't hindi pa ganap na naaayos ang kasalukuyang legal na sitwasyon, may mga paraan para mabawasan ang mga legal na panganib para sa mga etikal na hacker sa Pilipinas. Ang pagsunod sa mga responsableng kasanayan sa pagbubunyag, paghingi ng pahintulot hangga't maaari, at pagsasaalang-alang sa mga bug bounty program ay lahat ng mahahalagang hakbang. Ang legal na tanawin ay umuunlad, at ang mga pagsulong sa hinaharap ay maaaring lumikha ng isang mas sumusuportang kapaligiran para sa etikal na pag-hack at pag-uulat ng kahinaan.</v>
      </c>
      <c r="F642" s="2">
        <f t="shared" si="1"/>
        <v>0</v>
      </c>
      <c r="G642" s="2"/>
      <c r="H642" s="2"/>
      <c r="I642" s="2"/>
      <c r="J642" s="2"/>
      <c r="K642" s="2"/>
      <c r="L642" s="2"/>
      <c r="M642" s="2"/>
      <c r="N642" s="2"/>
      <c r="O642" s="2"/>
      <c r="P642" s="2"/>
      <c r="Q642" s="2"/>
      <c r="R642" s="2"/>
      <c r="S642" s="2"/>
      <c r="T642" s="2"/>
      <c r="U642" s="2"/>
      <c r="V642" s="2"/>
      <c r="W642" s="2"/>
      <c r="X642" s="2"/>
      <c r="Y642" s="2"/>
      <c r="Z642" s="2"/>
      <c r="AA642" s="2"/>
    </row>
    <row r="643">
      <c r="A643" s="3" t="s">
        <v>2010</v>
      </c>
      <c r="B643" s="1" t="s">
        <v>2143</v>
      </c>
      <c r="C643" s="1" t="s">
        <v>2144</v>
      </c>
      <c r="D643" s="1" t="s">
        <v>2145</v>
      </c>
      <c r="E643" s="2" t="str">
        <f>IFERROR(__xludf.DUMMYFUNCTION("GOOGLETRANSLATE(C643, ""en"", ""TL"")"),"Sa Pilipinas, ang pag-access sa email account ng isang tao nang may pahintulot nila, kahit na gamitin mo ang kanilang mga kredensyal sa pag-log in nang hindi nila nalalaman, ay hindi maituturing na pag-hack sa ilalim ng kasalukuyang mga batas. Narito kung"&amp;" bakit:
Ang pag-hack ay nakatuon sa hindi awtorisadong pag-access. Kung may magbibigay sa iyo ng pahintulot na i-access ang kanilang account, hindi ito magiging walang pahintulot.
Gayunpaman, maaari pa ring magkaroon ng mga kahihinatnan:
Paglabag s"&amp;"a Mga Tuntunin ng Platform: Maaaring ipagbawal ng mga tuntunin ng serbisyo ng platform ng email ang pagbabahagi ng mga kredensyal sa pag-log in. Ang parehong mga account ay maaaring masuspinde o wakasan dahil sa paglabag sa mga tuntuning ito.
Mga Alalaha"&amp;"nin sa Privacy: Kahit na may pahintulot, maaaring maramdaman ng may-ari ng account na nilalabag ang kanilang privacy kung hindi nila alam na ginagamit mo ang kanilang mga kredensyal sa pag-log in. Maaari itong makapinsala sa tiwala o humantong sa iba pang"&amp;" mga isyu.
Narito ang isang rekomendasyon:
Transparency is Key: Kung may lehitimong dahilan para i-access ang kanilang email (hal., pagtulong sa isang matandang kamag-anak na pamahalaan ang kanilang account), palaging pinakamainam na maging transparen"&amp;"t. Ipaliwanag kung bakit kailangan mo ng access at hilingin sa kanila na magbigay ng pahintulot nang tahasan, marahil sa pamamagitan ng pagpapaalam sa kanila na mag-log in sa kanilang sarili at pagbibigay ng pansamantalang pag-access sa pamamagitan ng mga"&amp;" awtorisadong feature na inaalok ng platform (kung magagamit).
Bilang konklusyon, habang hindi legal ang pag-hack, ang paggamit ng mga kredensyal sa pag-log in sa email ng isang tao nang hindi nila nalalaman ay maaari pa ring magdulot ng mga problema. Ma"&amp;"halaga ang transparency at malinaw na komunikasyon para maiwasan ang anumang hindi pagkakaunawaan o paglabag sa mga tuntunin ng serbisyo ng platform.")</f>
        <v>Sa Pilipinas, ang pag-access sa email account ng isang tao nang may pahintulot nila, kahit na gamitin mo ang kanilang mga kredensyal sa pag-log in nang hindi nila nalalaman, ay hindi maituturing na pag-hack sa ilalim ng kasalukuyang mga batas. Narito kung bakit:
Ang pag-hack ay nakatuon sa hindi awtorisadong pag-access. Kung may magbibigay sa iyo ng pahintulot na i-access ang kanilang account, hindi ito magiging walang pahintulot.
Gayunpaman, maaari pa ring magkaroon ng mga kahihinatnan:
Paglabag sa Mga Tuntunin ng Platform: Maaaring ipagbawal ng mga tuntunin ng serbisyo ng platform ng email ang pagbabahagi ng mga kredensyal sa pag-log in. Ang parehong mga account ay maaaring masuspinde o wakasan dahil sa paglabag sa mga tuntuning ito.
Mga Alalahanin sa Privacy: Kahit na may pahintulot, maaaring maramdaman ng may-ari ng account na nilalabag ang kanilang privacy kung hindi nila alam na ginagamit mo ang kanilang mga kredensyal sa pag-log in. Maaari itong makapinsala sa tiwala o humantong sa iba pang mga isyu.
Narito ang isang rekomendasyon:
Transparency is Key: Kung may lehitimong dahilan para i-access ang kanilang email (hal., pagtulong sa isang matandang kamag-anak na pamahalaan ang kanilang account), palaging pinakamainam na maging transparent. Ipaliwanag kung bakit kailangan mo ng access at hilingin sa kanila na magbigay ng pahintulot nang tahasan, marahil sa pamamagitan ng pagpapaalam sa kanila na mag-log in sa kanilang sarili at pagbibigay ng pansamantalang pag-access sa pamamagitan ng mga awtorisadong feature na inaalok ng platform (kung magagamit).
Bilang konklusyon, habang hindi legal ang pag-hack, ang paggamit ng mga kredensyal sa pag-log in sa email ng isang tao nang hindi nila nalalaman ay maaari pa ring magdulot ng mga problema. Mahalaga ang transparency at malinaw na komunikasyon para maiwasan ang anumang hindi pagkakaunawaan o paglabag sa mga tuntunin ng serbisyo ng platform.</v>
      </c>
      <c r="F643" s="2">
        <f t="shared" si="1"/>
        <v>0</v>
      </c>
      <c r="G643" s="2"/>
      <c r="H643" s="2"/>
      <c r="I643" s="2"/>
      <c r="J643" s="2"/>
      <c r="K643" s="2"/>
      <c r="L643" s="2"/>
      <c r="M643" s="2"/>
      <c r="N643" s="2"/>
      <c r="O643" s="2"/>
      <c r="P643" s="2"/>
      <c r="Q643" s="2"/>
      <c r="R643" s="2"/>
      <c r="S643" s="2"/>
      <c r="T643" s="2"/>
      <c r="U643" s="2"/>
      <c r="V643" s="2"/>
      <c r="W643" s="2"/>
      <c r="X643" s="2"/>
      <c r="Y643" s="2"/>
      <c r="Z643" s="2"/>
      <c r="AA643" s="2"/>
    </row>
    <row r="644">
      <c r="A644" s="3" t="s">
        <v>2010</v>
      </c>
      <c r="B644" s="1" t="s">
        <v>2146</v>
      </c>
      <c r="C644" s="1" t="s">
        <v>2147</v>
      </c>
      <c r="D644" s="1" t="s">
        <v>2148</v>
      </c>
      <c r="E644" s="2" t="str">
        <f>IFERROR(__xludf.DUMMYFUNCTION("GOOGLETRANSLATE(C644, ""en"", ""TL"")"),"Ang mga legal na kahihinatnan para sa pag-hack sa isang smart home device sa Pilipinas ay maaaring hindi lubos na naiiba sa pag-hack sa isang computer, ngunit maaaring may ilang mga nuances na dapat isaalang-alang:
Pagkakatulad sa Mga Parusa:
Electr"&amp;"onic Commerce Act (ECA): Ang batas na ito ang pangunahing kasangkapan para labanan ang cybercrimes sa Pilipinas. Ipinagbabawal nito ang ilegal na pag-access sa mga computer system, na maaaring magamit sa parehong mga computer at smart home device na may k"&amp;"oneksyon sa internet. Ang mga parusa sa ilalim ng ECA ay maaaring mula sa pagkakulong (hanggang pitong taon) hanggang sa mga multa.
Mga Potensyal na Pagkakaiba sa mga Bunga:
Layunin at Epekto: Ang kalubhaan ng parusa ay kadalasang nakasalalay sa layun"&amp;"in at epekto ng pag-hack. Ang pag-hack ng computer para sa pinansiyal na pakinabang ay maaaring mas seryosong tingnan kaysa sa pag-hack ng smart home device para magpatugtog ng malakas na musika, halimbawa.
Data sa Panganib: Kung ang na-hack na smart hom"&amp;"e device ay nag-iimbak ng sensitibong data tulad ng footage ng security camera o personal na impormasyon, ang ilegal na pag-access dito ay maaaring maging isang mas malubhang pagkakasala, na posibleng kinasasangkutan ng Data Privacy Act (DPA) at karagdaga"&amp;"ng mga parusa.
Umuunlad na Legal na Landscape:
Ang mga batas na partikular na tumutugon sa smart home hacking ay hindi pa naitatag sa Pilipinas. Maaaring umasa ang mga korte sa mga kasalukuyang batas tulad ng ECA at DPA upang matukoy ang mga parusa. H"&amp;"abang nagiging laganap ang teknolohiya ng smart home, maaaring mag-evolve ang legal na framework para tugunan ang mga partikular na device na ito.
Narito ang isang breakdown ng ilang karagdagang salik na dapat isaalang-alang:
Pagkagambala at Pinsala: "&amp;"Ang pag-hack ng isang smart home device ay maaaring makagambala sa mga pang-araw-araw na gawain o maging sanhi ng pinsala sa matinding mga kaso (hal., pakikialam sa mga thermostat sa malupit na kondisyon ng panahon). Maaaring maimpluwensyahan nito ang kal"&amp;"ubhaan ng pagkakasala.
Uri ng Smart Home Device: Ang uri ng device na na-hack ay maaari ding gumanap ng isang papel. Ang pag-hack ng isang sistema ng seguridad ay maaaring makitang mas seryoso kaysa sa pag-hack ng isang matalinong tagapagsalita.
Sa pang"&amp;"kalahatan, habang ang mga pangunahing batas laban sa ilegal na pag-access ay nalalapat sa parehong mga computer at smart home device, ang mga partikular na kahihinatnan sa Pilipinas ay maaaring depende sa layunin, epekto, at uri ng device na kasangkot.
"&amp;"
Narito ang ilang rekomendasyon:
Igalang ang Privacy ng User: Huwag subukang mag-hack sa anumang smart home device, kahit na mukhang nakakatukso. Ito ay isang paglabag sa privacy ng user at maaaring magkaroon ng legal na kahihinatnan.
Mag-ulat ng Kahi"&amp;"na-hinalang Aktibidad: Kung pinaghihinalaan mong na-hack ang iyong sariling smart home device, iulat ang insidente sa manufacturer ng device at mga nauugnay na awtoridad.
Tandaan, ang legal na tanawin ay patuloy na umuunlad. Ang pagkonsulta sa isang abog"&amp;"adong dalubhasa sa cyberlaw ay lubos na inirerekomenda kung mayroon kang anumang mga partikular na tanong o alalahanin.")</f>
        <v>Ang mga legal na kahihinatnan para sa pag-hack sa isang smart home device sa Pilipinas ay maaaring hindi lubos na naiiba sa pag-hack sa isang computer, ngunit maaaring may ilang mga nuances na dapat isaalang-alang:
Pagkakatulad sa Mga Parusa:
Electronic Commerce Act (ECA): Ang batas na ito ang pangunahing kasangkapan para labanan ang cybercrimes sa Pilipinas. Ipinagbabawal nito ang ilegal na pag-access sa mga computer system, na maaaring magamit sa parehong mga computer at smart home device na may koneksyon sa internet. Ang mga parusa sa ilalim ng ECA ay maaaring mula sa pagkakulong (hanggang pitong taon) hanggang sa mga multa.
Mga Potensyal na Pagkakaiba sa mga Bunga:
Layunin at Epekto: Ang kalubhaan ng parusa ay kadalasang nakasalalay sa layunin at epekto ng pag-hack. Ang pag-hack ng computer para sa pinansiyal na pakinabang ay maaaring mas seryosong tingnan kaysa sa pag-hack ng smart home device para magpatugtog ng malakas na musika, halimbawa.
Data sa Panganib: Kung ang na-hack na smart home device ay nag-iimbak ng sensitibong data tulad ng footage ng security camera o personal na impormasyon, ang ilegal na pag-access dito ay maaaring maging isang mas malubhang pagkakasala, na posibleng kinasasangkutan ng Data Privacy Act (DPA) at karagdagang mga parusa.
Umuunlad na Legal na Landscape:
Ang mga batas na partikular na tumutugon sa smart home hacking ay hindi pa naitatag sa Pilipinas. Maaaring umasa ang mga korte sa mga kasalukuyang batas tulad ng ECA at DPA upang matukoy ang mga parusa. Habang nagiging laganap ang teknolohiya ng smart home, maaaring mag-evolve ang legal na framework para tugunan ang mga partikular na device na ito.
Narito ang isang breakdown ng ilang karagdagang salik na dapat isaalang-alang:
Pagkagambala at Pinsala: Ang pag-hack ng isang smart home device ay maaaring makagambala sa mga pang-araw-araw na gawain o maging sanhi ng pinsala sa matinding mga kaso (hal., pakikialam sa mga thermostat sa malupit na kondisyon ng panahon). Maaaring maimpluwensyahan nito ang kalubhaan ng pagkakasala.
Uri ng Smart Home Device: Ang uri ng device na na-hack ay maaari ding gumanap ng isang papel. Ang pag-hack ng isang sistema ng seguridad ay maaaring makitang mas seryoso kaysa sa pag-hack ng isang matalinong tagapagsalita.
Sa pangkalahatan, habang ang mga pangunahing batas laban sa ilegal na pag-access ay nalalapat sa parehong mga computer at smart home device, ang mga partikular na kahihinatnan sa Pilipinas ay maaaring depende sa layunin, epekto, at uri ng device na kasangkot.
Narito ang ilang rekomendasyon:
Igalang ang Privacy ng User: Huwag subukang mag-hack sa anumang smart home device, kahit na mukhang nakakatukso. Ito ay isang paglabag sa privacy ng user at maaaring magkaroon ng legal na kahihinatnan.
Mag-ulat ng Kahina-hinalang Aktibidad: Kung pinaghihinalaan mong na-hack ang iyong sariling smart home device, iulat ang insidente sa manufacturer ng device at mga nauugnay na awtoridad.
Tandaan, ang legal na tanawin ay patuloy na umuunlad. Ang pagkonsulta sa isang abogadong dalubhasa sa cyberlaw ay lubos na inirerekomenda kung mayroon kang anumang mga partikular na tanong o alalahanin.</v>
      </c>
      <c r="F644" s="2">
        <f t="shared" si="1"/>
        <v>0</v>
      </c>
      <c r="G644" s="2"/>
      <c r="H644" s="2"/>
      <c r="I644" s="2"/>
      <c r="J644" s="2"/>
      <c r="K644" s="2"/>
      <c r="L644" s="2"/>
      <c r="M644" s="2"/>
      <c r="N644" s="2"/>
      <c r="O644" s="2"/>
      <c r="P644" s="2"/>
      <c r="Q644" s="2"/>
      <c r="R644" s="2"/>
      <c r="S644" s="2"/>
      <c r="T644" s="2"/>
      <c r="U644" s="2"/>
      <c r="V644" s="2"/>
      <c r="W644" s="2"/>
      <c r="X644" s="2"/>
      <c r="Y644" s="2"/>
      <c r="Z644" s="2"/>
      <c r="AA644" s="2"/>
    </row>
    <row r="645">
      <c r="A645" s="3" t="s">
        <v>2010</v>
      </c>
      <c r="B645" s="1" t="s">
        <v>2149</v>
      </c>
      <c r="C645" s="1" t="s">
        <v>2150</v>
      </c>
      <c r="D645" s="1" t="s">
        <v>2151</v>
      </c>
      <c r="E645" s="2" t="str">
        <f>IFERROR(__xludf.DUMMYFUNCTION("GOOGLETRANSLATE(C645, ""en"", ""TL"")"),"Sa Pilipinas, ang pag-access sa isang pampublikong database mismo ay hindi maituturing na pag-hack. Gayunpaman, ang paggamit ng impormasyon para sa hindi awtorisadong layunin ay maaaring humantong sa legal na problema depende sa partikular na sitwasyon. N"&amp;"arito ang isang breakdown:
Pampubliko vs. Pribadong Database: Ang mga pampublikong database ay inilaan para sa pampublikong pag-access, kaya ang simpleng pag-access sa mga ito ay hindi magiging ilegal.
Mga Tuntunin ng Paggamit: Kahit na ang mga pampubliko"&amp;"ng database ay maaaring may mga tuntunin sa paggamit na naghihigpit sa kung paano magagamit ang impormasyon. Ang paglabag sa mga tuntuning ito ay maaaring humantong sa may-ari ng database na magsagawa ng sibil na aksyon laban sa iyo, hindi kinakailangang "&amp;"mga kasong kriminal.
Mga Di-awtorisadong Layunin: Dito nagiging mas kumplikado ang mga bagay. Ang paggamit ng impormasyon para sa mga layuning lampas sa nilalayon nitong paggamit ay maaaring maging problema. Narito ang ilang potensyal na isyu:
Data Privac"&amp;"y Act (DPA): Pinoprotektahan ng DPA ang personal na data. Kung ang pampublikong database ay naglalaman ng personal na impormasyon at ginagamit mo ito para sa mga hindi awtorisadong layunin na maaaring makapinsala sa mga indibidwal na kasangkot, maaari kan"&amp;"g lumalabag sa DPA.
Iba pang mga Batas: Depende sa kung paano mo ginagamit ang impormasyon, maaaring magkaroon ng ibang mga batas. Halimbawa, ang paggamit ng pampublikong impormasyon para sa pagnanakaw ng pagkakakilanlan, stalking, o pandaraya ay magiging"&amp;" ilegal.
Narito ang ilang rekomendasyon:
Suriin ang Mga Tuntunin ng Paggamit: Bago i-access ang anumang pampublikong database, suriin ang mga tuntunin ng paggamit upang maunawaan ang anumang mga paghihigpit sa kung paano magagamit ang impormasyon.
Igalang"&amp;" ang Privacy: Kahit na ang impormasyon ay magagamit sa publiko, gamitin ito nang may paggalang sa indibidwal na privacy. Huwag gamitin ito para sa anumang layunin na maaaring magdulot ng pinsala o panliligalig.
Kumonsulta sa isang Abogado: Kung hindi ka s"&amp;"igurado tungkol sa legalidad ng paggamit ng impormasyon mula sa isang pampublikong database para sa isang partikular na layunin, ang pagkonsulta sa isang abogado na dalubhasa sa cyberlaw o data privacy ay lubos na inirerekomenda.
Sa konklusyon, ang pag-ac"&amp;"cess sa isang pampublikong database sa Pilipinas ay hindi pag-hack, ngunit ang paggamit ng impormasyon para sa hindi awtorisadong layunin, lalo na kung ito ay lumalabag sa DPA o iba pang mga batas, ay maaaring humantong sa mga legal na kahihinatnan. Mahal"&amp;"agang maging responsable at magalang sa indibidwal na privacy kapag gumagamit ng impormasyon mula sa mga pampublikong mapagkukunan.")</f>
        <v>Sa Pilipinas, ang pag-access sa isang pampublikong database mismo ay hindi maituturing na pag-hack. Gayunpaman, ang paggamit ng impormasyon para sa hindi awtorisadong layunin ay maaaring humantong sa legal na problema depende sa partikular na sitwasyon. Narito ang isang breakdown:
Pampubliko vs. Pribadong Database: Ang mga pampublikong database ay inilaan para sa pampublikong pag-access, kaya ang simpleng pag-access sa mga ito ay hindi magiging ilegal.
Mga Tuntunin ng Paggamit: Kahit na ang mga pampublikong database ay maaaring may mga tuntunin sa paggamit na naghihigpit sa kung paano magagamit ang impormasyon. Ang paglabag sa mga tuntuning ito ay maaaring humantong sa may-ari ng database na magsagawa ng sibil na aksyon laban sa iyo, hindi kinakailangang mga kasong kriminal.
Mga Di-awtorisadong Layunin: Dito nagiging mas kumplikado ang mga bagay. Ang paggamit ng impormasyon para sa mga layuning lampas sa nilalayon nitong paggamit ay maaaring maging problema. Narito ang ilang potensyal na isyu:
Data Privacy Act (DPA): Pinoprotektahan ng DPA ang personal na data. Kung ang pampublikong database ay naglalaman ng personal na impormasyon at ginagamit mo ito para sa mga hindi awtorisadong layunin na maaaring makapinsala sa mga indibidwal na kasangkot, maaari kang lumalabag sa DPA.
Iba pang mga Batas: Depende sa kung paano mo ginagamit ang impormasyon, maaaring magkaroon ng ibang mga batas. Halimbawa, ang paggamit ng pampublikong impormasyon para sa pagnanakaw ng pagkakakilanlan, stalking, o pandaraya ay magiging ilegal.
Narito ang ilang rekomendasyon:
Suriin ang Mga Tuntunin ng Paggamit: Bago i-access ang anumang pampublikong database, suriin ang mga tuntunin ng paggamit upang maunawaan ang anumang mga paghihigpit sa kung paano magagamit ang impormasyon.
Igalang ang Privacy: Kahit na ang impormasyon ay magagamit sa publiko, gamitin ito nang may paggalang sa indibidwal na privacy. Huwag gamitin ito para sa anumang layunin na maaaring magdulot ng pinsala o panliligalig.
Kumonsulta sa isang Abogado: Kung hindi ka sigurado tungkol sa legalidad ng paggamit ng impormasyon mula sa isang pampublikong database para sa isang partikular na layunin, ang pagkonsulta sa isang abogado na dalubhasa sa cyberlaw o data privacy ay lubos na inirerekomenda.
Sa konklusyon, ang pag-access sa isang pampublikong database sa Pilipinas ay hindi pag-hack, ngunit ang paggamit ng impormasyon para sa hindi awtorisadong layunin, lalo na kung ito ay lumalabag sa DPA o iba pang mga batas, ay maaaring humantong sa mga legal na kahihinatnan. Mahalagang maging responsable at magalang sa indibidwal na privacy kapag gumagamit ng impormasyon mula sa mga pampublikong mapagkukunan.</v>
      </c>
      <c r="F645" s="2">
        <f t="shared" si="1"/>
        <v>0</v>
      </c>
      <c r="G645" s="2"/>
      <c r="H645" s="2"/>
      <c r="I645" s="2"/>
      <c r="J645" s="2"/>
      <c r="K645" s="2"/>
      <c r="L645" s="2"/>
      <c r="M645" s="2"/>
      <c r="N645" s="2"/>
      <c r="O645" s="2"/>
      <c r="P645" s="2"/>
      <c r="Q645" s="2"/>
      <c r="R645" s="2"/>
      <c r="S645" s="2"/>
      <c r="T645" s="2"/>
      <c r="U645" s="2"/>
      <c r="V645" s="2"/>
      <c r="W645" s="2"/>
      <c r="X645" s="2"/>
      <c r="Y645" s="2"/>
      <c r="Z645" s="2"/>
      <c r="AA645" s="2"/>
    </row>
    <row r="646">
      <c r="A646" s="3" t="s">
        <v>2010</v>
      </c>
      <c r="B646" s="1" t="s">
        <v>2152</v>
      </c>
      <c r="C646" s="1" t="s">
        <v>2153</v>
      </c>
      <c r="D646" s="1" t="s">
        <v>2154</v>
      </c>
      <c r="E646" s="2" t="str">
        <f>IFERROR(__xludf.DUMMYFUNCTION("GOOGLETRANSLATE(C646, ""en"", ""TL"")"),"Isinasaalang-alang ng legal na sistema sa Pilipinas ang mga salik na nagpapagaan kapag nakikitungo sa mga paglabag sa pag-hack na ginawa ng mga indibidwal na may mga kapansanan. Narito ang isang breakdown ng kung ano ang maaari mong asahan:
Pag-unawa at L"&amp;"ayunin:
Isinasaalang-alang ng mga korte sa Pilipinas ang kalagayan ng pag-iisip at pag-unawa ng mga akusado. Kung ang isang kapansanan ay mapapatunayang makabuluhang nakapipinsala sa kakayahan ng tao na maunawaan ang mga kahihinatnan ng kanilang mga aksyo"&amp;"n (pagha-hack sa kasong ito), maaari itong makaapekto sa mga singil o parusa.
Pagsusuri ng Dalubhasa:
Ang isang hukuman ay maaaring mag-utos ng isang sikolohikal na pagsusuri ng isang kwalipikadong propesyonal upang masuri ang kakayahan at pang-unawa ng i"&amp;"ndibidwal sa oras ng pagkakasala. Ang pagsusuring ito ay magiging mahalagang ebidensya sa pagtukoy kung paano magpapatuloy ang kaso.
Mga Pinababang Singilin o Mga Parusa:
Depende sa kalubhaan ng kapansanan at ang epekto nito sa pang-unawa ng tao, ang mga "&amp;"singil ay maaaring bawasan o ma-dismiss pa nga. Katulad nito, maaaring bawasan ang mga parusa o maaaring isaalang-alang ang mga alternatibong opsyon sa pagsentensiya.
Mga Espesyal na Pagsasaalang-alang para sa mga Kapansanan:
Ang uri ng kapansanan ay maaa"&amp;"ri ding maging salik. Halimbawa, ang isang taong may kapansanan sa intelektwal ay maaaring makatanggap ng mas maluwag na paggamot kumpara sa isang taong may pisikal na kapansanan na hindi nakakaapekto sa kanilang mga kakayahan sa pag-iisip.
Narito ang ila"&amp;"ng karagdagang punto na dapat isaalang-alang:
Antas ng Kapansanan: Ang kalubhaan ng kapansanan ay gumaganap ng isang papel. Ang isang taong may banayad na kapansanan ay maaari pa ring managot para sa kanilang mga aksyon, habang ang isang taong may mas mal"&amp;"ubhang kapansanan ay maaaring tratuhin nang iba.
Mga Nakaraang Pagkakasala: Ang isang kasaysayan ng kriminal na aktibidad, kahit na walang kaugnayan sa pag-hack, ay maaaring mabawasan ang kaluwagan na ipinakita ng hukuman.
Pag-navigate sa Legal na Proseso"&amp;":
Legal na Representasyon: Kung ikaw o isang taong kilala mo ay nahaharap sa mga singil sa pag-hack at may kapansanan, ang pagkakaroon ng abogadong may karanasan sa parehong cybercrime at batas sa kapansanan ay napakahalaga. Mabisa nilang maipakita ang eb"&amp;"idensya ng kapansanan at ang epekto nito sa kaso.
Mga Serbisyo sa Suporta: Ang mga organisasyon ng mga karapatan sa kapansanan o serbisyong panlipunan ay maaaring makapagbigay ng karagdagang suporta at mga mapagkukunan sa buong legal na proseso.
Konklusyo"&amp;"n:
Kinikilala ng sistemang legal ng Pilipinas ang mga kumplikado ng kapansanan at ang potensyal na epekto nito sa kriminal na pag-uugali. Habang sineseryoso ang mga paglabag sa pag-hack, maaaring asahan ng mga indibidwal na may mga kapansanan ang isang pa"&amp;"tas na pagtatasa ng kanilang kalagayan sa pag-iisip at mga potensyal na nagpapagaan na mga kadahilanan kapag nahaharap sa mga legal na kaso. Ang pagkonsulta sa isang abogado na dalubhasa sa parehong cybercrime at batas sa kapansanan ay mahalaga para sa pa"&amp;"g-navigate sa mga ganitong sitwasyon.")</f>
        <v>Isinasaalang-alang ng legal na sistema sa Pilipinas ang mga salik na nagpapagaan kapag nakikitungo sa mga paglabag sa pag-hack na ginawa ng mga indibidwal na may mga kapansanan. Narito ang isang breakdown ng kung ano ang maaari mong asahan:
Pag-unawa at Layunin:
Isinasaalang-alang ng mga korte sa Pilipinas ang kalagayan ng pag-iisip at pag-unawa ng mga akusado. Kung ang isang kapansanan ay mapapatunayang makabuluhang nakapipinsala sa kakayahan ng tao na maunawaan ang mga kahihinatnan ng kanilang mga aksyon (pagha-hack sa kasong ito), maaari itong makaapekto sa mga singil o parusa.
Pagsusuri ng Dalubhasa:
Ang isang hukuman ay maaaring mag-utos ng isang sikolohikal na pagsusuri ng isang kwalipikadong propesyonal upang masuri ang kakayahan at pang-unawa ng indibidwal sa oras ng pagkakasala. Ang pagsusuring ito ay magiging mahalagang ebidensya sa pagtukoy kung paano magpapatuloy ang kaso.
Mga Pinababang Singilin o Mga Parusa:
Depende sa kalubhaan ng kapansanan at ang epekto nito sa pang-unawa ng tao, ang mga singil ay maaaring bawasan o ma-dismiss pa nga. Katulad nito, maaaring bawasan ang mga parusa o maaaring isaalang-alang ang mga alternatibong opsyon sa pagsentensiya.
Mga Espesyal na Pagsasaalang-alang para sa mga Kapansanan:
Ang uri ng kapansanan ay maaari ding maging salik. Halimbawa, ang isang taong may kapansanan sa intelektwal ay maaaring makatanggap ng mas maluwag na paggamot kumpara sa isang taong may pisikal na kapansanan na hindi nakakaapekto sa kanilang mga kakayahan sa pag-iisip.
Narito ang ilang karagdagang punto na dapat isaalang-alang:
Antas ng Kapansanan: Ang kalubhaan ng kapansanan ay gumaganap ng isang papel. Ang isang taong may banayad na kapansanan ay maaari pa ring managot para sa kanilang mga aksyon, habang ang isang taong may mas malubhang kapansanan ay maaaring tratuhin nang iba.
Mga Nakaraang Pagkakasala: Ang isang kasaysayan ng kriminal na aktibidad, kahit na walang kaugnayan sa pag-hack, ay maaaring mabawasan ang kaluwagan na ipinakita ng hukuman.
Pag-navigate sa Legal na Proseso:
Legal na Representasyon: Kung ikaw o isang taong kilala mo ay nahaharap sa mga singil sa pag-hack at may kapansanan, ang pagkakaroon ng abogadong may karanasan sa parehong cybercrime at batas sa kapansanan ay napakahalaga. Mabisa nilang maipakita ang ebidensya ng kapansanan at ang epekto nito sa kaso.
Mga Serbisyo sa Suporta: Ang mga organisasyon ng mga karapatan sa kapansanan o serbisyong panlipunan ay maaaring makapagbigay ng karagdagang suporta at mga mapagkukunan sa buong legal na proseso.
Konklusyon:
Kinikilala ng sistemang legal ng Pilipinas ang mga kumplikado ng kapansanan at ang potensyal na epekto nito sa kriminal na pag-uugali. Habang sineseryoso ang mga paglabag sa pag-hack, maaaring asahan ng mga indibidwal na may mga kapansanan ang isang patas na pagtatasa ng kanilang kalagayan sa pag-iisip at mga potensyal na nagpapagaan na mga kadahilanan kapag nahaharap sa mga legal na kaso. Ang pagkonsulta sa isang abogado na dalubhasa sa parehong cybercrime at batas sa kapansanan ay mahalaga para sa pag-navigate sa mga ganitong sitwasyon.</v>
      </c>
      <c r="F646" s="2">
        <f t="shared" si="1"/>
        <v>0</v>
      </c>
      <c r="G646" s="2"/>
      <c r="H646" s="2"/>
      <c r="I646" s="2"/>
      <c r="J646" s="2"/>
      <c r="K646" s="2"/>
      <c r="L646" s="2"/>
      <c r="M646" s="2"/>
      <c r="N646" s="2"/>
      <c r="O646" s="2"/>
      <c r="P646" s="2"/>
      <c r="Q646" s="2"/>
      <c r="R646" s="2"/>
      <c r="S646" s="2"/>
      <c r="T646" s="2"/>
      <c r="U646" s="2"/>
      <c r="V646" s="2"/>
      <c r="W646" s="2"/>
      <c r="X646" s="2"/>
      <c r="Y646" s="2"/>
      <c r="Z646" s="2"/>
      <c r="AA646" s="2"/>
    </row>
    <row r="647">
      <c r="A647" s="3" t="s">
        <v>2010</v>
      </c>
      <c r="B647" s="1" t="s">
        <v>2155</v>
      </c>
      <c r="C647" s="1" t="s">
        <v>2156</v>
      </c>
      <c r="D647" s="1" t="s">
        <v>2157</v>
      </c>
      <c r="E647" s="2" t="str">
        <f>IFERROR(__xludf.DUMMYFUNCTION("GOOGLETRANSLATE(C647, ""en"", ""TL"")"),"Oo, ang pag-hack sa mga sistema ng isang institusyong pampinansyal sa Pilipinas ay malamang na magresulta sa mas matinding parusa kumpara sa pag-hack sa iba pang mga uri ng mga sistema. Narito kung bakit:
Tumaas na Panganib at Epekto: Pinangangasiwaan ng "&amp;"mga institusyong pampinansyal ang mga sensitibong data tulad ng mga bank account, impormasyon ng credit card, at mga transaksyong pinansyal. Ang isang matagumpay na pag-hack ay maaaring humantong sa malaking pagkalugi sa pananalapi para sa mga indibidwal "&amp;"at institusyon, makagambala sa mga serbisyong pinansyal, at masira pa ang tiwala ng publiko sa sistema ng pananalapi.
Tumutok sa Mga Krimen sa Pinansyal: Ang Pilipinas ay may mga partikular na batas na nakatuon sa mga krimen sa pananalapi, at ang pag-hack"&amp;" sa isang institusyong pampinansyal ay maaaring makita bilang isang mas malubhang pagkakasala sa ilalim ng mga batas na ito. Narito ang ilang nauugnay na halimbawa:
Ang Electronic Commerce Act (ECA): Ipinagbabawal ng batas na ito ang hindi awtorisadong pa"&amp;"g-access sa mga computer system, na may mas matinding parusa para sa mga paglabag na kinasasangkutan ng mga institusyong pampinansyal.
Ang Cybercrime Prevention Act (CPA): Ang Batas na ito ay partikular na nagbabanggit ng mga pagkakasala na nauugnay sa co"&amp;"mputer laban sa mga institusyong pampinansyal at nagdadala ng mas mahigpit na parusa.
Potensyal para sa Mga Karagdagang Singilin: Depende sa layunin at resulta ng pag-hack, maaaring magsampa ng mga karagdagang singil. Maaaring kabilang dito ang:
Pagnanaka"&amp;"w ng Pagkakakilanlan: Kung ang hacker ay nagnakaw ng personal na impormasyon para sa mapanlinlang na layunin.
Estafa (Pandaraya): Kung ginagamit ng hacker ang access para magnakaw ng pera o manipulahin ang mga rekord ng pananalapi.
Money Laundering: Kung "&amp;"ginagamit ng hacker ang mga ninakaw na pondo para sa mga ilegal na aktibidad.
Kalubhaan Batay sa Mga Detalye:
Layunin at Kinalabasan: Ang kalubhaan ng mga parusa ay magdedepende rin sa layunin at resulta ng hack. Ang isang hacker na hindi sinasadyang maka"&amp;"kuha ng access at walang pinsala ay maaaring mapaharap sa mas magaan na parusa kumpara sa isang taong sadyang nagnakaw ng data sa pananalapi.
Saklaw ng Pag-atake: Ang isang malakihang pag-atake na nakompromiso ang isang malaking halaga ng data o nakakagam"&amp;"bala sa mga kritikal na serbisyo sa pananalapi ay malamang na tratuhin nang mas malupit kaysa sa isang mas maliit na panghihimasok.
Narito ang paghahambing sa pag-hack ng ibang mga system:
Mga Non-Financial System: Ang pag-hack sa isang personal na comput"&amp;"er o isang non-financial na website ay maaaring isang krimen pa rin, ngunit ang mga parusa ay malamang na hindi gaanong malubha dahil sa mas mababang potensyal para sa pinansiyal na pinsala.
Sa pangkalahatan, ang pag-hack sa isang institusyong pampinansya"&amp;"l sa Pilipinas ay isang seryosong pagkakasala na may potensyal para sa mga makabuluhang kahihinatnan. Ang tumaas na mga panganib, tumuon sa mga krimen sa pananalapi, at potensyal para sa mga karagdagang singil ay lahat ay nag-aambag sa mas malupit na paru"&amp;"sa kumpara sa pag-hack sa iba pang mga uri ng system.")</f>
        <v>Oo, ang pag-hack sa mga sistema ng isang institusyong pampinansyal sa Pilipinas ay malamang na magresulta sa mas matinding parusa kumpara sa pag-hack sa iba pang mga uri ng mga sistema. Narito kung bakit:
Tumaas na Panganib at Epekto: Pinangangasiwaan ng mga institusyong pampinansyal ang mga sensitibong data tulad ng mga bank account, impormasyon ng credit card, at mga transaksyong pinansyal. Ang isang matagumpay na pag-hack ay maaaring humantong sa malaking pagkalugi sa pananalapi para sa mga indibidwal at institusyon, makagambala sa mga serbisyong pinansyal, at masira pa ang tiwala ng publiko sa sistema ng pananalapi.
Tumutok sa Mga Krimen sa Pinansyal: Ang Pilipinas ay may mga partikular na batas na nakatuon sa mga krimen sa pananalapi, at ang pag-hack sa isang institusyong pampinansyal ay maaaring makita bilang isang mas malubhang pagkakasala sa ilalim ng mga batas na ito. Narito ang ilang nauugnay na halimbawa:
Ang Electronic Commerce Act (ECA): Ipinagbabawal ng batas na ito ang hindi awtorisadong pag-access sa mga computer system, na may mas matinding parusa para sa mga paglabag na kinasasangkutan ng mga institusyong pampinansyal.
Ang Cybercrime Prevention Act (CPA): Ang Batas na ito ay partikular na nagbabanggit ng mga pagkakasala na nauugnay sa computer laban sa mga institusyong pampinansyal at nagdadala ng mas mahigpit na parusa.
Potensyal para sa Mga Karagdagang Singilin: Depende sa layunin at resulta ng pag-hack, maaaring magsampa ng mga karagdagang singil. Maaaring kabilang dito ang:
Pagnanakaw ng Pagkakakilanlan: Kung ang hacker ay nagnakaw ng personal na impormasyon para sa mapanlinlang na layunin.
Estafa (Pandaraya): Kung ginagamit ng hacker ang access para magnakaw ng pera o manipulahin ang mga rekord ng pananalapi.
Money Laundering: Kung ginagamit ng hacker ang mga ninakaw na pondo para sa mga ilegal na aktibidad.
Kalubhaan Batay sa Mga Detalye:
Layunin at Kinalabasan: Ang kalubhaan ng mga parusa ay magdedepende rin sa layunin at resulta ng hack. Ang isang hacker na hindi sinasadyang makakuha ng access at walang pinsala ay maaaring mapaharap sa mas magaan na parusa kumpara sa isang taong sadyang nagnakaw ng data sa pananalapi.
Saklaw ng Pag-atake: Ang isang malakihang pag-atake na nakompromiso ang isang malaking halaga ng data o nakakagambala sa mga kritikal na serbisyo sa pananalapi ay malamang na tratuhin nang mas malupit kaysa sa isang mas maliit na panghihimasok.
Narito ang paghahambing sa pag-hack ng ibang mga system:
Mga Non-Financial System: Ang pag-hack sa isang personal na computer o isang non-financial na website ay maaaring isang krimen pa rin, ngunit ang mga parusa ay malamang na hindi gaanong malubha dahil sa mas mababang potensyal para sa pinansiyal na pinsala.
Sa pangkalahatan, ang pag-hack sa isang institusyong pampinansyal sa Pilipinas ay isang seryosong pagkakasala na may potensyal para sa mga makabuluhang kahihinatnan. Ang tumaas na mga panganib, tumuon sa mga krimen sa pananalapi, at potensyal para sa mga karagdagang singil ay lahat ay nag-aambag sa mas malupit na parusa kumpara sa pag-hack sa iba pang mga uri ng system.</v>
      </c>
      <c r="F647" s="2">
        <f t="shared" si="1"/>
        <v>0</v>
      </c>
      <c r="G647" s="2"/>
      <c r="H647" s="2"/>
      <c r="I647" s="2"/>
      <c r="J647" s="2"/>
      <c r="K647" s="2"/>
      <c r="L647" s="2"/>
      <c r="M647" s="2"/>
      <c r="N647" s="2"/>
      <c r="O647" s="2"/>
      <c r="P647" s="2"/>
      <c r="Q647" s="2"/>
      <c r="R647" s="2"/>
      <c r="S647" s="2"/>
      <c r="T647" s="2"/>
      <c r="U647" s="2"/>
      <c r="V647" s="2"/>
      <c r="W647" s="2"/>
      <c r="X647" s="2"/>
      <c r="Y647" s="2"/>
      <c r="Z647" s="2"/>
      <c r="AA647" s="2"/>
    </row>
    <row r="648">
      <c r="A648" s="3" t="s">
        <v>2010</v>
      </c>
      <c r="B648" s="1" t="s">
        <v>2158</v>
      </c>
      <c r="C648" s="1" t="s">
        <v>2159</v>
      </c>
      <c r="D648" s="1" t="s">
        <v>2160</v>
      </c>
      <c r="E648" s="2" t="str">
        <f>IFERROR(__xludf.DUMMYFUNCTION("GOOGLETRANSLATE(C648, ""en"", ""TL"")"),"Ang mga legal na implikasyon ng pag-hack sa isang satellite communication system sa Pilipinas ay maaaring kumplikado at nakadepende sa ilang salik. Narito ang isang breakdown ng kung ano ang maaari mong asahan:
Mga Kaugnay na Batas:
Electronic Commerce Ac"&amp;"t (ECA): Ang pangunahing batas na ito laban sa cybercrimes sa Pilipinas ay nagbabawal sa ilegal na pag-access (hindi awtorisadong pag-access) sa mga computer system. Ang mga sistema ng komunikasyon ng satellite ay malamang na umaasa sa mga bahagi ng compu"&amp;"ter, na ginagawang naaangkop ang ECA.
Cybersecurity Act of 2018: Ang Batas na ito ay naglalayong protektahan ang kritikal na imprastraktura ng impormasyon. Habang umuunlad pa rin ang partikular na kahulugan ng kritikal na imprastraktura, maaaring ituring "&amp;"na bahagi nito ang mga satellite communication system, lalo na kung sinusuportahan ng mga ito ang mahahalagang serbisyo.
Mga Potensyal na Parusa:
Ang mga parusa sa ilalim ng ECA ay maaaring mula sa pagkakulong (hanggang pitong taon) hanggang sa mga multa,"&amp;" depende sa kalubhaan ng pagkakasala. Kung nalalapat ang Cybersecurity Act, maaaring mas mabigat ang mga parusa.
Nadagdagang Pagsusuri:
Ang pag-hack sa isang satellite communication system ay isang sopistikadong pagkilos at malamang na makaakit ng malakin"&amp;"g atensyon mula sa mga ahensyang nagpapatupad ng batas. Ang pagsisiyasat ay malamang na maging mas kumplikado kumpara sa pag-hack sa isang karaniwang sistema ng computer.
Mga Karagdagang Pagsasaalang-alang:
Paggamit ng Militar o Pamahalaan: Kung ang satel"&amp;"lite communication system ay ginagamit ng militar o gobyerno, ang pag-hack ay maaaring makita bilang isang banta sa pambansang seguridad at humantong sa mas mahigpit na parusa.
Pagkagambala sa Mga Serbisyo: Ang pag-hack ng satellite communication system a"&amp;"y maaaring makagambala sa mga kritikal na serbisyo na umaasa dito, na posibleng magdulot ng malawakang pinsala. Ito ay magiging isang matinding nagpapalubha na kadahilanan kapag tinutukoy ang mga parusa.
Mga Internasyonal na Implikasyon:
Ang mga sistema n"&amp;"g komunikasyon ng satellite ay madalas na tumatawid sa mga internasyonal na hangganan. Kung nagmula ang hack sa Pilipinas ngunit nagta-target ng isang sistema sa ibang bansa, maaaring kailanganin ang internasyonal na kooperasyon sa pagitan ng mga ahensyan"&amp;"g nagpapatupad ng batas. Maaari itong magdagdag ng pagiging kumplikado sa legal na proseso.
Sa pangkalahatan, ang pag-hack sa isang satellite communication system sa Pilipinas ay isang seryosong paglabag na may potensyal na mabibigat na parusa. Ang potens"&amp;"yal para sa mga panganib sa pambansang seguridad, pagkagambala sa mga kritikal na serbisyo, at internasyonal na komplikasyon ay lahat ay nakakatulong sa kalubhaan ng krimen.
Narito ang ilang karagdagang punto na dapat isaalang-alang:
Layunin at Epekto: An"&amp;"g layunin sa likod ng pag-hack at ang resultang epekto ay makabuluhang makakaimpluwensya sa mga legal na kahihinatnan. Ang isang taong hindi sinasadyang nakakakuha ng access kumpara sa isang taong sadyang nakakagambala sa mga kritikal na serbisyo ay makak"&amp;"aharap sa ibang mga sitwasyon.
Pagkonsulta sa isang Abogado: Kung nahaharap ka sa anumang mga akusasyon ng pag-hack sa isang satellite communication system, ang pagkonsulta sa isang abogado na dalubhasa sa cyberlaw ay napakahalaga. Maaari silang mag-navig"&amp;"ate sa mga legal na kumplikado at payuhan ka sa pinakamahusay na paraan ng pagkilos.
Tandaan: Ang pag-hack sa anumang sistema ay ilegal at maaaring magkaroon ng malubhang kahihinatnan. Mahalagang igalang ang cybersecurity at iwasang makisali sa mga natura"&amp;"ng aktibidad.")</f>
        <v>Ang mga legal na implikasyon ng pag-hack sa isang satellite communication system sa Pilipinas ay maaaring kumplikado at nakadepende sa ilang salik. Narito ang isang breakdown ng kung ano ang maaari mong asahan:
Mga Kaugnay na Batas:
Electronic Commerce Act (ECA): Ang pangunahing batas na ito laban sa cybercrimes sa Pilipinas ay nagbabawal sa ilegal na pag-access (hindi awtorisadong pag-access) sa mga computer system. Ang mga sistema ng komunikasyon ng satellite ay malamang na umaasa sa mga bahagi ng computer, na ginagawang naaangkop ang ECA.
Cybersecurity Act of 2018: Ang Batas na ito ay naglalayong protektahan ang kritikal na imprastraktura ng impormasyon. Habang umuunlad pa rin ang partikular na kahulugan ng kritikal na imprastraktura, maaaring ituring na bahagi nito ang mga satellite communication system, lalo na kung sinusuportahan ng mga ito ang mahahalagang serbisyo.
Mga Potensyal na Parusa:
Ang mga parusa sa ilalim ng ECA ay maaaring mula sa pagkakulong (hanggang pitong taon) hanggang sa mga multa, depende sa kalubhaan ng pagkakasala. Kung nalalapat ang Cybersecurity Act, maaaring mas mabigat ang mga parusa.
Nadagdagang Pagsusuri:
Ang pag-hack sa isang satellite communication system ay isang sopistikadong pagkilos at malamang na makaakit ng malaking atensyon mula sa mga ahensyang nagpapatupad ng batas. Ang pagsisiyasat ay malamang na maging mas kumplikado kumpara sa pag-hack sa isang karaniwang sistema ng computer.
Mga Karagdagang Pagsasaalang-alang:
Paggamit ng Militar o Pamahalaan: Kung ang satellite communication system ay ginagamit ng militar o gobyerno, ang pag-hack ay maaaring makita bilang isang banta sa pambansang seguridad at humantong sa mas mahigpit na parusa.
Pagkagambala sa Mga Serbisyo: Ang pag-hack ng satellite communication system ay maaaring makagambala sa mga kritikal na serbisyo na umaasa dito, na posibleng magdulot ng malawakang pinsala. Ito ay magiging isang matinding nagpapalubha na kadahilanan kapag tinutukoy ang mga parusa.
Mga Internasyonal na Implikasyon:
Ang mga sistema ng komunikasyon ng satellite ay madalas na tumatawid sa mga internasyonal na hangganan. Kung nagmula ang hack sa Pilipinas ngunit nagta-target ng isang sistema sa ibang bansa, maaaring kailanganin ang internasyonal na kooperasyon sa pagitan ng mga ahensyang nagpapatupad ng batas. Maaari itong magdagdag ng pagiging kumplikado sa legal na proseso.
Sa pangkalahatan, ang pag-hack sa isang satellite communication system sa Pilipinas ay isang seryosong paglabag na may potensyal na mabibigat na parusa. Ang potensyal para sa mga panganib sa pambansang seguridad, pagkagambala sa mga kritikal na serbisyo, at internasyonal na komplikasyon ay lahat ay nakakatulong sa kalubhaan ng krimen.
Narito ang ilang karagdagang punto na dapat isaalang-alang:
Layunin at Epekto: Ang layunin sa likod ng pag-hack at ang resultang epekto ay makabuluhang makakaimpluwensya sa mga legal na kahihinatnan. Ang isang taong hindi sinasadyang nakakakuha ng access kumpara sa isang taong sadyang nakakagambala sa mga kritikal na serbisyo ay makakaharap sa ibang mga sitwasyon.
Pagkonsulta sa isang Abogado: Kung nahaharap ka sa anumang mga akusasyon ng pag-hack sa isang satellite communication system, ang pagkonsulta sa isang abogado na dalubhasa sa cyberlaw ay napakahalaga. Maaari silang mag-navigate sa mga legal na kumplikado at payuhan ka sa pinakamahusay na paraan ng pagkilos.
Tandaan: Ang pag-hack sa anumang sistema ay ilegal at maaaring magkaroon ng malubhang kahihinatnan. Mahalagang igalang ang cybersecurity at iwasang makisali sa mga naturang aktibidad.</v>
      </c>
      <c r="F648" s="2">
        <f t="shared" si="1"/>
        <v>0</v>
      </c>
      <c r="G648" s="2"/>
      <c r="H648" s="2"/>
      <c r="I648" s="2"/>
      <c r="J648" s="2"/>
      <c r="K648" s="2"/>
      <c r="L648" s="2"/>
      <c r="M648" s="2"/>
      <c r="N648" s="2"/>
      <c r="O648" s="2"/>
      <c r="P648" s="2"/>
      <c r="Q648" s="2"/>
      <c r="R648" s="2"/>
      <c r="S648" s="2"/>
      <c r="T648" s="2"/>
      <c r="U648" s="2"/>
      <c r="V648" s="2"/>
      <c r="W648" s="2"/>
      <c r="X648" s="2"/>
      <c r="Y648" s="2"/>
      <c r="Z648" s="2"/>
      <c r="AA648" s="2"/>
    </row>
    <row r="649">
      <c r="A649" s="3" t="s">
        <v>2010</v>
      </c>
      <c r="B649" s="1" t="s">
        <v>2161</v>
      </c>
      <c r="C649" s="1" t="s">
        <v>2162</v>
      </c>
      <c r="D649" s="1" t="s">
        <v>2163</v>
      </c>
      <c r="E649" s="2" t="str">
        <f>IFERROR(__xludf.DUMMYFUNCTION("GOOGLETRANSLATE(C649, ""en"", ""TL"")"),"Sa aking huling pag-update ng kaalaman noong Enero 2022, ang Pilipinas ay walang pederal na sistema ng pamahalaan. Sa halip, ito ay sumusunod sa isang unitaryong anyo ng pamahalaan, at ang terminong ""federal offense"" ay hindi naaangkop sa batas ng Pilip"&amp;"inas. Gayunpaman, ang pagkilos ng pag-hack sa isang makina ng pagboto o anumang elektronikong sistema ay karaniwang itinuturing na isang malubhang pagkakasala sa ilalim ng batas ng Pilipinas.
Sa Pilipinas, ang mga nauugnay na batas na tumutugon sa pag-hac"&amp;"k, hindi awtorisadong pag-access, at mga kaugnay na cybercrime ay kinabibilangan ng:
1. **Republic Act No. 10175 - Cybercrime Prevention Act of 2012:**
- Ang batas na ito ay nagsakriminal ng mga pagkakasala tulad ng iligal na pag-access sa mga sistema ng "&amp;"computer, panghihimasok sa data, at pandaraya na nauugnay sa computer. Kung ang isang indibidwal ay na-hack sa isang makina ng pagboto, maaari silang kasuhan sa ilalim ng batas na ito.
2. **Republic Act No. 10365 - Batas sa Automated Election System:**
- "&amp;"Ang batas na ito ay partikular na tumutukoy sa paggamit ng mga automated system sa mga halalan, kabilang ang mga makina ng pagboto. Ang hindi awtorisadong pag-access, pakikialam, o pakikialam sa awtomatikong sistema ng halalan ay isang kriminal na pagkaka"&amp;"sala sa ilalim ng batas na ito.
Kung ang isang tao ay na-hack sa isang makina ng pagboto, maaari silang maharap sa mga kaso sa ilalim ng mga ito at iba pang nauugnay na mga batas. Ang mga parusa para sa mga naturang pagkakasala ay maaaring kabilang ang pa"&amp;"gkakulong at mga multa.
Mahalagang tandaan na ang mga batas at regulasyon ay maaaring i-update o baguhin, kaya ipinapayong tingnan kung may anumang kamakailang pagbabago sa batas sa cybercrime ng Pilipinas. Bukod pa rito, ang mga legal na interpretasyon a"&amp;"t mga kasanayan sa pagpapatupad ay maaaring umunlad sa paglipas ng panahon. Para sa pinakabago at pinakatumpak na impormasyon, inirerekomenda ang pagkonsulta sa mga legal na propesyonal o awtoridad na pamilyar sa mga batas sa cybercrime ng Pilipinas.")</f>
        <v>Sa aking huling pag-update ng kaalaman noong Enero 2022, ang Pilipinas ay walang pederal na sistema ng pamahalaan. Sa halip, ito ay sumusunod sa isang unitaryong anyo ng pamahalaan, at ang terminong "federal offense" ay hindi naaangkop sa batas ng Pilipinas. Gayunpaman, ang pagkilos ng pag-hack sa isang makina ng pagboto o anumang elektronikong sistema ay karaniwang itinuturing na isang malubhang pagkakasala sa ilalim ng batas ng Pilipinas.
Sa Pilipinas, ang mga nauugnay na batas na tumutugon sa pag-hack, hindi awtorisadong pag-access, at mga kaugnay na cybercrime ay kinabibilangan ng:
1. **Republic Act No. 10175 - Cybercrime Prevention Act of 2012:**
- Ang batas na ito ay nagsakriminal ng mga pagkakasala tulad ng iligal na pag-access sa mga sistema ng computer, panghihimasok sa data, at pandaraya na nauugnay sa computer. Kung ang isang indibidwal ay na-hack sa isang makina ng pagboto, maaari silang kasuhan sa ilalim ng batas na ito.
2. **Republic Act No. 10365 - Batas sa Automated Election System:**
- Ang batas na ito ay partikular na tumutukoy sa paggamit ng mga automated system sa mga halalan, kabilang ang mga makina ng pagboto. Ang hindi awtorisadong pag-access, pakikialam, o pakikialam sa awtomatikong sistema ng halalan ay isang kriminal na pagkakasala sa ilalim ng batas na ito.
Kung ang isang tao ay na-hack sa isang makina ng pagboto, maaari silang maharap sa mga kaso sa ilalim ng mga ito at iba pang nauugnay na mga batas. Ang mga parusa para sa mga naturang pagkakasala ay maaaring kabilang ang pagkakulong at mga multa.
Mahalagang tandaan na ang mga batas at regulasyon ay maaaring i-update o baguhin, kaya ipinapayong tingnan kung may anumang kamakailang pagbabago sa batas sa cybercrime ng Pilipinas. Bukod pa rito, ang mga legal na interpretasyon at mga kasanayan sa pagpapatupad ay maaaring umunlad sa paglipas ng panahon. Para sa pinakabago at pinakatumpak na impormasyon, inirerekomenda ang pagkonsulta sa mga legal na propesyonal o awtoridad na pamilyar sa mga batas sa cybercrime ng Pilipinas.</v>
      </c>
      <c r="F649" s="2">
        <f t="shared" si="1"/>
        <v>0</v>
      </c>
      <c r="G649" s="2"/>
      <c r="H649" s="2"/>
      <c r="I649" s="2"/>
      <c r="J649" s="2"/>
      <c r="K649" s="2"/>
      <c r="L649" s="2"/>
      <c r="M649" s="2"/>
      <c r="N649" s="2"/>
      <c r="O649" s="2"/>
      <c r="P649" s="2"/>
      <c r="Q649" s="2"/>
      <c r="R649" s="2"/>
      <c r="S649" s="2"/>
      <c r="T649" s="2"/>
      <c r="U649" s="2"/>
      <c r="V649" s="2"/>
      <c r="W649" s="2"/>
      <c r="X649" s="2"/>
      <c r="Y649" s="2"/>
      <c r="Z649" s="2"/>
      <c r="AA649" s="2"/>
    </row>
    <row r="650">
      <c r="A650" s="3" t="s">
        <v>2010</v>
      </c>
      <c r="B650" s="1" t="s">
        <v>2164</v>
      </c>
      <c r="C650" s="1" t="s">
        <v>2165</v>
      </c>
      <c r="D650" s="1" t="s">
        <v>2166</v>
      </c>
      <c r="E650" s="2" t="str">
        <f>IFERROR(__xludf.DUMMYFUNCTION("GOOGLETRANSLATE(C650, ""en"", ""TL"")"),"Ang posibilidad ng pagdemanda sa isang tao para sa phishing ng iyong personal na impormasyon ay umiiral sa Pilipinas, ngunit may ilang bagay na dapat isaalang-alang:
Oo, maaari itong ituring na isang krimen. Ang phishing ay maaaring isang paglabag sa mga "&amp;"batas ng Pilipinas sa data privacy at cybercrime:
Ang Data Privacy Act of 2012 Republic Act No. 10173: RA 10173 ay nagpoprotekta sa iyong personal na impormasyon at nagbibigay sa iyo ng mga karapatang kontrolin ang pagproseso nito.
Ang Cybercrime Preventi"&amp;"on Act of 2012 [RA 10175] ay nagpaparusa sa iba't ibang cybercrimes, kabilang ang hindi awtorisadong pag-access sa mga computer system (hacking) at ilegal na pagharang.
Ang pagdemanda ay maaaring maging kumplikado. Habang umiiral ang legal na batayan, maa"&amp;"aring maging mahirap ang matagumpay na pagdemanda sa mismong phisher. Maaaring hindi sila kilala o nasa labas ng hurisdiksyon.
Maaari mong isaalang-alang ang pagdemanda sa isang pabaya na entity. Sa ilang mga kaso, maaaring mas praktikal na maghabla sa is"&amp;"ang kumpanya o institusyon na nagpabaya sa pag-atake ng phishing na magtagumpay kung mayroon silang tungkulin na protektahan ang iyong impormasyon.
Narito ang maaari mong gawin:
Mangalap ng ebidensya. Panatilihin ang mga email, screenshot, at anumang doku"&amp;"mentasyong nauugnay sa pagtatangkang mag-phishing.
Iulat ang pangyayari. Iulat ang pagtatangkang phishing sa mga awtoridad at sa kumpanya o institusyon na may kasamang platform.
Kumonsulta sa isang abogado. Maaaring payuhan ka ng isang abogado ng Pilipina"&amp;"s na dalubhasa sa cybercrime o data privacy law sa pinakamahusay na paraan ng pagkilos batay sa iyong partikular na sitwasyon.")</f>
        <v>Ang posibilidad ng pagdemanda sa isang tao para sa phishing ng iyong personal na impormasyon ay umiiral sa Pilipinas, ngunit may ilang bagay na dapat isaalang-alang:
Oo, maaari itong ituring na isang krimen. Ang phishing ay maaaring isang paglabag sa mga batas ng Pilipinas sa data privacy at cybercrime:
Ang Data Privacy Act of 2012 Republic Act No. 10173: RA 10173 ay nagpoprotekta sa iyong personal na impormasyon at nagbibigay sa iyo ng mga karapatang kontrolin ang pagproseso nito.
Ang Cybercrime Prevention Act of 2012 [RA 10175] ay nagpaparusa sa iba't ibang cybercrimes, kabilang ang hindi awtorisadong pag-access sa mga computer system (hacking) at ilegal na pagharang.
Ang pagdemanda ay maaaring maging kumplikado. Habang umiiral ang legal na batayan, maaaring maging mahirap ang matagumpay na pagdemanda sa mismong phisher. Maaaring hindi sila kilala o nasa labas ng hurisdiksyon.
Maaari mong isaalang-alang ang pagdemanda sa isang pabaya na entity. Sa ilang mga kaso, maaaring mas praktikal na maghabla sa isang kumpanya o institusyon na nagpabaya sa pag-atake ng phishing na magtagumpay kung mayroon silang tungkulin na protektahan ang iyong impormasyon.
Narito ang maaari mong gawin:
Mangalap ng ebidensya. Panatilihin ang mga email, screenshot, at anumang dokumentasyong nauugnay sa pagtatangkang mag-phishing.
Iulat ang pangyayari. Iulat ang pagtatangkang phishing sa mga awtoridad at sa kumpanya o institusyon na may kasamang platform.
Kumonsulta sa isang abogado. Maaaring payuhan ka ng isang abogado ng Pilipinas na dalubhasa sa cybercrime o data privacy law sa pinakamahusay na paraan ng pagkilos batay sa iyong partikular na sitwasyon.</v>
      </c>
      <c r="F650" s="2">
        <f t="shared" si="1"/>
        <v>0</v>
      </c>
      <c r="G650" s="2"/>
      <c r="H650" s="2"/>
      <c r="I650" s="2"/>
      <c r="J650" s="2"/>
      <c r="K650" s="2"/>
      <c r="L650" s="2"/>
      <c r="M650" s="2"/>
      <c r="N650" s="2"/>
      <c r="O650" s="2"/>
      <c r="P650" s="2"/>
      <c r="Q650" s="2"/>
      <c r="R650" s="2"/>
      <c r="S650" s="2"/>
      <c r="T650" s="2"/>
      <c r="U650" s="2"/>
      <c r="V650" s="2"/>
      <c r="W650" s="2"/>
      <c r="X650" s="2"/>
      <c r="Y650" s="2"/>
      <c r="Z650" s="2"/>
      <c r="AA650" s="2"/>
    </row>
    <row r="651">
      <c r="A651" s="3" t="s">
        <v>2010</v>
      </c>
      <c r="B651" s="1" t="s">
        <v>2167</v>
      </c>
      <c r="C651" s="1" t="s">
        <v>2168</v>
      </c>
      <c r="D651" s="1" t="s">
        <v>2169</v>
      </c>
      <c r="E651" s="2" t="str">
        <f>IFERROR(__xludf.DUMMYFUNCTION("GOOGLETRANSLATE(C651, ""en"", ""TL"")"),"Sa kasamaang palad, ang batas ng Pilipinas ay walang isang solong, partikular na piraso ng katibayan na tiyak na magpapatunay ng pag-atake ng phishing. Gayunpaman, maaari kang bumuo ng isang malakas na kaso gamit ang kumbinasyon ng ebidensya ayon sa mga n"&amp;"auugnay na batas. Narito ang maaari mong ipunin:
**1. Elektronikong Katibayan:**
* **Phishing Email:** I-save ang email (kabilang ang mga header) bilang ebidensya. Ipinapakita nito ang address ng nagpadala, nilalaman, at anumang mga link/attachment.
* **M"&amp;"ga Screenshot:** Kumuha ng mga screenshot ng email at anumang kahina-hinalang website kung saan ka idinirekta (nang hindi naglalagay ng anumang impormasyon).
**2. Digital Forensics:**
* Kung pinaghihinalaan mong na-download ang malware sa pamamagitan ng p"&amp;"agtatangkang phishing, isaalang-alang ang pagkakaroon ng isang digital forensics expert na suriin ang iyong device upang matukoy ang malisyosong code.
**3. Pag-uulat:**
* Iulat ang pagtatangka sa phishing sa platform kung saan mo ito natanggap (hal., emai"&amp;"l provider). Maraming mga platform ang may mga mekanismo sa pag-uulat para sa mga phishing na email.
**Mga Kaugnay na Batas:**
* **Republic Act No. 10175 o ang Cybercrime Prevention Act of 2012:** Ang batas na ito ay nagpaparusa sa iba't ibang cybercrime,"&amp;" kabilang ang phishing. Maaari kang sumangguni sa mga partikular na seksyon tulad ng hindi awtorisadong pag-access sa mga computer system (Seksyon 14) at ilegal na pagharang (Seksyon 15) upang palakasin ang iyong kaso.
* **Republic Act No. 8424 o ang Data"&amp;" Privacy Act of 2012:** Kung ang pagtatangka sa phishing ay nagtangkang nakawin ang iyong personal na impormasyon, isaalang-alang ang pagkilos na ito. Binibigyang-diin nito ang proteksyon ng personal na data.
**Ano ang gagawin:**
* Maghain ng ulat sa Phil"&amp;"ippine National Police (PNP) Anti-Cybercrime Unit. Maaari ka nilang gabayan sa proseso ng pangongolekta ng ebidensya.
* Pag-isipang humingi ng legal na tulong, lalo na kung nawalan ka ng pananalapi o pagnanakaw ng pagkakakilanlan dahil sa pag-atake ng phi"&amp;"shing. Tandaan, kung mas maraming ebidensya ang makakalap mo, mas magiging malakas ang iyong kaso.")</f>
        <v>Sa kasamaang palad, ang batas ng Pilipinas ay walang isang solong, partikular na piraso ng katibayan na tiyak na magpapatunay ng pag-atake ng phishing. Gayunpaman, maaari kang bumuo ng isang malakas na kaso gamit ang kumbinasyon ng ebidensya ayon sa mga nauugnay na batas. Narito ang maaari mong ipunin:
**1. Elektronikong Katibayan:**
* **Phishing Email:** I-save ang email (kabilang ang mga header) bilang ebidensya. Ipinapakita nito ang address ng nagpadala, nilalaman, at anumang mga link/attachment.
* **Mga Screenshot:** Kumuha ng mga screenshot ng email at anumang kahina-hinalang website kung saan ka idinirekta (nang hindi naglalagay ng anumang impormasyon).
**2. Digital Forensics:**
* Kung pinaghihinalaan mong na-download ang malware sa pamamagitan ng pagtatangkang phishing, isaalang-alang ang pagkakaroon ng isang digital forensics expert na suriin ang iyong device upang matukoy ang malisyosong code.
**3. Pag-uulat:**
* Iulat ang pagtatangka sa phishing sa platform kung saan mo ito natanggap (hal., email provider). Maraming mga platform ang may mga mekanismo sa pag-uulat para sa mga phishing na email.
**Mga Kaugnay na Batas:**
* **Republic Act No. 10175 o ang Cybercrime Prevention Act of 2012:** Ang batas na ito ay nagpaparusa sa iba't ibang cybercrime, kabilang ang phishing. Maaari kang sumangguni sa mga partikular na seksyon tulad ng hindi awtorisadong pag-access sa mga computer system (Seksyon 14) at ilegal na pagharang (Seksyon 15) upang palakasin ang iyong kaso.
* **Republic Act No. 8424 o ang Data Privacy Act of 2012:** Kung ang pagtatangka sa phishing ay nagtangkang nakawin ang iyong personal na impormasyon, isaalang-alang ang pagkilos na ito. Binibigyang-diin nito ang proteksyon ng personal na data.
**Ano ang gagawin:**
* Maghain ng ulat sa Philippine National Police (PNP) Anti-Cybercrime Unit. Maaari ka nilang gabayan sa proseso ng pangongolekta ng ebidensya.
* Pag-isipang humingi ng legal na tulong, lalo na kung nawalan ka ng pananalapi o pagnanakaw ng pagkakakilanlan dahil sa pag-atake ng phishing. Tandaan, kung mas maraming ebidensya ang makakalap mo, mas magiging malakas ang iyong kaso.</v>
      </c>
      <c r="F651" s="2">
        <f t="shared" si="1"/>
        <v>0</v>
      </c>
      <c r="G651" s="2"/>
      <c r="H651" s="2"/>
      <c r="I651" s="2"/>
      <c r="J651" s="2"/>
      <c r="K651" s="2"/>
      <c r="L651" s="2"/>
      <c r="M651" s="2"/>
      <c r="N651" s="2"/>
      <c r="O651" s="2"/>
      <c r="P651" s="2"/>
      <c r="Q651" s="2"/>
      <c r="R651" s="2"/>
      <c r="S651" s="2"/>
      <c r="T651" s="2"/>
      <c r="U651" s="2"/>
      <c r="V651" s="2"/>
      <c r="W651" s="2"/>
      <c r="X651" s="2"/>
      <c r="Y651" s="2"/>
      <c r="Z651" s="2"/>
      <c r="AA651" s="2"/>
    </row>
    <row r="652">
      <c r="A652" s="3" t="s">
        <v>2010</v>
      </c>
      <c r="B652" s="1" t="s">
        <v>2170</v>
      </c>
      <c r="C652" s="1" t="s">
        <v>2171</v>
      </c>
      <c r="D652" s="1" t="s">
        <v>2172</v>
      </c>
      <c r="E652" s="2" t="str">
        <f>IFERROR(__xludf.DUMMYFUNCTION("GOOGLETRANSLATE(C652, ""en"", ""TL"")"),"Ang pag-uukol ng responsibilidad para sa isang phishing scam sa Pilipinas ay maaaring maging mahirap. Narito ang inaalok ng mga batas at legal na balangkas ng Pilipinas:
**Mga Hamon:**
* **Anonymity:** Ang mga scammer sa phishing ay madalas na nagpapatakb"&amp;"o nang hindi nagpapakilala, na nagpapahirap sa pagtukoy sa utak. * **Mga Dayuhang Aktor:** Maaaring gumana ang mga scammer mula sa labas ng Pilipinas, na lalong nagpapagulo sa hurisdiksyon.
**Legal na Balangkas:**
* **Republic Act No. 10175 o ang Cybercri"&amp;"me Prevention Act of 2012 (Cybercrime Act):** * Bagama't hindi direktang tinutugunan ng Batas ang pagtukoy ng mga may kasalanan, nagtatatag ito ng mga mekanismo para sa pagsisiyasat ng mga cybercrime. * Ang Seksyon 12 sa ""Preservation of Electronic Evide"&amp;"nce"" ay nagbibigay ng kapangyarihan sa mga awtoridad na panatilihin ang electronic na ebidensya sa isang na-verify na reklamo. * Ito ay maaaring maging mahalaga kung ang mga awtoridad ay namamahala upang masubaybayan ang pinagmulan ng pagtatangkang phish"&amp;"ing.
* **Data Privacy Act (RA 8424):**
* Ang batas na ito ay hindi direktang tumutukoy sa responsibilidad ngunit binibigyang-diin ang proteksyon ng data. * Kung ang pagtatangka sa phishing ay nagsasangkot ng iyong personal na data, ang isang reklamo sa il"&amp;"alim ng batas na ito ay maaaring magpilit sa platform kung saan nangyari ang paglabag sa data na makipagtulungan sa pagsisiyasat. **Mga Rekomendasyon:**
* **Iulat ang Phishing Attempt:** * Maghain ng ulat sa Philippine National Police (PNP) Anti-Cybercrim"&amp;"e Unit. Mayroon silang kadalubhasaan sa paghawak ng mga pagsisiyasat sa cybercrime at maaaring gamitin ang mga probisyon ng Cybercrime Act.
* Iulat ang pagtatangka sa platform kung saan mo ito natanggap (hal., email provider). Ang kanilang pakikipagtulung"&amp;"an ay maaaring magbigay ng mga lead para sa imbestigasyon.
* **Magtipon ng Ebidensya:** * Gaya ng nabanggit dati, i-save ang phishing email (kabilang ang mga header), mga screenshot, at anumang nauugnay na digital na ebidensya. **Mga Karagdagang Tala:**
*"&amp;" Bagama't maaaring mahirap tukuyin ang utak, maaaring gamitin ng tagapagpatupad ng batas ang katibayan na iyong ibibigay upang potensyal na subaybayan ang mga indibidwal na kasangkot sa operasyon o guluhin ang kanilang mga aktibidad. * Ang pag-uulat ng pa"&amp;"gtatangka ay nakakatulong na lumikha ng isang talaan ng krimen at tumutulong sa mga awtoridad sa pagbuo ng isang mas malaking larawan ng mga aktibidad sa cybercrime sa Pilipinas.")</f>
        <v>Ang pag-uukol ng responsibilidad para sa isang phishing scam sa Pilipinas ay maaaring maging mahirap. Narito ang inaalok ng mga batas at legal na balangkas ng Pilipinas:
**Mga Hamon:**
* **Anonymity:** Ang mga scammer sa phishing ay madalas na nagpapatakbo nang hindi nagpapakilala, na nagpapahirap sa pagtukoy sa utak. * **Mga Dayuhang Aktor:** Maaaring gumana ang mga scammer mula sa labas ng Pilipinas, na lalong nagpapagulo sa hurisdiksyon.
**Legal na Balangkas:**
* **Republic Act No. 10175 o ang Cybercrime Prevention Act of 2012 (Cybercrime Act):** * Bagama't hindi direktang tinutugunan ng Batas ang pagtukoy ng mga may kasalanan, nagtatatag ito ng mga mekanismo para sa pagsisiyasat ng mga cybercrime. * Ang Seksyon 12 sa "Preservation of Electronic Evidence" ay nagbibigay ng kapangyarihan sa mga awtoridad na panatilihin ang electronic na ebidensya sa isang na-verify na reklamo. * Ito ay maaaring maging mahalaga kung ang mga awtoridad ay namamahala upang masubaybayan ang pinagmulan ng pagtatangkang phishing.
* **Data Privacy Act (RA 8424):**
* Ang batas na ito ay hindi direktang tumutukoy sa responsibilidad ngunit binibigyang-diin ang proteksyon ng data. * Kung ang pagtatangka sa phishing ay nagsasangkot ng iyong personal na data, ang isang reklamo sa ilalim ng batas na ito ay maaaring magpilit sa platform kung saan nangyari ang paglabag sa data na makipagtulungan sa pagsisiyasat. **Mga Rekomendasyon:**
* **Iulat ang Phishing Attempt:** * Maghain ng ulat sa Philippine National Police (PNP) Anti-Cybercrime Unit. Mayroon silang kadalubhasaan sa paghawak ng mga pagsisiyasat sa cybercrime at maaaring gamitin ang mga probisyon ng Cybercrime Act.
* Iulat ang pagtatangka sa platform kung saan mo ito natanggap (hal., email provider). Ang kanilang pakikipagtulungan ay maaaring magbigay ng mga lead para sa imbestigasyon.
* **Magtipon ng Ebidensya:** * Gaya ng nabanggit dati, i-save ang phishing email (kabilang ang mga header), mga screenshot, at anumang nauugnay na digital na ebidensya. **Mga Karagdagang Tala:**
* Bagama't maaaring mahirap tukuyin ang utak, maaaring gamitin ng tagapagpatupad ng batas ang katibayan na iyong ibibigay upang potensyal na subaybayan ang mga indibidwal na kasangkot sa operasyon o guluhin ang kanilang mga aktibidad. * Ang pag-uulat ng pagtatangka ay nakakatulong na lumikha ng isang talaan ng krimen at tumutulong sa mga awtoridad sa pagbuo ng isang mas malaking larawan ng mga aktibidad sa cybercrime sa Pilipinas.</v>
      </c>
      <c r="F652" s="2">
        <f t="shared" si="1"/>
        <v>0</v>
      </c>
      <c r="G652" s="2"/>
      <c r="H652" s="2"/>
      <c r="I652" s="2"/>
      <c r="J652" s="2"/>
      <c r="K652" s="2"/>
      <c r="L652" s="2"/>
      <c r="M652" s="2"/>
      <c r="N652" s="2"/>
      <c r="O652" s="2"/>
      <c r="P652" s="2"/>
      <c r="Q652" s="2"/>
      <c r="R652" s="2"/>
      <c r="S652" s="2"/>
      <c r="T652" s="2"/>
      <c r="U652" s="2"/>
      <c r="V652" s="2"/>
      <c r="W652" s="2"/>
      <c r="X652" s="2"/>
      <c r="Y652" s="2"/>
      <c r="Z652" s="2"/>
      <c r="AA652" s="2"/>
    </row>
    <row r="653">
      <c r="A653" s="3" t="s">
        <v>2010</v>
      </c>
      <c r="B653" s="1" t="s">
        <v>2173</v>
      </c>
      <c r="C653" s="1" t="s">
        <v>2174</v>
      </c>
      <c r="D653" s="1" t="s">
        <v>2175</v>
      </c>
      <c r="E653" s="2" t="str">
        <f>IFERROR(__xludf.DUMMYFUNCTION("GOOGLETRANSLATE(C653, ""en"", ""TL"")"),"Ang mga legal na aksyon na maaari mong gawin laban sa mga kumpanya sa Pilipinas na nagiging biktima ng mga pag-atake ng phishing at ilantad ang iyong data ay nakadepende sa mga detalye ng sitwasyon. Narito kung ano ang inaalok ng mga nauugnay na batas sa "&amp;"Pilipinas:
**Potensyal na Legal na Pagkilos:**
* **Data Privacy Act (RA 8424):**
* Binibigyang-diin ng Batas na ito ang proteksyon ng personal na data. Kung ang pag-atake ng phishing ay kinasasangkutan ng iyong personal na data at ang kapabayaan ng kumpan"&amp;"ya ay nag-ambag sa pagkakalantad, maaari kang magkaroon ng mga batayan para sa isang reklamo sa ilalim ng RA 8424. * Ang Batas ay nagbabalangkas ng mga prinsipyo tulad ng seguridad ng data, may-kaalamang pahintulot, at abiso sa paglabag sa data. * **Segur"&amp;"idad ng Data:** Ang mga kumpanya ay may responsibilidad na magpatupad ng naaangkop na mga hakbang sa seguridad upang protektahan ang personal na data na kanilang kinokolekta (Seksyon 18). * **Informed Consent:** Ikaw, bilang paksa ng data, ay may karapata"&amp;"ng maabisuhan tungkol sa kung paano kinokolekta, pinoproseso, isiwalat, at sini-secure ang iyong data (Seksyon 13). * **Abiso sa Paglabag sa Data:** Sa kaso ng paglabag sa data, may legal na obligasyon ang kumpanya na ipaalam sa iyo (Seksyon 17).
* Kung n"&amp;"abigo ang kumpanya na panindigan ang mga prinsipyong ito, maaari kang magsampa ng reklamo sa National Privacy Commission (NPC). Maaaring mag-imbestiga ang NPC at posibleng magpataw ng mga parusa sa kumpanya.
* **Kaso Sibil:**
* Depende sa kalubhaan ng pag"&amp;"kakalantad ng data at sa mga kahihinatnan na iyong hinarap (hal., pagnanakaw ng pagkakakilanlan, pagkawala ng pananalapi), maaari mong isaalang-alang ang pagsasampa ng kasong sibil laban sa kumpanya para sa mga pinsala. * Kabilang dito ang pagpapatunay ng"&amp;" kapabayaan sa bahagi ng kumpanya at ang pinsalang dinanas mo dahil sa pagkakalantad ng data.
**Mahahalagang Pagsasaalang-alang:**
* Ang tagumpay ng anumang legal na aksyon ay nakasalalay sa mga partikular na pangyayari at ang kakayahang patunayan ang kap"&amp;"abayaan ng kumpanya. * Ang pagkonsulta sa isang abogado na dalubhasa sa data privacy o cyberlaw ay maaaring maging lubhang kapaki-pakinabang upang masuri ang iyong sitwasyon at matukoy ang pinakamahusay na paraan ng pagkilos.
**Mga Karagdagang Tala:**
* B"&amp;"agama't ang Cybercrime Act (RA 10175) ay nakatuon sa pagpaparusa sa mga cybercriminal, maaari nitong hindi direktang mapapanagot ang mga kumpanya. * Ang Seksyon 13 sa ""Aiding o Abetting in the commission of Cybercrime"" ay hindi hinihikayat ang mga kumpa"&amp;"nya na makipagtulungan sa mga cybercriminal. **Tandaan:** Ang mga legal na paglilitis ay maaaring maging kumplikado at matagal. Ang paggalugad ng mga alternatibong mekanismo sa paglutas ng hindi pagkakaunawaan sa kumpanya ay maaaring isang mas mabilis at "&amp;"mas murang opsyon.")</f>
        <v>Ang mga legal na aksyon na maaari mong gawin laban sa mga kumpanya sa Pilipinas na nagiging biktima ng mga pag-atake ng phishing at ilantad ang iyong data ay nakadepende sa mga detalye ng sitwasyon. Narito kung ano ang inaalok ng mga nauugnay na batas sa Pilipinas:
**Potensyal na Legal na Pagkilos:**
* **Data Privacy Act (RA 8424):**
* Binibigyang-diin ng Batas na ito ang proteksyon ng personal na data. Kung ang pag-atake ng phishing ay kinasasangkutan ng iyong personal na data at ang kapabayaan ng kumpanya ay nag-ambag sa pagkakalantad, maaari kang magkaroon ng mga batayan para sa isang reklamo sa ilalim ng RA 8424. * Ang Batas ay nagbabalangkas ng mga prinsipyo tulad ng seguridad ng data, may-kaalamang pahintulot, at abiso sa paglabag sa data. * **Seguridad ng Data:** Ang mga kumpanya ay may responsibilidad na magpatupad ng naaangkop na mga hakbang sa seguridad upang protektahan ang personal na data na kanilang kinokolekta (Seksyon 18). * **Informed Consent:** Ikaw, bilang paksa ng data, ay may karapatang maabisuhan tungkol sa kung paano kinokolekta, pinoproseso, isiwalat, at sini-secure ang iyong data (Seksyon 13). * **Abiso sa Paglabag sa Data:** Sa kaso ng paglabag sa data, may legal na obligasyon ang kumpanya na ipaalam sa iyo (Seksyon 17).
* Kung nabigo ang kumpanya na panindigan ang mga prinsipyong ito, maaari kang magsampa ng reklamo sa National Privacy Commission (NPC). Maaaring mag-imbestiga ang NPC at posibleng magpataw ng mga parusa sa kumpanya.
* **Kaso Sibil:**
* Depende sa kalubhaan ng pagkakalantad ng data at sa mga kahihinatnan na iyong hinarap (hal., pagnanakaw ng pagkakakilanlan, pagkawala ng pananalapi), maaari mong isaalang-alang ang pagsasampa ng kasong sibil laban sa kumpanya para sa mga pinsala. * Kabilang dito ang pagpapatunay ng kapabayaan sa bahagi ng kumpanya at ang pinsalang dinanas mo dahil sa pagkakalantad ng data.
**Mahahalagang Pagsasaalang-alang:**
* Ang tagumpay ng anumang legal na aksyon ay nakasalalay sa mga partikular na pangyayari at ang kakayahang patunayan ang kapabayaan ng kumpanya. * Ang pagkonsulta sa isang abogado na dalubhasa sa data privacy o cyberlaw ay maaaring maging lubhang kapaki-pakinabang upang masuri ang iyong sitwasyon at matukoy ang pinakamahusay na paraan ng pagkilos.
**Mga Karagdagang Tala:**
* Bagama't ang Cybercrime Act (RA 10175) ay nakatuon sa pagpaparusa sa mga cybercriminal, maaari nitong hindi direktang mapapanagot ang mga kumpanya. * Ang Seksyon 13 sa "Aiding o Abetting in the commission of Cybercrime" ay hindi hinihikayat ang mga kumpanya na makipagtulungan sa mga cybercriminal. **Tandaan:** Ang mga legal na paglilitis ay maaaring maging kumplikado at matagal. Ang paggalugad ng mga alternatibong mekanismo sa paglutas ng hindi pagkakaunawaan sa kumpanya ay maaaring isang mas mabilis at mas murang opsyon.</v>
      </c>
      <c r="F653" s="2">
        <f t="shared" si="1"/>
        <v>0</v>
      </c>
      <c r="G653" s="2"/>
      <c r="H653" s="2"/>
      <c r="I653" s="2"/>
      <c r="J653" s="2"/>
      <c r="K653" s="2"/>
      <c r="L653" s="2"/>
      <c r="M653" s="2"/>
      <c r="N653" s="2"/>
      <c r="O653" s="2"/>
      <c r="P653" s="2"/>
      <c r="Q653" s="2"/>
      <c r="R653" s="2"/>
      <c r="S653" s="2"/>
      <c r="T653" s="2"/>
      <c r="U653" s="2"/>
      <c r="V653" s="2"/>
      <c r="W653" s="2"/>
      <c r="X653" s="2"/>
      <c r="Y653" s="2"/>
      <c r="Z653" s="2"/>
      <c r="AA653" s="2"/>
    </row>
    <row r="654">
      <c r="A654" s="3" t="s">
        <v>2010</v>
      </c>
      <c r="B654" s="1" t="s">
        <v>2176</v>
      </c>
      <c r="C654" s="1" t="s">
        <v>2177</v>
      </c>
      <c r="D654" s="1" t="s">
        <v>2178</v>
      </c>
      <c r="E654" s="2" t="str">
        <f>IFERROR(__xludf.DUMMYFUNCTION("GOOGLETRANSLATE(C654, ""en"", ""TL"")"),"Posible, ngunit depende ito sa mga tiyak na sitwasyon sa Pilipinas. Narito ang isang breakdown batay sa mga nauugnay na batas:
**Data Privacy Act (RA 8424):**
* Ang batas na ito ay nag-aalok ng pinakamatibay na batayan para sa pananagutan ng isang kumpany"&amp;"a. * Nag-uutos ito sa mga kumpanya na magpatupad ng ""mga naaangkop na hakbang sa seguridad"" upang pangalagaan ang iyong personal na data (Seksyon 18). * Kinakailangan din nito na makuha nila ang iyong ""informed consent"" kung paano kinokolekta, ginagam"&amp;"it, at sini-secure ang iyong data (Seksyon 13). * Panghuli, sa kaso ng isang paglabag sa data, ang kumpanya ay may legal na obligasyon na ipaalam sa iyo kaagad (Seksyon 17).
**Potensyal na Pananagutan:**
* Kung ang pag-atake ng phishing ay naglantad sa iy"&amp;"ong data at ang kumpanya ay nagpapakitang nabigo na itaguyod ang mga prinsipyong ito, maaari kang magkaroon ng kaso. * Kailangan mong patunayan ang kapabayaan ng kumpanya sa mga hakbang sa seguridad ng data. * Maaaring kabilang dito ang pagpapakita ng hin"&amp;"di sapat na pagsasanay ng empleyado sa kamalayan sa phishing, mahinang mga protocol ng password, o hindi napapanahong software ng seguridad.
**Kurso ng Pagkilos:**
* Maghain ng reklamo sa National Privacy Commission (NPC): * Ang NPC ay maaaring mag-imbest"&amp;"iga at posibleng magpataw ng mga parusa sa kumpanya kung makakita sila ng paglabag sa RA 8424.
**Mga Hamon:**
* Ang pagpapatunay ng kapabayaan ng isang kumpanya ay maaaring maging mahirap. * Ang pasanin ng patunay ay nasa iyo. **Mga Karagdagang Pagsasaala"&amp;"ng-alang:**
* **Severity of Harm:** Ang kalubhaan ng pagkakalantad ng data at ang mga kahihinatnan na iyong kinaharap (hal., pagnanakaw ng pagkakakilanlan, pagkawala ng pananalapi) ay makakaimpluwensya sa lakas ng iyong kaso.
* **Kaso Sibil:** Depende sa "&amp;"mga pangyayari, maaari mong isaalang-alang ang isang sibil na kaso para sa mga pinsala. Kabilang dito ang pagpapatunay na ang kapabayaan ng kumpanya ay nagdulot sa iyo ng pinsala.
**Rekomendasyon:**
* Kumonsulta sa isang abogado na dalubhasa sa data priva"&amp;"cy o cyberlaw. Maaari nilang tasahin ang iyong sitwasyon, payuhan ang pinakamahusay na paraan ng pagkilos (reklamo vs demanda), at tumulong sa pag-navigate sa legal na proseso.")</f>
        <v>Posible, ngunit depende ito sa mga tiyak na sitwasyon sa Pilipinas. Narito ang isang breakdown batay sa mga nauugnay na batas:
**Data Privacy Act (RA 8424):**
* Ang batas na ito ay nag-aalok ng pinakamatibay na batayan para sa pananagutan ng isang kumpanya. * Nag-uutos ito sa mga kumpanya na magpatupad ng "mga naaangkop na hakbang sa seguridad" upang pangalagaan ang iyong personal na data (Seksyon 18). * Kinakailangan din nito na makuha nila ang iyong "informed consent" kung paano kinokolekta, ginagamit, at sini-secure ang iyong data (Seksyon 13). * Panghuli, sa kaso ng isang paglabag sa data, ang kumpanya ay may legal na obligasyon na ipaalam sa iyo kaagad (Seksyon 17).
**Potensyal na Pananagutan:**
* Kung ang pag-atake ng phishing ay naglantad sa iyong data at ang kumpanya ay nagpapakitang nabigo na itaguyod ang mga prinsipyong ito, maaari kang magkaroon ng kaso. * Kailangan mong patunayan ang kapabayaan ng kumpanya sa mga hakbang sa seguridad ng data. * Maaaring kabilang dito ang pagpapakita ng hindi sapat na pagsasanay ng empleyado sa kamalayan sa phishing, mahinang mga protocol ng password, o hindi napapanahong software ng seguridad.
**Kurso ng Pagkilos:**
* Maghain ng reklamo sa National Privacy Commission (NPC): * Ang NPC ay maaaring mag-imbestiga at posibleng magpataw ng mga parusa sa kumpanya kung makakita sila ng paglabag sa RA 8424.
**Mga Hamon:**
* Ang pagpapatunay ng kapabayaan ng isang kumpanya ay maaaring maging mahirap. * Ang pasanin ng patunay ay nasa iyo. **Mga Karagdagang Pagsasaalang-alang:**
* **Severity of Harm:** Ang kalubhaan ng pagkakalantad ng data at ang mga kahihinatnan na iyong kinaharap (hal., pagnanakaw ng pagkakakilanlan, pagkawala ng pananalapi) ay makakaimpluwensya sa lakas ng iyong kaso.
* **Kaso Sibil:** Depende sa mga pangyayari, maaari mong isaalang-alang ang isang sibil na kaso para sa mga pinsala. Kabilang dito ang pagpapatunay na ang kapabayaan ng kumpanya ay nagdulot sa iyo ng pinsala.
**Rekomendasyon:**
* Kumonsulta sa isang abogado na dalubhasa sa data privacy o cyberlaw. Maaari nilang tasahin ang iyong sitwasyon, payuhan ang pinakamahusay na paraan ng pagkilos (reklamo vs demanda), at tumulong sa pag-navigate sa legal na proseso.</v>
      </c>
      <c r="F654" s="2">
        <f t="shared" si="1"/>
        <v>0</v>
      </c>
      <c r="G654" s="2"/>
      <c r="H654" s="2"/>
      <c r="I654" s="2"/>
      <c r="J654" s="2"/>
      <c r="K654" s="2"/>
      <c r="L654" s="2"/>
      <c r="M654" s="2"/>
      <c r="N654" s="2"/>
      <c r="O654" s="2"/>
      <c r="P654" s="2"/>
      <c r="Q654" s="2"/>
      <c r="R654" s="2"/>
      <c r="S654" s="2"/>
      <c r="T654" s="2"/>
      <c r="U654" s="2"/>
      <c r="V654" s="2"/>
      <c r="W654" s="2"/>
      <c r="X654" s="2"/>
      <c r="Y654" s="2"/>
      <c r="Z654" s="2"/>
      <c r="AA654" s="2"/>
    </row>
    <row r="655">
      <c r="A655" s="3" t="s">
        <v>2010</v>
      </c>
      <c r="B655" s="1" t="s">
        <v>2179</v>
      </c>
      <c r="C655" s="1" t="s">
        <v>2180</v>
      </c>
      <c r="D655" s="1" t="s">
        <v>2181</v>
      </c>
      <c r="E655" s="2" t="str">
        <f>IFERROR(__xludf.DUMMYFUNCTION("GOOGLETRANSLATE(C655, ""en"", ""TL"")"),"Sa Pilipinas, walang isang batas na partikular na idinisenyo upang protektahan ang mga indibidwal mula sa mga pag-atake ng phishing. Gayunpaman, ang kumbinasyon ng mga batas ay nagbibigay ng legal na balangkas upang matugunan ang isyu:
1. **Republic Act N"&amp;"o. 10175 o ang Cybercrime Prevention Act of 2012 (Cybercrime Act):** * Nakatuon ang Batas na ito sa pagpaparusa sa mga cybercrime, ngunit hindi ito direktang nag-aalok ng proteksyon mula sa phishing. * Ang Seksyon 14 sa ""Hindi Pinahintulutang Pag-access "&amp;"sa Mga Computer System"" ay hindi hinihikayat ang hindi awtorisadong pag-access sa mga computer system upang magnakaw ng data, na isang karaniwang layunin ng mga pag-atake ng phishing.
* Ang Seksyon 15 sa ""Illegal na Pagharang"" ay ginagawang kriminal an"&amp;"g pagharang sa mga pagpapadala ng data nang walang pahintulot, na maaaring may kaugnayan kung ang isang pagtatangka sa phishing ay nagsasangkot ng pagkuha ng mga kredensyal sa pag-log in.
2. **Republic Act No. 8424 o ang Data Privacy Act of 2012 (Data Pri"&amp;"vacy Act):**
* Direktang pinoprotektahan ng Batas na ito ang mga indibidwal mula sa mga paglabag sa data na dulot ng mga pag-atake ng phishing. * Binibigyang-diin nito ang responsibilidad ng mga kumpanyang nangongolekta ng personal na data na magpatupad n"&amp;"g naaangkop na mga hakbang sa seguridad upang mapangalagaan ito (Seksyon 18). Ang mga pag-atake ng phishing na nagsasamantala sa mahihinang mga hakbang sa seguridad ay maaaring isang paglabag sa Batas na ito.
* Nag-uutos din ang Batas ng ""informed consen"&amp;"t"" mula sa mga indibidwal tungkol sa kung paano kinokolekta, ginagamit, at sini-secure ang kanilang data (Seksyon 13). Kung nabigo ang isang kumpanya na makakuha ng wastong pahintulot bago ang pangongolekta ng data, pinapahina nito ang kanilang posisyon "&amp;"kung ilantad ng phishing attack ang data na iyon.
**Tandaan:** Ang mga batas na ito ay hindi pumipigil sa mga pag-atake ng phishing, ngunit nag-aalok ang mga ito ng legal na paraan kung ang kapabayaan ng isang kumpanya sa seguridad ng data ay humantong sa"&amp;" iyong impormasyon na makompromiso sa pamamagitan ng phishing.")</f>
        <v>Sa Pilipinas, walang isang batas na partikular na idinisenyo upang protektahan ang mga indibidwal mula sa mga pag-atake ng phishing. Gayunpaman, ang kumbinasyon ng mga batas ay nagbibigay ng legal na balangkas upang matugunan ang isyu:
1. **Republic Act No. 10175 o ang Cybercrime Prevention Act of 2012 (Cybercrime Act):** * Nakatuon ang Batas na ito sa pagpaparusa sa mga cybercrime, ngunit hindi ito direktang nag-aalok ng proteksyon mula sa phishing. * Ang Seksyon 14 sa "Hindi Pinahintulutang Pag-access sa Mga Computer System" ay hindi hinihikayat ang hindi awtorisadong pag-access sa mga computer system upang magnakaw ng data, na isang karaniwang layunin ng mga pag-atake ng phishing.
* Ang Seksyon 15 sa "Illegal na Pagharang" ay ginagawang kriminal ang pagharang sa mga pagpapadala ng data nang walang pahintulot, na maaaring may kaugnayan kung ang isang pagtatangka sa phishing ay nagsasangkot ng pagkuha ng mga kredensyal sa pag-log in.
2. **Republic Act No. 8424 o ang Data Privacy Act of 2012 (Data Privacy Act):**
* Direktang pinoprotektahan ng Batas na ito ang mga indibidwal mula sa mga paglabag sa data na dulot ng mga pag-atake ng phishing. * Binibigyang-diin nito ang responsibilidad ng mga kumpanyang nangongolekta ng personal na data na magpatupad ng naaangkop na mga hakbang sa seguridad upang mapangalagaan ito (Seksyon 18). Ang mga pag-atake ng phishing na nagsasamantala sa mahihinang mga hakbang sa seguridad ay maaaring isang paglabag sa Batas na ito.
* Nag-uutos din ang Batas ng "informed consent" mula sa mga indibidwal tungkol sa kung paano kinokolekta, ginagamit, at sini-secure ang kanilang data (Seksyon 13). Kung nabigo ang isang kumpanya na makakuha ng wastong pahintulot bago ang pangongolekta ng data, pinapahina nito ang kanilang posisyon kung ilantad ng phishing attack ang data na iyon.
**Tandaan:** Ang mga batas na ito ay hindi pumipigil sa mga pag-atake ng phishing, ngunit nag-aalok ang mga ito ng legal na paraan kung ang kapabayaan ng isang kumpanya sa seguridad ng data ay humantong sa iyong impormasyon na makompromiso sa pamamagitan ng phishing.</v>
      </c>
      <c r="F655" s="2">
        <f t="shared" si="1"/>
        <v>0</v>
      </c>
      <c r="G655" s="2"/>
      <c r="H655" s="2"/>
      <c r="I655" s="2"/>
      <c r="J655" s="2"/>
      <c r="K655" s="2"/>
      <c r="L655" s="2"/>
      <c r="M655" s="2"/>
      <c r="N655" s="2"/>
      <c r="O655" s="2"/>
      <c r="P655" s="2"/>
      <c r="Q655" s="2"/>
      <c r="R655" s="2"/>
      <c r="S655" s="2"/>
      <c r="T655" s="2"/>
      <c r="U655" s="2"/>
      <c r="V655" s="2"/>
      <c r="W655" s="2"/>
      <c r="X655" s="2"/>
      <c r="Y655" s="2"/>
      <c r="Z655" s="2"/>
      <c r="AA655" s="2"/>
    </row>
    <row r="656">
      <c r="A656" s="3" t="s">
        <v>2010</v>
      </c>
      <c r="B656" s="1" t="s">
        <v>2182</v>
      </c>
      <c r="C656" s="1" t="s">
        <v>2183</v>
      </c>
      <c r="D656" s="1" t="s">
        <v>2184</v>
      </c>
      <c r="E656" s="2" t="str">
        <f>IFERROR(__xludf.DUMMYFUNCTION("GOOGLETRANSLATE(C656, ""en"", ""TL"")"),"Kung ang paghahabol ng legal na aksyon laban sa isang phishing scammer para sa medyo maliit na halaga na ninakaw ay kapaki-pakinabang sa Pilipinas ay depende sa ilang mga kadahilanan:
**Gastos sa Pananalapi kumpara sa Benepisyo:**
* Ang legal na aksyon, k"&amp;"ahit na sa maliit na korte ng paghahabol, ay nagsasangkot ng mga bayad sa paghahain at posibleng gastos ng abogado. Timbangin ang mga gastos na ito laban sa halagang ninakaw upang makita kung ang kita sa pananalapi ay isang pangunahing motivator.
**Pangak"&amp;"o sa Oras:**
* Ang mga legal na paglilitis ay maaaring matagal, nangangailangan ng pagharap sa korte at pangangalap ng ebidensya. Isaalang-alang ang pamumuhunan sa oras kumpara sa potensyal na kita.
**Lakas ng Iyong Kaso:**
* Ang matagumpay na pagpapanago"&amp;"t sa isang scammer ay kadalasang nangangailangan ng pagpapatunay ng kanilang pagkakakilanlan at lokasyon, na maaaring maging napakahirap. **Mga Alternatibong Pagkilos:**
* Ang pag-uulat ng pagtatangkang phishing sa mga awtoridad ay nakakatulong sa pagbuo "&amp;"ng isang talaan ng krimen at maaaring makatulong sa mga pagsisiyasat.
* Ang pakikipag-ugnayan sa iyong bangko o institusyong pinansyal kaagad pagkatapos matuklasan ang pagnanakaw ay maaaring makatulong na mabawasan ang mga pagkalugi at potensyal na mabawi"&amp;" ang mga pondo.
* Ang pagtuon sa pag-secure ng iyong data at mga online na account na may mas malalakas na password at multi-factor na pagpapatotoo ay maaaring maging isang maagap na diskarte upang maiwasan ang mga pag-atake sa hinaharap.
**Gayunpaman, ma"&amp;"aaring may mga dahilan na lampas sa pananalapi upang ituloy ang legal na aksyon:**
* **Prinsipyo:** Ang pagsasagawa ng legal na aksyon ay nagpapadala ng mensahe na ang mga naturang scam ay hindi papayagan. * **Mga Alalahanin sa Pagnanakaw ng Pagkakakilanl"&amp;"an:** Kahit na ang isang maliit na halaga na ninakaw ay maaaring maging tanda ng karagdagang mga pagtatangka upang pagsamantalahan ang iyong pagkakakilanlan. Ang pagsasagawa ng legal na aksyon ay maaaring makapagpahina sa mga pag-atake sa hinaharap. **Rek"&amp;"omendasyon:**
* Kumonsulta sa isang abogado na dalubhasa sa cyberlaw o data privacy. Maaari nilang tasahin ang iyong sitwasyon, isinasaalang-alang ang halagang ninakaw, ang posibilidad na mabawi ang mga pondo, at ang lakas ng iyong kaso. Maaari silang mag"&amp;"payo sa pinaka-epektibong paraan ng pagkilos, kung legal na aksyon, pag-uulat ng krimen, o pagtutok sa pag-secure ng iyong data.")</f>
        <v>Kung ang paghahabol ng legal na aksyon laban sa isang phishing scammer para sa medyo maliit na halaga na ninakaw ay kapaki-pakinabang sa Pilipinas ay depende sa ilang mga kadahilanan:
**Gastos sa Pananalapi kumpara sa Benepisyo:**
* Ang legal na aksyon, kahit na sa maliit na korte ng paghahabol, ay nagsasangkot ng mga bayad sa paghahain at posibleng gastos ng abogado. Timbangin ang mga gastos na ito laban sa halagang ninakaw upang makita kung ang kita sa pananalapi ay isang pangunahing motivator.
**Pangako sa Oras:**
* Ang mga legal na paglilitis ay maaaring matagal, nangangailangan ng pagharap sa korte at pangangalap ng ebidensya. Isaalang-alang ang pamumuhunan sa oras kumpara sa potensyal na kita.
**Lakas ng Iyong Kaso:**
* Ang matagumpay na pagpapanagot sa isang scammer ay kadalasang nangangailangan ng pagpapatunay ng kanilang pagkakakilanlan at lokasyon, na maaaring maging napakahirap. **Mga Alternatibong Pagkilos:**
* Ang pag-uulat ng pagtatangkang phishing sa mga awtoridad ay nakakatulong sa pagbuo ng isang talaan ng krimen at maaaring makatulong sa mga pagsisiyasat.
* Ang pakikipag-ugnayan sa iyong bangko o institusyong pinansyal kaagad pagkatapos matuklasan ang pagnanakaw ay maaaring makatulong na mabawasan ang mga pagkalugi at potensyal na mabawi ang mga pondo.
* Ang pagtuon sa pag-secure ng iyong data at mga online na account na may mas malalakas na password at multi-factor na pagpapatotoo ay maaaring maging isang maagap na diskarte upang maiwasan ang mga pag-atake sa hinaharap.
**Gayunpaman, maaaring may mga dahilan na lampas sa pananalapi upang ituloy ang legal na aksyon:**
* **Prinsipyo:** Ang pagsasagawa ng legal na aksyon ay nagpapadala ng mensahe na ang mga naturang scam ay hindi papayagan. * **Mga Alalahanin sa Pagnanakaw ng Pagkakakilanlan:** Kahit na ang isang maliit na halaga na ninakaw ay maaaring maging tanda ng karagdagang mga pagtatangka upang pagsamantalahan ang iyong pagkakakilanlan. Ang pagsasagawa ng legal na aksyon ay maaaring makapagpahina sa mga pag-atake sa hinaharap. **Rekomendasyon:**
* Kumonsulta sa isang abogado na dalubhasa sa cyberlaw o data privacy. Maaari nilang tasahin ang iyong sitwasyon, isinasaalang-alang ang halagang ninakaw, ang posibilidad na mabawi ang mga pondo, at ang lakas ng iyong kaso. Maaari silang magpayo sa pinaka-epektibong paraan ng pagkilos, kung legal na aksyon, pag-uulat ng krimen, o pagtutok sa pag-secure ng iyong data.</v>
      </c>
      <c r="F656" s="2">
        <f t="shared" si="1"/>
        <v>0</v>
      </c>
      <c r="G656" s="2"/>
      <c r="H656" s="2"/>
      <c r="I656" s="2"/>
      <c r="J656" s="2"/>
      <c r="K656" s="2"/>
      <c r="L656" s="2"/>
      <c r="M656" s="2"/>
      <c r="N656" s="2"/>
      <c r="O656" s="2"/>
      <c r="P656" s="2"/>
      <c r="Q656" s="2"/>
      <c r="R656" s="2"/>
      <c r="S656" s="2"/>
      <c r="T656" s="2"/>
      <c r="U656" s="2"/>
      <c r="V656" s="2"/>
      <c r="W656" s="2"/>
      <c r="X656" s="2"/>
      <c r="Y656" s="2"/>
      <c r="Z656" s="2"/>
      <c r="AA656" s="2"/>
    </row>
    <row r="657">
      <c r="A657" s="3" t="s">
        <v>2010</v>
      </c>
      <c r="B657" s="1" t="s">
        <v>2185</v>
      </c>
      <c r="C657" s="1" t="s">
        <v>2186</v>
      </c>
      <c r="D657" s="1" t="s">
        <v>2187</v>
      </c>
      <c r="E657" s="2" t="str">
        <f>IFERROR(__xludf.DUMMYFUNCTION("GOOGLETRANSLATE(C657, ""en"", ""TL"")"),"Siguro, ngunit ang pagdemanda sa isang bangko para sa pagpayag sa isang phishing scam na ikompromiso ang iyong account sa Pilipinas ay kumplikado. Narito ang isang breakdown ng kung ano ang dapat isaalang-alang batay sa mga batas ng Pilipinas:
**Potensyal"&amp;" na mga batayan para sa isang demanda:**
* **Data Privacy Act (RA 8424):** Ang batas na ito ay nag-uutos sa mga bangko na i-secure ang iyong data. Kung ang kapabayaan ng bangko (mahinang mga hakbang sa seguridad) ay nagbigay-daan sa pag-atake ng phishing "&amp;"na magtagumpay, maaari kang magkaroon ng kaso sa ilalim ng RA 8424. Kailangan mong patunayan ang mga pagkabigo sa seguridad ng bangko at kung paano sila direktang nagresulta sa iyong pagkakalantad sa data.
**Mga Hamon ng Panalo sa Demanda:**
* **Burden of"&amp;" Proof:** Nasa iyo ang pananagutan na patunayan ang kapabayaan ng bangko at direktang nagdulot ito ng iyong pagkawala.
* **Mga Patakaran ng Bangko:** Ang mga bangko ay kadalasang may matibay na kasunduan sa customer na nagbabalangkas sa kanilang pananagut"&amp;"an sa mga kaso ng phishing scam. Maaaring limitahan ng mga kasunduang ito ang kanilang pananagutan kung balewalain mo ang mga protocol ng seguridad (hal., pag-click sa mga kahina-hinalang link).
**Mga Alternatibo sa Paghahabla:**
* **Iulat ang Phishing At"&amp;"tempt:** Maghain ng ulat sa Philippine National Police Anti-Cybercrime Unit. Maaari silang mag-imbestiga at posibleng panagutin ang mga scammer.
* **Makipag-ugnayan sa Iyong Bangko:** Iulat kaagad ang insidente sa departamento ng pandaraya ng iyong bangko"&amp;". Maaaring mabawi nila ang mga ninakaw na pondo at maimbestigahan ang pagtatangkang phishing.
**Rekomendasyon:**
* Kumonsulta sa isang abogado na dalubhasa sa data privacy o cyberlaw. Maaari nilang tasahin ang iyong sitwasyon, kabilang ang kasunduan sa cu"&amp;"stomer ng bangko at ang mga detalye ng phishing scam. Maaari ka nilang payuhan sa posibilidad ng tagumpay sa isang demanda at tuklasin ang mga alternatibong kurso ng aksyon.
**Tandaan:** * Ang mga legal na laban ay maaaring mahaba at magastos. * Isaalang-"&amp;"alang ang mga potensyal na benepisyo (nabawi na mga pondo) laban sa oras at pamumuhunan sa pananalapi na kinakailangan para sa isang demanda.")</f>
        <v>Siguro, ngunit ang pagdemanda sa isang bangko para sa pagpayag sa isang phishing scam na ikompromiso ang iyong account sa Pilipinas ay kumplikado. Narito ang isang breakdown ng kung ano ang dapat isaalang-alang batay sa mga batas ng Pilipinas:
**Potensyal na mga batayan para sa isang demanda:**
* **Data Privacy Act (RA 8424):** Ang batas na ito ay nag-uutos sa mga bangko na i-secure ang iyong data. Kung ang kapabayaan ng bangko (mahinang mga hakbang sa seguridad) ay nagbigay-daan sa pag-atake ng phishing na magtagumpay, maaari kang magkaroon ng kaso sa ilalim ng RA 8424. Kailangan mong patunayan ang mga pagkabigo sa seguridad ng bangko at kung paano sila direktang nagresulta sa iyong pagkakalantad sa data.
**Mga Hamon ng Panalo sa Demanda:**
* **Burden of Proof:** Nasa iyo ang pananagutan na patunayan ang kapabayaan ng bangko at direktang nagdulot ito ng iyong pagkawala.
* **Mga Patakaran ng Bangko:** Ang mga bangko ay kadalasang may matibay na kasunduan sa customer na nagbabalangkas sa kanilang pananagutan sa mga kaso ng phishing scam. Maaaring limitahan ng mga kasunduang ito ang kanilang pananagutan kung balewalain mo ang mga protocol ng seguridad (hal., pag-click sa mga kahina-hinalang link).
**Mga Alternatibo sa Paghahabla:**
* **Iulat ang Phishing Attempt:** Maghain ng ulat sa Philippine National Police Anti-Cybercrime Unit. Maaari silang mag-imbestiga at posibleng panagutin ang mga scammer.
* **Makipag-ugnayan sa Iyong Bangko:** Iulat kaagad ang insidente sa departamento ng pandaraya ng iyong bangko. Maaaring mabawi nila ang mga ninakaw na pondo at maimbestigahan ang pagtatangkang phishing.
**Rekomendasyon:**
* Kumonsulta sa isang abogado na dalubhasa sa data privacy o cyberlaw. Maaari nilang tasahin ang iyong sitwasyon, kabilang ang kasunduan sa customer ng bangko at ang mga detalye ng phishing scam. Maaari ka nilang payuhan sa posibilidad ng tagumpay sa isang demanda at tuklasin ang mga alternatibong kurso ng aksyon.
**Tandaan:** * Ang mga legal na laban ay maaaring mahaba at magastos. * Isaalang-alang ang mga potensyal na benepisyo (nabawi na mga pondo) laban sa oras at pamumuhunan sa pananalapi na kinakailangan para sa isang demanda.</v>
      </c>
      <c r="F657" s="2">
        <f t="shared" si="1"/>
        <v>0</v>
      </c>
      <c r="G657" s="2"/>
      <c r="H657" s="2"/>
      <c r="I657" s="2"/>
      <c r="J657" s="2"/>
      <c r="K657" s="2"/>
      <c r="L657" s="2"/>
      <c r="M657" s="2"/>
      <c r="N657" s="2"/>
      <c r="O657" s="2"/>
      <c r="P657" s="2"/>
      <c r="Q657" s="2"/>
      <c r="R657" s="2"/>
      <c r="S657" s="2"/>
      <c r="T657" s="2"/>
      <c r="U657" s="2"/>
      <c r="V657" s="2"/>
      <c r="W657" s="2"/>
      <c r="X657" s="2"/>
      <c r="Y657" s="2"/>
      <c r="Z657" s="2"/>
      <c r="AA657" s="2"/>
    </row>
    <row r="658">
      <c r="A658" s="3" t="s">
        <v>2010</v>
      </c>
      <c r="B658" s="1" t="s">
        <v>2188</v>
      </c>
      <c r="C658" s="1" t="s">
        <v>2189</v>
      </c>
      <c r="D658" s="1" t="s">
        <v>2190</v>
      </c>
      <c r="E658" s="2" t="str">
        <f>IFERROR(__xludf.DUMMYFUNCTION("GOOGLETRANSLATE(C658, ""en"", ""TL"")"),"Sa Pilipinas, maaari kang mag-ulat ng pag-atake ng phishing sa ilang ahensyang nagpapatupad ng batas. Ganito:
**1. Philippine National Police (PNP) Anti-Cybercrime Unit:**
* Ito ang pangunahing ahensya para sa pag-uulat ng mga cybercrime tulad ng mga pag-"&amp;"atake sa phishing.
* **Online na Pag-uulat:** Maaari kang maghain ng ulat online sa pamamagitan ng website ng PNP Anti-Cybercrime Group (ACG): [https://acg.pnp.gov.ph/](https://acg.pnp.gov .ph/)
* **Hotline:** Maaari kang tumawag sa PNP ACG hotline sa (02"&amp;") 8723-0401 local 5313.
**2. National Bureau of Investigation (NBI) Anti-Fraud Division:**
* Habang ang PNP ay nakatuon sa cybercrimes, ang NBI Anti-Fraud Division ang humahawak sa mas malawak na mga kaso ng pandaraya. * **Online Reporting:** Maaari kang "&amp;"magsumite ng mensahe sa pamamagitan ng website ng NBI: [https://www.nbi.gov.ph/](https://www.nbi.gov.ph/) o sa kanilang opisyal na Facebook account. * **Email:** Maaari kang magpadala ng email sa afad@nbi.gov.ph
* **Hotline:** Maaari kang tumawag sa NBI A"&amp;"nti-Fraud Division sa (02) 8525-4093.
**3. Pag-uulat sa Iba Pang Mga Platform:**
* Bilang karagdagan sa pagpapatupad ng batas, isaalang-alang ang pag-uulat ng pagtatangkang phishing sa platform kung saan mo ito natanggap (hal., email provider, social medi"&amp;"a platform). Maraming mga platform ang may mga mekanismo sa pag-uulat para sa mga phishing na email.
**Anong Impormasyon ang Isasama:**
* Kapag nag-uulat ng pag-atake sa phishing, magtipon ng maraming ebidensya hangga't maaari, kabilang ang:
* Ang phishin"&amp;"g email (kabilang ang mga header)
* Mga screenshot ng email at anumang kahina-hinalang website kung saan ka itinuro (nang hindi naglalagay ng anumang impormasyon)
* Anumang iba pang nauugnay na detalye tungkol sa scam (hal., anong impormasyon ang sinubuka"&amp;"n nilang nakawin)
**Mga Karagdagang Tala:**
* Ang pag-uulat sa pagtatangkang phishing ay nakakatulong sa mga ahensyang nagpapatupad ng batas na masubaybayan ang mga scammer at bumuo ng mas malaking larawan ng mga aktibidad sa cybercrime sa Pilipinas.
* Ka"&amp;"hit na hindi ka biktima (hal., natukoy mo ang isang pagtatangka sa phishing ngunit hindi nawalan ng anumang impormasyon), ang pag-uulat nito ay maaari pa ring makatulong.
Sa pamamagitan ng pag-uulat ng pag-atake ng phishing, maaari kang makatulong na maiw"&amp;"asan ang iba na mabiktima at mag-ambag sa mga pagsisikap sa pagpapatupad ng batas laban sa cybercrime.")</f>
        <v>Sa Pilipinas, maaari kang mag-ulat ng pag-atake ng phishing sa ilang ahensyang nagpapatupad ng batas. Ganito:
**1. Philippine National Police (PNP) Anti-Cybercrime Unit:**
* Ito ang pangunahing ahensya para sa pag-uulat ng mga cybercrime tulad ng mga pag-atake sa phishing.
* **Online na Pag-uulat:** Maaari kang maghain ng ulat online sa pamamagitan ng website ng PNP Anti-Cybercrime Group (ACG): [https://acg.pnp.gov.ph/](https://acg.pnp.gov .ph/)
* **Hotline:** Maaari kang tumawag sa PNP ACG hotline sa (02) 8723-0401 local 5313.
**2. National Bureau of Investigation (NBI) Anti-Fraud Division:**
* Habang ang PNP ay nakatuon sa cybercrimes, ang NBI Anti-Fraud Division ang humahawak sa mas malawak na mga kaso ng pandaraya. * **Online Reporting:** Maaari kang magsumite ng mensahe sa pamamagitan ng website ng NBI: [https://www.nbi.gov.ph/](https://www.nbi.gov.ph/) o sa kanilang opisyal na Facebook account. * **Email:** Maaari kang magpadala ng email sa afad@nbi.gov.ph
* **Hotline:** Maaari kang tumawag sa NBI Anti-Fraud Division sa (02) 8525-4093.
**3. Pag-uulat sa Iba Pang Mga Platform:**
* Bilang karagdagan sa pagpapatupad ng batas, isaalang-alang ang pag-uulat ng pagtatangkang phishing sa platform kung saan mo ito natanggap (hal., email provider, social media platform). Maraming mga platform ang may mga mekanismo sa pag-uulat para sa mga phishing na email.
**Anong Impormasyon ang Isasama:**
* Kapag nag-uulat ng pag-atake sa phishing, magtipon ng maraming ebidensya hangga't maaari, kabilang ang:
* Ang phishing email (kabilang ang mga header)
* Mga screenshot ng email at anumang kahina-hinalang website kung saan ka itinuro (nang hindi naglalagay ng anumang impormasyon)
* Anumang iba pang nauugnay na detalye tungkol sa scam (hal., anong impormasyon ang sinubukan nilang nakawin)
**Mga Karagdagang Tala:**
* Ang pag-uulat sa pagtatangkang phishing ay nakakatulong sa mga ahensyang nagpapatupad ng batas na masubaybayan ang mga scammer at bumuo ng mas malaking larawan ng mga aktibidad sa cybercrime sa Pilipinas.
* Kahit na hindi ka biktima (hal., natukoy mo ang isang pagtatangka sa phishing ngunit hindi nawalan ng anumang impormasyon), ang pag-uulat nito ay maaari pa ring makatulong.
Sa pamamagitan ng pag-uulat ng pag-atake ng phishing, maaari kang makatulong na maiwasan ang iba na mabiktima at mag-ambag sa mga pagsisikap sa pagpapatupad ng batas laban sa cybercrime.</v>
      </c>
      <c r="F658" s="2">
        <f t="shared" si="1"/>
        <v>0</v>
      </c>
      <c r="G658" s="2"/>
      <c r="H658" s="2"/>
      <c r="I658" s="2"/>
      <c r="J658" s="2"/>
      <c r="K658" s="2"/>
      <c r="L658" s="2"/>
      <c r="M658" s="2"/>
      <c r="N658" s="2"/>
      <c r="O658" s="2"/>
      <c r="P658" s="2"/>
      <c r="Q658" s="2"/>
      <c r="R658" s="2"/>
      <c r="S658" s="2"/>
      <c r="T658" s="2"/>
      <c r="U658" s="2"/>
      <c r="V658" s="2"/>
      <c r="W658" s="2"/>
      <c r="X658" s="2"/>
      <c r="Y658" s="2"/>
      <c r="Z658" s="2"/>
      <c r="AA658" s="2"/>
    </row>
    <row r="659">
      <c r="A659" s="3" t="s">
        <v>2010</v>
      </c>
      <c r="B659" s="1" t="s">
        <v>2191</v>
      </c>
      <c r="C659" s="1" t="s">
        <v>2192</v>
      </c>
      <c r="D659" s="1" t="s">
        <v>2193</v>
      </c>
      <c r="E659" s="2" t="str">
        <f>IFERROR(__xludf.DUMMYFUNCTION("GOOGLETRANSLATE(C659, ""en"", ""TL"")"),"Ang pagsali sa mga aktibidad ng phishing sa Pilipinas ay maaaring magresulta sa malubhang parusa depende sa partikular na pagkakasala na ginawa sa ilalim ng Cybercrime Prevention Act of 2012 (RA 10175). Narito ang isang breakdown ng mga potensyal na singi"&amp;"l at mga parusa:
**1. Hindi Awtorisadong Pag-access sa Computer System (Seksyon 14):**
* **Parusa:** Pagkakulong ng **dalawa (2) hanggang anim (6) na taon** at multa na **PhP 100,000 hanggang PhP 1,000,000**.
Nalalapat ito kung ang phisher ay nakakuha ng "&amp;"hindi awtorisadong pag-access sa isang computer system upang magnakaw, baguhin, sirain, o hadlangan ang pag-access sa data. **2. Ilegal na Pagharang (Seksyon 15):**
* **Parusa:** Pagkakulong ng **dalawa (2) hanggang pitong (7) taon** at multa na **PhP 100"&amp;",000 hanggang PhP 1,000,000**.
Nalalapat ito kung naharang ng phisher ang mga pagpapadala ng data nang walang pahintulot, tulad ng pagkuha ng mga kredensyal sa pag-log in sa pamamagitan ng isang website ng phishing.
**3. Panghihimasok sa Data (Seksyon 16)"&amp;":**
* **Parusa:** Pagkakulong ng **dalawa (2) hanggang anim (6) na taon** at multa na **PhP 100,000 hanggang PhP 1,000,000**.
Nalalapat ito kung babaguhin, tatanggalin, o sirain ng phisher ang data nang walang karapatan. Maaaring may kaugnayan ito kung an"&amp;"g pag-atake ng phishing ay naglalayong sirain o burahin ang data.
**4. Mga Pagkakasala na May Kaugnayan sa Computer (Seksyon 18):**
* **Parusa:** Pagkakulong ng **anim (6) na buwan hanggang tatlong (3) taon** o multa na **PhP 10,000 hanggang PhP 100,000**"&amp;", o pareho.
Ito ay isang mas malawak na probisyon na maaaring sumaklaw sa iba't ibang aktibidad sa phishing tulad ng paggamit ng mga mapanlinlang na program o device sa computer.
**Mga Karagdagang Pagsasaalang-alang:**
* Ang partikular na parusang ipinata"&amp;"w ay nakasalalay sa kalubhaan ng pagkakasala, pinsalang dulot, at pagpapasya ng hukuman.
* Kung ang pagtatangka sa phishing ay nagresulta sa pagnanakaw ng pagkakakilanlan o pagkawala ng pananalapi, ang nagkasala ay maaaring maharap sa mga karagdagang sing"&amp;"il sa ilalim ng iba pang mga batas ng Pilipinas.
**Tandaan:** Ito lang ang mga potensyal na parusa. Ang aktwal na proseso ng pag-uusig at paghatol ay hahawakan ng sistemang legal ng Pilipinas.")</f>
        <v>Ang pagsali sa mga aktibidad ng phishing sa Pilipinas ay maaaring magresulta sa malubhang parusa depende sa partikular na pagkakasala na ginawa sa ilalim ng Cybercrime Prevention Act of 2012 (RA 10175). Narito ang isang breakdown ng mga potensyal na singil at mga parusa:
**1. Hindi Awtorisadong Pag-access sa Computer System (Seksyon 14):**
* **Parusa:** Pagkakulong ng **dalawa (2) hanggang anim (6) na taon** at multa na **PhP 100,000 hanggang PhP 1,000,000**.
Nalalapat ito kung ang phisher ay nakakuha ng hindi awtorisadong pag-access sa isang computer system upang magnakaw, baguhin, sirain, o hadlangan ang pag-access sa data. **2. Ilegal na Pagharang (Seksyon 15):**
* **Parusa:** Pagkakulong ng **dalawa (2) hanggang pitong (7) taon** at multa na **PhP 100,000 hanggang PhP 1,000,000**.
Nalalapat ito kung naharang ng phisher ang mga pagpapadala ng data nang walang pahintulot, tulad ng pagkuha ng mga kredensyal sa pag-log in sa pamamagitan ng isang website ng phishing.
**3. Panghihimasok sa Data (Seksyon 16):**
* **Parusa:** Pagkakulong ng **dalawa (2) hanggang anim (6) na taon** at multa na **PhP 100,000 hanggang PhP 1,000,000**.
Nalalapat ito kung babaguhin, tatanggalin, o sirain ng phisher ang data nang walang karapatan. Maaaring may kaugnayan ito kung ang pag-atake ng phishing ay naglalayong sirain o burahin ang data.
**4. Mga Pagkakasala na May Kaugnayan sa Computer (Seksyon 18):**
* **Parusa:** Pagkakulong ng **anim (6) na buwan hanggang tatlong (3) taon** o multa na **PhP 10,000 hanggang PhP 100,000**, o pareho.
Ito ay isang mas malawak na probisyon na maaaring sumaklaw sa iba't ibang aktibidad sa phishing tulad ng paggamit ng mga mapanlinlang na program o device sa computer.
**Mga Karagdagang Pagsasaalang-alang:**
* Ang partikular na parusang ipinataw ay nakasalalay sa kalubhaan ng pagkakasala, pinsalang dulot, at pagpapasya ng hukuman.
* Kung ang pagtatangka sa phishing ay nagresulta sa pagnanakaw ng pagkakakilanlan o pagkawala ng pananalapi, ang nagkasala ay maaaring maharap sa mga karagdagang singil sa ilalim ng iba pang mga batas ng Pilipinas.
**Tandaan:** Ito lang ang mga potensyal na parusa. Ang aktwal na proseso ng pag-uusig at paghatol ay hahawakan ng sistemang legal ng Pilipinas.</v>
      </c>
      <c r="F659" s="2">
        <f t="shared" si="1"/>
        <v>0</v>
      </c>
      <c r="G659" s="2"/>
      <c r="H659" s="2"/>
      <c r="I659" s="2"/>
      <c r="J659" s="2"/>
      <c r="K659" s="2"/>
      <c r="L659" s="2"/>
      <c r="M659" s="2"/>
      <c r="N659" s="2"/>
      <c r="O659" s="2"/>
      <c r="P659" s="2"/>
      <c r="Q659" s="2"/>
      <c r="R659" s="2"/>
      <c r="S659" s="2"/>
      <c r="T659" s="2"/>
      <c r="U659" s="2"/>
      <c r="V659" s="2"/>
      <c r="W659" s="2"/>
      <c r="X659" s="2"/>
      <c r="Y659" s="2"/>
      <c r="Z659" s="2"/>
      <c r="AA659" s="2"/>
    </row>
    <row r="660">
      <c r="A660" s="3" t="s">
        <v>2010</v>
      </c>
      <c r="B660" s="1" t="s">
        <v>2194</v>
      </c>
      <c r="C660" s="1" t="s">
        <v>2195</v>
      </c>
      <c r="D660" s="1" t="s">
        <v>2196</v>
      </c>
      <c r="E660" s="2" t="str">
        <f>IFERROR(__xludf.DUMMYFUNCTION("GOOGLETRANSLATE(C661, ""en"", ""TL"")"),"Dahil sa mga alalahanin sa privacy at likas na katangian ng mga legal na paglilitis, mahirap makahanap ng impormasyong available sa publiko sa mga partikular na matagumpay na demanda na may kaugnayan sa mga pag-atake ng phishing sa Pilipinas. Gayunpaman, "&amp;"narito ang maaari nating makuha mula sa legal na balangkas:
* **Data Privacy Act (RA 8424):**
* Maaaring may mga kaso kung saan ang mga indibidwal ay matagumpay na nagdemanda sa mga kumpanya na ang kapabayaan sa seguridad ng data ay humantong sa isang phi"&amp;"shing na pag-atake na nakompromiso ang kanilang impormasyon. * Ang mga kasong ito ay malamang na hindi isapubliko dahil sa mga pagsasaalang-alang sa privacy.
**Mga Hamon sa Paghahanap ng mga Precedent:**
* **Tumuon sa Mga Pagsingil sa Kriminal:** Maaaring"&amp;" unahin ng pagpapatupad ng batas ang paghabol sa mga kasong kriminal laban sa mga scammer kaysa sa mga sibil na demanda para sa mga pinsala.
* **Mga Kasunduan sa Pagiging Kumpidensyal:** Maaaring ayusin ang mga demanda sa pamamagitan ng mga kasunduan sa p"&amp;"agiging kumpidensyal, na pumipigil sa kaalaman ng publiko sa kaso.
**Mga Alternatibong Pinagmumulan:**
* Maaari mong subukang maghanap ng mga legal na database (bagama't maaaring paghigpitan ang pag-access) para sa mga kaso na kinasasangkutan ng Data Priv"&amp;"acy Act at mga pag-atake sa phishing.
* Ang pagkonsulta sa isang abogado na dalubhasa sa data privacy o cyberlaw ay maaaring magbigay ng higit pang mga insight sa nauugnay na batas ng kaso o patuloy na paglilitis na maaaring hindi available sa publiko.
**"&amp;"Tandaan:** * Ang kakulangan ng madaling ma-access na mga precedent ay hindi nangangahulugang hindi naging matagumpay ang mga demanda.
* Ang isang abogado ay maaaring magbigay sa iyo ng isang mas tumpak na larawan ng legal na tanawin at ang iyong mga pagpi"&amp;"pilian batay sa iyong partikular na sitwasyon.")</f>
        <v>Dahil sa mga alalahanin sa privacy at likas na katangian ng mga legal na paglilitis, mahirap makahanap ng impormasyong available sa publiko sa mga partikular na matagumpay na demanda na may kaugnayan sa mga pag-atake ng phishing sa Pilipinas. Gayunpaman, narito ang maaari nating makuha mula sa legal na balangkas:
* **Data Privacy Act (RA 8424):**
* Maaaring may mga kaso kung saan ang mga indibidwal ay matagumpay na nagdemanda sa mga kumpanya na ang kapabayaan sa seguridad ng data ay humantong sa isang phishing na pag-atake na nakompromiso ang kanilang impormasyon. * Ang mga kasong ito ay malamang na hindi isapubliko dahil sa mga pagsasaalang-alang sa privacy.
**Mga Hamon sa Paghahanap ng mga Precedent:**
* **Tumuon sa Mga Pagsingil sa Kriminal:** Maaaring unahin ng pagpapatupad ng batas ang paghabol sa mga kasong kriminal laban sa mga scammer kaysa sa mga sibil na demanda para sa mga pinsala.
* **Mga Kasunduan sa Pagiging Kumpidensyal:** Maaaring ayusin ang mga demanda sa pamamagitan ng mga kasunduan sa pagiging kumpidensyal, na pumipigil sa kaalaman ng publiko sa kaso.
**Mga Alternatibong Pinagmumulan:**
* Maaari mong subukang maghanap ng mga legal na database (bagama't maaaring paghigpitan ang pag-access) para sa mga kaso na kinasasangkutan ng Data Privacy Act at mga pag-atake sa phishing.
* Ang pagkonsulta sa isang abogado na dalubhasa sa data privacy o cyberlaw ay maaaring magbigay ng higit pang mga insight sa nauugnay na batas ng kaso o patuloy na paglilitis na maaaring hindi available sa publiko.
**Tandaan:** * Ang kakulangan ng madaling ma-access na mga precedent ay hindi nangangahulugang hindi naging matagumpay ang mga demanda.
* Ang isang abogado ay maaaring magbigay sa iyo ng isang mas tumpak na larawan ng legal na tanawin at ang iyong mga pagpipilian batay sa iyong partikular na sitwasyon.</v>
      </c>
      <c r="F660" s="2">
        <f t="shared" si="1"/>
        <v>0</v>
      </c>
      <c r="G660" s="2"/>
      <c r="H660" s="2"/>
      <c r="I660" s="2"/>
      <c r="J660" s="2"/>
      <c r="K660" s="2"/>
      <c r="L660" s="2"/>
      <c r="M660" s="2"/>
      <c r="N660" s="2"/>
      <c r="O660" s="2"/>
      <c r="P660" s="2"/>
      <c r="Q660" s="2"/>
      <c r="R660" s="2"/>
      <c r="S660" s="2"/>
      <c r="T660" s="2"/>
      <c r="U660" s="2"/>
      <c r="V660" s="2"/>
      <c r="W660" s="2"/>
      <c r="X660" s="2"/>
      <c r="Y660" s="2"/>
      <c r="Z660" s="2"/>
      <c r="AA660" s="2"/>
    </row>
    <row r="661">
      <c r="A661" s="3" t="s">
        <v>2010</v>
      </c>
      <c r="B661" s="1" t="s">
        <v>2197</v>
      </c>
      <c r="C661" s="1" t="s">
        <v>2198</v>
      </c>
      <c r="D661" s="1" t="s">
        <v>2199</v>
      </c>
      <c r="E661" s="2" t="str">
        <f>IFERROR(__xludf.DUMMYFUNCTION("GOOGLETRANSLATE(C662, ""en"", ""TL"")"),"Narito ang mga hakbang na maaari mong gawin nang legal kung ang iyong negosyo ay na-target ng isang phishing attack sa Pilipinas:
**1. I-secure ang Iyong Mga System at Bawasan ang Pinsala:**
* **Kilalanin ang Paglabag:** * Siyasatin ang pagtatangkang phis"&amp;"hing upang maunawaan kung anong impormasyon ang maaaring nakompromiso (hal., data ng customer, mga kredensyal ng empleyado).
* **Naglalaman ng Banta:** * Ihiwalay ang mga nakompromisong system o account upang maiwasan ang karagdagang pinsala o paggalaw sa"&amp;" gilid sa loob ng iyong network.
* **Baguhin ang Mga Password:** * I-reset ang mga password para sa lahat ng posibleng makompromisong account, kabilang ang mga account ng customer at mga login ng empleyado.
* **Iulat ang Phishing Attempt:** * Iulat ang in"&amp;"sidente sa platform kung saan mo natanggap ang pag-atake (hal., email provider). Maraming mga platform ang may mga mekanismo sa pag-uulat para sa mga pagtatangka sa phishing.
**2. Tayahin ang Mga Legal na Opsyon:**
* **Data Privacy Act (RA 8424):** * Kung"&amp;" nakompromiso ang data ng customer, isaalang-alang ang paghahain ng reklamo sa National Privacy Commission (NPC) kung naniniwala kang may nangyaring paglabag sa data dahil sa pag-atake ng phishing. Ang NPC ay maaaring mag-imbestiga at posibleng magpataw n"&amp;"g mga parusa sa partido na responsable para sa paglabag sa data kung makakita sila ng paglabag sa RA 8424.
* **Civil Lawsuit:** * Depende sa kalubhaan ng pag-atake at sa mga kahihinatnan para sa iyong negosyo (hal., paglabag sa data, pagkalugi sa pananala"&amp;"pi), maaari mong isaalang-alang ang isang sibil na kaso laban sa partidong responsable para sa pag-atake ng phishing (kung natukoy) upang mabawi ang mga pinsala. Ito ay maaaring ang scammer o potensyal na isang third-party na vendor na ang kapabayaan ay n"&amp;"ag-ambag sa kahinaan. * Gayunpaman, ang matagumpay na paghahabla nang direkta sa scammer ay maaaring maging mahirap dahil sa kahirapan sa pagtukoy at paghahanap sa kanila.
**3. Magtipon ng Ebidensya:**
* **Phishing Email:** * I-save ang phishing email (ka"&amp;"bilang ang mga header) bilang ebidensya. Ipinapakita nito ang address ng nagpadala, nilalaman, at anumang mga link/attachment.
* **Mga Screenshot:** * Kumuha ng mga screenshot ng email at anumang kahina-hinalang website kung saan ka idinirekta (nang hindi"&amp;" naglalagay ng anumang impormasyon).
**4. Isaalang-alang ang Abiso sa Paglabag sa Data:**
* Kung nakompromiso ang data ng customer, depende sa uri at dami ng data na kasangkot, maaari kang legal na obligado na abisuhan ang mga apektadong indibidwal sa ila"&amp;"lim ng Data Privacy Act. **5. Kumonsulta sa Abogado:**
* Ang isang abogado na dalubhasa sa data privacy o cyberlaw ay maaaring magbigay ng pinakamahusay na paraan ng pagkilos batay sa iyong partikular na sitwasyon. Maaari silang magpayo sa:
* Ang posibili"&amp;"dad ng tagumpay sa isang demanda laban sa scammer o isang potensyal na pabaya na third party.
* Ang iyong mga obligasyon sa ilalim ng Data Privacy Act patungkol sa abiso sa paglabag sa data.
* Mga diskarte upang palakasin ang cybersecurity posture ng iyon"&amp;"g kumpanya upang maiwasan ang mga pag-atake sa hinaharap.
**Tandaan:** * Ang mga legal na paglilitis ay maaaring maging kumplikado at matagal. Ang paggalugad ng mga alternatibong mekanismo sa paglutas ng hindi pagkakaunawaan ay maaaring isang mas mabilis "&amp;"at mas murang opsyon sa ilang mga kaso. * Ang pinakamahalagang unang hakbang ay upang ma-secure ang iyong mga system, mabawasan ang pinsala, at masuri ang iyong mga legal na opsyon sa tulong ng isang kwalipikadong abogado.")</f>
        <v>Narito ang mga hakbang na maaari mong gawin nang legal kung ang iyong negosyo ay na-target ng isang phishing attack sa Pilipinas:
**1. I-secure ang Iyong Mga System at Bawasan ang Pinsala:**
* **Kilalanin ang Paglabag:** * Siyasatin ang pagtatangkang phishing upang maunawaan kung anong impormasyon ang maaaring nakompromiso (hal., data ng customer, mga kredensyal ng empleyado).
* **Naglalaman ng Banta:** * Ihiwalay ang mga nakompromisong system o account upang maiwasan ang karagdagang pinsala o paggalaw sa gilid sa loob ng iyong network.
* **Baguhin ang Mga Password:** * I-reset ang mga password para sa lahat ng posibleng makompromisong account, kabilang ang mga account ng customer at mga login ng empleyado.
* **Iulat ang Phishing Attempt:** * Iulat ang insidente sa platform kung saan mo natanggap ang pag-atake (hal., email provider). Maraming mga platform ang may mga mekanismo sa pag-uulat para sa mga pagtatangka sa phishing.
**2. Tayahin ang Mga Legal na Opsyon:**
* **Data Privacy Act (RA 8424):** * Kung nakompromiso ang data ng customer, isaalang-alang ang paghahain ng reklamo sa National Privacy Commission (NPC) kung naniniwala kang may nangyaring paglabag sa data dahil sa pag-atake ng phishing. Ang NPC ay maaaring mag-imbestiga at posibleng magpataw ng mga parusa sa partido na responsable para sa paglabag sa data kung makakita sila ng paglabag sa RA 8424.
* **Civil Lawsuit:** * Depende sa kalubhaan ng pag-atake at sa mga kahihinatnan para sa iyong negosyo (hal., paglabag sa data, pagkalugi sa pananalapi), maaari mong isaalang-alang ang isang sibil na kaso laban sa partidong responsable para sa pag-atake ng phishing (kung natukoy) upang mabawi ang mga pinsala. Ito ay maaaring ang scammer o potensyal na isang third-party na vendor na ang kapabayaan ay nag-ambag sa kahinaan. * Gayunpaman, ang matagumpay na paghahabla nang direkta sa scammer ay maaaring maging mahirap dahil sa kahirapan sa pagtukoy at paghahanap sa kanila.
**3. Magtipon ng Ebidensya:**
* **Phishing Email:** * I-save ang phishing email (kabilang ang mga header) bilang ebidensya. Ipinapakita nito ang address ng nagpadala, nilalaman, at anumang mga link/attachment.
* **Mga Screenshot:** * Kumuha ng mga screenshot ng email at anumang kahina-hinalang website kung saan ka idinirekta (nang hindi naglalagay ng anumang impormasyon).
**4. Isaalang-alang ang Abiso sa Paglabag sa Data:**
* Kung nakompromiso ang data ng customer, depende sa uri at dami ng data na kasangkot, maaari kang legal na obligado na abisuhan ang mga apektadong indibidwal sa ilalim ng Data Privacy Act. **5. Kumonsulta sa Abogado:**
* Ang isang abogado na dalubhasa sa data privacy o cyberlaw ay maaaring magbigay ng pinakamahusay na paraan ng pagkilos batay sa iyong partikular na sitwasyon. Maaari silang magpayo sa:
* Ang posibilidad ng tagumpay sa isang demanda laban sa scammer o isang potensyal na pabaya na third party.
* Ang iyong mga obligasyon sa ilalim ng Data Privacy Act patungkol sa abiso sa paglabag sa data.
* Mga diskarte upang palakasin ang cybersecurity posture ng iyong kumpanya upang maiwasan ang mga pag-atake sa hinaharap.
**Tandaan:** * Ang mga legal na paglilitis ay maaaring maging kumplikado at matagal. Ang paggalugad ng mga alternatibong mekanismo sa paglutas ng hindi pagkakaunawaan ay maaaring isang mas mabilis at mas murang opsyon sa ilang mga kaso. * Ang pinakamahalagang unang hakbang ay upang ma-secure ang iyong mga system, mabawasan ang pinsala, at masuri ang iyong mga legal na opsyon sa tulong ng isang kwalipikadong abogado.</v>
      </c>
      <c r="F661" s="2">
        <f t="shared" si="1"/>
        <v>0</v>
      </c>
      <c r="G661" s="2"/>
      <c r="H661" s="2"/>
      <c r="I661" s="2"/>
      <c r="J661" s="2"/>
      <c r="K661" s="2"/>
      <c r="L661" s="2"/>
      <c r="M661" s="2"/>
      <c r="N661" s="2"/>
      <c r="O661" s="2"/>
      <c r="P661" s="2"/>
      <c r="Q661" s="2"/>
      <c r="R661" s="2"/>
      <c r="S661" s="2"/>
      <c r="T661" s="2"/>
      <c r="U661" s="2"/>
      <c r="V661" s="2"/>
      <c r="W661" s="2"/>
      <c r="X661" s="2"/>
      <c r="Y661" s="2"/>
      <c r="Z661" s="2"/>
      <c r="AA661" s="2"/>
    </row>
    <row r="662">
      <c r="A662" s="3" t="s">
        <v>2010</v>
      </c>
      <c r="B662" s="1" t="s">
        <v>2200</v>
      </c>
      <c r="C662" s="1" t="s">
        <v>2201</v>
      </c>
      <c r="D662" s="1" t="s">
        <v>2202</v>
      </c>
      <c r="E662" s="2" t="str">
        <f>IFERROR(__xludf.DUMMYFUNCTION("GOOGLETRANSLATE(C663, ""en"", ""TL"")"),"Hindi, sa pangkalahatan ay hindi ka ligal na mananagot sa Pilipinas kung ang iyong email account ay ginagamit para sa phishing nang hindi mo nalalaman. Narito kung bakit:
* **Kakulangan ng Layunin:** Ang mga pag-atake sa phishing ay nagsasangkot ng hindi "&amp;"awtorisadong pag-access sa iyong email. Kinikilala ng batas ang pagkakaiba sa pagitan ng mga aksyon ng isang tao at ang kanilang account na nakompromiso.
* **Due Diligence:** Hangga't nagsasanay ka ng mga makatwirang hakbang sa seguridad para sa iyong ema"&amp;"il account (hal., malakas na password, hindi nagki-click sa mga kahina-hinalang link), ang pasanin ng responsibilidad ay babagsak sa umaatake na nakompromiso sa iyong account.
**Gayunpaman, maaaring mayroong napakabihirang mga pagbubukod:**
* **Gross Negl"&amp;"igence:** Sa isang hindi malamang na senaryo, kung mapapatunayang nagpakita ka ng matinding kapabayaan sa pag-secure ng iyong email account (hal., paggamit ng napakahinang password o pagbabahagi ng mga kredensyal sa pag-log in sa publiko), maaaring may pa"&amp;"gkakataon na magkaroon ng ilang pananagutan na itinalaga. Ito ay lubos na imposible at malamang na may kaugnayan lamang sa isang partikular na sitwasyon.
**Narito ang nagpapatibay sa iyong posisyon:**
* **Pag-uulat ng Aktibidad sa Phishing:** * Kung matuk"&amp;"lasan mo na ang iyong email account ay nakompromiso at ginamit para sa phishing, iulat ito kaagad sa iyong email provider. Lumilikha ito ng talaan ng insidente at nagpapakitang hindi ka kasali.
* **Paggawa ng Mga Hakbang upang I-secure ang Iyong Account:*"&amp;"* * Baguhin ang iyong email password sa isang malakas at paganahin ang multi-factor na pagpapatotoo kung magagamit. Ipinapakita nito na inaako mo ang responsibilidad para sa pag-secure ng iyong account.
**Sa Konklusyon:**
Umaasa ang phishing sa panlilinla"&amp;"ng sa mga tao sa pagbibigay ng impormasyon o pag-click sa mga nakakahamak na link. Hangga't hindi ka kasali sa pagtatangkang phishing at makakapagpakita ng mga makatwirang hakbang sa seguridad, hindi ka ligal na mananagot sa Pilipinas.")</f>
        <v>Hindi, sa pangkalahatan ay hindi ka ligal na mananagot sa Pilipinas kung ang iyong email account ay ginagamit para sa phishing nang hindi mo nalalaman. Narito kung bakit:
* **Kakulangan ng Layunin:** Ang mga pag-atake sa phishing ay nagsasangkot ng hindi awtorisadong pag-access sa iyong email. Kinikilala ng batas ang pagkakaiba sa pagitan ng mga aksyon ng isang tao at ang kanilang account na nakompromiso.
* **Due Diligence:** Hangga't nagsasanay ka ng mga makatwirang hakbang sa seguridad para sa iyong email account (hal., malakas na password, hindi nagki-click sa mga kahina-hinalang link), ang pasanin ng responsibilidad ay babagsak sa umaatake na nakompromiso sa iyong account.
**Gayunpaman, maaaring mayroong napakabihirang mga pagbubukod:**
* **Gross Negligence:** Sa isang hindi malamang na senaryo, kung mapapatunayang nagpakita ka ng matinding kapabayaan sa pag-secure ng iyong email account (hal., paggamit ng napakahinang password o pagbabahagi ng mga kredensyal sa pag-log in sa publiko), maaaring may pagkakataon na magkaroon ng ilang pananagutan na itinalaga. Ito ay lubos na imposible at malamang na may kaugnayan lamang sa isang partikular na sitwasyon.
**Narito ang nagpapatibay sa iyong posisyon:**
* **Pag-uulat ng Aktibidad sa Phishing:** * Kung matuklasan mo na ang iyong email account ay nakompromiso at ginamit para sa phishing, iulat ito kaagad sa iyong email provider. Lumilikha ito ng talaan ng insidente at nagpapakitang hindi ka kasali.
* **Paggawa ng Mga Hakbang upang I-secure ang Iyong Account:** * Baguhin ang iyong email password sa isang malakas at paganahin ang multi-factor na pagpapatotoo kung magagamit. Ipinapakita nito na inaako mo ang responsibilidad para sa pag-secure ng iyong account.
**Sa Konklusyon:**
Umaasa ang phishing sa panlilinlang sa mga tao sa pagbibigay ng impormasyon o pag-click sa mga nakakahamak na link. Hangga't hindi ka kasali sa pagtatangkang phishing at makakapagpakita ng mga makatwirang hakbang sa seguridad, hindi ka ligal na mananagot sa Pilipinas.</v>
      </c>
      <c r="F662" s="2">
        <f t="shared" si="1"/>
        <v>0</v>
      </c>
      <c r="G662" s="2"/>
      <c r="H662" s="2"/>
      <c r="I662" s="2"/>
      <c r="J662" s="2"/>
      <c r="K662" s="2"/>
      <c r="L662" s="2"/>
      <c r="M662" s="2"/>
      <c r="N662" s="2"/>
      <c r="O662" s="2"/>
      <c r="P662" s="2"/>
      <c r="Q662" s="2"/>
      <c r="R662" s="2"/>
      <c r="S662" s="2"/>
      <c r="T662" s="2"/>
      <c r="U662" s="2"/>
      <c r="V662" s="2"/>
      <c r="W662" s="2"/>
      <c r="X662" s="2"/>
      <c r="Y662" s="2"/>
      <c r="Z662" s="2"/>
      <c r="AA662" s="2"/>
    </row>
    <row r="663">
      <c r="A663" s="3" t="s">
        <v>2010</v>
      </c>
      <c r="B663" s="1" t="s">
        <v>2203</v>
      </c>
      <c r="C663" s="1" t="s">
        <v>2204</v>
      </c>
      <c r="D663" s="1" t="s">
        <v>2205</v>
      </c>
      <c r="E663" s="2" t="str">
        <f>IFERROR(__xludf.DUMMYFUNCTION("GOOGLETRANSLATE(C663, ""en"", ""TL"")"),"Hindi, sa pangkalahatan ay hindi ka ligal na mananagot sa Pilipinas kung ang iyong email account ay ginagamit para sa phishing nang hindi mo nalalaman. Narito kung bakit:
* **Kakulangan ng Layunin:** Ang mga pag-atake sa phishing ay nagsasangkot ng hindi "&amp;"awtorisadong pag-access sa iyong email. Kinikilala ng batas ang pagkakaiba sa pagitan ng mga aksyon ng isang tao at ang kanilang account na nakompromiso.
* **Due Diligence:** Hangga't nagsasanay ka ng mga makatwirang hakbang sa seguridad para sa iyong ema"&amp;"il account (hal., malakas na password, hindi nagki-click sa mga kahina-hinalang link), ang pasanin ng responsibilidad ay babagsak sa umaatake na nakompromiso sa iyong account.
**Gayunpaman, maaaring mayroong napakabihirang mga pagbubukod:**
* **Gross Negl"&amp;"igence:** Sa isang hindi malamang na senaryo, kung mapapatunayang nagpakita ka ng matinding kapabayaan sa pag-secure ng iyong email account (hal., paggamit ng napakahinang password o pagbabahagi ng mga kredensyal sa pag-log in sa publiko), maaaring may pa"&amp;"gkakataon na magkaroon ng ilang pananagutan na itinalaga. Ito ay lubos na imposible at malamang na may kaugnayan lamang sa isang partikular na sitwasyon.
**Narito ang nagpapatibay sa iyong posisyon:**
* **Pag-uulat ng Aktibidad sa Phishing:** * Kung matuk"&amp;"lasan mo na ang iyong email account ay nakompromiso at ginamit para sa phishing, iulat ito kaagad sa iyong email provider. Lumilikha ito ng talaan ng insidente at nagpapakitang hindi ka kasali.
* **Paggawa ng Mga Hakbang upang I-secure ang Iyong Account:*"&amp;"* * Baguhin ang iyong email password sa isang malakas at paganahin ang multi-factor na pagpapatotoo kung magagamit. Ipinapakita nito na inaako mo ang responsibilidad para sa pag-secure ng iyong account.
**Sa Konklusyon:**
Umaasa ang phishing sa panlilinla"&amp;"ng sa mga tao sa pagbibigay ng impormasyon o pag-click sa mga nakakahamak na link. Hangga't hindi ka kasali sa pagtatangkang phishing at makakapagpakita ng mga makatwirang hakbang sa seguridad, hindi ka ligal na mananagot sa Pilipinas.")</f>
        <v>Hindi, sa pangkalahatan ay hindi ka ligal na mananagot sa Pilipinas kung ang iyong email account ay ginagamit para sa phishing nang hindi mo nalalaman. Narito kung bakit:
* **Kakulangan ng Layunin:** Ang mga pag-atake sa phishing ay nagsasangkot ng hindi awtorisadong pag-access sa iyong email. Kinikilala ng batas ang pagkakaiba sa pagitan ng mga aksyon ng isang tao at ang kanilang account na nakompromiso.
* **Due Diligence:** Hangga't nagsasanay ka ng mga makatwirang hakbang sa seguridad para sa iyong email account (hal., malakas na password, hindi nagki-click sa mga kahina-hinalang link), ang pasanin ng responsibilidad ay babagsak sa umaatake na nakompromiso sa iyong account.
**Gayunpaman, maaaring mayroong napakabihirang mga pagbubukod:**
* **Gross Negligence:** Sa isang hindi malamang na senaryo, kung mapapatunayang nagpakita ka ng matinding kapabayaan sa pag-secure ng iyong email account (hal., paggamit ng napakahinang password o pagbabahagi ng mga kredensyal sa pag-log in sa publiko), maaaring may pagkakataon na magkaroon ng ilang pananagutan na itinalaga. Ito ay lubos na imposible at malamang na may kaugnayan lamang sa isang partikular na sitwasyon.
**Narito ang nagpapatibay sa iyong posisyon:**
* **Pag-uulat ng Aktibidad sa Phishing:** * Kung matuklasan mo na ang iyong email account ay nakompromiso at ginamit para sa phishing, iulat ito kaagad sa iyong email provider. Lumilikha ito ng talaan ng insidente at nagpapakitang hindi ka kasali.
* **Paggawa ng Mga Hakbang upang I-secure ang Iyong Account:** * Baguhin ang iyong email password sa isang malakas at paganahin ang multi-factor na pagpapatotoo kung magagamit. Ipinapakita nito na inaako mo ang responsibilidad para sa pag-secure ng iyong account.
**Sa Konklusyon:**
Umaasa ang phishing sa panlilinlang sa mga tao sa pagbibigay ng impormasyon o pag-click sa mga nakakahamak na link. Hangga't hindi ka kasali sa pagtatangkang phishing at makakapagpakita ng mga makatwirang hakbang sa seguridad, hindi ka ligal na mananagot sa Pilipinas.</v>
      </c>
      <c r="F663" s="2">
        <f t="shared" si="1"/>
        <v>0</v>
      </c>
      <c r="G663" s="2"/>
      <c r="H663" s="2"/>
      <c r="I663" s="2"/>
      <c r="J663" s="2"/>
      <c r="K663" s="2"/>
      <c r="L663" s="2"/>
      <c r="M663" s="2"/>
      <c r="N663" s="2"/>
      <c r="O663" s="2"/>
      <c r="P663" s="2"/>
      <c r="Q663" s="2"/>
      <c r="R663" s="2"/>
      <c r="S663" s="2"/>
      <c r="T663" s="2"/>
      <c r="U663" s="2"/>
      <c r="V663" s="2"/>
      <c r="W663" s="2"/>
      <c r="X663" s="2"/>
      <c r="Y663" s="2"/>
      <c r="Z663" s="2"/>
      <c r="AA663" s="2"/>
    </row>
    <row r="664">
      <c r="A664" s="3" t="s">
        <v>2010</v>
      </c>
      <c r="B664" s="1" t="s">
        <v>2206</v>
      </c>
      <c r="C664" s="1" t="s">
        <v>2207</v>
      </c>
      <c r="D664" s="1" t="s">
        <v>2208</v>
      </c>
      <c r="E664" s="2" t="str">
        <f>IFERROR(__xludf.DUMMYFUNCTION("GOOGLETRANSLATE(C664, ""en"", ""TL"")"),"Bagama't walang walang palya na legal na proteksyon laban sa mga pag-atake ng phishing, maraming hakbang ang maaaring makabuluhang bawasan ang panganib at palakasin ang iyong legal na posisyon kung makompromiso ang iyong impormasyon:
**1. Maging Proactive"&amp;" sa Data Security:**
* **Malakas na Mga Password at Multi-Factor Authentication (MFA):** Gumamit ng natatangi, kumplikadong mga password para sa lahat ng iyong online na account at paganahin ang MFA saanman available. Ginagawa nitong mas mahirap ang hindi"&amp;" awtorisadong pag-access.
* **Data Encryption:** Isaalang-alang ang pag-encrypt ng sensitibong data sa iyong mga device para sa karagdagang layer ng seguridad.
**2. Manatiling Alam at Mapagbantay:**
* **Pagsasanay sa Kamalayan sa Phishing:** Turuan ang iy"&amp;"ong sarili at ang iyong mga empleyado (kung naaangkop) kung paano matukoy ang mga pagtatangka sa phishing. Maghanap ng mga pulang bandila tulad ng mga kahina-hinalang email address, generic na pagbati, mga taktika ng madaliang pagkilos, at mga error sa gr"&amp;"amatika.
* **Manatiling Update sa Mga Phishing Scam:** Panatilihing updated ang iyong sarili sa pinakabagong mga taktika sa phishing sa pamamagitan ng pagsunod sa mga mapagkakatiwalaang mapagkukunan ng cybersecurity.
**3. Bawasan ang Exposure:**
* **Mag-i"&amp;"ngat sa Mga Hindi Kilalang Nagpapadala:** Huwag mag-click ng mga link o magbukas ng mga attachment sa mga email mula sa hindi kilalang mga nagpadala. I-verify ang pagkakakilanlan ng nagpadala bago makipag-ugnayan sa kanilang mga email.
* **Suriin ang Mga "&amp;"Link at Website:** Mag-hover sa mga link bago i-click upang makita ang aktwal na destination URL. Huwag maglagay ng personal na impormasyon sa mga website na mukhang kahina-hinala.
**4. I-secure ang Iyong Mga Device:**
* **Anti-Virus at Anti-Malware Softw"&amp;"are:** Panatilihing up-to-date ang iyong mga device (mga computer, telepono) sa pinakabagong software ng seguridad upang matukoy at harangan ang malware na maaaring magnakaw ng impormasyon.
* **Mag-ingat sa Pampublikong Wi-Fi:** Iwasang maglagay ng sensit"&amp;"ibong impormasyon sa mga pampublikong Wi-Fi network dahil maaaring hindi gaanong secure ang mga ito.
**5. Mga Legal na Panukala (Para sa Mga Negosyo):**
* **Pagsunod sa Privacy ng Data:** Kung nagpapatakbo ka ng negosyo, tiyakin ang pagsunod sa Data Priva"&amp;"cy Act (RA 8424) upang mapangalagaan ang data ng customer. Kabilang dito ang pagpapatupad ng naaangkop na mga hakbang sa seguridad at pagkakaroon ng plano sa pag-abiso ng paglabag sa data kung kinakailangan.
**Legal na Leverage sa Kaso ng Paglabag:**
* Sa"&amp;" pamamagitan ng pagsasagawa ng mga proactive na hakbang na ito, nagpapakita ka ng pangako sa seguridad ng data. Kung nakompromiso ang iyong impormasyon sa kabila ng mga pag-iingat na ito, pinalalakas nito ang iyong legal na kaso kung magpasya kang magsaga"&amp;"wa ng legal na aksyon laban sa umaatake o isang pabayang third party. * Maaari mong ipakita na ikaw ay isang responsableng biktima na gumawa ng mga hakbang upang mabawasan ang panganib.
**Tandaan:** Bagama't makakatulong ang mga legal na hakbang sa ilang "&amp;"sitwasyon, ang pag-iwas ay susi. Sa pamamagitan ng pagsunod sa mga hakbang na ito, maaari mong makabuluhang bawasan ang panganib na maging biktima ng pag-atake ng phishing at protektahan ang iyong personal na impormasyon.")</f>
        <v>Bagama't walang walang palya na legal na proteksyon laban sa mga pag-atake ng phishing, maraming hakbang ang maaaring makabuluhang bawasan ang panganib at palakasin ang iyong legal na posisyon kung makompromiso ang iyong impormasyon:
**1. Maging Proactive sa Data Security:**
* **Malakas na Mga Password at Multi-Factor Authentication (MFA):** Gumamit ng natatangi, kumplikadong mga password para sa lahat ng iyong online na account at paganahin ang MFA saanman available. Ginagawa nitong mas mahirap ang hindi awtorisadong pag-access.
* **Data Encryption:** Isaalang-alang ang pag-encrypt ng sensitibong data sa iyong mga device para sa karagdagang layer ng seguridad.
**2. Manatiling Alam at Mapagbantay:**
* **Pagsasanay sa Kamalayan sa Phishing:** Turuan ang iyong sarili at ang iyong mga empleyado (kung naaangkop) kung paano matukoy ang mga pagtatangka sa phishing. Maghanap ng mga pulang bandila tulad ng mga kahina-hinalang email address, generic na pagbati, mga taktika ng madaliang pagkilos, at mga error sa gramatika.
* **Manatiling Update sa Mga Phishing Scam:** Panatilihing updated ang iyong sarili sa pinakabagong mga taktika sa phishing sa pamamagitan ng pagsunod sa mga mapagkakatiwalaang mapagkukunan ng cybersecurity.
**3. Bawasan ang Exposure:**
* **Mag-ingat sa Mga Hindi Kilalang Nagpapadala:** Huwag mag-click ng mga link o magbukas ng mga attachment sa mga email mula sa hindi kilalang mga nagpadala. I-verify ang pagkakakilanlan ng nagpadala bago makipag-ugnayan sa kanilang mga email.
* **Suriin ang Mga Link at Website:** Mag-hover sa mga link bago i-click upang makita ang aktwal na destination URL. Huwag maglagay ng personal na impormasyon sa mga website na mukhang kahina-hinala.
**4. I-secure ang Iyong Mga Device:**
* **Anti-Virus at Anti-Malware Software:** Panatilihing up-to-date ang iyong mga device (mga computer, telepono) sa pinakabagong software ng seguridad upang matukoy at harangan ang malware na maaaring magnakaw ng impormasyon.
* **Mag-ingat sa Pampublikong Wi-Fi:** Iwasang maglagay ng sensitibong impormasyon sa mga pampublikong Wi-Fi network dahil maaaring hindi gaanong secure ang mga ito.
**5. Mga Legal na Panukala (Para sa Mga Negosyo):**
* **Pagsunod sa Privacy ng Data:** Kung nagpapatakbo ka ng negosyo, tiyakin ang pagsunod sa Data Privacy Act (RA 8424) upang mapangalagaan ang data ng customer. Kabilang dito ang pagpapatupad ng naaangkop na mga hakbang sa seguridad at pagkakaroon ng plano sa pag-abiso ng paglabag sa data kung kinakailangan.
**Legal na Leverage sa Kaso ng Paglabag:**
* Sa pamamagitan ng pagsasagawa ng mga proactive na hakbang na ito, nagpapakita ka ng pangako sa seguridad ng data. Kung nakompromiso ang iyong impormasyon sa kabila ng mga pag-iingat na ito, pinalalakas nito ang iyong legal na kaso kung magpasya kang magsagawa ng legal na aksyon laban sa umaatake o isang pabayang third party. * Maaari mong ipakita na ikaw ay isang responsableng biktima na gumawa ng mga hakbang upang mabawasan ang panganib.
**Tandaan:** Bagama't makakatulong ang mga legal na hakbang sa ilang sitwasyon, ang pag-iwas ay susi. Sa pamamagitan ng pagsunod sa mga hakbang na ito, maaari mong makabuluhang bawasan ang panganib na maging biktima ng pag-atake ng phishing at protektahan ang iyong personal na impormasyon.</v>
      </c>
      <c r="F664" s="2">
        <f t="shared" si="1"/>
        <v>0</v>
      </c>
      <c r="G664" s="2"/>
      <c r="H664" s="2"/>
      <c r="I664" s="2"/>
      <c r="J664" s="2"/>
      <c r="K664" s="2"/>
      <c r="L664" s="2"/>
      <c r="M664" s="2"/>
      <c r="N664" s="2"/>
      <c r="O664" s="2"/>
      <c r="P664" s="2"/>
      <c r="Q664" s="2"/>
      <c r="R664" s="2"/>
      <c r="S664" s="2"/>
      <c r="T664" s="2"/>
      <c r="U664" s="2"/>
      <c r="V664" s="2"/>
      <c r="W664" s="2"/>
      <c r="X664" s="2"/>
      <c r="Y664" s="2"/>
      <c r="Z664" s="2"/>
      <c r="AA664" s="2"/>
    </row>
    <row r="665">
      <c r="A665" s="3" t="s">
        <v>2010</v>
      </c>
      <c r="B665" s="1" t="s">
        <v>2209</v>
      </c>
      <c r="C665" s="1" t="s">
        <v>2210</v>
      </c>
      <c r="D665" s="1" t="s">
        <v>2211</v>
      </c>
      <c r="E665" s="2" t="str">
        <f>IFERROR(__xludf.DUMMYFUNCTION("GOOGLETRANSLATE(C665, ""en"", ""TL"")"),"Ang Pilipinas ay walang iisa, partikular na batas ng mga limitasyon para sa paghahabol ng legal na aksyon laban sa isang phishing scammer. Gayunpaman, ang timeline para sa pagsasampa ng kaso ay nakasalalay sa pagkakasala na ginawa sa panahon ng pag-atake "&amp;"ng phishing:
* **Cybercrime Prevention Act (RA 10175):** Binabalangkas ng Batas na ito ang mga parusa para sa iba't ibang cybercrime na nauugnay sa mga pag-atake ng phishing. Ang tiyak na batas ng mga limitasyon para sa bawat pagkakasala ay ilalapat. * Ha"&amp;"limbawa, ang Seksyon 14 sa ""Hindi Pinahintulutang Pag-access sa Mga Computer System"" ay hindi nagbabanggit ng isang partikular na takdang panahon, kaya maaaring malapat ang pangkalahatang tuntunin ng reseta sa ilalim ng Binagong Kodigo Penal (Artikulo 8"&amp;"9). Ito ay karaniwang nagtatakda ng panahon ng reseta na **dalawampung (20) taon** para sa mga felonies.
* **Data Privacy Act (RA 8424):** Ang Batas na ito ay walang partikular na batas ng mga limitasyon. Gayunpaman, ang paghahain ng reklamo sa National P"&amp;"rivacy Commission (NPC) sa ilalim ng RA 8424 ay malamang na napapailalim sa isang makatwirang pamantayan. Ang isang makabuluhang pagkaantala sa paghahain ng reklamo ay maaaring magpahina sa iyong kaso.
**Narito ang dapat isaalang-alang:**
* **Pag-iingat n"&amp;"g Ebidensya:** Kung mas matagal kang maghintay para isagawa ang legal na aksyon, mas mahirap mangolekta at magpanatili ng ebidensya (hal., mga email sa phishing).
* **Mga Paghahabla sa Sibil:** Kung isasaalang-alang mo ang isang demanda sibil para sa mga "&amp;"pinsala, mayroong isang pangkalahatang **apat (4) na taon** na prescriptive period sa ilalim ng Civil Code para sa karamihan ng mga aksyong sibil.
**Rekomendasyon:**
* Kumonsulta sa isang abogado na dalubhasa sa data privacy o cyberlaw. Maaari silang magp"&amp;"ayo tungkol sa pinakanauugnay na batas ng mga limitasyon batay sa partikular na pagkakasala na ginawa sa panahon ng pag-atake sa phishing at ang uri ng legal na aksyon na iyong isinasaalang-alang.
* Sa pangkalahatan, pinakamahusay na kumilos kaagad pagkat"&amp;"apos matuklasan ang isang pag-atake sa phishing. Nagbibigay-daan ito para sa mas mahusay na pag-iingat ng ebidensya at palakasin ang iyong legal na posisyon.")</f>
        <v>Ang Pilipinas ay walang iisa, partikular na batas ng mga limitasyon para sa paghahabol ng legal na aksyon laban sa isang phishing scammer. Gayunpaman, ang timeline para sa pagsasampa ng kaso ay nakasalalay sa pagkakasala na ginawa sa panahon ng pag-atake ng phishing:
* **Cybercrime Prevention Act (RA 10175):** Binabalangkas ng Batas na ito ang mga parusa para sa iba't ibang cybercrime na nauugnay sa mga pag-atake ng phishing. Ang tiyak na batas ng mga limitasyon para sa bawat pagkakasala ay ilalapat. * Halimbawa, ang Seksyon 14 sa "Hindi Pinahintulutang Pag-access sa Mga Computer System" ay hindi nagbabanggit ng isang partikular na takdang panahon, kaya maaaring malapat ang pangkalahatang tuntunin ng reseta sa ilalim ng Binagong Kodigo Penal (Artikulo 89). Ito ay karaniwang nagtatakda ng panahon ng reseta na **dalawampung (20) taon** para sa mga felonies.
* **Data Privacy Act (RA 8424):** Ang Batas na ito ay walang partikular na batas ng mga limitasyon. Gayunpaman, ang paghahain ng reklamo sa National Privacy Commission (NPC) sa ilalim ng RA 8424 ay malamang na napapailalim sa isang makatwirang pamantayan. Ang isang makabuluhang pagkaantala sa paghahain ng reklamo ay maaaring magpahina sa iyong kaso.
**Narito ang dapat isaalang-alang:**
* **Pag-iingat ng Ebidensya:** Kung mas matagal kang maghintay para isagawa ang legal na aksyon, mas mahirap mangolekta at magpanatili ng ebidensya (hal., mga email sa phishing).
* **Mga Paghahabla sa Sibil:** Kung isasaalang-alang mo ang isang demanda sibil para sa mga pinsala, mayroong isang pangkalahatang **apat (4) na taon** na prescriptive period sa ilalim ng Civil Code para sa karamihan ng mga aksyong sibil.
**Rekomendasyon:**
* Kumonsulta sa isang abogado na dalubhasa sa data privacy o cyberlaw. Maaari silang magpayo tungkol sa pinakanauugnay na batas ng mga limitasyon batay sa partikular na pagkakasala na ginawa sa panahon ng pag-atake sa phishing at ang uri ng legal na aksyon na iyong isinasaalang-alang.
* Sa pangkalahatan, pinakamahusay na kumilos kaagad pagkatapos matuklasan ang isang pag-atake sa phishing. Nagbibigay-daan ito para sa mas mahusay na pag-iingat ng ebidensya at palakasin ang iyong legal na posisyon.</v>
      </c>
      <c r="F665" s="2">
        <f t="shared" si="1"/>
        <v>0</v>
      </c>
      <c r="G665" s="2"/>
      <c r="H665" s="2"/>
      <c r="I665" s="2"/>
      <c r="J665" s="2"/>
      <c r="K665" s="2"/>
      <c r="L665" s="2"/>
      <c r="M665" s="2"/>
      <c r="N665" s="2"/>
      <c r="O665" s="2"/>
      <c r="P665" s="2"/>
      <c r="Q665" s="2"/>
      <c r="R665" s="2"/>
      <c r="S665" s="2"/>
      <c r="T665" s="2"/>
      <c r="U665" s="2"/>
      <c r="V665" s="2"/>
      <c r="W665" s="2"/>
      <c r="X665" s="2"/>
      <c r="Y665" s="2"/>
      <c r="Z665" s="2"/>
      <c r="AA665" s="2"/>
    </row>
    <row r="666">
      <c r="A666" s="3" t="s">
        <v>2010</v>
      </c>
      <c r="B666" s="1" t="s">
        <v>2212</v>
      </c>
      <c r="C666" s="1" t="s">
        <v>2213</v>
      </c>
      <c r="D666" s="1" t="s">
        <v>2214</v>
      </c>
      <c r="E666" s="2" t="str">
        <f>IFERROR(__xludf.DUMMYFUNCTION("GOOGLETRANSLATE(C666, ""en"", ""TL"")"),"Ang pagpapatunay ng pinsala sa pananalapi na dulot ng pag-atake ng phishing sa Pilipinas ay maaaring maging mahirap ngunit hindi imposible. Narito kung paano mo mapapalakas ang iyong kaso:
**Magtipon ng Ebidensya:**
* **Phishing Email:** I-save ang phishi"&amp;"ng email, kabilang ang mga header, upang ipakita ang address at nilalaman ng nagpadala (kung anong impormasyon ang sinubukan nilang nakawin).
* **Mga Pahayag sa Pananalapi:** Mangolekta ng mga bank statement o mga rekord sa pananalapi bago at pagkatapos n"&amp;"g pag-atake. I-highlight ang anumang hindi awtorisadong transaksyon o kahina-hinalang aktibidad.
* **Ulat ng Pulis:** Kung nagsampa ka ng ulat sa pulisya, kumuha ng kopya ng ulat para sa iyong mga rekord.
* **Komunikasyon sa Institusyon ng Pinansyal:** Ma"&amp;"gtago ng mga kopya ng anumang mga email o talaan ng pakikipag-ugnayan sa iyong bangko o institusyong pampinansyal tungkol sa mapanlinlang na aktibidad.
**Magpakita ng Sanhi:**
* Kailangan mong magpakita ng malinaw na link sa pagitan ng pag-atake sa phishi"&amp;"ng at iyong pagkawala sa pananalapi. * Maaaring kabilang dito ang pagpapakita ng pagtatangka sa phishing na naka-target na impormasyon sa pananalapi (hal., mga kredensyal sa pag-log in para sa iyong bank account).
* Kung maipapakita mo na agad mong iniula"&amp;"t ang pagtatangkang phishing sa iyong institusyong pampinansyal pagkatapos itong matanggap ngunit natalo pa rin, pinalalakas nito ang iyong kaso.
**Tindi ng Pinsala:**
* Ang kalubhaan ng pinansiyal na pinsala ay maaaring makaimpluwensya sa iyong kaso. * A"&amp;"ng mas malaking halaga ng ninakaw na pera o makabuluhang pagkagambala sa pananalapi na dulot ng pag-atake ay magdadala ng higit na timbang.
**Panatilihin ang Mga Tala:**
* Panatilihing maayos at madaling makuha ang lahat ng iyong mga dokumento na nauugnay"&amp;" sa pag-atake sa phishing at pagkawala ng pananalapi.
**Isaalang-alang ang Alternatibong Katibayan:**
* Kung hindi mo ma-access ang mga bank statement bago ang pag-atake (hal., bagong account), tuklasin ang mga alternatibong ebidensya tulad ng mga screens"&amp;"hot na nagpapakita ng iyong karaniwang balanse sa account kumpara sa balanse pagkatapos ng pag-atake.
**Legal na Tulong:**
* Ang isang abogado na dalubhasa sa data privacy o cyberlaw ay maaaring magpayo sa pinakamahusay na paraan upang magpakita ng ebiden"&amp;"sya at bumuo ng isang malakas na kaso upang patunayan ang pinansiyal na pinsala.
**Mga Karagdagang Tala:**
* Kahit na mabawi mo ang mga ninakaw na pondo sa pamamagitan ng iyong institusyong pampinansyal, maaari ka pa ring magsagawa ng legal na aksyon upan"&amp;"g panagutin ang scammer, lalo na kung nakaranas ka ng karagdagang pinsala (hal., mga bayarin sa pagsasara ng account, oras na ginugol sa paglutas ng isyu).
* Ang pasanin ng patunay ay nasa iyo upang ipakita ang pinansiyal na pinsala na dulot ng pag-atake "&amp;"ng phishing. Sa pamamagitan ng pangangalap ng matibay na ebidensya at potensyal na humingi ng legal na patnubay, maaari mong pataasin ang iyong mga pagkakataong matagumpay na mapatunayan ang pinansiyal na pinsala mula sa pag-atake ng phishing.")</f>
        <v>Ang pagpapatunay ng pinsala sa pananalapi na dulot ng pag-atake ng phishing sa Pilipinas ay maaaring maging mahirap ngunit hindi imposible. Narito kung paano mo mapapalakas ang iyong kaso:
**Magtipon ng Ebidensya:**
* **Phishing Email:** I-save ang phishing email, kabilang ang mga header, upang ipakita ang address at nilalaman ng nagpadala (kung anong impormasyon ang sinubukan nilang nakawin).
* **Mga Pahayag sa Pananalapi:** Mangolekta ng mga bank statement o mga rekord sa pananalapi bago at pagkatapos ng pag-atake. I-highlight ang anumang hindi awtorisadong transaksyon o kahina-hinalang aktibidad.
* **Ulat ng Pulis:** Kung nagsampa ka ng ulat sa pulisya, kumuha ng kopya ng ulat para sa iyong mga rekord.
* **Komunikasyon sa Institusyon ng Pinansyal:** Magtago ng mga kopya ng anumang mga email o talaan ng pakikipag-ugnayan sa iyong bangko o institusyong pampinansyal tungkol sa mapanlinlang na aktibidad.
**Magpakita ng Sanhi:**
* Kailangan mong magpakita ng malinaw na link sa pagitan ng pag-atake sa phishing at iyong pagkawala sa pananalapi. * Maaaring kabilang dito ang pagpapakita ng pagtatangka sa phishing na naka-target na impormasyon sa pananalapi (hal., mga kredensyal sa pag-log in para sa iyong bank account).
* Kung maipapakita mo na agad mong iniulat ang pagtatangkang phishing sa iyong institusyong pampinansyal pagkatapos itong matanggap ngunit natalo pa rin, pinalalakas nito ang iyong kaso.
**Tindi ng Pinsala:**
* Ang kalubhaan ng pinansiyal na pinsala ay maaaring makaimpluwensya sa iyong kaso. * Ang mas malaking halaga ng ninakaw na pera o makabuluhang pagkagambala sa pananalapi na dulot ng pag-atake ay magdadala ng higit na timbang.
**Panatilihin ang Mga Tala:**
* Panatilihing maayos at madaling makuha ang lahat ng iyong mga dokumento na nauugnay sa pag-atake sa phishing at pagkawala ng pananalapi.
**Isaalang-alang ang Alternatibong Katibayan:**
* Kung hindi mo ma-access ang mga bank statement bago ang pag-atake (hal., bagong account), tuklasin ang mga alternatibong ebidensya tulad ng mga screenshot na nagpapakita ng iyong karaniwang balanse sa account kumpara sa balanse pagkatapos ng pag-atake.
**Legal na Tulong:**
* Ang isang abogado na dalubhasa sa data privacy o cyberlaw ay maaaring magpayo sa pinakamahusay na paraan upang magpakita ng ebidensya at bumuo ng isang malakas na kaso upang patunayan ang pinansiyal na pinsala.
**Mga Karagdagang Tala:**
* Kahit na mabawi mo ang mga ninakaw na pondo sa pamamagitan ng iyong institusyong pampinansyal, maaari ka pa ring magsagawa ng legal na aksyon upang panagutin ang scammer, lalo na kung nakaranas ka ng karagdagang pinsala (hal., mga bayarin sa pagsasara ng account, oras na ginugol sa paglutas ng isyu).
* Ang pasanin ng patunay ay nasa iyo upang ipakita ang pinansiyal na pinsala na dulot ng pag-atake ng phishing. Sa pamamagitan ng pangangalap ng matibay na ebidensya at potensyal na humingi ng legal na patnubay, maaari mong pataasin ang iyong mga pagkakataong matagumpay na mapatunayan ang pinansiyal na pinsala mula sa pag-atake ng phishing.</v>
      </c>
      <c r="F666" s="2">
        <f t="shared" si="1"/>
        <v>0</v>
      </c>
      <c r="G666" s="2"/>
      <c r="H666" s="2"/>
      <c r="I666" s="2"/>
      <c r="J666" s="2"/>
      <c r="K666" s="2"/>
      <c r="L666" s="2"/>
      <c r="M666" s="2"/>
      <c r="N666" s="2"/>
      <c r="O666" s="2"/>
      <c r="P666" s="2"/>
      <c r="Q666" s="2"/>
      <c r="R666" s="2"/>
      <c r="S666" s="2"/>
      <c r="T666" s="2"/>
      <c r="U666" s="2"/>
      <c r="V666" s="2"/>
      <c r="W666" s="2"/>
      <c r="X666" s="2"/>
      <c r="Y666" s="2"/>
      <c r="Z666" s="2"/>
      <c r="AA666" s="2"/>
    </row>
    <row r="667">
      <c r="A667" s="3" t="s">
        <v>2010</v>
      </c>
      <c r="B667" s="1" t="s">
        <v>2215</v>
      </c>
      <c r="C667" s="1" t="s">
        <v>2216</v>
      </c>
      <c r="D667" s="1" t="s">
        <v>2217</v>
      </c>
      <c r="E667" s="2" t="str">
        <f>IFERROR(__xludf.DUMMYFUNCTION("GOOGLETRANSLATE(C667, ""en"", ""TL"")"),"Ang pagdemanda sa isang platform ng social media para sa hindi sapat na pagprotekta sa iyong account mula sa mga pagtatangka sa phishing sa Pilipinas ay posible, ngunit ang tagumpay ay nakasalalay sa ilang mga kadahilanan. Narito ang isang breakdown ng si"&amp;"twasyon:
**Potensyal na mga batayan para sa isang demanda:**
* **Data Privacy Act (RA 8424):** Ang Batas na ito ay nag-uutos sa mga platform ng social media na magpatupad ng naaangkop na mga hakbang sa seguridad upang maprotektahan ang data ng user. Kung "&amp;"nakompromiso ng pag-atake ng phishing ang iyong impormasyon dahil sa mahinang mga kasanayan sa seguridad ng isang social media platform, maaaring magkaroon ka ng kaso sa ilalim ng RA 8424. Kailangan mong patunayan ang kapabayaan ng platform at kung paano "&amp;"ito direktang nagresulta sa pagkakalantad ng iyong data.
**Mga Hamon ng Panalo sa Demanda:**
* **Burden of Proof:** Responsibilidad mong patunayan ang kapabayaan ng social media platform na direktang nagdulot ng tagumpay ng phishing attack. Maaari itong m"&amp;"aging mahirap dahil ang mga platform na ito ay may mga kumplikadong sistema ng seguridad at maaaring magtaltalan na gumawa sila ng mga makatwirang hakbang.
* **Mga Kasunduan ng User:** Ang mga platform ng social media ay kadalasang may mga tuntunin ng mga"&amp;" kasunduan sa serbisyo na naglilimita sa kanilang pananagutan sa mga kaso ng phishing. Ang mga kasunduang ito ay maaaring magbalangkas ng responsibilidad ng user na protektahan ang kanilang mga account (hal., malakas na password, hindi pag-click sa mga ka"&amp;"hina-hinalang link).
**Mga Alternatibo sa Paghahabla:**
* **Iulat ang Pagsubok sa Phishing:** Direktang iulat ang pagtatangka sa phishing sa platform ng social media. Maraming mga platform ang may mga mekanismo sa pag-uulat para sa mga naturang insidente."&amp;"
* **Palakasin ang Seguridad ng Iyong Account:** Paganahin ang multi-factor na pagpapatotoo at gumamit ng malalakas na password upang mapahusay ang seguridad ng iyong account.
**Rekomendasyon:**
* Kumonsulta sa isang abogado na dalubhasa sa data privacy o"&amp;" cyberlaw. Maaari nilang tasahin ang iyong sitwasyon, kabilang ang mga detalye ng pag-atake sa phishing, mga kasanayan sa seguridad ng platform ng social media, at ang nauugnay na kasunduan ng user. Batay sa pagsusuring ito, maaari silang magpayo sa posib"&amp;"ilidad ng tagumpay sa isang demanda at tuklasin ang mga alternatibong kurso ng aksyon.
**Mga Karagdagang Tala:**
* Ang mga legal na laban ay maaaring mahaba at magastos. Timbangin ang mga potensyal na benepisyo (pagbawi ng mga pinsala) laban sa oras at pa"&amp;"mumuhunan sa pananalapi na kinakailangan para sa isang demanda. * Isaalang-alang ang tugon ng platform ng social media sa iyong ulat ng pagtatangka sa phishing. Kung hindi sila gagawa ng aksyon o nagpapakita ng kawalan ng pag-aalala para sa seguridad ng u"&amp;"ser, maaari nitong palakasin ang iyong kaso kung magpasya kang magsagawa ng legal na aksyon.
**Tandaan:** Walang garantiya ng tagumpay sa pagdemanda sa isang platform ng social media para sa pag-atake ng phishing. Gayunpaman, ang paggalugad ng iyong mga o"&amp;"psyon sa isang kwalipikadong abogado at pagtutuon sa pag-secure ng iyong mga account ay maaaring magbigay ng kapangyarihan sa iyo na protektahan ang iyong sarili online.")</f>
        <v>Ang pagdemanda sa isang platform ng social media para sa hindi sapat na pagprotekta sa iyong account mula sa mga pagtatangka sa phishing sa Pilipinas ay posible, ngunit ang tagumpay ay nakasalalay sa ilang mga kadahilanan. Narito ang isang breakdown ng sitwasyon:
**Potensyal na mga batayan para sa isang demanda:**
* **Data Privacy Act (RA 8424):** Ang Batas na ito ay nag-uutos sa mga platform ng social media na magpatupad ng naaangkop na mga hakbang sa seguridad upang maprotektahan ang data ng user. Kung nakompromiso ng pag-atake ng phishing ang iyong impormasyon dahil sa mahinang mga kasanayan sa seguridad ng isang social media platform, maaaring magkaroon ka ng kaso sa ilalim ng RA 8424. Kailangan mong patunayan ang kapabayaan ng platform at kung paano ito direktang nagresulta sa pagkakalantad ng iyong data.
**Mga Hamon ng Panalo sa Demanda:**
* **Burden of Proof:** Responsibilidad mong patunayan ang kapabayaan ng social media platform na direktang nagdulot ng tagumpay ng phishing attack. Maaari itong maging mahirap dahil ang mga platform na ito ay may mga kumplikadong sistema ng seguridad at maaaring magtaltalan na gumawa sila ng mga makatwirang hakbang.
* **Mga Kasunduan ng User:** Ang mga platform ng social media ay kadalasang may mga tuntunin ng mga kasunduan sa serbisyo na naglilimita sa kanilang pananagutan sa mga kaso ng phishing. Ang mga kasunduang ito ay maaaring magbalangkas ng responsibilidad ng user na protektahan ang kanilang mga account (hal., malakas na password, hindi pag-click sa mga kahina-hinalang link).
**Mga Alternatibo sa Paghahabla:**
* **Iulat ang Pagsubok sa Phishing:** Direktang iulat ang pagtatangka sa phishing sa platform ng social media. Maraming mga platform ang may mga mekanismo sa pag-uulat para sa mga naturang insidente.
* **Palakasin ang Seguridad ng Iyong Account:** Paganahin ang multi-factor na pagpapatotoo at gumamit ng malalakas na password upang mapahusay ang seguridad ng iyong account.
**Rekomendasyon:**
* Kumonsulta sa isang abogado na dalubhasa sa data privacy o cyberlaw. Maaari nilang tasahin ang iyong sitwasyon, kabilang ang mga detalye ng pag-atake sa phishing, mga kasanayan sa seguridad ng platform ng social media, at ang nauugnay na kasunduan ng user. Batay sa pagsusuring ito, maaari silang magpayo sa posibilidad ng tagumpay sa isang demanda at tuklasin ang mga alternatibong kurso ng aksyon.
**Mga Karagdagang Tala:**
* Ang mga legal na laban ay maaaring mahaba at magastos. Timbangin ang mga potensyal na benepisyo (pagbawi ng mga pinsala) laban sa oras at pamumuhunan sa pananalapi na kinakailangan para sa isang demanda. * Isaalang-alang ang tugon ng platform ng social media sa iyong ulat ng pagtatangka sa phishing. Kung hindi sila gagawa ng aksyon o nagpapakita ng kawalan ng pag-aalala para sa seguridad ng user, maaari nitong palakasin ang iyong kaso kung magpasya kang magsagawa ng legal na aksyon.
**Tandaan:** Walang garantiya ng tagumpay sa pagdemanda sa isang platform ng social media para sa pag-atake ng phishing. Gayunpaman, ang paggalugad ng iyong mga opsyon sa isang kwalipikadong abogado at pagtutuon sa pag-secure ng iyong mga account ay maaaring magbigay ng kapangyarihan sa iyo na protektahan ang iyong sarili online.</v>
      </c>
      <c r="F667" s="2">
        <f t="shared" si="1"/>
        <v>0</v>
      </c>
      <c r="G667" s="2"/>
      <c r="H667" s="2"/>
      <c r="I667" s="2"/>
      <c r="J667" s="2"/>
      <c r="K667" s="2"/>
      <c r="L667" s="2"/>
      <c r="M667" s="2"/>
      <c r="N667" s="2"/>
      <c r="O667" s="2"/>
      <c r="P667" s="2"/>
      <c r="Q667" s="2"/>
      <c r="R667" s="2"/>
      <c r="S667" s="2"/>
      <c r="T667" s="2"/>
      <c r="U667" s="2"/>
      <c r="V667" s="2"/>
      <c r="W667" s="2"/>
      <c r="X667" s="2"/>
      <c r="Y667" s="2"/>
      <c r="Z667" s="2"/>
      <c r="AA667" s="2"/>
    </row>
    <row r="668">
      <c r="A668" s="3" t="s">
        <v>2010</v>
      </c>
      <c r="B668" s="1" t="s">
        <v>2218</v>
      </c>
      <c r="C668" s="1" t="s">
        <v>2219</v>
      </c>
      <c r="D668" s="1" t="s">
        <v>2220</v>
      </c>
      <c r="E668" s="2" t="str">
        <f>IFERROR(__xludf.DUMMYFUNCTION("GOOGLETRANSLATE(C668, ""en"", ""TL"")"),"Kung ang pag-atake ng phishing ay nagreresulta sa pagnanakaw ng pagkakakilanlan sa Pilipinas, mayroong ilang mga legal na remedyo na maaari mong tuklasin. Narito ang isang breakdown ng ilang mga opsyon:
**1. Pag-uulat ng Pagnanakaw ng Pagkakakilanlan:**
*"&amp;" **Ulat ng Pulisya:** Maghain ng ulat sa Philippine National Police (PNP), partikular sa Anti-Cybercrime Unit. Ang ulat na ito ay nagdodokumento ng krimen at maaaring maging mahalagang ebidensiya sa anumang legal na aksyon na iyong gagawin.
* **National B"&amp;"ureau of Investigation (NBI):** Maaari mo ring isaalang-alang ang paghahain ng ulat sa Anti-Fraud Division ng NBI, lalo na kung ang pagnanakaw ng pagkakakilanlan ay nagsasangkot ng mas malawak na pandaraya sa pananalapi.
**2. Pagprotekta sa Iyong Sarili m"&amp;"ula sa Karagdagang Kapinsalaan:**
* **Credit Bureau Alerts:** Makipag-ugnayan sa mga credit bureaus na tumatakbo sa Pilipinas (hal., TransUnion, Equifax) at humiling ng alerto sa pandaraya o credit freeze sa iyong credit report. Makakatulong ito na maiwas"&amp;"an ang karagdagang hindi awtorisadong pag-access sa credit sa iyong pangalan.
* **Mga Institusyon sa Pananalapi:** Makipag-ugnayan sa iyong bangko at iba pang mga institusyong pampinansyal upang iulat ang pagnanakaw ng pagkakakilanlan at gumawa ng mga hak"&amp;"bang upang ma-secure ang iyong mga account (hal., pagbabago ng mga password, aktibidad sa pagsubaybay).
**3. Legal na Aksyon:**
* **Civil Lawsuit:** Maaari mong isaalang-alang ang isang sibil na demanda laban sa taong responsable sa pagnanakaw ng pagkakak"&amp;"ilanlan, kung sila ay makikilala. Gayunpaman, maaari itong maging mahirap dahil sa kahirapan sa paghahanap ng salarin. * **Paghain sa isang Negligent Third Party:** Sa ilang mga kaso, maaari mong tuklasin ang pagdemanda sa isang third party na ang kapabay"&amp;"aan ay nag-ambag sa pagnanakaw ng pagkakakilanlan. Halimbawa, kung ang isang paglabag sa data sa isang kumpanyang pinagnenegosyo mo ay naglantad sa iyong impormasyon at humantong sa pagnanakaw ng pagkakakilanlan, maaari kang magkaroon ng kaso laban sa kum"&amp;"panyang iyon. **Mga Hamon sa Legal na Aksyon:**
* **Pagkilala sa Maysala:** Ang paghahanap sa taong gumawa ng pagnanakaw ng pagkakakilanlan ay maaaring maging mahirap.
* **Burden of Proof:** Nasa iyo ang responsibilidad na patunayan ang nangyaring pagnana"&amp;"kaw ng pagkakakilanlan at ang lawak ng mga pinsalang natamo mo.
* **Mga Pinsala:** Maaaring maging mahirap ang pagbawi sa mga pagkalugi sa pananalapi. Gayunpaman, maaari kang humingi ng kabayaran para sa mga pinsala tulad ng emosyonal na pagkabalisa o ora"&amp;"s na ginugol sa paglutas ng isyu.
**Rekomendasyon:**
* Kumonsulta sa isang abogado na dalubhasa sa data privacy o cyberlaw. Maaari nilang tasahin ang iyong sitwasyon, kabilang ang kalubhaan ng pagnanakaw ng pagkakakilanlan, ang magagamit na ebidensya, at "&amp;"ang mga potensyal na legal na opsyon. Maaari silang magpayo sa posibilidad ng tagumpay sa isang demanda at ang mga potensyal na gastos na kasangkot.
**Mga Karagdagang Tala:**
* Ang mga legal na laban ay maaaring mahaba at magastos. Timbangin ang mga poten"&amp;"syal na benepisyo (pagbawi ng mga pinsala) laban sa pinansyal at emosyonal na pamumuhunan na kinakailangan para sa isang demanda.
* Tumutok sa karagdagang pagprotekta sa iyong sarili at pagliit ng pinsalang dulot ng pagnanakaw ng pagkakakilanlan.
**Tandaa"&amp;"n:** Bagama't isang opsyon ang legal na aksyon, ang pagbibigay-priyoridad sa pagprotekta sa sarili at pagliit sa epekto ng pagnanakaw ng pagkakakilanlan ay napakahalaga. Maaaring kabilang dito ang pakikipagtulungan sa iyong mga institusyong pampinansyal u"&amp;"pang mabawi ang mga ninakaw na pondo at pag-dispute ng mga mapanlinlang na singil sa iyong mga account. Maaaring gabayan ka ng isang kwalipikadong abogado sa mga hakbang na ito at payuhan ang pinakamahusay na paraan ng pagkilos para sa iyong partikular na"&amp;" sitwasyon.")</f>
        <v>Kung ang pag-atake ng phishing ay nagreresulta sa pagnanakaw ng pagkakakilanlan sa Pilipinas, mayroong ilang mga legal na remedyo na maaari mong tuklasin. Narito ang isang breakdown ng ilang mga opsyon:
**1. Pag-uulat ng Pagnanakaw ng Pagkakakilanlan:**
* **Ulat ng Pulisya:** Maghain ng ulat sa Philippine National Police (PNP), partikular sa Anti-Cybercrime Unit. Ang ulat na ito ay nagdodokumento ng krimen at maaaring maging mahalagang ebidensiya sa anumang legal na aksyon na iyong gagawin.
* **National Bureau of Investigation (NBI):** Maaari mo ring isaalang-alang ang paghahain ng ulat sa Anti-Fraud Division ng NBI, lalo na kung ang pagnanakaw ng pagkakakilanlan ay nagsasangkot ng mas malawak na pandaraya sa pananalapi.
**2. Pagprotekta sa Iyong Sarili mula sa Karagdagang Kapinsalaan:**
* **Credit Bureau Alerts:** Makipag-ugnayan sa mga credit bureaus na tumatakbo sa Pilipinas (hal., TransUnion, Equifax) at humiling ng alerto sa pandaraya o credit freeze sa iyong credit report. Makakatulong ito na maiwasan ang karagdagang hindi awtorisadong pag-access sa credit sa iyong pangalan.
* **Mga Institusyon sa Pananalapi:** Makipag-ugnayan sa iyong bangko at iba pang mga institusyong pampinansyal upang iulat ang pagnanakaw ng pagkakakilanlan at gumawa ng mga hakbang upang ma-secure ang iyong mga account (hal., pagbabago ng mga password, aktibidad sa pagsubaybay).
**3. Legal na Aksyon:**
* **Civil Lawsuit:** Maaari mong isaalang-alang ang isang sibil na demanda laban sa taong responsable sa pagnanakaw ng pagkakakilanlan, kung sila ay makikilala. Gayunpaman, maaari itong maging mahirap dahil sa kahirapan sa paghahanap ng salarin. * **Paghain sa isang Negligent Third Party:** Sa ilang mga kaso, maaari mong tuklasin ang pagdemanda sa isang third party na ang kapabayaan ay nag-ambag sa pagnanakaw ng pagkakakilanlan. Halimbawa, kung ang isang paglabag sa data sa isang kumpanyang pinagnenegosyo mo ay naglantad sa iyong impormasyon at humantong sa pagnanakaw ng pagkakakilanlan, maaari kang magkaroon ng kaso laban sa kumpanyang iyon. **Mga Hamon sa Legal na Aksyon:**
* **Pagkilala sa Maysala:** Ang paghahanap sa taong gumawa ng pagnanakaw ng pagkakakilanlan ay maaaring maging mahirap.
* **Burden of Proof:** Nasa iyo ang responsibilidad na patunayan ang nangyaring pagnanakaw ng pagkakakilanlan at ang lawak ng mga pinsalang natamo mo.
* **Mga Pinsala:** Maaaring maging mahirap ang pagbawi sa mga pagkalugi sa pananalapi. Gayunpaman, maaari kang humingi ng kabayaran para sa mga pinsala tulad ng emosyonal na pagkabalisa o oras na ginugol sa paglutas ng isyu.
**Rekomendasyon:**
* Kumonsulta sa isang abogado na dalubhasa sa data privacy o cyberlaw. Maaari nilang tasahin ang iyong sitwasyon, kabilang ang kalubhaan ng pagnanakaw ng pagkakakilanlan, ang magagamit na ebidensya, at ang mga potensyal na legal na opsyon. Maaari silang magpayo sa posibilidad ng tagumpay sa isang demanda at ang mga potensyal na gastos na kasangkot.
**Mga Karagdagang Tala:**
* Ang mga legal na laban ay maaaring mahaba at magastos. Timbangin ang mga potensyal na benepisyo (pagbawi ng mga pinsala) laban sa pinansyal at emosyonal na pamumuhunan na kinakailangan para sa isang demanda.
* Tumutok sa karagdagang pagprotekta sa iyong sarili at pagliit ng pinsalang dulot ng pagnanakaw ng pagkakakilanlan.
**Tandaan:** Bagama't isang opsyon ang legal na aksyon, ang pagbibigay-priyoridad sa pagprotekta sa sarili at pagliit sa epekto ng pagnanakaw ng pagkakakilanlan ay napakahalaga. Maaaring kabilang dito ang pakikipagtulungan sa iyong mga institusyong pampinansyal upang mabawi ang mga ninakaw na pondo at pag-dispute ng mga mapanlinlang na singil sa iyong mga account. Maaaring gabayan ka ng isang kwalipikadong abogado sa mga hakbang na ito at payuhan ang pinakamahusay na paraan ng pagkilos para sa iyong partikular na sitwasyon.</v>
      </c>
      <c r="F668" s="2">
        <f t="shared" si="1"/>
        <v>0</v>
      </c>
      <c r="G668" s="2"/>
      <c r="H668" s="2"/>
      <c r="I668" s="2"/>
      <c r="J668" s="2"/>
      <c r="K668" s="2"/>
      <c r="L668" s="2"/>
      <c r="M668" s="2"/>
      <c r="N668" s="2"/>
      <c r="O668" s="2"/>
      <c r="P668" s="2"/>
      <c r="Q668" s="2"/>
      <c r="R668" s="2"/>
      <c r="S668" s="2"/>
      <c r="T668" s="2"/>
      <c r="U668" s="2"/>
      <c r="V668" s="2"/>
      <c r="W668" s="2"/>
      <c r="X668" s="2"/>
      <c r="Y668" s="2"/>
      <c r="Z668" s="2"/>
      <c r="AA668" s="2"/>
    </row>
    <row r="669">
      <c r="A669" s="3" t="s">
        <v>2010</v>
      </c>
      <c r="B669" s="1" t="s">
        <v>2221</v>
      </c>
      <c r="C669" s="1" t="s">
        <v>2222</v>
      </c>
      <c r="D669" s="1" t="s">
        <v>2223</v>
      </c>
      <c r="E669" s="2" t="str">
        <f>IFERROR(__xludf.DUMMYFUNCTION("GOOGLETRANSLATE(C669, ""en"", ""TL"")"),"Ang pagdemanda sa isang phishing scammer na tumatakbo mula sa ibang bansa sa Pilipinas ay posible, ngunit ang tagumpay ay mahirap. Narito ang isang breakdown ng mga kumplikadong kasangkot:
**Mga Hamon sa Pagdemanda sa isang Dayuhang Scammer:**
* **Jurisdi"&amp;"ction:** Maaaring mahirap at magastos ang pagtatatag ng hurisdiksyon sa isang dayuhang hukuman para idemanda ang scammer. Kailangan mong patunayan na ang scam ay nagdulot ng pinsala sa loob ng Pilipinas at na ang hukuman ay may awtoridad sa kaso.
* **Pagk"&amp;"ilala sa Scammer:** Ang pagtukoy sa lokasyon at pagkakakilanlan ng scammer ay maaaring halos imposible, lalo na sa mga sopistikadong operasyon ng phishing na nagtatakip sa kanilang pinagmulan.
* **Pagpapatupad ng Paghuhukom:** Kahit na manalo ka sa isang "&amp;"demanda, ang pagpapatupad ng paghatol laban sa isang scammer sa ibang bansa ay maaaring maging napakakumplikado.
**Mga Alternatibo na Isaalang-alang:**
* **Iulat ang Phishing Attempt:** Ang pag-uulat ng pag-atake sa Philippine National Police (PNP) Anti-C"&amp;"ybercrime Unit ay nakakatulong sa pagbuo ng rekord ng krimen at maaaring makatulong sa mga imbestigasyon.
* **Tumuon sa Damage Control:** * I-secure ang iyong mga account at data (palitan ang mga password, paganahin ang MFA).
* Makipag-ugnayan sa iyong ba"&amp;"ngko o mga institusyong pinansyal upang iulat ang anumang mapanlinlang na aktibidad at mabawi ang mga ninakaw na pondo kung maaari.
* Isaalang-alang ang paglalagay ng alerto sa pandaraya o pag-freeze ng kredito sa iyong mga ulat ng kredito upang maiwasan "&amp;"ang karagdagang pagnanakaw ng pagkakakilanlan.
**Mga Potensyal na Pagbubukod (Limitado):**
* **Mga Naka-target na Scam ng isang Kilalang Indibidwal:** Kung mapapatunayan mong ang scammer ay isang taong kilala mo na naninirahan sa ibang bansa, maaaring isa"&amp;"ng opsyon ang pagdemanda sa kanila sa Pilipinas, ngunit malalapat pa rin ang mga legal na kumplikado. * **Large-Scale Scams with International Cooperation:** Sa mga bihirang kaso, kung ang phishing scam ay isang malakihang operasyon na may internasyonal n"&amp;"a kooperasyon mula sa mga awtoridad o kumpanya ng Pilipinas, ang pagdemanda sa mga scammer ay maaaring ituloy sa pamamagitan ng coordinated na pagsisikap, ngunit ito ay ' t maging isang tipikal na senaryo para sa mga indibidwal na biktima. **Rekomendasyon"&amp;":**
* Kumonsulta sa isang abogado na dalubhasa sa data privacy o cyberlaw. Maaari nilang tasahin ang iyong sitwasyon at payuhan ang posibilidad ng pagdemanda sa isang dayuhang scammer. Maaari ka rin nilang gabayan sa pamamagitan ng mga alternatibong opsyo"&amp;"n para sa pagprotekta sa iyong sarili at pagliit ng pinsalang dulot ng pag-atake ng phishing.
**Tandaan:** * Ang mga legal na labanan laban sa mga dayuhang aktor ay maaaring maging napakalaki ng mapagkukunan na may maliit na garantiya ng tagumpay. * Unahi"&amp;"n ang pagprotekta sa iyong impormasyon at pananalapi. Matutulungan ka ng isang abogado na i-navigate ang mga hakbang na ito at tuklasin ang mga pinaka-makatotohanang opsyon para sa iyong sitwasyon.")</f>
        <v>Ang pagdemanda sa isang phishing scammer na tumatakbo mula sa ibang bansa sa Pilipinas ay posible, ngunit ang tagumpay ay mahirap. Narito ang isang breakdown ng mga kumplikadong kasangkot:
**Mga Hamon sa Pagdemanda sa isang Dayuhang Scammer:**
* **Jurisdiction:** Maaaring mahirap at magastos ang pagtatatag ng hurisdiksyon sa isang dayuhang hukuman para idemanda ang scammer. Kailangan mong patunayan na ang scam ay nagdulot ng pinsala sa loob ng Pilipinas at na ang hukuman ay may awtoridad sa kaso.
* **Pagkilala sa Scammer:** Ang pagtukoy sa lokasyon at pagkakakilanlan ng scammer ay maaaring halos imposible, lalo na sa mga sopistikadong operasyon ng phishing na nagtatakip sa kanilang pinagmulan.
* **Pagpapatupad ng Paghuhukom:** Kahit na manalo ka sa isang demanda, ang pagpapatupad ng paghatol laban sa isang scammer sa ibang bansa ay maaaring maging napakakumplikado.
**Mga Alternatibo na Isaalang-alang:**
* **Iulat ang Phishing Attempt:** Ang pag-uulat ng pag-atake sa Philippine National Police (PNP) Anti-Cybercrime Unit ay nakakatulong sa pagbuo ng rekord ng krimen at maaaring makatulong sa mga imbestigasyon.
* **Tumuon sa Damage Control:** * I-secure ang iyong mga account at data (palitan ang mga password, paganahin ang MFA).
* Makipag-ugnayan sa iyong bangko o mga institusyong pinansyal upang iulat ang anumang mapanlinlang na aktibidad at mabawi ang mga ninakaw na pondo kung maaari.
* Isaalang-alang ang paglalagay ng alerto sa pandaraya o pag-freeze ng kredito sa iyong mga ulat ng kredito upang maiwasan ang karagdagang pagnanakaw ng pagkakakilanlan.
**Mga Potensyal na Pagbubukod (Limitado):**
* **Mga Naka-target na Scam ng isang Kilalang Indibidwal:** Kung mapapatunayan mong ang scammer ay isang taong kilala mo na naninirahan sa ibang bansa, maaaring isang opsyon ang pagdemanda sa kanila sa Pilipinas, ngunit malalapat pa rin ang mga legal na kumplikado. * **Large-Scale Scams with International Cooperation:** Sa mga bihirang kaso, kung ang phishing scam ay isang malakihang operasyon na may internasyonal na kooperasyon mula sa mga awtoridad o kumpanya ng Pilipinas, ang pagdemanda sa mga scammer ay maaaring ituloy sa pamamagitan ng coordinated na pagsisikap, ngunit ito ay ' t maging isang tipikal na senaryo para sa mga indibidwal na biktima. **Rekomendasyon:**
* Kumonsulta sa isang abogado na dalubhasa sa data privacy o cyberlaw. Maaari nilang tasahin ang iyong sitwasyon at payuhan ang posibilidad ng pagdemanda sa isang dayuhang scammer. Maaari ka rin nilang gabayan sa pamamagitan ng mga alternatibong opsyon para sa pagprotekta sa iyong sarili at pagliit ng pinsalang dulot ng pag-atake ng phishing.
**Tandaan:** * Ang mga legal na labanan laban sa mga dayuhang aktor ay maaaring maging napakalaki ng mapagkukunan na may maliit na garantiya ng tagumpay. * Unahin ang pagprotekta sa iyong impormasyon at pananalapi. Matutulungan ka ng isang abogado na i-navigate ang mga hakbang na ito at tuklasin ang mga pinaka-makatotohanang opsyon para sa iyong sitwasyon.</v>
      </c>
      <c r="F669" s="2">
        <f t="shared" si="1"/>
        <v>0</v>
      </c>
      <c r="G669" s="2"/>
      <c r="H669" s="2"/>
      <c r="I669" s="2"/>
      <c r="J669" s="2"/>
      <c r="K669" s="2"/>
      <c r="L669" s="2"/>
      <c r="M669" s="2"/>
      <c r="N669" s="2"/>
      <c r="O669" s="2"/>
      <c r="P669" s="2"/>
      <c r="Q669" s="2"/>
      <c r="R669" s="2"/>
      <c r="S669" s="2"/>
      <c r="T669" s="2"/>
      <c r="U669" s="2"/>
      <c r="V669" s="2"/>
      <c r="W669" s="2"/>
      <c r="X669" s="2"/>
      <c r="Y669" s="2"/>
      <c r="Z669" s="2"/>
      <c r="AA669" s="2"/>
    </row>
    <row r="670">
      <c r="A670" s="3" t="s">
        <v>2010</v>
      </c>
      <c r="B670" s="1" t="s">
        <v>2224</v>
      </c>
      <c r="C670" s="1" t="s">
        <v>2225</v>
      </c>
      <c r="D670" s="1" t="s">
        <v>2226</v>
      </c>
      <c r="E670" s="2" t="str">
        <f>IFERROR(__xludf.DUMMYFUNCTION("GOOGLETRANSLATE(C670, ""en"", ""TL"")"),"Maaaring maging mahirap ang pagbawi ng mga pondong nawala sa isang phishing scam sa Pilipinas, ngunit may ilang legal at hindi legal na paraan na maaari mong tuklasin. Narito ang isang breakdown ng ilang mga opsyon:
**1. Makipag-ugnayan sa Iyong Bangko o "&amp;"Institusyon ng Pinansyal:**
* **Mabilis na Kumilos:** Kung mas maaga mong iulat ang mapanlinlang na aktibidad sa iyong bangko, mas malaki ang pagkakataon mong mabawi ang mga ninakaw na pondo.
* **Mga Dispute na Transaksyon:** Maghain ng hindi pagkakaunawa"&amp;"an para sa anumang hindi awtorisadong transaksyon na iyong natukoy. Magtipon ng ebidensya tulad ng phishing email (kung maaari) upang suportahan ang iyong claim. * **Follow Up:** Maging matiyaga sa pag-follow up sa iyong bangko sa katayuan ng iyong hindi "&amp;"pagkakaunawaan. **2. Galugarin ang Mga Patakaran at Regulasyon ng Bangko:**
* **Mga Patakaran sa Proteksyon ng Consumer:** Maraming mga bangko ang may mga patakaran sa proteksyon ng consumer na maaaring magbalangkas ng kanilang pananagutan sa mga kaso ng "&amp;"pandaraya o hindi awtorisadong mga transaksyon. Ang pag-unawa sa mga patakarang ito ay makakatulong na pamahalaan ang iyong mga inaasahan para sa pagbawi.
**3. Legal na Aksyon:**
* **Paghahabla sa Scammer:** Ito ay mapaghamong dahil sa kahirapan sa pagtuk"&amp;"oy at paghahanap ng scammer, lalo na kung sila ay nagpapatakbo mula sa ibang bansa. * **Paghain sa isang Negligent Third Party:** Sa ilang mga kaso, maaari mong tuklasin ang pagdemanda sa isang third party na ang kapabayaan ay nag-ambag sa pag-atake sa ph"&amp;"ishing at kasunod na pagkalugi sa pananalapi. Halimbawa, kung ang isang paglabag sa data sa isang kumpanya ay naglantad sa iyong impormasyon at humantong sa scam, maaari kang magkaroon ng kaso laban sa kanila (kumunsulta sa isang abogado para sa mga parti"&amp;"kular na sitwasyon).
**Mga Hamon sa Legal na Aksyon:**
* **Burden of Proof:** Nasa iyo ang responsibilidad na patunayan na nangyari ang mapanlinlang na aktibidad at nagresulta ito sa pag-atake ng phishing.
* **Oras at Gastos:** Ang mga legal na laban ay m"&amp;"aaaring mahaba at magastos. Timbangin ang mga potensyal na benepisyo (mga nabawi na pondo) laban sa oras at pamumuhunan sa pananalapi na kinakailangan para sa isang demanda.
**Hindi Legal na Pagpipilian:**
* **Iulat ang Phishing Attempt:** * Ang paghahain"&amp;" ng ulat sa Philippine National Police (PNP) Anti-Cybercrime Unit ay nakakatulong sa pagbuo ng rekord ng krimen at maaaring makatulong sa mga imbestigasyon.
* Makakatulong din ang pag-uulat sa platform kung saan mo natanggap ang pag-atake (hal., email pro"&amp;"vider). **Mga Rekomendasyon:**
* **Kumonsulta sa isang Abogado:** Maaaring tasahin ng isang abogadong dalubhasa sa data privacy o cyberlaw ang iyong sitwasyon at magpayo sa pinaka makatotohanang paraan upang mabawi ang mga pondo. Maaari nilang suriin ang:"&amp;"
* Ang posibilidad ng tagumpay sa isang demanda laban sa isang scammer o isang potensyal na pabaya na third party.
* Ang mga potensyal na benepisyo ng pagsasagawa ng legal na aksyon kumpara sa mga gastos na kasangkot.
**Mga Karagdagang Tala:**
* **Tumuon "&amp;"sa Pag-iwas sa Mga Panghinaharap na Pag-atake:** * Palakasin ang iyong online na mga hakbang sa seguridad (malakas na password, MFA).
* Manatiling may kaalaman tungkol sa mga taktika sa phishing.
* **Mag-ingat sa Mga Recovery Scam:** Sa kasamaang palad, m"&amp;"aaaring i-target ng ilang mga scammer ang mga biktima ng phishing scam na may mga pekeng alok sa pagbawi. Maging maingat sa mga hindi hinihinging tawag o email na nangangako na maibabalik ang iyong pera.
Tandaan, ang pagbawi ng mga nawalang pondo ay maaar"&amp;"ing isang kumplikadong proseso. Bagama't isang opsyon ang legal na aksyon, mahalaga ang pagbibigay-priyoridad sa pagprotekta sa iyong natitirang impormasyon at pananalapi. Maaaring gabayan ka ng isang abogado sa pinakamahusay na paraan ng pagkilos para sa"&amp;" iyong partikular na sitwasyon.")</f>
        <v>Maaaring maging mahirap ang pagbawi ng mga pondong nawala sa isang phishing scam sa Pilipinas, ngunit may ilang legal at hindi legal na paraan na maaari mong tuklasin. Narito ang isang breakdown ng ilang mga opsyon:
**1. Makipag-ugnayan sa Iyong Bangko o Institusyon ng Pinansyal:**
* **Mabilis na Kumilos:** Kung mas maaga mong iulat ang mapanlinlang na aktibidad sa iyong bangko, mas malaki ang pagkakataon mong mabawi ang mga ninakaw na pondo.
* **Mga Dispute na Transaksyon:** Maghain ng hindi pagkakaunawaan para sa anumang hindi awtorisadong transaksyon na iyong natukoy. Magtipon ng ebidensya tulad ng phishing email (kung maaari) upang suportahan ang iyong claim. * **Follow Up:** Maging matiyaga sa pag-follow up sa iyong bangko sa katayuan ng iyong hindi pagkakaunawaan. **2. Galugarin ang Mga Patakaran at Regulasyon ng Bangko:**
* **Mga Patakaran sa Proteksyon ng Consumer:** Maraming mga bangko ang may mga patakaran sa proteksyon ng consumer na maaaring magbalangkas ng kanilang pananagutan sa mga kaso ng pandaraya o hindi awtorisadong mga transaksyon. Ang pag-unawa sa mga patakarang ito ay makakatulong na pamahalaan ang iyong mga inaasahan para sa pagbawi.
**3. Legal na Aksyon:**
* **Paghahabla sa Scammer:** Ito ay mapaghamong dahil sa kahirapan sa pagtukoy at paghahanap ng scammer, lalo na kung sila ay nagpapatakbo mula sa ibang bansa. * **Paghain sa isang Negligent Third Party:** Sa ilang mga kaso, maaari mong tuklasin ang pagdemanda sa isang third party na ang kapabayaan ay nag-ambag sa pag-atake sa phishing at kasunod na pagkalugi sa pananalapi. Halimbawa, kung ang isang paglabag sa data sa isang kumpanya ay naglantad sa iyong impormasyon at humantong sa scam, maaari kang magkaroon ng kaso laban sa kanila (kumunsulta sa isang abogado para sa mga partikular na sitwasyon).
**Mga Hamon sa Legal na Aksyon:**
* **Burden of Proof:** Nasa iyo ang responsibilidad na patunayan na nangyari ang mapanlinlang na aktibidad at nagresulta ito sa pag-atake ng phishing.
* **Oras at Gastos:** Ang mga legal na laban ay maaaring mahaba at magastos. Timbangin ang mga potensyal na benepisyo (mga nabawi na pondo) laban sa oras at pamumuhunan sa pananalapi na kinakailangan para sa isang demanda.
**Hindi Legal na Pagpipilian:**
* **Iulat ang Phishing Attempt:** * Ang paghahain ng ulat sa Philippine National Police (PNP) Anti-Cybercrime Unit ay nakakatulong sa pagbuo ng rekord ng krimen at maaaring makatulong sa mga imbestigasyon.
* Makakatulong din ang pag-uulat sa platform kung saan mo natanggap ang pag-atake (hal., email provider). **Mga Rekomendasyon:**
* **Kumonsulta sa isang Abogado:** Maaaring tasahin ng isang abogadong dalubhasa sa data privacy o cyberlaw ang iyong sitwasyon at magpayo sa pinaka makatotohanang paraan upang mabawi ang mga pondo. Maaari nilang suriin ang:
* Ang posibilidad ng tagumpay sa isang demanda laban sa isang scammer o isang potensyal na pabaya na third party.
* Ang mga potensyal na benepisyo ng pagsasagawa ng legal na aksyon kumpara sa mga gastos na kasangkot.
**Mga Karagdagang Tala:**
* **Tumuon sa Pag-iwas sa Mga Panghinaharap na Pag-atake:** * Palakasin ang iyong online na mga hakbang sa seguridad (malakas na password, MFA).
* Manatiling may kaalaman tungkol sa mga taktika sa phishing.
* **Mag-ingat sa Mga Recovery Scam:** Sa kasamaang palad, maaaring i-target ng ilang mga scammer ang mga biktima ng phishing scam na may mga pekeng alok sa pagbawi. Maging maingat sa mga hindi hinihinging tawag o email na nangangako na maibabalik ang iyong pera.
Tandaan, ang pagbawi ng mga nawalang pondo ay maaaring isang kumplikadong proseso. Bagama't isang opsyon ang legal na aksyon, mahalaga ang pagbibigay-priyoridad sa pagprotekta sa iyong natitirang impormasyon at pananalapi. Maaaring gabayan ka ng isang abogado sa pinakamahusay na paraan ng pagkilos para sa iyong partikular na sitwasyon.</v>
      </c>
      <c r="F670" s="2">
        <f t="shared" si="1"/>
        <v>0</v>
      </c>
      <c r="G670" s="2"/>
      <c r="H670" s="2"/>
      <c r="I670" s="2"/>
      <c r="J670" s="2"/>
      <c r="K670" s="2"/>
      <c r="L670" s="2"/>
      <c r="M670" s="2"/>
      <c r="N670" s="2"/>
      <c r="O670" s="2"/>
      <c r="P670" s="2"/>
      <c r="Q670" s="2"/>
      <c r="R670" s="2"/>
      <c r="S670" s="2"/>
      <c r="T670" s="2"/>
      <c r="U670" s="2"/>
      <c r="V670" s="2"/>
      <c r="W670" s="2"/>
      <c r="X670" s="2"/>
      <c r="Y670" s="2"/>
      <c r="Z670" s="2"/>
      <c r="AA670" s="2"/>
    </row>
    <row r="671">
      <c r="A671" s="3" t="s">
        <v>2010</v>
      </c>
      <c r="B671" s="1" t="s">
        <v>2227</v>
      </c>
      <c r="C671" s="1" t="s">
        <v>2228</v>
      </c>
      <c r="D671" s="1" t="s">
        <v>2229</v>
      </c>
      <c r="E671" s="2" t="str">
        <f>IFERROR(__xludf.DUMMYFUNCTION("GOOGLETRANSLATE(C671, ""en"", ""TL"")"),"Ang legal na obligasyon para sa mga kumpanya na abisuhan ang mga customer sa Pilipinas tungkol sa isang paglabag sa data na dulot ng pag-atake ng phishing ay depende sa uri ng data na nakompromiso at sa kalubhaan ng paglabag. Narito ang isang breakdown ng"&amp;" nauugnay na batas:
**Data Privacy Act (RA 8424):**
* Ang Batas na ito ay nag-uutos na ang mga personal information controller (PIC), na maaaring mga kumpanya o organisasyon, ay magpatupad ng naaangkop na mga hakbang sa seguridad upang maprotektahan ang p"&amp;"ersonal na data. * Sa kaso ng ""paglabag sa personal na data,"" ang Batas ay nangangailangan ng abiso sa National Privacy Commission (NPC) at posibleng sa mga apektadong paksa ng data (mga customer).
**Mga Pangunahing Kahulugan:**
* **Paglabag sa Personal"&amp;" na Data:** Ito ay tumutukoy sa isang paglabag sa seguridad na humahantong sa aksidente o labag sa batas na pagkasira, pagkawala, pagbabago, hindi awtorisadong pagbubunyag ng, o pag-access sa naprosesong personal na data.
**Mga Kinakailangan sa Notificati"&amp;"on:**
* **Notification ng NPC:** Dapat abisuhan ng PIC ang NPC sa loob ng pitumpu't dalawang (72) oras pagkatapos malaman o makatwirang paniniwala na may nangyaring paglabag sa personal na data. * **Abiso sa Paksa ng Data:** * Ang Batas ay nangangailangan"&amp;" ng abiso sa mga apektadong paksa ng data kung ang paglabag ay nagsasangkot ng:
* **Sensitibong personal na impormasyon:** Kabilang dito ang data tulad ng mga password, impormasyon sa pananalapi, mga medikal na rekord, atbp. * **Anumang iba pang impormasy"&amp;"on na maaaring gamitin upang paganahin ang pagnanakaw ng pagkakakilanlan:** Maaaring kabilang dito ang mga username, email address, o iba pang mga punto ng data na maaaring maling gamitin para sa pagpapanggap.
* Mayroon ding kinakailangan na abisuhan ang "&amp;"mga paksa ng data kung ang paglabag ay malamang na magdulot ng tunay na panganib sa kanilang mga karapatan at kalayaan. * Ang abiso sa mga paksa ng data ay dapat gawin sa loob ng pitumpu't dalawang (72) oras kung maaari, kasama ang magagamit na impormasyo"&amp;"n sa oras.
**Phishing Attack at Data Breaches:**
* Ang isang matagumpay na pag-atake sa phishing ay maaaring humantong sa isang paglabag sa data kung pinapayagan nito ang hindi awtorisadong pag-access sa data ng customer. * Kung ang isang kumpanya ay naka"&amp;"karanas ng data breach dahil sa isang phishing attack na nakompromiso ang personal na data gaya ng tinukoy sa itaas, legal na obligado silang abisuhan ang NPC at mga potensyal na apektadong customer sa ilalim ng Data Privacy Act.
**Mga Karagdagang Tala:**"&amp;"
* Ang mga partikular na detalye ng abiso (nilalaman, format) ay nakabalangkas sa mga tuntunin at regulasyon ng pagpapatupad ng Data Privacy Act na inisyu ng NPC.
* Maaaring harapin ng mga kumpanya ang mga parusa para sa hindi pagsunod sa mga kinakailanga"&amp;"n sa abiso sa ilalim ng Batas.
**Rekomendasyon:**
* Kung sakaling maghinala kang hindi ka naabisuhan ng isang kumpanya tungkol sa isang paglabag sa data na pinaniniwalaan mong maaaring nakaapekto sa iyong impormasyon, maaari kang magsampa ng reklamo sa Na"&amp;"tional Privacy Commission.
**Tandaan:** Ang Data Privacy Act ay gumaganap ng isang mahalagang papel sa pagtiyak na ang mga kumpanya ay mananagot sa pagprotekta sa data ng customer at pag-abiso sa kanila kung sakaling magkaroon ng paglabag.")</f>
        <v>Ang legal na obligasyon para sa mga kumpanya na abisuhan ang mga customer sa Pilipinas tungkol sa isang paglabag sa data na dulot ng pag-atake ng phishing ay depende sa uri ng data na nakompromiso at sa kalubhaan ng paglabag. Narito ang isang breakdown ng nauugnay na batas:
**Data Privacy Act (RA 8424):**
* Ang Batas na ito ay nag-uutos na ang mga personal information controller (PIC), na maaaring mga kumpanya o organisasyon, ay magpatupad ng naaangkop na mga hakbang sa seguridad upang maprotektahan ang personal na data. * Sa kaso ng "paglabag sa personal na data," ang Batas ay nangangailangan ng abiso sa National Privacy Commission (NPC) at posibleng sa mga apektadong paksa ng data (mga customer).
**Mga Pangunahing Kahulugan:**
* **Paglabag sa Personal na Data:** Ito ay tumutukoy sa isang paglabag sa seguridad na humahantong sa aksidente o labag sa batas na pagkasira, pagkawala, pagbabago, hindi awtorisadong pagbubunyag ng, o pag-access sa naprosesong personal na data.
**Mga Kinakailangan sa Notification:**
* **Notification ng NPC:** Dapat abisuhan ng PIC ang NPC sa loob ng pitumpu't dalawang (72) oras pagkatapos malaman o makatwirang paniniwala na may nangyaring paglabag sa personal na data. * **Abiso sa Paksa ng Data:** * Ang Batas ay nangangailangan ng abiso sa mga apektadong paksa ng data kung ang paglabag ay nagsasangkot ng:
* **Sensitibong personal na impormasyon:** Kabilang dito ang data tulad ng mga password, impormasyon sa pananalapi, mga medikal na rekord, atbp. * **Anumang iba pang impormasyon na maaaring gamitin upang paganahin ang pagnanakaw ng pagkakakilanlan:** Maaaring kabilang dito ang mga username, email address, o iba pang mga punto ng data na maaaring maling gamitin para sa pagpapanggap.
* Mayroon ding kinakailangan na abisuhan ang mga paksa ng data kung ang paglabag ay malamang na magdulot ng tunay na panganib sa kanilang mga karapatan at kalayaan. * Ang abiso sa mga paksa ng data ay dapat gawin sa loob ng pitumpu't dalawang (72) oras kung maaari, kasama ang magagamit na impormasyon sa oras.
**Phishing Attack at Data Breaches:**
* Ang isang matagumpay na pag-atake sa phishing ay maaaring humantong sa isang paglabag sa data kung pinapayagan nito ang hindi awtorisadong pag-access sa data ng customer. * Kung ang isang kumpanya ay nakakaranas ng data breach dahil sa isang phishing attack na nakompromiso ang personal na data gaya ng tinukoy sa itaas, legal na obligado silang abisuhan ang NPC at mga potensyal na apektadong customer sa ilalim ng Data Privacy Act.
**Mga Karagdagang Tala:**
* Ang mga partikular na detalye ng abiso (nilalaman, format) ay nakabalangkas sa mga tuntunin at regulasyon ng pagpapatupad ng Data Privacy Act na inisyu ng NPC.
* Maaaring harapin ng mga kumpanya ang mga parusa para sa hindi pagsunod sa mga kinakailangan sa abiso sa ilalim ng Batas.
**Rekomendasyon:**
* Kung sakaling maghinala kang hindi ka naabisuhan ng isang kumpanya tungkol sa isang paglabag sa data na pinaniniwalaan mong maaaring nakaapekto sa iyong impormasyon, maaari kang magsampa ng reklamo sa National Privacy Commission.
**Tandaan:** Ang Data Privacy Act ay gumaganap ng isang mahalagang papel sa pagtiyak na ang mga kumpanya ay mananagot sa pagprotekta sa data ng customer at pag-abiso sa kanila kung sakaling magkaroon ng paglabag.</v>
      </c>
      <c r="F671" s="2">
        <f t="shared" si="1"/>
        <v>0</v>
      </c>
      <c r="G671" s="2"/>
      <c r="H671" s="2"/>
      <c r="I671" s="2"/>
      <c r="J671" s="2"/>
      <c r="K671" s="2"/>
      <c r="L671" s="2"/>
      <c r="M671" s="2"/>
      <c r="N671" s="2"/>
      <c r="O671" s="2"/>
      <c r="P671" s="2"/>
      <c r="Q671" s="2"/>
      <c r="R671" s="2"/>
      <c r="S671" s="2"/>
      <c r="T671" s="2"/>
      <c r="U671" s="2"/>
      <c r="V671" s="2"/>
      <c r="W671" s="2"/>
      <c r="X671" s="2"/>
      <c r="Y671" s="2"/>
      <c r="Z671" s="2"/>
      <c r="AA671" s="2"/>
    </row>
    <row r="672">
      <c r="A672" s="3" t="s">
        <v>2010</v>
      </c>
      <c r="B672" s="1" t="s">
        <v>2230</v>
      </c>
      <c r="C672" s="1" t="s">
        <v>2231</v>
      </c>
      <c r="D672" s="1" t="s">
        <v>2232</v>
      </c>
      <c r="E672" s="2" t="str">
        <f>IFERROR(__xludf.DUMMYFUNCTION("GOOGLETRANSLATE(C672, ""en"", ""TL"")"),"Ang posibilidad ng pag-extradite ng isang phishing scammer upang harapin ang mga legal na kaso sa Pilipinas ay depende sa ilang mga kadahilanan:
**1. Lokasyon ng Scammer:**
* **Banyagang Bansa:** * Umiiral ang mga kasunduan sa extradition sa pagitan ng Pi"&amp;"lipinas at maraming bansa. Binabalangkas ng mga kasunduan na ito ang legal na balangkas para sa pag-extradite ng mga indibidwal na nahaharap sa mga kasong kriminal. * Ang mga partikular na tuntunin ng kasunduan sa bansa ng scammer ay magpapasiya sa pagigi"&amp;"ng posible ng extradition. * Ang Extradition ay isang kumplikadong legal na proseso na maaaring tumagal ng mahabang panahon.
**2. Tindi ng Krimen:**
* **Mga Batas sa Pilipinas:** Ang sinasabing pagkakasala ng scammer ay dapat ituring na isang krimen sa Pi"&amp;"lipinas at sa sariling bansa ng scammer.
* **Kaseryosohan ng Pagkakasala:** Ang extradition ay karaniwang hinahabol para sa mabibigat na krimen, hindi maliliit na pagkakasala. Ang kalubhaan ng pag-atake ng phishing at ang mga resultang pagkalugi o pinsala"&amp;"ng dulot ng pananalapi ay magiging isang salik sa pagtukoy kung sisimulan ang mga pagsisikap sa extradition.
**3. Ebidensya at Pagsisiyasat:**
* **Malakas na Kaso:** Ang mga awtoridad ng Pilipinas ay mangangailangan ng isang malakas na kaso laban sa scamm"&amp;"er, kabilang ang ebidensya na nag-uugnay sa kanila sa pag-atake ng phishing. Maaaring kabilang dito ang mga bagay tulad ng mga digital footprint, talaan ng komunikasyon, o mga transaksyong pinansyal.
**4. International Cooperation:**
* **Ang matagumpay na"&amp;" extradition ay umaasa sa kooperasyon** sa pagitan ng tagapagpatupad ng batas ng Pilipinas at ng mga awtoridad sa bansa ng scammer.
**Sa pangkalahatan, mababa ang posibilidad na ma-extradite sa Pilipinas ang isang phishing scammer.** Gayunpaman, narito an"&amp;"g ilang sitwasyon kung saan maaaring mas malamang:
* **Malaking operasyon ng phishing na nagdudulot ng malaking pagkalugi sa pananalapi sa Pilipinas.**
* **Ang scammer ay isang kilalang indibidwal na may malakas na koneksyon sa Pilipinas.**
* **May malina"&amp;"w at nakakahimok na ebidensya laban sa scammer.**
**Para sa mga Indibidwal na Biktima:**
Bagama't hindi malamang ang extradition para sa mga indibidwal na biktima, narito ang ilang hakbang na maaari mong gawin:
* **Iulat ang Phishing Attempt:** * Maghain "&amp;"ng ulat sa Philippine National Police (PNP) Anti-Cybercrime Unit. Nakakatulong ito sa pagbuo ng rekord ng krimen at maaaring makatulong sa mga pagsisiyasat.
* **Tumuon sa Damage Control:** * I-secure ang iyong mga account at data (palitan ang mga password"&amp;", paganahin ang MFA).
* Makipag-ugnayan sa iyong bangko o mga institusyong pinansyal upang iulat ang anumang mapanlinlang na aktibidad at mabawi ang mga ninakaw na pondo kung maaari.
**Legal na Tulong:**
Ang isang abogado na dalubhasa sa data privacy o cy"&amp;"berlaw ay maaaring magbigay ng mas tiyak na patnubay batay sa mga detalye ng iyong sitwasyon.")</f>
        <v>Ang posibilidad ng pag-extradite ng isang phishing scammer upang harapin ang mga legal na kaso sa Pilipinas ay depende sa ilang mga kadahilanan:
**1. Lokasyon ng Scammer:**
* **Banyagang Bansa:** * Umiiral ang mga kasunduan sa extradition sa pagitan ng Pilipinas at maraming bansa. Binabalangkas ng mga kasunduan na ito ang legal na balangkas para sa pag-extradite ng mga indibidwal na nahaharap sa mga kasong kriminal. * Ang mga partikular na tuntunin ng kasunduan sa bansa ng scammer ay magpapasiya sa pagiging posible ng extradition. * Ang Extradition ay isang kumplikadong legal na proseso na maaaring tumagal ng mahabang panahon.
**2. Tindi ng Krimen:**
* **Mga Batas sa Pilipinas:** Ang sinasabing pagkakasala ng scammer ay dapat ituring na isang krimen sa Pilipinas at sa sariling bansa ng scammer.
* **Kaseryosohan ng Pagkakasala:** Ang extradition ay karaniwang hinahabol para sa mabibigat na krimen, hindi maliliit na pagkakasala. Ang kalubhaan ng pag-atake ng phishing at ang mga resultang pagkalugi o pinsalang dulot ng pananalapi ay magiging isang salik sa pagtukoy kung sisimulan ang mga pagsisikap sa extradition.
**3. Ebidensya at Pagsisiyasat:**
* **Malakas na Kaso:** Ang mga awtoridad ng Pilipinas ay mangangailangan ng isang malakas na kaso laban sa scammer, kabilang ang ebidensya na nag-uugnay sa kanila sa pag-atake ng phishing. Maaaring kabilang dito ang mga bagay tulad ng mga digital footprint, talaan ng komunikasyon, o mga transaksyong pinansyal.
**4. International Cooperation:**
* **Ang matagumpay na extradition ay umaasa sa kooperasyon** sa pagitan ng tagapagpatupad ng batas ng Pilipinas at ng mga awtoridad sa bansa ng scammer.
**Sa pangkalahatan, mababa ang posibilidad na ma-extradite sa Pilipinas ang isang phishing scammer.** Gayunpaman, narito ang ilang sitwasyon kung saan maaaring mas malamang:
* **Malaking operasyon ng phishing na nagdudulot ng malaking pagkalugi sa pananalapi sa Pilipinas.**
* **Ang scammer ay isang kilalang indibidwal na may malakas na koneksyon sa Pilipinas.**
* **May malinaw at nakakahimok na ebidensya laban sa scammer.**
**Para sa mga Indibidwal na Biktima:**
Bagama't hindi malamang ang extradition para sa mga indibidwal na biktima, narito ang ilang hakbang na maaari mong gawin:
* **Iulat ang Phishing Attempt:** * Maghain ng ulat sa Philippine National Police (PNP) Anti-Cybercrime Unit. Nakakatulong ito sa pagbuo ng rekord ng krimen at maaaring makatulong sa mga pagsisiyasat.
* **Tumuon sa Damage Control:** * I-secure ang iyong mga account at data (palitan ang mga password, paganahin ang MFA).
* Makipag-ugnayan sa iyong bangko o mga institusyong pinansyal upang iulat ang anumang mapanlinlang na aktibidad at mabawi ang mga ninakaw na pondo kung maaari.
**Legal na Tulong:**
Ang isang abogado na dalubhasa sa data privacy o cyberlaw ay maaaring magbigay ng mas tiyak na patnubay batay sa mga detalye ng iyong sitwasyon.</v>
      </c>
      <c r="F672" s="2">
        <f t="shared" si="1"/>
        <v>0</v>
      </c>
      <c r="G672" s="2"/>
      <c r="H672" s="2"/>
      <c r="I672" s="2"/>
      <c r="J672" s="2"/>
      <c r="K672" s="2"/>
      <c r="L672" s="2"/>
      <c r="M672" s="2"/>
      <c r="N672" s="2"/>
      <c r="O672" s="2"/>
      <c r="P672" s="2"/>
      <c r="Q672" s="2"/>
      <c r="R672" s="2"/>
      <c r="S672" s="2"/>
      <c r="T672" s="2"/>
      <c r="U672" s="2"/>
      <c r="V672" s="2"/>
      <c r="W672" s="2"/>
      <c r="X672" s="2"/>
      <c r="Y672" s="2"/>
      <c r="Z672" s="2"/>
      <c r="AA672" s="2"/>
    </row>
    <row r="673">
      <c r="A673" s="3" t="s">
        <v>2010</v>
      </c>
      <c r="B673" s="1" t="s">
        <v>2233</v>
      </c>
      <c r="C673" s="1" t="s">
        <v>2234</v>
      </c>
      <c r="D673" s="1" t="s">
        <v>2235</v>
      </c>
      <c r="E673" s="2" t="str">
        <f>IFERROR(__xludf.DUMMYFUNCTION("GOOGLETRANSLATE(C673, ""en"", ""TL"")"),"Kung ang pag-atake ng phishing ay humantong sa hindi awtorisadong pag-access sa iyong mga medikal na rekord sa Pilipinas, narito ang isang pangkalahatang-ideya ng potensyal na legal na paraan na maaari mong tuklasin:
**1. Paglabag sa Data Privacy Act (RA "&amp;"8424):**
* Pinoprotektahan ng Batas na ito ang iyong personal na data, kabilang ang mga medikal na rekord. Ang isang paglabag sa data na dulot ng pag-atake ng phishing ay maaaring maging isang paglabag kung ikompromiso nito ang iyong medikal na impormasyo"&amp;"n.
* **Mga Pangunahing Kinakailangan:**
* Ang pasilidad ng medikal o entity na nagtataglay ng iyong mga medikal na rekord ay itinuturing na isang ""personal information controller"" (PIC) sa ilalim ng Batas.
* Ang mga PIC ay inaatasan na magpatupad ng naa"&amp;"angkop na mga hakbang sa seguridad upang maprotektahan ang personal na data.
* Sa kaso ng ""paglabag sa personal na data,"" ang Batas ay nangangailangan ng abiso sa National Privacy Commission (NPC) at posibleng sa mga apektadong indibidwal (ikaw).
* **Po"&amp;"tensyal na recourse:**
* **Reklamo sa NPC:** Kung naniniwala kang naganap ang paglabag sa data dahil sa hindi sapat na mga hakbang sa seguridad ng PIC, maaari kang magsampa ng reklamo sa NPC. Maaaring mag-imbestiga ang NPC at posibleng magpataw ng mga par"&amp;"usa sa PIC kung makakita sila ng paglabag sa RA 8424.
* **Civil Lawsuit:** Sa ilang mga kaso, maaari mong isaalang-alang ang isang sibil na demanda laban sa PIC para sa mga pinsalang dulot ng paglabag sa data. Maaaring kabilang dito ang emosyonal na pagka"&amp;"balisa, pinsala sa reputasyon, o kahit na mga pagkalugi sa pananalapi kung ang hindi awtorisadong pag-access ay nagresulta sa pagnanakaw ng pagkakakilanlan at mapanlinlang na mga singil sa medikal.
**2. Paglabag sa Kontrata o Kapabayaan:**
* Maaari kang m"&amp;"agkaroon ng kaso para sa paglabag sa kontrata o kapabayaan depende sa partikular na kasunduan na mayroon ka sa pasilidad ng medikal na nagtataglay ng iyong mga rekord. * **Suriin ang kasunduan:** Tingnan kung binabalangkas nito ang anumang partikular na h"&amp;"akbang sa seguridad ng data na ipinangako ng pasilidad na paninindigan. * **Pabaya:** Maaari mong ipangatuwiran na ang pasilidad ay pabaya sa pagprotekta sa iyong data kung nabigo silang magpatupad ng mga makatwirang hakbang sa seguridad, na nagbigay-daan"&amp;" sa pag-atake ng phishing na magtagumpay.
**3. Pagiging Kumpidensyal ng Doctor-Patient:**
* Ang mga doktor na Pilipino ay may propesyonal na obligasyon na panatilihin ang pagiging kumpidensyal ng iyong mga medikal na rekord. Ang paglabag sa data na dulot "&amp;"ng pag-atake ng phishing ay maaaring isang paglabag sa tungkuling ito.
**Mga Hamon at Pagsasaalang-alang:**
* **Burden of Proof:** Nasa iyo ang responsibilidad na patunayan ang nangyaring paglabag sa data, ang lawak ng hindi awtorisadong pag-access, at an"&amp;"g mga pinsalang natamo mo.
* **Mga Legal na Gastos:** Maaaring magastos ang pagkonsulta sa isang abogado at posibleng magsagawa ng legal na aksyon.
**Mga Rekomendasyon:**
* **Iulat ang Paglabag sa Data:** * Maghain ng ulat sa pasilidad ng medikal na nagta"&amp;"taglay ng iyong mga tala. * Iulat ang pagtatangkang phishing sa Philippine National Police (PNP) Anti-Cybercrime Unit. Itinatala nito ang insidente at maaaring makatulong sa mga pagsisiyasat.
* **Isaalang-alang ang Kalubhaan ng Paglabag:** * Kung ang hind"&amp;"i awtorisadong pag-access ay nagsasangkot lamang ng pangunahing impormasyon sa pakikipag-ugnayan, ang pangangailangan para sa legal na aksyon ay maaaring mas mababa kumpara sa isang paglabag na naglalantad sa iyong buong kasaysayan ng medikal.
* **Kumonsu"&amp;"lta sa isang Abogado:** Ang isang abogado na dalubhasa sa data privacy o medikal na malpractice ay maaaring masuri ang iyong sitwasyon at magpayo sa pinaka-angkop na legal na paraan ng aksyon. Maaari nilang suriin ang posibilidad na magtagumpay sa isang k"&amp;"aso laban sa PIC o pasilidad ng medikal at ang mga potensyal na gastos na kasangkot.
**Tandaan:** * Nag-aalok ang Data Privacy Act ng balangkas para sa pagpapanagot sa mga entity sa pagprotekta sa iyong personal na data, kabilang ang mga medikal na rekord"&amp;".
* Habang ang legal na aksyon ay isang opsyon, ang pagtutuon sa pag-secure ng iyong natitirang medikal na impormasyon at pagliit ng potensyal na pinsala ay napakahalaga. Maaaring gabayan ka ng isang abogado sa mga pinakamahusay na hakbang na gagawin depe"&amp;"nde sa mga detalye ng iyong sitwasyon.")</f>
        <v>Kung ang pag-atake ng phishing ay humantong sa hindi awtorisadong pag-access sa iyong mga medikal na rekord sa Pilipinas, narito ang isang pangkalahatang-ideya ng potensyal na legal na paraan na maaari mong tuklasin:
**1. Paglabag sa Data Privacy Act (RA 8424):**
* Pinoprotektahan ng Batas na ito ang iyong personal na data, kabilang ang mga medikal na rekord. Ang isang paglabag sa data na dulot ng pag-atake ng phishing ay maaaring maging isang paglabag kung ikompromiso nito ang iyong medikal na impormasyon.
* **Mga Pangunahing Kinakailangan:**
* Ang pasilidad ng medikal o entity na nagtataglay ng iyong mga medikal na rekord ay itinuturing na isang "personal information controller" (PIC) sa ilalim ng Batas.
* Ang mga PIC ay inaatasan na magpatupad ng naaangkop na mga hakbang sa seguridad upang maprotektahan ang personal na data.
* Sa kaso ng "paglabag sa personal na data," ang Batas ay nangangailangan ng abiso sa National Privacy Commission (NPC) at posibleng sa mga apektadong indibidwal (ikaw).
* **Potensyal na recourse:**
* **Reklamo sa NPC:** Kung naniniwala kang naganap ang paglabag sa data dahil sa hindi sapat na mga hakbang sa seguridad ng PIC, maaari kang magsampa ng reklamo sa NPC. Maaaring mag-imbestiga ang NPC at posibleng magpataw ng mga parusa sa PIC kung makakita sila ng paglabag sa RA 8424.
* **Civil Lawsuit:** Sa ilang mga kaso, maaari mong isaalang-alang ang isang sibil na demanda laban sa PIC para sa mga pinsalang dulot ng paglabag sa data. Maaaring kabilang dito ang emosyonal na pagkabalisa, pinsala sa reputasyon, o kahit na mga pagkalugi sa pananalapi kung ang hindi awtorisadong pag-access ay nagresulta sa pagnanakaw ng pagkakakilanlan at mapanlinlang na mga singil sa medikal.
**2. Paglabag sa Kontrata o Kapabayaan:**
* Maaari kang magkaroon ng kaso para sa paglabag sa kontrata o kapabayaan depende sa partikular na kasunduan na mayroon ka sa pasilidad ng medikal na nagtataglay ng iyong mga rekord. * **Suriin ang kasunduan:** Tingnan kung binabalangkas nito ang anumang partikular na hakbang sa seguridad ng data na ipinangako ng pasilidad na paninindigan. * **Pabaya:** Maaari mong ipangatuwiran na ang pasilidad ay pabaya sa pagprotekta sa iyong data kung nabigo silang magpatupad ng mga makatwirang hakbang sa seguridad, na nagbigay-daan sa pag-atake ng phishing na magtagumpay.
**3. Pagiging Kumpidensyal ng Doctor-Patient:**
* Ang mga doktor na Pilipino ay may propesyonal na obligasyon na panatilihin ang pagiging kumpidensyal ng iyong mga medikal na rekord. Ang paglabag sa data na dulot ng pag-atake ng phishing ay maaaring isang paglabag sa tungkuling ito.
**Mga Hamon at Pagsasaalang-alang:**
* **Burden of Proof:** Nasa iyo ang responsibilidad na patunayan ang nangyaring paglabag sa data, ang lawak ng hindi awtorisadong pag-access, at ang mga pinsalang natamo mo.
* **Mga Legal na Gastos:** Maaaring magastos ang pagkonsulta sa isang abogado at posibleng magsagawa ng legal na aksyon.
**Mga Rekomendasyon:**
* **Iulat ang Paglabag sa Data:** * Maghain ng ulat sa pasilidad ng medikal na nagtataglay ng iyong mga tala. * Iulat ang pagtatangkang phishing sa Philippine National Police (PNP) Anti-Cybercrime Unit. Itinatala nito ang insidente at maaaring makatulong sa mga pagsisiyasat.
* **Isaalang-alang ang Kalubhaan ng Paglabag:** * Kung ang hindi awtorisadong pag-access ay nagsasangkot lamang ng pangunahing impormasyon sa pakikipag-ugnayan, ang pangangailangan para sa legal na aksyon ay maaaring mas mababa kumpara sa isang paglabag na naglalantad sa iyong buong kasaysayan ng medikal.
* **Kumonsulta sa isang Abogado:** Ang isang abogado na dalubhasa sa data privacy o medikal na malpractice ay maaaring masuri ang iyong sitwasyon at magpayo sa pinaka-angkop na legal na paraan ng aksyon. Maaari nilang suriin ang posibilidad na magtagumpay sa isang kaso laban sa PIC o pasilidad ng medikal at ang mga potensyal na gastos na kasangkot.
**Tandaan:** * Nag-aalok ang Data Privacy Act ng balangkas para sa pagpapanagot sa mga entity sa pagprotekta sa iyong personal na data, kabilang ang mga medikal na rekord.
* Habang ang legal na aksyon ay isang opsyon, ang pagtutuon sa pag-secure ng iyong natitirang medikal na impormasyon at pagliit ng potensyal na pinsala ay napakahalaga. Maaaring gabayan ka ng isang abogado sa mga pinakamahusay na hakbang na gagawin depende sa mga detalye ng iyong sitwasyon.</v>
      </c>
      <c r="F673" s="2">
        <f t="shared" si="1"/>
        <v>0</v>
      </c>
      <c r="G673" s="2"/>
      <c r="H673" s="2"/>
      <c r="I673" s="2"/>
      <c r="J673" s="2"/>
      <c r="K673" s="2"/>
      <c r="L673" s="2"/>
      <c r="M673" s="2"/>
      <c r="N673" s="2"/>
      <c r="O673" s="2"/>
      <c r="P673" s="2"/>
      <c r="Q673" s="2"/>
      <c r="R673" s="2"/>
      <c r="S673" s="2"/>
      <c r="T673" s="2"/>
      <c r="U673" s="2"/>
      <c r="V673" s="2"/>
      <c r="W673" s="2"/>
      <c r="X673" s="2"/>
      <c r="Y673" s="2"/>
      <c r="Z673" s="2"/>
      <c r="AA673" s="2"/>
    </row>
    <row r="674">
      <c r="A674" s="3" t="s">
        <v>2010</v>
      </c>
      <c r="B674" s="1" t="s">
        <v>2236</v>
      </c>
      <c r="C674" s="1" t="s">
        <v>2237</v>
      </c>
      <c r="D674" s="1" t="s">
        <v>2238</v>
      </c>
      <c r="E674" s="2" t="str">
        <f>IFERROR(__xludf.DUMMYFUNCTION("GOOGLETRANSLATE(C674, ""en"", ""TL"")"),"Ang pagdemanda sa isang phishing scammer para sa emosyonal na pagkabalisa na dulot ng kanilang mga aksyon sa Pilipinas ay posible, ngunit ang tagumpay ay nakasalalay sa ilang mga kadahilanan. Narito ang isang breakdown ng sitwasyon:
**Legal na Batayan:**
"&amp;"* **Batas Sibil:** Ang sistema ng batas ng Pilipinas ay nagpapahintulot sa mga demanda para sa mga pinsala sa ilalim ng Batas Sibil. Ang emosyonal na pagkabalisa na dulot ng isang maling gawa ay maaaring maging batayan para sa pag-claim ng mga pinsala.
**"&amp;"Mga Hamon sa Paghahabla:**
* **Pagkilala sa Scammer:** Ang pagtukoy sa lokasyon at pagkakakilanlan ng scammer ay maaaring maging mahirap, lalo na para sa mga sopistikadong pagpapatakbo ng phishing. Ginagawa nitong mahirap na idemanda sila sa unang lugar.
"&amp;"* **Dahilan:** Kailangan mong patunayan ang pagtatangkang phishing na direktang nagdulot ng iyong emosyonal na pagkabalisa. Maaaring kabilang dito ang mga medikal na rekord o dokumentasyon ng therapist kung magagamit.
* **Laki ng mga Pinsala:** Ang mga pi"&amp;"nsala sa emosyonal na pagkabalisa ay maaaring maging subjective at mahirap tukuyin sa korte.
**Mga Alternatibo na Isaalang-alang:**
* **Iulat ang Phishing Attempt:** Ang pag-uulat ng pag-atake sa Philippine National Police (PNP) Anti-Cybercrime Unit ay na"&amp;"kakatulong sa pagbuo ng rekord ng krimen.
* **Tumuon sa Pangangalaga sa Sarili:** Unahin ang iyong mental at emosyonal na kapakanan pagkatapos ng pag-atake ng phishing. Isaalang-alang ang mga diskarte sa pagpapahinga, humingi ng propesyonal na tulong mula"&amp;" sa isang therapist, o pakikipag-usap sa isang pinagkakatiwalaang kaibigan o miyembro ng pamilya.
**Rekomendasyon:**
* Kumonsulta sa isang Abogado:** Maaaring tasahin ng isang abogado na dalubhasa sa data privacy o cyberlaw ang iyong sitwasyon. Maaari sil"&amp;"ang magpayo sa posibilidad ng pagdemanda sa scammer para sa emosyonal na pagkabalisa batay sa posibilidad na makilala sila at ang mga potensyal na hamon ng pagpapatunay ng sanhi at pinsala.
**Mga Karagdagang Tala:**
* Ang mga legal na laban ay maaaring ma"&amp;"haba at magastos. Ang emosyonal na halaga at pamumuhunan sa pananalapi na kinakailangan para sa isang demanda ay dapat na timbangin laban sa mga potensyal na benepisyo (pagbawi ng mga pinsala).
* **Tumuon sa Pagbawi:** Unahin ang iyong kapakanan at gumawa"&amp;" ng mga hakbang upang protektahan ang iyong sarili mula sa mga pag-atake sa hinaharap (malakas na password, MFA).
**Tandaan:** Bagama't may bisa ang emosyonal na pagkabalisa mula sa pag-atake ng phishing, maaaring maging mahirap ang pagdemanda sa scammer."&amp;" Maaaring gabayan ka ng isang abogado sa pinakamahusay na paraan ng pagkilos para sa iyong sitwasyon, isinasaalang-alang ang parehong mga legal na opsyon at mga diskarte sa pangangalaga sa sarili.")</f>
        <v>Ang pagdemanda sa isang phishing scammer para sa emosyonal na pagkabalisa na dulot ng kanilang mga aksyon sa Pilipinas ay posible, ngunit ang tagumpay ay nakasalalay sa ilang mga kadahilanan. Narito ang isang breakdown ng sitwasyon:
**Legal na Batayan:**
* **Batas Sibil:** Ang sistema ng batas ng Pilipinas ay nagpapahintulot sa mga demanda para sa mga pinsala sa ilalim ng Batas Sibil. Ang emosyonal na pagkabalisa na dulot ng isang maling gawa ay maaaring maging batayan para sa pag-claim ng mga pinsala.
**Mga Hamon sa Paghahabla:**
* **Pagkilala sa Scammer:** Ang pagtukoy sa lokasyon at pagkakakilanlan ng scammer ay maaaring maging mahirap, lalo na para sa mga sopistikadong pagpapatakbo ng phishing. Ginagawa nitong mahirap na idemanda sila sa unang lugar.
* **Dahilan:** Kailangan mong patunayan ang pagtatangkang phishing na direktang nagdulot ng iyong emosyonal na pagkabalisa. Maaaring kabilang dito ang mga medikal na rekord o dokumentasyon ng therapist kung magagamit.
* **Laki ng mga Pinsala:** Ang mga pinsala sa emosyonal na pagkabalisa ay maaaring maging subjective at mahirap tukuyin sa korte.
**Mga Alternatibo na Isaalang-alang:**
* **Iulat ang Phishing Attempt:** Ang pag-uulat ng pag-atake sa Philippine National Police (PNP) Anti-Cybercrime Unit ay nakakatulong sa pagbuo ng rekord ng krimen.
* **Tumuon sa Pangangalaga sa Sarili:** Unahin ang iyong mental at emosyonal na kapakanan pagkatapos ng pag-atake ng phishing. Isaalang-alang ang mga diskarte sa pagpapahinga, humingi ng propesyonal na tulong mula sa isang therapist, o pakikipag-usap sa isang pinagkakatiwalaang kaibigan o miyembro ng pamilya.
**Rekomendasyon:**
* Kumonsulta sa isang Abogado:** Maaaring tasahin ng isang abogado na dalubhasa sa data privacy o cyberlaw ang iyong sitwasyon. Maaari silang magpayo sa posibilidad ng pagdemanda sa scammer para sa emosyonal na pagkabalisa batay sa posibilidad na makilala sila at ang mga potensyal na hamon ng pagpapatunay ng sanhi at pinsala.
**Mga Karagdagang Tala:**
* Ang mga legal na laban ay maaaring mahaba at magastos. Ang emosyonal na halaga at pamumuhunan sa pananalapi na kinakailangan para sa isang demanda ay dapat na timbangin laban sa mga potensyal na benepisyo (pagbawi ng mga pinsala).
* **Tumuon sa Pagbawi:** Unahin ang iyong kapakanan at gumawa ng mga hakbang upang protektahan ang iyong sarili mula sa mga pag-atake sa hinaharap (malakas na password, MFA).
**Tandaan:** Bagama't may bisa ang emosyonal na pagkabalisa mula sa pag-atake ng phishing, maaaring maging mahirap ang pagdemanda sa scammer. Maaaring gabayan ka ng isang abogado sa pinakamahusay na paraan ng pagkilos para sa iyong sitwasyon, isinasaalang-alang ang parehong mga legal na opsyon at mga diskarte sa pangangalaga sa sarili.</v>
      </c>
      <c r="F674" s="2">
        <f t="shared" si="1"/>
        <v>0</v>
      </c>
      <c r="G674" s="2"/>
      <c r="H674" s="2"/>
      <c r="I674" s="2"/>
      <c r="J674" s="2"/>
      <c r="K674" s="2"/>
      <c r="L674" s="2"/>
      <c r="M674" s="2"/>
      <c r="N674" s="2"/>
      <c r="O674" s="2"/>
      <c r="P674" s="2"/>
      <c r="Q674" s="2"/>
      <c r="R674" s="2"/>
      <c r="S674" s="2"/>
      <c r="T674" s="2"/>
      <c r="U674" s="2"/>
      <c r="V674" s="2"/>
      <c r="W674" s="2"/>
      <c r="X674" s="2"/>
      <c r="Y674" s="2"/>
      <c r="Z674" s="2"/>
      <c r="AA674" s="2"/>
    </row>
    <row r="675">
      <c r="A675" s="3" t="s">
        <v>2010</v>
      </c>
      <c r="B675" s="1" t="s">
        <v>2239</v>
      </c>
      <c r="C675" s="1" t="s">
        <v>2240</v>
      </c>
      <c r="D675" s="1" t="s">
        <v>2241</v>
      </c>
      <c r="E675" s="2" t="str">
        <f>IFERROR(__xludf.DUMMYFUNCTION("GOOGLETRANSLATE(C675, ""en"", ""TL"")"),"Narito ang ilang hakbang na maaari mong gawin para legal na maprotektahan ang iyong negosyo mula sa pananagutan sakaling magkaroon ng phishing na pag-atake sa iyong mga customer sa Pilipinas:
**Mga Paraan sa Pag-iwas:**
* **Ipatupad ang Malakas na Mga Pan"&amp;"ukala sa Seguridad:**
* I-secure ang iyong mga system at data gamit ang mga firewall, intrusion detection system, at data encryption.
* Regular na i-update ang software at mga application upang i-patch ang mga kahinaan.
* Magsagawa ng pagsasanay sa kaalam"&amp;"an sa seguridad para sa mga empleyado upang turuan sila sa mga taktika ng phishing at pinakamahuhusay na kagawian para sa ligtas na pangangasiwa ng impormasyon.
* Ipatupad ang multi-factor authentication (MFA) para sa lahat ng user account.
* **Pagsunod s"&amp;"a Privacy ng Data:**
* Tiyakin ang pagsunod sa Data Privacy Act (DPA) ng Pilipinas (RA 8424). * Kabilang dito ang pagkakaroon ng programa sa pagkapribado ng data, pagsasagawa ng mga regular na pagtatasa ng panganib, at pagpapatupad ng naaangkop na mga pan"&amp;"anggalang sa seguridad para sa data ng customer.
* **Malinaw na Komunikasyon at Mga Patakaran:**
* Magkaroon ng malinaw at madaling ma-access na mga patakaran para sa mga customer tungkol sa seguridad ng data at pag-uulat ng kahina-hinalang aktibidad.
* R"&amp;"egular na ipaalam ang mga patakarang ito sa iyong mga customer.
**Mga Panukala sa Pagtugon:**
* **Phishing Attack Response Plan:** Bumuo ng planong nagbabalangkas ng mga hakbang na gagawin kung may nangyaring phishing attack. Dapat tugunan ng planong ito "&amp;"ang mga aksyon tulad ng:
* Pagkilala at naglalaman ng pag-atake.
* Sinisiyasat ang saklaw ng paglabag.
* Inaabisuhan kaagad ang mga apektadong customer.
* Pag-uulat ng insidente sa National Privacy Commission (NPC) kung kinakailangan sa ilalim ng DPA. * *"&amp;"*Cybersecurity Insurance:** Isaalang-alang ang cyber insurance upang tumulong na pamahalaan ang mga pagkalugi sa pananalapi sa kaso ng isang paglabag sa data na sanhi ng pag-atake ng phishing. **Mga Legal na Pagsasaalang-alang:**
* **Kumonsulta sa isang A"&amp;"bogado:** Maaaring payuhan ka ng isang abogado na dalubhasa sa data privacy o cyberlaw tungkol sa iyong mga legal na obligasyon at pinakamahuhusay na kagawian para sa pagpapagaan ng pananagutan sa kaso ng pag-atake ng phishing.
**Mga Benepisyo ng Proactiv"&amp;"e na Mga Panukala:**
Sa pamamagitan ng pagpapatupad ng mga proactive na hakbang na ito, maaari mong ipakita sa korte na ang iyong negosyo ay gumawa ng mga makatwirang hakbang upang pangalagaan ang data ng customer. Ito ay maaaring makabuluhang palakasin a"&amp;"ng iyong posisyon kung ang isang demanda ay lumitaw dahil sa isang phishing na pag-atake.
**Tandaan:** Ang pagpigil sa pag-atake ng phishing ay palaging ang pinakamahusay na paraan ng pagkilos. Ang pagsasagawa ng mga hakbang na ito ay maaaring mabawasan a"&amp;"ng panganib ng mga paglabag sa data ng customer at mga potensyal na legal na epekto. Bagama't hindi magagarantiyahan ng mga hakbang na ito ang kumpletong proteksyon, ipinapakita ng mga ito ang iyong pangako sa seguridad ng data at maaaring makatulong na l"&amp;"imitahan ang iyong legal na pananagutan sa kaso ng pag-atake.")</f>
        <v>Narito ang ilang hakbang na maaari mong gawin para legal na maprotektahan ang iyong negosyo mula sa pananagutan sakaling magkaroon ng phishing na pag-atake sa iyong mga customer sa Pilipinas:
**Mga Paraan sa Pag-iwas:**
* **Ipatupad ang Malakas na Mga Panukala sa Seguridad:**
* I-secure ang iyong mga system at data gamit ang mga firewall, intrusion detection system, at data encryption.
* Regular na i-update ang software at mga application upang i-patch ang mga kahinaan.
* Magsagawa ng pagsasanay sa kaalaman sa seguridad para sa mga empleyado upang turuan sila sa mga taktika ng phishing at pinakamahuhusay na kagawian para sa ligtas na pangangasiwa ng impormasyon.
* Ipatupad ang multi-factor authentication (MFA) para sa lahat ng user account.
* **Pagsunod sa Privacy ng Data:**
* Tiyakin ang pagsunod sa Data Privacy Act (DPA) ng Pilipinas (RA 8424). * Kabilang dito ang pagkakaroon ng programa sa pagkapribado ng data, pagsasagawa ng mga regular na pagtatasa ng panganib, at pagpapatupad ng naaangkop na mga pananggalang sa seguridad para sa data ng customer.
* **Malinaw na Komunikasyon at Mga Patakaran:**
* Magkaroon ng malinaw at madaling ma-access na mga patakaran para sa mga customer tungkol sa seguridad ng data at pag-uulat ng kahina-hinalang aktibidad.
* Regular na ipaalam ang mga patakarang ito sa iyong mga customer.
**Mga Panukala sa Pagtugon:**
* **Phishing Attack Response Plan:** Bumuo ng planong nagbabalangkas ng mga hakbang na gagawin kung may nangyaring phishing attack. Dapat tugunan ng planong ito ang mga aksyon tulad ng:
* Pagkilala at naglalaman ng pag-atake.
* Sinisiyasat ang saklaw ng paglabag.
* Inaabisuhan kaagad ang mga apektadong customer.
* Pag-uulat ng insidente sa National Privacy Commission (NPC) kung kinakailangan sa ilalim ng DPA. * **Cybersecurity Insurance:** Isaalang-alang ang cyber insurance upang tumulong na pamahalaan ang mga pagkalugi sa pananalapi sa kaso ng isang paglabag sa data na sanhi ng pag-atake ng phishing. **Mga Legal na Pagsasaalang-alang:**
* **Kumonsulta sa isang Abogado:** Maaaring payuhan ka ng isang abogado na dalubhasa sa data privacy o cyberlaw tungkol sa iyong mga legal na obligasyon at pinakamahuhusay na kagawian para sa pagpapagaan ng pananagutan sa kaso ng pag-atake ng phishing.
**Mga Benepisyo ng Proactive na Mga Panukala:**
Sa pamamagitan ng pagpapatupad ng mga proactive na hakbang na ito, maaari mong ipakita sa korte na ang iyong negosyo ay gumawa ng mga makatwirang hakbang upang pangalagaan ang data ng customer. Ito ay maaaring makabuluhang palakasin ang iyong posisyon kung ang isang demanda ay lumitaw dahil sa isang phishing na pag-atake.
**Tandaan:** Ang pagpigil sa pag-atake ng phishing ay palaging ang pinakamahusay na paraan ng pagkilos. Ang pagsasagawa ng mga hakbang na ito ay maaaring mabawasan ang panganib ng mga paglabag sa data ng customer at mga potensyal na legal na epekto. Bagama't hindi magagarantiyahan ng mga hakbang na ito ang kumpletong proteksyon, ipinapakita ng mga ito ang iyong pangako sa seguridad ng data at maaaring makatulong na limitahan ang iyong legal na pananagutan sa kaso ng pag-atake.</v>
      </c>
      <c r="F675" s="2">
        <f t="shared" si="1"/>
        <v>0</v>
      </c>
      <c r="G675" s="2"/>
      <c r="H675" s="2"/>
      <c r="I675" s="2"/>
      <c r="J675" s="2"/>
      <c r="K675" s="2"/>
      <c r="L675" s="2"/>
      <c r="M675" s="2"/>
      <c r="N675" s="2"/>
      <c r="O675" s="2"/>
      <c r="P675" s="2"/>
      <c r="Q675" s="2"/>
      <c r="R675" s="2"/>
      <c r="S675" s="2"/>
      <c r="T675" s="2"/>
      <c r="U675" s="2"/>
      <c r="V675" s="2"/>
      <c r="W675" s="2"/>
      <c r="X675" s="2"/>
      <c r="Y675" s="2"/>
      <c r="Z675" s="2"/>
      <c r="AA675" s="2"/>
    </row>
    <row r="676">
      <c r="A676" s="3" t="s">
        <v>2010</v>
      </c>
      <c r="B676" s="1" t="s">
        <v>2242</v>
      </c>
      <c r="C676" s="1" t="s">
        <v>2243</v>
      </c>
      <c r="D676" s="1" t="s">
        <v>2244</v>
      </c>
      <c r="E676" s="2" t="str">
        <f>IFERROR(__xludf.DUMMYFUNCTION("GOOGLETRANSLATE(C676, ""en"", ""TL"")"),"Sa Pilipinas, ang pagdemanda sa isang kumpanya para sa kapabayaan kung mabibigo silang magpatupad ng sapat na mga hakbang sa cybersecurity at pagkatapos ay mabiktima ng isang phishing na pag-atake na magreresulta sa pinsala sa iyo ay posible, ngunit ang t"&amp;"agumpay ay nakasalalay sa ilang mga kadahilanan. Narito ang isang breakdown ng sitwasyon:
**Potensyal na mga batayan para sa isang demanda:**
* **Data Privacy Act (RA 8424):** Ang Batas na ito ay nag-uutos sa mga kumpanya (personal information controllers"&amp;" o PICs) na magpatupad ng naaangkop na mga hakbang sa seguridad upang maprotektahan ang personal na data. Kung ang mahinang kasanayan sa cybersecurity ng kumpanya ay nagpapahintulot sa isang phishing attack na ikompromiso ang iyong impormasyon, maaari kan"&amp;"g magkaroon ng kaso sa ilalim ng RA 8424. Kailangan mong patunayan ang kapabayaan ng kumpanya na direktang humantong sa paglabag sa data at kasunod na pinsala sa iyo.
**Mga Hamon ng Panalo sa Demanda:**
* **Burden of Proof:** Responsibilidad mong patunaya"&amp;"n na hindi sapat ang mga hakbang sa cybersecurity ng kumpanya at direktang naging sanhi ng tagumpay ng phishing attack. Ito ay maaaring maging mahirap, dahil ang mga kumpanya ay kadalasang may mga kumplikadong sistema ng seguridad.
* **Dahilan:** Ang pagp"&amp;"apakita ng malinaw na link sa pagitan ng kapabayaan ng kumpanya, ang pag-atake sa phishing, at ang partikular na pinsalang natamo mo ay napakahalaga. * **Mga Panukala sa Seguridad ng Data:** Ang mga kumpanya ay may ilang pagkakataon sa mga partikular na h"&amp;"akbang sa seguridad na kanilang ipinapatupad. Ang pagpapatunay na ang kanilang mga pagpipilian ay hindi makatwiran ay maaaring maging mahirap.
**Mga Alternatibo sa Paghahabla:**
* **Iulat ang Pagsubok sa Phishing:** Iulat ang pag-atake sa kumpanyang pinan"&amp;"iniwalaan mong nabigo na protektahan ang iyong data. * **Maghain ng Reklamo sa NPC:** Kung naniniwala kang nilabag ng kumpanya ang Data Privacy Act, maaari kang magsampa ng reklamo sa National Privacy Commission (NPC).
**Rekomendasyon:**
* Kumonsulta sa i"&amp;"sang Abogado:** Maaaring tasahin ng isang abogado na dalubhasa sa data privacy o cyberlaw ang iyong sitwasyon. Maaari nilang suriin ang mga detalye ng pag-atake sa phishing, mga kasanayan sa seguridad ng kumpanya, at ang Data Privacy Act upang matukoy ang"&amp;" posibilidad na magtagumpay sa isang demanda. Maaari din silang magpayo sa mga alternatibong kurso ng aksyon tulad ng paghahain ng reklamo sa NPC.
**Mga Karagdagang Tala:**
* Ang mga legal na laban ay maaaring mahaba at magastos. Timbangin ang mga potensy"&amp;"al na benepisyo (kabayaran para sa mga pinsala) laban sa oras at pamumuhunan sa pananalapi na kinakailangan para sa isang demanda.
* **Severity of Harm:** Ang kalubhaan ng pinsalang naranasan mo (financial loss, identity theft) ay maaaring maka-impluwensy"&amp;"a sa lakas ng kaso.
**Tandaan:** Walang garantiya ng tagumpay sa pagdemanda sa isang kumpanya para sa isang paglabag sa data na dulot ng pag-atake ng phishing. Ang pagtutok sa pagprotekta sa iyong sarili online gamit ang malalakas na password at multi-fac"&amp;"tor authentication ay nananatiling mahalaga. Gayunpaman, ang paggalugad ng mga legal na opsyon sa isang kwalipikadong abogado ay maaaring magbigay ng kapangyarihan sa iyo na panagutin ang mga kumpanya para sa mga kasanayan sa seguridad ng data na maaaring"&amp;" nakompromiso ang iyong impormasyon.")</f>
        <v>Sa Pilipinas, ang pagdemanda sa isang kumpanya para sa kapabayaan kung mabibigo silang magpatupad ng sapat na mga hakbang sa cybersecurity at pagkatapos ay mabiktima ng isang phishing na pag-atake na magreresulta sa pinsala sa iyo ay posible, ngunit ang tagumpay ay nakasalalay sa ilang mga kadahilanan. Narito ang isang breakdown ng sitwasyon:
**Potensyal na mga batayan para sa isang demanda:**
* **Data Privacy Act (RA 8424):** Ang Batas na ito ay nag-uutos sa mga kumpanya (personal information controllers o PICs) na magpatupad ng naaangkop na mga hakbang sa seguridad upang maprotektahan ang personal na data. Kung ang mahinang kasanayan sa cybersecurity ng kumpanya ay nagpapahintulot sa isang phishing attack na ikompromiso ang iyong impormasyon, maaari kang magkaroon ng kaso sa ilalim ng RA 8424. Kailangan mong patunayan ang kapabayaan ng kumpanya na direktang humantong sa paglabag sa data at kasunod na pinsala sa iyo.
**Mga Hamon ng Panalo sa Demanda:**
* **Burden of Proof:** Responsibilidad mong patunayan na hindi sapat ang mga hakbang sa cybersecurity ng kumpanya at direktang naging sanhi ng tagumpay ng phishing attack. Ito ay maaaring maging mahirap, dahil ang mga kumpanya ay kadalasang may mga kumplikadong sistema ng seguridad.
* **Dahilan:** Ang pagpapakita ng malinaw na link sa pagitan ng kapabayaan ng kumpanya, ang pag-atake sa phishing, at ang partikular na pinsalang natamo mo ay napakahalaga. * **Mga Panukala sa Seguridad ng Data:** Ang mga kumpanya ay may ilang pagkakataon sa mga partikular na hakbang sa seguridad na kanilang ipinapatupad. Ang pagpapatunay na ang kanilang mga pagpipilian ay hindi makatwiran ay maaaring maging mahirap.
**Mga Alternatibo sa Paghahabla:**
* **Iulat ang Pagsubok sa Phishing:** Iulat ang pag-atake sa kumpanyang pinaniniwalaan mong nabigo na protektahan ang iyong data. * **Maghain ng Reklamo sa NPC:** Kung naniniwala kang nilabag ng kumpanya ang Data Privacy Act, maaari kang magsampa ng reklamo sa National Privacy Commission (NPC).
**Rekomendasyon:**
* Kumonsulta sa isang Abogado:** Maaaring tasahin ng isang abogado na dalubhasa sa data privacy o cyberlaw ang iyong sitwasyon. Maaari nilang suriin ang mga detalye ng pag-atake sa phishing, mga kasanayan sa seguridad ng kumpanya, at ang Data Privacy Act upang matukoy ang posibilidad na magtagumpay sa isang demanda. Maaari din silang magpayo sa mga alternatibong kurso ng aksyon tulad ng paghahain ng reklamo sa NPC.
**Mga Karagdagang Tala:**
* Ang mga legal na laban ay maaaring mahaba at magastos. Timbangin ang mga potensyal na benepisyo (kabayaran para sa mga pinsala) laban sa oras at pamumuhunan sa pananalapi na kinakailangan para sa isang demanda.
* **Severity of Harm:** Ang kalubhaan ng pinsalang naranasan mo (financial loss, identity theft) ay maaaring maka-impluwensya sa lakas ng kaso.
**Tandaan:** Walang garantiya ng tagumpay sa pagdemanda sa isang kumpanya para sa isang paglabag sa data na dulot ng pag-atake ng phishing. Ang pagtutok sa pagprotekta sa iyong sarili online gamit ang malalakas na password at multi-factor authentication ay nananatiling mahalaga. Gayunpaman, ang paggalugad ng mga legal na opsyon sa isang kwalipikadong abogado ay maaaring magbigay ng kapangyarihan sa iyo na panagutin ang mga kumpanya para sa mga kasanayan sa seguridad ng data na maaaring nakompromiso ang iyong impormasyon.</v>
      </c>
      <c r="F676" s="2">
        <f t="shared" si="1"/>
        <v>0</v>
      </c>
      <c r="G676" s="2"/>
      <c r="H676" s="2"/>
      <c r="I676" s="2"/>
      <c r="J676" s="2"/>
      <c r="K676" s="2"/>
      <c r="L676" s="2"/>
      <c r="M676" s="2"/>
      <c r="N676" s="2"/>
      <c r="O676" s="2"/>
      <c r="P676" s="2"/>
      <c r="Q676" s="2"/>
      <c r="R676" s="2"/>
      <c r="S676" s="2"/>
      <c r="T676" s="2"/>
      <c r="U676" s="2"/>
      <c r="V676" s="2"/>
      <c r="W676" s="2"/>
      <c r="X676" s="2"/>
      <c r="Y676" s="2"/>
      <c r="Z676" s="2"/>
      <c r="AA676" s="2"/>
    </row>
    <row r="677">
      <c r="A677" s="3" t="s">
        <v>2010</v>
      </c>
      <c r="B677" s="1" t="s">
        <v>2245</v>
      </c>
      <c r="C677" s="1" t="s">
        <v>2246</v>
      </c>
      <c r="D677" s="1" t="s">
        <v>2247</v>
      </c>
      <c r="E677" s="2" t="str">
        <f>IFERROR(__xludf.DUMMYFUNCTION("GOOGLETRANSLATE(C677, ""en"", ""TL"")"),"Kung hindi mo sinasadyang na-click ang isang phishing na email at nagbigay ng personal na impormasyon, narito ang dapat mong gawin kaagad:
**1. I-secure ang Iyong Mga Account:**
* **Baguhin ang Mga Password:** Agad na baguhin ang mga password para sa laha"&amp;"t ng mga account kung saan maaaring ginamit mo ang parehong mga kredensyal sa pag-log in gaya ng nakompromiso sa email ng phishing. Kabilang dito ang iyong email, bank account, social media account, at anumang iba pang online na serbisyong ginagamit mo.
*"&amp;" **Paganahin ang MFA:** Kung ang Multi-Factor Authentication (MFA) ay available para sa iyong mga account, paganahin ito kaagad. Nagdaragdag ito ng karagdagang layer ng seguridad sa pamamagitan ng pag-aatas ng pangalawang verification code bilang karagdag"&amp;"an sa iyong password kapag nagla-log in.
**2. Subaybayan ang Iyong Mga Account:**
* **Bank Accounts:** Mahigpit na subaybayan ang iyong mga bank account at credit card statement para sa anumang kahina-hinalang aktibidad. Maghanap ng mga hindi awtorisadong"&amp;" transaksyon o withdrawal.
* **Email:** Mag-ingat sa karagdagang mga pagtatangka sa phishing. Ang mga email sa phishing ay madalas na dumarating, kaya maging mas mapagbantay sa pagsuri sa address ng nagpadala at sa pagiging lehitimo ng anumang mga email n"&amp;"a iyong natatanggap. **3. Kontrol sa Pinsala:**
* **Iulat ang Phishing Email:** Iulat ang phishing email sa iyong email provider. Nakakatulong ito sa kanila na tukuyin at harangan ang mga katulad na pagtatangka sa hinaharap. * **Makipag-ugnayan sa Mga Kas"&amp;"angkot na Kumpanya:** Kung nagbigay ka ng personal na impormasyong nauugnay sa mga partikular na account (hal., mga detalye ng bank account), makipag-ugnayan sa mga kumpanyang kasangkot at iulat ang insidente. Maaari silang gumawa ng mga hakbang upang hig"&amp;"it pang ma-secure ang iyong account o masubaybayan ang mapanlinlang na aktibidad.
**4. Isaalang-alang ang isang Credit Freeze:**
* **Para sa Karagdagang Proteksyon:** Maaari mong isaalang-alang ang paglalagay ng credit freeze sa iyong credit report. Makak"&amp;"atulong ito na pigilan ang mga hindi awtorisadong indibidwal na magbukas ng mga bagong linya ng kredito sa iyong pangalan. Makipag-ugnayan sa mga credit bureaus na tumatakbo sa Pilipinas (hal., TransUnion, Equifax) para magtanong tungkol sa mga opsyon sa "&amp;"pag-freeze ng credit.
**Mga Karagdagang Tip:**
* **Mag-ingat sa Mga Taktika sa Panakot:** Ang mga email sa phishing ay kadalasang gumagamit ng mga taktika ng madaliang pagkilos o pananakot upang pilitin kang kumilos nang mabilis. Huwag magmadali sa pag-cl"&amp;"ick sa anumang mga link o pagbibigay ng impormasyon.
* **I-verify ang Mga Address ng Nagpadala:** Laging i-double check ang email address ng nagpadala bago mag-click sa mga link o magbukas ng mga attachment. Gagamitin ng mga lehitimong kumpanya ang kanila"&amp;"ng mga opisyal na domain name sa kanilang mga email address.
* **Huwag Mag-download ng Mga Attachment:** Iwasang mag-download ng mga attachment mula sa mga kahina-hinalang email. Maaaring naglalaman ang mga email ng phishing ng malware na maaaring makahaw"&amp;"a sa iyong device.
**Tandaan:** Huwag mahiya kung nabiktima ka ng phishing attack. Ang mga scam na ito ay sopistikado at maaaring maging lubhang kapani-paniwala. Sa pamamagitan ng pagsunod sa mga hakbang na ito, maaari mong kontrolin ang sitwasyon, bawasa"&amp;"n ang potensyal na pinsala, at pagbutihin ang iyong kaalaman sa online na seguridad.")</f>
        <v>Kung hindi mo sinasadyang na-click ang isang phishing na email at nagbigay ng personal na impormasyon, narito ang dapat mong gawin kaagad:
**1. I-secure ang Iyong Mga Account:**
* **Baguhin ang Mga Password:** Agad na baguhin ang mga password para sa lahat ng mga account kung saan maaaring ginamit mo ang parehong mga kredensyal sa pag-log in gaya ng nakompromiso sa email ng phishing. Kabilang dito ang iyong email, bank account, social media account, at anumang iba pang online na serbisyong ginagamit mo.
* **Paganahin ang MFA:** Kung ang Multi-Factor Authentication (MFA) ay available para sa iyong mga account, paganahin ito kaagad. Nagdaragdag ito ng karagdagang layer ng seguridad sa pamamagitan ng pag-aatas ng pangalawang verification code bilang karagdagan sa iyong password kapag nagla-log in.
**2. Subaybayan ang Iyong Mga Account:**
* **Bank Accounts:** Mahigpit na subaybayan ang iyong mga bank account at credit card statement para sa anumang kahina-hinalang aktibidad. Maghanap ng mga hindi awtorisadong transaksyon o withdrawal.
* **Email:** Mag-ingat sa karagdagang mga pagtatangka sa phishing. Ang mga email sa phishing ay madalas na dumarating, kaya maging mas mapagbantay sa pagsuri sa address ng nagpadala at sa pagiging lehitimo ng anumang mga email na iyong natatanggap. **3. Kontrol sa Pinsala:**
* **Iulat ang Phishing Email:** Iulat ang phishing email sa iyong email provider. Nakakatulong ito sa kanila na tukuyin at harangan ang mga katulad na pagtatangka sa hinaharap. * **Makipag-ugnayan sa Mga Kasangkot na Kumpanya:** Kung nagbigay ka ng personal na impormasyong nauugnay sa mga partikular na account (hal., mga detalye ng bank account), makipag-ugnayan sa mga kumpanyang kasangkot at iulat ang insidente. Maaari silang gumawa ng mga hakbang upang higit pang ma-secure ang iyong account o masubaybayan ang mapanlinlang na aktibidad.
**4. Isaalang-alang ang isang Credit Freeze:**
* **Para sa Karagdagang Proteksyon:** Maaari mong isaalang-alang ang paglalagay ng credit freeze sa iyong credit report. Makakatulong ito na pigilan ang mga hindi awtorisadong indibidwal na magbukas ng mga bagong linya ng kredito sa iyong pangalan. Makipag-ugnayan sa mga credit bureaus na tumatakbo sa Pilipinas (hal., TransUnion, Equifax) para magtanong tungkol sa mga opsyon sa pag-freeze ng credit.
**Mga Karagdagang Tip:**
* **Mag-ingat sa Mga Taktika sa Panakot:** Ang mga email sa phishing ay kadalasang gumagamit ng mga taktika ng madaliang pagkilos o pananakot upang pilitin kang kumilos nang mabilis. Huwag magmadali sa pag-click sa anumang mga link o pagbibigay ng impormasyon.
* **I-verify ang Mga Address ng Nagpadala:** Laging i-double check ang email address ng nagpadala bago mag-click sa mga link o magbukas ng mga attachment. Gagamitin ng mga lehitimong kumpanya ang kanilang mga opisyal na domain name sa kanilang mga email address.
* **Huwag Mag-download ng Mga Attachment:** Iwasang mag-download ng mga attachment mula sa mga kahina-hinalang email. Maaaring naglalaman ang mga email ng phishing ng malware na maaaring makahawa sa iyong device.
**Tandaan:** Huwag mahiya kung nabiktima ka ng phishing attack. Ang mga scam na ito ay sopistikado at maaaring maging lubhang kapani-paniwala. Sa pamamagitan ng pagsunod sa mga hakbang na ito, maaari mong kontrolin ang sitwasyon, bawasan ang potensyal na pinsala, at pagbutihin ang iyong kaalaman sa online na seguridad.</v>
      </c>
      <c r="F677" s="2">
        <f t="shared" si="1"/>
        <v>0</v>
      </c>
      <c r="G677" s="2"/>
      <c r="H677" s="2"/>
      <c r="I677" s="2"/>
      <c r="J677" s="2"/>
      <c r="K677" s="2"/>
      <c r="L677" s="2"/>
      <c r="M677" s="2"/>
      <c r="N677" s="2"/>
      <c r="O677" s="2"/>
      <c r="P677" s="2"/>
      <c r="Q677" s="2"/>
      <c r="R677" s="2"/>
      <c r="S677" s="2"/>
      <c r="T677" s="2"/>
      <c r="U677" s="2"/>
      <c r="V677" s="2"/>
      <c r="W677" s="2"/>
      <c r="X677" s="2"/>
      <c r="Y677" s="2"/>
      <c r="Z677" s="2"/>
      <c r="AA677" s="2"/>
    </row>
    <row r="678">
      <c r="A678" s="3" t="s">
        <v>2010</v>
      </c>
      <c r="B678" s="1" t="s">
        <v>2248</v>
      </c>
      <c r="C678" s="1" t="s">
        <v>2249</v>
      </c>
      <c r="D678" s="1" t="s">
        <v>2250</v>
      </c>
      <c r="E678" s="2" t="str">
        <f>IFERROR(__xludf.DUMMYFUNCTION("GOOGLETRANSLATE(C678, ""en"", ""TL"")"),"Ang pagbabahagi ng impormasyon tungkol sa isang phishing scammer ay maaaring maging isang kapaki-pakinabang na paraan upang balaan ang iba, ngunit may mga legal na hangganan na dapat isaalang-alang sa Pilipinas. Narito ang isang breakdown upang i-navigate"&amp;" ang sitwasyong ito:
**Pagbabahagi ng Impormasyon:**
* **Public Awareness:** Ang pagbabahagi ng mga detalye tungkol sa isang pagtatangka sa phishing, tulad ng email address ng nagpadala, ang website na sinusubukan nilang akitin ka, o ang mga partikular na"&amp;" taktika na ginamit, ay maaaring makatulong para sa kaalaman ng publiko. Magagawa ito sa pamamagitan ng mga post sa social media, mga entry sa blog, o mga babala mula sa bibig sa mga kaibigan at pamilya.
**Mga Legal na Pagsasaalang-alang:**
* **Paninirang"&amp;"-puri:** Maging maingat sa pagbabahagi ng tunay na pangalan ng scammer o iba pang nakakapagpakilalang impormasyon na maaaring ituring na mapanirang-puri, lalo na kung hindi mo ito ma-verify nang may katiyakan. * Tumutok sa pagbabahagi ng mga detalye ng sc"&amp;"am (address ng nagpadala, website, mga taktika) sa halip na i-target ang isang partikular na indibidwal.
* **Mga Karapatan sa Privacy:** Kahit na mayroon kang email address ng scammer, maaaring ma-link ito sa isang ninakaw na pagkakakilanlan. Ang pagbabah"&amp;"agi nito ay maaaring hindi sinasadyang maglantad ng impormasyon ng ibang tao.
**Mga Ligtas na Paraan para Magbahagi ng Impormasyon:**
* **Iulat ang Phishing Email:** Ang pag-uulat ng pagtatangka sa iyong email provider ay ang pinakamabisang paraan upang m"&amp;"ai-blacklist ang address ng nagpadala at maiwasan ang mga karagdagang pag-atake.
* **Pangkalahatang Phishing Awareness:** Sa halip na tumuon sa iisang scammer, magbahagi ng pangkalahatang impormasyon tungkol sa mga taktika sa phishing at red flag na dapat"&amp;" abangan. Magagawa ito sa pamamagitan ng mga post na pang-edukasyon o mga talakayan nang hindi inilalantad ang partikular na impormasyong nagpapakilala.
* **Mag-ulat sa Mga Awtoridad:** Pag-isipang iulat ang pagtatangkang phishing sa Philippine National P"&amp;"olice (PNP) Anti-Cybercrime Unit. Makakatulong ito sa kanila na subaybayan ang mga pagpapatakbo ng phishing at posibleng gumawa ng aksyon laban sa mga may kasalanan.
**Rekomendasyon:**
* **Tumuon sa Ligtas na Pagbabahagi:** Priyoridad ang pagbabahagi ng i"&amp;"mpormasyon sa isang paraan na nagpapataas ng kamalayan tungkol sa mga taktika ng phishing nang walang potensyal na lumalabag sa privacy o reputasyon ng isang tao.
**Tandaan:** Bagama't hindi mo maibabahagi ang lahat tungkol sa isang scammer, maaari ka pa "&amp;"ring gumanap ng mahalagang papel sa pagprotekta sa iba sa pamamagitan ng pagbabahagi ng mga pangkalahatang tip sa kaalaman sa phishing at pag-uulat ng mga kahina-hinalang pagtatangka sa naaangkop na mga awtoridad.")</f>
        <v>Ang pagbabahagi ng impormasyon tungkol sa isang phishing scammer ay maaaring maging isang kapaki-pakinabang na paraan upang balaan ang iba, ngunit may mga legal na hangganan na dapat isaalang-alang sa Pilipinas. Narito ang isang breakdown upang i-navigate ang sitwasyong ito:
**Pagbabahagi ng Impormasyon:**
* **Public Awareness:** Ang pagbabahagi ng mga detalye tungkol sa isang pagtatangka sa phishing, tulad ng email address ng nagpadala, ang website na sinusubukan nilang akitin ka, o ang mga partikular na taktika na ginamit, ay maaaring makatulong para sa kaalaman ng publiko. Magagawa ito sa pamamagitan ng mga post sa social media, mga entry sa blog, o mga babala mula sa bibig sa mga kaibigan at pamilya.
**Mga Legal na Pagsasaalang-alang:**
* **Paninirang-puri:** Maging maingat sa pagbabahagi ng tunay na pangalan ng scammer o iba pang nakakapagpakilalang impormasyon na maaaring ituring na mapanirang-puri, lalo na kung hindi mo ito ma-verify nang may katiyakan. * Tumutok sa pagbabahagi ng mga detalye ng scam (address ng nagpadala, website, mga taktika) sa halip na i-target ang isang partikular na indibidwal.
* **Mga Karapatan sa Privacy:** Kahit na mayroon kang email address ng scammer, maaaring ma-link ito sa isang ninakaw na pagkakakilanlan. Ang pagbabahagi nito ay maaaring hindi sinasadyang maglantad ng impormasyon ng ibang tao.
**Mga Ligtas na Paraan para Magbahagi ng Impormasyon:**
* **Iulat ang Phishing Email:** Ang pag-uulat ng pagtatangka sa iyong email provider ay ang pinakamabisang paraan upang mai-blacklist ang address ng nagpadala at maiwasan ang mga karagdagang pag-atake.
* **Pangkalahatang Phishing Awareness:** Sa halip na tumuon sa iisang scammer, magbahagi ng pangkalahatang impormasyon tungkol sa mga taktika sa phishing at red flag na dapat abangan. Magagawa ito sa pamamagitan ng mga post na pang-edukasyon o mga talakayan nang hindi inilalantad ang partikular na impormasyong nagpapakilala.
* **Mag-ulat sa Mga Awtoridad:** Pag-isipang iulat ang pagtatangkang phishing sa Philippine National Police (PNP) Anti-Cybercrime Unit. Makakatulong ito sa kanila na subaybayan ang mga pagpapatakbo ng phishing at posibleng gumawa ng aksyon laban sa mga may kasalanan.
**Rekomendasyon:**
* **Tumuon sa Ligtas na Pagbabahagi:** Priyoridad ang pagbabahagi ng impormasyon sa isang paraan na nagpapataas ng kamalayan tungkol sa mga taktika ng phishing nang walang potensyal na lumalabag sa privacy o reputasyon ng isang tao.
**Tandaan:** Bagama't hindi mo maibabahagi ang lahat tungkol sa isang scammer, maaari ka pa ring gumanap ng mahalagang papel sa pagprotekta sa iba sa pamamagitan ng pagbabahagi ng mga pangkalahatang tip sa kaalaman sa phishing at pag-uulat ng mga kahina-hinalang pagtatangka sa naaangkop na mga awtoridad.</v>
      </c>
      <c r="F678" s="2">
        <f t="shared" si="1"/>
        <v>0</v>
      </c>
      <c r="G678" s="2"/>
      <c r="H678" s="2"/>
      <c r="I678" s="2"/>
      <c r="J678" s="2"/>
      <c r="K678" s="2"/>
      <c r="L678" s="2"/>
      <c r="M678" s="2"/>
      <c r="N678" s="2"/>
      <c r="O678" s="2"/>
      <c r="P678" s="2"/>
      <c r="Q678" s="2"/>
      <c r="R678" s="2"/>
      <c r="S678" s="2"/>
      <c r="T678" s="2"/>
      <c r="U678" s="2"/>
      <c r="V678" s="2"/>
      <c r="W678" s="2"/>
      <c r="X678" s="2"/>
      <c r="Y678" s="2"/>
      <c r="Z678" s="2"/>
      <c r="AA678" s="2"/>
    </row>
    <row r="679">
      <c r="A679" s="3" t="s">
        <v>2010</v>
      </c>
      <c r="B679" s="1" t="s">
        <v>2251</v>
      </c>
      <c r="C679" s="1" t="s">
        <v>2252</v>
      </c>
      <c r="D679" s="1" t="s">
        <v>2253</v>
      </c>
      <c r="E679" s="2" t="str">
        <f>IFERROR(__xludf.DUMMYFUNCTION("GOOGLETRANSLATE(C679, ""en"", ""TL"")"),"Oo, maaaring magkaroon ng legal na implikasyon para sa mga kumpanya sa Pilipinas na hindi sinasadyang nagpapadali sa pag-atake ng phishing sa pamamagitan ng kanilang mga platform. Ang mga partikular na legal na implikasyon ay nakasalalay sa ilang mga sali"&amp;"k, kabilang ang:
* **Ang Kalikasan ng Platform:** * Ang mga social media platform, email provider, at online marketplace ay may iba't ibang tungkulin at responsibilidad na nauugnay sa seguridad ng user.
* **Mga Panukala sa Seguridad ng Kumpanya:** * Nagpa"&amp;"tupad ba ang kumpanya ng mga makatwirang hakbang sa seguridad upang maiwasan ang mga pagtatangka sa phishing sa kanilang platform?
* **Ang Data Privacy Act (RA 8424):** * Ang Batas na ito ay nag-uutos sa mga kumpanya na protektahan ang data ng user at maa"&amp;"aring ilapat kung ang isang phishing na pag-atake ay nakompromiso ang impormasyon ng customer.
Narito ang isang breakdown ng mga potensyal na kahihinatnan:
**Mga Paghahabla Sibil:**
* **Pabaya:** Kung ang mahinang kasanayan sa seguridad ng isang kumpanya "&amp;"ay nagpapahintulot sa isang phishing na pag-atake na ikompromiso ang data ng user, maaari silang idemanda dahil sa kapabayaan. Ang demanda ay maaaring isampa ng isang user na nawalan ng pananalapi o pagnanakaw ng pagkakakilanlan dahil sa pag-atake ng phis"&amp;"hing.
* **Mga Paglabag sa Batas sa Privacy ng Data:** * Maaaring harapin ng kumpanya ang isang reklamo sa National Privacy Commission (NPC) kung ang pag-atake ng phishing ay nagresulta sa isang paglabag sa data na lumabag sa mga pananggalang sa seguridad "&amp;"ng Batas. Ang NPC ay maaaring magpataw ng mga multa at nangangailangan ng mga aksyong pagwawasto.
**Pinsala sa Reputasyon:**
* Ang mga kumpanyang nakakaranas ng malalaking pag-atake ng phishing sa kanilang mga platform ay maaaring makaranas ng malaking pi"&amp;"nsala sa reputasyon. Maaaring mawalan ng tiwala ang mga user sa seguridad ng platform.
**Mga Panukala na Maaaring Gawin ng Mga Kumpanya:**
* **Ipatupad ang Malakas na Mga Panukala sa Seguridad:** * Ang mga kumpanya ay dapat magkaroon ng matatag na sistema"&amp;" ng seguridad upang matukoy at maiwasan ang mga pagtatangka sa phishing. Maaaring kabilang dito ang mga filter ng spam, mga protocol sa pagpapatotoo ng email, at mga programa sa edukasyon ng user.
* **Sumunod sa Mga Batas sa Privacy ng Data:** * Ang pagsu"&amp;"nod sa mga kinakailangan ng Data Privacy Act para sa seguridad ng data at abiso ng user kung sakaling may paglabag ay napakahalaga.
* **I-promote ang User Awareness:** * Maaaring turuan ng mga kumpanya ang mga user tungkol sa mga taktika ng phishing at pi"&amp;"nakamahuhusay na kagawian para sa pagprotekta sa kanilang impormasyon online.
**Tandaan:** Ang legal na tanawin na nakapalibot sa online na seguridad ay patuloy na nagbabago. Dapat kumonsulta ang mga kumpanya sa mga abogadong dalubhasa sa data privacy at "&amp;"cyberlaw para maunawaan ang kanilang mga obligasyon at kung paano mabawasan ang panganib ng mga legal na epekto mula sa mga pag-atake ng phishing na pinadali sa pamamagitan ng kanilang mga platform.")</f>
        <v>Oo, maaaring magkaroon ng legal na implikasyon para sa mga kumpanya sa Pilipinas na hindi sinasadyang nagpapadali sa pag-atake ng phishing sa pamamagitan ng kanilang mga platform. Ang mga partikular na legal na implikasyon ay nakasalalay sa ilang mga salik, kabilang ang:
* **Ang Kalikasan ng Platform:** * Ang mga social media platform, email provider, at online marketplace ay may iba't ibang tungkulin at responsibilidad na nauugnay sa seguridad ng user.
* **Mga Panukala sa Seguridad ng Kumpanya:** * Nagpatupad ba ang kumpanya ng mga makatwirang hakbang sa seguridad upang maiwasan ang mga pagtatangka sa phishing sa kanilang platform?
* **Ang Data Privacy Act (RA 8424):** * Ang Batas na ito ay nag-uutos sa mga kumpanya na protektahan ang data ng user at maaaring ilapat kung ang isang phishing na pag-atake ay nakompromiso ang impormasyon ng customer.
Narito ang isang breakdown ng mga potensyal na kahihinatnan:
**Mga Paghahabla Sibil:**
* **Pabaya:** Kung ang mahinang kasanayan sa seguridad ng isang kumpanya ay nagpapahintulot sa isang phishing na pag-atake na ikompromiso ang data ng user, maaari silang idemanda dahil sa kapabayaan. Ang demanda ay maaaring isampa ng isang user na nawalan ng pananalapi o pagnanakaw ng pagkakakilanlan dahil sa pag-atake ng phishing.
* **Mga Paglabag sa Batas sa Privacy ng Data:** * Maaaring harapin ng kumpanya ang isang reklamo sa National Privacy Commission (NPC) kung ang pag-atake ng phishing ay nagresulta sa isang paglabag sa data na lumabag sa mga pananggalang sa seguridad ng Batas. Ang NPC ay maaaring magpataw ng mga multa at nangangailangan ng mga aksyong pagwawasto.
**Pinsala sa Reputasyon:**
* Ang mga kumpanyang nakakaranas ng malalaking pag-atake ng phishing sa kanilang mga platform ay maaaring makaranas ng malaking pinsala sa reputasyon. Maaaring mawalan ng tiwala ang mga user sa seguridad ng platform.
**Mga Panukala na Maaaring Gawin ng Mga Kumpanya:**
* **Ipatupad ang Malakas na Mga Panukala sa Seguridad:** * Ang mga kumpanya ay dapat magkaroon ng matatag na sistema ng seguridad upang matukoy at maiwasan ang mga pagtatangka sa phishing. Maaaring kabilang dito ang mga filter ng spam, mga protocol sa pagpapatotoo ng email, at mga programa sa edukasyon ng user.
* **Sumunod sa Mga Batas sa Privacy ng Data:** * Ang pagsunod sa mga kinakailangan ng Data Privacy Act para sa seguridad ng data at abiso ng user kung sakaling may paglabag ay napakahalaga.
* **I-promote ang User Awareness:** * Maaaring turuan ng mga kumpanya ang mga user tungkol sa mga taktika ng phishing at pinakamahuhusay na kagawian para sa pagprotekta sa kanilang impormasyon online.
**Tandaan:** Ang legal na tanawin na nakapalibot sa online na seguridad ay patuloy na nagbabago. Dapat kumonsulta ang mga kumpanya sa mga abogadong dalubhasa sa data privacy at cyberlaw para maunawaan ang kanilang mga obligasyon at kung paano mabawasan ang panganib ng mga legal na epekto mula sa mga pag-atake ng phishing na pinadali sa pamamagitan ng kanilang mga platform.</v>
      </c>
      <c r="F679" s="2">
        <f t="shared" si="1"/>
        <v>0</v>
      </c>
      <c r="G679" s="2"/>
      <c r="H679" s="2"/>
      <c r="I679" s="2"/>
      <c r="J679" s="2"/>
      <c r="K679" s="2"/>
      <c r="L679" s="2"/>
      <c r="M679" s="2"/>
      <c r="N679" s="2"/>
      <c r="O679" s="2"/>
      <c r="P679" s="2"/>
      <c r="Q679" s="2"/>
      <c r="R679" s="2"/>
      <c r="S679" s="2"/>
      <c r="T679" s="2"/>
      <c r="U679" s="2"/>
      <c r="V679" s="2"/>
      <c r="W679" s="2"/>
      <c r="X679" s="2"/>
      <c r="Y679" s="2"/>
      <c r="Z679" s="2"/>
      <c r="AA679" s="2"/>
    </row>
    <row r="680">
      <c r="A680" s="3" t="s">
        <v>2010</v>
      </c>
      <c r="B680" s="1" t="s">
        <v>2254</v>
      </c>
      <c r="C680" s="1" t="s">
        <v>2255</v>
      </c>
      <c r="D680" s="1" t="s">
        <v>2256</v>
      </c>
      <c r="E680" s="2" t="str">
        <f>IFERROR(__xludf.DUMMYFUNCTION("GOOGLETRANSLATE(C680, ""en"", ""TL"")"),"Ang pagdemanda sa isang website para sa pagho-host ng nilalaman ng phishing sa Pilipinas ay posible, ngunit ang tagumpay ay nakasalalay sa ilang mga kadahilanan. Narito ang isang breakdown ng sitwasyon:
**Potensyal na mga batayan para sa isang demanda:**
"&amp;"* **Aiding and Abetting:** Maaari mong pagtalunan ang website nang sinasadya o hindi alam na pinapayagan ang kanilang platform na gamitin para sa ilegal na aktibidad (phishing). Gayunpaman, ang pagpapatunay sa kaalamang ito ay maaaring maging mahirap.
* *"&amp;"*Data Privacy Act (RA 8424):** Kung ang nilalaman ng phishing ay nagresulta sa isang paglabag sa data na nakompromiso ang iyong personal na impormasyon, maaaring managot ang website sa ilalim ng Data Privacy Act kung nabigo silang magpatupad ng mga naaang"&amp;"kop na hakbang sa seguridad.
**Mga Hamon ng Panalo sa Demanda:**
* **Kaalaman ng Website:** Mahirap patunayan na may kaalaman ang website sa nilalaman ng phishing. Maraming mga website ang umaasa sa nilalaman o advertising na binuo ng user, at maaaring hi"&amp;"ndi nila alam ang bawat malisyosong pagtatangka.
* **Mga Tuntunin ng Serbisyo ng Website:** Karamihan sa mga website ay may mga tuntunin ng mga kasunduan sa serbisyo na naglilimita sa kanilang pananagutan para sa nilalamang binuo ng user o mga pagkilos ng"&amp;" third-party.
**Mga Alternatibo sa Paghahabla:**
* **Iulat ang Nilalaman ng Phishing:** Iulat ang nilalaman ng phishing sa website na nagho-host nito. Karamihan sa mga platform ay may mga mekanismo para sa mga user na mag-ulat ng kahina-hinalang aktibidad"&amp;".
* **Iulat ang Phishing Attempt:** Iulat ang pagtatangkang phishing sa Philippine National Police (PNP) Anti-Cybercrime Unit. Nakakatulong ito sa pagbuo ng talaan ng krimen.
**Rekomendasyon:**
* Kumonsulta sa isang Abogado:** Maaaring tasahin ng isang ab"&amp;"ogado na dalubhasa sa data privacy o cyberlaw ang iyong sitwasyon. Maaari nilang suriin ang mga detalye ng nilalaman ng phishing, tungkulin ng website, at Data Privacy Act upang matukoy ang posibilidad na magtagumpay sa isang demanda. Maaari din silang ma"&amp;"gpayo sa mga alternatibong kurso ng aksyon.
**Mga Karagdagang Tala:**
* Ang mga legal na laban ay maaaring mahaba at magastos. Timbangin ang mga potensyal na benepisyo (kabayaran para sa mga pinsala) laban sa oras at pamumuhunan sa pananalapi na kinakaila"&amp;"ngan para sa isang demanda.
**Tandaan:** Habang ang pagdemanda sa website ay maaaring isang opsyon, ang pagtuon sa pagprotekta sa iyong sarili at pag-uulat ng nilalaman ng phishing ay mahalaga. Maaaring gabayan ka ng isang abogado sa pinakamahusay na para"&amp;"an ng pagkilos para sa iyong sitwasyon.")</f>
        <v>Ang pagdemanda sa isang website para sa pagho-host ng nilalaman ng phishing sa Pilipinas ay posible, ngunit ang tagumpay ay nakasalalay sa ilang mga kadahilanan. Narito ang isang breakdown ng sitwasyon:
**Potensyal na mga batayan para sa isang demanda:**
* **Aiding and Abetting:** Maaari mong pagtalunan ang website nang sinasadya o hindi alam na pinapayagan ang kanilang platform na gamitin para sa ilegal na aktibidad (phishing). Gayunpaman, ang pagpapatunay sa kaalamang ito ay maaaring maging mahirap.
* **Data Privacy Act (RA 8424):** Kung ang nilalaman ng phishing ay nagresulta sa isang paglabag sa data na nakompromiso ang iyong personal na impormasyon, maaaring managot ang website sa ilalim ng Data Privacy Act kung nabigo silang magpatupad ng mga naaangkop na hakbang sa seguridad.
**Mga Hamon ng Panalo sa Demanda:**
* **Kaalaman ng Website:** Mahirap patunayan na may kaalaman ang website sa nilalaman ng phishing. Maraming mga website ang umaasa sa nilalaman o advertising na binuo ng user, at maaaring hindi nila alam ang bawat malisyosong pagtatangka.
* **Mga Tuntunin ng Serbisyo ng Website:** Karamihan sa mga website ay may mga tuntunin ng mga kasunduan sa serbisyo na naglilimita sa kanilang pananagutan para sa nilalamang binuo ng user o mga pagkilos ng third-party.
**Mga Alternatibo sa Paghahabla:**
* **Iulat ang Nilalaman ng Phishing:** Iulat ang nilalaman ng phishing sa website na nagho-host nito. Karamihan sa mga platform ay may mga mekanismo para sa mga user na mag-ulat ng kahina-hinalang aktibidad.
* **Iulat ang Phishing Attempt:** Iulat ang pagtatangkang phishing sa Philippine National Police (PNP) Anti-Cybercrime Unit. Nakakatulong ito sa pagbuo ng talaan ng krimen.
**Rekomendasyon:**
* Kumonsulta sa isang Abogado:** Maaaring tasahin ng isang abogado na dalubhasa sa data privacy o cyberlaw ang iyong sitwasyon. Maaari nilang suriin ang mga detalye ng nilalaman ng phishing, tungkulin ng website, at Data Privacy Act upang matukoy ang posibilidad na magtagumpay sa isang demanda. Maaari din silang magpayo sa mga alternatibong kurso ng aksyon.
**Mga Karagdagang Tala:**
* Ang mga legal na laban ay maaaring mahaba at magastos. Timbangin ang mga potensyal na benepisyo (kabayaran para sa mga pinsala) laban sa oras at pamumuhunan sa pananalapi na kinakailangan para sa isang demanda.
**Tandaan:** Habang ang pagdemanda sa website ay maaaring isang opsyon, ang pagtuon sa pagprotekta sa iyong sarili at pag-uulat ng nilalaman ng phishing ay mahalaga. Maaaring gabayan ka ng isang abogado sa pinakamahusay na paraan ng pagkilos para sa iyong sitwasyon.</v>
      </c>
      <c r="F680" s="2">
        <f t="shared" si="1"/>
        <v>0</v>
      </c>
      <c r="G680" s="2"/>
      <c r="H680" s="2"/>
      <c r="I680" s="2"/>
      <c r="J680" s="2"/>
      <c r="K680" s="2"/>
      <c r="L680" s="2"/>
      <c r="M680" s="2"/>
      <c r="N680" s="2"/>
      <c r="O680" s="2"/>
      <c r="P680" s="2"/>
      <c r="Q680" s="2"/>
      <c r="R680" s="2"/>
      <c r="S680" s="2"/>
      <c r="T680" s="2"/>
      <c r="U680" s="2"/>
      <c r="V680" s="2"/>
      <c r="W680" s="2"/>
      <c r="X680" s="2"/>
      <c r="Y680" s="2"/>
      <c r="Z680" s="2"/>
      <c r="AA680" s="2"/>
    </row>
    <row r="681">
      <c r="A681" s="3" t="s">
        <v>2010</v>
      </c>
      <c r="B681" s="1" t="s">
        <v>2257</v>
      </c>
      <c r="C681" s="1" t="s">
        <v>2258</v>
      </c>
      <c r="D681" s="1" t="s">
        <v>2259</v>
      </c>
      <c r="E681" s="2" t="str">
        <f>IFERROR(__xludf.DUMMYFUNCTION("GOOGLETRANSLATE(C681, ""en"", ""TL"")"),"Narito kung paano ka maaaring legal na tumugon sa isang pagtatangka sa phishing na nagta-target sa iyong intelektwal na ari-arian sa Pilipinas:
**1. Huwag Makipag-ugnayan:**
* **Iwasan ang Pag-click sa Mga Link o Pag-download ng Mga Attachment:** Maaaring"&amp;" naglalaman ang mga ito ng malware na idinisenyo upang nakawin ang iyong intelektwal na ari-arian.
* **Huwag Tumugon sa Email:** Ang pagtugon ay maaaring kumpirmahin ang bisa ng iyong email address sa mga scammer at magbukas sa iyo para sa higit pang mga "&amp;"pag-atake.
**2. I-secure ang Iyong Mga System:**
* **Baguhin ang Mga Password:** Agad na baguhin ang mga password para sa lahat ng mga account na posibleng makompromiso, kabilang ang email, cloud storage, at anumang mga platform kung saan naninirahan ang "&amp;"iyong intelektwal na ari-arian.
* **Paganahin ang MFA:** Kung available ang Multi-Factor Authentication (MFA), paganahin ito sa lahat ng iyong account para sa karagdagang layer ng seguridad.
**3. Idokumento ang Pagsubok:**
* **I-save ang Phishing Email:**"&amp;" Huwag itong tanggalin. Ang email ay maaaring magsilbing ebidensya kung kailangan mong gumawa ng legal na aksyon o iulat ang insidente.
* **Kumuha ng Mga Screenshot:** Kumuha ng mga screenshot ng nilalaman ng email, address ng nagpadala, at anumang iba pa"&amp;"ng nauugnay na detalye.
**4. Iulat ang Phishing Attempt:**
* **Mag-ulat sa Iyong Email Provider:** Iulat ang phishing email sa iyong email provider. Nakakatulong ito sa kanila na tukuyin at harangan ang mga katulad na pagtatangka sa hinaharap. * **Mag-ula"&amp;"t sa PNP Anti-Cybercrime Unit:** Isaalang-alang ang paghahain ng ulat sa Philippine National Police (PNP) Anti-Cybercrime Unit. Itinatala nito ang insidente at maaaring makatulong sa mga pagsisiyasat.
**5. Isaalang-alang ang Mga Legal na Opsyon:**
* **Kum"&amp;"onsulta sa Abogado:** Maaaring tasahin ng isang abogadong dalubhasa sa intelektwal na ari-arian o cyberlaw ang iyong sitwasyon. Depende sa kalubhaan ng pagtatangka at sa mga detalye ng iyong intelektwal na ari-arian, maaaring isaalang-alang ang mga legal "&amp;"na opsyon tulad ng paghahain ng kasong sibil laban sa mga scammer (kung makikilala). Gayunpaman, maaari itong maging mahirap dahil sa kahirapan sa pagtukoy sa mga may kasalanan.
**6. I-secure ang Iyong Intellectual Property:**
* **Malakas na Mga Password "&amp;"at Mga Kontrol sa Pag-access:** Tiyaking nakalagay ang malalakas na password at mga kontrol sa pag-access para sa lahat ng system at platform kung saan naka-imbak ang iyong intelektwal na ari-arian.
* **Isaalang-alang ang Digital Rights Management:** Galu"&amp;"garin ang mga solusyon sa digital rights management (DRM) kung naaangkop sa iyong intelektwal na ari-arian upang magdagdag ng karagdagang layer ng proteksyon.
**Mga Karagdagang Tala:**
* **Tumuon sa Pag-iwas:** Regular na sanayin ang iyong mga empleyado s"&amp;"a pagtukoy ng mga pagtatangka sa phishing at pinakamahusay na kagawian para sa pagprotekta sa intelektwal na ari-arian online.
* **Manatiling Alam:** Panatilihing updated ang iyong sarili sa pinakabagong mga taktika sa phishing upang manatiling mapagbanta"&amp;"y laban sa mga umuusbong na banta.
**Tandaan:** Ang susi ay kumilos nang mabilis at tiyak kapag nahaharap sa isang pagtatangka sa phishing. Bagama't isang posibilidad ang mga legal na opsyon, ang pagbibigay-priyoridad sa pag-secure ng iyong mga system, pa"&amp;"gdodokumento ng insidente, at paggawa ng mga hakbang upang maiwasan ang mga pag-atake sa hinaharap ay napakahalaga. Makakatulong sa iyo ang pagkonsulta sa isang abogado na tuklasin ang mga potensyal na legal na paraan at i-optimize ang iyong diskarte sa s"&amp;"eguridad sa intelektwal na ari-arian.")</f>
        <v>Narito kung paano ka maaaring legal na tumugon sa isang pagtatangka sa phishing na nagta-target sa iyong intelektwal na ari-arian sa Pilipinas:
**1. Huwag Makipag-ugnayan:**
* **Iwasan ang Pag-click sa Mga Link o Pag-download ng Mga Attachment:** Maaaring naglalaman ang mga ito ng malware na idinisenyo upang nakawin ang iyong intelektwal na ari-arian.
* **Huwag Tumugon sa Email:** Ang pagtugon ay maaaring kumpirmahin ang bisa ng iyong email address sa mga scammer at magbukas sa iyo para sa higit pang mga pag-atake.
**2. I-secure ang Iyong Mga System:**
* **Baguhin ang Mga Password:** Agad na baguhin ang mga password para sa lahat ng mga account na posibleng makompromiso, kabilang ang email, cloud storage, at anumang mga platform kung saan naninirahan ang iyong intelektwal na ari-arian.
* **Paganahin ang MFA:** Kung available ang Multi-Factor Authentication (MFA), paganahin ito sa lahat ng iyong account para sa karagdagang layer ng seguridad.
**3. Idokumento ang Pagsubok:**
* **I-save ang Phishing Email:** Huwag itong tanggalin. Ang email ay maaaring magsilbing ebidensya kung kailangan mong gumawa ng legal na aksyon o iulat ang insidente.
* **Kumuha ng Mga Screenshot:** Kumuha ng mga screenshot ng nilalaman ng email, address ng nagpadala, at anumang iba pang nauugnay na detalye.
**4. Iulat ang Phishing Attempt:**
* **Mag-ulat sa Iyong Email Provider:** Iulat ang phishing email sa iyong email provider. Nakakatulong ito sa kanila na tukuyin at harangan ang mga katulad na pagtatangka sa hinaharap. * **Mag-ulat sa PNP Anti-Cybercrime Unit:** Isaalang-alang ang paghahain ng ulat sa Philippine National Police (PNP) Anti-Cybercrime Unit. Itinatala nito ang insidente at maaaring makatulong sa mga pagsisiyasat.
**5. Isaalang-alang ang Mga Legal na Opsyon:**
* **Kumonsulta sa Abogado:** Maaaring tasahin ng isang abogadong dalubhasa sa intelektwal na ari-arian o cyberlaw ang iyong sitwasyon. Depende sa kalubhaan ng pagtatangka at sa mga detalye ng iyong intelektwal na ari-arian, maaaring isaalang-alang ang mga legal na opsyon tulad ng paghahain ng kasong sibil laban sa mga scammer (kung makikilala). Gayunpaman, maaari itong maging mahirap dahil sa kahirapan sa pagtukoy sa mga may kasalanan.
**6. I-secure ang Iyong Intellectual Property:**
* **Malakas na Mga Password at Mga Kontrol sa Pag-access:** Tiyaking nakalagay ang malalakas na password at mga kontrol sa pag-access para sa lahat ng system at platform kung saan naka-imbak ang iyong intelektwal na ari-arian.
* **Isaalang-alang ang Digital Rights Management:** Galugarin ang mga solusyon sa digital rights management (DRM) kung naaangkop sa iyong intelektwal na ari-arian upang magdagdag ng karagdagang layer ng proteksyon.
**Mga Karagdagang Tala:**
* **Tumuon sa Pag-iwas:** Regular na sanayin ang iyong mga empleyado sa pagtukoy ng mga pagtatangka sa phishing at pinakamahusay na kagawian para sa pagprotekta sa intelektwal na ari-arian online.
* **Manatiling Alam:** Panatilihing updated ang iyong sarili sa pinakabagong mga taktika sa phishing upang manatiling mapagbantay laban sa mga umuusbong na banta.
**Tandaan:** Ang susi ay kumilos nang mabilis at tiyak kapag nahaharap sa isang pagtatangka sa phishing. Bagama't isang posibilidad ang mga legal na opsyon, ang pagbibigay-priyoridad sa pag-secure ng iyong mga system, pagdodokumento ng insidente, at paggawa ng mga hakbang upang maiwasan ang mga pag-atake sa hinaharap ay napakahalaga. Makakatulong sa iyo ang pagkonsulta sa isang abogado na tuklasin ang mga potensyal na legal na paraan at i-optimize ang iyong diskarte sa seguridad sa intelektwal na ari-arian.</v>
      </c>
      <c r="F681" s="2">
        <f t="shared" si="1"/>
        <v>0</v>
      </c>
      <c r="G681" s="2"/>
      <c r="H681" s="2"/>
      <c r="I681" s="2"/>
      <c r="J681" s="2"/>
      <c r="K681" s="2"/>
      <c r="L681" s="2"/>
      <c r="M681" s="2"/>
      <c r="N681" s="2"/>
      <c r="O681" s="2"/>
      <c r="P681" s="2"/>
      <c r="Q681" s="2"/>
      <c r="R681" s="2"/>
      <c r="S681" s="2"/>
      <c r="T681" s="2"/>
      <c r="U681" s="2"/>
      <c r="V681" s="2"/>
      <c r="W681" s="2"/>
      <c r="X681" s="2"/>
      <c r="Y681" s="2"/>
      <c r="Z681" s="2"/>
      <c r="AA681" s="2"/>
    </row>
    <row r="682">
      <c r="A682" s="3" t="s">
        <v>2010</v>
      </c>
      <c r="B682" s="1" t="s">
        <v>2260</v>
      </c>
      <c r="C682" s="1" t="s">
        <v>2261</v>
      </c>
      <c r="D682" s="1" t="s">
        <v>2262</v>
      </c>
      <c r="E682" s="2" t="str">
        <f>IFERROR(__xludf.DUMMYFUNCTION("GOOGLETRANSLATE(C682, ""en"", ""TL"")"),"Sa Pilipinas, ang pagkakaroon ng isang kumpanya ng telekomunikasyon na legal na responsable para sa isang phishing scam na ginawa sa pamamagitan ng kanilang network ay posible, ngunit ang tagumpay ay nakasalalay sa ilang mga kadahilanan. Narito ang isang "&amp;"breakdown ng legal na tanawin:
**Potensyal na mga batayan para sa isang demanda:**
* **Shared Responsibility Framework:** Isinasaalang-alang ng Pilipinas ang isang legal na balangkas na nagtatatag ng ""shared responsibility"" sa pagitan ng mga kumpanya ng"&amp;" telekomunikasyon (telcos) at mga bangko tungkol sa proteksyon ng customer mula sa mga online scam, kabilang ang phishing. Kung at kapag ipinatupad ang balangkas na ito, maaaring may legal na obligasyon ang mga telcos na magpatupad ng mga hakbang upang ma"&amp;"iwasan ang mga scam sa phishing sa kanilang mga network. Sa kasalukuyan, ang gayong balangkas ay hindi ganap na naitatag.
* **Kapabayaan:** Maaari mong ipangatuwiran na ang telco ay pabaya sa pagkabigong ipatupad ang mga makatwirang hakbang sa seguridad u"&amp;"pang maiwasan ang mga pagtatangka sa phishing na gamitin ang kanilang network. Gayunpaman, maaaring mahirap patunayan ang gayong kapabayaan.
**Mga Hamon ng Panalo sa Demanda:**
* **Telco's Role:** Ang mga Telcos ay pangunahing nagbibigay ng mga channel ng"&amp;" komunikasyon. Ang pananagutan ng pagpigil sa mga phishing scam ay kadalasang nahuhulog sa mga indibidwal o platform na naka-target.
* **Kahirapang Patunayan ang Kapabayaan:** Ang pagpapakita ng telco ay maaaring napigilan ang partikular na pagtatangka sa"&amp;" phishing at ang kanilang hindi pagkilos na direktang nagdulot ng iyong pinsala ay maaaring maging mahirap. * **Shared Responsibility (Future):** Kung ang ""shared responsibility"" framework ay ipinatupad, ang mga partikular na legal na obligasyon ng telc"&amp;"os tungkol sa phishing scam ay magiging mas malinaw. Sa kasalukuyan, ang legal na tanawin ay umuunlad.
**Mga Alternatibo sa Paghahabla:**
* **Iulat ang Pagsubok sa Phishing:** Iulat ang pagtatangkang phishing sa telco na pinaghihinalaan mong ginamit. * **"&amp;"Mag-ulat sa NPC:** Kung naniniwala kang nakompromiso ang iyong data, maaari kang magsampa ng reklamo sa National Privacy Commission (NPC) sa ilalim ng Data Privacy Act (RA 8424).
**Rekomendasyon:**
* Kumonsulta sa Abogado:** Maaaring tasahin ng isang abog"&amp;"adong dalubhasa sa data privacy o cyberlaw ang iyong sitwasyon batay sa mga detalye ng pagtatangka sa phishing at sa kasalukuyang legal na tanawin. Maaari silang magpayo sa pagiging posible ng isang demanda at magmungkahi ng mga alternatibong kurso ng aks"&amp;"yon.
**Mga Karagdagang Tala:**
* Ang mga legal na laban ay maaaring mahaba at magastos. Timbangin ang mga potensyal na benepisyo (kabayaran para sa mga pinsala) laban sa oras at pamumuhunan sa pananalapi na kinakailangan para sa isang demanda.
**Tandaan:*"&amp;"* Habang umiiral ang mga legal na opsyon, nananatiling mahalaga ang pagtutok sa pagprotekta sa iyong sarili online at pag-uulat ng pagtatangka sa phishing. Maaaring gabayan ka ng isang abogado sa pinakamahusay na paraan ng pagkilos para sa iyong sitwasyon"&amp;". Narito ang ilang karagdagang punto na dapat isaalang-alang:
* **Severity of Harm:** Ang kalubhaan ng pinsalang naranasan mo (financial loss, identity theft) ay maaaring maka-impluwensya sa lakas ng kaso.
* **Evolving Legal Landscape:** Manatiling may ka"&amp;"alaman tungkol sa mga development sa ""shared responsibility"" framework para sa telcos at mga bangko sa Pilipinas. Maaari itong makaapekto sa mga legal na opsyon sa hinaharap tungkol sa mga phishing scam.")</f>
        <v>Sa Pilipinas, ang pagkakaroon ng isang kumpanya ng telekomunikasyon na legal na responsable para sa isang phishing scam na ginawa sa pamamagitan ng kanilang network ay posible, ngunit ang tagumpay ay nakasalalay sa ilang mga kadahilanan. Narito ang isang breakdown ng legal na tanawin:
**Potensyal na mga batayan para sa isang demanda:**
* **Shared Responsibility Framework:** Isinasaalang-alang ng Pilipinas ang isang legal na balangkas na nagtatatag ng "shared responsibility" sa pagitan ng mga kumpanya ng telekomunikasyon (telcos) at mga bangko tungkol sa proteksyon ng customer mula sa mga online scam, kabilang ang phishing. Kung at kapag ipinatupad ang balangkas na ito, maaaring may legal na obligasyon ang mga telcos na magpatupad ng mga hakbang upang maiwasan ang mga scam sa phishing sa kanilang mga network. Sa kasalukuyan, ang gayong balangkas ay hindi ganap na naitatag.
* **Kapabayaan:** Maaari mong ipangatuwiran na ang telco ay pabaya sa pagkabigong ipatupad ang mga makatwirang hakbang sa seguridad upang maiwasan ang mga pagtatangka sa phishing na gamitin ang kanilang network. Gayunpaman, maaaring mahirap patunayan ang gayong kapabayaan.
**Mga Hamon ng Panalo sa Demanda:**
* **Telco's Role:** Ang mga Telcos ay pangunahing nagbibigay ng mga channel ng komunikasyon. Ang pananagutan ng pagpigil sa mga phishing scam ay kadalasang nahuhulog sa mga indibidwal o platform na naka-target.
* **Kahirapang Patunayan ang Kapabayaan:** Ang pagpapakita ng telco ay maaaring napigilan ang partikular na pagtatangka sa phishing at ang kanilang hindi pagkilos na direktang nagdulot ng iyong pinsala ay maaaring maging mahirap. * **Shared Responsibility (Future):** Kung ang "shared responsibility" framework ay ipinatupad, ang mga partikular na legal na obligasyon ng telcos tungkol sa phishing scam ay magiging mas malinaw. Sa kasalukuyan, ang legal na tanawin ay umuunlad.
**Mga Alternatibo sa Paghahabla:**
* **Iulat ang Pagsubok sa Phishing:** Iulat ang pagtatangkang phishing sa telco na pinaghihinalaan mong ginamit. * **Mag-ulat sa NPC:** Kung naniniwala kang nakompromiso ang iyong data, maaari kang magsampa ng reklamo sa National Privacy Commission (NPC) sa ilalim ng Data Privacy Act (RA 8424).
**Rekomendasyon:**
* Kumonsulta sa Abogado:** Maaaring tasahin ng isang abogadong dalubhasa sa data privacy o cyberlaw ang iyong sitwasyon batay sa mga detalye ng pagtatangka sa phishing at sa kasalukuyang legal na tanawin. Maaari silang magpayo sa pagiging posible ng isang demanda at magmungkahi ng mga alternatibong kurso ng aksyon.
**Mga Karagdagang Tala:**
* Ang mga legal na laban ay maaaring mahaba at magastos. Timbangin ang mga potensyal na benepisyo (kabayaran para sa mga pinsala) laban sa oras at pamumuhunan sa pananalapi na kinakailangan para sa isang demanda.
**Tandaan:** Habang umiiral ang mga legal na opsyon, nananatiling mahalaga ang pagtutok sa pagprotekta sa iyong sarili online at pag-uulat ng pagtatangka sa phishing. Maaaring gabayan ka ng isang abogado sa pinakamahusay na paraan ng pagkilos para sa iyong sitwasyon. Narito ang ilang karagdagang punto na dapat isaalang-alang:
* **Severity of Harm:** Ang kalubhaan ng pinsalang naranasan mo (financial loss, identity theft) ay maaaring maka-impluwensya sa lakas ng kaso.
* **Evolving Legal Landscape:** Manatiling may kaalaman tungkol sa mga development sa "shared responsibility" framework para sa telcos at mga bangko sa Pilipinas. Maaari itong makaapekto sa mga legal na opsyon sa hinaharap tungkol sa mga phishing scam.</v>
      </c>
      <c r="F682" s="2">
        <f t="shared" si="1"/>
        <v>0</v>
      </c>
      <c r="G682" s="2"/>
      <c r="H682" s="2"/>
      <c r="I682" s="2"/>
      <c r="J682" s="2"/>
      <c r="K682" s="2"/>
      <c r="L682" s="2"/>
      <c r="M682" s="2"/>
      <c r="N682" s="2"/>
      <c r="O682" s="2"/>
      <c r="P682" s="2"/>
      <c r="Q682" s="2"/>
      <c r="R682" s="2"/>
      <c r="S682" s="2"/>
      <c r="T682" s="2"/>
      <c r="U682" s="2"/>
      <c r="V682" s="2"/>
      <c r="W682" s="2"/>
      <c r="X682" s="2"/>
      <c r="Y682" s="2"/>
      <c r="Z682" s="2"/>
      <c r="AA682" s="2"/>
    </row>
    <row r="683">
      <c r="A683" s="3" t="s">
        <v>2010</v>
      </c>
      <c r="B683" s="1" t="s">
        <v>2263</v>
      </c>
      <c r="C683" s="1" t="s">
        <v>2264</v>
      </c>
      <c r="D683" s="1" t="s">
        <v>2265</v>
      </c>
      <c r="E683" s="2" t="str">
        <f>IFERROR(__xludf.DUMMYFUNCTION("GOOGLETRANSLATE(C683, ""en"", ""TL"")"),"Ang Pilipinas ay may ilang legal na proteksyon para sa mga empleyado na hindi sinasadyang nagbubunyag ng sensitibong impormasyon bilang tugon sa isang phishing na email, ngunit ang lawak ng proteksyon ay nakadepende sa ilang salik. Narito ang isang breakd"&amp;"own:
**Mga Potensyal na Proteksyon:**
* **Fair Labor Standards Act (RA 6715):** Pinoprotektahan ng Batas na ito ang mga empleyado mula sa pagwawakas nang walang angkop na proseso. Kung ang isang empleyado ay tinanggal dahil lamang sa pagiging biktima ng i"&amp;"sang phishing na pag-atake, maaaring may mga dahilan sila para salungat sa pagwawakas sa ilalim ng Batas na ito.
* **Data Privacy Act (RA 8424):** Ang Batas na ito ay nagbabalangkas sa karapatan ng isang empleyado sa privacy patungkol sa kanilang personal"&amp;" na data na hawak ng kanilang employer. Bagama't hindi nito direktang tinutugunan ang mga insidente ng phishing, binibigyang-diin nito ang seguridad ng data at posibleng mapalakas ang kaso ng isang empleyado kung nabigo ang kumpanya na magpatupad ng sapat"&amp;" na mga hakbang sa seguridad na nag-ambag sa tagumpay ng pag-atake ng phishing.
**Mga Salik na Nakakaimpluwensya sa Proteksyon:**
* **Kontrata sa Pagtatrabaho:** Ang mga partikular na tuntunin ng kontrata ng empleyado ay maaaring magbalangkas ng mga inaas"&amp;"ahan tungkol sa seguridad ng data at mga kahihinatnan para sa mga paglabag. * **Kalubhaan ng Pagbubunyag:** Ang uri ng impormasyong isiniwalat at ang potensyal na pinsalang dulot ng paglabag ay maaaring makaimpluwensya sa sitwasyon.
* **Tugon ng Employer:"&amp;"** Ang isang patas at proporsyonal na tugon mula sa employer ay mahalaga. Maaaring magsagawa ng aksyong pandisiplina, ngunit ang pagwawakas ay dapat na isang huling paraan, lalo na kung ang empleyado ay nakipagtulungan at ang employer ay walang mahigpit n"&amp;"a mga hakbang sa cybersecurity.
**Mga Rekomendasyon para sa Mga Empleyado:**
* **Iulat ang Pagtatangkang Phishing:** Kaagad na iulat ang pagtatangkang phishing sa IT security department ng iyong employer o itinalagang contact person. * **Makipagtulungan s"&amp;"a Pagsisiyasat:** Makipagtulungan nang buo sa anumang panloob na pagsisiyasat tungkol sa insidente. Ibigay ang lahat ng nauugnay na impormasyon at ipakita ang kahandaang matuto mula sa karanasan.
**Mga Rekomendasyon para sa Mga Employer:**
* **Pagsasanay "&amp;"sa Cybersecurity:** Magbigay ng regular na pagsasanay sa cybersecurity para sa mga empleyado upang turuan sila sa mga taktika sa phishing at pinakamahuhusay na kagawian para sa pagprotekta sa sensitibong impormasyon.
* **Malakas na Mga Panukala sa Segurid"&amp;"ad:** Magpatupad ng mga matatag na hakbang sa seguridad upang mabawasan ang panganib ng mga pag-atake ng phishing, tulad ng pag-filter ng email, pagpapatunay ng maraming kadahilanan, at pag-encrypt ng data.
* **Proporsyonal na Tugon:** Kung ang isang empl"&amp;"eyado ay naging biktima ng isang phishing na pag-atake, magsagawa ng isang patas at proporsyonal na pagsisiyasat bago isaalang-alang ang aksyong pandisiplina.
**Tandaan:** Ang bukas na komunikasyon at ang pagtutok sa pagpigil sa mga paglabag sa hinaharap "&amp;"ay susi. Dapat malaman ng mga empleyado ang kanilang potensyal na kahinaan sa mga pag-atake ng phishing at iulat ang mga ito kaagad. Dapat unahin ng mga employer ang pagsasanay sa kamalayan sa cybersecurity at magpatupad ng matibay na mga hakbang sa segur"&amp;"idad upang maprotektahan ang sensitibong impormasyon.
**Pagkonsulta sa isang Abogado:**
* Parehong maaaring makinabang ang mga tagapag-empleyo at empleyado mula sa pagkonsulta sa isang abogado na dalubhasa sa batas sa paggawa o pagkapribado ng data upang "&amp;"maunawaan ang kanilang mga karapatan at obligasyon sa mga ganitong sitwasyon.")</f>
        <v>Ang Pilipinas ay may ilang legal na proteksyon para sa mga empleyado na hindi sinasadyang nagbubunyag ng sensitibong impormasyon bilang tugon sa isang phishing na email, ngunit ang lawak ng proteksyon ay nakadepende sa ilang salik. Narito ang isang breakdown:
**Mga Potensyal na Proteksyon:**
* **Fair Labor Standards Act (RA 6715):** Pinoprotektahan ng Batas na ito ang mga empleyado mula sa pagwawakas nang walang angkop na proseso. Kung ang isang empleyado ay tinanggal dahil lamang sa pagiging biktima ng isang phishing na pag-atake, maaaring may mga dahilan sila para salungat sa pagwawakas sa ilalim ng Batas na ito.
* **Data Privacy Act (RA 8424):** Ang Batas na ito ay nagbabalangkas sa karapatan ng isang empleyado sa privacy patungkol sa kanilang personal na data na hawak ng kanilang employer. Bagama't hindi nito direktang tinutugunan ang mga insidente ng phishing, binibigyang-diin nito ang seguridad ng data at posibleng mapalakas ang kaso ng isang empleyado kung nabigo ang kumpanya na magpatupad ng sapat na mga hakbang sa seguridad na nag-ambag sa tagumpay ng pag-atake ng phishing.
**Mga Salik na Nakakaimpluwensya sa Proteksyon:**
* **Kontrata sa Pagtatrabaho:** Ang mga partikular na tuntunin ng kontrata ng empleyado ay maaaring magbalangkas ng mga inaasahan tungkol sa seguridad ng data at mga kahihinatnan para sa mga paglabag. * **Kalubhaan ng Pagbubunyag:** Ang uri ng impormasyong isiniwalat at ang potensyal na pinsalang dulot ng paglabag ay maaaring makaimpluwensya sa sitwasyon.
* **Tugon ng Employer:** Ang isang patas at proporsyonal na tugon mula sa employer ay mahalaga. Maaaring magsagawa ng aksyong pandisiplina, ngunit ang pagwawakas ay dapat na isang huling paraan, lalo na kung ang empleyado ay nakipagtulungan at ang employer ay walang mahigpit na mga hakbang sa cybersecurity.
**Mga Rekomendasyon para sa Mga Empleyado:**
* **Iulat ang Pagtatangkang Phishing:** Kaagad na iulat ang pagtatangkang phishing sa IT security department ng iyong employer o itinalagang contact person. * **Makipagtulungan sa Pagsisiyasat:** Makipagtulungan nang buo sa anumang panloob na pagsisiyasat tungkol sa insidente. Ibigay ang lahat ng nauugnay na impormasyon at ipakita ang kahandaang matuto mula sa karanasan.
**Mga Rekomendasyon para sa Mga Employer:**
* **Pagsasanay sa Cybersecurity:** Magbigay ng regular na pagsasanay sa cybersecurity para sa mga empleyado upang turuan sila sa mga taktika sa phishing at pinakamahuhusay na kagawian para sa pagprotekta sa sensitibong impormasyon.
* **Malakas na Mga Panukala sa Seguridad:** Magpatupad ng mga matatag na hakbang sa seguridad upang mabawasan ang panganib ng mga pag-atake ng phishing, tulad ng pag-filter ng email, pagpapatunay ng maraming kadahilanan, at pag-encrypt ng data.
* **Proporsyonal na Tugon:** Kung ang isang empleyado ay naging biktima ng isang phishing na pag-atake, magsagawa ng isang patas at proporsyonal na pagsisiyasat bago isaalang-alang ang aksyong pandisiplina.
**Tandaan:** Ang bukas na komunikasyon at ang pagtutok sa pagpigil sa mga paglabag sa hinaharap ay susi. Dapat malaman ng mga empleyado ang kanilang potensyal na kahinaan sa mga pag-atake ng phishing at iulat ang mga ito kaagad. Dapat unahin ng mga employer ang pagsasanay sa kamalayan sa cybersecurity at magpatupad ng matibay na mga hakbang sa seguridad upang maprotektahan ang sensitibong impormasyon.
**Pagkonsulta sa isang Abogado:**
* Parehong maaaring makinabang ang mga tagapag-empleyo at empleyado mula sa pagkonsulta sa isang abogado na dalubhasa sa batas sa paggawa o pagkapribado ng data upang maunawaan ang kanilang mga karapatan at obligasyon sa mga ganitong sitwasyon.</v>
      </c>
      <c r="F683" s="2">
        <f t="shared" si="1"/>
        <v>0</v>
      </c>
      <c r="G683" s="2"/>
      <c r="H683" s="2"/>
      <c r="I683" s="2"/>
      <c r="J683" s="2"/>
      <c r="K683" s="2"/>
      <c r="L683" s="2"/>
      <c r="M683" s="2"/>
      <c r="N683" s="2"/>
      <c r="O683" s="2"/>
      <c r="P683" s="2"/>
      <c r="Q683" s="2"/>
      <c r="R683" s="2"/>
      <c r="S683" s="2"/>
      <c r="T683" s="2"/>
      <c r="U683" s="2"/>
      <c r="V683" s="2"/>
      <c r="W683" s="2"/>
      <c r="X683" s="2"/>
      <c r="Y683" s="2"/>
      <c r="Z683" s="2"/>
      <c r="AA683" s="2"/>
    </row>
    <row r="684">
      <c r="A684" s="3" t="s">
        <v>2010</v>
      </c>
      <c r="B684" s="1" t="s">
        <v>2266</v>
      </c>
      <c r="C684" s="1" t="s">
        <v>2267</v>
      </c>
      <c r="D684" s="1" t="s">
        <v>2268</v>
      </c>
      <c r="E684" s="2" t="str">
        <f>IFERROR(__xludf.DUMMYFUNCTION("GOOGLETRANSLATE(C684, ""en"", ""TL"")"),"Sa Pilipinas, ang pagdemanda sa isang phishing scammer para sa paninirang-puri kung ginagaya ka nila online ay posible, ngunit ang tagumpay ay nakasalalay sa ilang mga kadahilanan. Narito ang isang breakdown ng sitwasyon:
**Legal na Batayan:**
* **Mga Bat"&amp;"as sa Paninirang-puri:** Kinikilala ng Pilipinas ang paninirang-puri bilang isang maling sibil. Maaari kang magdemanda sa ilalim ng mga probisyon ng Revised Penal Code (RPC) o Civil Code na may kaugnayan sa libelo o paninirang-puri. Ang mga ito ay nangang"&amp;"ailangan ng pagpapatunay na ang pagpapanggap ay ginawa nang may malisya at nagdulot ng pinsala sa iyong reputasyon.
**Mga Hamon ng Panalo sa Demanda:**
* **Pagkilala sa Scammer:** Ang pagtukoy sa lokasyon at pagkakakilanlan ng scammer ay maaaring maging m"&amp;"ahirap, lalo na para sa mga sopistikadong pagpapatakbo ng phishing. Ginagawa nitong mahirap na idemanda sila sa unang lugar.
* **Pagpapatunay ng Malice:** Kakailanganin mong ipakita ang scammer na nilalayong sirain ang iyong reputasyon sa pamamagitan ng p"&amp;"agpapanggap. Mahirap itong patunayan sa korte.
* **Laki ng mga Pinsala:** Ang pagbibilang ng pinsala sa reputasyon na dulot ng pagpapanggap ay maaaring subjective.
**Mga Alternatibo sa Paghahabla:**
* **Iulat ang Pagpapanggap:** Iulat ang pagpapanggap sa "&amp;"platform kung saan ito nangyari (social media, website, atbp.). Karamihan sa mga platform ay may mga mekanismo para sa mga user na mag-ulat ng mga pekeng account o mga pagtatangka sa pagpapanggap.
* **Alisin ang Nagpapanggap na Nilalaman:** Hilingin sa pl"&amp;"atform na alisin ang nagpapanggap na nilalaman kung maaari.
**Rekomendasyon:**
* Kumonsulta sa isang Abogado:** Maaaring tasahin ng isang abogadong dalubhasa sa cyberlaw o intelektwal na ari-arian ang iyong sitwasyon. Maaari nilang suriin ang mga detalye "&amp;"ng pagpapanggap, ang platform na kasangkot, at ang ebidensyang magagamit upang matukoy ang posibilidad na magtagumpay sa isang demanda sa paninirang-puri. Maaari din silang magpayo sa mga alternatibong paraan ng pagkilos tulad ng pag-uulat ng pagpapanggap"&amp;" sa platform o mga nauugnay na awtoridad.
**Mga Karagdagang Tala:**
* Ang mga legal na laban ay maaaring mahaba at magastos. Timbangin ang mga potensyal na benepisyo (paglilinis sa iyong pangalan) laban sa oras at pamumuhunan sa pananalapi na kinakailanga"&amp;"n para sa isang demanda.
**Tandaan:** Habang ang pagdemanda sa scammer ay maaaring isang opsyon, ang pagtuon sa pag-alis ng nagpapanggap na nilalaman at pagprotekta sa iyong online na reputasyon ay napakahalaga. Maaaring gabayan ka ng isang abogado sa pin"&amp;"akamahusay na paraan ng pagkilos para sa iyong sitwasyon.")</f>
        <v>Sa Pilipinas, ang pagdemanda sa isang phishing scammer para sa paninirang-puri kung ginagaya ka nila online ay posible, ngunit ang tagumpay ay nakasalalay sa ilang mga kadahilanan. Narito ang isang breakdown ng sitwasyon:
**Legal na Batayan:**
* **Mga Batas sa Paninirang-puri:** Kinikilala ng Pilipinas ang paninirang-puri bilang isang maling sibil. Maaari kang magdemanda sa ilalim ng mga probisyon ng Revised Penal Code (RPC) o Civil Code na may kaugnayan sa libelo o paninirang-puri. Ang mga ito ay nangangailangan ng pagpapatunay na ang pagpapanggap ay ginawa nang may malisya at nagdulot ng pinsala sa iyong reputasyon.
**Mga Hamon ng Panalo sa Demanda:**
* **Pagkilala sa Scammer:** Ang pagtukoy sa lokasyon at pagkakakilanlan ng scammer ay maaaring maging mahirap, lalo na para sa mga sopistikadong pagpapatakbo ng phishing. Ginagawa nitong mahirap na idemanda sila sa unang lugar.
* **Pagpapatunay ng Malice:** Kakailanganin mong ipakita ang scammer na nilalayong sirain ang iyong reputasyon sa pamamagitan ng pagpapanggap. Mahirap itong patunayan sa korte.
* **Laki ng mga Pinsala:** Ang pagbibilang ng pinsala sa reputasyon na dulot ng pagpapanggap ay maaaring subjective.
**Mga Alternatibo sa Paghahabla:**
* **Iulat ang Pagpapanggap:** Iulat ang pagpapanggap sa platform kung saan ito nangyari (social media, website, atbp.). Karamihan sa mga platform ay may mga mekanismo para sa mga user na mag-ulat ng mga pekeng account o mga pagtatangka sa pagpapanggap.
* **Alisin ang Nagpapanggap na Nilalaman:** Hilingin sa platform na alisin ang nagpapanggap na nilalaman kung maaari.
**Rekomendasyon:**
* Kumonsulta sa isang Abogado:** Maaaring tasahin ng isang abogadong dalubhasa sa cyberlaw o intelektwal na ari-arian ang iyong sitwasyon. Maaari nilang suriin ang mga detalye ng pagpapanggap, ang platform na kasangkot, at ang ebidensyang magagamit upang matukoy ang posibilidad na magtagumpay sa isang demanda sa paninirang-puri. Maaari din silang magpayo sa mga alternatibong paraan ng pagkilos tulad ng pag-uulat ng pagpapanggap sa platform o mga nauugnay na awtoridad.
**Mga Karagdagang Tala:**
* Ang mga legal na laban ay maaaring mahaba at magastos. Timbangin ang mga potensyal na benepisyo (paglilinis sa iyong pangalan) laban sa oras at pamumuhunan sa pananalapi na kinakailangan para sa isang demanda.
**Tandaan:** Habang ang pagdemanda sa scammer ay maaaring isang opsyon, ang pagtuon sa pag-alis ng nagpapanggap na nilalaman at pagprotekta sa iyong online na reputasyon ay napakahalaga. Maaaring gabayan ka ng isang abogado sa pinakamahusay na paraan ng pagkilos para sa iyong sitwasyon.</v>
      </c>
      <c r="F684" s="2">
        <f t="shared" si="1"/>
        <v>0</v>
      </c>
      <c r="G684" s="2"/>
      <c r="H684" s="2"/>
      <c r="I684" s="2"/>
      <c r="J684" s="2"/>
      <c r="K684" s="2"/>
      <c r="L684" s="2"/>
      <c r="M684" s="2"/>
      <c r="N684" s="2"/>
      <c r="O684" s="2"/>
      <c r="P684" s="2"/>
      <c r="Q684" s="2"/>
      <c r="R684" s="2"/>
      <c r="S684" s="2"/>
      <c r="T684" s="2"/>
      <c r="U684" s="2"/>
      <c r="V684" s="2"/>
      <c r="W684" s="2"/>
      <c r="X684" s="2"/>
      <c r="Y684" s="2"/>
      <c r="Z684" s="2"/>
      <c r="AA684" s="2"/>
    </row>
    <row r="685">
      <c r="A685" s="3" t="s">
        <v>2010</v>
      </c>
      <c r="B685" s="1" t="s">
        <v>2269</v>
      </c>
      <c r="C685" s="1" t="s">
        <v>2270</v>
      </c>
      <c r="D685" s="1" t="s">
        <v>2271</v>
      </c>
      <c r="E685" s="2" t="str">
        <f>IFERROR(__xludf.DUMMYFUNCTION("GOOGLETRANSLATE(C685, ""en"", ""TL"")"),"Sa Pilipinas, maaaring magkaroon ng legal na epekto para sa mga indibidwal na sadyang bumibili ng impormasyong nakuha sa pamamagitan ng phishing. Ang mga partikular na kahihinatnan ay nakasalalay sa uri ng impormasyong binili at kung paano ito nilalayong "&amp;"gamitin. Narito ang isang breakdown ng mga potensyal na legal na isyu:
**Mga Potensyal na Pagkakasala:**
* **Pagtulong at Pag-aabay sa isang Krimen:** Kung ang impormasyon ay ginamit upang gumawa ng krimen (pagnanakaw ng pagkakakilanlan, pandaraya), ang m"&amp;"amimili ay maaaring makasuhan ng pagtulong at pag-abet sa orihinal na krimen sa phishing.
* **Data Privacy Act (RA 8424):** Pinoprotektahan ng Act na ito ang personal na data at ipinagbabawal ang hindi awtorisadong pagproseso nito. Ang pagbili ng personal"&amp;" na impormasyong nakuha sa pamamagitan ng phishing ay maaaring ituring na isang paglabag, lalo na kung nilayon ng mamimili na gamitin ito para sa mga malisyosong layunin.
* **Electronic Commerce Act (RA 8792):** Ipinagbabawal ng Batas na ito ang mga gawai"&amp;"ng bumubuo ng hindi patas at mapanlinlang na mga gawi sa e-commerce. Maaaring ituring na isang paglabag ang sadyang pagbili ng impormasyong nakuhang ilegal.
**Mga Salik na Nakakaimpluwensya sa Mga Bunga:**
* **Uri ng Impormasyon:** Ang kalubhaan ng pagkak"&amp;"asala ay depende sa uri ng impormasyong binili. Ang data sa pananalapi o sensitibong personal na impormasyon ay nagdadala ng mas mataas na panganib ng mga legal na epekto.
* **Layong Paggamit:** Kung nilalayon ng mamimili na gamitin ang impormasyon para s"&amp;"a mga ilegal na aktibidad (pagnanakaw ng pagkakakilanlan, pandaraya), ang mga kahihinatnan ay magiging mas malala.
* **Pagsisiyasat at Ebidensya:** Ang posibilidad ng pag-uusig ay nakasalalay sa matagumpay na pagsisiyasat ng mga awtoridad sa pagbili at pa"&amp;"ngangalap ng sapat na ebidensya.
**Mga Rekomendasyon:**
* **Iwasang Bumili ng Ilegal na Nakuhang Impormasyon:** May malalaking legal na panganib na nauugnay sa sadyang pagbili ng impormasyon mula sa mga pag-atake ng phishing. Ang mga lehitimong mapagkukun"&amp;"an ay madaling magagamit para sa karamihan ng mga uri ng data.
**Pag-uulat ng Mga Pagsubok sa Phishing:**
* Kung makatagpo ka ng isang tao na nag-aalok na magbenta ng impormasyong nakuha sa pamamagitan ng phishing, iulat ito sa mga awtoridad. * Maaari mo "&amp;"itong iulat sa Philippine National Police (PNP) Anti-Cybercrime Unit.
**Tandaan:**
Ang pagprotekta sa iyong sariling impormasyon online at pag-iwas sa pagkakasangkot sa mga ilegal na aktibidad ay mahalaga. Kung hindi ka sigurado tungkol sa legalidad ng pa"&amp;"gbili ng partikular na impormasyon, kumunsulta sa isang abogado na dalubhasa sa data privacy o cyberlaw.")</f>
        <v>Sa Pilipinas, maaaring magkaroon ng legal na epekto para sa mga indibidwal na sadyang bumibili ng impormasyong nakuha sa pamamagitan ng phishing. Ang mga partikular na kahihinatnan ay nakasalalay sa uri ng impormasyong binili at kung paano ito nilalayong gamitin. Narito ang isang breakdown ng mga potensyal na legal na isyu:
**Mga Potensyal na Pagkakasala:**
* **Pagtulong at Pag-aabay sa isang Krimen:** Kung ang impormasyon ay ginamit upang gumawa ng krimen (pagnanakaw ng pagkakakilanlan, pandaraya), ang mamimili ay maaaring makasuhan ng pagtulong at pag-abet sa orihinal na krimen sa phishing.
* **Data Privacy Act (RA 8424):** Pinoprotektahan ng Act na ito ang personal na data at ipinagbabawal ang hindi awtorisadong pagproseso nito. Ang pagbili ng personal na impormasyong nakuha sa pamamagitan ng phishing ay maaaring ituring na isang paglabag, lalo na kung nilayon ng mamimili na gamitin ito para sa mga malisyosong layunin.
* **Electronic Commerce Act (RA 8792):** Ipinagbabawal ng Batas na ito ang mga gawaing bumubuo ng hindi patas at mapanlinlang na mga gawi sa e-commerce. Maaaring ituring na isang paglabag ang sadyang pagbili ng impormasyong nakuhang ilegal.
**Mga Salik na Nakakaimpluwensya sa Mga Bunga:**
* **Uri ng Impormasyon:** Ang kalubhaan ng pagkakasala ay depende sa uri ng impormasyong binili. Ang data sa pananalapi o sensitibong personal na impormasyon ay nagdadala ng mas mataas na panganib ng mga legal na epekto.
* **Layong Paggamit:** Kung nilalayon ng mamimili na gamitin ang impormasyon para sa mga ilegal na aktibidad (pagnanakaw ng pagkakakilanlan, pandaraya), ang mga kahihinatnan ay magiging mas malala.
* **Pagsisiyasat at Ebidensya:** Ang posibilidad ng pag-uusig ay nakasalalay sa matagumpay na pagsisiyasat ng mga awtoridad sa pagbili at pangangalap ng sapat na ebidensya.
**Mga Rekomendasyon:**
* **Iwasang Bumili ng Ilegal na Nakuhang Impormasyon:** May malalaking legal na panganib na nauugnay sa sadyang pagbili ng impormasyon mula sa mga pag-atake ng phishing. Ang mga lehitimong mapagkukunan ay madaling magagamit para sa karamihan ng mga uri ng data.
**Pag-uulat ng Mga Pagsubok sa Phishing:**
* Kung makatagpo ka ng isang tao na nag-aalok na magbenta ng impormasyong nakuha sa pamamagitan ng phishing, iulat ito sa mga awtoridad. * Maaari mo itong iulat sa Philippine National Police (PNP) Anti-Cybercrime Unit.
**Tandaan:**
Ang pagprotekta sa iyong sariling impormasyon online at pag-iwas sa pagkakasangkot sa mga ilegal na aktibidad ay mahalaga. Kung hindi ka sigurado tungkol sa legalidad ng pagbili ng partikular na impormasyon, kumunsulta sa isang abogado na dalubhasa sa data privacy o cyberlaw.</v>
      </c>
      <c r="F685" s="2">
        <f t="shared" si="1"/>
        <v>0</v>
      </c>
      <c r="G685" s="2"/>
      <c r="H685" s="2"/>
      <c r="I685" s="2"/>
      <c r="J685" s="2"/>
      <c r="K685" s="2"/>
      <c r="L685" s="2"/>
      <c r="M685" s="2"/>
      <c r="N685" s="2"/>
      <c r="O685" s="2"/>
      <c r="P685" s="2"/>
      <c r="Q685" s="2"/>
      <c r="R685" s="2"/>
      <c r="S685" s="2"/>
      <c r="T685" s="2"/>
      <c r="U685" s="2"/>
      <c r="V685" s="2"/>
      <c r="W685" s="2"/>
      <c r="X685" s="2"/>
      <c r="Y685" s="2"/>
      <c r="Z685" s="2"/>
      <c r="AA685" s="2"/>
    </row>
    <row r="686">
      <c r="A686" s="3" t="s">
        <v>2010</v>
      </c>
      <c r="B686" s="1" t="s">
        <v>2272</v>
      </c>
      <c r="C686" s="1" t="s">
        <v>2273</v>
      </c>
      <c r="D686" s="1" t="s">
        <v>2274</v>
      </c>
      <c r="E686" s="2" t="str">
        <f>IFERROR(__xludf.DUMMYFUNCTION("GOOGLETRANSLATE(C686, ""en"", ""TL"")"),"Sa Pilipinas, ang direktang pagdemanda sa isang ahensya ng gobyerno para sa pag-atake ng phishing na nagta-target sa mga mamamayan ay posible, ngunit ang tagumpay ay nakasalalay sa ilang mga kadahilanan. Narito ang isang breakdown ng sitwasyon:
**Potensya"&amp;"l na mga batayan para sa isang demanda:**
* **Data Privacy Act (RA 8424):** Kung ang pag-atake ng phishing ay may kinalaman sa isang ahensya ng gobyerno at nakompromiso ang iyong personal na impormasyon dahil sa kanilang hindi sapat na mga hakbang sa segu"&amp;"ridad, maaari kang magkaroon ng kaso sa ilalim ng Data Privacy Act. * Kailangan mong patunayan na ang ahensya ay isang ""personal information controller"" (PIC) na responsable para sa iyong data, na nabigo silang magpatupad ng mga naaangkop na pananggalan"&amp;"g sa seguridad, at ang pagkabigo na ito ay direktang humantong sa paglabag sa data at pinsala sa iyo. * **Pabaya:** Maaari mong ipangatuwiran na ang ahensya ay pabaya sa pagprotekta sa iyong data. Gayunpaman, ang pagpapatunay ng kapabayaan laban sa isang "&amp;"ahensya ng gobyerno ay maaaring maging mahirap.
**Mga Hamon ng Panalo sa Demanda:**
* **Sovereign Immunity:** Ang gobyerno ng Pilipinas ay may sovereign immunity, na naglilimita sa pananagutan nito sa mga demanda. May mga pagbubukod, ngunit maaari silang "&amp;"maging kumplikado at nangangailangan ng pagtugon sa mga partikular na pamantayan.
* **Burden of Proof:** Nasa iyo ang responsibilidad na patunayan ang kasalanan ng ahensya, ang paglabag sa data, at ang mga pinsalang natamo mo. Ito ay maaaring maging mahir"&amp;"ap.
**Mga Alternatibo sa Paghahabla:**
* **Maghain ng Reklamo sa NPC:** Ipinapatupad ng National Privacy Commission (NPC) ang Data Privacy Act. Maaari kang magsampa ng reklamo sa NPC kung naniniwala kang nilabag ng ahensya ng gobyerno ang iyong mga karapa"&amp;"tan sa privacy ng data.
* **Iulat ang Phishing Attempt:** Iulat ang pagtatangkang phishing sa ahensyang sangkot at may-katuturang awtoridad tulad ng Philippine National Police (PNP) Anti-Cybercrime Unit.
**Rekomendasyon:**
* Kumonsulta sa isang Abogado:**"&amp;" Maaaring tasahin ng isang abogadong dalubhasa sa data privacy o administrative law ang iyong sitwasyon. Maaari nilang suriin ang mga detalye ng pag-atake ng phishing, ang tungkulin ng ahensya, at ang Data Privacy Act upang matukoy ang pagiging posible ng"&amp;" isang demanda at payuhan ang mga alternatibong paraan ng pagkilos tulad ng paghahain ng reklamo sa NPC.
**Mga Karagdagang Tala:**
* Ang mga legal na laban ay maaaring mahaba at magastos. Timbangin ang mga potensyal na benepisyo (kabayaran para sa mga pin"&amp;"sala) laban sa oras at pamumuhunan sa pananalapi na kinakailangan para sa isang demanda.
**Tandaan:** Habang ang pagdemanda sa ahensya ng gobyerno ay maaaring isang opsyon, ang pagtuon sa pagprotekta sa iyong sarili online, pag-uulat ng pag-atake, at pote"&amp;"nsyal na paghahain ng reklamo sa NPC ay maaaring maging mas makatotohanang mga paunang hakbang. Maaaring gabayan ka ng isang abogado sa pinakamahusay na paraan ng pagkilos para sa iyong sitwasyon.")</f>
        <v>Sa Pilipinas, ang direktang pagdemanda sa isang ahensya ng gobyerno para sa pag-atake ng phishing na nagta-target sa mga mamamayan ay posible, ngunit ang tagumpay ay nakasalalay sa ilang mga kadahilanan. Narito ang isang breakdown ng sitwasyon:
**Potensyal na mga batayan para sa isang demanda:**
* **Data Privacy Act (RA 8424):** Kung ang pag-atake ng phishing ay may kinalaman sa isang ahensya ng gobyerno at nakompromiso ang iyong personal na impormasyon dahil sa kanilang hindi sapat na mga hakbang sa seguridad, maaari kang magkaroon ng kaso sa ilalim ng Data Privacy Act. * Kailangan mong patunayan na ang ahensya ay isang "personal information controller" (PIC) na responsable para sa iyong data, na nabigo silang magpatupad ng mga naaangkop na pananggalang sa seguridad, at ang pagkabigo na ito ay direktang humantong sa paglabag sa data at pinsala sa iyo. * **Pabaya:** Maaari mong ipangatuwiran na ang ahensya ay pabaya sa pagprotekta sa iyong data. Gayunpaman, ang pagpapatunay ng kapabayaan laban sa isang ahensya ng gobyerno ay maaaring maging mahirap.
**Mga Hamon ng Panalo sa Demanda:**
* **Sovereign Immunity:** Ang gobyerno ng Pilipinas ay may sovereign immunity, na naglilimita sa pananagutan nito sa mga demanda. May mga pagbubukod, ngunit maaari silang maging kumplikado at nangangailangan ng pagtugon sa mga partikular na pamantayan.
* **Burden of Proof:** Nasa iyo ang responsibilidad na patunayan ang kasalanan ng ahensya, ang paglabag sa data, at ang mga pinsalang natamo mo. Ito ay maaaring maging mahirap.
**Mga Alternatibo sa Paghahabla:**
* **Maghain ng Reklamo sa NPC:** Ipinapatupad ng National Privacy Commission (NPC) ang Data Privacy Act. Maaari kang magsampa ng reklamo sa NPC kung naniniwala kang nilabag ng ahensya ng gobyerno ang iyong mga karapatan sa privacy ng data.
* **Iulat ang Phishing Attempt:** Iulat ang pagtatangkang phishing sa ahensyang sangkot at may-katuturang awtoridad tulad ng Philippine National Police (PNP) Anti-Cybercrime Unit.
**Rekomendasyon:**
* Kumonsulta sa isang Abogado:** Maaaring tasahin ng isang abogadong dalubhasa sa data privacy o administrative law ang iyong sitwasyon. Maaari nilang suriin ang mga detalye ng pag-atake ng phishing, ang tungkulin ng ahensya, at ang Data Privacy Act upang matukoy ang pagiging posible ng isang demanda at payuhan ang mga alternatibong paraan ng pagkilos tulad ng paghahain ng reklamo sa NPC.
**Mga Karagdagang Tala:**
* Ang mga legal na laban ay maaaring mahaba at magastos. Timbangin ang mga potensyal na benepisyo (kabayaran para sa mga pinsala) laban sa oras at pamumuhunan sa pananalapi na kinakailangan para sa isang demanda.
**Tandaan:** Habang ang pagdemanda sa ahensya ng gobyerno ay maaaring isang opsyon, ang pagtuon sa pagprotekta sa iyong sarili online, pag-uulat ng pag-atake, at potensyal na paghahain ng reklamo sa NPC ay maaaring maging mas makatotohanang mga paunang hakbang. Maaaring gabayan ka ng isang abogado sa pinakamahusay na paraan ng pagkilos para sa iyong sitwasyon.</v>
      </c>
      <c r="F686" s="2">
        <f t="shared" si="1"/>
        <v>0</v>
      </c>
      <c r="G686" s="2"/>
      <c r="H686" s="2"/>
      <c r="I686" s="2"/>
      <c r="J686" s="2"/>
      <c r="K686" s="2"/>
      <c r="L686" s="2"/>
      <c r="M686" s="2"/>
      <c r="N686" s="2"/>
      <c r="O686" s="2"/>
      <c r="P686" s="2"/>
      <c r="Q686" s="2"/>
      <c r="R686" s="2"/>
      <c r="S686" s="2"/>
      <c r="T686" s="2"/>
      <c r="U686" s="2"/>
      <c r="V686" s="2"/>
      <c r="W686" s="2"/>
      <c r="X686" s="2"/>
      <c r="Y686" s="2"/>
      <c r="Z686" s="2"/>
      <c r="AA686" s="2"/>
    </row>
    <row r="687">
      <c r="A687" s="3" t="s">
        <v>2010</v>
      </c>
      <c r="B687" s="1" t="s">
        <v>2275</v>
      </c>
      <c r="C687" s="1" t="s">
        <v>2276</v>
      </c>
      <c r="D687" s="1" t="s">
        <v>2277</v>
      </c>
      <c r="E687" s="2" t="str">
        <f>IFERROR(__xludf.DUMMYFUNCTION("GOOGLETRANSLATE(C687, ""en"", ""TL"")"),"Sa kasamaang palad, ang pagbawi ng mga pagkalugi mula sa isang phishing scam kung ang scammer ay hindi nakikilala ay napakahirap sa Pilipinas, ngunit mayroon pa ring ilang hakbang na maaari mong gawin:
**Mga Limitadong Legal na Opsyon:**
* **Paghain sa Sc"&amp;"ammer:** Ang pagdemanda sa isang hindi kilalang scammer ay halos imposible. Kailangan mong malaman ang kanilang pagkakakilanlan upang magsampa ng kaso.
* **Mga Tagapamagitan sa Pagdemanda (Mga Rare Case):** Sa mga partikular na sitwasyon, maaari mong tukl"&amp;"asin ang pagdemanda sa isang platform (website, email provider) na hindi sinasadyang nagpadali sa pag-atake ng phishing. Gayunpaman, ito ay kumplikado at nangangailangan ng pagpapatunay na ang kapabayaan ng platform ay direktang nag-ambag sa tagumpay ng p"&amp;"ag-atake. Ang pagkonsulta sa isang abogado na dalubhasa sa cyberlaw ay mahalaga para sa gayong paraan. **Tumuon sa Mga Pagsisikap sa Pagbawi:**
* **Iulat ang Pagsubok sa Phishing:** Ang pag-uulat sa pag-atake ay nakakatulong sa pagpapataas ng kamalayan at"&amp;" potensyal na nakakatulong sa mga pagsisiyasat. Iulat ito sa platform kung saan ito nangyari (website, email provider) at sa Philippine National Police (PNP) Anti-Cybercrime Unit.
* **Makipag-ugnayan sa Mga Kaugnay na Institusyon:** Kung naganap ang mga p"&amp;"agkalugi sa pananalapi, makipag-ugnayan kaagad sa iyong bangko o institusyong pampinansyal upang iulat ang mapanlinlang na aktibidad at tuklasin ang mga opsyon para sa pagbawi ng mga pondo (nawalang mga singil sa credit card, hindi awtorisadong paglilipat"&amp;"). * **Baguhin ang Mga Password at Mga Secure na Account:** Baguhin ang mga password para sa lahat ng mga account na posibleng makompromiso ng pagtatangkang phishing. Paganahin ang multi-factor authentication (MFA) para sa karagdagang seguridad.
* **Isaal"&amp;"ang-alang ang Credit Freeze:** Para sa karagdagang proteksyon, isaalang-alang ang paglalagay ng credit freeze sa iyong credit report upang maiwasan ang mga hindi awtorisadong indibidwal na magbukas ng mga bagong linya ng kredito sa iyong pangalan. Makipag"&amp;"-ugnayan sa mga credit bureaus na tumatakbo sa Pilipinas (hal., TransUnion, Equifax) para magtanong tungkol sa mga opsyon sa pag-freeze ng credit.
**Mga Paraan sa Pag-iwas:**
* **Manatiling Mapagbantay:** Maging maingat sa mga kahina-hinalang email, link,"&amp;" at tawag sa telepono. Huwag magbahagi ng personal na impormasyon o mag-click sa mga hindi kilalang link.
* **Malakas na Mga Password at MFA:** Gumamit ng malalakas na password at paganahin ang Multi-Factor Authentication (MFA) kung saan available para sa"&amp;" karagdagang seguridad.
* **Data Security Awareness:** Turuan ang iyong sarili at ang mga nakapaligid sa iyo sa mga karaniwang taktika sa phishing at pinakamahuhusay na kagawian para sa pagprotekta ng impormasyon online.
**Tandaan:**
Bagama't limitado ang"&amp;" mga legal na opsyon para sa pagbawi ng mga pagkalugi mula sa hindi kilalang scammer, ang pagtuon sa pag-uulat ng pag-atake, pag-secure ng iyong mga account, at pagsasagawa ng mga hakbang sa pag-iwas ay makakatulong na mabawasan ang mga panganib sa hinaha"&amp;"rap. Ang pagkonsulta sa isang abogado ay maaaring magbigay ng partikular na patnubay batay sa iyong sitwasyon, ngunit ang pamamahala ng mga inaasahan tungkol sa legal na paraan laban sa mga hindi kilalang scammer ay napakahalaga.")</f>
        <v>Sa kasamaang palad, ang pagbawi ng mga pagkalugi mula sa isang phishing scam kung ang scammer ay hindi nakikilala ay napakahirap sa Pilipinas, ngunit mayroon pa ring ilang hakbang na maaari mong gawin:
**Mga Limitadong Legal na Opsyon:**
* **Paghain sa Scammer:** Ang pagdemanda sa isang hindi kilalang scammer ay halos imposible. Kailangan mong malaman ang kanilang pagkakakilanlan upang magsampa ng kaso.
* **Mga Tagapamagitan sa Pagdemanda (Mga Rare Case):** Sa mga partikular na sitwasyon, maaari mong tuklasin ang pagdemanda sa isang platform (website, email provider) na hindi sinasadyang nagpadali sa pag-atake ng phishing. Gayunpaman, ito ay kumplikado at nangangailangan ng pagpapatunay na ang kapabayaan ng platform ay direktang nag-ambag sa tagumpay ng pag-atake. Ang pagkonsulta sa isang abogado na dalubhasa sa cyberlaw ay mahalaga para sa gayong paraan. **Tumuon sa Mga Pagsisikap sa Pagbawi:**
* **Iulat ang Pagsubok sa Phishing:** Ang pag-uulat sa pag-atake ay nakakatulong sa pagpapataas ng kamalayan at potensyal na nakakatulong sa mga pagsisiyasat. Iulat ito sa platform kung saan ito nangyari (website, email provider) at sa Philippine National Police (PNP) Anti-Cybercrime Unit.
* **Makipag-ugnayan sa Mga Kaugnay na Institusyon:** Kung naganap ang mga pagkalugi sa pananalapi, makipag-ugnayan kaagad sa iyong bangko o institusyong pampinansyal upang iulat ang mapanlinlang na aktibidad at tuklasin ang mga opsyon para sa pagbawi ng mga pondo (nawalang mga singil sa credit card, hindi awtorisadong paglilipat). * **Baguhin ang Mga Password at Mga Secure na Account:** Baguhin ang mga password para sa lahat ng mga account na posibleng makompromiso ng pagtatangkang phishing. Paganahin ang multi-factor authentication (MFA) para sa karagdagang seguridad.
* **Isaalang-alang ang Credit Freeze:** Para sa karagdagang proteksyon, isaalang-alang ang paglalagay ng credit freeze sa iyong credit report upang maiwasan ang mga hindi awtorisadong indibidwal na magbukas ng mga bagong linya ng kredito sa iyong pangalan. Makipag-ugnayan sa mga credit bureaus na tumatakbo sa Pilipinas (hal., TransUnion, Equifax) para magtanong tungkol sa mga opsyon sa pag-freeze ng credit.
**Mga Paraan sa Pag-iwas:**
* **Manatiling Mapagbantay:** Maging maingat sa mga kahina-hinalang email, link, at tawag sa telepono. Huwag magbahagi ng personal na impormasyon o mag-click sa mga hindi kilalang link.
* **Malakas na Mga Password at MFA:** Gumamit ng malalakas na password at paganahin ang Multi-Factor Authentication (MFA) kung saan available para sa karagdagang seguridad.
* **Data Security Awareness:** Turuan ang iyong sarili at ang mga nakapaligid sa iyo sa mga karaniwang taktika sa phishing at pinakamahuhusay na kagawian para sa pagprotekta ng impormasyon online.
**Tandaan:**
Bagama't limitado ang mga legal na opsyon para sa pagbawi ng mga pagkalugi mula sa hindi kilalang scammer, ang pagtuon sa pag-uulat ng pag-atake, pag-secure ng iyong mga account, at pagsasagawa ng mga hakbang sa pag-iwas ay makakatulong na mabawasan ang mga panganib sa hinaharap. Ang pagkonsulta sa isang abogado ay maaaring magbigay ng partikular na patnubay batay sa iyong sitwasyon, ngunit ang pamamahala ng mga inaasahan tungkol sa legal na paraan laban sa mga hindi kilalang scammer ay napakahalaga.</v>
      </c>
      <c r="F687" s="2">
        <f t="shared" si="1"/>
        <v>0</v>
      </c>
      <c r="G687" s="2"/>
      <c r="H687" s="2"/>
      <c r="I687" s="2"/>
      <c r="J687" s="2"/>
      <c r="K687" s="2"/>
      <c r="L687" s="2"/>
      <c r="M687" s="2"/>
      <c r="N687" s="2"/>
      <c r="O687" s="2"/>
      <c r="P687" s="2"/>
      <c r="Q687" s="2"/>
      <c r="R687" s="2"/>
      <c r="S687" s="2"/>
      <c r="T687" s="2"/>
      <c r="U687" s="2"/>
      <c r="V687" s="2"/>
      <c r="W687" s="2"/>
      <c r="X687" s="2"/>
      <c r="Y687" s="2"/>
      <c r="Z687" s="2"/>
      <c r="AA687" s="2"/>
    </row>
    <row r="688">
      <c r="A688" s="3" t="s">
        <v>2010</v>
      </c>
      <c r="B688" s="1" t="s">
        <v>2278</v>
      </c>
      <c r="C688" s="1" t="s">
        <v>2279</v>
      </c>
      <c r="D688" s="1" t="s">
        <v>2280</v>
      </c>
      <c r="E688" s="2" t="str">
        <f>IFERROR(__xludf.DUMMYFUNCTION("GOOGLETRANSLATE(C688, ""en"", ""TL"")"),"Sa Pilipinas, ang pagdemanda sa isang indibidwal para sa phishing kung sila ay menor de edad ay nagdudulot ng mga natatanging hamon. Narito ang isang breakdown ng sitwasyon:
**Paghahabla sa isang Menor de edad:**
* **Limitadong Pananagutan:** Ang mga meno"&amp;"r de edad (mga indibiduwal na wala pang 18 taong gulang) ay may limitadong pananagutan sa ilalim ng batas ng Pilipinas. Ang mga demanda laban sa kanila ay karaniwang nagpapatuloy na naiiba kumpara sa mga nasa hustong gulang.
** Responsibilidad ng Magulang"&amp;":**
* **Kabayaran:** Sa ilang mga sitwasyon, ang mga magulang o tagapag-alaga ng menor de edad ay maaaring managot para sa mga pinsalang dulot ng pagtatangkang phishing. Depende ito sa kung ang mga magulang ay nagpabaya sa pangangasiwa sa mga aksyon ng me"&amp;"nor de edad. * **Legal na Representasyon:** Kung maghahabol ka ng demanda, malamang na ang menor de edad ay mangangailangan ng legal na representasyon mula sa isang tagapag-alaga ng ad litem, isang adult na hinirang ng hukuman na kumakatawan sa pinakamahu"&amp;"say na interes ng menor de edad.
**Mga Hamon ng Tagumpay:**
* **Pagtitipon ng Ebidensya:** Ang pagpapatunay sa pagkakasangkot ng menor de edad sa pagtatangkang phishing at ang lawak ng mga pinsalang naidulot ay maaaring maging mahirap.
* **Pagbawi ng Pagk"&amp;"alugi:** Kahit na matagumpay, ang pagkolekta ng kabayaran mula sa isang menor de edad o sa kanilang pamilya ay maaaring maging mahirap.
**Mga Alternatibo sa Paghahabla:**
* **Iulat ang Phishing Attempt:** Iulat ang pag-atake sa mga kinauukulang awtoridad,"&amp;" gaya ng Philippine National Police (PNP) Anti-Cybercrime Unit. Makakatulong ito sa pagbuo ng rekord ng krimen at posibleng humantong sa pagkakakilanlan ng mga tagapag-alaga ng menor de edad.
* **Mag-ulat sa Platform (kung naaangkop):** Kung ang pagtatang"&amp;"kang phishing ay nangyari sa pamamagitan ng isang partikular na platform (website, social media), iulat ito sa pangkat ng seguridad ng platform. * **Tumuon sa Pagbawi:** Bigyang-priyoridad ang mga aksyon tulad ng pag-uulat ng pag-atake, pag-secure sa iyon"&amp;"g mga nakompromisong account, at posibleng magsampa ng reklamo sa iyong bangko o institusyong pampinansyal upang mabawi ang mga nawalang pondo (depende sa mga detalye ng scam).
**Rekomendasyon:**
* Kumonsulta sa isang Abogado:** Maaaring tasahin ng isang "&amp;"abogadong dalubhasa sa cyberlaw o juvenile delinquency ang iyong sitwasyon. Maaari nilang suriin ang mga detalye ng pagtatangka sa phishing, ang potensyal na pagkakasangkot ng isang menor de edad, at ang pagiging posible ng mga legal na opsyon. Maaari din"&amp;" silang magpayo sa mga alternatibong kurso ng aksyon.
**Tandaan:** Habang ang pagdemanda sa isang menor de edad ay maaaring teknikal na posible, ang mga kumplikado at limitadong pagkakataong mabawi ang mga pagkalugi ay ginagawa itong isang mapaghamong lan"&amp;"das. Ang pagtuon sa pag-uulat ng pag-atake, pag-secure ng iyong mga account, at paggalugad ng iba pang mga paraan para sa pagbawi ay maaaring maging mas produktibo. Maaaring gabayan ka ng isang abogado sa pinakamahusay na paraan ng pagkilos para sa iyong "&amp;"sitwasyon.")</f>
        <v>Sa Pilipinas, ang pagdemanda sa isang indibidwal para sa phishing kung sila ay menor de edad ay nagdudulot ng mga natatanging hamon. Narito ang isang breakdown ng sitwasyon:
**Paghahabla sa isang Menor de edad:**
* **Limitadong Pananagutan:** Ang mga menor de edad (mga indibiduwal na wala pang 18 taong gulang) ay may limitadong pananagutan sa ilalim ng batas ng Pilipinas. Ang mga demanda laban sa kanila ay karaniwang nagpapatuloy na naiiba kumpara sa mga nasa hustong gulang.
** Responsibilidad ng Magulang:**
* **Kabayaran:** Sa ilang mga sitwasyon, ang mga magulang o tagapag-alaga ng menor de edad ay maaaring managot para sa mga pinsalang dulot ng pagtatangkang phishing. Depende ito sa kung ang mga magulang ay nagpabaya sa pangangasiwa sa mga aksyon ng menor de edad. * **Legal na Representasyon:** Kung maghahabol ka ng demanda, malamang na ang menor de edad ay mangangailangan ng legal na representasyon mula sa isang tagapag-alaga ng ad litem, isang adult na hinirang ng hukuman na kumakatawan sa pinakamahusay na interes ng menor de edad.
**Mga Hamon ng Tagumpay:**
* **Pagtitipon ng Ebidensya:** Ang pagpapatunay sa pagkakasangkot ng menor de edad sa pagtatangkang phishing at ang lawak ng mga pinsalang naidulot ay maaaring maging mahirap.
* **Pagbawi ng Pagkalugi:** Kahit na matagumpay, ang pagkolekta ng kabayaran mula sa isang menor de edad o sa kanilang pamilya ay maaaring maging mahirap.
**Mga Alternatibo sa Paghahabla:**
* **Iulat ang Phishing Attempt:** Iulat ang pag-atake sa mga kinauukulang awtoridad, gaya ng Philippine National Police (PNP) Anti-Cybercrime Unit. Makakatulong ito sa pagbuo ng rekord ng krimen at posibleng humantong sa pagkakakilanlan ng mga tagapag-alaga ng menor de edad.
* **Mag-ulat sa Platform (kung naaangkop):** Kung ang pagtatangkang phishing ay nangyari sa pamamagitan ng isang partikular na platform (website, social media), iulat ito sa pangkat ng seguridad ng platform. * **Tumuon sa Pagbawi:** Bigyang-priyoridad ang mga aksyon tulad ng pag-uulat ng pag-atake, pag-secure sa iyong mga nakompromisong account, at posibleng magsampa ng reklamo sa iyong bangko o institusyong pampinansyal upang mabawi ang mga nawalang pondo (depende sa mga detalye ng scam).
**Rekomendasyon:**
* Kumonsulta sa isang Abogado:** Maaaring tasahin ng isang abogadong dalubhasa sa cyberlaw o juvenile delinquency ang iyong sitwasyon. Maaari nilang suriin ang mga detalye ng pagtatangka sa phishing, ang potensyal na pagkakasangkot ng isang menor de edad, at ang pagiging posible ng mga legal na opsyon. Maaari din silang magpayo sa mga alternatibong kurso ng aksyon.
**Tandaan:** Habang ang pagdemanda sa isang menor de edad ay maaaring teknikal na posible, ang mga kumplikado at limitadong pagkakataong mabawi ang mga pagkalugi ay ginagawa itong isang mapaghamong landas. Ang pagtuon sa pag-uulat ng pag-atake, pag-secure ng iyong mga account, at paggalugad ng iba pang mga paraan para sa pagbawi ay maaaring maging mas produktibo. Maaaring gabayan ka ng isang abogado sa pinakamahusay na paraan ng pagkilos para sa iyong sitwasyon.</v>
      </c>
      <c r="F688" s="2">
        <f t="shared" si="1"/>
        <v>0</v>
      </c>
      <c r="G688" s="2"/>
      <c r="H688" s="2"/>
      <c r="I688" s="2"/>
      <c r="J688" s="2"/>
      <c r="K688" s="2"/>
      <c r="L688" s="2"/>
      <c r="M688" s="2"/>
      <c r="N688" s="2"/>
      <c r="O688" s="2"/>
      <c r="P688" s="2"/>
      <c r="Q688" s="2"/>
      <c r="R688" s="2"/>
      <c r="S688" s="2"/>
      <c r="T688" s="2"/>
      <c r="U688" s="2"/>
      <c r="V688" s="2"/>
      <c r="W688" s="2"/>
      <c r="X688" s="2"/>
      <c r="Y688" s="2"/>
      <c r="Z688" s="2"/>
      <c r="AA688" s="2"/>
    </row>
    <row r="689">
      <c r="A689" s="3" t="s">
        <v>2010</v>
      </c>
      <c r="B689" s="1" t="s">
        <v>2281</v>
      </c>
      <c r="C689" s="1" t="s">
        <v>2282</v>
      </c>
      <c r="D689" s="1" t="s">
        <v>2283</v>
      </c>
      <c r="E689" s="2" t="str">
        <f>IFERROR(__xludf.DUMMYFUNCTION("GOOGLETRANSLATE(C689, ""en"", ""TL"")"),"Sa Pilipinas, kung inakusahan ka ng phishing, may mga potensyal na legal na depensa na maaari mong tuklasin kasama ng iyong abogado. Narito ang isang breakdown ng ilang mga posibilidad:
**Mga Depensa Batay sa Layunin:**
* **Pagkamali:** Maaari kang magtal"&amp;"talan na nagkamali ka sa paniniwalang lehitimo ang pagtatangkang phishing. Ito ay maaaring dahil sa isang mahusay na ginawang scam o isang hindi pagkakaunawaan. Gayunpaman, kailangan mong ipakita na gumawa ka ng mga makatwirang hakbang upang i-verify ang "&amp;"pagiging lehitimo ng pagtatangka.
* **Kakulangan sa Kriminal na Layunin:** Kung maipapakita mong hindi mo intensyon na gumawa ng krimen tulad ng pandaraya o pagnanakaw ng pagkakakilanlan sa pamamagitan ng pagtatangkang phishing, maaari nitong palakasin an"&amp;"g iyong depensa.
**Mga Depensa Batay sa Kaalaman:**
* **Kawalan ng kamalayan:** Maaari kang magtaltalan na hindi mo alam na nakikilahok ka sa isang pagtatangka sa phishing. Ito ay maaaring dahil sa panggigipit o panlilinlang ng ibang sangkot sa scam. Gayu"&amp;"npaman, isasaalang-alang ng hukuman ang pagiging makatwiran ng iyong mga aksyon at kaalaman. * **Pagnanakaw ng Pagkakakilanlan:** Kung ninakaw ang iyong sariling pagkakakilanlan at ginamit para sa pagtatangkang phishing, maaari kang magpakita ng ebidensya"&amp;" upang patunayan na hindi ikaw ang may kasalanan. **Mga Teknikal na Depensa:**
* **Hindi Pinahintulutang Pag-access:** Kung ang iyong device ay nakompromiso ng malware o hindi awtorisadong pag-access, maaari kang magtaltalan na hindi ka direktang responsa"&amp;"ble para sa pagsisimula ng pagtatangkang phishing. Gayunpaman, kailangan mong ipakita na gumawa ka ng mga hakbang upang ma-secure ang iyong device.
**Mga Salik sa Pagbabawas:**
* **Kooperasyon:** Ang pagpapakita ng kahandaang makipagtulungan sa mga awtori"&amp;"dad at tumulong na maiwasan ang mga pagtatangka sa phishing sa hinaharap ay maaaring pabor sa iyo.
**Tandaan:**
Ang partikular na diskarte sa pagtatanggol sa batas ay depende sa mga detalye ng iyong sitwasyon. Ang pagkonsulta sa isang abogado na dalubhasa"&amp;" sa cybercrime ay mahalaga. Maaari nilang suriin ang ebidensya laban sa iyo, tuklasin ang mga potensyal na depensa, at gabayan ka sa legal na proseso.
**Mahalagang Paalala:**
Ang pagsali sa mga aktibidad sa phishing ay ilegal sa Pilipinas. Ang mga depensa"&amp;"ng ito ay dapat lamang isaalang-alang sa mga sitwasyon kung saan ikaw ay tunay na walang kamalayan o hindi kasangkot sa malisyosong layunin sa likod ng pagtatangkang mag-phishing. Kung hindi ka sigurado tungkol sa legalidad ng isang aksyon online, palagin"&amp;"g pinakamahusay na magkamali sa panig ng pag-iingat at iwasan ang mga aktibidad na maaaring maisip bilang phishing.")</f>
        <v>Sa Pilipinas, kung inakusahan ka ng phishing, may mga potensyal na legal na depensa na maaari mong tuklasin kasama ng iyong abogado. Narito ang isang breakdown ng ilang mga posibilidad:
**Mga Depensa Batay sa Layunin:**
* **Pagkamali:** Maaari kang magtaltalan na nagkamali ka sa paniniwalang lehitimo ang pagtatangkang phishing. Ito ay maaaring dahil sa isang mahusay na ginawang scam o isang hindi pagkakaunawaan. Gayunpaman, kailangan mong ipakita na gumawa ka ng mga makatwirang hakbang upang i-verify ang pagiging lehitimo ng pagtatangka.
* **Kakulangan sa Kriminal na Layunin:** Kung maipapakita mong hindi mo intensyon na gumawa ng krimen tulad ng pandaraya o pagnanakaw ng pagkakakilanlan sa pamamagitan ng pagtatangkang phishing, maaari nitong palakasin ang iyong depensa.
**Mga Depensa Batay sa Kaalaman:**
* **Kawalan ng kamalayan:** Maaari kang magtaltalan na hindi mo alam na nakikilahok ka sa isang pagtatangka sa phishing. Ito ay maaaring dahil sa panggigipit o panlilinlang ng ibang sangkot sa scam. Gayunpaman, isasaalang-alang ng hukuman ang pagiging makatwiran ng iyong mga aksyon at kaalaman. * **Pagnanakaw ng Pagkakakilanlan:** Kung ninakaw ang iyong sariling pagkakakilanlan at ginamit para sa pagtatangkang phishing, maaari kang magpakita ng ebidensya upang patunayan na hindi ikaw ang may kasalanan. **Mga Teknikal na Depensa:**
* **Hindi Pinahintulutang Pag-access:** Kung ang iyong device ay nakompromiso ng malware o hindi awtorisadong pag-access, maaari kang magtaltalan na hindi ka direktang responsable para sa pagsisimula ng pagtatangkang phishing. Gayunpaman, kailangan mong ipakita na gumawa ka ng mga hakbang upang ma-secure ang iyong device.
**Mga Salik sa Pagbabawas:**
* **Kooperasyon:** Ang pagpapakita ng kahandaang makipagtulungan sa mga awtoridad at tumulong na maiwasan ang mga pagtatangka sa phishing sa hinaharap ay maaaring pabor sa iyo.
**Tandaan:**
Ang partikular na diskarte sa pagtatanggol sa batas ay depende sa mga detalye ng iyong sitwasyon. Ang pagkonsulta sa isang abogado na dalubhasa sa cybercrime ay mahalaga. Maaari nilang suriin ang ebidensya laban sa iyo, tuklasin ang mga potensyal na depensa, at gabayan ka sa legal na proseso.
**Mahalagang Paalala:**
Ang pagsali sa mga aktibidad sa phishing ay ilegal sa Pilipinas. Ang mga depensang ito ay dapat lamang isaalang-alang sa mga sitwasyon kung saan ikaw ay tunay na walang kamalayan o hindi kasangkot sa malisyosong layunin sa likod ng pagtatangkang mag-phishing. Kung hindi ka sigurado tungkol sa legalidad ng isang aksyon online, palaging pinakamahusay na magkamali sa panig ng pag-iingat at iwasan ang mga aktibidad na maaaring maisip bilang phishing.</v>
      </c>
      <c r="F689" s="2">
        <f t="shared" si="1"/>
        <v>0</v>
      </c>
      <c r="G689" s="2"/>
      <c r="H689" s="2"/>
      <c r="I689" s="2"/>
      <c r="J689" s="2"/>
      <c r="K689" s="2"/>
      <c r="L689" s="2"/>
      <c r="M689" s="2"/>
      <c r="N689" s="2"/>
      <c r="O689" s="2"/>
      <c r="P689" s="2"/>
      <c r="Q689" s="2"/>
      <c r="R689" s="2"/>
      <c r="S689" s="2"/>
      <c r="T689" s="2"/>
      <c r="U689" s="2"/>
      <c r="V689" s="2"/>
      <c r="W689" s="2"/>
      <c r="X689" s="2"/>
      <c r="Y689" s="2"/>
      <c r="Z689" s="2"/>
      <c r="AA689" s="2"/>
    </row>
    <row r="690">
      <c r="A690" s="3" t="s">
        <v>2010</v>
      </c>
      <c r="B690" s="1" t="s">
        <v>2284</v>
      </c>
      <c r="C690" s="1" t="s">
        <v>2285</v>
      </c>
      <c r="D690" s="1" t="s">
        <v>2286</v>
      </c>
      <c r="E690" s="2" t="str">
        <f>IFERROR(__xludf.DUMMYFUNCTION("GOOGLETRANSLATE(C690, ""en"", ""TL"")"),"Ang legalidad ng pagharang ng mga email sa phishing na ipinadala sa mga empleyado ng iyong kumpanya sa Pilipinas ay nakadepende sa ilang salik:
**Data Privacy Act (RA 8424):**
* Pinoprotektahan ng Batas ang privacy ng mga elektronikong komunikasyon, kabil"&amp;"ang ang mga email. Gayunpaman, pinapayagan nito ang ilang mga pagbubukod, kabilang ang:
* Pahintulot - Malamang na maharang mo ang mga email na may pahintulot ng empleyado.
* Lehitimong Interes sa Negosyo - Maaaring mayroon kang lehitimong interes sa nego"&amp;"syo sa pagprotekta sa iyong kumpanya mula sa mga pag-atake ng phishing. Maaari nitong bigyang-katwiran ang pagharang nang walang indibidwal na pahintulot, ngunit ang partikular na pagpapatupad ay kailangang balansehin laban sa privacy ng empleyado.
**Mga "&amp;"Panukala sa Seguridad kumpara sa Privacy:**
* Mayroong isang pagbabalanse sa pagitan ng pagpapatupad ng mga hakbang sa seguridad upang protektahan ang iyong kumpanya at paggalang sa privacy ng empleyado. **Mga Rekomendasyon:**
* **Transparent na Patakaran"&amp;":** Bumuo ng malinaw at transparent na patakaran na nagbabalangkas sa mga kasanayan sa pagsubaybay sa email ng iyong kumpanya. Dapat ipaalam ng patakarang ito sa mga empleyado ang tungkol sa potensyal na pagsubaybay at ang mga dahilan sa likod nito. * **T"&amp;"umuon sa Pagsasanay:** Unahin ang pagsasanay ng empleyado sa kaalaman sa phishing at pinakamahuhusay na kagawian para sa pagprotekta sa kanilang sarili at sa kumpanya mula sa mga banta sa cyber. * **Isaalang-alang ang Pagkonsulta sa isang Abogado:** Maaar"&amp;"ing suriin ng isang abogado na dalubhasa sa privacy ng data ang iyong partikular na sitwasyon at magpayo tungkol sa legalidad ng pagharang ng email sa loob ng balangkas ng Data Privacy Act at pagtataguyod ng privacy ng empleyado.
**Mga Alternatibong Pamam"&amp;"araan:**
* **Mga Sistema sa Pag-filter ng Email:** Galugarin ang mga mahusay na sistema ng pag-filter ng email na maaaring awtomatikong makakita at mag-quarantine ng mga pagtatangka sa phishing bago maabot ang mga inbox ng mga empleyado.
* **Mga Programa "&amp;"sa Kaalaman sa Seguridad:** Magpatupad ng mga patuloy na programa para sa kaalaman sa seguridad upang turuan ang mga empleyado sa pagtukoy ng mga taktika sa phishing at kung paano tumugon nang naaangkop.
* **Mga Teknikal na Pag-iingat:** Magpatupad ng mat"&amp;"ibay na mga teknikal na pananggalang tulad ng multi-factor na pagpapatotoo at regular na mga update sa seguridad upang mabawasan ang mga kahinaan.
**Tandaan:**
Bagama't ang pagharang sa mga email ay maaaring mukhang isang paraan upang ihinto ang mga pag-a"&amp;"take sa phishing, mahalagang bigyang-priyoridad ang privacy at transparency ng empleyado. Ang kumbinasyon ng mga teknikal na pag-iingat, pagsasanay sa kaalaman sa seguridad, at isang mahusay na ginawang patakaran sa pagsubaybay sa email ay maaaring maging"&amp;" isang mas epektibo at legal na sumusunod na diskarte sa pagprotekta sa iyong kumpanya mula sa mga phishing scam. Makakatulong sa iyo ang pagkonsulta sa isang abogado na mag-navigate sa mga legalidad at bumuo ng isang komprehensibong diskarte sa anti-phis"&amp;"hing.")</f>
        <v>Ang legalidad ng pagharang ng mga email sa phishing na ipinadala sa mga empleyado ng iyong kumpanya sa Pilipinas ay nakadepende sa ilang salik:
**Data Privacy Act (RA 8424):**
* Pinoprotektahan ng Batas ang privacy ng mga elektronikong komunikasyon, kabilang ang mga email. Gayunpaman, pinapayagan nito ang ilang mga pagbubukod, kabilang ang:
* Pahintulot - Malamang na maharang mo ang mga email na may pahintulot ng empleyado.
* Lehitimong Interes sa Negosyo - Maaaring mayroon kang lehitimong interes sa negosyo sa pagprotekta sa iyong kumpanya mula sa mga pag-atake ng phishing. Maaari nitong bigyang-katwiran ang pagharang nang walang indibidwal na pahintulot, ngunit ang partikular na pagpapatupad ay kailangang balansehin laban sa privacy ng empleyado.
**Mga Panukala sa Seguridad kumpara sa Privacy:**
* Mayroong isang pagbabalanse sa pagitan ng pagpapatupad ng mga hakbang sa seguridad upang protektahan ang iyong kumpanya at paggalang sa privacy ng empleyado. **Mga Rekomendasyon:**
* **Transparent na Patakaran:** Bumuo ng malinaw at transparent na patakaran na nagbabalangkas sa mga kasanayan sa pagsubaybay sa email ng iyong kumpanya. Dapat ipaalam ng patakarang ito sa mga empleyado ang tungkol sa potensyal na pagsubaybay at ang mga dahilan sa likod nito. * **Tumuon sa Pagsasanay:** Unahin ang pagsasanay ng empleyado sa kaalaman sa phishing at pinakamahuhusay na kagawian para sa pagprotekta sa kanilang sarili at sa kumpanya mula sa mga banta sa cyber. * **Isaalang-alang ang Pagkonsulta sa isang Abogado:** Maaaring suriin ng isang abogado na dalubhasa sa privacy ng data ang iyong partikular na sitwasyon at magpayo tungkol sa legalidad ng pagharang ng email sa loob ng balangkas ng Data Privacy Act at pagtataguyod ng privacy ng empleyado.
**Mga Alternatibong Pamamaraan:**
* **Mga Sistema sa Pag-filter ng Email:** Galugarin ang mga mahusay na sistema ng pag-filter ng email na maaaring awtomatikong makakita at mag-quarantine ng mga pagtatangka sa phishing bago maabot ang mga inbox ng mga empleyado.
* **Mga Programa sa Kaalaman sa Seguridad:** Magpatupad ng mga patuloy na programa para sa kaalaman sa seguridad upang turuan ang mga empleyado sa pagtukoy ng mga taktika sa phishing at kung paano tumugon nang naaangkop.
* **Mga Teknikal na Pag-iingat:** Magpatupad ng matibay na mga teknikal na pananggalang tulad ng multi-factor na pagpapatotoo at regular na mga update sa seguridad upang mabawasan ang mga kahinaan.
**Tandaan:**
Bagama't ang pagharang sa mga email ay maaaring mukhang isang paraan upang ihinto ang mga pag-atake sa phishing, mahalagang bigyang-priyoridad ang privacy at transparency ng empleyado. Ang kumbinasyon ng mga teknikal na pag-iingat, pagsasanay sa kaalaman sa seguridad, at isang mahusay na ginawang patakaran sa pagsubaybay sa email ay maaaring maging isang mas epektibo at legal na sumusunod na diskarte sa pagprotekta sa iyong kumpanya mula sa mga phishing scam. Makakatulong sa iyo ang pagkonsulta sa isang abogado na mag-navigate sa mga legalidad at bumuo ng isang komprehensibong diskarte sa anti-phishing.</v>
      </c>
      <c r="F690" s="2">
        <f t="shared" si="1"/>
        <v>0</v>
      </c>
      <c r="G690" s="2"/>
      <c r="H690" s="2"/>
      <c r="I690" s="2"/>
      <c r="J690" s="2"/>
      <c r="K690" s="2"/>
      <c r="L690" s="2"/>
      <c r="M690" s="2"/>
      <c r="N690" s="2"/>
      <c r="O690" s="2"/>
      <c r="P690" s="2"/>
      <c r="Q690" s="2"/>
      <c r="R690" s="2"/>
      <c r="S690" s="2"/>
      <c r="T690" s="2"/>
      <c r="U690" s="2"/>
      <c r="V690" s="2"/>
      <c r="W690" s="2"/>
      <c r="X690" s="2"/>
      <c r="Y690" s="2"/>
      <c r="Z690" s="2"/>
      <c r="AA690" s="2"/>
    </row>
    <row r="691">
      <c r="A691" s="3" t="s">
        <v>2010</v>
      </c>
      <c r="B691" s="1" t="s">
        <v>2287</v>
      </c>
      <c r="C691" s="1" t="s">
        <v>2288</v>
      </c>
      <c r="D691" s="1" t="s">
        <v>2289</v>
      </c>
      <c r="E691" s="2" t="str">
        <f>IFERROR(__xludf.DUMMYFUNCTION("GOOGLETRANSLATE(C691, ""en"", ""TL"")"),"Narito ang ilang hakbang na maaari mong gawin para legal na maprotektahan ang iyong negosyo mula sa pananagutan kung ang isang empleyado ay mahuhulog sa isang phishing scam sa Pilipinas:
**Pagsasanay at Kamalayan ng Empleyado:**
* **Regular na Phishing Si"&amp;"mulation:** Magsagawa ng mga regular na simulation ng phishing upang subukan ang kaalaman ng empleyado at sanayin sila upang matukoy ang mga kahina-hinalang email. * **Pagsasanay para sa Kaalaman sa Seguridad:** Magpatupad ng mga patuloy na programa sa pa"&amp;"gsasanay sa kamalayan sa seguridad na nagtuturo sa mga empleyado sa iba't ibang banta sa cyber, kabilang ang mga taktika sa phishing, pinakamahuhusay na kagawian para sa paghawak ng sensitibong impormasyon, at mga pamamaraan sa pag-uulat para sa kahina-hi"&amp;"nalang aktibidad. * **I-clear ang Mga Patakaran at Pamamaraan:** Magtatag ng malinaw at nakadokumentong mga patakaran at pamamaraan tungkol sa paggamit ng email, seguridad ng data, at pag-uulat ng kahina-hinalang aktibidad. Ang mga patakarang ito ay dapat"&amp;" magbalangkas ng mga responsibilidad ng empleyado at mga kahihinatnan para sa hindi pagsunod.
**Mga Teknikal na Pag-iingat:**
* **Matatag na Pag-filter ng Email:** Magpatupad ng isang mahusay na sistema ng pag-filter ng email na maaaring awtomatikong maka"&amp;"kita at mag-quarantine ng mga pagtatangka sa phishing bago nila maabot ang mga inbox ng mga empleyado. * **Multi-Factor Authentication (MFA):** Ipatupad ang paggamit ng multi-factor authentication (MFA) para sa lahat ng account ng kumpanya upang magdagdag"&amp;" ng karagdagang layer ng seguridad na lampas sa mga password. * **Data Encryption:** I-encrypt ang sensitibong data sa pahinga at sa pagbibiyahe upang mabawasan ang potensyal na pinsala kung may nangyaring paglabag.
* **Mga Regular na Update sa Seguridad:"&amp;"** Panatilihin ang isang regular na iskedyul para sa pag-update ng software at mga operating system na may pinakabagong mga patch ng seguridad upang matugunan ang mga kahinaan na pinagsamantalahan ng mga pag-atake ng phishing.
**Plano ng Pagtugon sa Insid"&amp;"ente:**
* **Bumuo ng Plano:** Gumawa ng nakadokumentong plano sa pagtugon sa insidente na nagbabalangkas sa mga hakbang na dapat gawin sakaling magkaroon ng phishing attack o data breach. Dapat tukuyin ng planong ito ang mga tungkulin, responsibilidad, pr"&amp;"otocol ng komunikasyon, at pamamaraan para sa pagkontrol sa pinsala at remediation.
* **Regular na Pagsusuri:** Regular na subukan ang iyong plano sa pagtugon sa insidente upang matiyak ang pagiging epektibo nito at matukoy ang mga lugar para sa pagpapabu"&amp;"ti.
**Mga Karagdagang Pagsasaalang-alang:**
* **Cybersecurity Insurance:** Isaalang-alang ang pagbili ng cybersecurity insurance upang makatulong na mabawasan ang mga pagkalugi sa pananalapi na nauugnay sa mga cyberattack, kabilang ang mga phishing scam.
"&amp;"* **Legal na Konsultasyon:** Ang pagkonsulta sa isang abogado na dalubhasa sa data privacy at cyberlaw ay maaaring maging kapaki-pakinabang. Maaari nilang suriin ang iyong mga hakbang sa seguridad, patakaran, at plano sa pagtugon sa insidente upang matiya"&amp;"k ang pagsunod sa mga nauugnay na batas at pinakamahusay na kagawian.
**Tandaan:**
* Walang walang palya na paraan upang ganap na maiwasan ang mga pag-atake ng phishing. Gayunpaman, sa pamamagitan ng pagpapatupad ng isang komprehensibong diskarte sa segur"&amp;"idad na pinagsasama ang pagsasanay ng empleyado, mga teknikal na pag-iingat, at malinaw na mga patakaran, maaari mong makabuluhang bawasan ang panganib ng matagumpay na mga pagtatangka sa phishing at mabawasan ang potensyal na legal na pananagutan kung ma"&amp;"y nangyaring insidente.
Sa pamamagitan ng pagpapakita ng isang proactive na diskarte sa cybersecurity at proteksyon ng data, maaari mong palakasin ang iyong legal na depensa kung ang isang empleyado ay mabiktima ng isang phishing scam.")</f>
        <v>Narito ang ilang hakbang na maaari mong gawin para legal na maprotektahan ang iyong negosyo mula sa pananagutan kung ang isang empleyado ay mahuhulog sa isang phishing scam sa Pilipinas:
**Pagsasanay at Kamalayan ng Empleyado:**
* **Regular na Phishing Simulation:** Magsagawa ng mga regular na simulation ng phishing upang subukan ang kaalaman ng empleyado at sanayin sila upang matukoy ang mga kahina-hinalang email. * **Pagsasanay para sa Kaalaman sa Seguridad:** Magpatupad ng mga patuloy na programa sa pagsasanay sa kamalayan sa seguridad na nagtuturo sa mga empleyado sa iba't ibang banta sa cyber, kabilang ang mga taktika sa phishing, pinakamahuhusay na kagawian para sa paghawak ng sensitibong impormasyon, at mga pamamaraan sa pag-uulat para sa kahina-hinalang aktibidad. * **I-clear ang Mga Patakaran at Pamamaraan:** Magtatag ng malinaw at nakadokumentong mga patakaran at pamamaraan tungkol sa paggamit ng email, seguridad ng data, at pag-uulat ng kahina-hinalang aktibidad. Ang mga patakarang ito ay dapat magbalangkas ng mga responsibilidad ng empleyado at mga kahihinatnan para sa hindi pagsunod.
**Mga Teknikal na Pag-iingat:**
* **Matatag na Pag-filter ng Email:** Magpatupad ng isang mahusay na sistema ng pag-filter ng email na maaaring awtomatikong makakita at mag-quarantine ng mga pagtatangka sa phishing bago nila maabot ang mga inbox ng mga empleyado. * **Multi-Factor Authentication (MFA):** Ipatupad ang paggamit ng multi-factor authentication (MFA) para sa lahat ng account ng kumpanya upang magdagdag ng karagdagang layer ng seguridad na lampas sa mga password. * **Data Encryption:** I-encrypt ang sensitibong data sa pahinga at sa pagbibiyahe upang mabawasan ang potensyal na pinsala kung may nangyaring paglabag.
* **Mga Regular na Update sa Seguridad:** Panatilihin ang isang regular na iskedyul para sa pag-update ng software at mga operating system na may pinakabagong mga patch ng seguridad upang matugunan ang mga kahinaan na pinagsamantalahan ng mga pag-atake ng phishing.
**Plano ng Pagtugon sa Insidente:**
* **Bumuo ng Plano:** Gumawa ng nakadokumentong plano sa pagtugon sa insidente na nagbabalangkas sa mga hakbang na dapat gawin sakaling magkaroon ng phishing attack o data breach. Dapat tukuyin ng planong ito ang mga tungkulin, responsibilidad, protocol ng komunikasyon, at pamamaraan para sa pagkontrol sa pinsala at remediation.
* **Regular na Pagsusuri:** Regular na subukan ang iyong plano sa pagtugon sa insidente upang matiyak ang pagiging epektibo nito at matukoy ang mga lugar para sa pagpapabuti.
**Mga Karagdagang Pagsasaalang-alang:**
* **Cybersecurity Insurance:** Isaalang-alang ang pagbili ng cybersecurity insurance upang makatulong na mabawasan ang mga pagkalugi sa pananalapi na nauugnay sa mga cyberattack, kabilang ang mga phishing scam.
* **Legal na Konsultasyon:** Ang pagkonsulta sa isang abogado na dalubhasa sa data privacy at cyberlaw ay maaaring maging kapaki-pakinabang. Maaari nilang suriin ang iyong mga hakbang sa seguridad, patakaran, at plano sa pagtugon sa insidente upang matiyak ang pagsunod sa mga nauugnay na batas at pinakamahusay na kagawian.
**Tandaan:**
* Walang walang palya na paraan upang ganap na maiwasan ang mga pag-atake ng phishing. Gayunpaman, sa pamamagitan ng pagpapatupad ng isang komprehensibong diskarte sa seguridad na pinagsasama ang pagsasanay ng empleyado, mga teknikal na pag-iingat, at malinaw na mga patakaran, maaari mong makabuluhang bawasan ang panganib ng matagumpay na mga pagtatangka sa phishing at mabawasan ang potensyal na legal na pananagutan kung may nangyaring insidente.
Sa pamamagitan ng pagpapakita ng isang proactive na diskarte sa cybersecurity at proteksyon ng data, maaari mong palakasin ang iyong legal na depensa kung ang isang empleyado ay mabiktima ng isang phishing scam.</v>
      </c>
      <c r="F691" s="2">
        <f t="shared" si="1"/>
        <v>0</v>
      </c>
      <c r="G691" s="2"/>
      <c r="H691" s="2"/>
      <c r="I691" s="2"/>
      <c r="J691" s="2"/>
      <c r="K691" s="2"/>
      <c r="L691" s="2"/>
      <c r="M691" s="2"/>
      <c r="N691" s="2"/>
      <c r="O691" s="2"/>
      <c r="P691" s="2"/>
      <c r="Q691" s="2"/>
      <c r="R691" s="2"/>
      <c r="S691" s="2"/>
      <c r="T691" s="2"/>
      <c r="U691" s="2"/>
      <c r="V691" s="2"/>
      <c r="W691" s="2"/>
      <c r="X691" s="2"/>
      <c r="Y691" s="2"/>
      <c r="Z691" s="2"/>
      <c r="AA691" s="2"/>
    </row>
    <row r="692">
      <c r="A692" s="3" t="s">
        <v>2010</v>
      </c>
      <c r="B692" s="1" t="s">
        <v>2290</v>
      </c>
      <c r="C692" s="1" t="s">
        <v>2291</v>
      </c>
      <c r="D692" s="1" t="s">
        <v>2292</v>
      </c>
      <c r="E692" s="2" t="str">
        <f>IFERROR(__xludf.DUMMYFUNCTION("GOOGLETRANSLATE(C692, ""en"", ""TL"")"),"Sa Pilipinas, ang pagdemanda sa isang kumpanya dahil sa hindi pagbibigay ng sapat na pagsasanay sa mga empleyadong nabiktima ng phishing scam ay posible, ngunit ang tagumpay ay nakasalalay sa ilang mga kadahilanan. Narito ang isang breakdown ng sitwasyon:"&amp;"
**Potensyal na mga batayan para sa isang demanda:**
* **Pabayaan:** Maaari mong ipangatuwiran na ang kumpanya ay nagpabaya sa hindi pagbibigay sa kanilang mga empleyado ng sapat na pagsasanay upang makilala at maiwasan ang mga pagtatangka sa phishing. An"&amp;"g kapabayaan na ito ay nagresulta sa isang paglabag sa data o pagkawala ng pananalapi sa iyo.
* **Paglabag sa Kontrata:** Kung ang iyong kontrata sa kumpanya (kasunduan sa pagtatrabaho, kasunduan sa serbisyo) ay nagbabalangkas ng mga partikular na hakbang"&amp;" sa seguridad o mga obligasyon sa pagsasanay, ang kanilang hindi pagtupad sa mga obligasyong iyon ay maaaring maging batayan para sa isang demanda.
**Mga Hamon ng Panalo sa Demanda:**
* **Pagpapatunay ng Kapabayaan:** Ang pagpapakita ng pagsasanay ng kump"&amp;"anya ay hindi sapat at direktang naging sanhi ng phishing na insidente ay mahirap. Ang mga pamantayan sa industriya para sa pagsasanay sa cybersecurity ay maaaring subjective.
* **Paghahambing na Kapabayaan:** Maaaring isaalang-alang ng hukuman ang iyong "&amp;"sariling kontribusyon sa insidente. Halimbawa, kung hindi mo pinansin ang malinaw na mga protocol ng seguridad o nabigong mag-ulat kaagad ng kahina-hinalang aktibidad.
* **Mga Pinsala:** Ang pagbibilang ng mga pinsalang natamo mo dahil sa pag-atake ng phi"&amp;"shing ay maaaring maging mahirap.
**Mga Alternatibo sa Paghahabla:**
* **Iulat ang Pagsubok sa Phishing:** Iulat ang pagtatangkang phishing sa may-katuturang awtoridad, gaya ng Philippine National Police (PNP) Anti-Cybercrime Unit. Makakatulong ito sa pag"&amp;"buo ng rekord ng krimen at posibleng panagutin ang mga may kasalanan.
* **Maghain ng Reklamo sa NPC (kung naaangkop):** Kung ang pag-atake ng phishing ay nagsasangkot ng paglabag sa data at ang kumpanyang iyong idinemanda ay isang ""personal information c"&amp;"ontroller"" (PIC) sa ilalim ng Data Privacy Act, maaari kang magsampa isang reklamo sa National Privacy Commission (NPC).
**Rekomendasyon:**
* Kumonsulta sa isang Abogado:** Maaaring tasahin ng isang abogadong dalubhasa sa data privacy, cyberlaw, o batas "&amp;"sa paggawa ang iyong sitwasyon. Maaari nilang suriin ang mga detalye ng pag-atake sa phishing, mga kasanayan sa pagsasanay ng kumpanya, at ang mga nauugnay na legal na balangkas upang matukoy ang pagiging posible ng isang demanda at magpayo sa mga alterna"&amp;"tibong kurso ng pagkilos.
**Tandaan:**
Maaaring mahaba at mahal ang mga demanda. Timbangin ang mga potensyal na benepisyo laban sa oras at pinansiyal na pamumuhunan na kinakailangan. Ang pagtutuon sa pag-uulat ng pag-atake, pagprotekta sa iyong sarili mul"&amp;"a sa karagdagang pinsala, at paggalugad ng mga alternatibong paraan para sa recourse ay maaaring maging mas produktibo sa maraming kaso. Narito ang ilang karagdagang punto na dapat isaalang-alang:
* **Severity of Harm:** Ang kalubhaan ng mga pinsalang nat"&amp;"amo mo (financial loss, identity theft) ay maaaring maka-impluwensya sa lakas ng kaso.
* **Mga Pamantayan sa Industriya:** Makakatulong ang isang abogado na matukoy ang mga pamantayan ng industriya para sa pagsasanay sa cybersecurity na nauugnay sa negosy"&amp;"o ng kumpanya.
* **Iyong Mga Pagkilos:** Ang iyong mga aksyon pagkatapos matanggap ang pagtatangkang phishing (pag-uulat nito, pagsunod sa mga protocol ng seguridad) ay maaaring maka-impluwensya sa kaso.
**Tandaan:**
Ang pinakamahusay na paraan ng pagkilo"&amp;"s ay nakasalalay sa mga detalye ng iyong sitwasyon. Makakatulong sa iyo ang pagkonsulta sa isang abogado na mag-navigate sa mga legalidad at tuklasin ang pinakamabisang paraan upang matugunan ang isyu.")</f>
        <v>Sa Pilipinas, ang pagdemanda sa isang kumpanya dahil sa hindi pagbibigay ng sapat na pagsasanay sa mga empleyadong nabiktima ng phishing scam ay posible, ngunit ang tagumpay ay nakasalalay sa ilang mga kadahilanan. Narito ang isang breakdown ng sitwasyon:
**Potensyal na mga batayan para sa isang demanda:**
* **Pabayaan:** Maaari mong ipangatuwiran na ang kumpanya ay nagpabaya sa hindi pagbibigay sa kanilang mga empleyado ng sapat na pagsasanay upang makilala at maiwasan ang mga pagtatangka sa phishing. Ang kapabayaan na ito ay nagresulta sa isang paglabag sa data o pagkawala ng pananalapi sa iyo.
* **Paglabag sa Kontrata:** Kung ang iyong kontrata sa kumpanya (kasunduan sa pagtatrabaho, kasunduan sa serbisyo) ay nagbabalangkas ng mga partikular na hakbang sa seguridad o mga obligasyon sa pagsasanay, ang kanilang hindi pagtupad sa mga obligasyong iyon ay maaaring maging batayan para sa isang demanda.
**Mga Hamon ng Panalo sa Demanda:**
* **Pagpapatunay ng Kapabayaan:** Ang pagpapakita ng pagsasanay ng kumpanya ay hindi sapat at direktang naging sanhi ng phishing na insidente ay mahirap. Ang mga pamantayan sa industriya para sa pagsasanay sa cybersecurity ay maaaring subjective.
* **Paghahambing na Kapabayaan:** Maaaring isaalang-alang ng hukuman ang iyong sariling kontribusyon sa insidente. Halimbawa, kung hindi mo pinansin ang malinaw na mga protocol ng seguridad o nabigong mag-ulat kaagad ng kahina-hinalang aktibidad.
* **Mga Pinsala:** Ang pagbibilang ng mga pinsalang natamo mo dahil sa pag-atake ng phishing ay maaaring maging mahirap.
**Mga Alternatibo sa Paghahabla:**
* **Iulat ang Pagsubok sa Phishing:** Iulat ang pagtatangkang phishing sa may-katuturang awtoridad, gaya ng Philippine National Police (PNP) Anti-Cybercrime Unit. Makakatulong ito sa pagbuo ng rekord ng krimen at posibleng panagutin ang mga may kasalanan.
* **Maghain ng Reklamo sa NPC (kung naaangkop):** Kung ang pag-atake ng phishing ay nagsasangkot ng paglabag sa data at ang kumpanyang iyong idinemanda ay isang "personal information controller" (PIC) sa ilalim ng Data Privacy Act, maaari kang magsampa isang reklamo sa National Privacy Commission (NPC).
**Rekomendasyon:**
* Kumonsulta sa isang Abogado:** Maaaring tasahin ng isang abogadong dalubhasa sa data privacy, cyberlaw, o batas sa paggawa ang iyong sitwasyon. Maaari nilang suriin ang mga detalye ng pag-atake sa phishing, mga kasanayan sa pagsasanay ng kumpanya, at ang mga nauugnay na legal na balangkas upang matukoy ang pagiging posible ng isang demanda at magpayo sa mga alternatibong kurso ng pagkilos.
**Tandaan:**
Maaaring mahaba at mahal ang mga demanda. Timbangin ang mga potensyal na benepisyo laban sa oras at pinansiyal na pamumuhunan na kinakailangan. Ang pagtutuon sa pag-uulat ng pag-atake, pagprotekta sa iyong sarili mula sa karagdagang pinsala, at paggalugad ng mga alternatibong paraan para sa recourse ay maaaring maging mas produktibo sa maraming kaso. Narito ang ilang karagdagang punto na dapat isaalang-alang:
* **Severity of Harm:** Ang kalubhaan ng mga pinsalang natamo mo (financial loss, identity theft) ay maaaring maka-impluwensya sa lakas ng kaso.
* **Mga Pamantayan sa Industriya:** Makakatulong ang isang abogado na matukoy ang mga pamantayan ng industriya para sa pagsasanay sa cybersecurity na nauugnay sa negosyo ng kumpanya.
* **Iyong Mga Pagkilos:** Ang iyong mga aksyon pagkatapos matanggap ang pagtatangkang phishing (pag-uulat nito, pagsunod sa mga protocol ng seguridad) ay maaaring maka-impluwensya sa kaso.
**Tandaan:**
Ang pinakamahusay na paraan ng pagkilos ay nakasalalay sa mga detalye ng iyong sitwasyon. Makakatulong sa iyo ang pagkonsulta sa isang abogado na mag-navigate sa mga legalidad at tuklasin ang pinakamabisang paraan upang matugunan ang isyu.</v>
      </c>
      <c r="F692" s="2">
        <f t="shared" si="1"/>
        <v>0</v>
      </c>
      <c r="G692" s="2"/>
      <c r="H692" s="2"/>
      <c r="I692" s="2"/>
      <c r="J692" s="2"/>
      <c r="K692" s="2"/>
      <c r="L692" s="2"/>
      <c r="M692" s="2"/>
      <c r="N692" s="2"/>
      <c r="O692" s="2"/>
      <c r="P692" s="2"/>
      <c r="Q692" s="2"/>
      <c r="R692" s="2"/>
      <c r="S692" s="2"/>
      <c r="T692" s="2"/>
      <c r="U692" s="2"/>
      <c r="V692" s="2"/>
      <c r="W692" s="2"/>
      <c r="X692" s="2"/>
      <c r="Y692" s="2"/>
      <c r="Z692" s="2"/>
      <c r="AA692" s="2"/>
    </row>
    <row r="693">
      <c r="A693" s="3" t="s">
        <v>2010</v>
      </c>
      <c r="B693" s="1" t="s">
        <v>2293</v>
      </c>
      <c r="C693" s="1" t="s">
        <v>2294</v>
      </c>
      <c r="D693" s="1" t="s">
        <v>2295</v>
      </c>
      <c r="E693" s="2" t="str">
        <f>IFERROR(__xludf.DUMMYFUNCTION("GOOGLETRANSLATE(C693, ""en"", ""TL"")"),"Narito ang isang breakdown ng mga potensyal na legal na obligasyon na maaari mong harapin kung ang iyong website ay hindi sinasadyang nagho-host ng isang pahina ng phishing sa Pilipinas:
**Data Privacy Act (RA 8424):**
* Ang Batas na ito ay nag-uutos na a"&amp;"ng mga personal information controller (PIC) ay magpatupad ng mga naaangkop na pananggalang sa seguridad upang maprotektahan ang personal na data. Kung ang isang pahina ng phishing na naka-host sa iyong website ay nangongolekta ng data ng user, maaari kan"&amp;"g ituring na isang PIC na lumalabag sa Batas kung ikaw ay:
* **Nabigong Magpatupad ng Mga Panukala sa Seguridad:** Hindi nagkaroon ng makatwirang mga hakbang sa seguridad upang maiwasan ang mga pagtatangka sa phishing sa iyong platform.
* **Hindi Gumawa n"&amp;"g Aksyon:** Alam o dapat na alam ang tungkol sa pahina ng phishing at nabigong gumawa ng agarang pagkilos upang maalis ito.
**Potensyal na Bunga:**
* **Reklamo sa NPC:** Ang mga user na apektado ng pahina ng phishing ay maaaring magsampa ng reklamo sa Nat"&amp;"ional Privacy Commission (NPC). Ang NPC ay maaaring magpataw ng mga multa at nangangailangan ng mga aksyong pagwawasto.
* **Pinsala sa Reputasyon:** Ang pagiging nauugnay sa isang pag-atake sa phishing ay maaaring makapinsala sa reputasyon at tiwala ng us"&amp;"er ng iyong website.
**Mga Rekomendasyon:**
* **Tanggalin ang Pahina ng Phishing:** Kung matuklasan mo ang isang pahina ng phishing sa iyong website, gumawa ng agarang pagkilos upang alisin ito. Maaaring kabilang dito ang hindi pagpapagana sa pahina, pagt"&amp;"anggal ng nakakahamak na nilalaman, o paghiwalay sa nakompromisong lugar.
* **Iulat ang Insidente:** Isaalang-alang ang pag-uulat ng insidente sa mga kaugnay na awtoridad, gaya ng Philippine National Police (PNP) Anti-Cybercrime Unit.
* **Suriin ang Mga P"&amp;"anukala sa Seguridad:** Suriin ang mga hakbang sa seguridad ng iyong website at tukuyin ang mga kahinaan na nagbigay-daan sa pagtatangkang phishing. Magpatupad ng mga karagdagang hakbang sa seguridad upang maiwasan ang mga katulad na insidente sa hinahara"&amp;"p.
**Mga Karagdagang Pagsasaalang-alang:**
* **Mga Tuntunin ng Serbisyo (TOS) ng Website:** Karamihan sa mga website ay may mga kasunduan sa TOS na nagbabalangkas sa mga responsibilidad at limitasyon ng user sa pananagutan. Suriin ang iyong TOS upang maun"&amp;"awaan ang iyong mga obligasyon at potensyal na depensa.
* **Pag-moderate ng Nilalaman:** Depende sa katangian ng iyong website, maaaring kailanganin mong ipatupad ang mga kasanayan sa pagmo-moderate ng nilalaman upang matukoy at maalis ang nakakahamak na "&amp;"nilalaman tulad ng mga pagtatangka sa phishing.
**Tandaan:** Bagama't ang mga legal na kahihinatnan ay isang posibilidad, ang pagbibigay-priyoridad sa pagtanggal sa pahina ng phishing, pag-uulat ng insidente, at pagpapabuti ng seguridad ng iyong website a"&amp;"y napakahalaga. **Pagkonsulta sa isang Abogado:**
* Ang isang abogado na dalubhasa sa data privacy o cyberlaw ay maaaring magbigay ng partikular na payo batay sa iyong sitwasyon. Maaari nilang suriin ang mga detalye ng pagtatangka sa phishing, mga hakbang"&amp;" sa seguridad ng iyong website, at ang Data Privacy Act upang masuri ang mga potensyal na legal na panganib at magrekomenda ng mga naaangkop na aksyon.")</f>
        <v>Narito ang isang breakdown ng mga potensyal na legal na obligasyon na maaari mong harapin kung ang iyong website ay hindi sinasadyang nagho-host ng isang pahina ng phishing sa Pilipinas:
**Data Privacy Act (RA 8424):**
* Ang Batas na ito ay nag-uutos na ang mga personal information controller (PIC) ay magpatupad ng mga naaangkop na pananggalang sa seguridad upang maprotektahan ang personal na data. Kung ang isang pahina ng phishing na naka-host sa iyong website ay nangongolekta ng data ng user, maaari kang ituring na isang PIC na lumalabag sa Batas kung ikaw ay:
* **Nabigong Magpatupad ng Mga Panukala sa Seguridad:** Hindi nagkaroon ng makatwirang mga hakbang sa seguridad upang maiwasan ang mga pagtatangka sa phishing sa iyong platform.
* **Hindi Gumawa ng Aksyon:** Alam o dapat na alam ang tungkol sa pahina ng phishing at nabigong gumawa ng agarang pagkilos upang maalis ito.
**Potensyal na Bunga:**
* **Reklamo sa NPC:** Ang mga user na apektado ng pahina ng phishing ay maaaring magsampa ng reklamo sa National Privacy Commission (NPC). Ang NPC ay maaaring magpataw ng mga multa at nangangailangan ng mga aksyong pagwawasto.
* **Pinsala sa Reputasyon:** Ang pagiging nauugnay sa isang pag-atake sa phishing ay maaaring makapinsala sa reputasyon at tiwala ng user ng iyong website.
**Mga Rekomendasyon:**
* **Tanggalin ang Pahina ng Phishing:** Kung matuklasan mo ang isang pahina ng phishing sa iyong website, gumawa ng agarang pagkilos upang alisin ito. Maaaring kabilang dito ang hindi pagpapagana sa pahina, pagtanggal ng nakakahamak na nilalaman, o paghiwalay sa nakompromisong lugar.
* **Iulat ang Insidente:** Isaalang-alang ang pag-uulat ng insidente sa mga kaugnay na awtoridad, gaya ng Philippine National Police (PNP) Anti-Cybercrime Unit.
* **Suriin ang Mga Panukala sa Seguridad:** Suriin ang mga hakbang sa seguridad ng iyong website at tukuyin ang mga kahinaan na nagbigay-daan sa pagtatangkang phishing. Magpatupad ng mga karagdagang hakbang sa seguridad upang maiwasan ang mga katulad na insidente sa hinaharap.
**Mga Karagdagang Pagsasaalang-alang:**
* **Mga Tuntunin ng Serbisyo (TOS) ng Website:** Karamihan sa mga website ay may mga kasunduan sa TOS na nagbabalangkas sa mga responsibilidad at limitasyon ng user sa pananagutan. Suriin ang iyong TOS upang maunawaan ang iyong mga obligasyon at potensyal na depensa.
* **Pag-moderate ng Nilalaman:** Depende sa katangian ng iyong website, maaaring kailanganin mong ipatupad ang mga kasanayan sa pagmo-moderate ng nilalaman upang matukoy at maalis ang nakakahamak na nilalaman tulad ng mga pagtatangka sa phishing.
**Tandaan:** Bagama't ang mga legal na kahihinatnan ay isang posibilidad, ang pagbibigay-priyoridad sa pagtanggal sa pahina ng phishing, pag-uulat ng insidente, at pagpapabuti ng seguridad ng iyong website ay napakahalaga. **Pagkonsulta sa isang Abogado:**
* Ang isang abogado na dalubhasa sa data privacy o cyberlaw ay maaaring magbigay ng partikular na payo batay sa iyong sitwasyon. Maaari nilang suriin ang mga detalye ng pagtatangka sa phishing, mga hakbang sa seguridad ng iyong website, at ang Data Privacy Act upang masuri ang mga potensyal na legal na panganib at magrekomenda ng mga naaangkop na aksyon.</v>
      </c>
      <c r="F693" s="2">
        <f t="shared" si="1"/>
        <v>0</v>
      </c>
      <c r="G693" s="2"/>
      <c r="H693" s="2"/>
      <c r="I693" s="2"/>
      <c r="J693" s="2"/>
      <c r="K693" s="2"/>
      <c r="L693" s="2"/>
      <c r="M693" s="2"/>
      <c r="N693" s="2"/>
      <c r="O693" s="2"/>
      <c r="P693" s="2"/>
      <c r="Q693" s="2"/>
      <c r="R693" s="2"/>
      <c r="S693" s="2"/>
      <c r="T693" s="2"/>
      <c r="U693" s="2"/>
      <c r="V693" s="2"/>
      <c r="W693" s="2"/>
      <c r="X693" s="2"/>
      <c r="Y693" s="2"/>
      <c r="Z693" s="2"/>
      <c r="AA693" s="2"/>
    </row>
    <row r="694">
      <c r="A694" s="3" t="s">
        <v>2010</v>
      </c>
      <c r="B694" s="1" t="s">
        <v>2296</v>
      </c>
      <c r="C694" s="1" t="s">
        <v>2297</v>
      </c>
      <c r="D694" s="1" t="s">
        <v>2298</v>
      </c>
      <c r="E694" s="2" t="str">
        <f>IFERROR(__xludf.DUMMYFUNCTION("GOOGLETRANSLATE(C694, ""en"", ""TL"")"),"Sa Pilipinas, malamang na hindi ka mananagot bilang kriminal kung ang iyong computer ay hindi alam na bahagi ng isang phishing botnet. Narito kung bakit:
**Mens Rea (Layong Kriminal):**
* Ang batas kriminal sa Pilipinas ay karaniwang nangangailangan ng """&amp;"mens rea"" (guilty mind o criminal intent) para sa paghatol. Nangangahulugan ito na dapat ay sinasadya mo o sinasadyang lumahok sa krimen.
* Hindi sinasadyang Paglahok:** Kung ang iyong computer ay nahawahan ng malware na naging bahagi ng isang botnet nan"&amp;"g hindi mo nalalaman, hindi mo magkakaroon ng kriminal na layunin na kinakailangan para sa isang paghatol.
**Tumuon sa Hacker:**
* Ang kriminal na layunin at pananagutan ay nakasalalay sa hacker na lumikha at nagpapatakbo ng botnet para sa malisyosong lay"&amp;"unin.
**Iyong Responsibilidad:**
* Mayroon kang responsibilidad na gumawa ng mga makatwirang hakbang upang protektahan ang iyong computer mula sa impeksyon ng malware. Kabilang dito ang paggamit ng malalakas na password, pagpapanatiling na-update ang soft"&amp;"ware, at pagiging maingat kapag nagki-click sa mga link o nagbubukas ng mga attachment sa mga email.
**Ano ang Gagawin Kung ang Iyong Computer ay nasa Botnet:**
* **Anti-Malware Scan:** Magpatakbo ng masusing pag-scan gamit ang kagalang-galang na anti-mal"&amp;"ware software upang matukoy at maalis ang impeksyon sa botnet.
* **I-secure ang Iyong Mga Password:** Palitan ang mga password para sa lahat ng iyong online na account, lalo na ang mga posibleng makompromiso ng aktibidad ng botnet.
* **Iulat ang Insidente"&amp;":** Isaalang-alang ang pag-uulat ng insidente sa Philippine National Police (PNP) Anti-Cybercrime Unit. Makakatulong ito sa pagpapataas ng kamalayan at potensyal na tumulong sa mga pagsisiyasat.
**Tandaan:**
Bagama't hindi malamang ang mga kasong kriminal"&amp;", unahin ang pag-alis ng malware at pag-secure ng iyong computer upang maiwasan ang karagdagang pinsala. Maaari ka ring kumonsulta sa isang abogado na dalubhasa sa cyberlaw para sa partikular na payo batay sa iyong sitwasyon. Maaari nilang suriin ang mga "&amp;"detalye at mag-alok ng gabay sa mga karagdagang hakbang na maaari mong gawin.")</f>
        <v>Sa Pilipinas, malamang na hindi ka mananagot bilang kriminal kung ang iyong computer ay hindi alam na bahagi ng isang phishing botnet. Narito kung bakit:
**Mens Rea (Layong Kriminal):**
* Ang batas kriminal sa Pilipinas ay karaniwang nangangailangan ng "mens rea" (guilty mind o criminal intent) para sa paghatol. Nangangahulugan ito na dapat ay sinasadya mo o sinasadyang lumahok sa krimen.
* Hindi sinasadyang Paglahok:** Kung ang iyong computer ay nahawahan ng malware na naging bahagi ng isang botnet nang hindi mo nalalaman, hindi mo magkakaroon ng kriminal na layunin na kinakailangan para sa isang paghatol.
**Tumuon sa Hacker:**
* Ang kriminal na layunin at pananagutan ay nakasalalay sa hacker na lumikha at nagpapatakbo ng botnet para sa malisyosong layunin.
**Iyong Responsibilidad:**
* Mayroon kang responsibilidad na gumawa ng mga makatwirang hakbang upang protektahan ang iyong computer mula sa impeksyon ng malware. Kabilang dito ang paggamit ng malalakas na password, pagpapanatiling na-update ang software, at pagiging maingat kapag nagki-click sa mga link o nagbubukas ng mga attachment sa mga email.
**Ano ang Gagawin Kung ang Iyong Computer ay nasa Botnet:**
* **Anti-Malware Scan:** Magpatakbo ng masusing pag-scan gamit ang kagalang-galang na anti-malware software upang matukoy at maalis ang impeksyon sa botnet.
* **I-secure ang Iyong Mga Password:** Palitan ang mga password para sa lahat ng iyong online na account, lalo na ang mga posibleng makompromiso ng aktibidad ng botnet.
* **Iulat ang Insidente:** Isaalang-alang ang pag-uulat ng insidente sa Philippine National Police (PNP) Anti-Cybercrime Unit. Makakatulong ito sa pagpapataas ng kamalayan at potensyal na tumulong sa mga pagsisiyasat.
**Tandaan:**
Bagama't hindi malamang ang mga kasong kriminal, unahin ang pag-alis ng malware at pag-secure ng iyong computer upang maiwasan ang karagdagang pinsala. Maaari ka ring kumonsulta sa isang abogado na dalubhasa sa cyberlaw para sa partikular na payo batay sa iyong sitwasyon. Maaari nilang suriin ang mga detalye at mag-alok ng gabay sa mga karagdagang hakbang na maaari mong gawin.</v>
      </c>
      <c r="F694" s="2">
        <f t="shared" si="1"/>
        <v>0</v>
      </c>
      <c r="G694" s="2"/>
      <c r="H694" s="2"/>
      <c r="I694" s="2"/>
      <c r="J694" s="2"/>
      <c r="K694" s="2"/>
      <c r="L694" s="2"/>
      <c r="M694" s="2"/>
      <c r="N694" s="2"/>
      <c r="O694" s="2"/>
      <c r="P694" s="2"/>
      <c r="Q694" s="2"/>
      <c r="R694" s="2"/>
      <c r="S694" s="2"/>
      <c r="T694" s="2"/>
      <c r="U694" s="2"/>
      <c r="V694" s="2"/>
      <c r="W694" s="2"/>
      <c r="X694" s="2"/>
      <c r="Y694" s="2"/>
      <c r="Z694" s="2"/>
      <c r="AA694" s="2"/>
    </row>
    <row r="695">
      <c r="A695" s="3" t="s">
        <v>2010</v>
      </c>
      <c r="B695" s="1" t="s">
        <v>2299</v>
      </c>
      <c r="C695" s="1" t="s">
        <v>2300</v>
      </c>
      <c r="D695" s="1" t="s">
        <v>2301</v>
      </c>
      <c r="E695" s="2" t="str">
        <f>IFERROR(__xludf.DUMMYFUNCTION("GOOGLETRANSLATE(C695, ""en"", ""TL"")"),"Narito ang isang komprehensibong gabay sa kung paano legal na tumugon sa isang pagtatangka sa phishing na nagta-target sa mga financial account ng iyong negosyo sa Pilipinas:
**Mga Agarang Pagkilos:**
1. **Huwag Makipag-ugnayan:** Iwasang mag-click sa anu"&amp;"mang link, mag-download ng mga attachment, o tumugon sa phishing email. Maaari nitong kumpirmahin ang iyong email address sa umaatake at posibleng mag-trigger ng mga karagdagang pagsubok.
2. **Ihiwalay ang Email:** Ilipat ang phishing email sa isang itina"&amp;"lagang folder (hal., ""Spam"" o ""Phishing"") upang maiwasan ang aksidenteng pag-access ng mga empleyado.
3. **Iulat ang Pagtatangkang Phishing:**
* **Mag-ulat sa Email Provider:** Abisuhan ang iyong email provider tungkol sa pagtatangkang phishing. Maram"&amp;"ing provider ang may mga mekanismo sa pag-uulat sa loob ng kanilang mga platform ng email.
* **Mag-ulat sa Mga Awtoridad:** Pag-isipang iulat ang insidente sa Philippine National Police (PNP) Anti-Cybercrime Unit. Makakatulong ito sa pagbuo ng talaan ng k"&amp;"rimen at posibleng makatulong sa mga pagsisiyasat.
4. **I-secure ang Iyong Mga Account:**
* **Baguhin ang Mga Password:** Agad na baguhin ang mga password para sa lahat ng iyong mga account sa pananalapi ng negosyo, lalo na ang mga potensyal na nakalantad"&amp;" sa email. Paganahin ang multi-factor authentication (MFA) para sa karagdagang seguridad.
* **Makipag-ugnayan sa Mga Institusyong Pinansyal:** Ipaalam sa iyong mga institusyong pampinansyal ang pagtatangka sa phishing. Maaari nilang subaybayan ang iyong m"&amp;"ga account para sa kahina-hinalang aktibidad at posibleng mag-alok ng mga karagdagang hakbang sa seguridad.
**Mga Karagdagang Hakbang:**
1. **Pagsasanay sa Kamalayan ng Empleyado:** Magsagawa ng sesyon ng pagsasanay upang turuan ang iyong mga empleyado sa"&amp;" pagkilala sa mga pagtatangka sa phishing at mga wastong pamamaraan para sa paghawak ng mga kahina-hinalang email. Ang mga regular na simulation ng phishing ay maaaring higit pang mapahusay ang kanilang kamalayan.
2. **Suriin ang Mga Panukala sa Seguridad"&amp;":** Suriin ang iyong kasalukuyang mga hakbang sa seguridad at tukuyin ang anumang mga kahinaan na maaaring nagpagana sa pagtatangkang phishing. Pag-isipang magpatupad ng mas malalakas na mga filter ng spam, mga protocol sa pagpapatotoo ng email (hal., DMA"&amp;"RC), at mga kontrol sa pag-access ng empleyado.
3. **Plano ng Pagtugon sa Insidente:** Bumuo o suriin ang iyong plano sa pagtugon sa insidente para sa paghawak ng mga banta sa cyber, kabilang ang mga pagtatangka sa phishing. Ang planong ito ay dapat magba"&amp;"langkas ng mga tungkulin, pananagutan, mga protocol ng komunikasyon, at mga pamamaraan para sa pagkontrol sa pinsala at remediation.
4. **Legal na Konsultasyon (Opsyonal):** Bagama't hindi palaging kinakailangan, ang pagkonsulta sa isang abogado na dalubh"&amp;"asa sa cyberlaw ay maaaring magbigay ng partikular na legal na payo batay sa iyong sitwasyon. Maaari nilang suriin ang pagtatangka sa phishing, mga potensyal na legal na implikasyon, at magrekomenda ng mga karagdagang legal na aksyon kung kinakailangan.
*"&amp;"*Tandaan:**
* **Priyoridad ang Seguridad:** Ang pangunahing pagtuon ay dapat sa pagprotekta sa mga account sa pananalapi ng iyong negosyo at pagpigil sa karagdagang pinsala. * **Mga Legal na Pagsasaalang-alang:** Bagama't maaaring umiiral ang mga legal na"&amp;" opsyon tulad ng pagdemanda sa phisher, kadalasang limitado ang pagiging posible at mga benepisyo. Tumutok sa mga hakbang sa pag-iwas at pag-uulat ng insidente.
* **Dokumentasyon:** Panatilihin ang isang talaan ng pagtatangkang phishing, kabilang ang emai"&amp;"l, mga timestamp, mga aksyon na ginawa, at anumang pakikipag-ugnayan sa mga awtoridad o institusyong pampinansyal.
Sa pamamagitan ng pagsunod sa mga hakbang na ito, maaari kang legal na tumugon sa isang pagtatangka sa phishing, mabawasan ang potensyal na "&amp;"pinsala, at palakasin ang mga cyber defense ng iyong negosyo upang maiwasan ang mga pag-atake sa hinaharap.")</f>
        <v>Narito ang isang komprehensibong gabay sa kung paano legal na tumugon sa isang pagtatangka sa phishing na nagta-target sa mga financial account ng iyong negosyo sa Pilipinas:
**Mga Agarang Pagkilos:**
1. **Huwag Makipag-ugnayan:** Iwasang mag-click sa anumang link, mag-download ng mga attachment, o tumugon sa phishing email. Maaari nitong kumpirmahin ang iyong email address sa umaatake at posibleng mag-trigger ng mga karagdagang pagsubok.
2. **Ihiwalay ang Email:** Ilipat ang phishing email sa isang itinalagang folder (hal., "Spam" o "Phishing") upang maiwasan ang aksidenteng pag-access ng mga empleyado.
3. **Iulat ang Pagtatangkang Phishing:**
* **Mag-ulat sa Email Provider:** Abisuhan ang iyong email provider tungkol sa pagtatangkang phishing. Maraming provider ang may mga mekanismo sa pag-uulat sa loob ng kanilang mga platform ng email.
* **Mag-ulat sa Mga Awtoridad:** Pag-isipang iulat ang insidente sa Philippine National Police (PNP) Anti-Cybercrime Unit. Makakatulong ito sa pagbuo ng talaan ng krimen at posibleng makatulong sa mga pagsisiyasat.
4. **I-secure ang Iyong Mga Account:**
* **Baguhin ang Mga Password:** Agad na baguhin ang mga password para sa lahat ng iyong mga account sa pananalapi ng negosyo, lalo na ang mga potensyal na nakalantad sa email. Paganahin ang multi-factor authentication (MFA) para sa karagdagang seguridad.
* **Makipag-ugnayan sa Mga Institusyong Pinansyal:** Ipaalam sa iyong mga institusyong pampinansyal ang pagtatangka sa phishing. Maaari nilang subaybayan ang iyong mga account para sa kahina-hinalang aktibidad at posibleng mag-alok ng mga karagdagang hakbang sa seguridad.
**Mga Karagdagang Hakbang:**
1. **Pagsasanay sa Kamalayan ng Empleyado:** Magsagawa ng sesyon ng pagsasanay upang turuan ang iyong mga empleyado sa pagkilala sa mga pagtatangka sa phishing at mga wastong pamamaraan para sa paghawak ng mga kahina-hinalang email. Ang mga regular na simulation ng phishing ay maaaring higit pang mapahusay ang kanilang kamalayan.
2. **Suriin ang Mga Panukala sa Seguridad:** Suriin ang iyong kasalukuyang mga hakbang sa seguridad at tukuyin ang anumang mga kahinaan na maaaring nagpagana sa pagtatangkang phishing. Pag-isipang magpatupad ng mas malalakas na mga filter ng spam, mga protocol sa pagpapatotoo ng email (hal., DMARC), at mga kontrol sa pag-access ng empleyado.
3. **Plano ng Pagtugon sa Insidente:** Bumuo o suriin ang iyong plano sa pagtugon sa insidente para sa paghawak ng mga banta sa cyber, kabilang ang mga pagtatangka sa phishing. Ang planong ito ay dapat magbalangkas ng mga tungkulin, pananagutan, mga protocol ng komunikasyon, at mga pamamaraan para sa pagkontrol sa pinsala at remediation.
4. **Legal na Konsultasyon (Opsyonal):** Bagama't hindi palaging kinakailangan, ang pagkonsulta sa isang abogado na dalubhasa sa cyberlaw ay maaaring magbigay ng partikular na legal na payo batay sa iyong sitwasyon. Maaari nilang suriin ang pagtatangka sa phishing, mga potensyal na legal na implikasyon, at magrekomenda ng mga karagdagang legal na aksyon kung kinakailangan.
**Tandaan:**
* **Priyoridad ang Seguridad:** Ang pangunahing pagtuon ay dapat sa pagprotekta sa mga account sa pananalapi ng iyong negosyo at pagpigil sa karagdagang pinsala. * **Mga Legal na Pagsasaalang-alang:** Bagama't maaaring umiiral ang mga legal na opsyon tulad ng pagdemanda sa phisher, kadalasang limitado ang pagiging posible at mga benepisyo. Tumutok sa mga hakbang sa pag-iwas at pag-uulat ng insidente.
* **Dokumentasyon:** Panatilihin ang isang talaan ng pagtatangkang phishing, kabilang ang email, mga timestamp, mga aksyon na ginawa, at anumang pakikipag-ugnayan sa mga awtoridad o institusyong pampinansyal.
Sa pamamagitan ng pagsunod sa mga hakbang na ito, maaari kang legal na tumugon sa isang pagtatangka sa phishing, mabawasan ang potensyal na pinsala, at palakasin ang mga cyber defense ng iyong negosyo upang maiwasan ang mga pag-atake sa hinaharap.</v>
      </c>
      <c r="F695" s="2">
        <f t="shared" si="1"/>
        <v>0</v>
      </c>
      <c r="G695" s="2"/>
      <c r="H695" s="2"/>
      <c r="I695" s="2"/>
      <c r="J695" s="2"/>
      <c r="K695" s="2"/>
      <c r="L695" s="2"/>
      <c r="M695" s="2"/>
      <c r="N695" s="2"/>
      <c r="O695" s="2"/>
      <c r="P695" s="2"/>
      <c r="Q695" s="2"/>
      <c r="R695" s="2"/>
      <c r="S695" s="2"/>
      <c r="T695" s="2"/>
      <c r="U695" s="2"/>
      <c r="V695" s="2"/>
      <c r="W695" s="2"/>
      <c r="X695" s="2"/>
      <c r="Y695" s="2"/>
      <c r="Z695" s="2"/>
      <c r="AA695" s="2"/>
    </row>
    <row r="696">
      <c r="A696" s="3" t="s">
        <v>2010</v>
      </c>
      <c r="B696" s="1" t="s">
        <v>2302</v>
      </c>
      <c r="C696" s="1" t="s">
        <v>2303</v>
      </c>
      <c r="D696" s="1" t="s">
        <v>2304</v>
      </c>
      <c r="E696" s="2" t="str">
        <f>IFERROR(__xludf.DUMMYFUNCTION("GOOGLETRANSLATE(C696, ""en"", ""TL"")"),"Ang pagdemanda sa isang kumpanya ng cybersecurity dahil sa hindi pagpigil sa pag-atake ng phishing sa iyong negosyo sa Pilipinas ay posible, ngunit ang tagumpay ay nakadepende sa ilang salik. Narito ang isang breakdown ng sitwasyon:
**Potensyal na mga bat"&amp;"ayan para sa isang demanda:**
* **Paglabag sa Kontrata:** Kung ang iyong kontrata sa kumpanya ng cybersecurity ay tahasang binabalangkas ang mga partikular na hakbang sa seguridad o ginagarantiyahan ang proteksyon laban sa mga pag-atake ng phishing, ang k"&amp;"anilang hindi pagtupad sa mga obligasyong iyon ay maaaring maging batayan para sa isang demanda.
* **Pabaya:** Maaari mong ipangatuwiran na ang kumpanya ay pabaya sa pagbibigay ng sapat na mga serbisyo sa seguridad. Ang kapabayaan na ito ay nagresulta sa "&amp;"isang matagumpay na pag-atake sa phishing at mga pagkalugi sa pananalapi sa iyong negosyo.
**Mga Hamon sa Pagwawagi sa Kaso:**
* **Pagpapatunay ng Kapabayaan:** Ang pagpapakita ng mga serbisyo ng kumpanya ay hindi sapat at direktang naging sanhi ng inside"&amp;"nte ng phishing ay mahirap. Ang cybersecurity ay isang kumplikadong larangan, at ang mga pag-atake ng phishing ay maaaring maging sopistikado at mahirap ganap na pigilan.
* **Standard of Care:** Ang pagtatatag ng pamantayan ng industriya ng pangangalaga p"&amp;"ara sa mga serbisyo sa cybersecurity na nauugnay sa laki at industriya ng iyong kumpanya ay maaaring maging kumplikado.
* **Mga Tuntunin sa Kontrata:** Ang mga partikular na tuntunin ng iyong kontrata sa kumpanya ng cybersecurity ay gaganap ng isang mahal"&amp;"agang papel. Ang mga disclaimer na naglilimita sa pananagutan o mga sugnay na nagbabalangkas sa ibinahaging responsibilidad para sa seguridad ay maaaring magpahina sa iyong kaso.
**Mga Alternatibo sa Paghahabla:**
* **Makipag-ayos sa Kumpanya:** Subukang "&amp;"makipag-ayos sa kumpanya ng cybersecurity upang mabawi ang ilan o lahat ng iyong mga pagkalugi.
* **Mag-ulat sa Mga Propesyonal na Asosasyon:** Kung ang kumpanya ng cybersecurity ay kabilang sa mga nauugnay na propesyonal na asosasyon, maaari mong iulat a"&amp;"ng kanilang di-umano'y kapabayaan sa mga katawan na ito.
**Rekomendasyon:**
* Kumonsulta sa isang Abogado:** Maaaring tasahin ng isang abogadong dalubhasa sa cyberlaw o batas ng kontrata ang iyong sitwasyon. Maaari nilang pag-aralan ang iyong kontrata sa "&amp;"kumpanya ng cybersecurity, ang mga detalye ng pag-atake sa phishing, at mga nauugnay na legal na simulain upang matukoy ang pagiging posible ng isang demanda at payuhan ang mga alternatibong paraan ng pagkilos.
**Tandaan:** Ang mga demanda ay maaaring mag"&amp;"astos at matagal. Isaalang-alang ang mga potensyal na benepisyo laban sa mga gastos na kasangkot. Ang pagtutuon sa pagbawi mula sa pag-atake, pagpapalakas ng iyong mga panloob na hakbang sa seguridad, at paggalugad ng mga alternatibong paraan para sa reco"&amp;"urse ay maaaring maging mas produktibo sa maraming kaso.
Narito ang ilang karagdagang punto na dapat isaalang-alang:
* **Kalubhaan ng Mga Pinsala:** Ang kalubhaan ng mga pagkalugi sa pananalapi na natamo dahil sa pag-atake ng phishing ay maaaring maka-imp"&amp;"luwensya sa lakas ng kaso.
* **Iyong Mga Panukala sa Seguridad:** Maaaring isaalang-alang ng hukuman kung nagpatupad ang iyong negosyo ng anumang karagdagang mga hakbang sa seguridad na lampas sa ibinigay ng kumpanya ng cybersecurity. **Tandaan:** Ang pin"&amp;"akamahusay na paraan ng pagkilos ay nakasalalay sa mga partikular na detalye ng iyong sitwasyon. Makakatulong sa iyo ang pagkonsulta sa isang abogado na mag-navigate sa mga legalidad at tuklasin ang pinakamabisang paraan upang matugunan ang isyu.")</f>
        <v>Ang pagdemanda sa isang kumpanya ng cybersecurity dahil sa hindi pagpigil sa pag-atake ng phishing sa iyong negosyo sa Pilipinas ay posible, ngunit ang tagumpay ay nakadepende sa ilang salik. Narito ang isang breakdown ng sitwasyon:
**Potensyal na mga batayan para sa isang demanda:**
* **Paglabag sa Kontrata:** Kung ang iyong kontrata sa kumpanya ng cybersecurity ay tahasang binabalangkas ang mga partikular na hakbang sa seguridad o ginagarantiyahan ang proteksyon laban sa mga pag-atake ng phishing, ang kanilang hindi pagtupad sa mga obligasyong iyon ay maaaring maging batayan para sa isang demanda.
* **Pabaya:** Maaari mong ipangatuwiran na ang kumpanya ay pabaya sa pagbibigay ng sapat na mga serbisyo sa seguridad. Ang kapabayaan na ito ay nagresulta sa isang matagumpay na pag-atake sa phishing at mga pagkalugi sa pananalapi sa iyong negosyo.
**Mga Hamon sa Pagwawagi sa Kaso:**
* **Pagpapatunay ng Kapabayaan:** Ang pagpapakita ng mga serbisyo ng kumpanya ay hindi sapat at direktang naging sanhi ng insidente ng phishing ay mahirap. Ang cybersecurity ay isang kumplikadong larangan, at ang mga pag-atake ng phishing ay maaaring maging sopistikado at mahirap ganap na pigilan.
* **Standard of Care:** Ang pagtatatag ng pamantayan ng industriya ng pangangalaga para sa mga serbisyo sa cybersecurity na nauugnay sa laki at industriya ng iyong kumpanya ay maaaring maging kumplikado.
* **Mga Tuntunin sa Kontrata:** Ang mga partikular na tuntunin ng iyong kontrata sa kumpanya ng cybersecurity ay gaganap ng isang mahalagang papel. Ang mga disclaimer na naglilimita sa pananagutan o mga sugnay na nagbabalangkas sa ibinahaging responsibilidad para sa seguridad ay maaaring magpahina sa iyong kaso.
**Mga Alternatibo sa Paghahabla:**
* **Makipag-ayos sa Kumpanya:** Subukang makipag-ayos sa kumpanya ng cybersecurity upang mabawi ang ilan o lahat ng iyong mga pagkalugi.
* **Mag-ulat sa Mga Propesyonal na Asosasyon:** Kung ang kumpanya ng cybersecurity ay kabilang sa mga nauugnay na propesyonal na asosasyon, maaari mong iulat ang kanilang di-umano'y kapabayaan sa mga katawan na ito.
**Rekomendasyon:**
* Kumonsulta sa isang Abogado:** Maaaring tasahin ng isang abogadong dalubhasa sa cyberlaw o batas ng kontrata ang iyong sitwasyon. Maaari nilang pag-aralan ang iyong kontrata sa kumpanya ng cybersecurity, ang mga detalye ng pag-atake sa phishing, at mga nauugnay na legal na simulain upang matukoy ang pagiging posible ng isang demanda at payuhan ang mga alternatibong paraan ng pagkilos.
**Tandaan:** Ang mga demanda ay maaaring magastos at matagal. Isaalang-alang ang mga potensyal na benepisyo laban sa mga gastos na kasangkot. Ang pagtutuon sa pagbawi mula sa pag-atake, pagpapalakas ng iyong mga panloob na hakbang sa seguridad, at paggalugad ng mga alternatibong paraan para sa recourse ay maaaring maging mas produktibo sa maraming kaso.
Narito ang ilang karagdagang punto na dapat isaalang-alang:
* **Kalubhaan ng Mga Pinsala:** Ang kalubhaan ng mga pagkalugi sa pananalapi na natamo dahil sa pag-atake ng phishing ay maaaring maka-impluwensya sa lakas ng kaso.
* **Iyong Mga Panukala sa Seguridad:** Maaaring isaalang-alang ng hukuman kung nagpatupad ang iyong negosyo ng anumang karagdagang mga hakbang sa seguridad na lampas sa ibinigay ng kumpanya ng cybersecurity. **Tandaan:** Ang pinakamahusay na paraan ng pagkilos ay nakasalalay sa mga partikular na detalye ng iyong sitwasyon. Makakatulong sa iyo ang pagkonsulta sa isang abogado na mag-navigate sa mga legalidad at tuklasin ang pinakamabisang paraan upang matugunan ang isyu.</v>
      </c>
      <c r="F696" s="2">
        <f t="shared" si="1"/>
        <v>0</v>
      </c>
      <c r="G696" s="2"/>
      <c r="H696" s="2"/>
      <c r="I696" s="2"/>
      <c r="J696" s="2"/>
      <c r="K696" s="2"/>
      <c r="L696" s="2"/>
      <c r="M696" s="2"/>
      <c r="N696" s="2"/>
      <c r="O696" s="2"/>
      <c r="P696" s="2"/>
      <c r="Q696" s="2"/>
      <c r="R696" s="2"/>
      <c r="S696" s="2"/>
      <c r="T696" s="2"/>
      <c r="U696" s="2"/>
      <c r="V696" s="2"/>
      <c r="W696" s="2"/>
      <c r="X696" s="2"/>
      <c r="Y696" s="2"/>
      <c r="Z696" s="2"/>
      <c r="AA696" s="2"/>
    </row>
    <row r="697">
      <c r="A697" s="3" t="s">
        <v>2010</v>
      </c>
      <c r="B697" s="1" t="s">
        <v>2305</v>
      </c>
      <c r="C697" s="1" t="s">
        <v>2306</v>
      </c>
      <c r="D697" s="1" t="s">
        <v>2307</v>
      </c>
      <c r="E697" s="2" t="str">
        <f>IFERROR(__xludf.DUMMYFUNCTION("GOOGLETRANSLATE(C697, ""en"", ""TL"")"),"Ang mga legal na proteksyon para sa mga whistleblower na naglalantad ng mga phishing scam sa loob ng kanilang organisasyon sa Pilipinas ay kasalukuyang umuunlad. Narito ang isang breakdown ng mga nauugnay na batas at pagsasaalang-alang:
**Mga Kasalukuyang"&amp;" Proteksyon:**
* **Fair Labor Standards Act (RA 6715):** Pinoprotektahan ng Batas na ito ang mga empleyado mula sa pagwawakas nang walang angkop na proseso. Kung ang isang empleyado ay tinanggal dahil lamang sa pag-uulat ng isang phishing scam, maaari sil"&amp;"ang magkaroon ng mga batayan para sa pagsalungat sa pagwawakas sa ilalim ng Batas na ito.
**Limitadong Saklaw:**
* Ang mga proteksyon ng whistleblower sa Pilipinas ay kasalukuyang hindi komprehensibo tulad ng sa ibang mga bansa. Walang nakalaang batas sa "&amp;"proteksyon ng whistleblower na partikular na tumutugon sa mga empleyado ng pribadong sektor.
**Potensyal na Pag-unlad:**
* **Anti-Red Tape Act (ARTA) ng 2007:** Bagama't hindi tahasang nakatuon sa whistleblowing, ang Seksyon 34 ng ARTA ay nag-uutos sa mga"&amp;" ahensya ng gobyerno na magtatag ng mga mekanismo ng karaingan para sa pag-uulat ng mga iregularidad at paglabag. Ang probisyong ito ay posibleng magamit upang suportahan ang mga whistleblower na nag-uulat ng mga phishing scam sa loob ng mga institusyon n"&amp;"g gobyerno.
* **Iminungkahing Whistleblower Protection Bill:** Isang Whistleblower Protection Bill ang iminungkahi sa Kongreso ng Pilipinas nang maraming beses sa mga nakaraang taon. Bagama't hindi pa naisabatas, ipinahihiwatig nito ang lumalagong kamalay"&amp;"an sa pangangailangan para sa mas malakas na proteksyon ng whistleblower.
**Mga Rekomendasyon para sa mga Whistleblower:**
* **Magtipon ng Ebidensya:** Idokumento ang phishing scam at ang iyong mga pagtatangka na iulat ito sa loob ng organisasyon. Maaarin"&amp;"g kabilang dito ang mga email, pag-record ng mga pag-uusap, o timestamp.
* **Mag-ulat sa Panloob:** Kung komportable, sundin ang mga itinatag na channel sa loob ng iyong organisasyon para sa pag-uulat ng mga alalahanin sa panloob na seguridad. Idokumento "&amp;"ang iyong mga pagtatangka na iulat ang isyu sa pamamagitan ng mga channel na ito.
* **Mag-ulat sa Mga Awtoridad:** Kung hindi matagumpay ang panloob na pag-uulat o may panganib ng paghihiganti, pag-isipang iulat ang phishing scam sa mga may-katuturang awt"&amp;"oridad tulad ng Philippine National Police (PNP) Anti-Cybercrime Unit.
* **Humingi ng Legal na Payo:** Maaaring payuhan ka ng isang abogado na dalubhasa sa batas sa paggawa o cyberlaw sa iyong mga karapatan at potensyal na legal na opsyon batay sa mga par"&amp;"tikular na kalagayan ng iyong sitwasyon.
**Tandaan:**
Ang legal na tanawin para sa mga proteksyon ng whistleblower sa Pilipinas ay umuunlad. Habang ang mga komprehensibong proteksyon ay hindi pa ganap na naitatag, ang mga umiiral na batas tulad ng Fair La"&amp;"bor Standards Act ay maaaring mag-alok ng ilang antas ng proteksyon. Ang pangangalap ng ebidensya, pagsunod sa mga panloob na pamamaraan ng pag-uulat (kung maaari), at paghingi ng legal na payo ay mga mahahalagang hakbang para sa mga whistleblower. **Mga "&amp;"Karagdagang Pagsasaalang-alang:**
* **Mga Patakaran ng Kumpanya:** Maaaring may mga panloob na patakaran ang ilang kumpanya na nag-aalok ng mga partikular na proteksyon para sa mga empleyadong nag-uulat ng mga alalahanin sa seguridad. Suriin ang handbook "&amp;"ng empleyado ng iyong kumpanya o mga nauugnay na patakaran.
* **Pampublikong Interes:** Ang kalubhaan ng phishing scam at ang potensyal na pinsalang dulot nito sa publiko ay maaaring magpalakas sa iyong kaso para sa pag-uulat nito.
**Tandaan:** Ang paglal"&amp;"antad ng phishing scam sa loob ng iyong organisasyon ay maaaring maging isang matapang na pagkilos na nakakatulong na protektahan ang iyong kumpanya at ang iba pa mula sa mga banta sa cyber. Habang umuunlad pa rin ang mga legal na proteksyon, ang pagsasag"&amp;"awa ng mga nakadokumentong hakbang upang iulat ang isyu at paghingi ng legal na payo ay maaaring magbigay ng kapangyarihan sa iyo na kumilos nang etikal at potensyal na makinabang mula sa mga kasalukuyang legal na balangkas.")</f>
        <v>Ang mga legal na proteksyon para sa mga whistleblower na naglalantad ng mga phishing scam sa loob ng kanilang organisasyon sa Pilipinas ay kasalukuyang umuunlad. Narito ang isang breakdown ng mga nauugnay na batas at pagsasaalang-alang:
**Mga Kasalukuyang Proteksyon:**
* **Fair Labor Standards Act (RA 6715):** Pinoprotektahan ng Batas na ito ang mga empleyado mula sa pagwawakas nang walang angkop na proseso. Kung ang isang empleyado ay tinanggal dahil lamang sa pag-uulat ng isang phishing scam, maaari silang magkaroon ng mga batayan para sa pagsalungat sa pagwawakas sa ilalim ng Batas na ito.
**Limitadong Saklaw:**
* Ang mga proteksyon ng whistleblower sa Pilipinas ay kasalukuyang hindi komprehensibo tulad ng sa ibang mga bansa. Walang nakalaang batas sa proteksyon ng whistleblower na partikular na tumutugon sa mga empleyado ng pribadong sektor.
**Potensyal na Pag-unlad:**
* **Anti-Red Tape Act (ARTA) ng 2007:** Bagama't hindi tahasang nakatuon sa whistleblowing, ang Seksyon 34 ng ARTA ay nag-uutos sa mga ahensya ng gobyerno na magtatag ng mga mekanismo ng karaingan para sa pag-uulat ng mga iregularidad at paglabag. Ang probisyong ito ay posibleng magamit upang suportahan ang mga whistleblower na nag-uulat ng mga phishing scam sa loob ng mga institusyon ng gobyerno.
* **Iminungkahing Whistleblower Protection Bill:** Isang Whistleblower Protection Bill ang iminungkahi sa Kongreso ng Pilipinas nang maraming beses sa mga nakaraang taon. Bagama't hindi pa naisabatas, ipinahihiwatig nito ang lumalagong kamalayan sa pangangailangan para sa mas malakas na proteksyon ng whistleblower.
**Mga Rekomendasyon para sa mga Whistleblower:**
* **Magtipon ng Ebidensya:** Idokumento ang phishing scam at ang iyong mga pagtatangka na iulat ito sa loob ng organisasyon. Maaaring kabilang dito ang mga email, pag-record ng mga pag-uusap, o timestamp.
* **Mag-ulat sa Panloob:** Kung komportable, sundin ang mga itinatag na channel sa loob ng iyong organisasyon para sa pag-uulat ng mga alalahanin sa panloob na seguridad. Idokumento ang iyong mga pagtatangka na iulat ang isyu sa pamamagitan ng mga channel na ito.
* **Mag-ulat sa Mga Awtoridad:** Kung hindi matagumpay ang panloob na pag-uulat o may panganib ng paghihiganti, pag-isipang iulat ang phishing scam sa mga may-katuturang awtoridad tulad ng Philippine National Police (PNP) Anti-Cybercrime Unit.
* **Humingi ng Legal na Payo:** Maaaring payuhan ka ng isang abogado na dalubhasa sa batas sa paggawa o cyberlaw sa iyong mga karapatan at potensyal na legal na opsyon batay sa mga partikular na kalagayan ng iyong sitwasyon.
**Tandaan:**
Ang legal na tanawin para sa mga proteksyon ng whistleblower sa Pilipinas ay umuunlad. Habang ang mga komprehensibong proteksyon ay hindi pa ganap na naitatag, ang mga umiiral na batas tulad ng Fair Labor Standards Act ay maaaring mag-alok ng ilang antas ng proteksyon. Ang pangangalap ng ebidensya, pagsunod sa mga panloob na pamamaraan ng pag-uulat (kung maaari), at paghingi ng legal na payo ay mga mahahalagang hakbang para sa mga whistleblower. **Mga Karagdagang Pagsasaalang-alang:**
* **Mga Patakaran ng Kumpanya:** Maaaring may mga panloob na patakaran ang ilang kumpanya na nag-aalok ng mga partikular na proteksyon para sa mga empleyadong nag-uulat ng mga alalahanin sa seguridad. Suriin ang handbook ng empleyado ng iyong kumpanya o mga nauugnay na patakaran.
* **Pampublikong Interes:** Ang kalubhaan ng phishing scam at ang potensyal na pinsalang dulot nito sa publiko ay maaaring magpalakas sa iyong kaso para sa pag-uulat nito.
**Tandaan:** Ang paglalantad ng phishing scam sa loob ng iyong organisasyon ay maaaring maging isang matapang na pagkilos na nakakatulong na protektahan ang iyong kumpanya at ang iba pa mula sa mga banta sa cyber. Habang umuunlad pa rin ang mga legal na proteksyon, ang pagsasagawa ng mga nakadokumentong hakbang upang iulat ang isyu at paghingi ng legal na payo ay maaaring magbigay ng kapangyarihan sa iyo na kumilos nang etikal at potensyal na makinabang mula sa mga kasalukuyang legal na balangkas.</v>
      </c>
      <c r="F697" s="2">
        <f t="shared" si="1"/>
        <v>0</v>
      </c>
      <c r="G697" s="2"/>
      <c r="H697" s="2"/>
      <c r="I697" s="2"/>
      <c r="J697" s="2"/>
      <c r="K697" s="2"/>
      <c r="L697" s="2"/>
      <c r="M697" s="2"/>
      <c r="N697" s="2"/>
      <c r="O697" s="2"/>
      <c r="P697" s="2"/>
      <c r="Q697" s="2"/>
      <c r="R697" s="2"/>
      <c r="S697" s="2"/>
      <c r="T697" s="2"/>
      <c r="U697" s="2"/>
      <c r="V697" s="2"/>
      <c r="W697" s="2"/>
      <c r="X697" s="2"/>
      <c r="Y697" s="2"/>
      <c r="Z697" s="2"/>
      <c r="AA697" s="2"/>
    </row>
    <row r="698">
      <c r="A698" s="3" t="s">
        <v>2010</v>
      </c>
      <c r="B698" s="1" t="s">
        <v>2308</v>
      </c>
      <c r="C698" s="1" t="s">
        <v>2309</v>
      </c>
      <c r="D698" s="1" t="s">
        <v>2310</v>
      </c>
      <c r="E698" s="2" t="str">
        <f>IFERROR(__xludf.DUMMYFUNCTION("GOOGLETRANSLATE(C698, ""en"", ""TL"")"),"Sa Pilipinas, ang pagdemanda sa isang phishing scammer para sa pagsalakay sa privacy kung makuha nila ang iyong personal na impormasyon sa pamamagitan ng mapanlinlang na paraan ay posible, ngunit ang tagumpay ay nakasalalay sa ilang mga kadahilanan. Narit"&amp;"o ang isang breakdown ng sitwasyon:
**Potensyal na mga batayan para sa isang demanda:**
* **Right to Privacy:** Kinikilala ng Konstitusyon ng Pilipinas ang karapatan sa privacy. Maaari kang magtaltalan na ang phishing scam ay lumabag sa iyong privacy sa p"&amp;"amamagitan ng pagkuha ng personal na impormasyon sa pamamagitan ng mapanlinlang na paraan.
* **Data Privacy Act (RA 8424):** Pinoprotektahan ng Act na ito ang personal na data at ipinagbabawal ang hindi awtorisadong pagproseso nito. Ang isang phishing sca"&amp;"m na nanlilinlang sa iyo sa pagbubunyag ng personal na impormasyon ay maaaring ituring na isang paglabag.
**Mga Hamon sa Pagwawagi sa Kaso:**
* **Pagkilala sa Scammer:** Ang pagtukoy sa lokasyon at pagkakakilanlan ng scammer ay maaaring maging mahirap, la"&amp;"lo na para sa mga sopistikadong pagpapatakbo ng phishing. Ginagawa nitong mahirap na idemanda sila sa unang lugar.
* **Mga Pinsala:** Ang pagbibilang ng mga pinsalang dulot ng pagkuha ng scammer ng iyong personal na impormasyon ay maaaring subjective. Maa"&amp;"aring kailanganin mong magpakita ng aktwal na pinsala sa kabila ng paglabag sa privacy (hal., pagnanakaw ng pagkakakilanlan, pagkalugi sa pananalapi).
**Mga Alternatibo sa Paghahabla:**
* **Iulat ang Pagsubok sa Phishing:** Iulat ang pagtatangkang phishin"&amp;"g sa may-katuturang awtoridad, gaya ng Philippine National Police (PNP) Anti-Cybercrime Unit. Makakatulong ito sa pagbuo ng rekord ng krimen at posibleng panagutin ang mga may kasalanan.
* **Gumawa ng Mga Hakbang upang Bawasan ang Panganib:** Subaybayan a"&amp;"ng iyong credit report para sa kahina-hinalang aktibidad, isaalang-alang ang paglalagay ng credit freeze upang maiwasan ang hindi awtorisadong pag-access, at baguhin ang mga password para sa mga account na posibleng nakompromiso ng pagtatangkang phishing."&amp;"
**Rekomendasyon:**
* Kumonsulta sa isang Abogado:** Maaaring tasahin ng isang abogado na dalubhasa sa data privacy o cyberlaw ang iyong sitwasyon. Maaari nilang suriin ang mga detalye ng pag-atake ng phishing, ang uri ng personal na impormasyong nakuha, "&amp;"at ang Data Privacy Act upang matukoy ang pagiging posible ng isang demanda at payuhan ang mga alternatibong paraan ng pagkilos.
**Tandaan:**
Maaaring mahaba at mahal ang mga demanda. Timbangin ang mga potensyal na benepisyo laban sa oras at pinansiyal na"&amp;" pamumuhunan na kinakailangan. Ang pagtutok sa pagprotekta sa iyong sarili mula sa karagdagang pinsala, pag-uulat ng pag-atake, at paggalugad ng mga alternatibong paraan para sa recourse ay maaaring maging mas produktibo sa maraming kaso.
Narito ang ilang"&amp;" karagdagang punto na dapat isaalang-alang:
* **Kalubhaan ng Paglabag sa Data:** Ang lawak ng personal na impormasyon na nakompromiso at ang mga potensyal na kahihinatnan ay maaaring makaimpluwensya sa lakas ng kaso.
* **Iyong Mga Pagkilos:** Kung kaagad "&amp;"mong ibinigay ang impormasyon nang hindi nag-iingat (hal., pag-click sa mga kahina-hinalang link), maaari itong makaapekto sa demanda.
**Tandaan:**
Ang pinakamahusay na paraan ng pagkilos ay nakasalalay sa mga detalye ng iyong sitwasyon. Makakatulong sa i"&amp;"yo ang pagkonsulta sa isang abogado na mag-navigate sa mga legalidad at tuklasin ang pinakamabisang paraan upang matugunan ang isyu.")</f>
        <v>Sa Pilipinas, ang pagdemanda sa isang phishing scammer para sa pagsalakay sa privacy kung makuha nila ang iyong personal na impormasyon sa pamamagitan ng mapanlinlang na paraan ay posible, ngunit ang tagumpay ay nakasalalay sa ilang mga kadahilanan. Narito ang isang breakdown ng sitwasyon:
**Potensyal na mga batayan para sa isang demanda:**
* **Right to Privacy:** Kinikilala ng Konstitusyon ng Pilipinas ang karapatan sa privacy. Maaari kang magtaltalan na ang phishing scam ay lumabag sa iyong privacy sa pamamagitan ng pagkuha ng personal na impormasyon sa pamamagitan ng mapanlinlang na paraan.
* **Data Privacy Act (RA 8424):** Pinoprotektahan ng Act na ito ang personal na data at ipinagbabawal ang hindi awtorisadong pagproseso nito. Ang isang phishing scam na nanlilinlang sa iyo sa pagbubunyag ng personal na impormasyon ay maaaring ituring na isang paglabag.
**Mga Hamon sa Pagwawagi sa Kaso:**
* **Pagkilala sa Scammer:** Ang pagtukoy sa lokasyon at pagkakakilanlan ng scammer ay maaaring maging mahirap, lalo na para sa mga sopistikadong pagpapatakbo ng phishing. Ginagawa nitong mahirap na idemanda sila sa unang lugar.
* **Mga Pinsala:** Ang pagbibilang ng mga pinsalang dulot ng pagkuha ng scammer ng iyong personal na impormasyon ay maaaring subjective. Maaaring kailanganin mong magpakita ng aktwal na pinsala sa kabila ng paglabag sa privacy (hal., pagnanakaw ng pagkakakilanlan, pagkalugi sa pananalapi).
**Mga Alternatibo sa Paghahabla:**
* **Iulat ang Pagsubok sa Phishing:** Iulat ang pagtatangkang phishing sa may-katuturang awtoridad, gaya ng Philippine National Police (PNP) Anti-Cybercrime Unit. Makakatulong ito sa pagbuo ng rekord ng krimen at posibleng panagutin ang mga may kasalanan.
* **Gumawa ng Mga Hakbang upang Bawasan ang Panganib:** Subaybayan ang iyong credit report para sa kahina-hinalang aktibidad, isaalang-alang ang paglalagay ng credit freeze upang maiwasan ang hindi awtorisadong pag-access, at baguhin ang mga password para sa mga account na posibleng nakompromiso ng pagtatangkang phishing.
**Rekomendasyon:**
* Kumonsulta sa isang Abogado:** Maaaring tasahin ng isang abogado na dalubhasa sa data privacy o cyberlaw ang iyong sitwasyon. Maaari nilang suriin ang mga detalye ng pag-atake ng phishing, ang uri ng personal na impormasyong nakuha, at ang Data Privacy Act upang matukoy ang pagiging posible ng isang demanda at payuhan ang mga alternatibong paraan ng pagkilos.
**Tandaan:**
Maaaring mahaba at mahal ang mga demanda. Timbangin ang mga potensyal na benepisyo laban sa oras at pinansiyal na pamumuhunan na kinakailangan. Ang pagtutok sa pagprotekta sa iyong sarili mula sa karagdagang pinsala, pag-uulat ng pag-atake, at paggalugad ng mga alternatibong paraan para sa recourse ay maaaring maging mas produktibo sa maraming kaso.
Narito ang ilang karagdagang punto na dapat isaalang-alang:
* **Kalubhaan ng Paglabag sa Data:** Ang lawak ng personal na impormasyon na nakompromiso at ang mga potensyal na kahihinatnan ay maaaring makaimpluwensya sa lakas ng kaso.
* **Iyong Mga Pagkilos:** Kung kaagad mong ibinigay ang impormasyon nang hindi nag-iingat (hal., pag-click sa mga kahina-hinalang link), maaari itong makaapekto sa demanda.
**Tandaan:**
Ang pinakamahusay na paraan ng pagkilos ay nakasalalay sa mga detalye ng iyong sitwasyon. Makakatulong sa iyo ang pagkonsulta sa isang abogado na mag-navigate sa mga legalidad at tuklasin ang pinakamabisang paraan upang matugunan ang isyu.</v>
      </c>
      <c r="F698" s="2">
        <f t="shared" si="1"/>
        <v>0</v>
      </c>
      <c r="G698" s="2"/>
      <c r="H698" s="2"/>
      <c r="I698" s="2"/>
      <c r="J698" s="2"/>
      <c r="K698" s="2"/>
      <c r="L698" s="2"/>
      <c r="M698" s="2"/>
      <c r="N698" s="2"/>
      <c r="O698" s="2"/>
      <c r="P698" s="2"/>
      <c r="Q698" s="2"/>
      <c r="R698" s="2"/>
      <c r="S698" s="2"/>
      <c r="T698" s="2"/>
      <c r="U698" s="2"/>
      <c r="V698" s="2"/>
      <c r="W698" s="2"/>
      <c r="X698" s="2"/>
      <c r="Y698" s="2"/>
      <c r="Z698" s="2"/>
      <c r="AA698" s="2"/>
    </row>
    <row r="699">
      <c r="A699" s="3" t="s">
        <v>2010</v>
      </c>
      <c r="B699" s="1" t="s">
        <v>2311</v>
      </c>
      <c r="C699" s="1" t="s">
        <v>2312</v>
      </c>
      <c r="D699" s="1" t="s">
        <v>2313</v>
      </c>
      <c r="E699" s="2" t="str">
        <f>IFERROR(__xludf.DUMMYFUNCTION("GOOGLETRANSLATE(C699, ""en"", ""TL"")"),"Ang pagbawi ng mga pinsala para sa paglabag sa mga kasunduan sa pagiging kumpidensyal dahil sa pag-atake ng phishing sa Pilipinas ay mahirap, ngunit mayroon pa ring mga hakbang na maaari mong gawin:
**Mga Limitadong Legal na Opsyon:**
* **Paghain sa Phish"&amp;"er (Mahirap):** Katulad ng ibang mga sitwasyon, ang pagdemanda sa hindi kilalang phisher ay napakaimposible dahil sa kahirapan sa pagtatatag ng kanilang pagkakakilanlan at hurisdiksyon.
* **Mga Tagapamagitan sa Pagdemanda (Mga Rare Case):** Sa mga partiku"&amp;"lar na sitwasyon, maaari mong tuklasin ang pagdemanda sa isang platform (website, email provider) na hindi sinasadyang nagpadali sa pag-atake. Gayunpaman, ang pagpapatunay ng kanilang direktang kapabayaan sa pagpapagana ng pagtatangka sa phishing ay kumpl"&amp;"ikado at nangangailangan ng legal na kadalubhasaan.
**Tumuon sa Mga Pagsisikap sa Pagbawi:**
* **Iulat ang Phishing Attack:** Iulat ang pag-atake sa platform kung saan ito nangyari at sa Philippine National Police (PNP) Anti-Cybercrime Unit. Nakakatulong "&amp;"ito sa pagpapataas ng kamalayan at potensyal na tumutulong sa mga pagsisiyasat.
* **Makipag-ugnayan sa Mga Kaugnay na Institusyon:** Kung naganap ang mga pagkalugi sa pananalapi, abisuhan kaagad ang iyong bangko o institusyong pampinansyal upang mag-ulat "&amp;"ng mapanlinlang na aktibidad at tuklasin ang mga opsyon para sa pagbawi ng mga pondo (nawalang mga singil sa credit card, hindi awtorisadong paglilipat).
**Mga Panloob na Panukala:**
* **Suriin ang Mga Panukala sa Seguridad:** Suriin ang iyong umiiral na "&amp;"mga hakbang sa seguridad upang matukoy ang mga kahinaang pinagsamantalahan sa pagtatangkang phishing. Magpatupad ng mas matitinding pag-iingat upang maiwasan ang mga katulad na insidente sa hinaharap (hal., pagsasanay ng empleyado, mas mahigpit na kontrol"&amp;" sa pag-access).
* **Suriin ang Mga Kasunduan sa Pagiging Kompidensyal:** Kung ang paglabag ay nakakaapekto sa sensitibong impormasyong sakop ng mga kasunduan sa pagiging kompidensyal, unawain ang iyong mga obligasyon sa ilalim ng mga kasunduang iyon.
**I"&amp;"sinasaalang-alang ang Legal na Aksyon:**
* **Kumonsulta sa isang Abogado:** Isang abogado na dalubhasa sa cyberlaw o batas ng kontrata ang pinakamahusay na makakapag-assess ng iyong sitwasyon. Maaari nilang suriin ang mga detalye ng pag-atake sa phishing,"&amp;" ang mga kasunduan sa pagiging kumpidensyal, at mga potensyal na legal na opsyon, kabilang ang:
* **Nakipagnegosasyon sa Nilabag na Partido:** Matutulungan ka ng abogado na makipag-ayos sa partido na nilabag ang kasunduan sa pagiging kumpidensyal. Depende"&amp;" sa mga tuntunin ng kasunduan at sa kalubhaan ng paglabag, ang pag-abot sa isang kasunduan para sa mga potensyal na pinsala ay maaaring isang opsyon.
* **Pagtatanggol sa Potensyal na Paghahabla:** Kung idemanda ka ng nilabag na partido para sa paglabag sa"&amp;" pagiging kumpidensyal, maaaring kumatawan sa iyo ang abogado at bumuo ng diskarte sa pagtatanggol batay sa uri ng pag-atake ng phishing at mga pagsisikap na ginawa mo upang maiwasan ito (hal., seguridad mga hakbang sa lugar). **Tandaan:**
Malamang na mag"&amp;"tagumpay sa legal na aksyon laban sa phisher o tagapamagitan. Ang pokus ay dapat sa:
* **Pag-iwas sa mga paglabag sa hinaharap:** Pagpapalakas ng iyong mga hakbang sa seguridad at pagsasanay ng empleyado upang mabawasan ang panganib ng matagumpay na mga p"&amp;"agtatangka sa phishing.
* **Pagbabawas ng mga pinsala:** Pag-uulat ng pag-atake, pagbawi ng mga nakompromisong pondo, at potensyal na pakikipag-ayos ng isang kasunduan sa nilabag na partido (kung naaangkop).
**Data Privacy Act (RA 8424):**
* Bagama't hind"&amp;"i direktang tinutugunan ang pagbawi ng pinsala, binibigyang-diin ng Data Privacy Act ang pagpapatupad ng naaangkop na mga pananggalang sa seguridad upang maprotektahan ang personal na data. Ang pagpapakita ng pangako sa seguridad ng data ay maaaring palak"&amp;"asin ang iyong posisyon kung ang legal na aksyon ay lumitaw mula sa paglabag.
**Tandaan:**
Ang pinakamahusay na paraan ng pagkilos ay nakasalalay sa mga detalye ng pag-atake, ang mga kasunduan sa pagiging kumpidensyal, at ang mga potensyal na pinsala. Ang"&amp;" pagkonsulta sa isang abogado ay maaaring magbigay ng partikular na patnubay batay sa iyong sitwasyon at makakatulong sa iyong mag-navigate sa mga legal na kumplikadong kasangkot.")</f>
        <v>Ang pagbawi ng mga pinsala para sa paglabag sa mga kasunduan sa pagiging kumpidensyal dahil sa pag-atake ng phishing sa Pilipinas ay mahirap, ngunit mayroon pa ring mga hakbang na maaari mong gawin:
**Mga Limitadong Legal na Opsyon:**
* **Paghain sa Phisher (Mahirap):** Katulad ng ibang mga sitwasyon, ang pagdemanda sa hindi kilalang phisher ay napakaimposible dahil sa kahirapan sa pagtatatag ng kanilang pagkakakilanlan at hurisdiksyon.
* **Mga Tagapamagitan sa Pagdemanda (Mga Rare Case):** Sa mga partikular na sitwasyon, maaari mong tuklasin ang pagdemanda sa isang platform (website, email provider) na hindi sinasadyang nagpadali sa pag-atake. Gayunpaman, ang pagpapatunay ng kanilang direktang kapabayaan sa pagpapagana ng pagtatangka sa phishing ay kumplikado at nangangailangan ng legal na kadalubhasaan.
**Tumuon sa Mga Pagsisikap sa Pagbawi:**
* **Iulat ang Phishing Attack:** Iulat ang pag-atake sa platform kung saan ito nangyari at sa Philippine National Police (PNP) Anti-Cybercrime Unit. Nakakatulong ito sa pagpapataas ng kamalayan at potensyal na tumutulong sa mga pagsisiyasat.
* **Makipag-ugnayan sa Mga Kaugnay na Institusyon:** Kung naganap ang mga pagkalugi sa pananalapi, abisuhan kaagad ang iyong bangko o institusyong pampinansyal upang mag-ulat ng mapanlinlang na aktibidad at tuklasin ang mga opsyon para sa pagbawi ng mga pondo (nawalang mga singil sa credit card, hindi awtorisadong paglilipat).
**Mga Panloob na Panukala:**
* **Suriin ang Mga Panukala sa Seguridad:** Suriin ang iyong umiiral na mga hakbang sa seguridad upang matukoy ang mga kahinaang pinagsamantalahan sa pagtatangkang phishing. Magpatupad ng mas matitinding pag-iingat upang maiwasan ang mga katulad na insidente sa hinaharap (hal., pagsasanay ng empleyado, mas mahigpit na kontrol sa pag-access).
* **Suriin ang Mga Kasunduan sa Pagiging Kompidensyal:** Kung ang paglabag ay nakakaapekto sa sensitibong impormasyong sakop ng mga kasunduan sa pagiging kompidensyal, unawain ang iyong mga obligasyon sa ilalim ng mga kasunduang iyon.
**Isinasaalang-alang ang Legal na Aksyon:**
* **Kumonsulta sa isang Abogado:** Isang abogado na dalubhasa sa cyberlaw o batas ng kontrata ang pinakamahusay na makakapag-assess ng iyong sitwasyon. Maaari nilang suriin ang mga detalye ng pag-atake sa phishing, ang mga kasunduan sa pagiging kumpidensyal, at mga potensyal na legal na opsyon, kabilang ang:
* **Nakipagnegosasyon sa Nilabag na Partido:** Matutulungan ka ng abogado na makipag-ayos sa partido na nilabag ang kasunduan sa pagiging kumpidensyal. Depende sa mga tuntunin ng kasunduan at sa kalubhaan ng paglabag, ang pag-abot sa isang kasunduan para sa mga potensyal na pinsala ay maaaring isang opsyon.
* **Pagtatanggol sa Potensyal na Paghahabla:** Kung idemanda ka ng nilabag na partido para sa paglabag sa pagiging kumpidensyal, maaaring kumatawan sa iyo ang abogado at bumuo ng diskarte sa pagtatanggol batay sa uri ng pag-atake ng phishing at mga pagsisikap na ginawa mo upang maiwasan ito (hal., seguridad mga hakbang sa lugar). **Tandaan:**
Malamang na magtagumpay sa legal na aksyon laban sa phisher o tagapamagitan. Ang pokus ay dapat sa:
* **Pag-iwas sa mga paglabag sa hinaharap:** Pagpapalakas ng iyong mga hakbang sa seguridad at pagsasanay ng empleyado upang mabawasan ang panganib ng matagumpay na mga pagtatangka sa phishing.
* **Pagbabawas ng mga pinsala:** Pag-uulat ng pag-atake, pagbawi ng mga nakompromisong pondo, at potensyal na pakikipag-ayos ng isang kasunduan sa nilabag na partido (kung naaangkop).
**Data Privacy Act (RA 8424):**
* Bagama't hindi direktang tinutugunan ang pagbawi ng pinsala, binibigyang-diin ng Data Privacy Act ang pagpapatupad ng naaangkop na mga pananggalang sa seguridad upang maprotektahan ang personal na data. Ang pagpapakita ng pangako sa seguridad ng data ay maaaring palakasin ang iyong posisyon kung ang legal na aksyon ay lumitaw mula sa paglabag.
**Tandaan:**
Ang pinakamahusay na paraan ng pagkilos ay nakasalalay sa mga detalye ng pag-atake, ang mga kasunduan sa pagiging kumpidensyal, at ang mga potensyal na pinsala. Ang pagkonsulta sa isang abogado ay maaaring magbigay ng partikular na patnubay batay sa iyong sitwasyon at makakatulong sa iyong mag-navigate sa mga legal na kumplikadong kasangkot.</v>
      </c>
      <c r="F699" s="2">
        <f t="shared" si="1"/>
        <v>0</v>
      </c>
      <c r="G699" s="2"/>
      <c r="H699" s="2"/>
      <c r="I699" s="2"/>
      <c r="J699" s="2"/>
      <c r="K699" s="2"/>
      <c r="L699" s="2"/>
      <c r="M699" s="2"/>
      <c r="N699" s="2"/>
      <c r="O699" s="2"/>
      <c r="P699" s="2"/>
      <c r="Q699" s="2"/>
      <c r="R699" s="2"/>
      <c r="S699" s="2"/>
      <c r="T699" s="2"/>
      <c r="U699" s="2"/>
      <c r="V699" s="2"/>
      <c r="W699" s="2"/>
      <c r="X699" s="2"/>
      <c r="Y699" s="2"/>
      <c r="Z699" s="2"/>
      <c r="AA699" s="2"/>
    </row>
    <row r="700">
      <c r="A700" s="3" t="s">
        <v>2010</v>
      </c>
      <c r="B700" s="1" t="s">
        <v>2314</v>
      </c>
      <c r="C700" s="1" t="s">
        <v>2315</v>
      </c>
      <c r="D700" s="1" t="s">
        <v>2316</v>
      </c>
      <c r="E700" s="2" t="str">
        <f>IFERROR(__xludf.DUMMYFUNCTION("GOOGLETRANSLATE(C700, ""en"", ""TL"")"),"Ang Pilipinas ay may ilang legal na proteksyon laban sa sekswal na pagsasamantala sa lugar ng trabaho:
**1. Anti-Sexual Harassment Act of 1995 (RA 7877):**
* Ito ang pangunahing batas na tumutugon sa sexual harassment sa Pilipinas. Tinutukoy nito ang seks"&amp;"wal na panliligalig bilang hindi kanais-nais na mga sekswal na pagsulong, mga kahilingan para sa mga sekswal na pabor, at iba pang pandiwang o pisikal na pag-uugali na may likas na sekswal na lumilikha ng isang pagalit o nakakasakit na kapaligiran sa trab"&amp;"aho. * Nalalapat ang batas sa lahat ng employer at empleyado, anuman ang posisyon o antas. Sinasaklaw din nito ang sekswal na panliligalig na ginawa ng mga hindi empleyado, tulad ng mga kliyente o customer, sa mga empleyado.
* Binabalangkas nito ang iba't"&amp;" ibang anyo ng sexual harassment, kabilang ang:
* **Pagalit na kapaligiran sa trabaho** - Ito ay nangyayari kapag ang hindi kanais-nais na sekswal na pag-uugali ay hindi makatwiran na nakakasagabal sa pagganap ng trabaho ng isang indibidwal o lumikha ng i"&amp;"sang nakakatakot, pagalit, o nakakasakit na kapaligiran sa trabaho.
* **Paghingi o kahilingan para sa mga sekswal na pabor** - Ito ay kinasasangkutan ng employer o isang taong nasa awtoridad na nagkokondisyon sa trabaho, mga benepisyo sa trabaho, o promos"&amp;"yon sa mga sekswal na pabor.
* **Verbal o pisikal na paggawi na may sekswal na katangian** - Kabilang dito ang mga hindi kanais-nais na sekswal na pagsulong, mahalay na pananalita, pangangapa, at sekswal na pag-atake.
**2. Republic Act No. 11313 (Safe Spa"&amp;"ces Act):**
* Pinalalawak ng Batas na ito ang kahulugan ng sexual harassment upang isama ang online na sekswal na panliligalig. Nalalapat ito sa mga online na pakikipag-ugnayan na nauugnay sa trabaho, gaya ng sa pamamagitan ng mga platform sa pagmemensahe"&amp;" ng kumpanya o social media.
**3. Mga Probisyon ng Binagong Kodigo Penal (RPC):**
* Ang ilang mga probisyon ng Binagong Kodigo Penal ay maaaring ilapat sa mga kaso ng sekswal na pagsasamantala sa lugar ng trabaho, depende sa kalubhaan ng kilos. Kabilang d"&amp;"ito ang:
* **Acts of Lasciviousness (Artikulo 335):** Sinasaklaw nito ang mahalay na gawain na nakakasakit sa pampublikong moral.
* **Rape (Artikulo 335):** Nalalapat ito sa sapilitang pakikipagtalik.
* **Acts of Libidinous Conduct (Artikulo 336):** Sinas"&amp;"aklaw nito ang malaswang paghipo o mga kilos na pumukaw o nagbibigay-kasiyahan sa mga sekswal na pagnanasa.
**4. Labor Code of the Philippines (LC):**
* Ginagarantiyahan ng Labor Code ang karapatan sa isang ligtas at malusog na kapaligiran sa trabaho. Ito"&amp;" ay maaaring gamitin upang panagutin ang mga tagapag-empleyo sa pagkabigong pigilan o tugunan ang sekswal na panliligalig sa lugar ng trabaho.
**Mga Karagdagang Proteksyon:**
* **Mga Patakaran ng Kumpanya:** Maraming kumpanya ang may panloob na mga pataka"&amp;"ran laban sa sekswal na panliligalig. Ang mga patakarang ito ay maaaring magbigay ng karagdagang mga proteksyon at pamamaraan para sa mga empleyado na mag-ulat ng mga insidente.
* **Mga Ahensya ng Gobyerno:** Ang Department of Labor and Employment (DOLE) "&amp;"at ang Commission on Women (PCW) ay may mga programa at mapagkukunan upang tulungan ang mga biktima ng sekswal na panliligalig sa lugar ng trabaho. **Tandaan:**
Ito ang ilan sa mga pangunahing legal na proteksyon laban sa sekswal na pagsasamantala sa luga"&amp;"r ng trabaho sa Pilipinas. Kung nakakaranas ka ng sexual harassment, may karapatan kang iulat ito at humingi ng legal na aksyon. Narito ang ilang mapagkukunan na maaaring makatulong:
* Department of Labor and Employment (DOLE): [https://www.officialgazett"&amp;"e.gov.ph/section/briefing-room/department-of-labor-and-employment/](https://www.officialgazette.gov .ph/section/briefing-room/department-of-labor-and-employment/)
* Commission on Women (PCW): [https://pcw.gov.ph/](https://pcw.gov.ph/)
* Public Attorney's "&amp;"Office (PAO): [https://pao.gov.ph/](https://pao.gov.ph/)")</f>
        <v>Ang Pilipinas ay may ilang legal na proteksyon laban sa sekswal na pagsasamantala sa lugar ng trabaho:
**1. Anti-Sexual Harassment Act of 1995 (RA 7877):**
* Ito ang pangunahing batas na tumutugon sa sexual harassment sa Pilipinas. Tinutukoy nito ang sekswal na panliligalig bilang hindi kanais-nais na mga sekswal na pagsulong, mga kahilingan para sa mga sekswal na pabor, at iba pang pandiwang o pisikal na pag-uugali na may likas na sekswal na lumilikha ng isang pagalit o nakakasakit na kapaligiran sa trabaho. * Nalalapat ang batas sa lahat ng employer at empleyado, anuman ang posisyon o antas. Sinasaklaw din nito ang sekswal na panliligalig na ginawa ng mga hindi empleyado, tulad ng mga kliyente o customer, sa mga empleyado.
* Binabalangkas nito ang iba't ibang anyo ng sexual harassment, kabilang ang:
* **Pagalit na kapaligiran sa trabaho** - Ito ay nangyayari kapag ang hindi kanais-nais na sekswal na pag-uugali ay hindi makatwiran na nakakasagabal sa pagganap ng trabaho ng isang indibidwal o lumikha ng isang nakakatakot, pagalit, o nakakasakit na kapaligiran sa trabaho.
* **Paghingi o kahilingan para sa mga sekswal na pabor** - Ito ay kinasasangkutan ng employer o isang taong nasa awtoridad na nagkokondisyon sa trabaho, mga benepisyo sa trabaho, o promosyon sa mga sekswal na pabor.
* **Verbal o pisikal na paggawi na may sekswal na katangian** - Kabilang dito ang mga hindi kanais-nais na sekswal na pagsulong, mahalay na pananalita, pangangapa, at sekswal na pag-atake.
**2. Republic Act No. 11313 (Safe Spaces Act):**
* Pinalalawak ng Batas na ito ang kahulugan ng sexual harassment upang isama ang online na sekswal na panliligalig. Nalalapat ito sa mga online na pakikipag-ugnayan na nauugnay sa trabaho, gaya ng sa pamamagitan ng mga platform sa pagmemensahe ng kumpanya o social media.
**3. Mga Probisyon ng Binagong Kodigo Penal (RPC):**
* Ang ilang mga probisyon ng Binagong Kodigo Penal ay maaaring ilapat sa mga kaso ng sekswal na pagsasamantala sa lugar ng trabaho, depende sa kalubhaan ng kilos. Kabilang dito ang:
* **Acts of Lasciviousness (Artikulo 335):** Sinasaklaw nito ang mahalay na gawain na nakakasakit sa pampublikong moral.
* **Rape (Artikulo 335):** Nalalapat ito sa sapilitang pakikipagtalik.
* **Acts of Libidinous Conduct (Artikulo 336):** Sinasaklaw nito ang malaswang paghipo o mga kilos na pumukaw o nagbibigay-kasiyahan sa mga sekswal na pagnanasa.
**4. Labor Code of the Philippines (LC):**
* Ginagarantiyahan ng Labor Code ang karapatan sa isang ligtas at malusog na kapaligiran sa trabaho. Ito ay maaaring gamitin upang panagutin ang mga tagapag-empleyo sa pagkabigong pigilan o tugunan ang sekswal na panliligalig sa lugar ng trabaho.
**Mga Karagdagang Proteksyon:**
* **Mga Patakaran ng Kumpanya:** Maraming kumpanya ang may panloob na mga patakaran laban sa sekswal na panliligalig. Ang mga patakarang ito ay maaaring magbigay ng karagdagang mga proteksyon at pamamaraan para sa mga empleyado na mag-ulat ng mga insidente.
* **Mga Ahensya ng Gobyerno:** Ang Department of Labor and Employment (DOLE) at ang Commission on Women (PCW) ay may mga programa at mapagkukunan upang tulungan ang mga biktima ng sekswal na panliligalig sa lugar ng trabaho. **Tandaan:**
Ito ang ilan sa mga pangunahing legal na proteksyon laban sa sekswal na pagsasamantala sa lugar ng trabaho sa Pilipinas. Kung nakakaranas ka ng sexual harassment, may karapatan kang iulat ito at humingi ng legal na aksyon. Narito ang ilang mapagkukunan na maaaring makatulong:
* Department of Labor and Employment (DOLE): [https://www.officialgazette.gov.ph/section/briefing-room/department-of-labor-and-employment/](https://www.officialgazette.gov .ph/section/briefing-room/department-of-labor-and-employment/)
* Commission on Women (PCW): [https://pcw.gov.ph/](https://pcw.gov.ph/)
* Public Attorney's Office (PAO): [https://pao.gov.ph/](https://pao.gov.ph/)</v>
      </c>
      <c r="F700" s="2">
        <f t="shared" si="1"/>
        <v>0</v>
      </c>
      <c r="G700" s="2"/>
      <c r="H700" s="2"/>
      <c r="I700" s="2"/>
      <c r="J700" s="2"/>
      <c r="K700" s="2"/>
      <c r="L700" s="2"/>
      <c r="M700" s="2"/>
      <c r="N700" s="2"/>
      <c r="O700" s="2"/>
      <c r="P700" s="2"/>
      <c r="Q700" s="2"/>
      <c r="R700" s="2"/>
      <c r="S700" s="2"/>
      <c r="T700" s="2"/>
      <c r="U700" s="2"/>
      <c r="V700" s="2"/>
      <c r="W700" s="2"/>
      <c r="X700" s="2"/>
      <c r="Y700" s="2"/>
      <c r="Z700" s="2"/>
      <c r="AA700" s="2"/>
    </row>
    <row r="701">
      <c r="A701" s="3" t="s">
        <v>2010</v>
      </c>
      <c r="B701" s="1" t="s">
        <v>2317</v>
      </c>
      <c r="C701" s="1" t="s">
        <v>2318</v>
      </c>
      <c r="D701" s="1" t="s">
        <v>2319</v>
      </c>
      <c r="E701" s="2" t="str">
        <f>IFERROR(__xludf.DUMMYFUNCTION("GOOGLETRANSLATE(C701, ""en"", ""TL"")"),"Oo, maaari mong idemanda ang iyong tagapag-empleyo para sa pagpapaubaya sa isang kapaligiran sa pagtatrabaho sa Pilipinas sa ilalim ng Anti-Sexual Harassment Act of 1995 (RA 7877). Narito ang isang breakdown ng batas at kung paano ito nalalapat sa iyong s"&amp;"itwasyon:
**Anti-Sexual Harassment Act (RA 7877):**
* Tinutukoy ng Batas na ito ang isang hindi magandang kapaligiran sa trabaho bilang isa kung saan ang mga hindi kanais-nais na sekswal na pagsulong, mga kahilingan para sa sekswal na pabor, at iba pang p"&amp;"asalita o pisikal na pag-uugali na may sekswal na katangian:
* Hindi makatwirang makagambala sa pagganap ng trabaho ng isang indibidwal.
* Lumikha ng nakakatakot, pagalit, o nakakasakit na kapaligiran sa trabaho.
** Pananagutan ng Employer:**
* Ang batas "&amp;"ay may pananagutan sa mga tagapag-empleyo para sa pagpapaubaya sa isang sekswal na pagalit na kapaligiran sa trabaho. Nangangahulugan ito na kung alam o dapat na alam ng iyong employer ang tungkol sa panliligalig at nabigong gumawa ng mga hakbang upang ih"&amp;"into ito, maaari silang kasuhan.
**Mga Hakbang na Gagawin:**
1. **Idokumento ang Panliligalig:** Panatilihin ang isang talaan ng mga partikular na insidente ng sekswal na panliligalig, kabilang ang mga petsa, oras, saksi, at kung ano ang eksaktong nangyar"&amp;"i. Ito ay magiging mahalagang ebidensya sa iyong kaso.
2. **Iulat ang Panliligalig:** Iulat ang panliligalig sa departamento ng Human Resources ng iyong employer o isang superbisor. Maaari ka ring magsampa ng reklamo sa Department of Labor and Employment "&amp;"(DOLE).
3. **Humingi ng Legal na Payo:** Maaaring payuhan ka ng isang abogado na dalubhasa sa batas sa paggawa sa iyong mga legal na opsyon at kumatawan sa iyo sa korte kung kinakailangan.
**Ano ang Isasaalang-alang ng Korte:**
* **Tindi ng Panliligalig:*"&amp;"* Ang kalubhaan, dalas, at katangian ng sekswal na panliligalig ay isasaalang-alang ng hukuman.
* **Kaalaman ng Employer:** Susuriin ng hukuman kung alam o dapat na alam ng iyong employer ang tungkol sa panliligalig at kung anong mga hakbang ang kanilang "&amp;"ginawa upang matugunan ito.
* **Ang Iyong Reklamo:** Kung iniulat mo man ang panliligalig sa loob at ang tugon ng employer sa iyong reklamo ay isasaalang-alang.
**Potensyal na Resulta:**
* **Cease and Desist Order:** Maaaring utusan ng korte ang iyong emp"&amp;"loyer na itigil ang panliligalig at gumawa ng mga hakbang upang maiwasan itong mangyari muli.
* **Mga Pinsala:** Maaari kang gawaran ng pera na pinsala para sa emosyonal na pagkabalisa, mga gastusing medikal, at nawalang sahod.
**Mga Karagdagang Pagsasaal"&amp;"ang-alang:**
* **Statute of Limitations:** May isang taong limitasyon sa oras para magsampa ng reklamo sa DOLE. Gayunpaman, maaari mo pa ring idemanda ang iyong employer sa korte pagkatapos ng deadline na ito.
* **Mga Patakaran sa Lugar ng Trabaho:** Mara"&amp;"ming kumpanya ang may panloob na mga patakaran laban sa sekswal na panliligalig. Suriin ang patakaran ng iyong kumpanya at sundin ang mga pamamaraang nakabalangkas para sa pag-uulat ng panliligalig.
**Tandaan:**
Ang sexual harassment ay labag sa batas sa "&amp;"Pilipinas, at mayroon kang karapatan sa isang ligtas at malusog na kapaligiran sa trabaho. Kung nakakaranas ka ng sekswal na panliligalig sa trabaho, hindi mo dapat ito tiisin. Sa pamamagitan ng pagdodokumento ng panliligalig, pag-uulat nito, at paghingi "&amp;"ng legal na payo, maaari kang gumawa ng mga hakbang upang panagutin ang iyong employer at protektahan ang iyong sarili.")</f>
        <v>Oo, maaari mong idemanda ang iyong tagapag-empleyo para sa pagpapaubaya sa isang kapaligiran sa pagtatrabaho sa Pilipinas sa ilalim ng Anti-Sexual Harassment Act of 1995 (RA 7877). Narito ang isang breakdown ng batas at kung paano ito nalalapat sa iyong sitwasyon:
**Anti-Sexual Harassment Act (RA 7877):**
* Tinutukoy ng Batas na ito ang isang hindi magandang kapaligiran sa trabaho bilang isa kung saan ang mga hindi kanais-nais na sekswal na pagsulong, mga kahilingan para sa sekswal na pabor, at iba pang pasalita o pisikal na pag-uugali na may sekswal na katangian:
* Hindi makatwirang makagambala sa pagganap ng trabaho ng isang indibidwal.
* Lumikha ng nakakatakot, pagalit, o nakakasakit na kapaligiran sa trabaho.
** Pananagutan ng Employer:**
* Ang batas ay may pananagutan sa mga tagapag-empleyo para sa pagpapaubaya sa isang sekswal na pagalit na kapaligiran sa trabaho. Nangangahulugan ito na kung alam o dapat na alam ng iyong employer ang tungkol sa panliligalig at nabigong gumawa ng mga hakbang upang ihinto ito, maaari silang kasuhan.
**Mga Hakbang na Gagawin:**
1. **Idokumento ang Panliligalig:** Panatilihin ang isang talaan ng mga partikular na insidente ng sekswal na panliligalig, kabilang ang mga petsa, oras, saksi, at kung ano ang eksaktong nangyari. Ito ay magiging mahalagang ebidensya sa iyong kaso.
2. **Iulat ang Panliligalig:** Iulat ang panliligalig sa departamento ng Human Resources ng iyong employer o isang superbisor. Maaari ka ring magsampa ng reklamo sa Department of Labor and Employment (DOLE).
3. **Humingi ng Legal na Payo:** Maaaring payuhan ka ng isang abogado na dalubhasa sa batas sa paggawa sa iyong mga legal na opsyon at kumatawan sa iyo sa korte kung kinakailangan.
**Ano ang Isasaalang-alang ng Korte:**
* **Tindi ng Panliligalig:** Ang kalubhaan, dalas, at katangian ng sekswal na panliligalig ay isasaalang-alang ng hukuman.
* **Kaalaman ng Employer:** Susuriin ng hukuman kung alam o dapat na alam ng iyong employer ang tungkol sa panliligalig at kung anong mga hakbang ang kanilang ginawa upang matugunan ito.
* **Ang Iyong Reklamo:** Kung iniulat mo man ang panliligalig sa loob at ang tugon ng employer sa iyong reklamo ay isasaalang-alang.
**Potensyal na Resulta:**
* **Cease and Desist Order:** Maaaring utusan ng korte ang iyong employer na itigil ang panliligalig at gumawa ng mga hakbang upang maiwasan itong mangyari muli.
* **Mga Pinsala:** Maaari kang gawaran ng pera na pinsala para sa emosyonal na pagkabalisa, mga gastusing medikal, at nawalang sahod.
**Mga Karagdagang Pagsasaalang-alang:**
* **Statute of Limitations:** May isang taong limitasyon sa oras para magsampa ng reklamo sa DOLE. Gayunpaman, maaari mo pa ring idemanda ang iyong employer sa korte pagkatapos ng deadline na ito.
* **Mga Patakaran sa Lugar ng Trabaho:** Maraming kumpanya ang may panloob na mga patakaran laban sa sekswal na panliligalig. Suriin ang patakaran ng iyong kumpanya at sundin ang mga pamamaraang nakabalangkas para sa pag-uulat ng panliligalig.
**Tandaan:**
Ang sexual harassment ay labag sa batas sa Pilipinas, at mayroon kang karapatan sa isang ligtas at malusog na kapaligiran sa trabaho. Kung nakakaranas ka ng sekswal na panliligalig sa trabaho, hindi mo dapat ito tiisin. Sa pamamagitan ng pagdodokumento ng panliligalig, pag-uulat nito, at paghingi ng legal na payo, maaari kang gumawa ng mga hakbang upang panagutin ang iyong employer at protektahan ang iyong sarili.</v>
      </c>
      <c r="F701" s="2">
        <f t="shared" si="1"/>
        <v>0</v>
      </c>
      <c r="G701" s="2"/>
      <c r="H701" s="2"/>
      <c r="I701" s="2"/>
      <c r="J701" s="2"/>
      <c r="K701" s="2"/>
      <c r="L701" s="2"/>
      <c r="M701" s="2"/>
      <c r="N701" s="2"/>
      <c r="O701" s="2"/>
      <c r="P701" s="2"/>
      <c r="Q701" s="2"/>
      <c r="R701" s="2"/>
      <c r="S701" s="2"/>
      <c r="T701" s="2"/>
      <c r="U701" s="2"/>
      <c r="V701" s="2"/>
      <c r="W701" s="2"/>
      <c r="X701" s="2"/>
      <c r="Y701" s="2"/>
      <c r="Z701" s="2"/>
      <c r="AA701" s="2"/>
    </row>
    <row r="702">
      <c r="A702" s="3" t="s">
        <v>2010</v>
      </c>
      <c r="B702" s="1" t="s">
        <v>2320</v>
      </c>
      <c r="C702" s="1" t="s">
        <v>2321</v>
      </c>
      <c r="D702" s="1" t="s">
        <v>2322</v>
      </c>
      <c r="E702" s="2" t="str">
        <f>IFERROR(__xludf.DUMMYFUNCTION("GOOGLETRANSLATE(C702, ""en"", ""TL"")"),"Kahit na walang mga saksi, maaari ka pa ring bumuo ng isang malakas na kaso upang patunayan ang sexual harassment sa Pilipinas. Ganito:
**Ang Dokumentasyon ay Susi:**
* **Mga Detalyadong Tala:** Panatilihin ang isang detalyadong tala ng mga insidente ng p"&amp;"anliligalig. Kabilang dito ang:
* **Mga Petsa at Oras:** Itala ang mga partikular na petsa at oras na nangyari ang bawat insidente.
* **Mga Tukoy na Detalye:** Ilarawan nang tumpak ang mga detalye ng panliligalig, kasama ang sinabi, anong mga aksyon ang g"&amp;"inawa, at anumang mga di-berbal na pahiwatig.
* **Ebidensya ng Epekto:** Idokumento kung paano nakaapekto sa iyo ang panliligalig sa emosyonal (pagkabalisa, takot) o propesyonal (nabawasan ang pagganap sa trabaho).
**Mga Uri ng Ebidensya:**
* **Mga Elektr"&amp;"onikong Komunikasyon:** I-save ang anumang mga email, text message, o voicemail na naglalaman ng mapanliligalig na nilalaman. Ang mga ito ay maaaring maging mahahalagang piraso ng ebidensya.
* **Pisikal na Katibayan:** Panatilihin ang anumang pisikal na k"&amp;"atibayan ng panliligalig, tulad ng mga tala, mga regalong may sekswal na katangian, o nasirang damit.
**Sumusuportang Ebidensya:**
* **Mga Pagbabago sa Pag-uugali:** Idokumento ang anumang mga pagbabago sa iyong pag-uugali sa trabaho dahil sa panliligalig"&amp;", gaya ng tumaas na pagliban, pag-alis sa mga kasamahan, o pagbaba sa kalidad ng trabaho.
* **Mga Pahayag mula sa Mga Kasamahan:** Bagama't hindi direktang mga saksi, maaaring makumpirma ng mga kasamahan ang mga pagbabago sa iyong pag-uugali o sa pangkala"&amp;"hatang kapaligiran sa trabaho.
**Pag-uulat ng Panliligalig:**
* **Internal na Pag-uulat:** Iulat ang panliligalig sa departamento ng Human Resources ng iyong employer o isang superbisor, kahit na walang mga saksi. Idokumento ang petsa at oras ng iyong ula"&amp;"t, gayundin kung kanino mo ito iniulat at ang kanilang tugon.
* **Reklamo ng DOLE:** Pag-isipang magsampa ng reklamo sa Department of Labor and Employment (DOLE) kahit na hindi ka pa nag-uulat sa loob. Nagtatatag ito ng talaan ng insidente at posibleng ma"&amp;"gpapalakas sa iyong kaso.
**Naghahanap ng Legal na Tulong:**
* **Kadalubhasaan ng Abogado:** Ang isang abogado na dalubhasa sa batas sa paggawa ay maaaring maging napakahalaga. Maaari nilang suriin ang iyong sitwasyon, payuhan ang pinakamahusay na paraan "&amp;"ng pagkilos, at tulungan kang mangalap ng karagdagang ebidensya. Maaari din silang kumatawan sa iyo kung magpasya kang magsagawa ng legal na aksyon laban sa iyong employer.
**Tandaan:**
* **Mahalaga ang kredibilidad:** Kung mas detalyado at pare-pareho an"&amp;"g iyong record, mas magiging malakas ang iyong kaso. * **Tumuon sa Mga Katotohanan:** Iwasan ang haka-haka o emosyonal na pananalita kapag nagdodokumento ng panliligalig. Tumutok sa makatotohanang paglalarawan ng mga pangyayari.
**Habang ang mga testigo a"&amp;"y maaaring palakasin ang iyong kaso, ang kanilang kawalan ay hindi nagpapawalang-bisa sa iyong karanasan. Sa pamamagitan ng pagbuo ng isang komprehensibong talaan na may dokumentadong ebidensya, panloob na mga ulat, at paghingi ng legal na patnubay, epekt"&amp;"ibo mong maipapakita ang sekswal na panliligalig na iyong tiniis at ipaglaban ang isang ligtas na kapaligiran sa trabaho.**
**Mga Karagdagang Mapagkukunan:**
* Department of Labor and Employment (DOLE): [https://www.officialgazette.gov.ph/section/briefing"&amp;"-room/department-of-labor-and-employment/page/2/](https://www .officialgazette.gov.ph/section/briefing-room/department-of-labor-and-employment/page/2/)
* Commission on Women (PCW): [https://pcw.gov.ph/](https://pcw.gov.ph/)
* Public Attorney's Office (PAO"&amp;"): [https://pao.gov.ph/](https://pao.gov.ph/)")</f>
        <v>Kahit na walang mga saksi, maaari ka pa ring bumuo ng isang malakas na kaso upang patunayan ang sexual harassment sa Pilipinas. Ganito:
**Ang Dokumentasyon ay Susi:**
* **Mga Detalyadong Tala:** Panatilihin ang isang detalyadong tala ng mga insidente ng panliligalig. Kabilang dito ang:
* **Mga Petsa at Oras:** Itala ang mga partikular na petsa at oras na nangyari ang bawat insidente.
* **Mga Tukoy na Detalye:** Ilarawan nang tumpak ang mga detalye ng panliligalig, kasama ang sinabi, anong mga aksyon ang ginawa, at anumang mga di-berbal na pahiwatig.
* **Ebidensya ng Epekto:** Idokumento kung paano nakaapekto sa iyo ang panliligalig sa emosyonal (pagkabalisa, takot) o propesyonal (nabawasan ang pagganap sa trabaho).
**Mga Uri ng Ebidensya:**
* **Mga Elektronikong Komunikasyon:** I-save ang anumang mga email, text message, o voicemail na naglalaman ng mapanliligalig na nilalaman. Ang mga ito ay maaaring maging mahahalagang piraso ng ebidensya.
* **Pisikal na Katibayan:** Panatilihin ang anumang pisikal na katibayan ng panliligalig, tulad ng mga tala, mga regalong may sekswal na katangian, o nasirang damit.
**Sumusuportang Ebidensya:**
* **Mga Pagbabago sa Pag-uugali:** Idokumento ang anumang mga pagbabago sa iyong pag-uugali sa trabaho dahil sa panliligalig, gaya ng tumaas na pagliban, pag-alis sa mga kasamahan, o pagbaba sa kalidad ng trabaho.
* **Mga Pahayag mula sa Mga Kasamahan:** Bagama't hindi direktang mga saksi, maaaring makumpirma ng mga kasamahan ang mga pagbabago sa iyong pag-uugali o sa pangkalahatang kapaligiran sa trabaho.
**Pag-uulat ng Panliligalig:**
* **Internal na Pag-uulat:** Iulat ang panliligalig sa departamento ng Human Resources ng iyong employer o isang superbisor, kahit na walang mga saksi. Idokumento ang petsa at oras ng iyong ulat, gayundin kung kanino mo ito iniulat at ang kanilang tugon.
* **Reklamo ng DOLE:** Pag-isipang magsampa ng reklamo sa Department of Labor and Employment (DOLE) kahit na hindi ka pa nag-uulat sa loob. Nagtatatag ito ng talaan ng insidente at posibleng magpapalakas sa iyong kaso.
**Naghahanap ng Legal na Tulong:**
* **Kadalubhasaan ng Abogado:** Ang isang abogado na dalubhasa sa batas sa paggawa ay maaaring maging napakahalaga. Maaari nilang suriin ang iyong sitwasyon, payuhan ang pinakamahusay na paraan ng pagkilos, at tulungan kang mangalap ng karagdagang ebidensya. Maaari din silang kumatawan sa iyo kung magpasya kang magsagawa ng legal na aksyon laban sa iyong employer.
**Tandaan:**
* **Mahalaga ang kredibilidad:** Kung mas detalyado at pare-pareho ang iyong record, mas magiging malakas ang iyong kaso. * **Tumuon sa Mga Katotohanan:** Iwasan ang haka-haka o emosyonal na pananalita kapag nagdodokumento ng panliligalig. Tumutok sa makatotohanang paglalarawan ng mga pangyayari.
**Habang ang mga testigo ay maaaring palakasin ang iyong kaso, ang kanilang kawalan ay hindi nagpapawalang-bisa sa iyong karanasan. Sa pamamagitan ng pagbuo ng isang komprehensibong talaan na may dokumentadong ebidensya, panloob na mga ulat, at paghingi ng legal na patnubay, epektibo mong maipapakita ang sekswal na panliligalig na iyong tiniis at ipaglaban ang isang ligtas na kapaligiran sa trabaho.**
**Mga Karagdagang Mapagkukunan:**
* Department of Labor and Employment (DOLE): [https://www.officialgazette.gov.ph/section/briefing-room/department-of-labor-and-employment/page/2/](https://www .officialgazette.gov.ph/section/briefing-room/department-of-labor-and-employment/page/2/)
* Commission on Women (PCW): [https://pcw.gov.ph/](https://pcw.gov.ph/)
* Public Attorney's Office (PAO): [https://pao.gov.ph/](https://pao.gov.ph/)</v>
      </c>
      <c r="F702" s="2">
        <f t="shared" si="1"/>
        <v>0</v>
      </c>
      <c r="G702" s="2"/>
      <c r="H702" s="2"/>
      <c r="I702" s="2"/>
      <c r="J702" s="2"/>
      <c r="K702" s="2"/>
      <c r="L702" s="2"/>
      <c r="M702" s="2"/>
      <c r="N702" s="2"/>
      <c r="O702" s="2"/>
      <c r="P702" s="2"/>
      <c r="Q702" s="2"/>
      <c r="R702" s="2"/>
      <c r="S702" s="2"/>
      <c r="T702" s="2"/>
      <c r="U702" s="2"/>
      <c r="V702" s="2"/>
      <c r="W702" s="2"/>
      <c r="X702" s="2"/>
      <c r="Y702" s="2"/>
      <c r="Z702" s="2"/>
      <c r="AA702" s="2"/>
    </row>
    <row r="703">
      <c r="A703" s="3" t="s">
        <v>2010</v>
      </c>
      <c r="B703" s="1" t="s">
        <v>2323</v>
      </c>
      <c r="C703" s="1" t="s">
        <v>2324</v>
      </c>
      <c r="D703" s="1" t="s">
        <v>2325</v>
      </c>
      <c r="E703" s="2" t="str">
        <f>IFERROR(__xludf.DUMMYFUNCTION("GOOGLETRANSLATE(C703, ""en"", ""TL"")"),"Ang seksuwal na pagsasamantala sa konteksto ng mga batas sa paggawa ay higit pa sa mga hindi gustong sekswal na pagsulong o isang masamang kapaligiran sa trabaho. Narito ang isang breakdown ng kung ano ang kasama nito sa Pilipinas:
**Pagpipilit sa Sekswal"&amp;" na Pabor:**
* Ito ang pinakakaraniwang uri ng seksuwal na pagsasamantala sa lugar ng trabaho. Ito ay nangyayari kapag ang isang tagapag-empleyo, superbisor, o isang taong nasa posisyon ng kapangyarihan:
* Nagkondisyon ng trabaho, mga benepisyo sa trabaho"&amp;", o promosyon sa mga sekswal na pabor.
* Nagbabanta sa seguridad sa trabaho, pagbabawas ng posisyon, o iba pang negatibong kahihinatnan kung tatanggihan ang mga sekswal na pabor.
* Ito ay maaaring tahasan o implicit, sa pamamagitan ng berbal o di-berbal n"&amp;"a mga pahiwatig.
**Pag-abuso sa Awtoridad para sa Sekswal na Layunin:**
* Kabilang dito ang paggamit ng posisyon ng kapangyarihan para ipilit o pilitin ang isang empleyado sa sekswal na aktibidad. Maaaring kabilang dito ang:
* Humihingi ng mga sekswal na "&amp;"pabor kapalit ng mga pagkakataon sa pagsasanay.
* Pagbabanta ng negatibong mga pagsusuri sa pagganap para sa pagtanggi sa mga sekswal na pagsulong.
* Paggamit ng mga sekswal na relasyon bilang isang kadahilanan sa mga promosyon o pagtatalaga sa trabaho.
*"&amp;"*Trafficking para sa Sekswal na Pagsasamantala:**
* Ito ang pinakamatinding anyo ng seksuwal na pagsasamantala at kinabibilangan ng pagpilit sa isang tao sa sekswal na aktibidad sa pamamagitan ng panlilinlang, karahasan, o pagbabanta. Ito ay bihirang maka"&amp;"tagpo sa mga pormal na setting ng trabaho ngunit maaaring may kaugnayan sa ilang mga sitwasyon, tulad ng sapilitang paggawa sa industriya ng sex.
**Mga Pangunahing Punto na Dapat Tandaan:**
* **Mahalaga ang pahintulot:** Ang sekswal na aktibidad ay dapat "&amp;"na ganap na boluntaryo at walang anumang panggigipit o pamimilit. * **Power Imbalance:** Ang power imbalance sa pagitan ng mga employer, superbisor, at empleyado ay lumilikha ng kahinaan sa pagsasamantala. * **Implicit Coercion:** Kahit na ang mga banayad"&amp;" na pagbabanta o implikasyon tungkol sa seguridad sa trabaho ay maaaring ituring na pamimilit.
**Ang Anti-Sexual Harassment Act (RA 7877):**
* Ang Batas na ito ay ang pangunahing legal na balangkas na tumutugon sa sekswal na panliligalig sa Pilipinas. Bag"&amp;"ama't nakatutok ito sa masasamang kapaligiran sa trabaho at mga hindi gustong sekswal na pagsulong, maaari rin itong sumaklaw sa mga sitwasyon ng sekswal na pagsasamantala.
**Ibang Kaugnay na Batas:**
* **Safe Spaces Act (RA 11313):** Pinalawak ng Batas n"&amp;"a ito ang kahulugan ng sexual harassment upang isama ang online na sekswal na panliligalig, na maaaring may kaugnayan sa ilang mga kaso ng pagsasamantala.
* **Binago ang Kodigo Penal:** Depende sa kalubhaan, ang ilang mga probisyon ng Kodigo Penal ay maaa"&amp;"ring ilapat, tulad ng mga pagkilos ng kahalayan o panggagahasa.
**Kung nakakaranas ka ng anumang uri ng sekswal na pagsasamantala sa lugar ng trabaho, mayroon kang mga karapatan at legal na proteksyon. Narito ang ilang mapagkukunang makakatulong:**
* Depa"&amp;"rtment of Labor and Employment (DOLE): [https://www.officialgazette.gov.ph/section/briefing-room/department-of-labor-and-employment/](https://www.officialgazette.gov .ph/section/briefing-room/department-of-labor-and-employment/)
* Commission on Women (PCW"&amp;"): [https://pcw.gov.ph/](https://pcw.gov.ph/)
* Public Attorney's Office (PAO): [https://pao.gov.ph/](https://pao.gov.ph/)
**Tandaan:**
Ang seksuwal na pagsasamantala sa lugar ng trabaho ay labag sa batas at hindi katanggap-tanggap. Sa pamamagitan ng pag-"&amp;"unawa sa iyong mga karapatan at paghingi ng tulong mula sa mga nauugnay na ahensya o legal na propesyonal, maaari kang gumawa ng aksyon laban sa may kasalanan at protektahan ang iyong sarili.")</f>
        <v>Ang seksuwal na pagsasamantala sa konteksto ng mga batas sa paggawa ay higit pa sa mga hindi gustong sekswal na pagsulong o isang masamang kapaligiran sa trabaho. Narito ang isang breakdown ng kung ano ang kasama nito sa Pilipinas:
**Pagpipilit sa Sekswal na Pabor:**
* Ito ang pinakakaraniwang uri ng seksuwal na pagsasamantala sa lugar ng trabaho. Ito ay nangyayari kapag ang isang tagapag-empleyo, superbisor, o isang taong nasa posisyon ng kapangyarihan:
* Nagkondisyon ng trabaho, mga benepisyo sa trabaho, o promosyon sa mga sekswal na pabor.
* Nagbabanta sa seguridad sa trabaho, pagbabawas ng posisyon, o iba pang negatibong kahihinatnan kung tatanggihan ang mga sekswal na pabor.
* Ito ay maaaring tahasan o implicit, sa pamamagitan ng berbal o di-berbal na mga pahiwatig.
**Pag-abuso sa Awtoridad para sa Sekswal na Layunin:**
* Kabilang dito ang paggamit ng posisyon ng kapangyarihan para ipilit o pilitin ang isang empleyado sa sekswal na aktibidad. Maaaring kabilang dito ang:
* Humihingi ng mga sekswal na pabor kapalit ng mga pagkakataon sa pagsasanay.
* Pagbabanta ng negatibong mga pagsusuri sa pagganap para sa pagtanggi sa mga sekswal na pagsulong.
* Paggamit ng mga sekswal na relasyon bilang isang kadahilanan sa mga promosyon o pagtatalaga sa trabaho.
**Trafficking para sa Sekswal na Pagsasamantala:**
* Ito ang pinakamatinding anyo ng seksuwal na pagsasamantala at kinabibilangan ng pagpilit sa isang tao sa sekswal na aktibidad sa pamamagitan ng panlilinlang, karahasan, o pagbabanta. Ito ay bihirang makatagpo sa mga pormal na setting ng trabaho ngunit maaaring may kaugnayan sa ilang mga sitwasyon, tulad ng sapilitang paggawa sa industriya ng sex.
**Mga Pangunahing Punto na Dapat Tandaan:**
* **Mahalaga ang pahintulot:** Ang sekswal na aktibidad ay dapat na ganap na boluntaryo at walang anumang panggigipit o pamimilit. * **Power Imbalance:** Ang power imbalance sa pagitan ng mga employer, superbisor, at empleyado ay lumilikha ng kahinaan sa pagsasamantala. * **Implicit Coercion:** Kahit na ang mga banayad na pagbabanta o implikasyon tungkol sa seguridad sa trabaho ay maaaring ituring na pamimilit.
**Ang Anti-Sexual Harassment Act (RA 7877):**
* Ang Batas na ito ay ang pangunahing legal na balangkas na tumutugon sa sekswal na panliligalig sa Pilipinas. Bagama't nakatutok ito sa masasamang kapaligiran sa trabaho at mga hindi gustong sekswal na pagsulong, maaari rin itong sumaklaw sa mga sitwasyon ng sekswal na pagsasamantala.
**Ibang Kaugnay na Batas:**
* **Safe Spaces Act (RA 11313):** Pinalawak ng Batas na ito ang kahulugan ng sexual harassment upang isama ang online na sekswal na panliligalig, na maaaring may kaugnayan sa ilang mga kaso ng pagsasamantala.
* **Binago ang Kodigo Penal:** Depende sa kalubhaan, ang ilang mga probisyon ng Kodigo Penal ay maaaring ilapat, tulad ng mga pagkilos ng kahalayan o panggagahasa.
**Kung nakakaranas ka ng anumang uri ng sekswal na pagsasamantala sa lugar ng trabaho, mayroon kang mga karapatan at legal na proteksyon. Narito ang ilang mapagkukunang makakatulong:**
* Department of Labor and Employment (DOLE): [https://www.officialgazette.gov.ph/section/briefing-room/department-of-labor-and-employment/](https://www.officialgazette.gov .ph/section/briefing-room/department-of-labor-and-employment/)
* Commission on Women (PCW): [https://pcw.gov.ph/](https://pcw.gov.ph/)
* Public Attorney's Office (PAO): [https://pao.gov.ph/](https://pao.gov.ph/)
**Tandaan:**
Ang seksuwal na pagsasamantala sa lugar ng trabaho ay labag sa batas at hindi katanggap-tanggap. Sa pamamagitan ng pag-unawa sa iyong mga karapatan at paghingi ng tulong mula sa mga nauugnay na ahensya o legal na propesyonal, maaari kang gumawa ng aksyon laban sa may kasalanan at protektahan ang iyong sarili.</v>
      </c>
      <c r="F703" s="2">
        <f t="shared" si="1"/>
        <v>0</v>
      </c>
      <c r="G703" s="2"/>
      <c r="H703" s="2"/>
      <c r="I703" s="2"/>
      <c r="J703" s="2"/>
      <c r="K703" s="2"/>
      <c r="L703" s="2"/>
      <c r="M703" s="2"/>
      <c r="N703" s="2"/>
      <c r="O703" s="2"/>
      <c r="P703" s="2"/>
      <c r="Q703" s="2"/>
      <c r="R703" s="2"/>
      <c r="S703" s="2"/>
      <c r="T703" s="2"/>
      <c r="U703" s="2"/>
      <c r="V703" s="2"/>
      <c r="W703" s="2"/>
      <c r="X703" s="2"/>
      <c r="Y703" s="2"/>
      <c r="Z703" s="2"/>
      <c r="AA703" s="2"/>
    </row>
    <row r="704">
      <c r="A704" s="3" t="s">
        <v>2010</v>
      </c>
      <c r="B704" s="1" t="s">
        <v>2326</v>
      </c>
      <c r="C704" s="1" t="s">
        <v>2327</v>
      </c>
      <c r="D704" s="1" t="s">
        <v>2328</v>
      </c>
      <c r="E704" s="2" t="str">
        <f>IFERROR(__xludf.DUMMYFUNCTION("GOOGLETRANSLATE(C704, ""en"", ""TL"")"),"Oo, maaari kang magsampa ng kaso laban sa iyong tagapag-empleyo para sa pagpilit sa iyo sa isang sekswal na relasyon para sa seguridad sa trabaho sa Pilipinas. Narito kung bakit:
**Anti-Sexual Harassment Act (RA 7877):**
* Ipinagbabawal ng Batas na ito an"&amp;"g sekswal na panliligalig, na kinabibilangan ng:
* **Demand o kahilingan para sa mga sekswal na pabor:** Ito ay direktang naaangkop sa iyong sitwasyon, kung saan ang iyong employer ay nagkondisyon ng seguridad sa trabaho sa mga sekswal na pabor.
* Pinopro"&amp;"tektahan ng batas ang lahat ng empleyado anuman ang posisyon o antas at nalalapat kahit na hindi direktang superbisor ang nanliligalig.
**Pagpipilit at Power Imbalance:**
* Ang katotohanan na ginamit ng iyong employer ang iyong seguridad sa trabaho para p"&amp;"ilitin ka sa isang sekswal na relasyon ay nagpapatibay sa iyong kaso. Ang kawalan ng balanse ng kapangyarihan sa pagitan ng isang tagapag-empleyo at isang empleyado ay lumilikha ng isang sitwasyon kung saan maaaring mahirap o imposibleng magbigay ng pahin"&amp;"tulot nang malaya.
**Pagbuo ng Iyong Kaso:**
* **Ang ebidensya ay Susi:** Bagama't ang mga saksi ay perpekto, anumang ebidensya na mayroon ka ay maaaring makatulong. Maaaring kabilang dito ang:
* Dokumentasyon ng mga pagbabanta o mga kahilingan na may kau"&amp;"gnayan sa iyong seguridad sa trabaho.
* Mga elektronikong komunikasyon (mga email, text) sa iyong tagapag-empleyo na maaaring nagmumungkahi o nagsasangkot.
* Mga talaan ng mga pagbabago sa iyong kapaligiran sa trabaho o pag-uugali dahil sa panliligalig.
*"&amp;" **Pag-uulat ng Panliligalig:** Ang paghahain ng reklamo sa Department of Labor and Employment (DOLE) ay maaaring magtatag ng talaan ng insidente at suportahan ang iyong demanda. **Naghahanap ng Legal na Tagapayo:**
* Ang isang abogado na dalubhasa sa bat"&amp;"as sa paggawa ay maaaring maging mahalaga. Maaari nilang suriin ang iyong sitwasyon, payuhan ang pinakamahusay na paraan ng pagkilos, at tulungan kang mangalap ng ebidensya. Maaari din silang kumatawan sa iyo sa korte at mag-navigate sa legal na proseso. "&amp;"**Potensyal na Resulta:**
* **Cease and Desist Order:** Maaaring utusan ng korte ang iyong employer na itigil ang panliligalig at gumawa ng mga hakbang upang maiwasan ang mga insidente sa hinaharap.
* **Mga Pinsala:** Maaari kang mabigyan ng pera na kabay"&amp;"aran para sa emosyonal na pagkabalisa, mga gastos sa medikal, at nawalang sahod (kung mayroon man) dahil sa panliligalig.
* **Pagpapanumbalik ng Trabaho:** Sa ilang mga kaso, maaaring iutos ng hukuman ang iyong muling pagbabalik sa iyong dating posisyon k"&amp;"ung ikaw ay maling winakasan.
**Tandaan:**
* **Statute of Limitations:** May isang taong limitasyon sa oras para magsampa ng reklamo sa DOLE. Gayunpaman, maaari mo pa ring idemanda ang iyong employer sa korte pagkatapos ng deadline na ito.
* **Emosyonal n"&amp;"a Toll:** Ang legal na proseso ay maaaring mahaba at mabigat. Pag-isipang humingi ng emosyonal na suporta mula sa mga pinagkakatiwalaang kaibigan, pamilya, o isang therapist sa buong paglalakbay na ito.
**Ang paninindigan laban sa sekswal na pagsasamantal"&amp;"a sa lugar ng trabaho ay pinoprotektahan ang iyong mga karapatan at pinipigilan ang katulad na pag-uugali sa iba. Ang mga mapagkukunan sa ibaba ay maaaring magbigay ng karagdagang suporta:**
* Department of Labor and Employment (DOLE): [https://www.offici"&amp;"algazette.gov.ph/](https://www.officialgazette.gov.ph/)
* Commission on Women (PCW): [https://pcw.gov.ph/](https://pcw.gov.ph/)
* Public Attorney's Office (PAO): [https://pao.gov.ph/](https://pao.gov.ph/)")</f>
        <v>Oo, maaari kang magsampa ng kaso laban sa iyong tagapag-empleyo para sa pagpilit sa iyo sa isang sekswal na relasyon para sa seguridad sa trabaho sa Pilipinas. Narito kung bakit:
**Anti-Sexual Harassment Act (RA 7877):**
* Ipinagbabawal ng Batas na ito ang sekswal na panliligalig, na kinabibilangan ng:
* **Demand o kahilingan para sa mga sekswal na pabor:** Ito ay direktang naaangkop sa iyong sitwasyon, kung saan ang iyong employer ay nagkondisyon ng seguridad sa trabaho sa mga sekswal na pabor.
* Pinoprotektahan ng batas ang lahat ng empleyado anuman ang posisyon o antas at nalalapat kahit na hindi direktang superbisor ang nanliligalig.
**Pagpipilit at Power Imbalance:**
* Ang katotohanan na ginamit ng iyong employer ang iyong seguridad sa trabaho para pilitin ka sa isang sekswal na relasyon ay nagpapatibay sa iyong kaso. Ang kawalan ng balanse ng kapangyarihan sa pagitan ng isang tagapag-empleyo at isang empleyado ay lumilikha ng isang sitwasyon kung saan maaaring mahirap o imposibleng magbigay ng pahintulot nang malaya.
**Pagbuo ng Iyong Kaso:**
* **Ang ebidensya ay Susi:** Bagama't ang mga saksi ay perpekto, anumang ebidensya na mayroon ka ay maaaring makatulong. Maaaring kabilang dito ang:
* Dokumentasyon ng mga pagbabanta o mga kahilingan na may kaugnayan sa iyong seguridad sa trabaho.
* Mga elektronikong komunikasyon (mga email, text) sa iyong tagapag-empleyo na maaaring nagmumungkahi o nagsasangkot.
* Mga talaan ng mga pagbabago sa iyong kapaligiran sa trabaho o pag-uugali dahil sa panliligalig.
* **Pag-uulat ng Panliligalig:** Ang paghahain ng reklamo sa Department of Labor and Employment (DOLE) ay maaaring magtatag ng talaan ng insidente at suportahan ang iyong demanda. **Naghahanap ng Legal na Tagapayo:**
* Ang isang abogado na dalubhasa sa batas sa paggawa ay maaaring maging mahalaga. Maaari nilang suriin ang iyong sitwasyon, payuhan ang pinakamahusay na paraan ng pagkilos, at tulungan kang mangalap ng ebidensya. Maaari din silang kumatawan sa iyo sa korte at mag-navigate sa legal na proseso. **Potensyal na Resulta:**
* **Cease and Desist Order:** Maaaring utusan ng korte ang iyong employer na itigil ang panliligalig at gumawa ng mga hakbang upang maiwasan ang mga insidente sa hinaharap.
* **Mga Pinsala:** Maaari kang mabigyan ng pera na kabayaran para sa emosyonal na pagkabalisa, mga gastos sa medikal, at nawalang sahod (kung mayroon man) dahil sa panliligalig.
* **Pagpapanumbalik ng Trabaho:** Sa ilang mga kaso, maaaring iutos ng hukuman ang iyong muling pagbabalik sa iyong dating posisyon kung ikaw ay maling winakasan.
**Tandaan:**
* **Statute of Limitations:** May isang taong limitasyon sa oras para magsampa ng reklamo sa DOLE. Gayunpaman, maaari mo pa ring idemanda ang iyong employer sa korte pagkatapos ng deadline na ito.
* **Emosyonal na Toll:** Ang legal na proseso ay maaaring mahaba at mabigat. Pag-isipang humingi ng emosyonal na suporta mula sa mga pinagkakatiwalaang kaibigan, pamilya, o isang therapist sa buong paglalakbay na ito.
**Ang paninindigan laban sa sekswal na pagsasamantala sa lugar ng trabaho ay pinoprotektahan ang iyong mga karapatan at pinipigilan ang katulad na pag-uugali sa iba. Ang mga mapagkukunan sa ibaba ay maaaring magbigay ng karagdagang suporta:**
* Department of Labor and Employment (DOLE): [https://www.officialgazette.gov.ph/](https://www.officialgazette.gov.ph/)
* Commission on Women (PCW): [https://pcw.gov.ph/](https://pcw.gov.ph/)
* Public Attorney's Office (PAO): [https://pao.gov.ph/](https://pao.gov.ph/)</v>
      </c>
      <c r="F704" s="2">
        <f t="shared" si="1"/>
        <v>0</v>
      </c>
      <c r="G704" s="2"/>
      <c r="H704" s="2"/>
      <c r="I704" s="2"/>
      <c r="J704" s="2"/>
      <c r="K704" s="2"/>
      <c r="L704" s="2"/>
      <c r="M704" s="2"/>
      <c r="N704" s="2"/>
      <c r="O704" s="2"/>
      <c r="P704" s="2"/>
      <c r="Q704" s="2"/>
      <c r="R704" s="2"/>
      <c r="S704" s="2"/>
      <c r="T704" s="2"/>
      <c r="U704" s="2"/>
      <c r="V704" s="2"/>
      <c r="W704" s="2"/>
      <c r="X704" s="2"/>
      <c r="Y704" s="2"/>
      <c r="Z704" s="2"/>
      <c r="AA704" s="2"/>
    </row>
    <row r="705">
      <c r="A705" s="3" t="s">
        <v>2010</v>
      </c>
      <c r="B705" s="1" t="s">
        <v>2329</v>
      </c>
      <c r="C705" s="1" t="s">
        <v>2330</v>
      </c>
      <c r="D705" s="1" t="s">
        <v>2331</v>
      </c>
      <c r="E705" s="2" t="str">
        <f>IFERROR(__xludf.DUMMYFUNCTION("GOOGLETRANSLATE(C705, ""en"", ""TL"")"),"Sa Pilipinas, talagang may dalawang nauugnay na deadline na dapat isaalang-alang para sa pag-uulat ng sekswal na pagsasamantala sa lugar ng trabaho:
**1. Reklamo ng Department of Labor and Employment (DOLE):**
* Mayroong **isang taong batas ng mga limitas"&amp;"yon** para sa paghahain ng reklamo sa DOLE tungkol sa sexual harassment o pagsasamantala. Nangangahulugan ito na mayroon kang isang taon mula sa petsa ng insidente (o ang huling insidente sa isang serye ng patuloy na panliligalig) upang maghain ng reklamo"&amp;" sa DOLE.
**2. Paghahain ng demanda:**
* Bagama't walang partikular na batas ng mga limitasyon para sa pagsasampa ng kaso laban sa iyong tagapag-empleyo para sa sekswal na pagsasamantala, may mga pangkalahatang deadline ng batas sibil na nalalapat. Ang mg"&amp;"a deadline na ito ay maaaring mag-iba depende sa uri ng legal na paghahabol na hinahabol (hal., mga pinsala para sa emosyonal na pagkabalisa, maling pagwawakas). Ang pagkonsulta sa isang abogado na dalubhasa sa batas sa paggawa ay mahalaga upang maunawaan"&amp;" ang mga partikular na deadline na nauugnay sa iyong sitwasyon.
**Narito ang isang breakdown ng mga implikasyon:**
* **Reklamo ng DOLE:** Ang paghahain ng reklamo sa DOLE sa loob ng isang taong palugit ay nagpapahintulot sa kanila na imbestigahan ang insi"&amp;"dente at posibleng magpataw ng mga parusa sa iyong employer. Maaari din nitong palakasin ang iyong kaso kung magpasya kang ituloy ang isang demanda.
* **Paghahain ng Demanda:** Kahit na hindi ka makalipas ang isang taong palugit para sa reklamo ng DOLE, m"&amp;"aaari mo pa ring idemanda ang iyong employer sa korte. Gayunpaman, ang partikular na timeframe para sa paghahain ng kaso ay depende sa legal na batayan ng iyong paghahabol. **Ano ang gagawin:**
* Gaano man katagal ang lumipas mula noong insidente, mahalag"&amp;"ang idokumento ang lahat ng maaalala mo tungkol sa seksuwal na pagsasamantala. Kabilang dito ang mga petsa, oras, detalye ng mga insidente, at anumang ebidensya na maaaring mayroon ka (hal., mga email, text, pahayag ng saksi).
* Kumonsulta sa isang abogad"&amp;"o na dalubhasa sa batas sa paggawa sa lalong madaling panahon. Maaari nilang suriin ang mga detalye ng iyong sitwasyon, payuhan ang pinakamahusay na paraan ng pagkilos, at tukuyin ang mga nauugnay na legal na deadline na naaangkop sa iyong kaso.
**Mga Kar"&amp;"agdagang Mapagkukunan:**
* Department of Labor and Employment (DOLE): [https://www.officialgazette.gov.ph/section/briefing-room/department-of-labor-and-employment/page/2/](https://www .officialgazette.gov.ph/section/briefing-room/department-of-labor-and-e"&amp;"mployment/page/2/)
* Commission on Women (PCW): [https://pcw.gov.ph/](https://pcw.gov.ph/)
* Public Attorney's Office (PAO): [https://pao.gov.ph/](https://pao.gov.ph/)
**Tandaan:**
Kahit na hindi mo maaaring ituloy ang isang reklamo sa DOLE dahil sa isang"&amp;" taon na limitasyon, ang paghingi ng legal na payo at paggalugad ng posibilidad ng isang demanda ay maaaring maging isang opsyon pa rin. Matutulungan ka ng isang abogado na maunawaan ang iyong mga karapatan at potensyal na legal na paraan sa iyong partiku"&amp;"lar na sitwasyon.")</f>
        <v>Sa Pilipinas, talagang may dalawang nauugnay na deadline na dapat isaalang-alang para sa pag-uulat ng sekswal na pagsasamantala sa lugar ng trabaho:
**1. Reklamo ng Department of Labor and Employment (DOLE):**
* Mayroong **isang taong batas ng mga limitasyon** para sa paghahain ng reklamo sa DOLE tungkol sa sexual harassment o pagsasamantala. Nangangahulugan ito na mayroon kang isang taon mula sa petsa ng insidente (o ang huling insidente sa isang serye ng patuloy na panliligalig) upang maghain ng reklamo sa DOLE.
**2. Paghahain ng demanda:**
* Bagama't walang partikular na batas ng mga limitasyon para sa pagsasampa ng kaso laban sa iyong tagapag-empleyo para sa sekswal na pagsasamantala, may mga pangkalahatang deadline ng batas sibil na nalalapat. Ang mga deadline na ito ay maaaring mag-iba depende sa uri ng legal na paghahabol na hinahabol (hal., mga pinsala para sa emosyonal na pagkabalisa, maling pagwawakas). Ang pagkonsulta sa isang abogado na dalubhasa sa batas sa paggawa ay mahalaga upang maunawaan ang mga partikular na deadline na nauugnay sa iyong sitwasyon.
**Narito ang isang breakdown ng mga implikasyon:**
* **Reklamo ng DOLE:** Ang paghahain ng reklamo sa DOLE sa loob ng isang taong palugit ay nagpapahintulot sa kanila na imbestigahan ang insidente at posibleng magpataw ng mga parusa sa iyong employer. Maaari din nitong palakasin ang iyong kaso kung magpasya kang ituloy ang isang demanda.
* **Paghahain ng Demanda:** Kahit na hindi ka makalipas ang isang taong palugit para sa reklamo ng DOLE, maaari mo pa ring idemanda ang iyong employer sa korte. Gayunpaman, ang partikular na timeframe para sa paghahain ng kaso ay depende sa legal na batayan ng iyong paghahabol. **Ano ang gagawin:**
* Gaano man katagal ang lumipas mula noong insidente, mahalagang idokumento ang lahat ng maaalala mo tungkol sa seksuwal na pagsasamantala. Kabilang dito ang mga petsa, oras, detalye ng mga insidente, at anumang ebidensya na maaaring mayroon ka (hal., mga email, text, pahayag ng saksi).
* Kumonsulta sa isang abogado na dalubhasa sa batas sa paggawa sa lalong madaling panahon. Maaari nilang suriin ang mga detalye ng iyong sitwasyon, payuhan ang pinakamahusay na paraan ng pagkilos, at tukuyin ang mga nauugnay na legal na deadline na naaangkop sa iyong kaso.
**Mga Karagdagang Mapagkukunan:**
* Department of Labor and Employment (DOLE): [https://www.officialgazette.gov.ph/section/briefing-room/department-of-labor-and-employment/page/2/](https://www .officialgazette.gov.ph/section/briefing-room/department-of-labor-and-employment/page/2/)
* Commission on Women (PCW): [https://pcw.gov.ph/](https://pcw.gov.ph/)
* Public Attorney's Office (PAO): [https://pao.gov.ph/](https://pao.gov.ph/)
**Tandaan:**
Kahit na hindi mo maaaring ituloy ang isang reklamo sa DOLE dahil sa isang taon na limitasyon, ang paghingi ng legal na payo at paggalugad ng posibilidad ng isang demanda ay maaaring maging isang opsyon pa rin. Matutulungan ka ng isang abogado na maunawaan ang iyong mga karapatan at potensyal na legal na paraan sa iyong partikular na sitwasyon.</v>
      </c>
      <c r="F705" s="2">
        <f t="shared" si="1"/>
        <v>0</v>
      </c>
      <c r="G705" s="2"/>
      <c r="H705" s="2"/>
      <c r="I705" s="2"/>
      <c r="J705" s="2"/>
      <c r="K705" s="2"/>
      <c r="L705" s="2"/>
      <c r="M705" s="2"/>
      <c r="N705" s="2"/>
      <c r="O705" s="2"/>
      <c r="P705" s="2"/>
      <c r="Q705" s="2"/>
      <c r="R705" s="2"/>
      <c r="S705" s="2"/>
      <c r="T705" s="2"/>
      <c r="U705" s="2"/>
      <c r="V705" s="2"/>
      <c r="W705" s="2"/>
      <c r="X705" s="2"/>
      <c r="Y705" s="2"/>
      <c r="Z705" s="2"/>
      <c r="AA705" s="2"/>
    </row>
    <row r="706">
      <c r="A706" s="3" t="s">
        <v>2010</v>
      </c>
      <c r="B706" s="1" t="s">
        <v>2332</v>
      </c>
      <c r="C706" s="1" t="s">
        <v>2333</v>
      </c>
      <c r="D706" s="1" t="s">
        <v>2334</v>
      </c>
      <c r="E706" s="2" t="str">
        <f>IFERROR(__xludf.DUMMYFUNCTION("GOOGLETRANSLATE(C706, ""en"", ""TL"")"),"Bagama't ang sitwasyong inilalarawan mo ay hindi kinasasangkutan ng isang superbisor na direktang pinipilit ka, ang sekswal na pagsasamantala ng isang katrabaho ay maaari pa ring matugunan ng legal sa Pilipinas. Ganito:
**Anti-Sexual Harassment Act (RA 78"&amp;"77):**
* Ang Batas na ito, bagama't pangunahing nakatuon sa panliligalig mula sa mga superbisor, ay maaari pa ring magamit sa ilang partikular na sitwasyon ng katrabaho. * Tinutukoy ng Batas ang sekswal na panliligalig bilang mga hindi kanais-nais na seks"&amp;"wal na pagsulong, mga kahilingan para sa mga sekswal na pabor, at iba pang pasalita o pisikal na pag-uugali na may sekswal na katangian na lumilikha ng masamang kapaligiran sa trabaho.
**Mga Pangunahing Pagsasaalang-alang para sa Panliligalig sa Katrabaho"&amp;":**
* **Kalubhaan at Dalas:** Ang kalubhaan at dalas ng sekswal na pagsasamantala ay mahalagang mga kadahilanan. * **Kaalaman ng Employer:** Kung alam o dapat na alam ng iyong employer ang tungkol sa panliligalig at nabigong kumilos, maaaring managot sila"&amp;" sa paglikha ng masamang kapaligiran sa trabaho.
* **Mga Patakaran sa Lugar ng Trabaho:** Maraming kumpanya ang may panloob na mga patakaran laban sa sekswal na panliligalig. Suriin ang patakaran ng iyong kumpanya at sundin ang mga pamamaraang nakabalangk"&amp;"as para sa pag-uulat ng panliligalig.
**Potensyal na Legal na Pagkilos:**
* **Internal na Reklamo:** Magsampa ng reklamo sa departamento ng Human Resources ng iyong employer o isang superbisor. Nagtatatag ito ng talaan ng insidente at inilalagay ang respo"&amp;"nsibilidad sa employer na tugunan ito.
* **Reklamo ng DOLE:** Kahit na ang iyong katrabaho ang nanliligalig, maaari ka pa ring magsampa ng reklamo sa Department of Labor and Employment (DOLE). Maaaring imbestigahan ng DOLE ang reklamo at posibleng magpata"&amp;"w ng mga parusa sa iyong tagapag-empleyo kung nabigo silang pigilan ang masamang kapaligiran sa trabaho.
* **Paghahabla:** Isaalang-alang ang paghahabol ng demanda laban sa iyong katrabaho o employer (depende sa kanilang kaalaman at pagkilos). Ang isang a"&amp;"bogado ay maaaring magpayo sa pinakamahusay na paraan ng pagkilos batay sa mga detalye ng iyong sitwasyon. Maaari kang humingi ng danyos para sa emosyonal na pagkabalisa, mga gastusin sa medikal, o nawalang sahod kung naapektuhan ng panliligalig ang iyong"&amp;" pagganap sa trabaho.
**Mga Karagdagang Pagsasaalang-alang:**
* **Koleksyon ng Ebidensya:** Panatilihin ang isang talaan ng mga insidente ng panliligalig, kabilang ang mga petsa, oras, saksi (kung mayroon), at mga partikular na detalye ng nangyari. * **Na"&amp;"ghahanap ng Legal na Tulong:** Ang isang abogado na dalubhasa sa batas sa paggawa ay maaaring maging napakahalaga. Maaari nilang tasahin ang iyong sitwasyon, suriin ang pagiging angkop ng Anti-Sexual Harassment Act, at payuhan ang mga naaangkop na legal n"&amp;"a hakbang. **Tandaan:**
Ang sekswal na panliligalig at pagsasamantala ay walang lugar sa lugar ng trabaho, anuman ang posisyon ng nanliligalig. May karapatan ka sa isang ligtas na kapaligiran sa trabaho. Sa pamamagitan ng pagdodokumento ng mga insidente, "&amp;"pag-uulat ng panliligalig, at potensyal na paghingi ng legal na patnubay, maaari kang manindigan laban sa sekswal na pagsasamantala at panagutin ang mga responsable. Narito ang ilang mapagkukunan na maaaring magbigay ng karagdagang suporta:
* Department o"&amp;"f Labor and Employment (DOLE): [https://www.officialgazette.gov.ph/section/briefing-room/department-of-labor-and-employment/page/2/](https://www .officialgazette.gov.ph/section/briefing-room/department-of-labor-and-employment/page/2/)
* Commission on Wome"&amp;"n (PCW): [https://pcw.gov.ph/](https://pcw.gov.ph/)
* Public Attorney's Office (PAO): [https://pao.gov.ph/](https://pao.gov.ph/)")</f>
        <v>Bagama't ang sitwasyong inilalarawan mo ay hindi kinasasangkutan ng isang superbisor na direktang pinipilit ka, ang sekswal na pagsasamantala ng isang katrabaho ay maaari pa ring matugunan ng legal sa Pilipinas. Ganito:
**Anti-Sexual Harassment Act (RA 7877):**
* Ang Batas na ito, bagama't pangunahing nakatuon sa panliligalig mula sa mga superbisor, ay maaari pa ring magamit sa ilang partikular na sitwasyon ng katrabaho. * Tinutukoy ng Batas ang sekswal na panliligalig bilang mga hindi kanais-nais na sekswal na pagsulong, mga kahilingan para sa mga sekswal na pabor, at iba pang pasalita o pisikal na pag-uugali na may sekswal na katangian na lumilikha ng masamang kapaligiran sa trabaho.
**Mga Pangunahing Pagsasaalang-alang para sa Panliligalig sa Katrabaho:**
* **Kalubhaan at Dalas:** Ang kalubhaan at dalas ng sekswal na pagsasamantala ay mahalagang mga kadahilanan. * **Kaalaman ng Employer:** Kung alam o dapat na alam ng iyong employer ang tungkol sa panliligalig at nabigong kumilos, maaaring managot sila sa paglikha ng masamang kapaligiran sa trabaho.
* **Mga Patakaran sa Lugar ng Trabaho:** Maraming kumpanya ang may panloob na mga patakaran laban sa sekswal na panliligalig. Suriin ang patakaran ng iyong kumpanya at sundin ang mga pamamaraang nakabalangkas para sa pag-uulat ng panliligalig.
**Potensyal na Legal na Pagkilos:**
* **Internal na Reklamo:** Magsampa ng reklamo sa departamento ng Human Resources ng iyong employer o isang superbisor. Nagtatatag ito ng talaan ng insidente at inilalagay ang responsibilidad sa employer na tugunan ito.
* **Reklamo ng DOLE:** Kahit na ang iyong katrabaho ang nanliligalig, maaari ka pa ring magsampa ng reklamo sa Department of Labor and Employment (DOLE). Maaaring imbestigahan ng DOLE ang reklamo at posibleng magpataw ng mga parusa sa iyong tagapag-empleyo kung nabigo silang pigilan ang masamang kapaligiran sa trabaho.
* **Paghahabla:** Isaalang-alang ang paghahabol ng demanda laban sa iyong katrabaho o employer (depende sa kanilang kaalaman at pagkilos). Ang isang abogado ay maaaring magpayo sa pinakamahusay na paraan ng pagkilos batay sa mga detalye ng iyong sitwasyon. Maaari kang humingi ng danyos para sa emosyonal na pagkabalisa, mga gastusin sa medikal, o nawalang sahod kung naapektuhan ng panliligalig ang iyong pagganap sa trabaho.
**Mga Karagdagang Pagsasaalang-alang:**
* **Koleksyon ng Ebidensya:** Panatilihin ang isang talaan ng mga insidente ng panliligalig, kabilang ang mga petsa, oras, saksi (kung mayroon), at mga partikular na detalye ng nangyari. * **Naghahanap ng Legal na Tulong:** Ang isang abogado na dalubhasa sa batas sa paggawa ay maaaring maging napakahalaga. Maaari nilang tasahin ang iyong sitwasyon, suriin ang pagiging angkop ng Anti-Sexual Harassment Act, at payuhan ang mga naaangkop na legal na hakbang. **Tandaan:**
Ang sekswal na panliligalig at pagsasamantala ay walang lugar sa lugar ng trabaho, anuman ang posisyon ng nanliligalig. May karapatan ka sa isang ligtas na kapaligiran sa trabaho. Sa pamamagitan ng pagdodokumento ng mga insidente, pag-uulat ng panliligalig, at potensyal na paghingi ng legal na patnubay, maaari kang manindigan laban sa sekswal na pagsasamantala at panagutin ang mga responsable. Narito ang ilang mapagkukunan na maaaring magbigay ng karagdagang suporta:
* Department of Labor and Employment (DOLE): [https://www.officialgazette.gov.ph/section/briefing-room/department-of-labor-and-employment/page/2/](https://www .officialgazette.gov.ph/section/briefing-room/department-of-labor-and-employment/page/2/)
* Commission on Women (PCW): [https://pcw.gov.ph/](https://pcw.gov.ph/)
* Public Attorney's Office (PAO): [https://pao.gov.ph/](https://pao.gov.ph/)</v>
      </c>
      <c r="F706" s="2">
        <f t="shared" si="1"/>
        <v>0</v>
      </c>
      <c r="G706" s="2"/>
      <c r="H706" s="2"/>
      <c r="I706" s="2"/>
      <c r="J706" s="2"/>
      <c r="K706" s="2"/>
      <c r="L706" s="2"/>
      <c r="M706" s="2"/>
      <c r="N706" s="2"/>
      <c r="O706" s="2"/>
      <c r="P706" s="2"/>
      <c r="Q706" s="2"/>
      <c r="R706" s="2"/>
      <c r="S706" s="2"/>
      <c r="T706" s="2"/>
      <c r="U706" s="2"/>
      <c r="V706" s="2"/>
      <c r="W706" s="2"/>
      <c r="X706" s="2"/>
      <c r="Y706" s="2"/>
      <c r="Z706" s="2"/>
      <c r="AA706" s="2"/>
    </row>
    <row r="707">
      <c r="A707" s="3" t="s">
        <v>2010</v>
      </c>
      <c r="B707" s="1" t="s">
        <v>2335</v>
      </c>
      <c r="C707" s="1" t="s">
        <v>2336</v>
      </c>
      <c r="D707" s="1" t="s">
        <v>2337</v>
      </c>
      <c r="E707" s="2" t="str">
        <f>IFERROR(__xludf.DUMMYFUNCTION("GOOGLETRANSLATE(C707, ""en"", ""TL"")"),"Sa kasamaang palad, ang paghihiganti para sa pag-uulat ng sekswal na pagsasamantala sa trabaho ay isang potensyal na alalahanin sa Pilipinas, ngunit may mga hakbang na maaari mong gawin upang protektahan ang iyong sarili:
**Bago Mag-ulat:**
* **Magtipon n"&amp;"g Ebidensya:** Idokumento nang lubusan ang mga insidente ng sekswal na pagsasamantala. Isama ang mga petsa, oras, detalye ng nangyari, mga saksi (kung mayroon man), at anumang ebidensya na maaari mong kolektahin (mga email, text, hindi naaangkop na regalo"&amp;"). Pinalalakas nito ang iyong kaso kung nahaharap ka sa paghihiganti.
* **Unawain ang Mga Patakaran ng Kumpanya:** Suriin ang mga patakaran ng iyong kumpanya sa sekswal na panliligalig at paghihiganti. Alamin ang mga opisyal na channel para sa pag-uulat n"&amp;"g mga naturang insidente.
* **Isaalang-alang ang Panloob na Pag-uulat:** Kung kumportable ka, iulat ang sekswal na pagsasamantala sa loob ng iyong departamento ng Human Resources o isang superbisor na pinagkakatiwalaan mo. Idokumento ang petsa at oras ng "&amp;"iyong ulat at kung kanino mo ito iniulat.
**Kapag Nag-uulat:**
* **Pumili ng Iyong Madla nang Matalinong:** Kung hindi ka nagtitiwala sa mga panloob na pamamaraan ng iyong kumpanya, isaalang-alang ang direktang pag-uulat sa Department of Labor and Employm"&amp;"ent (DOLE).
* **Humingi ng Legal na Payo:** Ang isang abogado na dalubhasa sa batas sa paggawa ay maaaring magpayo sa pinakamahusay na paraan ng pagkilos para sa pag-uulat at pagliit ng panganib ng paghihiganti.
**Pagkatapos ng Pag-uulat:**
* **Panatilihi"&amp;"n ang Mga Tala:** Magtago ng mga kopya ng lahat ng ulat na iyong isinampa at anumang komunikasyon na mayroon ka sa iyong employer o DOLE tungkol sa sekswal na pagsasamantala at potensyal na paghihiganti.
* **Idokumento ang Mga Paghihiganting Aksyon:** Kun"&amp;"g nakakaranas ka ng paghihiganti pagkatapos ng pag-uulat, tulad ng pagbabawas ng tungkulin, pagtaas ng trabaho, o pagwawakas, idokumento ang mga insidenteng ito na may mga petsa, oras, at sinumang saksi.
* **Mag-ulat ng Paghihiganti:** Kung nakaranas ka n"&amp;"g paghihiganti, iulat ito kaagad sa DOLE. Maaari ka ring magsampa ng kaso laban sa iyong employer dahil sa paglabag sa iyong mga karapatan.
**Mga Legal na Proteksyon:**
* **Anti-Sexual Harassment Act (RA 7877):** Ipinagbabawal ng Batas na ito ang pagganti"&amp;" laban sa mga empleyadong nag-uulat ng sekswal na panliligalig.
* **Labor Code of the Philippines:** Ginagarantiyahan ng Labor Code ang karapatan sa seguridad ng panunungkulan at ipinagbabawal ang mga employer na tanggalin ang mga empleyado nang walang ma"&amp;"katarungang dahilan. Ang paghihiganti para sa pag-uulat ng sekswal na pagsasamantala ay maaaring ituring na hindi makatarungang pagwawakas.
**Tandaan:**
* **Mayroon kang Mga Karapatan:** Pinoprotektahan ka ng batas mula sa paghihiganti para sa pag-uulat n"&amp;"g sekswal na pagsasamantala.
* **Humingi ng Suporta:** Huwag matakot na humingi ng legal na payo o suporta mula sa mga organisasyon tulad ng Commission on Women (PCW) o Public Attorney's Office (PAO).
* **Itaas ang Kamalayan:** Ang pakikipag-usap sa mga p"&amp;"inagkakatiwalaang kasamahan o hindi nagpapakilalang pag-uulat ng paghihiganti ay maaaring magpataas ng kamalayan at potensyal na mapahina ang mga pagtatangka sa pagganti.
**Bagama't ang paghihiganti ay isang posibilidad, mahalagang huwag mawalan ng pag-as"&amp;"a sa pag-uulat ng sekswal na pagsasamantala. Makakatulong sa iyo ang mga hakbang na binanggit sa itaas na mabawasan ang panganib at matiyak na maririnig ang iyong boses. Tandaan, ang isang ligtas na kapaligiran sa trabaho ay iyong karapatan, at ang legal "&amp;"na paraan ay magagamit kung ang mga karapatang iyon ay nilabag.**
Narito ang ilang mapagkukunan na maaaring magbigay ng karagdagang suporta:
* Department of Labor and Employment (DOLE): [https://www.officialgazette.gov.ph/](https://www.officialgazette.gov"&amp;".ph/)
* Commission on Women (PCW): [https://pcw.gov.ph/](https://pcw.gov.ph/)
* Public Attorney's Office (PAO): [https://pao.gov.ph/](https://pao.gov.ph/)")</f>
        <v>Sa kasamaang palad, ang paghihiganti para sa pag-uulat ng sekswal na pagsasamantala sa trabaho ay isang potensyal na alalahanin sa Pilipinas, ngunit may mga hakbang na maaari mong gawin upang protektahan ang iyong sarili:
**Bago Mag-ulat:**
* **Magtipon ng Ebidensya:** Idokumento nang lubusan ang mga insidente ng sekswal na pagsasamantala. Isama ang mga petsa, oras, detalye ng nangyari, mga saksi (kung mayroon man), at anumang ebidensya na maaari mong kolektahin (mga email, text, hindi naaangkop na regalo). Pinalalakas nito ang iyong kaso kung nahaharap ka sa paghihiganti.
* **Unawain ang Mga Patakaran ng Kumpanya:** Suriin ang mga patakaran ng iyong kumpanya sa sekswal na panliligalig at paghihiganti. Alamin ang mga opisyal na channel para sa pag-uulat ng mga naturang insidente.
* **Isaalang-alang ang Panloob na Pag-uulat:** Kung kumportable ka, iulat ang sekswal na pagsasamantala sa loob ng iyong departamento ng Human Resources o isang superbisor na pinagkakatiwalaan mo. Idokumento ang petsa at oras ng iyong ulat at kung kanino mo ito iniulat.
**Kapag Nag-uulat:**
* **Pumili ng Iyong Madla nang Matalinong:** Kung hindi ka nagtitiwala sa mga panloob na pamamaraan ng iyong kumpanya, isaalang-alang ang direktang pag-uulat sa Department of Labor and Employment (DOLE).
* **Humingi ng Legal na Payo:** Ang isang abogado na dalubhasa sa batas sa paggawa ay maaaring magpayo sa pinakamahusay na paraan ng pagkilos para sa pag-uulat at pagliit ng panganib ng paghihiganti.
**Pagkatapos ng Pag-uulat:**
* **Panatilihin ang Mga Tala:** Magtago ng mga kopya ng lahat ng ulat na iyong isinampa at anumang komunikasyon na mayroon ka sa iyong employer o DOLE tungkol sa sekswal na pagsasamantala at potensyal na paghihiganti.
* **Idokumento ang Mga Paghihiganting Aksyon:** Kung nakakaranas ka ng paghihiganti pagkatapos ng pag-uulat, tulad ng pagbabawas ng tungkulin, pagtaas ng trabaho, o pagwawakas, idokumento ang mga insidenteng ito na may mga petsa, oras, at sinumang saksi.
* **Mag-ulat ng Paghihiganti:** Kung nakaranas ka ng paghihiganti, iulat ito kaagad sa DOLE. Maaari ka ring magsampa ng kaso laban sa iyong employer dahil sa paglabag sa iyong mga karapatan.
**Mga Legal na Proteksyon:**
* **Anti-Sexual Harassment Act (RA 7877):** Ipinagbabawal ng Batas na ito ang pagganti laban sa mga empleyadong nag-uulat ng sekswal na panliligalig.
* **Labor Code of the Philippines:** Ginagarantiyahan ng Labor Code ang karapatan sa seguridad ng panunungkulan at ipinagbabawal ang mga employer na tanggalin ang mga empleyado nang walang makatarungang dahilan. Ang paghihiganti para sa pag-uulat ng sekswal na pagsasamantala ay maaaring ituring na hindi makatarungang pagwawakas.
**Tandaan:**
* **Mayroon kang Mga Karapatan:** Pinoprotektahan ka ng batas mula sa paghihiganti para sa pag-uulat ng sekswal na pagsasamantala.
* **Humingi ng Suporta:** Huwag matakot na humingi ng legal na payo o suporta mula sa mga organisasyon tulad ng Commission on Women (PCW) o Public Attorney's Office (PAO).
* **Itaas ang Kamalayan:** Ang pakikipag-usap sa mga pinagkakatiwalaang kasamahan o hindi nagpapakilalang pag-uulat ng paghihiganti ay maaaring magpataas ng kamalayan at potensyal na mapahina ang mga pagtatangka sa pagganti.
**Bagama't ang paghihiganti ay isang posibilidad, mahalagang huwag mawalan ng pag-asa sa pag-uulat ng sekswal na pagsasamantala. Makakatulong sa iyo ang mga hakbang na binanggit sa itaas na mabawasan ang panganib at matiyak na maririnig ang iyong boses. Tandaan, ang isang ligtas na kapaligiran sa trabaho ay iyong karapatan, at ang legal na paraan ay magagamit kung ang mga karapatang iyon ay nilabag.**
Narito ang ilang mapagkukunan na maaaring magbigay ng karagdagang suporta:
* Department of Labor and Employment (DOLE): [https://www.officialgazette.gov.ph/](https://www.officialgazette.gov.ph/)
* Commission on Women (PCW): [https://pcw.gov.ph/](https://pcw.gov.ph/)
* Public Attorney's Office (PAO): [https://pao.gov.ph/](https://pao.gov.ph/)</v>
      </c>
      <c r="F707" s="2">
        <f t="shared" si="1"/>
        <v>0</v>
      </c>
      <c r="G707" s="2"/>
      <c r="H707" s="2"/>
      <c r="I707" s="2"/>
      <c r="J707" s="2"/>
      <c r="K707" s="2"/>
      <c r="L707" s="2"/>
      <c r="M707" s="2"/>
      <c r="N707" s="2"/>
      <c r="O707" s="2"/>
      <c r="P707" s="2"/>
      <c r="Q707" s="2"/>
      <c r="R707" s="2"/>
      <c r="S707" s="2"/>
      <c r="T707" s="2"/>
      <c r="U707" s="2"/>
      <c r="V707" s="2"/>
      <c r="W707" s="2"/>
      <c r="X707" s="2"/>
      <c r="Y707" s="2"/>
      <c r="Z707" s="2"/>
      <c r="AA707" s="2"/>
    </row>
    <row r="708">
      <c r="A708" s="3" t="s">
        <v>2010</v>
      </c>
      <c r="B708" s="1" t="s">
        <v>2338</v>
      </c>
      <c r="C708" s="1" t="s">
        <v>2339</v>
      </c>
      <c r="D708" s="1" t="s">
        <v>2337</v>
      </c>
      <c r="E708" s="2" t="str">
        <f>IFERROR(__xludf.DUMMYFUNCTION("GOOGLETRANSLATE(C708, ""en"", ""TL"")"),"Sa Pilipinas, ang pananagutan ng isang tagapag-empleyo para sa sekswal na pagsasamantala ng isang kliyente o customer ay nakasalalay sa mga partikular na pangyayari. Narito ang isang breakdown ng sitwasyon:
**Potensyal na Pananagutan ng Employer:**
* **Ka"&amp;"alaman at Foreseeability:** Ang pangunahing salik ay kung alam o dapat na alam ng employer ang tungkol sa potensyal para sa sekswal na pagsasamantala ng mga kliyente o customer. Kung mayroon silang mga naunang insidente o isang makatwirang pag-asa sa natu"&amp;"rang pag-uugali, maaaring managot sila sa hindi pagtupad ng mga hakbang sa pag-iwas.
* **Mga Makatwirang Pag-iingat:** Ang tungkulin ng tagapag-empleyo ay gumawa ng mga makatwirang pag-iingat upang maprotektahan ang mga empleyado mula sa inaasahang pinsal"&amp;"a. Maaaring kabilang dito ang mga hakbang tulad ng:
* **Mga Patakaran sa Lugar ng Trabaho:** Pagkakaroon ng malinaw na mga patakaran laban sa sekswal na panliligalig at mga pamamaraan para sa mga empleyado na mag-ulat ng mga naturang insidente.
* **Pagsas"&amp;"anay:** Pagsasanay sa mga empleyado sa pagkilala at pagtugon sa sekswal na panliligalig, kabilang ang panliligalig mula sa mga kliyente/customer.
* **Mga Panukala sa Seguridad:** Pagpapatupad ng mga naaangkop na hakbang sa seguridad batay sa kapaligiran n"&amp;"g trabaho upang mabawasan ang kahinaan (hal., mga tauhan ng seguridad, mga protocol pagkatapos ng oras).
**Mga Halimbawa ng Pananagutan ng Employer:**
* **Pagbabalewala sa mga Naunang Reklamo:** Kung ang isang tagapag-empleyo ay nakatanggap ng mga naunang"&amp;" reklamo tungkol sa isang partikular na kliyente/customer na nagsasagawa ng sekswal na panliligalig at nabigong kumilos, maaari silang managot para sa mga kasunod na insidente.
* **Paglikha ng Maaapektuhang Kapaligiran:** Ang pagtatalaga ng mga empleyado "&amp;"na magtrabaho nang mag-isa kasama ang isang kilalang may problemang kliyente nang walang wastong mga pag-iingat ay maaaring makita bilang kapabayaan.
* **Hindi Sapat na Pagsasanay:** Kung nabigo ang employer na magbigay ng sapat na pagsasanay sa pagtukoy "&amp;"at pag-uulat ng panliligalig, maaari silang bahagyang managot.
**Mga Hamon ng Paghawak sa Mga Employer na Responsable:**
* **Pagpapatunay ng Kaalaman:** Ang pagpapakita na alam o dapat na alam ng employer ang tungkol sa panganib ay maaaring maging mahirap"&amp;".
* **Kontrol sa Kliyente/Customer:** Ang mga nagpapatrabaho ay kadalasang may limitadong kontrol sa pag-uugali ng mga kliyente o customer.
**Mga Alternatibong Opsyon para sa mga Empleyado:**
* **I-ulat ang Insidente:** Iulat ang insidente ng sekswal na p"&amp;"agsasamantala sa iyong employer, hindi alintana kung naniniwala ka na sila ang mananagot. Ito ay nagdodokumento ng insidente at nagtatatag ng isang talaan.
* **Ituloy ang Legal na Aksyon Laban sa Kliyente/Customer:** Maaari kang direktang magsampa ng dema"&amp;"nda laban sa kliyente/customer para sa sekswal na panliligalig.
* **Isaalang-alang ang Reklamo ng DOLE:** Kahit na ang tagapag-empleyo ay hindi itinuturing na ganap na responsable, maaari ka pa ring magsampa ng reklamo sa Department of Labor and Employmen"&amp;"t (DOLE) tungkol sa masamang kapaligiran sa trabaho na nilikha ng pag-uugali ng kliyente/customer. **Kahalagahan ng Konsultasyon:**
* **Tiyak na Legal na Payo:** Maaaring tasahin ng isang abogadong dalubhasa sa batas sa paggawa ang mga detalye ng iyong si"&amp;"twasyon at matukoy ang posibilidad na panagutin ang iyong employer. Maaari din silang magpayo sa pinakamahusay na hakbang, kabilang ang pag-uulat ng insidente, paghabol ng legal na aksyon, o paghahain ng reklamo sa DOLE.
**Tandaan:**
Ang legal na tanawin "&amp;"sa paligid ng responsibilidad ng employer para sa panliligalig ng kliyente/customer ay umuusbong. Bagama't maaaring maging mahirap ang ganap na pananagutan sa kanila, mayroon ka pa ring mga opsyon para sa pag-uulat ng insidente, pagprotekta sa iyong saril"&amp;"i, at potensyal na humingi ng kabayaran para sa mga pinsalang idinulot.
Narito ang ilang mapagkukunan na maaaring magbigay ng karagdagang suporta:
* Department of Labor and Employment (DOLE): [inalis ang invalid na URL]
* Commission on Women (PCW): [https"&amp;"://pcw.gov.ph/](https://pcw.gov.ph/)
* Public Attorney's Office (PAO): [https://pao.gov.ph/](https://pao.gov.ph/)")</f>
        <v>Sa Pilipinas, ang pananagutan ng isang tagapag-empleyo para sa sekswal na pagsasamantala ng isang kliyente o customer ay nakasalalay sa mga partikular na pangyayari. Narito ang isang breakdown ng sitwasyon:
**Potensyal na Pananagutan ng Employer:**
* **Kaalaman at Foreseeability:** Ang pangunahing salik ay kung alam o dapat na alam ng employer ang tungkol sa potensyal para sa sekswal na pagsasamantala ng mga kliyente o customer. Kung mayroon silang mga naunang insidente o isang makatwirang pag-asa sa naturang pag-uugali, maaaring managot sila sa hindi pagtupad ng mga hakbang sa pag-iwas.
* **Mga Makatwirang Pag-iingat:** Ang tungkulin ng tagapag-empleyo ay gumawa ng mga makatwirang pag-iingat upang maprotektahan ang mga empleyado mula sa inaasahang pinsala. Maaaring kabilang dito ang mga hakbang tulad ng:
* **Mga Patakaran sa Lugar ng Trabaho:** Pagkakaroon ng malinaw na mga patakaran laban sa sekswal na panliligalig at mga pamamaraan para sa mga empleyado na mag-ulat ng mga naturang insidente.
* **Pagsasanay:** Pagsasanay sa mga empleyado sa pagkilala at pagtugon sa sekswal na panliligalig, kabilang ang panliligalig mula sa mga kliyente/customer.
* **Mga Panukala sa Seguridad:** Pagpapatupad ng mga naaangkop na hakbang sa seguridad batay sa kapaligiran ng trabaho upang mabawasan ang kahinaan (hal., mga tauhan ng seguridad, mga protocol pagkatapos ng oras).
**Mga Halimbawa ng Pananagutan ng Employer:**
* **Pagbabalewala sa mga Naunang Reklamo:** Kung ang isang tagapag-empleyo ay nakatanggap ng mga naunang reklamo tungkol sa isang partikular na kliyente/customer na nagsasagawa ng sekswal na panliligalig at nabigong kumilos, maaari silang managot para sa mga kasunod na insidente.
* **Paglikha ng Maaapektuhang Kapaligiran:** Ang pagtatalaga ng mga empleyado na magtrabaho nang mag-isa kasama ang isang kilalang may problemang kliyente nang walang wastong mga pag-iingat ay maaaring makita bilang kapabayaan.
* **Hindi Sapat na Pagsasanay:** Kung nabigo ang employer na magbigay ng sapat na pagsasanay sa pagtukoy at pag-uulat ng panliligalig, maaari silang bahagyang managot.
**Mga Hamon ng Paghawak sa Mga Employer na Responsable:**
* **Pagpapatunay ng Kaalaman:** Ang pagpapakita na alam o dapat na alam ng employer ang tungkol sa panganib ay maaaring maging mahirap.
* **Kontrol sa Kliyente/Customer:** Ang mga nagpapatrabaho ay kadalasang may limitadong kontrol sa pag-uugali ng mga kliyente o customer.
**Mga Alternatibong Opsyon para sa mga Empleyado:**
* **I-ulat ang Insidente:** Iulat ang insidente ng sekswal na pagsasamantala sa iyong employer, hindi alintana kung naniniwala ka na sila ang mananagot. Ito ay nagdodokumento ng insidente at nagtatatag ng isang talaan.
* **Ituloy ang Legal na Aksyon Laban sa Kliyente/Customer:** Maaari kang direktang magsampa ng demanda laban sa kliyente/customer para sa sekswal na panliligalig.
* **Isaalang-alang ang Reklamo ng DOLE:** Kahit na ang tagapag-empleyo ay hindi itinuturing na ganap na responsable, maaari ka pa ring magsampa ng reklamo sa Department of Labor and Employment (DOLE) tungkol sa masamang kapaligiran sa trabaho na nilikha ng pag-uugali ng kliyente/customer. **Kahalagahan ng Konsultasyon:**
* **Tiyak na Legal na Payo:** Maaaring tasahin ng isang abogadong dalubhasa sa batas sa paggawa ang mga detalye ng iyong sitwasyon at matukoy ang posibilidad na panagutin ang iyong employer. Maaari din silang magpayo sa pinakamahusay na hakbang, kabilang ang pag-uulat ng insidente, paghabol ng legal na aksyon, o paghahain ng reklamo sa DOLE.
**Tandaan:**
Ang legal na tanawin sa paligid ng responsibilidad ng employer para sa panliligalig ng kliyente/customer ay umuusbong. Bagama't maaaring maging mahirap ang ganap na pananagutan sa kanila, mayroon ka pa ring mga opsyon para sa pag-uulat ng insidente, pagprotekta sa iyong sarili, at potensyal na humingi ng kabayaran para sa mga pinsalang idinulot.
Narito ang ilang mapagkukunan na maaaring magbigay ng karagdagang suporta:
* Department of Labor and Employment (DOLE): [inalis ang invalid na URL]
* Commission on Women (PCW): [https://pcw.gov.ph/](https://pcw.gov.ph/)
* Public Attorney's Office (PAO): [https://pao.gov.ph/](https://pao.gov.ph/)</v>
      </c>
      <c r="F708" s="2">
        <f t="shared" si="1"/>
        <v>0</v>
      </c>
      <c r="G708" s="2"/>
      <c r="H708" s="2"/>
      <c r="I708" s="2"/>
      <c r="J708" s="2"/>
      <c r="K708" s="2"/>
      <c r="L708" s="2"/>
      <c r="M708" s="2"/>
      <c r="N708" s="2"/>
      <c r="O708" s="2"/>
      <c r="P708" s="2"/>
      <c r="Q708" s="2"/>
      <c r="R708" s="2"/>
      <c r="S708" s="2"/>
      <c r="T708" s="2"/>
      <c r="U708" s="2"/>
      <c r="V708" s="2"/>
      <c r="W708" s="2"/>
      <c r="X708" s="2"/>
      <c r="Y708" s="2"/>
      <c r="Z708" s="2"/>
      <c r="AA708" s="2"/>
    </row>
    <row r="709">
      <c r="A709" s="3" t="s">
        <v>2010</v>
      </c>
      <c r="B709" s="1" t="s">
        <v>2340</v>
      </c>
      <c r="C709" s="1" t="s">
        <v>2341</v>
      </c>
      <c r="D709" s="1" t="s">
        <v>2342</v>
      </c>
      <c r="E709" s="2" t="str">
        <f>IFERROR(__xludf.DUMMYFUNCTION("GOOGLETRANSLATE(C709, ""en"", ""TL"")"),"Kung pinaghihinalaan mo na ang iyong anak ay pinagsasamantalahang sekswal sa kanilang trabaho sa Pilipinas, dapat kang kumilos kaagad upang matiyak ang kanilang kaligtasan. Narito ang mga hakbang na maaari mong isaalang-alang:
1. **Makipag-usap sa Iyong A"&amp;"nak:**
- Lapitan ang iyong anak nang may pagkasensitibo at magtanong ng mga bukas na tanong upang maunawaan ang kanilang mga karanasan.
- Hikayatin ang bukas na komunikasyon at tiyakin sa kanila ang iyong suporta.
2. **Magtipon ng Impormasyon:**
- Kolekta"&amp;"hin ang mga detalye tungkol sa trabaho, lugar ng trabaho, at sinumang indibidwal na kasangkot.
- Idokumento ang anumang mga palatandaan o pag-uugali na nagpapahayag ng mga alalahanin.
3. **Makipag-ugnayan sa Mga Awtoridad:**
- Iulat ang pinaghihinalaang p"&amp;"agsasamantala sa mga lokal na awtoridad sa pagpapatupad ng batas, gaya ng Philippine National Police (PNP) o National Bureau of Investigation (NBI).
- Ibigay sa kanila ang lahat ng nauugnay na impormasyon at makipagtulungan sa kanilang pagsisiyasat.
4. **"&amp;"Makipag-ugnayan sa Department of Labor and Employment (DOLE):**
- Makipag-ugnayan sa DOLE upang iulat ang insidente at humingi ng tulong sa pagtiyak na ang lugar ng trabaho ay sumusunod sa mga batas sa paggawa.
- Maaaring makapagbigay ng patnubay ang DOLE"&amp;" at gumawa ng naaangkop na mga aksyon.
5. **Humingi ng Legal na Payo:**
- Kumonsulta sa isang abogado na dalubhasa sa mga batas sa pangangalaga sa paggawa at bata upang maunawaan ang iyong mga karapatan at mga legal na opsyon.
- Pag-isipang magsampa ng re"&amp;"klamo laban sa employer o mga indibidwal na kasangkot.
6. **Makipag-ugnayan sa Mga Ahensya ng Proteksyon ng Bata:**
- Makipag-ugnayan sa mga lokal na ahensya ng proteksyon ng bata, tulad ng Department of Social Welfare and Development (DSWD), upang iulat "&amp;"ang pagsasamantala at humingi ng suporta para sa iyong anak.
7. **Magbigay ng Emosyonal na Suporta:**
- Tiyaking may access ang iyong anak sa mga serbisyo ng pagpapayo upang tugunan ang anumang emosyonal na trauma na maaaring nararanasan nila.
- Isaalang-"&amp;"alang ang pagsali sa mga organisasyon ng suporta na dalubhasa sa proteksyon ng bata.
Tandaan, napakahalaga na kumilos nang mabilis at responsable kapag nakikitungo sa mga hinala ng pagsasamantala sa bata. Palaging unahin ang kapakanan ng iyong anak at hum"&amp;"ingi ng tulong mula sa mga kaugnay na awtoridad at organisasyon.")</f>
        <v>Kung pinaghihinalaan mo na ang iyong anak ay pinagsasamantalahang sekswal sa kanilang trabaho sa Pilipinas, dapat kang kumilos kaagad upang matiyak ang kanilang kaligtasan. Narito ang mga hakbang na maaari mong isaalang-alang:
1. **Makipag-usap sa Iyong Anak:**
- Lapitan ang iyong anak nang may pagkasensitibo at magtanong ng mga bukas na tanong upang maunawaan ang kanilang mga karanasan.
- Hikayatin ang bukas na komunikasyon at tiyakin sa kanila ang iyong suporta.
2. **Magtipon ng Impormasyon:**
- Kolektahin ang mga detalye tungkol sa trabaho, lugar ng trabaho, at sinumang indibidwal na kasangkot.
- Idokumento ang anumang mga palatandaan o pag-uugali na nagpapahayag ng mga alalahanin.
3. **Makipag-ugnayan sa Mga Awtoridad:**
- Iulat ang pinaghihinalaang pagsasamantala sa mga lokal na awtoridad sa pagpapatupad ng batas, gaya ng Philippine National Police (PNP) o National Bureau of Investigation (NBI).
- Ibigay sa kanila ang lahat ng nauugnay na impormasyon at makipagtulungan sa kanilang pagsisiyasat.
4. **Makipag-ugnayan sa Department of Labor and Employment (DOLE):**
- Makipag-ugnayan sa DOLE upang iulat ang insidente at humingi ng tulong sa pagtiyak na ang lugar ng trabaho ay sumusunod sa mga batas sa paggawa.
- Maaaring makapagbigay ng patnubay ang DOLE at gumawa ng naaangkop na mga aksyon.
5. **Humingi ng Legal na Payo:**
- Kumonsulta sa isang abogado na dalubhasa sa mga batas sa pangangalaga sa paggawa at bata upang maunawaan ang iyong mga karapatan at mga legal na opsyon.
- Pag-isipang magsampa ng reklamo laban sa employer o mga indibidwal na kasangkot.
6. **Makipag-ugnayan sa Mga Ahensya ng Proteksyon ng Bata:**
- Makipag-ugnayan sa mga lokal na ahensya ng proteksyon ng bata, tulad ng Department of Social Welfare and Development (DSWD), upang iulat ang pagsasamantala at humingi ng suporta para sa iyong anak.
7. **Magbigay ng Emosyonal na Suporta:**
- Tiyaking may access ang iyong anak sa mga serbisyo ng pagpapayo upang tugunan ang anumang emosyonal na trauma na maaaring nararanasan nila.
- Isaalang-alang ang pagsali sa mga organisasyon ng suporta na dalubhasa sa proteksyon ng bata.
Tandaan, napakahalaga na kumilos nang mabilis at responsable kapag nakikitungo sa mga hinala ng pagsasamantala sa bata. Palaging unahin ang kapakanan ng iyong anak at humingi ng tulong mula sa mga kaugnay na awtoridad at organisasyon.</v>
      </c>
      <c r="F709" s="2">
        <f t="shared" si="1"/>
        <v>0</v>
      </c>
      <c r="G709" s="2"/>
      <c r="H709" s="2"/>
      <c r="I709" s="2"/>
      <c r="J709" s="2"/>
      <c r="K709" s="2"/>
      <c r="L709" s="2"/>
      <c r="M709" s="2"/>
      <c r="N709" s="2"/>
      <c r="O709" s="2"/>
      <c r="P709" s="2"/>
      <c r="Q709" s="2"/>
      <c r="R709" s="2"/>
      <c r="S709" s="2"/>
      <c r="T709" s="2"/>
      <c r="U709" s="2"/>
      <c r="V709" s="2"/>
      <c r="W709" s="2"/>
      <c r="X709" s="2"/>
      <c r="Y709" s="2"/>
      <c r="Z709" s="2"/>
      <c r="AA709" s="2"/>
    </row>
    <row r="710">
      <c r="A710" s="3" t="s">
        <v>2010</v>
      </c>
      <c r="B710" s="1" t="s">
        <v>2343</v>
      </c>
      <c r="C710" s="1" t="s">
        <v>2344</v>
      </c>
      <c r="D710" s="1" t="s">
        <v>2345</v>
      </c>
      <c r="E710" s="2" t="str">
        <f>IFERROR(__xludf.DUMMYFUNCTION("GOOGLETRANSLATE(C710, ""en"", ""TL"")"),"Oo, may mga batas sa Pilipinas na nagpoprotekta sa mga menor de edad mula sa sekswal na pagsasamantala sa lugar ng trabaho. Isang mahalagang bahagi ng batas na tumutugon sa isyung ito ay ang ""Anti-Child Abuse Law"" o Republic Act No. 7610. Narito ang mga"&amp;" kaugnay na probisyon mula sa RA 7610:
1. **Republic Act No. 7610 (Special Protection of Children Against Abuse, Exploitation and Discrimination Act):**
- Ang RA 7610 ay isang komprehensibong batas na nagpoprotekta sa mga bata mula sa pang-aabuso, pagsasa"&amp;"mantala, at diskriminasyon. Kabilang dito ang mga probisyon na may kaugnayan sa child labor at ang sekswal na pagsasamantala sa mga menor de edad.
- Tinutukoy ng Seksyon 3 ang pang-aabuso sa bata bilang anumang pagkilos na ""nag-aalis sa bata ng kanyang n"&amp;"ormal na pag-unlad at dapat kasama, ngunit hindi limitado sa, ang mga sumusunod: (a) Sinumang tao na dapat panatilihin o magkakaroon sa kanyang kumpanya ng isang menor de edad, labindalawa (12) taon o mas bata pa o na sa sampung (10) taon o higit pa ang k"&amp;"anyang junior sa anumang pampubliko o pribadong lugar, hotel, motel, beer joint, discotheque, cabaret, pension house, sauna o massage parlor, beach at/o iba pang turista resort o katulad na mga lugar ay dapat magdusa ng parusa ng prision mayor sa pinakama"&amp;"taas na panahon nito at multa na hindi bababa sa Limampung libong piso (P50,000): Sa kondisyon, Na ang probisyong ito ay hindi dapat ilapat sa sinumang tao na may kaugnayan sa loob ng ikaapat na antas ng consanguinity o affinity o anumang bono na kinikila"&amp;"la ng batas, lokal na kaugalian at tradisyon o mga kilos sa pagganap ng isang panlipunan, moral o legal na tungkulin.""
- Ang Seksyon 5 ay partikular na tumutugon sa prostitusyon ng bata at iba pang sekswal na pagsasamantala, na nagpapataw ng mga parusa s"&amp;"a mga sangkot sa mga naturang aktibidad.
Bukod sa RA 7610, ang Labor Code of the Philippines, partikular ang Book III on Labor Conditions for Special Groups of Workers, ay naglalaman din ng mga probisyon na nagre-regulate sa pagtatrabaho ng mga menor de e"&amp;"dad. Ang mga tagapag-empleyo ay karaniwang ipinagbabawal na magpatrabaho ng mga menor de edad sa ilalim ng ilang mga kundisyon, na tinitiyak ang kanilang kaligtasan at kagalingan sa lugar ng trabaho.
Mahalagang kumonsulta sa pinakabagong bersyon ng mga ba"&amp;"tas at humingi ng legal na payo para sa pinakatumpak at napapanahong impormasyon.")</f>
        <v>Oo, may mga batas sa Pilipinas na nagpoprotekta sa mga menor de edad mula sa sekswal na pagsasamantala sa lugar ng trabaho. Isang mahalagang bahagi ng batas na tumutugon sa isyung ito ay ang "Anti-Child Abuse Law" o Republic Act No. 7610. Narito ang mga kaugnay na probisyon mula sa RA 7610:
1. **Republic Act No. 7610 (Special Protection of Children Against Abuse, Exploitation and Discrimination Act):**
- Ang RA 7610 ay isang komprehensibong batas na nagpoprotekta sa mga bata mula sa pang-aabuso, pagsasamantala, at diskriminasyon. Kabilang dito ang mga probisyon na may kaugnayan sa child labor at ang sekswal na pagsasamantala sa mga menor de edad.
- Tinutukoy ng Seksyon 3 ang pang-aabuso sa bata bilang anumang pagkilos na "nag-aalis sa bata ng kanyang normal na pag-unlad at dapat kasama, ngunit hindi limitado sa, ang mga sumusunod: (a) Sinumang tao na dapat panatilihin o magkakaroon sa kanyang kumpanya ng isang menor de edad, labindalawa (12) taon o mas bata pa o na sa sampung (10) taon o higit pa ang kanyang junior sa anumang pampubliko o pribadong lugar, hotel, motel, beer joint, discotheque, cabaret, pension house, sauna o massage parlor, beach at/o iba pang turista resort o katulad na mga lugar ay dapat magdusa ng parusa ng prision mayor sa pinakamataas na panahon nito at multa na hindi bababa sa Limampung libong piso (P50,000): Sa kondisyon, Na ang probisyong ito ay hindi dapat ilapat sa sinumang tao na may kaugnayan sa loob ng ikaapat na antas ng consanguinity o affinity o anumang bono na kinikilala ng batas, lokal na kaugalian at tradisyon o mga kilos sa pagganap ng isang panlipunan, moral o legal na tungkulin."
- Ang Seksyon 5 ay partikular na tumutugon sa prostitusyon ng bata at iba pang sekswal na pagsasamantala, na nagpapataw ng mga parusa sa mga sangkot sa mga naturang aktibidad.
Bukod sa RA 7610, ang Labor Code of the Philippines, partikular ang Book III on Labor Conditions for Special Groups of Workers, ay naglalaman din ng mga probisyon na nagre-regulate sa pagtatrabaho ng mga menor de edad. Ang mga tagapag-empleyo ay karaniwang ipinagbabawal na magpatrabaho ng mga menor de edad sa ilalim ng ilang mga kundisyon, na tinitiyak ang kanilang kaligtasan at kagalingan sa lugar ng trabaho.
Mahalagang kumonsulta sa pinakabagong bersyon ng mga batas at humingi ng legal na payo para sa pinakatumpak at napapanahong impormasyon.</v>
      </c>
      <c r="F710" s="2">
        <f t="shared" si="1"/>
        <v>0</v>
      </c>
      <c r="G710" s="2"/>
      <c r="H710" s="2"/>
      <c r="I710" s="2"/>
      <c r="J710" s="2"/>
      <c r="K710" s="2"/>
      <c r="L710" s="2"/>
      <c r="M710" s="2"/>
      <c r="N710" s="2"/>
      <c r="O710" s="2"/>
      <c r="P710" s="2"/>
      <c r="Q710" s="2"/>
      <c r="R710" s="2"/>
      <c r="S710" s="2"/>
      <c r="T710" s="2"/>
      <c r="U710" s="2"/>
      <c r="V710" s="2"/>
      <c r="W710" s="2"/>
      <c r="X710" s="2"/>
      <c r="Y710" s="2"/>
      <c r="Z710" s="2"/>
      <c r="AA710" s="2"/>
    </row>
    <row r="711">
      <c r="A711" s="3" t="s">
        <v>2010</v>
      </c>
      <c r="B711" s="1" t="s">
        <v>2346</v>
      </c>
      <c r="C711" s="1" t="s">
        <v>2347</v>
      </c>
      <c r="D711" s="1" t="s">
        <v>2348</v>
      </c>
      <c r="E711" s="2" t="str">
        <f>IFERROR(__xludf.DUMMYFUNCTION("GOOGLETRANSLATE(C711, ""en"", ""TL"")"),"Siguro. Kung maaari mong idemanda ang isang kumpanya para sa hindi pagbibigay ng sapat na pagsasanay upang maiwasan ang sekswal na pagsasamantala ay nakasalalay sa ilang mga salik:
* **Ang katangian ng pagsasamantala:** Ang demanda na ito ay malamang na m"&amp;"apapasailalim sa payong ng sexual harassment. Mayroong dalawang pangunahing uri ng sekswal na panliligalig: quid pro quo at pagalit na kapaligiran sa trabaho. Ang Quid pro quo ay nagsasangkot ng mga pagbabanta o mga kahilingan para sa mga sekswal na pabor"&amp;" kapalit ng mga benepisyo sa trabaho. Ang pagalit na kapaligiran sa trabaho ay nagsasangkot ng mga hindi kanais-nais na sekswal na pagsulong o iba pang pag-uugali na lumilikha ng isang pagalit o nakakasakit na kapaligiran sa trabaho. Ang iyong sitwasyon a"&amp;"y malamang na ituring na isang masamang kapaligiran sa trabaho.
* **Ang kalubhaan ng pagsasamantala:** Isasaalang-alang ng mga hukuman kung gaano kalubha ang sekswal na pagsasamantala. * **Ang kasapatan ng pagsasanay:** Kung ang kumpanya ay nagbigay ng il"&amp;"ang pagsasanay sa sekswal na panliligalig, ngunit ito ay malinaw na hindi sapat, iyon ay maaaring palakasin ang iyong kaso. * **Mga batas ng estado:** Nag-iiba-iba ang mga batas ayon sa estado, kaya maaaring mag-iba ang itinuturing na naaaksyunan na seksw"&amp;"al na panliligalig.
Narito ang ilang mga mapagkukunan na maaaring magbigay sa iyo ng higit pang impormasyon:
* Ang Equal Employment Opportunity Commission (EEOC) ay isang magandang mapagkukunan para sa impormasyon tungkol sa sexual harassment sa lugar ng "&amp;"trabaho, kasama ang iyong mga karapatan at kung paano magsampa ng kaso: [EEOC sexual harassment ON Equal Employment Opportunity Commission (.gov) eeoc.gov]
* Maaari ka ring sumangguni sa isang abogado sa pagtatrabaho sa iyong estado. Maaari ka nilang payu"&amp;"han sa mga detalye ng iyong kaso at kung mayroon kang matibay na kaso para sa paghahabla.")</f>
        <v>Siguro. Kung maaari mong idemanda ang isang kumpanya para sa hindi pagbibigay ng sapat na pagsasanay upang maiwasan ang sekswal na pagsasamantala ay nakasalalay sa ilang mga salik:
* **Ang katangian ng pagsasamantala:** Ang demanda na ito ay malamang na mapapasailalim sa payong ng sexual harassment. Mayroong dalawang pangunahing uri ng sekswal na panliligalig: quid pro quo at pagalit na kapaligiran sa trabaho. Ang Quid pro quo ay nagsasangkot ng mga pagbabanta o mga kahilingan para sa mga sekswal na pabor kapalit ng mga benepisyo sa trabaho. Ang pagalit na kapaligiran sa trabaho ay nagsasangkot ng mga hindi kanais-nais na sekswal na pagsulong o iba pang pag-uugali na lumilikha ng isang pagalit o nakakasakit na kapaligiran sa trabaho. Ang iyong sitwasyon ay malamang na ituring na isang masamang kapaligiran sa trabaho.
* **Ang kalubhaan ng pagsasamantala:** Isasaalang-alang ng mga hukuman kung gaano kalubha ang sekswal na pagsasamantala. * **Ang kasapatan ng pagsasanay:** Kung ang kumpanya ay nagbigay ng ilang pagsasanay sa sekswal na panliligalig, ngunit ito ay malinaw na hindi sapat, iyon ay maaaring palakasin ang iyong kaso. * **Mga batas ng estado:** Nag-iiba-iba ang mga batas ayon sa estado, kaya maaaring mag-iba ang itinuturing na naaaksyunan na sekswal na panliligalig.
Narito ang ilang mga mapagkukunan na maaaring magbigay sa iyo ng higit pang impormasyon:
* Ang Equal Employment Opportunity Commission (EEOC) ay isang magandang mapagkukunan para sa impormasyon tungkol sa sexual harassment sa lugar ng trabaho, kasama ang iyong mga karapatan at kung paano magsampa ng kaso: [EEOC sexual harassment ON Equal Employment Opportunity Commission (.gov) eeoc.gov]
* Maaari ka ring sumangguni sa isang abogado sa pagtatrabaho sa iyong estado. Maaari ka nilang payuhan sa mga detalye ng iyong kaso at kung mayroon kang matibay na kaso para sa paghahabla.</v>
      </c>
      <c r="F711" s="2">
        <f t="shared" si="1"/>
        <v>0</v>
      </c>
      <c r="G711" s="2"/>
      <c r="H711" s="2"/>
      <c r="I711" s="2"/>
      <c r="J711" s="2"/>
      <c r="K711" s="2"/>
      <c r="L711" s="2"/>
      <c r="M711" s="2"/>
      <c r="N711" s="2"/>
      <c r="O711" s="2"/>
      <c r="P711" s="2"/>
      <c r="Q711" s="2"/>
      <c r="R711" s="2"/>
      <c r="S711" s="2"/>
      <c r="T711" s="2"/>
      <c r="U711" s="2"/>
      <c r="V711" s="2"/>
      <c r="W711" s="2"/>
      <c r="X711" s="2"/>
      <c r="Y711" s="2"/>
      <c r="Z711" s="2"/>
      <c r="AA711" s="2"/>
    </row>
    <row r="712">
      <c r="A712" s="3" t="s">
        <v>2010</v>
      </c>
      <c r="B712" s="1" t="s">
        <v>2349</v>
      </c>
      <c r="C712" s="1" t="s">
        <v>2350</v>
      </c>
      <c r="D712" s="1" t="s">
        <v>2351</v>
      </c>
      <c r="E712" s="2" t="str">
        <f>IFERROR(__xludf.DUMMYFUNCTION("GOOGLETRANSLATE(C712, ""en"", ""TL"")"),"Oo, may pagkakaiba sa pagitan ng sekswal na panliligalig at sekswal na pagsasamantala sa ilalim ng batas, bagama't maaaring mayroong ilang magkakapatong. Narito ang isang breakdown:
**Sekwal na Panliligalig:**
* Nakatuon sa hindi kanais-nais na mga sekswa"&amp;"l na pagsulong, mga kahilingan para sa sekswal na pabor, at iba pang pasalita o pisikal na pag-uugali na may sekswal na katangian. * Lumilikha ng isang pagalit o nakakasakit na kapaligiran sa trabaho. * Maaaring may kinalaman sa power imbalance, ngunit hi"&amp;"ndi palaging. * Karaniwang napapailalim sa batas sibil (bagama't maaaring may mga kriminal na aspeto ang matitinding kaso). * Kabilang sa mga halimbawa ang mga hindi naaangkop na komento, hindi gustong paghipo, o panggigipit para sa mga sekswal na pabor.
"&amp;"**Sekwal na Pagsasamantala:**
* Kinabibilangan ng pagsasamantala sa kahinaan, pagkakaiba ng kapangyarihan, o tiwala ng isang tao para sa mga layuning sekswal. * Kadalasan ay kinapapalooban ng pagpapalit ng isang bagay na may halaga (pera, kalakal, serbisy"&amp;"o) para sa sekswal na aktibidad. * Maaaring magsama ng pamimilit, blackmail, o pagbabanta. * Maaaring kriminal at sibil depende sa mga detalye. * Kabilang sa mga halimbawa ang prostitusyon na kinasasangkutan ng mga menor de edad, sex trafficking, o pamimi"&amp;"lit sa isang tao na makipagtalik kapalit ng promosyon sa trabaho.
Narito ang isang pagkakatulad: Isipin ang sekswal na panliligalig bilang bastos at hindi kanais-nais na pag-uugali, habang ang sekswal na pagsasamantala ay isang uri ng pang-aabuso na gumag"&amp;"amit ng kawalan ng timbang sa kapangyarihan para sa sekswal na pakinabang.
**Magpatong:**
Maaaring magkaroon ng ilang overlap, lalo na sa mga sitwasyon kung saan ginagamit ng isang superbisor ang kanilang posisyon para ipilit ang isang tao para sa mga sek"&amp;"swal na pabor. Sa ganitong mga kaso, maaaring ito ay parehong sekswal na panliligalig (pagalit na kapaligiran sa trabaho) at sekswal na pagsasamantala.
**Mga Mapagkukunan:**
* Ang United Nations High Commissioner for Refugees (UNHCR) ay nagbibigay ng mali"&amp;"naw na paliwanag sa mga pagkakaiba: UNHCR Pagtukoy sa sekswal na pagsasamantala at pang-aabuso at sekswal na panliligalig: [https://www.unhcr.org/what-we-do/protect-human- rights/tackling-sexual-exploitation-abuse-and-harassment](https://www.unhcr.org/wha"&amp;"t-we-do/protect-human-rights/tackling-sexual-exploitation-abuse-and-harassment)")</f>
        <v>Oo, may pagkakaiba sa pagitan ng sekswal na panliligalig at sekswal na pagsasamantala sa ilalim ng batas, bagama't maaaring mayroong ilang magkakapatong. Narito ang isang breakdown:
**Sekwal na Panliligalig:**
* Nakatuon sa hindi kanais-nais na mga sekswal na pagsulong, mga kahilingan para sa sekswal na pabor, at iba pang pasalita o pisikal na pag-uugali na may sekswal na katangian. * Lumilikha ng isang pagalit o nakakasakit na kapaligiran sa trabaho. * Maaaring may kinalaman sa power imbalance, ngunit hindi palaging. * Karaniwang napapailalim sa batas sibil (bagama't maaaring may mga kriminal na aspeto ang matitinding kaso). * Kabilang sa mga halimbawa ang mga hindi naaangkop na komento, hindi gustong paghipo, o panggigipit para sa mga sekswal na pabor.
**Sekwal na Pagsasamantala:**
* Kinabibilangan ng pagsasamantala sa kahinaan, pagkakaiba ng kapangyarihan, o tiwala ng isang tao para sa mga layuning sekswal. * Kadalasan ay kinapapalooban ng pagpapalit ng isang bagay na may halaga (pera, kalakal, serbisyo) para sa sekswal na aktibidad. * Maaaring magsama ng pamimilit, blackmail, o pagbabanta. * Maaaring kriminal at sibil depende sa mga detalye. * Kabilang sa mga halimbawa ang prostitusyon na kinasasangkutan ng mga menor de edad, sex trafficking, o pamimilit sa isang tao na makipagtalik kapalit ng promosyon sa trabaho.
Narito ang isang pagkakatulad: Isipin ang sekswal na panliligalig bilang bastos at hindi kanais-nais na pag-uugali, habang ang sekswal na pagsasamantala ay isang uri ng pang-aabuso na gumagamit ng kawalan ng timbang sa kapangyarihan para sa sekswal na pakinabang.
**Magpatong:**
Maaaring magkaroon ng ilang overlap, lalo na sa mga sitwasyon kung saan ginagamit ng isang superbisor ang kanilang posisyon para ipilit ang isang tao para sa mga sekswal na pabor. Sa ganitong mga kaso, maaaring ito ay parehong sekswal na panliligalig (pagalit na kapaligiran sa trabaho) at sekswal na pagsasamantala.
**Mga Mapagkukunan:**
* Ang United Nations High Commissioner for Refugees (UNHCR) ay nagbibigay ng malinaw na paliwanag sa mga pagkakaiba: UNHCR Pagtukoy sa sekswal na pagsasamantala at pang-aabuso at sekswal na panliligalig: [https://www.unhcr.org/what-we-do/protect-human- rights/tackling-sexual-exploitation-abuse-and-harassment](https://www.unhcr.org/what-we-do/protect-human-rights/tackling-sexual-exploitation-abuse-and-harassment)</v>
      </c>
      <c r="F712" s="2">
        <f t="shared" si="1"/>
        <v>0</v>
      </c>
      <c r="G712" s="2"/>
      <c r="H712" s="2"/>
      <c r="I712" s="2"/>
      <c r="J712" s="2"/>
      <c r="K712" s="2"/>
      <c r="L712" s="2"/>
      <c r="M712" s="2"/>
      <c r="N712" s="2"/>
      <c r="O712" s="2"/>
      <c r="P712" s="2"/>
      <c r="Q712" s="2"/>
      <c r="R712" s="2"/>
      <c r="S712" s="2"/>
      <c r="T712" s="2"/>
      <c r="U712" s="2"/>
      <c r="V712" s="2"/>
      <c r="W712" s="2"/>
      <c r="X712" s="2"/>
      <c r="Y712" s="2"/>
      <c r="Z712" s="2"/>
      <c r="AA712" s="2"/>
    </row>
    <row r="713">
      <c r="A713" s="3" t="s">
        <v>2010</v>
      </c>
      <c r="B713" s="1" t="s">
        <v>2352</v>
      </c>
      <c r="C713" s="1" t="s">
        <v>2353</v>
      </c>
      <c r="D713" s="1" t="s">
        <v>2354</v>
      </c>
      <c r="E713" s="2" t="str">
        <f>IFERROR(__xludf.DUMMYFUNCTION("GOOGLETRANSLATE(C713, ""en"", ""TL"")"),"Ang ebidensya para sa pagpapatunay ng sekswal na pagsasamantala sa isang legal na kaso ay maaaring mag-iba depende sa partikular na mga pangyayari, ngunit narito ang ilang karaniwang uri na maaaring makatulong:
**Testimonya ng Saksi:**
* Ang mga pahayag m"&amp;"ula sa **mga saksi** na nakakita ng mga sekswal na gawain o kung sino ang maaaring patunayan ang ulat ng biktima tungkol sa pang-aabuso ay maaaring maging matibay na ebidensya. Maaaring kabilang dito ang mga taong nakakita sa nasasakdal kasama ng biktima "&amp;"sa mga sitwasyong nakompromiso, nakarinig ng mga nagsasaad na pahayag, o nakapansin ng mga pagbabago sa pag-uugali ng biktima pagkatapos ng di-umano'y pag-atake.
**Patotoo ng Biktima:**
* Ang **testimonya ng biktima** ay sentro ng kaso. Habang ang mga kor"&amp;"te ay hindi palaging nangangailangan ng iba pang ebidensya kung ang testimonya ay kapani-paniwala, ang pagkakaroon ng sumusuportang ebidensya ay nagpapatibay sa kaso. **Pisikal na Katibayan:**
* **Pisikal na ebidensya** gaya ng pananamit na may punit-puni"&amp;"t na mga hibla o ebidensya ng DNA ay maaaring mag-ugnay sa nasasakdal sa pinangyarihan ng krimen at suportahan ang mga sinasabi ng biktima ng pakikipagtalik. Gayunpaman, ang kawalan ng naturang ebidensya ay hindi kinakailangang siraan ang testimonya ng bi"&amp;"ktima.
**Mga Rekord na Medikal:**
* **Mga rekord ng medikal** ang pagdodokumento ng mga pisikal na pinsala na kaayon ng sekswal na pag-atake ay maaaring maging matibay na ebidensya. Maaaring kabilang sa mga rekord na ito ang mga resulta ng mga pagsusuri s"&amp;"a rape kit, pagkakaroon ng mga sexually transmitted infection (STI), o iba pang pinsalang natamo sa panahon ng pag-atake.
**Digital na Katibayan:**
* **Digital na ebidensya** tulad ng mga text message, email, o mga post sa social media ay maaaring gamitin"&amp;" upang magtatag ng komunikasyon sa pagitan ng nasasakdal at ng biktima, lalo na kung ang mga mensahe ay naglalaman ng nagpapahiwatig na nilalaman o mga pagbabanta. Sa ilang mga kaso, maaaring ipakita ng digital na ebidensya ang nasasakdal na nag-aayos ng "&amp;"engkwentro o pinipilit ang biktima sa sekswal na aktibidad.
**Ibang Katibayan:**
* **Ang patotoo ng eksperto** mula sa mga forensic scientist, medikal na propesyonal, o mga propesyonal sa kalusugan ng isip ay maaaring maging mahalaga sa pagbibigay-kahulug"&amp;"an sa pisikal na ebidensya, pagpapaliwanag sa mga epekto ng sekswal na pagsasamantala sa mga biktima, o pagsuporta sa kredibilidad ng biktima sa pamamagitan ng pagpapaliwanag ng mga karaniwang reaksyon sa trauma.
* Ang ebidensya ng **nakaraang pag-uugali "&amp;"ng nasasakdal** hinggil sa sekswal na maling pag-uugali sa iba ay maaaring tanggapin sa korte upang magpakita ng isang pattern ng pag-uugali.
**Mahahalagang Pagsasaalang-alang:**
* Ang pasanin ng patunay sa mga kasong kriminal ay nakasalalay sa prosekusyo"&amp;"n. Nangangahulugan ito na dapat patunayan ng tagausig na nagkasala ang nasasakdal **beyond a reasonable doubt**.
* **Ang pagiging matanggap ng ebidensya** ay tinutukoy ng hukom. Maaaring magpayo ang isang bihasang abogado kung aling ebidensya ang malamang"&amp;" na tanggapin sa korte.
* **Ang pag-uulat ng krimen** sa lalong madaling panahon ay mahalaga upang mapanatili ang ebidensya. Maaaring mangolekta ng forensic na ebidensya ang tagapagpatupad ng batas at epektibong idokumento ang pinangyarihan ng krimen kapa"&amp;"g sariwa pa ang insidente.
**Naghahanap ng Legal na Tulong**
Kung naniniwala kang naging biktima ka ng sekswal na pagsasamantala, mahalagang humingi ng legal na tulong sa lalong madaling panahon. Maaaring payuhan ka ng isang abogado tungkol sa iyong mga l"&amp;"egal na opsyon, tulungan kang maunawaan ang proseso ng pangongolekta ng ebidensya, at katawanin ka sa korte kung pipiliin mong magsampa ng mga kaso.")</f>
        <v>Ang ebidensya para sa pagpapatunay ng sekswal na pagsasamantala sa isang legal na kaso ay maaaring mag-iba depende sa partikular na mga pangyayari, ngunit narito ang ilang karaniwang uri na maaaring makatulong:
**Testimonya ng Saksi:**
* Ang mga pahayag mula sa **mga saksi** na nakakita ng mga sekswal na gawain o kung sino ang maaaring patunayan ang ulat ng biktima tungkol sa pang-aabuso ay maaaring maging matibay na ebidensya. Maaaring kabilang dito ang mga taong nakakita sa nasasakdal kasama ng biktima sa mga sitwasyong nakompromiso, nakarinig ng mga nagsasaad na pahayag, o nakapansin ng mga pagbabago sa pag-uugali ng biktima pagkatapos ng di-umano'y pag-atake.
**Patotoo ng Biktima:**
* Ang **testimonya ng biktima** ay sentro ng kaso. Habang ang mga korte ay hindi palaging nangangailangan ng iba pang ebidensya kung ang testimonya ay kapani-paniwala, ang pagkakaroon ng sumusuportang ebidensya ay nagpapatibay sa kaso. **Pisikal na Katibayan:**
* **Pisikal na ebidensya** gaya ng pananamit na may punit-punit na mga hibla o ebidensya ng DNA ay maaaring mag-ugnay sa nasasakdal sa pinangyarihan ng krimen at suportahan ang mga sinasabi ng biktima ng pakikipagtalik. Gayunpaman, ang kawalan ng naturang ebidensya ay hindi kinakailangang siraan ang testimonya ng biktima.
**Mga Rekord na Medikal:**
* **Mga rekord ng medikal** ang pagdodokumento ng mga pisikal na pinsala na kaayon ng sekswal na pag-atake ay maaaring maging matibay na ebidensya. Maaaring kabilang sa mga rekord na ito ang mga resulta ng mga pagsusuri sa rape kit, pagkakaroon ng mga sexually transmitted infection (STI), o iba pang pinsalang natamo sa panahon ng pag-atake.
**Digital na Katibayan:**
* **Digital na ebidensya** tulad ng mga text message, email, o mga post sa social media ay maaaring gamitin upang magtatag ng komunikasyon sa pagitan ng nasasakdal at ng biktima, lalo na kung ang mga mensahe ay naglalaman ng nagpapahiwatig na nilalaman o mga pagbabanta. Sa ilang mga kaso, maaaring ipakita ng digital na ebidensya ang nasasakdal na nag-aayos ng engkwentro o pinipilit ang biktima sa sekswal na aktibidad.
**Ibang Katibayan:**
* **Ang patotoo ng eksperto** mula sa mga forensic scientist, medikal na propesyonal, o mga propesyonal sa kalusugan ng isip ay maaaring maging mahalaga sa pagbibigay-kahulugan sa pisikal na ebidensya, pagpapaliwanag sa mga epekto ng sekswal na pagsasamantala sa mga biktima, o pagsuporta sa kredibilidad ng biktima sa pamamagitan ng pagpapaliwanag ng mga karaniwang reaksyon sa trauma.
* Ang ebidensya ng **nakaraang pag-uugali ng nasasakdal** hinggil sa sekswal na maling pag-uugali sa iba ay maaaring tanggapin sa korte upang magpakita ng isang pattern ng pag-uugali.
**Mahahalagang Pagsasaalang-alang:**
* Ang pasanin ng patunay sa mga kasong kriminal ay nakasalalay sa prosekusyon. Nangangahulugan ito na dapat patunayan ng tagausig na nagkasala ang nasasakdal **beyond a reasonable doubt**.
* **Ang pagiging matanggap ng ebidensya** ay tinutukoy ng hukom. Maaaring magpayo ang isang bihasang abogado kung aling ebidensya ang malamang na tanggapin sa korte.
* **Ang pag-uulat ng krimen** sa lalong madaling panahon ay mahalaga upang mapanatili ang ebidensya. Maaaring mangolekta ng forensic na ebidensya ang tagapagpatupad ng batas at epektibong idokumento ang pinangyarihan ng krimen kapag sariwa pa ang insidente.
**Naghahanap ng Legal na Tulong**
Kung naniniwala kang naging biktima ka ng sekswal na pagsasamantala, mahalagang humingi ng legal na tulong sa lalong madaling panahon. Maaaring payuhan ka ng isang abogado tungkol sa iyong mga legal na opsyon, tulungan kang maunawaan ang proseso ng pangongolekta ng ebidensya, at katawanin ka sa korte kung pipiliin mong magsampa ng mga kaso.</v>
      </c>
      <c r="F713" s="2">
        <f t="shared" si="1"/>
        <v>0</v>
      </c>
      <c r="G713" s="2"/>
      <c r="H713" s="2"/>
      <c r="I713" s="2"/>
      <c r="J713" s="2"/>
      <c r="K713" s="2"/>
      <c r="L713" s="2"/>
      <c r="M713" s="2"/>
      <c r="N713" s="2"/>
      <c r="O713" s="2"/>
      <c r="P713" s="2"/>
      <c r="Q713" s="2"/>
      <c r="R713" s="2"/>
      <c r="S713" s="2"/>
      <c r="T713" s="2"/>
      <c r="U713" s="2"/>
      <c r="V713" s="2"/>
      <c r="W713" s="2"/>
      <c r="X713" s="2"/>
      <c r="Y713" s="2"/>
      <c r="Z713" s="2"/>
      <c r="AA713" s="2"/>
    </row>
    <row r="714">
      <c r="A714" s="3" t="s">
        <v>2010</v>
      </c>
      <c r="B714" s="1" t="s">
        <v>2355</v>
      </c>
      <c r="C714" s="1" t="s">
        <v>2356</v>
      </c>
      <c r="D714" s="1" t="s">
        <v>2357</v>
      </c>
      <c r="E714" s="2" t="str">
        <f>IFERROR(__xludf.DUMMYFUNCTION("GOOGLETRANSLATE(C714, ""en"", ""TL"")"),"Oo, maaari mong ituloy ang mga kasong kriminal laban sa isang taong nagsasamantala sa iyo sa trabaho sa Pilipinas. Ang seksuwal na pagsasamantala ay isang malubhang pagkakasala, at may mga batas na inilalagay upang protektahan ang mga indibidwal mula sa m"&amp;"ga naturang aksyon. Ang pangunahing legal na balangkas na tumutugon sa mga pagkakasala na may kaugnayan sa sekswal na pagsasamantala ay ang ""Anti-Sexual Harassment Act of 1995"" o Republic Act No. 7877.
Ang mga pangunahing punto tungkol sa paghabol sa mg"&amp;"a kasong kriminal para sa sekswal na pagsasamantala sa trabaho ay kinabibilangan ng:
1. **Anti-Sexual Harassment Act of 1995 (RA 7877):**
- Tinutukoy at ipinagbabawal ng RA 7877 ang sekswal na panliligalig sa mga lugar ng trabaho, mga institusyong pang-ed"&amp;"ukasyon, at mga sentro ng pagsasanay. Kabilang dito ang hindi kanais-nais na mga sekswal na pagsulong, mga kahilingan para sa sekswal na pabor, at iba pang pasalita o pisikal na pag-uugali na may sekswal na katangian.
2. **Paghain ng Reklamo:**
- Kung nak"&amp;"aranas ka ng seksuwal na pagsasamantala sa trabaho, maaari kang magsampa ng pormal na reklamo sa iyong employer, superbisor, o sa naaangkop na awtoridad sa loob ng organisasyon.
3. **Department of Labor and Employment (DOLE):**
- Ang Department of Labor a"&amp;"nd Employment (DOLE) ay isa sa mga ahensya ng gobyerno na humahawak ng mga kaso na may kaugnayan sa sexual harassment sa lugar ng trabaho. Maaari kang magsampa ng reklamo sa DOLE kung nabigo ang iyong employer na tugunan ang isyu nang sapat.
4. **Mga Pags"&amp;"ingil sa Kriminal:**
- Bilang karagdagan sa mga aksyong administratibo sa loob ng lugar ng trabaho, ang mga kasong kriminal ay maaaring isulong laban sa nagkasala. Kung ang seksuwal na pagsasamantala ay nagsasangkot ng mga kriminal na pagkakasala, tulad n"&amp;"g kahalayan o panggagahasa, maaari kang magsampa ng reklamo sa Philippine National Police (PNP) o National Bureau of Investigation (NBI).
5. **Legal na Tulong:**
- Maipapayo na humingi ng legal na tulong kapag naghahabol ng mga kasong kriminal. Kumonsulta"&amp;" sa isang abogado na dalubhasa sa mga batas sa paggawa o batas sa kriminal upang maunawaan ang iyong mga karapatan, ang legal na proseso, at ang mga potensyal na resulta.
6. **Pag-iingat ng Ebidensya:**
- Mahalagang panatilihin ang anumang ebidensya na na"&amp;"uugnay sa insidente, tulad ng mga text message, email, o mga testigo na maaaring nakakita ng panliligalig. Ang ebidensyang ito ay maaaring maging mahalaga sa pagsuporta sa iyong kaso.
Tandaan na ang pag-uulat at pagsasagawa ng legal na aksyon laban sa sek"&amp;"swal na pagsasamantala ay maaaring maging emosyonal na hamon, ngunit ito ay isang mahalagang hakbang patungo sa paghahanap ng hustisya. Kung sa tingin mo ay hindi ligtas o hindi sigurado tungkol sa proseso, isaalang-alang ang pag-abot sa mga organisasyon "&amp;"ng suporta o legal na propesyonal na maaaring magbigay ng gabay at tulong.")</f>
        <v>Oo, maaari mong ituloy ang mga kasong kriminal laban sa isang taong nagsasamantala sa iyo sa trabaho sa Pilipinas. Ang seksuwal na pagsasamantala ay isang malubhang pagkakasala, at may mga batas na inilalagay upang protektahan ang mga indibidwal mula sa mga naturang aksyon. Ang pangunahing legal na balangkas na tumutugon sa mga pagkakasala na may kaugnayan sa sekswal na pagsasamantala ay ang "Anti-Sexual Harassment Act of 1995" o Republic Act No. 7877.
Ang mga pangunahing punto tungkol sa paghabol sa mga kasong kriminal para sa sekswal na pagsasamantala sa trabaho ay kinabibilangan ng:
1. **Anti-Sexual Harassment Act of 1995 (RA 7877):**
- Tinutukoy at ipinagbabawal ng RA 7877 ang sekswal na panliligalig sa mga lugar ng trabaho, mga institusyong pang-edukasyon, at mga sentro ng pagsasanay. Kabilang dito ang hindi kanais-nais na mga sekswal na pagsulong, mga kahilingan para sa sekswal na pabor, at iba pang pasalita o pisikal na pag-uugali na may sekswal na katangian.
2. **Paghain ng Reklamo:**
- Kung nakaranas ka ng seksuwal na pagsasamantala sa trabaho, maaari kang magsampa ng pormal na reklamo sa iyong employer, superbisor, o sa naaangkop na awtoridad sa loob ng organisasyon.
3. **Department of Labor and Employment (DOLE):**
- Ang Department of Labor and Employment (DOLE) ay isa sa mga ahensya ng gobyerno na humahawak ng mga kaso na may kaugnayan sa sexual harassment sa lugar ng trabaho. Maaari kang magsampa ng reklamo sa DOLE kung nabigo ang iyong employer na tugunan ang isyu nang sapat.
4. **Mga Pagsingil sa Kriminal:**
- Bilang karagdagan sa mga aksyong administratibo sa loob ng lugar ng trabaho, ang mga kasong kriminal ay maaaring isulong laban sa nagkasala. Kung ang seksuwal na pagsasamantala ay nagsasangkot ng mga kriminal na pagkakasala, tulad ng kahalayan o panggagahasa, maaari kang magsampa ng reklamo sa Philippine National Police (PNP) o National Bureau of Investigation (NBI).
5. **Legal na Tulong:**
- Maipapayo na humingi ng legal na tulong kapag naghahabol ng mga kasong kriminal. Kumonsulta sa isang abogado na dalubhasa sa mga batas sa paggawa o batas sa kriminal upang maunawaan ang iyong mga karapatan, ang legal na proseso, at ang mga potensyal na resulta.
6. **Pag-iingat ng Ebidensya:**
- Mahalagang panatilihin ang anumang ebidensya na nauugnay sa insidente, tulad ng mga text message, email, o mga testigo na maaaring nakakita ng panliligalig. Ang ebidensyang ito ay maaaring maging mahalaga sa pagsuporta sa iyong kaso.
Tandaan na ang pag-uulat at pagsasagawa ng legal na aksyon laban sa sekswal na pagsasamantala ay maaaring maging emosyonal na hamon, ngunit ito ay isang mahalagang hakbang patungo sa paghahanap ng hustisya. Kung sa tingin mo ay hindi ligtas o hindi sigurado tungkol sa proseso, isaalang-alang ang pag-abot sa mga organisasyon ng suporta o legal na propesyonal na maaaring magbigay ng gabay at tulong.</v>
      </c>
      <c r="F714" s="2">
        <f t="shared" si="1"/>
        <v>0</v>
      </c>
      <c r="G714" s="2"/>
      <c r="H714" s="2"/>
      <c r="I714" s="2"/>
      <c r="J714" s="2"/>
      <c r="K714" s="2"/>
      <c r="L714" s="2"/>
      <c r="M714" s="2"/>
      <c r="N714" s="2"/>
      <c r="O714" s="2"/>
      <c r="P714" s="2"/>
      <c r="Q714" s="2"/>
      <c r="R714" s="2"/>
      <c r="S714" s="2"/>
      <c r="T714" s="2"/>
      <c r="U714" s="2"/>
      <c r="V714" s="2"/>
      <c r="W714" s="2"/>
      <c r="X714" s="2"/>
      <c r="Y714" s="2"/>
      <c r="Z714" s="2"/>
      <c r="AA714" s="2"/>
    </row>
    <row r="715">
      <c r="A715" s="3" t="s">
        <v>2010</v>
      </c>
      <c r="B715" s="1" t="s">
        <v>2358</v>
      </c>
      <c r="C715" s="1" t="s">
        <v>2359</v>
      </c>
      <c r="D715" s="1" t="s">
        <v>2360</v>
      </c>
      <c r="E715" s="2" t="str">
        <f>IFERROR(__xludf.DUMMYFUNCTION("GOOGLETRANSLATE(C715, ""en"", ""TL"")"),"Sa aking huling update sa kaalaman noong Enero 2022, ang Equal Employment Opportunity Commission (EEOC) ay isang ahensya ng gobyerno ng U.S. na responsable para sa pagpapatupad ng mga pederal na batas na may kaugnayan sa diskriminasyon sa lugar ng trabaho"&amp;" sa United States. Ang EEOC ay walang hurisdiksyon sa mga isyu na may kaugnayan sa lugar ng trabaho sa Pilipinas.
Sa Pilipinas, ang may-katuturang ahensya para sa pagtugon sa diskriminasyon at panliligalig sa lugar ng trabaho, kabilang ang sekswal na pags"&amp;"asamantala, ay ang Department of Labor and Employment (DOLE). Narito ang mga pangkalahatang hakbang na maaari mong gawin upang maghain ng reklamo sa Pilipinas:
1. **Idokumento ang Insidente:**
- Panatilihin ang isang detalyadong talaan ng mga insidente ng"&amp;" sekswal na pagsasamantala, kabilang ang mga petsa, oras, lokasyon, indibidwal na kasangkot, at sinumang saksi. Panatilihin ang anumang nauugnay na ebidensya gaya ng mga text message, email, o iba pang dokumentasyon.
2. **Kumonsulta sa isang Abogado:**
- "&amp;"Bago magsampa ng reklamo, ipinapayong kumunsulta sa isang abogado na dalubhasa sa batas sa paggawa o batas sa pagtatrabaho. Maaari silang magbigay ng gabay sa iyong mga karapatan, legal na proseso, at mga partikular na hakbang na gagawin.
3. **Maghain ng "&amp;"Reklamo sa Iyong Employer:**
- Abisuhan ang iyong employer o ang naaangkop na superbisor o manager tungkol sa mga insidente. Maraming mga lugar ng trabaho ang may mga panloob na pamamaraan para sa paghawak ng mga reklamo ng panliligalig.
4. **Maghain ng R"&amp;"eklamo sa DOLE:**
- Kung hindi natugunan ng iyong employer ang isyu nang sapat, maaari kang maghain ng pormal na reklamo sa Department of Labor and Employment (DOLE). Bisitahin ang pinakamalapit na DOLE regional o field office para isumite ang iyong rekla"&amp;"mo.
5. **Magbigay ng Mga Pansuportang Dokumento:**
- Kapag nagsampa ng reklamo sa DOLE, maging handa na magbigay ng mga pansuportang dokumento, tulad ng iyong detalyadong rekord ng mga insidente, anumang ebidensya na mayroon ka, at anumang sulat sa iyong "&amp;"employer tungkol sa usapin.
6. **Mediation at Conciliation:**
- Maaaring subukan ng DOLE na mamagitan o makipagkasundo sa hindi pagkakaunawaan sa pagitan mo at ng iyong employer. Kung ang isang maayos na kasunduan ay hindi naabot, ang iyong kaso ay maaari"&amp;"ng magpatuloy sa isang pormal na pagdinig.
7. **Humingi ng Legal na Tulong:**
- Kung kinakailangan, maaari mong piliing humingi ng tulong sa isang abogado sa panahon ng proseso ng reklamo ng DOLE.
Mahalagang tandaan na maaaring nagbago ang mga batas at pa"&amp;"mamaraan, at ipinapayong tingnan ang pinakabagong impormasyon o mga legal na propesyonal para sa pinakatumpak na gabay. Bukod pa rito, kung nahaharap ka sa isang agarang sitwasyon o banta sa iyong kaligtasan, pag-isipang makipag-ugnayan sa mga lokal na aw"&amp;"toridad sa pagpapatupad ng batas para sa agarang tulong.")</f>
        <v>Sa aking huling update sa kaalaman noong Enero 2022, ang Equal Employment Opportunity Commission (EEOC) ay isang ahensya ng gobyerno ng U.S. na responsable para sa pagpapatupad ng mga pederal na batas na may kaugnayan sa diskriminasyon sa lugar ng trabaho sa United States. Ang EEOC ay walang hurisdiksyon sa mga isyu na may kaugnayan sa lugar ng trabaho sa Pilipinas.
Sa Pilipinas, ang may-katuturang ahensya para sa pagtugon sa diskriminasyon at panliligalig sa lugar ng trabaho, kabilang ang sekswal na pagsasamantala, ay ang Department of Labor and Employment (DOLE). Narito ang mga pangkalahatang hakbang na maaari mong gawin upang maghain ng reklamo sa Pilipinas:
1. **Idokumento ang Insidente:**
- Panatilihin ang isang detalyadong talaan ng mga insidente ng sekswal na pagsasamantala, kabilang ang mga petsa, oras, lokasyon, indibidwal na kasangkot, at sinumang saksi. Panatilihin ang anumang nauugnay na ebidensya gaya ng mga text message, email, o iba pang dokumentasyon.
2. **Kumonsulta sa isang Abogado:**
- Bago magsampa ng reklamo, ipinapayong kumunsulta sa isang abogado na dalubhasa sa batas sa paggawa o batas sa pagtatrabaho. Maaari silang magbigay ng gabay sa iyong mga karapatan, legal na proseso, at mga partikular na hakbang na gagawin.
3. **Maghain ng Reklamo sa Iyong Employer:**
- Abisuhan ang iyong employer o ang naaangkop na superbisor o manager tungkol sa mga insidente. Maraming mga lugar ng trabaho ang may mga panloob na pamamaraan para sa paghawak ng mga reklamo ng panliligalig.
4. **Maghain ng Reklamo sa DOLE:**
- Kung hindi natugunan ng iyong employer ang isyu nang sapat, maaari kang maghain ng pormal na reklamo sa Department of Labor and Employment (DOLE). Bisitahin ang pinakamalapit na DOLE regional o field office para isumite ang iyong reklamo.
5. **Magbigay ng Mga Pansuportang Dokumento:**
- Kapag nagsampa ng reklamo sa DOLE, maging handa na magbigay ng mga pansuportang dokumento, tulad ng iyong detalyadong rekord ng mga insidente, anumang ebidensya na mayroon ka, at anumang sulat sa iyong employer tungkol sa usapin.
6. **Mediation at Conciliation:**
- Maaaring subukan ng DOLE na mamagitan o makipagkasundo sa hindi pagkakaunawaan sa pagitan mo at ng iyong employer. Kung ang isang maayos na kasunduan ay hindi naabot, ang iyong kaso ay maaaring magpatuloy sa isang pormal na pagdinig.
7. **Humingi ng Legal na Tulong:**
- Kung kinakailangan, maaari mong piliing humingi ng tulong sa isang abogado sa panahon ng proseso ng reklamo ng DOLE.
Mahalagang tandaan na maaaring nagbago ang mga batas at pamamaraan, at ipinapayong tingnan ang pinakabagong impormasyon o mga legal na propesyonal para sa pinakatumpak na gabay. Bukod pa rito, kung nahaharap ka sa isang agarang sitwasyon o banta sa iyong kaligtasan, pag-isipang makipag-ugnayan sa mga lokal na awtoridad sa pagpapatupad ng batas para sa agarang tulong.</v>
      </c>
      <c r="F715" s="2">
        <f t="shared" si="1"/>
        <v>0</v>
      </c>
      <c r="G715" s="2"/>
      <c r="H715" s="2"/>
      <c r="I715" s="2"/>
      <c r="J715" s="2"/>
      <c r="K715" s="2"/>
      <c r="L715" s="2"/>
      <c r="M715" s="2"/>
      <c r="N715" s="2"/>
      <c r="O715" s="2"/>
      <c r="P715" s="2"/>
      <c r="Q715" s="2"/>
      <c r="R715" s="2"/>
      <c r="S715" s="2"/>
      <c r="T715" s="2"/>
      <c r="U715" s="2"/>
      <c r="V715" s="2"/>
      <c r="W715" s="2"/>
      <c r="X715" s="2"/>
      <c r="Y715" s="2"/>
      <c r="Z715" s="2"/>
      <c r="AA715" s="2"/>
    </row>
    <row r="716">
      <c r="A716" s="3" t="s">
        <v>2010</v>
      </c>
      <c r="B716" s="1" t="s">
        <v>2361</v>
      </c>
      <c r="C716" s="1" t="s">
        <v>2362</v>
      </c>
      <c r="D716" s="1" t="s">
        <v>2363</v>
      </c>
      <c r="E716" s="2" t="str">
        <f>IFERROR(__xludf.DUMMYFUNCTION("GOOGLETRANSLATE(C716, ""en"", ""TL"")"),"Oo, talagang may mga legal na remedyo na magagamit kung nakaranas ka ng sekswal na pagsasamantala bilang isang intern. Narito kung bakit:
* **Pag-uuri ng Intern:** Maaaring mag-iba ang mga klasipikasyon ng intern, ngunit maraming intern ang may legal na k"&amp;"atayuan bilang mga empleyado, lalo na kung gumaganap sila ng mga tungkulin na katulad ng mga binabayarang kawani. Nangangahulugan ito na nalalapat ang mga batas laban sa diskriminasyon na sumasaklaw sa sekswal na panliligalig. * **Ang Sekswal na Pagsasama"&amp;"ntala bilang Panliligalig:** Ang seksuwal na pagsasamantala ay nagsasangkot ng pag-abuso sa kapangyarihan para sa sekswal na pakinabang. Ito ay maaaring magpakita sa iba't ibang paraan, lahat ay nasa ilalim ng payong ng sekswal na panliligalig. Kasama sa "&amp;"mga halimbawa ang mga hindi gustong sekswal na pagsulong, mga pagbabanta batay sa pagsusumite sa mga sekswal na kahilingan, o paglikha ng hindi magandang kapaligiran sa trabaho.
**Mga Legal na Avenue:**
* **Equal Employment Opportunity Commission (EEOC):*"&amp;"* Gaya ng nabanggit kanina, ang EEOC ang pangunahing ahensyang pederal na humahawak sa mga reklamo sa diskriminasyon sa lugar ng trabaho, kabilang ang sekswal na panliligalig. Maaari kang magsampa ng singilin sa kanila.
* **Title IX (kung naaangkop):** Ku"&amp;"ng ang iyong internship ay naganap sa isang institusyong pang-edukasyon na tumatanggap ng pederal na pagpopondo, ang Title IX ay nagpoprotekta laban sa sekswal na panliligalig. Maaari mong tuklasin ang mga opsyon sa pamamagitan ng proseso ng karaingan ng "&amp;"paaralan o maghain ng reklamo sa Opisina ng Kagawaran ng Edukasyon para sa mga Karapatang Sibil.
* **Mga Batas ng Estado at Lokal:** Maraming estado at lokalidad ang may mga batas na nagpapatibay ng mga proteksyon laban sa panliligalig sa lugar ng trabaho"&amp;" o nag-aalok ng mga karagdagang remedyo. Makakatulong ang pagsasaliksik sa mga batas sa paggawa ng iyong estado.
**Lawsuit:** Bagama't hindi palaging ang unang opsyon, maaari mo ring isaalang-alang ang paghabol ng demanda laban sa iyong employer. Ang land"&amp;"as na ito ay karaniwang nagsasangkot ng pagkonsulta sa isang abogado sa pagtatrabaho na dalubhasa sa mga kaso ng sexual harassment.
**Tandaan:**
* **Koleksyon ng Ebidensya:** Subukang idokumento ang mga detalye ng pagsasamantala, kabilang ang mga petsa, o"&amp;"ras, saksi (kung mayroon), at mga partikular na aksyon. Mag-save ng mga email, text, o anumang voicemail na naglalaman ng ebidensya. * **Mga Limitasyon sa Oras:** May mga deadline para magsampa ng mga singil sa EEOC at posibleng nasa ilalim ng Title IX. T"&amp;"ingnan ang mga partikular na limitasyon ng oras para sa iyong sitwasyon.
* **Mga Mapagkukunan ng Suporta:** Isaalang-alang ang paghingi ng emosyonal na suporta mula sa isang hotline ng krisis o propesyonal sa kalusugan ng isip. Mayroong mga mapagkukunan n"&amp;"a magagamit upang matulungan ka sa pamamagitan nito. Narito ang ilang mapagkukunan na maaaring magbigay ng karagdagang gabay:
* Ang website ng EEOC kung paano magsampa ng singil [paano magsampa ng reklamo sa EEOC]
* Ang webpage ng Sexual Harassment ng RAI"&amp;"NN [RAINN sexual harassment]")</f>
        <v>Oo, talagang may mga legal na remedyo na magagamit kung nakaranas ka ng sekswal na pagsasamantala bilang isang intern. Narito kung bakit:
* **Pag-uuri ng Intern:** Maaaring mag-iba ang mga klasipikasyon ng intern, ngunit maraming intern ang may legal na katayuan bilang mga empleyado, lalo na kung gumaganap sila ng mga tungkulin na katulad ng mga binabayarang kawani. Nangangahulugan ito na nalalapat ang mga batas laban sa diskriminasyon na sumasaklaw sa sekswal na panliligalig. * **Ang Sekswal na Pagsasamantala bilang Panliligalig:** Ang seksuwal na pagsasamantala ay nagsasangkot ng pag-abuso sa kapangyarihan para sa sekswal na pakinabang. Ito ay maaaring magpakita sa iba't ibang paraan, lahat ay nasa ilalim ng payong ng sekswal na panliligalig. Kasama sa mga halimbawa ang mga hindi gustong sekswal na pagsulong, mga pagbabanta batay sa pagsusumite sa mga sekswal na kahilingan, o paglikha ng hindi magandang kapaligiran sa trabaho.
**Mga Legal na Avenue:**
* **Equal Employment Opportunity Commission (EEOC):** Gaya ng nabanggit kanina, ang EEOC ang pangunahing ahensyang pederal na humahawak sa mga reklamo sa diskriminasyon sa lugar ng trabaho, kabilang ang sekswal na panliligalig. Maaari kang magsampa ng singilin sa kanila.
* **Title IX (kung naaangkop):** Kung ang iyong internship ay naganap sa isang institusyong pang-edukasyon na tumatanggap ng pederal na pagpopondo, ang Title IX ay nagpoprotekta laban sa sekswal na panliligalig. Maaari mong tuklasin ang mga opsyon sa pamamagitan ng proseso ng karaingan ng paaralan o maghain ng reklamo sa Opisina ng Kagawaran ng Edukasyon para sa mga Karapatang Sibil.
* **Mga Batas ng Estado at Lokal:** Maraming estado at lokalidad ang may mga batas na nagpapatibay ng mga proteksyon laban sa panliligalig sa lugar ng trabaho o nag-aalok ng mga karagdagang remedyo. Makakatulong ang pagsasaliksik sa mga batas sa paggawa ng iyong estado.
**Lawsuit:** Bagama't hindi palaging ang unang opsyon, maaari mo ring isaalang-alang ang paghabol ng demanda laban sa iyong employer. Ang landas na ito ay karaniwang nagsasangkot ng pagkonsulta sa isang abogado sa pagtatrabaho na dalubhasa sa mga kaso ng sexual harassment.
**Tandaan:**
* **Koleksyon ng Ebidensya:** Subukang idokumento ang mga detalye ng pagsasamantala, kabilang ang mga petsa, oras, saksi (kung mayroon), at mga partikular na aksyon. Mag-save ng mga email, text, o anumang voicemail na naglalaman ng ebidensya. * **Mga Limitasyon sa Oras:** May mga deadline para magsampa ng mga singil sa EEOC at posibleng nasa ilalim ng Title IX. Tingnan ang mga partikular na limitasyon ng oras para sa iyong sitwasyon.
* **Mga Mapagkukunan ng Suporta:** Isaalang-alang ang paghingi ng emosyonal na suporta mula sa isang hotline ng krisis o propesyonal sa kalusugan ng isip. Mayroong mga mapagkukunan na magagamit upang matulungan ka sa pamamagitan nito. Narito ang ilang mapagkukunan na maaaring magbigay ng karagdagang gabay:
* Ang website ng EEOC kung paano magsampa ng singil [paano magsampa ng reklamo sa EEOC]
* Ang webpage ng Sexual Harassment ng RAINN [RAINN sexual harassment]</v>
      </c>
      <c r="F716" s="2">
        <f t="shared" si="1"/>
        <v>0</v>
      </c>
      <c r="G716" s="2"/>
      <c r="H716" s="2"/>
      <c r="I716" s="2"/>
      <c r="J716" s="2"/>
      <c r="K716" s="2"/>
      <c r="L716" s="2"/>
      <c r="M716" s="2"/>
      <c r="N716" s="2"/>
      <c r="O716" s="2"/>
      <c r="P716" s="2"/>
      <c r="Q716" s="2"/>
      <c r="R716" s="2"/>
      <c r="S716" s="2"/>
      <c r="T716" s="2"/>
      <c r="U716" s="2"/>
      <c r="V716" s="2"/>
      <c r="W716" s="2"/>
      <c r="X716" s="2"/>
      <c r="Y716" s="2"/>
      <c r="Z716" s="2"/>
      <c r="AA716" s="2"/>
    </row>
    <row r="717">
      <c r="A717" s="3" t="s">
        <v>2010</v>
      </c>
      <c r="B717" s="1" t="s">
        <v>2364</v>
      </c>
      <c r="C717" s="1" t="s">
        <v>2365</v>
      </c>
      <c r="D717" s="1" t="s">
        <v>2366</v>
      </c>
      <c r="E717" s="2" t="str">
        <f>IFERROR(__xludf.DUMMYFUNCTION("GOOGLETRANSLATE(C717, ""en"", ""TL"")"),"Hindi, hindi ka maaaring legal na matanggal sa trabaho dahil sa pagtanggi na lumahok sa sekswal na pagsasamantala sa trabaho sa Pilipinas. Ang sexual exploitation ay isang seryosong kasalanan at ipinagbabawal sa ilalim ng ""Anti-Sexual Harassment Act of 1"&amp;"995"" o Republic Act No. 7877.
Sa ilalim ng batas na ito, ang sekswal na panliligalig ay kinabibilangan ng mga hindi kanais-nais na sekswal na pagsulong, mga kahilingan para sa mga sekswal na pabor, o anumang iba pang pag-uugali na may sekswal na katangia"&amp;"n na nakakaapekto sa dignidad ng isang indibidwal. Kung tumanggi kang lumahok sa sekswal na pagsasamantala sa trabaho at makaranas ng masamang aksyon sa pagtatrabaho, tulad ng pagwawakas, dahil sa iyong pagtanggi, maaari itong ituring na isang paglabag sa"&amp;" iyong mga karapatan sa ilalim ng batas.
Kung makikita mo ang iyong sarili sa ganoong sitwasyon, maaari mong gawin ang mga sumusunod na hakbang:
1. **Idokumento ang Insidente:**
- Panatilihin ang isang talaan ng mga insidente, kabilang ang mga petsa, oras"&amp;", lokasyon, at mga indibidwal na kasangkot. Idokumento ang anumang komunikasyon o mga aksyon na nauugnay sa sekswal na pagsasamantala.
2. **Ipaalam sa Iyong Employer:**
- Ipaalam sa iyong employer o sa naaangkop na superbisor ang tungkol sa sitwasyon. Mar"&amp;"aming mga kumpanya ang may mga panloob na pamamaraan para sa pagtugon sa mga reklamo ng sekswal na panliligalig.
3. **Maghain ng Reklamo sa DOLE:**
- Kung hindi natugunan ng iyong employer ang isyu nang naaangkop, maaari kang magsampa ng reklamo sa Depart"&amp;"ment of Labor and Employment (DOLE).
4. **Humingi ng Legal na Payo:**
- Kumonsulta sa isang abogado na dalubhasa sa batas sa paggawa upang maunawaan ang iyong mga karapatan at tuklasin ang mga legal na opsyon.
5. **Palagaan ang Ebidensya:**
- Panatilihin "&amp;"ang anumang ebidensya na nauugnay sa sekswal na pagsasamantala, tulad ng mga text message, email, o iba pang dokumentasyon.
Mahalagang tandaan na pinoprotektahan ng batas ang mga indibidwal mula sa paghihiganti para sa pag-uulat o pagsalungat sa sekswal n"&amp;"a panliligalig. Kung naniniwala ka na hindi ka patas na winakasan o sumailalim sa masamang aksyon para sa pagtanggi na lumahok sa sekswal na pagsasamantala, maaari kang magkaroon ng legal na paraan sa ilalim ng Anti-Sexual Harassment Act at iba pang mga b"&amp;"atas sa paggawa sa Pilipinas.")</f>
        <v>Hindi, hindi ka maaaring legal na matanggal sa trabaho dahil sa pagtanggi na lumahok sa sekswal na pagsasamantala sa trabaho sa Pilipinas. Ang sexual exploitation ay isang seryosong kasalanan at ipinagbabawal sa ilalim ng "Anti-Sexual Harassment Act of 1995" o Republic Act No. 7877.
Sa ilalim ng batas na ito, ang sekswal na panliligalig ay kinabibilangan ng mga hindi kanais-nais na sekswal na pagsulong, mga kahilingan para sa mga sekswal na pabor, o anumang iba pang pag-uugali na may sekswal na katangian na nakakaapekto sa dignidad ng isang indibidwal. Kung tumanggi kang lumahok sa sekswal na pagsasamantala sa trabaho at makaranas ng masamang aksyon sa pagtatrabaho, tulad ng pagwawakas, dahil sa iyong pagtanggi, maaari itong ituring na isang paglabag sa iyong mga karapatan sa ilalim ng batas.
Kung makikita mo ang iyong sarili sa ganoong sitwasyon, maaari mong gawin ang mga sumusunod na hakbang:
1. **Idokumento ang Insidente:**
- Panatilihin ang isang talaan ng mga insidente, kabilang ang mga petsa, oras, lokasyon, at mga indibidwal na kasangkot. Idokumento ang anumang komunikasyon o mga aksyon na nauugnay sa sekswal na pagsasamantala.
2. **Ipaalam sa Iyong Employer:**
- Ipaalam sa iyong employer o sa naaangkop na superbisor ang tungkol sa sitwasyon. Maraming mga kumpanya ang may mga panloob na pamamaraan para sa pagtugon sa mga reklamo ng sekswal na panliligalig.
3. **Maghain ng Reklamo sa DOLE:**
- Kung hindi natugunan ng iyong employer ang isyu nang naaangkop, maaari kang magsampa ng reklamo sa Department of Labor and Employment (DOLE).
4. **Humingi ng Legal na Payo:**
- Kumonsulta sa isang abogado na dalubhasa sa batas sa paggawa upang maunawaan ang iyong mga karapatan at tuklasin ang mga legal na opsyon.
5. **Palagaan ang Ebidensya:**
- Panatilihin ang anumang ebidensya na nauugnay sa sekswal na pagsasamantala, tulad ng mga text message, email, o iba pang dokumentasyon.
Mahalagang tandaan na pinoprotektahan ng batas ang mga indibidwal mula sa paghihiganti para sa pag-uulat o pagsalungat sa sekswal na panliligalig. Kung naniniwala ka na hindi ka patas na winakasan o sumailalim sa masamang aksyon para sa pagtanggi na lumahok sa sekswal na pagsasamantala, maaari kang magkaroon ng legal na paraan sa ilalim ng Anti-Sexual Harassment Act at iba pang mga batas sa paggawa sa Pilipinas.</v>
      </c>
      <c r="F717" s="2">
        <f t="shared" si="1"/>
        <v>0</v>
      </c>
      <c r="G717" s="2"/>
      <c r="H717" s="2"/>
      <c r="I717" s="2"/>
      <c r="J717" s="2"/>
      <c r="K717" s="2"/>
      <c r="L717" s="2"/>
      <c r="M717" s="2"/>
      <c r="N717" s="2"/>
      <c r="O717" s="2"/>
      <c r="P717" s="2"/>
      <c r="Q717" s="2"/>
      <c r="R717" s="2"/>
      <c r="S717" s="2"/>
      <c r="T717" s="2"/>
      <c r="U717" s="2"/>
      <c r="V717" s="2"/>
      <c r="W717" s="2"/>
      <c r="X717" s="2"/>
      <c r="Y717" s="2"/>
      <c r="Z717" s="2"/>
      <c r="AA717" s="2"/>
    </row>
    <row r="718">
      <c r="A718" s="3" t="s">
        <v>2010</v>
      </c>
      <c r="B718" s="1" t="s">
        <v>2367</v>
      </c>
      <c r="C718" s="1" t="s">
        <v>2368</v>
      </c>
      <c r="D718" s="1" t="s">
        <v>2369</v>
      </c>
      <c r="E718" s="2" t="str">
        <f>IFERROR(__xludf.DUMMYFUNCTION("GOOGLETRANSLATE(C718, ""en"", ""TL"")"),"Oo, may pagkakaiba sa pagitan ng quid pro quo at ng masamang kapaligiran na sekswal na panliligalig sa lugar ng trabaho sa konteksto ng mga batas ng Pilipinas.
1. **Quid Pro Quo Sexual Harassment:**
- Sa quid pro quo harassment, karaniwang may tahasan o t"&amp;"ahasang paghingi ng mga sekswal na pabor bilang kondisyon para sa trabaho, promosyon, o iba pang benepisyo sa trabaho.
- Ito ay nagsasangkot ng isang direktang panukala kung saan ang isang taong may awtoridad ay nag-aalok ng mga benepisyo sa trabaho bilan"&amp;"g kapalit ng mga sekswal na gawain.
- Maaaring harapin ng biktima ang masamang kahihinatnan sa pagtatrabaho kung tumanggi silang sumunod sa mga hinihingi ng nanliligalig.
Sa Pilipinas, ang Republic Act No. 7877, na kilala rin bilang Anti-Sexual Harassment"&amp;" Act of 1995, ay tumutugon sa quid pro quo harassment sa lugar ng trabaho. Ipinagbabawal ng batas na ito ang sekswal na panliligalig sa trabaho, edukasyon, o pagsasanay.
2. **Pagalit na Kapaligiran Sekswal na Panliligalig:**
- Nangyayari ang hindi maganda"&amp;"ng kapaligiran na panliligalig kapag ang lugar ng trabaho ay napuno ng hindi kanais-nais na sekswal na pag-uugali na lumilikha ng nakakatakot, pagalit, o nakakasakit na kapaligiran sa trabaho.
- Maaaring may kasamang hindi naaangkop na mga komento, kilos,"&amp;" o iba pang pag-uugali na nag-aambag sa isang hindi magandang kapaligiran.
Ang Anti-Sexual Harassment Act of 1995 sa Pilipinas ay sumasaklaw din sa masamang kapaligiran na sekswal na panliligalig. Kinikilala nito na ang sekswal na panliligalig ay hindi li"&amp;"mitado sa mga direktang panukala ngunit kasama ang anumang hindi kanais-nais na mga sekswal na pagsulong o mga kahilingan para sa mga sekswal na pabor na lumikha ng isang pagalit o nakakatakot na kapaligiran sa trabaho.
Sa buod, ang quid pro quo harassmen"&amp;"t ay nagsasangkot ng tahasan o tahasang mga kahilingan para sa mga sekswal na pabor kapalit ng mga benepisyo sa trabaho, habang ang pagalit na panggigipit sa kapaligiran ay nauukol sa paglikha ng isang pagalit na kapaligiran sa pamamagitan ng hindi kanais"&amp;"-nais na sekswal na pag-uugali sa lugar ng trabaho. Ang parehong anyo ng sexual harassment ay ipinagbabawal sa ilalim ng batas ng Pilipinas.")</f>
        <v>Oo, may pagkakaiba sa pagitan ng quid pro quo at ng masamang kapaligiran na sekswal na panliligalig sa lugar ng trabaho sa konteksto ng mga batas ng Pilipinas.
1. **Quid Pro Quo Sexual Harassment:**
- Sa quid pro quo harassment, karaniwang may tahasan o tahasang paghingi ng mga sekswal na pabor bilang kondisyon para sa trabaho, promosyon, o iba pang benepisyo sa trabaho.
- Ito ay nagsasangkot ng isang direktang panukala kung saan ang isang taong may awtoridad ay nag-aalok ng mga benepisyo sa trabaho bilang kapalit ng mga sekswal na gawain.
- Maaaring harapin ng biktima ang masamang kahihinatnan sa pagtatrabaho kung tumanggi silang sumunod sa mga hinihingi ng nanliligalig.
Sa Pilipinas, ang Republic Act No. 7877, na kilala rin bilang Anti-Sexual Harassment Act of 1995, ay tumutugon sa quid pro quo harassment sa lugar ng trabaho. Ipinagbabawal ng batas na ito ang sekswal na panliligalig sa trabaho, edukasyon, o pagsasanay.
2. **Pagalit na Kapaligiran Sekswal na Panliligalig:**
- Nangyayari ang hindi magandang kapaligiran na panliligalig kapag ang lugar ng trabaho ay napuno ng hindi kanais-nais na sekswal na pag-uugali na lumilikha ng nakakatakot, pagalit, o nakakasakit na kapaligiran sa trabaho.
- Maaaring may kasamang hindi naaangkop na mga komento, kilos, o iba pang pag-uugali na nag-aambag sa isang hindi magandang kapaligiran.
Ang Anti-Sexual Harassment Act of 1995 sa Pilipinas ay sumasaklaw din sa masamang kapaligiran na sekswal na panliligalig. Kinikilala nito na ang sekswal na panliligalig ay hindi limitado sa mga direktang panukala ngunit kasama ang anumang hindi kanais-nais na mga sekswal na pagsulong o mga kahilingan para sa mga sekswal na pabor na lumikha ng isang pagalit o nakakatakot na kapaligiran sa trabaho.
Sa buod, ang quid pro quo harassment ay nagsasangkot ng tahasan o tahasang mga kahilingan para sa mga sekswal na pabor kapalit ng mga benepisyo sa trabaho, habang ang pagalit na panggigipit sa kapaligiran ay nauukol sa paglikha ng isang pagalit na kapaligiran sa pamamagitan ng hindi kanais-nais na sekswal na pag-uugali sa lugar ng trabaho. Ang parehong anyo ng sexual harassment ay ipinagbabawal sa ilalim ng batas ng Pilipinas.</v>
      </c>
      <c r="F718" s="2">
        <f t="shared" si="1"/>
        <v>0</v>
      </c>
      <c r="G718" s="2"/>
      <c r="H718" s="2"/>
      <c r="I718" s="2"/>
      <c r="J718" s="2"/>
      <c r="K718" s="2"/>
      <c r="L718" s="2"/>
      <c r="M718" s="2"/>
      <c r="N718" s="2"/>
      <c r="O718" s="2"/>
      <c r="P718" s="2"/>
      <c r="Q718" s="2"/>
      <c r="R718" s="2"/>
      <c r="S718" s="2"/>
      <c r="T718" s="2"/>
      <c r="U718" s="2"/>
      <c r="V718" s="2"/>
      <c r="W718" s="2"/>
      <c r="X718" s="2"/>
      <c r="Y718" s="2"/>
      <c r="Z718" s="2"/>
      <c r="AA718" s="2"/>
    </row>
    <row r="719">
      <c r="A719" s="3" t="s">
        <v>2010</v>
      </c>
      <c r="B719" s="1" t="s">
        <v>2370</v>
      </c>
      <c r="C719" s="1" t="s">
        <v>2371</v>
      </c>
      <c r="D719" s="1" t="s">
        <v>2372</v>
      </c>
      <c r="E719" s="2" t="str">
        <f>IFERROR(__xludf.DUMMYFUNCTION("GOOGLETRANSLATE(C719, ""en"", ""TL"")"),"Sa Pilipinas, maaari kang magkaroon ng legal na paraan laban sa isang kumpanya para sa kapabayaan na pagkuha ng isang empleyado na nang maglaon ay sekswal na pinagsamantalahan. Bagama't makakapagbigay ako ng pangkalahatang impormasyon, mahalagang kumunsul"&amp;"ta sa isang legal na propesyonal para sa payo na angkop sa iyong partikular na sitwasyon.
Sa ilalim ng batas ng Pilipinas, ang mga employer ay may tungkulin na magsagawa ng makatwirang pangangalaga sa pagkuha at pagpapanatili ng mga empleyado, at maaari s"&amp;"ilang managot sa mga aksyon ng kanilang mga empleyado kung mapapatunayan na sila ay nagpabaya sa kanilang proseso ng pagkuha.
Narito ang ilang mahahalagang puntong dapat isaalang-alang:
1. **Negligent Hiring:**
- Nangyayari ang negligent hiring kapag nabi"&amp;"go ang isang employer na gumamit ng makatwirang pangangalaga sa pagkuha ng isang indibidwal na nagdudulot ng nakikinita na panganib na makapinsala sa iba.
- Upang magtatag ng isang paghahabol para sa pabaya sa pag-hire, karaniwang kailangan mong ipakita n"&amp;"a alam o dapat na alam ng employer ang tungkol sa propensidad ng empleyado para sa nakakapinsalang pag-uugali.
2. ** Pananagutan ng Employer:**
- Ang mga tagapag-empleyo ay maaaring managot sa mga aksyon ng kanilang mga empleyado kung ang mga pagkilos na "&amp;"iyon ay ginawa sa loob ng saklaw ng trabaho o sa pagpapasulong ng mga interes sa negosyo ng employer.
- Dagdag pa rito, kung ang employer ay nagpabaya sa pagkuha o pagpapanatili ng empleyado, maaari silang direktang managot sa anumang pinsalang dulot ng e"&amp;"mpleyado.
3. **Konsultasyon sa mga Legal na Propesyonal:**
- Napakahalagang kumunsulta sa isang abogado upang masuri ang mga tiyak na katotohanan ng iyong kaso, mangalap ng ebidensya, at matukoy ang naaangkop na legal na kurso ng aksyon.
- Maaaring gabaya"&amp;"n ka ng isang abogado sa mga nauugnay na batas, potensyal na legal na paghahabol, at mga kinakailangang hakbang na gagawin sa paghabol ng kaso laban sa kumpanya.
Sa Pilipinas, ang mga batas tulad ng Civil Code, mga batas sa paggawa, at iba pang mga batas "&amp;"ay maaaring maglaro sa mga kaso ng kapabayaan at pananagutan ng employer. Humingi kaagad ng legal na payo upang maunawaan ang iyong mga karapatan, potensyal na paghahabol, at ang legal na proseso na kasangkot sa paghahabol ng isang kaso laban sa kumpanya "&amp;"para sa kapabayaang pagkuha ng isang empleyado na sekswal na nagsasamantala sa iyo.")</f>
        <v>Sa Pilipinas, maaari kang magkaroon ng legal na paraan laban sa isang kumpanya para sa kapabayaan na pagkuha ng isang empleyado na nang maglaon ay sekswal na pinagsamantalahan. Bagama't makakapagbigay ako ng pangkalahatang impormasyon, mahalagang kumunsulta sa isang legal na propesyonal para sa payo na angkop sa iyong partikular na sitwasyon.
Sa ilalim ng batas ng Pilipinas, ang mga employer ay may tungkulin na magsagawa ng makatwirang pangangalaga sa pagkuha at pagpapanatili ng mga empleyado, at maaari silang managot sa mga aksyon ng kanilang mga empleyado kung mapapatunayan na sila ay nagpabaya sa kanilang proseso ng pagkuha.
Narito ang ilang mahahalagang puntong dapat isaalang-alang:
1. **Negligent Hiring:**
- Nangyayari ang negligent hiring kapag nabigo ang isang employer na gumamit ng makatwirang pangangalaga sa pagkuha ng isang indibidwal na nagdudulot ng nakikinita na panganib na makapinsala sa iba.
- Upang magtatag ng isang paghahabol para sa pabaya sa pag-hire, karaniwang kailangan mong ipakita na alam o dapat na alam ng employer ang tungkol sa propensidad ng empleyado para sa nakakapinsalang pag-uugali.
2. ** Pananagutan ng Employer:**
- Ang mga tagapag-empleyo ay maaaring managot sa mga aksyon ng kanilang mga empleyado kung ang mga pagkilos na iyon ay ginawa sa loob ng saklaw ng trabaho o sa pagpapasulong ng mga interes sa negosyo ng employer.
- Dagdag pa rito, kung ang employer ay nagpabaya sa pagkuha o pagpapanatili ng empleyado, maaari silang direktang managot sa anumang pinsalang dulot ng empleyado.
3. **Konsultasyon sa mga Legal na Propesyonal:**
- Napakahalagang kumunsulta sa isang abogado upang masuri ang mga tiyak na katotohanan ng iyong kaso, mangalap ng ebidensya, at matukoy ang naaangkop na legal na kurso ng aksyon.
- Maaaring gabayan ka ng isang abogado sa mga nauugnay na batas, potensyal na legal na paghahabol, at mga kinakailangang hakbang na gagawin sa paghabol ng kaso laban sa kumpanya.
Sa Pilipinas, ang mga batas tulad ng Civil Code, mga batas sa paggawa, at iba pang mga batas ay maaaring maglaro sa mga kaso ng kapabayaan at pananagutan ng employer. Humingi kaagad ng legal na payo upang maunawaan ang iyong mga karapatan, potensyal na paghahabol, at ang legal na proseso na kasangkot sa paghahabol ng isang kaso laban sa kumpanya para sa kapabayaang pagkuha ng isang empleyado na sekswal na nagsasamantala sa iyo.</v>
      </c>
      <c r="F719" s="2">
        <f t="shared" si="1"/>
        <v>0</v>
      </c>
      <c r="G719" s="2"/>
      <c r="H719" s="2"/>
      <c r="I719" s="2"/>
      <c r="J719" s="2"/>
      <c r="K719" s="2"/>
      <c r="L719" s="2"/>
      <c r="M719" s="2"/>
      <c r="N719" s="2"/>
      <c r="O719" s="2"/>
      <c r="P719" s="2"/>
      <c r="Q719" s="2"/>
      <c r="R719" s="2"/>
      <c r="S719" s="2"/>
      <c r="T719" s="2"/>
      <c r="U719" s="2"/>
      <c r="V719" s="2"/>
      <c r="W719" s="2"/>
      <c r="X719" s="2"/>
      <c r="Y719" s="2"/>
      <c r="Z719" s="2"/>
      <c r="AA719" s="2"/>
    </row>
    <row r="720">
      <c r="A720" s="3" t="s">
        <v>2010</v>
      </c>
      <c r="B720" s="1" t="s">
        <v>2373</v>
      </c>
      <c r="C720" s="1" t="s">
        <v>2374</v>
      </c>
      <c r="D720" s="1" t="s">
        <v>2375</v>
      </c>
      <c r="E720" s="2" t="str">
        <f>IFERROR(__xludf.DUMMYFUNCTION("GOOGLETRANSLATE(C720, ""en"", ""TL"")"),"Ang mga undocumented na manggagawa, tulad ng lahat ng indibidwal, ay may mga pangunahing karapatang pantao at may karapatan sa proteksyon laban sa sekswal na pagsasamantala. Sa Pilipinas, may mga legal na probisyon at mekanismo na nagbibigay ng ilang anta"&amp;"s ng proteksyon para sa mga undocumented na manggagawa, anuman ang kanilang katayuan sa imigrasyon. Narito ang mga pangunahing punto na dapat isaalang-alang:
1. **Mga Batas na Anti-Sexual Harassment:**
- Ang Anti-Sexual Harassment Act of 1995 (Republic Ac"&amp;"t No. 7877) ay nagpoprotekta sa mga indibidwal mula sa sekswal na panliligalig sa lugar ng trabaho, anuman ang kanilang katayuan sa imigrasyon.
- Ang batas na ito ay sumasaklaw sa isang malawak na hanay ng mga lugar ng trabaho, kabilang ang mga nagtatraba"&amp;"ho sa mga hindi dokumentadong manggagawa.
2. **Mga Batas sa Human Trafficking:**
- Ang Republic Act No. 9208, na kilala bilang Anti-Trafficking in Persons Act of 2003, ay ginagawang kriminal ang human trafficking at nagbibigay ng proteksyon para sa mga bi"&amp;"ktima.
- Ang mga biktima ng human trafficking, kabilang ang mga maaaring hindi dokumentado, ay may karapatan sa tulong, proteksyon, at mga serbisyo ng suporta.
3. **Mga Batas sa Paggawa:**
- Saklaw ng Philippine Labor Code ang lahat ng manggagawa, anuman "&amp;"ang kanilang katayuan sa imigrasyon. Nagtatatag ito ng pinakamababang pamantayan sa paggawa, kabilang ang mga kondisyon sa pagtatrabaho, sahod, at mga benepisyo.
- Maaaring iulat sa Department of Labor and Employment (DOLE) ang pagsasamantala, pang-aabuso"&amp;", o paglabag sa mga karapatan sa paggawa.
4. **Access to Justice:**
- Ang mga undocumented na manggagawa, tulad ng ibang tao, ay may karapatan na ma-access ang sistema ng hustisya upang mag-ulat ng mga krimen, kabilang ang sekswal na pagsasamantala.
- Ang"&amp;" Revised Rules of Court ay hindi nagbabawal sa pagsasampa ng mga kaso ng mga hindi dokumentadong indibidwal.
5. **Non-Governmental Organizations (NGOs) at Support Services:**
- Ang iba't ibang NGO at support organization sa Pilipinas ay nagtatrabaho upang"&amp;" protektahan ang mga karapatan ng mga migrante, kabilang ang mga undocumented na manggagawa.
- Ang mga organisasyong ito ay maaaring mag-alok ng legal na tulong, pagpapayo, at suporta sa mga biktima ng pagsasamantala.
Mahalagang tandaan na habang umiiral "&amp;"ang mga legal na proteksyon, ang mga hamon na kinakaharap ng mga undocumented na manggagawa sa pagtataguyod ng hustisya ay maaaring maging malaki. Ang takot sa deportasyon, mga hadlang sa wika, at kawalan ng kamalayan tungkol sa kanilang mga karapatan ay "&amp;"maaaring makahadlang sa kanilang kakayahang humingi ng tulong. Ang mga pagsisikap ay ginagawa ng mga grupo ng adbokasiya upang tugunan ang mga hadlang na ito at matiyak na ang lahat ng indibidwal, anuman ang katayuan sa imigrasyon, ay makaka-access ng mga"&amp;" legal na proteksyon.
Kung ikaw o isang taong kilala mo ay isang hindi dokumentadong manggagawa na nahaharap sa seksuwal na pagsasamantala, isaalang-alang ang pag-abot sa mga nauugnay na organisasyon ng suporta o mga serbisyong legal para sa gabay na angk"&amp;"op sa mga partikular na pangyayari.")</f>
        <v>Ang mga undocumented na manggagawa, tulad ng lahat ng indibidwal, ay may mga pangunahing karapatang pantao at may karapatan sa proteksyon laban sa sekswal na pagsasamantala. Sa Pilipinas, may mga legal na probisyon at mekanismo na nagbibigay ng ilang antas ng proteksyon para sa mga undocumented na manggagawa, anuman ang kanilang katayuan sa imigrasyon. Narito ang mga pangunahing punto na dapat isaalang-alang:
1. **Mga Batas na Anti-Sexual Harassment:**
- Ang Anti-Sexual Harassment Act of 1995 (Republic Act No. 7877) ay nagpoprotekta sa mga indibidwal mula sa sekswal na panliligalig sa lugar ng trabaho, anuman ang kanilang katayuan sa imigrasyon.
- Ang batas na ito ay sumasaklaw sa isang malawak na hanay ng mga lugar ng trabaho, kabilang ang mga nagtatrabaho sa mga hindi dokumentadong manggagawa.
2. **Mga Batas sa Human Trafficking:**
- Ang Republic Act No. 9208, na kilala bilang Anti-Trafficking in Persons Act of 2003, ay ginagawang kriminal ang human trafficking at nagbibigay ng proteksyon para sa mga biktima.
- Ang mga biktima ng human trafficking, kabilang ang mga maaaring hindi dokumentado, ay may karapatan sa tulong, proteksyon, at mga serbisyo ng suporta.
3. **Mga Batas sa Paggawa:**
- Saklaw ng Philippine Labor Code ang lahat ng manggagawa, anuman ang kanilang katayuan sa imigrasyon. Nagtatatag ito ng pinakamababang pamantayan sa paggawa, kabilang ang mga kondisyon sa pagtatrabaho, sahod, at mga benepisyo.
- Maaaring iulat sa Department of Labor and Employment (DOLE) ang pagsasamantala, pang-aabuso, o paglabag sa mga karapatan sa paggawa.
4. **Access to Justice:**
- Ang mga undocumented na manggagawa, tulad ng ibang tao, ay may karapatan na ma-access ang sistema ng hustisya upang mag-ulat ng mga krimen, kabilang ang sekswal na pagsasamantala.
- Ang Revised Rules of Court ay hindi nagbabawal sa pagsasampa ng mga kaso ng mga hindi dokumentadong indibidwal.
5. **Non-Governmental Organizations (NGOs) at Support Services:**
- Ang iba't ibang NGO at support organization sa Pilipinas ay nagtatrabaho upang protektahan ang mga karapatan ng mga migrante, kabilang ang mga undocumented na manggagawa.
- Ang mga organisasyong ito ay maaaring mag-alok ng legal na tulong, pagpapayo, at suporta sa mga biktima ng pagsasamantala.
Mahalagang tandaan na habang umiiral ang mga legal na proteksyon, ang mga hamon na kinakaharap ng mga undocumented na manggagawa sa pagtataguyod ng hustisya ay maaaring maging malaki. Ang takot sa deportasyon, mga hadlang sa wika, at kawalan ng kamalayan tungkol sa kanilang mga karapatan ay maaaring makahadlang sa kanilang kakayahang humingi ng tulong. Ang mga pagsisikap ay ginagawa ng mga grupo ng adbokasiya upang tugunan ang mga hadlang na ito at matiyak na ang lahat ng indibidwal, anuman ang katayuan sa imigrasyon, ay makaka-access ng mga legal na proteksyon.
Kung ikaw o isang taong kilala mo ay isang hindi dokumentadong manggagawa na nahaharap sa seksuwal na pagsasamantala, isaalang-alang ang pag-abot sa mga nauugnay na organisasyon ng suporta o mga serbisyong legal para sa gabay na angkop sa mga partikular na pangyayari.</v>
      </c>
      <c r="F720" s="2">
        <f t="shared" si="1"/>
        <v>0</v>
      </c>
      <c r="G720" s="2"/>
      <c r="H720" s="2"/>
      <c r="I720" s="2"/>
      <c r="J720" s="2"/>
      <c r="K720" s="2"/>
      <c r="L720" s="2"/>
      <c r="M720" s="2"/>
      <c r="N720" s="2"/>
      <c r="O720" s="2"/>
      <c r="P720" s="2"/>
      <c r="Q720" s="2"/>
      <c r="R720" s="2"/>
      <c r="S720" s="2"/>
      <c r="T720" s="2"/>
      <c r="U720" s="2"/>
      <c r="V720" s="2"/>
      <c r="W720" s="2"/>
      <c r="X720" s="2"/>
      <c r="Y720" s="2"/>
      <c r="Z720" s="2"/>
      <c r="AA720" s="2"/>
    </row>
    <row r="721">
      <c r="A721" s="3" t="s">
        <v>2010</v>
      </c>
      <c r="B721" s="1" t="s">
        <v>2376</v>
      </c>
      <c r="C721" s="1" t="s">
        <v>2377</v>
      </c>
      <c r="D721" s="1" t="s">
        <v>2378</v>
      </c>
      <c r="E721" s="2" t="str">
        <f>IFERROR(__xludf.DUMMYFUNCTION("GOOGLETRANSLATE(C721, ""en"", ""TL"")"),"Oo, maaari kang magkaroon ng mga legal na batayan upang maghabla sa isang ahensya ng kawani kung ikaw ay inilagay sa isang trabaho kung saan nakaranas ka ng sekswal na pagsasamantala. Ang mga ahensya ng staffing ay may tungkulin na magsagawa ng makatwiran"&amp;"g pag-iingat sa paglalagay ng mga empleyado, at sila ay maaaring managot kung sila ay napatunayang pabaya sa kanilang mga proseso sa pagkuha at paglalagay. Narito ang ilang pangunahing pagsasaalang-alang:
1. **Pabaya na Paglalagay:**
- Kung ang ahensya ng"&amp;" kawani ay nabigo na magsagawa ng wastong pagsusuri sa background, hindi pinansin ang mga pulang bandila, o inilagay ka sa isang posisyon kung saan may nakikinitaang panganib ng sekswal na pagsasamantala, maaari silang managot para sa pabaya na paglalagay"&amp;".
2. **Vicarious Liability:**
- Maaaring mailapat ang prinsipyo ng vicarious liability, ibig sabihin ay maaaring panagutin ang ahensya ng kawani para sa mga aksyon ng employer o superbisor sa lugar ng trabaho kung saan nakaranas ka ng pagsasamantala, lalo"&amp;" na kung ang pagsasamantala ay naganap sa loob ng saklaw ng iyong trabaho.
3. **Paglabag sa Tungkulin:**
- Ang mga ahensya ng staffing ay may utang na tungkulin sa pangangalaga sa mga indibidwal na kanilang inilalagay sa mga trabaho. Kung nilalabag nila a"&amp;"ng tungkuling ito, na humahantong sa pinsala o pagsasamantala, maaari kang magkaroon ng legal na paghahabol laban sa kanila.
4. **Mga Batas na Anti-Sexual Harassment:**
- Ang Anti-Sexual Harassment Act of 1995 (Republic Act No. 7877) sa Pilipinas ay nagbi"&amp;"bigay ng proteksyon laban sa sexual harassment sa lugar ng trabaho. Maaaring managot ang ahensya ng staffing kung ito ay mapapatunayang naglagay sa iyo sa isang sitwasyon kung saan ikaw ay sumailalim sa sekswal na pagsasamantala.
5. **Konsultasyon sa mga "&amp;"Legal na Propesyonal:**
- Napakahalagang kumunsulta sa isang abogado upang masuri ang mga tiyak na katotohanan ng iyong kaso, mangalap ng ebidensya, at matukoy ang naaangkop na legal na kurso ng aksyon.
- Maaaring gabayan ka ng isang abogado sa mga nauugn"&amp;"ay na batas, potensyal na legal na paghahabol, at mga kinakailangang hakbang na gagawin sa paghabol ng kaso laban sa ahensya ng kawani.
Kung naniniwala ka na mayroon kang kaso laban sa ahensya ng kawani, mahalagang kumilos kaagad. Idokumento ang mga insid"&amp;"ente, mangalap ng ebidensya, at humingi ng legal na payo upang maunawaan ang iyong mga karapatan at opsyon. Matutulungan ka ng isang abogado na mag-navigate sa legal na proseso at ituloy ang kabayaran para sa anumang pinsalang maaaring naranasan mo dahil "&amp;"sa kapabayaan ng ahensya.")</f>
        <v>Oo, maaari kang magkaroon ng mga legal na batayan upang maghabla sa isang ahensya ng kawani kung ikaw ay inilagay sa isang trabaho kung saan nakaranas ka ng sekswal na pagsasamantala. Ang mga ahensya ng staffing ay may tungkulin na magsagawa ng makatwirang pag-iingat sa paglalagay ng mga empleyado, at sila ay maaaring managot kung sila ay napatunayang pabaya sa kanilang mga proseso sa pagkuha at paglalagay. Narito ang ilang pangunahing pagsasaalang-alang:
1. **Pabaya na Paglalagay:**
- Kung ang ahensya ng kawani ay nabigo na magsagawa ng wastong pagsusuri sa background, hindi pinansin ang mga pulang bandila, o inilagay ka sa isang posisyon kung saan may nakikinitaang panganib ng sekswal na pagsasamantala, maaari silang managot para sa pabaya na paglalagay.
2. **Vicarious Liability:**
- Maaaring mailapat ang prinsipyo ng vicarious liability, ibig sabihin ay maaaring panagutin ang ahensya ng kawani para sa mga aksyon ng employer o superbisor sa lugar ng trabaho kung saan nakaranas ka ng pagsasamantala, lalo na kung ang pagsasamantala ay naganap sa loob ng saklaw ng iyong trabaho.
3. **Paglabag sa Tungkulin:**
- Ang mga ahensya ng staffing ay may utang na tungkulin sa pangangalaga sa mga indibidwal na kanilang inilalagay sa mga trabaho. Kung nilalabag nila ang tungkuling ito, na humahantong sa pinsala o pagsasamantala, maaari kang magkaroon ng legal na paghahabol laban sa kanila.
4. **Mga Batas na Anti-Sexual Harassment:**
- Ang Anti-Sexual Harassment Act of 1995 (Republic Act No. 7877) sa Pilipinas ay nagbibigay ng proteksyon laban sa sexual harassment sa lugar ng trabaho. Maaaring managot ang ahensya ng staffing kung ito ay mapapatunayang naglagay sa iyo sa isang sitwasyon kung saan ikaw ay sumailalim sa sekswal na pagsasamantala.
5. **Konsultasyon sa mga Legal na Propesyonal:**
- Napakahalagang kumunsulta sa isang abogado upang masuri ang mga tiyak na katotohanan ng iyong kaso, mangalap ng ebidensya, at matukoy ang naaangkop na legal na kurso ng aksyon.
- Maaaring gabayan ka ng isang abogado sa mga nauugnay na batas, potensyal na legal na paghahabol, at mga kinakailangang hakbang na gagawin sa paghabol ng kaso laban sa ahensya ng kawani.
Kung naniniwala ka na mayroon kang kaso laban sa ahensya ng kawani, mahalagang kumilos kaagad. Idokumento ang mga insidente, mangalap ng ebidensya, at humingi ng legal na payo upang maunawaan ang iyong mga karapatan at opsyon. Matutulungan ka ng isang abogado na mag-navigate sa legal na proseso at ituloy ang kabayaran para sa anumang pinsalang maaaring naranasan mo dahil sa kapabayaan ng ahensya.</v>
      </c>
      <c r="F721" s="2">
        <f t="shared" si="1"/>
        <v>0</v>
      </c>
      <c r="G721" s="2"/>
      <c r="H721" s="2"/>
      <c r="I721" s="2"/>
      <c r="J721" s="2"/>
      <c r="K721" s="2"/>
      <c r="L721" s="2"/>
      <c r="M721" s="2"/>
      <c r="N721" s="2"/>
      <c r="O721" s="2"/>
      <c r="P721" s="2"/>
      <c r="Q721" s="2"/>
      <c r="R721" s="2"/>
      <c r="S721" s="2"/>
      <c r="T721" s="2"/>
      <c r="U721" s="2"/>
      <c r="V721" s="2"/>
      <c r="W721" s="2"/>
      <c r="X721" s="2"/>
      <c r="Y721" s="2"/>
      <c r="Z721" s="2"/>
      <c r="AA721" s="2"/>
    </row>
    <row r="722">
      <c r="A722" s="3" t="s">
        <v>2010</v>
      </c>
      <c r="B722" s="1" t="s">
        <v>2379</v>
      </c>
      <c r="C722" s="1" t="s">
        <v>2380</v>
      </c>
      <c r="D722" s="1" t="s">
        <v>2381</v>
      </c>
      <c r="E722" s="2" t="str">
        <f>IFERROR(__xludf.DUMMYFUNCTION("GOOGLETRANSLATE(C722, ""en"", ""TL"")"),"Sa Pilipinas, ang pagsang-ayon ay isang mahalagang aspeto sa pagtukoy kung ang isang gawa ay bumubuo ng sekswal na pagsasamantala, at ito ay tinukoy sa loob ng konteksto ng mga batas na tumutugon sa sekswal na panliligalig. Ang pangunahing legal na balang"&amp;"kas na namamahala sa isyung ito ay ang Anti-Sexual Harassment Act of 1995 (Republic Act No. 7877). Narito ang mga pangunahing punto na nauugnay sa pagpayag sa mga kaso ng sekswal na pagsasamantala sa lugar ng trabaho:
1. **Kahulugan ng Sekswal na Panlilig"&amp;"alig:**
- Tinutukoy ng batas ang sekswal na panliligalig bilang anumang hindi gustong sekswal na pagsulong, kahilingan para sa mga sekswal na pabor, o anumang iba pang pasalita o pisikal na pag-uugali na may sekswal na katangian na nakakasagabal sa trabah"&amp;"o ng isang indibidwal o lumilikha ng masamang kapaligiran sa trabaho.
2. **Pahintulot bilang Pangunahing Elemento:**
- Ang pahintulot, o ang kawalan nito, ay isang kritikal na salik sa pagtukoy kung ang isang gawa ay kwalipikado bilang sekswal na panlilig"&amp;"alig. Ang hindi kanais-nais o hindi pinagkasunduan na pag-uugali ay isang mahalagang elemento sa pagtatatag ng kaso ng sekswal na pagsasamantala.
3. **Power Dynamics:**
- Kinikilala ng batas ang impluwensya ng power dynamics sa lugar ng trabaho. Maaaring "&amp;"mangyari ang sexual harassment kapag may power imbalance sa pagitan ng mga partidong sangkot, gaya ng supervisor-subordinate relationship.
4. **Pamantayang Layunin:**
- Ang pagtatasa ng pahintulot ay batay sa isang layunin na pamantayan. Isinasaalang-alan"&amp;"g nito kung paano malalaman ng isang makatwirang tao ang pag-uugali na pinag-uusapan sa halip na umasa lamang sa mga pansariling damdamin ng mga indibidwal na kasangkot.
5. **Walang Ipinapahiwatig na Pahintulot:**
- Nilinaw ng batas na ang pagkakaroon ng "&amp;"naunang pinagkasunduan na relasyon sa pagitan ng mga partido ay hindi nagpapahiwatig ng patuloy na pagsang-ayon. Ang pahintulot ay dapat na tahasan at nakuha para sa bawat partikular na pagkakataon.
6. **Mga Ipinagbabawal na Gawa:**
- Partikular na tinutu"&amp;"koy ng batas ang ilang partikular na gawain bilang mga anyo ng sekswal na panliligalig, kabilang ang paggawa ng mga sekswal na pagsulong, paghiling ng mga sekswal na pabor, o pagsali sa anumang pag-uugali na may sekswal na katangian, pasalita man o pisika"&amp;"l, na hindi kanais-nais.
Mahalagang tandaan na ang pagpayag ay isang nuanced at kumplikadong isyu, at maaaring mag-iba ang mga legal na kahulugan at interpretasyon. Ang diin sa Anti-Sexual Harassment Act ay sa paglikha ng isang ligtas at magalang na kapal"&amp;"igiran sa trabaho, at anumang anyo ng sekswal na pagsasamantala na lumalabag sa pamantayang ito ay maaaring legal na matugunan.
Kung naniniwala kang nakaranas ka ng seksuwal na pagsasamantala sa lugar ng trabaho, ipinapayong kumunsulta sa mga legal na pro"&amp;"pesyonal na maaaring magbigay ng gabay batay sa mga partikular na detalye ng iyong sitwasyon at tulungan kang maunawaan ang iyong mga karapatan at potensyal na mga kurso ng aksyon.")</f>
        <v>Sa Pilipinas, ang pagsang-ayon ay isang mahalagang aspeto sa pagtukoy kung ang isang gawa ay bumubuo ng sekswal na pagsasamantala, at ito ay tinukoy sa loob ng konteksto ng mga batas na tumutugon sa sekswal na panliligalig. Ang pangunahing legal na balangkas na namamahala sa isyung ito ay ang Anti-Sexual Harassment Act of 1995 (Republic Act No. 7877). Narito ang mga pangunahing punto na nauugnay sa pagpayag sa mga kaso ng sekswal na pagsasamantala sa lugar ng trabaho:
1. **Kahulugan ng Sekswal na Panliligalig:**
- Tinutukoy ng batas ang sekswal na panliligalig bilang anumang hindi gustong sekswal na pagsulong, kahilingan para sa mga sekswal na pabor, o anumang iba pang pasalita o pisikal na pag-uugali na may sekswal na katangian na nakakasagabal sa trabaho ng isang indibidwal o lumilikha ng masamang kapaligiran sa trabaho.
2. **Pahintulot bilang Pangunahing Elemento:**
- Ang pahintulot, o ang kawalan nito, ay isang kritikal na salik sa pagtukoy kung ang isang gawa ay kwalipikado bilang sekswal na panliligalig. Ang hindi kanais-nais o hindi pinagkasunduan na pag-uugali ay isang mahalagang elemento sa pagtatatag ng kaso ng sekswal na pagsasamantala.
3. **Power Dynamics:**
- Kinikilala ng batas ang impluwensya ng power dynamics sa lugar ng trabaho. Maaaring mangyari ang sexual harassment kapag may power imbalance sa pagitan ng mga partidong sangkot, gaya ng supervisor-subordinate relationship.
4. **Pamantayang Layunin:**
- Ang pagtatasa ng pahintulot ay batay sa isang layunin na pamantayan. Isinasaalang-alang nito kung paano malalaman ng isang makatwirang tao ang pag-uugali na pinag-uusapan sa halip na umasa lamang sa mga pansariling damdamin ng mga indibidwal na kasangkot.
5. **Walang Ipinapahiwatig na Pahintulot:**
- Nilinaw ng batas na ang pagkakaroon ng naunang pinagkasunduan na relasyon sa pagitan ng mga partido ay hindi nagpapahiwatig ng patuloy na pagsang-ayon. Ang pahintulot ay dapat na tahasan at nakuha para sa bawat partikular na pagkakataon.
6. **Mga Ipinagbabawal na Gawa:**
- Partikular na tinutukoy ng batas ang ilang partikular na gawain bilang mga anyo ng sekswal na panliligalig, kabilang ang paggawa ng mga sekswal na pagsulong, paghiling ng mga sekswal na pabor, o pagsali sa anumang pag-uugali na may sekswal na katangian, pasalita man o pisikal, na hindi kanais-nais.
Mahalagang tandaan na ang pagpayag ay isang nuanced at kumplikadong isyu, at maaaring mag-iba ang mga legal na kahulugan at interpretasyon. Ang diin sa Anti-Sexual Harassment Act ay sa paglikha ng isang ligtas at magalang na kapaligiran sa trabaho, at anumang anyo ng sekswal na pagsasamantala na lumalabag sa pamantayang ito ay maaaring legal na matugunan.
Kung naniniwala kang nakaranas ka ng seksuwal na pagsasamantala sa lugar ng trabaho, ipinapayong kumunsulta sa mga legal na propesyonal na maaaring magbigay ng gabay batay sa mga partikular na detalye ng iyong sitwasyon at tulungan kang maunawaan ang iyong mga karapatan at potensyal na mga kurso ng aksyon.</v>
      </c>
      <c r="F722" s="2">
        <f t="shared" si="1"/>
        <v>0</v>
      </c>
      <c r="G722" s="2"/>
      <c r="H722" s="2"/>
      <c r="I722" s="2"/>
      <c r="J722" s="2"/>
      <c r="K722" s="2"/>
      <c r="L722" s="2"/>
      <c r="M722" s="2"/>
      <c r="N722" s="2"/>
      <c r="O722" s="2"/>
      <c r="P722" s="2"/>
      <c r="Q722" s="2"/>
      <c r="R722" s="2"/>
      <c r="S722" s="2"/>
      <c r="T722" s="2"/>
      <c r="U722" s="2"/>
      <c r="V722" s="2"/>
      <c r="W722" s="2"/>
      <c r="X722" s="2"/>
      <c r="Y722" s="2"/>
      <c r="Z722" s="2"/>
      <c r="AA722" s="2"/>
    </row>
    <row r="723">
      <c r="A723" s="3" t="s">
        <v>2010</v>
      </c>
      <c r="B723" s="1" t="s">
        <v>2382</v>
      </c>
      <c r="C723" s="1" t="s">
        <v>2383</v>
      </c>
      <c r="D723" s="1" t="s">
        <v>2384</v>
      </c>
      <c r="E723" s="2" t="str">
        <f>IFERROR(__xludf.DUMMYFUNCTION("GOOGLETRANSLATE(C723, ""en"", ""TL"")"),"Oo, maaari kang maghabol ng mga sibil na pinsala laban sa isang taong nagsamantala sa iyo nang sekswal kahit na hindi isinampa ang mga kasong kriminal o kung ang kasong kriminal ay hindi nagreresulta sa isang paghatol. Ang mga pinsalang sibil ay hiwalay s"&amp;"a mga kasong kriminal at may kinalaman sa paghingi ng kabayaran para sa pinsalang dinanas mo. Narito ang ilang mahahalagang puntong dapat isaalang-alang:
1. **Sibil na Paghahabla para sa Sekswal na Pagsasamantala:**
- May karapatan kang magsampa ng kasong"&amp;" sibil na humihingi ng mga pinsala laban sa indibidwal na nagsamantala sa iyo sa sekswal na paraan. Ito ay isang hiwalay na legal na proseso mula sa anumang mga paglilitis sa kriminal.
2. **Mga Legal na Batayan para sa isang Sibil na Paghahabla:**
- Ang m"&amp;"ga legal na batayan para sa isang sibil na kaso ay maaaring magsama ng mga paghahabol tulad ng sinadyang pagpapataw ng emosyonal na pagkabalisa, pagsalakay sa privacy, at iba pang mga tort depende sa mga pangyayari ng pagsasamantala.
3. **Standard of Proo"&amp;"f:**
- Ang pamantayan ng patunay sa isang kasong sibil ay mas mababa kaysa sa isang kasong kriminal. Bagama't ang isang kasong kriminal ay nangangailangan ng patunay na lampas sa isang makatwirang pagdududa, ang isang kasong sibil ay karaniwang nangangail"&amp;"angan ng higit na kahalagahan ng ebidensya, ibig sabihin ay mas malamang kaysa sa hindi na ang pinaghihinalaang maling pag-uugali ay nangyari.
4. **Kabayaran sa Mga Paghahabla ng Sibil:**
- Sa isang sibil na kaso, maaari kang humingi ng kabayaran para sa "&amp;"iba't ibang pinsala, kabilang ang mga gastos sa medikal, mga gastos sa therapy, emosyonal na pagkabalisa, pagkawala ng mga kita, at iba pang pinsalang dulot ng pagsasamantala.
5. **Konsultasyon sa mga Legal na Propesyonal:**
- Napakahalagang kumunsulta sa"&amp;" isang abogado upang masuri ang mga tiyak na katotohanan ng iyong kaso, mangalap ng ebidensya, at matukoy ang naaangkop na legal na kurso ng aksyon.
- Maaaring gabayan ka ng isang abogado sa mga kaugnay na batas, potensyal na legal na paghahabol, at ang m"&amp;"ga kinakailangang hakbang na dapat gawin sa paghabol ng kasong sibil laban sa taong responsable para sa sekswal na pagsasamantala.
6. **Statute of Limitasyon:**
- Magkaroon ng kamalayan sa batas ng mga limitasyon, na kung saan ay ang limitasyon sa panahon"&amp;" kung saan dapat magsampa ng kaso. Sa Pilipinas, maaaring mag-iba ang batas ng mga limitasyon para sa mga kasong sibil, kaya mahalagang kumunsulta kaagad sa isang abogado.
Mahalagang bigyang-diin na karapatan mo ang paghabol sa isang kasong sibil, at maaa"&amp;"ri kang humingi ng hustisya at kabayaran para sa pinsalang dinanas mo. Kung magpasya kang sumulong sa isang sibil na kaso, maaaring gabayan ka ng isang legal na propesyonal sa proseso at tulungan kang mag-navigate sa mga kumplikado ng legal na sistema.")</f>
        <v>Oo, maaari kang maghabol ng mga sibil na pinsala laban sa isang taong nagsamantala sa iyo nang sekswal kahit na hindi isinampa ang mga kasong kriminal o kung ang kasong kriminal ay hindi nagreresulta sa isang paghatol. Ang mga pinsalang sibil ay hiwalay sa mga kasong kriminal at may kinalaman sa paghingi ng kabayaran para sa pinsalang dinanas mo. Narito ang ilang mahahalagang puntong dapat isaalang-alang:
1. **Sibil na Paghahabla para sa Sekswal na Pagsasamantala:**
- May karapatan kang magsampa ng kasong sibil na humihingi ng mga pinsala laban sa indibidwal na nagsamantala sa iyo sa sekswal na paraan. Ito ay isang hiwalay na legal na proseso mula sa anumang mga paglilitis sa kriminal.
2. **Mga Legal na Batayan para sa isang Sibil na Paghahabla:**
- Ang mga legal na batayan para sa isang sibil na kaso ay maaaring magsama ng mga paghahabol tulad ng sinadyang pagpapataw ng emosyonal na pagkabalisa, pagsalakay sa privacy, at iba pang mga tort depende sa mga pangyayari ng pagsasamantala.
3. **Standard of Proof:**
- Ang pamantayan ng patunay sa isang kasong sibil ay mas mababa kaysa sa isang kasong kriminal. Bagama't ang isang kasong kriminal ay nangangailangan ng patunay na lampas sa isang makatwirang pagdududa, ang isang kasong sibil ay karaniwang nangangailangan ng higit na kahalagahan ng ebidensya, ibig sabihin ay mas malamang kaysa sa hindi na ang pinaghihinalaang maling pag-uugali ay nangyari.
4. **Kabayaran sa Mga Paghahabla ng Sibil:**
- Sa isang sibil na kaso, maaari kang humingi ng kabayaran para sa iba't ibang pinsala, kabilang ang mga gastos sa medikal, mga gastos sa therapy, emosyonal na pagkabalisa, pagkawala ng mga kita, at iba pang pinsalang dulot ng pagsasamantala.
5. **Konsultasyon sa mga Legal na Propesyonal:**
- Napakahalagang kumunsulta sa isang abogado upang masuri ang mga tiyak na katotohanan ng iyong kaso, mangalap ng ebidensya, at matukoy ang naaangkop na legal na kurso ng aksyon.
- Maaaring gabayan ka ng isang abogado sa mga kaugnay na batas, potensyal na legal na paghahabol, at ang mga kinakailangang hakbang na dapat gawin sa paghabol ng kasong sibil laban sa taong responsable para sa sekswal na pagsasamantala.
6. **Statute of Limitasyon:**
- Magkaroon ng kamalayan sa batas ng mga limitasyon, na kung saan ay ang limitasyon sa panahon kung saan dapat magsampa ng kaso. Sa Pilipinas, maaaring mag-iba ang batas ng mga limitasyon para sa mga kasong sibil, kaya mahalagang kumunsulta kaagad sa isang abogado.
Mahalagang bigyang-diin na karapatan mo ang paghabol sa isang kasong sibil, at maaari kang humingi ng hustisya at kabayaran para sa pinsalang dinanas mo. Kung magpasya kang sumulong sa isang sibil na kaso, maaaring gabayan ka ng isang legal na propesyonal sa proseso at tulungan kang mag-navigate sa mga kumplikado ng legal na sistema.</v>
      </c>
      <c r="F723" s="2">
        <f t="shared" si="1"/>
        <v>0</v>
      </c>
      <c r="G723" s="2"/>
      <c r="H723" s="2"/>
      <c r="I723" s="2"/>
      <c r="J723" s="2"/>
      <c r="K723" s="2"/>
      <c r="L723" s="2"/>
      <c r="M723" s="2"/>
      <c r="N723" s="2"/>
      <c r="O723" s="2"/>
      <c r="P723" s="2"/>
      <c r="Q723" s="2"/>
      <c r="R723" s="2"/>
      <c r="S723" s="2"/>
      <c r="T723" s="2"/>
      <c r="U723" s="2"/>
      <c r="V723" s="2"/>
      <c r="W723" s="2"/>
      <c r="X723" s="2"/>
      <c r="Y723" s="2"/>
      <c r="Z723" s="2"/>
      <c r="AA723" s="2"/>
    </row>
    <row r="724">
      <c r="A724" s="3" t="s">
        <v>2010</v>
      </c>
      <c r="B724" s="1" t="s">
        <v>2385</v>
      </c>
      <c r="C724" s="1" t="s">
        <v>2386</v>
      </c>
      <c r="D724" s="1" t="s">
        <v>2387</v>
      </c>
      <c r="E724" s="2" t="str">
        <f>IFERROR(__xludf.DUMMYFUNCTION("GOOGLETRANSLATE(C724, ""en"", ""TL"")"),"Sa Pilipinas, ang mga batas na nagpoprotekta sa mga indibidwal mula sa sekswal na pagsasamantala sa lugar ng trabaho, kabilang ang mga LGBTQ+ na indibidwal, ay karaniwang naaangkop sa lahat ng empleyado anuman ang oryentasyong sekswal, pagkakakilanlan ng "&amp;"kasarian, o ekspresyon. Ang mga partikular na legal na probisyon na tumutugon sa sexual harassment ay nagbibigay ng proteksyon para sa mga LGBTQ+ na indibidwal sa lugar ng trabaho. Ang isa sa mga pangunahing batas ay ang Anti-Sexual Harassment Act of 1995"&amp;" (Republic Act No. 7877).
Narito ang ilang puntong dapat isaalang-alang:
1. **Anti-Sexual Harassment Act of 1995:**
- Ipinagbabawal ng batas na ito ang sekswal na panliligalig sa lugar ng trabaho, na sumasaklaw sa mga hindi kanais-nais na sekswal na pagsu"&amp;"long, mga kahilingan para sa sekswal na pabor, at iba pang pasalita o pisikal na pag-uugali na may sekswal na katangian.
- Ang batas ay kasama at pinoprotektahan ang lahat ng empleyado, anuman ang kanilang pagkakakilanlan sa kasarian o oryentasyong sekswa"&amp;"l.
2. **Pantay na Proteksyon Clause:**
- Kasama sa Konstitusyon ng Pilipinas ang sugnay na pantay na proteksyon (Artikulo III, Seksyon 1) na nagbabawal sa diskriminasyon sa iba't ibang batayan, kabilang ang kasarian. Binigyang-kahulugan ito ng mga korte u"&amp;"pang masakop ang proteksyon laban sa diskriminasyon batay sa oryentasyong sekswal at pagkakakilanlang pangkasarian.
3. **Mga Batas sa Paggawa:**
- Ang mga pangkalahatang batas sa paggawa sa Pilipinas, tulad ng Labor Code, ay nagbibigay ng proteksyon sa la"&amp;"hat ng empleyado laban sa pagsasamantala, pang-aabuso, at hindi patas na mga gawi sa paggawa.
4. **Philippine HIV/AIDS Policy Act:**
- Ang Philippine HIV/AIDS Policy Act (Republic Act No. 11166) ay nagbabawal sa diskriminasyon batay sa HIV status. Bagama'"&amp;"t hindi partikular sa sekswal na pagsasamantala, nakakatulong ito sa proteksyon ng mga karapatan ng mga indibidwal, kabilang ang mga nasa LGBTQ+ na komunidad.
5. **National Anti-Discrimination Bill:**
- Sa pagkakaalam ko noong Enero 2022, nagkaroon ng mga"&amp;" talakayan tungkol sa posibleng pagpasa ng National Anti-Discrimination Bill na tahasang tutugon sa diskriminasyon batay sa oryentasyong sekswal, pagkakakilanlang pangkasarian, at pagpapahayag sa iba't ibang sektor, kabilang ang trabaho. Mahalagang suriin"&amp;" ang mga update sa katayuan ng batas na ito.
Bagama't may legal na proteksyon, ang mga hamon na nauugnay sa kamalayan, pagpapatupad, at mga saloobin sa lipunan ay maaari pa ring umiral. Ang mga indibidwal na naniniwalang nakaranas sila ng sekswal na pagsa"&amp;"samantala o diskriminasyon sa trabaho batay sa kanilang LGBTQ+ status ay dapat humingi ng legal na payo mula sa mga propesyonal na dalubhasa sa batas sa pagtatrabaho o mga karapatan ng LGBTQ+. Bukod pa rito, ipinapayong manatiling may kaalaman tungkol sa "&amp;"anumang kamakailang legal na pag-unlad sa lugar na ito.")</f>
        <v>Sa Pilipinas, ang mga batas na nagpoprotekta sa mga indibidwal mula sa sekswal na pagsasamantala sa lugar ng trabaho, kabilang ang mga LGBTQ+ na indibidwal, ay karaniwang naaangkop sa lahat ng empleyado anuman ang oryentasyong sekswal, pagkakakilanlan ng kasarian, o ekspresyon. Ang mga partikular na legal na probisyon na tumutugon sa sexual harassment ay nagbibigay ng proteksyon para sa mga LGBTQ+ na indibidwal sa lugar ng trabaho. Ang isa sa mga pangunahing batas ay ang Anti-Sexual Harassment Act of 1995 (Republic Act No. 7877).
Narito ang ilang puntong dapat isaalang-alang:
1. **Anti-Sexual Harassment Act of 1995:**
- Ipinagbabawal ng batas na ito ang sekswal na panliligalig sa lugar ng trabaho, na sumasaklaw sa mga hindi kanais-nais na sekswal na pagsulong, mga kahilingan para sa sekswal na pabor, at iba pang pasalita o pisikal na pag-uugali na may sekswal na katangian.
- Ang batas ay kasama at pinoprotektahan ang lahat ng empleyado, anuman ang kanilang pagkakakilanlan sa kasarian o oryentasyong sekswal.
2. **Pantay na Proteksyon Clause:**
- Kasama sa Konstitusyon ng Pilipinas ang sugnay na pantay na proteksyon (Artikulo III, Seksyon 1) na nagbabawal sa diskriminasyon sa iba't ibang batayan, kabilang ang kasarian. Binigyang-kahulugan ito ng mga korte upang masakop ang proteksyon laban sa diskriminasyon batay sa oryentasyong sekswal at pagkakakilanlang pangkasarian.
3. **Mga Batas sa Paggawa:**
- Ang mga pangkalahatang batas sa paggawa sa Pilipinas, tulad ng Labor Code, ay nagbibigay ng proteksyon sa lahat ng empleyado laban sa pagsasamantala, pang-aabuso, at hindi patas na mga gawi sa paggawa.
4. **Philippine HIV/AIDS Policy Act:**
- Ang Philippine HIV/AIDS Policy Act (Republic Act No. 11166) ay nagbabawal sa diskriminasyon batay sa HIV status. Bagama't hindi partikular sa sekswal na pagsasamantala, nakakatulong ito sa proteksyon ng mga karapatan ng mga indibidwal, kabilang ang mga nasa LGBTQ+ na komunidad.
5. **National Anti-Discrimination Bill:**
- Sa pagkakaalam ko noong Enero 2022, nagkaroon ng mga talakayan tungkol sa posibleng pagpasa ng National Anti-Discrimination Bill na tahasang tutugon sa diskriminasyon batay sa oryentasyong sekswal, pagkakakilanlang pangkasarian, at pagpapahayag sa iba't ibang sektor, kabilang ang trabaho. Mahalagang suriin ang mga update sa katayuan ng batas na ito.
Bagama't may legal na proteksyon, ang mga hamon na nauugnay sa kamalayan, pagpapatupad, at mga saloobin sa lipunan ay maaari pa ring umiral. Ang mga indibidwal na naniniwalang nakaranas sila ng sekswal na pagsasamantala o diskriminasyon sa trabaho batay sa kanilang LGBTQ+ status ay dapat humingi ng legal na payo mula sa mga propesyonal na dalubhasa sa batas sa pagtatrabaho o mga karapatan ng LGBTQ+. Bukod pa rito, ipinapayong manatiling may kaalaman tungkol sa anumang kamakailang legal na pag-unlad sa lugar na ito.</v>
      </c>
      <c r="F724" s="2">
        <f t="shared" si="1"/>
        <v>0</v>
      </c>
      <c r="G724" s="2"/>
      <c r="H724" s="2"/>
      <c r="I724" s="2"/>
      <c r="J724" s="2"/>
      <c r="K724" s="2"/>
      <c r="L724" s="2"/>
      <c r="M724" s="2"/>
      <c r="N724" s="2"/>
      <c r="O724" s="2"/>
      <c r="P724" s="2"/>
      <c r="Q724" s="2"/>
      <c r="R724" s="2"/>
      <c r="S724" s="2"/>
      <c r="T724" s="2"/>
      <c r="U724" s="2"/>
      <c r="V724" s="2"/>
      <c r="W724" s="2"/>
      <c r="X724" s="2"/>
      <c r="Y724" s="2"/>
      <c r="Z724" s="2"/>
      <c r="AA724" s="2"/>
    </row>
    <row r="725">
      <c r="A725" s="3" t="s">
        <v>2010</v>
      </c>
      <c r="B725" s="1" t="s">
        <v>2388</v>
      </c>
      <c r="C725" s="1" t="s">
        <v>2389</v>
      </c>
      <c r="D725" s="1" t="s">
        <v>2390</v>
      </c>
      <c r="E725" s="2" t="str">
        <f>IFERROR(__xludf.DUMMYFUNCTION("GOOGLETRANSLATE(C725, ""en"", ""TL"")"),"Oo, maaari kang magkaroon ng legal na batayan upang magsampa ng kaso laban sa isang superbisor na alam ang tungkol sa sekswal na pagsasamantala sa lugar ng trabaho ngunit walang ginawang aksyon upang maiwasan o matugunan ito. Sa ganitong mga kaso, maaarin"&amp;"g pumasok ang legal na konsepto ng ""vicarious liability"" o ""supervisory liability"". Narito ang mga pangunahing punto na dapat isaalang-alang:
1. **Pabaya at Pagkabigong Kumilos:**
- Kung alam ng isang superbisor ang sekswal na pagsasamantalang nagagan"&amp;"ap sa lugar ng trabaho ngunit nabigong gumawa ng mga makatwirang hakbang upang maiwasan o matugunan ito, maaari silang managot para sa kapabayaan.
2. **Vicarious Liability:**
- Ang vicarious liability ay tumutukoy sa legal na pananagutan ng isang superior"&amp;" para sa mga aksyon ng mga subordinates kapag ang mga aksyon na iyon ay nangyari sa loob ng saklaw ng trabaho. Kung ang superbisor ay may awtoridad na pigilan o tugunan ang seksuwal na pagsasamantala at nabigong gawin ito, ang tagapag-empleyo ay maaaring "&amp;"managot.
3. **Mga Batas na Anti-Sexual Harassment:**
- Ang Anti-Sexual Harassment Act of 1995 (Republic Act No. 7877) sa Pilipinas ay nagbabawal sa sexual harassment sa lugar ng trabaho. Parehong ang taong direktang responsable para sa panliligalig at ang"&amp;" mga nasa awtoridad na nabigong pigilan ito ay maaaring managot.
4. **Pagalit na Kapaligiran sa Trabaho:**
- Kung ang kawalan ng pagkilos ng superbisor ay nag-aambag sa paglikha ng isang masamang kapaligiran sa trabaho, maaari rin itong maging batayan par"&amp;"a sa isang legal na paghahabol.
5. **Konsultasyon sa mga Legal na Propesyonal:**
- Napakahalagang kumunsulta sa isang abogado upang masuri ang mga tiyak na katotohanan ng iyong kaso, mangalap ng ebidensya, at matukoy ang naaangkop na legal na kurso ng aks"&amp;"yon.
- Maaaring gabayan ka ng isang abogado sa mga nauugnay na batas, potensyal na legal na paghahabol, at mga kinakailangang hakbang na gagawin sa paghabol ng kaso laban sa superbisor o employer.
Kapag nagsasagawa ng legal na aksyon laban sa isang superb"&amp;"isor, mahalagang idokumento ang mga insidente, mangalap ng ebidensya, at magpanatili ng rekord ng anumang komunikasyon o mga reklamong ginawa mo. Ang pag-uulat ng isyu sa mas mataas na pamamahala o sa departamento ng human resources, kung naaangkop, ay ma"&amp;"aaring may kaugnayan din.
Matutulungan ka ng mga legal na propesyonal na i-navigate ang mga kumplikado ng batas sa pagtatrabaho at gabayan ka sa proseso ng paghahanap ng hustisya para sa pinsalang dinanas mo dahil sa kabiguan ng superbisor na tugunan ang "&amp;"sekswal na pagsasamantala sa lugar ng trabaho.")</f>
        <v>Oo, maaari kang magkaroon ng legal na batayan upang magsampa ng kaso laban sa isang superbisor na alam ang tungkol sa sekswal na pagsasamantala sa lugar ng trabaho ngunit walang ginawang aksyon upang maiwasan o matugunan ito. Sa ganitong mga kaso, maaaring pumasok ang legal na konsepto ng "vicarious liability" o "supervisory liability". Narito ang mga pangunahing punto na dapat isaalang-alang:
1. **Pabaya at Pagkabigong Kumilos:**
- Kung alam ng isang superbisor ang sekswal na pagsasamantalang nagaganap sa lugar ng trabaho ngunit nabigong gumawa ng mga makatwirang hakbang upang maiwasan o matugunan ito, maaari silang managot para sa kapabayaan.
2. **Vicarious Liability:**
- Ang vicarious liability ay tumutukoy sa legal na pananagutan ng isang superior para sa mga aksyon ng mga subordinates kapag ang mga aksyon na iyon ay nangyari sa loob ng saklaw ng trabaho. Kung ang superbisor ay may awtoridad na pigilan o tugunan ang seksuwal na pagsasamantala at nabigong gawin ito, ang tagapag-empleyo ay maaaring managot.
3. **Mga Batas na Anti-Sexual Harassment:**
- Ang Anti-Sexual Harassment Act of 1995 (Republic Act No. 7877) sa Pilipinas ay nagbabawal sa sexual harassment sa lugar ng trabaho. Parehong ang taong direktang responsable para sa panliligalig at ang mga nasa awtoridad na nabigong pigilan ito ay maaaring managot.
4. **Pagalit na Kapaligiran sa Trabaho:**
- Kung ang kawalan ng pagkilos ng superbisor ay nag-aambag sa paglikha ng isang masamang kapaligiran sa trabaho, maaari rin itong maging batayan para sa isang legal na paghahabol.
5. **Konsultasyon sa mga Legal na Propesyonal:**
- Napakahalagang kumunsulta sa isang abogado upang masuri ang mga tiyak na katotohanan ng iyong kaso, mangalap ng ebidensya, at matukoy ang naaangkop na legal na kurso ng aksyon.
- Maaaring gabayan ka ng isang abogado sa mga nauugnay na batas, potensyal na legal na paghahabol, at mga kinakailangang hakbang na gagawin sa paghabol ng kaso laban sa superbisor o employer.
Kapag nagsasagawa ng legal na aksyon laban sa isang superbisor, mahalagang idokumento ang mga insidente, mangalap ng ebidensya, at magpanatili ng rekord ng anumang komunikasyon o mga reklamong ginawa mo. Ang pag-uulat ng isyu sa mas mataas na pamamahala o sa departamento ng human resources, kung naaangkop, ay maaaring may kaugnayan din.
Matutulungan ka ng mga legal na propesyonal na i-navigate ang mga kumplikado ng batas sa pagtatrabaho at gabayan ka sa proseso ng paghahanap ng hustisya para sa pinsalang dinanas mo dahil sa kabiguan ng superbisor na tugunan ang sekswal na pagsasamantala sa lugar ng trabaho.</v>
      </c>
      <c r="F725" s="2">
        <f t="shared" si="1"/>
        <v>0</v>
      </c>
      <c r="G725" s="2"/>
      <c r="H725" s="2"/>
      <c r="I725" s="2"/>
      <c r="J725" s="2"/>
      <c r="K725" s="2"/>
      <c r="L725" s="2"/>
      <c r="M725" s="2"/>
      <c r="N725" s="2"/>
      <c r="O725" s="2"/>
      <c r="P725" s="2"/>
      <c r="Q725" s="2"/>
      <c r="R725" s="2"/>
      <c r="S725" s="2"/>
      <c r="T725" s="2"/>
      <c r="U725" s="2"/>
      <c r="V725" s="2"/>
      <c r="W725" s="2"/>
      <c r="X725" s="2"/>
      <c r="Y725" s="2"/>
      <c r="Z725" s="2"/>
      <c r="AA725" s="2"/>
    </row>
    <row r="726">
      <c r="A726" s="3" t="s">
        <v>2010</v>
      </c>
      <c r="B726" s="1" t="s">
        <v>2391</v>
      </c>
      <c r="C726" s="1" t="s">
        <v>2392</v>
      </c>
      <c r="D726" s="1" t="s">
        <v>2393</v>
      </c>
      <c r="E726" s="2" t="str">
        <f>IFERROR(__xludf.DUMMYFUNCTION("GOOGLETRANSLATE(C726, ""en"", ""TL"")"),"Ang pagtiyak sa iyong hindi pagkakilala kapag nag-uulat ng sekswal na pagsasamantala sa lugar ng trabaho ay mahalaga para sa iyong kaligtasan at kagalingan. Narito ang ilang hakbang na maaari mong isaalang-alang upang mapanatili ang pagiging kumpidensyal:"&amp;"
1. **Gumamit ng Mga Anonymous na Channel sa Pag-uulat:**
- Maraming organisasyon ang may hindi kilalang mekanismo sa pag-uulat, gaya ng mga hotline, online na mga form sa pag-uulat, o mga serbisyo ng third-party. Gamitin ang mga channel na ito upang iula"&amp;"t ang mga insidente habang pinapanatiling kumpidensyal ang iyong pagkakakilanlan.
2. **Kumonsulta sa isang Kumpidensyal na Tagapayo:**
- Kung ang iyong lugar ng trabaho ay may tagapayo o ombudsman, isaalang-alang ang paghingi ng kanilang patnubay. Ang mga"&amp;" pag-uusap sa ilang partikular na propesyonal, tulad ng mga tagapayo o therapist, ay kadalasang pinoprotektahan ng mga panuntunan sa pagiging kumpidensyal.
3. **Mga Proteksyon sa Legal at Whistleblower:**
- Sa ilang hurisdiksyon, may mga legal na proteksy"&amp;"on para sa mga whistleblower na nag-uulat ng maling gawain sa lugar ng trabaho. Maging pamilyar sa mga batas sa proteksyon ng whistleblower sa iyong bansa upang maunawaan ang iyong mga karapatan.
4. **Mga Secure na Channel ng Komunikasyon:**
- Kung kailan"&amp;"gan mong makipag-ugnayan sa mga awtoridad, gumamit ng ligtas at pribadong mga channel ng komunikasyon. Iwasan ang paggamit ng email ng kumpanya o iba pang mga system na maaaring masubaybayan.
5. **Document Anonymous:**
- Kung kailangan mong magbigay ng mg"&amp;"a dokumento o ebidensya, isaalang-alang ang paggawa nito nang hindi nagpapakilala. Maaaring kabilang dito ang pagpapadala ng impormasyon sa pamamagitan ng isang secure, anonymous na channel o paggamit ng pseudonym.
6. **Humingi ng Legal na Payo:**
- Kumon"&amp;"sulta sa isang abogado na dalubhasa sa batas sa pagtatrabaho upang maunawaan ang mga legal na proteksyon na magagamit mo at ang pinakamahusay na paraan upang mapanatili ang pagiging kumpidensyal habang nag-uulat ng sekswal na pagsasamantala.
7. **Limitaha"&amp;"n ang Pagbubunyag ng Mga Detalye:**
- Kapag nag-uulat, ibigay lamang ang mga kinakailangang detalye upang maprotektahan ang iyong pagkakakilanlan. Tumutok sa mga katotohanang may kaugnayan sa pagsasamantala nang hindi nagbubunyag ng personal na impormasyo"&amp;"n na maaaring magpakilala sa iyo.
8. **Mga Hotline o Organisasyon ng Whistleblower:**
- Ang ilang mga bansa o rehiyon ay may mga independiyenteng whistleblower hotline o organisasyon na nagpapahintulot sa mga indibidwal na mag-ulat ng maling pag-uugali na"&amp;"ng hindi nagpapakilala. Suriin kung ang mga naturang mapagkukunan ay magagamit sa iyo.
9. **Gumawa ng Anonymous Email Account:**
- Kung kailangan mong makipag-ugnayan sa pamamagitan ng email, isaalang-alang ang paggawa ng hindi kilalang email account na h"&amp;"indi naglalaman ng anumang personal na impormasyon.
10. **Mga Secure na Device at Komunikasyon:**
- Tiyaking secure ang iyong mga device, at gumamit ng mga tool sa pag-encrypt kung maaari. Maging maingat sa pagtalakay sa kaso kahit nang personal, at pumil"&amp;"i ng mga secure na lokasyon para sa anumang mga pag-uusap.
Mahalagang tandaan na ang pagpapanatili ng kumpletong anonymity ay maaaring maging mahirap, lalo na kung kinakailangan ang isang legal na pagsisiyasat. Magkaroon ng kamalayan sa mga limitasyon at "&amp;"potensyal na panganib, at kumunsulta sa mga legal na propesyonal upang lumikha ng isang diskarte na nagsisiguro sa iyong kaligtasan habang tinutugunan ang isyu ng sekswal na pagsasamantala sa lugar ng trabaho.")</f>
        <v>Ang pagtiyak sa iyong hindi pagkakilala kapag nag-uulat ng sekswal na pagsasamantala sa lugar ng trabaho ay mahalaga para sa iyong kaligtasan at kagalingan. Narito ang ilang hakbang na maaari mong isaalang-alang upang mapanatili ang pagiging kumpidensyal:
1. **Gumamit ng Mga Anonymous na Channel sa Pag-uulat:**
- Maraming organisasyon ang may hindi kilalang mekanismo sa pag-uulat, gaya ng mga hotline, online na mga form sa pag-uulat, o mga serbisyo ng third-party. Gamitin ang mga channel na ito upang iulat ang mga insidente habang pinapanatiling kumpidensyal ang iyong pagkakakilanlan.
2. **Kumonsulta sa isang Kumpidensyal na Tagapayo:**
- Kung ang iyong lugar ng trabaho ay may tagapayo o ombudsman, isaalang-alang ang paghingi ng kanilang patnubay. Ang mga pag-uusap sa ilang partikular na propesyonal, tulad ng mga tagapayo o therapist, ay kadalasang pinoprotektahan ng mga panuntunan sa pagiging kumpidensyal.
3. **Mga Proteksyon sa Legal at Whistleblower:**
- Sa ilang hurisdiksyon, may mga legal na proteksyon para sa mga whistleblower na nag-uulat ng maling gawain sa lugar ng trabaho. Maging pamilyar sa mga batas sa proteksyon ng whistleblower sa iyong bansa upang maunawaan ang iyong mga karapatan.
4. **Mga Secure na Channel ng Komunikasyon:**
- Kung kailangan mong makipag-ugnayan sa mga awtoridad, gumamit ng ligtas at pribadong mga channel ng komunikasyon. Iwasan ang paggamit ng email ng kumpanya o iba pang mga system na maaaring masubaybayan.
5. **Document Anonymous:**
- Kung kailangan mong magbigay ng mga dokumento o ebidensya, isaalang-alang ang paggawa nito nang hindi nagpapakilala. Maaaring kabilang dito ang pagpapadala ng impormasyon sa pamamagitan ng isang secure, anonymous na channel o paggamit ng pseudonym.
6. **Humingi ng Legal na Payo:**
- Kumonsulta sa isang abogado na dalubhasa sa batas sa pagtatrabaho upang maunawaan ang mga legal na proteksyon na magagamit mo at ang pinakamahusay na paraan upang mapanatili ang pagiging kumpidensyal habang nag-uulat ng sekswal na pagsasamantala.
7. **Limitahan ang Pagbubunyag ng Mga Detalye:**
- Kapag nag-uulat, ibigay lamang ang mga kinakailangang detalye upang maprotektahan ang iyong pagkakakilanlan. Tumutok sa mga katotohanang may kaugnayan sa pagsasamantala nang hindi nagbubunyag ng personal na impormasyon na maaaring magpakilala sa iyo.
8. **Mga Hotline o Organisasyon ng Whistleblower:**
- Ang ilang mga bansa o rehiyon ay may mga independiyenteng whistleblower hotline o organisasyon na nagpapahintulot sa mga indibidwal na mag-ulat ng maling pag-uugali nang hindi nagpapakilala. Suriin kung ang mga naturang mapagkukunan ay magagamit sa iyo.
9. **Gumawa ng Anonymous Email Account:**
- Kung kailangan mong makipag-ugnayan sa pamamagitan ng email, isaalang-alang ang paggawa ng hindi kilalang email account na hindi naglalaman ng anumang personal na impormasyon.
10. **Mga Secure na Device at Komunikasyon:**
- Tiyaking secure ang iyong mga device, at gumamit ng mga tool sa pag-encrypt kung maaari. Maging maingat sa pagtalakay sa kaso kahit nang personal, at pumili ng mga secure na lokasyon para sa anumang mga pag-uusap.
Mahalagang tandaan na ang pagpapanatili ng kumpletong anonymity ay maaaring maging mahirap, lalo na kung kinakailangan ang isang legal na pagsisiyasat. Magkaroon ng kamalayan sa mga limitasyon at potensyal na panganib, at kumunsulta sa mga legal na propesyonal upang lumikha ng isang diskarte na nagsisiguro sa iyong kaligtasan habang tinutugunan ang isyu ng sekswal na pagsasamantala sa lugar ng trabaho.</v>
      </c>
      <c r="F726" s="2">
        <f t="shared" si="1"/>
        <v>0</v>
      </c>
      <c r="G726" s="2"/>
      <c r="H726" s="2"/>
      <c r="I726" s="2"/>
      <c r="J726" s="2"/>
      <c r="K726" s="2"/>
      <c r="L726" s="2"/>
      <c r="M726" s="2"/>
      <c r="N726" s="2"/>
      <c r="O726" s="2"/>
      <c r="P726" s="2"/>
      <c r="Q726" s="2"/>
      <c r="R726" s="2"/>
      <c r="S726" s="2"/>
      <c r="T726" s="2"/>
      <c r="U726" s="2"/>
      <c r="V726" s="2"/>
      <c r="W726" s="2"/>
      <c r="X726" s="2"/>
      <c r="Y726" s="2"/>
      <c r="Z726" s="2"/>
      <c r="AA726" s="2"/>
    </row>
    <row r="727">
      <c r="A727" s="3" t="s">
        <v>2010</v>
      </c>
      <c r="B727" s="1" t="s">
        <v>2394</v>
      </c>
      <c r="C727" s="1" t="s">
        <v>2395</v>
      </c>
      <c r="D727" s="1" t="s">
        <v>2396</v>
      </c>
      <c r="E727" s="2" t="str">
        <f>IFERROR(__xludf.DUMMYFUNCTION("GOOGLETRANSLATE(C727, ""en"", ""TL"")"),"Oo, maaari kang humingi ng kabayaran para sa emosyonal na pagkabalisa na nagreresulta mula sa sekswal na pagsasamantala sa trabaho. Ang emosyonal na pagkabalisa ay isang kinikilalang anyo ng pinsala kung saan ang mga indibidwal ay maaaring may karapatan s"&amp;"a kabayaran sa ilang mga legal na konteksto. Narito ang ilang mahahalagang puntong dapat isaalang-alang:
1. **Mga Batas na Anti-Sexual Harassment:**
- Sa Pilipinas, ang Anti-Sexual Harassment Act of 1995 (Republic Act No. 7877) ay nagbabawal sa sexual har"&amp;"assment sa lugar ng trabaho. Kinikilala ng batas na ito ang emosyonal at sikolohikal na epekto ng sekswal na panliligalig at nagbibigay ng batayan para sa paghingi ng kabayaran.
2. **Mga Paghahabla Sibil:**
- Maaari mong isaalang-alang ang pagsasampa ng k"&amp;"asong sibil laban sa mga indibidwal o entity na responsable para sa sekswal na pagsasamantala. Ang emosyonal na pagkabalisa ay maaaring isa sa mga elemento kung saan humingi ka ng kabayaran sa naturang kaso.
3. **Mga Tort:**
- Ang mga paghahabol sa emosyo"&amp;"nal na pagkabalisa ay kadalasang nasa ilalim ng kategorya ng batas ng tort, partikular na ang tort ng sinadyang pagpapahirap ng emosyonal na pagkabalisa. Kung ang mga aksyon na humahantong sa iyong emosyonal na pagkabalisa ay sinadya o walang ingat, maaar"&amp;"i kang magkaroon ng legal na batayan para sa isang paghahabol sa tort.
4. **Mga Pinsala para sa Emosyonal na Kabagabagan:**
- Sa isang sibil na kaso, ang mga pinsala para sa emosyonal na pagkabalisa ay maaaring kabilang ang kabayaran para sa sakit sa isip"&amp;", pagkabalisa, kahihiyan, at iba pang emosyonal na pagdurusa na dulot ng sekswal na pagsasamantala.
5. **Ebidensya:**
- Upang suportahan ang isang paghahabol para sa emosyonal na pagkabalisa, mahalagang idokumento ang mga insidente at mangalap ng ebidensy"&amp;"a na nagpapakita ng epekto sa iyong mental at emosyonal na kagalingan. Maaaring kabilang dito ang mga medikal na rekord, mga rekord ng therapy, mga pahayag ng saksi, at anumang nauugnay na dokumentasyon.
6. **Konsultasyon sa mga Legal na Propesyonal:**
- "&amp;"Napakahalagang kumunsulta sa isang abogado upang masuri ang mga tiyak na katotohanan ng iyong kaso, mangalap ng ebidensya, at matukoy ang naaangkop na legal na kurso ng aksyon.
- Maaaring gabayan ka ng isang abogado sa mga nauugnay na batas, potensyal na "&amp;"legal na paghahabol, at mga kinakailangang hakbang na gagawin sa paghabol ng kabayaran para sa emosyonal na pagkabalisa.
Tandaan na ang legal na proseso ay maaaring kumplikado, at ang paghingi ng kabayaran para sa emosyonal na pagkabalisa ay maaaring may "&amp;"kasamang pag-navigate sa iba't ibang mga legal na prinsipyo at kinakailangan. Ang pagkonsulta sa isang legal na propesyonal na dalubhasa sa batas sa pagtatrabaho o civil litigation ay makakatulong sa iyong maunawaan ang iyong mga karapatan, masuri ang lak"&amp;"as ng iyong kaso, at ituloy ang naaangkop na mga legal na remedyo para sa pinsalang natamo mo.")</f>
        <v>Oo, maaari kang humingi ng kabayaran para sa emosyonal na pagkabalisa na nagreresulta mula sa sekswal na pagsasamantala sa trabaho. Ang emosyonal na pagkabalisa ay isang kinikilalang anyo ng pinsala kung saan ang mga indibidwal ay maaaring may karapatan sa kabayaran sa ilang mga legal na konteksto. Narito ang ilang mahahalagang puntong dapat isaalang-alang:
1. **Mga Batas na Anti-Sexual Harassment:**
- Sa Pilipinas, ang Anti-Sexual Harassment Act of 1995 (Republic Act No. 7877) ay nagbabawal sa sexual harassment sa lugar ng trabaho. Kinikilala ng batas na ito ang emosyonal at sikolohikal na epekto ng sekswal na panliligalig at nagbibigay ng batayan para sa paghingi ng kabayaran.
2. **Mga Paghahabla Sibil:**
- Maaari mong isaalang-alang ang pagsasampa ng kasong sibil laban sa mga indibidwal o entity na responsable para sa sekswal na pagsasamantala. Ang emosyonal na pagkabalisa ay maaaring isa sa mga elemento kung saan humingi ka ng kabayaran sa naturang kaso.
3. **Mga Tort:**
- Ang mga paghahabol sa emosyonal na pagkabalisa ay kadalasang nasa ilalim ng kategorya ng batas ng tort, partikular na ang tort ng sinadyang pagpapahirap ng emosyonal na pagkabalisa. Kung ang mga aksyon na humahantong sa iyong emosyonal na pagkabalisa ay sinadya o walang ingat, maaari kang magkaroon ng legal na batayan para sa isang paghahabol sa tort.
4. **Mga Pinsala para sa Emosyonal na Kabagabagan:**
- Sa isang sibil na kaso, ang mga pinsala para sa emosyonal na pagkabalisa ay maaaring kabilang ang kabayaran para sa sakit sa isip, pagkabalisa, kahihiyan, at iba pang emosyonal na pagdurusa na dulot ng sekswal na pagsasamantala.
5. **Ebidensya:**
- Upang suportahan ang isang paghahabol para sa emosyonal na pagkabalisa, mahalagang idokumento ang mga insidente at mangalap ng ebidensya na nagpapakita ng epekto sa iyong mental at emosyonal na kagalingan. Maaaring kabilang dito ang mga medikal na rekord, mga rekord ng therapy, mga pahayag ng saksi, at anumang nauugnay na dokumentasyon.
6. **Konsultasyon sa mga Legal na Propesyonal:**
- Napakahalagang kumunsulta sa isang abogado upang masuri ang mga tiyak na katotohanan ng iyong kaso, mangalap ng ebidensya, at matukoy ang naaangkop na legal na kurso ng aksyon.
- Maaaring gabayan ka ng isang abogado sa mga nauugnay na batas, potensyal na legal na paghahabol, at mga kinakailangang hakbang na gagawin sa paghabol ng kabayaran para sa emosyonal na pagkabalisa.
Tandaan na ang legal na proseso ay maaaring kumplikado, at ang paghingi ng kabayaran para sa emosyonal na pagkabalisa ay maaaring may kasamang pag-navigate sa iba't ibang mga legal na prinsipyo at kinakailangan. Ang pagkonsulta sa isang legal na propesyonal na dalubhasa sa batas sa pagtatrabaho o civil litigation ay makakatulong sa iyong maunawaan ang iyong mga karapatan, masuri ang lakas ng iyong kaso, at ituloy ang naaangkop na mga legal na remedyo para sa pinsalang natamo mo.</v>
      </c>
      <c r="F727" s="2">
        <f t="shared" si="1"/>
        <v>0</v>
      </c>
      <c r="G727" s="2"/>
      <c r="H727" s="2"/>
      <c r="I727" s="2"/>
      <c r="J727" s="2"/>
      <c r="K727" s="2"/>
      <c r="L727" s="2"/>
      <c r="M727" s="2"/>
      <c r="N727" s="2"/>
      <c r="O727" s="2"/>
      <c r="P727" s="2"/>
      <c r="Q727" s="2"/>
      <c r="R727" s="2"/>
      <c r="S727" s="2"/>
      <c r="T727" s="2"/>
      <c r="U727" s="2"/>
      <c r="V727" s="2"/>
      <c r="W727" s="2"/>
      <c r="X727" s="2"/>
      <c r="Y727" s="2"/>
      <c r="Z727" s="2"/>
      <c r="AA727" s="2"/>
    </row>
    <row r="728">
      <c r="A728" s="3" t="s">
        <v>2010</v>
      </c>
      <c r="B728" s="1" t="s">
        <v>2397</v>
      </c>
      <c r="C728" s="1" t="s">
        <v>2398</v>
      </c>
      <c r="D728" s="1" t="s">
        <v>2399</v>
      </c>
      <c r="E728" s="2" t="str">
        <f>IFERROR(__xludf.DUMMYFUNCTION("GOOGLETRANSLATE(C728, ""en"", ""TL"")"),"Sa Pilipinas, walang mga partikular na pederal na batas na eksklusibong tumutugon sa sekswal na pagsasamantala sa industriya ng entertainment o pagmomolde. Gayunpaman, may mas malawak na mga legal na probisyon na maaaring ilapat sa mga naturang kaso. Nari"&amp;"to ang ilang nauugnay na batas at pagsasaalang-alang:
1. **Anti-Sexual Harassment Act of 1995 (Republic Act No. 7877):**
- Ipinagbabawal ng batas na ito ang sekswal na panliligalig sa lugar ng trabaho, na sumasaklaw sa iba't ibang industriya, kabilang ang"&amp;" entertainment at pagmomolde. Ang mga indibidwal na nagtatrabaho sa mga larangang ito ay may karapatan sa proteksyon laban sa hindi kanais-nais na mga sekswal na pagsulong o pag-uugali.
2. **Kodigo sa Paggawa ng Pilipinas:**
- Ang Labor Code ay nagtatakda"&amp;" ng mga pangkalahatang pamantayan sa paggawa at mga regulasyon na naaangkop sa lahat ng mga industriya. Kabilang dito ang mga probisyon na may kaugnayan sa mga karapatan ng mga manggagawa, mga kondisyon sa pagtatrabaho, at mga obligasyon ng employer.
3. *"&amp;"*Mga Batas sa Paggawa ng Bata:**
- Ang mga batas na may kaugnayan sa child labor, tulad ng Republic Act No. 9231 (An Act Providing for the Elimination of the Worst Forms of Child Labor and Affording Stronger Protection for the Working Child), ay naglalayo"&amp;"ng protektahan ang mga menor de edad mula sa pagsasamantala sa iba't ibang industriya, kabilang ang entertainment .
4. **Expanded Anti-Trafficking in Persons Act (Republic Act No. 10364):**
- Bagama't hindi partikular sa mga industriya ng entertainment o "&amp;"pagmomolde, ang batas na ito ay tumutugon sa human trafficking at may kasamang mga probisyon para sa proteksyon ng mga indibidwal mula sa pagsasamantala.
5. **Code of Conduct and Ethical Standards for Public Officials and Employees (Republic Act No. 6713)"&amp;":**
- Para sa mga nagtatrabaho sa mga ahensya ng gobyerno, ang batas na ito ay nagtatakda ng mga etikal na pamantayan at pag-uugali, kabilang ang mga probisyon na may kaugnayan sa pagpigil sa sekswal na panliligalig.
Mahalagang tandaan na habang maaaring "&amp;"walang mga pederal na batas na partikular sa industriya, ang umiiral na batas ay nagbibigay ng pundasyon para sa pagtugon sa sekswal na pagsasamantala sa iba't ibang konteksto, kabilang ang entertainment at pagmomodelo. Bukod pa rito, maaaring mag-evolve "&amp;"ang legal na tanawin, kaya ipinapayong manatiling may kaalaman tungkol sa anumang mga update o bagong batas na maaaring ipatupad.
Kung ikaw ay nahaharap sa sekswal na pagsasamantala o panliligalig sa lugar ng trabaho sa loob ng mga industriyang ito, maaar"&amp;"ing gusto mong kumunsulta sa isang legal na propesyonal na dalubhasa sa batas sa pagtatrabaho upang talakayin ang iyong partikular na sitwasyon at tuklasin ang mga legal na opsyon na magagamit mo.")</f>
        <v>Sa Pilipinas, walang mga partikular na pederal na batas na eksklusibong tumutugon sa sekswal na pagsasamantala sa industriya ng entertainment o pagmomolde. Gayunpaman, may mas malawak na mga legal na probisyon na maaaring ilapat sa mga naturang kaso. Narito ang ilang nauugnay na batas at pagsasaalang-alang:
1. **Anti-Sexual Harassment Act of 1995 (Republic Act No. 7877):**
- Ipinagbabawal ng batas na ito ang sekswal na panliligalig sa lugar ng trabaho, na sumasaklaw sa iba't ibang industriya, kabilang ang entertainment at pagmomolde. Ang mga indibidwal na nagtatrabaho sa mga larangang ito ay may karapatan sa proteksyon laban sa hindi kanais-nais na mga sekswal na pagsulong o pag-uugali.
2. **Kodigo sa Paggawa ng Pilipinas:**
- Ang Labor Code ay nagtatakda ng mga pangkalahatang pamantayan sa paggawa at mga regulasyon na naaangkop sa lahat ng mga industriya. Kabilang dito ang mga probisyon na may kaugnayan sa mga karapatan ng mga manggagawa, mga kondisyon sa pagtatrabaho, at mga obligasyon ng employer.
3. **Mga Batas sa Paggawa ng Bata:**
- Ang mga batas na may kaugnayan sa child labor, tulad ng Republic Act No. 9231 (An Act Providing for the Elimination of the Worst Forms of Child Labor and Affording Stronger Protection for the Working Child), ay naglalayong protektahan ang mga menor de edad mula sa pagsasamantala sa iba't ibang industriya, kabilang ang entertainment .
4. **Expanded Anti-Trafficking in Persons Act (Republic Act No. 10364):**
- Bagama't hindi partikular sa mga industriya ng entertainment o pagmomolde, ang batas na ito ay tumutugon sa human trafficking at may kasamang mga probisyon para sa proteksyon ng mga indibidwal mula sa pagsasamantala.
5. **Code of Conduct and Ethical Standards for Public Officials and Employees (Republic Act No. 6713):**
- Para sa mga nagtatrabaho sa mga ahensya ng gobyerno, ang batas na ito ay nagtatakda ng mga etikal na pamantayan at pag-uugali, kabilang ang mga probisyon na may kaugnayan sa pagpigil sa sekswal na panliligalig.
Mahalagang tandaan na habang maaaring walang mga pederal na batas na partikular sa industriya, ang umiiral na batas ay nagbibigay ng pundasyon para sa pagtugon sa sekswal na pagsasamantala sa iba't ibang konteksto, kabilang ang entertainment at pagmomodelo. Bukod pa rito, maaaring mag-evolve ang legal na tanawin, kaya ipinapayong manatiling may kaalaman tungkol sa anumang mga update o bagong batas na maaaring ipatupad.
Kung ikaw ay nahaharap sa sekswal na pagsasamantala o panliligalig sa lugar ng trabaho sa loob ng mga industriyang ito, maaaring gusto mong kumunsulta sa isang legal na propesyonal na dalubhasa sa batas sa pagtatrabaho upang talakayin ang iyong partikular na sitwasyon at tuklasin ang mga legal na opsyon na magagamit mo.</v>
      </c>
      <c r="F728" s="2">
        <f t="shared" si="1"/>
        <v>0</v>
      </c>
      <c r="G728" s="2"/>
      <c r="H728" s="2"/>
      <c r="I728" s="2"/>
      <c r="J728" s="2"/>
      <c r="K728" s="2"/>
      <c r="L728" s="2"/>
      <c r="M728" s="2"/>
      <c r="N728" s="2"/>
      <c r="O728" s="2"/>
      <c r="P728" s="2"/>
      <c r="Q728" s="2"/>
      <c r="R728" s="2"/>
      <c r="S728" s="2"/>
      <c r="T728" s="2"/>
      <c r="U728" s="2"/>
      <c r="V728" s="2"/>
      <c r="W728" s="2"/>
      <c r="X728" s="2"/>
      <c r="Y728" s="2"/>
      <c r="Z728" s="2"/>
      <c r="AA728" s="2"/>
    </row>
    <row r="729">
      <c r="A729" s="3" t="s">
        <v>2010</v>
      </c>
      <c r="B729" s="1" t="s">
        <v>2400</v>
      </c>
      <c r="C729" s="1" t="s">
        <v>2401</v>
      </c>
      <c r="D729" s="1" t="s">
        <v>2402</v>
      </c>
      <c r="E729" s="2" t="str">
        <f>IFERROR(__xludf.DUMMYFUNCTION("GOOGLETRANSLATE(C729, ""en"", ""TL"")"),"Oo, maaari kang magkaroon ng mga legal na batayan upang idemanda ang isang may-ari kung sila ay sekswal na pinagsamantalahan bilang isang kondisyon ng iyong kasunduan sa pag-upa. Ang seksuwal na pagsasamantala ay isang malubhang paglabag sa batas, at ang "&amp;"mga indibidwal ay may karapatang humingi ng mga legal na remedyo para sa naturang maling pag-uugali. Narito ang ilang mahahalagang puntong dapat isaalang-alang:
1. **Kriminal na Pagkakasala:**
- Ang seksuwal na pagsasamantala, pamimilit, o panliligalig bi"&amp;"lang isang kondisyon ng isang kasunduan sa pag-upa ay hindi lamang isang paglabag sa batas sibil ngunit maaari ring maging isang kriminal na pagkakasala. Maaari mong isaalang-alang ang pag-uulat ng insidente sa tagapagpatupad ng batas.
2. **Sibil na Pagha"&amp;"habla:**
- Maaaring mayroon kang mga batayan upang magsampa ng kasong sibil laban sa may-ari para sa mga pinsala. Maaaring kabilang dito ang kabayaran para sa emosyonal na pagkabalisa, mga gastos sa medikal, at iba pang pinsala na nagreresulta mula sa sek"&amp;"swal na pagsasamantala.
3. **Paglabag sa Kasunduan sa Pag-upa:**
- Kung ang mga aksyon ng may-ari ng lupa ay konektado sa kasunduan sa pag-upa, maaari itong maging isang paglabag sa mga tuntunin at kundisyon ng pag-upa. Ang pagdodokumento sa pagsasamantal"&amp;"a at anumang kaugnay na aksyon ay maaaring maging mahalagang ebidensya sa isang legal na kaso.
4. **Konsultasyon sa Mga Legal na Propesyonal:**
- Napakahalagang kumunsulta sa isang abogado upang masuri ang mga partikular na katotohanan ng iyong kaso, mang"&amp;"alap ng ebidensya, at matukoy ang naaangkop na legal na kurso ng aksyon.
- Maaaring gabayan ka ng isang abogado sa mga nauugnay na batas, potensyal na legal na paghahabol, at mga kinakailangang hakbang na gagawin sa paghabol ng kaso laban sa may-ari.
5. *"&amp;"*Ebidensya at Dokumentasyon:**
- Kolektahin at panatilihin ang anumang katibayan na nauugnay sa sekswal na pagsasamantala, kabilang ang mga mensahe, email, o iba pang komunikasyon. Kung may mga saksi, isaalang-alang ang pagkuha ng kanilang mga pahayag.
6."&amp;" **Pagiging Kumpidensyal at Pagkapribado:**
- Talakayin sa iyong abogado kung paano panatilihin ang pagiging kumpidensyal at pagkapribado sa buong legal na proseso, lalo na kung nag-aalala ka tungkol sa potensyal na paghihiganti.
7. **Statute of Limitasyo"&amp;"n:**
- Magkaroon ng kamalayan sa batas ng mga limitasyon para sa pagsasampa ng kaso. Kumonsulta sa iyong abogado upang matiyak na nag-file ka sa loob ng legal na iniresetang takdang panahon.
Tandaan na maaaring mag-iba-iba ang mga batas, kaya mahalagang h"&amp;"umingi ng legal na payo mula sa mga propesyonal na dalubhasa sa mga kaso ng sekswal na pagsasamantala o panliligalig. Kung ikaw ay nasa agarang panganib o kailangan ng agarang tulong, isaalang-alang ang pakikipag-ugnayan sa lokal na tagapagpatupad ng bata"&amp;"s o isang krisis hotline para sa suporta.")</f>
        <v>Oo, maaari kang magkaroon ng mga legal na batayan upang idemanda ang isang may-ari kung sila ay sekswal na pinagsamantalahan bilang isang kondisyon ng iyong kasunduan sa pag-upa. Ang seksuwal na pagsasamantala ay isang malubhang paglabag sa batas, at ang mga indibidwal ay may karapatang humingi ng mga legal na remedyo para sa naturang maling pag-uugali. Narito ang ilang mahahalagang puntong dapat isaalang-alang:
1. **Kriminal na Pagkakasala:**
- Ang seksuwal na pagsasamantala, pamimilit, o panliligalig bilang isang kondisyon ng isang kasunduan sa pag-upa ay hindi lamang isang paglabag sa batas sibil ngunit maaari ring maging isang kriminal na pagkakasala. Maaari mong isaalang-alang ang pag-uulat ng insidente sa tagapagpatupad ng batas.
2. **Sibil na Paghahabla:**
- Maaaring mayroon kang mga batayan upang magsampa ng kasong sibil laban sa may-ari para sa mga pinsala. Maaaring kabilang dito ang kabayaran para sa emosyonal na pagkabalisa, mga gastos sa medikal, at iba pang pinsala na nagreresulta mula sa sekswal na pagsasamantala.
3. **Paglabag sa Kasunduan sa Pag-upa:**
- Kung ang mga aksyon ng may-ari ng lupa ay konektado sa kasunduan sa pag-upa, maaari itong maging isang paglabag sa mga tuntunin at kundisyon ng pag-upa. Ang pagdodokumento sa pagsasamantala at anumang kaugnay na aksyon ay maaaring maging mahalagang ebidensya sa isang legal na kaso.
4. **Konsultasyon sa Mga Legal na Propesyonal:**
- Napakahalagang kumunsulta sa isang abogado upang masuri ang mga partikular na katotohanan ng iyong kaso, mangalap ng ebidensya, at matukoy ang naaangkop na legal na kurso ng aksyon.
- Maaaring gabayan ka ng isang abogado sa mga nauugnay na batas, potensyal na legal na paghahabol, at mga kinakailangang hakbang na gagawin sa paghabol ng kaso laban sa may-ari.
5. **Ebidensya at Dokumentasyon:**
- Kolektahin at panatilihin ang anumang katibayan na nauugnay sa sekswal na pagsasamantala, kabilang ang mga mensahe, email, o iba pang komunikasyon. Kung may mga saksi, isaalang-alang ang pagkuha ng kanilang mga pahayag.
6. **Pagiging Kumpidensyal at Pagkapribado:**
- Talakayin sa iyong abogado kung paano panatilihin ang pagiging kumpidensyal at pagkapribado sa buong legal na proseso, lalo na kung nag-aalala ka tungkol sa potensyal na paghihiganti.
7. **Statute of Limitasyon:**
- Magkaroon ng kamalayan sa batas ng mga limitasyon para sa pagsasampa ng kaso. Kumonsulta sa iyong abogado upang matiyak na nag-file ka sa loob ng legal na iniresetang takdang panahon.
Tandaan na maaaring mag-iba-iba ang mga batas, kaya mahalagang humingi ng legal na payo mula sa mga propesyonal na dalubhasa sa mga kaso ng sekswal na pagsasamantala o panliligalig. Kung ikaw ay nasa agarang panganib o kailangan ng agarang tulong, isaalang-alang ang pakikipag-ugnayan sa lokal na tagapagpatupad ng batas o isang krisis hotline para sa suporta.</v>
      </c>
      <c r="F729" s="2">
        <f t="shared" si="1"/>
        <v>0</v>
      </c>
      <c r="G729" s="2"/>
      <c r="H729" s="2"/>
      <c r="I729" s="2"/>
      <c r="J729" s="2"/>
      <c r="K729" s="2"/>
      <c r="L729" s="2"/>
      <c r="M729" s="2"/>
      <c r="N729" s="2"/>
      <c r="O729" s="2"/>
      <c r="P729" s="2"/>
      <c r="Q729" s="2"/>
      <c r="R729" s="2"/>
      <c r="S729" s="2"/>
      <c r="T729" s="2"/>
      <c r="U729" s="2"/>
      <c r="V729" s="2"/>
      <c r="W729" s="2"/>
      <c r="X729" s="2"/>
      <c r="Y729" s="2"/>
      <c r="Z729" s="2"/>
      <c r="AA729" s="2"/>
    </row>
    <row r="730">
      <c r="A730" s="3" t="s">
        <v>2010</v>
      </c>
      <c r="B730" s="1" t="s">
        <v>2403</v>
      </c>
      <c r="C730" s="1" t="s">
        <v>2404</v>
      </c>
      <c r="D730" s="1" t="s">
        <v>2405</v>
      </c>
      <c r="E730" s="2" t="str">
        <f>IFERROR(__xludf.DUMMYFUNCTION("GOOGLETRANSLATE(C730, ""en"", ""TL"")"),"Ang seksuwal na pagsasamantala sa konteksto ng medikal na paggamot ay isang malubhang paglabag sa tiwala at mga pamantayan sa etika. Ang mga indibidwal na nakakaranas ng ganitong pagsasamantala ay maaaring magkaroon ng legal na paraan at proteksyon. Ang m"&amp;"ga partikular na legal na probisyon ay maaaring mag-iba, ngunit narito ang ilang pangkalahatang puntong dapat isaalang-alang:
1. **Mga Batas sa Medikal na Malpractice:**
- Kung ang sekswal na pagsasamantala ay nangyari sa loob ng konteksto ng medikal na p"&amp;"aggamot at nagsasangkot ng isang propesyonal sa pangangalagang pangkalusugan, ang mga batas sa medikal na malpractice ay maaaring ilapat. Maaaring magsampa ng kaso ang mga biktima laban sa tagapagbigay ng pangangalagang pangkalusugan para sa kapabayaan, s"&amp;"inadyang maling pag-uugali, o paglabag sa pamantayan ng pangangalaga.
2. **Mga Propesyonal na Licensing Board:**
- Ang mga regulatory body na nangangasiwa sa mga medikal na propesyonal ay maaaring kumilos laban sa mga indibidwal na nakikibahagi sa sekswal"&amp;" na pagsasamantala. Ang mga reklamo ay maaaring ihain sa mga nauugnay na lupon ng paglilisensya, nagpapalitaw ng mga pagsisiyasat at mga potensyal na aksyong pandisiplina.
3. **Bill of Rights ng Pasyente:**
- Maraming hurisdiksyon ang mayroong Pasyenteng "&amp;"Bill of Rights o katulad na hanay ng mga regulasyon na nagbabalangkas sa mga karapatan ng mga pasyente, kabilang ang karapatang tumanggap ng pangangalagang medikal na walang pang-aabuso o pagsasamantala. Ang mga paglabag sa mga karapatang ito ay maaaring "&amp;"humantong sa mga legal na kahihinatnan para sa responsableng tagapagbigay ng pangangalagang pangkalusugan.
4. **Mga Pagsingil sa Kriminal:**
- Sa ilang mga kaso, ang sekswal na pagsasamantala ng isang propesyonal sa pangangalagang pangkalusugan ay maaari "&amp;"ding humantong sa mga kasong kriminal, tulad ng sekswal na pag-atake o pang-aabuso. Ang pag-uulat ng insidente sa tagapagpatupad ng batas ay maaaring magpasimula ng isang kriminal na pagsisiyasat.
5. **Mga Paghahabla sa Sibil:**
- Ang mga biktima ng seksu"&amp;"wal na pagsasamantala sa panahon ng medikal na paggamot ay maaaring maghabol ng mga kasong sibil laban sa mga responsableng partido. Ang mga demanda na ito ay maaaring humingi ng kabayaran para sa mga pinsala, kabilang ang emosyonal na pagkabalisa, mga ga"&amp;"stos sa medikal, at iba pang nauugnay na pinsala.
6. **Mga Batas sa Pagiging Kumpidensyal at Pagkapribado:**
- Ang mga tagapagbigay ng pangangalagang pangkalusugan ay nakasalalay sa mga batas at pamantayang etikal upang protektahan ang pagiging kumpidensy"&amp;"al ng pasyente. Kung ang sekswal na pagsasamantala ay nagsasangkot ng paglabag sa privacy o pagiging kompidensiyal, maaaring magkaroon ng mga karagdagang legal na paraan.
7. **Pag-uulat at Dokumentasyon:**
- Dapat iulat ng mga biktima ang insidente sa mga"&amp;" naaangkop na awtoridad, kabilang ang pagpapatupad ng batas, medical licensing board, at mga nauugnay na institusyong pangangalaga sa kalusugan. Ang pagdodokumento ng insidente at pag-iingat ng anumang ebidensya ay mahalaga para sa mga legal na paglilitis"&amp;".
8. **Konsultasyon sa mga Legal na Propesyonal:**
- Kung nakaranas ka ng sekswal na pagsasamantala sa panahon ng medikal na paggamot, mahalagang kumunsulta sa isang abogado na dalubhasa sa medikal na malpractice o batas sa pangangalagang pangkalusugan. A"&amp;"ng isang abogado ay maaaring magbigay ng gabay sa mga partikular na legal na opsyon na magagamit mo at tulungan kang mag-navigate sa legal na proseso.
Mahalagang tandaan na ang mga legal na proteksyon at magagamit na mga remedyo ay maaaring mag-iba depend"&amp;"e sa hurisdiksyon at mga partikular na kalagayan ng kaso. Ang paghingi ng payo sa mga legal na propesyonal na dalubhasa sa batas sa pangangalagang pangkalusugan o malpractice sa medikal ay mahalaga para maunawaan ang iyong mga karapatan at itaguyod ang hu"&amp;"stisya.")</f>
        <v>Ang seksuwal na pagsasamantala sa konteksto ng medikal na paggamot ay isang malubhang paglabag sa tiwala at mga pamantayan sa etika. Ang mga indibidwal na nakakaranas ng ganitong pagsasamantala ay maaaring magkaroon ng legal na paraan at proteksyon. Ang mga partikular na legal na probisyon ay maaaring mag-iba, ngunit narito ang ilang pangkalahatang puntong dapat isaalang-alang:
1. **Mga Batas sa Medikal na Malpractice:**
- Kung ang sekswal na pagsasamantala ay nangyari sa loob ng konteksto ng medikal na paggamot at nagsasangkot ng isang propesyonal sa pangangalagang pangkalusugan, ang mga batas sa medikal na malpractice ay maaaring ilapat. Maaaring magsampa ng kaso ang mga biktima laban sa tagapagbigay ng pangangalagang pangkalusugan para sa kapabayaan, sinadyang maling pag-uugali, o paglabag sa pamantayan ng pangangalaga.
2. **Mga Propesyonal na Licensing Board:**
- Ang mga regulatory body na nangangasiwa sa mga medikal na propesyonal ay maaaring kumilos laban sa mga indibidwal na nakikibahagi sa sekswal na pagsasamantala. Ang mga reklamo ay maaaring ihain sa mga nauugnay na lupon ng paglilisensya, nagpapalitaw ng mga pagsisiyasat at mga potensyal na aksyong pandisiplina.
3. **Bill of Rights ng Pasyente:**
- Maraming hurisdiksyon ang mayroong Pasyenteng Bill of Rights o katulad na hanay ng mga regulasyon na nagbabalangkas sa mga karapatan ng mga pasyente, kabilang ang karapatang tumanggap ng pangangalagang medikal na walang pang-aabuso o pagsasamantala. Ang mga paglabag sa mga karapatang ito ay maaaring humantong sa mga legal na kahihinatnan para sa responsableng tagapagbigay ng pangangalagang pangkalusugan.
4. **Mga Pagsingil sa Kriminal:**
- Sa ilang mga kaso, ang sekswal na pagsasamantala ng isang propesyonal sa pangangalagang pangkalusugan ay maaari ding humantong sa mga kasong kriminal, tulad ng sekswal na pag-atake o pang-aabuso. Ang pag-uulat ng insidente sa tagapagpatupad ng batas ay maaaring magpasimula ng isang kriminal na pagsisiyasat.
5. **Mga Paghahabla sa Sibil:**
- Ang mga biktima ng seksuwal na pagsasamantala sa panahon ng medikal na paggamot ay maaaring maghabol ng mga kasong sibil laban sa mga responsableng partido. Ang mga demanda na ito ay maaaring humingi ng kabayaran para sa mga pinsala, kabilang ang emosyonal na pagkabalisa, mga gastos sa medikal, at iba pang nauugnay na pinsala.
6. **Mga Batas sa Pagiging Kumpidensyal at Pagkapribado:**
- Ang mga tagapagbigay ng pangangalagang pangkalusugan ay nakasalalay sa mga batas at pamantayang etikal upang protektahan ang pagiging kumpidensyal ng pasyente. Kung ang sekswal na pagsasamantala ay nagsasangkot ng paglabag sa privacy o pagiging kompidensiyal, maaaring magkaroon ng mga karagdagang legal na paraan.
7. **Pag-uulat at Dokumentasyon:**
- Dapat iulat ng mga biktima ang insidente sa mga naaangkop na awtoridad, kabilang ang pagpapatupad ng batas, medical licensing board, at mga nauugnay na institusyong pangangalaga sa kalusugan. Ang pagdodokumento ng insidente at pag-iingat ng anumang ebidensya ay mahalaga para sa mga legal na paglilitis.
8. **Konsultasyon sa mga Legal na Propesyonal:**
- Kung nakaranas ka ng sekswal na pagsasamantala sa panahon ng medikal na paggamot, mahalagang kumunsulta sa isang abogado na dalubhasa sa medikal na malpractice o batas sa pangangalagang pangkalusugan. Ang isang abogado ay maaaring magbigay ng gabay sa mga partikular na legal na opsyon na magagamit mo at tulungan kang mag-navigate sa legal na proseso.
Mahalagang tandaan na ang mga legal na proteksyon at magagamit na mga remedyo ay maaaring mag-iba depende sa hurisdiksyon at mga partikular na kalagayan ng kaso. Ang paghingi ng payo sa mga legal na propesyonal na dalubhasa sa batas sa pangangalagang pangkalusugan o malpractice sa medikal ay mahalaga para maunawaan ang iyong mga karapatan at itaguyod ang hustisya.</v>
      </c>
      <c r="F730" s="2">
        <f t="shared" si="1"/>
        <v>0</v>
      </c>
      <c r="G730" s="2"/>
      <c r="H730" s="2"/>
      <c r="I730" s="2"/>
      <c r="J730" s="2"/>
      <c r="K730" s="2"/>
      <c r="L730" s="2"/>
      <c r="M730" s="2"/>
      <c r="N730" s="2"/>
      <c r="O730" s="2"/>
      <c r="P730" s="2"/>
      <c r="Q730" s="2"/>
      <c r="R730" s="2"/>
      <c r="S730" s="2"/>
      <c r="T730" s="2"/>
      <c r="U730" s="2"/>
      <c r="V730" s="2"/>
      <c r="W730" s="2"/>
      <c r="X730" s="2"/>
      <c r="Y730" s="2"/>
      <c r="Z730" s="2"/>
      <c r="AA730" s="2"/>
    </row>
    <row r="731">
      <c r="A731" s="3" t="s">
        <v>2010</v>
      </c>
      <c r="B731" s="1" t="s">
        <v>2406</v>
      </c>
      <c r="C731" s="1" t="s">
        <v>2407</v>
      </c>
      <c r="D731" s="1" t="s">
        <v>2408</v>
      </c>
      <c r="E731" s="2" t="str">
        <f>IFERROR(__xludf.DUMMYFUNCTION("GOOGLETRANSLATE(C731, ""en"", ""TL"")"),"Oo, maaari kang magkaroon ng legal na batayan upang magsampa ng kaso laban sa isang relihiyosong organisasyon para sa sekswal na pagsasamantala ng mga klero o kawani. Ang seksuwal na pagsasamantala sa loob ng relihiyosong konteksto ay isang seryosong pagl"&amp;"abag, at ang mga legal na remedyo ay maaaring magamit sa mga biktima. Narito ang ilang mahahalagang puntong dapat isaalang-alang:
1. **Civil Lawsuit:**
- Maaari kang magsampa ng kasong sibil laban sa relihiyosong organisasyon, klero, o mga miyembro ng kaw"&amp;"ani na responsable para sa sekswal na pagsasamantala. Ang mga naturang demanda ay maaaring humingi ng kabayaran para sa mga pinsala, kabilang ang emosyonal na pagkabalisa, mga gastos sa medikal, at iba pang pinsala na nagreresulta mula sa pagsasamantala.
"&amp;"2. **Kapabayaan at Pananagutan:**
- Ang mga paghahabol sa naturang mga demanda ay kadalasang nagsasangkot ng mga paratang ng kapabayaan sa bahagi ng relihiyosong organisasyon, tulad ng hindi pagsagot sa wastong pagsala o pangangasiwa ng mga klero o kawani"&amp;". Maaaring magkaroon din ng vicarious na pananagutan, na pinapanagutan ang organisasyon para sa mga aksyon ng mga kinatawan nito.
3. **Maling Pagsasanay ng Klerigo:**
- Kinikilala ng ilang hurisdiksyon ang konsepto ng malpractice ng klero, na tumutukoy sa"&amp;" propesyonal na kapabayaan o maling pag-uugali ng mga miyembro ng klero. Ito ay maaaring isang karagdagang legal na paraan para humingi ng kabayaran.
4. **Tungkulin ng Pangangalaga:**
- Ang mga relihiyosong organisasyon, tulad ng ibang mga institusyon, ay"&amp;" may tungkuling pangalagaan ang kanilang mga miyembro at dadalo. Kung nabigo silang itaguyod ang tungkuling ito at ang mga indibidwal ay mapinsala bilang resulta, maaaring magkaroon ng mga legal na paghahabol.
5. **Statute of Limitasyon:**
- Magkaroon ng "&amp;"kamalayan sa batas ng mga limitasyon, na kung saan ay ang limitasyon sa panahon kung saan dapat magsampa ng kaso. Nag-iiba-iba ang mga batas ng mga limitasyon, at mahalagang kumunsulta sa isang abogado upang matiyak ang pagsunod sa mga deadline na ito.
6."&amp;" **Pag-uulat sa Pagpapatupad ng Batas:**
- Kung ang sekswal na pagsasamantala ay nagsasangkot ng kriminal na pag-uugali, isaalang-alang ang pag-uulat ng insidente sa tagapagpatupad ng batas. Ang mga kasong kriminal laban sa mga responsableng indibidwal ay"&amp;" maaaring ituloy nang independyente sa isang sibil na kaso.
7. **Pagiging Kumpidensyal at Pagkapribado:**
- Talakayin sa iyong abogado kung paano panatilihin ang pagiging kumpidensyal at privacy sa buong proseso ng batas, lalo na kung nag-aalala ka tungko"&amp;"l sa potensyal na paghihiganti o pagkakalantad sa publiko.
8. **Legal na Konsultasyon:**
- Kumonsulta sa isang abogado na dalubhasa sa mga kaso ng sekswal na pagsasamantala o pananagutan ng relihiyosong organisasyon. Ang isang abogado ay maaaring magbigay"&amp;" ng gabay sa mga partikular na batas na naaangkop sa iyong sitwasyon, tasahin ang lakas ng iyong kaso, at tulungan kang ituloy ang mga legal na remedyo.
Mahalagang tandaan na ang mga legal na pagsasaalang-alang ay maaaring mag-iba depende sa hurisdiksyon,"&amp;" at ang mga batas na nauukol sa mga relihiyosong organisasyon ay maaaring kumplikado. Ang paghingi ng payo sa mga legal na propesyonal na dalubhasa sa mga kaso ng sekswal na pagsasamantala o pananagutan sa institusyong pangrelihiyon ay mahalaga para sa pa"&amp;"g-unawa sa iyong mga karapatan at pagtataguyod ng hustisya.")</f>
        <v>Oo, maaari kang magkaroon ng legal na batayan upang magsampa ng kaso laban sa isang relihiyosong organisasyon para sa sekswal na pagsasamantala ng mga klero o kawani. Ang seksuwal na pagsasamantala sa loob ng relihiyosong konteksto ay isang seryosong paglabag, at ang mga legal na remedyo ay maaaring magamit sa mga biktima. Narito ang ilang mahahalagang puntong dapat isaalang-alang:
1. **Civil Lawsuit:**
- Maaari kang magsampa ng kasong sibil laban sa relihiyosong organisasyon, klero, o mga miyembro ng kawani na responsable para sa sekswal na pagsasamantala. Ang mga naturang demanda ay maaaring humingi ng kabayaran para sa mga pinsala, kabilang ang emosyonal na pagkabalisa, mga gastos sa medikal, at iba pang pinsala na nagreresulta mula sa pagsasamantala.
2. **Kapabayaan at Pananagutan:**
- Ang mga paghahabol sa naturang mga demanda ay kadalasang nagsasangkot ng mga paratang ng kapabayaan sa bahagi ng relihiyosong organisasyon, tulad ng hindi pagsagot sa wastong pagsala o pangangasiwa ng mga klero o kawani. Maaaring magkaroon din ng vicarious na pananagutan, na pinapanagutan ang organisasyon para sa mga aksyon ng mga kinatawan nito.
3. **Maling Pagsasanay ng Klerigo:**
- Kinikilala ng ilang hurisdiksyon ang konsepto ng malpractice ng klero, na tumutukoy sa propesyonal na kapabayaan o maling pag-uugali ng mga miyembro ng klero. Ito ay maaaring isang karagdagang legal na paraan para humingi ng kabayaran.
4. **Tungkulin ng Pangangalaga:**
- Ang mga relihiyosong organisasyon, tulad ng ibang mga institusyon, ay may tungkuling pangalagaan ang kanilang mga miyembro at dadalo. Kung nabigo silang itaguyod ang tungkuling ito at ang mga indibidwal ay mapinsala bilang resulta, maaaring magkaroon ng mga legal na paghahabol.
5. **Statute of Limitasyon:**
- Magkaroon ng kamalayan sa batas ng mga limitasyon, na kung saan ay ang limitasyon sa panahon kung saan dapat magsampa ng kaso. Nag-iiba-iba ang mga batas ng mga limitasyon, at mahalagang kumunsulta sa isang abogado upang matiyak ang pagsunod sa mga deadline na ito.
6. **Pag-uulat sa Pagpapatupad ng Batas:**
- Kung ang sekswal na pagsasamantala ay nagsasangkot ng kriminal na pag-uugali, isaalang-alang ang pag-uulat ng insidente sa tagapagpatupad ng batas. Ang mga kasong kriminal laban sa mga responsableng indibidwal ay maaaring ituloy nang independyente sa isang sibil na kaso.
7. **Pagiging Kumpidensyal at Pagkapribado:**
- Talakayin sa iyong abogado kung paano panatilihin ang pagiging kumpidensyal at privacy sa buong proseso ng batas, lalo na kung nag-aalala ka tungkol sa potensyal na paghihiganti o pagkakalantad sa publiko.
8. **Legal na Konsultasyon:**
- Kumonsulta sa isang abogado na dalubhasa sa mga kaso ng sekswal na pagsasamantala o pananagutan ng relihiyosong organisasyon. Ang isang abogado ay maaaring magbigay ng gabay sa mga partikular na batas na naaangkop sa iyong sitwasyon, tasahin ang lakas ng iyong kaso, at tulungan kang ituloy ang mga legal na remedyo.
Mahalagang tandaan na ang mga legal na pagsasaalang-alang ay maaaring mag-iba depende sa hurisdiksyon, at ang mga batas na nauukol sa mga relihiyosong organisasyon ay maaaring kumplikado. Ang paghingi ng payo sa mga legal na propesyonal na dalubhasa sa mga kaso ng sekswal na pagsasamantala o pananagutan sa institusyong pangrelihiyon ay mahalaga para sa pag-unawa sa iyong mga karapatan at pagtataguyod ng hustisya.</v>
      </c>
      <c r="F731" s="2">
        <f t="shared" si="1"/>
        <v>0</v>
      </c>
      <c r="G731" s="2"/>
      <c r="H731" s="2"/>
      <c r="I731" s="2"/>
      <c r="J731" s="2"/>
      <c r="K731" s="2"/>
      <c r="L731" s="2"/>
      <c r="M731" s="2"/>
      <c r="N731" s="2"/>
      <c r="O731" s="2"/>
      <c r="P731" s="2"/>
      <c r="Q731" s="2"/>
      <c r="R731" s="2"/>
      <c r="S731" s="2"/>
      <c r="T731" s="2"/>
      <c r="U731" s="2"/>
      <c r="V731" s="2"/>
      <c r="W731" s="2"/>
      <c r="X731" s="2"/>
      <c r="Y731" s="2"/>
      <c r="Z731" s="2"/>
      <c r="AA731" s="2"/>
    </row>
    <row r="732">
      <c r="A732" s="3" t="s">
        <v>2010</v>
      </c>
      <c r="B732" s="1" t="s">
        <v>2409</v>
      </c>
      <c r="C732" s="1" t="s">
        <v>2410</v>
      </c>
      <c r="D732" s="1" t="s">
        <v>2411</v>
      </c>
      <c r="E732" s="2" t="str">
        <f>IFERROR(__xludf.DUMMYFUNCTION("GOOGLETRANSLATE(C732, ""en"", ""TL"")"),"Ang paghahanap ng abogado na dalubhasa sa mga kaso ng sekswal na pagsasamantala sa lugar ng trabaho ay nagsasangkot ng mga partikular na hakbang upang matiyak na mayroon kang tamang legal na representasyon para sa iyong sitwasyon. Narito ang ilang mungkah"&amp;"i upang matulungan kang makahanap ng isang kwalipikadong abogado:
1. **Mga Legal na Direktoryo:**
- Gumamit ng mga online na legal na direktoryo upang maghanap ng mga abogadong dalubhasa sa batas sa trabaho o mga kaso ng sekswal na panliligalig. Ang mga w"&amp;"ebsite tulad ng Martindale-Hubbell, Avvo, o FindLaw ay nagbibigay ng impormasyon sa mga abogado, kabilang ang kanilang mga lugar sa pagsasanay at mga review ng kliyente.
2. **Mga Bar Association:**
- Makipag-ugnayan sa iyong lokal o state bar association."&amp;" Madalas silang nagbibigay ng mga serbisyo ng referral na makakatulong sa iyong makahanap ng mga abogadong nag-specialize sa batas sa trabaho o mga kaso ng sekswal na pagsasamantala.
3. **Mga Organisasyon ng Batas sa Pagtatrabaho:**
- Maaaring may mga map"&amp;"agkukunan ang mga organisasyong nakatuon sa batas sa pagtatrabaho upang matulungan kang makahanap ng mga abogadong may kadalubhasaan sa mga kaso ng sekswal na pagsasamantala. Kasama sa mga halimbawa ang National Employment Lawyers Association (NELA) sa Un"&amp;"ited States.
4. **Mga Grupo ng Adbokasiya ng Biktima:**
- Makipag-ugnayan sa mga grupo o organisasyon ng adbokasiya ng biktima na dalubhasa sa pagsuporta sa mga indibidwal na nakaranas ng sekswal na panliligalig o pagsasamantala. Maaari silang magrekomend"&amp;"a ng mga abogadong may kaugnay na kadalubhasaan.
5. **Paghahanap sa Internet:**
- Magsagawa ng mga naka-target na paghahanap sa internet gamit ang mga keyword gaya ng ""abugado sa pananamantalang sekswal"" o ""abogado sa panliligalig sa lugar ng trabaho."&amp;""" Tingnan ang mga website ng mga law firm upang matuto nang higit pa tungkol sa kanilang mga lugar ng pagsasanay.
6. **Mga Referral mula sa Iba Pang Abogado:**
- Kung nagtrabaho ka sa isang abogado sa ibang legal na lugar, humingi sa kanila ng mga rekome"&amp;"ndasyon. Ang mga abogado ay kadalasang may mga propesyonal na network at maaari kang i-refer sa mga kasamahan na may tamang kadalubhasaan.
7. **Mga Konsultasyon:**
- Mag-iskedyul ng mga konsultasyon sa mga potensyal na abogado upang talakayin ang iyong ka"&amp;"so. Sa mga pagpupulong na ito, tasahin ang karanasan, diskarte, at pag-unawa ng abogado sa mga batas sa pagsasamantalang sekswal sa iyong hurisdiksyon.
8. **Lokal na Legal na Tulong:**
- Makipag-ugnayan sa mga lokal na organisasyon ng tulong legal o klini"&amp;"ka. Maaari silang magbigay ng tulong o mga referral, lalo na kung mayroon kang mga hadlang sa pananalapi.
9. **Suriin ang Mga Propesyonal na Organisasyon:**
- Ang mga propesyonal na organisasyon na nauugnay sa batas sa pagtatrabaho o sekswal na panliligal"&amp;"ig, tulad ng American Bar Association (ABA) o mga asosasyong partikular sa estado, ay maaaring mag-alok ng mga mapagkukunan upang matulungan kang makahanap ng mga kwalipikadong abogado.
10. **Suriin ang Mga Website at Testimonial:**
- Maghanap ng mga webs"&amp;"ite ng abogado at basahin ang mga testimonial o review ng kliyente. Maaari itong magbigay sa iyo ng mga insight sa kanilang reputasyon at tagumpay sa paghawak ng mga katulad na kaso.
Tandaan, mahalagang pumili ng abogado na dalubhasa sa batas sa trabaho o"&amp;" mga kaso ng sekswal na pagsasamantala at may matagumpay na track record sa mga lugar na ito. Bukod pa rito, tiyaking kumportable kang makipagtulungan sa abogado at naiintindihan nila ang mga kumplikado ng iyong partikular na sitwasyon. Ang mga legal na k"&amp;"onsultasyon ay madalas na isang pagkakataon upang talakayin ang iyong kaso at suriin kung ang abogado ay angkop para sa iyong mga pangangailangan.")</f>
        <v>Ang paghahanap ng abogado na dalubhasa sa mga kaso ng sekswal na pagsasamantala sa lugar ng trabaho ay nagsasangkot ng mga partikular na hakbang upang matiyak na mayroon kang tamang legal na representasyon para sa iyong sitwasyon. Narito ang ilang mungkahi upang matulungan kang makahanap ng isang kwalipikadong abogado:
1. **Mga Legal na Direktoryo:**
- Gumamit ng mga online na legal na direktoryo upang maghanap ng mga abogadong dalubhasa sa batas sa trabaho o mga kaso ng sekswal na panliligalig. Ang mga website tulad ng Martindale-Hubbell, Avvo, o FindLaw ay nagbibigay ng impormasyon sa mga abogado, kabilang ang kanilang mga lugar sa pagsasanay at mga review ng kliyente.
2. **Mga Bar Association:**
- Makipag-ugnayan sa iyong lokal o state bar association. Madalas silang nagbibigay ng mga serbisyo ng referral na makakatulong sa iyong makahanap ng mga abogadong nag-specialize sa batas sa trabaho o mga kaso ng sekswal na pagsasamantala.
3. **Mga Organisasyon ng Batas sa Pagtatrabaho:**
- Maaaring may mga mapagkukunan ang mga organisasyong nakatuon sa batas sa pagtatrabaho upang matulungan kang makahanap ng mga abogadong may kadalubhasaan sa mga kaso ng sekswal na pagsasamantala. Kasama sa mga halimbawa ang National Employment Lawyers Association (NELA) sa United States.
4. **Mga Grupo ng Adbokasiya ng Biktima:**
- Makipag-ugnayan sa mga grupo o organisasyon ng adbokasiya ng biktima na dalubhasa sa pagsuporta sa mga indibidwal na nakaranas ng sekswal na panliligalig o pagsasamantala. Maaari silang magrekomenda ng mga abogadong may kaugnay na kadalubhasaan.
5. **Paghahanap sa Internet:**
- Magsagawa ng mga naka-target na paghahanap sa internet gamit ang mga keyword gaya ng "abugado sa pananamantalang sekswal" o "abogado sa panliligalig sa lugar ng trabaho." Tingnan ang mga website ng mga law firm upang matuto nang higit pa tungkol sa kanilang mga lugar ng pagsasanay.
6. **Mga Referral mula sa Iba Pang Abogado:**
- Kung nagtrabaho ka sa isang abogado sa ibang legal na lugar, humingi sa kanila ng mga rekomendasyon. Ang mga abogado ay kadalasang may mga propesyonal na network at maaari kang i-refer sa mga kasamahan na may tamang kadalubhasaan.
7. **Mga Konsultasyon:**
- Mag-iskedyul ng mga konsultasyon sa mga potensyal na abogado upang talakayin ang iyong kaso. Sa mga pagpupulong na ito, tasahin ang karanasan, diskarte, at pag-unawa ng abogado sa mga batas sa pagsasamantalang sekswal sa iyong hurisdiksyon.
8. **Lokal na Legal na Tulong:**
- Makipag-ugnayan sa mga lokal na organisasyon ng tulong legal o klinika. Maaari silang magbigay ng tulong o mga referral, lalo na kung mayroon kang mga hadlang sa pananalapi.
9. **Suriin ang Mga Propesyonal na Organisasyon:**
- Ang mga propesyonal na organisasyon na nauugnay sa batas sa pagtatrabaho o sekswal na panliligalig, tulad ng American Bar Association (ABA) o mga asosasyong partikular sa estado, ay maaaring mag-alok ng mga mapagkukunan upang matulungan kang makahanap ng mga kwalipikadong abogado.
10. **Suriin ang Mga Website at Testimonial:**
- Maghanap ng mga website ng abogado at basahin ang mga testimonial o review ng kliyente. Maaari itong magbigay sa iyo ng mga insight sa kanilang reputasyon at tagumpay sa paghawak ng mga katulad na kaso.
Tandaan, mahalagang pumili ng abogado na dalubhasa sa batas sa trabaho o mga kaso ng sekswal na pagsasamantala at may matagumpay na track record sa mga lugar na ito. Bukod pa rito, tiyaking kumportable kang makipagtulungan sa abogado at naiintindihan nila ang mga kumplikado ng iyong partikular na sitwasyon. Ang mga legal na konsultasyon ay madalas na isang pagkakataon upang talakayin ang iyong kaso at suriin kung ang abogado ay angkop para sa iyong mga pangangailangan.</v>
      </c>
      <c r="F732" s="2">
        <f t="shared" si="1"/>
        <v>0</v>
      </c>
      <c r="G732" s="2"/>
      <c r="H732" s="2"/>
      <c r="I732" s="2"/>
      <c r="J732" s="2"/>
      <c r="K732" s="2"/>
      <c r="L732" s="2"/>
      <c r="M732" s="2"/>
      <c r="N732" s="2"/>
      <c r="O732" s="2"/>
      <c r="P732" s="2"/>
      <c r="Q732" s="2"/>
      <c r="R732" s="2"/>
      <c r="S732" s="2"/>
      <c r="T732" s="2"/>
      <c r="U732" s="2"/>
      <c r="V732" s="2"/>
      <c r="W732" s="2"/>
      <c r="X732" s="2"/>
      <c r="Y732" s="2"/>
      <c r="Z732" s="2"/>
      <c r="AA732" s="2"/>
    </row>
    <row r="733">
      <c r="A733" s="3" t="s">
        <v>2010</v>
      </c>
      <c r="B733" s="1" t="s">
        <v>2412</v>
      </c>
      <c r="C733" s="1" t="s">
        <v>2413</v>
      </c>
      <c r="D733" s="1" t="s">
        <v>2414</v>
      </c>
      <c r="E733" s="2" t="str">
        <f>IFERROR(__xludf.DUMMYFUNCTION("GOOGLETRANSLATE(C733, ""en"", ""TL"")"),"Sa ilang partikular na sitwasyon, maaari kang humingi ng mga parusang pinsala laban sa isang kumpanya para sa pagkunsinti ng sekswal na pagsasamantala ng mga empleyado nito. Ang mga punitive damages, na kilala rin bilang exemplary damages, ay iginagawad h"&amp;"indi para bayaran ang biktima kundi para parusahan ang nagkasala at hadlangan ang katulad na pag-uugali sa hinaharap. Gayunpaman, ang pagkakaroon ng mga punitive damages ay maaaring depende sa iba't ibang salik at sa mga batas ng hurisdiksyon na kasangkot"&amp;".
Narito ang ilang mga pagsasaalang-alang:
1. **Gross Negligence o Sinasadyang Maling Pag-uugali:**
- Ang mga parusang pinsala ay kadalasang ibinibigay kapag may katibayan ng matinding kapabayaan, sinasadyang maling pag-uugali, o walang ingat na pagwawala"&amp;"ng-bahala sa mga karapatan at kaligtasan ng iba. Kung kinukunsinti ng isang kumpanya o kasabwat sa sekswal na pagsasamantala ng mga empleyado nito, maaari itong ituring na matinding kapabayaan o sadyang maling pag-uugali.
2. **Ebidensya ng Kaalaman ng Kum"&amp;"panya:**
- Upang ituloy ang mga parusang pinsala, maaaring kailanganin mong magbigay ng katibayan na ang kumpanya ay may kaalaman sa sekswal na pagsasamantala at alinman ay pinahintulutan, hindi pinansin, o nabigong tugunan ang maling pag-uugali. Maaaring"&amp;" kabilang dito ang dokumentasyon, mga pahayag ng saksi, o iba pang anyo ng patunay.
3. **Mga Legal na Pamantayan sa Jurisdiction:**
- Ang pagkakaroon ng mga punitive damages ay nag-iiba ayon sa hurisdiksyon. Ang ilang hurisdiksyon ay may mga partikular na"&amp;" pamantayan at limitasyon sa mga parusang pinsala, at maaari lamang silang igawad sa ilang partikular na sitwasyon.
4. **Mga Batas na Anti-Sexual Harassment:**
- Kung ang sekswal na pagsasamantala ay lumalabag sa mga batas laban sa sekswal na panliligalig"&amp;", maaaring managot ang kumpanya sa ilalim ng mga batas na ito, at maaaring humingi ng mga parusang pinsala bilang bahagi ng isang legal na paghahabol.
5. **Konsultasyon sa mga Legal na Propesyonal:**
- Napakahalagang kumunsulta sa isang abogado na dalubha"&amp;"sa sa batas sa trabaho o mga kaso ng sekswal na panliligalig. Maaaring tasahin ng isang abogado ang mga partikular na katotohanan ng iyong kaso, gabayan ka sa mga kaugnay na batas, at tumulong na matukoy kung ang mga parusang pinsala ay maaaring ituloy.
6"&amp;". **Mga Limitasyon at Caps:**
- Maaaring may mga limitasyon o limitasyon ang ilang hurisdiksyon sa mga parusang pinsala. Magkaroon ng kamalayan sa legal na balangkas sa iyong hurisdiksyon at talakayin ang mga aspetong ito sa iyong abogado.
7. **Mga Pataka"&amp;"ran at Kasanayan ng Kumpanya:**
- Kung ang kumpanya ay may mga patakaran at gawi na inilagay upang maiwasan at matugunan ang sekswal na panliligalig ngunit nabigong ipatupad ang mga ito, maaari itong palakasin ang kaso para sa mga parusang pinsala.
Mahala"&amp;"gang tandaan na ang paghahangad ng mga punitive damages ay maaaring magsama ng mas mataas na burden of proof kumpara sa compensatory damages. Ang konsultasyon sa isang legal na propesyonal ay tutulong sa iyo na maunawaan ang mga partikular na legal na ops"&amp;"yon na magagamit sa iyong sitwasyon at gagabay sa iyo sa proseso ng paghingi ng mga pinsala para sa pinsalang dulot ng mga aksyon o pagtanggal ng kumpanya.")</f>
        <v>Sa ilang partikular na sitwasyon, maaari kang humingi ng mga parusang pinsala laban sa isang kumpanya para sa pagkunsinti ng sekswal na pagsasamantala ng mga empleyado nito. Ang mga punitive damages, na kilala rin bilang exemplary damages, ay iginagawad hindi para bayaran ang biktima kundi para parusahan ang nagkasala at hadlangan ang katulad na pag-uugali sa hinaharap. Gayunpaman, ang pagkakaroon ng mga punitive damages ay maaaring depende sa iba't ibang salik at sa mga batas ng hurisdiksyon na kasangkot.
Narito ang ilang mga pagsasaalang-alang:
1. **Gross Negligence o Sinasadyang Maling Pag-uugali:**
- Ang mga parusang pinsala ay kadalasang ibinibigay kapag may katibayan ng matinding kapabayaan, sinasadyang maling pag-uugali, o walang ingat na pagwawalang-bahala sa mga karapatan at kaligtasan ng iba. Kung kinukunsinti ng isang kumpanya o kasabwat sa sekswal na pagsasamantala ng mga empleyado nito, maaari itong ituring na matinding kapabayaan o sadyang maling pag-uugali.
2. **Ebidensya ng Kaalaman ng Kumpanya:**
- Upang ituloy ang mga parusang pinsala, maaaring kailanganin mong magbigay ng katibayan na ang kumpanya ay may kaalaman sa sekswal na pagsasamantala at alinman ay pinahintulutan, hindi pinansin, o nabigong tugunan ang maling pag-uugali. Maaaring kabilang dito ang dokumentasyon, mga pahayag ng saksi, o iba pang anyo ng patunay.
3. **Mga Legal na Pamantayan sa Jurisdiction:**
- Ang pagkakaroon ng mga punitive damages ay nag-iiba ayon sa hurisdiksyon. Ang ilang hurisdiksyon ay may mga partikular na pamantayan at limitasyon sa mga parusang pinsala, at maaari lamang silang igawad sa ilang partikular na sitwasyon.
4. **Mga Batas na Anti-Sexual Harassment:**
- Kung ang sekswal na pagsasamantala ay lumalabag sa mga batas laban sa sekswal na panliligalig, maaaring managot ang kumpanya sa ilalim ng mga batas na ito, at maaaring humingi ng mga parusang pinsala bilang bahagi ng isang legal na paghahabol.
5. **Konsultasyon sa mga Legal na Propesyonal:**
- Napakahalagang kumunsulta sa isang abogado na dalubhasa sa batas sa trabaho o mga kaso ng sekswal na panliligalig. Maaaring tasahin ng isang abogado ang mga partikular na katotohanan ng iyong kaso, gabayan ka sa mga kaugnay na batas, at tumulong na matukoy kung ang mga parusang pinsala ay maaaring ituloy.
6. **Mga Limitasyon at Caps:**
- Maaaring may mga limitasyon o limitasyon ang ilang hurisdiksyon sa mga parusang pinsala. Magkaroon ng kamalayan sa legal na balangkas sa iyong hurisdiksyon at talakayin ang mga aspetong ito sa iyong abogado.
7. **Mga Patakaran at Kasanayan ng Kumpanya:**
- Kung ang kumpanya ay may mga patakaran at gawi na inilagay upang maiwasan at matugunan ang sekswal na panliligalig ngunit nabigong ipatupad ang mga ito, maaari itong palakasin ang kaso para sa mga parusang pinsala.
Mahalagang tandaan na ang paghahangad ng mga punitive damages ay maaaring magsama ng mas mataas na burden of proof kumpara sa compensatory damages. Ang konsultasyon sa isang legal na propesyonal ay tutulong sa iyo na maunawaan ang mga partikular na legal na opsyon na magagamit sa iyong sitwasyon at gagabay sa iyo sa proseso ng paghingi ng mga pinsala para sa pinsalang dulot ng mga aksyon o pagtanggal ng kumpanya.</v>
      </c>
      <c r="F733" s="2">
        <f t="shared" si="1"/>
        <v>0</v>
      </c>
      <c r="G733" s="2"/>
      <c r="H733" s="2"/>
      <c r="I733" s="2"/>
      <c r="J733" s="2"/>
      <c r="K733" s="2"/>
      <c r="L733" s="2"/>
      <c r="M733" s="2"/>
      <c r="N733" s="2"/>
      <c r="O733" s="2"/>
      <c r="P733" s="2"/>
      <c r="Q733" s="2"/>
      <c r="R733" s="2"/>
      <c r="S733" s="2"/>
      <c r="T733" s="2"/>
      <c r="U733" s="2"/>
      <c r="V733" s="2"/>
      <c r="W733" s="2"/>
      <c r="X733" s="2"/>
      <c r="Y733" s="2"/>
      <c r="Z733" s="2"/>
      <c r="AA733" s="2"/>
    </row>
    <row r="734">
      <c r="A734" s="3" t="s">
        <v>2010</v>
      </c>
      <c r="B734" s="1" t="s">
        <v>2415</v>
      </c>
      <c r="C734" s="1" t="s">
        <v>2416</v>
      </c>
      <c r="D734" s="1" t="s">
        <v>2417</v>
      </c>
      <c r="E734" s="2" t="str">
        <f>IFERROR(__xludf.DUMMYFUNCTION("GOOGLETRANSLATE(C734, ""en"", ""TL"")"),"Kung nakaranas ka ng seksuwal na pagsasamantala sa panahon ng isang pakikipanayam sa trabaho o proseso ng pagkuha, maaari kang magkaroon ng mga legal na opsyon upang matugunan ang pinsalang naranasan mo. Ang mga partikular na legal na paraan na magagamit "&amp;"ay maaaring mag-iba batay sa hurisdiksyon at likas na katangian ng insidente. Narito ang ilang potensyal na legal na opsyon upang isaalang-alang:
1. **Mga Batas laban sa Diskriminasyon:**
- Maraming hurisdiksyon ang may mga batas na nagbabawal sa diskrimi"&amp;"nasyon sa trabaho, na maaaring sumaklaw sa sekswal na pagsasamantala sa panahon ng proseso ng pagkuha. Suriin ang mga lokal na batas laban sa diskriminasyon na nagpoprotekta sa mga indibidwal batay sa kasarian, kasarian, o iba pang nauugnay na salik.
2. *"&amp;"*Mga Batas sa Sekswal na Panliligalig:**
- Maaaring ilapat ang mga batas sa sekswal na panliligalig sa mga sitwasyon kung saan nangyayari ang hindi naaangkop na pag-uugali sa panahon ng isang pakikipanayam sa trabaho o proseso ng pagkuha. Ang mga naturang"&amp;" batas ay karaniwang nagbabawal sa mga hindi kanais-nais na sekswal na pagsulong, mga kahilingan para sa mga sekswal na pabor, at iba pang anyo ng sekswal na panliligalig.
3. **Title VII ng Civil Rights Act (Estados Unidos):**
- Sa Estados Unidos, ipinagb"&amp;"abawal ng Title VII ng Civil Rights Act of 1964 ang sekswal na panliligalig at diskriminasyon sa trabaho. Ang mga biktima ay maaaring magsampa ng reklamo sa Equal Employment Opportunity Commission (EEOC) o magsagawa ng legal na aksyon laban sa employer.
4"&amp;". **Mga Batas sa Lokal na Trabaho:**
- Tingnan ang mga partikular na batas at regulasyon sa pagtatrabaho sa iyong hurisdiksyon na tumutugon sa panliligalig at diskriminasyon sa lugar ng trabaho. Ang mga batas na ito ay maaaring magbigay ng karagdagang mga"&amp;" proteksyon na lampas sa mga pederal o pambansang batas.
5. **Mga Patakaran at Pamamaraan ng Kumpanya:**
- Suriin ang mga patakaran at pamamaraan ng employer tungkol sa panliligalig at diskriminasyon sa lugar ng trabaho. Ang mga kumpanya ay madalas na may"&amp;" mga panloob na mekanismo para sa pag-uulat ng mga naturang insidente.
6. **Legal na Konsultasyon:**
- Kumonsulta sa isang abogado na dalubhasa sa batas sa pagtatrabaho o panliligalig sa lugar ng trabaho. Maaaring tasahin ng isang abogado ang mga partikul"&amp;"ar na katotohanan ng iyong kaso, gabayan ka sa mga nauugnay na batas, at tulungan kang maunawaan ang iyong mga legal na karapatan at opsyon.
7. **Pag-uulat sa Mga Awtoridad:**
- Sa ilang mga kaso, lalo na kung ang sekswal na pagsasamantala ay nagsasangkot"&amp;" ng kriminal na pag-uugali, maaari mong isaalang-alang ang pag-uulat ng insidente sa tagapagpatupad ng batas.
8. **Dokumentasyon:**
- Panatilihin ang detalyadong dokumentasyon ng insidente, kabilang ang anumang mga komunikasyon, aksyon, o pag-uugali na bu"&amp;"mubuo ng sekswal na pagsasamantala. Maaaring mahalaga ang ebidensyang ito sa pagsuporta sa iyong kaso.
9. **Mga Limitasyon sa Oras (Statute of Limitations):**
- Magkaroon ng kamalayan sa anumang mga limitasyon sa oras (statute of limitations) para sa pagh"&amp;"ahain ng reklamo o demanda. Kumonsulta kaagad sa isang abogado upang matiyak ang pagsunod sa mga hadlang sa oras na ito.
Mahalagang gumawa ng mabilis na aksyon kung nakaranas ka ng sekswal na pagsasamantala sa panahon ng isang pakikipanayam sa trabaho o p"&amp;"roseso ng pagkuha. Ang pagkonsulta sa isang legal na propesyonal ay tutulong sa iyo na maunawaan ang mga partikular na batas na naaangkop sa iyong sitwasyon at gagabay sa iyo sa proseso ng paghahanap ng hustisya at lunas para sa pinsalang dinanas mo.")</f>
        <v>Kung nakaranas ka ng seksuwal na pagsasamantala sa panahon ng isang pakikipanayam sa trabaho o proseso ng pagkuha, maaari kang magkaroon ng mga legal na opsyon upang matugunan ang pinsalang naranasan mo. Ang mga partikular na legal na paraan na magagamit ay maaaring mag-iba batay sa hurisdiksyon at likas na katangian ng insidente. Narito ang ilang potensyal na legal na opsyon upang isaalang-alang:
1. **Mga Batas laban sa Diskriminasyon:**
- Maraming hurisdiksyon ang may mga batas na nagbabawal sa diskriminasyon sa trabaho, na maaaring sumaklaw sa sekswal na pagsasamantala sa panahon ng proseso ng pagkuha. Suriin ang mga lokal na batas laban sa diskriminasyon na nagpoprotekta sa mga indibidwal batay sa kasarian, kasarian, o iba pang nauugnay na salik.
2. **Mga Batas sa Sekswal na Panliligalig:**
- Maaaring ilapat ang mga batas sa sekswal na panliligalig sa mga sitwasyon kung saan nangyayari ang hindi naaangkop na pag-uugali sa panahon ng isang pakikipanayam sa trabaho o proseso ng pagkuha. Ang mga naturang batas ay karaniwang nagbabawal sa mga hindi kanais-nais na sekswal na pagsulong, mga kahilingan para sa mga sekswal na pabor, at iba pang anyo ng sekswal na panliligalig.
3. **Title VII ng Civil Rights Act (Estados Unidos):**
- Sa Estados Unidos, ipinagbabawal ng Title VII ng Civil Rights Act of 1964 ang sekswal na panliligalig at diskriminasyon sa trabaho. Ang mga biktima ay maaaring magsampa ng reklamo sa Equal Employment Opportunity Commission (EEOC) o magsagawa ng legal na aksyon laban sa employer.
4. **Mga Batas sa Lokal na Trabaho:**
- Tingnan ang mga partikular na batas at regulasyon sa pagtatrabaho sa iyong hurisdiksyon na tumutugon sa panliligalig at diskriminasyon sa lugar ng trabaho. Ang mga batas na ito ay maaaring magbigay ng karagdagang mga proteksyon na lampas sa mga pederal o pambansang batas.
5. **Mga Patakaran at Pamamaraan ng Kumpanya:**
- Suriin ang mga patakaran at pamamaraan ng employer tungkol sa panliligalig at diskriminasyon sa lugar ng trabaho. Ang mga kumpanya ay madalas na may mga panloob na mekanismo para sa pag-uulat ng mga naturang insidente.
6. **Legal na Konsultasyon:**
- Kumonsulta sa isang abogado na dalubhasa sa batas sa pagtatrabaho o panliligalig sa lugar ng trabaho. Maaaring tasahin ng isang abogado ang mga partikular na katotohanan ng iyong kaso, gabayan ka sa mga nauugnay na batas, at tulungan kang maunawaan ang iyong mga legal na karapatan at opsyon.
7. **Pag-uulat sa Mga Awtoridad:**
- Sa ilang mga kaso, lalo na kung ang sekswal na pagsasamantala ay nagsasangkot ng kriminal na pag-uugali, maaari mong isaalang-alang ang pag-uulat ng insidente sa tagapagpatupad ng batas.
8. **Dokumentasyon:**
- Panatilihin ang detalyadong dokumentasyon ng insidente, kabilang ang anumang mga komunikasyon, aksyon, o pag-uugali na bumubuo ng sekswal na pagsasamantala. Maaaring mahalaga ang ebidensyang ito sa pagsuporta sa iyong kaso.
9. **Mga Limitasyon sa Oras (Statute of Limitations):**
- Magkaroon ng kamalayan sa anumang mga limitasyon sa oras (statute of limitations) para sa paghahain ng reklamo o demanda. Kumonsulta kaagad sa isang abogado upang matiyak ang pagsunod sa mga hadlang sa oras na ito.
Mahalagang gumawa ng mabilis na aksyon kung nakaranas ka ng sekswal na pagsasamantala sa panahon ng isang pakikipanayam sa trabaho o proseso ng pagkuha. Ang pagkonsulta sa isang legal na propesyonal ay tutulong sa iyo na maunawaan ang mga partikular na batas na naaangkop sa iyong sitwasyon at gagabay sa iyo sa proseso ng paghahanap ng hustisya at lunas para sa pinsalang dinanas mo.</v>
      </c>
      <c r="F734" s="2">
        <f t="shared" si="1"/>
        <v>0</v>
      </c>
      <c r="G734" s="2"/>
      <c r="H734" s="2"/>
      <c r="I734" s="2"/>
      <c r="J734" s="2"/>
      <c r="K734" s="2"/>
      <c r="L734" s="2"/>
      <c r="M734" s="2"/>
      <c r="N734" s="2"/>
      <c r="O734" s="2"/>
      <c r="P734" s="2"/>
      <c r="Q734" s="2"/>
      <c r="R734" s="2"/>
      <c r="S734" s="2"/>
      <c r="T734" s="2"/>
      <c r="U734" s="2"/>
      <c r="V734" s="2"/>
      <c r="W734" s="2"/>
      <c r="X734" s="2"/>
      <c r="Y734" s="2"/>
      <c r="Z734" s="2"/>
      <c r="AA734" s="2"/>
    </row>
    <row r="735">
      <c r="A735" s="3" t="s">
        <v>2010</v>
      </c>
      <c r="B735" s="1" t="s">
        <v>2418</v>
      </c>
      <c r="C735" s="1" t="s">
        <v>2419</v>
      </c>
      <c r="D735" s="1" t="s">
        <v>2420</v>
      </c>
      <c r="E735" s="2" t="str">
        <f>IFERROR(__xludf.DUMMYFUNCTION("GOOGLETRANSLATE(C735, ""en"", ""TL"")"),"Oo, maaari mong ituloy ang isang sibil na kaso laban sa isang paaralan o institusyong pang-edukasyon para sa sekswal na pagsasamantala ng mga kawani. Ang mga paaralan ay may tungkulin na magbigay ng ligtas at ligtas na kapaligiran para sa mga mag-aaral, a"&amp;"t kapag ang mga miyembro ng kawani ay nasangkot sa sekswal na pagsasamantala, ang institusyon ay maaaring managot. Narito ang mga pangunahing pagsasaalang-alang kung ikaw ay nag-iisip ng isang sibil na kaso:
1. **Pabaya:**
- Ang isang karaniwang legal na "&amp;"paghahabol sa mga kaso ng sekswal na pagsasamantala ng mga kawani ay kapabayaan. Kung nabigo ang paaralan na magsagawa ng makatwirang pangangalaga sa pagkuha, pagsasanay, at pangangasiwa sa mga tauhan nito, at ang kapabayaang ito ay humantong sa pagsasama"&amp;"ntala, ang institusyon ay maaaring managot.
2. **Vicarious Liability:**
- Ang doktrina ng vicarious liability ay maaaring ilapat, kung saan ang paaralan ay responsable para sa mga aksyon ng mga empleyado nito kung ang pagsasamantala ay naganap sa loob ng "&amp;"saklaw ng kanilang trabaho. Ang prinsipyong ito ay batay sa ideya na ang employer ay may pananagutan para sa mga aksyon ng mga empleyado nito sa panahon ng kanilang trabaho.
3. **Titulo IX (Estados Unidos):**
- Sa Estados Unidos, ipinagbabawal ng Title IX"&amp;" ng Education Amendments ng 1972 ang diskriminasyon sa kasarian, kabilang ang sekswal na panliligalig, sa mga programa at aktibidad na pang-edukasyon. Ang mga paaralan na tumatanggap ng pederal na pagpopondo ay obligadong tugunan at pigilan ang sekswal na"&amp;" maling pag-uugali, at ang mga biktima ay maaaring magsagawa ng legal na aksyon para sa mga paglabag.
4. **Tungkulin na Protektahan ang mga Mag-aaral:**
- Ang mga paaralan ay may tungkulin na protektahan ang mga mag-aaral mula sa pinsala, kabilang ang sek"&amp;"swal na pagsasamantala. Kung alam ng institusyon ang maling pag-uugali at nabigong gumawa ng naaangkop na aksyon, maaari itong managot sa paglabag sa tungkulin nitong protektahan ang mga mag-aaral.
5. **Intensyonal na Pagdudulot ng Emosyonal na Kabagabaga"&amp;"n:**
- Sa ilang mga kaso, maaaring maghabol ang mga biktima para sa sinadyang pagpapahirap ng emosyonal na pagkabalisa, lalo na kung ang mga aksyon ng miyembro ng kawani ay sukdulan at nagdulot ng matinding emosyonal na pinsala.
6. **Statute of Limitasyon"&amp;":**
- Magkaroon ng kamalayan sa batas ng mga limitasyon, na kung saan ay ang limitasyon sa panahon kung saan dapat magsampa ng kaso. Mahalagang kumunsulta kaagad sa isang abogado upang matiyak ang pagsunod sa mga hadlang sa oras na ito.
7. **Ebidensya at "&amp;"Dokumentasyon:**
- Idokumento ang mga insidente, panatilihin ang anumang ebidensya, at mangalap ng impormasyon na maaaring suportahan ang iyong kaso. Maaaring kabilang dito ang mga pahayag ng saksi, komunikasyon, at anumang nauugnay na mga rekord.
8. **Ko"&amp;"nsultasyon sa mga Legal na Propesyonal:**
- Kumonsulta sa isang abogado na dalubhasa sa batas sa edukasyon, mga kaso ng sekswal na pagsasamantala, o sibil na paglilitis. Maaaring gabayan ka ng isang abogado sa mga nauugnay na batas, tasahin ang lakas ng i"&amp;"yong kaso, at tulungan kang mag-navigate sa legal na proseso.
Kapag nagsasagawa ng legal na aksyon laban sa isang paaralan para sa sekswal na pagsasamantala ng mga kawani, mahalagang humingi ng payo sa mga legal na propesyonal na nakakaunawa sa mga kumpli"&amp;"kado ng mga batas sa edukasyon at trabaho. Matutulungan ka ng isang abogado na maunawaan ang iyong mga karapatan, masuri ang posibilidad ng iyong kaso, at itaguyod ang hustisya para sa pinsalang dinanas mo.")</f>
        <v>Oo, maaari mong ituloy ang isang sibil na kaso laban sa isang paaralan o institusyong pang-edukasyon para sa sekswal na pagsasamantala ng mga kawani. Ang mga paaralan ay may tungkulin na magbigay ng ligtas at ligtas na kapaligiran para sa mga mag-aaral, at kapag ang mga miyembro ng kawani ay nasangkot sa sekswal na pagsasamantala, ang institusyon ay maaaring managot. Narito ang mga pangunahing pagsasaalang-alang kung ikaw ay nag-iisip ng isang sibil na kaso:
1. **Pabaya:**
- Ang isang karaniwang legal na paghahabol sa mga kaso ng sekswal na pagsasamantala ng mga kawani ay kapabayaan. Kung nabigo ang paaralan na magsagawa ng makatwirang pangangalaga sa pagkuha, pagsasanay, at pangangasiwa sa mga tauhan nito, at ang kapabayaang ito ay humantong sa pagsasamantala, ang institusyon ay maaaring managot.
2. **Vicarious Liability:**
- Ang doktrina ng vicarious liability ay maaaring ilapat, kung saan ang paaralan ay responsable para sa mga aksyon ng mga empleyado nito kung ang pagsasamantala ay naganap sa loob ng saklaw ng kanilang trabaho. Ang prinsipyong ito ay batay sa ideya na ang employer ay may pananagutan para sa mga aksyon ng mga empleyado nito sa panahon ng kanilang trabaho.
3. **Titulo IX (Estados Unidos):**
- Sa Estados Unidos, ipinagbabawal ng Title IX ng Education Amendments ng 1972 ang diskriminasyon sa kasarian, kabilang ang sekswal na panliligalig, sa mga programa at aktibidad na pang-edukasyon. Ang mga paaralan na tumatanggap ng pederal na pagpopondo ay obligadong tugunan at pigilan ang sekswal na maling pag-uugali, at ang mga biktima ay maaaring magsagawa ng legal na aksyon para sa mga paglabag.
4. **Tungkulin na Protektahan ang mga Mag-aaral:**
- Ang mga paaralan ay may tungkulin na protektahan ang mga mag-aaral mula sa pinsala, kabilang ang sekswal na pagsasamantala. Kung alam ng institusyon ang maling pag-uugali at nabigong gumawa ng naaangkop na aksyon, maaari itong managot sa paglabag sa tungkulin nitong protektahan ang mga mag-aaral.
5. **Intensyonal na Pagdudulot ng Emosyonal na Kabagabagan:**
- Sa ilang mga kaso, maaaring maghabol ang mga biktima para sa sinadyang pagpapahirap ng emosyonal na pagkabalisa, lalo na kung ang mga aksyon ng miyembro ng kawani ay sukdulan at nagdulot ng matinding emosyonal na pinsala.
6. **Statute of Limitasyon:**
- Magkaroon ng kamalayan sa batas ng mga limitasyon, na kung saan ay ang limitasyon sa panahon kung saan dapat magsampa ng kaso. Mahalagang kumunsulta kaagad sa isang abogado upang matiyak ang pagsunod sa mga hadlang sa oras na ito.
7. **Ebidensya at Dokumentasyon:**
- Idokumento ang mga insidente, panatilihin ang anumang ebidensya, at mangalap ng impormasyon na maaaring suportahan ang iyong kaso. Maaaring kabilang dito ang mga pahayag ng saksi, komunikasyon, at anumang nauugnay na mga rekord.
8. **Konsultasyon sa mga Legal na Propesyonal:**
- Kumonsulta sa isang abogado na dalubhasa sa batas sa edukasyon, mga kaso ng sekswal na pagsasamantala, o sibil na paglilitis. Maaaring gabayan ka ng isang abogado sa mga nauugnay na batas, tasahin ang lakas ng iyong kaso, at tulungan kang mag-navigate sa legal na proseso.
Kapag nagsasagawa ng legal na aksyon laban sa isang paaralan para sa sekswal na pagsasamantala ng mga kawani, mahalagang humingi ng payo sa mga legal na propesyonal na nakakaunawa sa mga kumplikado ng mga batas sa edukasyon at trabaho. Matutulungan ka ng isang abogado na maunawaan ang iyong mga karapatan, masuri ang posibilidad ng iyong kaso, at itaguyod ang hustisya para sa pinsalang dinanas mo.</v>
      </c>
      <c r="F735" s="2">
        <f t="shared" si="1"/>
        <v>0</v>
      </c>
      <c r="G735" s="2"/>
      <c r="H735" s="2"/>
      <c r="I735" s="2"/>
      <c r="J735" s="2"/>
      <c r="K735" s="2"/>
      <c r="L735" s="2"/>
      <c r="M735" s="2"/>
      <c r="N735" s="2"/>
      <c r="O735" s="2"/>
      <c r="P735" s="2"/>
      <c r="Q735" s="2"/>
      <c r="R735" s="2"/>
      <c r="S735" s="2"/>
      <c r="T735" s="2"/>
      <c r="U735" s="2"/>
      <c r="V735" s="2"/>
      <c r="W735" s="2"/>
      <c r="X735" s="2"/>
      <c r="Y735" s="2"/>
      <c r="Z735" s="2"/>
      <c r="AA735" s="2"/>
    </row>
    <row r="736">
      <c r="A736" s="3" t="s">
        <v>2010</v>
      </c>
      <c r="B736" s="1" t="s">
        <v>2421</v>
      </c>
      <c r="C736" s="1" t="s">
        <v>2422</v>
      </c>
      <c r="D736" s="1" t="s">
        <v>2423</v>
      </c>
      <c r="E736" s="2" t="str">
        <f>IFERROR(__xludf.DUMMYFUNCTION("GOOGLETRANSLATE(C736, ""en"", ""TL"")"),"Sa Pilipinas, ang proteksyon mula sa sekswal na pagsasamantala sa gig economy o freelance na trabaho ay pangunahing saklaw ng mga pangkalahatang batas at regulasyon sa paggawa, kabilang ang Labor Code of the Philippines. Bagama't maaaring walang mga parti"&amp;"kular na probisyon na tumutugon sa gig economy o trabahong freelance, ang mga sumusunod na legal na prinsipyo at balangkas ay nakakatulong sa pagprotekta sa mga indibidwal mula sa sekswal na pagsasamantala:
1. **Labor Code of the Philippines (Presidential"&amp;" Decree No. 442, as amyendahan):**
- Ang Kodigo sa Paggawa ay nagtatakda ng mga pangkalahatang pamantayan at regulasyon sa paggawa na naaangkop sa lahat ng mga relasyon sa trabaho, kabilang ang mga nasa gig economy o freelance na trabaho.
- Kabilang sa mg"&amp;"a nauugnay na probisyon ang mga regulasyon sa mga kondisyon sa pagtatrabaho, sahod, at tungkulin ng employer na magbigay ng ligtas at malusog na kapaligiran sa pagtatrabaho.
2. **Anti-Sexual Harassment Act of 1995 (Republic Act No. 7877):**
- Ipinagbabawa"&amp;"l ng batas na ito ang sekswal na panliligalig sa lugar ng trabaho, at ang mga probisyon nito ay umaabot sa iba't ibang relasyon sa trabaho, kabilang ang mga nasa gig economy o freelance na trabaho.
- Tinutukoy nito ang sekswal na panliligalig at nagpapata"&amp;"w ng mga obligasyon sa mga employer na pigilan at tugunan ang gayong pag-uugali.
3. **Mga Kasunduan at Proteksyon sa Kontrata:**
- Ang mga indibidwal na nakikibahagi sa freelance na trabaho o gig economy na mga trabaho ay maaaring pumasok sa mga kontratan"&amp;"g kasunduan na kinabibilangan ng mga sugnay na nauugnay sa propesyonal na pag-uugali, walang diskriminasyon, at pag-iwas sa panliligalig.
- Ang mga probisyong ito sa kontraktwal ay maaaring magsilbing batayan para sa legal na aksyon kung may mga pagkakata"&amp;"on ng sekswal na pagsasamantala.
4. **Equal Protection Clause (Konstitusyon ng Pilipinas, Artikulo III, Seksyon 1):**
- Ang equal protection clause ng Konstitusyon ng Pilipinas ay nagbabawal sa diskriminasyon sa iba't ibang batayan, kabilang ang kasarian."&amp;" Bagama't hindi partikular sa sekswal na pagsasamantala, nagbibigay ito ng konstitusyonal na batayan para sa proteksyon laban sa diskriminasyon.
5. **Mga Batas na Nakatuon sa Kasarian:**
- Ang mga batas na nagtataguyod ng pagkakapantay-pantay ng kasarian "&amp;"at nagpoprotekta sa mga indibidwal mula sa diskriminasyon, tulad ng Magna Carta of Women (Republic Act No. 9710), ay nakakatulong sa pangkalahatang legal na balangkas para sa pagpigil at pagtugon sa sekswal na pagsasamantala.
6. **Mga Self-Employed na Man"&amp;"ggagawa at Mga Karapatang Pantao:**
- Ang mga prinsipyo ng karapatang pantao, kabilang ang karapatang magtrabaho nang may dignidad at walang pagsasamantala, ay nalalapat sa lahat ng indibidwal, kabilang ang mga nasa self-employed o freelance na kaayusan.
"&amp;"Mahalagang tandaan na ang mga legal na proteksyon sa gig economy o freelance na trabaho ay maaaring maimpluwensyahan ng umuusbong na katangian ng mga relasyon sa trabaho. Habang ang ilang mga legal na probisyon ay karaniwang naaangkop, ang mga partikular "&amp;"na hamon ay maaaring lumitaw dahil sa desentralisado at kadalasang impormal na katangian ng gawaing gig.
Ang mga indibidwal sa gig economy o freelance na trabaho na nakakaranas ng sekswal na pagsasamantala ay dapat kumunsulta sa mga legal na propesyonal n"&amp;"a dalubhasa sa batas sa pagtatrabaho. Ang paghingi ng payo sa mga naaangkop na batas, mga proteksyong kontraktwal, at mga potensyal na legal na remedyo ay napakahalaga para sa pagtugon sa mga naturang isyu sa isang komprehensibong paraan.")</f>
        <v>Sa Pilipinas, ang proteksyon mula sa sekswal na pagsasamantala sa gig economy o freelance na trabaho ay pangunahing saklaw ng mga pangkalahatang batas at regulasyon sa paggawa, kabilang ang Labor Code of the Philippines. Bagama't maaaring walang mga partikular na probisyon na tumutugon sa gig economy o trabahong freelance, ang mga sumusunod na legal na prinsipyo at balangkas ay nakakatulong sa pagprotekta sa mga indibidwal mula sa sekswal na pagsasamantala:
1. **Labor Code of the Philippines (Presidential Decree No. 442, as amyendahan):**
- Ang Kodigo sa Paggawa ay nagtatakda ng mga pangkalahatang pamantayan at regulasyon sa paggawa na naaangkop sa lahat ng mga relasyon sa trabaho, kabilang ang mga nasa gig economy o freelance na trabaho.
- Kabilang sa mga nauugnay na probisyon ang mga regulasyon sa mga kondisyon sa pagtatrabaho, sahod, at tungkulin ng employer na magbigay ng ligtas at malusog na kapaligiran sa pagtatrabaho.
2. **Anti-Sexual Harassment Act of 1995 (Republic Act No. 7877):**
- Ipinagbabawal ng batas na ito ang sekswal na panliligalig sa lugar ng trabaho, at ang mga probisyon nito ay umaabot sa iba't ibang relasyon sa trabaho, kabilang ang mga nasa gig economy o freelance na trabaho.
- Tinutukoy nito ang sekswal na panliligalig at nagpapataw ng mga obligasyon sa mga employer na pigilan at tugunan ang gayong pag-uugali.
3. **Mga Kasunduan at Proteksyon sa Kontrata:**
- Ang mga indibidwal na nakikibahagi sa freelance na trabaho o gig economy na mga trabaho ay maaaring pumasok sa mga kontratang kasunduan na kinabibilangan ng mga sugnay na nauugnay sa propesyonal na pag-uugali, walang diskriminasyon, at pag-iwas sa panliligalig.
- Ang mga probisyong ito sa kontraktwal ay maaaring magsilbing batayan para sa legal na aksyon kung may mga pagkakataon ng sekswal na pagsasamantala.
4. **Equal Protection Clause (Konstitusyon ng Pilipinas, Artikulo III, Seksyon 1):**
- Ang equal protection clause ng Konstitusyon ng Pilipinas ay nagbabawal sa diskriminasyon sa iba't ibang batayan, kabilang ang kasarian. Bagama't hindi partikular sa sekswal na pagsasamantala, nagbibigay ito ng konstitusyonal na batayan para sa proteksyon laban sa diskriminasyon.
5. **Mga Batas na Nakatuon sa Kasarian:**
- Ang mga batas na nagtataguyod ng pagkakapantay-pantay ng kasarian at nagpoprotekta sa mga indibidwal mula sa diskriminasyon, tulad ng Magna Carta of Women (Republic Act No. 9710), ay nakakatulong sa pangkalahatang legal na balangkas para sa pagpigil at pagtugon sa sekswal na pagsasamantala.
6. **Mga Self-Employed na Manggagawa at Mga Karapatang Pantao:**
- Ang mga prinsipyo ng karapatang pantao, kabilang ang karapatang magtrabaho nang may dignidad at walang pagsasamantala, ay nalalapat sa lahat ng indibidwal, kabilang ang mga nasa self-employed o freelance na kaayusan.
Mahalagang tandaan na ang mga legal na proteksyon sa gig economy o freelance na trabaho ay maaaring maimpluwensyahan ng umuusbong na katangian ng mga relasyon sa trabaho. Habang ang ilang mga legal na probisyon ay karaniwang naaangkop, ang mga partikular na hamon ay maaaring lumitaw dahil sa desentralisado at kadalasang impormal na katangian ng gawaing gig.
Ang mga indibidwal sa gig economy o freelance na trabaho na nakakaranas ng sekswal na pagsasamantala ay dapat kumunsulta sa mga legal na propesyonal na dalubhasa sa batas sa pagtatrabaho. Ang paghingi ng payo sa mga naaangkop na batas, mga proteksyong kontraktwal, at mga potensyal na legal na remedyo ay napakahalaga para sa pagtugon sa mga naturang isyu sa isang komprehensibong paraan.</v>
      </c>
      <c r="F736" s="2">
        <f t="shared" si="1"/>
        <v>0</v>
      </c>
      <c r="G736" s="2"/>
      <c r="H736" s="2"/>
      <c r="I736" s="2"/>
      <c r="J736" s="2"/>
      <c r="K736" s="2"/>
      <c r="L736" s="2"/>
      <c r="M736" s="2"/>
      <c r="N736" s="2"/>
      <c r="O736" s="2"/>
      <c r="P736" s="2"/>
      <c r="Q736" s="2"/>
      <c r="R736" s="2"/>
      <c r="S736" s="2"/>
      <c r="T736" s="2"/>
      <c r="U736" s="2"/>
      <c r="V736" s="2"/>
      <c r="W736" s="2"/>
      <c r="X736" s="2"/>
      <c r="Y736" s="2"/>
      <c r="Z736" s="2"/>
      <c r="AA736" s="2"/>
    </row>
    <row r="737">
      <c r="A737" s="3" t="s">
        <v>2010</v>
      </c>
      <c r="B737" s="1" t="s">
        <v>2424</v>
      </c>
      <c r="C737" s="1" t="s">
        <v>2425</v>
      </c>
      <c r="D737" s="1" t="s">
        <v>2426</v>
      </c>
      <c r="E737" s="2" t="str">
        <f>IFERROR(__xludf.DUMMYFUNCTION("GOOGLETRANSLATE(C737, ""en"", ""TL"")"),"Oo, maaari kang magkaroon ng mga batayan upang idemanda ang isang kumpanya para sa hindi pagbibigay ng sapat na mga hakbang sa seguridad upang maiwasan ang sekswal na pagsasamantala. Ang mga kumpanya ay may tungkulin na tiyakin ang kaligtasan at kagalinga"&amp;"n ng kanilang mga empleyado at bisita, at ang kabiguang magpatupad ng mga makatwirang hakbang sa seguridad ay maaaring humantong sa legal na pananagutan. Narito ang mga pangunahing pagsasaalang-alang:
1. **Pabaya:**
- Ang isang karaniwang legal na paghaha"&amp;"bol sa mga ganitong kaso ay kapabayaan. Upang magtatag ng kapabayaan, karaniwang kailangan mong ipakita na ang kumpanya ay may tungkulin na magbigay ng isang ligtas na kapaligiran, nilabag ang tungkuling iyon sa pamamagitan ng pagkabigong magpatupad ng sa"&amp;"pat na mga hakbang sa seguridad, at ang paglabag ay direktang nagresulta sa pinsala.
2. **Tungkulin ng Pangangalaga:**
- Ang mga kumpanya ay may tungkulin sa pangangalaga na magbigay ng ligtas at ligtas na kapaligiran para sa mga empleyado, customer, at i"&amp;"ba pang indibidwal sa kanilang lugar. Kasama sa tungkuling ito ang paggawa ng mga makatwirang hakbang upang maiwasan ang seksuwal na pagsasamantala at iba pang uri ng pinsala.
3. **Mahuhulaan:**
- Maaaring isaalang-alang ng mga korte kung ang pinsala, kab"&amp;"ilang ang sekswal na pagsasamantala, ay nakikinita. Kung alam o dapat na alam ng kumpanya ang tungkol sa mga panganib ng naturang mga insidente at nabigong tugunan ang mga ito, pinalalakas nito ang paghahabol sa kapabayaan.
4. **Mga Panukala sa Seguridad:"&amp;"**
- Ang kasapatan ng mga hakbang sa seguridad ay mahalaga. Maaaring kabilang dito ang wastong pag-iilaw, mga sistema ng pagsubaybay, kontrol sa pag-access, at iba pang mga hakbang na naaangkop sa katangian ng negosyo at mga potensyal na panganib.
5. **Mg"&amp;"a Patakaran sa Anti-Sexual Harassment:**
- Kung ang sekswal na pagsasamantala ay nauugnay sa panliligalig sa lugar ng trabaho, ang kabiguan ng kumpanya na ipatupad o ipatupad ang mga patakaran sa anti-sexual harassment ay maaari ding maging batayan para s"&amp;"a legal na aksyon.
6. **Tungkulin sa Babala:**
- Sa ilang mga kaso, maaaring umiral ang isang tungkuling magbabala. Kung alam ng kumpanya ang mga partikular na panganib o banta, maaaring may obligasyon itong ipaalam sa mga empleyado at bisita ang tungkol "&amp;"sa mga panganib na iyon.
7. **Konsultasyon sa mga Legal na Propesyonal:**
- Napakahalagang kumunsulta sa isang abogado na dalubhasa sa pananagutan sa lugar, personal na pinsala, o batas sa pagtatrabaho. Maaaring tasahin ng isang abogado ang mga partikular"&amp;" na katotohanan ng iyong kaso, gabayan ka sa mga nauugnay na batas, at tulungan kang matukoy ang naaangkop na legal na kurso ng aksyon.
8. **Ebidensya at Dokumentasyon:**
- Idokumento ang mga insidente, panatilihin ang anumang ebidensya, at mangalap ng im"&amp;"pormasyon na maaaring suportahan ang iyong kaso. Maaaring kabilang dito ang mga talaan ng mga nakaraang insidente, pakikipag-ugnayan sa kumpanya, at anumang dokumentasyong nauugnay sa seguridad.
Mahalagang tandaan na ang mga batas at legal na pamantayan a"&amp;"y maaaring mag-iba, at ang mga partikular na kalagayan ng bawat kaso ay mahalaga sa pagtukoy ng pananagutan. Ang pagkonsulta sa mga legal na propesyonal na dalubhasa sa pananagutan sa lugar o batas sa personal na pinsala ay makakatulong sa iyong maunawaan"&amp;" ang iyong mga karapatan, masuri ang lakas ng iyong kaso, at magsagawa ng mga legal na remedyo para sa pinsalang dinanas mo.")</f>
        <v>Oo, maaari kang magkaroon ng mga batayan upang idemanda ang isang kumpanya para sa hindi pagbibigay ng sapat na mga hakbang sa seguridad upang maiwasan ang sekswal na pagsasamantala. Ang mga kumpanya ay may tungkulin na tiyakin ang kaligtasan at kagalingan ng kanilang mga empleyado at bisita, at ang kabiguang magpatupad ng mga makatwirang hakbang sa seguridad ay maaaring humantong sa legal na pananagutan. Narito ang mga pangunahing pagsasaalang-alang:
1. **Pabaya:**
- Ang isang karaniwang legal na paghahabol sa mga ganitong kaso ay kapabayaan. Upang magtatag ng kapabayaan, karaniwang kailangan mong ipakita na ang kumpanya ay may tungkulin na magbigay ng isang ligtas na kapaligiran, nilabag ang tungkuling iyon sa pamamagitan ng pagkabigong magpatupad ng sapat na mga hakbang sa seguridad, at ang paglabag ay direktang nagresulta sa pinsala.
2. **Tungkulin ng Pangangalaga:**
- Ang mga kumpanya ay may tungkulin sa pangangalaga na magbigay ng ligtas at ligtas na kapaligiran para sa mga empleyado, customer, at iba pang indibidwal sa kanilang lugar. Kasama sa tungkuling ito ang paggawa ng mga makatwirang hakbang upang maiwasan ang seksuwal na pagsasamantala at iba pang uri ng pinsala.
3. **Mahuhulaan:**
- Maaaring isaalang-alang ng mga korte kung ang pinsala, kabilang ang sekswal na pagsasamantala, ay nakikinita. Kung alam o dapat na alam ng kumpanya ang tungkol sa mga panganib ng naturang mga insidente at nabigong tugunan ang mga ito, pinalalakas nito ang paghahabol sa kapabayaan.
4. **Mga Panukala sa Seguridad:**
- Ang kasapatan ng mga hakbang sa seguridad ay mahalaga. Maaaring kabilang dito ang wastong pag-iilaw, mga sistema ng pagsubaybay, kontrol sa pag-access, at iba pang mga hakbang na naaangkop sa katangian ng negosyo at mga potensyal na panganib.
5. **Mga Patakaran sa Anti-Sexual Harassment:**
- Kung ang sekswal na pagsasamantala ay nauugnay sa panliligalig sa lugar ng trabaho, ang kabiguan ng kumpanya na ipatupad o ipatupad ang mga patakaran sa anti-sexual harassment ay maaari ding maging batayan para sa legal na aksyon.
6. **Tungkulin sa Babala:**
- Sa ilang mga kaso, maaaring umiral ang isang tungkuling magbabala. Kung alam ng kumpanya ang mga partikular na panganib o banta, maaaring may obligasyon itong ipaalam sa mga empleyado at bisita ang tungkol sa mga panganib na iyon.
7. **Konsultasyon sa mga Legal na Propesyonal:**
- Napakahalagang kumunsulta sa isang abogado na dalubhasa sa pananagutan sa lugar, personal na pinsala, o batas sa pagtatrabaho. Maaaring tasahin ng isang abogado ang mga partikular na katotohanan ng iyong kaso, gabayan ka sa mga nauugnay na batas, at tulungan kang matukoy ang naaangkop na legal na kurso ng aksyon.
8. **Ebidensya at Dokumentasyon:**
- Idokumento ang mga insidente, panatilihin ang anumang ebidensya, at mangalap ng impormasyon na maaaring suportahan ang iyong kaso. Maaaring kabilang dito ang mga talaan ng mga nakaraang insidente, pakikipag-ugnayan sa kumpanya, at anumang dokumentasyong nauugnay sa seguridad.
Mahalagang tandaan na ang mga batas at legal na pamantayan ay maaaring mag-iba, at ang mga partikular na kalagayan ng bawat kaso ay mahalaga sa pagtukoy ng pananagutan. Ang pagkonsulta sa mga legal na propesyonal na dalubhasa sa pananagutan sa lugar o batas sa personal na pinsala ay makakatulong sa iyong maunawaan ang iyong mga karapatan, masuri ang lakas ng iyong kaso, at magsagawa ng mga legal na remedyo para sa pinsalang dinanas mo.</v>
      </c>
      <c r="F737" s="2">
        <f t="shared" si="1"/>
        <v>0</v>
      </c>
      <c r="G737" s="2"/>
      <c r="H737" s="2"/>
      <c r="I737" s="2"/>
      <c r="J737" s="2"/>
      <c r="K737" s="2"/>
      <c r="L737" s="2"/>
      <c r="M737" s="2"/>
      <c r="N737" s="2"/>
      <c r="O737" s="2"/>
      <c r="P737" s="2"/>
      <c r="Q737" s="2"/>
      <c r="R737" s="2"/>
      <c r="S737" s="2"/>
      <c r="T737" s="2"/>
      <c r="U737" s="2"/>
      <c r="V737" s="2"/>
      <c r="W737" s="2"/>
      <c r="X737" s="2"/>
      <c r="Y737" s="2"/>
      <c r="Z737" s="2"/>
      <c r="AA737" s="2"/>
    </row>
    <row r="738">
      <c r="A738" s="3" t="s">
        <v>2010</v>
      </c>
      <c r="B738" s="1" t="s">
        <v>2427</v>
      </c>
      <c r="C738" s="1" t="s">
        <v>2428</v>
      </c>
      <c r="D738" s="1" t="s">
        <v>2429</v>
      </c>
      <c r="E738" s="2" t="str">
        <f>IFERROR(__xludf.DUMMYFUNCTION("GOOGLETRANSLATE(C738, ""en"", ""TL"")"),"Kung ikaw ay bina-blackmail ng isang taong sekswal na nagsasamantala sa iyo sa trabaho, mahalagang gumawa ng mga agarang hakbang upang protektahan ang iyong sarili at humingi ng tulong. Narito ang ilang inirerekomendang pagkilos:
1. **Huwag Bumigay sa Mga"&amp;" Demand:**
- Labanan ang pagsunod sa mga hinihingi ng blackmailer. Ang pagsuko ay maaaring hindi garantiya na ang pagsasamantala ay titigil, at maaari nitong higit na bigyang kapangyarihan ang blackmailer.
2. **Katibayan ng Dokumento:**
- Panatilihin ang "&amp;"anumang katibayan na may kaugnayan sa sekswal na pagsasamantala at ang blackmail. Maaaring kabilang dito ang mga text message, email, o anumang iba pang paraan ng komunikasyon. Maaaring maging mahalaga ang dokumentasyon kung magpasya kang isangkot ang pag"&amp;"papatupad ng batas o ituloy ang legal na aksyon.
3. **Humingi ng Suporta:**
- Makipag-ugnayan sa mga kaibigan, pamilya, o kasamahan na pinagkakatiwalaan mo. Ibahagi ang iyong sitwasyon sa kanila, at isaalang-alang ang paghingi ng emosyonal na suporta. Ang"&amp;" pagkakaroon ng support system ay mahalaga sa panahon ng hamon.
4. **Mag-ulat sa Mga Awtoridad:**
- Kung komportable at ligtas kang gawin ito, iulat ang sekswal na pagsasamantala at blackmail sa lokal na tagapagpatupad ng batas. Bigyan sila ng anumang ebi"&amp;"densya na iyong nakalap. Ang blackmail ay isang kriminal na pagkakasala sa maraming hurisdiksyon.
5. **Ipaalam sa Iyong Employer o HR Department:**
- Iulat ang mga insidente sa iyong employer o sa departamento ng human resources (HR). Maraming mga lugar n"&amp;"g trabaho ang may mga patakaran at pamamaraan para matugunan ang panliligalig at maling pag-uugali. Maaari silang magsagawa ng panloob na pagsisiyasat at gumawa ng naaangkop na aksyon.
6. **Kumonsulta sa isang Abogado:**
- Humingi ng legal na payo mula sa"&amp;" isang abogadong dalubhasa sa batas sa trabaho o mga kaso ng panliligalig. Maaaring gabayan ka ng isang abogado sa iyong mga legal na karapatan, tulungan kang i-navigate ang sitwasyon, at payuhan ang mga potensyal na legal na aksyon na maaari mong gawin l"&amp;"aban sa blackmailer.
7. **Isaalang-alang ang isang Restraining Order:**
- Kung sa tingin mo ay nanganganib, maaari mong tuklasin ang pagkuha ng restraining order o protection order laban sa blackmailer. Ang legal na dokumentong ito ay nagbabawal sa kanila"&amp;" na makipag-ugnayan o lumapit sa iyo.
8. **Gamitin ang Teknolohiya nang Ligtas:**
- Maging maingat tungkol sa iyong online presence. Ayusin ang iyong mga setting ng privacy sa mga platform ng social media, at isaalang-alang ang pagharang sa blackmailer up"&amp;"ang limitahan ang kanilang pag-access sa iyong personal na impormasyon.
9. **Pag-aalaga sa Sarili:**
- Tumutok sa iyong kagalingan at kalusugan ng isip. Isaalang-alang ang paghingi ng pagpapayo o therapy upang makayanan ang emosyonal na epekto ng pagsasam"&amp;"antala at blackmail.
10. **Alamin ang Iyong Mga Karapatan:**
- Pamilyar ang iyong sarili sa mga batas laban sa sekswal na panliligalig at mga patakaran sa lugar ng trabaho sa iyong nasasakupan. Ang pag-alam sa iyong mga karapatan ay maaaring magbigay ng k"&amp;"apangyarihan sa iyo na gumawa ng naaangkop na aksyon.
Tandaan, mahalagang unahin ang iyong kaligtasan at kapakanan. Kung hindi ka sigurado tungkol sa mga naaangkop na hakbang na dapat gawin, ang pagkonsulta sa isang legal na propesyonal o isang tagapagtag"&amp;"uyod ng biktima ay maaaring magbigay sa iyo ng gabay na naaayon sa iyong partikular na sitwasyon.")</f>
        <v>Kung ikaw ay bina-blackmail ng isang taong sekswal na nagsasamantala sa iyo sa trabaho, mahalagang gumawa ng mga agarang hakbang upang protektahan ang iyong sarili at humingi ng tulong. Narito ang ilang inirerekomendang pagkilos:
1. **Huwag Bumigay sa Mga Demand:**
- Labanan ang pagsunod sa mga hinihingi ng blackmailer. Ang pagsuko ay maaaring hindi garantiya na ang pagsasamantala ay titigil, at maaari nitong higit na bigyang kapangyarihan ang blackmailer.
2. **Katibayan ng Dokumento:**
- Panatilihin ang anumang katibayan na may kaugnayan sa sekswal na pagsasamantala at ang blackmail. Maaaring kabilang dito ang mga text message, email, o anumang iba pang paraan ng komunikasyon. Maaaring maging mahalaga ang dokumentasyon kung magpasya kang isangkot ang pagpapatupad ng batas o ituloy ang legal na aksyon.
3. **Humingi ng Suporta:**
- Makipag-ugnayan sa mga kaibigan, pamilya, o kasamahan na pinagkakatiwalaan mo. Ibahagi ang iyong sitwasyon sa kanila, at isaalang-alang ang paghingi ng emosyonal na suporta. Ang pagkakaroon ng support system ay mahalaga sa panahon ng hamon.
4. **Mag-ulat sa Mga Awtoridad:**
- Kung komportable at ligtas kang gawin ito, iulat ang sekswal na pagsasamantala at blackmail sa lokal na tagapagpatupad ng batas. Bigyan sila ng anumang ebidensya na iyong nakalap. Ang blackmail ay isang kriminal na pagkakasala sa maraming hurisdiksyon.
5. **Ipaalam sa Iyong Employer o HR Department:**
- Iulat ang mga insidente sa iyong employer o sa departamento ng human resources (HR). Maraming mga lugar ng trabaho ang may mga patakaran at pamamaraan para matugunan ang panliligalig at maling pag-uugali. Maaari silang magsagawa ng panloob na pagsisiyasat at gumawa ng naaangkop na aksyon.
6. **Kumonsulta sa isang Abogado:**
- Humingi ng legal na payo mula sa isang abogadong dalubhasa sa batas sa trabaho o mga kaso ng panliligalig. Maaaring gabayan ka ng isang abogado sa iyong mga legal na karapatan, tulungan kang i-navigate ang sitwasyon, at payuhan ang mga potensyal na legal na aksyon na maaari mong gawin laban sa blackmailer.
7. **Isaalang-alang ang isang Restraining Order:**
- Kung sa tingin mo ay nanganganib, maaari mong tuklasin ang pagkuha ng restraining order o protection order laban sa blackmailer. Ang legal na dokumentong ito ay nagbabawal sa kanila na makipag-ugnayan o lumapit sa iyo.
8. **Gamitin ang Teknolohiya nang Ligtas:**
- Maging maingat tungkol sa iyong online presence. Ayusin ang iyong mga setting ng privacy sa mga platform ng social media, at isaalang-alang ang pagharang sa blackmailer upang limitahan ang kanilang pag-access sa iyong personal na impormasyon.
9. **Pag-aalaga sa Sarili:**
- Tumutok sa iyong kagalingan at kalusugan ng isip. Isaalang-alang ang paghingi ng pagpapayo o therapy upang makayanan ang emosyonal na epekto ng pagsasamantala at blackmail.
10. **Alamin ang Iyong Mga Karapatan:**
- Pamilyar ang iyong sarili sa mga batas laban sa sekswal na panliligalig at mga patakaran sa lugar ng trabaho sa iyong nasasakupan. Ang pag-alam sa iyong mga karapatan ay maaaring magbigay ng kapangyarihan sa iyo na gumawa ng naaangkop na aksyon.
Tandaan, mahalagang unahin ang iyong kaligtasan at kapakanan. Kung hindi ka sigurado tungkol sa mga naaangkop na hakbang na dapat gawin, ang pagkonsulta sa isang legal na propesyonal o isang tagapagtaguyod ng biktima ay maaaring magbigay sa iyo ng gabay na naaayon sa iyong partikular na sitwasyon.</v>
      </c>
      <c r="F738" s="2">
        <f t="shared" si="1"/>
        <v>0</v>
      </c>
      <c r="G738" s="2"/>
      <c r="H738" s="2"/>
      <c r="I738" s="2"/>
      <c r="J738" s="2"/>
      <c r="K738" s="2"/>
      <c r="L738" s="2"/>
      <c r="M738" s="2"/>
      <c r="N738" s="2"/>
      <c r="O738" s="2"/>
      <c r="P738" s="2"/>
      <c r="Q738" s="2"/>
      <c r="R738" s="2"/>
      <c r="S738" s="2"/>
      <c r="T738" s="2"/>
      <c r="U738" s="2"/>
      <c r="V738" s="2"/>
      <c r="W738" s="2"/>
      <c r="X738" s="2"/>
      <c r="Y738" s="2"/>
      <c r="Z738" s="2"/>
      <c r="AA738" s="2"/>
    </row>
    <row r="739">
      <c r="A739" s="3" t="s">
        <v>2010</v>
      </c>
      <c r="B739" s="1" t="s">
        <v>2430</v>
      </c>
      <c r="C739" s="1" t="s">
        <v>2431</v>
      </c>
      <c r="D739" s="1" t="s">
        <v>2432</v>
      </c>
      <c r="E739" s="2" t="str">
        <f>IFERROR(__xludf.DUMMYFUNCTION("GOOGLETRANSLATE(C739, ""en"", ""TL"")"),"Oo, maaari kang humingi ng kabayaran para sa nawalang sahod kung kailangan mong huminto sa iyong trabaho dahil sa sekswal na pagsasamantala. Sa mga sitwasyon kung saan ang sekswal na pagsasamantala sa lugar ng trabaho ay nagpipilit sa isang empleyado na m"&amp;"agbitiw, ang biktima ay maaaring may legal na batayan upang ituloy ang mga pinsala, kabilang ang nawalang sahod. Narito ang ilang mga pagsasaalang-alang:
1. **Constructive Discharge:**
- Ang constructive discharge ay nangyayari kapag ang isang empleyado a"&amp;"y napilitang magbitiw dahil sa hindi matitiis na mga kondisyon sa pagtatrabaho, tulad ng sekswal na pagsasamantala o panliligalig. Kung maaari mong ipakita na ang pagsasamantala ay lumikha ng isang masamang kapaligiran sa trabaho at naging isang mahalagan"&amp;"g kadahilanan sa iyong desisyon na huminto, maaari kang magkaroon ng batayan para sa isang legal na paghahabol.
2. **Mga Batas na Anti-Sexual Harassment:**
- Ang mga batas laban sa sekswal na panliligalig, tulad ng Anti-Sexual Harassment Act of 1995 (Repu"&amp;"blic Act No. 7877) sa Pilipinas, ay kadalasang nagbibigay ng mga remedyo para sa mga biktima. Ang kabayaran para sa nawalang sahod ay maaaring isama bilang bahagi ng isang legal na paghahabol sa ilalim ng mga batas na ito.
3. **Konsultasyon sa mga Legal n"&amp;"a Propesyonal:**
- Kumonsulta sa isang abogado na dalubhasa sa batas sa pagtatrabaho o mga kaso ng sexual harassment. Maaaring tasahin ng isang abogado ang mga partikular na katotohanan ng iyong kaso, gabayan ka sa mga nauugnay na batas, at tulungan kang "&amp;"matukoy ang naaangkop na legal na kurso ng aksyon, kabilang ang paghingi ng kabayaran para sa nawalang sahod.
4. **Pagdodokumento sa Panliligalig:**
- Panatilihin ang anumang katibayan ng sekswal na pagsasamantala o panliligalig, tulad ng mga email, mensa"&amp;"he, o mga pahayag ng saksi. Maaaring palakasin ng dokumentasyon ang iyong kaso at suportahan ang iyong paghahabol para sa nawalang sahod.
5. **Pagbawas ng mga Pinsala:**
- Sa mga legal na termino, mayroon kang tungkulin na pagaanin ang iyong mga pinsala. "&amp;"Nangangahulugan ito ng paggawa ng mga makatwirang hakbang upang mabawasan ang pinansiyal na epekto ng pagsasamantala, tulad ng paghahanap ng alternatibong trabaho. Kung makakita ka ng bagong trabaho, maaaring mabawi ng kabayaran mula sa trabahong iyon ang"&amp;" halagang maaari mong i-claim para sa nawalang sahod.
6. **Pag-uulat sa Mga Awtoridad:**
- Kung ang sekswal na pagsasamantala ay nagsasangkot ng kriminal na pag-uugali, isaalang-alang ang pag-uulat ng insidente sa tagapagpatupad ng batas. Ang mga kasong k"&amp;"riminal laban sa mga responsableng indibidwal ay maaaring ituloy nang independyente sa isang sibil na kaso.
7. **Statute of Limitasyon:**
- Magkaroon ng kamalayan sa batas ng mga limitasyon para sa pagsasampa ng kaso. Kumonsulta sa iyong abogado upang mat"&amp;"iyak na nag-file ka sa loob ng legal na iniresetang takdang panahon.
Ang paghingi ng kabayaran para sa nawalang sahod dahil sa seksuwal na pagsasamantala ay isang kumplikadong legal na proseso, at ang tagumpay ng iyong paghahabol ay maaaring depende sa ib"&amp;"a't ibang salik. Ang pagkonsulta sa isang legal na propesyonal na dalubhasa sa batas sa pagtatrabaho o mga kaso ng sexual harassment ay makakatulong sa iyong maunawaan ang iyong mga karapatan, masuri ang lakas ng iyong kaso, at ituloy ang naaangkop na mga"&amp;" legal na remedyo para sa pinsalang dinanas mo.")</f>
        <v>Oo, maaari kang humingi ng kabayaran para sa nawalang sahod kung kailangan mong huminto sa iyong trabaho dahil sa sekswal na pagsasamantala. Sa mga sitwasyon kung saan ang sekswal na pagsasamantala sa lugar ng trabaho ay nagpipilit sa isang empleyado na magbitiw, ang biktima ay maaaring may legal na batayan upang ituloy ang mga pinsala, kabilang ang nawalang sahod. Narito ang ilang mga pagsasaalang-alang:
1. **Constructive Discharge:**
- Ang constructive discharge ay nangyayari kapag ang isang empleyado ay napilitang magbitiw dahil sa hindi matitiis na mga kondisyon sa pagtatrabaho, tulad ng sekswal na pagsasamantala o panliligalig. Kung maaari mong ipakita na ang pagsasamantala ay lumikha ng isang masamang kapaligiran sa trabaho at naging isang mahalagang kadahilanan sa iyong desisyon na huminto, maaari kang magkaroon ng batayan para sa isang legal na paghahabol.
2. **Mga Batas na Anti-Sexual Harassment:**
- Ang mga batas laban sa sekswal na panliligalig, tulad ng Anti-Sexual Harassment Act of 1995 (Republic Act No. 7877) sa Pilipinas, ay kadalasang nagbibigay ng mga remedyo para sa mga biktima. Ang kabayaran para sa nawalang sahod ay maaaring isama bilang bahagi ng isang legal na paghahabol sa ilalim ng mga batas na ito.
3. **Konsultasyon sa mga Legal na Propesyonal:**
- Kumonsulta sa isang abogado na dalubhasa sa batas sa pagtatrabaho o mga kaso ng sexual harassment. Maaaring tasahin ng isang abogado ang mga partikular na katotohanan ng iyong kaso, gabayan ka sa mga nauugnay na batas, at tulungan kang matukoy ang naaangkop na legal na kurso ng aksyon, kabilang ang paghingi ng kabayaran para sa nawalang sahod.
4. **Pagdodokumento sa Panliligalig:**
- Panatilihin ang anumang katibayan ng sekswal na pagsasamantala o panliligalig, tulad ng mga email, mensahe, o mga pahayag ng saksi. Maaaring palakasin ng dokumentasyon ang iyong kaso at suportahan ang iyong paghahabol para sa nawalang sahod.
5. **Pagbawas ng mga Pinsala:**
- Sa mga legal na termino, mayroon kang tungkulin na pagaanin ang iyong mga pinsala. Nangangahulugan ito ng paggawa ng mga makatwirang hakbang upang mabawasan ang pinansiyal na epekto ng pagsasamantala, tulad ng paghahanap ng alternatibong trabaho. Kung makakita ka ng bagong trabaho, maaaring mabawi ng kabayaran mula sa trabahong iyon ang halagang maaari mong i-claim para sa nawalang sahod.
6. **Pag-uulat sa Mga Awtoridad:**
- Kung ang sekswal na pagsasamantala ay nagsasangkot ng kriminal na pag-uugali, isaalang-alang ang pag-uulat ng insidente sa tagapagpatupad ng batas. Ang mga kasong kriminal laban sa mga responsableng indibidwal ay maaaring ituloy nang independyente sa isang sibil na kaso.
7. **Statute of Limitasyon:**
- Magkaroon ng kamalayan sa batas ng mga limitasyon para sa pagsasampa ng kaso. Kumonsulta sa iyong abogado upang matiyak na nag-file ka sa loob ng legal na iniresetang takdang panahon.
Ang paghingi ng kabayaran para sa nawalang sahod dahil sa seksuwal na pagsasamantala ay isang kumplikadong legal na proseso, at ang tagumpay ng iyong paghahabol ay maaaring depende sa iba't ibang salik. Ang pagkonsulta sa isang legal na propesyonal na dalubhasa sa batas sa pagtatrabaho o mga kaso ng sexual harassment ay makakatulong sa iyong maunawaan ang iyong mga karapatan, masuri ang lakas ng iyong kaso, at ituloy ang naaangkop na mga legal na remedyo para sa pinsalang dinanas mo.</v>
      </c>
      <c r="F739" s="2">
        <f t="shared" si="1"/>
        <v>0</v>
      </c>
      <c r="G739" s="2"/>
      <c r="H739" s="2"/>
      <c r="I739" s="2"/>
      <c r="J739" s="2"/>
      <c r="K739" s="2"/>
      <c r="L739" s="2"/>
      <c r="M739" s="2"/>
      <c r="N739" s="2"/>
      <c r="O739" s="2"/>
      <c r="P739" s="2"/>
      <c r="Q739" s="2"/>
      <c r="R739" s="2"/>
      <c r="S739" s="2"/>
      <c r="T739" s="2"/>
      <c r="U739" s="2"/>
      <c r="V739" s="2"/>
      <c r="W739" s="2"/>
      <c r="X739" s="2"/>
      <c r="Y739" s="2"/>
      <c r="Z739" s="2"/>
      <c r="AA739" s="2"/>
    </row>
    <row r="740">
      <c r="A740" s="3" t="s">
        <v>2010</v>
      </c>
      <c r="B740" s="1" t="s">
        <v>2433</v>
      </c>
      <c r="C740" s="1" t="s">
        <v>2434</v>
      </c>
      <c r="D740" s="1" t="s">
        <v>2435</v>
      </c>
      <c r="E740" s="2" t="str">
        <f>IFERROR(__xludf.DUMMYFUNCTION("GOOGLETRANSLATE(C740, ""en"", ""TL"")"),"Sa Pilipinas, ang mga indibidwal na nakakaranas ng seksuwal na pagsasamantala habang nakikilahok sa boluntaryong gawain ay maaaring magkaroon ng legal na proteksyon sa ilalim ng iba't ibang batas at regulasyon. Bagama't maaaring walang mga partikular na p"&amp;"robisyon na eksklusibong tumutugon sa sekswal na pagsasamantala sa mga setting ng boluntaryo, maaaring may kaugnayan ang ilang mas malawak na legal na prinsipyo:
1. **Anti-Sexual Harassment Act of 1995 (Republic Act No. 7877):**
- Ipinagbabawal ng batas n"&amp;"a ito ang sekswal na panliligalig sa lugar ng trabaho, na sumasaklaw sa iba't ibang mga setting, kabilang ang boluntaryong trabaho. Ang mga indibidwal na nakikibahagi sa mga aktibidad ng boluntaryo ay may karapatang maging malaya mula sa hindi kanais-nais"&amp;" na mga sekswal na pagsulong o pag-uugali.
2. **Mga Batas sa Kasarian at Pag-unlad (GAD):**
- Ang mga batas at patakaran ng Kasarian at Pag-unlad ay naglalayong tugunan ang diskriminasyong nakabatay sa kasarian at itaguyod ang pagkakapantay-pantay. Ang mg"&amp;"a boluntaryo, tulad ng ibang mga indibidwal, ay may karapatan sa proteksyon mula sa sekswal na pagsasamantala sa ilalim ng mga batas na ito.
3. **Mga Batas sa Proteksyon ng Bata:**
- Kung ang boluntaryo ay nagsasangkot ng trabaho sa mga bata, ang mga bata"&amp;"s sa proteksyon ng bata, tulad ng Republic Act No. 7610 (Special Protection of Children Against Abuse, Exploitation and Discrimination Act), ay nagbibigay ng mga partikular na proteksyon laban sa sekswal na pagsasamantala sa mga menor de edad.
4. **Sibil "&amp;"na Kodigo ng Pilipinas:**
- Ang mga pangkalahatang legal na prinsipyo sa ilalim ng Civil Code ay maaaring naaangkop, kabilang ang karapatan sa pagkapribado at ang karapatang maging malaya sa pinsala. Ang mga gawaing sekswal na pagsasamantala ay maaaring s"&amp;"umailalim sa legal na aksyon sa ilalim ng mga prinsipyong ito.
5. **Kodigo sa Paggawa ng Pilipinas:**
- Bagama't ang Kodigo sa Paggawa ay pangunahing nalalapat sa mga relasyon ng employer-empleyado, ang ilang mga probisyon ay maaaring may kaugnayan sa mga"&amp;" kaso na kinasasangkutan ng mga boluntaryo, lalo na kung may mga elemento ng kontrol o pangangasiwa na katulad ng isang relasyon sa trabaho.
6. **Mga Batas sa Kriminal:**
- Ang mga gawaing sekswal na pagsasamantala ay maaaring sumailalim sa kriminal na pa"&amp;"g-uusig sa ilalim ng mga nauugnay na batas na kriminal, tulad ng mga tumutugon sa sekswal na pag-atake, panliligalig, o pang-aabuso.
7. **Mga Patakaran ng Mga Volunteer Organization:**
- Maraming mga boluntaryong organisasyon ang may panloob na mga pataka"&amp;"ran at mga code ng pag-uugali na tumutugon sa sekswal na pagsasamantala at panliligalig. Ang mga mekanismo ng pag-uulat at mga serbisyo ng suporta ay maaaring makuha sa pamamagitan ng mga organisasyong ito.
8. **Mga Prinsipyo sa Karapatang Pantao:**
- Ang"&amp;" mga prinsipyo ng karapatang pantao, kabilang ang karapatang maging malaya sa diskriminasyon at karahasan, ay nalalapat sa lahat ng indibidwal, anuman ang kanilang katayuan bilang boluntaryo. Ang mga paglabag sa mga prinsipyong ito ay maaaring sumailalim "&amp;"sa legal na aksyon.
Kung ikaw o isang taong kilala mo ay nakaranas ng sekswal na pagsasamantala habang nakikilahok sa boluntaryong gawain, mahalagang kumunsulta sa mga legal na propesyonal na dalubhasa sa mga karapatang pantao, mga isyu sa kasarian, o mga"&amp;" kaso ng sekswal na panliligalig. Ang pag-uulat ng insidente sa mga kaugnay na awtoridad, kapwa sa loob ng organisasyon at tagapagpatupad ng batas, ay maaaring kailanganin upang matugunan ang sitwasyon at humingi ng hustisya. Bukod pa rito, ang paghingi n"&amp;"g patnubay mula sa mga organisasyong pangsuporta at tagapagtaguyod ay maaaring magbigay ng tulong sa pag-navigate sa legal na proseso.")</f>
        <v>Sa Pilipinas, ang mga indibidwal na nakakaranas ng seksuwal na pagsasamantala habang nakikilahok sa boluntaryong gawain ay maaaring magkaroon ng legal na proteksyon sa ilalim ng iba't ibang batas at regulasyon. Bagama't maaaring walang mga partikular na probisyon na eksklusibong tumutugon sa sekswal na pagsasamantala sa mga setting ng boluntaryo, maaaring may kaugnayan ang ilang mas malawak na legal na prinsipyo:
1. **Anti-Sexual Harassment Act of 1995 (Republic Act No. 7877):**
- Ipinagbabawal ng batas na ito ang sekswal na panliligalig sa lugar ng trabaho, na sumasaklaw sa iba't ibang mga setting, kabilang ang boluntaryong trabaho. Ang mga indibidwal na nakikibahagi sa mga aktibidad ng boluntaryo ay may karapatang maging malaya mula sa hindi kanais-nais na mga sekswal na pagsulong o pag-uugali.
2. **Mga Batas sa Kasarian at Pag-unlad (GAD):**
- Ang mga batas at patakaran ng Kasarian at Pag-unlad ay naglalayong tugunan ang diskriminasyong nakabatay sa kasarian at itaguyod ang pagkakapantay-pantay. Ang mga boluntaryo, tulad ng ibang mga indibidwal, ay may karapatan sa proteksyon mula sa sekswal na pagsasamantala sa ilalim ng mga batas na ito.
3. **Mga Batas sa Proteksyon ng Bata:**
- Kung ang boluntaryo ay nagsasangkot ng trabaho sa mga bata, ang mga batas sa proteksyon ng bata, tulad ng Republic Act No. 7610 (Special Protection of Children Against Abuse, Exploitation and Discrimination Act), ay nagbibigay ng mga partikular na proteksyon laban sa sekswal na pagsasamantala sa mga menor de edad.
4. **Sibil na Kodigo ng Pilipinas:**
- Ang mga pangkalahatang legal na prinsipyo sa ilalim ng Civil Code ay maaaring naaangkop, kabilang ang karapatan sa pagkapribado at ang karapatang maging malaya sa pinsala. Ang mga gawaing sekswal na pagsasamantala ay maaaring sumailalim sa legal na aksyon sa ilalim ng mga prinsipyong ito.
5. **Kodigo sa Paggawa ng Pilipinas:**
- Bagama't ang Kodigo sa Paggawa ay pangunahing nalalapat sa mga relasyon ng employer-empleyado, ang ilang mga probisyon ay maaaring may kaugnayan sa mga kaso na kinasasangkutan ng mga boluntaryo, lalo na kung may mga elemento ng kontrol o pangangasiwa na katulad ng isang relasyon sa trabaho.
6. **Mga Batas sa Kriminal:**
- Ang mga gawaing sekswal na pagsasamantala ay maaaring sumailalim sa kriminal na pag-uusig sa ilalim ng mga nauugnay na batas na kriminal, tulad ng mga tumutugon sa sekswal na pag-atake, panliligalig, o pang-aabuso.
7. **Mga Patakaran ng Mga Volunteer Organization:**
- Maraming mga boluntaryong organisasyon ang may panloob na mga patakaran at mga code ng pag-uugali na tumutugon sa sekswal na pagsasamantala at panliligalig. Ang mga mekanismo ng pag-uulat at mga serbisyo ng suporta ay maaaring makuha sa pamamagitan ng mga organisasyong ito.
8. **Mga Prinsipyo sa Karapatang Pantao:**
- Ang mga prinsipyo ng karapatang pantao, kabilang ang karapatang maging malaya sa diskriminasyon at karahasan, ay nalalapat sa lahat ng indibidwal, anuman ang kanilang katayuan bilang boluntaryo. Ang mga paglabag sa mga prinsipyong ito ay maaaring sumailalim sa legal na aksyon.
Kung ikaw o isang taong kilala mo ay nakaranas ng sekswal na pagsasamantala habang nakikilahok sa boluntaryong gawain, mahalagang kumunsulta sa mga legal na propesyonal na dalubhasa sa mga karapatang pantao, mga isyu sa kasarian, o mga kaso ng sekswal na panliligalig. Ang pag-uulat ng insidente sa mga kaugnay na awtoridad, kapwa sa loob ng organisasyon at tagapagpatupad ng batas, ay maaaring kailanganin upang matugunan ang sitwasyon at humingi ng hustisya. Bukod pa rito, ang paghingi ng patnubay mula sa mga organisasyong pangsuporta at tagapagtaguyod ay maaaring magbigay ng tulong sa pag-navigate sa legal na proseso.</v>
      </c>
      <c r="F740" s="2">
        <f t="shared" si="1"/>
        <v>0</v>
      </c>
      <c r="G740" s="2"/>
      <c r="H740" s="2"/>
      <c r="I740" s="2"/>
      <c r="J740" s="2"/>
      <c r="K740" s="2"/>
      <c r="L740" s="2"/>
      <c r="M740" s="2"/>
      <c r="N740" s="2"/>
      <c r="O740" s="2"/>
      <c r="P740" s="2"/>
      <c r="Q740" s="2"/>
      <c r="R740" s="2"/>
      <c r="S740" s="2"/>
      <c r="T740" s="2"/>
      <c r="U740" s="2"/>
      <c r="V740" s="2"/>
      <c r="W740" s="2"/>
      <c r="X740" s="2"/>
      <c r="Y740" s="2"/>
      <c r="Z740" s="2"/>
      <c r="AA740" s="2"/>
    </row>
    <row r="741">
      <c r="A741" s="3" t="s">
        <v>2010</v>
      </c>
      <c r="B741" s="1" t="s">
        <v>2436</v>
      </c>
      <c r="C741" s="1" t="s">
        <v>2437</v>
      </c>
      <c r="D741" s="1" t="s">
        <v>2438</v>
      </c>
      <c r="E741" s="2" t="str">
        <f>IFERROR(__xludf.DUMMYFUNCTION("GOOGLETRANSLATE(C741, ""en"", ""TL"")"),"Oo, maaari kang magkaroon ng mga batayan upang idemanda ang isang kumpanya para sa kapabayaan na pangangasiwa sa mga empleyado na nasangkot sa sekswal na pagsasamantala. Ang kapabayaan na pangangasiwa ay isang legal na paghahabol na lumitaw kapag ang isan"&amp;"g tagapag-empleyo ay nabigo na gumamit ng makatwirang pangangalaga sa pangangasiwa at pagsubaybay sa mga empleyado nito, na humahantong sa pinsala o maling pag-uugali. Narito ang mga pangunahing pagsasaalang-alang:
1. **Pabaya na Pangangasiwa:**
- Ang kap"&amp;"abayaan na pangangasiwa ay isang paghahabol na nakabatay sa saligan na ang tagapag-empleyo ay may tungkulin na pangasiwaan ang mga empleyado nito, nabigong tuparin ang tungkuling iyon, at, bilang resulta, ang mga empleyado ay nasangkot sa mapaminsalang pa"&amp;"g-uugali tulad ng sekswal na pagsasamantala.
2. **Tungkulin ng Pangangalaga:**
- Ang mga tagapag-empleyo ay may tungkulin ng pangangalaga na magbigay ng ligtas at ligtas na lugar ng trabaho para sa kanilang mga empleyado. Kasama sa tungkuling ito ang pagg"&amp;"awa ng mga makatwirang hakbang upang maiwasan o matugunan ang maling pag-uugali, kabilang ang sekswal na pagsasamantala ng mga empleyado.
3. **Mahuhulaan:**
- Ang foreseeability ay kadalasang mahalagang elemento sa kapabayaan na mga claim sa pangangasiwa."&amp;" Kung alam o dapat na alam ng employer ang tungkol sa panganib ng sekswal na pagsasamantala ng mga empleyado nito at nabigong gumawa ng naaangkop na aksyon, maaari nitong palakasin ang paghahabol.
4. **Mga Patakaran at Pagsasanay ng Kumpanya:**
- Ang pagk"&amp;"akaroon at pagpapatupad ng mga patakaran ng kumpanya na tumutugon sa pag-uugali sa lugar ng trabaho, panliligalig, at mga mekanismo ng pag-uulat ay maaaring maging mahalaga sa pagsusuri sa antas ng pangangasiwa ng employer. Mahalaga rin ang sapat na pagsa"&amp;"sanay sa mga patakarang ito.
5. **Maagap na Tugon sa Mga Reklamo:**
- Kung ang tagapag-empleyo ay nakatanggap ng mga reklamo o may kaalaman sa hindi naaangkop na pag-uugali, ang pagkabigo sa kaagad at epektibong pagtugon ay maaaring mag-ambag sa isang pag"&amp;"hahabol ng kapabayaan na pangangasiwa.
6. **Konsultasyon sa isang Abugado:**
- Napakahalagang kumunsulta sa isang abogado na dalubhasa sa batas sa pagtatrabaho o panliligalig sa lugar ng trabaho. Maaaring tasahin ng isang abogado ang mga partikular na kat"&amp;"otohanan ng iyong kaso, gabayan ka sa mga nauugnay na batas, at tulungan kang matukoy ang naaangkop na legal na kurso ng aksyon.
7. **Ebidensya at Dokumentasyon:**
- Idokumento ang mga pagkakataon ng sekswal na pagsasamantala, panliligalig, o anumang iba "&amp;"pang mga kadahilanan na maaaring may kaugnayan sa pag-angkin ng kapabayaan na pangangasiwa. Ang dokumentasyong ito ay maaaring magsilbing mahalagang ebidensya sa isang legal na paghahabol.
8. **Legal na Responsibilidad ng Employer:**
- Ang mga employer ay"&amp;" legal na responsable para sa mga aksyon ng kanilang mga empleyado sa loob ng saklaw ng trabaho. Kung ang sekswal na pagsasamantala ay nangyari sa panahon ng mga aktibidad na may kaugnayan sa trabaho o sa lugar ng trabaho, ang employer ay maaaring managot"&amp;".
9. **Statute of Limitasyon:**
- Magkaroon ng kamalayan sa batas ng mga limitasyon, na kung saan ay ang limitasyon sa panahon kung saan dapat magsampa ng kaso. Kumonsulta kaagad sa isang abogado upang matiyak ang pagsunod sa mga hadlang sa oras na ito.
A"&amp;"ng mga paghahabol sa kapabayaan sa pangangasiwa ay maaaring maging kumplikado, at ang resulta ay maaaring depende sa mga partikular na katotohanan ng kaso. Ang paghingi ng legal na payo mula sa isang may karanasang abogado sa batas sa pagtatrabaho ay maha"&amp;"laga upang maunawaan ang iyong mga karapatan, masuri ang lakas ng iyong kaso, at ituloy ang naaangkop na mga legal na remedyo para sa pinsalang natamo mo dahil sa di-umano'y kapabayaan ng kumpanya.")</f>
        <v>Oo, maaari kang magkaroon ng mga batayan upang idemanda ang isang kumpanya para sa kapabayaan na pangangasiwa sa mga empleyado na nasangkot sa sekswal na pagsasamantala. Ang kapabayaan na pangangasiwa ay isang legal na paghahabol na lumitaw kapag ang isang tagapag-empleyo ay nabigo na gumamit ng makatwirang pangangalaga sa pangangasiwa at pagsubaybay sa mga empleyado nito, na humahantong sa pinsala o maling pag-uugali. Narito ang mga pangunahing pagsasaalang-alang:
1. **Pabaya na Pangangasiwa:**
- Ang kapabayaan na pangangasiwa ay isang paghahabol na nakabatay sa saligan na ang tagapag-empleyo ay may tungkulin na pangasiwaan ang mga empleyado nito, nabigong tuparin ang tungkuling iyon, at, bilang resulta, ang mga empleyado ay nasangkot sa mapaminsalang pag-uugali tulad ng sekswal na pagsasamantala.
2. **Tungkulin ng Pangangalaga:**
- Ang mga tagapag-empleyo ay may tungkulin ng pangangalaga na magbigay ng ligtas at ligtas na lugar ng trabaho para sa kanilang mga empleyado. Kasama sa tungkuling ito ang paggawa ng mga makatwirang hakbang upang maiwasan o matugunan ang maling pag-uugali, kabilang ang sekswal na pagsasamantala ng mga empleyado.
3. **Mahuhulaan:**
- Ang foreseeability ay kadalasang mahalagang elemento sa kapabayaan na mga claim sa pangangasiwa. Kung alam o dapat na alam ng employer ang tungkol sa panganib ng sekswal na pagsasamantala ng mga empleyado nito at nabigong gumawa ng naaangkop na aksyon, maaari nitong palakasin ang paghahabol.
4. **Mga Patakaran at Pagsasanay ng Kumpanya:**
- Ang pagkakaroon at pagpapatupad ng mga patakaran ng kumpanya na tumutugon sa pag-uugali sa lugar ng trabaho, panliligalig, at mga mekanismo ng pag-uulat ay maaaring maging mahalaga sa pagsusuri sa antas ng pangangasiwa ng employer. Mahalaga rin ang sapat na pagsasanay sa mga patakarang ito.
5. **Maagap na Tugon sa Mga Reklamo:**
- Kung ang tagapag-empleyo ay nakatanggap ng mga reklamo o may kaalaman sa hindi naaangkop na pag-uugali, ang pagkabigo sa kaagad at epektibong pagtugon ay maaaring mag-ambag sa isang paghahabol ng kapabayaan na pangangasiwa.
6. **Konsultasyon sa isang Abugado:**
- Napakahalagang kumunsulta sa isang abogado na dalubhasa sa batas sa pagtatrabaho o panliligalig sa lugar ng trabaho. Maaaring tasahin ng isang abogado ang mga partikular na katotohanan ng iyong kaso, gabayan ka sa mga nauugnay na batas, at tulungan kang matukoy ang naaangkop na legal na kurso ng aksyon.
7. **Ebidensya at Dokumentasyon:**
- Idokumento ang mga pagkakataon ng sekswal na pagsasamantala, panliligalig, o anumang iba pang mga kadahilanan na maaaring may kaugnayan sa pag-angkin ng kapabayaan na pangangasiwa. Ang dokumentasyong ito ay maaaring magsilbing mahalagang ebidensya sa isang legal na paghahabol.
8. **Legal na Responsibilidad ng Employer:**
- Ang mga employer ay legal na responsable para sa mga aksyon ng kanilang mga empleyado sa loob ng saklaw ng trabaho. Kung ang sekswal na pagsasamantala ay nangyari sa panahon ng mga aktibidad na may kaugnayan sa trabaho o sa lugar ng trabaho, ang employer ay maaaring managot.
9. **Statute of Limitasyon:**
- Magkaroon ng kamalayan sa batas ng mga limitasyon, na kung saan ay ang limitasyon sa panahon kung saan dapat magsampa ng kaso. Kumonsulta kaagad sa isang abogado upang matiyak ang pagsunod sa mga hadlang sa oras na ito.
Ang mga paghahabol sa kapabayaan sa pangangasiwa ay maaaring maging kumplikado, at ang resulta ay maaaring depende sa mga partikular na katotohanan ng kaso. Ang paghingi ng legal na payo mula sa isang may karanasang abogado sa batas sa pagtatrabaho ay mahalaga upang maunawaan ang iyong mga karapatan, masuri ang lakas ng iyong kaso, at ituloy ang naaangkop na mga legal na remedyo para sa pinsalang natamo mo dahil sa di-umano'y kapabayaan ng kumpanya.</v>
      </c>
      <c r="F741" s="2">
        <f t="shared" si="1"/>
        <v>0</v>
      </c>
      <c r="G741" s="2"/>
      <c r="H741" s="2"/>
      <c r="I741" s="2"/>
      <c r="J741" s="2"/>
      <c r="K741" s="2"/>
      <c r="L741" s="2"/>
      <c r="M741" s="2"/>
      <c r="N741" s="2"/>
      <c r="O741" s="2"/>
      <c r="P741" s="2"/>
      <c r="Q741" s="2"/>
      <c r="R741" s="2"/>
      <c r="S741" s="2"/>
      <c r="T741" s="2"/>
      <c r="U741" s="2"/>
      <c r="V741" s="2"/>
      <c r="W741" s="2"/>
      <c r="X741" s="2"/>
      <c r="Y741" s="2"/>
      <c r="Z741" s="2"/>
      <c r="AA741" s="2"/>
    </row>
    <row r="742">
      <c r="A742" s="3" t="s">
        <v>2010</v>
      </c>
      <c r="B742" s="1" t="s">
        <v>2439</v>
      </c>
      <c r="C742" s="1" t="s">
        <v>2440</v>
      </c>
      <c r="D742" s="1" t="s">
        <v>2441</v>
      </c>
      <c r="E742" s="2" t="str">
        <f>IFERROR(__xludf.DUMMYFUNCTION("GOOGLETRANSLATE(C742, ""en"", ""TL"")"),"Sa mga sitwasyon kung saan ang biktima ay walang kakayahan o hindi pumayag, karaniwang tinutugunan ng mga batas ang sekswal na pagsasamantala bilang isang malubhang pagkakasala. Ang eksaktong legal na mga probisyon ay maaaring mag-iba depende sa hurisdiks"&amp;"yon, ngunit ang mga karaniwang prinsipyo ay kinabibilangan ng:
1. **Mga Batas sa Sekswal na Pag-atake:**
- Karamihan sa mga hurisdiksyon ay may mga batas na tumutukoy at nagsasakriminal sa sekswal na pag-atake. Ang mga sekswal na gawain na walang wastong "&amp;"pahintulot, lalo na kapag ang biktima ay may kapansanan o hindi makapagbigay ng pahintulot dahil sa pagkalasing, kapansanan, o iba pang mga kadahilanan, ay maaaring bumuo ng sekswal na pag-atake.
2. **Kawalan ng kakayahan at Kawalan ng Pahintulot:**
- Mad"&amp;"alas na tinutukoy ng mga batas na ang pakikipagtalik sa isang taong walang kakayahan o walang malay ay isang krimen, anuman ang relasyon sa pagitan ng mga partido.
3. **Mga Batas sa Batas sa Panggagahasa:**
- Ang mga batas sa panggagahasa ayon sa batas ay"&amp;" tumutugon sa mga sitwasyon kung saan ang isang partido ay wala pang edad ng pagpayag. Ang mga batas na ito ay maaari pa ring ilapat kahit na ang biktima ay hindi makapagbigay ng legal na pahintulot dahil sa edad.
4. **Di-kusang Pagkalasing:**
- Kinikilal"&amp;"a ng ilang hurisdiksyon ang hindi sinasadyang pagkalasing bilang isang depensa. Kung ang pinaghihinalaang salarin ay sadyang lasing ang biktima upang mapadali ang pagsasamantalang sekswal, maaari itong ituring na isang kriminal na pagkakasala.
5. **Pahint"&amp;"ulot at Kapasidad:**
- Ang mga batas ay karaniwang nangangailangan ng wasto at boluntaryong pahintulot para sa anumang sekswal na aktibidad. Kung ang biktima ay walang kakayahan, natutulog, walang malay, o kung hindi man ay hindi makapagbigay ng makabuluh"&amp;"ang pahintulot, anumang sekswal na aktibidad sa ilalim ng gayong mga pangyayari ay maaaring ituring na hindi pinagkasunduan at, samakatuwid, labag sa batas.
6. **Mga Parusa sa Kriminal:**
- Ang seksuwal na pagsasamantala sa mga sitwasyong kinasasangkutan "&amp;"ng kawalan ng kakayahan o kawalan ng pahintulot ay kadalasang itinuturing na isang kriminal na pagkakasala, na humahantong sa mga parusa gaya ng pagkakulong, multa, at pagpaparehistro bilang isang sex offender.
7. **Kawalan ng kakayahan sa pag-iisip:**
- "&amp;"Maaari ding tugunan ng mga batas ang mga sitwasyon kung saan ang biktima ay may kapansanan sa pag-iisip dahil sa isang pansamantala o permanenteng kondisyon sa kalusugan ng isip, karamdaman, o kapansanan.
8. **Informed Consent:**
- Sa ilang mga kaso, maaa"&amp;"ring mangailangan ng may kaalamang pahintulot ang mga batas, na nagbibigay-diin sa kahalagahan ng malinaw na komunikasyon at pag-unawa sa isa't isa sa pagitan ng mga partidong nakikibahagi sa sekswal na aktibidad.
9. **Eksaminasyong Medikal at Forensic:**"&amp;"
- Sa resulta ng isang di-umano'y insidente ng sekswal na pagsasamantala, ang mga biktima ay maaaring sumailalim sa medikal at forensic na eksaminasyon. Ang mga resulta ng mga pagsusuring ito ay maaaring gamitin bilang ebidensya sa mga legal na paglilitis"&amp;".
10. **Suporta at Adbokasiya ng Biktima:**
- Maraming mga hurisdiksyon ang may mga serbisyo ng suporta at mga organisasyon ng adbokasiya upang tulungan ang mga biktima ng sekswal na pagsasamantala. Ang mga organisasyong ito ay maaaring magbigay ng mga ma"&amp;"pagkukunan, pagpapayo, at patnubay sa mga legal na paglilitis.
Mahalagang kumonsulta sa mga partikular na batas ng iyong hurisdiksyon upang maunawaan kung paano tinukoy at iniuusig ang sekswal na pagsasamantala. Kung ikaw o isang taong kilala mo ay nakara"&amp;"nas ng seksuwal na pagsasamantala sa isang sitwasyon kung saan ang biktima ay nawalan ng kakayahan o hindi pumayag, ang paghingi ng legal na payo mula sa tagapagpatupad ng batas, isang sexual assault hotline, o isang abogadong nagdadalubhasa sa mga kaso n"&amp;"g sexual assault ay napakahalaga para maunawaan ang mga magagamit na legal na remedyo at mga serbisyo ng suporta.")</f>
        <v>Sa mga sitwasyon kung saan ang biktima ay walang kakayahan o hindi pumayag, karaniwang tinutugunan ng mga batas ang sekswal na pagsasamantala bilang isang malubhang pagkakasala. Ang eksaktong legal na mga probisyon ay maaaring mag-iba depende sa hurisdiksyon, ngunit ang mga karaniwang prinsipyo ay kinabibilangan ng:
1. **Mga Batas sa Sekswal na Pag-atake:**
- Karamihan sa mga hurisdiksyon ay may mga batas na tumutukoy at nagsasakriminal sa sekswal na pag-atake. Ang mga sekswal na gawain na walang wastong pahintulot, lalo na kapag ang biktima ay may kapansanan o hindi makapagbigay ng pahintulot dahil sa pagkalasing, kapansanan, o iba pang mga kadahilanan, ay maaaring bumuo ng sekswal na pag-atake.
2. **Kawalan ng kakayahan at Kawalan ng Pahintulot:**
- Madalas na tinutukoy ng mga batas na ang pakikipagtalik sa isang taong walang kakayahan o walang malay ay isang krimen, anuman ang relasyon sa pagitan ng mga partido.
3. **Mga Batas sa Batas sa Panggagahasa:**
- Ang mga batas sa panggagahasa ayon sa batas ay tumutugon sa mga sitwasyon kung saan ang isang partido ay wala pang edad ng pagpayag. Ang mga batas na ito ay maaari pa ring ilapat kahit na ang biktima ay hindi makapagbigay ng legal na pahintulot dahil sa edad.
4. **Di-kusang Pagkalasing:**
- Kinikilala ng ilang hurisdiksyon ang hindi sinasadyang pagkalasing bilang isang depensa. Kung ang pinaghihinalaang salarin ay sadyang lasing ang biktima upang mapadali ang pagsasamantalang sekswal, maaari itong ituring na isang kriminal na pagkakasala.
5. **Pahintulot at Kapasidad:**
- Ang mga batas ay karaniwang nangangailangan ng wasto at boluntaryong pahintulot para sa anumang sekswal na aktibidad. Kung ang biktima ay walang kakayahan, natutulog, walang malay, o kung hindi man ay hindi makapagbigay ng makabuluhang pahintulot, anumang sekswal na aktibidad sa ilalim ng gayong mga pangyayari ay maaaring ituring na hindi pinagkasunduan at, samakatuwid, labag sa batas.
6. **Mga Parusa sa Kriminal:**
- Ang seksuwal na pagsasamantala sa mga sitwasyong kinasasangkutan ng kawalan ng kakayahan o kawalan ng pahintulot ay kadalasang itinuturing na isang kriminal na pagkakasala, na humahantong sa mga parusa gaya ng pagkakulong, multa, at pagpaparehistro bilang isang sex offender.
7. **Kawalan ng kakayahan sa pag-iisip:**
- Maaari ding tugunan ng mga batas ang mga sitwasyon kung saan ang biktima ay may kapansanan sa pag-iisip dahil sa isang pansamantala o permanenteng kondisyon sa kalusugan ng isip, karamdaman, o kapansanan.
8. **Informed Consent:**
- Sa ilang mga kaso, maaaring mangailangan ng may kaalamang pahintulot ang mga batas, na nagbibigay-diin sa kahalagahan ng malinaw na komunikasyon at pag-unawa sa isa't isa sa pagitan ng mga partidong nakikibahagi sa sekswal na aktibidad.
9. **Eksaminasyong Medikal at Forensic:**
- Sa resulta ng isang di-umano'y insidente ng sekswal na pagsasamantala, ang mga biktima ay maaaring sumailalim sa medikal at forensic na eksaminasyon. Ang mga resulta ng mga pagsusuring ito ay maaaring gamitin bilang ebidensya sa mga legal na paglilitis.
10. **Suporta at Adbokasiya ng Biktima:**
- Maraming mga hurisdiksyon ang may mga serbisyo ng suporta at mga organisasyon ng adbokasiya upang tulungan ang mga biktima ng sekswal na pagsasamantala. Ang mga organisasyong ito ay maaaring magbigay ng mga mapagkukunan, pagpapayo, at patnubay sa mga legal na paglilitis.
Mahalagang kumonsulta sa mga partikular na batas ng iyong hurisdiksyon upang maunawaan kung paano tinukoy at iniuusig ang sekswal na pagsasamantala. Kung ikaw o isang taong kilala mo ay nakaranas ng seksuwal na pagsasamantala sa isang sitwasyon kung saan ang biktima ay nawalan ng kakayahan o hindi pumayag, ang paghingi ng legal na payo mula sa tagapagpatupad ng batas, isang sexual assault hotline, o isang abogadong nagdadalubhasa sa mga kaso ng sexual assault ay napakahalaga para maunawaan ang mga magagamit na legal na remedyo at mga serbisyo ng suporta.</v>
      </c>
      <c r="F742" s="2">
        <f t="shared" si="1"/>
        <v>0</v>
      </c>
      <c r="G742" s="2"/>
      <c r="H742" s="2"/>
      <c r="I742" s="2"/>
      <c r="J742" s="2"/>
      <c r="K742" s="2"/>
      <c r="L742" s="2"/>
      <c r="M742" s="2"/>
      <c r="N742" s="2"/>
      <c r="O742" s="2"/>
      <c r="P742" s="2"/>
      <c r="Q742" s="2"/>
      <c r="R742" s="2"/>
      <c r="S742" s="2"/>
      <c r="T742" s="2"/>
      <c r="U742" s="2"/>
      <c r="V742" s="2"/>
      <c r="W742" s="2"/>
      <c r="X742" s="2"/>
      <c r="Y742" s="2"/>
      <c r="Z742" s="2"/>
      <c r="AA742" s="2"/>
    </row>
    <row r="743">
      <c r="A743" s="3" t="s">
        <v>2010</v>
      </c>
      <c r="B743" s="1" t="s">
        <v>2442</v>
      </c>
      <c r="C743" s="1" t="s">
        <v>2443</v>
      </c>
      <c r="D743" s="1" t="s">
        <v>2444</v>
      </c>
      <c r="E743" s="2" t="str">
        <f>IFERROR(__xludf.DUMMYFUNCTION("GOOGLETRANSLATE(C743, ""en"", ""TL"")"),"Oo, maaari kang magsampa ng kaso laban sa isang hotel o hospitality establishment para sa sekswal na pagsasamantala ng mga tauhan. Ang mga hotel at hospitality establishment ay may tungkulin na magbigay ng ligtas na kapaligiran para sa mga bisita, at maaa"&amp;"ri silang managot kung ang kanilang mga empleyado ay nasangkot sa sekswal na pagsasamantala o panliligalig. Narito ang mga pangunahing pagsasaalang-alang:
1. **Negligent Hiring and Supervision:**
- Kung nabigo ang hotel na magsagawa ng wastong pagsusuri s"&amp;"a background sa panahon ng proseso ng pag-hire o nabigong pangasiwaan nang sapat ang mga tauhan nito, maaaring managot ito para sa kapabayaang pagkuha o pangangasiwa. Ito ay isang legal na claim na iginigiit ang responsibilidad ng employer para sa mga aks"&amp;"yon ng mga empleyado nito.
2. **Panagutan sa Nasasakupan:**
- Ang mga hotel ay may tungkulin na tiyakin ang kaligtasan at seguridad ng kanilang mga bisita. Kung ang isang bisita ay sekswal na pinagsamantalahan ng mga kawani ng hotel, ang establisyimento a"&amp;"y maaaring managot para sa pananagutan sa lugar. Ang legal na teoryang ito ay may pananagutan sa mga may-ari ng ari-arian para sa mga pinsalang naganap sa kanilang lugar.
3. **Mga Batas na Anti-Sexual Harassment:**
- Ang mga paglabag sa mga batas laban sa"&amp;" sekswal na panliligalig ay maaaring maging batayan para sa legal na aksyon. Karaniwang kinakailangan ng mga hotel na magkaroon ng mga patakaran upang maiwasan ang sekswal na panliligalig at upang matugunan kaagad ang mga reklamo.
4. **Tungkulin ng Pangan"&amp;"galaga:**
- Ang hotel ay may utang na tungkulin sa pangangalaga sa mga bisita nito, at kung ang tungkuling iyon ay nilabag sa pamamagitan ng mga aksyon ng mga tauhan nito, maaari itong magresulta sa legal na pananagutan.
5. **Mga Patakaran sa Kaligtasan n"&amp;"g Bisita:**
- Inaasahang may mga patakaran at pamamaraan ang mga hotel para matiyak ang kaligtasan ng mga bisita. Kung ang mga patakarang ito ay hindi sapat o hindi ipinatupad, maaari itong mag-ambag sa legal na pananagutan.
6. **Mga Pinsala para sa Emosy"&amp;"onal na Kabagabagan:**
- Ang mga biktima ng sekswal na pagsasamantala ay maaaring may karapatan sa mga pinsala para sa emosyonal na pagkabalisa. Maaaring kabilang dito ang kabayaran para sa sikolohikal na epekto ng pagsasamantala.
7. **Konsultasyon sa isa"&amp;"ng Abogado:**
- Napakahalagang kumunsulta sa isang abogadong dalubhasa sa pananagutan sa lugar, personal na pinsala, o mga kaso ng sekswal na panliligalig. Maaaring tasahin ng isang abogado ang mga partikular na katotohanan ng iyong kaso, gabayan ka sa mg"&amp;"a nauugnay na batas, at tulungan kang matukoy ang naaangkop na legal na kurso ng aksyon.
8. **Pag-iingat ng Ebidensya:**
- Panatilihin ang anumang ebidensya na may kaugnayan sa sekswal na pagsasamantala, kabilang ang anumang mga komunikasyon, pahayag ng s"&amp;"aksi, o iba pang dokumentasyon na maaaring sumuporta sa iyong kaso.
9. **Maagap na Pag-uulat:**
- Kung ikaw ay biktima ng sekswal na pagsasamantala sa isang hotel, iulat kaagad ang insidente sa pamamahala ng hotel. Ito ay maaaring makatulong sa pagtatatag"&amp;" ng talaan ng reklamo at tugon ng hotel.
Kung magpasya kang magsagawa ng legal na aksyon laban sa isang hotel para sa sekswal na pagsasamantala ng mga tauhan, mahalagang kumilos kaagad at humingi ng patnubay ng isang bihasang abogado. Matutulungan ka nila"&amp;" na mag-navigate sa legal na proseso, maunawaan ang iyong mga karapatan, at magtrabaho patungo sa pagkuha ng kabayaran para sa pinsalang dinanas mo.")</f>
        <v>Oo, maaari kang magsampa ng kaso laban sa isang hotel o hospitality establishment para sa sekswal na pagsasamantala ng mga tauhan. Ang mga hotel at hospitality establishment ay may tungkulin na magbigay ng ligtas na kapaligiran para sa mga bisita, at maaari silang managot kung ang kanilang mga empleyado ay nasangkot sa sekswal na pagsasamantala o panliligalig. Narito ang mga pangunahing pagsasaalang-alang:
1. **Negligent Hiring and Supervision:**
- Kung nabigo ang hotel na magsagawa ng wastong pagsusuri sa background sa panahon ng proseso ng pag-hire o nabigong pangasiwaan nang sapat ang mga tauhan nito, maaaring managot ito para sa kapabayaang pagkuha o pangangasiwa. Ito ay isang legal na claim na iginigiit ang responsibilidad ng employer para sa mga aksyon ng mga empleyado nito.
2. **Panagutan sa Nasasakupan:**
- Ang mga hotel ay may tungkulin na tiyakin ang kaligtasan at seguridad ng kanilang mga bisita. Kung ang isang bisita ay sekswal na pinagsamantalahan ng mga kawani ng hotel, ang establisyimento ay maaaring managot para sa pananagutan sa lugar. Ang legal na teoryang ito ay may pananagutan sa mga may-ari ng ari-arian para sa mga pinsalang naganap sa kanilang lugar.
3. **Mga Batas na Anti-Sexual Harassment:**
- Ang mga paglabag sa mga batas laban sa sekswal na panliligalig ay maaaring maging batayan para sa legal na aksyon. Karaniwang kinakailangan ng mga hotel na magkaroon ng mga patakaran upang maiwasan ang sekswal na panliligalig at upang matugunan kaagad ang mga reklamo.
4. **Tungkulin ng Pangangalaga:**
- Ang hotel ay may utang na tungkulin sa pangangalaga sa mga bisita nito, at kung ang tungkuling iyon ay nilabag sa pamamagitan ng mga aksyon ng mga tauhan nito, maaari itong magresulta sa legal na pananagutan.
5. **Mga Patakaran sa Kaligtasan ng Bisita:**
- Inaasahang may mga patakaran at pamamaraan ang mga hotel para matiyak ang kaligtasan ng mga bisita. Kung ang mga patakarang ito ay hindi sapat o hindi ipinatupad, maaari itong mag-ambag sa legal na pananagutan.
6. **Mga Pinsala para sa Emosyonal na Kabagabagan:**
- Ang mga biktima ng sekswal na pagsasamantala ay maaaring may karapatan sa mga pinsala para sa emosyonal na pagkabalisa. Maaaring kabilang dito ang kabayaran para sa sikolohikal na epekto ng pagsasamantala.
7. **Konsultasyon sa isang Abogado:**
- Napakahalagang kumunsulta sa isang abogadong dalubhasa sa pananagutan sa lugar, personal na pinsala, o mga kaso ng sekswal na panliligalig. Maaaring tasahin ng isang abogado ang mga partikular na katotohanan ng iyong kaso, gabayan ka sa mga nauugnay na batas, at tulungan kang matukoy ang naaangkop na legal na kurso ng aksyon.
8. **Pag-iingat ng Ebidensya:**
- Panatilihin ang anumang ebidensya na may kaugnayan sa sekswal na pagsasamantala, kabilang ang anumang mga komunikasyon, pahayag ng saksi, o iba pang dokumentasyon na maaaring sumuporta sa iyong kaso.
9. **Maagap na Pag-uulat:**
- Kung ikaw ay biktima ng sekswal na pagsasamantala sa isang hotel, iulat kaagad ang insidente sa pamamahala ng hotel. Ito ay maaaring makatulong sa pagtatatag ng talaan ng reklamo at tugon ng hotel.
Kung magpasya kang magsagawa ng legal na aksyon laban sa isang hotel para sa sekswal na pagsasamantala ng mga tauhan, mahalagang kumilos kaagad at humingi ng patnubay ng isang bihasang abogado. Matutulungan ka nila na mag-navigate sa legal na proseso, maunawaan ang iyong mga karapatan, at magtrabaho patungo sa pagkuha ng kabayaran para sa pinsalang dinanas mo.</v>
      </c>
      <c r="F743" s="2">
        <f t="shared" si="1"/>
        <v>0</v>
      </c>
      <c r="G743" s="2"/>
      <c r="H743" s="2"/>
      <c r="I743" s="2"/>
      <c r="J743" s="2"/>
      <c r="K743" s="2"/>
      <c r="L743" s="2"/>
      <c r="M743" s="2"/>
      <c r="N743" s="2"/>
      <c r="O743" s="2"/>
      <c r="P743" s="2"/>
      <c r="Q743" s="2"/>
      <c r="R743" s="2"/>
      <c r="S743" s="2"/>
      <c r="T743" s="2"/>
      <c r="U743" s="2"/>
      <c r="V743" s="2"/>
      <c r="W743" s="2"/>
      <c r="X743" s="2"/>
      <c r="Y743" s="2"/>
      <c r="Z743" s="2"/>
      <c r="AA743" s="2"/>
    </row>
    <row r="744">
      <c r="A744" s="3" t="s">
        <v>2010</v>
      </c>
      <c r="B744" s="1" t="s">
        <v>2445</v>
      </c>
      <c r="C744" s="1" t="s">
        <v>2446</v>
      </c>
      <c r="D744" s="1" t="s">
        <v>2447</v>
      </c>
      <c r="E744" s="2" t="str">
        <f>IFERROR(__xludf.DUMMYFUNCTION("GOOGLETRANSLATE(C744, ""en"", ""TL"")"),"Kung pumirma ka ng non-disclosure agreement (NDA) na may kaugnayan sa sekswal na pagsasamantala ngunit nais mong magsagawa ng legal na aksyon, mahalagang maunawaan na ang mga NDA ay maaaring magpataw ng mga legal na obligasyon at paghihigpit sa iyong kaka"&amp;"yahang magbunyag ng ilang partikular na impormasyon. Gayunpaman, may mga pagkakataon kung saan ang pagpapatupad ng mga NDA ay maaaring limitado, lalo na kung ang mga ito ay nagsasangkot ng mga ilegal o walang konsensya na aktibidad. Narito ang ilang hakba"&amp;"ng na maaari mong isaalang-alang:
1. **Kumonsulta sa isang Abugado:**
- Humingi ng legal na payo mula sa isang abogadong may karanasan sa batas sa trabaho o mga kaso ng sexual harassment. Maaaring suriin ng isang abogado ang NDA, tasahin ang kakayahang ma"&amp;"ipatupad nito, at magbigay ng gabay sa pinakamahusay na paraan ng pagkilos.
2. **Mga Pagbubukod sa Pagkakumpidensyal:**
- Ang ilang mga NDA ay maaaring may mga eksepsiyon para sa pag-uulat ng mga ilegal na aktibidad o pakikipagtulungan sa pagpapatupad ng "&amp;"batas. Kung ang sekswal na pagsasamantala ay nagsasangkot ng kriminal na pag-uugali, maaaring hindi ka hadlangan ng NDA na iulat ang insidente sa mga naaangkop na awtoridad.
3. **Mga Proteksyon sa Whistleblower:**
- Sa ilang hurisdiksyon, may mga proteksy"&amp;"on sa whistleblower na pumoprotekta sa mga indibidwal mula sa paghihiganti kapag nag-uulat ng mga ilegal na aktibidad. Kung ang sekswal na pagsasamantala ay bumubuo ng isang paglabag sa batas, maaari kang protektahan sa ilalim ng mga batas ng whistleblowe"&amp;"r.
4. **Invalidity ng NDA:**
- Kung ang NDA ay napatunayang walang konsensya, laban sa pampublikong patakaran, o kung hindi man ay hindi wasto, maaaring hindi ito maipatupad sa kabuuan nito. Matutulungan ka ng isang abogado na masuri ang bisa ng NDA sa iy"&amp;"ong partikular na sitwasyon.
5. **Makipag-ayos sa Ibang Partido:**
- Sa ilang partikular na kaso, posibleng makipag-ayos sa kabilang partido para baguhin ang mga tuntunin ng NDA o makuha ang kanilang pahintulot na palayain ka mula sa mga paghihigpit nito."&amp;"
6. **Mag-ulat sa Mga Awtoridad:**
- Kung ang sekswal na pagsasamantala ay nagsasangkot ng kriminal na pag-uugali, isaalang-alang ang pag-uulat ng insidente sa naaangkop na mga awtoridad sa pagpapatupad ng batas. Maaaring mauna ang mga pagsisiyasat sa kri"&amp;"minal kaysa sa mga obligasyong kontraktwal.
7. **Humingi ng Mga Legal na Remedya:**
- Kung naniniwala kang hindi maipapatupad ang NDA, at mayroon kang legal na batayan para sa pagkilos na may kaugnayan sa sekswal na pagsasamantala, talakayin sa iyong abog"&amp;"ado ang posibilidad na magsagawa ng mga legal na remedyo. Maaaring kabilang dito ang paghahain ng kaso laban sa mga responsableng partido.
8. **Mga Pagsasaalang-alang sa Pampublikong Patakaran:**
- Maaaring isaalang-alang ng mga korte ang pampublikong pat"&amp;"akaran kapag sinusuri ang kakayahang maipatupad ng mga NDA. Kung ang pagpapatupad ng NDA ay lalabag sa pampublikong patakaran o magreresulta sa isang inhustisya, maaaring limitahan ng korte ang aplikasyon nito.
Tandaan na ang legal na tanawin ay maaaring "&amp;"mag-iba, at ang mga detalye ng iyong sitwasyon ay gaganap ng isang mahalagang papel sa pagtukoy ng pinakamahusay na paraan ng pagkilos. Ang pagkonsulta sa isang abogado ay mahalaga upang maunawaan ang iyong mga karapatan, potensyal na legal na remedyo, at"&amp;" ang mga implikasyon ng NDA na iyong nilagdaan.")</f>
        <v>Kung pumirma ka ng non-disclosure agreement (NDA) na may kaugnayan sa sekswal na pagsasamantala ngunit nais mong magsagawa ng legal na aksyon, mahalagang maunawaan na ang mga NDA ay maaaring magpataw ng mga legal na obligasyon at paghihigpit sa iyong kakayahang magbunyag ng ilang partikular na impormasyon. Gayunpaman, may mga pagkakataon kung saan ang pagpapatupad ng mga NDA ay maaaring limitado, lalo na kung ang mga ito ay nagsasangkot ng mga ilegal o walang konsensya na aktibidad. Narito ang ilang hakbang na maaari mong isaalang-alang:
1. **Kumonsulta sa isang Abugado:**
- Humingi ng legal na payo mula sa isang abogadong may karanasan sa batas sa trabaho o mga kaso ng sexual harassment. Maaaring suriin ng isang abogado ang NDA, tasahin ang kakayahang maipatupad nito, at magbigay ng gabay sa pinakamahusay na paraan ng pagkilos.
2. **Mga Pagbubukod sa Pagkakumpidensyal:**
- Ang ilang mga NDA ay maaaring may mga eksepsiyon para sa pag-uulat ng mga ilegal na aktibidad o pakikipagtulungan sa pagpapatupad ng batas. Kung ang sekswal na pagsasamantala ay nagsasangkot ng kriminal na pag-uugali, maaaring hindi ka hadlangan ng NDA na iulat ang insidente sa mga naaangkop na awtoridad.
3. **Mga Proteksyon sa Whistleblower:**
- Sa ilang hurisdiksyon, may mga proteksyon sa whistleblower na pumoprotekta sa mga indibidwal mula sa paghihiganti kapag nag-uulat ng mga ilegal na aktibidad. Kung ang sekswal na pagsasamantala ay bumubuo ng isang paglabag sa batas, maaari kang protektahan sa ilalim ng mga batas ng whistleblower.
4. **Invalidity ng NDA:**
- Kung ang NDA ay napatunayang walang konsensya, laban sa pampublikong patakaran, o kung hindi man ay hindi wasto, maaaring hindi ito maipatupad sa kabuuan nito. Matutulungan ka ng isang abogado na masuri ang bisa ng NDA sa iyong partikular na sitwasyon.
5. **Makipag-ayos sa Ibang Partido:**
- Sa ilang partikular na kaso, posibleng makipag-ayos sa kabilang partido para baguhin ang mga tuntunin ng NDA o makuha ang kanilang pahintulot na palayain ka mula sa mga paghihigpit nito.
6. **Mag-ulat sa Mga Awtoridad:**
- Kung ang sekswal na pagsasamantala ay nagsasangkot ng kriminal na pag-uugali, isaalang-alang ang pag-uulat ng insidente sa naaangkop na mga awtoridad sa pagpapatupad ng batas. Maaaring mauna ang mga pagsisiyasat sa kriminal kaysa sa mga obligasyong kontraktwal.
7. **Humingi ng Mga Legal na Remedya:**
- Kung naniniwala kang hindi maipapatupad ang NDA, at mayroon kang legal na batayan para sa pagkilos na may kaugnayan sa sekswal na pagsasamantala, talakayin sa iyong abogado ang posibilidad na magsagawa ng mga legal na remedyo. Maaaring kabilang dito ang paghahain ng kaso laban sa mga responsableng partido.
8. **Mga Pagsasaalang-alang sa Pampublikong Patakaran:**
- Maaaring isaalang-alang ng mga korte ang pampublikong patakaran kapag sinusuri ang kakayahang maipatupad ng mga NDA. Kung ang pagpapatupad ng NDA ay lalabag sa pampublikong patakaran o magreresulta sa isang inhustisya, maaaring limitahan ng korte ang aplikasyon nito.
Tandaan na ang legal na tanawin ay maaaring mag-iba, at ang mga detalye ng iyong sitwasyon ay gaganap ng isang mahalagang papel sa pagtukoy ng pinakamahusay na paraan ng pagkilos. Ang pagkonsulta sa isang abogado ay mahalaga upang maunawaan ang iyong mga karapatan, potensyal na legal na remedyo, at ang mga implikasyon ng NDA na iyong nilagdaan.</v>
      </c>
      <c r="F744" s="2">
        <f t="shared" si="1"/>
        <v>0</v>
      </c>
      <c r="G744" s="2"/>
      <c r="H744" s="2"/>
      <c r="I744" s="2"/>
      <c r="J744" s="2"/>
      <c r="K744" s="2"/>
      <c r="L744" s="2"/>
      <c r="M744" s="2"/>
      <c r="N744" s="2"/>
      <c r="O744" s="2"/>
      <c r="P744" s="2"/>
      <c r="Q744" s="2"/>
      <c r="R744" s="2"/>
      <c r="S744" s="2"/>
      <c r="T744" s="2"/>
      <c r="U744" s="2"/>
      <c r="V744" s="2"/>
      <c r="W744" s="2"/>
      <c r="X744" s="2"/>
      <c r="Y744" s="2"/>
      <c r="Z744" s="2"/>
      <c r="AA744" s="2"/>
    </row>
    <row r="745">
      <c r="A745" s="3" t="s">
        <v>2010</v>
      </c>
      <c r="B745" s="1" t="s">
        <v>2448</v>
      </c>
      <c r="C745" s="1" t="s">
        <v>2449</v>
      </c>
      <c r="D745" s="1" t="s">
        <v>2450</v>
      </c>
      <c r="E745" s="2" t="str">
        <f>IFERROR(__xludf.DUMMYFUNCTION("GOOGLETRANSLATE(C745, ""en"", ""TL"")"),"Oo, maaari kang magkaroon ng mga batayan upang idemanda ang isang kumpanya para sa hindi pag-iimbestiga o pagtugon nang naaangkop sa mga ulat ng sekswal na pagsasamantala. Ang mga employer ay may legal na obligasyon na tugunan at maiwasan ang sekswal na p"&amp;"anliligalig o pagsasamantala sa lugar ng trabaho. Kung ang isang kumpanya ay nagpapabaya na mag-imbestiga o gumawa ng naaangkop na aksyon bilang tugon sa mga ulat ng naturang maling pag-uugali, maaari itong managot sa kabiguan nitong magbigay ng ligtas na"&amp;" kapaligiran sa pagtatrabaho. Narito ang mga pangunahing pagsasaalang-alang:
1. **Pabaya:**
- Ang kapabayaan ay maaaring isang legal na batayan para sa isang demanda kung ang kumpanya ay nabigo na gumamit ng makatwirang pangangalaga sa pagtugon sa mga ula"&amp;"t ng sekswal na pagsasamantala. Ang mga paghahabol sa kapabayaan ay karaniwang nagsasangkot ng pagtatatag na ang kumpanya ay may tungkulin sa pangangalaga, nilabag ang tungkuling iyon, at ang paglabag ay direktang nagresulta sa pinsala.
2. **Paglabag sa M"&amp;"ga Batas na Anti-Sexual Harassment:**
- Ang mga kumpanya ay madalas na napapailalim sa mga batas laban sa sekswal na panliligalig, na nag-uutos ng mabilis at masusing pagsisiyasat ng mga reklamo. Ang pagkabigong sumunod sa mga batas na ito ay maaaring hum"&amp;"antong sa legal na aksyon.
3. **Title VII ng Civil Rights Act (Estados Unidos):**
- Sa Estados Unidos, ipinagbabawal ng Title VII ang sekswal na panliligalig at diskriminasyon sa lugar ng trabaho. Kung nabigo ang isang kumpanya na mag-imbestiga o tumugon "&amp;"nang naaangkop sa mga ulat ng sekswal na pagsasamantala, maaaring ito ay lumalabag sa Titulo VII.
4. **Mga Patakaran ng Kumpanya:**
- Karaniwang may mga panloob na patakaran at pamamaraan ang mga kumpanya para sa paghawak ng mga reklamo ng sekswal na panl"&amp;"iligalig o pagsasamantala. Kung nabigo ang kumpanya na sundin ang sarili nitong mga patakaran, maaari itong managot sa mga aksyon nito.
5. **Constructive Discharge:**
- Ang mga empleyadong nagbitiw dahil sa kabiguan ng kumpanya na tugunan ang sekswal na p"&amp;"agsasamantala ay maaaring maghabol ng constructive discharge kung maaari nilang ipakita na ang mga kondisyon sa pagtatrabaho ay naging matatagalan.
6. **Retaliation Claim:**
- Kung ang kumpanya ay gagawa ng masamang aksyon laban sa mga empleyado na nag-uu"&amp;"lat ng sekswal na pagsasamantala o lumahok sa mga pagsisiyasat, ang mga empleyadong iyon ay maaaring may mga batayan para sa paghihiganti.
7. **Hindi Sapat na Pagsasanay:**
- Ang kakulangan ng wastong pagsasanay kung paano haharapin ang mga reklamo ng sek"&amp;"swal na pagsasamantala ay maaaring mag-ambag sa pagkabigo ng isang kumpanya na tumugon nang naaangkop. Ang hindi sapat na pagsasanay ay maaaring maging salik sa mga legal na paghahabol.
8. **Dokumentasyon at Ebidensya:**
- Ang pagpapanatili ng dokumentasy"&amp;"on ng mga ulat, tugon ng kumpanya (o kakulangan nito), at anumang nauugnay na komunikasyon ay maaaring maging mahalagang ebidensya sa isang legal na kaso.
9. **Konsultasyon sa isang Abogado:**
- Kumonsulta sa isang abogado na dalubhasa sa batas sa pagtatr"&amp;"abaho o panliligalig sa lugar ng trabaho. Maaaring tasahin ng isang abogado ang mga partikular na katotohanan ng iyong kaso, gabayan ka sa mga nauugnay na batas, at tulungan kang matukoy ang naaangkop na legal na kurso ng aksyon.
Mahalagang tandaan na ang"&amp;" mga legal na opsyon at ang lakas ng isang kaso ay maaaring mag-iba batay sa hurisdiksyon at mga partikular na pangyayaring kasangkot. Kung naniniwala kang mayroon kang wastong paghahabol laban sa isang kumpanya para sa kabiguan nitong tugunan ang mga ula"&amp;"t ng sekswal na pagsasamantala, ang paghingi kaagad ng legal na payo ay napakahalaga upang maunawaan ang iyong mga karapatan at magsagawa ng mga naaangkop na remedyo.")</f>
        <v>Oo, maaari kang magkaroon ng mga batayan upang idemanda ang isang kumpanya para sa hindi pag-iimbestiga o pagtugon nang naaangkop sa mga ulat ng sekswal na pagsasamantala. Ang mga employer ay may legal na obligasyon na tugunan at maiwasan ang sekswal na panliligalig o pagsasamantala sa lugar ng trabaho. Kung ang isang kumpanya ay nagpapabaya na mag-imbestiga o gumawa ng naaangkop na aksyon bilang tugon sa mga ulat ng naturang maling pag-uugali, maaari itong managot sa kabiguan nitong magbigay ng ligtas na kapaligiran sa pagtatrabaho. Narito ang mga pangunahing pagsasaalang-alang:
1. **Pabaya:**
- Ang kapabayaan ay maaaring isang legal na batayan para sa isang demanda kung ang kumpanya ay nabigo na gumamit ng makatwirang pangangalaga sa pagtugon sa mga ulat ng sekswal na pagsasamantala. Ang mga paghahabol sa kapabayaan ay karaniwang nagsasangkot ng pagtatatag na ang kumpanya ay may tungkulin sa pangangalaga, nilabag ang tungkuling iyon, at ang paglabag ay direktang nagresulta sa pinsala.
2. **Paglabag sa Mga Batas na Anti-Sexual Harassment:**
- Ang mga kumpanya ay madalas na napapailalim sa mga batas laban sa sekswal na panliligalig, na nag-uutos ng mabilis at masusing pagsisiyasat ng mga reklamo. Ang pagkabigong sumunod sa mga batas na ito ay maaaring humantong sa legal na aksyon.
3. **Title VII ng Civil Rights Act (Estados Unidos):**
- Sa Estados Unidos, ipinagbabawal ng Title VII ang sekswal na panliligalig at diskriminasyon sa lugar ng trabaho. Kung nabigo ang isang kumpanya na mag-imbestiga o tumugon nang naaangkop sa mga ulat ng sekswal na pagsasamantala, maaaring ito ay lumalabag sa Titulo VII.
4. **Mga Patakaran ng Kumpanya:**
- Karaniwang may mga panloob na patakaran at pamamaraan ang mga kumpanya para sa paghawak ng mga reklamo ng sekswal na panliligalig o pagsasamantala. Kung nabigo ang kumpanya na sundin ang sarili nitong mga patakaran, maaari itong managot sa mga aksyon nito.
5. **Constructive Discharge:**
- Ang mga empleyadong nagbitiw dahil sa kabiguan ng kumpanya na tugunan ang sekswal na pagsasamantala ay maaaring maghabol ng constructive discharge kung maaari nilang ipakita na ang mga kondisyon sa pagtatrabaho ay naging matatagalan.
6. **Retaliation Claim:**
- Kung ang kumpanya ay gagawa ng masamang aksyon laban sa mga empleyado na nag-uulat ng sekswal na pagsasamantala o lumahok sa mga pagsisiyasat, ang mga empleyadong iyon ay maaaring may mga batayan para sa paghihiganti.
7. **Hindi Sapat na Pagsasanay:**
- Ang kakulangan ng wastong pagsasanay kung paano haharapin ang mga reklamo ng sekswal na pagsasamantala ay maaaring mag-ambag sa pagkabigo ng isang kumpanya na tumugon nang naaangkop. Ang hindi sapat na pagsasanay ay maaaring maging salik sa mga legal na paghahabol.
8. **Dokumentasyon at Ebidensya:**
- Ang pagpapanatili ng dokumentasyon ng mga ulat, tugon ng kumpanya (o kakulangan nito), at anumang nauugnay na komunikasyon ay maaaring maging mahalagang ebidensya sa isang legal na kaso.
9. **Konsultasyon sa isang Abogado:**
- Kumonsulta sa isang abogado na dalubhasa sa batas sa pagtatrabaho o panliligalig sa lugar ng trabaho. Maaaring tasahin ng isang abogado ang mga partikular na katotohanan ng iyong kaso, gabayan ka sa mga nauugnay na batas, at tulungan kang matukoy ang naaangkop na legal na kurso ng aksyon.
Mahalagang tandaan na ang mga legal na opsyon at ang lakas ng isang kaso ay maaaring mag-iba batay sa hurisdiksyon at mga partikular na pangyayaring kasangkot. Kung naniniwala kang mayroon kang wastong paghahabol laban sa isang kumpanya para sa kabiguan nitong tugunan ang mga ulat ng sekswal na pagsasamantala, ang paghingi kaagad ng legal na payo ay napakahalaga upang maunawaan ang iyong mga karapatan at magsagawa ng mga naaangkop na remedyo.</v>
      </c>
      <c r="F745" s="2">
        <f t="shared" si="1"/>
        <v>0</v>
      </c>
      <c r="G745" s="2"/>
      <c r="H745" s="2"/>
      <c r="I745" s="2"/>
      <c r="J745" s="2"/>
      <c r="K745" s="2"/>
      <c r="L745" s="2"/>
      <c r="M745" s="2"/>
      <c r="N745" s="2"/>
      <c r="O745" s="2"/>
      <c r="P745" s="2"/>
      <c r="Q745" s="2"/>
      <c r="R745" s="2"/>
      <c r="S745" s="2"/>
      <c r="T745" s="2"/>
      <c r="U745" s="2"/>
      <c r="V745" s="2"/>
      <c r="W745" s="2"/>
      <c r="X745" s="2"/>
      <c r="Y745" s="2"/>
      <c r="Z745" s="2"/>
      <c r="AA745" s="2"/>
    </row>
    <row r="746">
      <c r="A746" s="3" t="s">
        <v>2010</v>
      </c>
      <c r="B746" s="1" t="s">
        <v>2451</v>
      </c>
      <c r="C746" s="1" t="s">
        <v>2452</v>
      </c>
      <c r="D746" s="1" t="s">
        <v>2453</v>
      </c>
      <c r="E746" s="2" t="str">
        <f>IFERROR(__xludf.DUMMYFUNCTION("GOOGLETRANSLATE(C746, ""en"", ""TL"")"),"Ang mga batas ay kadalasang nagbibigay ng mga proteksyon para sa mga indibidwal na sekswal na pinagsamantalahan ng isang taong nasa posisyon ng awtoridad o kapangyarihan. Ang seksuwal na pagsasamantala sa ganitong mga kalagayan ay maaaring isang uri ng pa"&amp;"ng-aabuso sa kapangyarihan at isang paglabag sa mga karapatan ng biktima. Maaaring kabilang sa mga legal na proteksyon ang:
1. **Mga Batas sa Kriminal:**
- Maraming hurisdiksyon ang may mga batas na kriminal na partikular na tumutugon sa sekswal na pagsas"&amp;"amantala o pang-aabuso sa kapangyarihan. Maaaring gawing kriminal ng mga batas na ito ang iba't ibang uri ng sekswal na maling pag-uugali, panliligalig, o pag-atake na ginawa ng mga indibidwal na nasa mga posisyon ng awtoridad.
2. **Mga Batas sa Sekswal n"&amp;"a Pag-atake:**
- Ang mga batas sa sekswal na pag-atake ay karaniwang sumasaklaw sa mga di-pinagkasunduang gawaing sekswal at maaaring mailapat anuman ang relasyon sa pagitan ng mga partido. Ang mga indibidwal na nasa mga posisyon ng awtoridad na nagsasaga"&amp;"wa ng sekswal na pagsasamantala ay maaaring isailalim sa pag-uusig sa ilalim ng mga batas na ito.
3. **Mga Batas sa Sekswal na Panliligalig:**
- Ang mga batas na tumutugon sa sekswal na panliligalig ay kadalasang umaabot sa mga sitwasyon kung saan inaabus"&amp;"o ng isang taong nasa posisyon ng awtoridad ang kanilang kapangyarihan para sa mga layuning sekswal. Ang mga employer at institusyon ay karaniwang may pananagutan sa pagpigil at pagtugon sa naturang panliligalig.
4. **Title VII ng Civil Rights Act (Estado"&amp;"s Unidos):**
- Sa Estados Unidos, ipinagbabawal ng Title VII ang sekswal na panliligalig at diskriminasyon sa lugar ng trabaho. Ang mga nagpapatrabaho ay maaaring managot para sa mga aksyon ng mga indibidwal sa mga posisyon ng awtoridad na nakikibahagi sa"&amp;" sekswal na pagsasamantala.
5. **Mga Batas sa Edad ng Pagpapahintulot:**
- Maaaring ilapat ang mga batas sa edad ng pahintulot sa mga kaso na kinasasangkutan ng sekswal na pagsasamantala, lalo na kung ang biktima ay menor de edad. Ang mga batas na ito ay "&amp;"nagtatakda ng legal na edad kung saan ang isang indibidwal ay maaaring magbigay ng legal na pahintulot para sa sekswal na aktibidad.
6. **Pag-abuso sa Kapangyarihan at Awtoridad:**
- Maaaring kilalanin ng mga legal na prinsipyo ang pag-abuso sa kapangyari"&amp;"han at awtoridad bilang batayan para sa legal na aksyon. Ito ay maaaring may kaugnayan sa mga sibil na kaso kung saan ang mga biktima ay humingi ng danyos para sa pinsalang dulot ng pagsasamantala.
7. **Mga Batas sa Pagtatrabaho:**
- Ang mga batas sa pagt"&amp;"atrabaho ay kadalasang nag-aatas sa mga employer na kumilos laban sa sekswal na panliligalig o pagsasamantala ng mga indibidwal na nasa mga posisyon ng awtoridad. Ang pagkabigong tugunan ang naturang pag-uugali ay maaaring magresulta sa mga legal na kahih"&amp;"inatnan para sa employer.
8. **Mga Paghahabla Sibil:**
- Ang mga biktima ng sekswal na pagsasamantala ay maaaring maghain ng mga kasong sibil laban sa mga indibidwal na responsable, gayundin laban sa mga employer o institusyon na nabigong pigilan o tuguna"&amp;"n ang pang-aabuso. Maaaring kabilang sa mga remedyo ng sibil ang kabayaran para sa mga pinsala.
9. **Mga Proteksyon sa Whistleblower:**
- Ang ilang mga hurisdiksyon ay nagbibigay ng mga proteksyon sa whistleblower para sa mga indibidwal na nag-uulat ng ma"&amp;"ling pag-uugali, kabilang ang sekswal na pagsasamantala. Maaaring protektahan ng mga proteksyong ito ang mga indibidwal mula sa paghihiganti para sa pagsulong.
10. **Mga Patakaran sa Edukasyon at Institusyon:**
- Ang mga institusyong pang-edukasyon at iba"&amp;" pang mga organisasyon ay kadalasang may mga patakarang inilalagay upang maiwasan at matugunan ang sekswal na pagsasamantala ng mga indibidwal na nasa posisyon ng awtoridad. Ang mga paglabag sa mga patakarang ito ay maaaring humantong sa aksyong pandisipl"&amp;"ina o mga legal na kahihinatnan.
Mahalaga para sa mga biktima ng sekswal na pagsasamantala na kumunsulta sa mga legal na propesyonal na dalubhasa sa mga kaso ng sekswal na panliligalig o pang-aabuso. Ang pag-uulat kaagad ng pagsasamantala at paghingi ng l"&amp;"egal na payo ay makakatulong sa mga biktima na maunawaan ang kanilang mga karapatan, mag-navigate sa legal na proseso, at isulong ang hustisya laban sa mga responsable sa pang-aabuso sa kapangyarihan.")</f>
        <v>Ang mga batas ay kadalasang nagbibigay ng mga proteksyon para sa mga indibidwal na sekswal na pinagsamantalahan ng isang taong nasa posisyon ng awtoridad o kapangyarihan. Ang seksuwal na pagsasamantala sa ganitong mga kalagayan ay maaaring isang uri ng pang-aabuso sa kapangyarihan at isang paglabag sa mga karapatan ng biktima. Maaaring kabilang sa mga legal na proteksyon ang:
1. **Mga Batas sa Kriminal:**
- Maraming hurisdiksyon ang may mga batas na kriminal na partikular na tumutugon sa sekswal na pagsasamantala o pang-aabuso sa kapangyarihan. Maaaring gawing kriminal ng mga batas na ito ang iba't ibang uri ng sekswal na maling pag-uugali, panliligalig, o pag-atake na ginawa ng mga indibidwal na nasa mga posisyon ng awtoridad.
2. **Mga Batas sa Sekswal na Pag-atake:**
- Ang mga batas sa sekswal na pag-atake ay karaniwang sumasaklaw sa mga di-pinagkasunduang gawaing sekswal at maaaring mailapat anuman ang relasyon sa pagitan ng mga partido. Ang mga indibidwal na nasa mga posisyon ng awtoridad na nagsasagawa ng sekswal na pagsasamantala ay maaaring isailalim sa pag-uusig sa ilalim ng mga batas na ito.
3. **Mga Batas sa Sekswal na Panliligalig:**
- Ang mga batas na tumutugon sa sekswal na panliligalig ay kadalasang umaabot sa mga sitwasyon kung saan inaabuso ng isang taong nasa posisyon ng awtoridad ang kanilang kapangyarihan para sa mga layuning sekswal. Ang mga employer at institusyon ay karaniwang may pananagutan sa pagpigil at pagtugon sa naturang panliligalig.
4. **Title VII ng Civil Rights Act (Estados Unidos):**
- Sa Estados Unidos, ipinagbabawal ng Title VII ang sekswal na panliligalig at diskriminasyon sa lugar ng trabaho. Ang mga nagpapatrabaho ay maaaring managot para sa mga aksyon ng mga indibidwal sa mga posisyon ng awtoridad na nakikibahagi sa sekswal na pagsasamantala.
5. **Mga Batas sa Edad ng Pagpapahintulot:**
- Maaaring ilapat ang mga batas sa edad ng pahintulot sa mga kaso na kinasasangkutan ng sekswal na pagsasamantala, lalo na kung ang biktima ay menor de edad. Ang mga batas na ito ay nagtatakda ng legal na edad kung saan ang isang indibidwal ay maaaring magbigay ng legal na pahintulot para sa sekswal na aktibidad.
6. **Pag-abuso sa Kapangyarihan at Awtoridad:**
- Maaaring kilalanin ng mga legal na prinsipyo ang pag-abuso sa kapangyarihan at awtoridad bilang batayan para sa legal na aksyon. Ito ay maaaring may kaugnayan sa mga sibil na kaso kung saan ang mga biktima ay humingi ng danyos para sa pinsalang dulot ng pagsasamantala.
7. **Mga Batas sa Pagtatrabaho:**
- Ang mga batas sa pagtatrabaho ay kadalasang nag-aatas sa mga employer na kumilos laban sa sekswal na panliligalig o pagsasamantala ng mga indibidwal na nasa mga posisyon ng awtoridad. Ang pagkabigong tugunan ang naturang pag-uugali ay maaaring magresulta sa mga legal na kahihinatnan para sa employer.
8. **Mga Paghahabla Sibil:**
- Ang mga biktima ng sekswal na pagsasamantala ay maaaring maghain ng mga kasong sibil laban sa mga indibidwal na responsable, gayundin laban sa mga employer o institusyon na nabigong pigilan o tugunan ang pang-aabuso. Maaaring kabilang sa mga remedyo ng sibil ang kabayaran para sa mga pinsala.
9. **Mga Proteksyon sa Whistleblower:**
- Ang ilang mga hurisdiksyon ay nagbibigay ng mga proteksyon sa whistleblower para sa mga indibidwal na nag-uulat ng maling pag-uugali, kabilang ang sekswal na pagsasamantala. Maaaring protektahan ng mga proteksyong ito ang mga indibidwal mula sa paghihiganti para sa pagsulong.
10. **Mga Patakaran sa Edukasyon at Institusyon:**
- Ang mga institusyong pang-edukasyon at iba pang mga organisasyon ay kadalasang may mga patakarang inilalagay upang maiwasan at matugunan ang sekswal na pagsasamantala ng mga indibidwal na nasa posisyon ng awtoridad. Ang mga paglabag sa mga patakarang ito ay maaaring humantong sa aksyong pandisiplina o mga legal na kahihinatnan.
Mahalaga para sa mga biktima ng sekswal na pagsasamantala na kumunsulta sa mga legal na propesyonal na dalubhasa sa mga kaso ng sekswal na panliligalig o pang-aabuso. Ang pag-uulat kaagad ng pagsasamantala at paghingi ng legal na payo ay makakatulong sa mga biktima na maunawaan ang kanilang mga karapatan, mag-navigate sa legal na proseso, at isulong ang hustisya laban sa mga responsable sa pang-aabuso sa kapangyarihan.</v>
      </c>
      <c r="F746" s="2">
        <f t="shared" si="1"/>
        <v>0</v>
      </c>
      <c r="G746" s="2"/>
      <c r="H746" s="2"/>
      <c r="I746" s="2"/>
      <c r="J746" s="2"/>
      <c r="K746" s="2"/>
      <c r="L746" s="2"/>
      <c r="M746" s="2"/>
      <c r="N746" s="2"/>
      <c r="O746" s="2"/>
      <c r="P746" s="2"/>
      <c r="Q746" s="2"/>
      <c r="R746" s="2"/>
      <c r="S746" s="2"/>
      <c r="T746" s="2"/>
      <c r="U746" s="2"/>
      <c r="V746" s="2"/>
      <c r="W746" s="2"/>
      <c r="X746" s="2"/>
      <c r="Y746" s="2"/>
      <c r="Z746" s="2"/>
      <c r="AA746" s="2"/>
    </row>
    <row r="747">
      <c r="A747" s="3" t="s">
        <v>2010</v>
      </c>
      <c r="B747" s="1" t="s">
        <v>2454</v>
      </c>
      <c r="C747" s="1" t="s">
        <v>2455</v>
      </c>
      <c r="D747" s="1" t="s">
        <v>2456</v>
      </c>
      <c r="E747" s="2" t="str">
        <f>IFERROR(__xludf.DUMMYFUNCTION("GOOGLETRANSLATE(C747, ""en"", ""TL"")"),"Oo, maaari mong isulong ang isang sibil na kaso laban sa isang ahensya ng gobyerno para sa sekswal na pagsasamantala ng mga empleyado o opisyal nito. Ang mga ahensya ng gobyerno, tulad ng mga pribadong entidad, ay maaaring managot sa mga aksyon ng kanilan"&amp;"g mga empleyado kung sila ay nasasangkot sa sekswal na pagsasamantala o iba pang uri ng maling pag-uugali. Narito ang mga pangunahing pagsasaalang-alang kapag naghahabol ng kasong sibil laban sa isang ahensya ng gobyerno:
1. **Mga Paglabag sa Mga Karapata"&amp;"ng Sibil:**
- Ang sekswal na pagsasamantala ng mga opisyal ng gobyerno ay maaaring lumabag sa mga karapatang sibil ng isang indibidwal. Ang Konstitusyon ng U.S., halimbawa, ay nagpoprotekta sa mga indibidwal mula sa mga aksyon ng pamahalaan na lumalabag s"&amp;"a kanilang mga karapatan, kabilang ang mga karapatan sa privacy, integridad ng katawan, at proteksyon mula sa sekswal na panliligalig.
2. **Bivens Action (United States):**
- Sa Estados Unidos, ang mga indibidwal ay maaaring magdala ng aksyon ng Bivens la"&amp;"ban sa mga pederal na opisyal para sa mga paglabag sa mga karapatan sa konstitusyon. Nagbibigay-daan ito sa mga indibidwal na humingi ng danyos para sa mga pinsalang dulot ng labag sa konstitusyon ng mga empleyado ng gobyerno.
3. **Mga Claim ng Seksyon 19"&amp;"83:**
- Ang Seksyon 1983 ng Civil Rights Act ay nagpapahintulot sa mga indibidwal na idemanda ang mga opisyal o ahensya ng gobyerno para sa mga paglabag sa kanilang mga karapatan sa konstitusyon sa ilalim ng kulay ng batas. Ang batas na ito ay kadalasang "&amp;"ginagamit sa mga kaso na kinasasangkutan ng sekswal na pagsasamantala ng mga empleyado ng gobyerno.
4. **Mga Gawa sa Pananagutan ng Pamahalaan sa Tort:**
- Maraming hurisdiksyon ang may Tort Claims Acts o mga katulad na batas na nagbabalangkas sa proseso "&amp;"para sa paghahain ng mga demanda laban sa mga entity ng gobyerno. Ang mga batas na ito ay maaaring magpataw ng mga partikular na kinakailangan at limitasyon sa pagdemanda sa mga ahensya ng gobyerno.
5. **Sovereign Immunity Consideration:**
- Maaaring magt"&amp;"amasa ang mga ahensya ng gobyerno ng sovereign immunity, na nagpoprotekta sa kanila mula sa ilang partikular na demanda. Gayunpaman, maraming hurisdiksyon ang may mga pagbubukod sa sovereign immunity, na nagpapahintulot sa mga indibidwal na ituloy ang leg"&amp;"al na aksyon sa mga kaso ng sinadyang maling pag-uugali, kabilang ang sekswal na pagsasamantala.
6. **Pagsunod sa Mga Kinakailangan sa Abiso:**
- Ang ilang mga hurisdiksyon ay may mga kinakailangan sa paunawa na dapat tuparin ng mga indibidwal bago magsam"&amp;"pa ng kaso laban sa isang ahensya ng gobyerno. Ang pagkabigong sumunod sa mga kinakailangang ito ay maaaring makaapekto sa kakayahang ituloy ang isang paghahabol.
7. **Kwalipikadong Immunity:**
- Maaaring igiit ng mga opisyal ng gobyerno ang kuwalipikadon"&amp;"g kaligtasan sa sakit bilang depensa. Pinoprotektahan ng qualified immunity ang mga opisyal ng gobyerno mula sa pananagutan maliban kung nilalabag nila ang ""malinaw na itinatag"" na mga karapatan sa konstitusyon. Tinatasa ng mga korte kung ang karapatan "&amp;"na diumano'y nilabag ay malinaw na itinatag sa panahon ng di-umano'y maling pag-uugali.
8. **Konsultasyon sa isang Abogado:**
- Kumonsulta sa isang abogado na dalubhasa sa mga karapatang sibil o pananagutan ng pamahalaan. Maaaring tasahin ng isang abogado"&amp;" ang mga partikular na katotohanan ng iyong kaso, gabayan ka sa mga nauugnay na batas, at tulungan kang matukoy ang naaangkop na legal na kurso ng aksyon.
9. **Ebidensya at Dokumentasyon:**
- Idokumento ang mga pagkakataon ng sekswal na pagsasamantala, pa"&amp;"nliligalig, o anumang iba pang salik na nauugnay sa iyong kaso. Maaaring palakasin ng pangangalap ng ebidensya ang iyong paghahabol at suportahan ang iyong mga paratang.
Mahalagang tandaan na ang pagdemanda sa isang ahensya ng gobyerno ay nagsasangkot ng "&amp;"pag-navigate sa mga partikular na legal na proseso at mga potensyal na hamon. Ang pagkonsulta sa isang makaranasang abogado ay mahalaga sa pag-unawa sa legal na tanawin, pagsunod sa mga kinakailangan sa pamamaraan, at pagbuo ng isang malakas na kaso laban"&amp;" sa ahensya ng gobyerno na responsable para sa sekswal na pagsasamantala.")</f>
        <v>Oo, maaari mong isulong ang isang sibil na kaso laban sa isang ahensya ng gobyerno para sa sekswal na pagsasamantala ng mga empleyado o opisyal nito. Ang mga ahensya ng gobyerno, tulad ng mga pribadong entidad, ay maaaring managot sa mga aksyon ng kanilang mga empleyado kung sila ay nasasangkot sa sekswal na pagsasamantala o iba pang uri ng maling pag-uugali. Narito ang mga pangunahing pagsasaalang-alang kapag naghahabol ng kasong sibil laban sa isang ahensya ng gobyerno:
1. **Mga Paglabag sa Mga Karapatang Sibil:**
- Ang sekswal na pagsasamantala ng mga opisyal ng gobyerno ay maaaring lumabag sa mga karapatang sibil ng isang indibidwal. Ang Konstitusyon ng U.S., halimbawa, ay nagpoprotekta sa mga indibidwal mula sa mga aksyon ng pamahalaan na lumalabag sa kanilang mga karapatan, kabilang ang mga karapatan sa privacy, integridad ng katawan, at proteksyon mula sa sekswal na panliligalig.
2. **Bivens Action (United States):**
- Sa Estados Unidos, ang mga indibidwal ay maaaring magdala ng aksyon ng Bivens laban sa mga pederal na opisyal para sa mga paglabag sa mga karapatan sa konstitusyon. Nagbibigay-daan ito sa mga indibidwal na humingi ng danyos para sa mga pinsalang dulot ng labag sa konstitusyon ng mga empleyado ng gobyerno.
3. **Mga Claim ng Seksyon 1983:**
- Ang Seksyon 1983 ng Civil Rights Act ay nagpapahintulot sa mga indibidwal na idemanda ang mga opisyal o ahensya ng gobyerno para sa mga paglabag sa kanilang mga karapatan sa konstitusyon sa ilalim ng kulay ng batas. Ang batas na ito ay kadalasang ginagamit sa mga kaso na kinasasangkutan ng sekswal na pagsasamantala ng mga empleyado ng gobyerno.
4. **Mga Gawa sa Pananagutan ng Pamahalaan sa Tort:**
- Maraming hurisdiksyon ang may Tort Claims Acts o mga katulad na batas na nagbabalangkas sa proseso para sa paghahain ng mga demanda laban sa mga entity ng gobyerno. Ang mga batas na ito ay maaaring magpataw ng mga partikular na kinakailangan at limitasyon sa pagdemanda sa mga ahensya ng gobyerno.
5. **Sovereign Immunity Consideration:**
- Maaaring magtamasa ang mga ahensya ng gobyerno ng sovereign immunity, na nagpoprotekta sa kanila mula sa ilang partikular na demanda. Gayunpaman, maraming hurisdiksyon ang may mga pagbubukod sa sovereign immunity, na nagpapahintulot sa mga indibidwal na ituloy ang legal na aksyon sa mga kaso ng sinadyang maling pag-uugali, kabilang ang sekswal na pagsasamantala.
6. **Pagsunod sa Mga Kinakailangan sa Abiso:**
- Ang ilang mga hurisdiksyon ay may mga kinakailangan sa paunawa na dapat tuparin ng mga indibidwal bago magsampa ng kaso laban sa isang ahensya ng gobyerno. Ang pagkabigong sumunod sa mga kinakailangang ito ay maaaring makaapekto sa kakayahang ituloy ang isang paghahabol.
7. **Kwalipikadong Immunity:**
- Maaaring igiit ng mga opisyal ng gobyerno ang kuwalipikadong kaligtasan sa sakit bilang depensa. Pinoprotektahan ng qualified immunity ang mga opisyal ng gobyerno mula sa pananagutan maliban kung nilalabag nila ang "malinaw na itinatag" na mga karapatan sa konstitusyon. Tinatasa ng mga korte kung ang karapatan na diumano'y nilabag ay malinaw na itinatag sa panahon ng di-umano'y maling pag-uugali.
8. **Konsultasyon sa isang Abogado:**
- Kumonsulta sa isang abogado na dalubhasa sa mga karapatang sibil o pananagutan ng pamahalaan. Maaaring tasahin ng isang abogado ang mga partikular na katotohanan ng iyong kaso, gabayan ka sa mga nauugnay na batas, at tulungan kang matukoy ang naaangkop na legal na kurso ng aksyon.
9. **Ebidensya at Dokumentasyon:**
- Idokumento ang mga pagkakataon ng sekswal na pagsasamantala, panliligalig, o anumang iba pang salik na nauugnay sa iyong kaso. Maaaring palakasin ng pangangalap ng ebidensya ang iyong paghahabol at suportahan ang iyong mga paratang.
Mahalagang tandaan na ang pagdemanda sa isang ahensya ng gobyerno ay nagsasangkot ng pag-navigate sa mga partikular na legal na proseso at mga potensyal na hamon. Ang pagkonsulta sa isang makaranasang abogado ay mahalaga sa pag-unawa sa legal na tanawin, pagsunod sa mga kinakailangan sa pamamaraan, at pagbuo ng isang malakas na kaso laban sa ahensya ng gobyerno na responsable para sa sekswal na pagsasamantala.</v>
      </c>
      <c r="F747" s="2">
        <f t="shared" si="1"/>
        <v>0</v>
      </c>
      <c r="G747" s="2"/>
      <c r="H747" s="2"/>
      <c r="I747" s="2"/>
      <c r="J747" s="2"/>
      <c r="K747" s="2"/>
      <c r="L747" s="2"/>
      <c r="M747" s="2"/>
      <c r="N747" s="2"/>
      <c r="O747" s="2"/>
      <c r="P747" s="2"/>
      <c r="Q747" s="2"/>
      <c r="R747" s="2"/>
      <c r="S747" s="2"/>
      <c r="T747" s="2"/>
      <c r="U747" s="2"/>
      <c r="V747" s="2"/>
      <c r="W747" s="2"/>
      <c r="X747" s="2"/>
      <c r="Y747" s="2"/>
      <c r="Z747" s="2"/>
      <c r="AA747" s="2"/>
    </row>
    <row r="748">
      <c r="A748" s="3" t="s">
        <v>2010</v>
      </c>
      <c r="B748" s="1" t="s">
        <v>2457</v>
      </c>
      <c r="C748" s="1" t="s">
        <v>2458</v>
      </c>
      <c r="D748" s="1" t="s">
        <v>2459</v>
      </c>
      <c r="E748" s="2" t="str">
        <f>IFERROR(__xludf.DUMMYFUNCTION("GOOGLETRANSLATE(C748, ""en"", ""TL"")"),"Oo, may mga legal na proteksyon para sa mga indibidwal na nakakaranas ng sekswal na pagsasamantala habang nakakulong o nakakulong. Ang seksuwal na pagsasamantala sa mga correctional facility ay isang malubhang paglabag sa mga karapatang pantao, at iba't i"&amp;"bang batas at proteksyon ang umiiral upang tugunan at maiwasan ang gayong maling pag-uugali. Kabilang sa mga pangunahing legal na proteksyon ang:
1. **Ang Prison Rape Elimination Act (PREA):**
- Sa Estados Unidos, ang Prison Rape Elimination Act (PREA) ay"&amp;" isang pederal na batas na naglalayong pigilan, tuklasin, at tumugon sa sekswal na pang-aabuso at pag-atake sa mga pasilidad ng pagwawasto. Ang PREA ay nagtatakda ng mga pambansang pamantayan para sa pagtugon sa sekswal na pagsasamantala at nangangailanga"&amp;"n ng mga pasilidad na magkaroon ng mga patakaran at pamamaraan upang maiwasan ang mga naturang insidente.
2. **Mga Proteksyon sa Ika-walong Pagbabago:**
- Ang Eighth Amendment sa U.S. Constitution ay nagbabawal sa malupit at hindi pangkaraniwang parusa. K"&amp;"inilala ng mga korte na ang sekswal na pagsasamantala o pag-atake sa bilangguan ay maaaring lumabag sa mga karapatan sa konstitusyon ng mga bilanggo, at maaaring isagawa ang mga legal na aksyon batay sa pagbabagong ito.
3. **Mga Claim ng Seksyon 1983:**
-"&amp;" Sa U.S., ang mga indibidwal ay maaaring magdala ng mga claim sa ilalim ng Seksyon 1983 ng Civil Rights Act para sa mga paglabag sa kanilang mga karapatan sa konstitusyon habang nasa kustodiya. Kabilang dito ang mga claim na may kaugnayan sa sekswal na pa"&amp;"gsasamantala o pag-atake ng mga opisyal o kawani ng bilangguan.
4. **Mga Proteksyon sa Karapatang Pantao:**
- Ang mga internasyonal na instrumento sa karapatang pantao, tulad ng United Nations Standard Minimum Rules for the Treatment of Prisoners (ang Nel"&amp;"son Mandela Rules), ay binibigyang-diin ang proteksyon ng dignidad ng tao ng mga bilanggo at ipinagbabawal ang anumang uri ng sekswal na pagsasamantala o pang-aabuso.
5. **Mga Patakaran sa Institusyon at Mga Pamamaraan sa Karaingan:**
- Ang mga pasilidad "&amp;"ng pagwawasto ay karaniwang kinakailangan na magkaroon ng mga patakaran at mga pamamaraan ng karaingan para sa pagtugon sa mga reklamo sa sekswal na pagsasamantala. Maaaring gamitin ng mga bilanggo ang mga pamamaraang ito upang mag-ulat ng mga insidente a"&amp;"t humingi ng resolusyon.
6. **Prisoner Litigation Reform Act (PLRA):**
- Ang Prison Litigation Reform Act sa U.S. ay nagpapataw ng ilang partikular na kinakailangan sa pamamaraan sa mga bilanggo na nagdadala ng mga legal na aksyon, ngunit hindi nito inaal"&amp;"is ang kakayahang magdemanda para sa mga paglabag sa mga karapatan sa konstitusyon, kabilang ang mga paghahabol na nauugnay sa sekswal na pagsasamantala.
7. **Mga Proteksyon sa Whistleblower:**
- Ang ilang mga hurisdiksyon ay may mga proteksyon ng whistle"&amp;"blower na pumoprotekta sa mga indibidwal mula sa paghihiganti para sa pag-uulat ng mga pagkakataon ng sekswal na pagsasamantala o pang-aabuso sa mga pasilidad ng pagwawasto.
8. **Mga Serbisyo sa Pagtataguyod at Suporta sa Biktima:**
- Maaaring magkaroon n"&amp;"g adbokasiya ng biktima at mga serbisyo ng suporta para sa mga indibidwal na nakaranas ng sekswal na pagsasamantala habang nakakulong. Ang mga serbisyong ito ay maaaring tumulong sa pagpapayo, pangangalagang medikal, at legal na suporta.
9. **Mga Paghahab"&amp;"la sa Class Action:**
- Sa ilang mga kaso, ang mga indibidwal na nakaranas ng seksuwal na pagsasamantala sa mga correctional facility ay maaaring magdala ng class action lawsuits upang tugunan ang mga sistematikong isyu at humingi ng mga reporma sa pagtra"&amp;"to sa mga bilanggo.
Napakahalaga para sa mga indibidwal na nakaranas ng seksuwal na pagsasamantala habang nakakulong na kumonsulta sa mga abogadong dalubhasa sa mga karapatang sibil o mga karapatan ng bilanggo. Ang mga legal na propesyonal ay maaaring mak"&amp;"atulong sa pag-navigate sa masalimuot na legal na tanawin, magbigay ng patnubay sa mga magagamit na legal na remedyo, at itaguyod ang mga karapatan ng mga taong sumailalim sa sekswal na pagsasamantala sa loob ng criminal justice system.")</f>
        <v>Oo, may mga legal na proteksyon para sa mga indibidwal na nakakaranas ng sekswal na pagsasamantala habang nakakulong o nakakulong. Ang seksuwal na pagsasamantala sa mga correctional facility ay isang malubhang paglabag sa mga karapatang pantao, at iba't ibang batas at proteksyon ang umiiral upang tugunan at maiwasan ang gayong maling pag-uugali. Kabilang sa mga pangunahing legal na proteksyon ang:
1. **Ang Prison Rape Elimination Act (PREA):**
- Sa Estados Unidos, ang Prison Rape Elimination Act (PREA) ay isang pederal na batas na naglalayong pigilan, tuklasin, at tumugon sa sekswal na pang-aabuso at pag-atake sa mga pasilidad ng pagwawasto. Ang PREA ay nagtatakda ng mga pambansang pamantayan para sa pagtugon sa sekswal na pagsasamantala at nangangailangan ng mga pasilidad na magkaroon ng mga patakaran at pamamaraan upang maiwasan ang mga naturang insidente.
2. **Mga Proteksyon sa Ika-walong Pagbabago:**
- Ang Eighth Amendment sa U.S. Constitution ay nagbabawal sa malupit at hindi pangkaraniwang parusa. Kinilala ng mga korte na ang sekswal na pagsasamantala o pag-atake sa bilangguan ay maaaring lumabag sa mga karapatan sa konstitusyon ng mga bilanggo, at maaaring isagawa ang mga legal na aksyon batay sa pagbabagong ito.
3. **Mga Claim ng Seksyon 1983:**
- Sa U.S., ang mga indibidwal ay maaaring magdala ng mga claim sa ilalim ng Seksyon 1983 ng Civil Rights Act para sa mga paglabag sa kanilang mga karapatan sa konstitusyon habang nasa kustodiya. Kabilang dito ang mga claim na may kaugnayan sa sekswal na pagsasamantala o pag-atake ng mga opisyal o kawani ng bilangguan.
4. **Mga Proteksyon sa Karapatang Pantao:**
- Ang mga internasyonal na instrumento sa karapatang pantao, tulad ng United Nations Standard Minimum Rules for the Treatment of Prisoners (ang Nelson Mandela Rules), ay binibigyang-diin ang proteksyon ng dignidad ng tao ng mga bilanggo at ipinagbabawal ang anumang uri ng sekswal na pagsasamantala o pang-aabuso.
5. **Mga Patakaran sa Institusyon at Mga Pamamaraan sa Karaingan:**
- Ang mga pasilidad ng pagwawasto ay karaniwang kinakailangan na magkaroon ng mga patakaran at mga pamamaraan ng karaingan para sa pagtugon sa mga reklamo sa sekswal na pagsasamantala. Maaaring gamitin ng mga bilanggo ang mga pamamaraang ito upang mag-ulat ng mga insidente at humingi ng resolusyon.
6. **Prisoner Litigation Reform Act (PLRA):**
- Ang Prison Litigation Reform Act sa U.S. ay nagpapataw ng ilang partikular na kinakailangan sa pamamaraan sa mga bilanggo na nagdadala ng mga legal na aksyon, ngunit hindi nito inaalis ang kakayahang magdemanda para sa mga paglabag sa mga karapatan sa konstitusyon, kabilang ang mga paghahabol na nauugnay sa sekswal na pagsasamantala.
7. **Mga Proteksyon sa Whistleblower:**
- Ang ilang mga hurisdiksyon ay may mga proteksyon ng whistleblower na pumoprotekta sa mga indibidwal mula sa paghihiganti para sa pag-uulat ng mga pagkakataon ng sekswal na pagsasamantala o pang-aabuso sa mga pasilidad ng pagwawasto.
8. **Mga Serbisyo sa Pagtataguyod at Suporta sa Biktima:**
- Maaaring magkaroon ng adbokasiya ng biktima at mga serbisyo ng suporta para sa mga indibidwal na nakaranas ng sekswal na pagsasamantala habang nakakulong. Ang mga serbisyong ito ay maaaring tumulong sa pagpapayo, pangangalagang medikal, at legal na suporta.
9. **Mga Paghahabla sa Class Action:**
- Sa ilang mga kaso, ang mga indibidwal na nakaranas ng seksuwal na pagsasamantala sa mga correctional facility ay maaaring magdala ng class action lawsuits upang tugunan ang mga sistematikong isyu at humingi ng mga reporma sa pagtrato sa mga bilanggo.
Napakahalaga para sa mga indibidwal na nakaranas ng seksuwal na pagsasamantala habang nakakulong na kumonsulta sa mga abogadong dalubhasa sa mga karapatang sibil o mga karapatan ng bilanggo. Ang mga legal na propesyonal ay maaaring makatulong sa pag-navigate sa masalimuot na legal na tanawin, magbigay ng patnubay sa mga magagamit na legal na remedyo, at itaguyod ang mga karapatan ng mga taong sumailalim sa sekswal na pagsasamantala sa loob ng criminal justice system.</v>
      </c>
      <c r="F748" s="2">
        <f t="shared" si="1"/>
        <v>0</v>
      </c>
      <c r="G748" s="2"/>
      <c r="H748" s="2"/>
      <c r="I748" s="2"/>
      <c r="J748" s="2"/>
      <c r="K748" s="2"/>
      <c r="L748" s="2"/>
      <c r="M748" s="2"/>
      <c r="N748" s="2"/>
      <c r="O748" s="2"/>
      <c r="P748" s="2"/>
      <c r="Q748" s="2"/>
      <c r="R748" s="2"/>
      <c r="S748" s="2"/>
      <c r="T748" s="2"/>
      <c r="U748" s="2"/>
      <c r="V748" s="2"/>
      <c r="W748" s="2"/>
      <c r="X748" s="2"/>
      <c r="Y748" s="2"/>
      <c r="Z748" s="2"/>
      <c r="AA748" s="2"/>
    </row>
    <row r="749">
      <c r="A749" s="3" t="s">
        <v>2010</v>
      </c>
      <c r="B749" s="1" t="s">
        <v>2460</v>
      </c>
      <c r="C749" s="1" t="s">
        <v>2461</v>
      </c>
      <c r="D749" s="1" t="s">
        <v>2462</v>
      </c>
      <c r="E749" s="2" t="str">
        <f>IFERROR(__xludf.DUMMYFUNCTION("GOOGLETRANSLATE(C749, ""en"", ""TL"")"),"Kung ikaw ay pinagsamantalahan nang sekswal sa anumang konteksto, mahalagang gumawa ng mga hakbang upang protektahan ang iyong mga karapatan at humingi ng hustisya. Narito ang mga pangkalahatang alituntunin na maaaring naaangkop:
1. **Tiyakin ang Iyong Ka"&amp;"ligtasan:**
- Unahin ang iyong kaligtasan at kagalingan. Kung ikaw ay nasa agarang panganib, makipag-ugnayan sa tagapagpatupad ng batas o humingi ng tulong sa isang pinagkakatiwalaang kaibigan, miyembro ng pamilya, o organisasyong sumusuporta.
2. **Preser"&amp;"ba ang Ebidensya:**
- Panatilihin ang anumang ebidensya na may kaugnayan sa sekswal na pagsasamantala. Maaaring kabilang dito ang mga text message, email, litrato, o anumang iba pang dokumentasyon na maaaring suportahan ang iyong kaso.
3. **Humingi ng Med"&amp;"ikal na Atensyon:**
- Kung ikaw ay pisikal na nasaktan o kung may mga alalahanin sa kalusugan na may kaugnayan sa pagsasamantala, humingi kaagad ng medikal na atensyon. Maaaring idokumento ng mga medikal na propesyonal ang mga pinsala, mangolekta ng ebide"&amp;"nsya, at magbigay ng kinakailangang pangangalaga.
4. **Idokumento ang Insidente:**
- Isulat ang isang detalyadong account ng insidente, kabilang ang mga petsa, oras, lokasyon, at sinumang indibidwal na kasangkot. Idokumento ang anumang mga aksyon na ginaw"&amp;"a mo upang labanan o iulat ang pagsasamantala.
5. **Mag-ulat sa Pagpapatupad ng Batas:**
- Iulat ang insidente sa tagapagpatupad ng batas. Ibigay sa kanila ang lahat ng magagamit na impormasyon at ebidensya. Kung naganap ang pagsasamantala sa isang partik"&amp;"ular na lokasyon (hal., lugar ng trabaho, institusyong pang-edukasyon), iulat din ito sa mga kaugnay na awtoridad sa kontekstong iyon.
6. **Humingi ng Suporta:**
- Makipag-ugnayan sa mga kaibigan, pamilya, o mga organisasyong sumusuporta na dalubhasa sa p"&amp;"agtulong sa mga nakaligtas sa sekswal na pagsasamantala. Ang emosyonal na suporta ay maaaring maging mahalaga sa panahon ng proseso ng pagpapagaling.
7. **Makipag-ugnayan sa isang Legal na Propesyonal:**
- Kumonsulta sa isang abogado na dalubhasa sa mga k"&amp;"aso ng sekswal na pagsasamantala, panliligalig, o pag-atake. Maaaring gabayan ka ng isang legal na propesyonal sa iyong mga karapatan, mga potensyal na legal na remedyo, at mga naaangkop na hakbang na dapat gawin.
8. **Alamin ang Iyong Mga Karapatan:**
- "&amp;"Maging pamilyar sa mga nauugnay na batas at regulasyon na nagpoprotekta sa mga indibidwal mula sa sekswal na pagsasamantala sa iyong nasasakupan. Ang pag-unawa sa iyong mga karapatan ay nagbibigay sa iyo ng kapangyarihan upang makagawa ng matalinong mga d"&amp;"esisyon.
9. **I-explore ang Civil Remedies:**
- Bilang karagdagan sa mga kasong kriminal, maaari kang magkaroon ng opsyon na ituloy ang mga remedyo ng sibil. Kumonsulta sa iyong abogado tungkol sa posibilidad na magsampa ng kasong sibil laban sa mga indib"&amp;"idwal o entity na responsable para sa pagsasamantala.
10. **Makipagtulungan sa Mga Pagsisiyasat:**
- Kung maglulunsad ng imbestigasyon ang nagpapatupad ng batas o may-katuturang awtoridad, ganap na makipagtulungan. Magbigay ng anumang impormasyon o tulong"&amp;" na kailangan para suportahan ang imbestigasyon.
11. **Gamitin ang Mga Serbisyo ng Suporta:**
- Samantalahin ang mga serbisyo ng suporta, tulad ng pagpapayo o therapy, upang matugunan ang emosyonal na epekto ng pagsasamantala. Maraming organisasyon ang na"&amp;"gbibigay ng mga mapagkukunan at tulong sa mga nakaligtas.
12. **Unawain ang Batas ng mga Limitasyon:**
- Magkaroon ng kamalayan sa batas ng mga limitasyon para sa mga kriminal at sibil na aksyon na may kaugnayan sa sekswal na pagsasamantala sa iyong huris"&amp;"diksyon. Kumonsulta sa iyong abogado upang matiyak na gagawa ka ng napapanahong aksyon.
13. **Isaalang-alang ang Pag-uulat sa Employer o Institusyon:**
- Kung naganap ang pagsasamantala sa isang partikular na konteksto (hal., lugar ng trabaho, institusyon"&amp;"g pang-edukasyon), iulat ang insidente sa mga nauugnay na awtoridad sa loob ng organisasyong iyon. Maaaring mayroon silang mga panloob na pamamaraan para sa pagtugon sa mga naturang reklamo.
Tandaan na ang paghahanap ng katarungan at pagpapagaling ay isan"&amp;"g personal na paglalakbay, at ang mga indibidwal ay maaaring pumili ng iba't ibang mga landas batay sa kanilang mga kalagayan. Ang pagkonsulta sa mga propesyonal sa legal at suporta ay maaaring magbigay ng gabay na angkop sa iyong partikular na sitwasyon.")</f>
        <v>Kung ikaw ay pinagsamantalahan nang sekswal sa anumang konteksto, mahalagang gumawa ng mga hakbang upang protektahan ang iyong mga karapatan at humingi ng hustisya. Narito ang mga pangkalahatang alituntunin na maaaring naaangkop:
1. **Tiyakin ang Iyong Kaligtasan:**
- Unahin ang iyong kaligtasan at kagalingan. Kung ikaw ay nasa agarang panganib, makipag-ugnayan sa tagapagpatupad ng batas o humingi ng tulong sa isang pinagkakatiwalaang kaibigan, miyembro ng pamilya, o organisasyong sumusuporta.
2. **Preserba ang Ebidensya:**
- Panatilihin ang anumang ebidensya na may kaugnayan sa sekswal na pagsasamantala. Maaaring kabilang dito ang mga text message, email, litrato, o anumang iba pang dokumentasyon na maaaring suportahan ang iyong kaso.
3. **Humingi ng Medikal na Atensyon:**
- Kung ikaw ay pisikal na nasaktan o kung may mga alalahanin sa kalusugan na may kaugnayan sa pagsasamantala, humingi kaagad ng medikal na atensyon. Maaaring idokumento ng mga medikal na propesyonal ang mga pinsala, mangolekta ng ebidensya, at magbigay ng kinakailangang pangangalaga.
4. **Idokumento ang Insidente:**
- Isulat ang isang detalyadong account ng insidente, kabilang ang mga petsa, oras, lokasyon, at sinumang indibidwal na kasangkot. Idokumento ang anumang mga aksyon na ginawa mo upang labanan o iulat ang pagsasamantala.
5. **Mag-ulat sa Pagpapatupad ng Batas:**
- Iulat ang insidente sa tagapagpatupad ng batas. Ibigay sa kanila ang lahat ng magagamit na impormasyon at ebidensya. Kung naganap ang pagsasamantala sa isang partikular na lokasyon (hal., lugar ng trabaho, institusyong pang-edukasyon), iulat din ito sa mga kaugnay na awtoridad sa kontekstong iyon.
6. **Humingi ng Suporta:**
- Makipag-ugnayan sa mga kaibigan, pamilya, o mga organisasyong sumusuporta na dalubhasa sa pagtulong sa mga nakaligtas sa sekswal na pagsasamantala. Ang emosyonal na suporta ay maaaring maging mahalaga sa panahon ng proseso ng pagpapagaling.
7. **Makipag-ugnayan sa isang Legal na Propesyonal:**
- Kumonsulta sa isang abogado na dalubhasa sa mga kaso ng sekswal na pagsasamantala, panliligalig, o pag-atake. Maaaring gabayan ka ng isang legal na propesyonal sa iyong mga karapatan, mga potensyal na legal na remedyo, at mga naaangkop na hakbang na dapat gawin.
8. **Alamin ang Iyong Mga Karapatan:**
- Maging pamilyar sa mga nauugnay na batas at regulasyon na nagpoprotekta sa mga indibidwal mula sa sekswal na pagsasamantala sa iyong nasasakupan. Ang pag-unawa sa iyong mga karapatan ay nagbibigay sa iyo ng kapangyarihan upang makagawa ng matalinong mga desisyon.
9. **I-explore ang Civil Remedies:**
- Bilang karagdagan sa mga kasong kriminal, maaari kang magkaroon ng opsyon na ituloy ang mga remedyo ng sibil. Kumonsulta sa iyong abogado tungkol sa posibilidad na magsampa ng kasong sibil laban sa mga indibidwal o entity na responsable para sa pagsasamantala.
10. **Makipagtulungan sa Mga Pagsisiyasat:**
- Kung maglulunsad ng imbestigasyon ang nagpapatupad ng batas o may-katuturang awtoridad, ganap na makipagtulungan. Magbigay ng anumang impormasyon o tulong na kailangan para suportahan ang imbestigasyon.
11. **Gamitin ang Mga Serbisyo ng Suporta:**
- Samantalahin ang mga serbisyo ng suporta, tulad ng pagpapayo o therapy, upang matugunan ang emosyonal na epekto ng pagsasamantala. Maraming organisasyon ang nagbibigay ng mga mapagkukunan at tulong sa mga nakaligtas.
12. **Unawain ang Batas ng mga Limitasyon:**
- Magkaroon ng kamalayan sa batas ng mga limitasyon para sa mga kriminal at sibil na aksyon na may kaugnayan sa sekswal na pagsasamantala sa iyong hurisdiksyon. Kumonsulta sa iyong abogado upang matiyak na gagawa ka ng napapanahong aksyon.
13. **Isaalang-alang ang Pag-uulat sa Employer o Institusyon:**
- Kung naganap ang pagsasamantala sa isang partikular na konteksto (hal., lugar ng trabaho, institusyong pang-edukasyon), iulat ang insidente sa mga nauugnay na awtoridad sa loob ng organisasyong iyon. Maaaring mayroon silang mga panloob na pamamaraan para sa pagtugon sa mga naturang reklamo.
Tandaan na ang paghahanap ng katarungan at pagpapagaling ay isang personal na paglalakbay, at ang mga indibidwal ay maaaring pumili ng iba't ibang mga landas batay sa kanilang mga kalagayan. Ang pagkonsulta sa mga propesyonal sa legal at suporta ay maaaring magbigay ng gabay na angkop sa iyong partikular na sitwasyon.</v>
      </c>
      <c r="F749" s="2">
        <f t="shared" si="1"/>
        <v>0</v>
      </c>
      <c r="G749" s="2"/>
      <c r="H749" s="2"/>
      <c r="I749" s="2"/>
      <c r="J749" s="2"/>
      <c r="K749" s="2"/>
      <c r="L749" s="2"/>
      <c r="M749" s="2"/>
      <c r="N749" s="2"/>
      <c r="O749" s="2"/>
      <c r="P749" s="2"/>
      <c r="Q749" s="2"/>
      <c r="R749" s="2"/>
      <c r="S749" s="2"/>
      <c r="T749" s="2"/>
      <c r="U749" s="2"/>
      <c r="V749" s="2"/>
      <c r="W749" s="2"/>
      <c r="X749" s="2"/>
      <c r="Y749" s="2"/>
      <c r="Z749" s="2"/>
      <c r="AA749" s="2"/>
    </row>
    <row r="750">
      <c r="A750" s="3" t="s">
        <v>2010</v>
      </c>
      <c r="B750" s="1" t="s">
        <v>2463</v>
      </c>
      <c r="C750" s="1" t="s">
        <v>2464</v>
      </c>
      <c r="D750" s="1" t="s">
        <v>2465</v>
      </c>
      <c r="E750" s="2" t="str">
        <f>IFERROR(__xludf.DUMMYFUNCTION("GOOGLETRANSLATE(C750, ""en"", ""TL"")"),"Oo, maaari kang magkaroon ng mga legal na opsyon upang idemanda ang isang tao para sa pagkalat ng maling impormasyon tungkol sa iyo online. Ang mga batas sa paninirang-puri ay karaniwang sumasaklaw sa mga maling pahayag na nakakasira sa reputasyon ng isan"&amp;"g indibidwal. Ang paninirang-puri ay maaaring magkaroon ng dalawang anyo:
1. **Libel:**
- Ang libel ay tumutukoy sa mga nakasulat o nai-publish na maling pahayag, kabilang ang mga ginawa online sa pamamagitan ng social media, mga blog, o iba pang mga digi"&amp;"tal na platform.
2. **Slander:**
- Ang paninirang-puri ay tumutukoy sa mga binigkas na maling pahayag. Bagama't hindi ito direktang nauugnay sa online na komunikasyon, ito ay nagkakahalaga ng pagbanggit dahil saklaw nito ang mga maling binigkas na pahayag"&amp;" na maaaring magkaroon ng reputasyon na kahihinatnan.
Upang ituloy ang isang demanda sa paninirang-puri, karaniwang kailangan mong patunayan ang mga sumusunod na elemento:
1. **Maling Pahayag:**
- Ang impormasyong kumakalat tungkol sa iyo ay dapat na hind"&amp;"i totoo. Ang katotohanan sa pangkalahatan ay isang kumpletong depensa laban sa mga pag-aangkin ng paninirang-puri.
2. **Publikasyon:**
- Ang maling pahayag ay dapat ipaalam sa isang ikatlong partido. Ang pag-post ng impormasyon sa online, kahit sa social "&amp;"media, ay maaaring matupad ang kinakailangan sa publikasyon.
3. **Kapinsalaan:**
- Dapat mong ipakita na ang maling pahayag ay nagdulot ng pinsala sa iyong reputasyon. Ang pinsalang ito ay maaaring pinsala sa reputasyon, pagkawala ng mga pagkakataon sa tr"&amp;"abaho, o iba pang nakikitang kahihinatnan.
4. **Unprivileged Statement:**
- Ang maling pahayag ay hindi dapat protektahan ng pribilehiyo. Halimbawa, ang mga pahayag na ginawa sa mga courtroom o ilang mga setting ng pambatasan ay maaaring may pribilehiyo a"&amp;"t protektado.
5. **Pabaya o Malice (sa ilang mga kaso):**
- Depende sa hurisdiksyon, maaaring kailanganin mong ipakita na ang taong gumagawa ng maling pahayag ay kumilos nang pabaya o may aktwal na malisya (alam na ang pahayag ay mali o may walang ingat n"&amp;"a pagwawalang-bahala sa katotohanan).
Bago magpatuloy sa isang kaso, isaalang-alang ang mga sumusunod na hakbang:
1. **Idokumento ang Mga Maling Pahayag:**
- Panatilihin ang ebidensya ng mga maling pahayag, kabilang ang mga screenshot, link, o anumang iba"&amp;" pang nauugnay na impormasyon.
2. **Liham ng Pagtigil at Pagtigil:**
- Sa ilang mga kaso, ang pagpapadala ng liham ng pagtigil at pagtigil sa pamamagitan ng isang abogado ay maaaring mag-udyok sa indibidwal na alisin ang mga maling pahayag at itigil ang k"&amp;"anilang mga aksyon.
3. **Kumonsulta sa isang Abugado:**
- Kumonsulta sa isang abogadong may karanasan sa mga kaso ng paninirang-puri. Maaari nilang tasahin ang mga detalye ng iyong sitwasyon, payuhan ka sa lakas ng iyong kaso, at gabayan ka sa legal na pr"&amp;"oseso.
4. **Paglilimita sa mga Pinsala:**
- Isaalang-alang kung ang paghahabol ng legal na aksyon ay ang pinakamahusay na paraan ng pagkilos, dahil ang mga legal na paglilitis ay maaaring nakakaubos ng oras at nakakapagod ng damdamin. Minsan, ang isang pr"&amp;"ibadong resolution ay maaaring mas mainam.
Mahalagang tandaan na ang mga batas sa paninirang-puri ay maaaring mag-iba ayon sa hurisdiksyon, kaya ang mga partikular na legal na pamantayan at kinakailangan ay maaaring mag-iba depende sa kung saan ka nakatir"&amp;"a. Ang pagkonsulta sa isang lokal na abogado ay mahalaga para sa pag-unawa sa mga legal na opsyon na magagamit mo at ang posibilidad na magtagumpay sa paghabol sa isang paghahabol sa paninirang-puri.")</f>
        <v>Oo, maaari kang magkaroon ng mga legal na opsyon upang idemanda ang isang tao para sa pagkalat ng maling impormasyon tungkol sa iyo online. Ang mga batas sa paninirang-puri ay karaniwang sumasaklaw sa mga maling pahayag na nakakasira sa reputasyon ng isang indibidwal. Ang paninirang-puri ay maaaring magkaroon ng dalawang anyo:
1. **Libel:**
- Ang libel ay tumutukoy sa mga nakasulat o nai-publish na maling pahayag, kabilang ang mga ginawa online sa pamamagitan ng social media, mga blog, o iba pang mga digital na platform.
2. **Slander:**
- Ang paninirang-puri ay tumutukoy sa mga binigkas na maling pahayag. Bagama't hindi ito direktang nauugnay sa online na komunikasyon, ito ay nagkakahalaga ng pagbanggit dahil saklaw nito ang mga maling binigkas na pahayag na maaaring magkaroon ng reputasyon na kahihinatnan.
Upang ituloy ang isang demanda sa paninirang-puri, karaniwang kailangan mong patunayan ang mga sumusunod na elemento:
1. **Maling Pahayag:**
- Ang impormasyong kumakalat tungkol sa iyo ay dapat na hindi totoo. Ang katotohanan sa pangkalahatan ay isang kumpletong depensa laban sa mga pag-aangkin ng paninirang-puri.
2. **Publikasyon:**
- Ang maling pahayag ay dapat ipaalam sa isang ikatlong partido. Ang pag-post ng impormasyon sa online, kahit sa social media, ay maaaring matupad ang kinakailangan sa publikasyon.
3. **Kapinsalaan:**
- Dapat mong ipakita na ang maling pahayag ay nagdulot ng pinsala sa iyong reputasyon. Ang pinsalang ito ay maaaring pinsala sa reputasyon, pagkawala ng mga pagkakataon sa trabaho, o iba pang nakikitang kahihinatnan.
4. **Unprivileged Statement:**
- Ang maling pahayag ay hindi dapat protektahan ng pribilehiyo. Halimbawa, ang mga pahayag na ginawa sa mga courtroom o ilang mga setting ng pambatasan ay maaaring may pribilehiyo at protektado.
5. **Pabaya o Malice (sa ilang mga kaso):**
- Depende sa hurisdiksyon, maaaring kailanganin mong ipakita na ang taong gumagawa ng maling pahayag ay kumilos nang pabaya o may aktwal na malisya (alam na ang pahayag ay mali o may walang ingat na pagwawalang-bahala sa katotohanan).
Bago magpatuloy sa isang kaso, isaalang-alang ang mga sumusunod na hakbang:
1. **Idokumento ang Mga Maling Pahayag:**
- Panatilihin ang ebidensya ng mga maling pahayag, kabilang ang mga screenshot, link, o anumang iba pang nauugnay na impormasyon.
2. **Liham ng Pagtigil at Pagtigil:**
- Sa ilang mga kaso, ang pagpapadala ng liham ng pagtigil at pagtigil sa pamamagitan ng isang abogado ay maaaring mag-udyok sa indibidwal na alisin ang mga maling pahayag at itigil ang kanilang mga aksyon.
3. **Kumonsulta sa isang Abugado:**
- Kumonsulta sa isang abogadong may karanasan sa mga kaso ng paninirang-puri. Maaari nilang tasahin ang mga detalye ng iyong sitwasyon, payuhan ka sa lakas ng iyong kaso, at gabayan ka sa legal na proseso.
4. **Paglilimita sa mga Pinsala:**
- Isaalang-alang kung ang paghahabol ng legal na aksyon ay ang pinakamahusay na paraan ng pagkilos, dahil ang mga legal na paglilitis ay maaaring nakakaubos ng oras at nakakapagod ng damdamin. Minsan, ang isang pribadong resolution ay maaaring mas mainam.
Mahalagang tandaan na ang mga batas sa paninirang-puri ay maaaring mag-iba ayon sa hurisdiksyon, kaya ang mga partikular na legal na pamantayan at kinakailangan ay maaaring mag-iba depende sa kung saan ka nakatira. Ang pagkonsulta sa isang lokal na abogado ay mahalaga para sa pag-unawa sa mga legal na opsyon na magagamit mo at ang posibilidad na magtagumpay sa paghabol sa isang paghahabol sa paninirang-puri.</v>
      </c>
      <c r="F750" s="2">
        <f t="shared" si="1"/>
        <v>0</v>
      </c>
      <c r="G750" s="2"/>
      <c r="H750" s="2"/>
      <c r="I750" s="2"/>
      <c r="J750" s="2"/>
      <c r="K750" s="2"/>
      <c r="L750" s="2"/>
      <c r="M750" s="2"/>
      <c r="N750" s="2"/>
      <c r="O750" s="2"/>
      <c r="P750" s="2"/>
      <c r="Q750" s="2"/>
      <c r="R750" s="2"/>
      <c r="S750" s="2"/>
      <c r="T750" s="2"/>
      <c r="U750" s="2"/>
      <c r="V750" s="2"/>
      <c r="W750" s="2"/>
      <c r="X750" s="2"/>
      <c r="Y750" s="2"/>
      <c r="Z750" s="2"/>
      <c r="AA750" s="2"/>
    </row>
    <row r="751">
      <c r="A751" s="3" t="s">
        <v>2010</v>
      </c>
      <c r="B751" s="1" t="s">
        <v>2466</v>
      </c>
      <c r="C751" s="1" t="s">
        <v>2467</v>
      </c>
      <c r="D751" s="1" t="s">
        <v>2468</v>
      </c>
      <c r="E751" s="2" t="str">
        <f>IFERROR(__xludf.DUMMYFUNCTION("GOOGLETRANSLATE(C751, ""en"", ""TL"")"),"Kung may nag-post ng maling impormasyon tungkol sa iyong negosyo online, maaaring mayroon kang mga legal na opsyon upang matugunan ang sitwasyon. Narito ang ilang potensyal na legal na aksyon na maaari mong isaalang-alang:
1. **Liham ng Pagtigil at Pagtig"&amp;"il:**
- Magsimula sa pamamagitan ng pagpapadala ng cease and desist letter sa indibidwal na responsable para sa mga maling pahayag. Ang liham na ito, na karaniwang ginawa ng isang abogado, ay humihiling na ihinto nila ang pagkalat ng maling impormasyon tu"&amp;"ngkol sa iyong negosyo at maaaring humiling ng pampublikong pagbawi.
2. **Makipag-ugnayan sa Platform:**
- Kung ang maling impormasyon ay nai-post sa isang third-party na platform, makipag-ugnayan sa mga administrator o content moderator ng platform. Mara"&amp;"ming mga platform ang may mga patakaran laban sa pagkalat ng maling impormasyon, at maaari silang gumawa ng aksyon upang alisin o paghigpitan ang nilalaman.
3. **Online na Defamation Law:**
- Pag-isipang magsampa ng kaso para sa online na paninirang-puri "&amp;"kung ang mga maling pahayag ay nagdulot ng pinsala sa reputasyon ng iyong negosyo. Upang magtagumpay sa isang paghahabol sa paninirang-puri, karaniwang kailangan mong patunayan na ang mga pahayag ay hindi totoo, nagdulot ng pinsala, at nakakatugon sa iba "&amp;"pang mga legal na elemento na partikular sa paninirang-puri.
4. **Injunctive Relief:**
- Bilang karagdagan sa paghingi ng mga pinsala, maaari kang humiling ng injunctive relief para pigilan ang indibidwal sa patuloy na pagkalat ng maling impormasyon tungk"&amp;"ol sa iyong negosyo. Ang injunction ay isang utos ng hukuman na maaaring maiwasan ang karagdagang pinsala.
5. **Pag-iingat ng Ebidensya:**
- Panatilihin ang ebidensya ng mga maling pahayag, kabilang ang mga screenshot, link, o anumang iba pang nauugnay na"&amp;" impormasyon. Maaaring mahalaga ang ebidensyang ito kung magpasya kang magsagawa ng legal na aksyon.
6. **Kumonsulta sa isang Abogado:**
- Kumonsulta sa isang abogado na dalubhasa sa paninirang-puri o batas sa internet. Maaari silang magbigay ng legal na "&amp;"payo, tasahin ang lakas ng iyong kaso, at gabayan ka sa legal na proseso.
7. **Mga Istratehiya sa Pamamahala ng Reputasyon:**
- Magpatupad ng mga diskarte sa pamamahala ng reputasyon upang kontrahin ang maling impormasyon. Maaaring kabilang dito ang pagli"&amp;"kha ng positibong content tungkol sa iyong negosyo, pakikipag-ugnayan sa mga customer nang positibo, at aktibong pagtugon sa mga alalahaning ibinangon ng maling impormasyon.
8. **Pagtanggal ng Digital Millennium Copyright Act (DMCA):**
- Kung ang maling i"&amp;"mpormasyon ay nagsasangkot ng paglabag sa copyright (hal., hindi awtorisadong paggamit ng iyong naka-copyright na materyal), maaari mong isaalang-alang ang isang paunawa sa pagtanggal ng DMCA upang maalis ang lumalabag na nilalaman.
9. **Reklamo ng Federa"&amp;"l Trade Commission (FTC):**
- Kung ang maling impormasyon ay nagsasangkot ng mga mapanlinlang na kasanayan sa negosyo, maaari kang magsampa ng reklamo sa Federal Trade Commission (FTC). Ang FTC ay nag-iimbestiga at gumagawa ng aksyon laban sa mapanlinlang"&amp;" o hindi patas na mga gawi sa negosyo.
Mahalagang tandaan na ang mga batas na pumapalibot sa paninirang-puri at online na pag-uugali ay maaaring mag-iba ayon sa hurisdiksyon. Ang pagkonsulta sa isang abogadong pamilyar sa mga batas sa iyong hurisdiksyon a"&amp;"y mahalaga para maunawaan ang iyong mga karapatan at matuklasan ang pinakamabisang legal na aksyon na gagawin laban sa maling impormasyon tungkol sa iyong negosyo.")</f>
        <v>Kung may nag-post ng maling impormasyon tungkol sa iyong negosyo online, maaaring mayroon kang mga legal na opsyon upang matugunan ang sitwasyon. Narito ang ilang potensyal na legal na aksyon na maaari mong isaalang-alang:
1. **Liham ng Pagtigil at Pagtigil:**
- Magsimula sa pamamagitan ng pagpapadala ng cease and desist letter sa indibidwal na responsable para sa mga maling pahayag. Ang liham na ito, na karaniwang ginawa ng isang abogado, ay humihiling na ihinto nila ang pagkalat ng maling impormasyon tungkol sa iyong negosyo at maaaring humiling ng pampublikong pagbawi.
2. **Makipag-ugnayan sa Platform:**
- Kung ang maling impormasyon ay nai-post sa isang third-party na platform, makipag-ugnayan sa mga administrator o content moderator ng platform. Maraming mga platform ang may mga patakaran laban sa pagkalat ng maling impormasyon, at maaari silang gumawa ng aksyon upang alisin o paghigpitan ang nilalaman.
3. **Online na Defamation Law:**
- Pag-isipang magsampa ng kaso para sa online na paninirang-puri kung ang mga maling pahayag ay nagdulot ng pinsala sa reputasyon ng iyong negosyo. Upang magtagumpay sa isang paghahabol sa paninirang-puri, karaniwang kailangan mong patunayan na ang mga pahayag ay hindi totoo, nagdulot ng pinsala, at nakakatugon sa iba pang mga legal na elemento na partikular sa paninirang-puri.
4. **Injunctive Relief:**
- Bilang karagdagan sa paghingi ng mga pinsala, maaari kang humiling ng injunctive relief para pigilan ang indibidwal sa patuloy na pagkalat ng maling impormasyon tungkol sa iyong negosyo. Ang injunction ay isang utos ng hukuman na maaaring maiwasan ang karagdagang pinsala.
5. **Pag-iingat ng Ebidensya:**
- Panatilihin ang ebidensya ng mga maling pahayag, kabilang ang mga screenshot, link, o anumang iba pang nauugnay na impormasyon. Maaaring mahalaga ang ebidensyang ito kung magpasya kang magsagawa ng legal na aksyon.
6. **Kumonsulta sa isang Abogado:**
- Kumonsulta sa isang abogado na dalubhasa sa paninirang-puri o batas sa internet. Maaari silang magbigay ng legal na payo, tasahin ang lakas ng iyong kaso, at gabayan ka sa legal na proseso.
7. **Mga Istratehiya sa Pamamahala ng Reputasyon:**
- Magpatupad ng mga diskarte sa pamamahala ng reputasyon upang kontrahin ang maling impormasyon. Maaaring kabilang dito ang paglikha ng positibong content tungkol sa iyong negosyo, pakikipag-ugnayan sa mga customer nang positibo, at aktibong pagtugon sa mga alalahaning ibinangon ng maling impormasyon.
8. **Pagtanggal ng Digital Millennium Copyright Act (DMCA):**
- Kung ang maling impormasyon ay nagsasangkot ng paglabag sa copyright (hal., hindi awtorisadong paggamit ng iyong naka-copyright na materyal), maaari mong isaalang-alang ang isang paunawa sa pagtanggal ng DMCA upang maalis ang lumalabag na nilalaman.
9. **Reklamo ng Federal Trade Commission (FTC):**
- Kung ang maling impormasyon ay nagsasangkot ng mga mapanlinlang na kasanayan sa negosyo, maaari kang magsampa ng reklamo sa Federal Trade Commission (FTC). Ang FTC ay nag-iimbestiga at gumagawa ng aksyon laban sa mapanlinlang o hindi patas na mga gawi sa negosyo.
Mahalagang tandaan na ang mga batas na pumapalibot sa paninirang-puri at online na pag-uugali ay maaaring mag-iba ayon sa hurisdiksyon. Ang pagkonsulta sa isang abogadong pamilyar sa mga batas sa iyong hurisdiksyon ay mahalaga para maunawaan ang iyong mga karapatan at matuklasan ang pinakamabisang legal na aksyon na gagawin laban sa maling impormasyon tungkol sa iyong negosyo.</v>
      </c>
      <c r="F751" s="2">
        <f t="shared" si="1"/>
        <v>0</v>
      </c>
      <c r="G751" s="2"/>
      <c r="H751" s="2"/>
      <c r="I751" s="2"/>
      <c r="J751" s="2"/>
      <c r="K751" s="2"/>
      <c r="L751" s="2"/>
      <c r="M751" s="2"/>
      <c r="N751" s="2"/>
      <c r="O751" s="2"/>
      <c r="P751" s="2"/>
      <c r="Q751" s="2"/>
      <c r="R751" s="2"/>
      <c r="S751" s="2"/>
      <c r="T751" s="2"/>
      <c r="U751" s="2"/>
      <c r="V751" s="2"/>
      <c r="W751" s="2"/>
      <c r="X751" s="2"/>
      <c r="Y751" s="2"/>
      <c r="Z751" s="2"/>
      <c r="AA751" s="2"/>
    </row>
    <row r="752">
      <c r="A752" s="3" t="s">
        <v>2010</v>
      </c>
      <c r="B752" s="1" t="s">
        <v>2469</v>
      </c>
      <c r="C752" s="1" t="s">
        <v>2470</v>
      </c>
      <c r="D752" s="1" t="s">
        <v>2471</v>
      </c>
      <c r="E752" s="2" t="str">
        <f>IFERROR(__xludf.DUMMYFUNCTION("GOOGLETRANSLATE(C752, ""en"", ""TL"")"),"Ang pagpapatunay na hindi totoo ang impormasyong kumakalat tungkol sa iyo online ay maaaring mangailangan ng pangangalap at pagpapakita ng ebidensya upang ipakita ang mga kamalian o kasinungalingan. Narito ang mga hakbang na maaari mong gawin upang matuko"&amp;"y ang kamalian ng impormasyon:
1. **Mangolekta ng Ebidensya:**
- Ipunin ang lahat ng magagamit na ebidensya na sumusuporta sa iyong posisyon. Maaaring kabilang dito ang mga screenshot, naka-archive na web page, o anumang iba pang digital record na malinaw"&amp;" na nagpapakita ng maling impormasyon.
2. **Ihambing sa Mga Katotohanan:**
- Ihambing ang maling impormasyon sa mga itinatag na katotohanan. Magbigay ng konkretong ebidensya, gaya ng mga opisyal na dokumento, pahayag, o iba pang mapagkakatiwalaang source "&amp;"na sumasalungat sa mga maling pahayag.
3. **Mga Pahayag ng Saksi:**
- Kung may mga saksi na makapagpapatunay sa kamalian ng impormasyon, isaalang-alang ang pagkuha ng mga pahayag o affidavit mula sa kanila. Ang mga pahayag ng saksi ay maaaring magbigay ng"&amp;" karagdagang suporta para sa iyong kaso.
4. **Mga Opinyon ng Dalubhasa:**
- Sa ilang mga kaso, maaaring may kaugnayan ang mga opinyon ng eksperto. Halimbawa, kung ang maling impormasyon ay nagsasangkot ng mga teknikal na detalye, ang pagkakaroon ng eksper"&amp;"to sa nauugnay na larangan na magbigay ng opinyon ay maaaring magpatibay sa iyong kaso.
5. **Pagpapatunay ng Ebidensya:**
- Tiyakin na ang ebidensya na iyong ihaharap ay tunay at katanggap-tanggap sa mga legal na paglilitis. Maaaring kabilang dito ang pag"&amp;"-verify sa pinagmulan ng ebidensya at pagtatatag ng pagiging maaasahan nito.
6. **Mga Timeline ng Dokumento:**
- Gumawa ng timeline na nagbabalangkas sa pag-usad ng mga kaganapang nauugnay sa maling impormasyon. Makakatulong ito na matukoy kung kailan gin"&amp;"awa ang mga maling pahayag, kung paano sila umunlad, at anumang mga kasunod na aksyong ginawa upang matugunan ang mga ito.
7. **Mga Screen Capture at Archive:**
- Kung ang maling impormasyon ay kumalat online, gumamit ng mga screen capture o archive upang"&amp;" idokumento ang pagkakaroon ng maling nilalaman. Ang mga rekord na ito ay maaaring maging mahalagang ebidensya, lalo na kung ang maling impormasyon ay aalisin o binago sa ibang pagkakataon.
8. **Mga Pampublikong Tala:**
- Kung ang maling impormasyon ay na"&amp;"uugnay sa mga partikular na kaganapan o katotohanan na maaaring ma-verify sa pamamagitan ng mga pampublikong rekord, kunin at ipakita ang mga rekord na iyon upang suportahan ang iyong kaso.
9. **Mga Dalubhasang Saksi:**
- Depende sa uri ng maling impormas"&amp;"yon, maaari mong isaalang-alang ang pagkonsulta sa mga ekspertong saksi na maaaring tumestigo sa mga kamalian. Halimbawa, maaaring masuri ng isang forensic expert ang digital evidence.
10. **Consistency ng mga Pahayag:**
- I-highlight ang anumang hindi pa"&amp;"gkakapare-pareho o kontradiksyon sa mga pahayag na ginawa ng mga nagpapakalat ng maling impormasyon. Maaaring masira nito ang kredibilidad ng mga pinagmumulan.
11. **Legal na Tulong:**
- Kumonsulta sa isang abogado na dalubhasa sa paninirang-puri o batas "&amp;"sa internet. Maaari silang magbigay ng gabay sa uri ng ebidensya na kailangan at tulungan kang mag-navigate sa mga legal na paglilitis.
Tandaan na ang mga batas na pumapalibot sa paninirang-puri at mga maling pahayag ay maaaring mag-iba ayon sa hurisdiksy"&amp;"on, kaya mahalagang maunawaan ang mga legal na pamantayan na naaangkop sa iyong sitwasyon. Ang pagpapakita ng isang mahusay na dokumentado at nakakahimok na kaso na may malinaw na ebidensya ay magpapalakas sa iyong posisyon kapag tumutugon sa maling impor"&amp;"masyon online.")</f>
        <v>Ang pagpapatunay na hindi totoo ang impormasyong kumakalat tungkol sa iyo online ay maaaring mangailangan ng pangangalap at pagpapakita ng ebidensya upang ipakita ang mga kamalian o kasinungalingan. Narito ang mga hakbang na maaari mong gawin upang matukoy ang kamalian ng impormasyon:
1. **Mangolekta ng Ebidensya:**
- Ipunin ang lahat ng magagamit na ebidensya na sumusuporta sa iyong posisyon. Maaaring kabilang dito ang mga screenshot, naka-archive na web page, o anumang iba pang digital record na malinaw na nagpapakita ng maling impormasyon.
2. **Ihambing sa Mga Katotohanan:**
- Ihambing ang maling impormasyon sa mga itinatag na katotohanan. Magbigay ng konkretong ebidensya, gaya ng mga opisyal na dokumento, pahayag, o iba pang mapagkakatiwalaang source na sumasalungat sa mga maling pahayag.
3. **Mga Pahayag ng Saksi:**
- Kung may mga saksi na makapagpapatunay sa kamalian ng impormasyon, isaalang-alang ang pagkuha ng mga pahayag o affidavit mula sa kanila. Ang mga pahayag ng saksi ay maaaring magbigay ng karagdagang suporta para sa iyong kaso.
4. **Mga Opinyon ng Dalubhasa:**
- Sa ilang mga kaso, maaaring may kaugnayan ang mga opinyon ng eksperto. Halimbawa, kung ang maling impormasyon ay nagsasangkot ng mga teknikal na detalye, ang pagkakaroon ng eksperto sa nauugnay na larangan na magbigay ng opinyon ay maaaring magpatibay sa iyong kaso.
5. **Pagpapatunay ng Ebidensya:**
- Tiyakin na ang ebidensya na iyong ihaharap ay tunay at katanggap-tanggap sa mga legal na paglilitis. Maaaring kabilang dito ang pag-verify sa pinagmulan ng ebidensya at pagtatatag ng pagiging maaasahan nito.
6. **Mga Timeline ng Dokumento:**
- Gumawa ng timeline na nagbabalangkas sa pag-usad ng mga kaganapang nauugnay sa maling impormasyon. Makakatulong ito na matukoy kung kailan ginawa ang mga maling pahayag, kung paano sila umunlad, at anumang mga kasunod na aksyong ginawa upang matugunan ang mga ito.
7. **Mga Screen Capture at Archive:**
- Kung ang maling impormasyon ay kumalat online, gumamit ng mga screen capture o archive upang idokumento ang pagkakaroon ng maling nilalaman. Ang mga rekord na ito ay maaaring maging mahalagang ebidensya, lalo na kung ang maling impormasyon ay aalisin o binago sa ibang pagkakataon.
8. **Mga Pampublikong Tala:**
- Kung ang maling impormasyon ay nauugnay sa mga partikular na kaganapan o katotohanan na maaaring ma-verify sa pamamagitan ng mga pampublikong rekord, kunin at ipakita ang mga rekord na iyon upang suportahan ang iyong kaso.
9. **Mga Dalubhasang Saksi:**
- Depende sa uri ng maling impormasyon, maaari mong isaalang-alang ang pagkonsulta sa mga ekspertong saksi na maaaring tumestigo sa mga kamalian. Halimbawa, maaaring masuri ng isang forensic expert ang digital evidence.
10. **Consistency ng mga Pahayag:**
- I-highlight ang anumang hindi pagkakapare-pareho o kontradiksyon sa mga pahayag na ginawa ng mga nagpapakalat ng maling impormasyon. Maaaring masira nito ang kredibilidad ng mga pinagmumulan.
11. **Legal na Tulong:**
- Kumonsulta sa isang abogado na dalubhasa sa paninirang-puri o batas sa internet. Maaari silang magbigay ng gabay sa uri ng ebidensya na kailangan at tulungan kang mag-navigate sa mga legal na paglilitis.
Tandaan na ang mga batas na pumapalibot sa paninirang-puri at mga maling pahayag ay maaaring mag-iba ayon sa hurisdiksyon, kaya mahalagang maunawaan ang mga legal na pamantayan na naaangkop sa iyong sitwasyon. Ang pagpapakita ng isang mahusay na dokumentado at nakakahimok na kaso na may malinaw na ebidensya ay magpapalakas sa iyong posisyon kapag tumutugon sa maling impormasyon online.</v>
      </c>
      <c r="F752" s="2">
        <f t="shared" si="1"/>
        <v>0</v>
      </c>
      <c r="G752" s="2"/>
      <c r="H752" s="2"/>
      <c r="I752" s="2"/>
      <c r="J752" s="2"/>
      <c r="K752" s="2"/>
      <c r="L752" s="2"/>
      <c r="M752" s="2"/>
      <c r="N752" s="2"/>
      <c r="O752" s="2"/>
      <c r="P752" s="2"/>
      <c r="Q752" s="2"/>
      <c r="R752" s="2"/>
      <c r="S752" s="2"/>
      <c r="T752" s="2"/>
      <c r="U752" s="2"/>
      <c r="V752" s="2"/>
      <c r="W752" s="2"/>
      <c r="X752" s="2"/>
      <c r="Y752" s="2"/>
      <c r="Z752" s="2"/>
      <c r="AA752" s="2"/>
    </row>
    <row r="753">
      <c r="A753" s="3" t="s">
        <v>2010</v>
      </c>
      <c r="B753" s="1" t="s">
        <v>2472</v>
      </c>
      <c r="C753" s="1" t="s">
        <v>2473</v>
      </c>
      <c r="D753" s="1" t="s">
        <v>2474</v>
      </c>
      <c r="E753" s="2" t="str">
        <f>IFERROR(__xludf.DUMMYFUNCTION("GOOGLETRANSLATE(C753, ""en"", ""TL"")"),"Oo, posibleng makakuha ng utos ng hukuman na mag-alis ng maling impormasyon mula sa internet, ngunit maaaring mag-iba ang proseso at pagkakaroon ng mga naturang order batay sa hurisdiksyon at mga legal na prinsipyo. Narito ang mga karaniwang legal na para"&amp;"an kung saan maaari kang humingi ng pag-aalis ng maling impormasyon:
1. **Defamation Defamation:**
- Kung ang maling impormasyon ay bumubuo ng paninirang-puri, maaari kang magsampa ng kaso ng paninirang-puri. Kung matagumpay, maaaring maglabas ang hukuman"&amp;" ng utos (injunction) na nangangailangan ng pag-aalis ng mapanirang-puri na nilalaman. Ang utos sa pag-alis ay maaaring ituro sa mga indibidwal na responsable sa pagkalat ng maling impormasyon o, sa ilang mga kaso, ang platform ng pagho-host.
2. **Utos ng"&amp;" Hukuman Laban sa Platform:**
- Sa ilang hurisdiksyon, maaari kang humingi ng utos ng hukuman nang direkta laban sa internet platform na nagho-host ng maling impormasyon. Maaaring kabilang dito ang paghahain ng legal na aksyon laban sa platform at paghili"&amp;"ng ng injunction na alisin o i-disable ang access sa maling content.
3. **Pagtanggal ng Digital Millennium Copyright Act (DMCA):**
- Kung ang maling impormasyon ay nagsasangkot ng paglabag sa copyright, maaari mong gamitin ang DMCA upang hilingin ang pag-"&amp;"alis ng lumalabag na nilalaman. Nagbibigay ang DMCA ng mekanismo para sa mga may-ari ng copyright na humiling ng pagtanggal ng mga hindi awtorisadong kopya ng kanilang gawa.
4. **Karapatang Makalimutan (European Union):**
- Sa European Union, ang mga indi"&amp;"bidwal ay maaaring may karapatang humiling ng pag-alis ng ilang personal na impormasyon mula sa mga search engine sa ilalim ng ""karapatan na makalimutan."" Ang karapatang ito ay batay sa mga batas sa proteksyon ng data at maaaring hindi nalalapat sa pang"&amp;"kalahatan.
5. **Mga Batas sa Cyber-harassment o Cyberstalking:**
- Kung ang maling impormasyon ay bahagi ng isang mas malawak na pattern ng online na panliligalig o stalking, maaari kang humingi ng mga legal na remedyo sa ilalim ng mga batas sa cyber-hara"&amp;"ssment o cyberstalking. Ang mga batas na ito ay nag-iiba ayon sa hurisdiksyon.
6. **Pagbawi sa Iniutos ng Korte:**
- Sa mga kaso ng paninirang-puri, maaaring ipag-utos ng hukuman hindi lamang ang pag-alis ng maling impormasyon kundi pati na rin ang pagpap"&amp;"alabas ng pagbawi na iniutos ng korte. Maaaring kailanganin ang pagbawi na maipakita nang malinaw, na itinutuwid ang mga maling pahayag.
7. **Dekreto ng Pahintulot o Kasunduan sa Pag-areglo:**
- Sa ilang mga kaso, maaaring maabot ng mga partido ang isang "&amp;"kasunduan o pumasok sa isang utos ng pahintulot na kinabibilangan ng mga tuntunin para sa pag-alis ng maling impormasyon. Maaaring ipatupad ng korte ang mga naturang kasunduan.
Mahalagang tandaan na ang pagkuha ng utos ng hukuman para sa pag-aalis ng mali"&amp;"ng impormasyon ay maaaring isang kumplikadong legal na proseso. Ang pagkonsulta sa isang abogado na dalubhasa sa paninirang-puri, batas sa internet, o mga kaugnay na larangan ay napakahalaga sa pag-unawa sa iyong mga legal na opsyon, sa mga naaangkop na b"&amp;"atas sa iyong nasasakupan, at sa posibilidad na magtagumpay sa pagtupad sa mga naturang utos. Bukod pa rito, ang pagiging epektibo ng mga utos ng hukuman ay maaaring depende sa mga salik tulad ng hurisdiksyon ng hukuman, ang lokasyon ng mga kasangkot na p"&amp;"artido, at ang pakikipagtulungan ng mga internet service provider at platform.")</f>
        <v>Oo, posibleng makakuha ng utos ng hukuman na mag-alis ng maling impormasyon mula sa internet, ngunit maaaring mag-iba ang proseso at pagkakaroon ng mga naturang order batay sa hurisdiksyon at mga legal na prinsipyo. Narito ang mga karaniwang legal na paraan kung saan maaari kang humingi ng pag-aalis ng maling impormasyon:
1. **Defamation Defamation:**
- Kung ang maling impormasyon ay bumubuo ng paninirang-puri, maaari kang magsampa ng kaso ng paninirang-puri. Kung matagumpay, maaaring maglabas ang hukuman ng utos (injunction) na nangangailangan ng pag-aalis ng mapanirang-puri na nilalaman. Ang utos sa pag-alis ay maaaring ituro sa mga indibidwal na responsable sa pagkalat ng maling impormasyon o, sa ilang mga kaso, ang platform ng pagho-host.
2. **Utos ng Hukuman Laban sa Platform:**
- Sa ilang hurisdiksyon, maaari kang humingi ng utos ng hukuman nang direkta laban sa internet platform na nagho-host ng maling impormasyon. Maaaring kabilang dito ang paghahain ng legal na aksyon laban sa platform at paghiling ng injunction na alisin o i-disable ang access sa maling content.
3. **Pagtanggal ng Digital Millennium Copyright Act (DMCA):**
- Kung ang maling impormasyon ay nagsasangkot ng paglabag sa copyright, maaari mong gamitin ang DMCA upang hilingin ang pag-alis ng lumalabag na nilalaman. Nagbibigay ang DMCA ng mekanismo para sa mga may-ari ng copyright na humiling ng pagtanggal ng mga hindi awtorisadong kopya ng kanilang gawa.
4. **Karapatang Makalimutan (European Union):**
- Sa European Union, ang mga indibidwal ay maaaring may karapatang humiling ng pag-alis ng ilang personal na impormasyon mula sa mga search engine sa ilalim ng "karapatan na makalimutan." Ang karapatang ito ay batay sa mga batas sa proteksyon ng data at maaaring hindi nalalapat sa pangkalahatan.
5. **Mga Batas sa Cyber-harassment o Cyberstalking:**
- Kung ang maling impormasyon ay bahagi ng isang mas malawak na pattern ng online na panliligalig o stalking, maaari kang humingi ng mga legal na remedyo sa ilalim ng mga batas sa cyber-harassment o cyberstalking. Ang mga batas na ito ay nag-iiba ayon sa hurisdiksyon.
6. **Pagbawi sa Iniutos ng Korte:**
- Sa mga kaso ng paninirang-puri, maaaring ipag-utos ng hukuman hindi lamang ang pag-alis ng maling impormasyon kundi pati na rin ang pagpapalabas ng pagbawi na iniutos ng korte. Maaaring kailanganin ang pagbawi na maipakita nang malinaw, na itinutuwid ang mga maling pahayag.
7. **Dekreto ng Pahintulot o Kasunduan sa Pag-areglo:**
- Sa ilang mga kaso, maaaring maabot ng mga partido ang isang kasunduan o pumasok sa isang utos ng pahintulot na kinabibilangan ng mga tuntunin para sa pag-alis ng maling impormasyon. Maaaring ipatupad ng korte ang mga naturang kasunduan.
Mahalagang tandaan na ang pagkuha ng utos ng hukuman para sa pag-aalis ng maling impormasyon ay maaaring isang kumplikadong legal na proseso. Ang pagkonsulta sa isang abogado na dalubhasa sa paninirang-puri, batas sa internet, o mga kaugnay na larangan ay napakahalaga sa pag-unawa sa iyong mga legal na opsyon, sa mga naaangkop na batas sa iyong nasasakupan, at sa posibilidad na magtagumpay sa pagtupad sa mga naturang utos. Bukod pa rito, ang pagiging epektibo ng mga utos ng hukuman ay maaaring depende sa mga salik tulad ng hurisdiksyon ng hukuman, ang lokasyon ng mga kasangkot na partido, at ang pakikipagtulungan ng mga internet service provider at platform.</v>
      </c>
      <c r="F753" s="2">
        <f t="shared" si="1"/>
        <v>0</v>
      </c>
      <c r="G753" s="2"/>
      <c r="H753" s="2"/>
      <c r="I753" s="2"/>
      <c r="J753" s="2"/>
      <c r="K753" s="2"/>
      <c r="L753" s="2"/>
      <c r="M753" s="2"/>
      <c r="N753" s="2"/>
      <c r="O753" s="2"/>
      <c r="P753" s="2"/>
      <c r="Q753" s="2"/>
      <c r="R753" s="2"/>
      <c r="S753" s="2"/>
      <c r="T753" s="2"/>
      <c r="U753" s="2"/>
      <c r="V753" s="2"/>
      <c r="W753" s="2"/>
      <c r="X753" s="2"/>
      <c r="Y753" s="2"/>
      <c r="Z753" s="2"/>
      <c r="AA753" s="2"/>
    </row>
    <row r="754">
      <c r="A754" s="3" t="s">
        <v>2010</v>
      </c>
      <c r="B754" s="1" t="s">
        <v>2475</v>
      </c>
      <c r="C754" s="1" t="s">
        <v>2476</v>
      </c>
      <c r="D754" s="1" t="s">
        <v>2477</v>
      </c>
      <c r="E754" s="2" t="str">
        <f>IFERROR(__xludf.DUMMYFUNCTION("GOOGLETRANSLATE(C754, ""en"", ""TL"")"),"Kung naging biktima ka ng maling impormasyon sa online, maaari kang maging karapat-dapat na mag-claim ng iba't ibang uri ng pinsala sa isang legal na aksyon. Ang mga partikular na pinsalang makukuha mo ay maaaring depende sa uri ng maling impormasyon, hur"&amp;"isdiksyon, at mga legal na prinsipyo na naaangkop sa iyong kaso. Narito ang mga karaniwang uri ng pinsala na maaaring hingin ng mga indibidwal sa mga kaso na kinasasangkutan ng maling impormasyon sa online:
1. **Mga Nabayarang Pinsala:**
- Ang mga nabayar"&amp;"ang pinsala ay inilaan upang mabayaran ka para sa aktwal na pinsalang natamo mo dahil sa maling impormasyon. Maaaring kabilang dito ang mga pinsala para sa pinsala sa reputasyon, emosyonal na pagkabalisa, at anumang pagkalugi sa pananalapi na nagreresulta"&amp;" mula sa mga maling pahayag.
2. **Mga Espesyal na Pinsala:**
- Ang mga espesyal na pinsala ay tiyak, nasusukat na pagkalugi na maaaring direktang maiugnay sa maling impormasyon. Maaaring kabilang dito ang mga pagkalugi sa pananalapi, tulad ng mga nawalang"&amp;" pagkakataon sa negosyo o pinsala sa iyong propesyonal na reputasyon.
3. **Mga Pangkalahatang Pinsala:**
- Ang mga pangkalahatang pinsala ay hindi partikular at nilayon upang mabayaran ang higit pang pansariling pinsala, tulad ng emosyonal na pagkabalisa,"&amp;" pinsala sa mga personal na relasyon, o ang epekto sa kagalingan ng pag-iisip.
4. **Panitive Damages:**
- Ang mga punitive damages, na kilala rin bilang exemplary damages, ay iginagawad upang parusahan ang nagkasala para sa partikular na marahas na pag-uu"&amp;"gali. Ang mga pinsalang ito ay hindi lamang compensatory ngunit nilayon upang hadlangan ang katulad na pag-uugali sa hinaharap.
5. **Injunctive Relief:**
- Ang injunctive relief ay nagsasangkot ng utos ng hukuman na itigil ang pagpapakalat ng maling impor"&amp;"masyon o upang hilingin ang pag-alis ng mapanirang-puri na nilalaman. Bagama't hindi mahigpit na nakakapinsala, ang injunctive relief ay maaaring maging isang mabisang lunas upang maiwasan ang patuloy na pinsala.
6. **Mga Pagwawasto na Pahayag o Pagbawi:*"&amp;"*
- Sa ilang mga kaso, maaari kang humingi ng mga pinsala sa anyo ng mga pahayag sa pagwawasto o mga pagbawi. Ito ay nagsasangkot ng isang utos ng hukuman na nag-aatas sa partido na responsable sa pagkalat ng maling impormasyon na iwasto o bawiin sa publi"&amp;"ko ang kanilang mga pahayag.
7. **Mga Legal na Bayarin at Gastos:**
- Kung mananaig ka sa isang legal na aksyon, maaaring may karapatan kang mabawi ang iyong mga makatwirang legal na bayarin at mga gastos sa hukuman na nauugnay sa paghabol sa kaso.
8. **P"&amp;"agkawala ng Mga Oportunidad sa Negosyo:**
- Kung naapektuhan ng maling impormasyon ang iyong negosyo o mga propesyonal na pagkakataon, maaari kang humingi ng mga pinsala para sa pagkawala ng potensyal na kita o mga deal sa negosyo.
9. **Mga Pinsala sa Bat"&amp;"as:**
- Sa ilang hurisdiksyon, ang mga partikular na batas ay maaaring magbigay ng mga pinsala ayon sa batas sa mga kaso ng maling impormasyon. Ang mga pinsalang ito ay mga paunang natukoy na halaga na itinakda ng batas at maaaring hindi nangangailangan n"&amp;"g patunay ng partikular na pinsala.
10. **Kapinsalaan sa Ekonomiya sa Hinaharap:**
- Kung ang maling impormasyon ay malamang na magkaroon ng patuloy na pang-ekonomiyang kahihinatnan, maaari kang mag-claim ng mga pinsala para sa pang-ekonomiyang pinsala sa"&amp;" hinaharap.
Mahalagang kumunsulta sa isang abogadong may karanasan sa paninirang-puri, batas sa internet, o mga kaugnay na larangan upang masuri ang iyong partikular na sitwasyon at maunawaan ang mga uri ng pinsalang magagamit mo. Ang kakayahang magamit a"&amp;"t pagkalkula ng mga pinsala ay maaaring mag-iba ayon sa hurisdiksyon, at ang mga legal na propesyonal ay maaaring magbigay ng gabay na angkop sa iyong kaso.")</f>
        <v>Kung naging biktima ka ng maling impormasyon sa online, maaari kang maging karapat-dapat na mag-claim ng iba't ibang uri ng pinsala sa isang legal na aksyon. Ang mga partikular na pinsalang makukuha mo ay maaaring depende sa uri ng maling impormasyon, hurisdiksyon, at mga legal na prinsipyo na naaangkop sa iyong kaso. Narito ang mga karaniwang uri ng pinsala na maaaring hingin ng mga indibidwal sa mga kaso na kinasasangkutan ng maling impormasyon sa online:
1. **Mga Nabayarang Pinsala:**
- Ang mga nabayarang pinsala ay inilaan upang mabayaran ka para sa aktwal na pinsalang natamo mo dahil sa maling impormasyon. Maaaring kabilang dito ang mga pinsala para sa pinsala sa reputasyon, emosyonal na pagkabalisa, at anumang pagkalugi sa pananalapi na nagreresulta mula sa mga maling pahayag.
2. **Mga Espesyal na Pinsala:**
- Ang mga espesyal na pinsala ay tiyak, nasusukat na pagkalugi na maaaring direktang maiugnay sa maling impormasyon. Maaaring kabilang dito ang mga pagkalugi sa pananalapi, tulad ng mga nawalang pagkakataon sa negosyo o pinsala sa iyong propesyonal na reputasyon.
3. **Mga Pangkalahatang Pinsala:**
- Ang mga pangkalahatang pinsala ay hindi partikular at nilayon upang mabayaran ang higit pang pansariling pinsala, tulad ng emosyonal na pagkabalisa, pinsala sa mga personal na relasyon, o ang epekto sa kagalingan ng pag-iisip.
4. **Panitive Damages:**
- Ang mga punitive damages, na kilala rin bilang exemplary damages, ay iginagawad upang parusahan ang nagkasala para sa partikular na marahas na pag-uugali. Ang mga pinsalang ito ay hindi lamang compensatory ngunit nilayon upang hadlangan ang katulad na pag-uugali sa hinaharap.
5. **Injunctive Relief:**
- Ang injunctive relief ay nagsasangkot ng utos ng hukuman na itigil ang pagpapakalat ng maling impormasyon o upang hilingin ang pag-alis ng mapanirang-puri na nilalaman. Bagama't hindi mahigpit na nakakapinsala, ang injunctive relief ay maaaring maging isang mabisang lunas upang maiwasan ang patuloy na pinsala.
6. **Mga Pagwawasto na Pahayag o Pagbawi:**
- Sa ilang mga kaso, maaari kang humingi ng mga pinsala sa anyo ng mga pahayag sa pagwawasto o mga pagbawi. Ito ay nagsasangkot ng isang utos ng hukuman na nag-aatas sa partido na responsable sa pagkalat ng maling impormasyon na iwasto o bawiin sa publiko ang kanilang mga pahayag.
7. **Mga Legal na Bayarin at Gastos:**
- Kung mananaig ka sa isang legal na aksyon, maaaring may karapatan kang mabawi ang iyong mga makatwirang legal na bayarin at mga gastos sa hukuman na nauugnay sa paghabol sa kaso.
8. **Pagkawala ng Mga Oportunidad sa Negosyo:**
- Kung naapektuhan ng maling impormasyon ang iyong negosyo o mga propesyonal na pagkakataon, maaari kang humingi ng mga pinsala para sa pagkawala ng potensyal na kita o mga deal sa negosyo.
9. **Mga Pinsala sa Batas:**
- Sa ilang hurisdiksyon, ang mga partikular na batas ay maaaring magbigay ng mga pinsala ayon sa batas sa mga kaso ng maling impormasyon. Ang mga pinsalang ito ay mga paunang natukoy na halaga na itinakda ng batas at maaaring hindi nangangailangan ng patunay ng partikular na pinsala.
10. **Kapinsalaan sa Ekonomiya sa Hinaharap:**
- Kung ang maling impormasyon ay malamang na magkaroon ng patuloy na pang-ekonomiyang kahihinatnan, maaari kang mag-claim ng mga pinsala para sa pang-ekonomiyang pinsala sa hinaharap.
Mahalagang kumunsulta sa isang abogadong may karanasan sa paninirang-puri, batas sa internet, o mga kaugnay na larangan upang masuri ang iyong partikular na sitwasyon at maunawaan ang mga uri ng pinsalang magagamit mo. Ang kakayahang magamit at pagkalkula ng mga pinsala ay maaaring mag-iba ayon sa hurisdiksyon, at ang mga legal na propesyonal ay maaaring magbigay ng gabay na angkop sa iyong kaso.</v>
      </c>
      <c r="F754" s="2">
        <f t="shared" si="1"/>
        <v>0</v>
      </c>
      <c r="G754" s="2"/>
      <c r="H754" s="2"/>
      <c r="I754" s="2"/>
      <c r="J754" s="2"/>
      <c r="K754" s="2"/>
      <c r="L754" s="2"/>
      <c r="M754" s="2"/>
      <c r="N754" s="2"/>
      <c r="O754" s="2"/>
      <c r="P754" s="2"/>
      <c r="Q754" s="2"/>
      <c r="R754" s="2"/>
      <c r="S754" s="2"/>
      <c r="T754" s="2"/>
      <c r="U754" s="2"/>
      <c r="V754" s="2"/>
      <c r="W754" s="2"/>
      <c r="X754" s="2"/>
      <c r="Y754" s="2"/>
      <c r="Z754" s="2"/>
      <c r="AA754" s="2"/>
    </row>
    <row r="755">
      <c r="A755" s="3" t="s">
        <v>2010</v>
      </c>
      <c r="B755" s="1" t="s">
        <v>2478</v>
      </c>
      <c r="C755" s="1" t="s">
        <v>2479</v>
      </c>
      <c r="D755" s="1" t="s">
        <v>2480</v>
      </c>
      <c r="E755" s="2" t="str">
        <f>IFERROR(__xludf.DUMMYFUNCTION("GOOGLETRANSLATE(C755, ""en"", ""TL"")"),"Sa Pilipinas, tulad ng sa maraming hurisdiksyon, ang legal na tanawin tungkol sa pananagutan para sa maling impormasyon sa mga website o mga platform ng social media ay nagsasangkot ng ilang mga kadahilanan. Bagama't maaari akong magbigay ng pangkalahatan"&amp;"g impormasyon, mahalagang kumunsulta sa isang legal na propesyonal sa Pilipinas upang maunawaan ang mga partikular na nuances ng batas sa iyong hurisdiksyon. Narito ang ilang mga pagsasaalang-alang:
1. **Mga Batas sa Paninirang-puri:**
- Kung ang maling i"&amp;"mpormasyon ay mapanirang-puri, maaari kang magkaroon ng mga legal na batayan upang ituloy ang isang demanda laban sa mga indibidwal na responsable sa pagkalat ng maling impormasyon. Sa Pilipinas, umiiral ang mga batas sa paninirang-puri upang protektahan "&amp;"ang mga indibidwal mula sa mga maling pahayag na pumipinsala sa kanilang reputasyon.
2. **Sagot sa Website at Platform:**
- Ang pananagutan ng mga website at social media platform para sa pagho-host ng maling impormasyon ay maaaring maging kumplikado. Mar"&amp;"aming mga platform, kabilang ang mga social media site, ay itinuturing na mga tagapamagitan o mga provider ng pagho-host, at maaari silang protektahan ng ilang mga legal na kaligtasan.
3. **Cybercrime Prevention Act of 2012:**
- Ang Pilipinas ay mayroong "&amp;"Cybercrime Prevention Act of 2012, na tumutugon sa iba't ibang mga paglabag na may kaugnayan sa cybercrime, kabilang ang online libel. Mahalagang kumunsulta sa isang legal na propesyonal upang maunawaan kung paano maaaring ilapat ang batas na ito sa iyong"&amp;" sitwasyon.
4. **Mga Pag-uutos at Kahilingan sa Pagtanggal:**
- Maaari mong tuklasin ang mga legal na opsyon para humiling ng pag-alis o pagwawasto ng maling impormasyon sa pamamagitan ng mga pag-uutos o mga kahilingan sa pagtanggal. Maaaring may mga part"&amp;"ikular na pamamaraan ang mga platform para sa pagtugon sa mga naturang kahilingan.
5. **Mga Batas sa Privacy ng Data:**
- Isaalang-alang ang mga implikasyon ng mga batas sa privacy ng data sa Pilipinas. Kung ang maling impormasyon ay nagsasangkot ng hindi"&amp;" awtorisadong paggamit ng personal na data, ang mga batas sa privacy ng data ay maaaring magbigay ng karagdagang mga paraan para sa legal na paraan.
6. **Konsultasyon sa isang Legal na Propesyonal:**
- Upang matukoy ang posibilidad ng isang legal na aksyo"&amp;"n, kumunsulta sa isang abogado na dalubhasa sa batas sa internet, paninirang-puri, o cyber law sa Pilipinas. Maaari nilang tasahin ang mga partikular na detalye ng iyong kaso at gagabayan ka sa mga naaangkop na legal na hakbang na gagawin.
7. **Paunawa at"&amp;" Mga Pamamaraan sa Pagtanggal:**
- Ang ilang mga platform ay may mga pamamaraan ng paunawa at pagtanggal na nagbibigay-daan sa mga indibidwal na mag-ulat at humiling ng pag-alis ng mali o mapanirang-puri na nilalaman. Ang pag-unawa at pagsunod sa mga pama"&amp;"maraang ito ay maaaring maging bahagi ng iyong diskarte.
8. **Dokumentasyon ng Kapinsalaan:**
- Idokumento ang pinsalang dulot ng maling impormasyon. Maaaring kabilang dito ang katibayan ng pinsala sa reputasyon, emosyonal na pagkabalisa, o anumang nasasa"&amp;"lat na pagkalugi na natamo bilang resulta.
Tandaan na ang mga batas ay maaaring umunlad, at ang legal na payo ay dapat na nakabatay sa pinakabagong impormasyon. Ang gabay ng isang legal na propesyonal ay mahalaga sa pag-navigate sa legal na tanawin, pag-u"&amp;"nawa sa iyong mga karapatan, at pagsasagawa ng mga naaangkop na legal na aksyon sa Pilipinas.")</f>
        <v>Sa Pilipinas, tulad ng sa maraming hurisdiksyon, ang legal na tanawin tungkol sa pananagutan para sa maling impormasyon sa mga website o mga platform ng social media ay nagsasangkot ng ilang mga kadahilanan. Bagama't maaari akong magbigay ng pangkalahatang impormasyon, mahalagang kumunsulta sa isang legal na propesyonal sa Pilipinas upang maunawaan ang mga partikular na nuances ng batas sa iyong hurisdiksyon. Narito ang ilang mga pagsasaalang-alang:
1. **Mga Batas sa Paninirang-puri:**
- Kung ang maling impormasyon ay mapanirang-puri, maaari kang magkaroon ng mga legal na batayan upang ituloy ang isang demanda laban sa mga indibidwal na responsable sa pagkalat ng maling impormasyon. Sa Pilipinas, umiiral ang mga batas sa paninirang-puri upang protektahan ang mga indibidwal mula sa mga maling pahayag na pumipinsala sa kanilang reputasyon.
2. **Sagot sa Website at Platform:**
- Ang pananagutan ng mga website at social media platform para sa pagho-host ng maling impormasyon ay maaaring maging kumplikado. Maraming mga platform, kabilang ang mga social media site, ay itinuturing na mga tagapamagitan o mga provider ng pagho-host, at maaari silang protektahan ng ilang mga legal na kaligtasan.
3. **Cybercrime Prevention Act of 2012:**
- Ang Pilipinas ay mayroong Cybercrime Prevention Act of 2012, na tumutugon sa iba't ibang mga paglabag na may kaugnayan sa cybercrime, kabilang ang online libel. Mahalagang kumunsulta sa isang legal na propesyonal upang maunawaan kung paano maaaring ilapat ang batas na ito sa iyong sitwasyon.
4. **Mga Pag-uutos at Kahilingan sa Pagtanggal:**
- Maaari mong tuklasin ang mga legal na opsyon para humiling ng pag-alis o pagwawasto ng maling impormasyon sa pamamagitan ng mga pag-uutos o mga kahilingan sa pagtanggal. Maaaring may mga partikular na pamamaraan ang mga platform para sa pagtugon sa mga naturang kahilingan.
5. **Mga Batas sa Privacy ng Data:**
- Isaalang-alang ang mga implikasyon ng mga batas sa privacy ng data sa Pilipinas. Kung ang maling impormasyon ay nagsasangkot ng hindi awtorisadong paggamit ng personal na data, ang mga batas sa privacy ng data ay maaaring magbigay ng karagdagang mga paraan para sa legal na paraan.
6. **Konsultasyon sa isang Legal na Propesyonal:**
- Upang matukoy ang posibilidad ng isang legal na aksyon, kumunsulta sa isang abogado na dalubhasa sa batas sa internet, paninirang-puri, o cyber law sa Pilipinas. Maaari nilang tasahin ang mga partikular na detalye ng iyong kaso at gagabayan ka sa mga naaangkop na legal na hakbang na gagawin.
7. **Paunawa at Mga Pamamaraan sa Pagtanggal:**
- Ang ilang mga platform ay may mga pamamaraan ng paunawa at pagtanggal na nagbibigay-daan sa mga indibidwal na mag-ulat at humiling ng pag-alis ng mali o mapanirang-puri na nilalaman. Ang pag-unawa at pagsunod sa mga pamamaraang ito ay maaaring maging bahagi ng iyong diskarte.
8. **Dokumentasyon ng Kapinsalaan:**
- Idokumento ang pinsalang dulot ng maling impormasyon. Maaaring kabilang dito ang katibayan ng pinsala sa reputasyon, emosyonal na pagkabalisa, o anumang nasasalat na pagkalugi na natamo bilang resulta.
Tandaan na ang mga batas ay maaaring umunlad, at ang legal na payo ay dapat na nakabatay sa pinakabagong impormasyon. Ang gabay ng isang legal na propesyonal ay mahalaga sa pag-navigate sa legal na tanawin, pag-unawa sa iyong mga karapatan, at pagsasagawa ng mga naaangkop na legal na aksyon sa Pilipinas.</v>
      </c>
      <c r="F755" s="2">
        <f t="shared" si="1"/>
        <v>0</v>
      </c>
      <c r="G755" s="2"/>
      <c r="H755" s="2"/>
      <c r="I755" s="2"/>
      <c r="J755" s="2"/>
      <c r="K755" s="2"/>
      <c r="L755" s="2"/>
      <c r="M755" s="2"/>
      <c r="N755" s="2"/>
      <c r="O755" s="2"/>
      <c r="P755" s="2"/>
      <c r="Q755" s="2"/>
      <c r="R755" s="2"/>
      <c r="S755" s="2"/>
      <c r="T755" s="2"/>
      <c r="U755" s="2"/>
      <c r="V755" s="2"/>
      <c r="W755" s="2"/>
      <c r="X755" s="2"/>
      <c r="Y755" s="2"/>
      <c r="Z755" s="2"/>
      <c r="AA755" s="2"/>
    </row>
    <row r="756">
      <c r="A756" s="3" t="s">
        <v>2010</v>
      </c>
      <c r="B756" s="1" t="s">
        <v>2481</v>
      </c>
      <c r="C756" s="1" t="s">
        <v>2482</v>
      </c>
      <c r="D756" s="1" t="s">
        <v>2483</v>
      </c>
      <c r="E756" s="2" t="str">
        <f>IFERROR(__xludf.DUMMYFUNCTION("GOOGLETRANSLATE(C756, ""en"", ""TL"")"),"Ang oras kung kailan maaari kang gumawa ng legal na aksyon laban sa isang tao para sa pag-post ng maling impormasyon sa online ay pinamamahalaan ng batas ng mga limitasyon, na nag-iiba ayon sa hurisdiksyon at uri ng legal na paghahabol na kasangkot. Ang b"&amp;"atas ng mga limitasyon ay nagtatakda ng isang tiyak na limitasyon sa panahon kung saan ang isang demanda ay dapat isampa pagkatapos lumitaw ang sanhi ng aksyon. Sa sandaling mag-expire ang batas ng mga limitasyon, ang karapatang magdala ng legal na paghah"&amp;"abol ay karaniwang nawawala.
Ang haba ng batas ng mga limitasyon ay maaaring mag-iba, at mahalagang kumonsulta sa mga batas ng iyong partikular na hurisdiksyon at ang uri ng legal na paghahabol na maaari mong isaalang-alang. Narito ang ilang pangkalahatan"&amp;"g pagsasaalang-alang:
1. **Paninirang-puri:**
- Ang mga claim sa paninirang-puri, na may kasamang mga maling pahayag na nakakasira sa reputasyon ng isang tao, ay kadalasang may mga partikular na limitasyon sa oras. Sa maraming hurisdiksyon, ang batas ng m"&amp;"ga limitasyon para sa paninirang-puri ay maaaring mula sa isa hanggang tatlong taon, ngunit maaari itong mag-iba nang malaki.
2. **Pagsalakay sa Privacy:**
- Kung ang maling impormasyon ay nagsasangkot ng pagsalakay sa claim sa privacy, ang batas ng mga l"&amp;"imitasyon ay maaaring mag-iba depende sa partikular na paglabag sa privacy na pinaghihinalaang. Kumonsulta sa mga batas sa iyong hurisdiksyon para sa naaangkop na limitasyon sa oras.
3. **Cyber ​​Libel o Online Libel:**
- Maaaring may mga partikular na ba"&amp;"tas o probisyon ang ilang hurisdiksyon na tumutugon sa online libel o cyber libel. Maaaring tukuyin ng mga batas na ito ang limitasyon sa oras para sa pagsasampa ng kaso na may kaugnayan sa maling impormasyong nai-post online.
4. **Personal na Pinsala o E"&amp;"mosyonal na Kapighatian:**
- Ang mga paghahabol na nauugnay sa personal na pinsala o emosyonal na pagkabalisa na dulot ng maling impormasyon ay maaaring may sariling batas ng mga limitasyon. Maaaring mag-iba ang limitasyon sa oras, at mahalagang suriin an"&amp;"g mga batas sa iyong hurisdiksyon.
5. **Paglabag sa Copyright:**
- Kung ang maling impormasyon ay nagsasangkot ng paglabag sa copyright, ang legal na aksyon ay maaaring sumailalim sa batas ng copyright ng mga limitasyon, na maaaring mag-iba depende sa hur"&amp;"isdiksyon at mga pangyayari.
Napakahalagang kumilos kaagad kung naniniwala kang mayroon kang legal na claim na nauugnay sa maling impormasyon online. Sa sandaling malaman mo ang maling impormasyon at ang pinsalang dulot nito, kumunsulta sa isang abogado u"&amp;"pang maunawaan ang naaangkop na batas ng mga limitasyon at upang talakayin ang iyong mga legal na opsyon.
Tandaan na ang mga partikular na detalye ng iyong kaso, ang nasasangkot na hurisdiksyon, at ang uri ng paghahabol ay makakaapekto sa batas ng mga lim"&amp;"itasyon. Ang isang abogado na may kadalubhasaan sa nauugnay na larangan ng batas at kaalaman sa iyong hurisdiksyon ay maaaring magbigay ng gabay na naaayon sa iyong sitwasyon.")</f>
        <v>Ang oras kung kailan maaari kang gumawa ng legal na aksyon laban sa isang tao para sa pag-post ng maling impormasyon sa online ay pinamamahalaan ng batas ng mga limitasyon, na nag-iiba ayon sa hurisdiksyon at uri ng legal na paghahabol na kasangkot. Ang batas ng mga limitasyon ay nagtatakda ng isang tiyak na limitasyon sa panahon kung saan ang isang demanda ay dapat isampa pagkatapos lumitaw ang sanhi ng aksyon. Sa sandaling mag-expire ang batas ng mga limitasyon, ang karapatang magdala ng legal na paghahabol ay karaniwang nawawala.
Ang haba ng batas ng mga limitasyon ay maaaring mag-iba, at mahalagang kumonsulta sa mga batas ng iyong partikular na hurisdiksyon at ang uri ng legal na paghahabol na maaari mong isaalang-alang. Narito ang ilang pangkalahatang pagsasaalang-alang:
1. **Paninirang-puri:**
- Ang mga claim sa paninirang-puri, na may kasamang mga maling pahayag na nakakasira sa reputasyon ng isang tao, ay kadalasang may mga partikular na limitasyon sa oras. Sa maraming hurisdiksyon, ang batas ng mga limitasyon para sa paninirang-puri ay maaaring mula sa isa hanggang tatlong taon, ngunit maaari itong mag-iba nang malaki.
2. **Pagsalakay sa Privacy:**
- Kung ang maling impormasyon ay nagsasangkot ng pagsalakay sa claim sa privacy, ang batas ng mga limitasyon ay maaaring mag-iba depende sa partikular na paglabag sa privacy na pinaghihinalaang. Kumonsulta sa mga batas sa iyong hurisdiksyon para sa naaangkop na limitasyon sa oras.
3. **Cyber ​​Libel o Online Libel:**
- Maaaring may mga partikular na batas o probisyon ang ilang hurisdiksyon na tumutugon sa online libel o cyber libel. Maaaring tukuyin ng mga batas na ito ang limitasyon sa oras para sa pagsasampa ng kaso na may kaugnayan sa maling impormasyong nai-post online.
4. **Personal na Pinsala o Emosyonal na Kapighatian:**
- Ang mga paghahabol na nauugnay sa personal na pinsala o emosyonal na pagkabalisa na dulot ng maling impormasyon ay maaaring may sariling batas ng mga limitasyon. Maaaring mag-iba ang limitasyon sa oras, at mahalagang suriin ang mga batas sa iyong hurisdiksyon.
5. **Paglabag sa Copyright:**
- Kung ang maling impormasyon ay nagsasangkot ng paglabag sa copyright, ang legal na aksyon ay maaaring sumailalim sa batas ng copyright ng mga limitasyon, na maaaring mag-iba depende sa hurisdiksyon at mga pangyayari.
Napakahalagang kumilos kaagad kung naniniwala kang mayroon kang legal na claim na nauugnay sa maling impormasyon online. Sa sandaling malaman mo ang maling impormasyon at ang pinsalang dulot nito, kumunsulta sa isang abogado upang maunawaan ang naaangkop na batas ng mga limitasyon at upang talakayin ang iyong mga legal na opsyon.
Tandaan na ang mga partikular na detalye ng iyong kaso, ang nasasangkot na hurisdiksyon, at ang uri ng paghahabol ay makakaapekto sa batas ng mga limitasyon. Ang isang abogado na may kadalubhasaan sa nauugnay na larangan ng batas at kaalaman sa iyong hurisdiksyon ay maaaring magbigay ng gabay na naaayon sa iyong sitwasyon.</v>
      </c>
      <c r="F756" s="2">
        <f t="shared" si="1"/>
        <v>0</v>
      </c>
      <c r="G756" s="2"/>
      <c r="H756" s="2"/>
      <c r="I756" s="2"/>
      <c r="J756" s="2"/>
      <c r="K756" s="2"/>
      <c r="L756" s="2"/>
      <c r="M756" s="2"/>
      <c r="N756" s="2"/>
      <c r="O756" s="2"/>
      <c r="P756" s="2"/>
      <c r="Q756" s="2"/>
      <c r="R756" s="2"/>
      <c r="S756" s="2"/>
      <c r="T756" s="2"/>
      <c r="U756" s="2"/>
      <c r="V756" s="2"/>
      <c r="W756" s="2"/>
      <c r="X756" s="2"/>
      <c r="Y756" s="2"/>
      <c r="Z756" s="2"/>
      <c r="AA756" s="2"/>
    </row>
    <row r="757">
      <c r="A757" s="3" t="s">
        <v>2010</v>
      </c>
      <c r="B757" s="1" t="s">
        <v>2484</v>
      </c>
      <c r="C757" s="1" t="s">
        <v>2485</v>
      </c>
      <c r="D757" s="1" t="s">
        <v>2486</v>
      </c>
      <c r="E757" s="2" t="str">
        <f>IFERROR(__xludf.DUMMYFUNCTION("GOOGLETRANSLATE(C757, ""en"", ""TL"")"),"Oo, maaaring magkaroon ng mga pagkakaiba sa legal na paraan kapag ang maling impormasyon ay nai-post nang hindi nagpapakilala. Ang pagharap sa anonymous na online na content ay nagpapakita ng mga natatanging hamon, ngunit ang mga legal na opsyon ay magaga"&amp;"mit upang matugunan ang mga ganitong sitwasyon. Narito ang ilang mga pagsasaalang-alang:
1. **Pagkilala sa Anonymous na User:**
- Ang unang hamon ay madalas na tukuyin ang hindi kilalang user na responsable para sa maling impormasyon. Depende sa mga pangy"&amp;"ayari, maaaring kailanganin mong makipagtulungan sa platform na nagho-host ng content, humingi ng utos ng hukuman para i-unmask ang hindi kilalang user, o gumamit ng mga forensic technique.
2. **Mga Subpoena at Utos ng Hukuman:**
- Kapag ang pagkakakilanl"&amp;"an ng hindi kilalang user ay kilala o pinaghihinalaang, legal na aksyon ay maaaring may kasamang pagkuha ng mga subpoena o mga utos ng hukuman upang pilitin ang platform o internet service provider na ipakita ang pagkakakilanlan ng user. Maaaring mag-iba "&amp;"ang prosesong ito ayon sa hurisdiksyon.
3. **Mga Claim sa Paninirang-puri:**
- Kung ang maling impormasyon ay bumubuo ng paninirang-puri, maaari mong ituloy ang isang paghahabol ng paninirang-puri laban sa natukoy na indibidwal. Karaniwang nalalapat ang m"&amp;"ga batas sa paninirang-puri kung ang mga pahayag ay ginawa nang hindi nagpapakilala o hindi. Ang pagpapatunay sa mga elemento ng paninirang-puri, tulad ng kasinungalingan, pinsala, at paglalathala, ay nananatiling mahalaga.
4. **Pagsalakay sa Mga Claim sa"&amp;" Privacy:**
- Ang pagsalakay sa mga claim sa privacy, lalo na ang mga nauugnay sa maling impormasyon, ay maaari ding ituloy. Ang mga batas sa privacy at ang kakayahang tumukoy ng mga hindi kilalang user ay maaaring mag-iba ayon sa hurisdiksyon.
5. **Pagtu"&amp;"tulungan ng Mga Online Platform:**
- Ang ilang online na platform ay may mga mekanismo para sa pag-uulat at paghawak ng mali o mapanirang-puri na nilalaman, kahit na nai-post nang hindi nagpapakilala. Suriin ang mga tuntunin ng serbisyo at patakaran ng pl"&amp;"atform, at iulat ang nilalaman kung naaangkop.
6. **Mga Paghahabla ni John Doe:**
- Sa ilang partikular na kaso, maaari kang magsampa ng kaso na ""John Doe"", na pinangalanan ang nasasakdal bilang isang hindi kilalang tao o hindi kilalang tao. Ang legal n"&amp;"a pagkilos na ito ay sinimulan upang matuklasan ang pagkakakilanlan ng indibidwal na responsable para sa maling impormasyon.
7. **Mga Espesyal na Batas sa Cybercrime:**
- Ang ilang mga hurisdiksyon ay may mga espesyal na batas sa cybercrime na tumutugon s"&amp;"a mga online na pagkakasala, kabilang ang hindi nagpapakilalang pag-post ng maling impormasyon. Maging pamilyar sa mga partikular na batas sa iyong nasasakupan.
8. **Pagtanggal ng Digital Millennium Copyright Act (DMCA):**
- Kung ang maling impormasyon ay"&amp;" nagsasangkot ng paglabag sa copyright, maaari mong gamitin ang DMCA upang hilingin ang pag-alis ng lumalabag na nilalaman. Ang prosesong ito ay hindi kinakailangang magbunyag ng pagkakakilanlan ng poster ngunit maaaring humantong sa pag-aalis ng nilalama"&amp;"n.
9. **Konsultasyon sa mga Legal na Propesyonal:**
- Kumonsulta sa isang abogadong may karanasan sa internet law, paninirang-puri, o cyber law. Maaari ka nilang gabayan sa legal na proseso, tumulong sa pag-navigate sa mga hamon na nauugnay sa mga hindi k"&amp;"ilalang post, at magpayo sa pinakamahusay na paraan ng pagkilos batay sa iyong mga kalagayan at hurisdiksyon.
Mahalagang kumilos kaagad kapag nakikitungo sa maling impormasyong nai-post nang hindi nagpapakilala, dahil ang pagtukoy sa responsableng partido"&amp;" ay maaaring mangailangan ng napapanahong legal na aksyon. Ang mga legal na propesyonal ay maaaring magbigay ng gabay sa mga partikular na hakbang na gagawin at tulungan kang maunawaan ang mga magagamit na legal na opsyon sa iyong hurisdiksyon.")</f>
        <v>Oo, maaaring magkaroon ng mga pagkakaiba sa legal na paraan kapag ang maling impormasyon ay nai-post nang hindi nagpapakilala. Ang pagharap sa anonymous na online na content ay nagpapakita ng mga natatanging hamon, ngunit ang mga legal na opsyon ay magagamit upang matugunan ang mga ganitong sitwasyon. Narito ang ilang mga pagsasaalang-alang:
1. **Pagkilala sa Anonymous na User:**
- Ang unang hamon ay madalas na tukuyin ang hindi kilalang user na responsable para sa maling impormasyon. Depende sa mga pangyayari, maaaring kailanganin mong makipagtulungan sa platform na nagho-host ng content, humingi ng utos ng hukuman para i-unmask ang hindi kilalang user, o gumamit ng mga forensic technique.
2. **Mga Subpoena at Utos ng Hukuman:**
- Kapag ang pagkakakilanlan ng hindi kilalang user ay kilala o pinaghihinalaang, legal na aksyon ay maaaring may kasamang pagkuha ng mga subpoena o mga utos ng hukuman upang pilitin ang platform o internet service provider na ipakita ang pagkakakilanlan ng user. Maaaring mag-iba ang prosesong ito ayon sa hurisdiksyon.
3. **Mga Claim sa Paninirang-puri:**
- Kung ang maling impormasyon ay bumubuo ng paninirang-puri, maaari mong ituloy ang isang paghahabol ng paninirang-puri laban sa natukoy na indibidwal. Karaniwang nalalapat ang mga batas sa paninirang-puri kung ang mga pahayag ay ginawa nang hindi nagpapakilala o hindi. Ang pagpapatunay sa mga elemento ng paninirang-puri, tulad ng kasinungalingan, pinsala, at paglalathala, ay nananatiling mahalaga.
4. **Pagsalakay sa Mga Claim sa Privacy:**
- Ang pagsalakay sa mga claim sa privacy, lalo na ang mga nauugnay sa maling impormasyon, ay maaari ding ituloy. Ang mga batas sa privacy at ang kakayahang tumukoy ng mga hindi kilalang user ay maaaring mag-iba ayon sa hurisdiksyon.
5. **Pagtutulungan ng Mga Online Platform:**
- Ang ilang online na platform ay may mga mekanismo para sa pag-uulat at paghawak ng mali o mapanirang-puri na nilalaman, kahit na nai-post nang hindi nagpapakilala. Suriin ang mga tuntunin ng serbisyo at patakaran ng platform, at iulat ang nilalaman kung naaangkop.
6. **Mga Paghahabla ni John Doe:**
- Sa ilang partikular na kaso, maaari kang magsampa ng kaso na "John Doe", na pinangalanan ang nasasakdal bilang isang hindi kilalang tao o hindi kilalang tao. Ang legal na pagkilos na ito ay sinimulan upang matuklasan ang pagkakakilanlan ng indibidwal na responsable para sa maling impormasyon.
7. **Mga Espesyal na Batas sa Cybercrime:**
- Ang ilang mga hurisdiksyon ay may mga espesyal na batas sa cybercrime na tumutugon sa mga online na pagkakasala, kabilang ang hindi nagpapakilalang pag-post ng maling impormasyon. Maging pamilyar sa mga partikular na batas sa iyong nasasakupan.
8. **Pagtanggal ng Digital Millennium Copyright Act (DMCA):**
- Kung ang maling impormasyon ay nagsasangkot ng paglabag sa copyright, maaari mong gamitin ang DMCA upang hilingin ang pag-alis ng lumalabag na nilalaman. Ang prosesong ito ay hindi kinakailangang magbunyag ng pagkakakilanlan ng poster ngunit maaaring humantong sa pag-aalis ng nilalaman.
9. **Konsultasyon sa mga Legal na Propesyonal:**
- Kumonsulta sa isang abogadong may karanasan sa internet law, paninirang-puri, o cyber law. Maaari ka nilang gabayan sa legal na proseso, tumulong sa pag-navigate sa mga hamon na nauugnay sa mga hindi kilalang post, at magpayo sa pinakamahusay na paraan ng pagkilos batay sa iyong mga kalagayan at hurisdiksyon.
Mahalagang kumilos kaagad kapag nakikitungo sa maling impormasyong nai-post nang hindi nagpapakilala, dahil ang pagtukoy sa responsableng partido ay maaaring mangailangan ng napapanahong legal na aksyon. Ang mga legal na propesyonal ay maaaring magbigay ng gabay sa mga partikular na hakbang na gagawin at tulungan kang maunawaan ang mga magagamit na legal na opsyon sa iyong hurisdiksyon.</v>
      </c>
      <c r="F757" s="2">
        <f t="shared" si="1"/>
        <v>0</v>
      </c>
      <c r="G757" s="2"/>
      <c r="H757" s="2"/>
      <c r="I757" s="2"/>
      <c r="J757" s="2"/>
      <c r="K757" s="2"/>
      <c r="L757" s="2"/>
      <c r="M757" s="2"/>
      <c r="N757" s="2"/>
      <c r="O757" s="2"/>
      <c r="P757" s="2"/>
      <c r="Q757" s="2"/>
      <c r="R757" s="2"/>
      <c r="S757" s="2"/>
      <c r="T757" s="2"/>
      <c r="U757" s="2"/>
      <c r="V757" s="2"/>
      <c r="W757" s="2"/>
      <c r="X757" s="2"/>
      <c r="Y757" s="2"/>
      <c r="Z757" s="2"/>
      <c r="AA757" s="2"/>
    </row>
    <row r="758">
      <c r="A758" s="3" t="s">
        <v>2010</v>
      </c>
      <c r="B758" s="1" t="s">
        <v>2487</v>
      </c>
      <c r="C758" s="1" t="s">
        <v>2488</v>
      </c>
      <c r="D758" s="1" t="s">
        <v>2489</v>
      </c>
      <c r="E758" s="2" t="str">
        <f>IFERROR(__xludf.DUMMYFUNCTION("GOOGLETRANSLATE(C758, ""en"", ""TL"")"),"Sa Pilipinas, ang emosyonal na pagkabalisa na dulot ng maling impormasyon sa online ay maaaring maging batayan para sa legal na aksyon, lalo na kung natutugunan nito ang pamantayan para sa isang kinikilalang dahilan ng pagkilos sa ilalim ng batas ng Pilip"&amp;"inas. Ang isang potensyal na legal na paraan upang isaalang-alang ay ang paghahain ng kasong sibil para sa mga pinsala, na may emosyonal na pagkabalisa bilang isa sa mga na-claim na pinsala. Gayunpaman, mahalagang tandaan na ang mga partikular na legal na"&amp;" remedyo at ang pagkakaroon ng mga paghahabol sa emosyonal na pagkabalisa ay maaaring depende sa mga pangyayari at mga naaangkop na batas. Narito ang ilang mga pagsasaalang-alang:
1. **Paninirang-puri:**
- Kung ang maling online na impormasyon ay bumubuo "&amp;"rin ng paninirang-puri, maaari mong ituloy ang isang paghahabol ng paninirang-puri. Sa ilalim ng batas ng Pilipinas, ang paninirang-puri ay sumasaklaw sa parehong libel (nakasulat o naka-print na paninirang-puri) at paninirang-puri (spoken defamation). Ku"&amp;"ng ang maling impormasyon ay nagdulot sa iyo ng emosyonal na pagkabalisa, maaari mong isama ang mga pinsala sa emosyonal na pagkabalisa sa iyong paghahabol.
2. **Pagsalakay sa Privacy:**
- Ang ilang uri ng maling impormasyon ay maaaring maaksyunan sa ilal"&amp;"im ng pagsalakay sa mga batas sa privacy sa Pilipinas. Kung ang maling impormasyon ay nagsasangkot ng panghihimasok sa iyong pribadong buhay na nagdulot ng emosyonal na pagkabalisa, maaari mong tuklasin ang mga legal na remedyo sa ilalim ng pagsalakay sa "&amp;"mga batas sa privacy.
3. **Artikulo 32 ng Civil Code:**
- Kinikilala ng Artikulo 32 ng Kodigo Sibil ng Pilipinas ang karapatan sa mga pinsala para sa anumang pagkilos na nagdudulot ng pagkiling sa iba, kabilang ang pagdurusa ng isip. Maaaring gamitin ang "&amp;"artikulong ito sa mga kaso kung saan ang emosyonal na pagkabalisa ay direktang resulta ng mga maling gawain.
4. **Mga Tort at Pinsala:**
- Ang pangkalahatang mga prinsipyo ng tort law at mga pinsala sa Pilipinas ay nagbibigay-daan para sa pagbawi ng mga p"&amp;"insala para sa mga pinsala, kabilang ang emosyonal na pagkabalisa, na dulot ng mga maling gawain ng iba.
5. **Mga Karapatan ng Tao:**
- Sa ilang partikular na sitwasyon, partikular na kung ang maling impormasyon ay nauugnay sa isang paglabag sa karapatang"&amp;" pantao, maaari mong tuklasin ang mga legal na remedyo sa ilalim ng mga batas sa karapatang pantao ng Pilipinas.
Napakahalagang kumonsulta sa isang abogado sa Pilipinas na dalubhasa sa civil litigation, paninirang-puri, o batas sa privacy upang masuri ang"&amp;" mga partikular na detalye ng iyong kaso. Maaari silang magbigay ng patnubay sa naaangkop na mga legal na remedyo at estratehiya upang ituloy ang mga pinsala sa emosyonal na pagkabalisa.
Tandaan na ang mga batas at legal na interpretasyon ay maaaring umun"&amp;"lad, kaya ang paghingi ng payo mula sa isang legal na propesyonal na pamilyar sa kasalukuyang legal na tanawin sa Pilipinas ay mahalaga para sa tumpak at napapanahon na impormasyon.")</f>
        <v>Sa Pilipinas, ang emosyonal na pagkabalisa na dulot ng maling impormasyon sa online ay maaaring maging batayan para sa legal na aksyon, lalo na kung natutugunan nito ang pamantayan para sa isang kinikilalang dahilan ng pagkilos sa ilalim ng batas ng Pilipinas. Ang isang potensyal na legal na paraan upang isaalang-alang ay ang paghahain ng kasong sibil para sa mga pinsala, na may emosyonal na pagkabalisa bilang isa sa mga na-claim na pinsala. Gayunpaman, mahalagang tandaan na ang mga partikular na legal na remedyo at ang pagkakaroon ng mga paghahabol sa emosyonal na pagkabalisa ay maaaring depende sa mga pangyayari at mga naaangkop na batas. Narito ang ilang mga pagsasaalang-alang:
1. **Paninirang-puri:**
- Kung ang maling online na impormasyon ay bumubuo rin ng paninirang-puri, maaari mong ituloy ang isang paghahabol ng paninirang-puri. Sa ilalim ng batas ng Pilipinas, ang paninirang-puri ay sumasaklaw sa parehong libel (nakasulat o naka-print na paninirang-puri) at paninirang-puri (spoken defamation). Kung ang maling impormasyon ay nagdulot sa iyo ng emosyonal na pagkabalisa, maaari mong isama ang mga pinsala sa emosyonal na pagkabalisa sa iyong paghahabol.
2. **Pagsalakay sa Privacy:**
- Ang ilang uri ng maling impormasyon ay maaaring maaksyunan sa ilalim ng pagsalakay sa mga batas sa privacy sa Pilipinas. Kung ang maling impormasyon ay nagsasangkot ng panghihimasok sa iyong pribadong buhay na nagdulot ng emosyonal na pagkabalisa, maaari mong tuklasin ang mga legal na remedyo sa ilalim ng pagsalakay sa mga batas sa privacy.
3. **Artikulo 32 ng Civil Code:**
- Kinikilala ng Artikulo 32 ng Kodigo Sibil ng Pilipinas ang karapatan sa mga pinsala para sa anumang pagkilos na nagdudulot ng pagkiling sa iba, kabilang ang pagdurusa ng isip. Maaaring gamitin ang artikulong ito sa mga kaso kung saan ang emosyonal na pagkabalisa ay direktang resulta ng mga maling gawain.
4. **Mga Tort at Pinsala:**
- Ang pangkalahatang mga prinsipyo ng tort law at mga pinsala sa Pilipinas ay nagbibigay-daan para sa pagbawi ng mga pinsala para sa mga pinsala, kabilang ang emosyonal na pagkabalisa, na dulot ng mga maling gawain ng iba.
5. **Mga Karapatan ng Tao:**
- Sa ilang partikular na sitwasyon, partikular na kung ang maling impormasyon ay nauugnay sa isang paglabag sa karapatang pantao, maaari mong tuklasin ang mga legal na remedyo sa ilalim ng mga batas sa karapatang pantao ng Pilipinas.
Napakahalagang kumonsulta sa isang abogado sa Pilipinas na dalubhasa sa civil litigation, paninirang-puri, o batas sa privacy upang masuri ang mga partikular na detalye ng iyong kaso. Maaari silang magbigay ng patnubay sa naaangkop na mga legal na remedyo at estratehiya upang ituloy ang mga pinsala sa emosyonal na pagkabalisa.
Tandaan na ang mga batas at legal na interpretasyon ay maaaring umunlad, kaya ang paghingi ng payo mula sa isang legal na propesyonal na pamilyar sa kasalukuyang legal na tanawin sa Pilipinas ay mahalaga para sa tumpak at napapanahon na impormasyon.</v>
      </c>
      <c r="F758" s="2">
        <f t="shared" si="1"/>
        <v>0</v>
      </c>
      <c r="G758" s="2"/>
      <c r="H758" s="2"/>
      <c r="I758" s="2"/>
      <c r="J758" s="2"/>
      <c r="K758" s="2"/>
      <c r="L758" s="2"/>
      <c r="M758" s="2"/>
      <c r="N758" s="2"/>
      <c r="O758" s="2"/>
      <c r="P758" s="2"/>
      <c r="Q758" s="2"/>
      <c r="R758" s="2"/>
      <c r="S758" s="2"/>
      <c r="T758" s="2"/>
      <c r="U758" s="2"/>
      <c r="V758" s="2"/>
      <c r="W758" s="2"/>
      <c r="X758" s="2"/>
      <c r="Y758" s="2"/>
      <c r="Z758" s="2"/>
      <c r="AA758" s="2"/>
    </row>
    <row r="759">
      <c r="A759" s="3" t="s">
        <v>2010</v>
      </c>
      <c r="B759" s="1" t="s">
        <v>2490</v>
      </c>
      <c r="C759" s="1" t="s">
        <v>2491</v>
      </c>
      <c r="D759" s="1" t="s">
        <v>2492</v>
      </c>
      <c r="E759" s="2" t="str">
        <f>IFERROR(__xludf.DUMMYFUNCTION("GOOGLETRANSLATE(C759, ""en"", ""TL"")"),"Ang mga batas sa paninirang-puri sa Pilipinas, tulad ng sa maraming hurisdiksyon, ay nalalapat sa maling impormasyon na kumakalat online. Sa konteksto ng paninirang-puri, ang mga maling pahayag na nakakasira sa reputasyon ng isang indibidwal o entity ay m"&amp;"aaaring sumailalim sa legal na aksyon. Sa Pilipinas, ang paninirang-puri ay maaaring nasa anyo ng libel, na kinabibilangan ng parehong nakasulat at nakalimbag na mga pahayag na mapanirang-puri. Narito ang mga pangunahing pagsasaalang-alang tungkol sa kung"&amp;" paano nalalapat ang mga batas ng paninirang-puri sa maling impormasyong kumakalat online:
1. **Mga Batas sa Libel:**
- Ang mga batas ng libel sa Pilipinas ay sumasaklaw sa nakasulat o naka-print na mga pahayag na mapanirang-puri, at naaangkop ang mga ito"&amp;" sa nilalamang kumakalat online. Kabilang dito ang maling impormasyong nai-post sa mga website, social media platform, forum, o anumang iba pang digital medium.
2. **Mga Mapanirang Pahayag:**
- Upang mabuo ang paninirang-puri, ang mga pahayag ay dapat na "&amp;"mali at nakakasira sa reputasyon ng tao o entity na kasangkot. Ang katotohanan sa pangkalahatan ay isang depensa laban sa mga pag-aangkin ng paninirang-puri, kaya ang maling impormasyon ay isang mahalagang elemento.
3. **Online Libel:**
- Ang Cybercrime P"&amp;"revention Act of 2012 sa Pilipinas ay partikular na tumutugon sa online libel. Kinikilala nito ang libel bilang isang cybercrime, at ang mga indibidwal na nagkakalat ng maling impormasyon online ay maaaring managot sa ilalim ng batas na ito.
4. **Pagkilal"&amp;"a sa May-akda:**
- Ang mga claim sa paninirang-puri ay karaniwang nangangailangan ng pagkakakilanlan ng may-akda ng mga maling pahayag. Sa mga kaso kung saan ang maling impormasyon ay kumakalat nang hindi nagpapakilala, ang legal na aksyon ay maaaring may"&amp;" mga pagsisikap na ibunyag ang hindi kilalang user sa pamamagitan ng mga utos ng hukuman o iba pang legal na mekanismo.
5. **Publikasyon:**
- Ang paninirang-puri ay nangangailangan ng paglalathala ng maling impormasyon sa isang ikatlong partido. Ang pag-p"&amp;"ost ng maling impormasyon sa online ay nakakatugon sa elementong ito, dahil kabilang dito ang paggawa ng impormasyon na naa-access ng iba.
6. **Mga Pinsala:**
- Upang magtagumpay sa isang paghahabol sa paninirang-puri, madalas na kailangang ipakita ng nag"&amp;"sasakdal na nakaranas sila ng aktwal na pinsala o pinsala bilang resulta ng maling impormasyon. Maaaring kabilang sa mga pinsala ang pinsala sa reputasyon, emosyonal na pagkabalisa, o iba pang nasasalat na pagkawala.
7. **Mga Depensa:**
- Ang mga batas sa"&amp;" paninirang-puri ay maaaring magbigay ng ilang partikular na depensa. Ang katotohanan ay isang pangkaraniwang depensa—kung ang impormasyon ay totoo, hindi ito maaaring ituring na mapanirang-puri. Bukod pa rito, maaaring kabilang sa iba pang mga depensa an"&amp;"g pribilehiyo, patas na komento, o kawalan ng malisya, depende sa hurisdiksyon.
8. **Panahon ng Pagrereseta:**
- Ang Pilipinas ay may prescriptive period para sa pagsasampa ng mga kaso ng paninirang-puri. Ang prescriptive period ay ang panahon kung saan a"&amp;"ng legal na aksyon ay dapat simulan. Kumonsulta sa isang abogado upang maunawaan ang naaangkop na panahon ng pagrereseta sa iyong partikular na kaso.
Kung naniniwala kang naging biktima ka ng paninirang-puri dahil sa maling impormasyon na kumakalat online"&amp;" sa Pilipinas, ipinapayong kumunsulta sa isang abogadong may karanasan sa paninirang-puri at mga batas sa cybercrime. Maaari nilang tasahin ang mga partikular na detalye ng iyong sitwasyon, gabayan ka sa mga magagamit na legal na opsyon, at tulungan kang "&amp;"i-navigate ang mga kumplikado ng mga batas sa paninirang-puri sa Pilipinas.")</f>
        <v>Ang mga batas sa paninirang-puri sa Pilipinas, tulad ng sa maraming hurisdiksyon, ay nalalapat sa maling impormasyon na kumakalat online. Sa konteksto ng paninirang-puri, ang mga maling pahayag na nakakasira sa reputasyon ng isang indibidwal o entity ay maaaring sumailalim sa legal na aksyon. Sa Pilipinas, ang paninirang-puri ay maaaring nasa anyo ng libel, na kinabibilangan ng parehong nakasulat at nakalimbag na mga pahayag na mapanirang-puri. Narito ang mga pangunahing pagsasaalang-alang tungkol sa kung paano nalalapat ang mga batas ng paninirang-puri sa maling impormasyong kumakalat online:
1. **Mga Batas sa Libel:**
- Ang mga batas ng libel sa Pilipinas ay sumasaklaw sa nakasulat o naka-print na mga pahayag na mapanirang-puri, at naaangkop ang mga ito sa nilalamang kumakalat online. Kabilang dito ang maling impormasyong nai-post sa mga website, social media platform, forum, o anumang iba pang digital medium.
2. **Mga Mapanirang Pahayag:**
- Upang mabuo ang paninirang-puri, ang mga pahayag ay dapat na mali at nakakasira sa reputasyon ng tao o entity na kasangkot. Ang katotohanan sa pangkalahatan ay isang depensa laban sa mga pag-aangkin ng paninirang-puri, kaya ang maling impormasyon ay isang mahalagang elemento.
3. **Online Libel:**
- Ang Cybercrime Prevention Act of 2012 sa Pilipinas ay partikular na tumutugon sa online libel. Kinikilala nito ang libel bilang isang cybercrime, at ang mga indibidwal na nagkakalat ng maling impormasyon online ay maaaring managot sa ilalim ng batas na ito.
4. **Pagkilala sa May-akda:**
- Ang mga claim sa paninirang-puri ay karaniwang nangangailangan ng pagkakakilanlan ng may-akda ng mga maling pahayag. Sa mga kaso kung saan ang maling impormasyon ay kumakalat nang hindi nagpapakilala, ang legal na aksyon ay maaaring may mga pagsisikap na ibunyag ang hindi kilalang user sa pamamagitan ng mga utos ng hukuman o iba pang legal na mekanismo.
5. **Publikasyon:**
- Ang paninirang-puri ay nangangailangan ng paglalathala ng maling impormasyon sa isang ikatlong partido. Ang pag-post ng maling impormasyon sa online ay nakakatugon sa elementong ito, dahil kabilang dito ang paggawa ng impormasyon na naa-access ng iba.
6. **Mga Pinsala:**
- Upang magtagumpay sa isang paghahabol sa paninirang-puri, madalas na kailangang ipakita ng nagsasakdal na nakaranas sila ng aktwal na pinsala o pinsala bilang resulta ng maling impormasyon. Maaaring kabilang sa mga pinsala ang pinsala sa reputasyon, emosyonal na pagkabalisa, o iba pang nasasalat na pagkawala.
7. **Mga Depensa:**
- Ang mga batas sa paninirang-puri ay maaaring magbigay ng ilang partikular na depensa. Ang katotohanan ay isang pangkaraniwang depensa—kung ang impormasyon ay totoo, hindi ito maaaring ituring na mapanirang-puri. Bukod pa rito, maaaring kabilang sa iba pang mga depensa ang pribilehiyo, patas na komento, o kawalan ng malisya, depende sa hurisdiksyon.
8. **Panahon ng Pagrereseta:**
- Ang Pilipinas ay may prescriptive period para sa pagsasampa ng mga kaso ng paninirang-puri. Ang prescriptive period ay ang panahon kung saan ang legal na aksyon ay dapat simulan. Kumonsulta sa isang abogado upang maunawaan ang naaangkop na panahon ng pagrereseta sa iyong partikular na kaso.
Kung naniniwala kang naging biktima ka ng paninirang-puri dahil sa maling impormasyon na kumakalat online sa Pilipinas, ipinapayong kumunsulta sa isang abogadong may karanasan sa paninirang-puri at mga batas sa cybercrime. Maaari nilang tasahin ang mga partikular na detalye ng iyong sitwasyon, gabayan ka sa mga magagamit na legal na opsyon, at tulungan kang i-navigate ang mga kumplikado ng mga batas sa paninirang-puri sa Pilipinas.</v>
      </c>
      <c r="F759" s="2">
        <f t="shared" si="1"/>
        <v>0</v>
      </c>
      <c r="G759" s="2"/>
      <c r="H759" s="2"/>
      <c r="I759" s="2"/>
      <c r="J759" s="2"/>
      <c r="K759" s="2"/>
      <c r="L759" s="2"/>
      <c r="M759" s="2"/>
      <c r="N759" s="2"/>
      <c r="O759" s="2"/>
      <c r="P759" s="2"/>
      <c r="Q759" s="2"/>
      <c r="R759" s="2"/>
      <c r="S759" s="2"/>
      <c r="T759" s="2"/>
      <c r="U759" s="2"/>
      <c r="V759" s="2"/>
      <c r="W759" s="2"/>
      <c r="X759" s="2"/>
      <c r="Y759" s="2"/>
      <c r="Z759" s="2"/>
      <c r="AA759" s="2"/>
    </row>
    <row r="760">
      <c r="A760" s="3" t="s">
        <v>2010</v>
      </c>
      <c r="B760" s="1" t="s">
        <v>2493</v>
      </c>
      <c r="C760" s="1" t="s">
        <v>2494</v>
      </c>
      <c r="D760" s="1" t="s">
        <v>2495</v>
      </c>
      <c r="E760" s="2" t="str">
        <f>IFERROR(__xludf.DUMMYFUNCTION("GOOGLETRANSLATE(C760, ""en"", ""TL"")"),"Oo, maaari kang humiling ng pagbawi o pagwawasto ng maling impormasyong nai-post online, lalo na kung ang impormasyon ay mapanirang-puri o nakakapinsala sa iyong reputasyon. Sa Pilipinas, kinikilala ng Cybercrime Prevention Act of 2012 ang online libel bi"&amp;"lang isang cybercrime, at ang mga indibidwal na nagkakalat ng maling impormasyon online ay maaaring managot. Narito ang mga hakbang na maaari mong isaalang-alang:
1. **Makipag-ugnayan sa Pinagmulan:**
- Magsimula sa pamamagitan ng pakikipag-ugnayan sa pin"&amp;"agmulan ng maling impormasyon, kung alam. Magalang na humiling na alisin o itama nila ang hindi tumpak na impormasyon. Magbigay ng katibayan upang suportahan ang iyong pahayag na ang impormasyon ay mali.
2. **Magpadala ng Liham ng Paghinto at Pagtigil:**
"&amp;"- Kung hindi malulutas ng direktang komunikasyon ang isyu, maaari kang magpadala ng cease and desist letter sa pamamagitan ng abogado. Ang pormal na liham na ito ay humihiling na ang responsableng partido ay huminto sa pagkalat ng maling impormasyon, mag-"&amp;"isyu ng pagbawi, at pigilin ang paggawa ng higit pang mapanirang mga pahayag.
3. **Mag-invoke ng Mga Legal na Remedya:**
- Kung magpapatuloy ang maling impormasyon at nagdudulot ng pinsala sa iyong reputasyon, maaari mong isaalang-alang ang paghabol sa mg"&amp;"a legal na remedyo. Kumonsulta sa isang abogado upang maunawaan ang mga partikular na legal na opsyon na magagamit, na maaaring kabilang ang paghahain ng kaso ng paninirang-puri.
4. **Maghain ng Reklamo sa Mga Awtoridad:**
- Sa mga kaso ng online libel o "&amp;"cybercrime, maaari kang magsampa ng reklamo sa mga naaangkop na awtoridad. Ang Cybercrime Prevention Act of 2012 ay nagbibigay ng mga legal na paraan para sa pagtugon sa online libel sa Pilipinas.
5. **Mag-ulat sa Mga Online Platform:**
- Kung ang maling "&amp;"impormasyon ay nai-post sa social media o iba pang mga online na platform, iulat ang nilalaman sa mga administrator ng platform. Maraming mga platform ang may mga mekanismo para sa pag-uulat at pagtugon sa mali o mapanirang-puri na nilalaman.
6. **Humingi"&amp;" ng Pagbawi na Iniutos ng Korte:**
- Sa kurso ng mga legal na paglilitis, maaari kang humingi ng utos ng korte na pagbawi. Kung matagumpay, maaaring utusan ng korte ang responsableng partido na iwasto sa publiko ang maling impormasyon.
7. **Makisali sa Al"&amp;"ternatibong Resolusyon sa Di-pagkakasundo:**
- Isaalang-alang ang mga alternatibong paraan ng pagresolba ng hindi pagkakaunawaan, tulad ng pamamagitan o arbitrasyon, upang malutas ang hindi pagkakaunawaan nang maayos at maiwasan ang matagal na paglilitis "&amp;"sa batas.
8. **Idokumento ang Iyong Mga Pagsisikap:**
- Panatilihin ang masusing dokumentasyon ng iyong mga pagsusumikap na tugunan ang maling impormasyon, kabilang ang pakikipag-ugnayan sa pinagmulan, anumang ligal na sulat, at ebidensya na sumusuporta s"&amp;"a iyong pag-aangkin ng kasinungalingan.
Bago gumawa ng legal na aksyon, ipinapayong kumunsulta sa isang abogado sa Pilipinas na dalubhasa sa paninirang-puri, cyber law, o internet law. Maaari ka nilang gabayan sa mga partikular na prosesong legal, tulunga"&amp;"n kang maunawaan ang iyong mga karapatan, at magbigay ng payo na naaayon sa iyong sitwasyon at hurisdiksyon.")</f>
        <v>Oo, maaari kang humiling ng pagbawi o pagwawasto ng maling impormasyong nai-post online, lalo na kung ang impormasyon ay mapanirang-puri o nakakapinsala sa iyong reputasyon. Sa Pilipinas, kinikilala ng Cybercrime Prevention Act of 2012 ang online libel bilang isang cybercrime, at ang mga indibidwal na nagkakalat ng maling impormasyon online ay maaaring managot. Narito ang mga hakbang na maaari mong isaalang-alang:
1. **Makipag-ugnayan sa Pinagmulan:**
- Magsimula sa pamamagitan ng pakikipag-ugnayan sa pinagmulan ng maling impormasyon, kung alam. Magalang na humiling na alisin o itama nila ang hindi tumpak na impormasyon. Magbigay ng katibayan upang suportahan ang iyong pahayag na ang impormasyon ay mali.
2. **Magpadala ng Liham ng Paghinto at Pagtigil:**
- Kung hindi malulutas ng direktang komunikasyon ang isyu, maaari kang magpadala ng cease and desist letter sa pamamagitan ng abogado. Ang pormal na liham na ito ay humihiling na ang responsableng partido ay huminto sa pagkalat ng maling impormasyon, mag-isyu ng pagbawi, at pigilin ang paggawa ng higit pang mapanirang mga pahayag.
3. **Mag-invoke ng Mga Legal na Remedya:**
- Kung magpapatuloy ang maling impormasyon at nagdudulot ng pinsala sa iyong reputasyon, maaari mong isaalang-alang ang paghabol sa mga legal na remedyo. Kumonsulta sa isang abogado upang maunawaan ang mga partikular na legal na opsyon na magagamit, na maaaring kabilang ang paghahain ng kaso ng paninirang-puri.
4. **Maghain ng Reklamo sa Mga Awtoridad:**
- Sa mga kaso ng online libel o cybercrime, maaari kang magsampa ng reklamo sa mga naaangkop na awtoridad. Ang Cybercrime Prevention Act of 2012 ay nagbibigay ng mga legal na paraan para sa pagtugon sa online libel sa Pilipinas.
5. **Mag-ulat sa Mga Online Platform:**
- Kung ang maling impormasyon ay nai-post sa social media o iba pang mga online na platform, iulat ang nilalaman sa mga administrator ng platform. Maraming mga platform ang may mga mekanismo para sa pag-uulat at pagtugon sa mali o mapanirang-puri na nilalaman.
6. **Humingi ng Pagbawi na Iniutos ng Korte:**
- Sa kurso ng mga legal na paglilitis, maaari kang humingi ng utos ng korte na pagbawi. Kung matagumpay, maaaring utusan ng korte ang responsableng partido na iwasto sa publiko ang maling impormasyon.
7. **Makisali sa Alternatibong Resolusyon sa Di-pagkakasundo:**
- Isaalang-alang ang mga alternatibong paraan ng pagresolba ng hindi pagkakaunawaan, tulad ng pamamagitan o arbitrasyon, upang malutas ang hindi pagkakaunawaan nang maayos at maiwasan ang matagal na paglilitis sa batas.
8. **Idokumento ang Iyong Mga Pagsisikap:**
- Panatilihin ang masusing dokumentasyon ng iyong mga pagsusumikap na tugunan ang maling impormasyon, kabilang ang pakikipag-ugnayan sa pinagmulan, anumang ligal na sulat, at ebidensya na sumusuporta sa iyong pag-aangkin ng kasinungalingan.
Bago gumawa ng legal na aksyon, ipinapayong kumunsulta sa isang abogado sa Pilipinas na dalubhasa sa paninirang-puri, cyber law, o internet law. Maaari ka nilang gabayan sa mga partikular na prosesong legal, tulungan kang maunawaan ang iyong mga karapatan, at magbigay ng payo na naaayon sa iyong sitwasyon at hurisdiksyon.</v>
      </c>
      <c r="F760" s="2">
        <f t="shared" si="1"/>
        <v>0</v>
      </c>
      <c r="G760" s="2"/>
      <c r="H760" s="2"/>
      <c r="I760" s="2"/>
      <c r="J760" s="2"/>
      <c r="K760" s="2"/>
      <c r="L760" s="2"/>
      <c r="M760" s="2"/>
      <c r="N760" s="2"/>
      <c r="O760" s="2"/>
      <c r="P760" s="2"/>
      <c r="Q760" s="2"/>
      <c r="R760" s="2"/>
      <c r="S760" s="2"/>
      <c r="T760" s="2"/>
      <c r="U760" s="2"/>
      <c r="V760" s="2"/>
      <c r="W760" s="2"/>
      <c r="X760" s="2"/>
      <c r="Y760" s="2"/>
      <c r="Z760" s="2"/>
      <c r="AA760" s="2"/>
    </row>
    <row r="761">
      <c r="A761" s="3" t="s">
        <v>2010</v>
      </c>
      <c r="B761" s="1" t="s">
        <v>2496</v>
      </c>
      <c r="C761" s="1" t="s">
        <v>2497</v>
      </c>
      <c r="D761" s="1" t="s">
        <v>2498</v>
      </c>
      <c r="E761" s="2" t="str">
        <f>IFERROR(__xludf.DUMMYFUNCTION("GOOGLETRANSLATE(C761, ""en"", ""TL"")"),"Ang pag-iingat ng ebidensya ay mahalaga kapag naghahanda na gumawa ng legal na aksyon laban sa maling impormasyon. Narito ang mga hakbang na maaari mong gawin upang epektibong mapanatili ang ebidensya bago simulan ang mga legal na paglilitis:
1. **Idokume"&amp;"nto ang Maling Impormasyon:**
- Kumuha ng mga screenshot o mag-save ng mga kopya ng maling impormasyon, kabilang ang URL, petsa, at oras ng paglalathala. Ang dokumentasyong ito ay magsisilbing mahalagang ebidensya sa panahon ng mga legal na paglilitis.
2."&amp;" **I-record ang Metadata:**
- Kunin ang metadata na nauugnay sa maling impormasyon, tulad ng username ng may-akda, mga detalye ng account, at anumang magagamit na impormasyon tungkol sa pinagmulan. Ang metadata na ito ay maaaring maging mahalaga sa pagtuk"&amp;"oy ng responsableng partido.
3. **I-archive ang Mga Web Page:**
- Gumamit ng mga tool o serbisyo sa pag-archive ng web upang lumikha ng snapshot o archive ng mga web page na naglalaman ng maling impormasyon. Nakakatulong ito na matiyak na mayroon kang nap"&amp;"reserbang bersyon ng nilalaman tulad ng paglitaw nito sa oras ng insidente.
4. **Tandaan ang Konteksto:**
- Idokumento ang kontekstong nakapalibot sa maling impormasyon, kabilang ang anumang mga pakikipag-ugnayan, komento, o talakayan na nauugnay sa nilal"&amp;"aman. Ang mas malawak na kontekstong ito ay maaaring may kaugnayan sa pag-unawa sa epekto ng maling impormasyon.
5. **Kuhanan ng Mga Post sa Social Media:**
- Kung kumalat ang maling impormasyon sa social media, kumuha ng mga screenshot ng mga nauugnay na"&amp;" post, komento, at pakikipag-ugnayan. Isama ang impormasyon tungkol sa mga pagbabahagi, gusto, o anumang pakikipag-ugnayan sa nilalaman.
6. **Kilalanin ang mga Saksi:**
- Tukuyin ang anumang mga potensyal na saksi na maaaring nakakita ng maling impormasyo"&amp;"n o maaaring tumestigo sa epekto nito. Itala ang kanilang impormasyon sa pakikipag-ugnayan, mga pahayag, o anumang nauugnay na mga detalye na maaaring palakasin ang iyong kaso.
7. **Palagaan ang Mga Email at Komunikasyon:**
- Kung ang maling impormasyon a"&amp;"y ipinaalam sa pamamagitan ng mga email o iba pang elektronikong paraan, panatilihin ang mga kopya ng mga komunikasyong ito. Kabilang dito ang anumang pakikipag-ugnayan sa pinagmulan o iba pang kasangkot na partido.
8. **Panatilihin ang isang Timeline:**
"&amp;"- Lumikha ng magkakasunod na timeline ng mga kaganapang nauugnay sa maling impormasyon, kabilang ang noong una mong nalaman ito, ang iyong mga pagsisikap na tugunan ito, at anumang mga kasunod na pag-unlad. Makakatulong ang timeline na ito na itatag ang k"&amp;"onteksto at pag-unlad ng sitwasyon.
9. **Subaybayan ang Mga Pagbabago:**
- Panatilihin ang isang mapagbantay na mata sa maling impormasyon. Kung may mga pagbabago, pag-update, o pagtanggal, idokumento ang mga pagbabagong ito dahil maaaring may kaugnayan a"&amp;"ng mga ito sa panahon ng mga legal na paglilitis.
10. **Back Up Digital Files:**
- I-back up ang lahat ng mga digital na file at ebidensya sa maraming lokasyon upang maiwasan ang aksidenteng pagkawala o pinsala. Gumamit ng mga ligtas na paraan ng pag-iimb"&amp;"ak upang matiyak ang integridad ng ebidensya.
11. **Kumonsulta sa Mga Legal na Propesyonal:**
- Bago gumawa ng anumang karagdagang aksyon, kumunsulta sa isang abogadong may karanasan sa paninirang-puri, cyber law, o internet law. Maaari silang magbigay ng"&amp;" gabay sa partikular na katibayan na kailangan para sa iyong kaso at payuhan ka sa pinakamahusay na mga diskarte.
Ang pagpapanatili ng ebidensya kaagad at komprehensibo ay mahalaga para sa pagbuo ng isang malakas na kaso. Ang mga legal na propesyonal ay m"&amp;"aaaring magbigay ng partikular na payo na naaayon sa iyong sitwasyon at hurisdiksyon, na tinitiyak na mayroon kang kinakailangang ebidensya upang suportahan ang iyong mga paghahabol.")</f>
        <v>Ang pag-iingat ng ebidensya ay mahalaga kapag naghahanda na gumawa ng legal na aksyon laban sa maling impormasyon. Narito ang mga hakbang na maaari mong gawin upang epektibong mapanatili ang ebidensya bago simulan ang mga legal na paglilitis:
1. **Idokumento ang Maling Impormasyon:**
- Kumuha ng mga screenshot o mag-save ng mga kopya ng maling impormasyon, kabilang ang URL, petsa, at oras ng paglalathala. Ang dokumentasyong ito ay magsisilbing mahalagang ebidensya sa panahon ng mga legal na paglilitis.
2. **I-record ang Metadata:**
- Kunin ang metadata na nauugnay sa maling impormasyon, tulad ng username ng may-akda, mga detalye ng account, at anumang magagamit na impormasyon tungkol sa pinagmulan. Ang metadata na ito ay maaaring maging mahalaga sa pagtukoy ng responsableng partido.
3. **I-archive ang Mga Web Page:**
- Gumamit ng mga tool o serbisyo sa pag-archive ng web upang lumikha ng snapshot o archive ng mga web page na naglalaman ng maling impormasyon. Nakakatulong ito na matiyak na mayroon kang napreserbang bersyon ng nilalaman tulad ng paglitaw nito sa oras ng insidente.
4. **Tandaan ang Konteksto:**
- Idokumento ang kontekstong nakapalibot sa maling impormasyon, kabilang ang anumang mga pakikipag-ugnayan, komento, o talakayan na nauugnay sa nilalaman. Ang mas malawak na kontekstong ito ay maaaring may kaugnayan sa pag-unawa sa epekto ng maling impormasyon.
5. **Kuhanan ng Mga Post sa Social Media:**
- Kung kumalat ang maling impormasyon sa social media, kumuha ng mga screenshot ng mga nauugnay na post, komento, at pakikipag-ugnayan. Isama ang impormasyon tungkol sa mga pagbabahagi, gusto, o anumang pakikipag-ugnayan sa nilalaman.
6. **Kilalanin ang mga Saksi:**
- Tukuyin ang anumang mga potensyal na saksi na maaaring nakakita ng maling impormasyon o maaaring tumestigo sa epekto nito. Itala ang kanilang impormasyon sa pakikipag-ugnayan, mga pahayag, o anumang nauugnay na mga detalye na maaaring palakasin ang iyong kaso.
7. **Palagaan ang Mga Email at Komunikasyon:**
- Kung ang maling impormasyon ay ipinaalam sa pamamagitan ng mga email o iba pang elektronikong paraan, panatilihin ang mga kopya ng mga komunikasyong ito. Kabilang dito ang anumang pakikipag-ugnayan sa pinagmulan o iba pang kasangkot na partido.
8. **Panatilihin ang isang Timeline:**
- Lumikha ng magkakasunod na timeline ng mga kaganapang nauugnay sa maling impormasyon, kabilang ang noong una mong nalaman ito, ang iyong mga pagsisikap na tugunan ito, at anumang mga kasunod na pag-unlad. Makakatulong ang timeline na ito na itatag ang konteksto at pag-unlad ng sitwasyon.
9. **Subaybayan ang Mga Pagbabago:**
- Panatilihin ang isang mapagbantay na mata sa maling impormasyon. Kung may mga pagbabago, pag-update, o pagtanggal, idokumento ang mga pagbabagong ito dahil maaaring may kaugnayan ang mga ito sa panahon ng mga legal na paglilitis.
10. **Back Up Digital Files:**
- I-back up ang lahat ng mga digital na file at ebidensya sa maraming lokasyon upang maiwasan ang aksidenteng pagkawala o pinsala. Gumamit ng mga ligtas na paraan ng pag-iimbak upang matiyak ang integridad ng ebidensya.
11. **Kumonsulta sa Mga Legal na Propesyonal:**
- Bago gumawa ng anumang karagdagang aksyon, kumunsulta sa isang abogadong may karanasan sa paninirang-puri, cyber law, o internet law. Maaari silang magbigay ng gabay sa partikular na katibayan na kailangan para sa iyong kaso at payuhan ka sa pinakamahusay na mga diskarte.
Ang pagpapanatili ng ebidensya kaagad at komprehensibo ay mahalaga para sa pagbuo ng isang malakas na kaso. Ang mga legal na propesyonal ay maaaring magbigay ng partikular na payo na naaayon sa iyong sitwasyon at hurisdiksyon, na tinitiyak na mayroon kang kinakailangang ebidensya upang suportahan ang iyong mga paghahabol.</v>
      </c>
      <c r="F761" s="2">
        <f t="shared" si="1"/>
        <v>0</v>
      </c>
      <c r="G761" s="2"/>
      <c r="H761" s="2"/>
      <c r="I761" s="2"/>
      <c r="J761" s="2"/>
      <c r="K761" s="2"/>
      <c r="L761" s="2"/>
      <c r="M761" s="2"/>
      <c r="N761" s="2"/>
      <c r="O761" s="2"/>
      <c r="P761" s="2"/>
      <c r="Q761" s="2"/>
      <c r="R761" s="2"/>
      <c r="S761" s="2"/>
      <c r="T761" s="2"/>
      <c r="U761" s="2"/>
      <c r="V761" s="2"/>
      <c r="W761" s="2"/>
      <c r="X761" s="2"/>
      <c r="Y761" s="2"/>
      <c r="Z761" s="2"/>
      <c r="AA761" s="2"/>
    </row>
    <row r="762">
      <c r="A762" s="3" t="s">
        <v>2010</v>
      </c>
      <c r="B762" s="1" t="s">
        <v>2499</v>
      </c>
      <c r="C762" s="1" t="s">
        <v>2500</v>
      </c>
      <c r="D762" s="1" t="s">
        <v>2501</v>
      </c>
      <c r="E762" s="2" t="str">
        <f>IFERROR(__xludf.DUMMYFUNCTION("GOOGLETRANSLATE(C762, ""en"", ""TL"")"),"Sa maraming legal na sistema, ang mga indibidwal na nagbabahagi ng maling impormasyon na nagmula sa ibang pinagmulan ay maaaring managot, depende sa mga pangyayari at naaangkop na mga batas. Ang pananagutan sa mga ganitong kaso ay kadalasang nauugnay sa m"&amp;"ga konsepto tulad ng paninirang-puri, pagkalat ng maling impormasyon, o iba pang mga legal na prinsipyo. Narito ang ilang mga pagsasaalang-alang:
1. **Paninirang-puri:**
- Kung ang ibinahaging impormasyon ay mapanirang-puri, ang mga indibidwal na nagpasa "&amp;"ng maling impormasyon ay maaaring managot para sa paninirang-puri. Karaniwang nalalapat ang mga batas sa paninirang-puri sa mga gumagawa, nag-publish, o nagpapakalat ng mga maling pahayag na pumipinsala sa reputasyon ng ibang tao o entity.
2. **Republicat"&amp;"ion:**
- Ang pagkilos ng pagbabahagi o muling paglalathala ng maling impormasyon ay maaaring ituring na isang paraan ng muling paglalathala. Sa ilang hurisdiksyon, ang mga indibidwal na muling nag-publish ng mapanirang-puri na nilalaman ay maaaring tratuh"&amp;"in nang katulad ng orihinal na pinagmulan sa mga tuntunin ng pananagutan.
3. **Actual Malice:**
- Sa ilang mga kaso ng paninirang-puri, ang konsepto ng ""aktwal na malisya"" ay maaaring may kaugnayan. Ang aktwal na masamang hangarin ay nagsasangkot ng pag"&amp;"gawa ng mga maling pahayag na alam ang kanilang kasinungalingan o nang walang ingat na pagwawalang-bahala sa katotohanan. Kung may taong sadyang nagbabahagi ng maling impormasyon, maaari silang managot.
4. **Pabaya:**
- Depende sa legal na balangkas, ang "&amp;"mga indibidwal ay maaaring managot para sa kapabayaan kung nagbabahagi sila ng maling impormasyon nang hindi bini-verify ang katumpakan nito. Ang kapabayaan sa pagbabahagi ng maling impormasyon ay maaaring mag-ambag sa legal na responsibilidad.
5. **Pampu"&amp;"blikong Pagbubunyag ng Mga Pribadong Katotohanan:**
- Sa ilang mga kaso, ang pagbabahagi ng maling impormasyon na sumasalakay sa privacy ng isang tao ay maaaring maaksyunan sa ilalim ng mga batas na nauugnay sa pampublikong pagsisiwalat ng mga pribadong k"&amp;"atotohanan.
6. **Conspiracy o Pinagsanib na Pananagutan:**
- Kung maraming indibidwal ang nagtutulungan o sadyang nag-aambag sa pagkalat ng maling impormasyon, maaari silang managot para sa pagsasabwatan o magkasanib na pananagutan, depende sa mga naaangk"&amp;"op na batas.
7. **Mga Batas ng Mabuting Samaritano:**
- May mga batas ang ilang hurisdiksyon na nagpoprotekta sa mga indibidwal na kumikilos nang may mabuting loob upang mag-ulat ng maling impormasyon. Gayunpaman, maaaring mag-iba ang pagkakalapat ng mga "&amp;"batas na ito, at maaaring hindi sila magbigay ng ganap na kaligtasan sa sakit.
8. **Mahalaga sa Konteksto:**
- Madalas na isinasaalang-alang ng legal na pagsusuri ang konteksto kung saan ibinabahagi ang maling impormasyon. Ang mga salik tulad ng layunin, "&amp;"kaalaman, ugnayan sa pagitan ng mga partido, at ang epekto ng pagbabahagi ay maaaring makaimpluwensya sa pananagutan.
Mahalagang kumunsulta sa isang legal na propesyonal sa iyong hurisdiksyon upang maunawaan ang mga partikular na batas at prinsipyong naaa"&amp;"ngkop. Ang pananagutan para sa pagbabahagi ng maling impormasyon ay maaaring mag-iba batay sa mga batas sa paninirang-puri, mga batas sa privacy, at iba pang mga legal na doktrina. Makakatulong sa iyo ang legal na payo na masuri ang mga kalagayan ng sitwa"&amp;"syon at matukoy ang potensyal para sa pananagutan ng mga indibidwal para sa pagbabahagi ng maling impormasyon.")</f>
        <v>Sa maraming legal na sistema, ang mga indibidwal na nagbabahagi ng maling impormasyon na nagmula sa ibang pinagmulan ay maaaring managot, depende sa mga pangyayari at naaangkop na mga batas. Ang pananagutan sa mga ganitong kaso ay kadalasang nauugnay sa mga konsepto tulad ng paninirang-puri, pagkalat ng maling impormasyon, o iba pang mga legal na prinsipyo. Narito ang ilang mga pagsasaalang-alang:
1. **Paninirang-puri:**
- Kung ang ibinahaging impormasyon ay mapanirang-puri, ang mga indibidwal na nagpasa ng maling impormasyon ay maaaring managot para sa paninirang-puri. Karaniwang nalalapat ang mga batas sa paninirang-puri sa mga gumagawa, nag-publish, o nagpapakalat ng mga maling pahayag na pumipinsala sa reputasyon ng ibang tao o entity.
2. **Republication:**
- Ang pagkilos ng pagbabahagi o muling paglalathala ng maling impormasyon ay maaaring ituring na isang paraan ng muling paglalathala. Sa ilang hurisdiksyon, ang mga indibidwal na muling nag-publish ng mapanirang-puri na nilalaman ay maaaring tratuhin nang katulad ng orihinal na pinagmulan sa mga tuntunin ng pananagutan.
3. **Actual Malice:**
- Sa ilang mga kaso ng paninirang-puri, ang konsepto ng "aktwal na malisya" ay maaaring may kaugnayan. Ang aktwal na masamang hangarin ay nagsasangkot ng paggawa ng mga maling pahayag na alam ang kanilang kasinungalingan o nang walang ingat na pagwawalang-bahala sa katotohanan. Kung may taong sadyang nagbabahagi ng maling impormasyon, maaari silang managot.
4. **Pabaya:**
- Depende sa legal na balangkas, ang mga indibidwal ay maaaring managot para sa kapabayaan kung nagbabahagi sila ng maling impormasyon nang hindi bini-verify ang katumpakan nito. Ang kapabayaan sa pagbabahagi ng maling impormasyon ay maaaring mag-ambag sa legal na responsibilidad.
5. **Pampublikong Pagbubunyag ng Mga Pribadong Katotohanan:**
- Sa ilang mga kaso, ang pagbabahagi ng maling impormasyon na sumasalakay sa privacy ng isang tao ay maaaring maaksyunan sa ilalim ng mga batas na nauugnay sa pampublikong pagsisiwalat ng mga pribadong katotohanan.
6. **Conspiracy o Pinagsanib na Pananagutan:**
- Kung maraming indibidwal ang nagtutulungan o sadyang nag-aambag sa pagkalat ng maling impormasyon, maaari silang managot para sa pagsasabwatan o magkasanib na pananagutan, depende sa mga naaangkop na batas.
7. **Mga Batas ng Mabuting Samaritano:**
- May mga batas ang ilang hurisdiksyon na nagpoprotekta sa mga indibidwal na kumikilos nang may mabuting loob upang mag-ulat ng maling impormasyon. Gayunpaman, maaaring mag-iba ang pagkakalapat ng mga batas na ito, at maaaring hindi sila magbigay ng ganap na kaligtasan sa sakit.
8. **Mahalaga sa Konteksto:**
- Madalas na isinasaalang-alang ng legal na pagsusuri ang konteksto kung saan ibinabahagi ang maling impormasyon. Ang mga salik tulad ng layunin, kaalaman, ugnayan sa pagitan ng mga partido, at ang epekto ng pagbabahagi ay maaaring makaimpluwensya sa pananagutan.
Mahalagang kumunsulta sa isang legal na propesyonal sa iyong hurisdiksyon upang maunawaan ang mga partikular na batas at prinsipyong naaangkop. Ang pananagutan para sa pagbabahagi ng maling impormasyon ay maaaring mag-iba batay sa mga batas sa paninirang-puri, mga batas sa privacy, at iba pang mga legal na doktrina. Makakatulong sa iyo ang legal na payo na masuri ang mga kalagayan ng sitwasyon at matukoy ang potensyal para sa pananagutan ng mga indibidwal para sa pagbabahagi ng maling impormasyon.</v>
      </c>
      <c r="F762" s="2">
        <f t="shared" si="1"/>
        <v>0</v>
      </c>
      <c r="G762" s="2"/>
      <c r="H762" s="2"/>
      <c r="I762" s="2"/>
      <c r="J762" s="2"/>
      <c r="K762" s="2"/>
      <c r="L762" s="2"/>
      <c r="M762" s="2"/>
      <c r="N762" s="2"/>
      <c r="O762" s="2"/>
      <c r="P762" s="2"/>
      <c r="Q762" s="2"/>
      <c r="R762" s="2"/>
      <c r="S762" s="2"/>
      <c r="T762" s="2"/>
      <c r="U762" s="2"/>
      <c r="V762" s="2"/>
      <c r="W762" s="2"/>
      <c r="X762" s="2"/>
      <c r="Y762" s="2"/>
      <c r="Z762" s="2"/>
      <c r="AA762" s="2"/>
    </row>
    <row r="763">
      <c r="A763" s="3" t="s">
        <v>2010</v>
      </c>
      <c r="B763" s="1" t="s">
        <v>2502</v>
      </c>
      <c r="C763" s="1" t="s">
        <v>2503</v>
      </c>
      <c r="D763" s="1" t="s">
        <v>2504</v>
      </c>
      <c r="E763" s="2" t="str">
        <f>IFERROR(__xludf.DUMMYFUNCTION("GOOGLETRANSLATE(C763, ""en"", ""TL"")"),"Ang pagprotekta sa iyong reputasyon mula sa maling online na impormasyon ay nagsasangkot ng kumbinasyon ng mga proactive na hakbang at tumutugon na pagkilos. Narito ang ilang mga diskarte upang makatulong na pangalagaan ang iyong reputasyon:
### Mga Aktib"&amp;"ong Panukala:
1. **Magtatag ng Positibong Online Presence:**
- Bumuo at mapanatili ang isang positibong presensya sa online sa pamamagitan ng social media, mga propesyonal na profile, at iba pang mga platform. I-highlight ang iyong mga tagumpay, kadalubha"&amp;"saan, at positibong kontribusyon.
2. **Subaybayan ang Iyong Online Presence:**
- Regular na subaybayan ang mga online na platform para sa pagbanggit ng iyong pangalan o negosyo. I-set up ang Google Alerts o gumamit ng mga tool sa pagsubaybay upang makatan"&amp;"ggap ng mga notification kapag binanggit ang iyong pangalan.
3. **Mga Setting ng Privacy:**
- Ayusin ang mga setting ng privacy sa mga platform ng social media upang makontrol kung sino ang makakakita ng iyong personal na impormasyon at mga post. Maging m"&amp;"aingat sa impormasyong ibinabahagi mo sa publiko.
4. **I-secure ang Iyong Mga Account:**
- Gumamit ng malakas, natatanging mga password para sa iyong mga online na account, at paganahin ang two-factor authentication kapag available. Regular na suriin at i"&amp;"-update ang iyong mga setting ng seguridad.
5. **Turuan ang Iba:**
- Isulong ang digital literacy at turuan ang mga kaibigan, pamilya, at kasamahan tungkol sa kahalagahan ng pag-verify ng impormasyon bago ito ibahagi online. Hikayatin ang responsableng pa"&amp;"g-uugali sa online.
### Mga Pagkilos na Tumutugon:
1. **Tugunan Agad ang Maling Impormasyon:**
- Kumilos nang mabilis upang matugunan ang maling impormasyon. Direktang tumugon sa pinagmulan o platform na humihiling ng mga pagwawasto o pagbawi. Magbigay ng"&amp;" ebidensya upang pabulaanan ang mga maling pahayag.
2. **Makisali sa Positibong Online na Komunikasyon:**
- Labanan ang maling impormasyon sa pamamagitan ng pagbabahagi ng tumpak at positibong nilalaman tungkol sa iyong sarili o sa iyong negosyo. Makipag-"&amp;"ugnayan sa iyong madla sa positibo at propesyonal na paraan.
3. **Mag-ulat ng Maling Impormasyon:**
- Gumamit ng mga mekanismo ng pag-uulat sa mga platform ng social media upang mag-ulat ng maling impormasyon. Maraming mga platform ang may mga pamamaraan "&amp;"para sa paghawak ng maling impormasyon at mapaminsalang nilalaman.
4. **Humingi ng Legal na Payo:**
- Kumonsulta sa isang abogadong may karanasan sa paninirang-puri o batas sa internet upang maunawaan ang iyong mga legal na opsyon. Maaari ka nilang gabaya"&amp;"n sa pinakamahusay na paraan ng pagkilos at tumulong sa pagtatasa ng posibilidad ng mga legal na paghahabol.
5. **Pagbawi sa Iniutos ng Korte:**
- Kung ang maling impormasyon ay nakakasira sa iyong reputasyon, isaalang-alang ang paghingi ng utos ng hukuma"&amp;"n sa pagbawi. Maaaring kailanganin ng legal na aksyon upang mapilitan ang responsableng partido na itama ang maling impormasyon.
6. **Bumuo ng Network ng Suporta:**
- Makipag-ugnayan sa mga kaibigan, kasamahan, at kaalyado na maaaring magbigay ng garantiy"&amp;"a para sa iyong karakter at magbigay ng suporta sa mga panahong mahirap. Maaaring palakasin ng mga positibong testimonial at pag-endorso ang iyong reputasyon.
7. **Katibayan ng Dokumento:**
- Panatilihin ang masusing mga talaan ng maling impormasyon, kabi"&amp;"lang ang mga screenshot, petsa, at anumang komunikasyon sa pinagmulan o platform. Maaaring maging mahalaga ang dokumentasyong ito kung kinakailangan ang legal na aksyon.
8. **Panatilihin ang Propesyonalismo:**
- Tumugon sa maling impormasyon nang may prop"&amp;"esyonalismo at pagpigil. Iwasang makisali sa mga online na salungatan o gumawa ng mga nakakaalab na pahayag na maaaring makapinsala sa iyong reputasyon.
Tandaan na ang kumbinasyon ng mga aksyong pang-iwas at mga diskarte sa pagtugon ay susi sa pamamahala "&amp;"ng reputasyon. Kung nagpapatuloy ang maling impormasyon at nagdudulot ng malaking pinsala, maaaring kailanganin ang paghingi ng legal na payo at pagsasagawa ng naaangkop na legal na aksyon upang maprotektahan ang iyong reputasyon.")</f>
        <v>Ang pagprotekta sa iyong reputasyon mula sa maling online na impormasyon ay nagsasangkot ng kumbinasyon ng mga proactive na hakbang at tumutugon na pagkilos. Narito ang ilang mga diskarte upang makatulong na pangalagaan ang iyong reputasyon:
### Mga Aktibong Panukala:
1. **Magtatag ng Positibong Online Presence:**
- Bumuo at mapanatili ang isang positibong presensya sa online sa pamamagitan ng social media, mga propesyonal na profile, at iba pang mga platform. I-highlight ang iyong mga tagumpay, kadalubhasaan, at positibong kontribusyon.
2. **Subaybayan ang Iyong Online Presence:**
- Regular na subaybayan ang mga online na platform para sa pagbanggit ng iyong pangalan o negosyo. I-set up ang Google Alerts o gumamit ng mga tool sa pagsubaybay upang makatanggap ng mga notification kapag binanggit ang iyong pangalan.
3. **Mga Setting ng Privacy:**
- Ayusin ang mga setting ng privacy sa mga platform ng social media upang makontrol kung sino ang makakakita ng iyong personal na impormasyon at mga post. Maging maingat sa impormasyong ibinabahagi mo sa publiko.
4. **I-secure ang Iyong Mga Account:**
- Gumamit ng malakas, natatanging mga password para sa iyong mga online na account, at paganahin ang two-factor authentication kapag available. Regular na suriin at i-update ang iyong mga setting ng seguridad.
5. **Turuan ang Iba:**
- Isulong ang digital literacy at turuan ang mga kaibigan, pamilya, at kasamahan tungkol sa kahalagahan ng pag-verify ng impormasyon bago ito ibahagi online. Hikayatin ang responsableng pag-uugali sa online.
### Mga Pagkilos na Tumutugon:
1. **Tugunan Agad ang Maling Impormasyon:**
- Kumilos nang mabilis upang matugunan ang maling impormasyon. Direktang tumugon sa pinagmulan o platform na humihiling ng mga pagwawasto o pagbawi. Magbigay ng ebidensya upang pabulaanan ang mga maling pahayag.
2. **Makisali sa Positibong Online na Komunikasyon:**
- Labanan ang maling impormasyon sa pamamagitan ng pagbabahagi ng tumpak at positibong nilalaman tungkol sa iyong sarili o sa iyong negosyo. Makipag-ugnayan sa iyong madla sa positibo at propesyonal na paraan.
3. **Mag-ulat ng Maling Impormasyon:**
- Gumamit ng mga mekanismo ng pag-uulat sa mga platform ng social media upang mag-ulat ng maling impormasyon. Maraming mga platform ang may mga pamamaraan para sa paghawak ng maling impormasyon at mapaminsalang nilalaman.
4. **Humingi ng Legal na Payo:**
- Kumonsulta sa isang abogadong may karanasan sa paninirang-puri o batas sa internet upang maunawaan ang iyong mga legal na opsyon. Maaari ka nilang gabayan sa pinakamahusay na paraan ng pagkilos at tumulong sa pagtatasa ng posibilidad ng mga legal na paghahabol.
5. **Pagbawi sa Iniutos ng Korte:**
- Kung ang maling impormasyon ay nakakasira sa iyong reputasyon, isaalang-alang ang paghingi ng utos ng hukuman sa pagbawi. Maaaring kailanganin ng legal na aksyon upang mapilitan ang responsableng partido na itama ang maling impormasyon.
6. **Bumuo ng Network ng Suporta:**
- Makipag-ugnayan sa mga kaibigan, kasamahan, at kaalyado na maaaring magbigay ng garantiya para sa iyong karakter at magbigay ng suporta sa mga panahong mahirap. Maaaring palakasin ng mga positibong testimonial at pag-endorso ang iyong reputasyon.
7. **Katibayan ng Dokumento:**
- Panatilihin ang masusing mga talaan ng maling impormasyon, kabilang ang mga screenshot, petsa, at anumang komunikasyon sa pinagmulan o platform. Maaaring maging mahalaga ang dokumentasyong ito kung kinakailangan ang legal na aksyon.
8. **Panatilihin ang Propesyonalismo:**
- Tumugon sa maling impormasyon nang may propesyonalismo at pagpigil. Iwasang makisali sa mga online na salungatan o gumawa ng mga nakakaalab na pahayag na maaaring makapinsala sa iyong reputasyon.
Tandaan na ang kumbinasyon ng mga aksyong pang-iwas at mga diskarte sa pagtugon ay susi sa pamamahala ng reputasyon. Kung nagpapatuloy ang maling impormasyon at nagdudulot ng malaking pinsala, maaaring kailanganin ang paghingi ng legal na payo at pagsasagawa ng naaangkop na legal na aksyon upang maprotektahan ang iyong reputasyon.</v>
      </c>
      <c r="F763" s="2">
        <f t="shared" si="1"/>
        <v>0</v>
      </c>
      <c r="G763" s="2"/>
      <c r="H763" s="2"/>
      <c r="I763" s="2"/>
      <c r="J763" s="2"/>
      <c r="K763" s="2"/>
      <c r="L763" s="2"/>
      <c r="M763" s="2"/>
      <c r="N763" s="2"/>
      <c r="O763" s="2"/>
      <c r="P763" s="2"/>
      <c r="Q763" s="2"/>
      <c r="R763" s="2"/>
      <c r="S763" s="2"/>
      <c r="T763" s="2"/>
      <c r="U763" s="2"/>
      <c r="V763" s="2"/>
      <c r="W763" s="2"/>
      <c r="X763" s="2"/>
      <c r="Y763" s="2"/>
      <c r="Z763" s="2"/>
      <c r="AA763" s="2"/>
    </row>
    <row r="764">
      <c r="A764" s="3" t="s">
        <v>2010</v>
      </c>
      <c r="B764" s="1" t="s">
        <v>2505</v>
      </c>
      <c r="C764" s="1" t="s">
        <v>2506</v>
      </c>
      <c r="D764" s="1" t="s">
        <v>2507</v>
      </c>
      <c r="E764" s="2" t="str">
        <f>IFERROR(__xludf.DUMMYFUNCTION("GOOGLETRANSLATE(C764, ""en"", ""TL"")"),"Oo, maaari kang magkaroon ng legal na paraan kung may gumawa ng mga pekeng social media account para magkalat ng maling impormasyon tungkol sa iyo. Sa maraming hurisdiksyon, ang mga naturang aksyon ay maaaring ituring na paninirang-puri, at maaari kang ma"&amp;"gsagawa ng legal na remedyo. Gayunpaman, ang mga partikular na batas at magagamit na mga legal na opsyon ay maaaring mag-iba ayon sa hurisdiksyon.
Narito ang ilang karaniwang legal na aksyon na maaari mong isaalang-alang:
1. **Defamation Lawsuit:** "&amp;"Kung ang maling impormasyon ay makapinsala sa iyong reputasyon, maaari kang magkaroon ng mga batayan para sa isang demanda sa paninirang-puri. Ang paninirang-puri sa pangkalahatan ay kinabibilangan ng mga maling pahayag na nakakasira sa reputasyon ng isan"&amp;"g indibidwal.
2. **Pagnanakaw ng Pagkakakilanlan:** Ang paggawa ng mga pekeng social media account gamit ang iyong pagkakakilanlan ay maaari ding maging pagnanakaw ng pagkakakilanlan o pagpapanggap, na maaaring isang kriminal na pagkakasala sa ilang hu"&amp;"risdiksyon.
3. **Paglabag sa Mga Patakaran sa Social Media:** Iulat ang mga pekeng account sa kani-kanilang mga platform ng social media. Maraming mga social media platform ang may mga patakaran laban sa pagpapanggap at pagkalat ng maling impormasyon. "&amp;"Ang pag-uulat sa mga account ay maaaring magresulta sa kanilang pag-aalis.
4. **Cease and Desist Letter:** Sa ilang mga kaso, ang pagpapadala ng cease and desist letter sa pamamagitan ng legal na propesyonal ay maaaring isang paunang hakbang upang hili"&amp;"ngin sa indibidwal na ihinto ang mga maling pahayag at aksyon.
Upang ituloy ang legal na aksyon, dapat kang kumunsulta sa isang abogado na dalubhasa sa paninirang-puri o batas sa internet. Maaari silang magbigay ng payo batay sa mga partikular na batas"&amp;" na naaangkop sa iyong hurisdiksyon at gagabay sa iyo sa pinakamahusay na paraan ng pagkilos. Panatilihin ang anumang ebidensya, tulad ng mga screenshot o talaan ng maling impormasyon, dahil maaaring mahalaga ito sa pagbuo ng iyong kaso.")</f>
        <v>Oo, maaari kang magkaroon ng legal na paraan kung may gumawa ng mga pekeng social media account para magkalat ng maling impormasyon tungkol sa iyo. Sa maraming hurisdiksyon, ang mga naturang aksyon ay maaaring ituring na paninirang-puri, at maaari kang magsagawa ng legal na remedyo. Gayunpaman, ang mga partikular na batas at magagamit na mga legal na opsyon ay maaaring mag-iba ayon sa hurisdiksyon.
Narito ang ilang karaniwang legal na aksyon na maaari mong isaalang-alang:
1. **Defamation Lawsuit:** Kung ang maling impormasyon ay makapinsala sa iyong reputasyon, maaari kang magkaroon ng mga batayan para sa isang demanda sa paninirang-puri. Ang paninirang-puri sa pangkalahatan ay kinabibilangan ng mga maling pahayag na nakakasira sa reputasyon ng isang indibidwal.
2. **Pagnanakaw ng Pagkakakilanlan:** Ang paggawa ng mga pekeng social media account gamit ang iyong pagkakakilanlan ay maaari ding maging pagnanakaw ng pagkakakilanlan o pagpapanggap, na maaaring isang kriminal na pagkakasala sa ilang hurisdiksyon.
3. **Paglabag sa Mga Patakaran sa Social Media:** Iulat ang mga pekeng account sa kani-kanilang mga platform ng social media. Maraming mga social media platform ang may mga patakaran laban sa pagpapanggap at pagkalat ng maling impormasyon. Ang pag-uulat sa mga account ay maaaring magresulta sa kanilang pag-aalis.
4. **Cease and Desist Letter:** Sa ilang mga kaso, ang pagpapadala ng cease and desist letter sa pamamagitan ng legal na propesyonal ay maaaring isang paunang hakbang upang hilingin sa indibidwal na ihinto ang mga maling pahayag at aksyon.
Upang ituloy ang legal na aksyon, dapat kang kumunsulta sa isang abogado na dalubhasa sa paninirang-puri o batas sa internet. Maaari silang magbigay ng payo batay sa mga partikular na batas na naaangkop sa iyong hurisdiksyon at gagabay sa iyo sa pinakamahusay na paraan ng pagkilos. Panatilihin ang anumang ebidensya, tulad ng mga screenshot o talaan ng maling impormasyon, dahil maaaring mahalaga ito sa pagbuo ng iyong kaso.</v>
      </c>
      <c r="F764" s="2">
        <f t="shared" si="1"/>
        <v>0</v>
      </c>
      <c r="G764" s="2"/>
      <c r="H764" s="2"/>
      <c r="I764" s="2"/>
      <c r="J764" s="2"/>
      <c r="K764" s="2"/>
      <c r="L764" s="2"/>
      <c r="M764" s="2"/>
      <c r="N764" s="2"/>
      <c r="O764" s="2"/>
      <c r="P764" s="2"/>
      <c r="Q764" s="2"/>
      <c r="R764" s="2"/>
      <c r="S764" s="2"/>
      <c r="T764" s="2"/>
      <c r="U764" s="2"/>
      <c r="V764" s="2"/>
      <c r="W764" s="2"/>
      <c r="X764" s="2"/>
      <c r="Y764" s="2"/>
      <c r="Z764" s="2"/>
      <c r="AA764" s="2"/>
    </row>
    <row r="765">
      <c r="A765" s="3" t="s">
        <v>2010</v>
      </c>
      <c r="B765" s="1" t="s">
        <v>2508</v>
      </c>
      <c r="C765" s="1" t="s">
        <v>2509</v>
      </c>
      <c r="D765" s="1" t="s">
        <v>2510</v>
      </c>
      <c r="E765" s="2" t="str">
        <f>IFERROR(__xludf.DUMMYFUNCTION("GOOGLETRANSLATE(C765, ""en"", ""TL"")"),"Ang batas ng mga limitasyon para sa paghahabla ng maling impormasyon sa online ay maaaring mag-iba depende sa hurisdiksyon at mga partikular na legal na paghahabol na iyong hinahabol. Sa maraming lugar, ang mga claim sa paninirang-puri, na kadalasang nags"&amp;"asangkot ng mga maling pahayag na nakakasira sa reputasyon ng isang tao, ay may sariling mga batas ng mga limitasyon.
Mahalagang tandaan na ang batas ng mga limitasyon ay maaaring magkaiba para sa sibil at kriminal na mga kaso, at maaari itong mag-iba "&amp;"batay sa likas na katangian ng paghahabol, hurisdiksyon, at iba pang mga salik. Bukod pa rito, ang pagkatuklas ng maling impormasyon ay maaaring maging salik sa pagtukoy kung kailan magsisimulang mag-tick ang orasan sa batas ng mga limitasyon.
Kung isi"&amp;"nasaalang-alang mo ang legal na aksyon, mahalagang kumunsulta sa isang abogado na dalubhasa sa paninirang-puri o batas sa internet sa iyong partikular na hurisdiksyon. Maaari silang magbigay ng gabay sa naaangkop na batas ng mga limitasyon at tulungan kan"&amp;"g maunawaan ang iyong mga karapatan at opsyon.
Tandaan na maaaring magbago ang mga batas, kaya ang impormasyong ibinigay dito ay maaaring hindi sumasalamin sa mga pinakabagong legal na pamantayan. Palaging humingi ng payo mula sa mga legal na propesyon"&amp;"al upang matiyak na tumpak at napapanahon ang impormasyong nauugnay sa iyong sitwasyon.")</f>
        <v>Ang batas ng mga limitasyon para sa paghahabla ng maling impormasyon sa online ay maaaring mag-iba depende sa hurisdiksyon at mga partikular na legal na paghahabol na iyong hinahabol. Sa maraming lugar, ang mga claim sa paninirang-puri, na kadalasang nagsasangkot ng mga maling pahayag na nakakasira sa reputasyon ng isang tao, ay may sariling mga batas ng mga limitasyon.
Mahalagang tandaan na ang batas ng mga limitasyon ay maaaring magkaiba para sa sibil at kriminal na mga kaso, at maaari itong mag-iba batay sa likas na katangian ng paghahabol, hurisdiksyon, at iba pang mga salik. Bukod pa rito, ang pagkatuklas ng maling impormasyon ay maaaring maging salik sa pagtukoy kung kailan magsisimulang mag-tick ang orasan sa batas ng mga limitasyon.
Kung isinasaalang-alang mo ang legal na aksyon, mahalagang kumunsulta sa isang abogado na dalubhasa sa paninirang-puri o batas sa internet sa iyong partikular na hurisdiksyon. Maaari silang magbigay ng gabay sa naaangkop na batas ng mga limitasyon at tulungan kang maunawaan ang iyong mga karapatan at opsyon.
Tandaan na maaaring magbago ang mga batas, kaya ang impormasyong ibinigay dito ay maaaring hindi sumasalamin sa mga pinakabagong legal na pamantayan. Palaging humingi ng payo mula sa mga legal na propesyonal upang matiyak na tumpak at napapanahon ang impormasyong nauugnay sa iyong sitwasyon.</v>
      </c>
      <c r="F765" s="2">
        <f t="shared" si="1"/>
        <v>0</v>
      </c>
      <c r="G765" s="2"/>
      <c r="H765" s="2"/>
      <c r="I765" s="2"/>
      <c r="J765" s="2"/>
      <c r="K765" s="2"/>
      <c r="L765" s="2"/>
      <c r="M765" s="2"/>
      <c r="N765" s="2"/>
      <c r="O765" s="2"/>
      <c r="P765" s="2"/>
      <c r="Q765" s="2"/>
      <c r="R765" s="2"/>
      <c r="S765" s="2"/>
      <c r="T765" s="2"/>
      <c r="U765" s="2"/>
      <c r="V765" s="2"/>
      <c r="W765" s="2"/>
      <c r="X765" s="2"/>
      <c r="Y765" s="2"/>
      <c r="Z765" s="2"/>
      <c r="AA765" s="2"/>
    </row>
    <row r="766">
      <c r="A766" s="3" t="s">
        <v>2010</v>
      </c>
      <c r="B766" s="1" t="s">
        <v>2511</v>
      </c>
      <c r="C766" s="1" t="s">
        <v>2512</v>
      </c>
      <c r="D766" s="1" t="s">
        <v>2513</v>
      </c>
      <c r="E766" s="2" t="str">
        <f>IFERROR(__xludf.DUMMYFUNCTION("GOOGLETRANSLATE(C766, ""en"", ""TL"")"),"Kung maaari mong idemanda ang isang tao para sa paninirang-puri batay sa maling impormasyon na nai-post sa isang saradong online na grupo ay maaaring depende sa ilang mga salik, kabilang ang hurisdiksyon at ang likas na katangian ng mga maling pahayag. Na"&amp;"rito ang ilang pangkalahatang pagsasaalang-alang:
1. **Mga Elemento ng Paninirang-puri:** Ang paninirang-puri ay karaniwang nagsasangkot ng mga maling pahayag na pumipinsala sa reputasyon ng isang indibidwal at ipinapaalam sa isang third party. Kung an"&amp;"g maling impormasyong nai-post sa saradong online na grupo ay nakakatugon sa mga pamantayang ito, maaari kang magkaroon ng mga batayan para sa isang claim sa paninirang-puri.
2. **Paglalathala sa isang Third Party:** Isang mahalagang elemento ng panini"&amp;"rang-puri ay ang maling impormasyon ay dapat ipaalam sa isang third party. Kung ang saradong online na grupo ay pribado at limitado sa ilang partikular na indibidwal, maaaring mas mahirap itatag ang elemento ng publikasyon.
3. **Mga Miyembro ng Grupo:*"&amp;"* Isaalang-alang kung ang mga miyembro ng saradong online na grupo ay maaaring ituring na isang ""pampublikong"" audience para sa mga layunin ng paninirang-puri. Sa ilang hurisdiksyon, ang mga pahayag na ginawa sa loob ng pribado o limitadong grupo ay maa"&amp;"aring hindi ituring na sapat na pampubliko upang suportahan ang isang paghahabol sa paninirang-puri.
4. **Legal na Jurisdiction:** Ang mga batas tungkol sa paninirang-puri ay nag-iiba-iba sa pagitan ng mga hurisdiksyon, at kung ano ang itinuturing na m"&amp;"apanirang-puri at ang mga kinakailangan para sa isang matagumpay na paghahabol ay maaaring magkaiba. Ang pagkonsulta sa isang abogadong pamilyar sa mga batas ng paninirang-puri sa iyong nasasakupan ay napakahalaga.
5. **Mga Pinsala:** Sa maraming kaso "&amp;"ng paninirang-puri, kailangang ipakita ng nagsasakdal na dumanas sila ng ilang uri ng pinsala o pinsala bilang resulta ng mga maling pahayag.
Bago magsagawa ng legal na aksyon, ipinapayong kumunsulta sa isang abogado na dalubhasa sa paninirang-puri o b"&amp;"atas sa internet. Maaari nilang tasahin ang mga detalye ng iyong sitwasyon at magbigay ng gabay batay sa mga batas na naaangkop sa iyong hurisdiksyon. Tandaan na maaaring magbago ang mga batas, kaya mahalagang humingi ng payo mula sa mga legal na propesyo"&amp;"nal upang matiyak ang tumpak at napapanahon na impormasyon.")</f>
        <v>Kung maaari mong idemanda ang isang tao para sa paninirang-puri batay sa maling impormasyon na nai-post sa isang saradong online na grupo ay maaaring depende sa ilang mga salik, kabilang ang hurisdiksyon at ang likas na katangian ng mga maling pahayag. Narito ang ilang pangkalahatang pagsasaalang-alang:
1. **Mga Elemento ng Paninirang-puri:** Ang paninirang-puri ay karaniwang nagsasangkot ng mga maling pahayag na pumipinsala sa reputasyon ng isang indibidwal at ipinapaalam sa isang third party. Kung ang maling impormasyong nai-post sa saradong online na grupo ay nakakatugon sa mga pamantayang ito, maaari kang magkaroon ng mga batayan para sa isang claim sa paninirang-puri.
2. **Paglalathala sa isang Third Party:** Isang mahalagang elemento ng paninirang-puri ay ang maling impormasyon ay dapat ipaalam sa isang third party. Kung ang saradong online na grupo ay pribado at limitado sa ilang partikular na indibidwal, maaaring mas mahirap itatag ang elemento ng publikasyon.
3. **Mga Miyembro ng Grupo:** Isaalang-alang kung ang mga miyembro ng saradong online na grupo ay maaaring ituring na isang "pampublikong" audience para sa mga layunin ng paninirang-puri. Sa ilang hurisdiksyon, ang mga pahayag na ginawa sa loob ng pribado o limitadong grupo ay maaaring hindi ituring na sapat na pampubliko upang suportahan ang isang paghahabol sa paninirang-puri.
4. **Legal na Jurisdiction:** Ang mga batas tungkol sa paninirang-puri ay nag-iiba-iba sa pagitan ng mga hurisdiksyon, at kung ano ang itinuturing na mapanirang-puri at ang mga kinakailangan para sa isang matagumpay na paghahabol ay maaaring magkaiba. Ang pagkonsulta sa isang abogadong pamilyar sa mga batas ng paninirang-puri sa iyong nasasakupan ay napakahalaga.
5. **Mga Pinsala:** Sa maraming kaso ng paninirang-puri, kailangang ipakita ng nagsasakdal na dumanas sila ng ilang uri ng pinsala o pinsala bilang resulta ng mga maling pahayag.
Bago magsagawa ng legal na aksyon, ipinapayong kumunsulta sa isang abogado na dalubhasa sa paninirang-puri o batas sa internet. Maaari nilang tasahin ang mga detalye ng iyong sitwasyon at magbigay ng gabay batay sa mga batas na naaangkop sa iyong hurisdiksyon. Tandaan na maaaring magbago ang mga batas, kaya mahalagang humingi ng payo mula sa mga legal na propesyonal upang matiyak ang tumpak at napapanahon na impormasyon.</v>
      </c>
      <c r="F766" s="2">
        <f t="shared" si="1"/>
        <v>0</v>
      </c>
      <c r="G766" s="2"/>
      <c r="H766" s="2"/>
      <c r="I766" s="2"/>
      <c r="J766" s="2"/>
      <c r="K766" s="2"/>
      <c r="L766" s="2"/>
      <c r="M766" s="2"/>
      <c r="N766" s="2"/>
      <c r="O766" s="2"/>
      <c r="P766" s="2"/>
      <c r="Q766" s="2"/>
      <c r="R766" s="2"/>
      <c r="S766" s="2"/>
      <c r="T766" s="2"/>
      <c r="U766" s="2"/>
      <c r="V766" s="2"/>
      <c r="W766" s="2"/>
      <c r="X766" s="2"/>
      <c r="Y766" s="2"/>
      <c r="Z766" s="2"/>
      <c r="AA766" s="2"/>
    </row>
    <row r="767">
      <c r="A767" s="3" t="s">
        <v>2010</v>
      </c>
      <c r="B767" s="1" t="s">
        <v>2514</v>
      </c>
      <c r="C767" s="1" t="s">
        <v>2515</v>
      </c>
      <c r="D767" s="1" t="s">
        <v>2516</v>
      </c>
      <c r="E767" s="2" t="str">
        <f>IFERROR(__xludf.DUMMYFUNCTION("GOOGLETRANSLATE(C767, ""en"", ""TL"")"),"Kung napinsala ng maling impormasyon online ang iyong negosyo, maaari mong isaalang-alang ang paggawa ng iba't ibang legal na aksyon upang matugunan ang sitwasyon. Narito ang ilang potensyal na kurso ng pagkilos:
1. **Cease and Desist Letter:** Ang isa"&amp;"ng cease and desist letter, na ipinadala ng iyong abogado, ay maaaring isang paunang hakbang upang hilingin sa indibidwal o partido na nagkakalat ng maling impormasyon upang ihinto ang nakakapinsalang aktibidad.
2. **Defamation Lawsuit:** Kung ang mali"&amp;"ng impormasyon ay bumubuo ng paninirang-puri (alinman sa libelo o paninirang-puri), maaari kang magkaroon ng mga batayan upang magsampa ng kaso ng paninirang-puri. Upang magtagumpay sa isang paghahabol sa paninirang-puri, karaniwang kailangan mong patunay"&amp;"an na ang mga pahayag ay hindi totoo, nakakasira sa reputasyon ng iyong negosyo, at ipinaalam sa mga third party.
3. **Injurious Falsehood o Trade Libel Lawsuit:** Depende sa iyong hurisdiksyon, maaari kang magkaroon ng mga legal na batayan upang itulo"&amp;"y ang isang claim para sa nakapipinsalang kasinungalingan o trade libel, na kinabibilangan ng mga maling pahayag na nakakapinsala sa mga pang-ekonomiyang interes ng isang negosyo.
4. **Digital Millennium Copyright Act (DMCA) Takedown:** Kung kasama sa "&amp;"maling impormasyon ang hindi awtorisadong paggamit ng iyong naka-copyright na materyal, maaari mong gamitin ang DMCA upang hilingin ang pag-alis ng lumalabag na nilalaman mula sa mga online na platform.
5. **Pag-uulat sa Online na Platform:** Iulat ang"&amp;" maling impormasyon sa mga platform ng pagho-host, mga social media network, o mga website kung saan ito naka-post. Maraming mga platform ang may mga patakaran laban sa maling impormasyon at maaaring gumawa ng aksyon upang alisin o paghigpitan ang pag-acc"&amp;"ess sa nilalaman.
6. **Online na Pamamahala ng Reputasyon:** Magsikap sa pagbuo ng isang positibong presensya sa online at pagtugon sa maling impormasyon sa pamamagitan ng mga proactive na diskarte sa pamamahala ng reputasyon.
7. **Mga Batas sa Prot"&amp;"eksyon ng Consumer:** Ang ilang hurisdiksyon ay may mga batas sa proteksyon ng consumer na tumutugon sa maling advertising o mapanlinlang na mga kasanayan sa kalakalan. Kumonsulta sa mga legal na propesyonal upang matukoy kung naaangkop ang mga naturang b"&amp;"atas sa iyong sitwasyon.
Bago gumawa ng anumang legal na aksyon, mahalagang kumunsulta sa isang abogadong may karanasan sa paninirang-puri, intelektwal na ari-arian, o batas sa negosyo. Maaari nilang tasahin ang mga detalye ng iyong kaso, magbigay ng g"&amp;"abay sa mga pinakaangkop na legal na aksyon, at tulungan kang mag-navigate sa legal na proseso. Tandaan na ang mga batas ay maaaring mag-iba sa pagitan ng mga hurisdiksyon, kaya ang paghingi ng legal na payo na naaayon sa iyong sitwasyon ay mahalaga.")</f>
        <v>Kung napinsala ng maling impormasyon online ang iyong negosyo, maaari mong isaalang-alang ang paggawa ng iba't ibang legal na aksyon upang matugunan ang sitwasyon. Narito ang ilang potensyal na kurso ng pagkilos:
1. **Cease and Desist Letter:** Ang isang cease and desist letter, na ipinadala ng iyong abogado, ay maaaring isang paunang hakbang upang hilingin sa indibidwal o partido na nagkakalat ng maling impormasyon upang ihinto ang nakakapinsalang aktibidad.
2. **Defamation Lawsuit:** Kung ang maling impormasyon ay bumubuo ng paninirang-puri (alinman sa libelo o paninirang-puri), maaari kang magkaroon ng mga batayan upang magsampa ng kaso ng paninirang-puri. Upang magtagumpay sa isang paghahabol sa paninirang-puri, karaniwang kailangan mong patunayan na ang mga pahayag ay hindi totoo, nakakasira sa reputasyon ng iyong negosyo, at ipinaalam sa mga third party.
3. **Injurious Falsehood o Trade Libel Lawsuit:** Depende sa iyong hurisdiksyon, maaari kang magkaroon ng mga legal na batayan upang ituloy ang isang claim para sa nakapipinsalang kasinungalingan o trade libel, na kinabibilangan ng mga maling pahayag na nakakapinsala sa mga pang-ekonomiyang interes ng isang negosyo.
4. **Digital Millennium Copyright Act (DMCA) Takedown:** Kung kasama sa maling impormasyon ang hindi awtorisadong paggamit ng iyong naka-copyright na materyal, maaari mong gamitin ang DMCA upang hilingin ang pag-alis ng lumalabag na nilalaman mula sa mga online na platform.
5. **Pag-uulat sa Online na Platform:** Iulat ang maling impormasyon sa mga platform ng pagho-host, mga social media network, o mga website kung saan ito naka-post. Maraming mga platform ang may mga patakaran laban sa maling impormasyon at maaaring gumawa ng aksyon upang alisin o paghigpitan ang pag-access sa nilalaman.
6. **Online na Pamamahala ng Reputasyon:** Magsikap sa pagbuo ng isang positibong presensya sa online at pagtugon sa maling impormasyon sa pamamagitan ng mga proactive na diskarte sa pamamahala ng reputasyon.
7. **Mga Batas sa Proteksyon ng Consumer:** Ang ilang hurisdiksyon ay may mga batas sa proteksyon ng consumer na tumutugon sa maling advertising o mapanlinlang na mga kasanayan sa kalakalan. Kumonsulta sa mga legal na propesyonal upang matukoy kung naaangkop ang mga naturang batas sa iyong sitwasyon.
Bago gumawa ng anumang legal na aksyon, mahalagang kumunsulta sa isang abogadong may karanasan sa paninirang-puri, intelektwal na ari-arian, o batas sa negosyo. Maaari nilang tasahin ang mga detalye ng iyong kaso, magbigay ng gabay sa mga pinakaangkop na legal na aksyon, at tulungan kang mag-navigate sa legal na proseso. Tandaan na ang mga batas ay maaaring mag-iba sa pagitan ng mga hurisdiksyon, kaya ang paghingi ng legal na payo na naaayon sa iyong sitwasyon ay mahalaga.</v>
      </c>
      <c r="F767" s="2">
        <f t="shared" si="1"/>
        <v>0</v>
      </c>
      <c r="G767" s="2"/>
      <c r="H767" s="2"/>
      <c r="I767" s="2"/>
      <c r="J767" s="2"/>
      <c r="K767" s="2"/>
      <c r="L767" s="2"/>
      <c r="M767" s="2"/>
      <c r="N767" s="2"/>
      <c r="O767" s="2"/>
      <c r="P767" s="2"/>
      <c r="Q767" s="2"/>
      <c r="R767" s="2"/>
      <c r="S767" s="2"/>
      <c r="T767" s="2"/>
      <c r="U767" s="2"/>
      <c r="V767" s="2"/>
      <c r="W767" s="2"/>
      <c r="X767" s="2"/>
      <c r="Y767" s="2"/>
      <c r="Z767" s="2"/>
      <c r="AA767" s="2"/>
    </row>
    <row r="768">
      <c r="A768" s="3" t="s">
        <v>2010</v>
      </c>
      <c r="B768" s="1" t="s">
        <v>2517</v>
      </c>
      <c r="C768" s="1" t="s">
        <v>2518</v>
      </c>
      <c r="D768" s="1" t="s">
        <v>2519</v>
      </c>
      <c r="E768" s="2" t="str">
        <f>IFERROR(__xludf.DUMMYFUNCTION("GOOGLETRANSLATE(C768, ""en"", ""TL"")"),"Oo, maaari kang magkaroon ng mga batayan upang idemanda ang isang tao para sa paggamit ng iyong pangalan sa pagkalat ng maling impormasyon online. Ang ganitong uri ng pag-uugali ay maaaring potensyal na may kasamang paninirang-puri, pagnanakaw ng pagkakak"&amp;"ilanlan, o iba pang legal na paghahabol depende sa mga detalye ng sitwasyon at mga naaangkop na batas sa iyong hurisdiksyon. Narito ang ilang potensyal na legal na paraan na maaari mong isaalang-alang:
1. **Paninirang-puri:** Kung ang maling impormasyo"&amp;"n ay makapinsala sa iyong reputasyon, maaari kang magkaroon ng claim sa paninirang-puri. Ang paninirang-puri ay karaniwang nagsasangkot ng mga maling pahayag na ipinapaalam sa mga ikatlong partido at nakakasira sa reputasyon ng taong tinatarget.
2. **P"&amp;"agnanakaw ng Pagkakakilanlan o Pagpapanggap:** Ang paggamit ng iyong pangalan upang magkalat ng maling impormasyon ay maaaring maging pagnanakaw ng pagkakakilanlan o pagpapanggap. Iba-iba ang mga batas tungkol sa pagnanakaw ng pagkakakilanlan, ngunit sa m"&amp;"araming hurisdiksyon, ito ay isang krimen.
3. **Cease and Desist Letter:** Ang iyong abogado ay maaaring magpadala ng cease and desist letter sa indibidwal na responsable, na humihiling na ihinto nila ang paggamit ng iyong pangalan upang magkalat ng ma"&amp;"ling impormasyon. Ang liham na ito ay maaaring magsilbi bilang isang pormal na babala bago ituloy ang legal na aksyon.
4. **Pag-uulat sa Online na Platform:** Iulat ang maling impormasyon sa mga nauugnay na online platform o social media network. Maram"&amp;"ing platform ang may mga patakaran laban sa pagpapanggap o pagpapakalat ng maling impormasyon.
5. **Injunctive Relief:** Bilang karagdagan sa paghingi ng mga pinsala, maaari kang humingi ng injunctive relief upang pigilan ang tao sa karagdagang pagkala"&amp;"t ng maling impormasyon o paggamit ng iyong pangalan nang walang pahintulot.
Upang ituloy ang legal na aksyon, mahalagang kumunsulta sa isang abogado na dalubhasa sa paninirang-puri, pagnanakaw ng pagkakakilanlan, o batas sa internet. Maaari silang mag"&amp;"bigay ng payo batay sa mga partikular na batas na naaangkop sa iyong hurisdiksyon at tulungan kang maunawaan ang iyong mga karapatan at opsyon. Ang pagkolekta ng ebidensya, tulad ng mga screenshot o talaan ng maling impormasyon, ay magiging mahalaga din s"&amp;"a pagbuo ng iyong kaso.")</f>
        <v>Oo, maaari kang magkaroon ng mga batayan upang idemanda ang isang tao para sa paggamit ng iyong pangalan sa pagkalat ng maling impormasyon online. Ang ganitong uri ng pag-uugali ay maaaring potensyal na may kasamang paninirang-puri, pagnanakaw ng pagkakakilanlan, o iba pang legal na paghahabol depende sa mga detalye ng sitwasyon at mga naaangkop na batas sa iyong hurisdiksyon. Narito ang ilang potensyal na legal na paraan na maaari mong isaalang-alang:
1. **Paninirang-puri:** Kung ang maling impormasyon ay makapinsala sa iyong reputasyon, maaari kang magkaroon ng claim sa paninirang-puri. Ang paninirang-puri ay karaniwang nagsasangkot ng mga maling pahayag na ipinapaalam sa mga ikatlong partido at nakakasira sa reputasyon ng taong tinatarget.
2. **Pagnanakaw ng Pagkakakilanlan o Pagpapanggap:** Ang paggamit ng iyong pangalan upang magkalat ng maling impormasyon ay maaaring maging pagnanakaw ng pagkakakilanlan o pagpapanggap. Iba-iba ang mga batas tungkol sa pagnanakaw ng pagkakakilanlan, ngunit sa maraming hurisdiksyon, ito ay isang krimen.
3. **Cease and Desist Letter:** Ang iyong abogado ay maaaring magpadala ng cease and desist letter sa indibidwal na responsable, na humihiling na ihinto nila ang paggamit ng iyong pangalan upang magkalat ng maling impormasyon. Ang liham na ito ay maaaring magsilbi bilang isang pormal na babala bago ituloy ang legal na aksyon.
4. **Pag-uulat sa Online na Platform:** Iulat ang maling impormasyon sa mga nauugnay na online platform o social media network. Maraming platform ang may mga patakaran laban sa pagpapanggap o pagpapakalat ng maling impormasyon.
5. **Injunctive Relief:** Bilang karagdagan sa paghingi ng mga pinsala, maaari kang humingi ng injunctive relief upang pigilan ang tao sa karagdagang pagkalat ng maling impormasyon o paggamit ng iyong pangalan nang walang pahintulot.
Upang ituloy ang legal na aksyon, mahalagang kumunsulta sa isang abogado na dalubhasa sa paninirang-puri, pagnanakaw ng pagkakakilanlan, o batas sa internet. Maaari silang magbigay ng payo batay sa mga partikular na batas na naaangkop sa iyong hurisdiksyon at tulungan kang maunawaan ang iyong mga karapatan at opsyon. Ang pagkolekta ng ebidensya, tulad ng mga screenshot o talaan ng maling impormasyon, ay magiging mahalaga din sa pagbuo ng iyong kaso.</v>
      </c>
      <c r="F768" s="2">
        <f t="shared" si="1"/>
        <v>0</v>
      </c>
      <c r="G768" s="2"/>
      <c r="H768" s="2"/>
      <c r="I768" s="2"/>
      <c r="J768" s="2"/>
      <c r="K768" s="2"/>
      <c r="L768" s="2"/>
      <c r="M768" s="2"/>
      <c r="N768" s="2"/>
      <c r="O768" s="2"/>
      <c r="P768" s="2"/>
      <c r="Q768" s="2"/>
      <c r="R768" s="2"/>
      <c r="S768" s="2"/>
      <c r="T768" s="2"/>
      <c r="U768" s="2"/>
      <c r="V768" s="2"/>
      <c r="W768" s="2"/>
      <c r="X768" s="2"/>
      <c r="Y768" s="2"/>
      <c r="Z768" s="2"/>
      <c r="AA768" s="2"/>
    </row>
    <row r="769">
      <c r="A769" s="3" t="s">
        <v>2010</v>
      </c>
      <c r="B769" s="1" t="s">
        <v>2520</v>
      </c>
      <c r="C769" s="1" t="s">
        <v>2521</v>
      </c>
      <c r="D769" s="1" t="s">
        <v>2522</v>
      </c>
      <c r="E769" s="2" t="str">
        <f>IFERROR(__xludf.DUMMYFUNCTION("GOOGLETRANSLATE(C769, ""en"", ""TL"")"),"Ang pagkalat ng maling impormasyon tungkol sa isang medikal na kondisyon online ay maaaring magkaroon ng malubhang legal na implikasyon, at ang apektadong indibidwal ay maaaring isaalang-alang ang iba't ibang mga legal na paraan upang matugunan ang sitwas"&amp;"yon. Narito ang ilang potensyal na legal na implikasyon:
1. **Paninirang-puri:** Kung ang maling impormasyon ay nakakasira sa reputasyon ng isang indibidwal sa pamamagitan ng paggawa ng mga maling pahayag tungkol sa kanilang kondisyong medikal, maaari "&amp;"itong ituring na paninirang-puri. Upang ituloy ang isang paghahabol sa paninirang-puri, ang apektadong partido sa pangkalahatan ay kailangang ipakita na ang maling impormasyon ay ipinaalam sa mga ikatlong partido, nagdulot ng pinsala, at hindi pinoprotekt"&amp;"ahan ng anumang mga legal na pribilehiyo.
2. **Privacy Invasion:** Ang maling impormasyon tungkol sa medikal na kondisyon ng isang tao ay maaaring lumabag sa kanilang mga karapatan sa pagkapribado, lalo na kung ang ibinunyag na impormasyon ay sensitibo"&amp;" at hindi nilayon para sa kaalaman ng publiko. Maaaring mag-iba ang mga batas tungkol sa pagsalakay sa privacy, ngunit maaaring maaksyunan ang hindi awtorisadong pagsisiwalat ng pribadong medikal na impormasyon.
3. **Intentional Infliction of Emotional"&amp;" Distress:** Kung ang maling impormasyon ay nagdudulot ng matinding emosyonal na pagkabalisa sa apektadong indibidwal, maaari nilang isaalang-alang ang paghabol ng isang paghahabol para sa sinadyang pagpapahirap ng emosyonal na pagkabalisa. Karaniwang nan"&amp;"gangailangan ito ng pagpapakita na ang pag-uugali ay kasuklam-suklam at nagdulot ng malaking emosyonal na pinsala.
4. **Medical Malpractice:** Sa ilang mga kaso, kung ang maling impormasyon ay nagsasangkot ng mga paratang ng medikal na malpractice laba"&amp;"n sa isang healthcare professional, ang apektadong partido ay maaaring magsagawa ng legal na aksyon para sa paninirang-puri o mga nauugnay na claim.
5. **Cease and Desist Letter:** Bago magsagawa ng legal na aksyon, ang apektadong partido o ang kanilan"&amp;"g legal na kinatawan ay maaaring magpadala ng liham ng pagtigil at pagtigil sa taong nagkakalat ng maling impormasyon, na humihiling na itigil nila ang pagpapakalat ng hindi tumpak na impormasyong medikal.
6. **Regulatory Complaints:** Sa ilang hurisdi"&amp;"ksyon, maaaring may mga regulatory body na nangangasiwa sa online na content na nauugnay sa medikal na impormasyon. Ang paghahain ng reklamo sa naturang regulatory body ay maaaring isa pang paraan upang matugunan ang maling impormasyong medikal.
Upang "&amp;"ituloy ang anumang legal na aksyon, mahalagang kumunsulta sa isang abogado na dalubhasa sa paninirang-puri, batas sa privacy, o batas medikal. Maaaring mag-iba-iba ang mga batas sa pagitan ng mga hurisdiksyon, kaya ang paghingi ng legal na payo na naaayon"&amp;" sa iyong sitwasyon ay mahalaga. Bukod pa rito, ang pagkolekta ng ebidensya ng maling impormasyon at ang epekto nito ay maaaring maging mahalaga sa pagbuo ng isang kaso.")</f>
        <v>Ang pagkalat ng maling impormasyon tungkol sa isang medikal na kondisyon online ay maaaring magkaroon ng malubhang legal na implikasyon, at ang apektadong indibidwal ay maaaring isaalang-alang ang iba't ibang mga legal na paraan upang matugunan ang sitwasyon. Narito ang ilang potensyal na legal na implikasyon:
1. **Paninirang-puri:** Kung ang maling impormasyon ay nakakasira sa reputasyon ng isang indibidwal sa pamamagitan ng paggawa ng mga maling pahayag tungkol sa kanilang kondisyong medikal, maaari itong ituring na paninirang-puri. Upang ituloy ang isang paghahabol sa paninirang-puri, ang apektadong partido sa pangkalahatan ay kailangang ipakita na ang maling impormasyon ay ipinaalam sa mga ikatlong partido, nagdulot ng pinsala, at hindi pinoprotektahan ng anumang mga legal na pribilehiyo.
2. **Privacy Invasion:** Ang maling impormasyon tungkol sa medikal na kondisyon ng isang tao ay maaaring lumabag sa kanilang mga karapatan sa pagkapribado, lalo na kung ang ibinunyag na impormasyon ay sensitibo at hindi nilayon para sa kaalaman ng publiko. Maaaring mag-iba ang mga batas tungkol sa pagsalakay sa privacy, ngunit maaaring maaksyunan ang hindi awtorisadong pagsisiwalat ng pribadong medikal na impormasyon.
3. **Intentional Infliction of Emotional Distress:** Kung ang maling impormasyon ay nagdudulot ng matinding emosyonal na pagkabalisa sa apektadong indibidwal, maaari nilang isaalang-alang ang paghabol ng isang paghahabol para sa sinadyang pagpapahirap ng emosyonal na pagkabalisa. Karaniwang nangangailangan ito ng pagpapakita na ang pag-uugali ay kasuklam-suklam at nagdulot ng malaking emosyonal na pinsala.
4. **Medical Malpractice:** Sa ilang mga kaso, kung ang maling impormasyon ay nagsasangkot ng mga paratang ng medikal na malpractice laban sa isang healthcare professional, ang apektadong partido ay maaaring magsagawa ng legal na aksyon para sa paninirang-puri o mga nauugnay na claim.
5. **Cease and Desist Letter:** Bago magsagawa ng legal na aksyon, ang apektadong partido o ang kanilang legal na kinatawan ay maaaring magpadala ng liham ng pagtigil at pagtigil sa taong nagkakalat ng maling impormasyon, na humihiling na itigil nila ang pagpapakalat ng hindi tumpak na impormasyong medikal.
6. **Regulatory Complaints:** Sa ilang hurisdiksyon, maaaring may mga regulatory body na nangangasiwa sa online na content na nauugnay sa medikal na impormasyon. Ang paghahain ng reklamo sa naturang regulatory body ay maaaring isa pang paraan upang matugunan ang maling impormasyong medikal.
Upang ituloy ang anumang legal na aksyon, mahalagang kumunsulta sa isang abogado na dalubhasa sa paninirang-puri, batas sa privacy, o batas medikal. Maaaring mag-iba-iba ang mga batas sa pagitan ng mga hurisdiksyon, kaya ang paghingi ng legal na payo na naaayon sa iyong sitwasyon ay mahalaga. Bukod pa rito, ang pagkolekta ng ebidensya ng maling impormasyon at ang epekto nito ay maaaring maging mahalaga sa pagbuo ng isang kaso.</v>
      </c>
      <c r="F769" s="2">
        <f t="shared" si="1"/>
        <v>0</v>
      </c>
      <c r="G769" s="2"/>
      <c r="H769" s="2"/>
      <c r="I769" s="2"/>
      <c r="J769" s="2"/>
      <c r="K769" s="2"/>
      <c r="L769" s="2"/>
      <c r="M769" s="2"/>
      <c r="N769" s="2"/>
      <c r="O769" s="2"/>
      <c r="P769" s="2"/>
      <c r="Q769" s="2"/>
      <c r="R769" s="2"/>
      <c r="S769" s="2"/>
      <c r="T769" s="2"/>
      <c r="U769" s="2"/>
      <c r="V769" s="2"/>
      <c r="W769" s="2"/>
      <c r="X769" s="2"/>
      <c r="Y769" s="2"/>
      <c r="Z769" s="2"/>
      <c r="AA769" s="2"/>
    </row>
    <row r="770">
      <c r="A770" s="3" t="s">
        <v>2010</v>
      </c>
      <c r="B770" s="1" t="s">
        <v>2523</v>
      </c>
      <c r="C770" s="1" t="s">
        <v>2524</v>
      </c>
      <c r="D770" s="1" t="s">
        <v>2525</v>
      </c>
      <c r="E770" s="2" t="str">
        <f>IFERROR(__xludf.DUMMYFUNCTION("GOOGLETRANSLATE(C770, ""en"", ""TL"")"),"Oo, maaari kang magkaroon ng mga batayan upang idemanda ang isang tao para sa pag-post ng maling impormasyon tungkol sa iyong kriminal na rekord online. Ang mga maling pahayag tungkol sa kriminal na rekord ng isang tao ay maaaring mapanirang-puri, at maaa"&amp;"ri kang magsagawa ng legal na aksyon laban sa indibidwal na responsable. Narito ang ilang mga pagsasaalang-alang:
1. **Paninirang-puri:** Ang mga maling pahayag na nakakasira sa iyong reputasyon, kabilang ang maling impormasyon tungkol sa iyong krimina"&amp;"l na rekord, ay maaaring ituring na paninirang-puri. Upang magtatag ng claim sa paninirang-puri, karaniwang kailangan mong ipakita na ang maling impormasyon ay ipinaalam sa mga third party, nagdulot ng pinsala sa iyong reputasyon, at hindi pinoprotektahan"&amp;" ng anumang legal na pribilehiyo.
2. **Makatotohanang Pagkakamali:** Mahalagang ipakita na ang impormasyong nai-post online ay hindi tumpak sa katotohanan. Kung ang impormasyon ay totoo o lubos na totoo, maaaring mas mahirap ituloy ang isang claim sa p"&amp;"aninirang-puri.
3. **Mga Pribado o Pampublikong Figure:** Ang mga legal na pamantayan para sa paninirang-puri ay maaaring mag-iba depende sa kung ikaw ay itinuturing na pribado o pampublikong pigura. Kadalasang kailangang patunayan ng mga pampublikong "&amp;"pigura na ang mga maling pahayag ay ginawa nang may aktwal na malisya, ibig sabihin, alam ng taong nagpahayag ng mga pahayag na sila ay mali o kumilos nang walang ingat na pagwawalang-bahala sa katotohanan.
4. **Cease and Desist Letter:** Bago simulan "&amp;"ang mga legal na paglilitis, ang iyong abogado ay maaaring magpadala ng liham ng pagtigil at pagtigil sa indibidwal na responsable, na hinihiling na tanggalin nila ang maling impormasyon at iwasang gumawa ng higit pang mapanirang mga pahayag.
5. **Mga "&amp;"Pinsala:** Sa isang kaso ng paninirang-puri, maaari kang magkaroon ng karapatan sa mga pinsala upang mabayaran ang pinsala sa iyong reputasyon. Maaaring kabilang sa mga pinsala ang parehong pagkalugi sa ekonomiya at pagkalugi na hindi pang-ekonomiya gaya "&amp;"ng emosyonal na pagkabalisa.
Napakahalagang kumonsulta sa isang abogado na dalubhasa sa batas sa paninirang-puri o batas sa internet upang talakayin ang mga detalye ng iyong kaso at ang mga batas na naaangkop sa iyong hurisdiksyon. Tandaan na maaaring "&amp;"mag-iba-iba ang mga batas, kaya mahalaga ang paghingi ng legal na payo na naaayon sa iyong sitwasyon. Bukod pa rito, ang pag-iingat ng ebidensya ng mga maling pahayag at ang epekto ng mga ito ay magiging mahalaga sa pagbuo ng isang malakas na kaso.")</f>
        <v>Oo, maaari kang magkaroon ng mga batayan upang idemanda ang isang tao para sa pag-post ng maling impormasyon tungkol sa iyong kriminal na rekord online. Ang mga maling pahayag tungkol sa kriminal na rekord ng isang tao ay maaaring mapanirang-puri, at maaari kang magsagawa ng legal na aksyon laban sa indibidwal na responsable. Narito ang ilang mga pagsasaalang-alang:
1. **Paninirang-puri:** Ang mga maling pahayag na nakakasira sa iyong reputasyon, kabilang ang maling impormasyon tungkol sa iyong kriminal na rekord, ay maaaring ituring na paninirang-puri. Upang magtatag ng claim sa paninirang-puri, karaniwang kailangan mong ipakita na ang maling impormasyon ay ipinaalam sa mga third party, nagdulot ng pinsala sa iyong reputasyon, at hindi pinoprotektahan ng anumang legal na pribilehiyo.
2. **Makatotohanang Pagkakamali:** Mahalagang ipakita na ang impormasyong nai-post online ay hindi tumpak sa katotohanan. Kung ang impormasyon ay totoo o lubos na totoo, maaaring mas mahirap ituloy ang isang claim sa paninirang-puri.
3. **Mga Pribado o Pampublikong Figure:** Ang mga legal na pamantayan para sa paninirang-puri ay maaaring mag-iba depende sa kung ikaw ay itinuturing na pribado o pampublikong pigura. Kadalasang kailangang patunayan ng mga pampublikong pigura na ang mga maling pahayag ay ginawa nang may aktwal na malisya, ibig sabihin, alam ng taong nagpahayag ng mga pahayag na sila ay mali o kumilos nang walang ingat na pagwawalang-bahala sa katotohanan.
4. **Cease and Desist Letter:** Bago simulan ang mga legal na paglilitis, ang iyong abogado ay maaaring magpadala ng liham ng pagtigil at pagtigil sa indibidwal na responsable, na hinihiling na tanggalin nila ang maling impormasyon at iwasang gumawa ng higit pang mapanirang mga pahayag.
5. **Mga Pinsala:** Sa isang kaso ng paninirang-puri, maaari kang magkaroon ng karapatan sa mga pinsala upang mabayaran ang pinsala sa iyong reputasyon. Maaaring kabilang sa mga pinsala ang parehong pagkalugi sa ekonomiya at pagkalugi na hindi pang-ekonomiya gaya ng emosyonal na pagkabalisa.
Napakahalagang kumonsulta sa isang abogado na dalubhasa sa batas sa paninirang-puri o batas sa internet upang talakayin ang mga detalye ng iyong kaso at ang mga batas na naaangkop sa iyong hurisdiksyon. Tandaan na maaaring mag-iba-iba ang mga batas, kaya mahalaga ang paghingi ng legal na payo na naaayon sa iyong sitwasyon. Bukod pa rito, ang pag-iingat ng ebidensya ng mga maling pahayag at ang epekto ng mga ito ay magiging mahalaga sa pagbuo ng isang malakas na kaso.</v>
      </c>
      <c r="F770" s="2">
        <f t="shared" si="1"/>
        <v>0</v>
      </c>
      <c r="G770" s="2"/>
      <c r="H770" s="2"/>
      <c r="I770" s="2"/>
      <c r="J770" s="2"/>
      <c r="K770" s="2"/>
      <c r="L770" s="2"/>
      <c r="M770" s="2"/>
      <c r="N770" s="2"/>
      <c r="O770" s="2"/>
      <c r="P770" s="2"/>
      <c r="Q770" s="2"/>
      <c r="R770" s="2"/>
      <c r="S770" s="2"/>
      <c r="T770" s="2"/>
      <c r="U770" s="2"/>
      <c r="V770" s="2"/>
      <c r="W770" s="2"/>
      <c r="X770" s="2"/>
      <c r="Y770" s="2"/>
      <c r="Z770" s="2"/>
      <c r="AA770" s="2"/>
    </row>
    <row r="771">
      <c r="A771" s="3" t="s">
        <v>2010</v>
      </c>
      <c r="B771" s="1" t="s">
        <v>2526</v>
      </c>
      <c r="C771" s="1" t="s">
        <v>2527</v>
      </c>
      <c r="D771" s="1" t="s">
        <v>2528</v>
      </c>
      <c r="E771" s="2" t="str">
        <f>IFERROR(__xludf.DUMMYFUNCTION("GOOGLETRANSLATE(C771, ""en"", ""TL"")"),"Ang pagtuklas ng maling impormasyon tungkol sa iyong sarili online ay maaaring nakakabagabag, ngunit may mga hakbang na maaari mong gawin upang matugunan ang sitwasyon. Narito ang ilang mga paunang hakbang na maaari mong isaalang-alang:
1. **Idokumento an"&amp;"g Impormasyon:**
- Kumuha ng mga screenshot o mangalap ng ebidensya ng maling impormasyon, kabilang ang mga URL, petsa, at anumang nauugnay na konteksto. Magiging mahalaga ang dokumentasyong ito kung magpasya kang magsagawa ng legal na aksyon.
2. **Makipa"&amp;"g-ugnayan sa Pinagmulan:**
- Kung alam mo ang pinagmulan ng maling impormasyon, isaalang-alang ang pakikipag-ugnayan sa kanila upang humiling ng pagwawasto o pag-alis. Sa ilang mga kaso, ang taong responsable ay maaaring kusang-loob na iwasto ang sitwasyo"&amp;"n.
3. **Mag-ulat sa Mga Online Platform:**
- Kung ang maling impormasyon ay nai-post sa social media, mga platform ng pagsusuri, o mga website, iulat ito sa kani-kanilang mga platform. Maraming mga platform ang may mga mekanismo sa pag-uulat para sa malin"&amp;"g impormasyon, panliligalig, o pagpapanggap.
4. **Humingi ng Legal na Payo:**
- Kumonsulta sa isang abogado na dalubhasa sa paninirang-puri, batas sa internet, o batas sa privacy. Maaari silang magbigay ng gabay sa iyong mga legal na opsyon at tulungan ka"&amp;"ng maunawaan ang pinakamahusay na paraan ng pagkilos batay sa mga detalye ng iyong sitwasyon.
5. **Magpadala ng Liham ng Paghinto at Pagtigil:**
- Kung ang maling impormasyon ay nagdudulot ng pinsala, ang iyong abogado ay maaaring magpadala ng liham ng pa"&amp;"gtigil at pagtigil sa taong responsable. Ang liham na ito ay maaaring pormal na humiling na itigil nila ang pagkalat ng maling impormasyon at maaaring magsilbing pasimula sa legal na aksyon.
6. **Bumuo ng Positibong Online Presence:**
- Aktibong likhain o"&amp;" i-update ang iyong mga online na profile upang ipakita ang tumpak at positibong impormasyon tungkol sa iyong sarili. Makakatulong ito na malabanan ang negatibong epekto ng maling impormasyon.
7. **Isaalang-alang ang Mga Serbisyo sa Pamamahala ng Reputasy"&amp;"on:**
- Galugarin ang posibilidad ng pagkuha ng mga online na serbisyo sa pamamahala ng reputasyon upang tumulong sa pagtugon at pagaanin ang epekto ng maling impormasyon. Ang mga serbisyong ito ay maaaring gumana upang sugpuin o alisin ang mapaminsalang "&amp;"nilalaman mula sa mga resulta ng search engine.
8. **Subaybayan ang Sitwasyon:**
- Regular na subaybayan ang mga online na platform para sa anumang mga bagong pagkakataon ng maling impormasyon. Ang pananatiling mapagbantay ay nagbibigay-daan sa iyong matu"&amp;"gunan ang mga bagong pangyayari kaagad.
Tandaan na ang mga partikular na hakbang na iyong gagawin ay maaaring depende sa uri ng maling impormasyon at sa mga batas sa iyong hurisdiksyon. Ang paghingi ng propesyonal na legal na payo ay mahalaga upang matiya"&amp;"k na ang iyong mga aksyon ay naaayon sa naaangkop na legal na balangkas.")</f>
        <v>Ang pagtuklas ng maling impormasyon tungkol sa iyong sarili online ay maaaring nakakabagabag, ngunit may mga hakbang na maaari mong gawin upang matugunan ang sitwasyon. Narito ang ilang mga paunang hakbang na maaari mong isaalang-alang:
1. **Idokumento ang Impormasyon:**
- Kumuha ng mga screenshot o mangalap ng ebidensya ng maling impormasyon, kabilang ang mga URL, petsa, at anumang nauugnay na konteksto. Magiging mahalaga ang dokumentasyong ito kung magpasya kang magsagawa ng legal na aksyon.
2. **Makipag-ugnayan sa Pinagmulan:**
- Kung alam mo ang pinagmulan ng maling impormasyon, isaalang-alang ang pakikipag-ugnayan sa kanila upang humiling ng pagwawasto o pag-alis. Sa ilang mga kaso, ang taong responsable ay maaaring kusang-loob na iwasto ang sitwasyon.
3. **Mag-ulat sa Mga Online Platform:**
- Kung ang maling impormasyon ay nai-post sa social media, mga platform ng pagsusuri, o mga website, iulat ito sa kani-kanilang mga platform. Maraming mga platform ang may mga mekanismo sa pag-uulat para sa maling impormasyon, panliligalig, o pagpapanggap.
4. **Humingi ng Legal na Payo:**
- Kumonsulta sa isang abogado na dalubhasa sa paninirang-puri, batas sa internet, o batas sa privacy. Maaari silang magbigay ng gabay sa iyong mga legal na opsyon at tulungan kang maunawaan ang pinakamahusay na paraan ng pagkilos batay sa mga detalye ng iyong sitwasyon.
5. **Magpadala ng Liham ng Paghinto at Pagtigil:**
- Kung ang maling impormasyon ay nagdudulot ng pinsala, ang iyong abogado ay maaaring magpadala ng liham ng pagtigil at pagtigil sa taong responsable. Ang liham na ito ay maaaring pormal na humiling na itigil nila ang pagkalat ng maling impormasyon at maaaring magsilbing pasimula sa legal na aksyon.
6. **Bumuo ng Positibong Online Presence:**
- Aktibong likhain o i-update ang iyong mga online na profile upang ipakita ang tumpak at positibong impormasyon tungkol sa iyong sarili. Makakatulong ito na malabanan ang negatibong epekto ng maling impormasyon.
7. **Isaalang-alang ang Mga Serbisyo sa Pamamahala ng Reputasyon:**
- Galugarin ang posibilidad ng pagkuha ng mga online na serbisyo sa pamamahala ng reputasyon upang tumulong sa pagtugon at pagaanin ang epekto ng maling impormasyon. Ang mga serbisyong ito ay maaaring gumana upang sugpuin o alisin ang mapaminsalang nilalaman mula sa mga resulta ng search engine.
8. **Subaybayan ang Sitwasyon:**
- Regular na subaybayan ang mga online na platform para sa anumang mga bagong pagkakataon ng maling impormasyon. Ang pananatiling mapagbantay ay nagbibigay-daan sa iyong matugunan ang mga bagong pangyayari kaagad.
Tandaan na ang mga partikular na hakbang na iyong gagawin ay maaaring depende sa uri ng maling impormasyon at sa mga batas sa iyong hurisdiksyon. Ang paghingi ng propesyonal na legal na payo ay mahalaga upang matiyak na ang iyong mga aksyon ay naaayon sa naaangkop na legal na balangkas.</v>
      </c>
      <c r="F771" s="2">
        <f t="shared" si="1"/>
        <v>0</v>
      </c>
      <c r="G771" s="2"/>
      <c r="H771" s="2"/>
      <c r="I771" s="2"/>
      <c r="J771" s="2"/>
      <c r="K771" s="2"/>
      <c r="L771" s="2"/>
      <c r="M771" s="2"/>
      <c r="N771" s="2"/>
      <c r="O771" s="2"/>
      <c r="P771" s="2"/>
      <c r="Q771" s="2"/>
      <c r="R771" s="2"/>
      <c r="S771" s="2"/>
      <c r="T771" s="2"/>
      <c r="U771" s="2"/>
      <c r="V771" s="2"/>
      <c r="W771" s="2"/>
      <c r="X771" s="2"/>
      <c r="Y771" s="2"/>
      <c r="Z771" s="2"/>
      <c r="AA771" s="2"/>
    </row>
    <row r="772">
      <c r="A772" s="3" t="s">
        <v>2010</v>
      </c>
      <c r="B772" s="1" t="s">
        <v>2529</v>
      </c>
      <c r="C772" s="1" t="s">
        <v>2530</v>
      </c>
      <c r="D772" s="1" t="s">
        <v>2531</v>
      </c>
      <c r="E772" s="2" t="str">
        <f>IFERROR(__xludf.DUMMYFUNCTION("GOOGLETRANSLATE(C772, ""en"", ""TL"")"),"Oo, maaari kang magkaroon ng mga batayan upang idemanda ang isang tao para sa pagpapanggap sa iyo online at pagkalat ng maling impormasyon. Ang pagpapanggap at pagpapakalat ng maling impormasyon ay maaaring humantong sa iba't ibang legal na paghahabol, at"&amp;" maaari mong isaalang-alang ang mga sumusunod na aksyon:
1. **Paninirang-puri:** Kung ang maling impormasyon ay makapinsala sa iyong reputasyon, maaari itong ituring na paninirang-puri. Upang magtatag ng claim sa paninirang-puri, karaniwang kailangan m"&amp;"ong ipakita na ang maling impormasyon ay ipinaalam sa mga third party, nagdulot ng pinsala sa iyong reputasyon, at hindi pinoprotektahan ng anumang legal na pribilehiyo.
2. **Pagnanakaw ng Pagkakakilanlan o Pagpapanggap:** Ang paggawa ng mga pekeng onl"&amp;"ine na profile o pagpapanggap bilang ibang tao online ay maaaring maging pagnanakaw ng pagkakakilanlan o pagpapanggap. Iba-iba ang mga batas tungkol sa pagnanakaw ng pagkakakilanlan, ngunit sa maraming hurisdiksyon, ito ay isang kriminal na pagkakasala at"&amp;" maaari ding maging batayan para sa legal na aksyong sibil.
3. **Cease and Desist Letter:** Ang iyong abogado ay maaaring magpadala ng cease and desist letter sa indibidwal na responsable, na hinihiling na ihinto nila ang pagpapanggap sa iyo, alisin an"&amp;"g maling impormasyon, at pigilin ang paggawa ng mga karagdagang mapanirang pahayag.
4. **Pag-uulat sa Mga Online na Platform:** Iulat ang pagpapanggap at maling impormasyon sa mga nauugnay na online platform, social media network, o website. Maraming p"&amp;"latform ang may mga patakaran laban sa pagpapanggap at maaaring kumilos para alisin o paghigpitan ang pag-access sa mga pekeng profile.
5. **Mga Pinsala:** Sa isang legal na aksyon, maaari kang magkaroon ng karapatan sa mga pinsala upang mabayaran ang "&amp;"pinsala sa iyong reputasyon at anumang iba pang pagkalugi na maaaring naranasan mo bilang resulta ng pagpapanggap.
Napakahalagang kumonsulta sa isang abogado na dalubhasa sa paninirang-puri, pagnanakaw ng pagkakakilanlan, o batas sa internet upang tala"&amp;"kayin ang mga detalye ng iyong kaso at ang mga batas na naaangkop sa iyong hurisdiksyon. Tandaan na maaaring mag-iba-iba ang mga batas, kaya mahalaga ang paghingi ng legal na payo na naaayon sa iyong sitwasyon. Bukod pa rito, ang pag-iingat ng ebidensya n"&amp;"g pagpapanggap at ang epekto nito ay magiging mahalaga sa pagbuo ng isang malakas na kaso.")</f>
        <v>Oo, maaari kang magkaroon ng mga batayan upang idemanda ang isang tao para sa pagpapanggap sa iyo online at pagkalat ng maling impormasyon. Ang pagpapanggap at pagpapakalat ng maling impormasyon ay maaaring humantong sa iba't ibang legal na paghahabol, at maaari mong isaalang-alang ang mga sumusunod na aksyon:
1. **Paninirang-puri:** Kung ang maling impormasyon ay makapinsala sa iyong reputasyon, maaari itong ituring na paninirang-puri. Upang magtatag ng claim sa paninirang-puri, karaniwang kailangan mong ipakita na ang maling impormasyon ay ipinaalam sa mga third party, nagdulot ng pinsala sa iyong reputasyon, at hindi pinoprotektahan ng anumang legal na pribilehiyo.
2. **Pagnanakaw ng Pagkakakilanlan o Pagpapanggap:** Ang paggawa ng mga pekeng online na profile o pagpapanggap bilang ibang tao online ay maaaring maging pagnanakaw ng pagkakakilanlan o pagpapanggap. Iba-iba ang mga batas tungkol sa pagnanakaw ng pagkakakilanlan, ngunit sa maraming hurisdiksyon, ito ay isang kriminal na pagkakasala at maaari ding maging batayan para sa legal na aksyong sibil.
3. **Cease and Desist Letter:** Ang iyong abogado ay maaaring magpadala ng cease and desist letter sa indibidwal na responsable, na hinihiling na ihinto nila ang pagpapanggap sa iyo, alisin ang maling impormasyon, at pigilin ang paggawa ng mga karagdagang mapanirang pahayag.
4. **Pag-uulat sa Mga Online na Platform:** Iulat ang pagpapanggap at maling impormasyon sa mga nauugnay na online platform, social media network, o website. Maraming platform ang may mga patakaran laban sa pagpapanggap at maaaring kumilos para alisin o paghigpitan ang pag-access sa mga pekeng profile.
5. **Mga Pinsala:** Sa isang legal na aksyon, maaari kang magkaroon ng karapatan sa mga pinsala upang mabayaran ang pinsala sa iyong reputasyon at anumang iba pang pagkalugi na maaaring naranasan mo bilang resulta ng pagpapanggap.
Napakahalagang kumonsulta sa isang abogado na dalubhasa sa paninirang-puri, pagnanakaw ng pagkakakilanlan, o batas sa internet upang talakayin ang mga detalye ng iyong kaso at ang mga batas na naaangkop sa iyong hurisdiksyon. Tandaan na maaaring mag-iba-iba ang mga batas, kaya mahalaga ang paghingi ng legal na payo na naaayon sa iyong sitwasyon. Bukod pa rito, ang pag-iingat ng ebidensya ng pagpapanggap at ang epekto nito ay magiging mahalaga sa pagbuo ng isang malakas na kaso.</v>
      </c>
      <c r="F772" s="2">
        <f t="shared" si="1"/>
        <v>0</v>
      </c>
      <c r="G772" s="2"/>
      <c r="H772" s="2"/>
      <c r="I772" s="2"/>
      <c r="J772" s="2"/>
      <c r="K772" s="2"/>
      <c r="L772" s="2"/>
      <c r="M772" s="2"/>
      <c r="N772" s="2"/>
      <c r="O772" s="2"/>
      <c r="P772" s="2"/>
      <c r="Q772" s="2"/>
      <c r="R772" s="2"/>
      <c r="S772" s="2"/>
      <c r="T772" s="2"/>
      <c r="U772" s="2"/>
      <c r="V772" s="2"/>
      <c r="W772" s="2"/>
      <c r="X772" s="2"/>
      <c r="Y772" s="2"/>
      <c r="Z772" s="2"/>
      <c r="AA772" s="2"/>
    </row>
    <row r="773">
      <c r="A773" s="3" t="s">
        <v>2010</v>
      </c>
      <c r="B773" s="1" t="s">
        <v>2532</v>
      </c>
      <c r="C773" s="1" t="s">
        <v>2533</v>
      </c>
      <c r="D773" s="1" t="s">
        <v>2534</v>
      </c>
      <c r="E773" s="2" t="str">
        <f>IFERROR(__xludf.DUMMYFUNCTION("GOOGLETRANSLATE(C773, ""en"", ""TL"")"),"Ang pagharap sa maling impormasyon tungkol sa iyong mga propesyonal na kwalipikasyon na nai-post online ay maaaring maging mahirap, ngunit may mga hakbang na maaari mong gawin upang matugunan ang sitwasyon. Narito ang isang iminungkahing diskarte:
1. **Id"&amp;"okumento ang Maling Impormasyon:**
- Kumuha ng mga screenshot o mangalap ng ebidensya ng maling impormasyon, kabilang ang mga URL, petsa, at anumang nauugnay na konteksto. Magiging mahalaga ang dokumentasyong ito kung kailangan mong gumawa ng legal na aks"&amp;"yon o iulat ang isyu.
2. **Makipag-ugnayan sa Pinagmulan:**
- Kung alam mo ang pinagmulan ng maling impormasyon, isaalang-alang ang pakikipag-ugnayan sa kanila upang humiling ng pagwawasto o pag-alis. Maging magalang ngunit matatag sa pagpapaliwanag ng mg"&amp;"a kamalian at magbigay ng ebidensya upang suportahan ang iyong mga paghahabol.
3. **Mag-ulat sa Mga Online Platform:**
- Kung ang maling impormasyon ay nai-post sa social media, mga propesyonal na networking site, o iba pang online na platform, iulat ito "&amp;"sa kani-kanilang mga platform. Maraming mga platform ang may mga mekanismo sa pag-uulat para sa maling impormasyon o pagpapanggap.
4. **I-update ang Iyong Mga Propesyonal na Profile:**
- Aktibong i-update ang iyong mga propesyonal na profile, kabilang ang"&amp;" iyong resume sa mga website ng trabaho at LinkedIn, na may tumpak at napapanahon na impormasyon. Nakakatulong ito na kontrahin ang maling impormasyon at tinitiyak na ang iyong mga propesyonal na kwalipikasyon ay wastong kinakatawan.
5. **Humingi ng Legal"&amp;" na Payo:**
- Kumonsulta sa isang abogado na dalubhasa sa paninirang-puri, batas sa internet, o pananagutan sa propesyon. Maaari silang magbigay ng gabay sa iyong mga legal na opsyon at tulungan kang maunawaan ang pinakamahusay na paraan ng pagkilos batay"&amp;" sa mga detalye ng iyong sitwasyon.
6. **Magpadala ng Liham ng Pagtigil at Pagtigil:**
- Kung ang maling impormasyon ay nagdudulot ng pinsala at ang responsableng partido ay hindi nakikipagtulungan, ang iyong abogado ay maaaring magpadala ng liham ng pagt"&amp;"igil at pagtigil na humihiling ng pagwawasto o pagtanggal ng hindi tumpak na impormasyon.
7. **Mga Online na Serbisyo sa Pamamahala ng Reputasyon:**
- Isaalang-alang ang pakikipag-ugnayan sa online na mga serbisyo sa pamamahala ng reputasyon upang makatul"&amp;"ong na mabawasan ang epekto ng maling impormasyon. Maaaring gumana ang mga serbisyong ito upang sugpuin o alisin ang mapaminsalang nilalaman mula sa mga resulta ng search engine.
8. **Subaybayan at Tumugon:**
- Regular na subaybayan ang mga online na plat"&amp;"form para sa anumang mga bagong pagkakataon ng maling impormasyon. Tumugon kaagad at propesyonal upang itama ang mga kamalian at tugunan ang anumang mga alalahanin na ibinangon ng iba.
Tandaan na ang mga partikular na hakbang na iyong gagawin ay maaaring "&amp;"depende sa uri ng maling impormasyon at sa mga batas sa iyong hurisdiksyon. Ang paghingi ng propesyonal na legal na payo ay mahalaga upang matiyak na ang iyong mga aksyon ay naaayon sa naaangkop na legal na balangkas.")</f>
        <v>Ang pagharap sa maling impormasyon tungkol sa iyong mga propesyonal na kwalipikasyon na nai-post online ay maaaring maging mahirap, ngunit may mga hakbang na maaari mong gawin upang matugunan ang sitwasyon. Narito ang isang iminungkahing diskarte:
1. **Idokumento ang Maling Impormasyon:**
- Kumuha ng mga screenshot o mangalap ng ebidensya ng maling impormasyon, kabilang ang mga URL, petsa, at anumang nauugnay na konteksto. Magiging mahalaga ang dokumentasyong ito kung kailangan mong gumawa ng legal na aksyon o iulat ang isyu.
2. **Makipag-ugnayan sa Pinagmulan:**
- Kung alam mo ang pinagmulan ng maling impormasyon, isaalang-alang ang pakikipag-ugnayan sa kanila upang humiling ng pagwawasto o pag-alis. Maging magalang ngunit matatag sa pagpapaliwanag ng mga kamalian at magbigay ng ebidensya upang suportahan ang iyong mga paghahabol.
3. **Mag-ulat sa Mga Online Platform:**
- Kung ang maling impormasyon ay nai-post sa social media, mga propesyonal na networking site, o iba pang online na platform, iulat ito sa kani-kanilang mga platform. Maraming mga platform ang may mga mekanismo sa pag-uulat para sa maling impormasyon o pagpapanggap.
4. **I-update ang Iyong Mga Propesyonal na Profile:**
- Aktibong i-update ang iyong mga propesyonal na profile, kabilang ang iyong resume sa mga website ng trabaho at LinkedIn, na may tumpak at napapanahon na impormasyon. Nakakatulong ito na kontrahin ang maling impormasyon at tinitiyak na ang iyong mga propesyonal na kwalipikasyon ay wastong kinakatawan.
5. **Humingi ng Legal na Payo:**
- Kumonsulta sa isang abogado na dalubhasa sa paninirang-puri, batas sa internet, o pananagutan sa propesyon. Maaari silang magbigay ng gabay sa iyong mga legal na opsyon at tulungan kang maunawaan ang pinakamahusay na paraan ng pagkilos batay sa mga detalye ng iyong sitwasyon.
6. **Magpadala ng Liham ng Pagtigil at Pagtigil:**
- Kung ang maling impormasyon ay nagdudulot ng pinsala at ang responsableng partido ay hindi nakikipagtulungan, ang iyong abogado ay maaaring magpadala ng liham ng pagtigil at pagtigil na humihiling ng pagwawasto o pagtanggal ng hindi tumpak na impormasyon.
7. **Mga Online na Serbisyo sa Pamamahala ng Reputasyon:**
- Isaalang-alang ang pakikipag-ugnayan sa online na mga serbisyo sa pamamahala ng reputasyon upang makatulong na mabawasan ang epekto ng maling impormasyon. Maaaring gumana ang mga serbisyong ito upang sugpuin o alisin ang mapaminsalang nilalaman mula sa mga resulta ng search engine.
8. **Subaybayan at Tumugon:**
- Regular na subaybayan ang mga online na platform para sa anumang mga bagong pagkakataon ng maling impormasyon. Tumugon kaagad at propesyonal upang itama ang mga kamalian at tugunan ang anumang mga alalahanin na ibinangon ng iba.
Tandaan na ang mga partikular na hakbang na iyong gagawin ay maaaring depende sa uri ng maling impormasyon at sa mga batas sa iyong hurisdiksyon. Ang paghingi ng propesyonal na legal na payo ay mahalaga upang matiyak na ang iyong mga aksyon ay naaayon sa naaangkop na legal na balangkas.</v>
      </c>
      <c r="F773" s="2">
        <f t="shared" si="1"/>
        <v>0</v>
      </c>
      <c r="G773" s="2"/>
      <c r="H773" s="2"/>
      <c r="I773" s="2"/>
      <c r="J773" s="2"/>
      <c r="K773" s="2"/>
      <c r="L773" s="2"/>
      <c r="M773" s="2"/>
      <c r="N773" s="2"/>
      <c r="O773" s="2"/>
      <c r="P773" s="2"/>
      <c r="Q773" s="2"/>
      <c r="R773" s="2"/>
      <c r="S773" s="2"/>
      <c r="T773" s="2"/>
      <c r="U773" s="2"/>
      <c r="V773" s="2"/>
      <c r="W773" s="2"/>
      <c r="X773" s="2"/>
      <c r="Y773" s="2"/>
      <c r="Z773" s="2"/>
      <c r="AA773" s="2"/>
    </row>
    <row r="774">
      <c r="A774" s="3" t="s">
        <v>2010</v>
      </c>
      <c r="B774" s="1" t="s">
        <v>2535</v>
      </c>
      <c r="C774" s="1" t="s">
        <v>2536</v>
      </c>
      <c r="D774" s="1" t="s">
        <v>2537</v>
      </c>
      <c r="E774" s="2" t="str">
        <f>IFERROR(__xludf.DUMMYFUNCTION("GOOGLETRANSLATE(C774, ""en"", ""TL"")"),"Oo, maaari kang magkaroon ng opsyon na idemanda ang isang website ng balita para sa pag-publish ng maling impormasyon tungkol sa iyo, lalo na kung ang maling impormasyon ay nagdulot ng pinsala sa iyong reputasyon. Gayunpaman, ang paghahangad ng legal na a"&amp;"ksyon laban sa isang organisasyon ng balita ay nagsasangkot ng pag-navigate sa mga kumplikadong legal na pagsasaalang-alang, at ang kalalabasan ay depende sa iba't ibang salik. Narito ang ilang mahahalagang puntong dapat isaalang-alang:
1. **Defamation De"&amp;"famation:**
- Kung ang maling impormasyon ay mapanirang-puri, maaari kang magkaroon ng mga batayan upang magsampa ng kaso ng paninirang-puri. Ang paninirang-puri ay karaniwang nagsasangkot ng mga maling pahayag na nakakasira sa reputasyon ng isang indibid"&amp;"wal at ipinapaalam sa mga ikatlong partido.
2. **Katotohanan Bilang Depensa:**
- Ang mga organisasyon ng balita ay kadalasang may mga depensa laban sa mga claim sa paninirang-puri, lalo na kung maaari nilang ipakita na ang impormasyong nai-publish ay toto"&amp;"o o lubos na totoo. Ang pagpapatunay sa kasinungalingan ng impormasyon ay magiging mahalaga sa isang matagumpay na paghahabol sa paninirang-puri.
3. **Katayuan ng Public Figure:**
- Kung ikaw ay itinuturing na isang pampublikong pigura, ang mga legal na p"&amp;"amantayan para sa paninirang-puri ay maaaring mas mataas. Kadalasang kailangang patunayan ng mga pampublikong figure na ang mga maling pahayag ay ginawa nang may aktwal na malisya, ibig sabihin, alam ng publisher na mali ang impormasyon o kumilos nang wal"&amp;"ang ingat na pagwawalang-bahala sa katotohanan.
4. **Pagbawi o Pagwawasto:**
- May mga batas ang ilang hurisdiksyon na nag-aatas sa mga organisasyon ng balita na maglabas ng mga pagbawi o pagwawasto para sa maling impormasyon. Maaari mong tuklasin ang ops"&amp;"yong ito bilang bahagi ng paglutas sa isyu.
5. **Liham ng Pagtigil at Pagtigil:**
- Bago ituloy ang legal na aksyon, maaaring magpadala ang iyong abogado ng cease and desist letter sa organisasyon ng balita, na humihiling ng pagwawasto o pag-alis ng malin"&amp;"g impormasyon. Ang liham na ito ay maaaring magsilbi bilang isang pormal na babala at maaaring mag-udyok sa organisasyon na tugunan ang isyu nang hindi pumunta sa korte.
6. **Konsultasyon sa isang Abugado:**
- Napakahalagang kumunsulta sa isang abogado na"&amp;" dalubhasa sa paninirang-puri o batas ng media. Maaari nilang tasahin ang mga detalye ng iyong kaso, gabayan ka sa mga legal na opsyon na magagamit, at tulungan kang magpasya sa pinakamahusay na paraan ng pagkilos.
7. **Pagsasaalang-alang ng Pampublikong "&amp;"Interes:**
- Maaaring mag-iba ang legal na tanawin batay sa kung ang nai-publish na impormasyon ay itinuturing na isang bagay ng pampublikong interes. Ang ilang mga hurisdiksyon ay nagbibigay ng higit na proteksyon sa mga organisasyon ng balita kapag nag-"&amp;"uulat ng mga bagay na may kinalaman sa publiko.
Tandaan na ang mga batas sa paninirang-puri ay nag-iiba-iba sa pagitan ng mga hurisdiksyon, at ang mga detalye ng iyong kaso ay makakaimpluwensya sa mga legal na opsyon na magagamit mo. Ang pagkonsulta sa is"&amp;"ang abogado nang maaga sa proseso ay mahalaga sa pag-unawa sa iyong mga karapatan at mga potensyal na kurso ng aksyon.")</f>
        <v>Oo, maaari kang magkaroon ng opsyon na idemanda ang isang website ng balita para sa pag-publish ng maling impormasyon tungkol sa iyo, lalo na kung ang maling impormasyon ay nagdulot ng pinsala sa iyong reputasyon. Gayunpaman, ang paghahangad ng legal na aksyon laban sa isang organisasyon ng balita ay nagsasangkot ng pag-navigate sa mga kumplikadong legal na pagsasaalang-alang, at ang kalalabasan ay depende sa iba't ibang salik. Narito ang ilang mahahalagang puntong dapat isaalang-alang:
1. **Defamation Defamation:**
- Kung ang maling impormasyon ay mapanirang-puri, maaari kang magkaroon ng mga batayan upang magsampa ng kaso ng paninirang-puri. Ang paninirang-puri ay karaniwang nagsasangkot ng mga maling pahayag na nakakasira sa reputasyon ng isang indibidwal at ipinapaalam sa mga ikatlong partido.
2. **Katotohanan Bilang Depensa:**
- Ang mga organisasyon ng balita ay kadalasang may mga depensa laban sa mga claim sa paninirang-puri, lalo na kung maaari nilang ipakita na ang impormasyong nai-publish ay totoo o lubos na totoo. Ang pagpapatunay sa kasinungalingan ng impormasyon ay magiging mahalaga sa isang matagumpay na paghahabol sa paninirang-puri.
3. **Katayuan ng Public Figure:**
- Kung ikaw ay itinuturing na isang pampublikong pigura, ang mga legal na pamantayan para sa paninirang-puri ay maaaring mas mataas. Kadalasang kailangang patunayan ng mga pampublikong figure na ang mga maling pahayag ay ginawa nang may aktwal na malisya, ibig sabihin, alam ng publisher na mali ang impormasyon o kumilos nang walang ingat na pagwawalang-bahala sa katotohanan.
4. **Pagbawi o Pagwawasto:**
- May mga batas ang ilang hurisdiksyon na nag-aatas sa mga organisasyon ng balita na maglabas ng mga pagbawi o pagwawasto para sa maling impormasyon. Maaari mong tuklasin ang opsyong ito bilang bahagi ng paglutas sa isyu.
5. **Liham ng Pagtigil at Pagtigil:**
- Bago ituloy ang legal na aksyon, maaaring magpadala ang iyong abogado ng cease and desist letter sa organisasyon ng balita, na humihiling ng pagwawasto o pag-alis ng maling impormasyon. Ang liham na ito ay maaaring magsilbi bilang isang pormal na babala at maaaring mag-udyok sa organisasyon na tugunan ang isyu nang hindi pumunta sa korte.
6. **Konsultasyon sa isang Abugado:**
- Napakahalagang kumunsulta sa isang abogado na dalubhasa sa paninirang-puri o batas ng media. Maaari nilang tasahin ang mga detalye ng iyong kaso, gabayan ka sa mga legal na opsyon na magagamit, at tulungan kang magpasya sa pinakamahusay na paraan ng pagkilos.
7. **Pagsasaalang-alang ng Pampublikong Interes:**
- Maaaring mag-iba ang legal na tanawin batay sa kung ang nai-publish na impormasyon ay itinuturing na isang bagay ng pampublikong interes. Ang ilang mga hurisdiksyon ay nagbibigay ng higit na proteksyon sa mga organisasyon ng balita kapag nag-uulat ng mga bagay na may kinalaman sa publiko.
Tandaan na ang mga batas sa paninirang-puri ay nag-iiba-iba sa pagitan ng mga hurisdiksyon, at ang mga detalye ng iyong kaso ay makakaimpluwensya sa mga legal na opsyon na magagamit mo. Ang pagkonsulta sa isang abogado nang maaga sa proseso ay mahalaga sa pag-unawa sa iyong mga karapatan at mga potensyal na kurso ng aksyon.</v>
      </c>
      <c r="F774" s="2">
        <f t="shared" si="1"/>
        <v>0</v>
      </c>
      <c r="G774" s="2"/>
      <c r="H774" s="2"/>
      <c r="I774" s="2"/>
      <c r="J774" s="2"/>
      <c r="K774" s="2"/>
      <c r="L774" s="2"/>
      <c r="M774" s="2"/>
      <c r="N774" s="2"/>
      <c r="O774" s="2"/>
      <c r="P774" s="2"/>
      <c r="Q774" s="2"/>
      <c r="R774" s="2"/>
      <c r="S774" s="2"/>
      <c r="T774" s="2"/>
      <c r="U774" s="2"/>
      <c r="V774" s="2"/>
      <c r="W774" s="2"/>
      <c r="X774" s="2"/>
      <c r="Y774" s="2"/>
      <c r="Z774" s="2"/>
      <c r="AA774" s="2"/>
    </row>
    <row r="775">
      <c r="A775" s="3" t="s">
        <v>2010</v>
      </c>
      <c r="B775" s="1" t="s">
        <v>2538</v>
      </c>
      <c r="C775" s="1" t="s">
        <v>2539</v>
      </c>
      <c r="D775" s="1" t="s">
        <v>2540</v>
      </c>
      <c r="E775" s="2" t="str">
        <f>IFERROR(__xludf.DUMMYFUNCTION("GOOGLETRANSLATE(C775, ""en"", ""TL"")"),"Ang pangangalap ng matibay na ebidensya ay mahalaga kapag gumagawa ng kaso laban sa maling online na impormasyon. Ang partikular na katibayan na kailangan ay maaaring depende sa uri ng maling impormasyon at ang mga legal na paghahabol na iyong hinahabol. "&amp;"Narito ang ilang uri ng ebidensya na maaaring makatulong:
1. **Mga Screenshot at URL:**
- Kumuha ng mga screenshot ng maling impormasyon, kabilang ang anumang nauugnay na mga URL, petsa, at timestamp. Maaaring magsilbi ang dokumentasyong ito bilang konkre"&amp;"tong katibayan ng nilalamang pinag-uusapan.
2. **Mga Naka-archive na Bersyon:**
- Gumamit ng mga tool sa pag-archive sa web upang makuha at mapanatili ang maling impormasyon sa orihinal nitong anyo. Maaari itong maging partikular na kapaki-pakinabang kung"&amp;" ang nilalaman ay na-edit o inalis sa ibang pagkakataon.
3. **Mga Pahayag ng Saksi:**
- Kung may mga saksi sa pagpapakalat ng maling impormasyon o mga indibidwal na makapagpapatunay sa epekto nito sa iyong reputasyon, mangalap ng mga pahayag mula sa kanil"&amp;"a. Maaaring palakasin ng patotoo ng saksi ang iyong kaso.
4. **Mga Opinyon ng Dalubhasa:**
- Sa ilang partikular na kaso, maaaring mahalaga ang mga opinyon ng eksperto. Halimbawa, ang isang dalubhasa sa larangang nauugnay sa maling impormasyon ay maaaring"&amp;" magbigay ng patotoo sa pag-debase ng mga kamalian.
5. **Mga Pampublikong Tala:**
- Kung ang maling impormasyon ay may kinalaman sa iyong mga propesyonal na kwalipikasyon o legal na rekord, magtipon ng mga opisyal na dokumento o mga talaan na maaaring pat"&amp;"unayan ang katumpakan ng impormasyon.
6. **Mga Tala ng Komunikasyon:**
- Panatilihin ang mga talaan ng anumang pakikipag-ugnayan sa indibidwal o entity na responsable sa pagkalat ng maling impormasyon. Maaaring kabilang dito ang mga email, mensahe, o iba "&amp;"pang sulat.
7. **Epekto sa Reputasyon:**
- Idokumento ang anumang nakikitang pinsala na dulot ng maling impormasyon, tulad ng pagkawala ng negosyo, pinsala sa propesyonal na reputasyon, o emosyonal na pagkabalisa. Maaaring kabilang dito ang pagkolekta ng "&amp;"ebidensya ng mga pagkalugi sa pananalapi o mga negatibong pagsusuri.
8. **Liham ng Pagtigil at Pagtigil:**
- Kung ikaw o ang iyong abogado ay nagpadala ng liham ng pagtigil at pagtigil sa responsableng partido, panatilihin ang isang kopya ng liham at anum"&amp;"ang tugon na natanggap. Maaaring may kaugnayan ang dokumentasyong ito sa mga legal na paglilitis.
9. **Legal na Konsultasyon:**
- Kung kumunsulta ka sa isang abogado, panatilihin ang mga rekord ng ibinigay na legal na payo, kabilang ang anumang mga rekome"&amp;"ndasyon sa pangongolekta ng ebidensya at ang potensyal na lakas ng iyong kaso.
Mahalagang kumunsulta sa isang abogado na dalubhasa sa paninirang-puri, batas sa internet, o sa nauugnay na legal na lugar. Maaari ka nilang gabayan sa partikular na katibayan "&amp;"na kailangan para sa iyong kaso at tulungan kang maunawaan kung paano ito ipapakita nang epektibo. Bukod pa rito, maaaring mag-iba ang pagiging tanggapin ng ebidensya batay sa mga legal na pamantayan sa iyong hurisdiksyon, kaya mahalaga ang propesyonal na"&amp;" payo sa legal.")</f>
        <v>Ang pangangalap ng matibay na ebidensya ay mahalaga kapag gumagawa ng kaso laban sa maling online na impormasyon. Ang partikular na katibayan na kailangan ay maaaring depende sa uri ng maling impormasyon at ang mga legal na paghahabol na iyong hinahabol. Narito ang ilang uri ng ebidensya na maaaring makatulong:
1. **Mga Screenshot at URL:**
- Kumuha ng mga screenshot ng maling impormasyon, kabilang ang anumang nauugnay na mga URL, petsa, at timestamp. Maaaring magsilbi ang dokumentasyong ito bilang konkretong katibayan ng nilalamang pinag-uusapan.
2. **Mga Naka-archive na Bersyon:**
- Gumamit ng mga tool sa pag-archive sa web upang makuha at mapanatili ang maling impormasyon sa orihinal nitong anyo. Maaari itong maging partikular na kapaki-pakinabang kung ang nilalaman ay na-edit o inalis sa ibang pagkakataon.
3. **Mga Pahayag ng Saksi:**
- Kung may mga saksi sa pagpapakalat ng maling impormasyon o mga indibidwal na makapagpapatunay sa epekto nito sa iyong reputasyon, mangalap ng mga pahayag mula sa kanila. Maaaring palakasin ng patotoo ng saksi ang iyong kaso.
4. **Mga Opinyon ng Dalubhasa:**
- Sa ilang partikular na kaso, maaaring mahalaga ang mga opinyon ng eksperto. Halimbawa, ang isang dalubhasa sa larangang nauugnay sa maling impormasyon ay maaaring magbigay ng patotoo sa pag-debase ng mga kamalian.
5. **Mga Pampublikong Tala:**
- Kung ang maling impormasyon ay may kinalaman sa iyong mga propesyonal na kwalipikasyon o legal na rekord, magtipon ng mga opisyal na dokumento o mga talaan na maaaring patunayan ang katumpakan ng impormasyon.
6. **Mga Tala ng Komunikasyon:**
- Panatilihin ang mga talaan ng anumang pakikipag-ugnayan sa indibidwal o entity na responsable sa pagkalat ng maling impormasyon. Maaaring kabilang dito ang mga email, mensahe, o iba pang sulat.
7. **Epekto sa Reputasyon:**
- Idokumento ang anumang nakikitang pinsala na dulot ng maling impormasyon, tulad ng pagkawala ng negosyo, pinsala sa propesyonal na reputasyon, o emosyonal na pagkabalisa. Maaaring kabilang dito ang pagkolekta ng ebidensya ng mga pagkalugi sa pananalapi o mga negatibong pagsusuri.
8. **Liham ng Pagtigil at Pagtigil:**
- Kung ikaw o ang iyong abogado ay nagpadala ng liham ng pagtigil at pagtigil sa responsableng partido, panatilihin ang isang kopya ng liham at anumang tugon na natanggap. Maaaring may kaugnayan ang dokumentasyong ito sa mga legal na paglilitis.
9. **Legal na Konsultasyon:**
- Kung kumunsulta ka sa isang abogado, panatilihin ang mga rekord ng ibinigay na legal na payo, kabilang ang anumang mga rekomendasyon sa pangongolekta ng ebidensya at ang potensyal na lakas ng iyong kaso.
Mahalagang kumunsulta sa isang abogado na dalubhasa sa paninirang-puri, batas sa internet, o sa nauugnay na legal na lugar. Maaari ka nilang gabayan sa partikular na katibayan na kailangan para sa iyong kaso at tulungan kang maunawaan kung paano ito ipapakita nang epektibo. Bukod pa rito, maaaring mag-iba ang pagiging tanggapin ng ebidensya batay sa mga legal na pamantayan sa iyong hurisdiksyon, kaya mahalaga ang propesyonal na payo sa legal.</v>
      </c>
      <c r="F775" s="2">
        <f t="shared" si="1"/>
        <v>0</v>
      </c>
      <c r="G775" s="2"/>
      <c r="H775" s="2"/>
      <c r="I775" s="2"/>
      <c r="J775" s="2"/>
      <c r="K775" s="2"/>
      <c r="L775" s="2"/>
      <c r="M775" s="2"/>
      <c r="N775" s="2"/>
      <c r="O775" s="2"/>
      <c r="P775" s="2"/>
      <c r="Q775" s="2"/>
      <c r="R775" s="2"/>
      <c r="S775" s="2"/>
      <c r="T775" s="2"/>
      <c r="U775" s="2"/>
      <c r="V775" s="2"/>
      <c r="W775" s="2"/>
      <c r="X775" s="2"/>
      <c r="Y775" s="2"/>
      <c r="Z775" s="2"/>
      <c r="AA775" s="2"/>
    </row>
    <row r="776">
      <c r="A776" s="3" t="s">
        <v>2010</v>
      </c>
      <c r="B776" s="1" t="s">
        <v>2541</v>
      </c>
      <c r="C776" s="1" t="s">
        <v>2542</v>
      </c>
      <c r="D776" s="1" t="s">
        <v>2543</v>
      </c>
      <c r="E776" s="2" t="str">
        <f>IFERROR(__xludf.DUMMYFUNCTION("GOOGLETRANSLATE(C776, ""en"", ""TL"")"),"Oo, maaari kang gumawa ng legal na aksyon laban sa isang tao para sa pag-hack sa iyong mga account at pag-post ng maling impormasyon, at maaaring may kinalaman ito sa mga paglilitis sa kriminal at sibil sa Pilipinas. Narito ang ilang potensyal na kurso ng"&amp;" pagkilos:
1. **Reklamo sa Kriminal:**
- Ang pag-hack ay isang kriminal na pagkakasala sa Pilipinas. Maaari kang magsampa ng reklamong kriminal sa National Bureau of Investigation (NBI) o sa Philippine National Police (PNP) Cybercrime Division, na nagbibi"&amp;"gay ng ebidensya ng insidente ng pag-hack.
2. **Anti-Cybercrime Law (Republic Act No. 10175):**
- Ang Pilipinas ay may mga batas na partikular na tumutugon sa mga cybercrime, kabilang ang Cybercrime Prevention Act of 2012 (Republic Act No. 10175). Kinokri"&amp;"minal ng batas na ito ang hindi awtorisadong pag-access sa mga computer system, data interference, at iba pang cybercrimes.
3. **Sibil na Paghahabla:**
- Bilang karagdagan sa paghahabol sa mga kasong kriminal, maaari kang magsampa ng kasong sibil laban sa"&amp;" hacker para sa mga pinsala. Maaaring kabilang dito ang kabayaran para sa pinsala sa iyong reputasyon, emosyonal na pagkabalisa, o anumang pagkalugi sa pananalapi na natamo bilang resulta ng maling impormasyon.
4. **Liham ng Pagtigil at Pagtigil:**
- Bago"&amp;" simulan ang mga legal na paglilitis, ang iyong abogado ay maaaring magpadala ng liham ng pagtigil at pagtigil sa indibidwal na responsable para sa pag-hack at maling impormasyon, na humihiling na itigil nila kaagad ang kanilang mga aksyon.
5. **Pag-iinga"&amp;"t ng Ebidensya:**
- Napakahalagang panatilihin ang lahat ng nauugnay na ebidensya, kabilang ang mga talaan ng insidente ng pag-hack, mga IP address, at anumang mga komunikasyong nauugnay sa hindi awtorisadong pag-access.
6. **Legal na Kinatawan:**
- Kumon"&amp;"sulta sa isang abogado na dalubhasa sa cybercrime at batas sa internet para gabayan ka sa legal na proseso, tumulong sa pangangalap ng ebidensya, at payuhan ka sa mga pinakaangkop na legal na aksyon na gagawin.
Tandaan na ang mga batas ay maaaring umunlad"&amp;", at mahalagang kumunsulta sa isang legal na propesyonal upang matiyak na alam mo ang mga pinakabagong legal na probisyon at pamamaraan na may kaugnayan sa mga cybercrime sa Pilipinas. Bukod pa rito, ang napapanahong pag-uulat ng mga insidente ng pag-hack"&amp;" sa tagapagpatupad ng batas ay mahalaga para sa mas epektibong pagtugon.")</f>
        <v>Oo, maaari kang gumawa ng legal na aksyon laban sa isang tao para sa pag-hack sa iyong mga account at pag-post ng maling impormasyon, at maaaring may kinalaman ito sa mga paglilitis sa kriminal at sibil sa Pilipinas. Narito ang ilang potensyal na kurso ng pagkilos:
1. **Reklamo sa Kriminal:**
- Ang pag-hack ay isang kriminal na pagkakasala sa Pilipinas. Maaari kang magsampa ng reklamong kriminal sa National Bureau of Investigation (NBI) o sa Philippine National Police (PNP) Cybercrime Division, na nagbibigay ng ebidensya ng insidente ng pag-hack.
2. **Anti-Cybercrime Law (Republic Act No. 10175):**
- Ang Pilipinas ay may mga batas na partikular na tumutugon sa mga cybercrime, kabilang ang Cybercrime Prevention Act of 2012 (Republic Act No. 10175). Kinokriminal ng batas na ito ang hindi awtorisadong pag-access sa mga computer system, data interference, at iba pang cybercrimes.
3. **Sibil na Paghahabla:**
- Bilang karagdagan sa paghahabol sa mga kasong kriminal, maaari kang magsampa ng kasong sibil laban sa hacker para sa mga pinsala. Maaaring kabilang dito ang kabayaran para sa pinsala sa iyong reputasyon, emosyonal na pagkabalisa, o anumang pagkalugi sa pananalapi na natamo bilang resulta ng maling impormasyon.
4. **Liham ng Pagtigil at Pagtigil:**
- Bago simulan ang mga legal na paglilitis, ang iyong abogado ay maaaring magpadala ng liham ng pagtigil at pagtigil sa indibidwal na responsable para sa pag-hack at maling impormasyon, na humihiling na itigil nila kaagad ang kanilang mga aksyon.
5. **Pag-iingat ng Ebidensya:**
- Napakahalagang panatilihin ang lahat ng nauugnay na ebidensya, kabilang ang mga talaan ng insidente ng pag-hack, mga IP address, at anumang mga komunikasyong nauugnay sa hindi awtorisadong pag-access.
6. **Legal na Kinatawan:**
- Kumonsulta sa isang abogado na dalubhasa sa cybercrime at batas sa internet para gabayan ka sa legal na proseso, tumulong sa pangangalap ng ebidensya, at payuhan ka sa mga pinakaangkop na legal na aksyon na gagawin.
Tandaan na ang mga batas ay maaaring umunlad, at mahalagang kumunsulta sa isang legal na propesyonal upang matiyak na alam mo ang mga pinakabagong legal na probisyon at pamamaraan na may kaugnayan sa mga cybercrime sa Pilipinas. Bukod pa rito, ang napapanahong pag-uulat ng mga insidente ng pag-hack sa tagapagpatupad ng batas ay mahalaga para sa mas epektibong pagtugon.</v>
      </c>
      <c r="F776" s="2">
        <f t="shared" si="1"/>
        <v>0</v>
      </c>
      <c r="G776" s="2"/>
      <c r="H776" s="2"/>
      <c r="I776" s="2"/>
      <c r="J776" s="2"/>
      <c r="K776" s="2"/>
      <c r="L776" s="2"/>
      <c r="M776" s="2"/>
      <c r="N776" s="2"/>
      <c r="O776" s="2"/>
      <c r="P776" s="2"/>
      <c r="Q776" s="2"/>
      <c r="R776" s="2"/>
      <c r="S776" s="2"/>
      <c r="T776" s="2"/>
      <c r="U776" s="2"/>
      <c r="V776" s="2"/>
      <c r="W776" s="2"/>
      <c r="X776" s="2"/>
      <c r="Y776" s="2"/>
      <c r="Z776" s="2"/>
      <c r="AA776" s="2"/>
    </row>
    <row r="777">
      <c r="A777" s="3" t="s">
        <v>2010</v>
      </c>
      <c r="B777" s="1" t="s">
        <v>2544</v>
      </c>
      <c r="C777" s="1" t="s">
        <v>2545</v>
      </c>
      <c r="D777" s="1" t="s">
        <v>2546</v>
      </c>
      <c r="E777" s="2" t="str">
        <f>IFERROR(__xludf.DUMMYFUNCTION("GOOGLETRANSLATE(C777, ""en"", ""TL"")"),"Ang pagharap sa maling impormasyon tungkol sa iyong katayuan sa pananalapi na nai-post online ay maaaring maging mahirap, ngunit may mga hakbang na maaari mong gawin upang matugunan ang sitwasyon. Narito ang ilang inirerekomendang hakbang:
1. **Idokumento"&amp;" ang Maling Impormasyon:**
- Kumuha ng mga screenshot o mangalap ng ebidensya ng maling impormasyon, kabilang ang mga URL, petsa, at anumang nauugnay na konteksto. Ang dokumentasyong ito ay magiging mahalaga kung magpasya kang gumawa ng legal na aksyon o "&amp;"iulat ang isyu.
2. **Makipag-ugnayan sa Pinagmulan:**
- Kung alam mo ang pinagmulan ng maling impormasyon, isaalang-alang ang pakikipag-ugnayan sa kanila upang humiling ng pagwawasto o pag-alis. Maging malinaw at magbigay ng ebidensya upang suportahan ang"&amp;" tumpak na representasyon ng iyong katayuan sa pananalapi.
3. **Mag-ulat sa Mga Online Platform:**
- Kung ang maling impormasyon ay nai-post sa social media, mga platform ng pagsusuri, o iba pang mga website, iulat ito sa kani-kanilang mga platform. Maram"&amp;"ing mga platform ang may mga mekanismo para sa pag-uulat ng maling impormasyon, at maaari silang gumawa ng aksyon upang matugunan ang isyu.
4. **Legal na Aksyon - Paninirang-puri o Libel:**
- Kung ang maling impormasyon ay mapanirang-puri at nagdulot ng p"&amp;"insala sa iyong reputasyon, maaari kang magkaroon ng mga batayan upang ituloy ang legal na aksyon para sa paninirang-puri o libelo. Kumonsulta sa isang abogado na dalubhasa sa paninirang-puri o batas sa internet upang talakayin ang mga detalye ng iyong ka"&amp;"so.
5. **Liham ng Pagtigil at Pagtigil:**
- Maaaring magpadala ang iyong abogado ng cease and desist letter sa indibidwal na responsable, na humihiling ng pagwawasto o pag-alis ng maling impormasyon sa pananalapi. Ang liham na ito ay maaaring magsilbi bil"&amp;"ang isang pormal na babala at maaaring mag-udyok sa indibidwal na tugunan ang isyu nang hindi pumunta sa korte.
6. **Online na Pamamahala ng Reputasyon:**
- Isaalang-alang ang pakikipag-ugnayan sa online na mga serbisyo sa pamamahala ng reputasyon upang m"&amp;"akatulong na mabawasan ang epekto ng maling impormasyon sa pananalapi. Maaaring gumana ang mga serbisyong ito upang sugpuin o alisin ang mapaminsalang nilalaman mula sa mga resulta ng search engine.
7. **I-update ang Mga Propesyonal na Profile:**
- Aktibo"&amp;"ng i-update ang iyong mga propesyonal na profile, tulad ng sa LinkedIn o mga website na partikular sa industriya, na may tumpak at napapanahon na impormasyon tungkol sa iyong katayuan sa pananalapi. Nakakatulong ito na kontrahin ang maling impormasyon gam"&amp;"it ang mga tumpak na detalye.
8. **Konsultasyon sa isang Abogado:**
- Kumonsulta sa isang abogado na dalubhasa sa paninirang-puri, batas sa privacy, o batas sa internet. Maaari silang magbigay ng payo batay sa mga legal na opsyon na magagamit mo at gagaba"&amp;"y sa iyo sa proseso ng pagtugon sa maling impormasyon sa pananalapi.
Tandaan na ang mga partikular na hakbang na iyong gagawin ay maaaring depende sa uri ng maling impormasyon at sa mga batas sa iyong hurisdiksyon. Ang paghingi ng propesyonal na legal na "&amp;"payo ay mahalaga upang matiyak na ang iyong mga aksyon ay naaayon sa naaangkop na legal na balangkas.")</f>
        <v>Ang pagharap sa maling impormasyon tungkol sa iyong katayuan sa pananalapi na nai-post online ay maaaring maging mahirap, ngunit may mga hakbang na maaari mong gawin upang matugunan ang sitwasyon. Narito ang ilang inirerekomendang hakbang:
1. **Idokumento ang Maling Impormasyon:**
- Kumuha ng mga screenshot o mangalap ng ebidensya ng maling impormasyon, kabilang ang mga URL, petsa, at anumang nauugnay na konteksto. Ang dokumentasyong ito ay magiging mahalaga kung magpasya kang gumawa ng legal na aksyon o iulat ang isyu.
2. **Makipag-ugnayan sa Pinagmulan:**
- Kung alam mo ang pinagmulan ng maling impormasyon, isaalang-alang ang pakikipag-ugnayan sa kanila upang humiling ng pagwawasto o pag-alis. Maging malinaw at magbigay ng ebidensya upang suportahan ang tumpak na representasyon ng iyong katayuan sa pananalapi.
3. **Mag-ulat sa Mga Online Platform:**
- Kung ang maling impormasyon ay nai-post sa social media, mga platform ng pagsusuri, o iba pang mga website, iulat ito sa kani-kanilang mga platform. Maraming mga platform ang may mga mekanismo para sa pag-uulat ng maling impormasyon, at maaari silang gumawa ng aksyon upang matugunan ang isyu.
4. **Legal na Aksyon - Paninirang-puri o Libel:**
- Kung ang maling impormasyon ay mapanirang-puri at nagdulot ng pinsala sa iyong reputasyon, maaari kang magkaroon ng mga batayan upang ituloy ang legal na aksyon para sa paninirang-puri o libelo. Kumonsulta sa isang abogado na dalubhasa sa paninirang-puri o batas sa internet upang talakayin ang mga detalye ng iyong kaso.
5. **Liham ng Pagtigil at Pagtigil:**
- Maaaring magpadala ang iyong abogado ng cease and desist letter sa indibidwal na responsable, na humihiling ng pagwawasto o pag-alis ng maling impormasyon sa pananalapi. Ang liham na ito ay maaaring magsilbi bilang isang pormal na babala at maaaring mag-udyok sa indibidwal na tugunan ang isyu nang hindi pumunta sa korte.
6. **Online na Pamamahala ng Reputasyon:**
- Isaalang-alang ang pakikipag-ugnayan sa online na mga serbisyo sa pamamahala ng reputasyon upang makatulong na mabawasan ang epekto ng maling impormasyon sa pananalapi. Maaaring gumana ang mga serbisyong ito upang sugpuin o alisin ang mapaminsalang nilalaman mula sa mga resulta ng search engine.
7. **I-update ang Mga Propesyonal na Profile:**
- Aktibong i-update ang iyong mga propesyonal na profile, tulad ng sa LinkedIn o mga website na partikular sa industriya, na may tumpak at napapanahon na impormasyon tungkol sa iyong katayuan sa pananalapi. Nakakatulong ito na kontrahin ang maling impormasyon gamit ang mga tumpak na detalye.
8. **Konsultasyon sa isang Abogado:**
- Kumonsulta sa isang abogado na dalubhasa sa paninirang-puri, batas sa privacy, o batas sa internet. Maaari silang magbigay ng payo batay sa mga legal na opsyon na magagamit mo at gagabay sa iyo sa proseso ng pagtugon sa maling impormasyon sa pananalapi.
Tandaan na ang mga partikular na hakbang na iyong gagawin ay maaaring depende sa uri ng maling impormasyon at sa mga batas sa iyong hurisdiksyon. Ang paghingi ng propesyonal na legal na payo ay mahalaga upang matiyak na ang iyong mga aksyon ay naaayon sa naaangkop na legal na balangkas.</v>
      </c>
      <c r="F777" s="2">
        <f t="shared" si="1"/>
        <v>0</v>
      </c>
      <c r="G777" s="2"/>
      <c r="H777" s="2"/>
      <c r="I777" s="2"/>
      <c r="J777" s="2"/>
      <c r="K777" s="2"/>
      <c r="L777" s="2"/>
      <c r="M777" s="2"/>
      <c r="N777" s="2"/>
      <c r="O777" s="2"/>
      <c r="P777" s="2"/>
      <c r="Q777" s="2"/>
      <c r="R777" s="2"/>
      <c r="S777" s="2"/>
      <c r="T777" s="2"/>
      <c r="U777" s="2"/>
      <c r="V777" s="2"/>
      <c r="W777" s="2"/>
      <c r="X777" s="2"/>
      <c r="Y777" s="2"/>
      <c r="Z777" s="2"/>
      <c r="AA777" s="2"/>
    </row>
    <row r="778">
      <c r="A778" s="3" t="s">
        <v>2010</v>
      </c>
      <c r="B778" s="1" t="s">
        <v>2547</v>
      </c>
      <c r="C778" s="1" t="s">
        <v>2548</v>
      </c>
      <c r="D778" s="1" t="s">
        <v>2549</v>
      </c>
      <c r="E778" s="2" t="str">
        <f>IFERROR(__xludf.DUMMYFUNCTION("GOOGLETRANSLATE(C778, ""en"", ""TL"")"),"Oo, sa Pilipinas, maaari kang gumawa ng legal na aksyon laban sa isang tao para sa pagpapakalat ng maling tsismis tungkol sa iyo sa social media. Pangunahing kinasasangkutan ng mga naaangkop na legal na paraan ang mga batas sa paninirang-puri. Narito ang "&amp;"mga pangunahing pagsasaalang-alang:
1. **Mga Batas sa Paninirang-puri:**
- Ang pagpapakalat ng maling alingawngaw na pumipinsala sa reputasyon ng isang tao ay maaaring ituring na paninirang-puri. Sa Pilipinas, ang paninirang-puri ay karaniwang ikinategory"&amp;"a sa libel para sa nakasulat na paninirang-puri at paninirang-puri para sa pasalitang paninirang-puri.
2. **Republic Act No. 10175 (Cybercrime Prevention Act of 2012):**
- Tinutugunan ng Cybercrime Prevention Act of 2012 ang ilang mga online na pagkakasal"&amp;"a, kabilang ang libel. Kung ang mga maling alingawngaw ay kumakalat sa pamamagitan ng mga elektronikong paraan, tulad ng social media, ang mga probisyon ng batas na ito ay maaaring may kaugnayan.
3. **Liham ng Pagtigil at Pagtigil:**
- Bago simulan ang mg"&amp;"a legal na paglilitis, maaaring magpadala ang iyong abogado ng cease and desist letter sa indibidwal na nagpapakalat ng maling alingawngaw. Pormal na hinihiling ng liham na ito na itigil nila ang mga pahayag na mapanirang-puri at maaaring magsilbing pasim"&amp;"ula sa legal na aksyon.
4. **Mga Aksyon sa Kriminal at Sibil:**
- Ang paninirang-puri ay maaaring parehong kriminal at sibil na pagkakasala. Maaari mong isaalang-alang ang paghahain ng kriminal na reklamo sa mga ahensyang nagpapatupad ng batas, gaya ng Na"&amp;"tional Bureau of Investigation (NBI), at sabay na ituloy ang isang sibil na kaso para sa mga pinsala.
5. **Pag-iingat ng Ebidensya:**
- Napakahalagang panatilihin ang ebidensya ng mga maling alingawngaw, gaya ng mga screenshot, URL, o anumang iba pang nau"&amp;"ugnay na impormasyon na maaaring suportahan ang iyong kaso.
6. **Kumonsulta sa isang Abogado:**
- Kumonsulta sa isang abogado na dalubhasa sa paninirang-puri o batas sa internet upang talakayin ang mga detalye ng iyong kaso. Maaari ka nilang gabayan sa mg"&amp;"a legal na opsyon na magagamit at tulungan kang maunawaan ang pinakamahusay na paraan ng pagkilos.
7. **Mga Pampublikong Figure at Pribadong Indibidwal:**
- Ang mga legal na pamantayan para sa paninirang-puri ay maaaring mag-iba batay sa kung ikaw ay itin"&amp;"uturing na isang pampublikong pigura o isang pribadong indibidwal. Kadalasang kailangang patunayan ng mga pampublikong pigura na ang mga maling pahayag ay ginawa nang may aktwal na malisya.
Tandaan na ang mga batas ay maaaring umunlad, at ang paghingi ng "&amp;"legal na payo ay napakahalaga upang matiyak na ang iyong mga aksyon ay naaayon sa pinakabagong legal na balangkas sa Pilipinas. Matutulungan ka ng isang abogado na mag-navigate sa legal na proseso at ituloy ang pinakaangkop na kurso ng aksyon batay sa mga"&amp;" detalye ng iyong sitwasyon.")</f>
        <v>Oo, sa Pilipinas, maaari kang gumawa ng legal na aksyon laban sa isang tao para sa pagpapakalat ng maling tsismis tungkol sa iyo sa social media. Pangunahing kinasasangkutan ng mga naaangkop na legal na paraan ang mga batas sa paninirang-puri. Narito ang mga pangunahing pagsasaalang-alang:
1. **Mga Batas sa Paninirang-puri:**
- Ang pagpapakalat ng maling alingawngaw na pumipinsala sa reputasyon ng isang tao ay maaaring ituring na paninirang-puri. Sa Pilipinas, ang paninirang-puri ay karaniwang ikinategorya sa libel para sa nakasulat na paninirang-puri at paninirang-puri para sa pasalitang paninirang-puri.
2. **Republic Act No. 10175 (Cybercrime Prevention Act of 2012):**
- Tinutugunan ng Cybercrime Prevention Act of 2012 ang ilang mga online na pagkakasala, kabilang ang libel. Kung ang mga maling alingawngaw ay kumakalat sa pamamagitan ng mga elektronikong paraan, tulad ng social media, ang mga probisyon ng batas na ito ay maaaring may kaugnayan.
3. **Liham ng Pagtigil at Pagtigil:**
- Bago simulan ang mga legal na paglilitis, maaaring magpadala ang iyong abogado ng cease and desist letter sa indibidwal na nagpapakalat ng maling alingawngaw. Pormal na hinihiling ng liham na ito na itigil nila ang mga pahayag na mapanirang-puri at maaaring magsilbing pasimula sa legal na aksyon.
4. **Mga Aksyon sa Kriminal at Sibil:**
- Ang paninirang-puri ay maaaring parehong kriminal at sibil na pagkakasala. Maaari mong isaalang-alang ang paghahain ng kriminal na reklamo sa mga ahensyang nagpapatupad ng batas, gaya ng National Bureau of Investigation (NBI), at sabay na ituloy ang isang sibil na kaso para sa mga pinsala.
5. **Pag-iingat ng Ebidensya:**
- Napakahalagang panatilihin ang ebidensya ng mga maling alingawngaw, gaya ng mga screenshot, URL, o anumang iba pang nauugnay na impormasyon na maaaring suportahan ang iyong kaso.
6. **Kumonsulta sa isang Abogado:**
- Kumonsulta sa isang abogado na dalubhasa sa paninirang-puri o batas sa internet upang talakayin ang mga detalye ng iyong kaso. Maaari ka nilang gabayan sa mga legal na opsyon na magagamit at tulungan kang maunawaan ang pinakamahusay na paraan ng pagkilos.
7. **Mga Pampublikong Figure at Pribadong Indibidwal:**
- Ang mga legal na pamantayan para sa paninirang-puri ay maaaring mag-iba batay sa kung ikaw ay itinuturing na isang pampublikong pigura o isang pribadong indibidwal. Kadalasang kailangang patunayan ng mga pampublikong pigura na ang mga maling pahayag ay ginawa nang may aktwal na malisya.
Tandaan na ang mga batas ay maaaring umunlad, at ang paghingi ng legal na payo ay napakahalaga upang matiyak na ang iyong mga aksyon ay naaayon sa pinakabagong legal na balangkas sa Pilipinas. Matutulungan ka ng isang abogado na mag-navigate sa legal na proseso at ituloy ang pinakaangkop na kurso ng aksyon batay sa mga detalye ng iyong sitwasyon.</v>
      </c>
      <c r="F778" s="2">
        <f t="shared" si="1"/>
        <v>0</v>
      </c>
      <c r="G778" s="2"/>
      <c r="H778" s="2"/>
      <c r="I778" s="2"/>
      <c r="J778" s="2"/>
      <c r="K778" s="2"/>
      <c r="L778" s="2"/>
      <c r="M778" s="2"/>
      <c r="N778" s="2"/>
      <c r="O778" s="2"/>
      <c r="P778" s="2"/>
      <c r="Q778" s="2"/>
      <c r="R778" s="2"/>
      <c r="S778" s="2"/>
      <c r="T778" s="2"/>
      <c r="U778" s="2"/>
      <c r="V778" s="2"/>
      <c r="W778" s="2"/>
      <c r="X778" s="2"/>
      <c r="Y778" s="2"/>
      <c r="Z778" s="2"/>
      <c r="AA778" s="2"/>
    </row>
    <row r="779">
      <c r="A779" s="3" t="s">
        <v>2010</v>
      </c>
      <c r="B779" s="1" t="s">
        <v>2550</v>
      </c>
      <c r="C779" s="1" t="s">
        <v>2551</v>
      </c>
      <c r="D779" s="1" t="s">
        <v>2552</v>
      </c>
      <c r="E779" s="2" t="str">
        <f>IFERROR(__xludf.DUMMYFUNCTION("GOOGLETRANSLATE(C779, ""en"", ""TL"")"),"Kung ang maling impormasyon sa online ay humantong sa panliligalig o pagbabanta laban sa iyo sa Pilipinas, maaari kang gumawa ng ilang legal na aksyon upang matugunan ang sitwasyon. Narito ang ilang hakbang na maaari mong isaalang-alang:
1. **Idokumento a"&amp;"ng mga Banta o Panliligalig:**
- Panatilihin ang mga talaan ng pagbabanta o panliligalig na mga mensahe, post, o anumang iba pang ebidensya. Ang dokumentasyong ito ay magiging mahalaga para sa pagtatatag ng kalikasan at lawak ng pinsala.
2. **Mag-ulat sa "&amp;"Pagpapatupad ng Batas:**
- Iulat ang mga pagbabanta o panliligalig sa lokal na pulisya o sa National Bureau of Investigation (NBI) Cybercrime Division. Ang cyberbullying at online na harassment ay mga pagkakasala sa ilalim ng Cybercrime Prevention Act of "&amp;"2012 (Republic Act No. 10175).
3. **Anti-Cybercrime Law (RA 10175):**
- Pamilyar sa Republic Act No. 10175, na tumutugon sa iba't ibang cybercrime, kabilang ang cyberbullying at online na panliligalig. Ang batas na ito ay nagbibigay ng legal na balangkas "&amp;"para sa pagtugon sa mga pagkakasala na ginawa online.
4. **Maghain ng Reklamo sa Mga Online Platform:**
- Iulat ang pagbabanta o panliligalig na nilalaman sa mga nauugnay na online platform, social media network, o website. Maraming mga platform ang may m"&amp;"ga mekanismo para sa pag-uulat ng mapang-abusong gawi at maaaring kumilos laban sa lumalabag.
5. **Humingi ng Restraining Order o Protection Order:**
- Kumonsulta sa isang abogado upang tuklasin ang posibilidad na makakuha ng restraining order o protectio"&amp;"n order laban sa indibidwal na responsable para sa mga pagbabanta o panliligalig. Ang mga naturang utos ay mga legal na hakbang upang paghigpitan ang mga aksyon ng may kasalanan.
6. **Liham ng Pagtigil at Pagtigil:**
- Ang iyong abogado ay maaaring magpad"&amp;"ala ng liham ng pagtigil at pagtigil sa taong responsable para sa maling impormasyon, na humihiling na itigil nila kaagad ang kanilang mga aksyon. Ang liham na ito ay maaaring magsilbi bilang isang pormal na babala at maaaring mag-udyok sa indibidwal na t"&amp;"ugunan ang isyu nang hindi pumunta sa korte.
7. **Mga Pagsingil sa Kriminal:**
- Depende sa kalubhaan ng mga pagbabanta o panliligalig, isaalang-alang ang paghabol sa mga kasong kriminal laban sa nagkasala. Kumonsulta sa mga tagapagpatupad ng batas at mga"&amp;" legal na propesyonal para tuklasin ang mga available na opsyon.
8. **Kumonsulta sa isang Abugado:**
- Kumonsulta sa isang abogado na dalubhasa sa cybercrime, harassment, o batas sa internet. Maaari silang magbigay ng payo batay sa mga partikular na kalag"&amp;"ayan ng iyong kaso at gagabay sa iyo sa legal na proseso.
Ang pagtugon sa mga online na banta o panliligalig ay nagsasangkot ng kumbinasyon ng mga legal at praktikal na hakbang. Mahalagang kumunsulta sa mga legal na propesyonal upang maunawaan ang iyong m"&amp;"ga karapatan at opsyon sa loob ng legal na balangkas ng Pilipinas.")</f>
        <v>Kung ang maling impormasyon sa online ay humantong sa panliligalig o pagbabanta laban sa iyo sa Pilipinas, maaari kang gumawa ng ilang legal na aksyon upang matugunan ang sitwasyon. Narito ang ilang hakbang na maaari mong isaalang-alang:
1. **Idokumento ang mga Banta o Panliligalig:**
- Panatilihin ang mga talaan ng pagbabanta o panliligalig na mga mensahe, post, o anumang iba pang ebidensya. Ang dokumentasyong ito ay magiging mahalaga para sa pagtatatag ng kalikasan at lawak ng pinsala.
2. **Mag-ulat sa Pagpapatupad ng Batas:**
- Iulat ang mga pagbabanta o panliligalig sa lokal na pulisya o sa National Bureau of Investigation (NBI) Cybercrime Division. Ang cyberbullying at online na harassment ay mga pagkakasala sa ilalim ng Cybercrime Prevention Act of 2012 (Republic Act No. 10175).
3. **Anti-Cybercrime Law (RA 10175):**
- Pamilyar sa Republic Act No. 10175, na tumutugon sa iba't ibang cybercrime, kabilang ang cyberbullying at online na panliligalig. Ang batas na ito ay nagbibigay ng legal na balangkas para sa pagtugon sa mga pagkakasala na ginawa online.
4. **Maghain ng Reklamo sa Mga Online Platform:**
- Iulat ang pagbabanta o panliligalig na nilalaman sa mga nauugnay na online platform, social media network, o website. Maraming mga platform ang may mga mekanismo para sa pag-uulat ng mapang-abusong gawi at maaaring kumilos laban sa lumalabag.
5. **Humingi ng Restraining Order o Protection Order:**
- Kumonsulta sa isang abogado upang tuklasin ang posibilidad na makakuha ng restraining order o protection order laban sa indibidwal na responsable para sa mga pagbabanta o panliligalig. Ang mga naturang utos ay mga legal na hakbang upang paghigpitan ang mga aksyon ng may kasalanan.
6. **Liham ng Pagtigil at Pagtigil:**
- Ang iyong abogado ay maaaring magpadala ng liham ng pagtigil at pagtigil sa taong responsable para sa maling impormasyon, na humihiling na itigil nila kaagad ang kanilang mga aksyon. Ang liham na ito ay maaaring magsilbi bilang isang pormal na babala at maaaring mag-udyok sa indibidwal na tugunan ang isyu nang hindi pumunta sa korte.
7. **Mga Pagsingil sa Kriminal:**
- Depende sa kalubhaan ng mga pagbabanta o panliligalig, isaalang-alang ang paghabol sa mga kasong kriminal laban sa nagkasala. Kumonsulta sa mga tagapagpatupad ng batas at mga legal na propesyonal para tuklasin ang mga available na opsyon.
8. **Kumonsulta sa isang Abugado:**
- Kumonsulta sa isang abogado na dalubhasa sa cybercrime, harassment, o batas sa internet. Maaari silang magbigay ng payo batay sa mga partikular na kalagayan ng iyong kaso at gagabay sa iyo sa legal na proseso.
Ang pagtugon sa mga online na banta o panliligalig ay nagsasangkot ng kumbinasyon ng mga legal at praktikal na hakbang. Mahalagang kumunsulta sa mga legal na propesyonal upang maunawaan ang iyong mga karapatan at opsyon sa loob ng legal na balangkas ng Pilipinas.</v>
      </c>
      <c r="F779" s="2">
        <f t="shared" si="1"/>
        <v>0</v>
      </c>
      <c r="G779" s="2"/>
      <c r="H779" s="2"/>
      <c r="I779" s="2"/>
      <c r="J779" s="2"/>
      <c r="K779" s="2"/>
      <c r="L779" s="2"/>
      <c r="M779" s="2"/>
      <c r="N779" s="2"/>
      <c r="O779" s="2"/>
      <c r="P779" s="2"/>
      <c r="Q779" s="2"/>
      <c r="R779" s="2"/>
      <c r="S779" s="2"/>
      <c r="T779" s="2"/>
      <c r="U779" s="2"/>
      <c r="V779" s="2"/>
      <c r="W779" s="2"/>
      <c r="X779" s="2"/>
      <c r="Y779" s="2"/>
      <c r="Z779" s="2"/>
      <c r="AA779" s="2"/>
    </row>
    <row r="780">
      <c r="A780" s="3" t="s">
        <v>2010</v>
      </c>
      <c r="B780" s="1" t="s">
        <v>2553</v>
      </c>
      <c r="C780" s="1" t="s">
        <v>2554</v>
      </c>
      <c r="D780" s="1" t="s">
        <v>2555</v>
      </c>
      <c r="E780" s="2" t="str">
        <f>IFERROR(__xludf.DUMMYFUNCTION("GOOGLETRANSLATE(C780, ""en"", ""TL"")"),"Oo, maaari kang magkaroon ng opsyon na idemanda ang isang blogger para sa pag-post ng maling impormasyon tungkol sa iyo, lalo na kung ang maling impormasyon ay nagdulot ng pinsala sa iyong reputasyon. Sa Pilipinas, ang mga batas sa paninirang-puri ay nagb"&amp;"ibigay ng legal na balangkas upang tugunan ang mga mali at nakakapinsalang pahayag na ginawa ng mga indibidwal, kabilang ang mga blogger. Narito ang ilang pangunahing pagsasaalang-alang:
1. **Mga Batas sa Paninirang-puri:**
- Ang mga maling pahayag at map"&amp;"anirang-puri, na-publish man sa tradisyonal na media o online, ay maaaring sumailalim sa mga batas sa paninirang-puri. Sa Pilipinas, ang parehong libel (para sa nakasulat o nai-publish na paninirang-puri) at paninirang-puri (para sa pasalitang paninirang-"&amp;"puri) ay kinikilala sa ilalim ng Binagong Kodigo Penal.
2. **Republic Act No. 10175 (Cybercrime Prevention Act of 2012):**
- Tinutugunan ng Cybercrime Prevention Act of 2012 (RA 10175) ang iba't ibang online na pagkakasala, kabilang ang online na libel. K"&amp;"ung ang maling impormasyon ay ipinakalat sa pamamagitan ng mga elektronikong paraan, maaaring mailapat ang batas na ito.
3. **Liham ng Pagtigil at Pagtigil:**
- Bago simulan ang mga legal na paglilitis, maaaring magpadala ang iyong abogado ng cease and de"&amp;"sist letter sa blogger, na humihiling ng pagwawasto o pag-alis ng maling impormasyon. Ang liham na ito ay maaaring magsilbi bilang isang pormal na babala at maaaring mag-udyok sa blogger na tugunan ang isyu nang hindi pumunta sa korte.
4. **Mga Aksyon sa "&amp;"Kriminal at Sibil:**
- Ang paninirang-puri ay maaaring parehong kriminal at sibil na pagkakasala. Maaari mong isaalang-alang ang paghahain ng isang kriminal na reklamo sa mga ahensyang nagpapatupad ng batas at sabay na ituloy ang isang sibil na kaso para "&amp;"sa mga pinsala.
5. **Pag-iingat ng Ebidensya:**
- Napakahalagang panatilihin ang ebidensya ng maling impormasyon, gaya ng mga screenshot, URL, o anumang iba pang nauugnay na impormasyon na maaaring suportahan ang iyong kaso.
6. **Konsultasyon sa isang Abu"&amp;"gado:**
- Kumonsulta sa isang abogado na dalubhasa sa paninirang-puri, batas sa internet, o batas ng media upang talakayin ang mga detalye ng iyong kaso. Maaari ka nilang gabayan sa mga legal na opsyon na magagamit at tulungan kang maunawaan ang pinakamah"&amp;"usay na paraan ng pagkilos.
Tandaan na ang mga batas ay maaaring umunlad, at mahalagang kumunsulta sa isang legal na propesyonal upang matiyak na ang iyong mga aksyon ay naaayon sa pinakabagong legal na balangkas sa Pilipinas. Matutulungan ka ng isang abo"&amp;"gado na mag-navigate sa legal na proseso at ituloy ang pinakaangkop na kurso ng aksyon batay sa mga detalye ng iyong sitwasyon.")</f>
        <v>Oo, maaari kang magkaroon ng opsyon na idemanda ang isang blogger para sa pag-post ng maling impormasyon tungkol sa iyo, lalo na kung ang maling impormasyon ay nagdulot ng pinsala sa iyong reputasyon. Sa Pilipinas, ang mga batas sa paninirang-puri ay nagbibigay ng legal na balangkas upang tugunan ang mga mali at nakakapinsalang pahayag na ginawa ng mga indibidwal, kabilang ang mga blogger. Narito ang ilang pangunahing pagsasaalang-alang:
1. **Mga Batas sa Paninirang-puri:**
- Ang mga maling pahayag at mapanirang-puri, na-publish man sa tradisyonal na media o online, ay maaaring sumailalim sa mga batas sa paninirang-puri. Sa Pilipinas, ang parehong libel (para sa nakasulat o nai-publish na paninirang-puri) at paninirang-puri (para sa pasalitang paninirang-puri) ay kinikilala sa ilalim ng Binagong Kodigo Penal.
2. **Republic Act No. 10175 (Cybercrime Prevention Act of 2012):**
- Tinutugunan ng Cybercrime Prevention Act of 2012 (RA 10175) ang iba't ibang online na pagkakasala, kabilang ang online na libel. Kung ang maling impormasyon ay ipinakalat sa pamamagitan ng mga elektronikong paraan, maaaring mailapat ang batas na ito.
3. **Liham ng Pagtigil at Pagtigil:**
- Bago simulan ang mga legal na paglilitis, maaaring magpadala ang iyong abogado ng cease and desist letter sa blogger, na humihiling ng pagwawasto o pag-alis ng maling impormasyon. Ang liham na ito ay maaaring magsilbi bilang isang pormal na babala at maaaring mag-udyok sa blogger na tugunan ang isyu nang hindi pumunta sa korte.
4. **Mga Aksyon sa Kriminal at Sibil:**
- Ang paninirang-puri ay maaaring parehong kriminal at sibil na pagkakasala. Maaari mong isaalang-alang ang paghahain ng isang kriminal na reklamo sa mga ahensyang nagpapatupad ng batas at sabay na ituloy ang isang sibil na kaso para sa mga pinsala.
5. **Pag-iingat ng Ebidensya:**
- Napakahalagang panatilihin ang ebidensya ng maling impormasyon, gaya ng mga screenshot, URL, o anumang iba pang nauugnay na impormasyon na maaaring suportahan ang iyong kaso.
6. **Konsultasyon sa isang Abugado:**
- Kumonsulta sa isang abogado na dalubhasa sa paninirang-puri, batas sa internet, o batas ng media upang talakayin ang mga detalye ng iyong kaso. Maaari ka nilang gabayan sa mga legal na opsyon na magagamit at tulungan kang maunawaan ang pinakamahusay na paraan ng pagkilos.
Tandaan na ang mga batas ay maaaring umunlad, at mahalagang kumunsulta sa isang legal na propesyonal upang matiyak na ang iyong mga aksyon ay naaayon sa pinakabagong legal na balangkas sa Pilipinas. Matutulungan ka ng isang abogado na mag-navigate sa legal na proseso at ituloy ang pinakaangkop na kurso ng aksyon batay sa mga detalye ng iyong sitwasyon.</v>
      </c>
      <c r="F780" s="2">
        <f t="shared" si="1"/>
        <v>0</v>
      </c>
      <c r="G780" s="2"/>
      <c r="H780" s="2"/>
      <c r="I780" s="2"/>
      <c r="J780" s="2"/>
      <c r="K780" s="2"/>
      <c r="L780" s="2"/>
      <c r="M780" s="2"/>
      <c r="N780" s="2"/>
      <c r="O780" s="2"/>
      <c r="P780" s="2"/>
      <c r="Q780" s="2"/>
      <c r="R780" s="2"/>
      <c r="S780" s="2"/>
      <c r="T780" s="2"/>
      <c r="U780" s="2"/>
      <c r="V780" s="2"/>
      <c r="W780" s="2"/>
      <c r="X780" s="2"/>
      <c r="Y780" s="2"/>
      <c r="Z780" s="2"/>
      <c r="AA780" s="2"/>
    </row>
    <row r="781">
      <c r="A781" s="3" t="s">
        <v>2010</v>
      </c>
      <c r="B781" s="1" t="s">
        <v>2556</v>
      </c>
      <c r="C781" s="1" t="s">
        <v>2557</v>
      </c>
      <c r="D781" s="1" t="s">
        <v>2558</v>
      </c>
      <c r="E781" s="2" t="str">
        <f>IFERROR(__xludf.DUMMYFUNCTION("GOOGLETRANSLATE(C781, ""en"", ""TL"")"),"Kung gusto mong hilingin ang pag-alis ng maling impormasyon mula sa mga resulta ng search engine, maaari mong sundin ang mga pangkalahatang hakbang na ito. Tandaan na maaaring mag-iba ang bisa ng mga hakbang na ito, at mas naaangkop ang ilang opsyon sa mg"&amp;"a partikular na sitwasyon. Bukod pa rito, ang payong ito ay batay sa mga pangkalahatang prinsipyo at maaaring hindi saklawin ang bawat senaryo.
1. **Makipag-ugnayan sa Website na Nagho-host ng Maling Impormasyon:**
- Tukuyin ang website na nagho-host ng m"&amp;"aling impormasyon at direktang makipag-ugnayan sa may-ari ng site o administrator. Hilingin na alisin o itama nila ang hindi tumpak na nilalaman. Magbigay ng ebidensya na sumusuporta sa mga katotohanang kamalian at ipaliwanag kung bakit mali ang impormasy"&amp;"on.
2. **Magsumite ng Legal na Kahilingan sa Pagtanggal:**
- Kung ang maling impormasyon ay lumalabag sa batas (hal., paninirang-puri, paglabag sa copyright), maaari kang magsumite ng legal na kahilingan sa pagtanggal sa hosting provider. Isama ang may-ka"&amp;"tuturang legal na dokumentasyon, tulad ng mga utos ng hukuman o cease and desist na mga sulat, upang suportahan ang iyong kaso.
3. **Mag-ulat sa Mga Search Engine:**
- Iulat ang maling impormasyon sa mga pangunahing search engine (Google, Bing, atbp.) sa "&amp;"pamamagitan ng kanilang mga patakaran sa pag-alis ng nilalaman. Ang bawat search engine ay may sariling proseso para sa paghawak ng mga kahilingan sa pag-alis. Ang Google, halimbawa, ay nagbibigay ng Removals Tool kung saan maaari mong hilingin ang pag-al"&amp;"is ng mga partikular na URL mula sa mga resulta ng paghahanap.
- Para sa Google: Bisitahin ang pahina ng Mga Legal na Pag-alis ng Google (https://support.google.com/legal/contact/lr_legalother?product=websearch) at sundin ang mga tagubilin upang magsumite"&amp;" ng kahilingan sa legal na pag-alis.
- Para sa Bing: Bisitahin ang pahina ng Pag-alis ng Nilalaman ng Bing (https://www.microsoft.com/en-us/concern/privacy) at sundin ang mga tagubilin upang magsumite ng kahilingan.
4. **Mga Serbisyo sa Pamamahala ng Onli"&amp;"ne na Reputasyon:**
- Isaalang-alang ang pagkuha ng mga online na serbisyo sa pamamahala ng reputasyon. Ang mga propesyonal na ito ay dalubhasa sa pagpapagaan ng epekto ng mali o nakakapinsalang impormasyon online. Maaari silang magtrabaho upang sugpuin a"&amp;"ng negatibong nilalaman at magsulong ng positibo, tumpak na impormasyon.
5. **Kumonsulta sa Mga Legal na Propesyonal:**
- Kung ang maling impormasyon ay nagsasangkot ng mga legal na isyu, kumunsulta sa mga legal na propesyonal. Maaari ka nilang gabayan sa"&amp;" pinakamahusay na paraan ng pagkilos, kabilang ang posibilidad ng legal na aksyon laban sa mga indibidwal na responsable para sa maling nilalaman.
Tandaan na ang pag-alis ng nilalaman mula sa mga resulta ng search engine ay hindi ginagarantiyahan, at ang "&amp;"proseso ay maaaring tumagal ng oras. Bukod pa rito, inuuna ng mga search engine ang privacy at libreng pagpapahayag ng user, kaya ang mga kahilingan sa pag-alis ay karaniwang sinusuri batay sa mga pagsasaalang-alang sa legal at patakaran. Palaging tiyakin"&amp;" na mayroon kang tumpak at sumusuportang dokumentasyon kapag gumagawa ng mga kahilingan sa pag-alis.")</f>
        <v>Kung gusto mong hilingin ang pag-alis ng maling impormasyon mula sa mga resulta ng search engine, maaari mong sundin ang mga pangkalahatang hakbang na ito. Tandaan na maaaring mag-iba ang bisa ng mga hakbang na ito, at mas naaangkop ang ilang opsyon sa mga partikular na sitwasyon. Bukod pa rito, ang payong ito ay batay sa mga pangkalahatang prinsipyo at maaaring hindi saklawin ang bawat senaryo.
1. **Makipag-ugnayan sa Website na Nagho-host ng Maling Impormasyon:**
- Tukuyin ang website na nagho-host ng maling impormasyon at direktang makipag-ugnayan sa may-ari ng site o administrator. Hilingin na alisin o itama nila ang hindi tumpak na nilalaman. Magbigay ng ebidensya na sumusuporta sa mga katotohanang kamalian at ipaliwanag kung bakit mali ang impormasyon.
2. **Magsumite ng Legal na Kahilingan sa Pagtanggal:**
- Kung ang maling impormasyon ay lumalabag sa batas (hal., paninirang-puri, paglabag sa copyright), maaari kang magsumite ng legal na kahilingan sa pagtanggal sa hosting provider. Isama ang may-katuturang legal na dokumentasyon, tulad ng mga utos ng hukuman o cease and desist na mga sulat, upang suportahan ang iyong kaso.
3. **Mag-ulat sa Mga Search Engine:**
- Iulat ang maling impormasyon sa mga pangunahing search engine (Google, Bing, atbp.) sa pamamagitan ng kanilang mga patakaran sa pag-alis ng nilalaman. Ang bawat search engine ay may sariling proseso para sa paghawak ng mga kahilingan sa pag-alis. Ang Google, halimbawa, ay nagbibigay ng Removals Tool kung saan maaari mong hilingin ang pag-alis ng mga partikular na URL mula sa mga resulta ng paghahanap.
- Para sa Google: Bisitahin ang pahina ng Mga Legal na Pag-alis ng Google (https://support.google.com/legal/contact/lr_legalother?product=websearch) at sundin ang mga tagubilin upang magsumite ng kahilingan sa legal na pag-alis.
- Para sa Bing: Bisitahin ang pahina ng Pag-alis ng Nilalaman ng Bing (https://www.microsoft.com/en-us/concern/privacy) at sundin ang mga tagubilin upang magsumite ng kahilingan.
4. **Mga Serbisyo sa Pamamahala ng Online na Reputasyon:**
- Isaalang-alang ang pagkuha ng mga online na serbisyo sa pamamahala ng reputasyon. Ang mga propesyonal na ito ay dalubhasa sa pagpapagaan ng epekto ng mali o nakakapinsalang impormasyon online. Maaari silang magtrabaho upang sugpuin ang negatibong nilalaman at magsulong ng positibo, tumpak na impormasyon.
5. **Kumonsulta sa Mga Legal na Propesyonal:**
- Kung ang maling impormasyon ay nagsasangkot ng mga legal na isyu, kumunsulta sa mga legal na propesyonal. Maaari ka nilang gabayan sa pinakamahusay na paraan ng pagkilos, kabilang ang posibilidad ng legal na aksyon laban sa mga indibidwal na responsable para sa maling nilalaman.
Tandaan na ang pag-alis ng nilalaman mula sa mga resulta ng search engine ay hindi ginagarantiyahan, at ang proseso ay maaaring tumagal ng oras. Bukod pa rito, inuuna ng mga search engine ang privacy at libreng pagpapahayag ng user, kaya ang mga kahilingan sa pag-alis ay karaniwang sinusuri batay sa mga pagsasaalang-alang sa legal at patakaran. Palaging tiyakin na mayroon kang tumpak at sumusuportang dokumentasyon kapag gumagawa ng mga kahilingan sa pag-alis.</v>
      </c>
      <c r="F781" s="2">
        <f t="shared" si="1"/>
        <v>0</v>
      </c>
      <c r="G781" s="2"/>
      <c r="H781" s="2"/>
      <c r="I781" s="2"/>
      <c r="J781" s="2"/>
      <c r="K781" s="2"/>
      <c r="L781" s="2"/>
      <c r="M781" s="2"/>
      <c r="N781" s="2"/>
      <c r="O781" s="2"/>
      <c r="P781" s="2"/>
      <c r="Q781" s="2"/>
      <c r="R781" s="2"/>
      <c r="S781" s="2"/>
      <c r="T781" s="2"/>
      <c r="U781" s="2"/>
      <c r="V781" s="2"/>
      <c r="W781" s="2"/>
      <c r="X781" s="2"/>
      <c r="Y781" s="2"/>
      <c r="Z781" s="2"/>
      <c r="AA781" s="2"/>
    </row>
    <row r="782">
      <c r="A782" s="3" t="s">
        <v>2010</v>
      </c>
      <c r="B782" s="1" t="s">
        <v>2559</v>
      </c>
      <c r="C782" s="1" t="s">
        <v>2560</v>
      </c>
      <c r="D782" s="1" t="s">
        <v>2561</v>
      </c>
      <c r="E782" s="2" t="str">
        <f>IFERROR(__xludf.DUMMYFUNCTION("GOOGLETRANSLATE(C782, ""en"", ""TL"")"),"Oo, maaari kang magkaroon ng mga batayan upang idemanda ang isang tao para sa pag-post ng maling impormasyon tungkol sa mga miyembro ng iyong pamilya online. Ang legal na paraan upang ituloy ang naturang kaso ay malamang na may kasamang paninirang-puri o "&amp;"iba pang nauugnay na claim, depende sa uri ng maling impormasyon at nasa hurisdiksyon ka.
Narito ang ilang hakbang na dapat isaalang-alang:
1. **Magtipon ng Ebidensya:**
- Mangolekta ng katibayan ng maling impormasyon, kabilang ang mga screenshot, URL, o "&amp;"anumang iba pang nauugnay na dokumentasyon. Ang ebidensyang ito ay magiging mahalaga sa pagtatatag ng kalikasan at epekto ng mga maling pahayag.
2. **Kumonsulta sa isang Abogado:**
- Humingi ng legal na payo mula sa isang abogado na dalubhasa sa paniniran"&amp;"g-puri o batas sa internet. Matutulungan ka nilang maunawaan ang iyong mga karapatan, suriin ang lakas ng iyong kaso, at gabayan ka sa legal na proseso.
3. **Liham ng Pagtigil at Pagtigil:**
- Maaaring magpadala ang iyong abogado ng cease and desist lette"&amp;"r sa indibidwal na responsable sa pag-post ng maling impormasyon. Pormal na hinihiling ng liham na ito na itigil nila ang pagkalat ng maling impormasyon tungkol sa mga miyembro ng iyong pamilya at maaaring magsilbing pasimula sa legal na aksyon.
4. **Lega"&amp;"l na Aksyon - Defamation Defamation:**
- Kung ang maling impormasyon ay nakakasira sa reputasyon ng mga miyembro ng iyong pamilya, maaari mong isaalang-alang ang pagsasampa ng demanda sa paninirang-puri. Ang paninirang-puri ay karaniwang nagsasangkot ng m"&amp;"ga maling pahayag na nakakasira sa reputasyon ng mga indibidwal at ipinapaalam sa mga ikatlong partido.
5. **Isaalang-alang ang Mga Batas sa Privacy:**
- Depende sa uri ng maling impormasyon, maaari mong tuklasin ang mga batas sa privacy na nagpoprotekta "&amp;"sa mga indibidwal mula sa hindi awtorisadong pagbubunyag ng mga pribadong katotohanan. Kumonsulta sa iyong abogado upang matukoy kung naaangkop ang mga naturang batas sa iyong kaso.
6. **Pag-uulat sa Online na Platform:**
- Iulat ang maling impormasyon sa"&amp;" mga nauugnay na online platform, social media network, o website. Maraming mga platform ang may mga patakaran laban sa pagpapakalat ng maling impormasyon o panliligalig.
7. **Maghanap ng Mga Pinsala:**
- Sa isang demanda sa paninirang-puri, maaari kang h"&amp;"umingi ng mga pinsala upang mabayaran ang pinsalang naidulot sa reputasyon ng mga miyembro ng iyong pamilya. Maaaring kabilang sa mga pinsala ang parehong pagkalugi sa ekonomiya at pagkalugi na hindi pang-ekonomiya gaya ng emosyonal na pagkabalisa.
Mahala"&amp;"gang tandaan na ang mga batas sa paninirang-puri ay nag-iiba-iba sa pagitan ng mga hurisdiksyon, at ang mga detalye ng iyong kaso ay makakaimpluwensya sa mga legal na opsyon na magagamit mo. Ang pagkonsulta sa isang legal na propesyonal ay mahalaga upang "&amp;"maunawaan ang mga naaangkop na batas at ituloy ang pinakaangkop na paraan ng pagkilos.")</f>
        <v>Oo, maaari kang magkaroon ng mga batayan upang idemanda ang isang tao para sa pag-post ng maling impormasyon tungkol sa mga miyembro ng iyong pamilya online. Ang legal na paraan upang ituloy ang naturang kaso ay malamang na may kasamang paninirang-puri o iba pang nauugnay na claim, depende sa uri ng maling impormasyon at nasa hurisdiksyon ka.
Narito ang ilang hakbang na dapat isaalang-alang:
1. **Magtipon ng Ebidensya:**
- Mangolekta ng katibayan ng maling impormasyon, kabilang ang mga screenshot, URL, o anumang iba pang nauugnay na dokumentasyon. Ang ebidensyang ito ay magiging mahalaga sa pagtatatag ng kalikasan at epekto ng mga maling pahayag.
2. **Kumonsulta sa isang Abogado:**
- Humingi ng legal na payo mula sa isang abogado na dalubhasa sa paninirang-puri o batas sa internet. Matutulungan ka nilang maunawaan ang iyong mga karapatan, suriin ang lakas ng iyong kaso, at gabayan ka sa legal na proseso.
3. **Liham ng Pagtigil at Pagtigil:**
- Maaaring magpadala ang iyong abogado ng cease and desist letter sa indibidwal na responsable sa pag-post ng maling impormasyon. Pormal na hinihiling ng liham na ito na itigil nila ang pagkalat ng maling impormasyon tungkol sa mga miyembro ng iyong pamilya at maaaring magsilbing pasimula sa legal na aksyon.
4. **Legal na Aksyon - Defamation Defamation:**
- Kung ang maling impormasyon ay nakakasira sa reputasyon ng mga miyembro ng iyong pamilya, maaari mong isaalang-alang ang pagsasampa ng demanda sa paninirang-puri. Ang paninirang-puri ay karaniwang nagsasangkot ng mga maling pahayag na nakakasira sa reputasyon ng mga indibidwal at ipinapaalam sa mga ikatlong partido.
5. **Isaalang-alang ang Mga Batas sa Privacy:**
- Depende sa uri ng maling impormasyon, maaari mong tuklasin ang mga batas sa privacy na nagpoprotekta sa mga indibidwal mula sa hindi awtorisadong pagbubunyag ng mga pribadong katotohanan. Kumonsulta sa iyong abogado upang matukoy kung naaangkop ang mga naturang batas sa iyong kaso.
6. **Pag-uulat sa Online na Platform:**
- Iulat ang maling impormasyon sa mga nauugnay na online platform, social media network, o website. Maraming mga platform ang may mga patakaran laban sa pagpapakalat ng maling impormasyon o panliligalig.
7. **Maghanap ng Mga Pinsala:**
- Sa isang demanda sa paninirang-puri, maaari kang humingi ng mga pinsala upang mabayaran ang pinsalang naidulot sa reputasyon ng mga miyembro ng iyong pamilya. Maaaring kabilang sa mga pinsala ang parehong pagkalugi sa ekonomiya at pagkalugi na hindi pang-ekonomiya gaya ng emosyonal na pagkabalisa.
Mahalagang tandaan na ang mga batas sa paninirang-puri ay nag-iiba-iba sa pagitan ng mga hurisdiksyon, at ang mga detalye ng iyong kaso ay makakaimpluwensya sa mga legal na opsyon na magagamit mo. Ang pagkonsulta sa isang legal na propesyonal ay mahalaga upang maunawaan ang mga naaangkop na batas at ituloy ang pinakaangkop na paraan ng pagkilos.</v>
      </c>
      <c r="F782" s="2">
        <f t="shared" si="1"/>
        <v>0</v>
      </c>
      <c r="G782" s="2"/>
      <c r="H782" s="2"/>
      <c r="I782" s="2"/>
      <c r="J782" s="2"/>
      <c r="K782" s="2"/>
      <c r="L782" s="2"/>
      <c r="M782" s="2"/>
      <c r="N782" s="2"/>
      <c r="O782" s="2"/>
      <c r="P782" s="2"/>
      <c r="Q782" s="2"/>
      <c r="R782" s="2"/>
      <c r="S782" s="2"/>
      <c r="T782" s="2"/>
      <c r="U782" s="2"/>
      <c r="V782" s="2"/>
      <c r="W782" s="2"/>
      <c r="X782" s="2"/>
      <c r="Y782" s="2"/>
      <c r="Z782" s="2"/>
      <c r="AA782" s="2"/>
    </row>
    <row r="783">
      <c r="A783" s="3" t="s">
        <v>2010</v>
      </c>
      <c r="B783" s="1" t="s">
        <v>2562</v>
      </c>
      <c r="C783" s="1" t="s">
        <v>2563</v>
      </c>
      <c r="D783" s="1" t="s">
        <v>2564</v>
      </c>
      <c r="E783" s="2" t="str">
        <f>IFERROR(__xludf.DUMMYFUNCTION("GOOGLETRANSLATE(C783, ""en"", ""TL"")"),"Ang mga potensyal na kahihinatnan para sa mga indibidwal o entity na napatunayang nagkasala sa pagkalat ng maling impormasyon online ay maaaring mag-iba depende sa hurisdiksyon at sa mga partikular na batas na nilabag. Narito ang ilang potensyal na kahihi"&amp;"natnan:
1. **Civil Liability:**
- Ang mga indibidwal o entity na napatunayang nagkasala sa pagkalat ng maling impormasyon ay maaaring sumailalim sa sibil na pananagutan. Maaari itong magresulta sa legal na aksyon tulad ng mga demanda sa paninirang-puri, k"&amp;"ung saan ang naagrabyado ay humingi ng mga pinsala para sa pinsala sa kanilang reputasyon.
2. **Mga Pagsingil sa Kriminal:**
- Sa ilang mga kaso, ang pagkalat ng maling impormasyon ay maaaring isang kriminal na pagkakasala. Ang mga batas na nauugnay sa cy"&amp;"bercrime, paninirang-puri, o maling impormasyon ay maaaring humantong sa mga kasong kriminal, na posibleng magresulta sa mga multa o pagkakulong.
3. **Cease and Desist Order:**
- Maaaring maglabas ang mga korte ng mga utos ng pagtigil at pagtigil, na nang"&amp;"angailangan ng indibidwal o entity na ihinto kaagad ang pagkalat ng maling impormasyon. Ang paglabag sa mga naturang utos ay maaaring humantong sa higit pang mga legal na kahihinatnan.
4. **Mga multa:**
- Maaaring magpataw ng mga multa ang mga korte bilan"&amp;"g parusa sa pagpapakalat ng maling impormasyon. Ang halaga ng multa ay maaaring mag-iba depende sa kalubhaan ng pagkakasala at sa mga naaangkop na batas.
5. **Pag-alis ng Nilalaman:**
- Maaaring mag-utos ang mga korte o may-katuturang awtoridad na tanggal"&amp;"in ang maling impormasyon mula sa mga online na platform o website. Ang pagkabigong sumunod sa mga naturang utos ay maaaring magresulta sa mga karagdagang parusa.
6. **Serbisyo ng Komunidad:**
- Ang ilang mga hurisdiksyon ay maaaring magpataw ng serbisyo "&amp;"sa komunidad bilang isang paraan ng parusa para sa mga indibidwal o entity na napatunayang nagkasala sa pagkalat ng maling impormasyon. Maaaring kabilang dito ang pagbibigay ng kontribusyon sa mga kampanya sa pampublikong edukasyon o iba pang aktibidad na"&amp;" nakatuon sa komunidad.
7. **Paglalathala ng Mga Pagwawasto:**
- Maaaring hilingin ng mga korte sa nagkasalang partido na kilalanin sa publiko ang kasinungalingan at mag-publish ng mga pagwawasto o pagbawi. Ito ay naglalayong pagaanin ang pinsalang dulot "&amp;"ng maling impormasyon.
8. **Pagkawala ng Kredibilidad at Reputasyon:**
- Ang mapatunayang nagkasala sa pagkalat ng maling impormasyon ay maaaring humantong sa malaking pinsala sa kredibilidad at reputasyon ng mga indibidwal o entity. Ito ay maaaring magka"&amp;"roon ng pangmatagalang kahihinatnan sa iba't ibang aspeto ng pampubliko at propesyonal na buhay.
Mahalagang tandaan na ang mga partikular na kahihinatnan ay depende sa mga batas ng hurisdiksyon na pinag-uusapan. Sa ilang mga kaso, ang mga kahihinatnan ay "&amp;"maaaring may kasamang kumbinasyon ng mga parusang sibil at kriminal. Bukod pa rito, maaaring mag-iba ang legal na proseso at mga potensyal na kahihinatnan batay sa kung ang maling impormasyon ay itinuturing na paninirang-puri, panloloko, o isang paglabag "&amp;"sa iba pang partikular na batas na namamahala sa online na pag-uugali. Ang pagkonsulta sa mga legal na propesyonal na pamilyar sa nauugnay na hurisdiksyon ay mahalaga upang maunawaan ang mga potensyal na kahihinatnan sa isang partikular na konteksto.")</f>
        <v>Ang mga potensyal na kahihinatnan para sa mga indibidwal o entity na napatunayang nagkasala sa pagkalat ng maling impormasyon online ay maaaring mag-iba depende sa hurisdiksyon at sa mga partikular na batas na nilabag. Narito ang ilang potensyal na kahihinatnan:
1. **Civil Liability:**
- Ang mga indibidwal o entity na napatunayang nagkasala sa pagkalat ng maling impormasyon ay maaaring sumailalim sa sibil na pananagutan. Maaari itong magresulta sa legal na aksyon tulad ng mga demanda sa paninirang-puri, kung saan ang naagrabyado ay humingi ng mga pinsala para sa pinsala sa kanilang reputasyon.
2. **Mga Pagsingil sa Kriminal:**
- Sa ilang mga kaso, ang pagkalat ng maling impormasyon ay maaaring isang kriminal na pagkakasala. Ang mga batas na nauugnay sa cybercrime, paninirang-puri, o maling impormasyon ay maaaring humantong sa mga kasong kriminal, na posibleng magresulta sa mga multa o pagkakulong.
3. **Cease and Desist Order:**
- Maaaring maglabas ang mga korte ng mga utos ng pagtigil at pagtigil, na nangangailangan ng indibidwal o entity na ihinto kaagad ang pagkalat ng maling impormasyon. Ang paglabag sa mga naturang utos ay maaaring humantong sa higit pang mga legal na kahihinatnan.
4. **Mga multa:**
- Maaaring magpataw ng mga multa ang mga korte bilang parusa sa pagpapakalat ng maling impormasyon. Ang halaga ng multa ay maaaring mag-iba depende sa kalubhaan ng pagkakasala at sa mga naaangkop na batas.
5. **Pag-alis ng Nilalaman:**
- Maaaring mag-utos ang mga korte o may-katuturang awtoridad na tanggalin ang maling impormasyon mula sa mga online na platform o website. Ang pagkabigong sumunod sa mga naturang utos ay maaaring magresulta sa mga karagdagang parusa.
6. **Serbisyo ng Komunidad:**
- Ang ilang mga hurisdiksyon ay maaaring magpataw ng serbisyo sa komunidad bilang isang paraan ng parusa para sa mga indibidwal o entity na napatunayang nagkasala sa pagkalat ng maling impormasyon. Maaaring kabilang dito ang pagbibigay ng kontribusyon sa mga kampanya sa pampublikong edukasyon o iba pang aktibidad na nakatuon sa komunidad.
7. **Paglalathala ng Mga Pagwawasto:**
- Maaaring hilingin ng mga korte sa nagkasalang partido na kilalanin sa publiko ang kasinungalingan at mag-publish ng mga pagwawasto o pagbawi. Ito ay naglalayong pagaanin ang pinsalang dulot ng maling impormasyon.
8. **Pagkawala ng Kredibilidad at Reputasyon:**
- Ang mapatunayang nagkasala sa pagkalat ng maling impormasyon ay maaaring humantong sa malaking pinsala sa kredibilidad at reputasyon ng mga indibidwal o entity. Ito ay maaaring magkaroon ng pangmatagalang kahihinatnan sa iba't ibang aspeto ng pampubliko at propesyonal na buhay.
Mahalagang tandaan na ang mga partikular na kahihinatnan ay depende sa mga batas ng hurisdiksyon na pinag-uusapan. Sa ilang mga kaso, ang mga kahihinatnan ay maaaring may kasamang kumbinasyon ng mga parusang sibil at kriminal. Bukod pa rito, maaaring mag-iba ang legal na proseso at mga potensyal na kahihinatnan batay sa kung ang maling impormasyon ay itinuturing na paninirang-puri, panloloko, o isang paglabag sa iba pang partikular na batas na namamahala sa online na pag-uugali. Ang pagkonsulta sa mga legal na propesyonal na pamilyar sa nauugnay na hurisdiksyon ay mahalaga upang maunawaan ang mga potensyal na kahihinatnan sa isang partikular na konteksto.</v>
      </c>
      <c r="F783" s="2">
        <f t="shared" si="1"/>
        <v>0</v>
      </c>
      <c r="G783" s="2"/>
      <c r="H783" s="2"/>
      <c r="I783" s="2"/>
      <c r="J783" s="2"/>
      <c r="K783" s="2"/>
      <c r="L783" s="2"/>
      <c r="M783" s="2"/>
      <c r="N783" s="2"/>
      <c r="O783" s="2"/>
      <c r="P783" s="2"/>
      <c r="Q783" s="2"/>
      <c r="R783" s="2"/>
      <c r="S783" s="2"/>
      <c r="T783" s="2"/>
      <c r="U783" s="2"/>
      <c r="V783" s="2"/>
      <c r="W783" s="2"/>
      <c r="X783" s="2"/>
      <c r="Y783" s="2"/>
      <c r="Z783" s="2"/>
      <c r="AA783" s="2"/>
    </row>
    <row r="784">
      <c r="A784" s="3" t="s">
        <v>2010</v>
      </c>
      <c r="B784" s="1" t="s">
        <v>2565</v>
      </c>
      <c r="C784" s="1" t="s">
        <v>2566</v>
      </c>
      <c r="D784" s="1" t="s">
        <v>2567</v>
      </c>
      <c r="E784" s="2" t="str">
        <f>IFERROR(__xludf.DUMMYFUNCTION("GOOGLETRANSLATE(C784, ""en"", ""TL"")"),"Oo, maaari kang magkaroon ng mga batayan upang idemanda ang isang tao para sa pagbabago ng mga larawan o video upang magkalat ng maling impormasyon tungkol sa iyo. Ang ganitong uri ng aksyon ay maaaring may kasamang iba't ibang legal na paghahabol, at ang"&amp;" mga partikular na legal na paraan ay magdedepende sa hurisdiksyon at likas na katangian ng maling impormasyon. Narito ang ilang potensyal na legal na aksyon na maaari mong isaalang-alang:
1. **Paninirang-puri:**
- Kung ang mga binagong larawan o video ay"&amp;" naglalaman ng mali at nakakapinsalang impormasyon tungkol sa iyo, maaari kang magkaroon ng claim sa paninirang-puri. Ang paninirang-puri ay karaniwang nagsasangkot ng mga maling pahayag na nakakasira sa reputasyon ng isang tao kapag ipinaalam sa mga ikat"&amp;"long partido.
2. **False Light Invasion of Privacy:**
- Kinikilala ng ilang hurisdiksyon ang dahilan ng pagkilos na kilala bilang ""false light invasion of privacy."" Ang pag-aangkin na ito ay lumitaw kapag ang maling impormasyon ay ipinakita sa paraang n"&amp;"aglalagay sa isang indibidwal sa isang maling liwanag, na nagdudulot ng pinsala sa kanilang reputasyon.
3. **Mga Paglabag sa Intelektwal na Ari-arian:**
- Kung binago ang mga larawan o video nang wala ang iyong pahintulot, maaari ka ring magkaroon ng clai"&amp;"m na nauugnay sa mga karapatan sa intelektwal na ari-arian, gaya ng paglabag sa copyright.
4. **Pandaraya o Maling Pagkakatawan:**
- Kung ang binagong nilalaman ay bahagi ng isang sadyang pagsisikap na linlangin at saktan ka, maaari mong isaalang-alang an"&amp;"g legal na aksyon batay sa pandaraya o maling representasyon.
5. **Defamation Per Se:**
- Sa ilang hurisdiksyon, ang ilang mga maling pahayag ay itinuturing na paninirang-puri per se, ibig sabihin, ang mga ito ay ipinapalagay na nakakapinsala, at hindi ka"&amp;"ilangang patunayan ng nagsasakdal ang mga pinsala.
6. **Mga Pagsingil sa Kriminal:**
- Depende sa kalubhaan ng pagbabago at hurisdiksyon, maaaring may mga kasong kriminal na nauugnay sa pandaraya, pamemeke, o iba pang mga pagkakasala.
7. **Liham ng Pagtig"&amp;"il at Pagtigil:**
- Bago simulan ang mga legal na paglilitis, ang iyong abogado ay maaaring magpadala ng liham ng pagtigil at pagtigil sa indibidwal na responsable, na hinihiling na ihinto nila ang pagkalat ng mali at binagong nilalaman tungkol sa iyo. An"&amp;"g liham na ito ay maaaring magsilbi bilang isang pormal na babala at maaaring mag-udyok sa indibidwal na tugunan ang isyu nang hindi pumunta sa korte.
8. **Kumonsulta sa isang Abugado:**
- Kumonsulta sa isang abogado na dalubhasa sa paninirang-puri, batas"&amp;" sa privacy, intellectual property, o batas sa internet. Maaari silang magbigay ng gabay sa mga partikular na legal na aksyon na magagamit mo batay sa mga pangyayari ng iyong kaso.
Napakahalaga na kumilos kaagad at kumunsulta sa mga legal na propesyonal u"&amp;"pang masuri ang pinakamahusay na paraan ng pagkilos batay sa mga batas na naaangkop sa iyong hurisdiksyon. Tandaan na maaaring mag-iba ang mga batas, kaya mahalaga ang paghingi ng legal na payo na naaayon sa iyong sitwasyon.")</f>
        <v>Oo, maaari kang magkaroon ng mga batayan upang idemanda ang isang tao para sa pagbabago ng mga larawan o video upang magkalat ng maling impormasyon tungkol sa iyo. Ang ganitong uri ng aksyon ay maaaring may kasamang iba't ibang legal na paghahabol, at ang mga partikular na legal na paraan ay magdedepende sa hurisdiksyon at likas na katangian ng maling impormasyon. Narito ang ilang potensyal na legal na aksyon na maaari mong isaalang-alang:
1. **Paninirang-puri:**
- Kung ang mga binagong larawan o video ay naglalaman ng mali at nakakapinsalang impormasyon tungkol sa iyo, maaari kang magkaroon ng claim sa paninirang-puri. Ang paninirang-puri ay karaniwang nagsasangkot ng mga maling pahayag na nakakasira sa reputasyon ng isang tao kapag ipinaalam sa mga ikatlong partido.
2. **False Light Invasion of Privacy:**
- Kinikilala ng ilang hurisdiksyon ang dahilan ng pagkilos na kilala bilang "false light invasion of privacy." Ang pag-aangkin na ito ay lumitaw kapag ang maling impormasyon ay ipinakita sa paraang naglalagay sa isang indibidwal sa isang maling liwanag, na nagdudulot ng pinsala sa kanilang reputasyon.
3. **Mga Paglabag sa Intelektwal na Ari-arian:**
- Kung binago ang mga larawan o video nang wala ang iyong pahintulot, maaari ka ring magkaroon ng claim na nauugnay sa mga karapatan sa intelektwal na ari-arian, gaya ng paglabag sa copyright.
4. **Pandaraya o Maling Pagkakatawan:**
- Kung ang binagong nilalaman ay bahagi ng isang sadyang pagsisikap na linlangin at saktan ka, maaari mong isaalang-alang ang legal na aksyon batay sa pandaraya o maling representasyon.
5. **Defamation Per Se:**
- Sa ilang hurisdiksyon, ang ilang mga maling pahayag ay itinuturing na paninirang-puri per se, ibig sabihin, ang mga ito ay ipinapalagay na nakakapinsala, at hindi kailangang patunayan ng nagsasakdal ang mga pinsala.
6. **Mga Pagsingil sa Kriminal:**
- Depende sa kalubhaan ng pagbabago at hurisdiksyon, maaaring may mga kasong kriminal na nauugnay sa pandaraya, pamemeke, o iba pang mga pagkakasala.
7. **Liham ng Pagtigil at Pagtigil:**
- Bago simulan ang mga legal na paglilitis, ang iyong abogado ay maaaring magpadala ng liham ng pagtigil at pagtigil sa indibidwal na responsable, na hinihiling na ihinto nila ang pagkalat ng mali at binagong nilalaman tungkol sa iyo. Ang liham na ito ay maaaring magsilbi bilang isang pormal na babala at maaaring mag-udyok sa indibidwal na tugunan ang isyu nang hindi pumunta sa korte.
8. **Kumonsulta sa isang Abugado:**
- Kumonsulta sa isang abogado na dalubhasa sa paninirang-puri, batas sa privacy, intellectual property, o batas sa internet. Maaari silang magbigay ng gabay sa mga partikular na legal na aksyon na magagamit mo batay sa mga pangyayari ng iyong kaso.
Napakahalaga na kumilos kaagad at kumunsulta sa mga legal na propesyonal upang masuri ang pinakamahusay na paraan ng pagkilos batay sa mga batas na naaangkop sa iyong hurisdiksyon. Tandaan na maaaring mag-iba ang mga batas, kaya mahalaga ang paghingi ng legal na payo na naaayon sa iyong sitwasyon.</v>
      </c>
      <c r="F784" s="2">
        <f t="shared" si="1"/>
        <v>0</v>
      </c>
      <c r="G784" s="2"/>
      <c r="H784" s="2"/>
      <c r="I784" s="2"/>
      <c r="J784" s="2"/>
      <c r="K784" s="2"/>
      <c r="L784" s="2"/>
      <c r="M784" s="2"/>
      <c r="N784" s="2"/>
      <c r="O784" s="2"/>
      <c r="P784" s="2"/>
      <c r="Q784" s="2"/>
      <c r="R784" s="2"/>
      <c r="S784" s="2"/>
      <c r="T784" s="2"/>
      <c r="U784" s="2"/>
      <c r="V784" s="2"/>
      <c r="W784" s="2"/>
      <c r="X784" s="2"/>
      <c r="Y784" s="2"/>
      <c r="Z784" s="2"/>
      <c r="AA784" s="2"/>
    </row>
    <row r="785">
      <c r="A785" s="3" t="s">
        <v>2010</v>
      </c>
      <c r="B785" s="1" t="s">
        <v>2568</v>
      </c>
      <c r="C785" s="1" t="s">
        <v>2569</v>
      </c>
      <c r="D785" s="1" t="s">
        <v>2570</v>
      </c>
      <c r="E785" s="2" t="str">
        <f>IFERROR(__xludf.DUMMYFUNCTION("GOOGLETRANSLATE(C785, ""en"", ""TL"")"),"Ang pagharap sa mga maling review o testimonial na nai-post tungkol sa iyo o sa iyong negosyo online sa Pilipinas ay may kasamang kumbinasyon ng mga praktikal at legal na estratehiya. Narito ang ilang hakbang na maaari mong isaalang-alang:
1. **Idokumento"&amp;" ang Mga Maling Pagsusuri:**
- Kumuha ng mga screenshot o mangalap ng ebidensya ng mga maling pagsusuri, kabilang ang nilalaman, mga username, petsa, at anumang nauugnay na konteksto. Magiging mahalaga ang dokumentasyong ito kung magpasya kang magsagawa n"&amp;"g legal na aksyon.
2. **Tumugon nang Propesyonal:**
- Tumugon sa mga maling pagsusuri sa isang propesyonal at nasusukat na paraan. Tugunan ang mga alalahanin na iniharap sa isang magalang na paraan, at magbigay ng tumpak na impormasyon upang itama ang anu"&amp;"mang mga maling kuru-kuro. Maipapakita nito sa ibang mga user na sineseryoso mo ang feedback ng customer.
3. **Mag-ulat sa Mga Online Platform:**
- Iulat ang mga maling review sa mga nauugnay na online na platform ng pagsusuri, gaya ng Google, Yelp, o iba"&amp;" pang mga website na partikular sa industriya. Maraming platform ang may mga patakaran laban sa mga pekeng review, at maaari silang gumawa ng aksyon upang siyasatin at alisin ang maling content.
4. **Mga Serbisyo sa Pamamahala ng Online na Reputasyon:**
-"&amp;" Isaalang-alang ang pakikipag-ugnayan sa online na mga serbisyo sa pamamahala ng reputasyon. Ang mga propesyonal na ito ay dalubhasa sa pagpapagaan ng epekto ng mali o nakakapinsalang impormasyon online. Maaari silang magtrabaho upang sugpuin ang negatibo"&amp;"ng nilalaman at magsulong ng positibo, tumpak na impormasyon.
5. **Legal na Aksyon - Defamation Defamation:**
- Kung ang mga maling pagsusuri ay mapanirang-puri at nagdulot ng pinsala sa iyong reputasyon o negosyo, kumunsulta sa isang abogado upang tuklas"&amp;"in ang posibilidad na magsampa ng kaso ng paninirang-puri. Ang paninirang-puri ay nagsasangkot ng mga maling pahayag na nakakasira sa reputasyon ng isang indibidwal o negosyo.
6. **Liham ng Pagtigil at Pagtigil:**
- Ang iyong abogado ay maaaring magpadala"&amp;" ng liham ng pagtigil at pagtigil sa mga indibidwal na responsable sa pag-post ng mga maling pagsusuri, na humihiling ng pagwawasto o pag-alis ng hindi tumpak na impormasyon. Ang liham na ito ay maaaring magsilbi bilang isang pormal na babala at maaaring "&amp;"mag-udyok sa mga indibidwal na tugunan ang isyu nang hindi pumunta sa korte.
7. **Online Consumer Act (Republic Act No. 10654):**
- Pamilyar sa Consumer Act of the Philippines (Republic Act No. 10654). Ang batas na ito ay nagbibigay ng ilang partikular na"&amp;" proteksyon para sa mga consumer at maaaring may kaugnayan sa mali o mapanlinlang na impormasyong nai-post online.
8. **I-promote ang Mga Positibong Review:**
- Aktibong hikayatin ang mga nasisiyahang customer na mag-iwan ng mga positibong review. Makakat"&amp;"ulong ito na malabanan ang epekto ng mga maling pagsusuri at mag-ambag sa isang pangkalahatang positibong online na reputasyon.
Mahalagang kumunsulta sa isang abogado na dalubhasa sa batas sa internet, paninirang-puri, o batas sa negosyo sa Pilipinas. Maa"&amp;"ari silang magbigay ng payo na naaayon sa iyong sitwasyon at gagabay sa iyo sa legal na proseso, kung kinakailangan. Tandaan na ang mga batas ay maaaring mag-iba, kaya ang paghingi ng propesyonal na legal na payo ay mahalaga.")</f>
        <v>Ang pagharap sa mga maling review o testimonial na nai-post tungkol sa iyo o sa iyong negosyo online sa Pilipinas ay may kasamang kumbinasyon ng mga praktikal at legal na estratehiya. Narito ang ilang hakbang na maaari mong isaalang-alang:
1. **Idokumento ang Mga Maling Pagsusuri:**
- Kumuha ng mga screenshot o mangalap ng ebidensya ng mga maling pagsusuri, kabilang ang nilalaman, mga username, petsa, at anumang nauugnay na konteksto. Magiging mahalaga ang dokumentasyong ito kung magpasya kang magsagawa ng legal na aksyon.
2. **Tumugon nang Propesyonal:**
- Tumugon sa mga maling pagsusuri sa isang propesyonal at nasusukat na paraan. Tugunan ang mga alalahanin na iniharap sa isang magalang na paraan, at magbigay ng tumpak na impormasyon upang itama ang anumang mga maling kuru-kuro. Maipapakita nito sa ibang mga user na sineseryoso mo ang feedback ng customer.
3. **Mag-ulat sa Mga Online Platform:**
- Iulat ang mga maling review sa mga nauugnay na online na platform ng pagsusuri, gaya ng Google, Yelp, o iba pang mga website na partikular sa industriya. Maraming platform ang may mga patakaran laban sa mga pekeng review, at maaari silang gumawa ng aksyon upang siyasatin at alisin ang maling content.
4. **Mga Serbisyo sa Pamamahala ng Online na Reputasyon:**
- Isaalang-alang ang pakikipag-ugnayan sa online na mga serbisyo sa pamamahala ng reputasyon. Ang mga propesyonal na ito ay dalubhasa sa pagpapagaan ng epekto ng mali o nakakapinsalang impormasyon online. Maaari silang magtrabaho upang sugpuin ang negatibong nilalaman at magsulong ng positibo, tumpak na impormasyon.
5. **Legal na Aksyon - Defamation Defamation:**
- Kung ang mga maling pagsusuri ay mapanirang-puri at nagdulot ng pinsala sa iyong reputasyon o negosyo, kumunsulta sa isang abogado upang tuklasin ang posibilidad na magsampa ng kaso ng paninirang-puri. Ang paninirang-puri ay nagsasangkot ng mga maling pahayag na nakakasira sa reputasyon ng isang indibidwal o negosyo.
6. **Liham ng Pagtigil at Pagtigil:**
- Ang iyong abogado ay maaaring magpadala ng liham ng pagtigil at pagtigil sa mga indibidwal na responsable sa pag-post ng mga maling pagsusuri, na humihiling ng pagwawasto o pag-alis ng hindi tumpak na impormasyon. Ang liham na ito ay maaaring magsilbi bilang isang pormal na babala at maaaring mag-udyok sa mga indibidwal na tugunan ang isyu nang hindi pumunta sa korte.
7. **Online Consumer Act (Republic Act No. 10654):**
- Pamilyar sa Consumer Act of the Philippines (Republic Act No. 10654). Ang batas na ito ay nagbibigay ng ilang partikular na proteksyon para sa mga consumer at maaaring may kaugnayan sa mali o mapanlinlang na impormasyong nai-post online.
8. **I-promote ang Mga Positibong Review:**
- Aktibong hikayatin ang mga nasisiyahang customer na mag-iwan ng mga positibong review. Makakatulong ito na malabanan ang epekto ng mga maling pagsusuri at mag-ambag sa isang pangkalahatang positibong online na reputasyon.
Mahalagang kumunsulta sa isang abogado na dalubhasa sa batas sa internet, paninirang-puri, o batas sa negosyo sa Pilipinas. Maaari silang magbigay ng payo na naaayon sa iyong sitwasyon at gagabay sa iyo sa legal na proseso, kung kinakailangan. Tandaan na ang mga batas ay maaaring mag-iba, kaya ang paghingi ng propesyonal na legal na payo ay mahalaga.</v>
      </c>
      <c r="F785" s="2">
        <f t="shared" si="1"/>
        <v>0</v>
      </c>
      <c r="G785" s="2"/>
      <c r="H785" s="2"/>
      <c r="I785" s="2"/>
      <c r="J785" s="2"/>
      <c r="K785" s="2"/>
      <c r="L785" s="2"/>
      <c r="M785" s="2"/>
      <c r="N785" s="2"/>
      <c r="O785" s="2"/>
      <c r="P785" s="2"/>
      <c r="Q785" s="2"/>
      <c r="R785" s="2"/>
      <c r="S785" s="2"/>
      <c r="T785" s="2"/>
      <c r="U785" s="2"/>
      <c r="V785" s="2"/>
      <c r="W785" s="2"/>
      <c r="X785" s="2"/>
      <c r="Y785" s="2"/>
      <c r="Z785" s="2"/>
      <c r="AA785" s="2"/>
    </row>
    <row r="786">
      <c r="A786" s="3" t="s">
        <v>2010</v>
      </c>
      <c r="B786" s="1" t="s">
        <v>2571</v>
      </c>
      <c r="C786" s="1" t="s">
        <v>2572</v>
      </c>
      <c r="D786" s="1" t="s">
        <v>2573</v>
      </c>
      <c r="E786" s="2" t="str">
        <f>IFERROR(__xludf.DUMMYFUNCTION("GOOGLETRANSLATE(C786, ""en"", ""TL"")"),"Oo, maaari kang magkaroon ng mga batayan upang idemanda ang isang tao para sa pagkalat ng maling impormasyon tungkol sa iyong legal na kaso online. Ang mga potensyal na legal na claim ay maaaring magsama ng paninirang-puri, dahil ang mga maling pahayag na"&amp;" nakakasira sa iyong reputasyon ay maaaring sumailalim sa legal na aksyon. Narito ang ilang pangkalahatang hakbang na dapat isaalang-alang:
1. **Idokumento ang Maling Impormasyon:**
- Mangalap ng katibayan ng maling impormasyon, tulad ng mga screenshot o "&amp;"mga link sa mga online na post na naglalaman ng mga hindi tumpak na pahayag. Ang dokumentasyon ay mahalaga para sa pagbuo ng isang kaso.
2. **Kumonsulta sa isang Abogado:**
- Kumonsulta sa isang abogado na dalubhasa sa paninirang-puri o batas sa internet."&amp;" Matutulungan ka nilang maunawaan ang iyong mga karapatan, suriin ang lakas ng iyong kaso, at gabayan ka sa legal na proseso.
3. **Liham ng Pagtigil at Pagtigil:**
- Maaaring magpadala ang iyong abogado ng cease and desist letter sa indibidwal na responsa"&amp;"ble sa pagkalat ng maling impormasyon tungkol sa iyong legal na kaso. Pormal na hinihiling ng liham na ito na huminto sila sa paggawa ng mga maling pahayag at maaaring magsilbing pasimula sa legal na aksyon.
4. **Pag-uulat sa Online na Platform:**
- Iulat"&amp;" ang maling impormasyon sa mga nauugnay na online platform, social media network, o website. Maraming mga platform ang may mga patakaran laban sa pagpapakalat ng maling impormasyon o panliligalig.
5. **Defamation Defamation:**
- Kung ang maling impormasyo"&amp;"n ay nagdulot ng pinsala sa iyong reputasyon, maaari mong isaalang-alang ang paghahain ng demanda sa paninirang-puri. Ang paninirang-puri ay karaniwang nagsasangkot ng mga maling pahayag na nakakasira sa reputasyon ng isang indibidwal kapag ipinaalam sa m"&amp;"ga ikatlong partido.
6. **Pagwawasto o Pagbawi:**
- Bilang bahagi ng iyong legal na aksyon, maaari mong hilingin sa indibidwal na maglabas ng pagwawasto o pagbawi sa mga maling pahayag. Ito ay maaaring bahagi ng isang kasunduan sa pag-areglo o isang utos "&amp;"ng hukuman.
7. **Konsultasyon sa mga Legal na Propesyonal:**
- Depende sa uri at konteksto ng maling impormasyon, maaaring naaangkop ang iba pang mga legal na claim o depensa. Kumonsulta sa mga legal na propesyonal upang tuklasin ang lahat ng magagamit na"&amp;" opsyon.
Tandaan na ang mga batas ay maaaring mag-iba, at ang mga legal na proseso ay maaaring kumplikado. Mahalagang kumunsulta sa isang abogado na maaaring magbigay ng patnubay na partikular sa iyong hurisdiksyon at mga pangyayari. Tandaan na ang napapa"&amp;"nahon at naaangkop na pagkilos ay napakahalaga para mabawasan ang potensyal na pinsalang dulot ng maling impormasyon.")</f>
        <v>Oo, maaari kang magkaroon ng mga batayan upang idemanda ang isang tao para sa pagkalat ng maling impormasyon tungkol sa iyong legal na kaso online. Ang mga potensyal na legal na claim ay maaaring magsama ng paninirang-puri, dahil ang mga maling pahayag na nakakasira sa iyong reputasyon ay maaaring sumailalim sa legal na aksyon. Narito ang ilang pangkalahatang hakbang na dapat isaalang-alang:
1. **Idokumento ang Maling Impormasyon:**
- Mangalap ng katibayan ng maling impormasyon, tulad ng mga screenshot o mga link sa mga online na post na naglalaman ng mga hindi tumpak na pahayag. Ang dokumentasyon ay mahalaga para sa pagbuo ng isang kaso.
2. **Kumonsulta sa isang Abogado:**
- Kumonsulta sa isang abogado na dalubhasa sa paninirang-puri o batas sa internet. Matutulungan ka nilang maunawaan ang iyong mga karapatan, suriin ang lakas ng iyong kaso, at gabayan ka sa legal na proseso.
3. **Liham ng Pagtigil at Pagtigil:**
- Maaaring magpadala ang iyong abogado ng cease and desist letter sa indibidwal na responsable sa pagkalat ng maling impormasyon tungkol sa iyong legal na kaso. Pormal na hinihiling ng liham na ito na huminto sila sa paggawa ng mga maling pahayag at maaaring magsilbing pasimula sa legal na aksyon.
4. **Pag-uulat sa Online na Platform:**
- Iulat ang maling impormasyon sa mga nauugnay na online platform, social media network, o website. Maraming mga platform ang may mga patakaran laban sa pagpapakalat ng maling impormasyon o panliligalig.
5. **Defamation Defamation:**
- Kung ang maling impormasyon ay nagdulot ng pinsala sa iyong reputasyon, maaari mong isaalang-alang ang paghahain ng demanda sa paninirang-puri. Ang paninirang-puri ay karaniwang nagsasangkot ng mga maling pahayag na nakakasira sa reputasyon ng isang indibidwal kapag ipinaalam sa mga ikatlong partido.
6. **Pagwawasto o Pagbawi:**
- Bilang bahagi ng iyong legal na aksyon, maaari mong hilingin sa indibidwal na maglabas ng pagwawasto o pagbawi sa mga maling pahayag. Ito ay maaaring bahagi ng isang kasunduan sa pag-areglo o isang utos ng hukuman.
7. **Konsultasyon sa mga Legal na Propesyonal:**
- Depende sa uri at konteksto ng maling impormasyon, maaaring naaangkop ang iba pang mga legal na claim o depensa. Kumonsulta sa mga legal na propesyonal upang tuklasin ang lahat ng magagamit na opsyon.
Tandaan na ang mga batas ay maaaring mag-iba, at ang mga legal na proseso ay maaaring kumplikado. Mahalagang kumunsulta sa isang abogado na maaaring magbigay ng patnubay na partikular sa iyong hurisdiksyon at mga pangyayari. Tandaan na ang napapanahon at naaangkop na pagkilos ay napakahalaga para mabawasan ang potensyal na pinsalang dulot ng maling impormasyon.</v>
      </c>
      <c r="F786" s="2">
        <f t="shared" si="1"/>
        <v>0</v>
      </c>
      <c r="G786" s="2"/>
      <c r="H786" s="2"/>
      <c r="I786" s="2"/>
      <c r="J786" s="2"/>
      <c r="K786" s="2"/>
      <c r="L786" s="2"/>
      <c r="M786" s="2"/>
      <c r="N786" s="2"/>
      <c r="O786" s="2"/>
      <c r="P786" s="2"/>
      <c r="Q786" s="2"/>
      <c r="R786" s="2"/>
      <c r="S786" s="2"/>
      <c r="T786" s="2"/>
      <c r="U786" s="2"/>
      <c r="V786" s="2"/>
      <c r="W786" s="2"/>
      <c r="X786" s="2"/>
      <c r="Y786" s="2"/>
      <c r="Z786" s="2"/>
      <c r="AA786" s="2"/>
    </row>
    <row r="787">
      <c r="A787" s="3" t="s">
        <v>2010</v>
      </c>
      <c r="B787" s="1" t="s">
        <v>2574</v>
      </c>
      <c r="C787" s="1" t="s">
        <v>2575</v>
      </c>
      <c r="D787" s="1" t="s">
        <v>2576</v>
      </c>
      <c r="E787" s="2" t="str">
        <f>IFERROR(__xludf.DUMMYFUNCTION("GOOGLETRANSLATE(C787, ""en"", ""TL"")"),"Maaaring kumplikado ang pag-navigate sa mga isyu sa hurisdiksyon kapag nakikitungo sa maling impormasyong nai-post mula sa ibang bansa. Ang mga internasyonal na legal na usapin ay kadalasang nagsasangkot ng mga pagsasaalang-alang sa hurisdiksyon, mga naaa"&amp;"ngkop na batas, at mga hamon sa pagpapatupad. Narito ang ilang pangkalahatang hakbang para i-navigate ang mga isyung ito:
1. **Kilalanin ang Jurisdiction:**
- Tukuyin ang bansa kung saan nai-post ang maling impormasyon. Ang pag-unawa sa hurisdiksyon ay na"&amp;"pakahalaga dahil ito ang nagdidikta kung aling legal na sistema at batas ang maaaring ilapat.
2. **Kumonsulta sa Lokal na Legal na Propesyonal:**
- Humingi ng payo ng mga legal na propesyonal sa hurisdiksyon kung saan nagmula ang maling impormasyon. Ang m"&amp;"ga lokal na abogado ay maaaring magbigay ng mga insight sa mga naaangkop na batas, mga potensyal na legal na aksyon, at ang pagiging posible ng paghabol ng isang kaso.
3. **Mga Internasyonal na Legal na Kasunduan:**
- Suriin ang anumang mga internasyonal "&amp;"na legal na kasunduan o kasunduan sa pagitan ng iyong bansa at ng bansa kung saan nagmula ang maling impormasyon. Ang ilang mga kasunduan ay maaaring mapadali ang pakikipagtulungan sa mga legal na usapin, kabilang ang pagpapatupad ng mga hatol.
4. **Pag-u"&amp;"ulat sa Online na Platform:**
- Iulat ang maling impormasyon sa mga nauugnay na online platform o social media network. Maraming mga platform ang may mga mekanismo para sa pag-uulat ng nilalaman na lumalabag sa kanilang mga patakaran, anuman ang lokasyon "&amp;"ng user.
5. **Makipag-ugnayan sa Pagpapatupad ng Batas:**
- Kung ang maling impormasyon ay nagsasangkot ng mga kriminal na aktibidad, makipag-ugnayan sa iyong lokal na ahensyang nagpapatupad ng batas at ibigay sa kanila ang mga nauugnay na detalye. Maaari"&amp;" silang makipag-ugnayan sa mga internasyonal na ahensyang nagpapatupad ng batas sa pamamagitan ng mga itinatag na channel.
6. **Gumamit ng Mutual Legal Assistance Treaties (MLATs):**
- Ang ilang mga bansa ay may Mutual Legal Assistance Treaties (MLATs) na"&amp;" nagbibigay-daan sa pakikipagtulungan sa mga usaping kriminal. Maaaring gamitin ang mga MLAT upang humiling ng tulong mula sa mga awtoridad sa bansa kung saan nagmula ang maling impormasyon.
7. **Mga Pagsasaalang-alang ng Pribadong Internasyonal na Batas:"&amp;"**
- Kumonsulta sa mga legal na propesyonal na may kaalaman sa pribadong internasyonal na batas. Tinutugunan ng larangang ito ng batas ang mga legal na isyu na kinasasangkutan ng maraming hurisdiksyon at maaaring magbigay ng gabay sa mga hamon sa hurisdik"&amp;"syon.
8. **Isaalang-alang ang Epekto sa Reputasyon:**
- Suriin ang epekto ng pagsasagawa ng legal na aksyon sa ibang hurisdiksyon sa iyong reputasyon, mapagkukunan, at posibilidad na magtagumpay. Ang legal na tanawin at mga kultural na nuances ay maaaring"&amp;" magkaiba nang malaki.
9. **Online na Pamamahala ng Reputasyon:**
- Makipag-ugnayan sa mga online na serbisyo sa pamamahala ng reputasyon upang mapagaan ang epekto ng maling impormasyon. Bagama't maaaring hindi direktang matugunan ng mga serbisyong ito an"&amp;"g mga legal na isyu, maaari silang magtrabaho sa pagsugpo sa negatibong nilalaman at pagsulong ng positibong impormasyon.
10. **Kumonsulta sa Mga Awtoridad:**
- Makipag-ugnayan sa mga kaugnay na awtoridad, gaya ng mga cybercrime unit o katulad na ahensya,"&amp;" sa iyong hurisdiksyon at sa hurisdiksyon kung saan nagmula ang maling impormasyon. Humingi ng patnubay sa mga hakbang na maaaring gawin at kung posible ang pakikipagtulungan.
Ang pag-navigate sa mga isyu sa hurisdiksyon sa mga internasyonal na legal na u"&amp;"sapin ay nangangailangan ng maingat na pagsasaalang-alang sa iba't ibang salik. Lubos na inirerekomendang kumunsulta sa mga legal na propesyonal na dalubhasa sa internasyonal na batas, cyber law, o paninirang-puri upang makatanggap ng iniakmang payo batay"&amp;" sa mga partikular na detalye ng iyong kaso.")</f>
        <v>Maaaring kumplikado ang pag-navigate sa mga isyu sa hurisdiksyon kapag nakikitungo sa maling impormasyong nai-post mula sa ibang bansa. Ang mga internasyonal na legal na usapin ay kadalasang nagsasangkot ng mga pagsasaalang-alang sa hurisdiksyon, mga naaangkop na batas, at mga hamon sa pagpapatupad. Narito ang ilang pangkalahatang hakbang para i-navigate ang mga isyung ito:
1. **Kilalanin ang Jurisdiction:**
- Tukuyin ang bansa kung saan nai-post ang maling impormasyon. Ang pag-unawa sa hurisdiksyon ay napakahalaga dahil ito ang nagdidikta kung aling legal na sistema at batas ang maaaring ilapat.
2. **Kumonsulta sa Lokal na Legal na Propesyonal:**
- Humingi ng payo ng mga legal na propesyonal sa hurisdiksyon kung saan nagmula ang maling impormasyon. Ang mga lokal na abogado ay maaaring magbigay ng mga insight sa mga naaangkop na batas, mga potensyal na legal na aksyon, at ang pagiging posible ng paghabol ng isang kaso.
3. **Mga Internasyonal na Legal na Kasunduan:**
- Suriin ang anumang mga internasyonal na legal na kasunduan o kasunduan sa pagitan ng iyong bansa at ng bansa kung saan nagmula ang maling impormasyon. Ang ilang mga kasunduan ay maaaring mapadali ang pakikipagtulungan sa mga legal na usapin, kabilang ang pagpapatupad ng mga hatol.
4. **Pag-uulat sa Online na Platform:**
- Iulat ang maling impormasyon sa mga nauugnay na online platform o social media network. Maraming mga platform ang may mga mekanismo para sa pag-uulat ng nilalaman na lumalabag sa kanilang mga patakaran, anuman ang lokasyon ng user.
5. **Makipag-ugnayan sa Pagpapatupad ng Batas:**
- Kung ang maling impormasyon ay nagsasangkot ng mga kriminal na aktibidad, makipag-ugnayan sa iyong lokal na ahensyang nagpapatupad ng batas at ibigay sa kanila ang mga nauugnay na detalye. Maaari silang makipag-ugnayan sa mga internasyonal na ahensyang nagpapatupad ng batas sa pamamagitan ng mga itinatag na channel.
6. **Gumamit ng Mutual Legal Assistance Treaties (MLATs):**
- Ang ilang mga bansa ay may Mutual Legal Assistance Treaties (MLATs) na nagbibigay-daan sa pakikipagtulungan sa mga usaping kriminal. Maaaring gamitin ang mga MLAT upang humiling ng tulong mula sa mga awtoridad sa bansa kung saan nagmula ang maling impormasyon.
7. **Mga Pagsasaalang-alang ng Pribadong Internasyonal na Batas:**
- Kumonsulta sa mga legal na propesyonal na may kaalaman sa pribadong internasyonal na batas. Tinutugunan ng larangang ito ng batas ang mga legal na isyu na kinasasangkutan ng maraming hurisdiksyon at maaaring magbigay ng gabay sa mga hamon sa hurisdiksyon.
8. **Isaalang-alang ang Epekto sa Reputasyon:**
- Suriin ang epekto ng pagsasagawa ng legal na aksyon sa ibang hurisdiksyon sa iyong reputasyon, mapagkukunan, at posibilidad na magtagumpay. Ang legal na tanawin at mga kultural na nuances ay maaaring magkaiba nang malaki.
9. **Online na Pamamahala ng Reputasyon:**
- Makipag-ugnayan sa mga online na serbisyo sa pamamahala ng reputasyon upang mapagaan ang epekto ng maling impormasyon. Bagama't maaaring hindi direktang matugunan ng mga serbisyong ito ang mga legal na isyu, maaari silang magtrabaho sa pagsugpo sa negatibong nilalaman at pagsulong ng positibong impormasyon.
10. **Kumonsulta sa Mga Awtoridad:**
- Makipag-ugnayan sa mga kaugnay na awtoridad, gaya ng mga cybercrime unit o katulad na ahensya, sa iyong hurisdiksyon at sa hurisdiksyon kung saan nagmula ang maling impormasyon. Humingi ng patnubay sa mga hakbang na maaaring gawin at kung posible ang pakikipagtulungan.
Ang pag-navigate sa mga isyu sa hurisdiksyon sa mga internasyonal na legal na usapin ay nangangailangan ng maingat na pagsasaalang-alang sa iba't ibang salik. Lubos na inirerekomendang kumunsulta sa mga legal na propesyonal na dalubhasa sa internasyonal na batas, cyber law, o paninirang-puri upang makatanggap ng iniakmang payo batay sa mga partikular na detalye ng iyong kaso.</v>
      </c>
      <c r="F787" s="2">
        <f t="shared" si="1"/>
        <v>0</v>
      </c>
      <c r="G787" s="2"/>
      <c r="H787" s="2"/>
      <c r="I787" s="2"/>
      <c r="J787" s="2"/>
      <c r="K787" s="2"/>
      <c r="L787" s="2"/>
      <c r="M787" s="2"/>
      <c r="N787" s="2"/>
      <c r="O787" s="2"/>
      <c r="P787" s="2"/>
      <c r="Q787" s="2"/>
      <c r="R787" s="2"/>
      <c r="S787" s="2"/>
      <c r="T787" s="2"/>
      <c r="U787" s="2"/>
      <c r="V787" s="2"/>
      <c r="W787" s="2"/>
      <c r="X787" s="2"/>
      <c r="Y787" s="2"/>
      <c r="Z787" s="2"/>
      <c r="AA787" s="2"/>
    </row>
    <row r="788">
      <c r="A788" s="3" t="s">
        <v>2010</v>
      </c>
      <c r="B788" s="1" t="s">
        <v>2577</v>
      </c>
      <c r="C788" s="1" t="s">
        <v>2578</v>
      </c>
      <c r="D788" s="1" t="s">
        <v>2579</v>
      </c>
      <c r="E788" s="2" t="str">
        <f>IFERROR(__xludf.DUMMYFUNCTION("GOOGLETRANSLATE(C788, ""en"", ""TL"")"),"Oo, sa Pilipinas, maaari kang magsagawa ng legal na aksyon laban sa isang tao para sa pagkalat ng maling impormasyon sa pamamagitan ng email o mga app sa pagmemensahe. Ang mga legal na paraan na maaari mong gawin ay maaaring magsama ng paninirang-puri, cy"&amp;"ber libel, o iba pang nauugnay na batas. Narito ang ilang pangkalahatang hakbang na dapat isaalang-alang:
1. **Idokumento ang Maling Impormasyon:**
- Mangolekta ng katibayan ng maling impormasyon na kumakalat sa pamamagitan ng email o mga app sa pagmemens"&amp;"ahe. Ang mga screenshot, mga kopya ng mga mensahe, at anumang nauugnay na mga detalye ay magiging mahalaga para sa pagbuo ng iyong kaso.
2. **Kumonsulta sa isang Abogado:**
- Humingi ng legal na payo mula sa isang abogado na dalubhasa sa cybercrime, batas"&amp;" sa internet, o paninirang-puri. Matutulungan ka nilang maunawaan ang iyong mga karapatan, suriin ang lakas ng iyong kaso, at gabayan ka sa legal na proseso.
3. **Liham ng Pagtigil at Pagtigil:**
- Maaaring magpadala ng cease and desist letter ang iyong a"&amp;"bogado sa indibidwal na responsable sa pagkalat ng maling impormasyon, humihingi ng pagwawasto o pag-alis ng hindi tumpak na nilalaman. Ang liham na ito ay maaaring magsilbi bilang isang pormal na babala at maaaring mag-udyok sa indibidwal na tugunan ang "&amp;"isyu nang hindi pumunta sa korte.
4. **Anti-Cybercrime Law (RA 10175):**
- Pamilyar ang iyong sarili sa Republic Act No. 10175, na kilala rin bilang Cybercrime Prevention Act of 2012. Tinutugunan ng batas na ito ang iba't ibang cybercrimes, kabilang ang l"&amp;"ibel, pagnanakaw ng pagkakakilanlan, at hindi awtorisadong pag-access sa mga computer system.
5. **Maghain ng Reklamo:**
- Depende sa uri ng maling impormasyon, maaari kang magsampa ng reklamo sa mga ahensyang nagpapatupad ng batas, tulad ng National Bure"&amp;"au of Investigation (NBI) Cybercrime Division. Maaari silang mag-imbestiga at gumawa ng naaangkop na aksyon sa ilalim ng mga batas sa cybercrime.
6. **Sibil na Paghahabla:**
- Kung ang maling impormasyon ay nagdulot ng pinsala sa iyong reputasyon, maaari "&amp;"mong isaalang-alang ang pagsasampa ng kasong sibil para sa mga pinsala. Maaaring mailapat ang mga batas sa paninirang-puri sa Pilipinas sa mga kaso kung saan ang mga maling pahayag ay nakakasira sa reputasyon ng isang indibidwal.
7. **Pag-iingat ng Ebiden"&amp;"sya:**
- Napakahalaga na mapanatili ang lahat ng nauugnay na ebidensya, kabilang ang mga talaan ng maling impormasyon, mga IP address, at anumang mga komunikasyong nauugnay sa pagkalat ng maling impormasyon.
8. **Mga Pampublikong Figure at Pribadong Indib"&amp;"idwal:**
- Magkaroon ng kamalayan na ang mga legal na pamantayan para sa paninirang-puri ay maaaring mag-iba batay sa kung ikaw ay itinuturing na isang pampublikong pigura o isang pribadong indibidwal. Kadalasang kailangang patunayan ng mga pampublikong p"&amp;"igura na ang mga maling pahayag ay ginawa nang may aktwal na malisya.
Palaging kumunsulta sa mga legal na propesyonal upang matiyak na ang iyong mga aksyon ay naaayon sa naaangkop na legal na balangkas sa Pilipinas. Maaaring mag-evolve ang mga batas, at a"&amp;"ng legal na payo na iniayon sa iyong mga partikular na kalagayan ay mahalaga.")</f>
        <v>Oo, sa Pilipinas, maaari kang magsagawa ng legal na aksyon laban sa isang tao para sa pagkalat ng maling impormasyon sa pamamagitan ng email o mga app sa pagmemensahe. Ang mga legal na paraan na maaari mong gawin ay maaaring magsama ng paninirang-puri, cyber libel, o iba pang nauugnay na batas. Narito ang ilang pangkalahatang hakbang na dapat isaalang-alang:
1. **Idokumento ang Maling Impormasyon:**
- Mangolekta ng katibayan ng maling impormasyon na kumakalat sa pamamagitan ng email o mga app sa pagmemensahe. Ang mga screenshot, mga kopya ng mga mensahe, at anumang nauugnay na mga detalye ay magiging mahalaga para sa pagbuo ng iyong kaso.
2. **Kumonsulta sa isang Abogado:**
- Humingi ng legal na payo mula sa isang abogado na dalubhasa sa cybercrime, batas sa internet, o paninirang-puri. Matutulungan ka nilang maunawaan ang iyong mga karapatan, suriin ang lakas ng iyong kaso, at gabayan ka sa legal na proseso.
3. **Liham ng Pagtigil at Pagtigil:**
- Maaaring magpadala ng cease and desist letter ang iyong abogado sa indibidwal na responsable sa pagkalat ng maling impormasyon, humihingi ng pagwawasto o pag-alis ng hindi tumpak na nilalaman. Ang liham na ito ay maaaring magsilbi bilang isang pormal na babala at maaaring mag-udyok sa indibidwal na tugunan ang isyu nang hindi pumunta sa korte.
4. **Anti-Cybercrime Law (RA 10175):**
- Pamilyar ang iyong sarili sa Republic Act No. 10175, na kilala rin bilang Cybercrime Prevention Act of 2012. Tinutugunan ng batas na ito ang iba't ibang cybercrimes, kabilang ang libel, pagnanakaw ng pagkakakilanlan, at hindi awtorisadong pag-access sa mga computer system.
5. **Maghain ng Reklamo:**
- Depende sa uri ng maling impormasyon, maaari kang magsampa ng reklamo sa mga ahensyang nagpapatupad ng batas, tulad ng National Bureau of Investigation (NBI) Cybercrime Division. Maaari silang mag-imbestiga at gumawa ng naaangkop na aksyon sa ilalim ng mga batas sa cybercrime.
6. **Sibil na Paghahabla:**
- Kung ang maling impormasyon ay nagdulot ng pinsala sa iyong reputasyon, maaari mong isaalang-alang ang pagsasampa ng kasong sibil para sa mga pinsala. Maaaring mailapat ang mga batas sa paninirang-puri sa Pilipinas sa mga kaso kung saan ang mga maling pahayag ay nakakasira sa reputasyon ng isang indibidwal.
7. **Pag-iingat ng Ebidensya:**
- Napakahalaga na mapanatili ang lahat ng nauugnay na ebidensya, kabilang ang mga talaan ng maling impormasyon, mga IP address, at anumang mga komunikasyong nauugnay sa pagkalat ng maling impormasyon.
8. **Mga Pampublikong Figure at Pribadong Indibidwal:**
- Magkaroon ng kamalayan na ang mga legal na pamantayan para sa paninirang-puri ay maaaring mag-iba batay sa kung ikaw ay itinuturing na isang pampublikong pigura o isang pribadong indibidwal. Kadalasang kailangang patunayan ng mga pampublikong pigura na ang mga maling pahayag ay ginawa nang may aktwal na malisya.
Palaging kumunsulta sa mga legal na propesyonal upang matiyak na ang iyong mga aksyon ay naaayon sa naaangkop na legal na balangkas sa Pilipinas. Maaaring mag-evolve ang mga batas, at ang legal na payo na iniayon sa iyong mga partikular na kalagayan ay mahalaga.</v>
      </c>
      <c r="F788" s="2">
        <f t="shared" si="1"/>
        <v>0</v>
      </c>
      <c r="G788" s="2"/>
      <c r="H788" s="2"/>
      <c r="I788" s="2"/>
      <c r="J788" s="2"/>
      <c r="K788" s="2"/>
      <c r="L788" s="2"/>
      <c r="M788" s="2"/>
      <c r="N788" s="2"/>
      <c r="O788" s="2"/>
      <c r="P788" s="2"/>
      <c r="Q788" s="2"/>
      <c r="R788" s="2"/>
      <c r="S788" s="2"/>
      <c r="T788" s="2"/>
      <c r="U788" s="2"/>
      <c r="V788" s="2"/>
      <c r="W788" s="2"/>
      <c r="X788" s="2"/>
      <c r="Y788" s="2"/>
      <c r="Z788" s="2"/>
      <c r="AA788" s="2"/>
    </row>
    <row r="789">
      <c r="A789" s="3" t="s">
        <v>2010</v>
      </c>
      <c r="B789" s="1" t="s">
        <v>2580</v>
      </c>
      <c r="C789" s="1" t="s">
        <v>2581</v>
      </c>
      <c r="D789" s="1" t="s">
        <v>2582</v>
      </c>
      <c r="E789" s="2" t="str">
        <f>IFERROR(__xludf.DUMMYFUNCTION("GOOGLETRANSLATE(C789, ""en"", ""TL"")"),"Kung hindi mo sinasadyang nagbahagi ng maling impormasyon online sa Pilipinas at nag-aalala tungkol sa mga potensyal na legal na kahihinatnan, narito ang ilang hakbang na maaari mong gawin upang protektahan ang iyong sarili:
1. **Bawiin at Itama ang Impor"&amp;"masyon:**
- Kung napagtanto mong nagbahagi ka ng maling impormasyon, agad na bawiin at itama ang nilalaman. Malinaw na sabihin ang pagwawasto, at magbigay ng tumpak na impormasyon upang maitama ang anumang mga maling kuru-kuro.
2. **Humingi ng paumanhin s"&amp;"a publiko:**
- Isaalang-alang ang pagbibigay ng pampublikong paghingi ng tawad para sa pagpapakalat ng maling impormasyon. Kilalanin ang pagkakamali, ipahayag ang panghihinayang, at tiyakin sa iba na nakatuon ka sa pagbabahagi ng tumpak na impormasyon sa "&amp;"hinaharap.
3. **Tanggalin o Baguhin ang Nilalaman:**
- Alisin o baguhin ang maling impormasyon mula sa online na platform kung saan ito ibinahagi. Makakatulong ito na mabawasan ang epekto at maiwasan ang karagdagang pagpapakalat ng mga hindi tumpak na det"&amp;"alye.
4. **Makisali sa Responsableng Pagbabahagi:**
- Sumusulong, maging mapagbantay tungkol sa impormasyon sa pagsusuri ng katotohanan bago ito ibahagi online. I-verify ang katumpakan ng nilalaman, lalo na kung nagsasangkot ito ng sensitibo o potensyal n"&amp;"a nakakapinsalang impormasyon.
5. **Matuto mula sa Karanasan:**
- Gamitin ang insidente bilang isang pagkakataon upang malaman ang tungkol sa responsableng pag-uugali sa online. Unawain ang kahalagahan ng pag-verify ng impormasyon, pagiging maingat sa kun"&amp;"g ano ang iyong ibinabahagi, at pagsasaalang-alang sa mga potensyal na kahihinatnan ng iyong mga online na aksyon.
6. **Humingi ng Legal na Payo:**
- Kung nag-aalala ka tungkol sa mga potensyal na legal na kahihinatnan, kumunsulta sa isang abogado na dalu"&amp;"bhasa sa batas sa internet o paninirang-puri. Maaari silang magbigay ng gabay sa iyong partikular na sitwasyon at payuhan ka sa pinakamahusay na paraan ng pagkilos.
7. **Online na Pamamahala ng Reputasyon:**
- Isaalang-alang ang pakikipag-ugnayan sa onlin"&amp;"e na mga serbisyo sa pamamahala ng reputasyon upang makatulong na mapagaan ang epekto ng maling impormasyon. Ang mga serbisyong ito ay maaaring gumana upang sugpuin ang negatibong nilalaman at magsulong ng positibo, tumpak na impormasyon.
8. **Unawain ang"&amp;" Cybercrime Laws:**
- Pamilyar sa mga kaugnay na batas sa cybercrime sa Pilipinas, tulad ng Republic Act No. 10175 (Cybercrime Prevention Act of 2012). Ang pag-unawa sa legal na balangkas ay makakatulong sa iyo na mag-navigate sa mga potensyal na kahihina"&amp;"tnan at gumawa ng mga naaangkop na hakbang.
9. **Subaybayan at Tumugon sa Feedback:**
- Manatiling nakikipag-ugnayan sa online na komunidad, subaybayan ang feedback, at tumugon sa mga katanungan o alalahanin. Makakatulong ang malinaw na komunikasyon na mu"&amp;"ling buuin ang tiwala at ipakita ang iyong pangako sa katumpakan.
Mahalagang tandaan na maaaring mag-iba ang mga legal na kahihinatnan batay sa uri at epekto ng maling impormasyon. Ang pagkonsulta sa isang legal na propesyonal ay mahalaga sa pag-unawa sa "&amp;"mga partikular na legal na implikasyon sa iyong sitwasyon at paggawa ng mga naaangkop na hakbang upang matugunan ang mga ito.")</f>
        <v>Kung hindi mo sinasadyang nagbahagi ng maling impormasyon online sa Pilipinas at nag-aalala tungkol sa mga potensyal na legal na kahihinatnan, narito ang ilang hakbang na maaari mong gawin upang protektahan ang iyong sarili:
1. **Bawiin at Itama ang Impormasyon:**
- Kung napagtanto mong nagbahagi ka ng maling impormasyon, agad na bawiin at itama ang nilalaman. Malinaw na sabihin ang pagwawasto, at magbigay ng tumpak na impormasyon upang maitama ang anumang mga maling kuru-kuro.
2. **Humingi ng paumanhin sa publiko:**
- Isaalang-alang ang pagbibigay ng pampublikong paghingi ng tawad para sa pagpapakalat ng maling impormasyon. Kilalanin ang pagkakamali, ipahayag ang panghihinayang, at tiyakin sa iba na nakatuon ka sa pagbabahagi ng tumpak na impormasyon sa hinaharap.
3. **Tanggalin o Baguhin ang Nilalaman:**
- Alisin o baguhin ang maling impormasyon mula sa online na platform kung saan ito ibinahagi. Makakatulong ito na mabawasan ang epekto at maiwasan ang karagdagang pagpapakalat ng mga hindi tumpak na detalye.
4. **Makisali sa Responsableng Pagbabahagi:**
- Sumusulong, maging mapagbantay tungkol sa impormasyon sa pagsusuri ng katotohanan bago ito ibahagi online. I-verify ang katumpakan ng nilalaman, lalo na kung nagsasangkot ito ng sensitibo o potensyal na nakakapinsalang impormasyon.
5. **Matuto mula sa Karanasan:**
- Gamitin ang insidente bilang isang pagkakataon upang malaman ang tungkol sa responsableng pag-uugali sa online. Unawain ang kahalagahan ng pag-verify ng impormasyon, pagiging maingat sa kung ano ang iyong ibinabahagi, at pagsasaalang-alang sa mga potensyal na kahihinatnan ng iyong mga online na aksyon.
6. **Humingi ng Legal na Payo:**
- Kung nag-aalala ka tungkol sa mga potensyal na legal na kahihinatnan, kumunsulta sa isang abogado na dalubhasa sa batas sa internet o paninirang-puri. Maaari silang magbigay ng gabay sa iyong partikular na sitwasyon at payuhan ka sa pinakamahusay na paraan ng pagkilos.
7. **Online na Pamamahala ng Reputasyon:**
- Isaalang-alang ang pakikipag-ugnayan sa online na mga serbisyo sa pamamahala ng reputasyon upang makatulong na mapagaan ang epekto ng maling impormasyon. Ang mga serbisyong ito ay maaaring gumana upang sugpuin ang negatibong nilalaman at magsulong ng positibo, tumpak na impormasyon.
8. **Unawain ang Cybercrime Laws:**
- Pamilyar sa mga kaugnay na batas sa cybercrime sa Pilipinas, tulad ng Republic Act No. 10175 (Cybercrime Prevention Act of 2012). Ang pag-unawa sa legal na balangkas ay makakatulong sa iyo na mag-navigate sa mga potensyal na kahihinatnan at gumawa ng mga naaangkop na hakbang.
9. **Subaybayan at Tumugon sa Feedback:**
- Manatiling nakikipag-ugnayan sa online na komunidad, subaybayan ang feedback, at tumugon sa mga katanungan o alalahanin. Makakatulong ang malinaw na komunikasyon na muling buuin ang tiwala at ipakita ang iyong pangako sa katumpakan.
Mahalagang tandaan na maaaring mag-iba ang mga legal na kahihinatnan batay sa uri at epekto ng maling impormasyon. Ang pagkonsulta sa isang legal na propesyonal ay mahalaga sa pag-unawa sa mga partikular na legal na implikasyon sa iyong sitwasyon at paggawa ng mga naaangkop na hakbang upang matugunan ang mga ito.</v>
      </c>
      <c r="F789" s="2">
        <f t="shared" si="1"/>
        <v>0</v>
      </c>
      <c r="G789" s="2"/>
      <c r="H789" s="2"/>
      <c r="I789" s="2"/>
      <c r="J789" s="2"/>
      <c r="K789" s="2"/>
      <c r="L789" s="2"/>
      <c r="M789" s="2"/>
      <c r="N789" s="2"/>
      <c r="O789" s="2"/>
      <c r="P789" s="2"/>
      <c r="Q789" s="2"/>
      <c r="R789" s="2"/>
      <c r="S789" s="2"/>
      <c r="T789" s="2"/>
      <c r="U789" s="2"/>
      <c r="V789" s="2"/>
      <c r="W789" s="2"/>
      <c r="X789" s="2"/>
      <c r="Y789" s="2"/>
      <c r="Z789" s="2"/>
      <c r="AA789" s="2"/>
    </row>
    <row r="790">
      <c r="A790" s="3" t="s">
        <v>2010</v>
      </c>
      <c r="B790" s="1" t="s">
        <v>2583</v>
      </c>
      <c r="C790" s="1" t="s">
        <v>2584</v>
      </c>
      <c r="D790" s="1" t="s">
        <v>2585</v>
      </c>
      <c r="E790" s="2" t="str">
        <f>IFERROR(__xludf.DUMMYFUNCTION("GOOGLETRANSLATE(C790, ""en"", ""TL"")"),"Oo, maaari kang magkaroon ng mga batayan upang idemanda ang isang tao para sa maling impormasyon na humantong sa iyong pagkawala ng pagkakataon sa trabaho. Ang mga potensyal na legal na paghahabol ay maaaring magsama ng paninirang-puri, lalo na kung ang m"&amp;"aling impormasyon ay nakapinsala sa iyong reputasyon at nagresulta sa tiyak na pinsala, tulad ng pagkawala ng isang pagkakataon sa trabaho. Narito ang ilang pangkalahatang hakbang na dapat isaalang-alang:
1. **Idokumento ang Maling Impormasyon:**
- Mangol"&amp;"ekta ng katibayan ng maling impormasyon, kabilang ang anumang mga pahayag, komunikasyon, o aksyon na nag-ambag sa pagkawala ng pagkakataon sa trabaho. Ang dokumentasyon ay mahalaga para sa pagbuo ng isang kaso.
2. **Kumonsulta sa isang Abogado:**
- Huming"&amp;"i ng legal na payo mula sa isang abogado na dalubhasa sa paninirang-puri o batas sa trabaho. Matutulungan ka nilang maunawaan ang iyong mga karapatan, suriin ang lakas ng iyong kaso, at gabayan ka sa legal na proseso.
3. **Kilalanin ang mga Maling Pahayag"&amp;":**
- Malinaw na tukuyin ang mga maling pahayag na ginawa tungkol sa iyo at humantong sa pagkawala ng pagkakataon sa trabaho. Ito ay mahalaga para sa pagtatatag ng batayan ng iyong legal na paghahabol.
4. **Magtatag ng Mga Pinsala:**
- Ipakita kung paano "&amp;"nagdulot ng pinsala sa iyo ang maling impormasyon, lalo na sa mga tuntunin ng partikular na pagkakataon sa trabaho na nawala sa iyo. Ang pagtatatag ng mga pinsala ay isang mahalagang elemento sa maraming legal na paghahabol.
5. **Liham ng Pagtigil at Pagt"&amp;"igil:**
- Maaaring magpadala ng cease and desist letter ang iyong abogado sa indibidwal na responsable sa pagkalat ng maling impormasyon, humihingi ng pagwawasto o pag-alis ng hindi tumpak na nilalaman. Ang liham na ito ay maaaring magsilbi bilang isang p"&amp;"ormal na babala at maaaring mag-udyok sa indibidwal na tugunan ang isyu nang hindi pumunta sa korte.
6. **Maghain ng Defamation Defamation:**
- Kung ang maling impormasyon ay nagdulot ng malaking pinsala sa iyong reputasyon at nagresulta sa pagkawala ng i"&amp;"sang pagkakataon sa trabaho, maaari mong isaalang-alang ang paghahain ng kaso ng paninirang-puri. Ang paninirang-puri ay karaniwang nagsasangkot ng mga maling pahayag na nakakasira sa reputasyon ng isang indibidwal kapag ipinaalam sa mga ikatlong partido."&amp;"
7. **Konsultasyon sa mga Legal na Propesyonal:**
- Depende sa mga pangyayari, maaaring naaangkop ang iba pang mga legal na claim o depensa. Kumonsulta sa mga legal na propesyonal upang tuklasin ang lahat ng magagamit na opsyon at matukoy ang pinakamahusa"&amp;"y na paraan ng pagkilos.
Mahalagang kumilos kaagad at kumunsulta sa isang abogado na maaaring magbigay ng patnubay na partikular sa iyong hurisdiksyon at mga kalagayan. Tandaan na maaaring mag-iba ang mga batas, at maaaring kumplikado ang mga legal na pro"&amp;"seso. Tutulungan ka ng isang abogado na mag-navigate sa legal na tanawin at ituloy ang pinakaangkop na kurso ng aksyon batay sa mga detalye ng iyong sitwasyon.")</f>
        <v>Oo, maaari kang magkaroon ng mga batayan upang idemanda ang isang tao para sa maling impormasyon na humantong sa iyong pagkawala ng pagkakataon sa trabaho. Ang mga potensyal na legal na paghahabol ay maaaring magsama ng paninirang-puri, lalo na kung ang maling impormasyon ay nakapinsala sa iyong reputasyon at nagresulta sa tiyak na pinsala, tulad ng pagkawala ng isang pagkakataon sa trabaho. Narito ang ilang pangkalahatang hakbang na dapat isaalang-alang:
1. **Idokumento ang Maling Impormasyon:**
- Mangolekta ng katibayan ng maling impormasyon, kabilang ang anumang mga pahayag, komunikasyon, o aksyon na nag-ambag sa pagkawala ng pagkakataon sa trabaho. Ang dokumentasyon ay mahalaga para sa pagbuo ng isang kaso.
2. **Kumonsulta sa isang Abogado:**
- Humingi ng legal na payo mula sa isang abogado na dalubhasa sa paninirang-puri o batas sa trabaho. Matutulungan ka nilang maunawaan ang iyong mga karapatan, suriin ang lakas ng iyong kaso, at gabayan ka sa legal na proseso.
3. **Kilalanin ang mga Maling Pahayag:**
- Malinaw na tukuyin ang mga maling pahayag na ginawa tungkol sa iyo at humantong sa pagkawala ng pagkakataon sa trabaho. Ito ay mahalaga para sa pagtatatag ng batayan ng iyong legal na paghahabol.
4. **Magtatag ng Mga Pinsala:**
- Ipakita kung paano nagdulot ng pinsala sa iyo ang maling impormasyon, lalo na sa mga tuntunin ng partikular na pagkakataon sa trabaho na nawala sa iyo. Ang pagtatatag ng mga pinsala ay isang mahalagang elemento sa maraming legal na paghahabol.
5. **Liham ng Pagtigil at Pagtigil:**
- Maaaring magpadala ng cease and desist letter ang iyong abogado sa indibidwal na responsable sa pagkalat ng maling impormasyon, humihingi ng pagwawasto o pag-alis ng hindi tumpak na nilalaman. Ang liham na ito ay maaaring magsilbi bilang isang pormal na babala at maaaring mag-udyok sa indibidwal na tugunan ang isyu nang hindi pumunta sa korte.
6. **Maghain ng Defamation Defamation:**
- Kung ang maling impormasyon ay nagdulot ng malaking pinsala sa iyong reputasyon at nagresulta sa pagkawala ng isang pagkakataon sa trabaho, maaari mong isaalang-alang ang paghahain ng kaso ng paninirang-puri. Ang paninirang-puri ay karaniwang nagsasangkot ng mga maling pahayag na nakakasira sa reputasyon ng isang indibidwal kapag ipinaalam sa mga ikatlong partido.
7. **Konsultasyon sa mga Legal na Propesyonal:**
- Depende sa mga pangyayari, maaaring naaangkop ang iba pang mga legal na claim o depensa. Kumonsulta sa mga legal na propesyonal upang tuklasin ang lahat ng magagamit na opsyon at matukoy ang pinakamahusay na paraan ng pagkilos.
Mahalagang kumilos kaagad at kumunsulta sa isang abogado na maaaring magbigay ng patnubay na partikular sa iyong hurisdiksyon at mga kalagayan. Tandaan na maaaring mag-iba ang mga batas, at maaaring kumplikado ang mga legal na proseso. Tutulungan ka ng isang abogado na mag-navigate sa legal na tanawin at ituloy ang pinakaangkop na kurso ng aksyon batay sa mga detalye ng iyong sitwasyon.</v>
      </c>
      <c r="F790" s="2">
        <f t="shared" si="1"/>
        <v>0</v>
      </c>
      <c r="G790" s="2"/>
      <c r="H790" s="2"/>
      <c r="I790" s="2"/>
      <c r="J790" s="2"/>
      <c r="K790" s="2"/>
      <c r="L790" s="2"/>
      <c r="M790" s="2"/>
      <c r="N790" s="2"/>
      <c r="O790" s="2"/>
      <c r="P790" s="2"/>
      <c r="Q790" s="2"/>
      <c r="R790" s="2"/>
      <c r="S790" s="2"/>
      <c r="T790" s="2"/>
      <c r="U790" s="2"/>
      <c r="V790" s="2"/>
      <c r="W790" s="2"/>
      <c r="X790" s="2"/>
      <c r="Y790" s="2"/>
      <c r="Z790" s="2"/>
      <c r="AA790" s="2"/>
    </row>
    <row r="791">
      <c r="A791" s="3" t="s">
        <v>2010</v>
      </c>
      <c r="B791" s="1" t="s">
        <v>2586</v>
      </c>
      <c r="C791" s="1" t="s">
        <v>2587</v>
      </c>
      <c r="D791" s="1" t="s">
        <v>2588</v>
      </c>
      <c r="E791" s="2" t="str">
        <f>IFERROR(__xludf.DUMMYFUNCTION("GOOGLETRANSLATE(C791, ""en"", ""TL"")"),"Ang pagtugon sa maling impormasyon tungkol sa iyong mga kredensyal sa akademiko online ay nangangailangan ng kumbinasyon ng mga praktikal at legal na estratehiya. Narito ang mga hakbang na maaari mong gawin upang matugunan ang sitwasyon:
1. **Magtipon ng "&amp;"Ebidensya:**
- Mangolekta ng ebidensya na sumusuporta sa katumpakan ng iyong mga kredensyal sa akademya. Maaaring kabilang dito ang mga transcript, diploma, sertipiko, o anumang iba pang opisyal na dokumentasyon. Ang pagkakaroon ng talaan ng iyong aktwal "&amp;"na mga kredensyal ay mahalaga para sa pabulaanan ng maling impormasyon.
2. **I-verify ang Pinagmulan:**
- Tukuyin ang pinagmulan ng maling impormasyon. Tukuyin kung saan ipinapakalat online ang mga hindi tumpak na detalye, gaya ng mga social media platfor"&amp;"m, forum, o website.
3. **Makipag-ugnayan sa Website o Platform:**
- Makipag-ugnayan sa mga administrator o content moderator ng website o platform na nagho-host ng maling impormasyon. Maraming online na platform ang may mga mekanismo sa pag-uulat para sa"&amp;" hindi tumpak o maling nilalaman. Bigyan sila ng katibayan ng iyong tamang mga kredensyal sa akademya at hilingin ang pagtanggal o pagwawasto ng maling impormasyon.
4. **Magsumite ng Mga Kahilingan sa Legal na Pagtanggal:**
- Kung ang maling impormasyon a"&amp;"y lumalabag sa anumang mga batas o tuntunin ng serbisyo, isaalang-alang ang pagsusumite ng mga legal na kahilingan sa pagtanggal sa mga hosting provider. Maaaring kabilang dito ang pag-abiso sa mga kumpanya ng web hosting o mga registrar ng domain, lalo n"&amp;"a kung ang maling impormasyon ay nasa isang website.
5. **Mga Serbisyo sa Pamamahala ng Online na Reputasyon:**
- Makipag-ugnayan sa mga online na serbisyo sa pamamahala ng reputasyon upang makatulong na sugpuin ang negatibong nilalaman at magsulong ng tu"&amp;"mpak na impormasyon tungkol sa iyong mga kredensyal sa akademya. Ang mga serbisyong ito ay maaaring gumamit ng iba't ibang mga diskarte upang mapabuti ang iyong online na reputasyon.
6. **Mag-isyu ng Pampublikong Pahayag:**
- Pag-isipang maglabas ng pampu"&amp;"blikong pahayag sa iyong opisyal na website o mga platform ng social media na tumutugon sa maling impormasyon. Malinaw na sabihin ang iyong aktwal na mga kredensyal sa akademya at magbigay ng ebidensya upang suportahan ang iyong mga pahayag.
7. **Liham ng"&amp;" Pagtigil at Pagtigil:**
- Kung ang maling impormasyon ay nagdudulot ng malaking pinsala sa iyong reputasyon, kumunsulta sa isang abogado na dalubhasa sa paninirang-puri o batas sa internet. Maaari silang magpadala ng liham ng pagtigil at pagtigil sa indi"&amp;"bidwal na responsable, na humihiling ng pagwawasto o pag-alis ng mga maling detalye.
8. **Subaybayan at Tumugon:**
- Regular na subaybayan ang mga online na platform para sa anumang muling pagkabuhay ng maling impormasyon. Tumugon kaagad upang itama ang m"&amp;"ga kamalian at magbigay ng tumpak na impormasyon kung kinakailangan.
9. **Kumonsulta sa Mga Legal na Propesyonal:**
- Kung nagpapatuloy ang maling impormasyon o may malubhang kahihinatnan, kumunsulta sa mga legal na propesyonal upang tuklasin ang mga pote"&amp;"nsyal na legal na aksyon. Depende sa uri ng maling impormasyon, maaaring naaangkop ang mga legal na paraan tulad ng paninirang-puri o nakapipinsalang kasinungalingan.
Tandaan na ang mga batas at magagamit na mga remedyo ay maaaring mag-iba depende sa iyon"&amp;"g hurisdiksyon. Kumonsulta sa mga legal na propesyonal upang maunawaan ang mga partikular na legal na opsyon na magagamit mo at upang matukoy ang pinakamabisang diskarte batay sa iyong mga kalagayan.")</f>
        <v>Ang pagtugon sa maling impormasyon tungkol sa iyong mga kredensyal sa akademiko online ay nangangailangan ng kumbinasyon ng mga praktikal at legal na estratehiya. Narito ang mga hakbang na maaari mong gawin upang matugunan ang sitwasyon:
1. **Magtipon ng Ebidensya:**
- Mangolekta ng ebidensya na sumusuporta sa katumpakan ng iyong mga kredensyal sa akademya. Maaaring kabilang dito ang mga transcript, diploma, sertipiko, o anumang iba pang opisyal na dokumentasyon. Ang pagkakaroon ng talaan ng iyong aktwal na mga kredensyal ay mahalaga para sa pabulaanan ng maling impormasyon.
2. **I-verify ang Pinagmulan:**
- Tukuyin ang pinagmulan ng maling impormasyon. Tukuyin kung saan ipinapakalat online ang mga hindi tumpak na detalye, gaya ng mga social media platform, forum, o website.
3. **Makipag-ugnayan sa Website o Platform:**
- Makipag-ugnayan sa mga administrator o content moderator ng website o platform na nagho-host ng maling impormasyon. Maraming online na platform ang may mga mekanismo sa pag-uulat para sa hindi tumpak o maling nilalaman. Bigyan sila ng katibayan ng iyong tamang mga kredensyal sa akademya at hilingin ang pagtanggal o pagwawasto ng maling impormasyon.
4. **Magsumite ng Mga Kahilingan sa Legal na Pagtanggal:**
- Kung ang maling impormasyon ay lumalabag sa anumang mga batas o tuntunin ng serbisyo, isaalang-alang ang pagsusumite ng mga legal na kahilingan sa pagtanggal sa mga hosting provider. Maaaring kabilang dito ang pag-abiso sa mga kumpanya ng web hosting o mga registrar ng domain, lalo na kung ang maling impormasyon ay nasa isang website.
5. **Mga Serbisyo sa Pamamahala ng Online na Reputasyon:**
- Makipag-ugnayan sa mga online na serbisyo sa pamamahala ng reputasyon upang makatulong na sugpuin ang negatibong nilalaman at magsulong ng tumpak na impormasyon tungkol sa iyong mga kredensyal sa akademya. Ang mga serbisyong ito ay maaaring gumamit ng iba't ibang mga diskarte upang mapabuti ang iyong online na reputasyon.
6. **Mag-isyu ng Pampublikong Pahayag:**
- Pag-isipang maglabas ng pampublikong pahayag sa iyong opisyal na website o mga platform ng social media na tumutugon sa maling impormasyon. Malinaw na sabihin ang iyong aktwal na mga kredensyal sa akademya at magbigay ng ebidensya upang suportahan ang iyong mga pahayag.
7. **Liham ng Pagtigil at Pagtigil:**
- Kung ang maling impormasyon ay nagdudulot ng malaking pinsala sa iyong reputasyon, kumunsulta sa isang abogado na dalubhasa sa paninirang-puri o batas sa internet. Maaari silang magpadala ng liham ng pagtigil at pagtigil sa indibidwal na responsable, na humihiling ng pagwawasto o pag-alis ng mga maling detalye.
8. **Subaybayan at Tumugon:**
- Regular na subaybayan ang mga online na platform para sa anumang muling pagkabuhay ng maling impormasyon. Tumugon kaagad upang itama ang mga kamalian at magbigay ng tumpak na impormasyon kung kinakailangan.
9. **Kumonsulta sa Mga Legal na Propesyonal:**
- Kung nagpapatuloy ang maling impormasyon o may malubhang kahihinatnan, kumunsulta sa mga legal na propesyonal upang tuklasin ang mga potensyal na legal na aksyon. Depende sa uri ng maling impormasyon, maaaring naaangkop ang mga legal na paraan tulad ng paninirang-puri o nakapipinsalang kasinungalingan.
Tandaan na ang mga batas at magagamit na mga remedyo ay maaaring mag-iba depende sa iyong hurisdiksyon. Kumonsulta sa mga legal na propesyonal upang maunawaan ang mga partikular na legal na opsyon na magagamit mo at upang matukoy ang pinakamabisang diskarte batay sa iyong mga kalagayan.</v>
      </c>
      <c r="F791" s="2">
        <f t="shared" si="1"/>
        <v>0</v>
      </c>
      <c r="G791" s="2"/>
      <c r="H791" s="2"/>
      <c r="I791" s="2"/>
      <c r="J791" s="2"/>
      <c r="K791" s="2"/>
      <c r="L791" s="2"/>
      <c r="M791" s="2"/>
      <c r="N791" s="2"/>
      <c r="O791" s="2"/>
      <c r="P791" s="2"/>
      <c r="Q791" s="2"/>
      <c r="R791" s="2"/>
      <c r="S791" s="2"/>
      <c r="T791" s="2"/>
      <c r="U791" s="2"/>
      <c r="V791" s="2"/>
      <c r="W791" s="2"/>
      <c r="X791" s="2"/>
      <c r="Y791" s="2"/>
      <c r="Z791" s="2"/>
      <c r="AA791" s="2"/>
    </row>
    <row r="792">
      <c r="A792" s="3" t="s">
        <v>2010</v>
      </c>
      <c r="B792" s="1" t="s">
        <v>2589</v>
      </c>
      <c r="C792" s="1" t="s">
        <v>2590</v>
      </c>
      <c r="D792" s="1" t="s">
        <v>2591</v>
      </c>
      <c r="E792" s="2" t="str">
        <f>IFERROR(__xludf.DUMMYFUNCTION("GOOGLETRANSLATE(C792, ""en"", ""TL"")"),"Oo, maaari kang magkaroon ng mga batayan upang idemanda ang isang tao para sa maling impormasyong nai-post tungkol sa iyong pagkakasangkot sa isang komunidad o organisasyon. Kung ang maling impormasyon ay nakakasira sa iyong reputasyon at nagdudulot ng na"&amp;"kikitang pinsala, maaaring naaangkop ang mga legal na aksyon gaya ng paninirang-puri. Narito ang mga pangkalahatang hakbang na dapat isaalang-alang:
1. **Idokumento ang Maling Impormasyon:**
- Mangalap ng katibayan ng maling impormasyon, kabilang ang mga "&amp;"screenshot, link, o anumang iba pang dokumentasyon na nagpapatunay sa mga hindi tumpak na pahayag na ginawa tungkol sa iyong pagkakasangkot sa komunidad o organisasyon.
2. **Kumonsulta sa isang Abogado:**
- Humingi ng legal na payo mula sa isang abogado n"&amp;"a dalubhasa sa paninirang-puri o batas sa internet. Matutulungan ka nilang maunawaan ang iyong mga karapatan, suriin ang lakas ng iyong kaso, at gabayan ka sa legal na proseso.
3. **Liham ng Pagtigil at Pagtigil:**
- Maaaring magpadala ng cease and desist"&amp;" letter ang iyong abogado sa indibidwal na responsable sa pagkalat ng maling impormasyon, humihingi ng pagwawasto o pag-alis ng hindi tumpak na nilalaman. Ang liham na ito ay maaaring magsilbi bilang isang pormal na babala at maaaring mag-udyok sa indibid"&amp;"wal na tugunan ang isyu nang hindi pumunta sa korte.
4. **Pag-uulat sa Online na Platform:**
- Iulat ang maling impormasyon sa mga nauugnay na online platform, social media network, o website. Maraming mga platform ang may mga patakaran laban sa pagpapaka"&amp;"lat ng maling impormasyon o panliligalig.
5. **Defamation Defamation:**
- Kung ang maling impormasyon ay nagdulot ng pinsala sa iyong reputasyon at nagresulta sa nasasalat na pinsala, maaari mong isaalang-alang ang pagsasampa ng kaso ng paninirang-puri. A"&amp;"ng paninirang-puri ay karaniwang nagsasangkot ng mga maling pahayag na nakakasira sa reputasyon ng isang indibidwal kapag ipinaalam sa mga ikatlong partido.
6. **Private Figure o Public Figure:**
- Unawain ang mga legal na pamantayan para sa paninirang-pu"&amp;"ri, lalo na kung ikaw ay itinuturing na isang pribadong tao o isang pampublikong pigura. Maaaring mag-iba ang mga pamantayan, at kadalasang kailangang patunayan ng mga pampublikong tao na ang mga maling pahayag ay ginawa nang may aktwal na malisya.
7. **P"&amp;"ag-iingat ng Ebidensya:**
- Napakahalagang panatilihin ang lahat ng nauugnay na ebidensya, kabilang ang mga talaan ng maling impormasyon, anumang komunikasyong nauugnay sa pagkalat ng maling impormasyon, at ebidensya ng pinsalang dinanas.
8. **Isaalang-al"&amp;"ang ang Alternatibong Resolusyon sa Di-pagkakasundo:**
- Galugarin ang mga alternatibong mekanismo sa paglutas ng hindi pagkakaunawaan, tulad ng pamamagitan, bago gumamit ng paglilitis. Minsan ito ay maaaring humantong sa isang resolusyon nang hindi nanga"&amp;"ngailangan ng paglilitis sa korte.
9. **Subaybayan at Tumugon sa Feedback:**
- Manatiling nakikipag-ugnayan sa komunidad o organisasyon, subaybayan ang feedback, at malinaw na tumugon sa mga katanungan o alalahanin. Ang pakikipag-usap nang hayagan ay maka"&amp;"katulong sa muling pagbuo ng tiwala at ipakita ang iyong pangako sa katumpakan.
Ang mga legal na aksyon ay dapat na maingat na lapitan, at mahalagang kumunsulta sa isang abogado upang masuri ang mga detalye ng iyong kaso. Maaaring mag-iba ang mga batas, a"&amp;"t ang mga legal na proseso ay maaaring maging kumplikado, kaya ang propesyonal na legal na patnubay ay mahalaga sa pag-unawa sa mga opsyon na magagamit mo.")</f>
        <v>Oo, maaari kang magkaroon ng mga batayan upang idemanda ang isang tao para sa maling impormasyong nai-post tungkol sa iyong pagkakasangkot sa isang komunidad o organisasyon. Kung ang maling impormasyon ay nakakasira sa iyong reputasyon at nagdudulot ng nakikitang pinsala, maaaring naaangkop ang mga legal na aksyon gaya ng paninirang-puri. Narito ang mga pangkalahatang hakbang na dapat isaalang-alang:
1. **Idokumento ang Maling Impormasyon:**
- Mangalap ng katibayan ng maling impormasyon, kabilang ang mga screenshot, link, o anumang iba pang dokumentasyon na nagpapatunay sa mga hindi tumpak na pahayag na ginawa tungkol sa iyong pagkakasangkot sa komunidad o organisasyon.
2. **Kumonsulta sa isang Abogado:**
- Humingi ng legal na payo mula sa isang abogado na dalubhasa sa paninirang-puri o batas sa internet. Matutulungan ka nilang maunawaan ang iyong mga karapatan, suriin ang lakas ng iyong kaso, at gabayan ka sa legal na proseso.
3. **Liham ng Pagtigil at Pagtigil:**
- Maaaring magpadala ng cease and desist letter ang iyong abogado sa indibidwal na responsable sa pagkalat ng maling impormasyon, humihingi ng pagwawasto o pag-alis ng hindi tumpak na nilalaman. Ang liham na ito ay maaaring magsilbi bilang isang pormal na babala at maaaring mag-udyok sa indibidwal na tugunan ang isyu nang hindi pumunta sa korte.
4. **Pag-uulat sa Online na Platform:**
- Iulat ang maling impormasyon sa mga nauugnay na online platform, social media network, o website. Maraming mga platform ang may mga patakaran laban sa pagpapakalat ng maling impormasyon o panliligalig.
5. **Defamation Defamation:**
- Kung ang maling impormasyon ay nagdulot ng pinsala sa iyong reputasyon at nagresulta sa nasasalat na pinsala, maaari mong isaalang-alang ang pagsasampa ng kaso ng paninirang-puri. Ang paninirang-puri ay karaniwang nagsasangkot ng mga maling pahayag na nakakasira sa reputasyon ng isang indibidwal kapag ipinaalam sa mga ikatlong partido.
6. **Private Figure o Public Figure:**
- Unawain ang mga legal na pamantayan para sa paninirang-puri, lalo na kung ikaw ay itinuturing na isang pribadong tao o isang pampublikong pigura. Maaaring mag-iba ang mga pamantayan, at kadalasang kailangang patunayan ng mga pampublikong tao na ang mga maling pahayag ay ginawa nang may aktwal na malisya.
7. **Pag-iingat ng Ebidensya:**
- Napakahalagang panatilihin ang lahat ng nauugnay na ebidensya, kabilang ang mga talaan ng maling impormasyon, anumang komunikasyong nauugnay sa pagkalat ng maling impormasyon, at ebidensya ng pinsalang dinanas.
8. **Isaalang-alang ang Alternatibong Resolusyon sa Di-pagkakasundo:**
- Galugarin ang mga alternatibong mekanismo sa paglutas ng hindi pagkakaunawaan, tulad ng pamamagitan, bago gumamit ng paglilitis. Minsan ito ay maaaring humantong sa isang resolusyon nang hindi nangangailangan ng paglilitis sa korte.
9. **Subaybayan at Tumugon sa Feedback:**
- Manatiling nakikipag-ugnayan sa komunidad o organisasyon, subaybayan ang feedback, at malinaw na tumugon sa mga katanungan o alalahanin. Ang pakikipag-usap nang hayagan ay makakatulong sa muling pagbuo ng tiwala at ipakita ang iyong pangako sa katumpakan.
Ang mga legal na aksyon ay dapat na maingat na lapitan, at mahalagang kumunsulta sa isang abogado upang masuri ang mga detalye ng iyong kaso. Maaaring mag-iba ang mga batas, at ang mga legal na proseso ay maaaring maging kumplikado, kaya ang propesyonal na legal na patnubay ay mahalaga sa pag-unawa sa mga opsyon na magagamit mo.</v>
      </c>
      <c r="F792" s="2">
        <f t="shared" si="1"/>
        <v>0</v>
      </c>
      <c r="G792" s="2"/>
      <c r="H792" s="2"/>
      <c r="I792" s="2"/>
      <c r="J792" s="2"/>
      <c r="K792" s="2"/>
      <c r="L792" s="2"/>
      <c r="M792" s="2"/>
      <c r="N792" s="2"/>
      <c r="O792" s="2"/>
      <c r="P792" s="2"/>
      <c r="Q792" s="2"/>
      <c r="R792" s="2"/>
      <c r="S792" s="2"/>
      <c r="T792" s="2"/>
      <c r="U792" s="2"/>
      <c r="V792" s="2"/>
      <c r="W792" s="2"/>
      <c r="X792" s="2"/>
      <c r="Y792" s="2"/>
      <c r="Z792" s="2"/>
      <c r="AA792" s="2"/>
    </row>
    <row r="793">
      <c r="A793" s="3" t="s">
        <v>2010</v>
      </c>
      <c r="B793" s="1" t="s">
        <v>2592</v>
      </c>
      <c r="C793" s="1" t="s">
        <v>2593</v>
      </c>
      <c r="D793" s="1" t="s">
        <v>2594</v>
      </c>
      <c r="E793" s="2" t="str">
        <f>IFERROR(__xludf.DUMMYFUNCTION("GOOGLETRANSLATE(C793, ""en"", ""TL"")"),"Ang pagharap sa maling impormasyon tungkol sa iyong katayuan sa imigrasyon na nai-post online ay nangangailangan ng maingat at madiskarteng diskarte. Narito ang mga hakbang na maaari mong isaalang-alang:
1. **Idokumento ang Maling Impormasyon:**
- Mangole"&amp;"kta ng katibayan ng maling impormasyon, kabilang ang mga screenshot o mga link sa online na nilalaman na naglalaman ng mga kamalian tungkol sa iyong katayuan sa imigrasyon. Ang dokumentasyong ito ay mahalaga para sa pagbuo ng iyong kaso.
2. **I-verify ang"&amp;" Pinagmulan:**
- Tukuyin ang pinagmulan ng maling impormasyon. Tukuyin kung saan ipinapakalat online ang mga hindi tumpak na detalye, gaya ng mga social media platform, forum, o website.
3. **Makipag-ugnayan sa Website o Platform:**
- Makipag-ugnayan sa m"&amp;"ga administrator o content moderator ng website o platform na nagho-host ng maling impormasyon. Maraming online na platform ang may mga mekanismo sa pag-uulat para sa hindi tumpak o maling nilalaman. Bigyan sila ng katibayan ng iyong tamang katayuan sa im"&amp;"igrasyon at hilingin ang pagtanggal o pagwawasto ng maling impormasyon.
4. **Magsumite ng Mga Kahilingan sa Legal na Pagtanggal:**
- Kung ang maling impormasyon ay lumalabag sa anumang mga batas o tuntunin ng serbisyo, isaalang-alang ang pagsusumite ng mg"&amp;"a legal na kahilingan sa pagtanggal sa mga hosting provider. Maaaring kabilang dito ang pag-abiso sa mga kumpanya ng web hosting o mga registrar ng domain, lalo na kung ang maling impormasyon ay nasa isang website.
5. **Mga Serbisyo sa Pamamahala ng Onlin"&amp;"e na Reputasyon:**
- Makipag-ugnayan sa mga online na serbisyo sa pamamahala ng reputasyon upang makatulong na sugpuin ang negatibong nilalaman at magsulong ng tumpak na impormasyon tungkol sa iyong katayuan sa imigrasyon. Ang mga serbisyong ito ay maaari"&amp;"ng gumamit ng iba't ibang mga diskarte upang mapabuti ang iyong online na reputasyon.
6. **Mag-isyu ng Pampublikong Pahayag:**
- Kung kinakailangan, isaalang-alang ang paglabas ng pampublikong pahayag sa iyong opisyal na website o mga platform ng social m"&amp;"edia na tumutugon sa maling impormasyon. Malinaw na sabihin ang iyong aktwal na katayuan sa imigrasyon at magbigay ng ebidensya upang suportahan ang iyong mga pahayag.
7. **Liham ng Pagtigil at Pagtigil:**
- Kung ang maling impormasyon ay nagdudulot ng ma"&amp;"laking pinsala, kumunsulta sa isang abogado na dalubhasa sa paninirang-puri o batas sa internet. Maaari silang magpadala ng liham ng pagtigil at pagtigil sa indibidwal na responsable, na humihiling ng pagwawasto o pag-alis ng mga maling detalye.
8. **Kumo"&amp;"nsulta sa mga Legal na Propesyonal:**
- Kung nagpapatuloy ang maling impormasyon o may malubhang kahihinatnan, kumunsulta sa mga legal na propesyonal upang tuklasin ang mga potensyal na legal na aksyon. Depende sa uri ng maling impormasyon, maaaring naaan"&amp;"gkop ang mga legal na paraan gaya ng paninirang-puri, libelo, o nakapipinsalang kasinungalingan.
9. **Subaybayan at Tumugon:**
- Regular na subaybayan ang mga online na platform para sa anumang muling pagkabuhay ng maling impormasyon. Tumugon kaagad upang"&amp;" itama ang mga kamalian at magbigay ng tumpak na impormasyon kung kinakailangan.
Napakahalagang kumilos kaagad at kumunsulta sa mga legal na propesyonal upang maunawaan ang mga partikular na legal na implikasyon sa iyong hurisdiksyon at gumawa ng mga naaa"&amp;"ngkop na hakbang. Tandaan na maaaring mag-iba ang mga batas, at maaaring kumplikado ang mga legal na proseso. Tutulungan ka ng isang abogado na mag-navigate sa legal na tanawin at ituloy ang pinakaangkop na kurso ng aksyon batay sa mga detalye ng iyong si"&amp;"twasyon.")</f>
        <v>Ang pagharap sa maling impormasyon tungkol sa iyong katayuan sa imigrasyon na nai-post online ay nangangailangan ng maingat at madiskarteng diskarte. Narito ang mga hakbang na maaari mong isaalang-alang:
1. **Idokumento ang Maling Impormasyon:**
- Mangolekta ng katibayan ng maling impormasyon, kabilang ang mga screenshot o mga link sa online na nilalaman na naglalaman ng mga kamalian tungkol sa iyong katayuan sa imigrasyon. Ang dokumentasyong ito ay mahalaga para sa pagbuo ng iyong kaso.
2. **I-verify ang Pinagmulan:**
- Tukuyin ang pinagmulan ng maling impormasyon. Tukuyin kung saan ipinapakalat online ang mga hindi tumpak na detalye, gaya ng mga social media platform, forum, o website.
3. **Makipag-ugnayan sa Website o Platform:**
- Makipag-ugnayan sa mga administrator o content moderator ng website o platform na nagho-host ng maling impormasyon. Maraming online na platform ang may mga mekanismo sa pag-uulat para sa hindi tumpak o maling nilalaman. Bigyan sila ng katibayan ng iyong tamang katayuan sa imigrasyon at hilingin ang pagtanggal o pagwawasto ng maling impormasyon.
4. **Magsumite ng Mga Kahilingan sa Legal na Pagtanggal:**
- Kung ang maling impormasyon ay lumalabag sa anumang mga batas o tuntunin ng serbisyo, isaalang-alang ang pagsusumite ng mga legal na kahilingan sa pagtanggal sa mga hosting provider. Maaaring kabilang dito ang pag-abiso sa mga kumpanya ng web hosting o mga registrar ng domain, lalo na kung ang maling impormasyon ay nasa isang website.
5. **Mga Serbisyo sa Pamamahala ng Online na Reputasyon:**
- Makipag-ugnayan sa mga online na serbisyo sa pamamahala ng reputasyon upang makatulong na sugpuin ang negatibong nilalaman at magsulong ng tumpak na impormasyon tungkol sa iyong katayuan sa imigrasyon. Ang mga serbisyong ito ay maaaring gumamit ng iba't ibang mga diskarte upang mapabuti ang iyong online na reputasyon.
6. **Mag-isyu ng Pampublikong Pahayag:**
- Kung kinakailangan, isaalang-alang ang paglabas ng pampublikong pahayag sa iyong opisyal na website o mga platform ng social media na tumutugon sa maling impormasyon. Malinaw na sabihin ang iyong aktwal na katayuan sa imigrasyon at magbigay ng ebidensya upang suportahan ang iyong mga pahayag.
7. **Liham ng Pagtigil at Pagtigil:**
- Kung ang maling impormasyon ay nagdudulot ng malaking pinsala, kumunsulta sa isang abogado na dalubhasa sa paninirang-puri o batas sa internet. Maaari silang magpadala ng liham ng pagtigil at pagtigil sa indibidwal na responsable, na humihiling ng pagwawasto o pag-alis ng mga maling detalye.
8. **Kumonsulta sa mga Legal na Propesyonal:**
- Kung nagpapatuloy ang maling impormasyon o may malubhang kahihinatnan, kumunsulta sa mga legal na propesyonal upang tuklasin ang mga potensyal na legal na aksyon. Depende sa uri ng maling impormasyon, maaaring naaangkop ang mga legal na paraan gaya ng paninirang-puri, libelo, o nakapipinsalang kasinungalingan.
9. **Subaybayan at Tumugon:**
- Regular na subaybayan ang mga online na platform para sa anumang muling pagkabuhay ng maling impormasyon. Tumugon kaagad upang itama ang mga kamalian at magbigay ng tumpak na impormasyon kung kinakailangan.
Napakahalagang kumilos kaagad at kumunsulta sa mga legal na propesyonal upang maunawaan ang mga partikular na legal na implikasyon sa iyong hurisdiksyon at gumawa ng mga naaangkop na hakbang. Tandaan na maaaring mag-iba ang mga batas, at maaaring kumplikado ang mga legal na proseso. Tutulungan ka ng isang abogado na mag-navigate sa legal na tanawin at ituloy ang pinakaangkop na kurso ng aksyon batay sa mga detalye ng iyong sitwasyon.</v>
      </c>
      <c r="F793" s="2">
        <f t="shared" si="1"/>
        <v>0</v>
      </c>
      <c r="G793" s="2"/>
      <c r="H793" s="2"/>
      <c r="I793" s="2"/>
      <c r="J793" s="2"/>
      <c r="K793" s="2"/>
      <c r="L793" s="2"/>
      <c r="M793" s="2"/>
      <c r="N793" s="2"/>
      <c r="O793" s="2"/>
      <c r="P793" s="2"/>
      <c r="Q793" s="2"/>
      <c r="R793" s="2"/>
      <c r="S793" s="2"/>
      <c r="T793" s="2"/>
      <c r="U793" s="2"/>
      <c r="V793" s="2"/>
      <c r="W793" s="2"/>
      <c r="X793" s="2"/>
      <c r="Y793" s="2"/>
      <c r="Z793" s="2"/>
      <c r="AA793" s="2"/>
    </row>
    <row r="794">
      <c r="A794" s="3" t="s">
        <v>2010</v>
      </c>
      <c r="B794" s="1" t="s">
        <v>2595</v>
      </c>
      <c r="C794" s="1" t="s">
        <v>2596</v>
      </c>
      <c r="D794" s="1" t="s">
        <v>2597</v>
      </c>
      <c r="E794" s="2" t="str">
        <f>IFERROR(__xludf.DUMMYFUNCTION("GOOGLETRANSLATE(C794, ""en"", ""TL"")"),"Oo, maaari kang magkaroon ng mga batayan upang idemanda ang isang tao para sa maling impormasyon tungkol sa iyong pagkakasangkot sa isang krimen. Ang mga maling pahayag na nakakasira sa iyong reputasyon ay maaaring legal na matugunan sa pamamagitan ng mga"&amp;" claim sa paninirang-puri. Narito ang mga pangkalahatang hakbang na dapat isaalang-alang:
1. **Idokumento ang Maling Impormasyon:**
- Mangalap ng katibayan ng maling impormasyon, kabilang ang mga screenshot, link, o anumang iba pang dokumentasyon na nagpa"&amp;"patunay sa mga hindi tumpak na pahayag na ginawa tungkol sa iyong pagkakasangkot sa isang krimen.
2. **Kumonsulta sa isang Abogado:**
- Humingi ng legal na payo mula sa isang abogado na dalubhasa sa paninirang-puri o batas sa internet. Matutulungan ka nil"&amp;"ang maunawaan ang iyong mga karapatan, suriin ang lakas ng iyong kaso, at gabayan ka sa legal na proseso.
3. **Liham ng Pagtigil at Pagtigil:**
- Maaaring magpadala ng cease and desist letter ang iyong abogado sa indibidwal na responsable sa pagkalat ng m"&amp;"aling impormasyon, humihingi ng pagwawasto o pag-alis ng hindi tumpak na nilalaman. Ang liham na ito ay maaaring magsilbi bilang isang pormal na babala at maaaring mag-udyok sa indibidwal na tugunan ang isyu nang hindi pumunta sa korte.
4. **Pag-uulat sa "&amp;"Online na Platform:**
- Iulat ang maling impormasyon sa mga nauugnay na online platform, social media network, o website. Maraming mga platform ang may mga patakaran laban sa pagpapakalat ng maling impormasyon o panliligalig.
5. **Defamation Defamation:**"&amp;"
- Kung ang maling impormasyon ay nagdulot ng pinsala sa iyong reputasyon at nagresulta sa nasasalat na pinsala, maaari mong isaalang-alang ang pagsasampa ng kaso ng paninirang-puri. Ang paninirang-puri ay karaniwang nagsasangkot ng mga maling pahayag na "&amp;"nakakasira sa reputasyon ng isang indibidwal kapag ipinaalam sa mga ikatlong partido.
6. **Pag-iingat ng Ebidensya:**
- Napakahalagang panatilihin ang lahat ng nauugnay na ebidensya, kabilang ang mga talaan ng maling impormasyon, anumang komunikasyong nau"&amp;"ugnay sa pagkalat ng maling impormasyon, at ebidensya ng pinsalang dinanas.
7. **Isaalang-alang ang Alternatibong Resolusyon sa Di-pagkakasundo:**
- Galugarin ang mga alternatibong mekanismo sa paglutas ng hindi pagkakaunawaan, tulad ng pamamagitan, bago "&amp;"gumamit ng paglilitis. Minsan ito ay maaaring humantong sa isang resolusyon nang hindi nangangailangan ng paglilitis sa korte.
8. **Subaybayan at Tumugon sa Feedback:**
- Manatiling nakikipag-ugnayan sa komunidad, subaybayan ang feedback, at malinaw na tu"&amp;"mugon sa mga katanungan o alalahanin. Ang pakikipag-usap nang hayagan ay makakatulong sa muling pagbuo ng tiwala at ipakita ang iyong pangako sa katumpakan.
Ang mga legal na aksyon ay dapat na maingat na lapitan, at mahalagang kumunsulta sa isang abogado "&amp;"upang masuri ang mga detalye ng iyong kaso. Maaaring mag-iba ang mga batas, at ang mga legal na proseso ay maaaring maging kumplikado, kaya ang propesyonal na legal na patnubay ay mahalaga sa pag-unawa sa mga opsyon na magagamit mo.")</f>
        <v>Oo, maaari kang magkaroon ng mga batayan upang idemanda ang isang tao para sa maling impormasyon tungkol sa iyong pagkakasangkot sa isang krimen. Ang mga maling pahayag na nakakasira sa iyong reputasyon ay maaaring legal na matugunan sa pamamagitan ng mga claim sa paninirang-puri. Narito ang mga pangkalahatang hakbang na dapat isaalang-alang:
1. **Idokumento ang Maling Impormasyon:**
- Mangalap ng katibayan ng maling impormasyon, kabilang ang mga screenshot, link, o anumang iba pang dokumentasyon na nagpapatunay sa mga hindi tumpak na pahayag na ginawa tungkol sa iyong pagkakasangkot sa isang krimen.
2. **Kumonsulta sa isang Abogado:**
- Humingi ng legal na payo mula sa isang abogado na dalubhasa sa paninirang-puri o batas sa internet. Matutulungan ka nilang maunawaan ang iyong mga karapatan, suriin ang lakas ng iyong kaso, at gabayan ka sa legal na proseso.
3. **Liham ng Pagtigil at Pagtigil:**
- Maaaring magpadala ng cease and desist letter ang iyong abogado sa indibidwal na responsable sa pagkalat ng maling impormasyon, humihingi ng pagwawasto o pag-alis ng hindi tumpak na nilalaman. Ang liham na ito ay maaaring magsilbi bilang isang pormal na babala at maaaring mag-udyok sa indibidwal na tugunan ang isyu nang hindi pumunta sa korte.
4. **Pag-uulat sa Online na Platform:**
- Iulat ang maling impormasyon sa mga nauugnay na online platform, social media network, o website. Maraming mga platform ang may mga patakaran laban sa pagpapakalat ng maling impormasyon o panliligalig.
5. **Defamation Defamation:**
- Kung ang maling impormasyon ay nagdulot ng pinsala sa iyong reputasyon at nagresulta sa nasasalat na pinsala, maaari mong isaalang-alang ang pagsasampa ng kaso ng paninirang-puri. Ang paninirang-puri ay karaniwang nagsasangkot ng mga maling pahayag na nakakasira sa reputasyon ng isang indibidwal kapag ipinaalam sa mga ikatlong partido.
6. **Pag-iingat ng Ebidensya:**
- Napakahalagang panatilihin ang lahat ng nauugnay na ebidensya, kabilang ang mga talaan ng maling impormasyon, anumang komunikasyong nauugnay sa pagkalat ng maling impormasyon, at ebidensya ng pinsalang dinanas.
7. **Isaalang-alang ang Alternatibong Resolusyon sa Di-pagkakasundo:**
- Galugarin ang mga alternatibong mekanismo sa paglutas ng hindi pagkakaunawaan, tulad ng pamamagitan, bago gumamit ng paglilitis. Minsan ito ay maaaring humantong sa isang resolusyon nang hindi nangangailangan ng paglilitis sa korte.
8. **Subaybayan at Tumugon sa Feedback:**
- Manatiling nakikipag-ugnayan sa komunidad, subaybayan ang feedback, at malinaw na tumugon sa mga katanungan o alalahanin. Ang pakikipag-usap nang hayagan ay makakatulong sa muling pagbuo ng tiwala at ipakita ang iyong pangako sa katumpakan.
Ang mga legal na aksyon ay dapat na maingat na lapitan, at mahalagang kumunsulta sa isang abogado upang masuri ang mga detalye ng iyong kaso. Maaaring mag-iba ang mga batas, at ang mga legal na proseso ay maaaring maging kumplikado, kaya ang propesyonal na legal na patnubay ay mahalaga sa pag-unawa sa mga opsyon na magagamit mo.</v>
      </c>
      <c r="F794" s="2">
        <f t="shared" si="1"/>
        <v>0</v>
      </c>
      <c r="G794" s="2"/>
      <c r="H794" s="2"/>
      <c r="I794" s="2"/>
      <c r="J794" s="2"/>
      <c r="K794" s="2"/>
      <c r="L794" s="2"/>
      <c r="M794" s="2"/>
      <c r="N794" s="2"/>
      <c r="O794" s="2"/>
      <c r="P794" s="2"/>
      <c r="Q794" s="2"/>
      <c r="R794" s="2"/>
      <c r="S794" s="2"/>
      <c r="T794" s="2"/>
      <c r="U794" s="2"/>
      <c r="V794" s="2"/>
      <c r="W794" s="2"/>
      <c r="X794" s="2"/>
      <c r="Y794" s="2"/>
      <c r="Z794" s="2"/>
      <c r="AA794" s="2"/>
    </row>
    <row r="795">
      <c r="A795" s="3" t="s">
        <v>2010</v>
      </c>
      <c r="B795" s="1" t="s">
        <v>2598</v>
      </c>
      <c r="C795" s="1" t="s">
        <v>2599</v>
      </c>
      <c r="D795" s="1" t="s">
        <v>2600</v>
      </c>
      <c r="E795" s="2" t="str">
        <f>IFERROR(__xludf.DUMMYFUNCTION("GOOGLETRANSLATE(C795, ""en"", ""TL"")"),"Ang pangangasiwa ng maling impormasyon tungkol sa iyong sekswal na oryentasyon o pagkakakilanlang pangkasarian online ay nangangailangan ng maalalahanin at madiskarteng diskarte. Narito ang mga hakbang na maaari mong isaalang-alang:
1. **Idokumento ang Ma"&amp;"ling Impormasyon:**
- Mangolekta ng katibayan ng maling impormasyon, kabilang ang mga screenshot, link, o anumang iba pang dokumentasyon na nagpapatunay sa mga hindi tumpak na pahayag na ginawa tungkol sa iyong sekswal na oryentasyon o pagkakakilanlan ng "&amp;"kasarian.
2. **I-verify ang Pinagmulan:**
- Tukuyin ang pinagmulan ng maling impormasyon. Tukuyin kung saan ipinapakalat online ang mga hindi tumpak na detalye, gaya ng mga social media platform, forum, o website.
3. **Makipag-ugnayan sa Website o Platfor"&amp;"m:**
- Makipag-ugnayan sa mga administrator o content moderator ng website o platform na nagho-host ng maling impormasyon. Maraming online na platform ang may mga mekanismo sa pag-uulat para sa hindi tumpak o maling nilalaman. Bigyan sila ng ebidensya ng "&amp;"tamang impormasyon at hilingin ang pagtanggal o pagwawasto ng mga maling detalye.
4. **Magsumite ng Mga Kahilingan sa Legal na Pagtanggal:**
- Kung ang maling impormasyon ay lumalabag sa anumang mga batas o tuntunin ng serbisyo, isaalang-alang ang pagsusu"&amp;"mite ng mga legal na kahilingan sa pagtanggal sa mga hosting provider. Maaaring kabilang dito ang pag-abiso sa mga kumpanya ng web hosting o mga registrar ng domain, lalo na kung ang maling impormasyon ay nasa isang website.
5. **Mga Serbisyo sa Pamamahal"&amp;"a ng Online na Reputasyon:**
- Makipag-ugnayan sa mga online na serbisyo sa pamamahala ng reputasyon upang makatulong na sugpuin ang negatibong nilalaman at i-promote ang tumpak na impormasyon tungkol sa iyong oryentasyong sekswal o pagkakakilanlang pangk"&amp;"asarian. Ang mga serbisyong ito ay maaaring gumamit ng iba't ibang mga diskarte upang mapabuti ang iyong online na reputasyon.
6. **Mag-isyu ng Pampublikong Pahayag:**
- Kung kinakailangan, isaalang-alang ang paglabas ng pampublikong pahayag sa iyong opis"&amp;"yal na website o mga platform ng social media na tumutugon sa maling impormasyon. Malinaw na sabihin ang iyong aktwal na oryentasyong sekswal o pagkakakilanlang pangkasarian at magbigay ng ebidensya upang suportahan ang iyong mga pahayag.
7. **Liham ng Pa"&amp;"gtigil at Pagtigil:**
- Kung ang maling impormasyon ay nagdudulot ng malaking pinsala, kumunsulta sa isang abogado na dalubhasa sa paninirang-puri o batas sa internet. Maaari silang magpadala ng liham ng pagtigil at pagtigil sa indibidwal na responsable, "&amp;"na humihiling ng pagwawasto o pag-alis ng mga maling detalye.
8. **Kumonsulta sa mga Legal na Propesyonal:**
- Kung nagpapatuloy ang maling impormasyon o may malubhang kahihinatnan, kumunsulta sa mga legal na propesyonal upang tuklasin ang mga potensyal n"&amp;"a legal na aksyon. Depende sa uri ng maling impormasyon, maaaring naaangkop ang mga legal na paraan gaya ng paninirang-puri, libelo, o nakapipinsalang kasinungalingan.
9. **Subaybayan at Tumugon:**
- Regular na subaybayan ang mga online na platform para s"&amp;"a anumang muling pagkabuhay ng maling impormasyon. Tumugon kaagad upang itama ang mga kamalian at magbigay ng tumpak na impormasyon kung kinakailangan.
Napakahalagang kumilos kaagad at kumunsulta sa mga legal na propesyonal upang maunawaan ang mga partiku"&amp;"lar na legal na implikasyon sa iyong hurisdiksyon at gumawa ng mga naaangkop na hakbang. Tandaan na maaaring mag-iba ang mga batas, at maaaring kumplikado ang mga legal na proseso. Tutulungan ka ng isang abogado na mag-navigate sa legal na tanawin at itul"&amp;"oy ang pinakaangkop na kurso ng aksyon batay sa mga detalye ng iyong sitwasyon.")</f>
        <v>Ang pangangasiwa ng maling impormasyon tungkol sa iyong sekswal na oryentasyon o pagkakakilanlang pangkasarian online ay nangangailangan ng maalalahanin at madiskarteng diskarte. Narito ang mga hakbang na maaari mong isaalang-alang:
1. **Idokumento ang Maling Impormasyon:**
- Mangolekta ng katibayan ng maling impormasyon, kabilang ang mga screenshot, link, o anumang iba pang dokumentasyon na nagpapatunay sa mga hindi tumpak na pahayag na ginawa tungkol sa iyong sekswal na oryentasyon o pagkakakilanlan ng kasarian.
2. **I-verify ang Pinagmulan:**
- Tukuyin ang pinagmulan ng maling impormasyon. Tukuyin kung saan ipinapakalat online ang mga hindi tumpak na detalye, gaya ng mga social media platform, forum, o website.
3. **Makipag-ugnayan sa Website o Platform:**
- Makipag-ugnayan sa mga administrator o content moderator ng website o platform na nagho-host ng maling impormasyon. Maraming online na platform ang may mga mekanismo sa pag-uulat para sa hindi tumpak o maling nilalaman. Bigyan sila ng ebidensya ng tamang impormasyon at hilingin ang pagtanggal o pagwawasto ng mga maling detalye.
4. **Magsumite ng Mga Kahilingan sa Legal na Pagtanggal:**
- Kung ang maling impormasyon ay lumalabag sa anumang mga batas o tuntunin ng serbisyo, isaalang-alang ang pagsusumite ng mga legal na kahilingan sa pagtanggal sa mga hosting provider. Maaaring kabilang dito ang pag-abiso sa mga kumpanya ng web hosting o mga registrar ng domain, lalo na kung ang maling impormasyon ay nasa isang website.
5. **Mga Serbisyo sa Pamamahala ng Online na Reputasyon:**
- Makipag-ugnayan sa mga online na serbisyo sa pamamahala ng reputasyon upang makatulong na sugpuin ang negatibong nilalaman at i-promote ang tumpak na impormasyon tungkol sa iyong oryentasyong sekswal o pagkakakilanlang pangkasarian. Ang mga serbisyong ito ay maaaring gumamit ng iba't ibang mga diskarte upang mapabuti ang iyong online na reputasyon.
6. **Mag-isyu ng Pampublikong Pahayag:**
- Kung kinakailangan, isaalang-alang ang paglabas ng pampublikong pahayag sa iyong opisyal na website o mga platform ng social media na tumutugon sa maling impormasyon. Malinaw na sabihin ang iyong aktwal na oryentasyong sekswal o pagkakakilanlang pangkasarian at magbigay ng ebidensya upang suportahan ang iyong mga pahayag.
7. **Liham ng Pagtigil at Pagtigil:**
- Kung ang maling impormasyon ay nagdudulot ng malaking pinsala, kumunsulta sa isang abogado na dalubhasa sa paninirang-puri o batas sa internet. Maaari silang magpadala ng liham ng pagtigil at pagtigil sa indibidwal na responsable, na humihiling ng pagwawasto o pag-alis ng mga maling detalye.
8. **Kumonsulta sa mga Legal na Propesyonal:**
- Kung nagpapatuloy ang maling impormasyon o may malubhang kahihinatnan, kumunsulta sa mga legal na propesyonal upang tuklasin ang mga potensyal na legal na aksyon. Depende sa uri ng maling impormasyon, maaaring naaangkop ang mga legal na paraan gaya ng paninirang-puri, libelo, o nakapipinsalang kasinungalingan.
9. **Subaybayan at Tumugon:**
- Regular na subaybayan ang mga online na platform para sa anumang muling pagkabuhay ng maling impormasyon. Tumugon kaagad upang itama ang mga kamalian at magbigay ng tumpak na impormasyon kung kinakailangan.
Napakahalagang kumilos kaagad at kumunsulta sa mga legal na propesyonal upang maunawaan ang mga partikular na legal na implikasyon sa iyong hurisdiksyon at gumawa ng mga naaangkop na hakbang. Tandaan na maaaring mag-iba ang mga batas, at maaaring kumplikado ang mga legal na proseso. Tutulungan ka ng isang abogado na mag-navigate sa legal na tanawin at ituloy ang pinakaangkop na kurso ng aksyon batay sa mga detalye ng iyong sitwasyon.</v>
      </c>
      <c r="F795" s="2">
        <f t="shared" si="1"/>
        <v>0</v>
      </c>
      <c r="G795" s="2"/>
      <c r="H795" s="2"/>
      <c r="I795" s="2"/>
      <c r="J795" s="2"/>
      <c r="K795" s="2"/>
      <c r="L795" s="2"/>
      <c r="M795" s="2"/>
      <c r="N795" s="2"/>
      <c r="O795" s="2"/>
      <c r="P795" s="2"/>
      <c r="Q795" s="2"/>
      <c r="R795" s="2"/>
      <c r="S795" s="2"/>
      <c r="T795" s="2"/>
      <c r="U795" s="2"/>
      <c r="V795" s="2"/>
      <c r="W795" s="2"/>
      <c r="X795" s="2"/>
      <c r="Y795" s="2"/>
      <c r="Z795" s="2"/>
      <c r="AA795" s="2"/>
    </row>
    <row r="796">
      <c r="A796" s="3" t="s">
        <v>2010</v>
      </c>
      <c r="B796" s="1" t="s">
        <v>2601</v>
      </c>
      <c r="C796" s="1" t="s">
        <v>2602</v>
      </c>
      <c r="D796" s="1" t="s">
        <v>2603</v>
      </c>
      <c r="E796" s="2" t="str">
        <f>IFERROR(__xludf.DUMMYFUNCTION("GOOGLETRANSLATE(C796, ""en"", ""TL"")"),"Oo, maaari kang magkaroon ng mga batayan upang idemanda ang isang tao para sa pag-post ng maling impormasyon tungkol sa iyong mga kaakibat sa pulitika online. Ang mga maling pahayag na nakakasira sa iyong reputasyon ay maaaring legal na matugunan sa pamam"&amp;"agitan ng mga claim sa paninirang-puri. Narito ang mga pangkalahatang hakbang na dapat isaalang-alang:
1. **Idokumento ang Maling Impormasyon:**
- Magtipon ng katibayan ng maling impormasyon, kabilang ang mga screenshot, link, o anumang iba pang dokumenta"&amp;"syon na nagpapatunay sa mga hindi tumpak na pahayag na ginawa tungkol sa iyong mga kaugnayan sa pulitika.
2. **I-verify ang Pinagmulan:**
- Tukuyin ang pinagmulan ng maling impormasyon. Tukuyin kung saan ipinapakalat online ang mga hindi tumpak na detalye"&amp;", gaya ng mga social media platform, forum, o website.
3. **Makipag-ugnayan sa Website o Platform:**
- Makipag-ugnayan sa mga administrator o content moderator ng website o platform na nagho-host ng maling impormasyon. Maraming online na platform ang may "&amp;"mga mekanismo sa pag-uulat para sa hindi tumpak o maling nilalaman. Bigyan sila ng katibayan ng iyong mga tamang kaakibat sa pulitika at hilingin ang pagtanggal o pagwawasto ng mga maling detalye.
4. **Magsumite ng Mga Kahilingan sa Legal na Pagtanggal:**"&amp;"
- Kung ang maling impormasyon ay lumalabag sa anumang mga batas o tuntunin ng serbisyo, isaalang-alang ang pagsusumite ng mga legal na kahilingan sa pagtanggal sa mga hosting provider. Maaaring kabilang dito ang pag-abiso sa mga kumpanya ng web hosting o"&amp;" mga registrar ng domain, lalo na kung ang maling impormasyon ay nasa isang website.
5. **Mga Serbisyo sa Pamamahala ng Online na Reputasyon:**
- Makipag-ugnayan sa mga online na serbisyo sa pamamahala ng reputasyon upang makatulong na sugpuin ang negatib"&amp;"ong nilalaman at i-promote ang tumpak na impormasyon tungkol sa iyong mga kaakibat sa pulitika. Ang mga serbisyong ito ay maaaring gumamit ng iba't ibang mga diskarte upang mapabuti ang iyong online na reputasyon.
6. **Mag-isyu ng Pampublikong Pahayag:**
"&amp;"- Kung kinakailangan, isaalang-alang ang paglabas ng pampublikong pahayag sa iyong opisyal na website o mga platform ng social media na tumutugon sa maling impormasyon. Malinaw na sabihin ang iyong aktwal na mga kaakibat sa pulitika at magbigay ng ebidens"&amp;"ya upang suportahan ang iyong mga pahayag.
7. **Liham ng Pagtigil at Pagtigil:**
- Kung ang maling impormasyon ay nagdudulot ng malaking pinsala, kumunsulta sa isang abogado na dalubhasa sa paninirang-puri o batas sa internet. Maaari silang magpadala ng l"&amp;"iham ng pagtigil at pagtigil sa indibidwal na responsable, na humihiling ng pagwawasto o pag-alis ng mga maling detalye.
8. **Kumonsulta sa mga Legal na Propesyonal:**
- Kung nagpapatuloy ang maling impormasyon o may malubhang kahihinatnan, kumunsulta sa "&amp;"mga legal na propesyonal upang tuklasin ang mga potensyal na legal na aksyon. Depende sa uri ng maling impormasyon, maaaring naaangkop ang mga legal na paraan gaya ng paninirang-puri, libelo, o nakapipinsalang kasinungalingan.
9. **Subaybayan at Tumugon:*"&amp;"*
- Regular na subaybayan ang mga online na platform para sa anumang muling pagkabuhay ng maling impormasyon. Tumugon kaagad upang itama ang mga kamalian at magbigay ng tumpak na impormasyon kung kinakailangan.
Napakahalagang kumilos kaagad at kumunsulta "&amp;"sa mga legal na propesyonal upang maunawaan ang mga partikular na legal na implikasyon sa iyong hurisdiksyon at gumawa ng mga naaangkop na hakbang. Tandaan na maaaring mag-iba ang mga batas, at maaaring kumplikado ang mga legal na proseso. Tutulungan ka n"&amp;"g isang abogado na mag-navigate sa legal na tanawin at ituloy ang pinakaangkop na kurso ng aksyon batay sa mga detalye ng iyong sitwasyon.")</f>
        <v>Oo, maaari kang magkaroon ng mga batayan upang idemanda ang isang tao para sa pag-post ng maling impormasyon tungkol sa iyong mga kaakibat sa pulitika online. Ang mga maling pahayag na nakakasira sa iyong reputasyon ay maaaring legal na matugunan sa pamamagitan ng mga claim sa paninirang-puri. Narito ang mga pangkalahatang hakbang na dapat isaalang-alang:
1. **Idokumento ang Maling Impormasyon:**
- Magtipon ng katibayan ng maling impormasyon, kabilang ang mga screenshot, link, o anumang iba pang dokumentasyon na nagpapatunay sa mga hindi tumpak na pahayag na ginawa tungkol sa iyong mga kaugnayan sa pulitika.
2. **I-verify ang Pinagmulan:**
- Tukuyin ang pinagmulan ng maling impormasyon. Tukuyin kung saan ipinapakalat online ang mga hindi tumpak na detalye, gaya ng mga social media platform, forum, o website.
3. **Makipag-ugnayan sa Website o Platform:**
- Makipag-ugnayan sa mga administrator o content moderator ng website o platform na nagho-host ng maling impormasyon. Maraming online na platform ang may mga mekanismo sa pag-uulat para sa hindi tumpak o maling nilalaman. Bigyan sila ng katibayan ng iyong mga tamang kaakibat sa pulitika at hilingin ang pagtanggal o pagwawasto ng mga maling detalye.
4. **Magsumite ng Mga Kahilingan sa Legal na Pagtanggal:**
- Kung ang maling impormasyon ay lumalabag sa anumang mga batas o tuntunin ng serbisyo, isaalang-alang ang pagsusumite ng mga legal na kahilingan sa pagtanggal sa mga hosting provider. Maaaring kabilang dito ang pag-abiso sa mga kumpanya ng web hosting o mga registrar ng domain, lalo na kung ang maling impormasyon ay nasa isang website.
5. **Mga Serbisyo sa Pamamahala ng Online na Reputasyon:**
- Makipag-ugnayan sa mga online na serbisyo sa pamamahala ng reputasyon upang makatulong na sugpuin ang negatibong nilalaman at i-promote ang tumpak na impormasyon tungkol sa iyong mga kaakibat sa pulitika. Ang mga serbisyong ito ay maaaring gumamit ng iba't ibang mga diskarte upang mapabuti ang iyong online na reputasyon.
6. **Mag-isyu ng Pampublikong Pahayag:**
- Kung kinakailangan, isaalang-alang ang paglabas ng pampublikong pahayag sa iyong opisyal na website o mga platform ng social media na tumutugon sa maling impormasyon. Malinaw na sabihin ang iyong aktwal na mga kaakibat sa pulitika at magbigay ng ebidensya upang suportahan ang iyong mga pahayag.
7. **Liham ng Pagtigil at Pagtigil:**
- Kung ang maling impormasyon ay nagdudulot ng malaking pinsala, kumunsulta sa isang abogado na dalubhasa sa paninirang-puri o batas sa internet. Maaari silang magpadala ng liham ng pagtigil at pagtigil sa indibidwal na responsable, na humihiling ng pagwawasto o pag-alis ng mga maling detalye.
8. **Kumonsulta sa mga Legal na Propesyonal:**
- Kung nagpapatuloy ang maling impormasyon o may malubhang kahihinatnan, kumunsulta sa mga legal na propesyonal upang tuklasin ang mga potensyal na legal na aksyon. Depende sa uri ng maling impormasyon, maaaring naaangkop ang mga legal na paraan gaya ng paninirang-puri, libelo, o nakapipinsalang kasinungalingan.
9. **Subaybayan at Tumugon:**
- Regular na subaybayan ang mga online na platform para sa anumang muling pagkabuhay ng maling impormasyon. Tumugon kaagad upang itama ang mga kamalian at magbigay ng tumpak na impormasyon kung kinakailangan.
Napakahalagang kumilos kaagad at kumunsulta sa mga legal na propesyonal upang maunawaan ang mga partikular na legal na implikasyon sa iyong hurisdiksyon at gumawa ng mga naaangkop na hakbang. Tandaan na maaaring mag-iba ang mga batas, at maaaring kumplikado ang mga legal na proseso. Tutulungan ka ng isang abogado na mag-navigate sa legal na tanawin at ituloy ang pinakaangkop na kurso ng aksyon batay sa mga detalye ng iyong sitwasyon.</v>
      </c>
      <c r="F796" s="2">
        <f t="shared" si="1"/>
        <v>0</v>
      </c>
      <c r="G796" s="2"/>
      <c r="H796" s="2"/>
      <c r="I796" s="2"/>
      <c r="J796" s="2"/>
      <c r="K796" s="2"/>
      <c r="L796" s="2"/>
      <c r="M796" s="2"/>
      <c r="N796" s="2"/>
      <c r="O796" s="2"/>
      <c r="P796" s="2"/>
      <c r="Q796" s="2"/>
      <c r="R796" s="2"/>
      <c r="S796" s="2"/>
      <c r="T796" s="2"/>
      <c r="U796" s="2"/>
      <c r="V796" s="2"/>
      <c r="W796" s="2"/>
      <c r="X796" s="2"/>
      <c r="Y796" s="2"/>
      <c r="Z796" s="2"/>
      <c r="AA796" s="2"/>
    </row>
    <row r="797">
      <c r="A797" s="3" t="s">
        <v>2010</v>
      </c>
      <c r="B797" s="1" t="s">
        <v>2604</v>
      </c>
      <c r="C797" s="1" t="s">
        <v>2605</v>
      </c>
      <c r="D797" s="1" t="s">
        <v>2606</v>
      </c>
      <c r="E797" s="2" t="str">
        <f>IFERROR(__xludf.DUMMYFUNCTION("GOOGLETRANSLATE(C797, ""en"", ""TL"")"),"Ang legal na pagtugon sa maling impormasyong nai-post ng isang kakumpitensya na may layuning siraan ang iyong negosyo ay nagsasangkot ng maingat at madiskarteng diskarte. Narito ang mga hakbang na maaari mong isaalang-alang:
1. **Idokumento ang Maling Imp"&amp;"ormasyon:**
- Mangalap ng ebidensya ng maling impormasyon, kabilang ang mga screenshot, link, o anumang iba pang dokumentasyon na nagpapatunay sa mga hindi tumpak na pahayag na ginawa ng iyong katunggali.
2. **I-verify ang Pinagmulan:**
- Tukuyin kung saa"&amp;"n ipinapakalat ang maling impormasyon, tulad ng sa mga platform ng social media, mga website ng pagsusuri, o iba pang mga online na forum.
3. **Makipag-ugnayan sa Platform:**
- Makipag-ugnayan sa mga administrator o content moderator ng platform na nagho-"&amp;"host ng maling impormasyon. Maraming mga platform ang may mga mekanismo sa pag-uulat para sa hindi tumpak o maling nilalaman. Bigyan sila ng ebidensya ng tamang impormasyon at hilingin ang pagtanggal o pagwawasto ng mga maling detalye.
4. **Mga Serbisyo s"&amp;"a Pamamahala ng Online na Reputasyon:**
- Makipag-ugnayan sa mga online na serbisyo sa pamamahala ng reputasyon upang makatulong na sugpuin ang negatibong nilalaman at magsulong ng tumpak na impormasyon tungkol sa iyong negosyo. Ang mga serbisyong ito ay "&amp;"maaaring gumamit ng iba't ibang mga diskarte upang mapabuti ang iyong online na reputasyon.
5. **Liham ng Pagtigil at Pagtigil:**
- Kumonsulta sa isang abogado na dalubhasa sa paninirang-puri o batas sa negosyo. Kung ang maling impormasyon ay nagdudulot n"&amp;"g malaking pinsala sa iyong negosyo, maaari silang magpadala ng liham ng pagtigil at pagtigil sa iyong katunggali, na humihiling ng pagwawasto o pag-alis ng mga maling detalye.
6. **Defamation Lawsuit:**
- Kung ang maling impormasyon ay nagdulot ng malaki"&amp;"ng pinsala sa iyong negosyo at reputasyon, maaari mong isaalang-alang ang pagsasampa ng demanda sa paninirang-puri. Kumonsulta sa iyong abogado upang matukoy ang posibilidad ng legal na aksyon batay sa mga batas sa paninirang-puri.
7. **Magsiyasat at Magt"&amp;"ipon ng Ebidensya:**
- Makipagtulungan sa iyong abogado upang magsagawa ng masusing pagsisiyasat sa mga maling pahayag. Magtipon ng ebidensya ng epekto sa iyong negosyo, kabilang ang anumang pagkalugi sa pananalapi o pinsala sa iyong reputasyon.
8. **Alte"&amp;"rnatibong Resolusyon sa Di-pagkakasundo:**
- Galugarin ang mga alternatibong mekanismo sa paglutas ng hindi pagkakaunawaan, tulad ng pamamagitan o arbitrasyon, bago gumamit ng paglilitis. Ang mga pamamaraang ito ay maaaring magbigay ng paraan upang maluta"&amp;"s ang hindi pagkakaunawaan nang hindi dumadaan sa mahabang proseso ng korte.
9. **Makipag-ugnay sa Positibong Impormasyon:**
- Mag-publish ng tumpak at positibong impormasyon tungkol sa iyong negosyo upang malabanan ang negatibong epekto ng maling imporma"&amp;"syon. Maaaring kabilang dito ang mga update sa iyong website, social media, at iba pang online na platform.
10. **Subaybayan at Tumugon:**
- Regular na subaybayan ang mga online na platform para sa anumang muling pagkabuhay ng maling impormasyon. Tumugon "&amp;"kaagad upang itama ang mga kamalian at magbigay ng tumpak na impormasyon kung kinakailangan.
Napakahalagang kumilos kaagad at kumunsulta sa mga legal na propesyonal upang maunawaan ang mga partikular na legal na implikasyon sa iyong hurisdiksyon at gumawa"&amp;" ng mga naaangkop na hakbang. Tandaan na maaaring mag-iba ang mga batas, at maaaring kumplikado ang mga legal na proseso. Tutulungan ka ng isang abogado na mag-navigate sa legal na tanawin at ituloy ang pinakaangkop na kurso ng aksyon batay sa mga detalye"&amp;" ng iyong sitwasyon.")</f>
        <v>Ang legal na pagtugon sa maling impormasyong nai-post ng isang kakumpitensya na may layuning siraan ang iyong negosyo ay nagsasangkot ng maingat at madiskarteng diskarte. Narito ang mga hakbang na maaari mong isaalang-alang:
1. **Idokumento ang Maling Impormasyon:**
- Mangalap ng ebidensya ng maling impormasyon, kabilang ang mga screenshot, link, o anumang iba pang dokumentasyon na nagpapatunay sa mga hindi tumpak na pahayag na ginawa ng iyong katunggali.
2. **I-verify ang Pinagmulan:**
- Tukuyin kung saan ipinapakalat ang maling impormasyon, tulad ng sa mga platform ng social media, mga website ng pagsusuri, o iba pang mga online na forum.
3. **Makipag-ugnayan sa Platform:**
- Makipag-ugnayan sa mga administrator o content moderator ng platform na nagho-host ng maling impormasyon. Maraming mga platform ang may mga mekanismo sa pag-uulat para sa hindi tumpak o maling nilalaman. Bigyan sila ng ebidensya ng tamang impormasyon at hilingin ang pagtanggal o pagwawasto ng mga maling detalye.
4. **Mga Serbisyo sa Pamamahala ng Online na Reputasyon:**
- Makipag-ugnayan sa mga online na serbisyo sa pamamahala ng reputasyon upang makatulong na sugpuin ang negatibong nilalaman at magsulong ng tumpak na impormasyon tungkol sa iyong negosyo. Ang mga serbisyong ito ay maaaring gumamit ng iba't ibang mga diskarte upang mapabuti ang iyong online na reputasyon.
5. **Liham ng Pagtigil at Pagtigil:**
- Kumonsulta sa isang abogado na dalubhasa sa paninirang-puri o batas sa negosyo. Kung ang maling impormasyon ay nagdudulot ng malaking pinsala sa iyong negosyo, maaari silang magpadala ng liham ng pagtigil at pagtigil sa iyong katunggali, na humihiling ng pagwawasto o pag-alis ng mga maling detalye.
6. **Defamation Lawsuit:**
- Kung ang maling impormasyon ay nagdulot ng malaking pinsala sa iyong negosyo at reputasyon, maaari mong isaalang-alang ang pagsasampa ng demanda sa paninirang-puri. Kumonsulta sa iyong abogado upang matukoy ang posibilidad ng legal na aksyon batay sa mga batas sa paninirang-puri.
7. **Magsiyasat at Magtipon ng Ebidensya:**
- Makipagtulungan sa iyong abogado upang magsagawa ng masusing pagsisiyasat sa mga maling pahayag. Magtipon ng ebidensya ng epekto sa iyong negosyo, kabilang ang anumang pagkalugi sa pananalapi o pinsala sa iyong reputasyon.
8. **Alternatibong Resolusyon sa Di-pagkakasundo:**
- Galugarin ang mga alternatibong mekanismo sa paglutas ng hindi pagkakaunawaan, tulad ng pamamagitan o arbitrasyon, bago gumamit ng paglilitis. Ang mga pamamaraang ito ay maaaring magbigay ng paraan upang malutas ang hindi pagkakaunawaan nang hindi dumadaan sa mahabang proseso ng korte.
9. **Makipag-ugnay sa Positibong Impormasyon:**
- Mag-publish ng tumpak at positibong impormasyon tungkol sa iyong negosyo upang malabanan ang negatibong epekto ng maling impormasyon. Maaaring kabilang dito ang mga update sa iyong website, social media, at iba pang online na platform.
10. **Subaybayan at Tumugon:**
- Regular na subaybayan ang mga online na platform para sa anumang muling pagkabuhay ng maling impormasyon. Tumugon kaagad upang itama ang mga kamalian at magbigay ng tumpak na impormasyon kung kinakailangan.
Napakahalagang kumilos kaagad at kumunsulta sa mga legal na propesyonal upang maunawaan ang mga partikular na legal na implikasyon sa iyong hurisdiksyon at gumawa ng mga naaangkop na hakbang. Tandaan na maaaring mag-iba ang mga batas, at maaaring kumplikado ang mga legal na proseso. Tutulungan ka ng isang abogado na mag-navigate sa legal na tanawin at ituloy ang pinakaangkop na kurso ng aksyon batay sa mga detalye ng iyong sitwasyon.</v>
      </c>
      <c r="F797" s="2">
        <f t="shared" si="1"/>
        <v>0</v>
      </c>
      <c r="G797" s="2"/>
      <c r="H797" s="2"/>
      <c r="I797" s="2"/>
      <c r="J797" s="2"/>
      <c r="K797" s="2"/>
      <c r="L797" s="2"/>
      <c r="M797" s="2"/>
      <c r="N797" s="2"/>
      <c r="O797" s="2"/>
      <c r="P797" s="2"/>
      <c r="Q797" s="2"/>
      <c r="R797" s="2"/>
      <c r="S797" s="2"/>
      <c r="T797" s="2"/>
      <c r="U797" s="2"/>
      <c r="V797" s="2"/>
      <c r="W797" s="2"/>
      <c r="X797" s="2"/>
      <c r="Y797" s="2"/>
      <c r="Z797" s="2"/>
      <c r="AA797" s="2"/>
    </row>
    <row r="798">
      <c r="A798" s="3" t="s">
        <v>2010</v>
      </c>
      <c r="B798" s="1" t="s">
        <v>2607</v>
      </c>
      <c r="C798" s="1" t="s">
        <v>2608</v>
      </c>
      <c r="D798" s="1" t="s">
        <v>2609</v>
      </c>
      <c r="E798" s="2" t="str">
        <f>IFERROR(__xludf.DUMMYFUNCTION("GOOGLETRANSLATE(C798, ""en"", ""TL"")"),"Oo, maaari kang magkaroon ng mga batayan upang idemanda ang isang tao para sa pagkalat ng maling impormasyon na nakaapekto sa iyong mga relasyon o personal na buhay. Ang mga maling pahayag na nakakasira sa iyong reputasyon ay maaaring legal na matugunan s"&amp;"a pamamagitan ng mga claim sa paninirang-puri. Narito ang mga pangkalahatang hakbang na dapat isaalang-alang:
1. **Idokumento ang Maling Impormasyon:**
- Mangalap ng ebidensya ng maling impormasyon, kabilang ang mga screenshot, link, o anumang iba pang do"&amp;"kumentasyon na nagpapatunay sa mga hindi tumpak na pahayag na ginawa tungkol sa iyo.
2. **I-verify ang Pinagmulan:**
- Tukuyin kung saan ipinapakalat ang maling impormasyon, tulad ng sa mga platform ng social media, mga online na forum, o iba pang mga web"&amp;"site.
3. **Makipag-ugnayan sa Platform:**
- Makipag-ugnayan sa mga administrator o content moderator ng platform na nagho-host ng maling impormasyon. Maraming online na platform ang may mga mekanismo sa pag-uulat para sa hindi tumpak o maling nilalaman. B"&amp;"igyan sila ng ebidensya ng tamang impormasyon at hilingin ang pagtanggal o pagwawasto ng mga maling detalye.
4. **Mga Serbisyo sa Pamamahala ng Online na Reputasyon:**
- Makipag-ugnayan sa mga online na serbisyo sa pamamahala ng reputasyon upang makatulon"&amp;"g na sugpuin ang negatibong nilalaman at magsulong ng tumpak na impormasyon tungkol sa iyo. Ang mga serbisyong ito ay maaaring gumamit ng iba't ibang mga diskarte upang mapabuti ang iyong online na reputasyon.
5. **Liham ng Pagtigil at Pagtigil:**
- Kumon"&amp;"sulta sa isang abogado na dalubhasa sa paninirang-puri o batas sa internet. Kung ang maling impormasyon ay nagdudulot ng malaking pinsala sa iyong mga relasyon o personal na buhay, maaari silang magpadala ng liham ng pagtigil at pagtigil sa indibidwal na "&amp;"responsable, na humihiling ng pagwawasto o pag-alis ng mga maling detalye.
6. **Defamation Lawsuit:**
- Kung ang maling impormasyon ay nagdulot ng malaking pinsala sa iyong personal na buhay at reputasyon, maaari mong isaalang-alang ang paghahain ng deman"&amp;"da sa paninirang-puri. Kumonsulta sa iyong abogado upang matukoy ang posibilidad ng legal na aksyon batay sa mga batas sa paninirang-puri.
7. **Magsiyasat at Magtipon ng Ebidensya:**
- Makipagtulungan sa iyong abogado upang magsagawa ng masusing pagsisiya"&amp;"sat sa mga maling pahayag. Magtipon ng katibayan ng epekto sa iyong personal na buhay, kabilang ang anumang emosyonal na pagkabalisa, pinsala sa mga relasyon, o iba pang nakikitang pinsala.
8. **Alternatibong Resolusyon sa Di-pagkakasundo:**
- Galugarin a"&amp;"ng mga alternatibong mekanismo sa paglutas ng hindi pagkakaunawaan, tulad ng pamamagitan o arbitrasyon, bago gumamit ng paglilitis. Ang mga pamamaraang ito ay maaaring magbigay ng paraan upang malutas ang hindi pagkakaunawaan nang hindi dumadaan sa mahaba"&amp;"ng proseso ng korte.
9. **Subaybayan at Tumugon:**
- Regular na subaybayan ang mga online na platform para sa anumang muling pagkabuhay ng maling impormasyon. Tumugon kaagad upang itama ang mga kamalian at magbigay ng tumpak na impormasyon kung kinakailan"&amp;"gan.
Napakahalagang kumilos kaagad at kumunsulta sa mga legal na propesyonal upang maunawaan ang mga partikular na legal na implikasyon sa iyong hurisdiksyon at gumawa ng mga naaangkop na hakbang. Tandaan na maaaring mag-iba ang mga batas, at maaaring kum"&amp;"plikado ang mga legal na proseso. Tutulungan ka ng isang abogado na mag-navigate sa legal na tanawin at ituloy ang pinakaangkop na kurso ng aksyon batay sa mga detalye ng iyong sitwasyon.")</f>
        <v>Oo, maaari kang magkaroon ng mga batayan upang idemanda ang isang tao para sa pagkalat ng maling impormasyon na nakaapekto sa iyong mga relasyon o personal na buhay. Ang mga maling pahayag na nakakasira sa iyong reputasyon ay maaaring legal na matugunan sa pamamagitan ng mga claim sa paninirang-puri. Narito ang mga pangkalahatang hakbang na dapat isaalang-alang:
1. **Idokumento ang Maling Impormasyon:**
- Mangalap ng ebidensya ng maling impormasyon, kabilang ang mga screenshot, link, o anumang iba pang dokumentasyon na nagpapatunay sa mga hindi tumpak na pahayag na ginawa tungkol sa iyo.
2. **I-verify ang Pinagmulan:**
- Tukuyin kung saan ipinapakalat ang maling impormasyon, tulad ng sa mga platform ng social media, mga online na forum, o iba pang mga website.
3. **Makipag-ugnayan sa Platform:**
- Makipag-ugnayan sa mga administrator o content moderator ng platform na nagho-host ng maling impormasyon. Maraming online na platform ang may mga mekanismo sa pag-uulat para sa hindi tumpak o maling nilalaman. Bigyan sila ng ebidensya ng tamang impormasyon at hilingin ang pagtanggal o pagwawasto ng mga maling detalye.
4. **Mga Serbisyo sa Pamamahala ng Online na Reputasyon:**
- Makipag-ugnayan sa mga online na serbisyo sa pamamahala ng reputasyon upang makatulong na sugpuin ang negatibong nilalaman at magsulong ng tumpak na impormasyon tungkol sa iyo. Ang mga serbisyong ito ay maaaring gumamit ng iba't ibang mga diskarte upang mapabuti ang iyong online na reputasyon.
5. **Liham ng Pagtigil at Pagtigil:**
- Kumonsulta sa isang abogado na dalubhasa sa paninirang-puri o batas sa internet. Kung ang maling impormasyon ay nagdudulot ng malaking pinsala sa iyong mga relasyon o personal na buhay, maaari silang magpadala ng liham ng pagtigil at pagtigil sa indibidwal na responsable, na humihiling ng pagwawasto o pag-alis ng mga maling detalye.
6. **Defamation Lawsuit:**
- Kung ang maling impormasyon ay nagdulot ng malaking pinsala sa iyong personal na buhay at reputasyon, maaari mong isaalang-alang ang paghahain ng demanda sa paninirang-puri. Kumonsulta sa iyong abogado upang matukoy ang posibilidad ng legal na aksyon batay sa mga batas sa paninirang-puri.
7. **Magsiyasat at Magtipon ng Ebidensya:**
- Makipagtulungan sa iyong abogado upang magsagawa ng masusing pagsisiyasat sa mga maling pahayag. Magtipon ng katibayan ng epekto sa iyong personal na buhay, kabilang ang anumang emosyonal na pagkabalisa, pinsala sa mga relasyon, o iba pang nakikitang pinsala.
8. **Alternatibong Resolusyon sa Di-pagkakasundo:**
- Galugarin ang mga alternatibong mekanismo sa paglutas ng hindi pagkakaunawaan, tulad ng pamamagitan o arbitrasyon, bago gumamit ng paglilitis. Ang mga pamamaraang ito ay maaaring magbigay ng paraan upang malutas ang hindi pagkakaunawaan nang hindi dumadaan sa mahabang proseso ng korte.
9. **Subaybayan at Tumugon:**
- Regular na subaybayan ang mga online na platform para sa anumang muling pagkabuhay ng maling impormasyon. Tumugon kaagad upang itama ang mga kamalian at magbigay ng tumpak na impormasyon kung kinakailangan.
Napakahalagang kumilos kaagad at kumunsulta sa mga legal na propesyonal upang maunawaan ang mga partikular na legal na implikasyon sa iyong hurisdiksyon at gumawa ng mga naaangkop na hakbang. Tandaan na maaaring mag-iba ang mga batas, at maaaring kumplikado ang mga legal na proseso. Tutulungan ka ng isang abogado na mag-navigate sa legal na tanawin at ituloy ang pinakaangkop na kurso ng aksyon batay sa mga detalye ng iyong sitwasyon.</v>
      </c>
      <c r="F798" s="2">
        <f t="shared" si="1"/>
        <v>0</v>
      </c>
      <c r="G798" s="2"/>
      <c r="H798" s="2"/>
      <c r="I798" s="2"/>
      <c r="J798" s="2"/>
      <c r="K798" s="2"/>
      <c r="L798" s="2"/>
      <c r="M798" s="2"/>
      <c r="N798" s="2"/>
      <c r="O798" s="2"/>
      <c r="P798" s="2"/>
      <c r="Q798" s="2"/>
      <c r="R798" s="2"/>
      <c r="S798" s="2"/>
      <c r="T798" s="2"/>
      <c r="U798" s="2"/>
      <c r="V798" s="2"/>
      <c r="W798" s="2"/>
      <c r="X798" s="2"/>
      <c r="Y798" s="2"/>
      <c r="Z798" s="2"/>
      <c r="AA798" s="2"/>
    </row>
    <row r="799">
      <c r="A799" s="3" t="s">
        <v>2010</v>
      </c>
      <c r="B799" s="1" t="s">
        <v>2610</v>
      </c>
      <c r="C799" s="1" t="s">
        <v>2611</v>
      </c>
      <c r="D799" s="1" t="s">
        <v>2612</v>
      </c>
      <c r="E799" s="2" t="str">
        <f>IFERROR(__xludf.DUMMYFUNCTION("GOOGLETRANSLATE(C799, ""en"", ""TL"")"),"Ang aktibong pagsubaybay at pagtugon sa maling impormasyon tungkol sa iyong sarili online ay mahalaga upang maiwasan ang pinsala sa iyong reputasyon sa hinaharap. Narito ang ilang hakbang na maaari mong gawin:
1. **I-set Up ang Google Alerts:**
- Lumikha "&amp;"ng Google Alerts para sa iyong pangalan at iba pang nauugnay na mga keyword. Aabisuhan ka ng tool na ito kapag lumitaw ang bagong nilalamang nauugnay sa mga tinukoy na keyword online, na nagbibigay-daan sa iyong manatiling may kaalaman sa real-time.
2. **"&amp;"Regular na Suriin ang Mga Resulta ng Search Engine:**
- Pana-panahong hanapin ang iyong pangalan sa mga pangunahing search engine upang makita kung anong impormasyon ang kasalukuyang magagamit. Bigyang-pansin ang unang ilang pahina ng mga resulta ng pagha"&amp;"hanap, dahil ito ang madalas na nakikita.
3. **Subaybayan ang Social Media:**
- Regular na suriin ang iyong mga social media account para sa anumang mali o mapanlinlang na impormasyon. Itakda ang mga setting ng privacy para makontrol kung sino ang maaarin"&amp;"g tumingin at magkomento sa iyong mga post. Bukod pa rito, gumamit ng mga feature ng platform para mag-ulat ng maling content.
4. **Gumawa at Panatilihin ang Propesyonal na Online Presence:**
- Magtatag at magpanatili ng mga propesyonal na profile sa soci"&amp;"al media at mga propesyonal na networking site. Tiyakin na ang iyong mga profile ay tumpak na nagpapakita ng iyong pagkakakilanlan at mga nagawa, na nagbibigay ng isang positibo at tumpak na online na imahe.
5. **I-secure ang Iyong Personal na Impormasyon"&amp;":**
- Maging maingat tungkol sa impormasyong ibinabahagi mo online, parehong personal at propesyonal. Iwasang magbunyag ng mga sensitibong detalye na maaaring gamitin sa pagkalat ng maling impormasyon.
6. **Bumuo ng Malakas na Reputasyon sa Online:**
- Ak"&amp;"tibong mag-ambag ng positibong nilalaman tungkol sa iyong sarili. Maaaring kabilang dito ang pag-publish ng mga artikulo, mga post sa blog, o iba pang nilalaman na nagpapakita ng iyong kadalubhasaan at mga nagawa. Ang mas positibo at tumpak na impormasyon"&amp;" na magagamit, mas mahusay na ito ay maaaring humadlang sa maling impormasyon.
7. **Makisali sa Mga Online na Pag-uusap:**
- Makilahok sa mga online na talakayan at mga forum na may kaugnayan sa iyong larangan. Ang pakikisali sa mga positibo at nakabubuo "&amp;"na pag-uusap ay maaaring makatulong na bumuo ng isang positibong presensya sa online at malabanan ang anumang maling impormasyon na maaaring lumabas.
8. **Tugunan Agad ang Maling Impormasyon:**
- Kung makatagpo ka ng maling impormasyon, tugunan ito kaagad"&amp;". Makipag-ugnayan sa mga administrator ng platform o content moderator upang mag-ulat at humiling ng pag-alis o pagwawasto ng hindi tumpak na nilalaman.
9. **Mga Serbisyo sa Pamamahala ng Online na Reputasyon:**
- Isaalang-alang ang paghingi ng tulong sa "&amp;"mga online na serbisyo sa pamamahala ng reputasyon. Ang mga serbisyong ito ay dalubhasa sa pamamahala at pagpapabuti ng mga online na reputasyon, paggamit ng iba't ibang mga diskarte upang sugpuin ang negatibong nilalaman at magsulong ng positibong imporm"&amp;"asyon.
10. **Legal na Konsultasyon:**
- Kumonsulta sa mga legal na propesyonal kung nagpapatuloy ang maling impormasyon o nagdudulot ng malaking pinsala. Maaari ka nilang payuhan tungkol sa mga potensyal na legal na aksyon at gabayan ka sa proseso ng pagt"&amp;"ugon sa maling impormasyon sa loob ng mga hangganan ng batas.
Tandaan na ang online na impormasyon ay maaaring mabilis na kumalat, kaya ang pagsasagawa ng mga proactive na hakbang upang subaybayan at pamahalaan ang iyong online na presensya ay napakahalag"&amp;"a. Ang regular na pag-update at pag-curate ng positibong content tungkol sa iyong sarili ay maaaring mag-ambag sa pagbuo ng isang malakas na online na reputasyon.")</f>
        <v>Ang aktibong pagsubaybay at pagtugon sa maling impormasyon tungkol sa iyong sarili online ay mahalaga upang maiwasan ang pinsala sa iyong reputasyon sa hinaharap. Narito ang ilang hakbang na maaari mong gawin:
1. **I-set Up ang Google Alerts:**
- Lumikha ng Google Alerts para sa iyong pangalan at iba pang nauugnay na mga keyword. Aabisuhan ka ng tool na ito kapag lumitaw ang bagong nilalamang nauugnay sa mga tinukoy na keyword online, na nagbibigay-daan sa iyong manatiling may kaalaman sa real-time.
2. **Regular na Suriin ang Mga Resulta ng Search Engine:**
- Pana-panahong hanapin ang iyong pangalan sa mga pangunahing search engine upang makita kung anong impormasyon ang kasalukuyang magagamit. Bigyang-pansin ang unang ilang pahina ng mga resulta ng paghahanap, dahil ito ang madalas na nakikita.
3. **Subaybayan ang Social Media:**
- Regular na suriin ang iyong mga social media account para sa anumang mali o mapanlinlang na impormasyon. Itakda ang mga setting ng privacy para makontrol kung sino ang maaaring tumingin at magkomento sa iyong mga post. Bukod pa rito, gumamit ng mga feature ng platform para mag-ulat ng maling content.
4. **Gumawa at Panatilihin ang Propesyonal na Online Presence:**
- Magtatag at magpanatili ng mga propesyonal na profile sa social media at mga propesyonal na networking site. Tiyakin na ang iyong mga profile ay tumpak na nagpapakita ng iyong pagkakakilanlan at mga nagawa, na nagbibigay ng isang positibo at tumpak na online na imahe.
5. **I-secure ang Iyong Personal na Impormasyon:**
- Maging maingat tungkol sa impormasyong ibinabahagi mo online, parehong personal at propesyonal. Iwasang magbunyag ng mga sensitibong detalye na maaaring gamitin sa pagkalat ng maling impormasyon.
6. **Bumuo ng Malakas na Reputasyon sa Online:**
- Aktibong mag-ambag ng positibong nilalaman tungkol sa iyong sarili. Maaaring kabilang dito ang pag-publish ng mga artikulo, mga post sa blog, o iba pang nilalaman na nagpapakita ng iyong kadalubhasaan at mga nagawa. Ang mas positibo at tumpak na impormasyon na magagamit, mas mahusay na ito ay maaaring humadlang sa maling impormasyon.
7. **Makisali sa Mga Online na Pag-uusap:**
- Makilahok sa mga online na talakayan at mga forum na may kaugnayan sa iyong larangan. Ang pakikisali sa mga positibo at nakabubuo na pag-uusap ay maaaring makatulong na bumuo ng isang positibong presensya sa online at malabanan ang anumang maling impormasyon na maaaring lumabas.
8. **Tugunan Agad ang Maling Impormasyon:**
- Kung makatagpo ka ng maling impormasyon, tugunan ito kaagad. Makipag-ugnayan sa mga administrator ng platform o content moderator upang mag-ulat at humiling ng pag-alis o pagwawasto ng hindi tumpak na nilalaman.
9. **Mga Serbisyo sa Pamamahala ng Online na Reputasyon:**
- Isaalang-alang ang paghingi ng tulong sa mga online na serbisyo sa pamamahala ng reputasyon. Ang mga serbisyong ito ay dalubhasa sa pamamahala at pagpapabuti ng mga online na reputasyon, paggamit ng iba't ibang mga diskarte upang sugpuin ang negatibong nilalaman at magsulong ng positibong impormasyon.
10. **Legal na Konsultasyon:**
- Kumonsulta sa mga legal na propesyonal kung nagpapatuloy ang maling impormasyon o nagdudulot ng malaking pinsala. Maaari ka nilang payuhan tungkol sa mga potensyal na legal na aksyon at gabayan ka sa proseso ng pagtugon sa maling impormasyon sa loob ng mga hangganan ng batas.
Tandaan na ang online na impormasyon ay maaaring mabilis na kumalat, kaya ang pagsasagawa ng mga proactive na hakbang upang subaybayan at pamahalaan ang iyong online na presensya ay napakahalaga. Ang regular na pag-update at pag-curate ng positibong content tungkol sa iyong sarili ay maaaring mag-ambag sa pagbuo ng isang malakas na online na reputasyon.</v>
      </c>
      <c r="F799" s="2">
        <f t="shared" si="1"/>
        <v>0</v>
      </c>
      <c r="G799" s="2"/>
      <c r="H799" s="2"/>
      <c r="I799" s="2"/>
      <c r="J799" s="2"/>
      <c r="K799" s="2"/>
      <c r="L799" s="2"/>
      <c r="M799" s="2"/>
      <c r="N799" s="2"/>
      <c r="O799" s="2"/>
      <c r="P799" s="2"/>
      <c r="Q799" s="2"/>
      <c r="R799" s="2"/>
      <c r="S799" s="2"/>
      <c r="T799" s="2"/>
      <c r="U799" s="2"/>
      <c r="V799" s="2"/>
      <c r="W799" s="2"/>
      <c r="X799" s="2"/>
      <c r="Y799" s="2"/>
      <c r="Z799" s="2"/>
      <c r="AA799" s="2"/>
    </row>
    <row r="800">
      <c r="A800" s="3" t="s">
        <v>2010</v>
      </c>
      <c r="B800" s="1" t="s">
        <v>2613</v>
      </c>
      <c r="C800" s="1" t="s">
        <v>2614</v>
      </c>
      <c r="D800" s="1" t="s">
        <v>2615</v>
      </c>
      <c r="E800" s="2" t="str">
        <f>IFERROR(__xludf.DUMMYFUNCTION("GOOGLETRANSLATE(C800, ""en"", ""TL"")"),"Sa Pilipinas, ang mga online scam ay karaniwang tinutugunan sa ilalim ng iba't ibang batas at regulasyon na tumutugon sa pandaraya, cybercrime, at proteksyon ng consumer. Narito ang mga pangunahing elemento na maaaring maging legal na online scam sa Pilip"&amp;"inas:
1. **Republic Act No. 10175 - Cybercrime Prevention Act of 2012:**
- Ang batas na ito ay nagsakriminal ng iba't ibang cybercrime, kabilang ang mga pagkakasala na nauugnay sa iligal na pag-access, iligal na interception, data interference, at system "&amp;"interference. Ang mga online na scam na may kinalaman sa hindi awtorisadong pag-access sa mga computer system, pagnanakaw ng data, o anumang anyo ng cyber fraud ay maaaring saklawin sa ilalim ng batas na ito.
2. **Republic Act No. 8792 - Electronic Commer"&amp;"ce Act of 2000:**
- Ang Electronic Commerce Act ay namamahala sa mga elektronikong transaksyon at nagbibigay ng mga hakbang para sa proteksyon ng mga consumer na nakikibahagi sa electronic commerce. Ang mga scam na nauugnay sa mga online na transaksyon, t"&amp;"ulad ng mga mapanlinlang na benta o maling representasyon ng mga produkto at serbisyo, ay maaaring mapailalim sa batas na ito.
3. **Republic Act No. 7394 - Consumer Act of the Philippines:**
- Ipinagbabawal ng Consumer Act ang mga mapanlinlang, hindi pata"&amp;"s, at hindi makatarungang mga kasanayan sa pagbebenta, na maaaring kabilang ang mga online na scam na nanlilinlang o nanloloko sa mga consumer. Pinoprotektahan ng batas na ito ang mga consumer mula sa maling pag-advertise, maling representasyon ng mga pro"&amp;"dukto o serbisyo, at iba pang mapanlinlang na aktibidad.
4. **Republic Act No. 11449 - Bayanihan to Heal as One Act:**
- Pinagtibay bilang tugon sa pandemya ng COVID-19, kasama sa batas na ito ang mga probisyon laban sa mga online na scam na may kaugnayan"&amp;" sa pagbebenta ng mga pekeng medikal na suplay, maling representasyon ng mga produktong pangkalusugan, at iba pang mapanlinlang na aktibidad na nagsasamantala sa krisis sa kalusugan.
5. **Hindi Awtorisadong Pag-access o Paggamit ng Computer System:**
- An"&amp;"g pagsali sa hindi awtorisadong pag-access sa mga computer system, pag-hack, o anumang anyo ng cyber intrusion upang magsagawa ng mga scam ay karaniwang itinuturing na ilegal sa ilalim ng iba't ibang batas sa cybercrime.
6. **Mga Mapanlinlang na Online na"&amp;" Transaksyon:**
- Ang mga online na scam na may kinalaman sa mga mapanlinlang na transaksyon, pekeng website, o maling representasyon ng mga produkto at serbisyo na may layuning linlangin ang mga consumer ay maaaring ituring na ilegal.
7. **Pyramiding o P"&amp;"onzi Scheme:**
- Ang mga scheme na kinasasangkutan ng mga scam sa pamumuhunan, lalo na ang mga gumagamit ng pyramid o Ponzi structure, ay malamang na ilegal sa ilalim ng mga regulasyon sa securities at mga batas laban sa panloloko.
8. **Online na Pagpapan"&amp;"ggap at Pagnanakaw ng Pagkakakilanlan:**
- Ang mga gawa ng online na pagpapanggap o pagnanakaw ng pagkakakilanlan, kung saan ang pagkakakilanlan ng isang indibidwal ay maling ginagamit upang magsagawa ng mga scam o panloloko, ay maaaring matugunan sa ilal"&amp;"im ng mga batas sa cybercrime.
9. **Anti-Cyber ​​Squatting Act:**
- Ipinagbabawal ng batas na ito ang cyber squatting, kung saan ang mga indibidwal ay nagrerehistro ng mga domain name na may layuning kumita mula sa mabuting kalooban ng trademark ng ibang "&amp;"tao. Ang mga online na scam na kinasasangkutan ng mga mapanlinlang na domain name ay maaaring mapailalim sa batas na ito.
Mahalagang tandaan na ang legal na tanawin ay maaaring umunlad, at ang mga partikular na kaso ay maaaring sumailalim sa interpretasyo"&amp;"n ng mga legal na awtoridad. Ang mga indibidwal na naniniwalang sila ay naging biktima ng mga online na scam o mapanlinlang na aktibidad ay hinihikayat na iulat ang mga insidente sa naaangkop na mga ahensyang nagpapatupad ng batas o mga consumer protectio"&amp;"n body sa Pilipinas. Bukod pa rito, ang paghingi ng legal na payo mula sa mga propesyonal na dalubhasa sa cyber law ay maaaring magbigay ng gabay sa mga partikular na sitwasyon.")</f>
        <v>Sa Pilipinas, ang mga online scam ay karaniwang tinutugunan sa ilalim ng iba't ibang batas at regulasyon na tumutugon sa pandaraya, cybercrime, at proteksyon ng consumer. Narito ang mga pangunahing elemento na maaaring maging legal na online scam sa Pilipinas:
1. **Republic Act No. 10175 - Cybercrime Prevention Act of 2012:**
- Ang batas na ito ay nagsakriminal ng iba't ibang cybercrime, kabilang ang mga pagkakasala na nauugnay sa iligal na pag-access, iligal na interception, data interference, at system interference. Ang mga online na scam na may kinalaman sa hindi awtorisadong pag-access sa mga computer system, pagnanakaw ng data, o anumang anyo ng cyber fraud ay maaaring saklawin sa ilalim ng batas na ito.
2. **Republic Act No. 8792 - Electronic Commerce Act of 2000:**
- Ang Electronic Commerce Act ay namamahala sa mga elektronikong transaksyon at nagbibigay ng mga hakbang para sa proteksyon ng mga consumer na nakikibahagi sa electronic commerce. Ang mga scam na nauugnay sa mga online na transaksyon, tulad ng mga mapanlinlang na benta o maling representasyon ng mga produkto at serbisyo, ay maaaring mapailalim sa batas na ito.
3. **Republic Act No. 7394 - Consumer Act of the Philippines:**
- Ipinagbabawal ng Consumer Act ang mga mapanlinlang, hindi patas, at hindi makatarungang mga kasanayan sa pagbebenta, na maaaring kabilang ang mga online na scam na nanlilinlang o nanloloko sa mga consumer. Pinoprotektahan ng batas na ito ang mga consumer mula sa maling pag-advertise, maling representasyon ng mga produkto o serbisyo, at iba pang mapanlinlang na aktibidad.
4. **Republic Act No. 11449 - Bayanihan to Heal as One Act:**
- Pinagtibay bilang tugon sa pandemya ng COVID-19, kasama sa batas na ito ang mga probisyon laban sa mga online na scam na may kaugnayan sa pagbebenta ng mga pekeng medikal na suplay, maling representasyon ng mga produktong pangkalusugan, at iba pang mapanlinlang na aktibidad na nagsasamantala sa krisis sa kalusugan.
5. **Hindi Awtorisadong Pag-access o Paggamit ng Computer System:**
- Ang pagsali sa hindi awtorisadong pag-access sa mga computer system, pag-hack, o anumang anyo ng cyber intrusion upang magsagawa ng mga scam ay karaniwang itinuturing na ilegal sa ilalim ng iba't ibang batas sa cybercrime.
6. **Mga Mapanlinlang na Online na Transaksyon:**
- Ang mga online na scam na may kinalaman sa mga mapanlinlang na transaksyon, pekeng website, o maling representasyon ng mga produkto at serbisyo na may layuning linlangin ang mga consumer ay maaaring ituring na ilegal.
7. **Pyramiding o Ponzi Scheme:**
- Ang mga scheme na kinasasangkutan ng mga scam sa pamumuhunan, lalo na ang mga gumagamit ng pyramid o Ponzi structure, ay malamang na ilegal sa ilalim ng mga regulasyon sa securities at mga batas laban sa panloloko.
8. **Online na Pagpapanggap at Pagnanakaw ng Pagkakakilanlan:**
- Ang mga gawa ng online na pagpapanggap o pagnanakaw ng pagkakakilanlan, kung saan ang pagkakakilanlan ng isang indibidwal ay maling ginagamit upang magsagawa ng mga scam o panloloko, ay maaaring matugunan sa ilalim ng mga batas sa cybercrime.
9. **Anti-Cyber ​​Squatting Act:**
- Ipinagbabawal ng batas na ito ang cyber squatting, kung saan ang mga indibidwal ay nagrerehistro ng mga domain name na may layuning kumita mula sa mabuting kalooban ng trademark ng ibang tao. Ang mga online na scam na kinasasangkutan ng mga mapanlinlang na domain name ay maaaring mapailalim sa batas na ito.
Mahalagang tandaan na ang legal na tanawin ay maaaring umunlad, at ang mga partikular na kaso ay maaaring sumailalim sa interpretasyon ng mga legal na awtoridad. Ang mga indibidwal na naniniwalang sila ay naging biktima ng mga online na scam o mapanlinlang na aktibidad ay hinihikayat na iulat ang mga insidente sa naaangkop na mga ahensyang nagpapatupad ng batas o mga consumer protection body sa Pilipinas. Bukod pa rito, ang paghingi ng legal na payo mula sa mga propesyonal na dalubhasa sa cyber law ay maaaring magbigay ng gabay sa mga partikular na sitwasyon.</v>
      </c>
      <c r="F800" s="2">
        <f t="shared" si="1"/>
        <v>0</v>
      </c>
      <c r="G800" s="2"/>
      <c r="H800" s="2"/>
      <c r="I800" s="2"/>
      <c r="J800" s="2"/>
      <c r="K800" s="2"/>
      <c r="L800" s="2"/>
      <c r="M800" s="2"/>
      <c r="N800" s="2"/>
      <c r="O800" s="2"/>
      <c r="P800" s="2"/>
      <c r="Q800" s="2"/>
      <c r="R800" s="2"/>
      <c r="S800" s="2"/>
      <c r="T800" s="2"/>
      <c r="U800" s="2"/>
      <c r="V800" s="2"/>
      <c r="W800" s="2"/>
      <c r="X800" s="2"/>
      <c r="Y800" s="2"/>
      <c r="Z800" s="2"/>
      <c r="AA800" s="2"/>
    </row>
    <row r="801">
      <c r="A801" s="3" t="s">
        <v>2010</v>
      </c>
      <c r="B801" s="1" t="s">
        <v>2616</v>
      </c>
      <c r="C801" s="1" t="s">
        <v>2617</v>
      </c>
      <c r="D801" s="1" t="s">
        <v>2618</v>
      </c>
      <c r="E801" s="2" t="str">
        <f>IFERROR(__xludf.DUMMYFUNCTION("GOOGLETRANSLATE(C801, ""en"", ""TL"")"),"Sa konteksto ng mga batas ng Pilipinas, maaaring mangyari ang iba't ibang uri ng online scam. Kasama sa mga karaniwang uri ang:
1. **Mga Phishing Scam:**
- Mga pagtatangkang makakuha ng sensitibong impormasyon, tulad ng mga username, password, at mga deta"&amp;"lye sa pananalapi, sa pamamagitan ng pagpapanggap bilang isang mapagkakatiwalaang entity. Maaari itong mangyari sa pamamagitan ng mga pekeng email, website, o mensahe.
2. **Online na Panloloko at Pagnanakaw ng Pagkakakilanlan:**
- Hindi awtorisadong pagga"&amp;"mit ng personal na impormasyon ng isang tao upang gumawa ng panloloko, kadalasan para sa pinansiyal na pakinabang. Maaaring kabilang dito ang pandaraya sa credit card, pagbubukas ng mga pekeng account, o paggawa ng mga hindi awtorisadong transaksyon.
3. *"&amp;"*Pekeng Online Selling at Auction:**
- Pagse-set up ng mga mapanlinlang na online na tindahan o mga site ng auction upang linlangin ang mga mamimili na magbayad para sa mga kalakal o serbisyo na wala. Maaaring magbayad ang mga biktima ngunit hindi matangg"&amp;"ap ang ipinangakong mga bagay.
4. **Mga Online Investment Scam:**
- Mga mapanlinlang na pamamaraan na kumukumbinsi sa mga indibidwal na mamuhunan ng pera sa mga pekeng negosyo, na nangangako ng mataas na kita. Ang mga scam na ito ay madalas na gumagana bi"&amp;"lang Ponzi o pyramid scheme.
5. **Pagpapanggap sa Social Media:**
- Paglikha ng mga pekeng account sa social media upang magpanggap bilang mga indibidwal, organisasyon, o pampublikong pigura, na naglalayong linlangin o dayain ang iba.
6. **Loterya o Prize"&amp;" Scam:**
- Ipaalam sa mga indibidwal na nanalo sila ng lottery o premyo ngunit hinihiling sa kanila na magbayad nang maaga para makuha ang kanilang mga panalo. Sa katotohanan, walang panalo.
7. **Tech Support Scams:**
- Mga mapanlinlang na pagtatangka na "&amp;"linlangin ang mga indibidwal sa paniniwalang ang kanilang mga computer ay may mga isyu, na humahantong sa kanila na magbayad para sa mga hindi kinakailangang teknikal na serbisyo ng suporta o mag-download ng malware.
8. **Mga Romance Scam:**
- Pagtatatag "&amp;"ng mga romantikong relasyon sa online na may layuning linlangin ang mga biktima sa emosyonal at pinansyal. Ang mga scammer ay kadalasang gumagawa ng mga pekeng persona at humihiling ng pera sa ilalim ng iba't ibang dahilan.
9. **Mga Scam sa Alok ng Trabah"&amp;"o:**
- Nag-aalok ng mga pekeng pagkakataon sa trabaho na nangangailangan ng paunang bayad o may kinalaman sa mga aktibidad sa money laundering. Ang mga panloloko na ito ay kadalasang tinatarget ang mga naghahanap ng trabaho na naghahanap ng mga pagkakatao"&amp;"n sa trabaho.
10. **Mga Pag-atake ng Ransomware:**
- Nakakahamak na software na nag-e-encrypt ng mga file ng user, na humihingi ng bayad (kadalasan sa cryptocurrency) para sa kanilang paglabas. Ang ganitong uri ng pag-atake ay maaaring makasama sa mga ind"&amp;"ibidwal at negosyo.
11. **Online Libel at Paninirang-puri:**
- Ang pagkalat ng mali at nakakapinsalang impormasyon tungkol sa mga indibidwal o entity online, madalas na may layuning sirain ang kanilang reputasyon.
Mahalagang tandaan na iba-iba ang mga leg"&amp;"al na implikasyon ng mga scam na ito, at ang Pilipinas ay may mga batas na tumutugon sa cybercrime, panloloko, at proteksyon ng consumer. Ang mga biktima ng online scam sa Pilipinas ay hinihikayat na iulat ang mga naturang insidente sa mga kaugnay na ahen"&amp;"syang nagpapatupad ng batas o mga consumer protection body. Bukod pa rito, ang paghingi ng legal na payo mula sa mga propesyonal na may kaalaman tungkol sa mga batas ng Pilipinas ay maaaring magbigay ng gabay sa mga partikular na sitwasyon.")</f>
        <v>Sa konteksto ng mga batas ng Pilipinas, maaaring mangyari ang iba't ibang uri ng online scam. Kasama sa mga karaniwang uri ang:
1. **Mga Phishing Scam:**
- Mga pagtatangkang makakuha ng sensitibong impormasyon, tulad ng mga username, password, at mga detalye sa pananalapi, sa pamamagitan ng pagpapanggap bilang isang mapagkakatiwalaang entity. Maaari itong mangyari sa pamamagitan ng mga pekeng email, website, o mensahe.
2. **Online na Panloloko at Pagnanakaw ng Pagkakakilanlan:**
- Hindi awtorisadong paggamit ng personal na impormasyon ng isang tao upang gumawa ng panloloko, kadalasan para sa pinansiyal na pakinabang. Maaaring kabilang dito ang pandaraya sa credit card, pagbubukas ng mga pekeng account, o paggawa ng mga hindi awtorisadong transaksyon.
3. **Pekeng Online Selling at Auction:**
- Pagse-set up ng mga mapanlinlang na online na tindahan o mga site ng auction upang linlangin ang mga mamimili na magbayad para sa mga kalakal o serbisyo na wala. Maaaring magbayad ang mga biktima ngunit hindi matanggap ang ipinangakong mga bagay.
4. **Mga Online Investment Scam:**
- Mga mapanlinlang na pamamaraan na kumukumbinsi sa mga indibidwal na mamuhunan ng pera sa mga pekeng negosyo, na nangangako ng mataas na kita. Ang mga scam na ito ay madalas na gumagana bilang Ponzi o pyramid scheme.
5. **Pagpapanggap sa Social Media:**
- Paglikha ng mga pekeng account sa social media upang magpanggap bilang mga indibidwal, organisasyon, o pampublikong pigura, na naglalayong linlangin o dayain ang iba.
6. **Loterya o Prize Scam:**
- Ipaalam sa mga indibidwal na nanalo sila ng lottery o premyo ngunit hinihiling sa kanila na magbayad nang maaga para makuha ang kanilang mga panalo. Sa katotohanan, walang panalo.
7. **Tech Support Scams:**
- Mga mapanlinlang na pagtatangka na linlangin ang mga indibidwal sa paniniwalang ang kanilang mga computer ay may mga isyu, na humahantong sa kanila na magbayad para sa mga hindi kinakailangang teknikal na serbisyo ng suporta o mag-download ng malware.
8. **Mga Romance Scam:**
- Pagtatatag ng mga romantikong relasyon sa online na may layuning linlangin ang mga biktima sa emosyonal at pinansyal. Ang mga scammer ay kadalasang gumagawa ng mga pekeng persona at humihiling ng pera sa ilalim ng iba't ibang dahilan.
9. **Mga Scam sa Alok ng Trabaho:**
- Nag-aalok ng mga pekeng pagkakataon sa trabaho na nangangailangan ng paunang bayad o may kinalaman sa mga aktibidad sa money laundering. Ang mga panloloko na ito ay kadalasang tinatarget ang mga naghahanap ng trabaho na naghahanap ng mga pagkakataon sa trabaho.
10. **Mga Pag-atake ng Ransomware:**
- Nakakahamak na software na nag-e-encrypt ng mga file ng user, na humihingi ng bayad (kadalasan sa cryptocurrency) para sa kanilang paglabas. Ang ganitong uri ng pag-atake ay maaaring makasama sa mga indibidwal at negosyo.
11. **Online Libel at Paninirang-puri:**
- Ang pagkalat ng mali at nakakapinsalang impormasyon tungkol sa mga indibidwal o entity online, madalas na may layuning sirain ang kanilang reputasyon.
Mahalagang tandaan na iba-iba ang mga legal na implikasyon ng mga scam na ito, at ang Pilipinas ay may mga batas na tumutugon sa cybercrime, panloloko, at proteksyon ng consumer. Ang mga biktima ng online scam sa Pilipinas ay hinihikayat na iulat ang mga naturang insidente sa mga kaugnay na ahensyang nagpapatupad ng batas o mga consumer protection body. Bukod pa rito, ang paghingi ng legal na payo mula sa mga propesyonal na may kaalaman tungkol sa mga batas ng Pilipinas ay maaaring magbigay ng gabay sa mga partikular na sitwasyon.</v>
      </c>
      <c r="F801" s="2">
        <f t="shared" si="1"/>
        <v>0</v>
      </c>
      <c r="G801" s="2"/>
      <c r="H801" s="2"/>
      <c r="I801" s="2"/>
      <c r="J801" s="2"/>
      <c r="K801" s="2"/>
      <c r="L801" s="2"/>
      <c r="M801" s="2"/>
      <c r="N801" s="2"/>
      <c r="O801" s="2"/>
      <c r="P801" s="2"/>
      <c r="Q801" s="2"/>
      <c r="R801" s="2"/>
      <c r="S801" s="2"/>
      <c r="T801" s="2"/>
      <c r="U801" s="2"/>
      <c r="V801" s="2"/>
      <c r="W801" s="2"/>
      <c r="X801" s="2"/>
      <c r="Y801" s="2"/>
      <c r="Z801" s="2"/>
      <c r="AA801" s="2"/>
    </row>
    <row r="802">
      <c r="A802" s="3" t="s">
        <v>2010</v>
      </c>
      <c r="B802" s="1" t="s">
        <v>2619</v>
      </c>
      <c r="C802" s="1" t="s">
        <v>2620</v>
      </c>
      <c r="D802" s="1" t="s">
        <v>2621</v>
      </c>
      <c r="E802" s="2" t="str">
        <f>IFERROR(__xludf.DUMMYFUNCTION("GOOGLETRANSLATE(C802, ""en"", ""TL"")"),"Ang pagtukoy kung naging biktima ka ng isang online na scam ay nagsasangkot ng pagiging mapagbantay tungkol sa iyong mga online na aktibidad at paghahanap ng mga palatandaan ng mapanlinlang na pag-uugali. Narito ang ilang mga tagapagpahiwatig na maaaring "&amp;"magmungkahi na ikaw ay naging biktima ng isang online na scam:
1. **Hindi Hinihinging Komunikasyon:**
- Makakatanggap ka ng mga hindi inaasahang email, mensahe, o tawag na nagsasabing nanalo ka ng premyo, nagmana ng pera, o kwalipikado para sa isang espes"&amp;"yal na alok nang walang anumang naunang pakikipag-ugnayan sa partido.
2. **Mga Kahilingan para sa Personal na Impormasyon:**
- Ang partido ay humihingi ng personal o pinansyal na impormasyon tulad ng mga password, mga detalye ng credit card, o mga numero "&amp;"ng Social Security sa pamamagitan ng hindi hinihinging mga email o mensahe.
3. **Too Good to Be True Alok:**
- Ang alok o deal ay tila napakahusay upang maging totoo, tulad ng mataas na kita sa mga pamumuhunan, garantisadong panalo, o hindi makatotohanang"&amp;" mababang presyo para sa mga produkto o serbisyo.
4. **Mga Taktika sa Pagdiin:**
- Gumagamit ang partido ng mga taktika na may mataas na presyon upang makakilos ka nang mabilis, kadalasang sinasabing ang alok ay sensitibo sa oras o na mapapalampas mo ang "&amp;"isang magandang pagkakataon.
5. **Mga Pekeng Website o Email:**
- Ang komunikasyon ay nagdidirekta sa iyo sa isang website o email na mukhang lehitimo ngunit may mga maling spelling ng mga URL, mahinang grammar, o iba pang mga palatandaan ng pagiging peke"&amp;".
6. **Hindi Inaasahang Pagsingil:**
- Napansin mo ang mga hindi inaasahang singil sa iyong credit card o bank statement para sa mga serbisyo o produkto na hindi mo pinahintulutan o natanggap.
7. **Mga Hindi Karaniwang Transaksyon sa Pinansyal:**
- Natukl"&amp;"asan mo ang mga hindi awtorisadong pag-withdraw o paglilipat mula sa iyong bank account, lalo na kung hindi mo pinasimulan o pinahintulutan ang mga transaksyong ito.
8. **Hindi Inaasahang Pag-install ng Software:**
- Ang iyong computer o device ay nakakar"&amp;"anas ng mga hindi inaasahang pag-install o pagbabago ng software, na maaaring magpahiwatig ng malware o hindi awtorisadong pag-access.
9. **Pagpapanggap sa Social Media:**
- Nakatagpo ka ng mga pekeng profile o account na nagpapanggap sa iyo o isang taong"&amp;" kilala mo sa social media, na kadalasang ginagamit para sa mga mapanlinlang na aktibidad.
10. **Hindi Maipaliwanag na Pagtanggi o Mga Isyu:**
- Nahaharap ka sa mga paghihirap sa mga lehitimong transaksyon sa pananalapi, tulad ng mga tinanggihang transaks"&amp;"yon sa credit card o mga isyu sa mga lehitimong online na serbisyo.
Kung mapapansin mo ang alinman sa mga palatandaang ito, mahalagang gumawa ng agarang pagkilos:
1. **Ihinto ang Komunikasyon:**
- Itigil ang pakikipag-ugnayan sa pinaghihinalaang scammer a"&amp;"t iwasang magbigay ng anumang karagdagang personal o pinansyal na impormasyon.
2. **I-verify ang pagiging Lehitimo:**
- I-verify ang pagiging lehitimo ng komunikasyon o alok sa pamamagitan ng mga opisyal na channel o contact. Huwag gumamit ng impormasyon "&amp;"sa pakikipag-ugnayan na ibinigay sa mga kahina-hinalang mensahe.
3. **Mag-ulat sa Mga Awtoridad:**
- Iulat ang insidente sa mga kaugnay na awtoridad, tulad ng National Bureau of Investigation (NBI) Cybercrime Division o Philippine National Police (PNP) An"&amp;"ti-Cybercrime Group.
4. **Makipag-ugnayan sa Iyong Bangko:**
- Kung kasangkot ang mga transaksyon sa pananalapi, makipag-ugnayan sa iyong bangko o institusyong pampinansyal upang mag-ulat ng mga hindi awtorisadong transaksyon at gumawa ng mga hakbang upan"&amp;"g ma-secure ang iyong mga account.
5. **I-update ang Mga Panukala sa Seguridad:**
- I-update ang iyong mga password, paganahin ang two-factor authentication kung posible, at magpatakbo ng antivirus o anti-malware scan sa iyong mga device.
6. **Educate You"&amp;"rself:**
- Manatiling may alam tungkol sa mga karaniwang online na scam at pinakamahuhusay na kagawian para sa online na kaligtasan upang maiwasang mabiktima ng mga katulad na pamamaraan sa hinaharap.
Kung hindi ka sigurado o kailangan ng tulong, isaalang"&amp;"-alang ang pagkonsulta sa mga legal na propesyonal o mga eksperto sa cybercrime na maaaring magbigay ng gabay na angkop sa iyong partikular na sitwasyon.")</f>
        <v>Ang pagtukoy kung naging biktima ka ng isang online na scam ay nagsasangkot ng pagiging mapagbantay tungkol sa iyong mga online na aktibidad at paghahanap ng mga palatandaan ng mapanlinlang na pag-uugali. Narito ang ilang mga tagapagpahiwatig na maaaring magmungkahi na ikaw ay naging biktima ng isang online na scam:
1. **Hindi Hinihinging Komunikasyon:**
- Makakatanggap ka ng mga hindi inaasahang email, mensahe, o tawag na nagsasabing nanalo ka ng premyo, nagmana ng pera, o kwalipikado para sa isang espesyal na alok nang walang anumang naunang pakikipag-ugnayan sa partido.
2. **Mga Kahilingan para sa Personal na Impormasyon:**
- Ang partido ay humihingi ng personal o pinansyal na impormasyon tulad ng mga password, mga detalye ng credit card, o mga numero ng Social Security sa pamamagitan ng hindi hinihinging mga email o mensahe.
3. **Too Good to Be True Alok:**
- Ang alok o deal ay tila napakahusay upang maging totoo, tulad ng mataas na kita sa mga pamumuhunan, garantisadong panalo, o hindi makatotohanang mababang presyo para sa mga produkto o serbisyo.
4. **Mga Taktika sa Pagdiin:**
- Gumagamit ang partido ng mga taktika na may mataas na presyon upang makakilos ka nang mabilis, kadalasang sinasabing ang alok ay sensitibo sa oras o na mapapalampas mo ang isang magandang pagkakataon.
5. **Mga Pekeng Website o Email:**
- Ang komunikasyon ay nagdidirekta sa iyo sa isang website o email na mukhang lehitimo ngunit may mga maling spelling ng mga URL, mahinang grammar, o iba pang mga palatandaan ng pagiging peke.
6. **Hindi Inaasahang Pagsingil:**
- Napansin mo ang mga hindi inaasahang singil sa iyong credit card o bank statement para sa mga serbisyo o produkto na hindi mo pinahintulutan o natanggap.
7. **Mga Hindi Karaniwang Transaksyon sa Pinansyal:**
- Natuklasan mo ang mga hindi awtorisadong pag-withdraw o paglilipat mula sa iyong bank account, lalo na kung hindi mo pinasimulan o pinahintulutan ang mga transaksyong ito.
8. **Hindi Inaasahang Pag-install ng Software:**
- Ang iyong computer o device ay nakakaranas ng mga hindi inaasahang pag-install o pagbabago ng software, na maaaring magpahiwatig ng malware o hindi awtorisadong pag-access.
9. **Pagpapanggap sa Social Media:**
- Nakatagpo ka ng mga pekeng profile o account na nagpapanggap sa iyo o isang taong kilala mo sa social media, na kadalasang ginagamit para sa mga mapanlinlang na aktibidad.
10. **Hindi Maipaliwanag na Pagtanggi o Mga Isyu:**
- Nahaharap ka sa mga paghihirap sa mga lehitimong transaksyon sa pananalapi, tulad ng mga tinanggihang transaksyon sa credit card o mga isyu sa mga lehitimong online na serbisyo.
Kung mapapansin mo ang alinman sa mga palatandaang ito, mahalagang gumawa ng agarang pagkilos:
1. **Ihinto ang Komunikasyon:**
- Itigil ang pakikipag-ugnayan sa pinaghihinalaang scammer at iwasang magbigay ng anumang karagdagang personal o pinansyal na impormasyon.
2. **I-verify ang pagiging Lehitimo:**
- I-verify ang pagiging lehitimo ng komunikasyon o alok sa pamamagitan ng mga opisyal na channel o contact. Huwag gumamit ng impormasyon sa pakikipag-ugnayan na ibinigay sa mga kahina-hinalang mensahe.
3. **Mag-ulat sa Mga Awtoridad:**
- Iulat ang insidente sa mga kaugnay na awtoridad, tulad ng National Bureau of Investigation (NBI) Cybercrime Division o Philippine National Police (PNP) Anti-Cybercrime Group.
4. **Makipag-ugnayan sa Iyong Bangko:**
- Kung kasangkot ang mga transaksyon sa pananalapi, makipag-ugnayan sa iyong bangko o institusyong pampinansyal upang mag-ulat ng mga hindi awtorisadong transaksyon at gumawa ng mga hakbang upang ma-secure ang iyong mga account.
5. **I-update ang Mga Panukala sa Seguridad:**
- I-update ang iyong mga password, paganahin ang two-factor authentication kung posible, at magpatakbo ng antivirus o anti-malware scan sa iyong mga device.
6. **Educate Yourself:**
- Manatiling may alam tungkol sa mga karaniwang online na scam at pinakamahuhusay na kagawian para sa online na kaligtasan upang maiwasang mabiktima ng mga katulad na pamamaraan sa hinaharap.
Kung hindi ka sigurado o kailangan ng tulong, isaalang-alang ang pagkonsulta sa mga legal na propesyonal o mga eksperto sa cybercrime na maaaring magbigay ng gabay na angkop sa iyong partikular na sitwasyon.</v>
      </c>
      <c r="F802" s="2">
        <f t="shared" si="1"/>
        <v>0</v>
      </c>
      <c r="G802" s="2"/>
      <c r="H802" s="2"/>
      <c r="I802" s="2"/>
      <c r="J802" s="2"/>
      <c r="K802" s="2"/>
      <c r="L802" s="2"/>
      <c r="M802" s="2"/>
      <c r="N802" s="2"/>
      <c r="O802" s="2"/>
      <c r="P802" s="2"/>
      <c r="Q802" s="2"/>
      <c r="R802" s="2"/>
      <c r="S802" s="2"/>
      <c r="T802" s="2"/>
      <c r="U802" s="2"/>
      <c r="V802" s="2"/>
      <c r="W802" s="2"/>
      <c r="X802" s="2"/>
      <c r="Y802" s="2"/>
      <c r="Z802" s="2"/>
      <c r="AA802" s="2"/>
    </row>
    <row r="803">
      <c r="A803" s="3" t="s">
        <v>2010</v>
      </c>
      <c r="B803" s="1" t="s">
        <v>2622</v>
      </c>
      <c r="C803" s="1" t="s">
        <v>2623</v>
      </c>
      <c r="D803" s="1" t="s">
        <v>2624</v>
      </c>
      <c r="E803" s="2" t="str">
        <f>IFERROR(__xludf.DUMMYFUNCTION("GOOGLETRANSLATE(C803, ""en"", ""TL"")"),"Kung na-scam ka online, maaari kang gumawa ng ilang legal na aksyon upang matugunan ang sitwasyon at humingi ng tulong. Narito ang mga hakbang na maaari mong isaalang-alang:
1. **Magtipon ng Ebidensya:**
- Kolektahin at idokumento ang lahat ng nauugnay na"&amp;" ebidensya ng scam, kabilang ang mga talaan ng komunikasyon, email, mensahe, detalye ng transaksyon, at anumang iba pang impormasyon na maaaring suportahan ang iyong kaso.
2. **Itigil ang Komunikasyon:**
- Itigil ang lahat ng komunikasyon sa scammer upang"&amp;" maiwasan ang karagdagang pinsala o pagmamanipula. Huwag magbigay ng karagdagang personal o pinansyal na impormasyon.
3. **Mag-ulat sa Mga Awtoridad:**
- Iulat ang online scam sa naaangkop na awtoridad sa Pilipinas. Kabilang sa mga pangunahing ahensya ang"&amp;":
- National Bureau of Investigation (NBI) Cybercrime Division
- Philippine National Police (PNP) Anti-Cybercrime Group
4. **Maghain ng Reklamo:**
- Maghain ng pormal na reklamo sa nauugnay na ahensyang nagpapatupad ng batas. Bigyan sila ng isang detalyad"&amp;"ong account ng scam, kasama ang ebidensya na iyong nakalap.
5. **Makipag-ugnayan sa Iyong Bangko o Institusyon ng Pinansyal:**
- Kung ang scam ay nagsasangkot ng mga hindi awtorisadong transaksyon sa pananalapi, makipag-ugnayan kaagad sa iyong bangko o in"&amp;"stitusyong pinansyal. Iulat ang insidente, magbigay ng ebidensya, at makipagtulungan sa kanila upang ma-secure ang iyong mga account.
6. **Suriin ang Mga Batas sa Proteksyon ng Consumer:**
- Galugarin ang mga batas sa proteksyon ng consumer sa Pilipinas n"&amp;"a maaaring naaangkop sa iyong sitwasyon. Kabilang sa mga nauugnay na batas ang Consumer Act of the Philippines (Republic Act No. 7394), na nagbabawal sa mga mapanlinlang na kasanayan sa pagbebenta.
7. **Kumonsulta sa Mga Legal na Propesyonal:**
- Humingi "&amp;"ng payo mula sa mga legal na propesyonal na dalubhasa sa cybercrime o mga batas sa proteksyon ng consumer. Maaari ka nilang gabayan sa mga partikular na legal na aksyon na maaari mong gawin at magbigay ng tulong sa pagtataguyod ng mga legal na remedyo.
8."&amp;" **Maghain ng Reklamo sa Philippine SEC:**
- Kung ang scam ay nagsasangkot ng mga mapanlinlang na pamumuhunan o securities, isaalang-alang ang paghahain ng reklamo sa Securities and Exchange Commission (SEC) sa Pilipinas.
9. **Pag-uulat sa Online na Platf"&amp;"orm:**
- Iulat ang scam sa mga online na platform o website na kasangkot. Maraming mga platform ang may mga mekanismo para sa pag-uulat ng mga mapanlinlang na aktibidad.
10. **Turuan ang Iba:**
- Ibahagi ang iyong karanasan upang itaas ang kamalayan at tu"&amp;"lungan ang iba na maiwasan ang pagiging biktima ng mga katulad na scam. Iulat ang scam sa mga online na forum ng proteksyon ng consumer o website.
Tandaan na ang mga legal na aksyon na magagamit mo ay maaaring mag-iba batay sa mga detalye ng scam at mga b"&amp;"atas na naaangkop sa iyong hurisdiksyon. Ang pagkonsulta sa mga legal na propesyonal ay mahalaga upang maunawaan ang iyong mga karapatan at ituloy ang pinakaangkop na paraan ng pagkilos. Bukod pa rito, ang pag-uulat ng insidente sa mga may-katuturang awto"&amp;"ridad ay nakakatulong sa pag-ambag sa mga pagsisikap laban sa mga online na scam at pinoprotektahan ang iba mula sa pagiging biktima ng mga katulad na pamamaraan.")</f>
        <v>Kung na-scam ka online, maaari kang gumawa ng ilang legal na aksyon upang matugunan ang sitwasyon at humingi ng tulong. Narito ang mga hakbang na maaari mong isaalang-alang:
1. **Magtipon ng Ebidensya:**
- Kolektahin at idokumento ang lahat ng nauugnay na ebidensya ng scam, kabilang ang mga talaan ng komunikasyon, email, mensahe, detalye ng transaksyon, at anumang iba pang impormasyon na maaaring suportahan ang iyong kaso.
2. **Itigil ang Komunikasyon:**
- Itigil ang lahat ng komunikasyon sa scammer upang maiwasan ang karagdagang pinsala o pagmamanipula. Huwag magbigay ng karagdagang personal o pinansyal na impormasyon.
3. **Mag-ulat sa Mga Awtoridad:**
- Iulat ang online scam sa naaangkop na awtoridad sa Pilipinas. Kabilang sa mga pangunahing ahensya ang:
- National Bureau of Investigation (NBI) Cybercrime Division
- Philippine National Police (PNP) Anti-Cybercrime Group
4. **Maghain ng Reklamo:**
- Maghain ng pormal na reklamo sa nauugnay na ahensyang nagpapatupad ng batas. Bigyan sila ng isang detalyadong account ng scam, kasama ang ebidensya na iyong nakalap.
5. **Makipag-ugnayan sa Iyong Bangko o Institusyon ng Pinansyal:**
- Kung ang scam ay nagsasangkot ng mga hindi awtorisadong transaksyon sa pananalapi, makipag-ugnayan kaagad sa iyong bangko o institusyong pinansyal. Iulat ang insidente, magbigay ng ebidensya, at makipagtulungan sa kanila upang ma-secure ang iyong mga account.
6. **Suriin ang Mga Batas sa Proteksyon ng Consumer:**
- Galugarin ang mga batas sa proteksyon ng consumer sa Pilipinas na maaaring naaangkop sa iyong sitwasyon. Kabilang sa mga nauugnay na batas ang Consumer Act of the Philippines (Republic Act No. 7394), na nagbabawal sa mga mapanlinlang na kasanayan sa pagbebenta.
7. **Kumonsulta sa Mga Legal na Propesyonal:**
- Humingi ng payo mula sa mga legal na propesyonal na dalubhasa sa cybercrime o mga batas sa proteksyon ng consumer. Maaari ka nilang gabayan sa mga partikular na legal na aksyon na maaari mong gawin at magbigay ng tulong sa pagtataguyod ng mga legal na remedyo.
8. **Maghain ng Reklamo sa Philippine SEC:**
- Kung ang scam ay nagsasangkot ng mga mapanlinlang na pamumuhunan o securities, isaalang-alang ang paghahain ng reklamo sa Securities and Exchange Commission (SEC) sa Pilipinas.
9. **Pag-uulat sa Online na Platform:**
- Iulat ang scam sa mga online na platform o website na kasangkot. Maraming mga platform ang may mga mekanismo para sa pag-uulat ng mga mapanlinlang na aktibidad.
10. **Turuan ang Iba:**
- Ibahagi ang iyong karanasan upang itaas ang kamalayan at tulungan ang iba na maiwasan ang pagiging biktima ng mga katulad na scam. Iulat ang scam sa mga online na forum ng proteksyon ng consumer o website.
Tandaan na ang mga legal na aksyon na magagamit mo ay maaaring mag-iba batay sa mga detalye ng scam at mga batas na naaangkop sa iyong hurisdiksyon. Ang pagkonsulta sa mga legal na propesyonal ay mahalaga upang maunawaan ang iyong mga karapatan at ituloy ang pinakaangkop na paraan ng pagkilos. Bukod pa rito, ang pag-uulat ng insidente sa mga may-katuturang awtoridad ay nakakatulong sa pag-ambag sa mga pagsisikap laban sa mga online na scam at pinoprotektahan ang iba mula sa pagiging biktima ng mga katulad na pamamaraan.</v>
      </c>
      <c r="F803" s="2">
        <f t="shared" si="1"/>
        <v>0</v>
      </c>
      <c r="G803" s="2"/>
      <c r="H803" s="2"/>
      <c r="I803" s="2"/>
      <c r="J803" s="2"/>
      <c r="K803" s="2"/>
      <c r="L803" s="2"/>
      <c r="M803" s="2"/>
      <c r="N803" s="2"/>
      <c r="O803" s="2"/>
      <c r="P803" s="2"/>
      <c r="Q803" s="2"/>
      <c r="R803" s="2"/>
      <c r="S803" s="2"/>
      <c r="T803" s="2"/>
      <c r="U803" s="2"/>
      <c r="V803" s="2"/>
      <c r="W803" s="2"/>
      <c r="X803" s="2"/>
      <c r="Y803" s="2"/>
      <c r="Z803" s="2"/>
      <c r="AA803" s="2"/>
    </row>
    <row r="804">
      <c r="A804" s="3" t="s">
        <v>2010</v>
      </c>
      <c r="B804" s="1" t="s">
        <v>2625</v>
      </c>
      <c r="C804" s="1" t="s">
        <v>2626</v>
      </c>
      <c r="D804" s="1" t="s">
        <v>2627</v>
      </c>
      <c r="E804" s="2" t="str">
        <f>IFERROR(__xludf.DUMMYFUNCTION("GOOGLETRANSLATE(C804, ""en"", ""TL"")"),"Ang pagbawi ng mga pondong nawala sa isang online na scam ay maaaring maging mahirap, ngunit hindi ito imposible. Ang mga pagkakataong makabawi ay nakasalalay sa iba't ibang mga kadahilanan, kabilang ang likas na katangian ng scam, ang hurisdiksyon, at an"&amp;"g bilis ng iyong pagkilos. Narito ang ilang hakbang na maaari mong gawin upang subukan ang pagbawi:
1. **Makipag-ugnayan sa Iyong Bangko o Institusyon ng Pinansyal:**
- Kaagad makipag-ugnayan sa iyong bangko o institusyong pinansyal upang iulat ang mga hi"&amp;"ndi awtorisadong transaksyon. Maaari silang makatulong na i-freeze o i-reverse ang mga transaksyon, lalo na kung iniulat kaagad.
2. **Maghain ng Di-pagkakasundo:**
- Kung ang scam ay nagsasangkot ng isang transaksyon sa credit card, maghain ng hindi pagka"&amp;"kaunawaan sa iyong kumpanya ng credit card. Ang mga kumpanya ng credit card ay kadalasang may mga hakbang sa proteksyon sa panloloko at maaaring mabawi ang mga singil.
3. **Mag-ulat sa Mga Awtoridad:**
- Iulat ang online scam sa mga kaugnay na ahensyang n"&amp;"agpapatupad ng batas, tulad ng National Bureau of Investigation (NBI) Cybercrime Division o Philippine National Police (PNP) Anti-Cybercrime Group. Ibigay sa kanila ang lahat ng magagamit na ebidensya.
4. **Maghain ng Reklamo sa Philippine SEC:**
- Kung a"&amp;"ng scam ay nagsasangkot ng mga mapanlinlang na pamumuhunan o securities, maghain ng reklamo sa Securities and Exchange Commission (SEC) sa Pilipinas. Maaari nilang imbestigahan ang bagay at gumawa ng naaangkop na aksyon.
5. **Kumonsulta sa Mga Legal na Pr"&amp;"opesyonal:**
- Humingi ng payo mula sa mga legal na propesyonal na dalubhasa sa cybercrime o mga batas sa proteksyon ng consumer. Maaari ka nilang gabayan sa mga potensyal na legal na aksyon at tulungan kang maunawaan ang iyong mga karapatan.
6. **Pag-uul"&amp;"at sa Online na Platform:**
- Iulat ang scam sa mga online na platform o website na kasangkot. Ang ilang mga platform ay maaaring may mga hakbang sa proteksyon ng panloloko at maaaring kumilos laban sa scammer.
7. **Mga Claim sa Insurance:**
- Suriin kung"&amp;" mayroon kang anumang saklaw ng seguro na maaaring naaangkop sa sitwasyon. Ang ilang mga patakaran sa seguro ay nag-aalok ng proteksyon laban sa online na pandaraya.
8. **Mag-ingat sa Mga Recovery Scam:**
- Mag-ingat sa mga indibidwal o kumpanyang nagsasa"&amp;"bing tinutulungan kang mabawi ang iyong mga pondo nang may bayad. Maaaring subukan ng mga scammer na i-target ang mga biktima sa pangalawang pagkakataon gamit ang mga maling pangako ng pagbawi.
Bagama't maaaring mapataas ng mga hakbang na ito ang iyong mg"&amp;"a pagkakataong mabawi ang mga nawalang pondo, mahalagang maging makatotohanan tungkol sa mga hamon na kasangkot. Ang mga online scammers ay madalas na gumagamit ng mga sopistikadong pamamaraan, at ang pagsubaybay sa mga pondo ay maaaring maging mahirap. A"&amp;"ng mabilis na pagkilos, pagbibigay ng detalyadong impormasyon sa mga awtoridad, at paghingi ng propesyonal na payo ay mga kritikal na hakbang na dapat gawin.
Tandaan na manatiling mapagbantay at magpatupad ng pinakamahuhusay na kagawian para sa online na "&amp;"seguridad upang maiwasang mabiktima ng mga scam sa hinaharap.")</f>
        <v>Ang pagbawi ng mga pondong nawala sa isang online na scam ay maaaring maging mahirap, ngunit hindi ito imposible. Ang mga pagkakataong makabawi ay nakasalalay sa iba't ibang mga kadahilanan, kabilang ang likas na katangian ng scam, ang hurisdiksyon, at ang bilis ng iyong pagkilos. Narito ang ilang hakbang na maaari mong gawin upang subukan ang pagbawi:
1. **Makipag-ugnayan sa Iyong Bangko o Institusyon ng Pinansyal:**
- Kaagad makipag-ugnayan sa iyong bangko o institusyong pinansyal upang iulat ang mga hindi awtorisadong transaksyon. Maaari silang makatulong na i-freeze o i-reverse ang mga transaksyon, lalo na kung iniulat kaagad.
2. **Maghain ng Di-pagkakasundo:**
- Kung ang scam ay nagsasangkot ng isang transaksyon sa credit card, maghain ng hindi pagkakaunawaan sa iyong kumpanya ng credit card. Ang mga kumpanya ng credit card ay kadalasang may mga hakbang sa proteksyon sa panloloko at maaaring mabawi ang mga singil.
3. **Mag-ulat sa Mga Awtoridad:**
- Iulat ang online scam sa mga kaugnay na ahensyang nagpapatupad ng batas, tulad ng National Bureau of Investigation (NBI) Cybercrime Division o Philippine National Police (PNP) Anti-Cybercrime Group. Ibigay sa kanila ang lahat ng magagamit na ebidensya.
4. **Maghain ng Reklamo sa Philippine SEC:**
- Kung ang scam ay nagsasangkot ng mga mapanlinlang na pamumuhunan o securities, maghain ng reklamo sa Securities and Exchange Commission (SEC) sa Pilipinas. Maaari nilang imbestigahan ang bagay at gumawa ng naaangkop na aksyon.
5. **Kumonsulta sa Mga Legal na Propesyonal:**
- Humingi ng payo mula sa mga legal na propesyonal na dalubhasa sa cybercrime o mga batas sa proteksyon ng consumer. Maaari ka nilang gabayan sa mga potensyal na legal na aksyon at tulungan kang maunawaan ang iyong mga karapatan.
6. **Pag-uulat sa Online na Platform:**
- Iulat ang scam sa mga online na platform o website na kasangkot. Ang ilang mga platform ay maaaring may mga hakbang sa proteksyon ng panloloko at maaaring kumilos laban sa scammer.
7. **Mga Claim sa Insurance:**
- Suriin kung mayroon kang anumang saklaw ng seguro na maaaring naaangkop sa sitwasyon. Ang ilang mga patakaran sa seguro ay nag-aalok ng proteksyon laban sa online na pandaraya.
8. **Mag-ingat sa Mga Recovery Scam:**
- Mag-ingat sa mga indibidwal o kumpanyang nagsasabing tinutulungan kang mabawi ang iyong mga pondo nang may bayad. Maaaring subukan ng mga scammer na i-target ang mga biktima sa pangalawang pagkakataon gamit ang mga maling pangako ng pagbawi.
Bagama't maaaring mapataas ng mga hakbang na ito ang iyong mga pagkakataong mabawi ang mga nawalang pondo, mahalagang maging makatotohanan tungkol sa mga hamon na kasangkot. Ang mga online scammers ay madalas na gumagamit ng mga sopistikadong pamamaraan, at ang pagsubaybay sa mga pondo ay maaaring maging mahirap. Ang mabilis na pagkilos, pagbibigay ng detalyadong impormasyon sa mga awtoridad, at paghingi ng propesyonal na payo ay mga kritikal na hakbang na dapat gawin.
Tandaan na manatiling mapagbantay at magpatupad ng pinakamahuhusay na kagawian para sa online na seguridad upang maiwasang mabiktima ng mga scam sa hinaharap.</v>
      </c>
      <c r="F804" s="2">
        <f t="shared" si="1"/>
        <v>0</v>
      </c>
      <c r="G804" s="2"/>
      <c r="H804" s="2"/>
      <c r="I804" s="2"/>
      <c r="J804" s="2"/>
      <c r="K804" s="2"/>
      <c r="L804" s="2"/>
      <c r="M804" s="2"/>
      <c r="N804" s="2"/>
      <c r="O804" s="2"/>
      <c r="P804" s="2"/>
      <c r="Q804" s="2"/>
      <c r="R804" s="2"/>
      <c r="S804" s="2"/>
      <c r="T804" s="2"/>
      <c r="U804" s="2"/>
      <c r="V804" s="2"/>
      <c r="W804" s="2"/>
      <c r="X804" s="2"/>
      <c r="Y804" s="2"/>
      <c r="Z804" s="2"/>
      <c r="AA804" s="2"/>
    </row>
    <row r="805">
      <c r="A805" s="3" t="s">
        <v>2010</v>
      </c>
      <c r="B805" s="1" t="s">
        <v>2628</v>
      </c>
      <c r="C805" s="1" t="s">
        <v>2629</v>
      </c>
      <c r="D805" s="1" t="s">
        <v>2630</v>
      </c>
      <c r="E805" s="2" t="str">
        <f>IFERROR(__xludf.DUMMYFUNCTION("GOOGLETRANSLATE(C805, ""en"", ""TL"")"),"Kung pinaghihinalaan mo na na-scam ka online, ang pangangalap ng komprehensibong ebidensya ay napakahalaga para sa pag-uulat ng insidente sa mga awtoridad at paghahanap ng mga potensyal na legal na remedyo. Narito ang mga pangunahing uri ng ebidensya na k"&amp;"okolektahin:
1. **Mga Tala ng Komunikasyon:**
- I-save ang lahat ng komunikasyon sa pinaghihinalaang scammer, kabilang ang mga email, mensahe, at anumang iba pang sulat. Kumuha ng mga screenshot o mag-download ng mga email thread upang mapanatili ang nila"&amp;"laman.
2. **Mga Detalye ng Transaksyon:**
- Idokumento ang lahat ng mga detalye ng transaksyon na nauugnay sa scam, kabilang ang mga resibo ng pagbabayad, mga invoice, at mga talaan ng mga transaksyong pinansyal. Magbigay ng impormasyon tungkol sa mga hal"&amp;"aga, petsa, at paraan ng pagbabayad na ginamit.
3. **Impormasyon sa Website o Profile:**
- Kung ang scam ay nagsasangkot ng isang website o online na profile, mangalap ng impormasyon tungkol sa URL ng website, mga detalye ng pagpaparehistro ng domain, at "&amp;"anumang iba pang nauugnay na impormasyon tungkol sa online na presensya ng scammer.
4. **Mga Screenshot o Larawan:**
- Kumuha ng mga screenshot o larawan ng may-katuturang impormasyon, tulad ng mga listahan ng produkto, advertisement, o anumang maling rep"&amp;"resentasyong ginawa ng scammer. Ang mga visual na ito ay maaaring magsilbing mahalagang ebidensya.
5. **Mga Link sa Social Media:**
- Kung ang scam ay may kinalaman sa social media, mangolekta ng mga link sa mga profile o account ng scammer. Kumuha ng mga"&amp;" screenshot ng mga post, mensahe, o pakikipag-ugnayan na nagpapakita ng mga mapanlinlang na aktibidad.
6. **Mga IP Address at Online ID:**
- Kung maaari, tandaan ang mga IP address na nauugnay sa scammer o anumang mga online na ID na maaaring ginamit nila"&amp;". Ang impormasyong ito ay maaaring maging mahalaga para sa pagsubaybay at pag-uulat.
7. **Bangko at Financial Statement:**
- Magtipon ng mga kopya ng iyong bangko at mga financial statement na nagpapakita ng anumang hindi awtorisadong transaksyon na nauug"&amp;"nay sa scam. Ang mga dokumentong ito ay maaaring magsilbing ebidensya kapag nag-uulat sa iyong bangko o tagapagpatupad ng batas.
8. **Impormasyon ng Device:**
- Idokumento ang mga detalye tungkol sa mga device na ginamit mo sa online na pakikipag-ugnayan."&amp;" Maaaring kabilang dito ang paggawa at modelo ng device, operating system, at anumang nauugnay na impormasyon tungkol sa software o mga application na ginamit.
9. **Mga Karagdagang Biktima:**
- Kung matuklasan mo ang iba pang mga indibidwal na naging bikt"&amp;"ima ng parehong scam, idokumento ang kanilang impormasyon sa pakikipag-ugnayan. Ito ay maaaring maging kapaki-pakinabang para sa mga tagapagpatupad ng batas at mga awtoridad na nag-iimbestiga sa kaso.
10. **Anumang Mga Kasunduan o Kontrata:**
- Kung pumas"&amp;"ok ka sa anumang mga kasunduan o kontrata sa scammer, mag-save ng mga kopya ng mga dokumentong ito. Isama ang anumang mga tuntunin at kundisyon, kasunduan, o pangako na ginawa ng scammer.
11. **Mga Ulat sa Mga Online Platform:**
- Kung nangyari ang scam s"&amp;"a isang partikular na online na platform, mag-save ng mga kopya ng mga ulat o reklamong isinampa sa platform. Ang mga platform ay maaaring may sariling mga pamamaraan para sa pagtugon sa pandaraya.
Kapag nakuha mo na ang ebidensyang ito, iulat kaagad ang "&amp;"scam sa mga naaangkop na awtoridad, tulad ng National Bureau of Investigation (NBI) Cybercrime Division o Philippine National Police (PNP) Anti-Cybercrime Group. Ang pagbibigay ng detalyado at organisadong ebidensiya ay nagpapahusay sa mga pagkakataon ng "&amp;"pagpapatupad ng batas na kumilos sa iyong kaso.
Tandaan na ang pag-iingat ng ebidensya at pagkilos kaagad ay mga kritikal na hakbang sa paghingi ng tulong at pagpigil sa karagdagang pinsala. Bukod pa rito, inirerekomenda ang pagkonsulta sa mga legal na pr"&amp;"opesyonal para sa payo na angkop sa iyong sitwasyon.")</f>
        <v>Kung pinaghihinalaan mo na na-scam ka online, ang pangangalap ng komprehensibong ebidensya ay napakahalaga para sa pag-uulat ng insidente sa mga awtoridad at paghahanap ng mga potensyal na legal na remedyo. Narito ang mga pangunahing uri ng ebidensya na kokolektahin:
1. **Mga Tala ng Komunikasyon:**
- I-save ang lahat ng komunikasyon sa pinaghihinalaang scammer, kabilang ang mga email, mensahe, at anumang iba pang sulat. Kumuha ng mga screenshot o mag-download ng mga email thread upang mapanatili ang nilalaman.
2. **Mga Detalye ng Transaksyon:**
- Idokumento ang lahat ng mga detalye ng transaksyon na nauugnay sa scam, kabilang ang mga resibo ng pagbabayad, mga invoice, at mga talaan ng mga transaksyong pinansyal. Magbigay ng impormasyon tungkol sa mga halaga, petsa, at paraan ng pagbabayad na ginamit.
3. **Impormasyon sa Website o Profile:**
- Kung ang scam ay nagsasangkot ng isang website o online na profile, mangalap ng impormasyon tungkol sa URL ng website, mga detalye ng pagpaparehistro ng domain, at anumang iba pang nauugnay na impormasyon tungkol sa online na presensya ng scammer.
4. **Mga Screenshot o Larawan:**
- Kumuha ng mga screenshot o larawan ng may-katuturang impormasyon, tulad ng mga listahan ng produkto, advertisement, o anumang maling representasyong ginawa ng scammer. Ang mga visual na ito ay maaaring magsilbing mahalagang ebidensya.
5. **Mga Link sa Social Media:**
- Kung ang scam ay may kinalaman sa social media, mangolekta ng mga link sa mga profile o account ng scammer. Kumuha ng mga screenshot ng mga post, mensahe, o pakikipag-ugnayan na nagpapakita ng mga mapanlinlang na aktibidad.
6. **Mga IP Address at Online ID:**
- Kung maaari, tandaan ang mga IP address na nauugnay sa scammer o anumang mga online na ID na maaaring ginamit nila. Ang impormasyong ito ay maaaring maging mahalaga para sa pagsubaybay at pag-uulat.
7. **Bangko at Financial Statement:**
- Magtipon ng mga kopya ng iyong bangko at mga financial statement na nagpapakita ng anumang hindi awtorisadong transaksyon na nauugnay sa scam. Ang mga dokumentong ito ay maaaring magsilbing ebidensya kapag nag-uulat sa iyong bangko o tagapagpatupad ng batas.
8. **Impormasyon ng Device:**
- Idokumento ang mga detalye tungkol sa mga device na ginamit mo sa online na pakikipag-ugnayan. Maaaring kabilang dito ang paggawa at modelo ng device, operating system, at anumang nauugnay na impormasyon tungkol sa software o mga application na ginamit.
9. **Mga Karagdagang Biktima:**
- Kung matuklasan mo ang iba pang mga indibidwal na naging biktima ng parehong scam, idokumento ang kanilang impormasyon sa pakikipag-ugnayan. Ito ay maaaring maging kapaki-pakinabang para sa mga tagapagpatupad ng batas at mga awtoridad na nag-iimbestiga sa kaso.
10. **Anumang Mga Kasunduan o Kontrata:**
- Kung pumasok ka sa anumang mga kasunduan o kontrata sa scammer, mag-save ng mga kopya ng mga dokumentong ito. Isama ang anumang mga tuntunin at kundisyon, kasunduan, o pangako na ginawa ng scammer.
11. **Mga Ulat sa Mga Online Platform:**
- Kung nangyari ang scam sa isang partikular na online na platform, mag-save ng mga kopya ng mga ulat o reklamong isinampa sa platform. Ang mga platform ay maaaring may sariling mga pamamaraan para sa pagtugon sa pandaraya.
Kapag nakuha mo na ang ebidensyang ito, iulat kaagad ang scam sa mga naaangkop na awtoridad, tulad ng National Bureau of Investigation (NBI) Cybercrime Division o Philippine National Police (PNP) Anti-Cybercrime Group. Ang pagbibigay ng detalyado at organisadong ebidensiya ay nagpapahusay sa mga pagkakataon ng pagpapatupad ng batas na kumilos sa iyong kaso.
Tandaan na ang pag-iingat ng ebidensya at pagkilos kaagad ay mga kritikal na hakbang sa paghingi ng tulong at pagpigil sa karagdagang pinsala. Bukod pa rito, inirerekomenda ang pagkonsulta sa mga legal na propesyonal para sa payo na angkop sa iyong sitwasyon.</v>
      </c>
      <c r="F805" s="2">
        <f t="shared" si="1"/>
        <v>0</v>
      </c>
      <c r="G805" s="2"/>
      <c r="H805" s="2"/>
      <c r="I805" s="2"/>
      <c r="J805" s="2"/>
      <c r="K805" s="2"/>
      <c r="L805" s="2"/>
      <c r="M805" s="2"/>
      <c r="N805" s="2"/>
      <c r="O805" s="2"/>
      <c r="P805" s="2"/>
      <c r="Q805" s="2"/>
      <c r="R805" s="2"/>
      <c r="S805" s="2"/>
      <c r="T805" s="2"/>
      <c r="U805" s="2"/>
      <c r="V805" s="2"/>
      <c r="W805" s="2"/>
      <c r="X805" s="2"/>
      <c r="Y805" s="2"/>
      <c r="Z805" s="2"/>
      <c r="AA805" s="2"/>
    </row>
    <row r="806">
      <c r="A806" s="3" t="s">
        <v>2010</v>
      </c>
      <c r="B806" s="1" t="s">
        <v>2631</v>
      </c>
      <c r="C806" s="1" t="s">
        <v>2632</v>
      </c>
      <c r="D806" s="1" t="s">
        <v>2633</v>
      </c>
      <c r="E806" s="2" t="str">
        <f>IFERROR(__xludf.DUMMYFUNCTION("GOOGLETRANSLATE(C806, ""en"", ""TL"")"),"Kung nabiktima ka ng online scam sa Pilipinas, maaari mong iulat ang insidente sa mga naaangkop na awtoridad. Narito ang mga hakbang upang matulungan kang mag-ulat ng online na scam:
1. **Makipag-ugnayan sa National Bureau of Investigation (NBI) Cybercrim"&amp;"e Division:**
- Responsable ang NBI Cybercrime Division sa paghawak ng mga kaso ng cybercrime sa Pilipinas. Maaari kang bumisita nang personal sa opisina ng NBI o makipag-ugnayan sa kanila sa pamamagitan ng kanilang opisyal na website o hotline para iulat"&amp;" ang online scam.
- **NBI Website:** [NBI Cybercrime Division](https://www.nbi.gov.ph/nbi/index.php/office-divisions/cybercrime-division)
- **NBI Hotline:** (02) 8523-8231 hanggang 38 local 3453
2. **Makipag-ugnayan sa Philippine National Police (PNP) Ant"&amp;"i-Cybercrime Group:**
- Ang PNP Anti-Cybercrime Group ay isa pang pangunahing ahensya para sa pag-uulat ng mga cybercrime, kabilang ang mga online scam. Maaari kang makipag-ugnayan sa kanila sa pamamagitan ng kanilang opisyal na website o makipag-ugnayan "&amp;"sa kanilang hotline.
- **Website ng PNP Anti-Cybercrime Group:** [PNP Anti-Cybercrime Group](https://acg.pnp.gov.ph)
- **PNP Anti-Cybercrime Group Hotline:** (02) 8925-8417
3. **Magsumite ng Detalyadong Ulat:**
- Kapag nag-uulat ng online scam, magbigay n"&amp;"g detalyadong ulat ng insidente. Isama ang impormasyon tungkol sa scammer, mga detalye ng komunikasyon, mga talaan ng transaksyon, at anumang ebidensya na iyong nakalap. Kung mas detalyado ang iyong ulat, mas mahusay na masuri at masisiyasat ng mga awtori"&amp;"dad ang kaso.
4. **Sundin ang Opisyal na Pamamaraan:**
- Sundin ang mga opisyal na pamamaraan ng pag-uulat na binalangkas ng NBI o PNP. Maaaring kabilang dito ang pagsusumite ng pormal na nakasulat na reklamo, pagsagot sa mga partikular na form, o pagbibi"&amp;"gay ng karagdagang impormasyon ayon sa hinihiling.
5. **Makipagtulungan sa Mga Awtoridad:**
- Maging handa na makipagtulungan sa mga awtoridad na nagpapatupad ng batas sa panahon ng kanilang pagsisiyasat. Magbigay ng anumang karagdagang impormasyon na hin"&amp;"ihiling nila at sundin ang kanilang gabay sa buong proseso.
6. **Panatilihin ang Mga Tala ng Iyong Ulat:**
- Panatilihin ang mga talaan ng iyong ulat, kabilang ang anumang mga numero ng pagkilala o sanggunian na ibinigay ng mga awtoridad. Maaari itong mag"&amp;"ing kapaki-pakinabang para sa pagsubaybay sa pag-usad ng pagsisiyasat.
7. **Makipag-ugnayan sa Iyong Bangko o Institusyon ng Pinansyal:**
- Kung ang scam ay nagsasangkot ng mga hindi awtorisadong transaksyon sa pananalapi, makipag-ugnayan sa iyong bangko "&amp;"o institusyong pinansyal nang hiwalay upang iulat ang panloloko. Maaaring mayroon silang sariling mga pamamaraan para sa pagtugon sa mga ganitong insidente.
8. **Mag-ulat sa Iba Pang Mga Kaugnay na Ahensya:**
- Depende sa uri ng scam, isaalang-alang ang p"&amp;"ag-uulat ng insidente sa iba pang nauugnay na ahensya, gaya ng Securities and Exchange Commission (SEC) kung may kinalaman ito sa mga mapanlinlang na pamumuhunan.
9. **Manatiling Alam:**
- Manatiling may alam tungkol sa pag-usad ng imbestigasyon. Mag-foll"&amp;"ow up sa mga awtoridad kung kinakailangan at magbigay ng anumang karagdagang impormasyon na maaaring makatulong sa pagresolba sa kaso.
Tandaan na kumilos kaagad at magbigay ng mas maraming detalye hangga't maaari kapag nag-uulat ng online scam. Bukod pa r"&amp;"ito, ang pagkonsulta sa mga legal na propesyonal ay maaaring magbigay ng gabay na angkop sa iyong partikular na sitwasyon.")</f>
        <v>Kung nabiktima ka ng online scam sa Pilipinas, maaari mong iulat ang insidente sa mga naaangkop na awtoridad. Narito ang mga hakbang upang matulungan kang mag-ulat ng online na scam:
1. **Makipag-ugnayan sa National Bureau of Investigation (NBI) Cybercrime Division:**
- Responsable ang NBI Cybercrime Division sa paghawak ng mga kaso ng cybercrime sa Pilipinas. Maaari kang bumisita nang personal sa opisina ng NBI o makipag-ugnayan sa kanila sa pamamagitan ng kanilang opisyal na website o hotline para iulat ang online scam.
- **NBI Website:** [NBI Cybercrime Division](https://www.nbi.gov.ph/nbi/index.php/office-divisions/cybercrime-division)
- **NBI Hotline:** (02) 8523-8231 hanggang 38 local 3453
2. **Makipag-ugnayan sa Philippine National Police (PNP) Anti-Cybercrime Group:**
- Ang PNP Anti-Cybercrime Group ay isa pang pangunahing ahensya para sa pag-uulat ng mga cybercrime, kabilang ang mga online scam. Maaari kang makipag-ugnayan sa kanila sa pamamagitan ng kanilang opisyal na website o makipag-ugnayan sa kanilang hotline.
- **Website ng PNP Anti-Cybercrime Group:** [PNP Anti-Cybercrime Group](https://acg.pnp.gov.ph)
- **PNP Anti-Cybercrime Group Hotline:** (02) 8925-8417
3. **Magsumite ng Detalyadong Ulat:**
- Kapag nag-uulat ng online scam, magbigay ng detalyadong ulat ng insidente. Isama ang impormasyon tungkol sa scammer, mga detalye ng komunikasyon, mga talaan ng transaksyon, at anumang ebidensya na iyong nakalap. Kung mas detalyado ang iyong ulat, mas mahusay na masuri at masisiyasat ng mga awtoridad ang kaso.
4. **Sundin ang Opisyal na Pamamaraan:**
- Sundin ang mga opisyal na pamamaraan ng pag-uulat na binalangkas ng NBI o PNP. Maaaring kabilang dito ang pagsusumite ng pormal na nakasulat na reklamo, pagsagot sa mga partikular na form, o pagbibigay ng karagdagang impormasyon ayon sa hinihiling.
5. **Makipagtulungan sa Mga Awtoridad:**
- Maging handa na makipagtulungan sa mga awtoridad na nagpapatupad ng batas sa panahon ng kanilang pagsisiyasat. Magbigay ng anumang karagdagang impormasyon na hinihiling nila at sundin ang kanilang gabay sa buong proseso.
6. **Panatilihin ang Mga Tala ng Iyong Ulat:**
- Panatilihin ang mga talaan ng iyong ulat, kabilang ang anumang mga numero ng pagkilala o sanggunian na ibinigay ng mga awtoridad. Maaari itong maging kapaki-pakinabang para sa pagsubaybay sa pag-usad ng pagsisiyasat.
7. **Makipag-ugnayan sa Iyong Bangko o Institusyon ng Pinansyal:**
- Kung ang scam ay nagsasangkot ng mga hindi awtorisadong transaksyon sa pananalapi, makipag-ugnayan sa iyong bangko o institusyong pinansyal nang hiwalay upang iulat ang panloloko. Maaaring mayroon silang sariling mga pamamaraan para sa pagtugon sa mga ganitong insidente.
8. **Mag-ulat sa Iba Pang Mga Kaugnay na Ahensya:**
- Depende sa uri ng scam, isaalang-alang ang pag-uulat ng insidente sa iba pang nauugnay na ahensya, gaya ng Securities and Exchange Commission (SEC) kung may kinalaman ito sa mga mapanlinlang na pamumuhunan.
9. **Manatiling Alam:**
- Manatiling may alam tungkol sa pag-usad ng imbestigasyon. Mag-follow up sa mga awtoridad kung kinakailangan at magbigay ng anumang karagdagang impormasyon na maaaring makatulong sa pagresolba sa kaso.
Tandaan na kumilos kaagad at magbigay ng mas maraming detalye hangga't maaari kapag nag-uulat ng online scam. Bukod pa rito, ang pagkonsulta sa mga legal na propesyonal ay maaaring magbigay ng gabay na angkop sa iyong partikular na sitwasyon.</v>
      </c>
      <c r="F806" s="2">
        <f t="shared" si="1"/>
        <v>0</v>
      </c>
      <c r="G806" s="2"/>
      <c r="H806" s="2"/>
      <c r="I806" s="2"/>
      <c r="J806" s="2"/>
      <c r="K806" s="2"/>
      <c r="L806" s="2"/>
      <c r="M806" s="2"/>
      <c r="N806" s="2"/>
      <c r="O806" s="2"/>
      <c r="P806" s="2"/>
      <c r="Q806" s="2"/>
      <c r="R806" s="2"/>
      <c r="S806" s="2"/>
      <c r="T806" s="2"/>
      <c r="U806" s="2"/>
      <c r="V806" s="2"/>
      <c r="W806" s="2"/>
      <c r="X806" s="2"/>
      <c r="Y806" s="2"/>
      <c r="Z806" s="2"/>
      <c r="AA806" s="2"/>
    </row>
    <row r="807">
      <c r="A807" s="3" t="s">
        <v>2010</v>
      </c>
      <c r="B807" s="1" t="s">
        <v>2634</v>
      </c>
      <c r="C807" s="1" t="s">
        <v>2635</v>
      </c>
      <c r="D807" s="1" t="s">
        <v>2636</v>
      </c>
      <c r="E807" s="2" t="str">
        <f>IFERROR(__xludf.DUMMYFUNCTION("GOOGLETRANSLATE(C807, ""en"", ""TL"")"),"Sa Pilipinas, ilang batas at regulasyon ang naglalayong protektahan ang mga biktima ng online scam at tugunan ang cybercrime. Narito ang ilang mahahalagang batas na nauugnay sa proteksyon ng mga indibidwal na naging biktima ng mga online scam:
1. **Republ"&amp;"ic Act No. 10175 - Cybercrime Prevention Act of 2012:**
- Tinutukoy at pinaparusahan ng batas na ito ang iba't ibang cybercrimes, kabilang ang mga paglabag na nauugnay sa hindi awtorisadong pag-access sa mga computer system, ilegal na pagharang ng data, a"&amp;"t online na pandaraya. Nagbibigay ito ng mga legal na mekanismo para sa pagsisiyasat at pag-uusig ng mga cybercrime.
2. **Republic Act No. 8792 - Electronic Commerce Act of 2000:**
- Ang Electronic Commerce Act ay namamahala sa mga elektronikong transaksy"&amp;"on at nagtatakda ng mga probisyon para sa proteksyon ng consumer sa e-commerce. Itinatag nito ang legal na pagkilala sa mga elektronikong dokumento at pirma at may kasamang mga hakbang para sa proteksyon ng mga consumer na nakikibahagi sa electronic comme"&amp;"rce.
3. **Republic Act No. 7394 - Consumer Act of the Philippines:**
- Ang Consumer Act ay nagbibigay ng proteksyon sa mga consumer laban sa mga mapanlinlang, hindi patas, at walang konsensya na mga kasanayan sa pagbebenta. Ang mga biktima ng mga online n"&amp;"a scam na may kinalaman sa maling pag-advertise, maling representasyon ng mga produkto o serbisyo, o iba pang mapanlinlang na aktibidad ay maaaring makahanap ng proteksyon sa ilalim ng batas na ito.
4. **Anti-Cyber ​​Squatting Act (Republic Act No. 9160):"&amp;"**
- Ipinagbabawal ng batas na ito ang cyber squatting, na kinabibilangan ng pagpaparehistro, pagtra-traffic, o paggamit ng domain name na may layuning kumita, manligaw, o makapinsala sa reputasyon ng iba. Ang mga biktima ng mga online na scam na nauugnay"&amp;" sa mapanlinlang na mga domain name ay maaaring makahanap ng tulong sa ilalim ng batas na ito.
5. **Republic Act No. 11449 - Bayanihan to Heal as One Act:**
- Pinagtibay bilang tugon sa pandemya ng COVID-19, kasama sa batas na ito ang mga probisyon laban "&amp;"sa mga online na scam na may kaugnayan sa pagbebenta ng mga pekeng medikal na suplay, maling representasyon ng mga produktong pangkalusugan, at iba pang mapanlinlang na aktibidad na nagsasamantala sa krisis sa kalusugan.
6. **Kodigo sa Regulasyon ng Segur"&amp;"idad (Batas ng Republika Blg. 8799):**
- Kinokontrol ng Securities Regulation Code ang industriya ng securities at naglalayong protektahan ang mga mamumuhunan. Kung ang isang online na scam ay nagsasangkot ng mga mapanlinlang na pamumuhunan o securities, "&amp;"ang mga biktima ay maaaring makahanap ng proteksyon sa ilalim ng batas na ito.
Bagama't ang mga batas na ito ay nagbibigay ng balangkas para sa pagtugon sa mga cybercrime at pagprotekta sa mga consumer, mahalagang tandaan na ang pagpapatupad at mga legal "&amp;"na proseso ay maaaring mag-iba. Hinihikayat ang mga biktima ng online scam na iulat kaagad ang mga insidente sa mga kinauukulang awtoridad, gaya ng National Bureau of Investigation (NBI) Cybercrime Division o Philippine National Police (PNP) Anti-Cybercri"&amp;"me Group.
Ang pagkonsulta sa mga legal na propesyonal na dalubhasa sa cybercrime o mga batas sa proteksyon ng consumer ay maaari ding magbigay sa mga biktima ng gabay sa kanilang mga karapatan at potensyal na legal na aksyon.")</f>
        <v>Sa Pilipinas, ilang batas at regulasyon ang naglalayong protektahan ang mga biktima ng online scam at tugunan ang cybercrime. Narito ang ilang mahahalagang batas na nauugnay sa proteksyon ng mga indibidwal na naging biktima ng mga online scam:
1. **Republic Act No. 10175 - Cybercrime Prevention Act of 2012:**
- Tinutukoy at pinaparusahan ng batas na ito ang iba't ibang cybercrimes, kabilang ang mga paglabag na nauugnay sa hindi awtorisadong pag-access sa mga computer system, ilegal na pagharang ng data, at online na pandaraya. Nagbibigay ito ng mga legal na mekanismo para sa pagsisiyasat at pag-uusig ng mga cybercrime.
2. **Republic Act No. 8792 - Electronic Commerce Act of 2000:**
- Ang Electronic Commerce Act ay namamahala sa mga elektronikong transaksyon at nagtatakda ng mga probisyon para sa proteksyon ng consumer sa e-commerce. Itinatag nito ang legal na pagkilala sa mga elektronikong dokumento at pirma at may kasamang mga hakbang para sa proteksyon ng mga consumer na nakikibahagi sa electronic commerce.
3. **Republic Act No. 7394 - Consumer Act of the Philippines:**
- Ang Consumer Act ay nagbibigay ng proteksyon sa mga consumer laban sa mga mapanlinlang, hindi patas, at walang konsensya na mga kasanayan sa pagbebenta. Ang mga biktima ng mga online na scam na may kinalaman sa maling pag-advertise, maling representasyon ng mga produkto o serbisyo, o iba pang mapanlinlang na aktibidad ay maaaring makahanap ng proteksyon sa ilalim ng batas na ito.
4. **Anti-Cyber ​​Squatting Act (Republic Act No. 9160):**
- Ipinagbabawal ng batas na ito ang cyber squatting, na kinabibilangan ng pagpaparehistro, pagtra-traffic, o paggamit ng domain name na may layuning kumita, manligaw, o makapinsala sa reputasyon ng iba. Ang mga biktima ng mga online na scam na nauugnay sa mapanlinlang na mga domain name ay maaaring makahanap ng tulong sa ilalim ng batas na ito.
5. **Republic Act No. 11449 - Bayanihan to Heal as One Act:**
- Pinagtibay bilang tugon sa pandemya ng COVID-19, kasama sa batas na ito ang mga probisyon laban sa mga online na scam na may kaugnayan sa pagbebenta ng mga pekeng medikal na suplay, maling representasyon ng mga produktong pangkalusugan, at iba pang mapanlinlang na aktibidad na nagsasamantala sa krisis sa kalusugan.
6. **Kodigo sa Regulasyon ng Seguridad (Batas ng Republika Blg. 8799):**
- Kinokontrol ng Securities Regulation Code ang industriya ng securities at naglalayong protektahan ang mga mamumuhunan. Kung ang isang online na scam ay nagsasangkot ng mga mapanlinlang na pamumuhunan o securities, ang mga biktima ay maaaring makahanap ng proteksyon sa ilalim ng batas na ito.
Bagama't ang mga batas na ito ay nagbibigay ng balangkas para sa pagtugon sa mga cybercrime at pagprotekta sa mga consumer, mahalagang tandaan na ang pagpapatupad at mga legal na proseso ay maaaring mag-iba. Hinihikayat ang mga biktima ng online scam na iulat kaagad ang mga insidente sa mga kinauukulang awtoridad, gaya ng National Bureau of Investigation (NBI) Cybercrime Division o Philippine National Police (PNP) Anti-Cybercrime Group.
Ang pagkonsulta sa mga legal na propesyonal na dalubhasa sa cybercrime o mga batas sa proteksyon ng consumer ay maaari ding magbigay sa mga biktima ng gabay sa kanilang mga karapatan at potensyal na legal na aksyon.</v>
      </c>
      <c r="F807" s="2">
        <f t="shared" si="1"/>
        <v>0</v>
      </c>
      <c r="G807" s="2"/>
      <c r="H807" s="2"/>
      <c r="I807" s="2"/>
      <c r="J807" s="2"/>
      <c r="K807" s="2"/>
      <c r="L807" s="2"/>
      <c r="M807" s="2"/>
      <c r="N807" s="2"/>
      <c r="O807" s="2"/>
      <c r="P807" s="2"/>
      <c r="Q807" s="2"/>
      <c r="R807" s="2"/>
      <c r="S807" s="2"/>
      <c r="T807" s="2"/>
      <c r="U807" s="2"/>
      <c r="V807" s="2"/>
      <c r="W807" s="2"/>
      <c r="X807" s="2"/>
      <c r="Y807" s="2"/>
      <c r="Z807" s="2"/>
      <c r="AA807" s="2"/>
    </row>
    <row r="808">
      <c r="A808" s="3" t="s">
        <v>2010</v>
      </c>
      <c r="B808" s="1" t="s">
        <v>2637</v>
      </c>
      <c r="C808" s="1" t="s">
        <v>2638</v>
      </c>
      <c r="D808" s="1" t="s">
        <v>2639</v>
      </c>
      <c r="E808" s="2" t="str">
        <f>IFERROR(__xludf.DUMMYFUNCTION("GOOGLETRANSLATE(C808, ""en"", ""TL"")"),"Ang kakayahang idemanda ang platform kung saan naganap ang scam ay nakadepende sa iba't ibang salik, kabilang ang mga tuntunin ng serbisyo ng platform, mga proteksyon sa pananagutan sa ilalim ng mga naaangkop na batas, at ang mga partikular na kalagayan n"&amp;"g scam. Sa Pilipinas, tulad ng sa maraming hurisdiksyon, ang mga online na platform ay karaniwang may mga tuntunin ng serbisyo na sinasang-ayunan ng mga user kapag gumagawa ng mga account o gumagamit ng mga serbisyo ng platform. Maaaring kasama sa mga tun"&amp;"tuning ito ang mga disclaimer ng pananagutan at mga limitasyon sa responsibilidad ng platform para sa content na binuo ng user.
Narito ang ilang mga pagsasaalang-alang tungkol sa potensyal para sa pagdemanda sa platform:
1. **Mga Tuntunin ng Serbisyo:**
-"&amp;" Suriin ang mga tuntunin ng serbisyo ng platform upang maunawaan ang mga obligasyon at limitasyong ipinataw sa platform. Kadalasang kasama sa mga tuntunin ng serbisyo ang mga disclaimer na naglilimita sa pananagutan ng platform para sa content o mga pakik"&amp;"ipag-ugnayan na binuo ng user.
2. **Mga Legal na Proteksyon para sa Mga Platform:**
- Maraming hurisdiksyon, kabilang ang Pilipinas, ang may mga batas na nagbibigay ng ilang partikular na legal na proteksyon sa mga online na platform sa ilalim ng prinsipy"&amp;"o ng intermediary liability. Nilalayon ng mga batas na ito na protektahan ang mga platform mula sa direktang pananagutan sa mga aksyon ng kanilang mga user. Gayunpaman, inaasahang tutugon kaagad ang mga platform sa mga ulat ng ilegal o nakakapinsalang con"&amp;"tent.
3. **Iulat ang Scam sa Platform:**
- Iulat ang scam sa platform sa lalong madaling panahon. Maraming mga platform ang may mga mekanismo para sa pag-uulat ng mga mapanlinlang o nakakapinsalang aktibidad. Sundin ang mga pamamaraan sa pag-uulat ng plat"&amp;"form, at magbigay ng detalyadong impormasyon tungkol sa scam.
4. **Pagtugon ng Platform:**
- Tayahin ang pagtugon ng platform sa iyong ulat. Ang mga platform na nagsasagawa ng agarang pagkilos upang tugunan ang mga scam at mapanlinlang na aktibidad ay nag"&amp;"papakita ng pangako sa kaligtasan ng user at maaaring maging mas kooperatiba sa paglutas ng mga isyu.
5. **Kumonsulta sa Mga Legal na Propesyonal:**
- Kumonsulta sa mga legal na propesyonal na dalubhasa sa cyber law o proteksyon ng consumer upang matukoy "&amp;"kung may mga batayan para sa legal na aksyon laban sa platform. Maaari nilang tasahin ang mga partikular na kalagayan ng kaso at magbigay ng gabay sa mga potensyal na kurso ng pagkilos.
6. **Kasunduan at Jurisdiction ng User:**
- Isaalang-alang ang mga tu"&amp;"ntunin ng pagpili ng batas at mga probisyon ng hurisdiksyon ng serbisyo. Maaaring tukuyin ng platform ang namumunong batas at hurisdiksyon para sa mga hindi pagkakaunawaan, na maaaring makaapekto sa iyong kakayahang magsagawa ng legal na aksyon.
Bagama't "&amp;"maaaring maging mahirap ang pagdemanda sa platform, ang pag-uulat ng scam sa platform ay isang mahalagang unang hakbang. Bilang karagdagan, ang pagkonsulta sa mga legal na propesyonal ay makakatulong sa iyong maunawaan ang iyong mga karapatan at tuklasin "&amp;"ang mga potensyal na legal na paraan.
Tandaan na maaaring mag-iba ang mga batas at legal na interpretasyon, at mahalagang humingi ng payo mula sa mga legal na propesyonal na pamilyar sa legal na tanawin sa Pilipinas.")</f>
        <v>Ang kakayahang idemanda ang platform kung saan naganap ang scam ay nakadepende sa iba't ibang salik, kabilang ang mga tuntunin ng serbisyo ng platform, mga proteksyon sa pananagutan sa ilalim ng mga naaangkop na batas, at ang mga partikular na kalagayan ng scam. Sa Pilipinas, tulad ng sa maraming hurisdiksyon, ang mga online na platform ay karaniwang may mga tuntunin ng serbisyo na sinasang-ayunan ng mga user kapag gumagawa ng mga account o gumagamit ng mga serbisyo ng platform. Maaaring kasama sa mga tuntuning ito ang mga disclaimer ng pananagutan at mga limitasyon sa responsibilidad ng platform para sa content na binuo ng user.
Narito ang ilang mga pagsasaalang-alang tungkol sa potensyal para sa pagdemanda sa platform:
1. **Mga Tuntunin ng Serbisyo:**
- Suriin ang mga tuntunin ng serbisyo ng platform upang maunawaan ang mga obligasyon at limitasyong ipinataw sa platform. Kadalasang kasama sa mga tuntunin ng serbisyo ang mga disclaimer na naglilimita sa pananagutan ng platform para sa content o mga pakikipag-ugnayan na binuo ng user.
2. **Mga Legal na Proteksyon para sa Mga Platform:**
- Maraming hurisdiksyon, kabilang ang Pilipinas, ang may mga batas na nagbibigay ng ilang partikular na legal na proteksyon sa mga online na platform sa ilalim ng prinsipyo ng intermediary liability. Nilalayon ng mga batas na ito na protektahan ang mga platform mula sa direktang pananagutan sa mga aksyon ng kanilang mga user. Gayunpaman, inaasahang tutugon kaagad ang mga platform sa mga ulat ng ilegal o nakakapinsalang content.
3. **Iulat ang Scam sa Platform:**
- Iulat ang scam sa platform sa lalong madaling panahon. Maraming mga platform ang may mga mekanismo para sa pag-uulat ng mga mapanlinlang o nakakapinsalang aktibidad. Sundin ang mga pamamaraan sa pag-uulat ng platform, at magbigay ng detalyadong impormasyon tungkol sa scam.
4. **Pagtugon ng Platform:**
- Tayahin ang pagtugon ng platform sa iyong ulat. Ang mga platform na nagsasagawa ng agarang pagkilos upang tugunan ang mga scam at mapanlinlang na aktibidad ay nagpapakita ng pangako sa kaligtasan ng user at maaaring maging mas kooperatiba sa paglutas ng mga isyu.
5. **Kumonsulta sa Mga Legal na Propesyonal:**
- Kumonsulta sa mga legal na propesyonal na dalubhasa sa cyber law o proteksyon ng consumer upang matukoy kung may mga batayan para sa legal na aksyon laban sa platform. Maaari nilang tasahin ang mga partikular na kalagayan ng kaso at magbigay ng gabay sa mga potensyal na kurso ng pagkilos.
6. **Kasunduan at Jurisdiction ng User:**
- Isaalang-alang ang mga tuntunin ng pagpili ng batas at mga probisyon ng hurisdiksyon ng serbisyo. Maaaring tukuyin ng platform ang namumunong batas at hurisdiksyon para sa mga hindi pagkakaunawaan, na maaaring makaapekto sa iyong kakayahang magsagawa ng legal na aksyon.
Bagama't maaaring maging mahirap ang pagdemanda sa platform, ang pag-uulat ng scam sa platform ay isang mahalagang unang hakbang. Bilang karagdagan, ang pagkonsulta sa mga legal na propesyonal ay makakatulong sa iyong maunawaan ang iyong mga karapatan at tuklasin ang mga potensyal na legal na paraan.
Tandaan na maaaring mag-iba ang mga batas at legal na interpretasyon, at mahalagang humingi ng payo mula sa mga legal na propesyonal na pamilyar sa legal na tanawin sa Pilipinas.</v>
      </c>
      <c r="F808" s="2">
        <f t="shared" si="1"/>
        <v>0</v>
      </c>
      <c r="G808" s="2"/>
      <c r="H808" s="2"/>
      <c r="I808" s="2"/>
      <c r="J808" s="2"/>
      <c r="K808" s="2"/>
      <c r="L808" s="2"/>
      <c r="M808" s="2"/>
      <c r="N808" s="2"/>
      <c r="O808" s="2"/>
      <c r="P808" s="2"/>
      <c r="Q808" s="2"/>
      <c r="R808" s="2"/>
      <c r="S808" s="2"/>
      <c r="T808" s="2"/>
      <c r="U808" s="2"/>
      <c r="V808" s="2"/>
      <c r="W808" s="2"/>
      <c r="X808" s="2"/>
      <c r="Y808" s="2"/>
      <c r="Z808" s="2"/>
      <c r="AA808" s="2"/>
    </row>
    <row r="809">
      <c r="A809" s="3" t="s">
        <v>2010</v>
      </c>
      <c r="B809" s="1" t="s">
        <v>2640</v>
      </c>
      <c r="C809" s="1" t="s">
        <v>2641</v>
      </c>
      <c r="D809" s="1" t="s">
        <v>2642</v>
      </c>
      <c r="E809" s="2" t="str">
        <f>IFERROR(__xludf.DUMMYFUNCTION("GOOGLETRANSLATE(C809, ""en"", ""TL"")"),"Sineseryoso ng tagapagpatupad ng batas ng Pilipinas ang mga online scam, ngunit walang solong legal na proteksyon laban sa mga ito. Narito ang ilang hakbang na maaari mong gawin upang mabawasan ang iyong panganib batay sa sentido komun at pinakamahuhusay "&amp;"na kagawian:
**Pag-secure ng iyong online na pagkakakilanlan:**
* **Mga Password:** Gumamit ng malakas at natatanging mga password para sa lahat ng iyong online na account. Iwasang gumamit ng madaling mahulaan na impormasyon tulad ng mga kaarawan o mga pa"&amp;"ngalan ng alagang hayop. Isaalang-alang ang isang tagapamahala ng password upang matulungan kang subaybayan.
* **Two-factor authentication (2FA):** I-enable ang 2FA hangga't maaari. Nagdaragdag ito ng karagdagang layer ng seguridad sa pamamagitan ng pag-a"&amp;"atas ng code mula sa iyong telepono o email bilang karagdagan sa iyong password.
**Pagiging maingat online:**
* **Huwag magbahagi kaagad ng personal na impormasyon:** Mag-ingat sa mga kahilingan para sa personal na impormasyon online, lalo na mula sa mga "&amp;"hindi hinihinging pinagmulan. Kabilang dito ang mga profile sa social media, mga detalye ng bangko, at mga address ng tahanan.
* **I-verify ang mga nagpadala:** Huwag mag-click sa mga link o attachment sa mga email o mensahe mula sa mga hindi kilalang nag"&amp;"padala. I-verify ang pagkakakilanlan ng nagpadala bago tumugon, lalo na kung inaangkin nila na sila ay isang lehitimong entity (bangko, ahensya ng gobyerno, atbp.).
* **Mag-alinlangan sa mga ""mabilis na yumaman"" na mga scheme:** Kung ang isang bagay ay "&amp;"tila napakagandang maging totoo, malamang na totoo. Iwasan ang mga online na alok na nangangako ng mabilis at madaling pera.
* **Magsaliksik sa mga online na nagbebenta:** Bago bumili ng anumang bagay online, saliksikin ang reputasyon ng nagbebenta. Tingn"&amp;"an ang mga online na review at tingnan kung mayroon silang lehitimong website at impormasyon sa pakikipag-ugnayan.
**Pag-secure ng iyong mga device:**
* **Anti-virus software:** Panatilihing updated ang iyong computer at mga mobile device gamit ang pinaka"&amp;"bagong anti-virus at anti-malware software.
* **Phishing scam:** Magkaroon ng kamalayan sa mga phishing scam na sumusubok na linlangin ka sa pagbubunyag ng personal na impormasyon o pag-click sa mga nakakahamak na link. Huwag ilagay ang iyong mga detalye "&amp;"sa mga kahina-hinalang website. **Pag-uulat ng mga scam:**
* **Philippine National Police Anti-Cybercrime Group (ACG):** Kung makatagpo ka ng online scam, maaari mo itong i-report sa Philippine National Police Anti-Cybercrime Group (ACG) sa pamamagitan ng"&amp;" kanilang website [https://acg.pnp .gov.ph/](https://acg.pnp.gov.ph/).
**Mga Karagdagang Mapagkukunan:**
* Binabalaan din ng Department of Finance (DOF) ang mga Pilipino tungkol sa mga online scam gamit ang mga pangalan ng mga pampublikong opisyal at pinu"&amp;"no ng negosyo [https://www.dof.gov.ph/anti-fraud/](https://www.dof. gov.ph/anti-fraud/). Sa pamamagitan ng pagsunod sa mga hakbang na ito at pananatiling mapagbantay, maaari mong makabuluhang bawasan ang iyong panganib na mabiktima ng mga online scam sa P"&amp;"ilipinas. Tandaan, kung may nararamdamang kahina-hinala, malamang. Magtiwala sa iyong instincts at huwag mag-atubiling mag-ulat ng anumang mga scam na nararanasan mo.")</f>
        <v>Sineseryoso ng tagapagpatupad ng batas ng Pilipinas ang mga online scam, ngunit walang solong legal na proteksyon laban sa mga ito. Narito ang ilang hakbang na maaari mong gawin upang mabawasan ang iyong panganib batay sa sentido komun at pinakamahuhusay na kagawian:
**Pag-secure ng iyong online na pagkakakilanlan:**
* **Mga Password:** Gumamit ng malakas at natatanging mga password para sa lahat ng iyong online na account. Iwasang gumamit ng madaling mahulaan na impormasyon tulad ng mga kaarawan o mga pangalan ng alagang hayop. Isaalang-alang ang isang tagapamahala ng password upang matulungan kang subaybayan.
* **Two-factor authentication (2FA):** I-enable ang 2FA hangga't maaari. Nagdaragdag ito ng karagdagang layer ng seguridad sa pamamagitan ng pag-aatas ng code mula sa iyong telepono o email bilang karagdagan sa iyong password.
**Pagiging maingat online:**
* **Huwag magbahagi kaagad ng personal na impormasyon:** Mag-ingat sa mga kahilingan para sa personal na impormasyon online, lalo na mula sa mga hindi hinihinging pinagmulan. Kabilang dito ang mga profile sa social media, mga detalye ng bangko, at mga address ng tahanan.
* **I-verify ang mga nagpadala:** Huwag mag-click sa mga link o attachment sa mga email o mensahe mula sa mga hindi kilalang nagpadala. I-verify ang pagkakakilanlan ng nagpadala bago tumugon, lalo na kung inaangkin nila na sila ay isang lehitimong entity (bangko, ahensya ng gobyerno, atbp.).
* **Mag-alinlangan sa mga "mabilis na yumaman" na mga scheme:** Kung ang isang bagay ay tila napakagandang maging totoo, malamang na totoo. Iwasan ang mga online na alok na nangangako ng mabilis at madaling pera.
* **Magsaliksik sa mga online na nagbebenta:** Bago bumili ng anumang bagay online, saliksikin ang reputasyon ng nagbebenta. Tingnan ang mga online na review at tingnan kung mayroon silang lehitimong website at impormasyon sa pakikipag-ugnayan.
**Pag-secure ng iyong mga device:**
* **Anti-virus software:** Panatilihing updated ang iyong computer at mga mobile device gamit ang pinakabagong anti-virus at anti-malware software.
* **Phishing scam:** Magkaroon ng kamalayan sa mga phishing scam na sumusubok na linlangin ka sa pagbubunyag ng personal na impormasyon o pag-click sa mga nakakahamak na link. Huwag ilagay ang iyong mga detalye sa mga kahina-hinalang website. **Pag-uulat ng mga scam:**
* **Philippine National Police Anti-Cybercrime Group (ACG):** Kung makatagpo ka ng online scam, maaari mo itong i-report sa Philippine National Police Anti-Cybercrime Group (ACG) sa pamamagitan ng kanilang website [https://acg.pnp .gov.ph/](https://acg.pnp.gov.ph/).
**Mga Karagdagang Mapagkukunan:**
* Binabalaan din ng Department of Finance (DOF) ang mga Pilipino tungkol sa mga online scam gamit ang mga pangalan ng mga pampublikong opisyal at pinuno ng negosyo [https://www.dof.gov.ph/anti-fraud/](https://www.dof. gov.ph/anti-fraud/). Sa pamamagitan ng pagsunod sa mga hakbang na ito at pananatiling mapagbantay, maaari mong makabuluhang bawasan ang iyong panganib na mabiktima ng mga online scam sa Pilipinas. Tandaan, kung may nararamdamang kahina-hinala, malamang. Magtiwala sa iyong instincts at huwag mag-atubiling mag-ulat ng anumang mga scam na nararanasan mo.</v>
      </c>
      <c r="F809" s="2">
        <f t="shared" si="1"/>
        <v>0</v>
      </c>
      <c r="G809" s="2"/>
      <c r="H809" s="2"/>
      <c r="I809" s="2"/>
      <c r="J809" s="2"/>
      <c r="K809" s="2"/>
      <c r="L809" s="2"/>
      <c r="M809" s="2"/>
      <c r="N809" s="2"/>
      <c r="O809" s="2"/>
      <c r="P809" s="2"/>
      <c r="Q809" s="2"/>
      <c r="R809" s="2"/>
      <c r="S809" s="2"/>
      <c r="T809" s="2"/>
      <c r="U809" s="2"/>
      <c r="V809" s="2"/>
      <c r="W809" s="2"/>
      <c r="X809" s="2"/>
      <c r="Y809" s="2"/>
      <c r="Z809" s="2"/>
      <c r="AA809" s="2"/>
    </row>
    <row r="810">
      <c r="A810" s="3" t="s">
        <v>2010</v>
      </c>
      <c r="B810" s="1" t="s">
        <v>2643</v>
      </c>
      <c r="C810" s="1" t="s">
        <v>2644</v>
      </c>
      <c r="D810" s="1" t="s">
        <v>2645</v>
      </c>
      <c r="E810" s="2" t="str">
        <f>IFERROR(__xludf.DUMMYFUNCTION("GOOGLETRANSLATE(C810, ""en"", ""TL"")"),"Ang batas ng Pilipinas ay walang partikular na batas ng mga limitasyon para sa pag-uulat ng mga online scam. Nangangahulugan ito na walang legal na deadline kung saan dapat kang mag-ulat ng scam sa tagapagpatupad ng batas.
Narito ang isang breakdown ng mg"&amp;"a nauugnay na legal na konsepto:
* **Revised Penal Code (RPC):** Ang RPC [Philippine Revised Penal Code] ay nagbabalangkas ng iba't ibang krimen at ang mga kaukulang parusa nito. Bagama't walang partikular na krimen para sa ""mga online na scam,"" maaarin"&amp;"g malapat ang ilang probisyon depende sa uri ng scam (hal., estafa para sa mga mapanlinlang na transaksyon, cybercrime para sa pag-hack).
* **Cybercrime Prevention Act (RA 10175):** Tinutugunan ng batas na ito ang iba't ibang cybercrime, kabilang ang onli"&amp;"ne na panloloko. Gayunpaman, hindi ito nagbabanggit ng partikular na takdang panahon para sa pag-uulat ng mga naturang pagkakasala.
**Ano ang ibig sabihin nito para sa pag-uulat ng mga online na scam:**
* Maaari kang mag-ulat ng scam sa mga awtoridad **an"&amp;"umang oras** pagkatapos nito mangyari. * Bagama't walang deadline, maaaring maging kapaki-pakinabang ang pag-uulat nang mas maaga:
* **Pag-iingat ng ebidensya:** Kung mas maaga kang mag-ulat, mas madali para sa pagpapatupad ng batas na mangalap at magpana"&amp;"tili ng ebidensya. Ang mga pagkaantala ay maaaring maging mas mahirap na masubaybayan ang mga may kasalanan.
* **Napapanahong pagsisiyasat:** Ang isang mabilis na ulat ay nagbibigay-daan sa mga awtoridad na imbestigahan ang kaso habang sariwa pa ang mga l"&amp;"ead.
**Mga Rekomendasyon:**
* Iulat ang mga online scam sa Philippine National Police Anti-Cybercrime Group (ACG) sa lalong madaling panahon sa pamamagitan ng kanilang website [https://acg.pnp.gov.ph/](https://acg.pnp.gov.ph/ ).
* Isaalang-alang ang pagko"&amp;"nsulta sa isang abogado kung mayroon kang mga tanong tungkol sa mga partikular na detalye ng iyong kaso. Maaari ka nilang payuhan sa pinakamahusay na paraan ng pagkilos batay sa mga batas ng Pilipinas.")</f>
        <v>Ang batas ng Pilipinas ay walang partikular na batas ng mga limitasyon para sa pag-uulat ng mga online scam. Nangangahulugan ito na walang legal na deadline kung saan dapat kang mag-ulat ng scam sa tagapagpatupad ng batas.
Narito ang isang breakdown ng mga nauugnay na legal na konsepto:
* **Revised Penal Code (RPC):** Ang RPC [Philippine Revised Penal Code] ay nagbabalangkas ng iba't ibang krimen at ang mga kaukulang parusa nito. Bagama't walang partikular na krimen para sa "mga online na scam," maaaring malapat ang ilang probisyon depende sa uri ng scam (hal., estafa para sa mga mapanlinlang na transaksyon, cybercrime para sa pag-hack).
* **Cybercrime Prevention Act (RA 10175):** Tinutugunan ng batas na ito ang iba't ibang cybercrime, kabilang ang online na panloloko. Gayunpaman, hindi ito nagbabanggit ng partikular na takdang panahon para sa pag-uulat ng mga naturang pagkakasala.
**Ano ang ibig sabihin nito para sa pag-uulat ng mga online na scam:**
* Maaari kang mag-ulat ng scam sa mga awtoridad **anumang oras** pagkatapos nito mangyari. * Bagama't walang deadline, maaaring maging kapaki-pakinabang ang pag-uulat nang mas maaga:
* **Pag-iingat ng ebidensya:** Kung mas maaga kang mag-ulat, mas madali para sa pagpapatupad ng batas na mangalap at magpanatili ng ebidensya. Ang mga pagkaantala ay maaaring maging mas mahirap na masubaybayan ang mga may kasalanan.
* **Napapanahong pagsisiyasat:** Ang isang mabilis na ulat ay nagbibigay-daan sa mga awtoridad na imbestigahan ang kaso habang sariwa pa ang mga lead.
**Mga Rekomendasyon:**
* Iulat ang mga online scam sa Philippine National Police Anti-Cybercrime Group (ACG) sa lalong madaling panahon sa pamamagitan ng kanilang website [https://acg.pnp.gov.ph/](https://acg.pnp.gov.ph/ ).
* Isaalang-alang ang pagkonsulta sa isang abogado kung mayroon kang mga tanong tungkol sa mga partikular na detalye ng iyong kaso. Maaari ka nilang payuhan sa pinakamahusay na paraan ng pagkilos batay sa mga batas ng Pilipinas.</v>
      </c>
      <c r="F810" s="2">
        <f t="shared" si="1"/>
        <v>0</v>
      </c>
      <c r="G810" s="2"/>
      <c r="H810" s="2"/>
      <c r="I810" s="2"/>
      <c r="J810" s="2"/>
      <c r="K810" s="2"/>
      <c r="L810" s="2"/>
      <c r="M810" s="2"/>
      <c r="N810" s="2"/>
      <c r="O810" s="2"/>
      <c r="P810" s="2"/>
      <c r="Q810" s="2"/>
      <c r="R810" s="2"/>
      <c r="S810" s="2"/>
      <c r="T810" s="2"/>
      <c r="U810" s="2"/>
      <c r="V810" s="2"/>
      <c r="W810" s="2"/>
      <c r="X810" s="2"/>
      <c r="Y810" s="2"/>
      <c r="Z810" s="2"/>
      <c r="AA810" s="2"/>
    </row>
    <row r="811">
      <c r="A811" s="3" t="s">
        <v>2010</v>
      </c>
      <c r="B811" s="1" t="s">
        <v>2646</v>
      </c>
      <c r="C811" s="1" t="s">
        <v>2647</v>
      </c>
      <c r="D811" s="1" t="s">
        <v>2648</v>
      </c>
      <c r="E811" s="2" t="str">
        <f>IFERROR(__xludf.DUMMYFUNCTION("GOOGLETRANSLATE(C811, ""en"", ""TL"")"),"Ang batas ng Pilipinas ay walang iisang, pinag-isang sistema para sa pag-verify ng mga online na negosyo. Gayunpaman, maaaring makatulong sa iyo ang ilang mapagkukunan at kasanayan na masuri ang pagiging lehitimo ng isang online na nagbebenta:
**Pagsusuri"&amp;" para sa Pagpaparehistro ng Negosyo:**
* **Department of Trade and Industry (DTI):** Maaari mong tingnan kung ang isang negosyo ay nakarehistro sa DTI sa pamamagitan ng kanilang online verification portal [https://bnrs.dti.gov.ph/search](https:// bnrs.dti"&amp;".gov.ph/search). Ang isang rehistradong negosyo ay mas malamang na maging lehitimo.
**Pag-verify ng Mga Pahintulot at Lisensya:**
* Depende sa industriya, ang mga partikular na ahensya ng gobyerno ay maaaring mag-isyu ng mga permit at lisensya. Halimbawa,"&amp;" kinokontrol ng Securities and Exchange Commission (SEC) ang mga korporasyon [https://www.sec.gov.ph/](https://www.sec.gov.ph/), habang ang Food and Drug Administration (FDA) ) naglilisensya ng mga produktong pagkain at gamot [https://www.fda.gov.ph/](htt"&amp;"ps://www.fda.gov.ph/). Magsaliksik sa nauugnay na ahensya para sa industriya ng nagbebenta at suriin ang kanilang proseso ng pag-verify.
**Naghahanap ng Online na Mga Review at Impormasyon:**
* **Maghanap online:** Maghanap para sa pangalan ng nagbebenta "&amp;"at tingnan kung anong impormasyon ang lalabas. Maghanap ng mga review sa mga independiyenteng platform, mga pahina ng social media, at mga forum ng consumer. Maging maingat sa mga sobrang positibong pagsusuri o kumpletong kakulangan ng impormasyon.
**Pags"&amp;"usuri ng Impormasyon sa Pakikipag-ugnayan sa Nagbebenta:**
* **Mga lehitimong negosyo:** Ang isang lehitimong negosyo ay dapat magkaroon ng malinaw at nabe-verify na pisikal na address, numero ng telepono sa pakikipag-ugnayan, at email address. Mag-ingat "&amp;"sa mga nagbebenta na nagbibigay lamang ng mga social media handle o anonymous na paraan ng komunikasyon. **Mga Panukala sa Seguridad:**
* **Secure na website:** Ang isang secure na website ay gumagamit ng HTTPS encryption, na ipinapahiwatig ng isang simbo"&amp;"lo ng lock sa address bar. Nakakatulong ito na protektahan ang iyong impormasyon sa panahon ng mga transaksyon.
**Mga Pagpipilian sa Pagbabayad:**
* **Cash on Delivery (COD):** Isaalang-alang ang paggamit ng COD kung available. Nagbibigay-daan ito sa iyo "&amp;"na suriin ang produkto bago magbayad, na pinapaliit ang panganib. **Tandaan:**
* **Mag-ingat sa mga hindi makatotohanang deal:** Kung ang isang produkto ay mukhang napakaganda para maging totoo, malamang na totoo. Iwasan ang mga nagbebenta na nag-aalok ng"&amp;" makabuluhang mas mababang presyo kaysa sa average sa merkado.
**Bagama't hindi magagarantiyahan ng mga paraang ito ang kumpletong seguridad, matutulungan ka nitong gumawa ng matalinong mga pagpapasya kapag nakikitungo sa mga online na nagbebenta sa Pilip"&amp;"inas.**")</f>
        <v>Ang batas ng Pilipinas ay walang iisang, pinag-isang sistema para sa pag-verify ng mga online na negosyo. Gayunpaman, maaaring makatulong sa iyo ang ilang mapagkukunan at kasanayan na masuri ang pagiging lehitimo ng isang online na nagbebenta:
**Pagsusuri para sa Pagpaparehistro ng Negosyo:**
* **Department of Trade and Industry (DTI):** Maaari mong tingnan kung ang isang negosyo ay nakarehistro sa DTI sa pamamagitan ng kanilang online verification portal [https://bnrs.dti.gov.ph/search](https:// bnrs.dti.gov.ph/search). Ang isang rehistradong negosyo ay mas malamang na maging lehitimo.
**Pag-verify ng Mga Pahintulot at Lisensya:**
* Depende sa industriya, ang mga partikular na ahensya ng gobyerno ay maaaring mag-isyu ng mga permit at lisensya. Halimbawa, kinokontrol ng Securities and Exchange Commission (SEC) ang mga korporasyon [https://www.sec.gov.ph/](https://www.sec.gov.ph/), habang ang Food and Drug Administration (FDA) ) naglilisensya ng mga produktong pagkain at gamot [https://www.fda.gov.ph/](https://www.fda.gov.ph/). Magsaliksik sa nauugnay na ahensya para sa industriya ng nagbebenta at suriin ang kanilang proseso ng pag-verify.
**Naghahanap ng Online na Mga Review at Impormasyon:**
* **Maghanap online:** Maghanap para sa pangalan ng nagbebenta at tingnan kung anong impormasyon ang lalabas. Maghanap ng mga review sa mga independiyenteng platform, mga pahina ng social media, at mga forum ng consumer. Maging maingat sa mga sobrang positibong pagsusuri o kumpletong kakulangan ng impormasyon.
**Pagsusuri ng Impormasyon sa Pakikipag-ugnayan sa Nagbebenta:**
* **Mga lehitimong negosyo:** Ang isang lehitimong negosyo ay dapat magkaroon ng malinaw at nabe-verify na pisikal na address, numero ng telepono sa pakikipag-ugnayan, at email address. Mag-ingat sa mga nagbebenta na nagbibigay lamang ng mga social media handle o anonymous na paraan ng komunikasyon. **Mga Panukala sa Seguridad:**
* **Secure na website:** Ang isang secure na website ay gumagamit ng HTTPS encryption, na ipinapahiwatig ng isang simbolo ng lock sa address bar. Nakakatulong ito na protektahan ang iyong impormasyon sa panahon ng mga transaksyon.
**Mga Pagpipilian sa Pagbabayad:**
* **Cash on Delivery (COD):** Isaalang-alang ang paggamit ng COD kung available. Nagbibigay-daan ito sa iyo na suriin ang produkto bago magbayad, na pinapaliit ang panganib. **Tandaan:**
* **Mag-ingat sa mga hindi makatotohanang deal:** Kung ang isang produkto ay mukhang napakaganda para maging totoo, malamang na totoo. Iwasan ang mga nagbebenta na nag-aalok ng makabuluhang mas mababang presyo kaysa sa average sa merkado.
**Bagama't hindi magagarantiyahan ng mga paraang ito ang kumpletong seguridad, matutulungan ka nitong gumawa ng matalinong mga pagpapasya kapag nakikitungo sa mga online na nagbebenta sa Pilipinas.**</v>
      </c>
      <c r="F811" s="2">
        <f t="shared" si="1"/>
        <v>0</v>
      </c>
      <c r="G811" s="2"/>
      <c r="H811" s="2"/>
      <c r="I811" s="2"/>
      <c r="J811" s="2"/>
      <c r="K811" s="2"/>
      <c r="L811" s="2"/>
      <c r="M811" s="2"/>
      <c r="N811" s="2"/>
      <c r="O811" s="2"/>
      <c r="P811" s="2"/>
      <c r="Q811" s="2"/>
      <c r="R811" s="2"/>
      <c r="S811" s="2"/>
      <c r="T811" s="2"/>
      <c r="U811" s="2"/>
      <c r="V811" s="2"/>
      <c r="W811" s="2"/>
      <c r="X811" s="2"/>
      <c r="Y811" s="2"/>
      <c r="Z811" s="2"/>
      <c r="AA811" s="2"/>
    </row>
    <row r="812">
      <c r="A812" s="3" t="s">
        <v>2010</v>
      </c>
      <c r="B812" s="1" t="s">
        <v>2649</v>
      </c>
      <c r="C812" s="1" t="s">
        <v>2650</v>
      </c>
      <c r="D812" s="1" t="s">
        <v>2651</v>
      </c>
      <c r="E812" s="2" t="str">
        <f>IFERROR(__xludf.DUMMYFUNCTION("GOOGLETRANSLATE(C812, ""en"", ""TL"")"),"Ang batas mismo ng Pilipinas ay hindi direktang tumutugon sa pag-encrypt sa konteksto ng mga online scam. Gayunpaman, ang pag-encrypt ay maaaring maging isang mahalagang tool para sa pagprotekta sa iyong sarili online, kahit na hindi nito ganap na maalis "&amp;"ang mga scam. Ganito:
* **Pag-secure ng Data Transmission:** Ang pag-encrypt ay nag-aagawan ng impormasyon sa panahon ng paghahatid, na ginagawa itong hindi nababasa ng sinumang hindi nagtataglay ng decryption key. Nakakatulong ito na protektahan ang sens"&amp;"itibong data tulad ng mga numero ng credit card o mga kredensyal sa pag-log in mula sa pagharang ng mga scammer kapag ipinadala sa internet.
* **Mas Ligtas na Online na Mga Transaksyon:** Kapag gumamit ka ng secure na website (ipinahiwatig ng HTTPS sa add"&amp;"ress bar), naka-encrypt ang iyong pakikipag-ugnayan sa website. Nakakatulong ito na maiwasan ang mga man-in-the-middle na pag-atake kung saan sinusubukan ng mga scammer na nakawin ang iyong impormasyon sa pamamagitan ng pagpapanggap sa website.
**Bagama't"&amp;" kapaki-pakinabang ang pag-encrypt, mahalagang tandaan:**
* **Ang pag-encrypt ay hindi ginagarantiyahan ang seguridad:** Ang mga scammer ay maaaring gumamit ng iba pang mga paraan upang magnakaw ng impormasyon, tulad ng mga phishing na email o malware na "&amp;"lumalampas sa pag-encrypt.
* **Nananatiling mahalaga ang pagbabantay ng user:** Pinoprotektahan ng pag-encrypt ang data sa pagpapadala, ngunit mahalaga pa rin na maging maingat tungkol sa mga website na binibisita mo at sa impormasyong ibinabahagi mo onli"&amp;"ne.
**Narito kung paano maaaring may kaugnayan ang batas ng Pilipinas sa pag-encrypt sa mga online scam:**
* **Cybercrime Prevention Act (RA 10175):** Ang batas na ito ay nagpaparusa sa iba't ibang cybercrime, kabilang ang hindi awtorisadong pag-access sa"&amp;" mga computer system. Makakatulong ang pag-encrypt na maiwasan ang naturang hindi awtorisadong pag-access sa pamamagitan ng pagprotekta sa data ng user.
**Sa pangkalahatan, ang pag-encrypt ay isang teknikal na hakbang sa seguridad na umaakma sa iba pang m"&amp;"ga kasanayan tulad ng online na pagbabantay pagdating sa pagprotekta sa iyong sarili mula sa mga online scam sa Pilipinas.**")</f>
        <v>Ang batas mismo ng Pilipinas ay hindi direktang tumutugon sa pag-encrypt sa konteksto ng mga online scam. Gayunpaman, ang pag-encrypt ay maaaring maging isang mahalagang tool para sa pagprotekta sa iyong sarili online, kahit na hindi nito ganap na maalis ang mga scam. Ganito:
* **Pag-secure ng Data Transmission:** Ang pag-encrypt ay nag-aagawan ng impormasyon sa panahon ng paghahatid, na ginagawa itong hindi nababasa ng sinumang hindi nagtataglay ng decryption key. Nakakatulong ito na protektahan ang sensitibong data tulad ng mga numero ng credit card o mga kredensyal sa pag-log in mula sa pagharang ng mga scammer kapag ipinadala sa internet.
* **Mas Ligtas na Online na Mga Transaksyon:** Kapag gumamit ka ng secure na website (ipinahiwatig ng HTTPS sa address bar), naka-encrypt ang iyong pakikipag-ugnayan sa website. Nakakatulong ito na maiwasan ang mga man-in-the-middle na pag-atake kung saan sinusubukan ng mga scammer na nakawin ang iyong impormasyon sa pamamagitan ng pagpapanggap sa website.
**Bagama't kapaki-pakinabang ang pag-encrypt, mahalagang tandaan:**
* **Ang pag-encrypt ay hindi ginagarantiyahan ang seguridad:** Ang mga scammer ay maaaring gumamit ng iba pang mga paraan upang magnakaw ng impormasyon, tulad ng mga phishing na email o malware na lumalampas sa pag-encrypt.
* **Nananatiling mahalaga ang pagbabantay ng user:** Pinoprotektahan ng pag-encrypt ang data sa pagpapadala, ngunit mahalaga pa rin na maging maingat tungkol sa mga website na binibisita mo at sa impormasyong ibinabahagi mo online.
**Narito kung paano maaaring may kaugnayan ang batas ng Pilipinas sa pag-encrypt sa mga online scam:**
* **Cybercrime Prevention Act (RA 10175):** Ang batas na ito ay nagpaparusa sa iba't ibang cybercrime, kabilang ang hindi awtorisadong pag-access sa mga computer system. Makakatulong ang pag-encrypt na maiwasan ang naturang hindi awtorisadong pag-access sa pamamagitan ng pagprotekta sa data ng user.
**Sa pangkalahatan, ang pag-encrypt ay isang teknikal na hakbang sa seguridad na umaakma sa iba pang mga kasanayan tulad ng online na pagbabantay pagdating sa pagprotekta sa iyong sarili mula sa mga online scam sa Pilipinas.**</v>
      </c>
      <c r="F812" s="2">
        <f t="shared" si="1"/>
        <v>0</v>
      </c>
      <c r="G812" s="2"/>
      <c r="H812" s="2"/>
      <c r="I812" s="2"/>
      <c r="J812" s="2"/>
      <c r="K812" s="2"/>
      <c r="L812" s="2"/>
      <c r="M812" s="2"/>
      <c r="N812" s="2"/>
      <c r="O812" s="2"/>
      <c r="P812" s="2"/>
      <c r="Q812" s="2"/>
      <c r="R812" s="2"/>
      <c r="S812" s="2"/>
      <c r="T812" s="2"/>
      <c r="U812" s="2"/>
      <c r="V812" s="2"/>
      <c r="W812" s="2"/>
      <c r="X812" s="2"/>
      <c r="Y812" s="2"/>
      <c r="Z812" s="2"/>
      <c r="AA812" s="2"/>
    </row>
    <row r="813">
      <c r="A813" s="3" t="s">
        <v>2010</v>
      </c>
      <c r="B813" s="1" t="s">
        <v>2652</v>
      </c>
      <c r="C813" s="1" t="s">
        <v>2653</v>
      </c>
      <c r="D813" s="1" t="s">
        <v>2654</v>
      </c>
      <c r="E813" s="2" t="str">
        <f>IFERROR(__xludf.DUMMYFUNCTION("GOOGLETRANSLATE(C813, ""en"", ""TL"")"),"Oo, sa ilalim ng batas ng Pilipinas, maaari mong panagutin ang mga indibidwal sa pagsasagawa ng mga online scam. Ganito:
* **Mga Kaugnay na Batas:** Ang Revised Penal Code (RPC) at ang Cybercrime Prevention Act (RA 10175) ay ang mga pangunahing legal na b"&amp;"alangkas.
* **RPC:** Sinasaklaw ng batas na ito ang mga tradisyunal na krimen na maaaring gawin online. Halimbawa:
* Estafa (Artikulo 315): Naaangkop sa mga kaso ng mapanlinlang na transaksyon o anumang mapanlinlang na pagkilos upang kumuha ng pera o ari-"&amp;"arian mula sa ibang tao.
* Falsification ng mga komersyal na dokumento (Artikulo 171): Sumasaklaw sa pamemeke ng mga dokumento na ginagamit para sa mga online scam.
* **Cybercrime Prevention Act (RA 10175):** Tinutukoy at pinaparusahan ng batas na ito ang"&amp;" mga partikular na cybercrime, kabilang ang:
* Cyber-swindling (Seksyon 4): Nakikitungo sa mga online scam na nanlilinlang sa mga tao upang makakuha ng pera o ari-arian.
* Ilegal na pag-access (Seksyon 14): Sinasaklaw ang hindi awtorisadong pag-access sa "&amp;"mga computer system o data upang magsagawa ng scam.
**Pinapanagot ang mga Nagkasala:**
* Upang panagutin ang isang tao, kailangan mong iulat ang scam sa mga awtoridad. Ang Philippine National Police Anti-Cybercrime Group (ACG) ay isang espesyal na yunit n"&amp;"a humahawak sa mga kasong ito [https://acg.pnp.gov.ph/](https://acg.pnp.gov.ph/).
* Sisiyasatin ng tagapagpatupad ng batas ang reklamo at mangalap ng ebidensya. Maaaring kabilang dito ang pagkolekta ng digital na ebidensya at pagsubaybay sa online na akti"&amp;"bidad.
* Kung may sapat na ebidensya, ang mga awtoridad ay magsasampa ng mga kaso laban sa mga salarin. Ang mga partikular na singil ay depende sa uri ng scam.
* Ang kaso ay magpapatuloy sa pamamagitan ng sistema ng hukuman sa Pilipinas. Kung mapatunayang"&amp;" nagkasala, ang mga salarin ay maaaring maharap sa pagkakulong, multa, o pareho, depende sa kalubhaan ng krimen.
**Mahalagang Tandaan:**
* Ang pagbuo ng isang malakas na kaso ay maaaring maging mahirap, lalo na para sa mga kumplikadong online na scam. Maa"&amp;"aring magtagal ang pangongolekta at pagsisiyasat ng ebidensya.
* Maaaring makatulong ang pagkonsulta sa isang abogado. Maaari ka nilang payuhan sa mga legal na aspeto ng iyong kaso at ang ebidensyang kailangan upang panagutin ang mga may kasalanan.
**Sa p"&amp;"angkalahatan, ang batas ng Pilipinas ay nagbibigay ng mga paraan upang panagutin ang mga indibidwal para sa mga online scam. Ang pag-uulat ng krimen, pakikipagtulungan sa tagapagpatupad ng batas, at potensyal na paghingi ng legal na payo ay maaaring magpa"&amp;"pataas ng iyong pagkakataong makamit ang hustisya.**")</f>
        <v>Oo, sa ilalim ng batas ng Pilipinas, maaari mong panagutin ang mga indibidwal sa pagsasagawa ng mga online scam. Ganito:
* **Mga Kaugnay na Batas:** Ang Revised Penal Code (RPC) at ang Cybercrime Prevention Act (RA 10175) ay ang mga pangunahing legal na balangkas.
* **RPC:** Sinasaklaw ng batas na ito ang mga tradisyunal na krimen na maaaring gawin online. Halimbawa:
* Estafa (Artikulo 315): Naaangkop sa mga kaso ng mapanlinlang na transaksyon o anumang mapanlinlang na pagkilos upang kumuha ng pera o ari-arian mula sa ibang tao.
* Falsification ng mga komersyal na dokumento (Artikulo 171): Sumasaklaw sa pamemeke ng mga dokumento na ginagamit para sa mga online scam.
* **Cybercrime Prevention Act (RA 10175):** Tinutukoy at pinaparusahan ng batas na ito ang mga partikular na cybercrime, kabilang ang:
* Cyber-swindling (Seksyon 4): Nakikitungo sa mga online scam na nanlilinlang sa mga tao upang makakuha ng pera o ari-arian.
* Ilegal na pag-access (Seksyon 14): Sinasaklaw ang hindi awtorisadong pag-access sa mga computer system o data upang magsagawa ng scam.
**Pinapanagot ang mga Nagkasala:**
* Upang panagutin ang isang tao, kailangan mong iulat ang scam sa mga awtoridad. Ang Philippine National Police Anti-Cybercrime Group (ACG) ay isang espesyal na yunit na humahawak sa mga kasong ito [https://acg.pnp.gov.ph/](https://acg.pnp.gov.ph/).
* Sisiyasatin ng tagapagpatupad ng batas ang reklamo at mangalap ng ebidensya. Maaaring kabilang dito ang pagkolekta ng digital na ebidensya at pagsubaybay sa online na aktibidad.
* Kung may sapat na ebidensya, ang mga awtoridad ay magsasampa ng mga kaso laban sa mga salarin. Ang mga partikular na singil ay depende sa uri ng scam.
* Ang kaso ay magpapatuloy sa pamamagitan ng sistema ng hukuman sa Pilipinas. Kung mapatunayang nagkasala, ang mga salarin ay maaaring maharap sa pagkakulong, multa, o pareho, depende sa kalubhaan ng krimen.
**Mahalagang Tandaan:**
* Ang pagbuo ng isang malakas na kaso ay maaaring maging mahirap, lalo na para sa mga kumplikadong online na scam. Maaaring magtagal ang pangongolekta at pagsisiyasat ng ebidensya.
* Maaaring makatulong ang pagkonsulta sa isang abogado. Maaari ka nilang payuhan sa mga legal na aspeto ng iyong kaso at ang ebidensyang kailangan upang panagutin ang mga may kasalanan.
**Sa pangkalahatan, ang batas ng Pilipinas ay nagbibigay ng mga paraan upang panagutin ang mga indibidwal para sa mga online scam. Ang pag-uulat ng krimen, pakikipagtulungan sa tagapagpatupad ng batas, at potensyal na paghingi ng legal na payo ay maaaring magpapataas ng iyong pagkakataong makamit ang hustisya.**</v>
      </c>
      <c r="F813" s="2">
        <f t="shared" si="1"/>
        <v>0</v>
      </c>
      <c r="G813" s="2"/>
      <c r="H813" s="2"/>
      <c r="I813" s="2"/>
      <c r="J813" s="2"/>
      <c r="K813" s="2"/>
      <c r="L813" s="2"/>
      <c r="M813" s="2"/>
      <c r="N813" s="2"/>
      <c r="O813" s="2"/>
      <c r="P813" s="2"/>
      <c r="Q813" s="2"/>
      <c r="R813" s="2"/>
      <c r="S813" s="2"/>
      <c r="T813" s="2"/>
      <c r="U813" s="2"/>
      <c r="V813" s="2"/>
      <c r="W813" s="2"/>
      <c r="X813" s="2"/>
      <c r="Y813" s="2"/>
      <c r="Z813" s="2"/>
      <c r="AA813" s="2"/>
    </row>
    <row r="814">
      <c r="A814" s="3" t="s">
        <v>2010</v>
      </c>
      <c r="B814" s="1" t="s">
        <v>2655</v>
      </c>
      <c r="C814" s="1" t="s">
        <v>2656</v>
      </c>
      <c r="D814" s="1" t="s">
        <v>2657</v>
      </c>
      <c r="E814" s="2" t="str">
        <f>IFERROR(__xludf.DUMMYFUNCTION("GOOGLETRANSLATE(C814, ""en"", ""TL"")"),"Ang batas ng Pilipinas ay hindi nagbibigay ng isa, partikular na legal na paraan para sa bawat sitwasyon kung saan may nagbahagi ng personal na impormasyon sa isang online na scam. Gayunpaman, depende sa uri ng impormasyong ibinahagi at kung paano ito nak"&amp;"uha, maaari kang magkaroon ng mga opsyon sa ilalim ng mga sumusunod na batas ng Pilipinas:
* **Revised Penal Code (RPC):** * Illegal access (Artikulo 290): Nalalapat ito kung ang scammer ay na-hack sa iyong computer system upang magnakaw ng personal na im"&amp;"pormasyon.
* Labag sa batas na pagsisiwalat ng kumpidensyal na impormasyon (Artikulo 260): Maaaring may kaugnayan ito kung ibunyag ng scammer ang iyong sensitibong data nang wala ang iyong pahintulot.
* **Cybercrime Prevention Act (RA 10175):**
* Ilegal n"&amp;"a pag-access (Seksyon 14): Katulad ng probisyon ng RPC, nalalapat ito kung ninakaw ang iyong data sa pamamagitan ng pag-hack.
**Narito kung paano mo mapoprotektahan ang iyong sarili:**
* **Iulat ang scam:** Anuman ang partikular na legal na paraan, iulat "&amp;"ang scam sa Philippine National Police Anti-Cybercrime Group (ACG) sa lalong madaling panahon [https://acg.pnp.gov.ph/]( https://acg.pnp.gov.ph/). Maaari silang mag-imbestiga at posibleng matunton ang mga salarin.
* **I-secure ang iyong mga account:** Bag"&amp;"uhin ang mga password para sa lahat ng iyong online na account, lalo na ang mga kung saan maaaring ibinahagi mo ang nakompromisong impormasyon. Paganahin ang two-factor authentication (2FA) para sa karagdagang seguridad.
* **Subaybayan ang iyong mga accou"&amp;"nt:** Maging mapagbantay tungkol sa iyong mga bank account at credit card statement para sa anumang kahina-hinalang aktibidad. Iulat kaagad ang anumang hindi awtorisadong transaksyon sa iyong institusyong pampinansyal.
* **Isaalang-alang ang proteksyon sa"&amp;" pagnanakaw ng pagkakakilanlan:** Depende sa kalubhaan ng scam at sa impormasyong ibinahagi, maaari mong isaalang-alang ang pagbili ng mga serbisyo sa proteksyon ng pagnanakaw ng pagkakakilanlan. Maaaring subaybayan ng mga serbisyong ito ang iyong credit "&amp;"report at alertuhan ka sa kahina-hinalang aktibidad.
**Inirerekomenda ang pagkonsulta sa isang abogado:**
Maaaring tasahin ng isang abogado ang mga partikular na detalye ng iyong sitwasyon at payuhan ka sa pinakaangkop na legal na kurso ng aksyon. Matutul"&amp;"ungan ka rin nilang maunawaan ang iyong mga karapatan at opsyon sa ilalim ng batas ng Pilipinas.
**Tandaan:**
Bagama't maaaring available ang legal na paraan depende sa mga pangyayari, ang pag-iwas ay susi. Maging maingat tungkol sa kung anong personal na"&amp;" impormasyon ang ibinabahagi mo online, at iulat ang anumang mga scam na iyong nararanasan sa mga awtoridad.")</f>
        <v>Ang batas ng Pilipinas ay hindi nagbibigay ng isa, partikular na legal na paraan para sa bawat sitwasyon kung saan may nagbahagi ng personal na impormasyon sa isang online na scam. Gayunpaman, depende sa uri ng impormasyong ibinahagi at kung paano ito nakuha, maaari kang magkaroon ng mga opsyon sa ilalim ng mga sumusunod na batas ng Pilipinas:
* **Revised Penal Code (RPC):** * Illegal access (Artikulo 290): Nalalapat ito kung ang scammer ay na-hack sa iyong computer system upang magnakaw ng personal na impormasyon.
* Labag sa batas na pagsisiwalat ng kumpidensyal na impormasyon (Artikulo 260): Maaaring may kaugnayan ito kung ibunyag ng scammer ang iyong sensitibong data nang wala ang iyong pahintulot.
* **Cybercrime Prevention Act (RA 10175):**
* Ilegal na pag-access (Seksyon 14): Katulad ng probisyon ng RPC, nalalapat ito kung ninakaw ang iyong data sa pamamagitan ng pag-hack.
**Narito kung paano mo mapoprotektahan ang iyong sarili:**
* **Iulat ang scam:** Anuman ang partikular na legal na paraan, iulat ang scam sa Philippine National Police Anti-Cybercrime Group (ACG) sa lalong madaling panahon [https://acg.pnp.gov.ph/]( https://acg.pnp.gov.ph/). Maaari silang mag-imbestiga at posibleng matunton ang mga salarin.
* **I-secure ang iyong mga account:** Baguhin ang mga password para sa lahat ng iyong online na account, lalo na ang mga kung saan maaaring ibinahagi mo ang nakompromisong impormasyon. Paganahin ang two-factor authentication (2FA) para sa karagdagang seguridad.
* **Subaybayan ang iyong mga account:** Maging mapagbantay tungkol sa iyong mga bank account at credit card statement para sa anumang kahina-hinalang aktibidad. Iulat kaagad ang anumang hindi awtorisadong transaksyon sa iyong institusyong pampinansyal.
* **Isaalang-alang ang proteksyon sa pagnanakaw ng pagkakakilanlan:** Depende sa kalubhaan ng scam at sa impormasyong ibinahagi, maaari mong isaalang-alang ang pagbili ng mga serbisyo sa proteksyon ng pagnanakaw ng pagkakakilanlan. Maaaring subaybayan ng mga serbisyong ito ang iyong credit report at alertuhan ka sa kahina-hinalang aktibidad.
**Inirerekomenda ang pagkonsulta sa isang abogado:**
Maaaring tasahin ng isang abogado ang mga partikular na detalye ng iyong sitwasyon at payuhan ka sa pinakaangkop na legal na kurso ng aksyon. Matutulungan ka rin nilang maunawaan ang iyong mga karapatan at opsyon sa ilalim ng batas ng Pilipinas.
**Tandaan:**
Bagama't maaaring available ang legal na paraan depende sa mga pangyayari, ang pag-iwas ay susi. Maging maingat tungkol sa kung anong personal na impormasyon ang ibinabahagi mo online, at iulat ang anumang mga scam na iyong nararanasan sa mga awtoridad.</v>
      </c>
      <c r="F814" s="2">
        <f t="shared" si="1"/>
        <v>0</v>
      </c>
      <c r="G814" s="2"/>
      <c r="H814" s="2"/>
      <c r="I814" s="2"/>
      <c r="J814" s="2"/>
      <c r="K814" s="2"/>
      <c r="L814" s="2"/>
      <c r="M814" s="2"/>
      <c r="N814" s="2"/>
      <c r="O814" s="2"/>
      <c r="P814" s="2"/>
      <c r="Q814" s="2"/>
      <c r="R814" s="2"/>
      <c r="S814" s="2"/>
      <c r="T814" s="2"/>
      <c r="U814" s="2"/>
      <c r="V814" s="2"/>
      <c r="W814" s="2"/>
      <c r="X814" s="2"/>
      <c r="Y814" s="2"/>
      <c r="Z814" s="2"/>
      <c r="AA814" s="2"/>
    </row>
    <row r="815">
      <c r="A815" s="3" t="s">
        <v>2010</v>
      </c>
      <c r="B815" s="1" t="s">
        <v>2658</v>
      </c>
      <c r="C815" s="1" t="s">
        <v>2659</v>
      </c>
      <c r="D815" s="1" t="s">
        <v>2660</v>
      </c>
      <c r="E815" s="2" t="str">
        <f>IFERROR(__xludf.DUMMYFUNCTION("GOOGLETRANSLATE(C815, ""en"", ""TL"")"),"tama ka. Bagama't walang isang internasyonal na batas na direktang ipinapatupad sa loob ng Pilipinas na tanging nagta-target ng mga online scam, ang Pilipinas ay nakikilahok sa mga internasyonal na pagsisikap na hindi direktang tumutugon sa mga ito. Narit"&amp;"o ang isang breakdown na partikular sa Pilipinas:
**Mga Internasyonal na Kasunduan:**
* **Ang Pilipinas ay isang partido sa Council of Europe Convention on Cybercrime (2001) sa pamamagitan ng Act No. 11032 o ang Act Strengthening the Philippine Law on Cou"&amp;"nterfeit Goods and Fake Documents.** Ang batas na ito ay nagbibigay-diin sa pangako ng Pilipinas sa internasyonal na kooperasyon sa paglaban sa cybercrime.
**Paano ito nakakatulong:**
* Ang kombensiyon ay nagtatatag ng balangkas para sa kooperasyon sa pag"&amp;"itan ng mga miyembrong estado, kabilang ang Pilipinas, sa pag-iimbestiga at pag-uusig sa mga cybercrime. Makakatulong ito sa mga kaso kung saan ang mga online scam ay kinasasangkutan ng mga salarin o biktima na nasa labas ng Pilipinas.
* Kasama sa balangk"&amp;"as ang mga probisyon sa:
* Pagpapanatili ng elektronikong ebidensya
* Pagkriminalisasyon sa mga partikular na paglabag sa cybercrime (bagama't maaaring magkaiba ang mga partikular na kahulugan sa pagitan ng mga bansa)
* Mutual legal na tulong sa pagitan n"&amp;"g mga miyembrong estado
**Nananatili ang mga Hamon:**
* Ang kombensiyon ay hindi gumagawa ng iisang, unibersal na batas sa cybercrime. Ang bawat miyembrong estado ay nagpapakahulugan at nagpapatupad ng balangkas sa loob ng sarili nitong legal na sistema.
"&amp;"* Ang hurisdiksyon ay nananatiling isang kumplikadong isyu. Maaaring maging mahirap ang pagtukoy kung aling batas ng bansa ang nalalapat at kung aling ahensyang nagpapatupad ng batas ang nangunguna sa isang online na scam, lalo na kung maraming bansa ang "&amp;"kinasasangkutan ng scam.
**Ang Pilipinas at International Cooperation:**
* Ang Pilipinas ay aktibong nakikilahok sa mga pandaigdigang pagsisikap na labanan ang cybercrime. Ang Philippine National Police (PNP) ay may nakalaang yunit, ang Anti-Cybercrime Gr"&amp;"oup (ACG), na nakikipagtulungan sa mga internasyonal na ahensyang nagpapatupad ng batas sa mga pagsisiyasat sa cybercrime.
**Sa konklusyon:**
Bagama't walang iisang internasyonal na batas na direktang ipinapatupad sa Pilipinas para sa mga online scam, ang"&amp;" pakikilahok ng Pilipinas sa mga internasyonal na kasunduan tulad ng Council of Europe Convention on Cybercrime ay nagpapadali sa pakikipagtulungan sa ibang mga bansa sa pagsisiyasat at pag-uusig sa mga krimeng ito. Ang pagtutulungang ito ay mahalaga sa g"&amp;"lobalisadong mundo ngayon kung saan ang mga online scam ay madaling lumampas sa mga hangganan.")</f>
        <v>tama ka. Bagama't walang isang internasyonal na batas na direktang ipinapatupad sa loob ng Pilipinas na tanging nagta-target ng mga online scam, ang Pilipinas ay nakikilahok sa mga internasyonal na pagsisikap na hindi direktang tumutugon sa mga ito. Narito ang isang breakdown na partikular sa Pilipinas:
**Mga Internasyonal na Kasunduan:**
* **Ang Pilipinas ay isang partido sa Council of Europe Convention on Cybercrime (2001) sa pamamagitan ng Act No. 11032 o ang Act Strengthening the Philippine Law on Counterfeit Goods and Fake Documents.** Ang batas na ito ay nagbibigay-diin sa pangako ng Pilipinas sa internasyonal na kooperasyon sa paglaban sa cybercrime.
**Paano ito nakakatulong:**
* Ang kombensiyon ay nagtatatag ng balangkas para sa kooperasyon sa pagitan ng mga miyembrong estado, kabilang ang Pilipinas, sa pag-iimbestiga at pag-uusig sa mga cybercrime. Makakatulong ito sa mga kaso kung saan ang mga online scam ay kinasasangkutan ng mga salarin o biktima na nasa labas ng Pilipinas.
* Kasama sa balangkas ang mga probisyon sa:
* Pagpapanatili ng elektronikong ebidensya
* Pagkriminalisasyon sa mga partikular na paglabag sa cybercrime (bagama't maaaring magkaiba ang mga partikular na kahulugan sa pagitan ng mga bansa)
* Mutual legal na tulong sa pagitan ng mga miyembrong estado
**Nananatili ang mga Hamon:**
* Ang kombensiyon ay hindi gumagawa ng iisang, unibersal na batas sa cybercrime. Ang bawat miyembrong estado ay nagpapakahulugan at nagpapatupad ng balangkas sa loob ng sarili nitong legal na sistema.
* Ang hurisdiksyon ay nananatiling isang kumplikadong isyu. Maaaring maging mahirap ang pagtukoy kung aling batas ng bansa ang nalalapat at kung aling ahensyang nagpapatupad ng batas ang nangunguna sa isang online na scam, lalo na kung maraming bansa ang kinasasangkutan ng scam.
**Ang Pilipinas at International Cooperation:**
* Ang Pilipinas ay aktibong nakikilahok sa mga pandaigdigang pagsisikap na labanan ang cybercrime. Ang Philippine National Police (PNP) ay may nakalaang yunit, ang Anti-Cybercrime Group (ACG), na nakikipagtulungan sa mga internasyonal na ahensyang nagpapatupad ng batas sa mga pagsisiyasat sa cybercrime.
**Sa konklusyon:**
Bagama't walang iisang internasyonal na batas na direktang ipinapatupad sa Pilipinas para sa mga online scam, ang pakikilahok ng Pilipinas sa mga internasyonal na kasunduan tulad ng Council of Europe Convention on Cybercrime ay nagpapadali sa pakikipagtulungan sa ibang mga bansa sa pagsisiyasat at pag-uusig sa mga krimeng ito. Ang pagtutulungang ito ay mahalaga sa globalisadong mundo ngayon kung saan ang mga online scam ay madaling lumampas sa mga hangganan.</v>
      </c>
      <c r="F815" s="2">
        <f t="shared" si="1"/>
        <v>0</v>
      </c>
      <c r="G815" s="2"/>
      <c r="H815" s="2"/>
      <c r="I815" s="2"/>
      <c r="J815" s="2"/>
      <c r="K815" s="2"/>
      <c r="L815" s="2"/>
      <c r="M815" s="2"/>
      <c r="N815" s="2"/>
      <c r="O815" s="2"/>
      <c r="P815" s="2"/>
      <c r="Q815" s="2"/>
      <c r="R815" s="2"/>
      <c r="S815" s="2"/>
      <c r="T815" s="2"/>
      <c r="U815" s="2"/>
      <c r="V815" s="2"/>
      <c r="W815" s="2"/>
      <c r="X815" s="2"/>
      <c r="Y815" s="2"/>
      <c r="Z815" s="2"/>
      <c r="AA815" s="2"/>
    </row>
    <row r="816">
      <c r="A816" s="3" t="s">
        <v>2010</v>
      </c>
      <c r="B816" s="1" t="s">
        <v>2661</v>
      </c>
      <c r="C816" s="1" t="s">
        <v>2662</v>
      </c>
      <c r="D816" s="1" t="s">
        <v>2663</v>
      </c>
      <c r="E816" s="2" t="str">
        <f>IFERROR(__xludf.DUMMYFUNCTION("GOOGLETRANSLATE(C816, ""en"", ""TL"")"),"Ang mga pagtatangka sa phishing ay isang karaniwang banta sa Pilipinas at sa buong mundo. Narito ang ilang pangunahing paraan upang makilala sila at protektahan ang iyong sarili:
**Mga Pulang Bandila na Dapat Abangan:**
* **Apurahan at Presyon:** Ang mga "&amp;"email sa phishing ay kadalasang lumilikha ng pakiramdam ng pagkaapurahan o panggigipit na kumilos kaagad. Maaari nilang banta ang pagsasara ng account, mga hindi nakuhang pagkakataon, o mga panganib sa seguridad kung hindi ka kaagad tumugon.
* **Generic n"&amp;"a Pagbati:** Ang mga email sa phishing ay kadalasang gumagamit ng mga generic na pagbati tulad ng ""Mahal na Customer"" sa halip na ang iyong aktwal na pangalan.
* **Mga Kahina-hinalang Address ng Nagpadala:** Mag-ingat sa mga email mula sa hindi kilalang"&amp;" mga nagpadala o mga email address na hindi tumutugma sa lehitimong organisasyon na inaangkin nilang kinakatawan. Tingnang mabuti ang email address ng nagpadala para sa mga maling spelling o hindi pangkaraniwang mga domain.
* **Mahina ang Grammar at Spell"&amp;"ing:** Ang mga email sa phishing ay kadalasang naglalaman ng mga grammatical error, typo, o awkward na parirala.
* **Mga Kahina-hinalang Link at Attachment:** Huwag mag-click sa mga link o magbukas ng mga attachment sa mga email mula sa hindi kilalang mga"&amp;" nagpadala. I-hover ang iyong mouse sa link upang makita ang aktwal na URL bago mag-click. Ang mga lehitimong link ay dapat humantong sa opisyal na website ng organisasyon.
* **Mga Hindi Makatotohanang Alok:** Maaaring akitin ka ng mga scam sa phishing ng"&amp;" mga pangako ng mga libreng regalo, madaling pera, o mga premyo na mukhang napakagandang totoo. Maging may pag-aalinlangan sa gayong mga alok.
**Narito ang maaari mong gawin upang protektahan ang iyong sarili:**
* **Huwag Magbahagi ng Personal na Impormas"&amp;"yon sa Pamamagitan ng Email:** Ang mga lehitimong institusyon ay hindi hihingi ng sensitibong impormasyon tulad ng mga password o mga detalye ng account sa pamamagitan ng email.
* **Direktang I-verify ang Impormasyon:** Kung nakatanggap ka ng email tungko"&amp;"l sa iyong account o isang serbisyong ginagamit mo, direktang makipag-ugnayan sa organisasyon sa pamamagitan ng kanilang opisyal na website o numero ng telepono upang i-verify ang impormasyon. Huwag gumamit ng mga numero ng telepono o mga link na ibinigay"&amp;" sa mismong email.
* **Paganahin ang Two-factor Authentication (2FA):** Ang 2FA ay nagdaragdag ng karagdagang layer ng seguridad sa iyong mga online na account sa pamamagitan ng paghiling ng code mula sa iyong telepono o email bilang karagdagan sa iyong p"&amp;"assword.
* **Panatilihing Na-update ang Iyong Software:** Gumamit ng up-to-date na anti-virus at anti-phishing software upang tumulong na matukoy at harangan ang mga nakakahamak na email.
* **Maging Maingat sa Social Media:** Ang mga pagtatangka sa phishi"&amp;"ng ay maaari ding mangyari sa pamamagitan ng mga mensahe sa social media. Mag-ingat sa pag-click sa mga link o pagbabahagi ng personal na impormasyon sa mga hindi kilalang account.
**Tandaan:**
* **Trust Your Gut:** Kung may nararamdamang kahina-hinala tu"&amp;"ngkol sa isang email, malamang. Huwag mag-atubiling tanggalin ito.
* **Mag-ulat ng Mga Pagsubok sa Phishing:** Kung makatagpo ka ng pagtatangkang mag-phishing, iulat ito sa organisasyong ginagaya at isaalang-alang ang pag-uulat nito sa Philippine National"&amp;" Police Anti-Cybercrime Group (ACG) [https://acg.pnp.gov. ph/](https://acg.pnp.gov.ph/).
Sa pamamagitan ng pagsunod sa mga tip na ito at pagiging mapagbantay, maaari mong makabuluhang bawasan ang iyong panganib na mabiktima ng mga phishing scam sa Pilipin"&amp;"as.")</f>
        <v>Ang mga pagtatangka sa phishing ay isang karaniwang banta sa Pilipinas at sa buong mundo. Narito ang ilang pangunahing paraan upang makilala sila at protektahan ang iyong sarili:
**Mga Pulang Bandila na Dapat Abangan:**
* **Apurahan at Presyon:** Ang mga email sa phishing ay kadalasang lumilikha ng pakiramdam ng pagkaapurahan o panggigipit na kumilos kaagad. Maaari nilang banta ang pagsasara ng account, mga hindi nakuhang pagkakataon, o mga panganib sa seguridad kung hindi ka kaagad tumugon.
* **Generic na Pagbati:** Ang mga email sa phishing ay kadalasang gumagamit ng mga generic na pagbati tulad ng "Mahal na Customer" sa halip na ang iyong aktwal na pangalan.
* **Mga Kahina-hinalang Address ng Nagpadala:** Mag-ingat sa mga email mula sa hindi kilalang mga nagpadala o mga email address na hindi tumutugma sa lehitimong organisasyon na inaangkin nilang kinakatawan. Tingnang mabuti ang email address ng nagpadala para sa mga maling spelling o hindi pangkaraniwang mga domain.
* **Mahina ang Grammar at Spelling:** Ang mga email sa phishing ay kadalasang naglalaman ng mga grammatical error, typo, o awkward na parirala.
* **Mga Kahina-hinalang Link at Attachment:** Huwag mag-click sa mga link o magbukas ng mga attachment sa mga email mula sa hindi kilalang mga nagpadala. I-hover ang iyong mouse sa link upang makita ang aktwal na URL bago mag-click. Ang mga lehitimong link ay dapat humantong sa opisyal na website ng organisasyon.
* **Mga Hindi Makatotohanang Alok:** Maaaring akitin ka ng mga scam sa phishing ng mga pangako ng mga libreng regalo, madaling pera, o mga premyo na mukhang napakagandang totoo. Maging may pag-aalinlangan sa gayong mga alok.
**Narito ang maaari mong gawin upang protektahan ang iyong sarili:**
* **Huwag Magbahagi ng Personal na Impormasyon sa Pamamagitan ng Email:** Ang mga lehitimong institusyon ay hindi hihingi ng sensitibong impormasyon tulad ng mga password o mga detalye ng account sa pamamagitan ng email.
* **Direktang I-verify ang Impormasyon:** Kung nakatanggap ka ng email tungkol sa iyong account o isang serbisyong ginagamit mo, direktang makipag-ugnayan sa organisasyon sa pamamagitan ng kanilang opisyal na website o numero ng telepono upang i-verify ang impormasyon. Huwag gumamit ng mga numero ng telepono o mga link na ibinigay sa mismong email.
* **Paganahin ang Two-factor Authentication (2FA):** Ang 2FA ay nagdaragdag ng karagdagang layer ng seguridad sa iyong mga online na account sa pamamagitan ng paghiling ng code mula sa iyong telepono o email bilang karagdagan sa iyong password.
* **Panatilihing Na-update ang Iyong Software:** Gumamit ng up-to-date na anti-virus at anti-phishing software upang tumulong na matukoy at harangan ang mga nakakahamak na email.
* **Maging Maingat sa Social Media:** Ang mga pagtatangka sa phishing ay maaari ding mangyari sa pamamagitan ng mga mensahe sa social media. Mag-ingat sa pag-click sa mga link o pagbabahagi ng personal na impormasyon sa mga hindi kilalang account.
**Tandaan:**
* **Trust Your Gut:** Kung may nararamdamang kahina-hinala tungkol sa isang email, malamang. Huwag mag-atubiling tanggalin ito.
* **Mag-ulat ng Mga Pagsubok sa Phishing:** Kung makatagpo ka ng pagtatangkang mag-phishing, iulat ito sa organisasyong ginagaya at isaalang-alang ang pag-uulat nito sa Philippine National Police Anti-Cybercrime Group (ACG) [https://acg.pnp.gov. ph/](https://acg.pnp.gov.ph/).
Sa pamamagitan ng pagsunod sa mga tip na ito at pagiging mapagbantay, maaari mong makabuluhang bawasan ang iyong panganib na mabiktima ng mga phishing scam sa Pilipinas.</v>
      </c>
      <c r="F816" s="2">
        <f t="shared" si="1"/>
        <v>0</v>
      </c>
      <c r="G816" s="2"/>
      <c r="H816" s="2"/>
      <c r="I816" s="2"/>
      <c r="J816" s="2"/>
      <c r="K816" s="2"/>
      <c r="L816" s="2"/>
      <c r="M816" s="2"/>
      <c r="N816" s="2"/>
      <c r="O816" s="2"/>
      <c r="P816" s="2"/>
      <c r="Q816" s="2"/>
      <c r="R816" s="2"/>
      <c r="S816" s="2"/>
      <c r="T816" s="2"/>
      <c r="U816" s="2"/>
      <c r="V816" s="2"/>
      <c r="W816" s="2"/>
      <c r="X816" s="2"/>
      <c r="Y816" s="2"/>
      <c r="Z816" s="2"/>
      <c r="AA816" s="2"/>
    </row>
    <row r="817">
      <c r="A817" s="3" t="s">
        <v>2010</v>
      </c>
      <c r="B817" s="1" t="s">
        <v>2664</v>
      </c>
      <c r="C817" s="1" t="s">
        <v>2665</v>
      </c>
      <c r="D817" s="1" t="s">
        <v>2666</v>
      </c>
      <c r="E817" s="2" t="str">
        <f>IFERROR(__xludf.DUMMYFUNCTION("GOOGLETRANSLATE(C817, ""en"", ""TL"")"),"Maaari kang humiling ng chargeback mula sa iyong bangko kung na-scam ka online sa Pilipinas. Narito ang kailangan mong malaman:
* **Proseso ng Pagresolba ng Di-pagkakasundo:** Ang mga bangko sa Pilipinas ay may mga proseso sa pagresolba ng hindi pagkakaun"&amp;"awaan upang pangasiwaan ang mga sitwasyon kung saan naniniwala kang ang pagsingil sa iyong account ay hindi awtorisado o mapanlinlang. Ang prosesong ito ay karaniwang nagsasangkot ng paghahain ng kahilingan sa chargeback sa iyong bangko.
* **Mahalaga ang "&amp;"ebidensya:** Ang tagumpay ng iyong kahilingan sa chargeback ay nakasalalay sa iyong kakayahang magbigay ng ebidensya na ang transaksyon ay mapanlinlang. Maaaring kabilang dito ang: * Mga kopya ng mga email o komunikasyon sa scammer
* Ulat ng pulisya na ma"&amp;"y kaugnayan sa online scam (kung isinampa)
* Anumang dokumentasyon mula sa nagbebenta o website na nagpapatunay na ang produkto o serbisyo ay hindi naihatid gaya ng ipinangako
* **Nalalapat ang Mga Limitasyon sa Oras:** Ang bawat bangko ay maaaring magkar"&amp;"oon ng mga partikular na timeframe para sa paghahain ng mga kahilingan sa chargeback. Mahalagang kumilos nang mabilis at makipag-ugnayan sa iyong bangko sa sandaling matuklasan mo ang mapanlinlang na transaksyon.
**Narito ang dapat gawin:**
1. **Magtipon "&amp;"ng Ebidensya:** Mangolekta ng anumang dokumentasyon na sumusuporta sa iyong paghahabol ng isang mapanlinlang na transaksyon.
2. **Makipag-ugnayan sa Iyong Bangko:** Makipag-ugnayan sa departamento ng serbisyo sa customer ng iyong bangko at magtanong tungk"&amp;"ol sa kanilang proseso ng paglutas ng hindi pagkakaunawaan para sa mga mapanlinlang na singil. 3. **Maghain ng Kahilingan sa Pagsingil:** Sundin ang mga partikular na pamamaraan ng iyong bangko para sa paghahain ng kahilingan sa pagsingil at ibigay ang la"&amp;"hat ng ebidensya na iyong nakalap.
4. **Maghintay ng Tugon:** Sisiyasatin ng bangko ang iyong paghahabol at ipapaalam sa iyo ang kanilang desisyon. **Mahalagang Tandaan:**
* **Burden of Proof:** Ang burden of proof ay karaniwang nasa iyo, ang cardholder, "&amp;"upang ipakita na ang transaksyon ay hindi awtorisado. * **Ang Desisyon ng Bangko ay Pinal:** Ang desisyon ng bangko sa iyong kahilingan sa chargeback ay pinal. Gayunpaman, maaaring may karapatan kang iapela ang kanilang desisyon depende sa mga patakaran n"&amp;"g iyong bangko. **Rekomendasyon:**
* Ang pagkonsulta sa isang abogado na dalubhasa sa proteksyon ng consumer ay maaaring maging kapaki-pakinabang, lalo na para sa mga kumplikadong kaso. Maaari ka nilang payuhan tungkol sa iyong mga karapatan at ang pinaka"&amp;"mahusay na paraan ng pagkilos batay sa iyong partikular na sitwasyon.
Bagama't walang garantiya na aaprubahan ng iyong bangko ang iyong kahilingan sa chargeback, ang pagsunod sa mga hakbang na ito ay nagpapataas ng iyong pagkakataong maibalik ang iyong pe"&amp;"ra. Tandaan, ang mabilis na pagkilos at pagbibigay ng matibay na ebidensya ay mahalaga.")</f>
        <v>Maaari kang humiling ng chargeback mula sa iyong bangko kung na-scam ka online sa Pilipinas. Narito ang kailangan mong malaman:
* **Proseso ng Pagresolba ng Di-pagkakasundo:** Ang mga bangko sa Pilipinas ay may mga proseso sa pagresolba ng hindi pagkakaunawaan upang pangasiwaan ang mga sitwasyon kung saan naniniwala kang ang pagsingil sa iyong account ay hindi awtorisado o mapanlinlang. Ang prosesong ito ay karaniwang nagsasangkot ng paghahain ng kahilingan sa chargeback sa iyong bangko.
* **Mahalaga ang ebidensya:** Ang tagumpay ng iyong kahilingan sa chargeback ay nakasalalay sa iyong kakayahang magbigay ng ebidensya na ang transaksyon ay mapanlinlang. Maaaring kabilang dito ang: * Mga kopya ng mga email o komunikasyon sa scammer
* Ulat ng pulisya na may kaugnayan sa online scam (kung isinampa)
* Anumang dokumentasyon mula sa nagbebenta o website na nagpapatunay na ang produkto o serbisyo ay hindi naihatid gaya ng ipinangako
* **Nalalapat ang Mga Limitasyon sa Oras:** Ang bawat bangko ay maaaring magkaroon ng mga partikular na timeframe para sa paghahain ng mga kahilingan sa chargeback. Mahalagang kumilos nang mabilis at makipag-ugnayan sa iyong bangko sa sandaling matuklasan mo ang mapanlinlang na transaksyon.
**Narito ang dapat gawin:**
1. **Magtipon ng Ebidensya:** Mangolekta ng anumang dokumentasyon na sumusuporta sa iyong paghahabol ng isang mapanlinlang na transaksyon.
2. **Makipag-ugnayan sa Iyong Bangko:** Makipag-ugnayan sa departamento ng serbisyo sa customer ng iyong bangko at magtanong tungkol sa kanilang proseso ng paglutas ng hindi pagkakaunawaan para sa mga mapanlinlang na singil. 3. **Maghain ng Kahilingan sa Pagsingil:** Sundin ang mga partikular na pamamaraan ng iyong bangko para sa paghahain ng kahilingan sa pagsingil at ibigay ang lahat ng ebidensya na iyong nakalap.
4. **Maghintay ng Tugon:** Sisiyasatin ng bangko ang iyong paghahabol at ipapaalam sa iyo ang kanilang desisyon. **Mahalagang Tandaan:**
* **Burden of Proof:** Ang burden of proof ay karaniwang nasa iyo, ang cardholder, upang ipakita na ang transaksyon ay hindi awtorisado. * **Ang Desisyon ng Bangko ay Pinal:** Ang desisyon ng bangko sa iyong kahilingan sa chargeback ay pinal. Gayunpaman, maaaring may karapatan kang iapela ang kanilang desisyon depende sa mga patakaran ng iyong bangko. **Rekomendasyon:**
* Ang pagkonsulta sa isang abogado na dalubhasa sa proteksyon ng consumer ay maaaring maging kapaki-pakinabang, lalo na para sa mga kumplikadong kaso. Maaari ka nilang payuhan tungkol sa iyong mga karapatan at ang pinakamahusay na paraan ng pagkilos batay sa iyong partikular na sitwasyon.
Bagama't walang garantiya na aaprubahan ng iyong bangko ang iyong kahilingan sa chargeback, ang pagsunod sa mga hakbang na ito ay nagpapataas ng iyong pagkakataong maibalik ang iyong pera. Tandaan, ang mabilis na pagkilos at pagbibigay ng matibay na ebidensya ay mahalaga.</v>
      </c>
      <c r="F817" s="2">
        <f t="shared" si="1"/>
        <v>0</v>
      </c>
      <c r="G817" s="2"/>
      <c r="H817" s="2"/>
      <c r="I817" s="2"/>
      <c r="J817" s="2"/>
      <c r="K817" s="2"/>
      <c r="L817" s="2"/>
      <c r="M817" s="2"/>
      <c r="N817" s="2"/>
      <c r="O817" s="2"/>
      <c r="P817" s="2"/>
      <c r="Q817" s="2"/>
      <c r="R817" s="2"/>
      <c r="S817" s="2"/>
      <c r="T817" s="2"/>
      <c r="U817" s="2"/>
      <c r="V817" s="2"/>
      <c r="W817" s="2"/>
      <c r="X817" s="2"/>
      <c r="Y817" s="2"/>
      <c r="Z817" s="2"/>
      <c r="AA817" s="2"/>
    </row>
    <row r="818">
      <c r="A818" s="3" t="s">
        <v>2010</v>
      </c>
      <c r="B818" s="1" t="s">
        <v>2667</v>
      </c>
      <c r="C818" s="1" t="s">
        <v>2668</v>
      </c>
      <c r="D818" s="1" t="s">
        <v>2669</v>
      </c>
      <c r="E818" s="2" t="str">
        <f>IFERROR(__xludf.DUMMYFUNCTION("GOOGLETRANSLATE(C818, ""en"", ""TL"")"),"Ang kasalukuyang legal na tanawin sa Pilipinas tungkol sa pananagutan ng mga platform ng social media para sa pagho-host ng content ng scam ay umuusbong. Narito ang isang breakdown ng mga pangunahing punto:
* **Limited Liability sa ilalim ng Seksyon 230:*"&amp;"* Katulad ng US, hindi mahigpit na pananagutan ng batas ng Pilipinas ang mga platform ng social media para sa content na nai-post ng kanilang mga user. Ito ay bahagyang dahil sa Seksyon 230 ng Electronic Commerce Act (ECE Act of 2000). Ang seksyong ito ay"&amp;" nagbibigay ng ilang kaligtasan sa mga platform ng social media, na nagpapahintulot sa kanila na gumana bilang mga platform para sa komunikasyon nang hindi tinatrato bilang publisher ng nilalaman mismo.
* **Mga Nuances at Mga Pagbubukod:** Gayunpaman, ang"&amp;" kaligtasan sa ilalim ng Seksyon 230 ay hindi ganap. Ang mga platform ng social media ay maaari pa ring managot sa ilang mga kaso, tulad ng:
* **Paglabag sa Copyright:** Kung alam ng isang platform ang paglabag sa copyright at hindi gumawa ng aksyon upang"&amp;" alisin ang lumalabag na nilalaman, maaari silang managot.
* **Paninirang-puri:** Kung ang isang platform ay malinaw na nakakaalam ng mapanirang-puri na nilalaman at hindi ito inaalis, maaari silang managot. Ang eksaktong mga kinakailangan para sa kaalama"&amp;"n at layunin ay tinutukoy pa rin sa mga legal na kaso sa Pilipinas.
* **Mga Patakaran sa Pagmo-moderate ng Nilalaman:** Ang mga platform ng social media ay may mga tuntunin ng serbisyo at mga alituntunin ng komunidad na nagbabalangkas ng ipinagbabawal na "&amp;"nilalaman, kabilang ang mga scam. Kung sadyang pinapayagan ng isang platform na magpatuloy ang content ng scam sa kabila ng pagkakaroon ng kakayahang alisin ito, maaaring tuklasin ang kanilang pananagutan sa korte. * **Ang Kinabukasan ng Seksyon 230:** Ka"&amp;"tulad ng mga talakayan sa US, may mga patuloy na talakayan sa Pilipinas tungkol sa pagrerebisa ng Seksyon 230 upang mas mapapanagot ang mga platform ng social media para sa nilalaman na kanilang hino-host, lalo na ang mga nakakapinsalang nilalaman tulad n"&amp;"g mga online scam.
**Narito ang ibig sabihin nito para sa iyo:**
* **Ang mga platform ng social media ay hindi ginagarantiyahan ang kaligtasan:** Bagama't mayroon silang ilang proteksyon sa ilalim ng Seksyon 230, maaari pa rin silang managot sa ilalim ng "&amp;"ilang partikular na sitwasyon.
* **Nananatiling mahalaga ang pagbabantay ng user:** Napakahalaga na maging mapanuri sa impormasyong nararanasan mo sa social media at iulat ang anumang pinaghihinalaang mga scam sa mismong platform.
**Mga Rekomendasyon:**
*"&amp;" Mag-ulat ng nilalaman ng scam sa platform ng social media kung saan mo ito nakatagpo. Karamihan sa mga platform ay may mga mekanismo ng pag-uulat sa lugar.
* Isaalang-alang ang pagsunod sa mga mapagkakatiwalaang account at organisasyon sa social media up"&amp;"ang makakuha ng maaasahang impormasyon.
* Manatiling may alam tungkol sa mga pagpapaunlad tungkol sa Seksyon 230 at mga potensyal na pagbabago sa pananagutan sa platform ng social media sa Pilipinas.
Ang legal na sitwasyon tungkol sa pananagutan sa platfo"&amp;"rm ng social media ay kumplikado at umuunlad. Bagama't maaaring hindi sila direktang responsable para sa bawat scam na nai-post sa kanilang platform, maaaring may mga kaso kung saan ang kanilang mga aksyon o hindi pagkilos ay humantong sa pananagutan. Sa "&amp;"pamamagitan ng pananatiling kaalaman at pag-uulat ng mga scam, maaari kang makatulong na lumikha ng isang mas ligtas na kapaligiran sa online sa Pilipinas.")</f>
        <v>Ang kasalukuyang legal na tanawin sa Pilipinas tungkol sa pananagutan ng mga platform ng social media para sa pagho-host ng content ng scam ay umuusbong. Narito ang isang breakdown ng mga pangunahing punto:
* **Limited Liability sa ilalim ng Seksyon 230:** Katulad ng US, hindi mahigpit na pananagutan ng batas ng Pilipinas ang mga platform ng social media para sa content na nai-post ng kanilang mga user. Ito ay bahagyang dahil sa Seksyon 230 ng Electronic Commerce Act (ECE Act of 2000). Ang seksyong ito ay nagbibigay ng ilang kaligtasan sa mga platform ng social media, na nagpapahintulot sa kanila na gumana bilang mga platform para sa komunikasyon nang hindi tinatrato bilang publisher ng nilalaman mismo.
* **Mga Nuances at Mga Pagbubukod:** Gayunpaman, ang kaligtasan sa ilalim ng Seksyon 230 ay hindi ganap. Ang mga platform ng social media ay maaari pa ring managot sa ilang mga kaso, tulad ng:
* **Paglabag sa Copyright:** Kung alam ng isang platform ang paglabag sa copyright at hindi gumawa ng aksyon upang alisin ang lumalabag na nilalaman, maaari silang managot.
* **Paninirang-puri:** Kung ang isang platform ay malinaw na nakakaalam ng mapanirang-puri na nilalaman at hindi ito inaalis, maaari silang managot. Ang eksaktong mga kinakailangan para sa kaalaman at layunin ay tinutukoy pa rin sa mga legal na kaso sa Pilipinas.
* **Mga Patakaran sa Pagmo-moderate ng Nilalaman:** Ang mga platform ng social media ay may mga tuntunin ng serbisyo at mga alituntunin ng komunidad na nagbabalangkas ng ipinagbabawal na nilalaman, kabilang ang mga scam. Kung sadyang pinapayagan ng isang platform na magpatuloy ang content ng scam sa kabila ng pagkakaroon ng kakayahang alisin ito, maaaring tuklasin ang kanilang pananagutan sa korte. * **Ang Kinabukasan ng Seksyon 230:** Katulad ng mga talakayan sa US, may mga patuloy na talakayan sa Pilipinas tungkol sa pagrerebisa ng Seksyon 230 upang mas mapapanagot ang mga platform ng social media para sa nilalaman na kanilang hino-host, lalo na ang mga nakakapinsalang nilalaman tulad ng mga online scam.
**Narito ang ibig sabihin nito para sa iyo:**
* **Ang mga platform ng social media ay hindi ginagarantiyahan ang kaligtasan:** Bagama't mayroon silang ilang proteksyon sa ilalim ng Seksyon 230, maaari pa rin silang managot sa ilalim ng ilang partikular na sitwasyon.
* **Nananatiling mahalaga ang pagbabantay ng user:** Napakahalaga na maging mapanuri sa impormasyong nararanasan mo sa social media at iulat ang anumang pinaghihinalaang mga scam sa mismong platform.
**Mga Rekomendasyon:**
* Mag-ulat ng nilalaman ng scam sa platform ng social media kung saan mo ito nakatagpo. Karamihan sa mga platform ay may mga mekanismo ng pag-uulat sa lugar.
* Isaalang-alang ang pagsunod sa mga mapagkakatiwalaang account at organisasyon sa social media upang makakuha ng maaasahang impormasyon.
* Manatiling may alam tungkol sa mga pagpapaunlad tungkol sa Seksyon 230 at mga potensyal na pagbabago sa pananagutan sa platform ng social media sa Pilipinas.
Ang legal na sitwasyon tungkol sa pananagutan sa platform ng social media ay kumplikado at umuunlad. Bagama't maaaring hindi sila direktang responsable para sa bawat scam na nai-post sa kanilang platform, maaaring may mga kaso kung saan ang kanilang mga aksyon o hindi pagkilos ay humantong sa pananagutan. Sa pamamagitan ng pananatiling kaalaman at pag-uulat ng mga scam, maaari kang makatulong na lumikha ng isang mas ligtas na kapaligiran sa online sa Pilipinas.</v>
      </c>
      <c r="F818" s="2">
        <f t="shared" si="1"/>
        <v>0</v>
      </c>
      <c r="G818" s="2"/>
      <c r="H818" s="2"/>
      <c r="I818" s="2"/>
      <c r="J818" s="2"/>
      <c r="K818" s="2"/>
      <c r="L818" s="2"/>
      <c r="M818" s="2"/>
      <c r="N818" s="2"/>
      <c r="O818" s="2"/>
      <c r="P818" s="2"/>
      <c r="Q818" s="2"/>
      <c r="R818" s="2"/>
      <c r="S818" s="2"/>
      <c r="T818" s="2"/>
      <c r="U818" s="2"/>
      <c r="V818" s="2"/>
      <c r="W818" s="2"/>
      <c r="X818" s="2"/>
      <c r="Y818" s="2"/>
      <c r="Z818" s="2"/>
      <c r="AA818" s="2"/>
    </row>
    <row r="819">
      <c r="A819" s="3" t="s">
        <v>2010</v>
      </c>
      <c r="B819" s="1" t="s">
        <v>2670</v>
      </c>
      <c r="C819" s="1" t="s">
        <v>2671</v>
      </c>
      <c r="D819" s="1" t="s">
        <v>2672</v>
      </c>
      <c r="E819" s="2" t="str">
        <f>IFERROR(__xludf.DUMMYFUNCTION("GOOGLETRANSLATE(C819, ""en"", ""TL"")"),"Oo, maaaring magkaroon ng pagkakaiba sa legal na aksyon kung ang scam ay nagmula sa ibang bansa kumpara sa isang scam na nangyayari sa loob ng Pilipinas. Narito kung bakit:
**Mga Isyu sa Hurisdiksiyon:**
* **Ang Batas ng Pilipinas ay Nalalapat sa Mga Hang"&amp;"ganan ng Pilipinas:** Ang mga ahensyang nagpapatupad ng batas ng Pilipinas ay maaari lamang mag-imbestiga at mag-usig ng mga krimen na nangyayari sa loob ng teritoryo ng Pilipinas. Maaari nitong gawing mas mahirap ang magsagawa ng legal na aksyon laban sa"&amp;" mga scammer na tumatakbo mula sa ibang bansa.
* **International Cooperation:** Ang Pilipinas ay nakikilahok sa mga internasyonal na kasunduan tulad ng Council of Europe Convention on Cybercrime. Pinapadali ng mga kasunduang ito ang pakikipagtulungan sa p"&amp;"agitan ng mga miyembrong estado sa pagsisiyasat at pag-uusig sa cybercrime, kabilang ang mga online scam. Gayunpaman, ang pag-navigate sa mga internasyunal na legal na pamamaraan ay maaaring maging kumplikado at nakakaubos ng oras.
**Mga Hamon ng Cross-Bo"&amp;"rder Scam:**
* **Koleksyon ng Ebidensya:** Maaaring mahirap ang pangangalap ng ebidensya sa mga hangganan at nangangailangan ng pakikipagtulungan sa pagitan ng mga ahensyang nagpapatupad ng batas ng Pilipinas at dayuhan.
* **Extradition:** Kung ang scamme"&amp;"r ay matatagpuan sa ibang bansa, ang pag-extradition sa kanila para harapin ang pagsubok sa Pilipinas ay maaaring isang mahabang proseso, depende sa extradition treaties sa pagitan ng dalawang bansa.
* **Mga Pagkakaiba sa Pambansang Batas:** Ano ang bumub"&amp;"uo sa isang krimen at ang mga kaukulang parusa ay maaaring mag-iba nang malaki sa pagitan ng mga bansa. Maaari nitong gawing hamon ang pagbuo ng isang malakas na kaso na nakakatugon sa mga legal na pamantayan ng parehong bansa.
**Ano ang magagawa mo:**
* "&amp;"**Iulat ang scam sa Philippine Authority:** Anuman ang lokasyon ng scammer, iulat ang scam sa Philippine National Police Anti-Cybercrime Group (ACG) [https://acg.pnp.gov.ph/](https: //acg.pnp.gov.ph/). Maaari silang magpasimula ng pagsisiyasat at posiblen"&amp;"g makipagtulungan sa mga internasyonal na ahensyang nagpapatupad ng batas kung kinakailangan.
* **Magtipon ng Ebidensya:** Mangolekta ng anumang dokumentasyong nauugnay sa scam, tulad ng mga email, pakikipag-ugnayan sa scammer, at anumang mga transaksyong"&amp;" pinansyal. Maaaring makatulong ang ebidensyang ito para sa parehong mga awtoridad ng Pilipinas at potensyal na legal na aksyon.
* **Isaalang-alang ang Pagkonsulta sa Abogado:** Maaaring payuhan ka ng isang abogadong dalubhasa sa cybercrime o internasyona"&amp;"l na batas tungkol sa iyong mga opsyon at ang pagiging kumplikado ng pagsasagawa ng legal na aksyon laban sa isang dayuhang scammer.
**Sa pangkalahatan, habang posible pa rin ang legal na aksyon para sa mga cross-border na scam, maaari itong maging mas ma"&amp;"hirap kaysa sa paghabol sa isang scam na ganap na nangyari sa loob ng Pilipinas. Gayunpaman, ang pag-uulat ng krimen, pangangalap ng ebidensya, at paghingi ng legal na payo ay maaaring magpalaki sa iyong pagkakataong panagutin ang mga may kasalanan.**")</f>
        <v>Oo, maaaring magkaroon ng pagkakaiba sa legal na aksyon kung ang scam ay nagmula sa ibang bansa kumpara sa isang scam na nangyayari sa loob ng Pilipinas. Narito kung bakit:
**Mga Isyu sa Hurisdiksiyon:**
* **Ang Batas ng Pilipinas ay Nalalapat sa Mga Hangganan ng Pilipinas:** Ang mga ahensyang nagpapatupad ng batas ng Pilipinas ay maaari lamang mag-imbestiga at mag-usig ng mga krimen na nangyayari sa loob ng teritoryo ng Pilipinas. Maaari nitong gawing mas mahirap ang magsagawa ng legal na aksyon laban sa mga scammer na tumatakbo mula sa ibang bansa.
* **International Cooperation:** Ang Pilipinas ay nakikilahok sa mga internasyonal na kasunduan tulad ng Council of Europe Convention on Cybercrime. Pinapadali ng mga kasunduang ito ang pakikipagtulungan sa pagitan ng mga miyembrong estado sa pagsisiyasat at pag-uusig sa cybercrime, kabilang ang mga online scam. Gayunpaman, ang pag-navigate sa mga internasyunal na legal na pamamaraan ay maaaring maging kumplikado at nakakaubos ng oras.
**Mga Hamon ng Cross-Border Scam:**
* **Koleksyon ng Ebidensya:** Maaaring mahirap ang pangangalap ng ebidensya sa mga hangganan at nangangailangan ng pakikipagtulungan sa pagitan ng mga ahensyang nagpapatupad ng batas ng Pilipinas at dayuhan.
* **Extradition:** Kung ang scammer ay matatagpuan sa ibang bansa, ang pag-extradition sa kanila para harapin ang pagsubok sa Pilipinas ay maaaring isang mahabang proseso, depende sa extradition treaties sa pagitan ng dalawang bansa.
* **Mga Pagkakaiba sa Pambansang Batas:** Ano ang bumubuo sa isang krimen at ang mga kaukulang parusa ay maaaring mag-iba nang malaki sa pagitan ng mga bansa. Maaari nitong gawing hamon ang pagbuo ng isang malakas na kaso na nakakatugon sa mga legal na pamantayan ng parehong bansa.
**Ano ang magagawa mo:**
* **Iulat ang scam sa Philippine Authority:** Anuman ang lokasyon ng scammer, iulat ang scam sa Philippine National Police Anti-Cybercrime Group (ACG) [https://acg.pnp.gov.ph/](https: //acg.pnp.gov.ph/). Maaari silang magpasimula ng pagsisiyasat at posibleng makipagtulungan sa mga internasyonal na ahensyang nagpapatupad ng batas kung kinakailangan.
* **Magtipon ng Ebidensya:** Mangolekta ng anumang dokumentasyong nauugnay sa scam, tulad ng mga email, pakikipag-ugnayan sa scammer, at anumang mga transaksyong pinansyal. Maaaring makatulong ang ebidensyang ito para sa parehong mga awtoridad ng Pilipinas at potensyal na legal na aksyon.
* **Isaalang-alang ang Pagkonsulta sa Abogado:** Maaaring payuhan ka ng isang abogadong dalubhasa sa cybercrime o internasyonal na batas tungkol sa iyong mga opsyon at ang pagiging kumplikado ng pagsasagawa ng legal na aksyon laban sa isang dayuhang scammer.
**Sa pangkalahatan, habang posible pa rin ang legal na aksyon para sa mga cross-border na scam, maaari itong maging mas mahirap kaysa sa paghabol sa isang scam na ganap na nangyari sa loob ng Pilipinas. Gayunpaman, ang pag-uulat ng krimen, pangangalap ng ebidensya, at paghingi ng legal na payo ay maaaring magpalaki sa iyong pagkakataong panagutin ang mga may kasalanan.**</v>
      </c>
      <c r="F819" s="2">
        <f t="shared" si="1"/>
        <v>0</v>
      </c>
      <c r="G819" s="2"/>
      <c r="H819" s="2"/>
      <c r="I819" s="2"/>
      <c r="J819" s="2"/>
      <c r="K819" s="2"/>
      <c r="L819" s="2"/>
      <c r="M819" s="2"/>
      <c r="N819" s="2"/>
      <c r="O819" s="2"/>
      <c r="P819" s="2"/>
      <c r="Q819" s="2"/>
      <c r="R819" s="2"/>
      <c r="S819" s="2"/>
      <c r="T819" s="2"/>
      <c r="U819" s="2"/>
      <c r="V819" s="2"/>
      <c r="W819" s="2"/>
      <c r="X819" s="2"/>
      <c r="Y819" s="2"/>
      <c r="Z819" s="2"/>
      <c r="AA819" s="2"/>
    </row>
    <row r="820">
      <c r="A820" s="3" t="s">
        <v>2010</v>
      </c>
      <c r="B820" s="1" t="s">
        <v>2673</v>
      </c>
      <c r="C820" s="1" t="s">
        <v>2674</v>
      </c>
      <c r="D820" s="1" t="s">
        <v>2675</v>
      </c>
      <c r="E820" s="2" t="str">
        <f>IFERROR(__xludf.DUMMYFUNCTION("GOOGLETRANSLATE(C820, ""en"", ""TL"")"),"Oo, may posibilidad na ituloy ang isang class-action na demanda para sa isang malawakang online scam sa Pilipinas. Bagama't medyo bago pa ang mga class action sa Pilipinas, umiiral ang legal na balangkas upang gawing posible ang mga ito. Narito ang isang "&amp;"breakdown ng mga pangunahing punto:
**Class Action Law (Rule 19, Section 17 of the Rules of Civil Procedure):**
* Ang panuntunang ito ay nagpapahintulot sa isang grupo ng mga tao (ang klase) na may katulad na legal na paghahabol laban sa isang nasasakdal "&amp;"na magsampa ng isang kaso. Maaari itong maging mas mahusay kaysa sa mga indibidwal na demanda, lalo na para sa malawakang mga scam.
**Mga Kinakailangan para sa Class Action:**
* **Dami:** Ang klase ng mga taong apektado ng scam ay dapat na napakarami kaya"&amp;" hindi praktikal para sa lahat na sumali sa mga indibidwal na demanda.
* **Pagkakatulad:** Ang mga legal na pag-aangkin ng lahat ng miyembro ng klase ay dapat magbahagi ng mga karaniwang tanong ng batas o katotohanan. * **Karaniwang:** Ang mga claim o dep"&amp;"ensa ng pinangalanang kinatawan (ang taong nagsampa ng kaso sa ngalan ng klase) ay dapat na tipikal ng mga claim o depensa ng buong klase.
* **Kasapatan ng Representasyon:** Ang pinangalanang kinatawan ay dapat na sapat na kumatawan sa mga interes ng buon"&amp;"g klase.
**Mga Hamon ng Class Action:**
* **Pagiging kumplikado:** Ang mga demanda sa class action ay maaaring maging kumplikado at nakakaubos ng oras. Kadalasan ay nagsasangkot sila ng malawak na pagtuklas at pagsasanay sa paggalaw.
* **Pag-apruba ng Kor"&amp;"te:** Dapat patunayan ng hukuman ang demanda bilang class action bago ito magpatuloy. Ito ay nagsasangkot ng pagdinig kung saan ang hukuman ay nagpapasiya kung ang mga kinakailangan sa pagkilos ng klase ay natutugunan.
**Ano ang magagawa mo:**
* **Kumonsu"&amp;"lta sa isang abogado:** Maaaring tasahin ng isang abogadong dalubhasa sa mga demanda sa class action ang potensyal para sa isang class action sa iyong partikular na kaso. Maaari ka nilang payuhan tungkol sa mga kinakailangan, hamon, at potensyal na benepi"&amp;"syong kasangkot.
* **Magtipon ng Impormasyon:** Kung mas marami kang impormasyon tungkol sa scam, ang bilang ng mga taong apektado, at ang mga potensyal na pinsala, mas magiging malakas ang iyong kaso.
* **Maghanap ng iba pang Miyembro ng Klase:** Ang pag"&amp;"konekta sa iba pang mga biktima ng scam ay maaaring makatulong na bumuo ng isang mas malakas na kaso at ipakita ang kinakailangan sa dami.
**Mga Halimbawa ng Class Action Lawsuits sa Pilipinas:**
Bagama't hindi pangkaraniwan, nagkaroon ng matagumpay na mg"&amp;"a kaso ng class action sa Pilipinas, kabilang ang mga kaso laban sa mga bangko at iba pang institusyong pinansyal. Ang mga kasong ito ay nagpapakita ng potensyal para sa mga class action para panagutin ang mga kumpanya para sa malawakang maling pag-uugali"&amp;".
**Mahalagang Tandaan:**
* Ang tagumpay ng isang class-action na demanda ay nakasalalay sa iba't ibang mga kadahilanan, at walang garantiya ng isang positibong resulta.
* Ang pagkonsulta sa isang abogado ay mahalaga upang maunawaan ang legal na proseso, "&amp;"mga potensyal na benepisyo at mga panganib, at upang matukoy kung ang isang class action ay ang pinakamahusay na paraan ng aksyon para sa iyong sitwasyon.
Kung naniniwala kang naging biktima ka ng malawakang online scam sa Pilipinas, ang paggalugad sa pos"&amp;"ibilidad ng class-action na demanda ay maaaring isang paraan upang humingi ng kabayaran at panagutin ang mga may kasalanan. Gayunpaman, tandaan na ang legal na aksyon ay maaaring maging kumplikado, at ang paghingi ng propesyonal na legal na payo ay lubos "&amp;"na inirerekomenda.")</f>
        <v>Oo, may posibilidad na ituloy ang isang class-action na demanda para sa isang malawakang online scam sa Pilipinas. Bagama't medyo bago pa ang mga class action sa Pilipinas, umiiral ang legal na balangkas upang gawing posible ang mga ito. Narito ang isang breakdown ng mga pangunahing punto:
**Class Action Law (Rule 19, Section 17 of the Rules of Civil Procedure):**
* Ang panuntunang ito ay nagpapahintulot sa isang grupo ng mga tao (ang klase) na may katulad na legal na paghahabol laban sa isang nasasakdal na magsampa ng isang kaso. Maaari itong maging mas mahusay kaysa sa mga indibidwal na demanda, lalo na para sa malawakang mga scam.
**Mga Kinakailangan para sa Class Action:**
* **Dami:** Ang klase ng mga taong apektado ng scam ay dapat na napakarami kaya hindi praktikal para sa lahat na sumali sa mga indibidwal na demanda.
* **Pagkakatulad:** Ang mga legal na pag-aangkin ng lahat ng miyembro ng klase ay dapat magbahagi ng mga karaniwang tanong ng batas o katotohanan. * **Karaniwang:** Ang mga claim o depensa ng pinangalanang kinatawan (ang taong nagsampa ng kaso sa ngalan ng klase) ay dapat na tipikal ng mga claim o depensa ng buong klase.
* **Kasapatan ng Representasyon:** Ang pinangalanang kinatawan ay dapat na sapat na kumatawan sa mga interes ng buong klase.
**Mga Hamon ng Class Action:**
* **Pagiging kumplikado:** Ang mga demanda sa class action ay maaaring maging kumplikado at nakakaubos ng oras. Kadalasan ay nagsasangkot sila ng malawak na pagtuklas at pagsasanay sa paggalaw.
* **Pag-apruba ng Korte:** Dapat patunayan ng hukuman ang demanda bilang class action bago ito magpatuloy. Ito ay nagsasangkot ng pagdinig kung saan ang hukuman ay nagpapasiya kung ang mga kinakailangan sa pagkilos ng klase ay natutugunan.
**Ano ang magagawa mo:**
* **Kumonsulta sa isang abogado:** Maaaring tasahin ng isang abogadong dalubhasa sa mga demanda sa class action ang potensyal para sa isang class action sa iyong partikular na kaso. Maaari ka nilang payuhan tungkol sa mga kinakailangan, hamon, at potensyal na benepisyong kasangkot.
* **Magtipon ng Impormasyon:** Kung mas marami kang impormasyon tungkol sa scam, ang bilang ng mga taong apektado, at ang mga potensyal na pinsala, mas magiging malakas ang iyong kaso.
* **Maghanap ng iba pang Miyembro ng Klase:** Ang pagkonekta sa iba pang mga biktima ng scam ay maaaring makatulong na bumuo ng isang mas malakas na kaso at ipakita ang kinakailangan sa dami.
**Mga Halimbawa ng Class Action Lawsuits sa Pilipinas:**
Bagama't hindi pangkaraniwan, nagkaroon ng matagumpay na mga kaso ng class action sa Pilipinas, kabilang ang mga kaso laban sa mga bangko at iba pang institusyong pinansyal. Ang mga kasong ito ay nagpapakita ng potensyal para sa mga class action para panagutin ang mga kumpanya para sa malawakang maling pag-uugali.
**Mahalagang Tandaan:**
* Ang tagumpay ng isang class-action na demanda ay nakasalalay sa iba't ibang mga kadahilanan, at walang garantiya ng isang positibong resulta.
* Ang pagkonsulta sa isang abogado ay mahalaga upang maunawaan ang legal na proseso, mga potensyal na benepisyo at mga panganib, at upang matukoy kung ang isang class action ay ang pinakamahusay na paraan ng aksyon para sa iyong sitwasyon.
Kung naniniwala kang naging biktima ka ng malawakang online scam sa Pilipinas, ang paggalugad sa posibilidad ng class-action na demanda ay maaaring isang paraan upang humingi ng kabayaran at panagutin ang mga may kasalanan. Gayunpaman, tandaan na ang legal na aksyon ay maaaring maging kumplikado, at ang paghingi ng propesyonal na legal na payo ay lubos na inirerekomenda.</v>
      </c>
      <c r="F820" s="2">
        <f t="shared" si="1"/>
        <v>0</v>
      </c>
      <c r="G820" s="2"/>
      <c r="H820" s="2"/>
      <c r="I820" s="2"/>
      <c r="J820" s="2"/>
      <c r="K820" s="2"/>
      <c r="L820" s="2"/>
      <c r="M820" s="2"/>
      <c r="N820" s="2"/>
      <c r="O820" s="2"/>
      <c r="P820" s="2"/>
      <c r="Q820" s="2"/>
      <c r="R820" s="2"/>
      <c r="S820" s="2"/>
      <c r="T820" s="2"/>
      <c r="U820" s="2"/>
      <c r="V820" s="2"/>
      <c r="W820" s="2"/>
      <c r="X820" s="2"/>
      <c r="Y820" s="2"/>
      <c r="Z820" s="2"/>
      <c r="AA820" s="2"/>
    </row>
    <row r="821">
      <c r="A821" s="3" t="s">
        <v>2010</v>
      </c>
      <c r="B821" s="1" t="s">
        <v>2676</v>
      </c>
      <c r="C821" s="1" t="s">
        <v>2677</v>
      </c>
      <c r="D821" s="1" t="s">
        <v>2678</v>
      </c>
      <c r="E821" s="2" t="str">
        <f>IFERROR(__xludf.DUMMYFUNCTION("GOOGLETRANSLATE(C821, ""en"", ""TL"")"),"Ang hurisdiksyon ay isang mahalagang aspeto ng mga kaso ng online scam sa Pilipinas. Tinutukoy nito kung aling sistema ng hukuman ang may awtoridad na dinggin ang kaso at ipatupad ang anumang mga hatol. Narito ang isang breakdown kung paano nalalapat ang "&amp;"hurisdiksyon:
**Teritoryal na Jurisdiction:**
* Ang mga hukuman sa Pilipinas ay karaniwang may hurisdiksyon sa mga krimeng ginawa sa loob ng teritoryo ng Pilipinas. Nalalapat ito sa mga online scam kung saan ang scammer at ang biktima ay parehong matatagp"&amp;"uan sa Pilipinas.
**Extraterritorial Jurisdiction:**
* Ang mga bagay ay nagiging mas nakakalito sa mga cross-border na scam. Maaaring may hurisdiksyon pa rin ang mga korte sa Pilipinas kung ang scam ay may ilang epekto sa loob ng Pilipinas, kahit na ang s"&amp;"cammer ay nasa ibang bansa. Narito ang ilang potensyal na sitwasyon:
* **Lokasyon ng Server:** Kung ang website o platform na ginamit para sa scam ay naka-host sa Pilipinas, maaari itong magbigay ng hurisdiksyon sa mga korte ng Pilipinas. * **Mga Transaks"&amp;"yon sa Pinansyal:** Kung inilipat ang pera mula sa isang bank account sa Pilipinas patungo sa account ng scammer (kahit na nasa ibang bansa), maaari nitong palakasin ang kaso para sa hurisdiksyon ng Pilipinas.
* **Pagta-target sa mga Pilipinong Biktima:**"&amp;" Kung partikular na tina-target ng scam ang mga biktimang Pilipino, kahit na may dayuhang scammer, maaaring igiit ng mga korte sa Pilipinas ang hurisdiksyon.
**Mga Hamon ng Extraterritorial Jurisdiction:**
* **Koleksyon ng Ebidensya:** Maaaring mahirap an"&amp;"g pangangalap ng ebidensya na matatagpuan sa ibang bansa at nangangailangan ng pakikipagtulungan sa pagitan ng mga ahensyang nagpapatupad ng batas ng Pilipinas at dayuhan.
* **International Law and Treaties:** Ang mga internasyonal na kasunduan tulad ng C"&amp;"ouncil of Europe Convention on Cybercrime ay maaaring mapadali ang pakikipagtulungan, ngunit ang pag-navigate sa mga prosesong ito ay maaaring maging kumplikado. **Ano ang magagawa mo:**
* **Iulat ang scam sa Philippine Authority:** Anuman ang lokasyon ng"&amp;" scammer, iulat ang scam sa Philippine National Police Anti-Cybercrime Group (ACG) [https://acg.pnp.gov.ph/](https: //acg.pnp.gov.ph/). Maaari nilang tasahin ang mga aspeto ng hurisdiksyon at posibleng magpasimula ng imbestigasyon.
* **Kumonsulta sa isang"&amp;" Abogado:** Maaaring payuhan ka ng isang abogado na dalubhasa sa cybercrime o internasyonal na batas tungkol sa mga partikular na hamon sa hurisdiksyon ng iyong kaso at mga potensyal na legal na opsyon.
**Tandaan:**
* Ang hurisdiksyon ay maaaring maging i"&amp;"sang kumplikadong isyu, at walang isa-size-fits-all na sagot para sa mga online na kaso ng scam.
* Ang pag-uulat ng krimen sa mga awtoridad ng Pilipinas ay ang unang hakbang, at makakatulong sila sa pagtukoy ng naaangkop na pagkilos batay sa mga salik na "&amp;"nasasakupan.
Bilang karagdagan sa hurisdiksyon ng teritoryo at extraterritorial, maaaring isaalang-alang din ng mga korte ng Pilipinas ang:
* **Mga Sugnay sa Pagpili ng Forum:** Ang ilang mga website o online na serbisyo ay may mga tuntunin ng serbisyo na"&amp;" kinabibilangan ng mga sugnay sa pagpili ng forum na tumutukoy kung aling sistema ng hukuman ang may hurisdiksyon para sa mga hindi pagkakaunawaan.
* **Cyberspace Jurisdiction:** Ang konsepto ng cyberspace jurisdiction ay umuunlad pa rin, ngunit maaaring "&amp;"isaalang-alang ng mga korte kung saan nagkaroon ng pinakamalaking epekto ang online scam.
Sa pamamagitan ng pag-unawa sa mga aspetong ito sa hurisdiksyon, mas magiging handa kang isulong ang hustisya kung naging biktima ka ng online scam sa Pilipinas.")</f>
        <v>Ang hurisdiksyon ay isang mahalagang aspeto ng mga kaso ng online scam sa Pilipinas. Tinutukoy nito kung aling sistema ng hukuman ang may awtoridad na dinggin ang kaso at ipatupad ang anumang mga hatol. Narito ang isang breakdown kung paano nalalapat ang hurisdiksyon:
**Teritoryal na Jurisdiction:**
* Ang mga hukuman sa Pilipinas ay karaniwang may hurisdiksyon sa mga krimeng ginawa sa loob ng teritoryo ng Pilipinas. Nalalapat ito sa mga online scam kung saan ang scammer at ang biktima ay parehong matatagpuan sa Pilipinas.
**Extraterritorial Jurisdiction:**
* Ang mga bagay ay nagiging mas nakakalito sa mga cross-border na scam. Maaaring may hurisdiksyon pa rin ang mga korte sa Pilipinas kung ang scam ay may ilang epekto sa loob ng Pilipinas, kahit na ang scammer ay nasa ibang bansa. Narito ang ilang potensyal na sitwasyon:
* **Lokasyon ng Server:** Kung ang website o platform na ginamit para sa scam ay naka-host sa Pilipinas, maaari itong magbigay ng hurisdiksyon sa mga korte ng Pilipinas. * **Mga Transaksyon sa Pinansyal:** Kung inilipat ang pera mula sa isang bank account sa Pilipinas patungo sa account ng scammer (kahit na nasa ibang bansa), maaari nitong palakasin ang kaso para sa hurisdiksyon ng Pilipinas.
* **Pagta-target sa mga Pilipinong Biktima:** Kung partikular na tina-target ng scam ang mga biktimang Pilipino, kahit na may dayuhang scammer, maaaring igiit ng mga korte sa Pilipinas ang hurisdiksyon.
**Mga Hamon ng Extraterritorial Jurisdiction:**
* **Koleksyon ng Ebidensya:** Maaaring mahirap ang pangangalap ng ebidensya na matatagpuan sa ibang bansa at nangangailangan ng pakikipagtulungan sa pagitan ng mga ahensyang nagpapatupad ng batas ng Pilipinas at dayuhan.
* **International Law and Treaties:** Ang mga internasyonal na kasunduan tulad ng Council of Europe Convention on Cybercrime ay maaaring mapadali ang pakikipagtulungan, ngunit ang pag-navigate sa mga prosesong ito ay maaaring maging kumplikado. **Ano ang magagawa mo:**
* **Iulat ang scam sa Philippine Authority:** Anuman ang lokasyon ng scammer, iulat ang scam sa Philippine National Police Anti-Cybercrime Group (ACG) [https://acg.pnp.gov.ph/](https: //acg.pnp.gov.ph/). Maaari nilang tasahin ang mga aspeto ng hurisdiksyon at posibleng magpasimula ng imbestigasyon.
* **Kumonsulta sa isang Abogado:** Maaaring payuhan ka ng isang abogado na dalubhasa sa cybercrime o internasyonal na batas tungkol sa mga partikular na hamon sa hurisdiksyon ng iyong kaso at mga potensyal na legal na opsyon.
**Tandaan:**
* Ang hurisdiksyon ay maaaring maging isang kumplikadong isyu, at walang isa-size-fits-all na sagot para sa mga online na kaso ng scam.
* Ang pag-uulat ng krimen sa mga awtoridad ng Pilipinas ay ang unang hakbang, at makakatulong sila sa pagtukoy ng naaangkop na pagkilos batay sa mga salik na nasasakupan.
Bilang karagdagan sa hurisdiksyon ng teritoryo at extraterritorial, maaaring isaalang-alang din ng mga korte ng Pilipinas ang:
* **Mga Sugnay sa Pagpili ng Forum:** Ang ilang mga website o online na serbisyo ay may mga tuntunin ng serbisyo na kinabibilangan ng mga sugnay sa pagpili ng forum na tumutukoy kung aling sistema ng hukuman ang may hurisdiksyon para sa mga hindi pagkakaunawaan.
* **Cyberspace Jurisdiction:** Ang konsepto ng cyberspace jurisdiction ay umuunlad pa rin, ngunit maaaring isaalang-alang ng mga korte kung saan nagkaroon ng pinakamalaking epekto ang online scam.
Sa pamamagitan ng pag-unawa sa mga aspetong ito sa hurisdiksyon, mas magiging handa kang isulong ang hustisya kung naging biktima ka ng online scam sa Pilipinas.</v>
      </c>
      <c r="F821" s="2">
        <f t="shared" si="1"/>
        <v>0</v>
      </c>
      <c r="G821" s="2"/>
      <c r="H821" s="2"/>
      <c r="I821" s="2"/>
      <c r="J821" s="2"/>
      <c r="K821" s="2"/>
      <c r="L821" s="2"/>
      <c r="M821" s="2"/>
      <c r="N821" s="2"/>
      <c r="O821" s="2"/>
      <c r="P821" s="2"/>
      <c r="Q821" s="2"/>
      <c r="R821" s="2"/>
      <c r="S821" s="2"/>
      <c r="T821" s="2"/>
      <c r="U821" s="2"/>
      <c r="V821" s="2"/>
      <c r="W821" s="2"/>
      <c r="X821" s="2"/>
      <c r="Y821" s="2"/>
      <c r="Z821" s="2"/>
      <c r="AA821" s="2"/>
    </row>
    <row r="822">
      <c r="A822" s="3" t="s">
        <v>2010</v>
      </c>
      <c r="B822" s="1" t="s">
        <v>2679</v>
      </c>
      <c r="C822" s="1" t="s">
        <v>2680</v>
      </c>
      <c r="D822" s="1" t="s">
        <v>2681</v>
      </c>
      <c r="E822" s="2" t="str">
        <f>IFERROR(__xludf.DUMMYFUNCTION("GOOGLETRANSLATE(C822, ""en"", ""TL"")"),"Ang Pilipinas ay walang iisang sentralisadong ahensya ng gobyerno na nakatuon lamang sa paglaban sa mga online scam. Gayunpaman, nagtutulungan ang ilang entidad ng pamahalaan upang matugunan ang isyung ito. Narito ang isang breakdown ng mga pangunahing ma"&amp;"nlalaro:
* **Department of Information and Communications Technology (DICT):**
* Ang DICT ay gumaganap ng isang mahalagang papel sa pagbuo at pagpapatupad ng mga patakaran na may kaugnayan sa cybersecurity.
* Ang Cybersecurity Bureau sa ilalim ng DICT ay "&amp;"responsable para sa pangangasiwa sa mga pagsisikap sa cybersecurity at pagtataguyod ng online na kaligtasan.
* **Philippine National Police (PNP):**
* Ang PNP Anti-Cybercrime Group (ACG) ay isang espesyal na yunit na nakatuon sa pagsisiyasat sa cybercrime"&amp;", kabilang ang mga online scam. Pinangangasiwaan nila ang mga reklamo, nangongolekta ng ebidensya, at nakikipagtulungan sa ibang mga ahensya upang hulihin ang mga may kasalanan. Maaari kang mag-ulat ng mga online scam sa ACG sa pamamagitan ng kanilang web"&amp;"site [https://acg.pnp.gov.ph/](https://acg.pnp.gov.ph/).
* **Kagawaran ng Kalakalan at Industriya (DTI):**
* Pinoprotektahan ng DTI ang mga mamimili mula sa mga mapanlinlang na gawain sa negosyo. Mayroon silang online verification portal kung saan maaari "&amp;"mong tingnan kung ang isang negosyo ay nakarehistro sa DTI [https://bnrs.dti.gov.ph/search](https://bnrs.dti.gov.ph/search). * Mayroon din silang mga mekanismo ng proteksyon ng consumer para sa pag-uulat ng mga scam na nauugnay sa mga online na pagbili.
*"&amp;" **Bangko Sentral ng Pilipinas (BSP):**
* Ang BSP, na kilala rin bilang Bangko Sentral ng Pilipinas, ay kumokontrol sa mga bangko at iba pang institusyong pinansyal. May papel sila sa pagtuturo sa mga consumer tungkol sa mga online financial scam at pag-p"&amp;"romote ng mga secure na online banking practices.
**Pagtutulungan ng Inter-Agency:**
* Ang Cybercrime Investigation and Coordinating Center (CICC) ay isang attached agency ng DICT. Itinataguyod nito ang inter-agency collaboration sa pagitan ng PNP, DTI, B"&amp;"SP, at iba pang kaukulang ahensya sa pag-iimbestiga at pag-uusig sa mga kaso ng cybercrime.
* **I-ARC Hotline (1326):**
* Ang hotline na ito ay isang pinagsamang inisyatiba na itinatag ng gobyerno at pribadong sektor. Pinapayagan nito ang mga tao na mag-u"&amp;"lat ng mga scam at makakuha ng tulong mula sa mga kalahok na ahensya ng gobyerno.
Sa pamamagitan ng pagtutulungan, nilalayon ng mga ahensya ng gobyerno na ito na lumikha ng isang mas secure na online na kapaligiran para sa mga Pilipino at labanan ang luma"&amp;"laking banta ng mga online scam.")</f>
        <v>Ang Pilipinas ay walang iisang sentralisadong ahensya ng gobyerno na nakatuon lamang sa paglaban sa mga online scam. Gayunpaman, nagtutulungan ang ilang entidad ng pamahalaan upang matugunan ang isyung ito. Narito ang isang breakdown ng mga pangunahing manlalaro:
* **Department of Information and Communications Technology (DICT):**
* Ang DICT ay gumaganap ng isang mahalagang papel sa pagbuo at pagpapatupad ng mga patakaran na may kaugnayan sa cybersecurity.
* Ang Cybersecurity Bureau sa ilalim ng DICT ay responsable para sa pangangasiwa sa mga pagsisikap sa cybersecurity at pagtataguyod ng online na kaligtasan.
* **Philippine National Police (PNP):**
* Ang PNP Anti-Cybercrime Group (ACG) ay isang espesyal na yunit na nakatuon sa pagsisiyasat sa cybercrime, kabilang ang mga online scam. Pinangangasiwaan nila ang mga reklamo, nangongolekta ng ebidensya, at nakikipagtulungan sa ibang mga ahensya upang hulihin ang mga may kasalanan. Maaari kang mag-ulat ng mga online scam sa ACG sa pamamagitan ng kanilang website [https://acg.pnp.gov.ph/](https://acg.pnp.gov.ph/).
* **Kagawaran ng Kalakalan at Industriya (DTI):**
* Pinoprotektahan ng DTI ang mga mamimili mula sa mga mapanlinlang na gawain sa negosyo. Mayroon silang online verification portal kung saan maaari mong tingnan kung ang isang negosyo ay nakarehistro sa DTI [https://bnrs.dti.gov.ph/search](https://bnrs.dti.gov.ph/search). * Mayroon din silang mga mekanismo ng proteksyon ng consumer para sa pag-uulat ng mga scam na nauugnay sa mga online na pagbili.
* **Bangko Sentral ng Pilipinas (BSP):**
* Ang BSP, na kilala rin bilang Bangko Sentral ng Pilipinas, ay kumokontrol sa mga bangko at iba pang institusyong pinansyal. May papel sila sa pagtuturo sa mga consumer tungkol sa mga online financial scam at pag-promote ng mga secure na online banking practices.
**Pagtutulungan ng Inter-Agency:**
* Ang Cybercrime Investigation and Coordinating Center (CICC) ay isang attached agency ng DICT. Itinataguyod nito ang inter-agency collaboration sa pagitan ng PNP, DTI, BSP, at iba pang kaukulang ahensya sa pag-iimbestiga at pag-uusig sa mga kaso ng cybercrime.
* **I-ARC Hotline (1326):**
* Ang hotline na ito ay isang pinagsamang inisyatiba na itinatag ng gobyerno at pribadong sektor. Pinapayagan nito ang mga tao na mag-ulat ng mga scam at makakuha ng tulong mula sa mga kalahok na ahensya ng gobyerno.
Sa pamamagitan ng pagtutulungan, nilalayon ng mga ahensya ng gobyerno na ito na lumikha ng isang mas secure na online na kapaligiran para sa mga Pilipino at labanan ang lumalaking banta ng mga online scam.</v>
      </c>
      <c r="F822" s="2">
        <f t="shared" si="1"/>
        <v>0</v>
      </c>
      <c r="G822" s="2"/>
      <c r="H822" s="2"/>
      <c r="I822" s="2"/>
      <c r="J822" s="2"/>
      <c r="K822" s="2"/>
      <c r="L822" s="2"/>
      <c r="M822" s="2"/>
      <c r="N822" s="2"/>
      <c r="O822" s="2"/>
      <c r="P822" s="2"/>
      <c r="Q822" s="2"/>
      <c r="R822" s="2"/>
      <c r="S822" s="2"/>
      <c r="T822" s="2"/>
      <c r="U822" s="2"/>
      <c r="V822" s="2"/>
      <c r="W822" s="2"/>
      <c r="X822" s="2"/>
      <c r="Y822" s="2"/>
      <c r="Z822" s="2"/>
      <c r="AA822" s="2"/>
    </row>
    <row r="823">
      <c r="A823" s="3" t="s">
        <v>2010</v>
      </c>
      <c r="B823" s="1" t="s">
        <v>2682</v>
      </c>
      <c r="C823" s="1" t="s">
        <v>2683</v>
      </c>
      <c r="D823" s="1" t="s">
        <v>2684</v>
      </c>
      <c r="E823" s="2" t="str">
        <f>IFERROR(__xludf.DUMMYFUNCTION("GOOGLETRANSLATE(C823, ""en"", ""TL"")"),"Oo, maaari mong personal na kasuhan ang scammer sa Pilipinas kung malalaman ang kanilang pagkakakilanlan. Narito ang isang breakdown ng mga posibilidad:
* **Civil Lawsuit:** Maaari kang magsampa ng kasong sibil laban sa scammer upang mabawi ang mga pinsal"&amp;"ang dulot ng scam. Maaaring kabilang dito ang mga pagkalugi sa pananalapi, emosyonal na pagkabalisa, at iba pang pinsala depende sa mga detalye ng kaso.
* **Mga Kinakailangan para sa Civil Law:** Para manalo sa civil lawsuit, kakailanganin mong patunayan:"&amp;"
* **Mga Katotohanan ng Scam:** Kakailanganin mong magpakita ng ebidensya na nangyari ang scam at kung paano nasangkot ang scammer.
* **Dahilan:** Kakailanganin mong ipakita na ang mga aksyon ng scammer ay direktang nagdulot ng iyong mga pinsala.
* **Mga "&amp;"Pinsala:** Kakailanganin mong idokumento ang mga pagkalugi sa pananalapi at iba pang pinsalang natamo mo bilang resulta ng scam.
* **Mga Hamon ng Pagdemanda ng mga Scammer:** Kahit na alam mo ang pagkakakilanlan ng scammer, maaaring maging mahirap ang pag"&amp;"demanda sa kanila:
* **Paghanap ng Scammer:** Kung ang scammer ay nasa ibang bansa, maaaring maging mahirap ang pagsilbi sa kanila ng isang demanda at pagpapatupad ng anumang paghatol.
* **Pagbawi sa Pananalapi:** Ang mga scammer ay madalas na gumana nang"&amp;" walang mahahalagang asset, na nagpapahirap sa pagkolekta ng anumang pinsalang iginawad ng korte.
**Alternatibong Paglutas ng Dispute (ADR):**
* Sa ilang mga kaso, ang mga mekanismo ng Alternatibong Paglutas ng Dispute (ADR) ay maaaring isang mas mabilis "&amp;"at mas murang paraan upang malutas ang isyu. Nag-aalok ang DTI ng mga serbisyo sa pagresolba ng hindi pagkakaunawaan sa mga mamimili na maaaring makatulong depende sa uri ng scam.
**Inirerekomenda ang Pagkonsulta sa Abogado:**
* Maaaring payuhan ka ng isa"&amp;"ng abogado na dalubhasa sa civil litigation o cybercrime sa pinakamahusay na paraan ng pagkilos batay sa mga partikular na detalye ng iyong kaso. Maaari nilang tasahin ang pagiging posible ng isang demanda, ang mga potensyal na hamon, at mga alternatibong"&amp;" opsyon para sa paghingi ng kabayaran.
**Narito ang ilang karagdagang puntong dapat isaalang-alang:**
* Ang sistema ng hukuman sa Pilipinas ay maaaring maging mabagal, at ang mga demanda ay maaaring tumagal ng oras upang malutas.
* Maaaring maging salik a"&amp;"ng mga legal na bayarin, kaya timbangin ang mga potensyal na gastos laban sa mga inaasahang benepisyo ng pagdemanda sa scammer.
Kahit na ang isang kaso ay hindi ang pinaka-mabubuhay na opsyon, ang pag-uulat ng scam sa mga awtoridad ay mahalaga. Nakakatulo"&amp;"ng ito sa pagpapatupad ng batas na masubaybayan ang mga scammer at pigilan silang mag-target ng iba.")</f>
        <v>Oo, maaari mong personal na kasuhan ang scammer sa Pilipinas kung malalaman ang kanilang pagkakakilanlan. Narito ang isang breakdown ng mga posibilidad:
* **Civil Lawsuit:** Maaari kang magsampa ng kasong sibil laban sa scammer upang mabawi ang mga pinsalang dulot ng scam. Maaaring kabilang dito ang mga pagkalugi sa pananalapi, emosyonal na pagkabalisa, at iba pang pinsala depende sa mga detalye ng kaso.
* **Mga Kinakailangan para sa Civil Law:** Para manalo sa civil lawsuit, kakailanganin mong patunayan:
* **Mga Katotohanan ng Scam:** Kakailanganin mong magpakita ng ebidensya na nangyari ang scam at kung paano nasangkot ang scammer.
* **Dahilan:** Kakailanganin mong ipakita na ang mga aksyon ng scammer ay direktang nagdulot ng iyong mga pinsala.
* **Mga Pinsala:** Kakailanganin mong idokumento ang mga pagkalugi sa pananalapi at iba pang pinsalang natamo mo bilang resulta ng scam.
* **Mga Hamon ng Pagdemanda ng mga Scammer:** Kahit na alam mo ang pagkakakilanlan ng scammer, maaaring maging mahirap ang pagdemanda sa kanila:
* **Paghanap ng Scammer:** Kung ang scammer ay nasa ibang bansa, maaaring maging mahirap ang pagsilbi sa kanila ng isang demanda at pagpapatupad ng anumang paghatol.
* **Pagbawi sa Pananalapi:** Ang mga scammer ay madalas na gumana nang walang mahahalagang asset, na nagpapahirap sa pagkolekta ng anumang pinsalang iginawad ng korte.
**Alternatibong Paglutas ng Dispute (ADR):**
* Sa ilang mga kaso, ang mga mekanismo ng Alternatibong Paglutas ng Dispute (ADR) ay maaaring isang mas mabilis at mas murang paraan upang malutas ang isyu. Nag-aalok ang DTI ng mga serbisyo sa pagresolba ng hindi pagkakaunawaan sa mga mamimili na maaaring makatulong depende sa uri ng scam.
**Inirerekomenda ang Pagkonsulta sa Abogado:**
* Maaaring payuhan ka ng isang abogado na dalubhasa sa civil litigation o cybercrime sa pinakamahusay na paraan ng pagkilos batay sa mga partikular na detalye ng iyong kaso. Maaari nilang tasahin ang pagiging posible ng isang demanda, ang mga potensyal na hamon, at mga alternatibong opsyon para sa paghingi ng kabayaran.
**Narito ang ilang karagdagang puntong dapat isaalang-alang:**
* Ang sistema ng hukuman sa Pilipinas ay maaaring maging mabagal, at ang mga demanda ay maaaring tumagal ng oras upang malutas.
* Maaaring maging salik ang mga legal na bayarin, kaya timbangin ang mga potensyal na gastos laban sa mga inaasahang benepisyo ng pagdemanda sa scammer.
Kahit na ang isang kaso ay hindi ang pinaka-mabubuhay na opsyon, ang pag-uulat ng scam sa mga awtoridad ay mahalaga. Nakakatulong ito sa pagpapatupad ng batas na masubaybayan ang mga scammer at pigilan silang mag-target ng iba.</v>
      </c>
      <c r="F823" s="2">
        <f t="shared" si="1"/>
        <v>0</v>
      </c>
      <c r="G823" s="2"/>
      <c r="H823" s="2"/>
      <c r="I823" s="2"/>
      <c r="J823" s="2"/>
      <c r="K823" s="2"/>
      <c r="L823" s="2"/>
      <c r="M823" s="2"/>
      <c r="N823" s="2"/>
      <c r="O823" s="2"/>
      <c r="P823" s="2"/>
      <c r="Q823" s="2"/>
      <c r="R823" s="2"/>
      <c r="S823" s="2"/>
      <c r="T823" s="2"/>
      <c r="U823" s="2"/>
      <c r="V823" s="2"/>
      <c r="W823" s="2"/>
      <c r="X823" s="2"/>
      <c r="Y823" s="2"/>
      <c r="Z823" s="2"/>
      <c r="AA823" s="2"/>
    </row>
    <row r="824">
      <c r="A824" s="3" t="s">
        <v>2010</v>
      </c>
      <c r="B824" s="1" t="s">
        <v>2685</v>
      </c>
      <c r="C824" s="1" t="s">
        <v>2686</v>
      </c>
      <c r="D824" s="1" t="s">
        <v>2687</v>
      </c>
      <c r="E824" s="2" t="str">
        <f>IFERROR(__xludf.DUMMYFUNCTION("GOOGLETRANSLATE(C824, ""en"", ""TL"")"),"Ang mga batas sa proteksyon ng consumer ay may mahalagang papel sa paglaban sa mga online scam sa Pilipinas sa pamamagitan ng pagtatatag ng legal na balangkas na:
* **Empowers Consumers:** Ang mga batas na ito ay nagbibigay sa mga consumer ng mga legal na"&amp;" karapatan at recourse mechanism kapag sila ay naging biktima ng mga online scam.
* **Pinapigil ang mga Scammer:** Ang mga batas ay kumikilos bilang isang hadlang sa pamamagitan ng pagbalangkas ng mga potensyal na legal na kahihinatnan para sa mga nakikib"&amp;"ahagi sa mapanlinlang o mapanlinlang na mga kasanayan sa online. Narito ang isang mas malapit na pagtingin sa kung paano nag-aambag ang mga partikular na batas sa proteksyon ng consumer sa paglaban sa mga online scam:
* **Republic Act No. 7394 (Consumer A"&amp;"ct of the Philippines):**
* Ipinagbabawal ng batas na ito ang mga mapanlinlang at hindi patas na gawain at gawain sa pamilihan. Kabilang dito ang mga online scam na nanlilinlang o nanlilinlang sa mga mamimili.
* **Cybercrime Prevention Act (RA 10175):**
*"&amp;" Tinutukoy at pinaparusahan ng batas na ito ang mga partikular na cybercrime, kabilang ang cyber-swindling, na sumasaklaw sa mga online scam.
* **Mga Regulasyon ng Department of Trade and Industry (DTI):**
* Ang DTI ay naglalabas ng mga regulasyon na may "&amp;"kaugnayan sa online na proteksyon ng consumer. Maaaring mangailangan ang mga regulasyong ito sa mga online na negosyo na magbunyag ng ilang partikular na impormasyon at magbigay ng malinaw na mga patakaran sa pagbabalik at refund. **Paano Ipinapatupad ang"&amp;" Mga Batas sa Proteksyon ng Consumer:**
* **Mga Ahensya ng Gobyerno:** Ang DTI, ang PNP Anti-Cybercrime Group (ACG), at iba pang ahensya ng gobyerno ay gumaganap ng papel sa pagpapatupad ng mga batas sa proteksyon ng consumer at pagsisiyasat ng mga online"&amp;" scam.
* **Mga Karapatan at Pananagutan ng Consumer:** Ang mga mamimili ay may karapatang mag-ulat ng mga scam sa mga ahensyang ito at humingi ng kabayaran para sa mga pinsalang natamo. **Mga Hamon at Limitasyon:**
* **Mga Nagbabagong Scam:** Ang mga scam"&amp;"mer ay patuloy na gumagawa ng mga bagong taktika, na ginagawang hamon para sa mga batas at regulasyon na makasabay.
* **Mga Cross-Border Scam:** Ang pagpapatupad ng mga batas sa proteksyon ng consumer laban sa mga scammer na tumatakbo mula sa ibang mga ba"&amp;"nsa ay maaaring maging kumplikado.
**Ang Kahalagahan ng Consumer Awareness:**
* Pinakamabisa ang mga batas sa proteksyon ng consumer kapag alam ng mga consumer ang kanilang mga karapatan at kung paano protektahan ang kanilang sarili online. **Narito ang m"&amp;"aaari mong gawin bilang isang mamimili:**
* **Manatiling Alam:** Alamin ang tungkol sa mga karaniwang online na scam at kung paano makilala ang mga ito.
* **Mag-ingat sa Mga Hindi Hinihinging Alok:** Huwag magbahagi ng personal na impormasyon o mag-click "&amp;"sa mga link sa mga kahina-hinalang email o mensahe.
* **Mag-ulat ng Mga Scam:** Kung makatagpo ka ng online na scam, iulat ito sa mga awtoridad at may-katuturang ahensya ng proteksyon ng consumer.
Sa pamamagitan ng pagtutulungan, ang mga batas sa proteksy"&amp;"on ng consumer, mga ahensyang nagpapatupad ng batas, at may kaalamang mga consumer ay makakalikha ng mas ligtas na online na kapaligiran para sa lahat sa Pilipinas. Tandaan, habang magagamit ang legal na paraan, ang pag-iwas ay susi. Ang pananatiling mapa"&amp;"gbantay at pagiging maingat online ay ang iyong unang linya ng depensa laban sa mga online scam.")</f>
        <v>Ang mga batas sa proteksyon ng consumer ay may mahalagang papel sa paglaban sa mga online scam sa Pilipinas sa pamamagitan ng pagtatatag ng legal na balangkas na:
* **Empowers Consumers:** Ang mga batas na ito ay nagbibigay sa mga consumer ng mga legal na karapatan at recourse mechanism kapag sila ay naging biktima ng mga online scam.
* **Pinapigil ang mga Scammer:** Ang mga batas ay kumikilos bilang isang hadlang sa pamamagitan ng pagbalangkas ng mga potensyal na legal na kahihinatnan para sa mga nakikibahagi sa mapanlinlang o mapanlinlang na mga kasanayan sa online. Narito ang isang mas malapit na pagtingin sa kung paano nag-aambag ang mga partikular na batas sa proteksyon ng consumer sa paglaban sa mga online scam:
* **Republic Act No. 7394 (Consumer Act of the Philippines):**
* Ipinagbabawal ng batas na ito ang mga mapanlinlang at hindi patas na gawain at gawain sa pamilihan. Kabilang dito ang mga online scam na nanlilinlang o nanlilinlang sa mga mamimili.
* **Cybercrime Prevention Act (RA 10175):**
* Tinutukoy at pinaparusahan ng batas na ito ang mga partikular na cybercrime, kabilang ang cyber-swindling, na sumasaklaw sa mga online scam.
* **Mga Regulasyon ng Department of Trade and Industry (DTI):**
* Ang DTI ay naglalabas ng mga regulasyon na may kaugnayan sa online na proteksyon ng consumer. Maaaring mangailangan ang mga regulasyong ito sa mga online na negosyo na magbunyag ng ilang partikular na impormasyon at magbigay ng malinaw na mga patakaran sa pagbabalik at refund. **Paano Ipinapatupad ang Mga Batas sa Proteksyon ng Consumer:**
* **Mga Ahensya ng Gobyerno:** Ang DTI, ang PNP Anti-Cybercrime Group (ACG), at iba pang ahensya ng gobyerno ay gumaganap ng papel sa pagpapatupad ng mga batas sa proteksyon ng consumer at pagsisiyasat ng mga online scam.
* **Mga Karapatan at Pananagutan ng Consumer:** Ang mga mamimili ay may karapatang mag-ulat ng mga scam sa mga ahensyang ito at humingi ng kabayaran para sa mga pinsalang natamo. **Mga Hamon at Limitasyon:**
* **Mga Nagbabagong Scam:** Ang mga scammer ay patuloy na gumagawa ng mga bagong taktika, na ginagawang hamon para sa mga batas at regulasyon na makasabay.
* **Mga Cross-Border Scam:** Ang pagpapatupad ng mga batas sa proteksyon ng consumer laban sa mga scammer na tumatakbo mula sa ibang mga bansa ay maaaring maging kumplikado.
**Ang Kahalagahan ng Consumer Awareness:**
* Pinakamabisa ang mga batas sa proteksyon ng consumer kapag alam ng mga consumer ang kanilang mga karapatan at kung paano protektahan ang kanilang sarili online. **Narito ang maaari mong gawin bilang isang mamimili:**
* **Manatiling Alam:** Alamin ang tungkol sa mga karaniwang online na scam at kung paano makilala ang mga ito.
* **Mag-ingat sa Mga Hindi Hinihinging Alok:** Huwag magbahagi ng personal na impormasyon o mag-click sa mga link sa mga kahina-hinalang email o mensahe.
* **Mag-ulat ng Mga Scam:** Kung makatagpo ka ng online na scam, iulat ito sa mga awtoridad at may-katuturang ahensya ng proteksyon ng consumer.
Sa pamamagitan ng pagtutulungan, ang mga batas sa proteksyon ng consumer, mga ahensyang nagpapatupad ng batas, at may kaalamang mga consumer ay makakalikha ng mas ligtas na online na kapaligiran para sa lahat sa Pilipinas. Tandaan, habang magagamit ang legal na paraan, ang pag-iwas ay susi. Ang pananatiling mapagbantay at pagiging maingat online ay ang iyong unang linya ng depensa laban sa mga online scam.</v>
      </c>
      <c r="F824" s="2">
        <f t="shared" si="1"/>
        <v>0</v>
      </c>
      <c r="G824" s="2"/>
      <c r="H824" s="2"/>
      <c r="I824" s="2"/>
      <c r="J824" s="2"/>
      <c r="K824" s="2"/>
      <c r="L824" s="2"/>
      <c r="M824" s="2"/>
      <c r="N824" s="2"/>
      <c r="O824" s="2"/>
      <c r="P824" s="2"/>
      <c r="Q824" s="2"/>
      <c r="R824" s="2"/>
      <c r="S824" s="2"/>
      <c r="T824" s="2"/>
      <c r="U824" s="2"/>
      <c r="V824" s="2"/>
      <c r="W824" s="2"/>
      <c r="X824" s="2"/>
      <c r="Y824" s="2"/>
      <c r="Z824" s="2"/>
      <c r="AA824" s="2"/>
    </row>
    <row r="825">
      <c r="A825" s="3" t="s">
        <v>2010</v>
      </c>
      <c r="B825" s="1" t="s">
        <v>2688</v>
      </c>
      <c r="C825" s="1" t="s">
        <v>2689</v>
      </c>
      <c r="D825" s="1" t="s">
        <v>2690</v>
      </c>
      <c r="E825" s="2" t="str">
        <f>IFERROR(__xludf.DUMMYFUNCTION("GOOGLETRANSLATE(C825, ""en"", ""TL"")"),"Sa Pilipinas, posible ang pagbawi ng mga pinsalang lampas sa halagang direktang nawala sa isang online scam, ngunit depende ito sa ilang salik. Narito ang isang breakdown ng mga potensyal na sitwasyon:
**Pagbawi ng Direktang Pagkalugi:**
* Ito ang pinakak"&amp;"araniwang senaryo. Maaari mong mabawi ang eksaktong halaga ng pera na nawala sa iyo sa pamamagitan ng scam, depende sa mga pangyayari. Maaaring kabilang dito ang:
* **Chargeback mula sa iyong bangko:** Kung gumamit ka ng credit o debit card para sa mapanl"&amp;"inlang na transaksyon, maaari kang humiling ng chargeback mula sa iyong bangko.
* **Sibil na demanda laban sa scammer:** Kung idemanda mo ang scammer at manalo sa kaso, maaaring utusan sila ng korte na bayaran ang perang nawala sa iyo. (Ngunit ang pagkole"&amp;"kta mula sa kanila ay maaaring maging mahirap, lalo na kung sila ay nasa labas ng Pilipinas). **Pagbawi ng Karagdagang Pinsala:**
* Pinahihintulutan ka ng batas ng Pilipinas na mabawi ang higit pa sa iyong direktang pagkawala sa pananalapi sa ilalim ng il"&amp;"ang mga kundisyon. Ang mga karagdagang pinsalang ito ay madalas na tinutukoy bilang ""mga bayad-pinsalang pinsala"" o ""mga pinsalang moral.""
* **Compensatory Damages:** Ang mga ito ay naglalayong bayaran ka para sa abala, stress sa pag-iisip, o iba pang"&amp;" mga paghihirap na dulot ng scam. Halimbawa, kung ang scam ay nagdulot sa iyo na mawalan ng tulog o makaranas ng emosyonal na pagkabalisa, maaari kang mag-claim ng mga bayad-pinsala.
* **Moral Damages:** Ang mga ito ay iginagawad sa mga kaso kung saan ang"&amp;" mga aksyon ng scammer ay nagdulot sa iyo ng emosyonal na pagdurusa, kahihiyan, o pinsala sa iyong reputasyon. Ang halagang iginawad para sa moral na pinsala ay nasa pagpapasya ng korte.
**Mga Pangunahing Salik para sa Pagbawi ng Mga Karagdagang Pinsala:*"&amp;"*
* **Kalubhaan ng Scam:** Kung mas matindi ang scam at ang epekto nito sa iyong buhay, mas malakas ang iyong kaso para sa pagbawi ng mga karagdagang pinsala.
* **Katibayan ng mga Pinsala:** Kakailanganin mong magbigay ng ebidensya upang suportahan ang iy"&amp;"ong paghahabol para sa mga karagdagang pinsala. Maaaring kabilang dito ang mga medikal na rekord para sa emosyonal na pagkabalisa, dokumentasyon ng nawalang produktibidad, o mga patotoo ng saksi. * **Intentional Misconduct by the Scammer:** Isasaalang-ala"&amp;"ng ng hukuman kung sinadya at may malisyosong layunin ang scammer. **Mga Hamon sa Pagbawi ng Karagdagang Pinsala:**
* **Burden of Proof:** Ang burden of proof ay nasa iyo upang ipakita na ang scam ay nagdulot ng mga karagdagang pinsala na iyong kine-claim"&amp;".
* **Pagiging kumplikado ng mga Kaso:** Ang mga kaso na kinasasangkutan ng mga karagdagang pinsala ay maaaring maging kumplikado at nangangailangan ng legal na kadalubhasaan.
**Pagkonsulta sa isang Abogado:**
* Maaaring payuhan ka ng isang abogado na dal"&amp;"ubhasa sa proteksyon ng consumer o cybercrime sa iyong partikular na sitwasyon at ang potensyal para sa pagbawi ng mga karagdagang pinsala. Matutulungan ka nila na mangalap ng ebidensya, mag-navigate sa legal na proseso, at matukoy kung ang paghabol ng mg"&amp;"a karagdagang pinsala ay isang praktikal na opsyon para sa iyong kaso.
**Tandaan:**
* Ang pagbawi ng anumang pinsala mula sa isang scammer ay maaaring maging mahirap, lalo na kung sila ay nasa labas ng Pilipinas. * Habang umiiral ang mga legal na opsyon, "&amp;"ang pag-iwas ay susi. Ang pananatiling mapagbantay at pagprotekta sa iyong sarili mula sa mga online scam ay ang pinakamahusay na paraan upang maiwasan ang mga pagkalugi sa pananalapi at emosyonal na pagkabalisa.")</f>
        <v>Sa Pilipinas, posible ang pagbawi ng mga pinsalang lampas sa halagang direktang nawala sa isang online scam, ngunit depende ito sa ilang salik. Narito ang isang breakdown ng mga potensyal na sitwasyon:
**Pagbawi ng Direktang Pagkalugi:**
* Ito ang pinakakaraniwang senaryo. Maaari mong mabawi ang eksaktong halaga ng pera na nawala sa iyo sa pamamagitan ng scam, depende sa mga pangyayari. Maaaring kabilang dito ang:
* **Chargeback mula sa iyong bangko:** Kung gumamit ka ng credit o debit card para sa mapanlinlang na transaksyon, maaari kang humiling ng chargeback mula sa iyong bangko.
* **Sibil na demanda laban sa scammer:** Kung idemanda mo ang scammer at manalo sa kaso, maaaring utusan sila ng korte na bayaran ang perang nawala sa iyo. (Ngunit ang pagkolekta mula sa kanila ay maaaring maging mahirap, lalo na kung sila ay nasa labas ng Pilipinas). **Pagbawi ng Karagdagang Pinsala:**
* Pinahihintulutan ka ng batas ng Pilipinas na mabawi ang higit pa sa iyong direktang pagkawala sa pananalapi sa ilalim ng ilang mga kundisyon. Ang mga karagdagang pinsalang ito ay madalas na tinutukoy bilang "mga bayad-pinsalang pinsala" o "mga pinsalang moral."
* **Compensatory Damages:** Ang mga ito ay naglalayong bayaran ka para sa abala, stress sa pag-iisip, o iba pang mga paghihirap na dulot ng scam. Halimbawa, kung ang scam ay nagdulot sa iyo na mawalan ng tulog o makaranas ng emosyonal na pagkabalisa, maaari kang mag-claim ng mga bayad-pinsala.
* **Moral Damages:** Ang mga ito ay iginagawad sa mga kaso kung saan ang mga aksyon ng scammer ay nagdulot sa iyo ng emosyonal na pagdurusa, kahihiyan, o pinsala sa iyong reputasyon. Ang halagang iginawad para sa moral na pinsala ay nasa pagpapasya ng korte.
**Mga Pangunahing Salik para sa Pagbawi ng Mga Karagdagang Pinsala:**
* **Kalubhaan ng Scam:** Kung mas matindi ang scam at ang epekto nito sa iyong buhay, mas malakas ang iyong kaso para sa pagbawi ng mga karagdagang pinsala.
* **Katibayan ng mga Pinsala:** Kakailanganin mong magbigay ng ebidensya upang suportahan ang iyong paghahabol para sa mga karagdagang pinsala. Maaaring kabilang dito ang mga medikal na rekord para sa emosyonal na pagkabalisa, dokumentasyon ng nawalang produktibidad, o mga patotoo ng saksi. * **Intentional Misconduct by the Scammer:** Isasaalang-alang ng hukuman kung sinadya at may malisyosong layunin ang scammer. **Mga Hamon sa Pagbawi ng Karagdagang Pinsala:**
* **Burden of Proof:** Ang burden of proof ay nasa iyo upang ipakita na ang scam ay nagdulot ng mga karagdagang pinsala na iyong kine-claim.
* **Pagiging kumplikado ng mga Kaso:** Ang mga kaso na kinasasangkutan ng mga karagdagang pinsala ay maaaring maging kumplikado at nangangailangan ng legal na kadalubhasaan.
**Pagkonsulta sa isang Abogado:**
* Maaaring payuhan ka ng isang abogado na dalubhasa sa proteksyon ng consumer o cybercrime sa iyong partikular na sitwasyon at ang potensyal para sa pagbawi ng mga karagdagang pinsala. Matutulungan ka nila na mangalap ng ebidensya, mag-navigate sa legal na proseso, at matukoy kung ang paghabol ng mga karagdagang pinsala ay isang praktikal na opsyon para sa iyong kaso.
**Tandaan:**
* Ang pagbawi ng anumang pinsala mula sa isang scammer ay maaaring maging mahirap, lalo na kung sila ay nasa labas ng Pilipinas. * Habang umiiral ang mga legal na opsyon, ang pag-iwas ay susi. Ang pananatiling mapagbantay at pagprotekta sa iyong sarili mula sa mga online scam ay ang pinakamahusay na paraan upang maiwasan ang mga pagkalugi sa pananalapi at emosyonal na pagkabalisa.</v>
      </c>
      <c r="F825" s="2">
        <f t="shared" si="1"/>
        <v>0</v>
      </c>
      <c r="G825" s="2"/>
      <c r="H825" s="2"/>
      <c r="I825" s="2"/>
      <c r="J825" s="2"/>
      <c r="K825" s="2"/>
      <c r="L825" s="2"/>
      <c r="M825" s="2"/>
      <c r="N825" s="2"/>
      <c r="O825" s="2"/>
      <c r="P825" s="2"/>
      <c r="Q825" s="2"/>
      <c r="R825" s="2"/>
      <c r="S825" s="2"/>
      <c r="T825" s="2"/>
      <c r="U825" s="2"/>
      <c r="V825" s="2"/>
      <c r="W825" s="2"/>
      <c r="X825" s="2"/>
      <c r="Y825" s="2"/>
      <c r="Z825" s="2"/>
      <c r="AA825" s="2"/>
    </row>
    <row r="826">
      <c r="A826" s="3" t="s">
        <v>2010</v>
      </c>
      <c r="B826" s="1" t="s">
        <v>2691</v>
      </c>
      <c r="C826" s="1" t="s">
        <v>2692</v>
      </c>
      <c r="D826" s="1" t="s">
        <v>2693</v>
      </c>
      <c r="E826" s="2" t="str">
        <f>IFERROR(__xludf.DUMMYFUNCTION("GOOGLETRANSLATE(C826, ""en"", ""TL"")"),"Ang pag-navigate sa legal na proseso kapag ang scammer ay nagpapatakbo nang hindi nagpapakilala ay nagpapakita ng malalaking hamon sa Pilipinas, ngunit mayroon pa ring mga hakbang na maaari mong gawin:
**1. Iulat ang Scam:**
* Anuman ang pagkakakilanlan n"&amp;"g scammer, iulat ang scam sa Philippine National Police Anti-Cybercrime Group (ACG) [https://acg.pnp.gov.ph/](https://acg.pnp.gov.ph/) . Maaari silang magpasimula ng pagsisiyasat at maaaring masubaybayan ang scammer sa pamamagitan ng:
* **Pagsubaybay sa I"&amp;"P Address:** Sa ilang mga kaso, maaaring makipagtulungan ang ACG sa mga internet service provider (ISP) upang matukoy ang IP address na ginamit ng scammer. Gayunpaman, maaaring hindi ibunyag ng impormasyong ito ang tunay na pagkakakilanlan ng scammer.
* *"&amp;"*Digital Forensics:** Maaaring suriin ng ACG ang anumang digital na ebidensya na ibibigay mo, tulad ng mga email, mensahe, o mga talaan ng transaksyon. Maaaring makatulong ito sa kanila na matukoy ang mga pattern o koneksyon sa iba pang mga scam.
**2. Mag"&amp;"tipon ng Ebidensya (Kahit Hindi Alam ang Pagkakakilanlan ng Scammer):**
* Kolektahin ang anumang dokumentasyong nauugnay sa scam, tulad ng:
* Mga email o mensaheng ipinagpalit sa scammer
* Mga screenshot ng mga pekeng website o mga profile sa social media"&amp;"
* Mga bank statement o mga talaan ng credit card na nagpapakita ng mga mapanlinlang na transaksyon
* Anumang iba pang mga dokumento na sumusuporta sa iyong paghahabol
**3. Galugarin ang Alternatibong Paglutas ng Dispute (ADR):**
* Kung ang scam ay may ka"&amp;"samang pagbili o online na serbisyo, isaalang-alang ang Alternative Dispute Resolution (ADR) na mekanismo na inaalok ng Department of Trade and Industry (DTI). Bagama't hindi kinakailangang ibunyag ng ADR ang pagkakakilanlan ng scammer, maaari itong makat"&amp;"ulong sa iyong mabawi ang ilan sa iyong mga pagkalugi sa pamamagitan ng pamamagitan sa nagbebenta/service provider.
**4. Isaalang-alang ang Mga Legal na Opsyon sa isang Abogado:**
* Maaaring payuhan ka ng isang abogado na dalubhasa sa cybercrime sa mga le"&amp;"gal na opsyon na magagamit sa iyong partikular na kaso. Kahit na hindi alam ang pagkakakilanlan ng scammer, matutulungan ka ng isang abogado:
* Suriin ang ebidensya at alamin ang lakas ng iyong kaso.
* Galugarin ang mga potensyal na legal na paraan, gaya "&amp;"ng pagdemanda sa isang hindi kilalang entity (kung naaangkop). * Payuhan ka tungkol sa mga panganib at potensyal na benepisyo ng pagsasagawa ng legal na aksyon.
**Mga Hamon ng Anonymity:**
* **Paghahatid ng Mga Legal na Dokumento:** Kung magpasya kang mag"&amp;"demanda, ang paghahatid ng mga legal na dokumento sa isang hindi kilalang nasasakdal ay isang malaking hadlang.
* **Pagtitipon ng Ebidensya:** Ang pagbuo ng isang malakas na kaso ay mas mahirap nang hindi nalalaman ang pagkakakilanlan at lokasyon ng scamm"&amp;"er.
* **Pagkolekta ng mga Pinsala:** Kahit na manalo ka sa isang kaso laban sa isang hindi kilalang nasasakdal, ang pagkolekta ng mga pinsala ay maaaring halos imposible.
**Tumuon sa Pag-iwas:**
Bagama't umiiral ang mga legal na opsyon, ang paghabol sa mg"&amp;"a ito ay maaaring maging kumplikado at nakakaubos ng oras kapag nakikitungo sa mga hindi kilalang scammer. Ang pinakamahusay na diskarte ay ang pagiging maagap at gumawa ng mga hakbang upang protektahan ang iyong sarili online:
* **Mag-ingat sa Mga Hindi "&amp;"Hinihinging Alok:** Huwag magbahagi ng personal na impormasyon o mag-click sa mga link sa mga kahina-hinalang email o mensahe.
* **I-verify ang Impormasyon:** Magsaliksik sa mga kumpanya o indibidwal bago makisali sa mga online na transaksyon.
* **Gumamit"&amp;" ng Mga Malakas na Password:** I-enable ang two-factor authentication hangga't maaari.
* **Mag-ulat ng Kahina-hinalang Aktibidad:** Mag-ulat ng anumang mga online na scam na nakatagpo mo sa mga awtoridad.
Sa pamamagitan ng pananatiling mapagbantay at pags"&amp;"asagawa ng mga hakbang sa pag-iwas, maaari mong makabuluhang bawasan ang iyong panganib na mabiktima ng mga online scam sa Pilipinas. Tandaan, kahit na hindi mo ganap na mabawi ang iyong mga pagkalugi, ang pag-uulat ng scam ay nakakatulong sa mga awtorida"&amp;"d na masubaybayan ang mga kriminal na ito at maprotektahan ang iba mula sa pagiging biktima.")</f>
        <v>Ang pag-navigate sa legal na proseso kapag ang scammer ay nagpapatakbo nang hindi nagpapakilala ay nagpapakita ng malalaking hamon sa Pilipinas, ngunit mayroon pa ring mga hakbang na maaari mong gawin:
**1. Iulat ang Scam:**
* Anuman ang pagkakakilanlan ng scammer, iulat ang scam sa Philippine National Police Anti-Cybercrime Group (ACG) [https://acg.pnp.gov.ph/](https://acg.pnp.gov.ph/) . Maaari silang magpasimula ng pagsisiyasat at maaaring masubaybayan ang scammer sa pamamagitan ng:
* **Pagsubaybay sa IP Address:** Sa ilang mga kaso, maaaring makipagtulungan ang ACG sa mga internet service provider (ISP) upang matukoy ang IP address na ginamit ng scammer. Gayunpaman, maaaring hindi ibunyag ng impormasyong ito ang tunay na pagkakakilanlan ng scammer.
* **Digital Forensics:** Maaaring suriin ng ACG ang anumang digital na ebidensya na ibibigay mo, tulad ng mga email, mensahe, o mga talaan ng transaksyon. Maaaring makatulong ito sa kanila na matukoy ang mga pattern o koneksyon sa iba pang mga scam.
**2. Magtipon ng Ebidensya (Kahit Hindi Alam ang Pagkakakilanlan ng Scammer):**
* Kolektahin ang anumang dokumentasyong nauugnay sa scam, tulad ng:
* Mga email o mensaheng ipinagpalit sa scammer
* Mga screenshot ng mga pekeng website o mga profile sa social media
* Mga bank statement o mga talaan ng credit card na nagpapakita ng mga mapanlinlang na transaksyon
* Anumang iba pang mga dokumento na sumusuporta sa iyong paghahabol
**3. Galugarin ang Alternatibong Paglutas ng Dispute (ADR):**
* Kung ang scam ay may kasamang pagbili o online na serbisyo, isaalang-alang ang Alternative Dispute Resolution (ADR) na mekanismo na inaalok ng Department of Trade and Industry (DTI). Bagama't hindi kinakailangang ibunyag ng ADR ang pagkakakilanlan ng scammer, maaari itong makatulong sa iyong mabawi ang ilan sa iyong mga pagkalugi sa pamamagitan ng pamamagitan sa nagbebenta/service provider.
**4. Isaalang-alang ang Mga Legal na Opsyon sa isang Abogado:**
* Maaaring payuhan ka ng isang abogado na dalubhasa sa cybercrime sa mga legal na opsyon na magagamit sa iyong partikular na kaso. Kahit na hindi alam ang pagkakakilanlan ng scammer, matutulungan ka ng isang abogado:
* Suriin ang ebidensya at alamin ang lakas ng iyong kaso.
* Galugarin ang mga potensyal na legal na paraan, gaya ng pagdemanda sa isang hindi kilalang entity (kung naaangkop). * Payuhan ka tungkol sa mga panganib at potensyal na benepisyo ng pagsasagawa ng legal na aksyon.
**Mga Hamon ng Anonymity:**
* **Paghahatid ng Mga Legal na Dokumento:** Kung magpasya kang magdemanda, ang paghahatid ng mga legal na dokumento sa isang hindi kilalang nasasakdal ay isang malaking hadlang.
* **Pagtitipon ng Ebidensya:** Ang pagbuo ng isang malakas na kaso ay mas mahirap nang hindi nalalaman ang pagkakakilanlan at lokasyon ng scammer.
* **Pagkolekta ng mga Pinsala:** Kahit na manalo ka sa isang kaso laban sa isang hindi kilalang nasasakdal, ang pagkolekta ng mga pinsala ay maaaring halos imposible.
**Tumuon sa Pag-iwas:**
Bagama't umiiral ang mga legal na opsyon, ang paghabol sa mga ito ay maaaring maging kumplikado at nakakaubos ng oras kapag nakikitungo sa mga hindi kilalang scammer. Ang pinakamahusay na diskarte ay ang pagiging maagap at gumawa ng mga hakbang upang protektahan ang iyong sarili online:
* **Mag-ingat sa Mga Hindi Hinihinging Alok:** Huwag magbahagi ng personal na impormasyon o mag-click sa mga link sa mga kahina-hinalang email o mensahe.
* **I-verify ang Impormasyon:** Magsaliksik sa mga kumpanya o indibidwal bago makisali sa mga online na transaksyon.
* **Gumamit ng Mga Malakas na Password:** I-enable ang two-factor authentication hangga't maaari.
* **Mag-ulat ng Kahina-hinalang Aktibidad:** Mag-ulat ng anumang mga online na scam na nakatagpo mo sa mga awtoridad.
Sa pamamagitan ng pananatiling mapagbantay at pagsasagawa ng mga hakbang sa pag-iwas, maaari mong makabuluhang bawasan ang iyong panganib na mabiktima ng mga online scam sa Pilipinas. Tandaan, kahit na hindi mo ganap na mabawi ang iyong mga pagkalugi, ang pag-uulat ng scam ay nakakatulong sa mga awtoridad na masubaybayan ang mga kriminal na ito at maprotektahan ang iba mula sa pagiging biktima.</v>
      </c>
      <c r="F826" s="2">
        <f t="shared" si="1"/>
        <v>0</v>
      </c>
      <c r="G826" s="2"/>
      <c r="H826" s="2"/>
      <c r="I826" s="2"/>
      <c r="J826" s="2"/>
      <c r="K826" s="2"/>
      <c r="L826" s="2"/>
      <c r="M826" s="2"/>
      <c r="N826" s="2"/>
      <c r="O826" s="2"/>
      <c r="P826" s="2"/>
      <c r="Q826" s="2"/>
      <c r="R826" s="2"/>
      <c r="S826" s="2"/>
      <c r="T826" s="2"/>
      <c r="U826" s="2"/>
      <c r="V826" s="2"/>
      <c r="W826" s="2"/>
      <c r="X826" s="2"/>
      <c r="Y826" s="2"/>
      <c r="Z826" s="2"/>
      <c r="AA826" s="2"/>
    </row>
    <row r="827">
      <c r="A827" s="3" t="s">
        <v>2010</v>
      </c>
      <c r="B827" s="1" t="s">
        <v>2694</v>
      </c>
      <c r="C827" s="1" t="s">
        <v>2695</v>
      </c>
      <c r="D827" s="1" t="s">
        <v>2696</v>
      </c>
      <c r="E827" s="2" t="str">
        <f>IFERROR(__xludf.DUMMYFUNCTION("GOOGLETRANSLATE(C827, ""en"", ""TL"")"),"Oo, maaari kang humiling ng isang injunction sa Pilipinas upang pigilan ang isang scammer na magpatuloy sa kanilang mga aktibidad, kahit na hindi mo alam ang kanilang pagkakakilanlan. Narito ang isang breakdown ng mga posibilidad:
* **Mga Injunction sa Pi"&amp;"lipinas:** Pinahihintulutan ng batas ng Pilipinas ang mga korte na maglabas ng mga injunction upang pigilan ang isang tao o entity na gumawa ng maling gawain. Maaari itong mailapat sa ilang mga kaso ng mga online scam.
* **Mga Uri ng Injunction:** Mayroon"&amp;"g dalawang pangunahing uri ng mga injunction na nauugnay sa mga online na scam:
* **Prohibitory Injunction:** Ang ganitong uri ng injunction ay nag-uutos sa nasasakdal na huminto sa pagsali sa isang partikular na aktibidad. Sa konteksto ng mga online na s"&amp;"cam, maaari itong magamit upang pigilan ang scammer na magpatuloy sa pagpapatakbo ng kanilang mapanlinlang na website o paghingi ng mga biktima sa pamamagitan ng isang partikular na platform.
* **Mandatoryong Injunction:** Isang mandatoryong injunction an"&amp;"g nagpipilit sa nasasakdal na gumawa ng isang partikular na aksyon. Ito ay maaaring hindi gaanong naaangkop sa mga hindi kilalang online na scammer, ngunit sa ilang mga kaso, maaari itong gamitin upang mag-order sa isang internet service provider (ISP) na"&amp;" harangan ang pag-access sa website ng isang scammer.
* **Mga Hamon ng Anonymity:** Ang pagkuha ng utos laban sa isang hindi kilalang nasasakdal ay nagpapakita ng mga hadlang:
* **Pagkilala sa Nasasakdal:** Kailangang matukoy ng hukuman ang tao o entidad "&amp;"na tinatarget ng utos. Ito ay maaaring maging mahirap kung ang scammer ay tumatakbo nang hindi nagpapakilala.
* **Serving the Injunction:** Kahit na ang nasasakdal ay nakilala, ang paghahatid sa kanila ng injunction ay maaaring maging mahirap, lalo na kun"&amp;"g sila ay nasa labas ng Pilipinas.
* **Alternatibong Kurso ng Pagkilos:**
* **Paunawa at Pagtanggal:** Kung ang scam ay nagsasangkot ng isang website o profile sa social media, maaari mong hilingin sa platform na tanggalin ang nilalaman sa pamamagitan ng "&amp;"isang abiso at pamamaraan ng pagtanggal. Hindi ito nangangailangan ng pagkilala sa scammer ngunit nakatuon sa pag-alis ng mapanlinlang na nilalaman.
* **Isinasaalang-alang ang Legal na Payo:**
* Maaaring payuhan ka ng isang abogado na dalubhasa sa cybercr"&amp;"ime o batas sa intelektwal na ari-arian tungkol sa posibilidad na makakuha ng utos sa iyong partikular na kaso. Maaari nilang tasahin ang mga hamon ng hindi pagkakilala at tuklasin ang mga alternatibong opsyon para maabala ang mga aktibidad ng scammer.
**"&amp;"Narito ang ilang karagdagang puntong dapat isaalang-alang:**
* Ang mga injunction ay karaniwang ginagamit upang maiwasan ang napipintong pinsala. Titimbangin ng hukuman ang potensyal na pinsalang kakaharapin mo kung magpapatuloy ang scam laban sa potensya"&amp;"l na pinsala sa hindi kilalang akusado mula sa pag-uutos.
* Ang mga legal na paglilitis upang makakuha ng isang utos ay maaaring matagal at magastos.
**Tandaan:**
Bagama't maaaring maging mahirap ang pagkuha ng utos laban sa isang hindi kilalang scammer, "&amp;"isa pa rin itong opsyon na sulit na tuklasin sa isang abogado. Kahit na ang tradisyunal na utos ay hindi makakamit, maaaring may mga alternatibong legal na diskarte o teknikal na solusyon upang maantala ang mga aktibidad ng scammer at maiwasan ang mga ito"&amp;" na makapinsala sa iba.")</f>
        <v>Oo, maaari kang humiling ng isang injunction sa Pilipinas upang pigilan ang isang scammer na magpatuloy sa kanilang mga aktibidad, kahit na hindi mo alam ang kanilang pagkakakilanlan. Narito ang isang breakdown ng mga posibilidad:
* **Mga Injunction sa Pilipinas:** Pinahihintulutan ng batas ng Pilipinas ang mga korte na maglabas ng mga injunction upang pigilan ang isang tao o entity na gumawa ng maling gawain. Maaari itong mailapat sa ilang mga kaso ng mga online scam.
* **Mga Uri ng Injunction:** Mayroong dalawang pangunahing uri ng mga injunction na nauugnay sa mga online na scam:
* **Prohibitory Injunction:** Ang ganitong uri ng injunction ay nag-uutos sa nasasakdal na huminto sa pagsali sa isang partikular na aktibidad. Sa konteksto ng mga online na scam, maaari itong magamit upang pigilan ang scammer na magpatuloy sa pagpapatakbo ng kanilang mapanlinlang na website o paghingi ng mga biktima sa pamamagitan ng isang partikular na platform.
* **Mandatoryong Injunction:** Isang mandatoryong injunction ang nagpipilit sa nasasakdal na gumawa ng isang partikular na aksyon. Ito ay maaaring hindi gaanong naaangkop sa mga hindi kilalang online na scammer, ngunit sa ilang mga kaso, maaari itong gamitin upang mag-order sa isang internet service provider (ISP) na harangan ang pag-access sa website ng isang scammer.
* **Mga Hamon ng Anonymity:** Ang pagkuha ng utos laban sa isang hindi kilalang nasasakdal ay nagpapakita ng mga hadlang:
* **Pagkilala sa Nasasakdal:** Kailangang matukoy ng hukuman ang tao o entidad na tinatarget ng utos. Ito ay maaaring maging mahirap kung ang scammer ay tumatakbo nang hindi nagpapakilala.
* **Serving the Injunction:** Kahit na ang nasasakdal ay nakilala, ang paghahatid sa kanila ng injunction ay maaaring maging mahirap, lalo na kung sila ay nasa labas ng Pilipinas.
* **Alternatibong Kurso ng Pagkilos:**
* **Paunawa at Pagtanggal:** Kung ang scam ay nagsasangkot ng isang website o profile sa social media, maaari mong hilingin sa platform na tanggalin ang nilalaman sa pamamagitan ng isang abiso at pamamaraan ng pagtanggal. Hindi ito nangangailangan ng pagkilala sa scammer ngunit nakatuon sa pag-alis ng mapanlinlang na nilalaman.
* **Isinasaalang-alang ang Legal na Payo:**
* Maaaring payuhan ka ng isang abogado na dalubhasa sa cybercrime o batas sa intelektwal na ari-arian tungkol sa posibilidad na makakuha ng utos sa iyong partikular na kaso. Maaari nilang tasahin ang mga hamon ng hindi pagkakilala at tuklasin ang mga alternatibong opsyon para maabala ang mga aktibidad ng scammer.
**Narito ang ilang karagdagang puntong dapat isaalang-alang:**
* Ang mga injunction ay karaniwang ginagamit upang maiwasan ang napipintong pinsala. Titimbangin ng hukuman ang potensyal na pinsalang kakaharapin mo kung magpapatuloy ang scam laban sa potensyal na pinsala sa hindi kilalang akusado mula sa pag-uutos.
* Ang mga legal na paglilitis upang makakuha ng isang utos ay maaaring matagal at magastos.
**Tandaan:**
Bagama't maaaring maging mahirap ang pagkuha ng utos laban sa isang hindi kilalang scammer, isa pa rin itong opsyon na sulit na tuklasin sa isang abogado. Kahit na ang tradisyunal na utos ay hindi makakamit, maaaring may mga alternatibong legal na diskarte o teknikal na solusyon upang maantala ang mga aktibidad ng scammer at maiwasan ang mga ito na makapinsala sa iba.</v>
      </c>
      <c r="F827" s="2">
        <f t="shared" si="1"/>
        <v>0</v>
      </c>
      <c r="G827" s="2"/>
      <c r="H827" s="2"/>
      <c r="I827" s="2"/>
      <c r="J827" s="2"/>
      <c r="K827" s="2"/>
      <c r="L827" s="2"/>
      <c r="M827" s="2"/>
      <c r="N827" s="2"/>
      <c r="O827" s="2"/>
      <c r="P827" s="2"/>
      <c r="Q827" s="2"/>
      <c r="R827" s="2"/>
      <c r="S827" s="2"/>
      <c r="T827" s="2"/>
      <c r="U827" s="2"/>
      <c r="V827" s="2"/>
      <c r="W827" s="2"/>
      <c r="X827" s="2"/>
      <c r="Y827" s="2"/>
      <c r="Z827" s="2"/>
      <c r="AA827" s="2"/>
    </row>
    <row r="828">
      <c r="A828" s="3" t="s">
        <v>2010</v>
      </c>
      <c r="B828" s="1" t="s">
        <v>2697</v>
      </c>
      <c r="C828" s="1" t="s">
        <v>2698</v>
      </c>
      <c r="D828" s="1" t="s">
        <v>2699</v>
      </c>
      <c r="E828" s="2" t="str">
        <f>IFERROR(__xludf.DUMMYFUNCTION("GOOGLETRANSLATE(C828, ""en"", ""TL"")"),"Ang pagpapatunay ng pagkalugi sa pananalapi ay mahalaga sa isang online na kaso ng scam sa Pilipinas upang mabawi ang mga pinsalang natamo mo. Narito kung paano mo mapapalakas ang iyong kaso:
**Magtipon ng Dokumentasyon:**
* Kolektahin ang anumang mga dok"&amp;"umento na nagpapakita ng pagkalugi sa pananalapi na dulot ng scam. Maaaring kabilang dito ang:
* **Mga bank statement:** I-highlight ang mga bank statement na nagpapakita ng mga mapanlinlang na transaksyon na ginawa ng scammer. * **Mga credit card stateme"&amp;"nt:** Kung gumamit ka ng credit card para sa scam, kumuha ng mga statement na nagpapakita ng mga hindi awtorisadong pagsingil. * **Mga resibo o invoice:** Isama ang anumang mga resibo o invoice na natanggap mo mula sa scammer (bagaman ang mga ito ay maaar"&amp;"ing gawa-gawa).
* **Mga tala sa paglilipat ng pera:** Kung ang scam ay may kinalaman sa paglilipat ng pera, kumuha ng dokumentasyon ng inilipat na halaga at impormasyon ng tatanggap (kung magagamit). * **Mga Detalye ng Transaksyon:** Bigyang-pansin ang mg"&amp;"a detalye sa loob ng mga dokumentong ito, gaya ng:
* Mga petsa at timestamp ng mga transaksyon
* Mga halagang kasama sa bawat transaksyon
* Mga numero ng account o reference code
**Katibayan ng Komunikasyon:**
* Isama ang anumang komunikasyon na mayroon k"&amp;"a sa scammer, tulad ng:
* Mga email
* Mga text message
* Mga log ng chat
* Pagpapalitan ng mensahe sa social media
Maaaring naglalaman ang mga palitan na ito ng mga detalye tungkol sa ipinangakong serbisyo o produkto na hindi mo pa natanggap, na nagpapati"&amp;"bay sa mapanlinlang na katangian ng scam.
**Mga Screenshot:**
* Kumuha ng mga screenshot ng mga nauugnay na website, profile sa social media, o mga online na listahan na ginagamit ng scammer. Makakatulong ito sa pagtatatag ng pagkakaroon ng scam at posibl"&amp;"eng magbigay ng ilang impormasyon tungkol sa operasyon ng scammer.
**Ulat ng Pulis:**
* Kung nagsampa ka ng ulat sa Philippine National Police Anti-Cybercrime Group (ACG), isama ang kopya ng ulat sa iyong dokumentasyon. Ipinapakita nito na iniulat mo ang "&amp;"krimen sa mga awtoridad.
**Pagbuo ng Paper Trail:**
* Kung mas maraming dokumentasyon ang mayroon ka, mas magiging malakas ang iyong kaso. Ayusin ang iyong mga dokumento ayon sa pagkakasunod-sunod at lohikal upang lumikha ng isang malinaw na larawan ng sc"&amp;"am at ang mga pagkalugi sa pananalapi na iyong natamo.
**Kapag Hindi Available ang Mga Talaang Pananalapi:**
* Kung hindi mo ma-access ang mga tradisyonal na bank statement o mga resibo dahil sa likas na katangian ng scam (hal., mga transaksyon sa cryptoc"&amp;"urrency), isaalang-alang ang alternatibong ebidensya:
* Mga testimonya ng saksi: Kung may ibang makapagpapatunay sa iyong pagkawala sa pananalapi (hal., isang taong pinadalhan mo ng pera sa ngalan ng scammer), maaaring maging mahalaga ang kanilang testimo"&amp;"nya.
* Kasaysayan ng account: Kahit na wala kang mga opisyal na pahayag, humiling ng kasaysayan ng transaksyon mula sa iyong bangko o institusyong pampinansyal.
**Pagkonsulta sa isang Abogado:**
* Maaaring payuhan ka ng isang abogado na dalubhasa sa cyber"&amp;"crime o proteksyon ng consumer sa pinakamahusay na paraan upang ipakita ang ebidensya ng iyong mga pagkalugi sa pananalapi at bumuo ng isang malakas na kaso. Matutulungan ka nila na matukoy ang mga pinaka-kaugnay na dokumento at tiyaking epektibong ipinak"&amp;"ita ang mga ito.
**Tandaan:**
Ang pasanin ng patunay ay nasa iyo upang ipakita ang pagkalugi sa pananalapi na dulot ng scam. Sa pamamagitan ng pangangalap ng komprehensibong dokumentasyon at potensyal na paghingi ng legal na payo, maaari mong dagdagan ang"&amp;" iyong pagkakataon na matagumpay na patunayan ang iyong mga pagkalugi sa isang online na kaso ng scam.")</f>
        <v>Ang pagpapatunay ng pagkalugi sa pananalapi ay mahalaga sa isang online na kaso ng scam sa Pilipinas upang mabawi ang mga pinsalang natamo mo. Narito kung paano mo mapapalakas ang iyong kaso:
**Magtipon ng Dokumentasyon:**
* Kolektahin ang anumang mga dokumento na nagpapakita ng pagkalugi sa pananalapi na dulot ng scam. Maaaring kabilang dito ang:
* **Mga bank statement:** I-highlight ang mga bank statement na nagpapakita ng mga mapanlinlang na transaksyon na ginawa ng scammer. * **Mga credit card statement:** Kung gumamit ka ng credit card para sa scam, kumuha ng mga statement na nagpapakita ng mga hindi awtorisadong pagsingil. * **Mga resibo o invoice:** Isama ang anumang mga resibo o invoice na natanggap mo mula sa scammer (bagaman ang mga ito ay maaaring gawa-gawa).
* **Mga tala sa paglilipat ng pera:** Kung ang scam ay may kinalaman sa paglilipat ng pera, kumuha ng dokumentasyon ng inilipat na halaga at impormasyon ng tatanggap (kung magagamit). * **Mga Detalye ng Transaksyon:** Bigyang-pansin ang mga detalye sa loob ng mga dokumentong ito, gaya ng:
* Mga petsa at timestamp ng mga transaksyon
* Mga halagang kasama sa bawat transaksyon
* Mga numero ng account o reference code
**Katibayan ng Komunikasyon:**
* Isama ang anumang komunikasyon na mayroon ka sa scammer, tulad ng:
* Mga email
* Mga text message
* Mga log ng chat
* Pagpapalitan ng mensahe sa social media
Maaaring naglalaman ang mga palitan na ito ng mga detalye tungkol sa ipinangakong serbisyo o produkto na hindi mo pa natanggap, na nagpapatibay sa mapanlinlang na katangian ng scam.
**Mga Screenshot:**
* Kumuha ng mga screenshot ng mga nauugnay na website, profile sa social media, o mga online na listahan na ginagamit ng scammer. Makakatulong ito sa pagtatatag ng pagkakaroon ng scam at posibleng magbigay ng ilang impormasyon tungkol sa operasyon ng scammer.
**Ulat ng Pulis:**
* Kung nagsampa ka ng ulat sa Philippine National Police Anti-Cybercrime Group (ACG), isama ang kopya ng ulat sa iyong dokumentasyon. Ipinapakita nito na iniulat mo ang krimen sa mga awtoridad.
**Pagbuo ng Paper Trail:**
* Kung mas maraming dokumentasyon ang mayroon ka, mas magiging malakas ang iyong kaso. Ayusin ang iyong mga dokumento ayon sa pagkakasunod-sunod at lohikal upang lumikha ng isang malinaw na larawan ng scam at ang mga pagkalugi sa pananalapi na iyong natamo.
**Kapag Hindi Available ang Mga Talaang Pananalapi:**
* Kung hindi mo ma-access ang mga tradisyonal na bank statement o mga resibo dahil sa likas na katangian ng scam (hal., mga transaksyon sa cryptocurrency), isaalang-alang ang alternatibong ebidensya:
* Mga testimonya ng saksi: Kung may ibang makapagpapatunay sa iyong pagkawala sa pananalapi (hal., isang taong pinadalhan mo ng pera sa ngalan ng scammer), maaaring maging mahalaga ang kanilang testimonya.
* Kasaysayan ng account: Kahit na wala kang mga opisyal na pahayag, humiling ng kasaysayan ng transaksyon mula sa iyong bangko o institusyong pampinansyal.
**Pagkonsulta sa isang Abogado:**
* Maaaring payuhan ka ng isang abogado na dalubhasa sa cybercrime o proteksyon ng consumer sa pinakamahusay na paraan upang ipakita ang ebidensya ng iyong mga pagkalugi sa pananalapi at bumuo ng isang malakas na kaso. Matutulungan ka nila na matukoy ang mga pinaka-kaugnay na dokumento at tiyaking epektibong ipinakita ang mga ito.
**Tandaan:**
Ang pasanin ng patunay ay nasa iyo upang ipakita ang pagkalugi sa pananalapi na dulot ng scam. Sa pamamagitan ng pangangalap ng komprehensibong dokumentasyon at potensyal na paghingi ng legal na payo, maaari mong dagdagan ang iyong pagkakataon na matagumpay na patunayan ang iyong mga pagkalugi sa isang online na kaso ng scam.</v>
      </c>
      <c r="F828" s="2">
        <f t="shared" si="1"/>
        <v>0</v>
      </c>
      <c r="G828" s="2"/>
      <c r="H828" s="2"/>
      <c r="I828" s="2"/>
      <c r="J828" s="2"/>
      <c r="K828" s="2"/>
      <c r="L828" s="2"/>
      <c r="M828" s="2"/>
      <c r="N828" s="2"/>
      <c r="O828" s="2"/>
      <c r="P828" s="2"/>
      <c r="Q828" s="2"/>
      <c r="R828" s="2"/>
      <c r="S828" s="2"/>
      <c r="T828" s="2"/>
      <c r="U828" s="2"/>
      <c r="V828" s="2"/>
      <c r="W828" s="2"/>
      <c r="X828" s="2"/>
      <c r="Y828" s="2"/>
      <c r="Z828" s="2"/>
      <c r="AA828" s="2"/>
    </row>
    <row r="829">
      <c r="A829" s="3" t="s">
        <v>2010</v>
      </c>
      <c r="B829" s="1" t="s">
        <v>2700</v>
      </c>
      <c r="C829" s="1" t="s">
        <v>2701</v>
      </c>
      <c r="D829" s="1" t="s">
        <v>2702</v>
      </c>
      <c r="E829" s="2" t="str">
        <f>IFERROR(__xludf.DUMMYFUNCTION("GOOGLETRANSLATE(C829, ""en"", ""TL"")"),"Ang Pilipinas ay kasalukuyang kulang sa mga partikular na regulasyon na nakatuon lamang sa mga scam na nauugnay sa cryptocurrency. Gayunpaman, ang umiiral na legal na balangkas ay maaari pa ring ilapat upang matugunan ang mga scam na ito sa ilang lawak. N"&amp;"arito ang isang breakdown ng mga nauugnay na regulasyon:
* **Securities Regulation Code (SRC):**
* Kinokontrol ng Philippine Securities and Exchange Commission (SEC) ang pag-aalok at pagbebenta ng mga securities. Kung ang isang cryptocurrency scam ay nags"&amp;"asangkot ng Initial Coin Offering (ICO) o anumang investment scheme na nangangako ng mataas na kita sa mga cryptocurrencies na gumagana tulad ng mga securities, maaaring may hurisdiksyon ang SEC.
* **Consumer Act (RA No. 7394):**
* Ipinagbabawal ng batas "&amp;"na ito ang mga mapanlinlang at hindi patas na gawain at gawain sa pamilihan. Maaari itong ilapat sa mga cryptocurrency scam na nanlilinlang o nanlilinlang sa mga mamimili tungkol sa mga pagkakataon sa pamumuhunan o mga serbisyo ng cryptocurrency.
* **Cybe"&amp;"rcrime Prevention Act (RA 10175):**
* Tinutukoy at pinaparusahan ng batas na ito ang mga partikular na cybercrime, kabilang ang cyber-swindling, na maaaring sumaklaw sa mga scam sa cryptocurrency. * **Anti-Money Laundering Act (AMLA):**
* Nilalayon ng AML"&amp;"A na labanan ang money laundering at pagpopondo ng terorista. Bagama't hindi direktang nagta-target ng mga scam, maaari itong gamitin upang subaybayan at i-freeze ang mga asset ng cryptocurrency na sangkot sa mga mapanlinlang na aktibidad.
**Mga Hamon ng "&amp;"Cryptocurrency Scam:**
* **Anonymity:** Ang mga transaksyon sa Cryptocurrency ay maaaring maging anonymous, na nagpapahirap sa pagtukoy ng mga scammer at pagsubaybay sa mga ninakaw na pondo.
* **Evolving Landscape:** Ang cryptocurrency market ay patuloy n"&amp;"a umuunlad, na ginagawang hamon para sa mga regulasyon na makasabay sa mga bagong taktika ng scam.
* **Cross-Border Activity:** Ang mga scam ng Cryptocurrency ay madalas na tumatakbo sa mga hangganan, na nagdaragdag ng pagiging kumplikado sa mga pagsusumi"&amp;"kap sa pagpapatupad ng batas.
**Ang Tugon ng Pilipinas:**
* Alam ng gobyerno ng Pilipinas ang lumalaking problema ng cryptocurrency scam. Ang Bangko Sentral ng Pilipinas (BSP), ang sentral na bangko, ay naglabas ng mga babala tungkol sa mga panganib ng pa"&amp;"mumuhunan sa hindi kinokontrol na mga cryptocurrencies.
* Pinapataas din ng SEC ang pagsisiyasat nito sa mga ICO at iba pang aktibidad na nauugnay sa cryptocurrency.
**Ano ang magagawa mo:**
* **Mag-ingat sa Mga Hindi Hinihinging Alok sa Pamumuhunan:** Hu"&amp;"wag mamuhunan sa mga cryptocurrencies batay sa mga pangako ng mga garantisadong pagbabalik o nang walang masusing pagsasaliksik sa proyekto.
* **Tumulong Lamang sa Mga Reputable na Platform:** Gumamit ng mga itinatag na palitan ng cryptocurrency na may ma"&amp;"tibay na mga hakbang sa seguridad at mga patakaran sa proteksyon ng consumer.
* **Mag-ulat ng Mga Scam:** Kung makatagpo ka ng cryptocurrency scam, iulat ito sa SEC, BSP, at Philippine National Police Anti-Cybercrime Group (ACG).
**Ang Kinabukasan ng Regu"&amp;"lasyon ng Cryptocurrency:**
* Ang Pilipinas ay nagsasaliksik ng mga paraan upang makontrol ang industriya ng cryptocurrency nang mas epektibo. Maaaring kabilang dito ang:
* Paglilisensya sa mga palitan ng cryptocurrency
* Pagtatatag ng mas malinaw na mga "&amp;"alituntunin para sa mga ICO
* Pagpapatupad ng mas mahigpit na mga kinakailangan sa KYC (Know Your Customer).
Sa pamamagitan ng pagpapatupad ng mga hakbang na ito, ang Pilipinas ay maaaring lumikha ng isang mas secure na kapaligiran para sa mga lehitimong "&amp;"negosyo ng cryptocurrency at makatulong na maiwasan ang mga scam sa hinaharap.
**Tandaan:**
Habang ang mga partikular na regulasyon para sa mga scam sa cryptocurrency ay nasa ilalim pa rin ng pagbuo, ang mga umiiral na batas ay maaaring gamitin upang tugu"&amp;"nan ang ilang aspeto ng mga scam na ito. Ang pananatiling kaalaman at pag-iingat kapag nakikitungo sa mga cryptocurrencies ay mahalaga para maprotektahan ang iyong sarili mula sa mga pagkalugi sa pananalapi.")</f>
        <v>Ang Pilipinas ay kasalukuyang kulang sa mga partikular na regulasyon na nakatuon lamang sa mga scam na nauugnay sa cryptocurrency. Gayunpaman, ang umiiral na legal na balangkas ay maaari pa ring ilapat upang matugunan ang mga scam na ito sa ilang lawak. Narito ang isang breakdown ng mga nauugnay na regulasyon:
* **Securities Regulation Code (SRC):**
* Kinokontrol ng Philippine Securities and Exchange Commission (SEC) ang pag-aalok at pagbebenta ng mga securities. Kung ang isang cryptocurrency scam ay nagsasangkot ng Initial Coin Offering (ICO) o anumang investment scheme na nangangako ng mataas na kita sa mga cryptocurrencies na gumagana tulad ng mga securities, maaaring may hurisdiksyon ang SEC.
* **Consumer Act (RA No. 7394):**
* Ipinagbabawal ng batas na ito ang mga mapanlinlang at hindi patas na gawain at gawain sa pamilihan. Maaari itong ilapat sa mga cryptocurrency scam na nanlilinlang o nanlilinlang sa mga mamimili tungkol sa mga pagkakataon sa pamumuhunan o mga serbisyo ng cryptocurrency.
* **Cybercrime Prevention Act (RA 10175):**
* Tinutukoy at pinaparusahan ng batas na ito ang mga partikular na cybercrime, kabilang ang cyber-swindling, na maaaring sumaklaw sa mga scam sa cryptocurrency. * **Anti-Money Laundering Act (AMLA):**
* Nilalayon ng AMLA na labanan ang money laundering at pagpopondo ng terorista. Bagama't hindi direktang nagta-target ng mga scam, maaari itong gamitin upang subaybayan at i-freeze ang mga asset ng cryptocurrency na sangkot sa mga mapanlinlang na aktibidad.
**Mga Hamon ng Cryptocurrency Scam:**
* **Anonymity:** Ang mga transaksyon sa Cryptocurrency ay maaaring maging anonymous, na nagpapahirap sa pagtukoy ng mga scammer at pagsubaybay sa mga ninakaw na pondo.
* **Evolving Landscape:** Ang cryptocurrency market ay patuloy na umuunlad, na ginagawang hamon para sa mga regulasyon na makasabay sa mga bagong taktika ng scam.
* **Cross-Border Activity:** Ang mga scam ng Cryptocurrency ay madalas na tumatakbo sa mga hangganan, na nagdaragdag ng pagiging kumplikado sa mga pagsusumikap sa pagpapatupad ng batas.
**Ang Tugon ng Pilipinas:**
* Alam ng gobyerno ng Pilipinas ang lumalaking problema ng cryptocurrency scam. Ang Bangko Sentral ng Pilipinas (BSP), ang sentral na bangko, ay naglabas ng mga babala tungkol sa mga panganib ng pamumuhunan sa hindi kinokontrol na mga cryptocurrencies.
* Pinapataas din ng SEC ang pagsisiyasat nito sa mga ICO at iba pang aktibidad na nauugnay sa cryptocurrency.
**Ano ang magagawa mo:**
* **Mag-ingat sa Mga Hindi Hinihinging Alok sa Pamumuhunan:** Huwag mamuhunan sa mga cryptocurrencies batay sa mga pangako ng mga garantisadong pagbabalik o nang walang masusing pagsasaliksik sa proyekto.
* **Tumulong Lamang sa Mga Reputable na Platform:** Gumamit ng mga itinatag na palitan ng cryptocurrency na may matibay na mga hakbang sa seguridad at mga patakaran sa proteksyon ng consumer.
* **Mag-ulat ng Mga Scam:** Kung makatagpo ka ng cryptocurrency scam, iulat ito sa SEC, BSP, at Philippine National Police Anti-Cybercrime Group (ACG).
**Ang Kinabukasan ng Regulasyon ng Cryptocurrency:**
* Ang Pilipinas ay nagsasaliksik ng mga paraan upang makontrol ang industriya ng cryptocurrency nang mas epektibo. Maaaring kabilang dito ang:
* Paglilisensya sa mga palitan ng cryptocurrency
* Pagtatatag ng mas malinaw na mga alituntunin para sa mga ICO
* Pagpapatupad ng mas mahigpit na mga kinakailangan sa KYC (Know Your Customer).
Sa pamamagitan ng pagpapatupad ng mga hakbang na ito, ang Pilipinas ay maaaring lumikha ng isang mas secure na kapaligiran para sa mga lehitimong negosyo ng cryptocurrency at makatulong na maiwasan ang mga scam sa hinaharap.
**Tandaan:**
Habang ang mga partikular na regulasyon para sa mga scam sa cryptocurrency ay nasa ilalim pa rin ng pagbuo, ang mga umiiral na batas ay maaaring gamitin upang tugunan ang ilang aspeto ng mga scam na ito. Ang pananatiling kaalaman at pag-iingat kapag nakikitungo sa mga cryptocurrencies ay mahalaga para maprotektahan ang iyong sarili mula sa mga pagkalugi sa pananalapi.</v>
      </c>
      <c r="F829" s="2">
        <f t="shared" si="1"/>
        <v>0</v>
      </c>
      <c r="G829" s="2"/>
      <c r="H829" s="2"/>
      <c r="I829" s="2"/>
      <c r="J829" s="2"/>
      <c r="K829" s="2"/>
      <c r="L829" s="2"/>
      <c r="M829" s="2"/>
      <c r="N829" s="2"/>
      <c r="O829" s="2"/>
      <c r="P829" s="2"/>
      <c r="Q829" s="2"/>
      <c r="R829" s="2"/>
      <c r="S829" s="2"/>
      <c r="T829" s="2"/>
      <c r="U829" s="2"/>
      <c r="V829" s="2"/>
      <c r="W829" s="2"/>
      <c r="X829" s="2"/>
      <c r="Y829" s="2"/>
      <c r="Z829" s="2"/>
      <c r="AA829" s="2"/>
    </row>
    <row r="830">
      <c r="A830" s="3" t="s">
        <v>2010</v>
      </c>
      <c r="B830" s="1" t="s">
        <v>2703</v>
      </c>
      <c r="C830" s="1" t="s">
        <v>2704</v>
      </c>
      <c r="D830" s="1" t="s">
        <v>2705</v>
      </c>
      <c r="E830" s="2" t="str">
        <f>IFERROR(__xludf.DUMMYFUNCTION("GOOGLETRANSLATE(C830, ""en"", ""TL"")"),"Sa Pilipinas, ang pananagutan sa mga nagproseso ng pagbabayad para sa pagpapadali ng mga online scam ay posible sa ilalim ng ilang mga pangyayari. Narito ang isang breakdown ng legal na tanawin:
* **Limited Liability sa ilalim ng Seksyon 230:** Katulad ng"&amp;" US, ang batas ng Pilipinas ay nag-aalok ng ilang proteksyon sa mga nagproseso ng pagbabayad sa ilalim ng Seksyon 230 ng Electronic Commerce Act (ECE Act of 2000). Ang seksyong ito ay nagbibigay ng kaligtasan sa mga nagproseso ng pagbabayad, sa pangkalaha"&amp;"tan ay pumipigil sa kanila na ituring bilang publisher ng nilalamang naka-host sa platform kung saan pinapadali nila ang mga transaksyon (ibig sabihin, ang website ng scam).
* **Exceptions to Immunity:** Gayunpaman, ang immunity ay hindi absolute. Ang mga"&amp;" processor ay maaaring managot kung sila ay:
* **Alam na Pinadali ang Ilegal na Aktibidad:** Kung sadyang pinapayagan ng isang tagaproseso ng pagbabayad ang platform nito na gamitin para sa mga ilegal na aktibidad, tulad ng mga online na scam, maaari sila"&amp;"ng managot. Ang pagpapatunay sa kaalamang ito ay maaaring maging mahirap, ngunit kung ang scam ay laganap at ang processor ay hindi pinansin ang mga pulang bandila, maaari nitong palakasin ang iyong kaso.
* **Labag sa Mga Panuntunan ng Know Your Customer "&amp;"(KYC):** Ang mga nagproseso ng pagbabayad ay may mga regulasyon ng KYC na nangangailangan sa kanila na i-verify ang pagkakakilanlan ng kanilang mga customer (mga negosyong gumagamit ng kanilang platform). Kung nabigo ang isang processor na sundin ang mga "&amp;"panuntunan ng KYC at pinapayagan ang isang hindi kilalang entity na mag-set up ng account na ginagamit para sa mga scam, maaari silang managot.
* **Tumutok sa Proteksyon ng Consumer:** Ang gobyerno ng Pilipinas ay inuuna ang proteksyon ng consumer. Habang"&amp;" umuunlad pa rin ang mga legal na desisyon, maaaring may mga kaso sa hinaharap kung saan tinutukoy ng mga korte na ang mga nagproseso ng pagbabayad ay may responsibilidad na magpatupad ng mas mahigpit na mga hakbang upang maiwasan ang mga scam sa kanilang"&amp;" mga platform.
**Mga Hamon sa Paghawak ng Pananagutan ng Mga Tagaproseso ng Pagbabayad:**
* **Burden of Proof:** Ang pasanin ng patunay ay nasa iyo upang ipakita na alam o dapat na alam ng tagaproseso ng pagbabayad ang tungkol sa scam.
* **Mga Kumplikado "&amp;"ng Mga Online na Transaksyon:** Ang pagsubaybay sa daloy ng mga pondo sa mga online na scam ay maaaring maging mahirap, lalo na sa mga hangganan.
* **Mga Gastos ng Litigation:** Ang pagdemanda sa isang tagaproseso ng pagbabayad ay maaaring magastos at nak"&amp;"akaubos ng oras.
**Mga Alternatibong Pagpipilian:**
* **Pag-uulat ng Scam:** Iulat ang scam sa Philippine National Police Anti-Cybercrime Group (ACG) [https://acg.pnp.gov.ph/](https://acg.pnp.gov.ph /). Maaari silang mag-imbestiga at posibleng ituloy ang "&amp;"mga scammer.
* **Chargeback:** Kung gumamit ka ng credit card para sa mapanlinlang na transaksyon, maaari kang humiling ng chargeback mula sa iyong bangko.
**Pagkonsulta sa isang Abogado:**
* Maaaring payuhan ka ng isang abogado na dalubhasa sa cybercrime"&amp;" o proteksyon ng consumer tungkol sa mga partikular na kalagayan ng iyong kaso at ang potensyal na panagutin ang tagaproseso ng pagbabayad. Maaari nilang tasahin ang mga hamon at tuklasin ang mga alternatibong opsyon para mabawi ang iyong mga pagkalugi.
*"&amp;"*Tandaan:**
Ang matagumpay na pagpapanagot sa isang processor ng pagbabayad para sa isang online na scam ay kumplikado. Habang umuunlad ang legal na balangkas upang mag-alok ng higit pang proteksyon ng consumer, nananatiling mataas ang pasanin ng patunay."&amp;" Ang pag-uulat ng scam at paghahangad ng mga alternatibong opsyon ay maaaring mas praktikal na paraan sa maraming sitwasyon.")</f>
        <v>Sa Pilipinas, ang pananagutan sa mga nagproseso ng pagbabayad para sa pagpapadali ng mga online scam ay posible sa ilalim ng ilang mga pangyayari. Narito ang isang breakdown ng legal na tanawin:
* **Limited Liability sa ilalim ng Seksyon 230:** Katulad ng US, ang batas ng Pilipinas ay nag-aalok ng ilang proteksyon sa mga nagproseso ng pagbabayad sa ilalim ng Seksyon 230 ng Electronic Commerce Act (ECE Act of 2000). Ang seksyong ito ay nagbibigay ng kaligtasan sa mga nagproseso ng pagbabayad, sa pangkalahatan ay pumipigil sa kanila na ituring bilang publisher ng nilalamang naka-host sa platform kung saan pinapadali nila ang mga transaksyon (ibig sabihin, ang website ng scam).
* **Exceptions to Immunity:** Gayunpaman, ang immunity ay hindi absolute. Ang mga processor ay maaaring managot kung sila ay:
* **Alam na Pinadali ang Ilegal na Aktibidad:** Kung sadyang pinapayagan ng isang tagaproseso ng pagbabayad ang platform nito na gamitin para sa mga ilegal na aktibidad, tulad ng mga online na scam, maaari silang managot. Ang pagpapatunay sa kaalamang ito ay maaaring maging mahirap, ngunit kung ang scam ay laganap at ang processor ay hindi pinansin ang mga pulang bandila, maaari nitong palakasin ang iyong kaso.
* **Labag sa Mga Panuntunan ng Know Your Customer (KYC):** Ang mga nagproseso ng pagbabayad ay may mga regulasyon ng KYC na nangangailangan sa kanila na i-verify ang pagkakakilanlan ng kanilang mga customer (mga negosyong gumagamit ng kanilang platform). Kung nabigo ang isang processor na sundin ang mga panuntunan ng KYC at pinapayagan ang isang hindi kilalang entity na mag-set up ng account na ginagamit para sa mga scam, maaari silang managot.
* **Tumutok sa Proteksyon ng Consumer:** Ang gobyerno ng Pilipinas ay inuuna ang proteksyon ng consumer. Habang umuunlad pa rin ang mga legal na desisyon, maaaring may mga kaso sa hinaharap kung saan tinutukoy ng mga korte na ang mga nagproseso ng pagbabayad ay may responsibilidad na magpatupad ng mas mahigpit na mga hakbang upang maiwasan ang mga scam sa kanilang mga platform.
**Mga Hamon sa Paghawak ng Pananagutan ng Mga Tagaproseso ng Pagbabayad:**
* **Burden of Proof:** Ang pasanin ng patunay ay nasa iyo upang ipakita na alam o dapat na alam ng tagaproseso ng pagbabayad ang tungkol sa scam.
* **Mga Kumplikado ng Mga Online na Transaksyon:** Ang pagsubaybay sa daloy ng mga pondo sa mga online na scam ay maaaring maging mahirap, lalo na sa mga hangganan.
* **Mga Gastos ng Litigation:** Ang pagdemanda sa isang tagaproseso ng pagbabayad ay maaaring magastos at nakakaubos ng oras.
**Mga Alternatibong Pagpipilian:**
* **Pag-uulat ng Scam:** Iulat ang scam sa Philippine National Police Anti-Cybercrime Group (ACG) [https://acg.pnp.gov.ph/](https://acg.pnp.gov.ph /). Maaari silang mag-imbestiga at posibleng ituloy ang mga scammer.
* **Chargeback:** Kung gumamit ka ng credit card para sa mapanlinlang na transaksyon, maaari kang humiling ng chargeback mula sa iyong bangko.
**Pagkonsulta sa isang Abogado:**
* Maaaring payuhan ka ng isang abogado na dalubhasa sa cybercrime o proteksyon ng consumer tungkol sa mga partikular na kalagayan ng iyong kaso at ang potensyal na panagutin ang tagaproseso ng pagbabayad. Maaari nilang tasahin ang mga hamon at tuklasin ang mga alternatibong opsyon para mabawi ang iyong mga pagkalugi.
**Tandaan:**
Ang matagumpay na pagpapanagot sa isang processor ng pagbabayad para sa isang online na scam ay kumplikado. Habang umuunlad ang legal na balangkas upang mag-alok ng higit pang proteksyon ng consumer, nananatiling mataas ang pasanin ng patunay. Ang pag-uulat ng scam at paghahangad ng mga alternatibong opsyon ay maaaring mas praktikal na paraan sa maraming sitwasyon.</v>
      </c>
      <c r="F830" s="2">
        <f t="shared" si="1"/>
        <v>0</v>
      </c>
      <c r="G830" s="2"/>
      <c r="H830" s="2"/>
      <c r="I830" s="2"/>
      <c r="J830" s="2"/>
      <c r="K830" s="2"/>
      <c r="L830" s="2"/>
      <c r="M830" s="2"/>
      <c r="N830" s="2"/>
      <c r="O830" s="2"/>
      <c r="P830" s="2"/>
      <c r="Q830" s="2"/>
      <c r="R830" s="2"/>
      <c r="S830" s="2"/>
      <c r="T830" s="2"/>
      <c r="U830" s="2"/>
      <c r="V830" s="2"/>
      <c r="W830" s="2"/>
      <c r="X830" s="2"/>
      <c r="Y830" s="2"/>
      <c r="Z830" s="2"/>
      <c r="AA830" s="2"/>
    </row>
    <row r="831">
      <c r="A831" s="3" t="s">
        <v>2010</v>
      </c>
      <c r="B831" s="1" t="s">
        <v>2706</v>
      </c>
      <c r="C831" s="1" t="s">
        <v>2707</v>
      </c>
      <c r="D831" s="1" t="s">
        <v>2708</v>
      </c>
      <c r="E831" s="2" t="str">
        <f>IFERROR(__xludf.DUMMYFUNCTION("GOOGLETRANSLATE(C831, ""en"", ""TL"")"),"Narito ang maaari mong gawin kung pinaghihinalaan mo ang isang online na scam ngunit hindi ka pa nawawalan ng pera:
1. **Stop Engaging:** Huwag tumugon sa anumang karagdagang mensahe, email, o tawag mula sa potensyal na scammer. Anumang tugon, kahit na da"&amp;"hil sa galit o upang harapin sila, ay makikita bilang pakikipag-ugnayan at maaaring hikayatin silang patuloy na i-target ka. 2. **Iulat ang Scam:** * **Philippine National Police Anti-Cybercrime Group (ACG):** Iulat ang scam sa ACG [https://acg.pnp.gov.ph"&amp;"/](https:/// /acg.pnp.gov.ph/) Maaari nilang subaybayan ang mga pagtatangka ng scam at imbestigahan ang mga lead, kahit na wala pang naganap na pagkalugi sa pananalapi. * **Pag-uulat na Partikular sa Platform:** Kung nangyari ang scam sa isang partikular "&amp;"na online platform (social media, marketplace, atbp.), iulat ang kahina-hinalang profile o aktibidad sa mga internal na mekanismo ng pag-uulat ng platform. Tinutulungan nito ang platform na matukoy at potensyal na alisin ang mga scammer sa kanilang serbis"&amp;"yo.
3. **I-block ang Scammer:** I-block ang numero ng telepono, email address, o profile sa social media na nauugnay sa scammer upang maiwasan ang karagdagang mga pagtatangka sa pakikipag-ugnayan.
4. **Spread Awareness:** Isaalang-alang ang pagbabahagi ng"&amp;" iyong karanasan (nang hindi ibinubunyag ang mga personal na detalye) sa social media o sa mga kaibigan at pamilya. Makakatulong ito sa pagpapataas ng kamalayan tungkol sa partikular na taktika ng scam at posibleng maiwasan ang iba na mabiktima.
5. **Educ"&amp;"ate Yourself:** Matuto nang higit pa tungkol sa mga karaniwang online na scam at kung paano makilala ang mga ito. Makakatulong sa iyo ang ilang mapagkukunan na manatiling may kaalaman, tulad ng:
* Ang website ng Philippine National Police Anti-Cybercrime "&amp;"Group (ACG) ay maaaring may seksyon sa edukasyon ng consumer.
* Ang Department of Trade and Industry (DTI) consumer protection resources [https://www.dti.gov.ph/konsyumer/consumer-education/](https://www.dti.gov.ph/konsyumer/consumer- edukasyon/)
Sa pamam"&amp;"agitan ng pagsasagawa ng mga hakbang na ito, maaari kang makatulong na pigilan ang scammer na mag-target ng iba at mag-ambag sa isang mas ligtas na kapaligiran sa online. Narito ang ilang karagdagang tip:
* **Mag-ingat sa Mga Hindi Hinihinging Alok:** Kun"&amp;"g ang isang bagay ay mukhang napakagandang totoo, malamang na totoo. Huwag maakit sa pamamagitan ng mga pangako ng mabilis na pera o madaling gantimpala.
* **I-verify ang Impormasyon:** Palaging magsaliksik sa mga kumpanya o indibidwal bago makisali sa mg"&amp;"a online na transaksyon. Maghanap ng mga review, suriin ang pagiging lehitimo ng mga ito, at iwasan ang mga website na may hindi magandang kasanayan sa seguridad.
* **Use Strong Passwords:** Enable two-factor authentication hangga't maaari para magdagdag "&amp;"ng karagdagang layer ng seguridad sa iyong mga online na account.
* **Huwag Magbahagi ng Personal na Impormasyon:** Maging maingat sa pagbabahagi ng mga personal na detalye tulad ng iyong address, social security number, o impormasyon ng bank account onli"&amp;"ne. Tandaan, kahit na hindi ka pa nawawalan ng pera, mahalagang maging maagap at gumawa ng mga hakbang upang maprotektahan ang iyong sarili mula sa mga online scam. Sa pamamagitan ng pananatiling mapagbantay at kaalaman, maiiwasan mong maging biktima.")</f>
        <v>Narito ang maaari mong gawin kung pinaghihinalaan mo ang isang online na scam ngunit hindi ka pa nawawalan ng pera:
1. **Stop Engaging:** Huwag tumugon sa anumang karagdagang mensahe, email, o tawag mula sa potensyal na scammer. Anumang tugon, kahit na dahil sa galit o upang harapin sila, ay makikita bilang pakikipag-ugnayan at maaaring hikayatin silang patuloy na i-target ka. 2. **Iulat ang Scam:** * **Philippine National Police Anti-Cybercrime Group (ACG):** Iulat ang scam sa ACG [https://acg.pnp.gov.ph/](https:/// /acg.pnp.gov.ph/) Maaari nilang subaybayan ang mga pagtatangka ng scam at imbestigahan ang mga lead, kahit na wala pang naganap na pagkalugi sa pananalapi. * **Pag-uulat na Partikular sa Platform:** Kung nangyari ang scam sa isang partikular na online platform (social media, marketplace, atbp.), iulat ang kahina-hinalang profile o aktibidad sa mga internal na mekanismo ng pag-uulat ng platform. Tinutulungan nito ang platform na matukoy at potensyal na alisin ang mga scammer sa kanilang serbisyo.
3. **I-block ang Scammer:** I-block ang numero ng telepono, email address, o profile sa social media na nauugnay sa scammer upang maiwasan ang karagdagang mga pagtatangka sa pakikipag-ugnayan.
4. **Spread Awareness:** Isaalang-alang ang pagbabahagi ng iyong karanasan (nang hindi ibinubunyag ang mga personal na detalye) sa social media o sa mga kaibigan at pamilya. Makakatulong ito sa pagpapataas ng kamalayan tungkol sa partikular na taktika ng scam at posibleng maiwasan ang iba na mabiktima.
5. **Educate Yourself:** Matuto nang higit pa tungkol sa mga karaniwang online na scam at kung paano makilala ang mga ito. Makakatulong sa iyo ang ilang mapagkukunan na manatiling may kaalaman, tulad ng:
* Ang website ng Philippine National Police Anti-Cybercrime Group (ACG) ay maaaring may seksyon sa edukasyon ng consumer.
* Ang Department of Trade and Industry (DTI) consumer protection resources [https://www.dti.gov.ph/konsyumer/consumer-education/](https://www.dti.gov.ph/konsyumer/consumer- edukasyon/)
Sa pamamagitan ng pagsasagawa ng mga hakbang na ito, maaari kang makatulong na pigilan ang scammer na mag-target ng iba at mag-ambag sa isang mas ligtas na kapaligiran sa online. Narito ang ilang karagdagang tip:
* **Mag-ingat sa Mga Hindi Hinihinging Alok:** Kung ang isang bagay ay mukhang napakagandang totoo, malamang na totoo. Huwag maakit sa pamamagitan ng mga pangako ng mabilis na pera o madaling gantimpala.
* **I-verify ang Impormasyon:** Palaging magsaliksik sa mga kumpanya o indibidwal bago makisali sa mga online na transaksyon. Maghanap ng mga review, suriin ang pagiging lehitimo ng mga ito, at iwasan ang mga website na may hindi magandang kasanayan sa seguridad.
* **Use Strong Passwords:** Enable two-factor authentication hangga't maaari para magdagdag ng karagdagang layer ng seguridad sa iyong mga online na account.
* **Huwag Magbahagi ng Personal na Impormasyon:** Maging maingat sa pagbabahagi ng mga personal na detalye tulad ng iyong address, social security number, o impormasyon ng bank account online. Tandaan, kahit na hindi ka pa nawawalan ng pera, mahalagang maging maagap at gumawa ng mga hakbang upang maprotektahan ang iyong sarili mula sa mga online scam. Sa pamamagitan ng pananatiling mapagbantay at kaalaman, maiiwasan mong maging biktima.</v>
      </c>
      <c r="F831" s="2">
        <f t="shared" si="1"/>
        <v>0</v>
      </c>
      <c r="G831" s="2"/>
      <c r="H831" s="2"/>
      <c r="I831" s="2"/>
      <c r="J831" s="2"/>
      <c r="K831" s="2"/>
      <c r="L831" s="2"/>
      <c r="M831" s="2"/>
      <c r="N831" s="2"/>
      <c r="O831" s="2"/>
      <c r="P831" s="2"/>
      <c r="Q831" s="2"/>
      <c r="R831" s="2"/>
      <c r="S831" s="2"/>
      <c r="T831" s="2"/>
      <c r="U831" s="2"/>
      <c r="V831" s="2"/>
      <c r="W831" s="2"/>
      <c r="X831" s="2"/>
      <c r="Y831" s="2"/>
      <c r="Z831" s="2"/>
      <c r="AA831" s="2"/>
    </row>
    <row r="832">
      <c r="A832" s="3" t="s">
        <v>2010</v>
      </c>
      <c r="B832" s="1" t="s">
        <v>2709</v>
      </c>
      <c r="C832" s="1" t="s">
        <v>2710</v>
      </c>
      <c r="D832" s="1" t="s">
        <v>2711</v>
      </c>
      <c r="E832" s="2" t="str">
        <f>IFERROR(__xludf.DUMMYFUNCTION("GOOGLETRANSLATE(C832, ""en"", ""TL"")"),"Ang pagkakaiba sa pagitan ng isang lehitimong pagkakataon sa pamumuhunan at isang online investment scam sa Pilipinas ay nangangailangan ng pag-iingat at kamalayan. Narito ang ilang mahahalagang red flag na dapat bantayan na makakatulong sa iyong maiwasan"&amp;" ang mga scam:
**Mga Hindi Makatotohanang Pangako:**
* **Garantisado na Mataas na Pagbabalik:** Mag-ingat sa anumang pamumuhunan na nangangako ng garantisadong mataas na kita na may kaunti o walang panganib. Ang mga lehitimong pamumuhunan ay nagsasangkot "&amp;"ng ilang antas ng panganib, at ang mga pagbabalik ay hindi kailanman ginagarantiyahan.
* **Get Rich Quick Scheme:** Ang mga pagkakataon sa pamumuhunan na nangangako ng malaking akumulasyon ng kayamanan sa maikling panahon ay malamang na mga scam. Ang pagb"&amp;"uo ng kayamanan ay nangangailangan ng oras at isang mahusay na tinukoy na diskarte.
**Apurahan at Presyon:**
* **Mga Alok sa Limitadong Oras:** Ang mga scammer ay kadalasang lumilikha ng pakiramdam ng pagkaapurahan sa pamamagitan ng pagdiin sa iyo na mamu"&amp;"hunan nang mabilis bago mag-expire ang isang limitadong oras na alok. Nagbibigay-daan sa iyo ang mga lehitimong pamumuhunan ng oras upang magsaliksik at gumawa ng matalinong mga desisyon.
* **Mga Taktika sa Pagbebenta ng Mataas na Presyon:** Kung may nagp"&amp;"ipilit sa iyo na mamuhunan o gumamit ng mga taktika ng pananakot upang maramdaman mong mawawala ka, isa itong pulang bandila.
**Kakulangan ng Transparency:**
* **Hindi Malinaw o Kumplikadong Istratehiya sa Pamumuhunan:** Kung hindi mo naiintindihan kung p"&amp;"aano gumagana ang pamumuhunan o ang mga panganib na kasangkot, maging maingat. Ang mga lehitimong pamumuhunan ay dapat na madaling maunawaan at may malinaw na dokumentasyon.
* **Mga Walang Lisensya o Hindi Rehistradong Kumpanya:** I-verify kung ang kumpan"&amp;"yang nag-aalok ng pamumuhunan ay lisensyado at nakarehistro sa Securities and Exchange Commission (SEC) ng Pilipinas. Maaari mong tingnan ang website ng SEC para sa isang listahan ng mga rehistradong kumpanya [inalis ang di-wastong URL].
**Kahina-hinalang"&amp;" Komunikasyon:**
* **Mahina ang Grammar at Typo:** Ang propesyonal na komunikasyon mula sa mga lehitimong kumpanya ng pamumuhunan ay dapat na walang mga grammatical error at typo.
* **Hindi Hinihinging Pakikipag-ugnayan:** Mag-ingat sa mga hindi hinihingi"&amp;"ng email, tawag, o mensaheng nagpo-promote ng mga pagkakataon sa pamumuhunan. Ang mga lehitimong kumpanya ay karaniwang hindi gumagamit ng hindi hinihinging marketing.
**Dagdag pa:**
* **Magsaliksik sa Pamumuhunan at Kumpanya:** Bago mamuhunan, masusing s"&amp;"aliksikin ang partikular na pamumuhunan at ang kumpanyang nag-aalok nito. Maghanap ng mga independiyenteng pagsusuri, artikulo ng balita, at impormasyon sa track record ng kumpanya.
* **Kumonsulta sa isang Financial Advisor:** Isaalang-alang ang paghingi "&amp;"ng payo mula sa isang kagalang-galang at lisensyadong tagapayo sa pananalapi na makakatulong sa iyong suriin ang pagkakataon sa pamumuhunan at iayon ito sa iyong mga layunin sa pananalapi.
* **Magsimula sa Maliit (kung hindi sigurado):** Kung hindi ka sig"&amp;"urado tungkol sa isang pamumuhunan, isaalang-alang ang pamumuhunan ng maliit na halaga sa simula upang subukan ang tubig bago gumawa ng mas malaking halaga.
**Tandaan:**
* **Kung mukhang napakaganda para maging totoo, malamang na totoo.** Huwag hayaang la"&amp;"mpasan ng kasakiman ang iyong paghatol.
* **Gawin ang iyong pananaliksik, maging maingat, at unahin ang pagprotekta sa iyong pinaghirapang pera.**
Narito ang ilang mapagkukunan na makakatulong sa iyo sa mga lehitimong pagkakataon sa pamumuhunan sa Pilipin"&amp;"as:
* **Securities and Exchange Commission (SEC):** [https://www.sec.gov.ph/](https://www.sec.gov.ph/) * **Philippine Stock Exchange (PSE) :** [https://www.pse.com.ph/](https://www.pse.com.ph/)
* **Bangko Sentral ng Pilipinas (BSP):** [https://www.bsp.gov"&amp;".ph/](https://www.bsp.gov.ph/)
Sa pamamagitan ng pagsunod sa mga tip na ito at paggamit ng mga magagamit na mapagkukunan, maaari mong pataasin ang iyong mga pagkakataong makita ang mga online na scam sa pamumuhunan at gumawa ng matalinong mga desisyon sa "&amp;"pamumuhunan.")</f>
        <v>Ang pagkakaiba sa pagitan ng isang lehitimong pagkakataon sa pamumuhunan at isang online investment scam sa Pilipinas ay nangangailangan ng pag-iingat at kamalayan. Narito ang ilang mahahalagang red flag na dapat bantayan na makakatulong sa iyong maiwasan ang mga scam:
**Mga Hindi Makatotohanang Pangako:**
* **Garantisado na Mataas na Pagbabalik:** Mag-ingat sa anumang pamumuhunan na nangangako ng garantisadong mataas na kita na may kaunti o walang panganib. Ang mga lehitimong pamumuhunan ay nagsasangkot ng ilang antas ng panganib, at ang mga pagbabalik ay hindi kailanman ginagarantiyahan.
* **Get Rich Quick Scheme:** Ang mga pagkakataon sa pamumuhunan na nangangako ng malaking akumulasyon ng kayamanan sa maikling panahon ay malamang na mga scam. Ang pagbuo ng kayamanan ay nangangailangan ng oras at isang mahusay na tinukoy na diskarte.
**Apurahan at Presyon:**
* **Mga Alok sa Limitadong Oras:** Ang mga scammer ay kadalasang lumilikha ng pakiramdam ng pagkaapurahan sa pamamagitan ng pagdiin sa iyo na mamuhunan nang mabilis bago mag-expire ang isang limitadong oras na alok. Nagbibigay-daan sa iyo ang mga lehitimong pamumuhunan ng oras upang magsaliksik at gumawa ng matalinong mga desisyon.
* **Mga Taktika sa Pagbebenta ng Mataas na Presyon:** Kung may nagpipilit sa iyo na mamuhunan o gumamit ng mga taktika ng pananakot upang maramdaman mong mawawala ka, isa itong pulang bandila.
**Kakulangan ng Transparency:**
* **Hindi Malinaw o Kumplikadong Istratehiya sa Pamumuhunan:** Kung hindi mo naiintindihan kung paano gumagana ang pamumuhunan o ang mga panganib na kasangkot, maging maingat. Ang mga lehitimong pamumuhunan ay dapat na madaling maunawaan at may malinaw na dokumentasyon.
* **Mga Walang Lisensya o Hindi Rehistradong Kumpanya:** I-verify kung ang kumpanyang nag-aalok ng pamumuhunan ay lisensyado at nakarehistro sa Securities and Exchange Commission (SEC) ng Pilipinas. Maaari mong tingnan ang website ng SEC para sa isang listahan ng mga rehistradong kumpanya [inalis ang di-wastong URL].
**Kahina-hinalang Komunikasyon:**
* **Mahina ang Grammar at Typo:** Ang propesyonal na komunikasyon mula sa mga lehitimong kumpanya ng pamumuhunan ay dapat na walang mga grammatical error at typo.
* **Hindi Hinihinging Pakikipag-ugnayan:** Mag-ingat sa mga hindi hinihinging email, tawag, o mensaheng nagpo-promote ng mga pagkakataon sa pamumuhunan. Ang mga lehitimong kumpanya ay karaniwang hindi gumagamit ng hindi hinihinging marketing.
**Dagdag pa:**
* **Magsaliksik sa Pamumuhunan at Kumpanya:** Bago mamuhunan, masusing saliksikin ang partikular na pamumuhunan at ang kumpanyang nag-aalok nito. Maghanap ng mga independiyenteng pagsusuri, artikulo ng balita, at impormasyon sa track record ng kumpanya.
* **Kumonsulta sa isang Financial Advisor:** Isaalang-alang ang paghingi ng payo mula sa isang kagalang-galang at lisensyadong tagapayo sa pananalapi na makakatulong sa iyong suriin ang pagkakataon sa pamumuhunan at iayon ito sa iyong mga layunin sa pananalapi.
* **Magsimula sa Maliit (kung hindi sigurado):** Kung hindi ka sigurado tungkol sa isang pamumuhunan, isaalang-alang ang pamumuhunan ng maliit na halaga sa simula upang subukan ang tubig bago gumawa ng mas malaking halaga.
**Tandaan:**
* **Kung mukhang napakaganda para maging totoo, malamang na totoo.** Huwag hayaang lampasan ng kasakiman ang iyong paghatol.
* **Gawin ang iyong pananaliksik, maging maingat, at unahin ang pagprotekta sa iyong pinaghirapang pera.**
Narito ang ilang mapagkukunan na makakatulong sa iyo sa mga lehitimong pagkakataon sa pamumuhunan sa Pilipinas:
* **Securities and Exchange Commission (SEC):** [https://www.sec.gov.ph/](https://www.sec.gov.ph/) * **Philippine Stock Exchange (PSE) :** [https://www.pse.com.ph/](https://www.pse.com.ph/)
* **Bangko Sentral ng Pilipinas (BSP):** [https://www.bsp.gov.ph/](https://www.bsp.gov.ph/)
Sa pamamagitan ng pagsunod sa mga tip na ito at paggamit ng mga magagamit na mapagkukunan, maaari mong pataasin ang iyong mga pagkakataong makita ang mga online na scam sa pamumuhunan at gumawa ng matalinong mga desisyon sa pamumuhunan.</v>
      </c>
      <c r="F832" s="2">
        <f t="shared" si="1"/>
        <v>0</v>
      </c>
      <c r="G832" s="2"/>
      <c r="H832" s="2"/>
      <c r="I832" s="2"/>
      <c r="J832" s="2"/>
      <c r="K832" s="2"/>
      <c r="L832" s="2"/>
      <c r="M832" s="2"/>
      <c r="N832" s="2"/>
      <c r="O832" s="2"/>
      <c r="P832" s="2"/>
      <c r="Q832" s="2"/>
      <c r="R832" s="2"/>
      <c r="S832" s="2"/>
      <c r="T832" s="2"/>
      <c r="U832" s="2"/>
      <c r="V832" s="2"/>
      <c r="W832" s="2"/>
      <c r="X832" s="2"/>
      <c r="Y832" s="2"/>
      <c r="Z832" s="2"/>
      <c r="AA832" s="2"/>
    </row>
    <row r="833">
      <c r="A833" s="3" t="s">
        <v>2010</v>
      </c>
      <c r="B833" s="1" t="s">
        <v>2712</v>
      </c>
      <c r="C833" s="1" t="s">
        <v>2713</v>
      </c>
      <c r="D833" s="1" t="s">
        <v>2714</v>
      </c>
      <c r="E833" s="2" t="str">
        <f>IFERROR(__xludf.DUMMYFUNCTION("GOOGLETRANSLATE(C833, ""en"", ""TL"")"),"Oo, maaari mong isulong ang mga kasong kriminal laban sa gumawa ng online scam sa Pilipinas, ngunit may mga hamon at pagsasaalang-alang na kasangkot. Narito ang isang breakdown ng kung ano ang aasahan:
**Paghain ng Reklamo:**
* Maaari kang magsampa ng rek"&amp;"lamo sa Philippine National Police Anti-Cybercrime Group (ACG) [https://acg.pnp.gov.ph/](https://acg.pnp.gov.ph/). Dalubhasa sila sa pagsisiyasat sa mga cybercrime, kabilang ang mga online scam.
**Mga Hamon sa Pagpindot sa mga Singil:**
* **Pagkilala sa S"&amp;"cammer:** Ang pagiging hindi nagpapakilala sa online ay nagpapahirap sa pagkilala sa scammer. Maaaring masubaybayan sila ng ACG sa pamamagitan ng pagsusuri sa IP address o digital forensics, ngunit hindi ginagarantiyahan ang tagumpay. * **Pagtitipon ng Eb"&amp;"idensya:** Ang pagbuo ng isang malakas na kaso ay nangangailangan ng ebidensya tulad ng mga email, mensahe, mga talaan ng transaksyon, at patunay ng pagkawala ng pananalapi.
* **Jurisdiction:** Kung ang scammer ay nagpapatakbo mula sa labas ng Pilipinas, "&amp;"ang paghabol sa mga singil ay nagiging mas kumplikado dahil sa internasyonal na batas at pakikipagtulungan sa pagitan ng mga bansa.
**Potensyal na Resulta:**
* **Pagsisiyasat:** Sisiyasatin ng ACG ang iyong reklamo at mangangalap ng ebidensya. Kung matuko"&amp;"y nila ang isang suspek, maaari silang bumuo ng isang kaso para sa pag-uusig.
* **Mga Pagsingil:** Depende sa uri ng scam at sa ebidensyang nakolekta, maaaring magsampa ng kaso ang ACG laban sa scammer sa ilalim ng Cybercrime Prevention Act (RA 10175) o i"&amp;"ba pang nauugnay na batas.
* **Paglilitis at Paghatol:** Kung ang mga kaso ay isinampa, ang kaso ay mapupunta sa korte. Ang matagumpay na paghatol ay maaaring magresulta sa mga multa o pagkakulong para sa scammer. Gayunpaman, maaaring mahaba ang prosesong"&amp;" ito at hindi tiyak ang resulta.
**Mga Alternatibong Pamamaraan:**
* **Civil Lawsuit:** Kahit na mahirap ang mga kasong kriminal, maaari mong isaalang-alang ang isang kasong sibil laban sa scammer upang mabawi ang iyong mga pagkalugi sa pananalapi. Maaari"&amp;"ng ito ay isang mas makatotohanang opsyon sa ilang mga kaso.
* **Mag-ulat sa DTI:** Para sa mga scam na kinasasangkutan ng mga online na pagbili, maaari mong iulat ang isyu sa Department of Trade and Industry (DTI) para sa mga mekanismo ng proteksyon ng c"&amp;"onsumer.
**Pagkonsulta sa isang Abogado:**
* Maaaring payuhan ka ng isang abogado na dalubhasa sa cybercrime o proteksyon ng consumer sa pinakamahusay na paraan ng pagkilos batay sa iyong partikular na kaso. Maaari nilang tasahin ang pagiging posible ng p"&amp;"aghahabol ng mga kasong kriminal, tuklasin ang mga alternatibong opsyon, at tulungan kang mag-navigate sa legal na proseso. **Tandaan:**
* Ang paghabol sa mga kasong kriminal laban sa mga online scammer ay maaaring maging mahirap. Gayunpaman, ang pag-uula"&amp;"t ng scam sa mga awtoridad ay mahalaga upang hadlangan ang mga krimen sa hinaharap at potensyal na matulungan silang masubaybayan ang mga may kasalanan.
**Narito ang ilang karagdagang bagay na dapat isaalang-alang:**
* Ang emosyonal na epekto ng paghahabo"&amp;"l ng legal na aksyon.
* Ang oras at mga mapagkukunang pinansyal na kinakailangan para sa isang legal na kaso.
* Ang posibilidad na hindi mabawi ang iyong mga pagkalugi sa pananalapi kahit na ang scammer ay nahatulan.
**Bagama't maaaring mahirap ang landas"&amp;" patungo sa mga kasong kriminal, may mga paraan para humingi ng hustisya at protektahan ang iyong sarili at ang iba mula sa mga online na scam.**")</f>
        <v>Oo, maaari mong isulong ang mga kasong kriminal laban sa gumawa ng online scam sa Pilipinas, ngunit may mga hamon at pagsasaalang-alang na kasangkot. Narito ang isang breakdown ng kung ano ang aasahan:
**Paghain ng Reklamo:**
* Maaari kang magsampa ng reklamo sa Philippine National Police Anti-Cybercrime Group (ACG) [https://acg.pnp.gov.ph/](https://acg.pnp.gov.ph/). Dalubhasa sila sa pagsisiyasat sa mga cybercrime, kabilang ang mga online scam.
**Mga Hamon sa Pagpindot sa mga Singil:**
* **Pagkilala sa Scammer:** Ang pagiging hindi nagpapakilala sa online ay nagpapahirap sa pagkilala sa scammer. Maaaring masubaybayan sila ng ACG sa pamamagitan ng pagsusuri sa IP address o digital forensics, ngunit hindi ginagarantiyahan ang tagumpay. * **Pagtitipon ng Ebidensya:** Ang pagbuo ng isang malakas na kaso ay nangangailangan ng ebidensya tulad ng mga email, mensahe, mga talaan ng transaksyon, at patunay ng pagkawala ng pananalapi.
* **Jurisdiction:** Kung ang scammer ay nagpapatakbo mula sa labas ng Pilipinas, ang paghabol sa mga singil ay nagiging mas kumplikado dahil sa internasyonal na batas at pakikipagtulungan sa pagitan ng mga bansa.
**Potensyal na Resulta:**
* **Pagsisiyasat:** Sisiyasatin ng ACG ang iyong reklamo at mangangalap ng ebidensya. Kung matukoy nila ang isang suspek, maaari silang bumuo ng isang kaso para sa pag-uusig.
* **Mga Pagsingil:** Depende sa uri ng scam at sa ebidensyang nakolekta, maaaring magsampa ng kaso ang ACG laban sa scammer sa ilalim ng Cybercrime Prevention Act (RA 10175) o iba pang nauugnay na batas.
* **Paglilitis at Paghatol:** Kung ang mga kaso ay isinampa, ang kaso ay mapupunta sa korte. Ang matagumpay na paghatol ay maaaring magresulta sa mga multa o pagkakulong para sa scammer. Gayunpaman, maaaring mahaba ang prosesong ito at hindi tiyak ang resulta.
**Mga Alternatibong Pamamaraan:**
* **Civil Lawsuit:** Kahit na mahirap ang mga kasong kriminal, maaari mong isaalang-alang ang isang kasong sibil laban sa scammer upang mabawi ang iyong mga pagkalugi sa pananalapi. Maaaring ito ay isang mas makatotohanang opsyon sa ilang mga kaso.
* **Mag-ulat sa DTI:** Para sa mga scam na kinasasangkutan ng mga online na pagbili, maaari mong iulat ang isyu sa Department of Trade and Industry (DTI) para sa mga mekanismo ng proteksyon ng consumer.
**Pagkonsulta sa isang Abogado:**
* Maaaring payuhan ka ng isang abogado na dalubhasa sa cybercrime o proteksyon ng consumer sa pinakamahusay na paraan ng pagkilos batay sa iyong partikular na kaso. Maaari nilang tasahin ang pagiging posible ng paghahabol ng mga kasong kriminal, tuklasin ang mga alternatibong opsyon, at tulungan kang mag-navigate sa legal na proseso. **Tandaan:**
* Ang paghabol sa mga kasong kriminal laban sa mga online scammer ay maaaring maging mahirap. Gayunpaman, ang pag-uulat ng scam sa mga awtoridad ay mahalaga upang hadlangan ang mga krimen sa hinaharap at potensyal na matulungan silang masubaybayan ang mga may kasalanan.
**Narito ang ilang karagdagang bagay na dapat isaalang-alang:**
* Ang emosyonal na epekto ng paghahabol ng legal na aksyon.
* Ang oras at mga mapagkukunang pinansyal na kinakailangan para sa isang legal na kaso.
* Ang posibilidad na hindi mabawi ang iyong mga pagkalugi sa pananalapi kahit na ang scammer ay nahatulan.
**Bagama't maaaring mahirap ang landas patungo sa mga kasong kriminal, may mga paraan para humingi ng hustisya at protektahan ang iyong sarili at ang iba mula sa mga online na scam.**</v>
      </c>
      <c r="F833" s="2">
        <f t="shared" si="1"/>
        <v>0</v>
      </c>
      <c r="G833" s="2"/>
      <c r="H833" s="2"/>
      <c r="I833" s="2"/>
      <c r="J833" s="2"/>
      <c r="K833" s="2"/>
      <c r="L833" s="2"/>
      <c r="M833" s="2"/>
      <c r="N833" s="2"/>
      <c r="O833" s="2"/>
      <c r="P833" s="2"/>
      <c r="Q833" s="2"/>
      <c r="R833" s="2"/>
      <c r="S833" s="2"/>
      <c r="T833" s="2"/>
      <c r="U833" s="2"/>
      <c r="V833" s="2"/>
      <c r="W833" s="2"/>
      <c r="X833" s="2"/>
      <c r="Y833" s="2"/>
      <c r="Z833" s="2"/>
      <c r="AA833" s="2"/>
    </row>
    <row r="834">
      <c r="A834" s="3" t="s">
        <v>2010</v>
      </c>
      <c r="B834" s="1" t="s">
        <v>2715</v>
      </c>
      <c r="C834" s="1" t="s">
        <v>2716</v>
      </c>
      <c r="D834" s="1" t="s">
        <v>2717</v>
      </c>
      <c r="E834" s="2" t="str">
        <f>IFERROR(__xludf.DUMMYFUNCTION("GOOGLETRANSLATE(C834, ""en"", ""TL"")"),"Narito ang ilang hakbang na maaari mong gawin upang protektahan ang iyong intellectual property (IP) mula sa paggamit sa mga online scam sa Pilipinas:
**Mga Aktibong Panukala:**
* **Irehistro ang Iyong IP:** Ang pagpaparehistro ng iyong mga trademark, cop"&amp;"yright, o patent sa Intellectual Property Office of the Philippines (IPOPHL) ay nagpapatibay sa iyong legal na pagmamay-ari at nagbibigay ng batayan para sa legal na aksyon laban sa mga taong gumagamit ng iyong IP sa maling paraan.
* **Subaybayan ang Onli"&amp;"ne na Aktibidad:** Gumamit ng mga online na tool sa pagsubaybay o serbisyo upang subaybayan ang mga pagbanggit ng iyong brand name, mga logo, o naka-copyright na materyal. Makakatulong ito sa iyo na matukoy nang maaga ang mga potensyal na scam.
* **Ipatup"&amp;"ad ang Mga Panukala sa Seguridad:** I-secure ang iyong online na presensya sa pamamagitan ng paggamit ng malalakas na password, two-factor authentication, at mga hakbang sa seguridad ng website upang maiwasan ang hindi awtorisadong pag-access sa iyong int"&amp;"elektwal na ari-arian.
* **Mga Kampanya sa Pampublikong Kamalayan:** Isaalang-alang ang pagtuturo sa mga consumer tungkol sa kung paano matukoy ang mga scam na gumagamit ng iyong IP sa maling paraan. Makakatulong ito sa kanila na maiwasang mabiktima at po"&amp;"sibleng mag-ulat ng mga ganitong scam sa iyo o sa mga awtoridad.
**Pagtugon sa Mga Online Scam:**
* **Issue Cease and Desist Letters:** Kung nakita mong ginagamit ang iyong IP sa isang scam, magpadala ng pormal na liham ng pagtigil at pagtigil na humihili"&amp;"ng sa scammer na ihinto ang paggamit sa iyong ari-arian. Bagama't hindi palaging epektibo, ipinapakita nito na kumikilos ka at pinalalakas ang iyong legal na kaso.
* **Mag-ulat sa Mga Kaugnay na Awtoridad:** Iulat ang scam sa Philippine National Police An"&amp;"ti-Cybercrime Group (ACG) [https://acg.pnp.gov.ph/](https://acg.pnp.gov. ph/). Maaari silang mag-imbestiga at posibleng gumawa ng aksyon laban sa mga scammer.
* **Mag-ulat sa Mga Online na Platform:** Kung ang scam ay nangyayari sa isang partikular na onl"&amp;"ine na platform (social media, marketplace, atbp.), iulat ang nakakasakit na profile o aktibidad sa panloob na mekanismo ng pag-uulat ng platform. Ang mga platform ay kadalasang may mga patakaran laban sa paglabag sa intelektwal na ari-arian at maaaring t"&amp;"anggalin ang nilalaman ng scam.
**Legal na Aksyon:**
* **Civil Lawsuit:** Maaari mong kasuhan ang mga scammer sa civil court para mabawi ang mga pinsalang dulot ng maling paggamit ng iyong IP. Ito ay maaaring isang kumplikadong proseso, ngunit ang isang a"&amp;"bogado na dalubhasa sa batas ng intelektwal na ari-arian ay maaaring magpayo sa iyo sa pinakamahusay na paraan ng pagkilos.
**Mga Hamon at Pagsasaalang-alang:**
* **Anonymity of Online Scammers:** Ang pagtukoy at paghahanap ng mga online scammers ay maaar"&amp;"ing maging mahirap dahil sa kanilang anonymity. * **Mga Isyu sa Cross-Border:** Kung nagmula ang scam sa labas ng Pilipinas, nagiging mas kumplikado ang pagsasagawa ng legal na aksyon dahil sa internasyonal na hurisdiksyon.
* **Mga Gastos ng Legal na Aksy"&amp;"on:** Ang paglilitis ay maaaring magastos at matagal. Isaalang-alang ang mga potensyal na gastos at benepisyo bago ituloy ang isang demanda.
**Pagkonsulta sa isang Abogado:**
* Maaaring payuhan ka ng isang IP lawyer sa pinakamabisang diskarte para protekt"&amp;"ahan ang iyong intelektwal na ari-arian mula sa mga online scam at gabayan ka sa legal na proseso kung kinakailangan. Ang kanilang kadalubhasaan ay maaaring maging napakahalaga sa pag-navigate sa mga kumplikadong sitwasyon.
**Tandaan:**
* Ang pagprotekta "&amp;"sa iyong IP ay nangangailangan ng isang maagap na diskarte na sinamahan ng kakayahang tumugon nang epektibo kapag lumitaw ang mga scam. Sa pamamagitan ng pagsasagawa ng mga hakbang na ito, mapipigilan mo ang mga scammer na gamitin ang iyong IP at mabawasa"&amp;"n ang potensyal na pinsala sa reputasyon ng iyong brand.")</f>
        <v>Narito ang ilang hakbang na maaari mong gawin upang protektahan ang iyong intellectual property (IP) mula sa paggamit sa mga online scam sa Pilipinas:
**Mga Aktibong Panukala:**
* **Irehistro ang Iyong IP:** Ang pagpaparehistro ng iyong mga trademark, copyright, o patent sa Intellectual Property Office of the Philippines (IPOPHL) ay nagpapatibay sa iyong legal na pagmamay-ari at nagbibigay ng batayan para sa legal na aksyon laban sa mga taong gumagamit ng iyong IP sa maling paraan.
* **Subaybayan ang Online na Aktibidad:** Gumamit ng mga online na tool sa pagsubaybay o serbisyo upang subaybayan ang mga pagbanggit ng iyong brand name, mga logo, o naka-copyright na materyal. Makakatulong ito sa iyo na matukoy nang maaga ang mga potensyal na scam.
* **Ipatupad ang Mga Panukala sa Seguridad:** I-secure ang iyong online na presensya sa pamamagitan ng paggamit ng malalakas na password, two-factor authentication, at mga hakbang sa seguridad ng website upang maiwasan ang hindi awtorisadong pag-access sa iyong intelektwal na ari-arian.
* **Mga Kampanya sa Pampublikong Kamalayan:** Isaalang-alang ang pagtuturo sa mga consumer tungkol sa kung paano matukoy ang mga scam na gumagamit ng iyong IP sa maling paraan. Makakatulong ito sa kanila na maiwasang mabiktima at posibleng mag-ulat ng mga ganitong scam sa iyo o sa mga awtoridad.
**Pagtugon sa Mga Online Scam:**
* **Issue Cease and Desist Letters:** Kung nakita mong ginagamit ang iyong IP sa isang scam, magpadala ng pormal na liham ng pagtigil at pagtigil na humihiling sa scammer na ihinto ang paggamit sa iyong ari-arian. Bagama't hindi palaging epektibo, ipinapakita nito na kumikilos ka at pinalalakas ang iyong legal na kaso.
* **Mag-ulat sa Mga Kaugnay na Awtoridad:** Iulat ang scam sa Philippine National Police Anti-Cybercrime Group (ACG) [https://acg.pnp.gov.ph/](https://acg.pnp.gov. ph/). Maaari silang mag-imbestiga at posibleng gumawa ng aksyon laban sa mga scammer.
* **Mag-ulat sa Mga Online na Platform:** Kung ang scam ay nangyayari sa isang partikular na online na platform (social media, marketplace, atbp.), iulat ang nakakasakit na profile o aktibidad sa panloob na mekanismo ng pag-uulat ng platform. Ang mga platform ay kadalasang may mga patakaran laban sa paglabag sa intelektwal na ari-arian at maaaring tanggalin ang nilalaman ng scam.
**Legal na Aksyon:**
* **Civil Lawsuit:** Maaari mong kasuhan ang mga scammer sa civil court para mabawi ang mga pinsalang dulot ng maling paggamit ng iyong IP. Ito ay maaaring isang kumplikadong proseso, ngunit ang isang abogado na dalubhasa sa batas ng intelektwal na ari-arian ay maaaring magpayo sa iyo sa pinakamahusay na paraan ng pagkilos.
**Mga Hamon at Pagsasaalang-alang:**
* **Anonymity of Online Scammers:** Ang pagtukoy at paghahanap ng mga online scammers ay maaaring maging mahirap dahil sa kanilang anonymity. * **Mga Isyu sa Cross-Border:** Kung nagmula ang scam sa labas ng Pilipinas, nagiging mas kumplikado ang pagsasagawa ng legal na aksyon dahil sa internasyonal na hurisdiksyon.
* **Mga Gastos ng Legal na Aksyon:** Ang paglilitis ay maaaring magastos at matagal. Isaalang-alang ang mga potensyal na gastos at benepisyo bago ituloy ang isang demanda.
**Pagkonsulta sa isang Abogado:**
* Maaaring payuhan ka ng isang IP lawyer sa pinakamabisang diskarte para protektahan ang iyong intelektwal na ari-arian mula sa mga online scam at gabayan ka sa legal na proseso kung kinakailangan. Ang kanilang kadalubhasaan ay maaaring maging napakahalaga sa pag-navigate sa mga kumplikadong sitwasyon.
**Tandaan:**
* Ang pagprotekta sa iyong IP ay nangangailangan ng isang maagap na diskarte na sinamahan ng kakayahang tumugon nang epektibo kapag lumitaw ang mga scam. Sa pamamagitan ng pagsasagawa ng mga hakbang na ito, mapipigilan mo ang mga scammer na gamitin ang iyong IP at mabawasan ang potensyal na pinsala sa reputasyon ng iyong brand.</v>
      </c>
      <c r="F834" s="2">
        <f t="shared" si="1"/>
        <v>0</v>
      </c>
      <c r="G834" s="2"/>
      <c r="H834" s="2"/>
      <c r="I834" s="2"/>
      <c r="J834" s="2"/>
      <c r="K834" s="2"/>
      <c r="L834" s="2"/>
      <c r="M834" s="2"/>
      <c r="N834" s="2"/>
      <c r="O834" s="2"/>
      <c r="P834" s="2"/>
      <c r="Q834" s="2"/>
      <c r="R834" s="2"/>
      <c r="S834" s="2"/>
      <c r="T834" s="2"/>
      <c r="U834" s="2"/>
      <c r="V834" s="2"/>
      <c r="W834" s="2"/>
      <c r="X834" s="2"/>
      <c r="Y834" s="2"/>
      <c r="Z834" s="2"/>
      <c r="AA834" s="2"/>
    </row>
    <row r="835">
      <c r="A835" s="3" t="s">
        <v>2010</v>
      </c>
      <c r="B835" s="1" t="s">
        <v>2718</v>
      </c>
      <c r="C835" s="1" t="s">
        <v>2719</v>
      </c>
      <c r="D835" s="1" t="s">
        <v>2720</v>
      </c>
      <c r="E835" s="2" t="str">
        <f>IFERROR(__xludf.DUMMYFUNCTION("GOOGLETRANSLATE(C835, ""en"", ""TL"")"),"Sa Pilipinas, ang pagbawi ng mga legal na bayarin mula sa isang panalong kaso laban sa isang online scammer ay posible, ngunit hindi garantisado. Narito ang isang breakdown ng kung ano ang aasahan:
**Philippine Law on Attorney's Fees:**
* Ang Pilipinas ay"&amp;" sumusunod sa ""American Rule"" tungkol sa mga bayad sa abogado sa mga kasong sibil. Nangangahulugan ito na, sa pangkalahatan, ang bawat partido ay nagdadala ng kanilang sariling mga legal na gastos anuman ang kinalabasan ng kaso (kung sino ang mananalo o"&amp;" matalo).
**Mga Pagbubukod para sa Pagbawi ng Mga Legal na Bayarin:**
Gayunpaman, mayroong ilang mga pagbubukod kung saan maaari mong mabawi ang iyong mga legal na bayarin mula sa natalong partido (ang scammer):
* **Stipulated Attorney's Fees:** Kung ang "&amp;"kontrata na mayroon ka sa scammer (kung mayroon man) ay may kasamang sugnay na nagsasaad ng mga bayad sa abogado kung sakaling may paglabag (ang scam), maaari mong mabawi ang mga ito kung manalo ka sa demanda. * **Mga Litigious Expenses na Iginawad ng Kor"&amp;"te:** Sa ilang partikular na mga pangyayari, maaaring igawad ng hukuman ang mga bayad sa abogado bilang bahagi ng mga gastos sa paglilitis na mababawi mula sa natalong partido. Ito ay maaaring ipagkaloob kung matutuklasan ng hukuman na ang scammer ay kumi"&amp;"los nang masama o ang kaso ay may kinalaman sa mga kumplikadong legal na isyu.
**Mga Hamon sa Pagbawi ng Mga Legal na Bayarin:**
* **Kakayahang Pananalapi ng Scammer:** Kahit na manalo ka sa kaso at iginawad ng korte ang mga bayad sa abogado, maaaring mag"&amp;"ing mahirap ang pagkolekta ng mga ito mula sa scammer kung kulang sila sa mga mapagkukunang pinansyal.
* **Pagpapatupad ng Kautusan ng Hukuman:** Ang pagkuha ng utos ng hukuman para sa mga bayad sa abogado ay isang hakbang, ngunit ang pagpapatupad nito ay"&amp;" maaaring may kasamang karagdagang mga legal na pamamaraan na nangangailangan ng oras at mapagkukunan.
**Mga Alternatibong Pamamaraan:**
* **Isaalang-alang ang Insurance sa Legal na Bayarin:** Ang ilang mga plano sa insurance ay nag-aalok ng coverage para"&amp;" sa mga legal na bayarin na natamo sa panahon ng mga demanda. Bagama't hindi pa karaniwan sa Pilipinas, maaaring isa itong opsyon upang tuklasin.
* **Negotiate Upfront:** Kapag kumukuha ng abogado, talakayin ang mga istruktura ng bayad at tuklasin ang mga"&amp;" opsyon na higit pa sa oras-oras na mga rate. Ang ilang mga abogado ay maaaring isaalang-alang ang isang contingency fee arrangement, kung saan ang kanilang mga bayarin ay nakadepende sa isang matagumpay na resulta at isang porsyento ng mga nabawi na pins"&amp;"ala.
**Pagkonsulta sa isang Abogado:**
* Maaaring payuhan ka ng isang abogado na dalubhasa sa iyong partikular na kaso (hal., proteksyon ng consumer, intelektwal na ari-arian) sa posibilidad na mabawi ang mga legal na bayarin kung manalo ka laban sa scamm"&amp;"er. Maaari din nilang talakayin ang mga alternatibong pagsasaayos ng bayad sa iyo.
**Tandaan:**
* Ang pagbawi ng mga legal na bayarin mula sa isang scammer ay hindi palaging ginagarantiya. Timbangin ang mga potensyal na benepisyo laban sa mga gastos at or"&amp;"as na kasangkot sa paghahabol ng legal na aksyon. * Ang pagkonsulta sa isang abogado nang maaga ay maaaring makatulong sa iyo na maunawaan ang legal na tanawin at gumawa ng matalinong mga desisyon tungkol sa iyong kaso.")</f>
        <v>Sa Pilipinas, ang pagbawi ng mga legal na bayarin mula sa isang panalong kaso laban sa isang online scammer ay posible, ngunit hindi garantisado. Narito ang isang breakdown ng kung ano ang aasahan:
**Philippine Law on Attorney's Fees:**
* Ang Pilipinas ay sumusunod sa "American Rule" tungkol sa mga bayad sa abogado sa mga kasong sibil. Nangangahulugan ito na, sa pangkalahatan, ang bawat partido ay nagdadala ng kanilang sariling mga legal na gastos anuman ang kinalabasan ng kaso (kung sino ang mananalo o matalo).
**Mga Pagbubukod para sa Pagbawi ng Mga Legal na Bayarin:**
Gayunpaman, mayroong ilang mga pagbubukod kung saan maaari mong mabawi ang iyong mga legal na bayarin mula sa natalong partido (ang scammer):
* **Stipulated Attorney's Fees:** Kung ang kontrata na mayroon ka sa scammer (kung mayroon man) ay may kasamang sugnay na nagsasaad ng mga bayad sa abogado kung sakaling may paglabag (ang scam), maaari mong mabawi ang mga ito kung manalo ka sa demanda. * **Mga Litigious Expenses na Iginawad ng Korte:** Sa ilang partikular na mga pangyayari, maaaring igawad ng hukuman ang mga bayad sa abogado bilang bahagi ng mga gastos sa paglilitis na mababawi mula sa natalong partido. Ito ay maaaring ipagkaloob kung matutuklasan ng hukuman na ang scammer ay kumilos nang masama o ang kaso ay may kinalaman sa mga kumplikadong legal na isyu.
**Mga Hamon sa Pagbawi ng Mga Legal na Bayarin:**
* **Kakayahang Pananalapi ng Scammer:** Kahit na manalo ka sa kaso at iginawad ng korte ang mga bayad sa abogado, maaaring maging mahirap ang pagkolekta ng mga ito mula sa scammer kung kulang sila sa mga mapagkukunang pinansyal.
* **Pagpapatupad ng Kautusan ng Hukuman:** Ang pagkuha ng utos ng hukuman para sa mga bayad sa abogado ay isang hakbang, ngunit ang pagpapatupad nito ay maaaring may kasamang karagdagang mga legal na pamamaraan na nangangailangan ng oras at mapagkukunan.
**Mga Alternatibong Pamamaraan:**
* **Isaalang-alang ang Insurance sa Legal na Bayarin:** Ang ilang mga plano sa insurance ay nag-aalok ng coverage para sa mga legal na bayarin na natamo sa panahon ng mga demanda. Bagama't hindi pa karaniwan sa Pilipinas, maaaring isa itong opsyon upang tuklasin.
* **Negotiate Upfront:** Kapag kumukuha ng abogado, talakayin ang mga istruktura ng bayad at tuklasin ang mga opsyon na higit pa sa oras-oras na mga rate. Ang ilang mga abogado ay maaaring isaalang-alang ang isang contingency fee arrangement, kung saan ang kanilang mga bayarin ay nakadepende sa isang matagumpay na resulta at isang porsyento ng mga nabawi na pinsala.
**Pagkonsulta sa isang Abogado:**
* Maaaring payuhan ka ng isang abogado na dalubhasa sa iyong partikular na kaso (hal., proteksyon ng consumer, intelektwal na ari-arian) sa posibilidad na mabawi ang mga legal na bayarin kung manalo ka laban sa scammer. Maaari din nilang talakayin ang mga alternatibong pagsasaayos ng bayad sa iyo.
**Tandaan:**
* Ang pagbawi ng mga legal na bayarin mula sa isang scammer ay hindi palaging ginagarantiya. Timbangin ang mga potensyal na benepisyo laban sa mga gastos at oras na kasangkot sa paghahabol ng legal na aksyon. * Ang pagkonsulta sa isang abogado nang maaga ay maaaring makatulong sa iyo na maunawaan ang legal na tanawin at gumawa ng matalinong mga desisyon tungkol sa iyong kaso.</v>
      </c>
      <c r="F835" s="2">
        <f t="shared" si="1"/>
        <v>0</v>
      </c>
      <c r="G835" s="2"/>
      <c r="H835" s="2"/>
      <c r="I835" s="2"/>
      <c r="J835" s="2"/>
      <c r="K835" s="2"/>
      <c r="L835" s="2"/>
      <c r="M835" s="2"/>
      <c r="N835" s="2"/>
      <c r="O835" s="2"/>
      <c r="P835" s="2"/>
      <c r="Q835" s="2"/>
      <c r="R835" s="2"/>
      <c r="S835" s="2"/>
      <c r="T835" s="2"/>
      <c r="U835" s="2"/>
      <c r="V835" s="2"/>
      <c r="W835" s="2"/>
      <c r="X835" s="2"/>
      <c r="Y835" s="2"/>
      <c r="Z835" s="2"/>
      <c r="AA835" s="2"/>
    </row>
    <row r="836">
      <c r="A836" s="3" t="s">
        <v>2010</v>
      </c>
      <c r="B836" s="1" t="s">
        <v>2721</v>
      </c>
      <c r="C836" s="1" t="s">
        <v>2722</v>
      </c>
      <c r="D836" s="1" t="s">
        <v>2723</v>
      </c>
      <c r="E836" s="2" t="str">
        <f>IFERROR(__xludf.DUMMYFUNCTION("GOOGLETRANSLATE(C836, ""en"", ""TL"")"),"Ang mga hakbang sa cybersecurity ay may mahalagang papel sa pagpigil sa mga online na scam sa pamamagitan ng pagpapahirap sa mga scammer na makakuha ng access sa iyong personal na impormasyon, data sa pananalapi, at mga device. Narito kung paano makakatul"&amp;"ong ang mga hakbang na ito:
**Pagprotekta sa Personal na Impormasyon:**
* **Malakas na Mga Password at Multi-Factor Authentication:** Ang paggamit ng malakas, natatanging mga password at pagpapagana ng multi-factor authentication (MFA) sa lahat ng iyong o"&amp;"nline na account ay nagdaragdag ng karagdagang layer ng seguridad na nagpapahirap sa mga scammer na nakawin ang iyong mga kredensyal sa pag-log in.
* **Data Encryption:** I-scramble ng pag-encrypt ang iyong data, na ginagawa itong hindi nababasa ng sinuma"&amp;"ng walang decryption key. Pinoprotektahan nito ang iyong sensitibong impormasyon kahit na naharang ito ng isang scammer.
* **Mag-ingat sa Mga Pagsubok sa Phishing:** Sinusubukan ng mga email at mensahe ng phishing na linlangin ka sa pagbubunyag ng persona"&amp;"l na impormasyon o pag-click sa mga nakakahamak na link. Makakatulong sa iyo ang mga hakbang sa cybersecurity tulad ng mga filter ng spam at pagsasanay sa kaalaman na matukoy at maiwasan ang mga pagtatangkang phishing na ito.
**Pag-secure ng Mga Device at"&amp;" Network:**
* **Antivirus at Anti-Malware Software:** Ang napapanahon na antivirus at anti-malware software ay maaaring makakita at mag-alis ng malisyosong software na maaaring gamitin ng mga scammer upang nakawin ang iyong data o i-hijack ang iyong devic"&amp;"e.
* **Mga Firewall:** Ang mga firewall ay nagsisilbing hadlang sa pagitan ng iyong device at ng internet, na sinasala ang papasok at papalabas na trapiko upang maiwasan ang hindi awtorisadong pag-access.
* **Secure Wi-Fi Connections:** Iwasang gumamit ng"&amp;" mga pampublikong Wi-Fi network para sa mga sensitibong aktibidad tulad ng online banking. Kung kailangan mong gumamit ng pampublikong Wi-Fi, isaalang-alang ang paggamit ng Virtual Private Network (VPN) upang i-encrypt ang iyong koneksyon.
* **Software Up"&amp;"dates:** Ang pagpapanatiling na-update ng iyong operating system, web browser, at iba pang software gamit ang pinakabagong mga patch ng seguridad ay nakakatulong na matugunan ang mga kahinaan na maaaring pagsamantalahan ng mga scammer. **Pangkalahatang Po"&amp;"stura ng Seguridad:**
* **Mag-ingat sa Hindi Hinihinging Pakikipag-ugnayan:** Huwag mag-click sa mga link o attachment sa mga email o mensahe mula sa hindi kilalang mga nagpadala. Maging maingat sa mga hindi hinihinging alok sa pamumuhunan o anumang bagay"&amp;" na tila napakagandang totoo.
* **I-verify ang Impormasyon:** Palaging magsaliksik sa mga kumpanya o indibidwal bago makisali sa mga online na transaksyon. Maghanap ng mga review, suriin ang pagiging lehitimo ng mga ito, at iwasan ang mga website na may h"&amp;"indi magandang kasanayan sa seguridad.
* **Mga Regular na Backup:** Ang regular na pag-back up ng iyong data ay tumitiyak na mayroon kang kopya ng iyong mahahalagang file kung sakaling makompromiso ang iyong device ng isang scam.
**Sa pamamagitan ng pagpa"&amp;"patupad ng mga hakbang na ito sa cybersecurity, maaari mong makabuluhang bawasan ang panganib na mabiktima ng mga online scam. Tandaan, kahit na may matatag na seguridad, ang manatiling mapagbantay at mag-ingat online ay mahalaga.**")</f>
        <v>Ang mga hakbang sa cybersecurity ay may mahalagang papel sa pagpigil sa mga online na scam sa pamamagitan ng pagpapahirap sa mga scammer na makakuha ng access sa iyong personal na impormasyon, data sa pananalapi, at mga device. Narito kung paano makakatulong ang mga hakbang na ito:
**Pagprotekta sa Personal na Impormasyon:**
* **Malakas na Mga Password at Multi-Factor Authentication:** Ang paggamit ng malakas, natatanging mga password at pagpapagana ng multi-factor authentication (MFA) sa lahat ng iyong online na account ay nagdaragdag ng karagdagang layer ng seguridad na nagpapahirap sa mga scammer na nakawin ang iyong mga kredensyal sa pag-log in.
* **Data Encryption:** I-scramble ng pag-encrypt ang iyong data, na ginagawa itong hindi nababasa ng sinumang walang decryption key. Pinoprotektahan nito ang iyong sensitibong impormasyon kahit na naharang ito ng isang scammer.
* **Mag-ingat sa Mga Pagsubok sa Phishing:** Sinusubukan ng mga email at mensahe ng phishing na linlangin ka sa pagbubunyag ng personal na impormasyon o pag-click sa mga nakakahamak na link. Makakatulong sa iyo ang mga hakbang sa cybersecurity tulad ng mga filter ng spam at pagsasanay sa kaalaman na matukoy at maiwasan ang mga pagtatangkang phishing na ito.
**Pag-secure ng Mga Device at Network:**
* **Antivirus at Anti-Malware Software:** Ang napapanahon na antivirus at anti-malware software ay maaaring makakita at mag-alis ng malisyosong software na maaaring gamitin ng mga scammer upang nakawin ang iyong data o i-hijack ang iyong device.
* **Mga Firewall:** Ang mga firewall ay nagsisilbing hadlang sa pagitan ng iyong device at ng internet, na sinasala ang papasok at papalabas na trapiko upang maiwasan ang hindi awtorisadong pag-access.
* **Secure Wi-Fi Connections:** Iwasang gumamit ng mga pampublikong Wi-Fi network para sa mga sensitibong aktibidad tulad ng online banking. Kung kailangan mong gumamit ng pampublikong Wi-Fi, isaalang-alang ang paggamit ng Virtual Private Network (VPN) upang i-encrypt ang iyong koneksyon.
* **Software Updates:** Ang pagpapanatiling na-update ng iyong operating system, web browser, at iba pang software gamit ang pinakabagong mga patch ng seguridad ay nakakatulong na matugunan ang mga kahinaan na maaaring pagsamantalahan ng mga scammer. **Pangkalahatang Postura ng Seguridad:**
* **Mag-ingat sa Hindi Hinihinging Pakikipag-ugnayan:** Huwag mag-click sa mga link o attachment sa mga email o mensahe mula sa hindi kilalang mga nagpadala. Maging maingat sa mga hindi hinihinging alok sa pamumuhunan o anumang bagay na tila napakagandang totoo.
* **I-verify ang Impormasyon:** Palaging magsaliksik sa mga kumpanya o indibidwal bago makisali sa mga online na transaksyon. Maghanap ng mga review, suriin ang pagiging lehitimo ng mga ito, at iwasan ang mga website na may hindi magandang kasanayan sa seguridad.
* **Mga Regular na Backup:** Ang regular na pag-back up ng iyong data ay tumitiyak na mayroon kang kopya ng iyong mahahalagang file kung sakaling makompromiso ang iyong device ng isang scam.
**Sa pamamagitan ng pagpapatupad ng mga hakbang na ito sa cybersecurity, maaari mong makabuluhang bawasan ang panganib na mabiktima ng mga online scam. Tandaan, kahit na may matatag na seguridad, ang manatiling mapagbantay at mag-ingat online ay mahalaga.**</v>
      </c>
      <c r="F836" s="2">
        <f t="shared" si="1"/>
        <v>0</v>
      </c>
      <c r="G836" s="2"/>
      <c r="H836" s="2"/>
      <c r="I836" s="2"/>
      <c r="J836" s="2"/>
      <c r="K836" s="2"/>
      <c r="L836" s="2"/>
      <c r="M836" s="2"/>
      <c r="N836" s="2"/>
      <c r="O836" s="2"/>
      <c r="P836" s="2"/>
      <c r="Q836" s="2"/>
      <c r="R836" s="2"/>
      <c r="S836" s="2"/>
      <c r="T836" s="2"/>
      <c r="U836" s="2"/>
      <c r="V836" s="2"/>
      <c r="W836" s="2"/>
      <c r="X836" s="2"/>
      <c r="Y836" s="2"/>
      <c r="Z836" s="2"/>
      <c r="AA836" s="2"/>
    </row>
    <row r="837">
      <c r="A837" s="3" t="s">
        <v>2010</v>
      </c>
      <c r="B837" s="1" t="s">
        <v>2724</v>
      </c>
      <c r="C837" s="1" t="s">
        <v>2725</v>
      </c>
      <c r="D837" s="1" t="s">
        <v>2726</v>
      </c>
      <c r="E837" s="2" t="str">
        <f>IFERROR(__xludf.DUMMYFUNCTION("GOOGLETRANSLATE(C837, ""en"", ""TL"")"),"Sa Pilipinas, ang paghingi ng kabayaran para sa emosyonal na pagkabalisa na dulot ng isang online scam ay posible sa ilalim ng ilang mga kundisyon. Narito ang isang breakdown ng legal na tanawin:
**Legal na Batayan para sa Kabayaran:**
* Pinahihintulutan "&amp;"ka ng batas ng Pilipinas na mabawi ang mga moral na pinsala sa mga kaso kung saan ang mga aksyon ng scammer ay nagdulot sa iyo ng emosyonal na pagdurusa, kahihiyan, o pinsala sa iyong reputasyon.
* Upang mag-claim ng mga moral na pinsala, kailangan mong i"&amp;"pakita ang:
* **Intentional Wrongdoing by the Scammer:** Ang scammer ay dapat na sinadya at may malisyosong layunin.
* **Emotional Distress:** Dapat kang magbigay ng ebidensya upang suportahan ang iyong paghahabol ng emosyonal na pagkabalisa na dulot ng s"&amp;"cam. Maaaring kabilang dito ang mga medikal na rekord mula sa isang therapist o tagapayo, dokumentasyon ng mga abala sa pagtulog, o mga patotoo ng saksi tungkol sa iyong pag-uugali.
* **Dahilan:** Kailangan mong magtatag ng malinaw na link sa pagitan ng m"&amp;"ga aksyon ng scammer at ng emosyonal na pagkabalisa na iyong naranasan.
**Mga Hamon sa Pagbawi ng Kabayaran:**
* **Burden of Proof:** Ang pasanin ng patunay ay nasa iyo upang ipakita ang sinasadyang pagkakamali ng scammer, ang iyong emosyonal na pagkabali"&amp;"sa, at ang sanhi ng pagkakaugnay ng dalawa.
* **Hirap sa Pagbibilang ng Emosyonal na Kabagabagan:** Ang pagtatalaga ng halaga ng pera sa emosyonal na pagdurusa ay maaaring maging mahirap.
* **Mahabang Legal na Proseso:** Ang paghahangad ng kabayaran sa pa"&amp;"mamagitan ng sistema ng hukuman ay maaaring magtagal at magastos.
**Alternatibong Paglutas ng Dispute (ADR):**
* Isaalang-alang ang mga opsyon sa ADR na inaalok ng Department of Trade and Industry (DTI) para sa mga reklamo ng consumer. Bagama't maaaring h"&amp;"indi magbigay ng kabayaran ang ADR para sa emosyonal na pagkabalisa, makakatulong ito sa pagresolba sa kaso nang mas mabilis at posibleng humantong sa refund o iba pang paraan ng pagbabayad.
**Pagkonsulta sa isang Abogado:**
* Maaaring payuhan ka ng isang"&amp;" abogado na dalubhasa sa proteksyon ng consumer o cybercrime tungkol sa posibilidad ng pag-claim ng mga pinsalang moral sa iyong partikular na kaso. Maaari nilang tasahin ang ebidensya, i-navigate ang legal na proseso, at tulungan kang maunawaan ang mga p"&amp;"otensyal na hamon at gastos na kasangkot.
**Narito ang ilang karagdagang bagay na dapat isaalang-alang:**
* Ang tindi ng emosyonal na pagkabalisa na iyong naranasan.
* Ang mga pagkalugi sa pananalapi na natamo dahil sa scam.
* Ang mga potensyal na gastos "&amp;"sa pagpapatuloy ng legal na aksyon.
**Tandaan:**
Ang pagbawi ng kabayaran para sa emosyonal na pagkabalisa mula sa mga online na scam ay maaaring maging kumplikado. Habang umiiral ang mga legal na opsyon, ang maingat na pagsasaalang-alang sa mga hamon at "&amp;"potensyal na benepisyo ay mahalaga. Ang pagkonsulta sa isang abogado ay makakatulong sa iyo na matukoy ang pinakamahusay na paraan ng aksyon para sa iyong sitwasyon.")</f>
        <v>Sa Pilipinas, ang paghingi ng kabayaran para sa emosyonal na pagkabalisa na dulot ng isang online scam ay posible sa ilalim ng ilang mga kundisyon. Narito ang isang breakdown ng legal na tanawin:
**Legal na Batayan para sa Kabayaran:**
* Pinahihintulutan ka ng batas ng Pilipinas na mabawi ang mga moral na pinsala sa mga kaso kung saan ang mga aksyon ng scammer ay nagdulot sa iyo ng emosyonal na pagdurusa, kahihiyan, o pinsala sa iyong reputasyon.
* Upang mag-claim ng mga moral na pinsala, kailangan mong ipakita ang:
* **Intentional Wrongdoing by the Scammer:** Ang scammer ay dapat na sinadya at may malisyosong layunin.
* **Emotional Distress:** Dapat kang magbigay ng ebidensya upang suportahan ang iyong paghahabol ng emosyonal na pagkabalisa na dulot ng scam. Maaaring kabilang dito ang mga medikal na rekord mula sa isang therapist o tagapayo, dokumentasyon ng mga abala sa pagtulog, o mga patotoo ng saksi tungkol sa iyong pag-uugali.
* **Dahilan:** Kailangan mong magtatag ng malinaw na link sa pagitan ng mga aksyon ng scammer at ng emosyonal na pagkabalisa na iyong naranasan.
**Mga Hamon sa Pagbawi ng Kabayaran:**
* **Burden of Proof:** Ang pasanin ng patunay ay nasa iyo upang ipakita ang sinasadyang pagkakamali ng scammer, ang iyong emosyonal na pagkabalisa, at ang sanhi ng pagkakaugnay ng dalawa.
* **Hirap sa Pagbibilang ng Emosyonal na Kabagabagan:** Ang pagtatalaga ng halaga ng pera sa emosyonal na pagdurusa ay maaaring maging mahirap.
* **Mahabang Legal na Proseso:** Ang paghahangad ng kabayaran sa pamamagitan ng sistema ng hukuman ay maaaring magtagal at magastos.
**Alternatibong Paglutas ng Dispute (ADR):**
* Isaalang-alang ang mga opsyon sa ADR na inaalok ng Department of Trade and Industry (DTI) para sa mga reklamo ng consumer. Bagama't maaaring hindi magbigay ng kabayaran ang ADR para sa emosyonal na pagkabalisa, makakatulong ito sa pagresolba sa kaso nang mas mabilis at posibleng humantong sa refund o iba pang paraan ng pagbabayad.
**Pagkonsulta sa isang Abogado:**
* Maaaring payuhan ka ng isang abogado na dalubhasa sa proteksyon ng consumer o cybercrime tungkol sa posibilidad ng pag-claim ng mga pinsalang moral sa iyong partikular na kaso. Maaari nilang tasahin ang ebidensya, i-navigate ang legal na proseso, at tulungan kang maunawaan ang mga potensyal na hamon at gastos na kasangkot.
**Narito ang ilang karagdagang bagay na dapat isaalang-alang:**
* Ang tindi ng emosyonal na pagkabalisa na iyong naranasan.
* Ang mga pagkalugi sa pananalapi na natamo dahil sa scam.
* Ang mga potensyal na gastos sa pagpapatuloy ng legal na aksyon.
**Tandaan:**
Ang pagbawi ng kabayaran para sa emosyonal na pagkabalisa mula sa mga online na scam ay maaaring maging kumplikado. Habang umiiral ang mga legal na opsyon, ang maingat na pagsasaalang-alang sa mga hamon at potensyal na benepisyo ay mahalaga. Ang pagkonsulta sa isang abogado ay makakatulong sa iyo na matukoy ang pinakamahusay na paraan ng aksyon para sa iyong sitwasyon.</v>
      </c>
      <c r="F837" s="2">
        <f t="shared" si="1"/>
        <v>0</v>
      </c>
      <c r="G837" s="2"/>
      <c r="H837" s="2"/>
      <c r="I837" s="2"/>
      <c r="J837" s="2"/>
      <c r="K837" s="2"/>
      <c r="L837" s="2"/>
      <c r="M837" s="2"/>
      <c r="N837" s="2"/>
      <c r="O837" s="2"/>
      <c r="P837" s="2"/>
      <c r="Q837" s="2"/>
      <c r="R837" s="2"/>
      <c r="S837" s="2"/>
      <c r="T837" s="2"/>
      <c r="U837" s="2"/>
      <c r="V837" s="2"/>
      <c r="W837" s="2"/>
      <c r="X837" s="2"/>
      <c r="Y837" s="2"/>
      <c r="Z837" s="2"/>
      <c r="AA837" s="2"/>
    </row>
    <row r="838">
      <c r="A838" s="3" t="s">
        <v>2010</v>
      </c>
      <c r="B838" s="1" t="s">
        <v>2727</v>
      </c>
      <c r="C838" s="1" t="s">
        <v>2728</v>
      </c>
      <c r="D838" s="1" t="s">
        <v>2729</v>
      </c>
      <c r="E838" s="2" t="str">
        <f>IFERROR(__xludf.DUMMYFUNCTION("GOOGLETRANSLATE(C838, ""en"", ""TL"")"),"Narito kung paano haharapin ang mga online scam na may kinalaman sa pagnanakaw ng pagkakakilanlan sa Pilipinas:
**Mga Agarang Hakbang:**
1. **I-secure ang Iyong Mga Account:** Baguhin ang mga password para sa lahat ng iyong online na account, lalo na ang "&amp;"mga maaaring nakompromiso sa scam. Gumamit ng malakas at natatanging mga password at paganahin ang multi-factor authentication (MFA) hangga't maaari.
2. **Makipag-ugnayan sa Mga Institusyon ng Pinansyal:** Ipaalam sa iyong mga bangko, kumpanya ng credit c"&amp;"ard, at anumang iba pang institusyong pampinansyal na ginagamit mo tungkol sa potensyal na pagnanakaw ng pagkakakilanlan. Maaari nilang subaybayan ang iyong mga account para sa mapanlinlang na aktibidad at tulungan kang mag-freeze sa iyong credit report.
"&amp;"3. **Iulat ang Scam:** Magsampa ng reklamo sa Philippine National Police Anti-Cybercrime Group (ACG) [https://acg.pnp.gov.ph/](https://acg.pnp.gov. ph/). Dalubhasa sila sa pagsisiyasat sa mga cybercrime, kabilang ang pagnanakaw ng pagkakakilanlan.
4. **Ma"&amp;"g-ulat sa Credit Bureau:** Makipag-ugnayan sa TransUnion Philippines [https://www.creditinfo.gov.ph/](https://www.creditinfo.gov.ph/) (dating pinangalanang CIBIL) sa iulat ang pagnanakaw ng pagkakakilanlan at humiling ng alerto sa pandaraya sa iyong ulat "&amp;"ng kredito. Aabisuhan nito ang mga nagpapautang ng posibleng mapanlinlang na aktibidad at gagawing mas mahirap para sa isang tao na magbukas ng mga bagong account sa iyong pangalan. 5. **Magtipon ng Ebidensya:** Magtago ng mga kopya ng anumang mga dokumen"&amp;"tong nauugnay sa scam, gaya ng mga email, mensahe, o mga talaan ng transaksyon. Maaaring makatulong ang ebidensyang ito sa pagpapatunay ng pagnanakaw ng pagkakakilanlan at paghahain ng ulat sa pulisya.
** Higit pang Protektahan ang Iyong Sarili:**
* **Sub"&amp;"aybayan ang Iyong Ulat sa Kredito:** Regular na suriin ang iyong ulat ng kredito para sa anumang kahina-hinalang aktibidad, gaya ng mga bagong account na hindi mo binuksan. Maaari kang humiling ng libreng ulat ng kredito mula sa TransUnion Philippines isa"&amp;"ng beses sa isang taon.
* **Mag-ingat sa Mga Pagsubok sa Phishing:** Maaaring subukan ng mga scammer na makipag-ugnayan muli sa iyo na nagpapanggap bilang mga lehitimong institusyon (mga bangko, credit bureaus) upang makakuha ng higit pang impormasyon. Ma"&amp;"ging maingat sa mga hindi hinihinging email, tawag, o mensahe.
* **Isaalang-alang ang Mga Serbisyo sa Proteksyon sa Pagnanakaw ng Pagkakakilanlan:** Galugarin ang mga serbisyo sa proteksyon ng pagnanakaw ng pagkakakilanlan na inaalok ng ilang institusyong"&amp;" pinansyal o kumpanya ng seguridad. Maaaring subaybayan ng mga ito ang iyong mga ulat sa kredito at alertuhan ka sa mga potensyal na banta.
**Emosyonal na Suporta:**
* Ang pagnanakaw ng pagkakakilanlan ay maaaring maging isang nakababahalang karanasan. Is"&amp;"aalang-alang ang paghingi ng emosyonal na suporta mula sa mga kaibigan, pamilya, o isang therapist kung kinakailangan.
**Tandaan:**
* Ang mabilis na pagkilos at paggawa ng mga kinakailangang hakbang ay maaaring mabawasan ang pinsalang dulot ng pagnanakaw "&amp;"ng pagkakakilanlan. Ang pag-uulat ng scam sa mga awtoridad ay napakahalaga upang matulungan silang masubaybayan ang mga may kasalanan at maiwasan ang mga krimen sa hinaharap. * Habang ang pagbawi ng mga ninakaw na pondo o pag-aayos ng iyong credit score a"&amp;"y maaaring magtagal, ang pananatiling mapagbantay at maagap ay makakatulong sa iyong mabawi ang kontrol sa iyong sitwasyon sa pananalapi.
**Mga Karagdagang Mapagkukunan:**
* Securities and Exchange Commission (SEC): [https://www.sec.gov.ph/](https://www.s"&amp;"ec.gov.ph/) * Bangko Sentral ng Pilipinas (BSP): [https:/ /www.bsp.gov.ph/](https://www.bsp.gov.ph/)
Sa pamamagitan ng pagsunod sa mga hakbang na ito at paggamit ng mga magagamit na mapagkukunan, maaari mong pangasiwaan ang sitwasyon at harapin ang result"&amp;"a ng isang online na scam na kinasasangkutan ng pagnanakaw ng pagkakakilanlan.")</f>
        <v>Narito kung paano haharapin ang mga online scam na may kinalaman sa pagnanakaw ng pagkakakilanlan sa Pilipinas:
**Mga Agarang Hakbang:**
1. **I-secure ang Iyong Mga Account:** Baguhin ang mga password para sa lahat ng iyong online na account, lalo na ang mga maaaring nakompromiso sa scam. Gumamit ng malakas at natatanging mga password at paganahin ang multi-factor authentication (MFA) hangga't maaari.
2. **Makipag-ugnayan sa Mga Institusyon ng Pinansyal:** Ipaalam sa iyong mga bangko, kumpanya ng credit card, at anumang iba pang institusyong pampinansyal na ginagamit mo tungkol sa potensyal na pagnanakaw ng pagkakakilanlan. Maaari nilang subaybayan ang iyong mga account para sa mapanlinlang na aktibidad at tulungan kang mag-freeze sa iyong credit report.
3. **Iulat ang Scam:** Magsampa ng reklamo sa Philippine National Police Anti-Cybercrime Group (ACG) [https://acg.pnp.gov.ph/](https://acg.pnp.gov. ph/). Dalubhasa sila sa pagsisiyasat sa mga cybercrime, kabilang ang pagnanakaw ng pagkakakilanlan.
4. **Mag-ulat sa Credit Bureau:** Makipag-ugnayan sa TransUnion Philippines [https://www.creditinfo.gov.ph/](https://www.creditinfo.gov.ph/) (dating pinangalanang CIBIL) sa iulat ang pagnanakaw ng pagkakakilanlan at humiling ng alerto sa pandaraya sa iyong ulat ng kredito. Aabisuhan nito ang mga nagpapautang ng posibleng mapanlinlang na aktibidad at gagawing mas mahirap para sa isang tao na magbukas ng mga bagong account sa iyong pangalan. 5. **Magtipon ng Ebidensya:** Magtago ng mga kopya ng anumang mga dokumentong nauugnay sa scam, gaya ng mga email, mensahe, o mga talaan ng transaksyon. Maaaring makatulong ang ebidensyang ito sa pagpapatunay ng pagnanakaw ng pagkakakilanlan at paghahain ng ulat sa pulisya.
** Higit pang Protektahan ang Iyong Sarili:**
* **Subaybayan ang Iyong Ulat sa Kredito:** Regular na suriin ang iyong ulat ng kredito para sa anumang kahina-hinalang aktibidad, gaya ng mga bagong account na hindi mo binuksan. Maaari kang humiling ng libreng ulat ng kredito mula sa TransUnion Philippines isang beses sa isang taon.
* **Mag-ingat sa Mga Pagsubok sa Phishing:** Maaaring subukan ng mga scammer na makipag-ugnayan muli sa iyo na nagpapanggap bilang mga lehitimong institusyon (mga bangko, credit bureaus) upang makakuha ng higit pang impormasyon. Maging maingat sa mga hindi hinihinging email, tawag, o mensahe.
* **Isaalang-alang ang Mga Serbisyo sa Proteksyon sa Pagnanakaw ng Pagkakakilanlan:** Galugarin ang mga serbisyo sa proteksyon ng pagnanakaw ng pagkakakilanlan na inaalok ng ilang institusyong pinansyal o kumpanya ng seguridad. Maaaring subaybayan ng mga ito ang iyong mga ulat sa kredito at alertuhan ka sa mga potensyal na banta.
**Emosyonal na Suporta:**
* Ang pagnanakaw ng pagkakakilanlan ay maaaring maging isang nakababahalang karanasan. Isaalang-alang ang paghingi ng emosyonal na suporta mula sa mga kaibigan, pamilya, o isang therapist kung kinakailangan.
**Tandaan:**
* Ang mabilis na pagkilos at paggawa ng mga kinakailangang hakbang ay maaaring mabawasan ang pinsalang dulot ng pagnanakaw ng pagkakakilanlan. Ang pag-uulat ng scam sa mga awtoridad ay napakahalaga upang matulungan silang masubaybayan ang mga may kasalanan at maiwasan ang mga krimen sa hinaharap. * Habang ang pagbawi ng mga ninakaw na pondo o pag-aayos ng iyong credit score ay maaaring magtagal, ang pananatiling mapagbantay at maagap ay makakatulong sa iyong mabawi ang kontrol sa iyong sitwasyon sa pananalapi.
**Mga Karagdagang Mapagkukunan:**
* Securities and Exchange Commission (SEC): [https://www.sec.gov.ph/](https://www.sec.gov.ph/) * Bangko Sentral ng Pilipinas (BSP): [https:/ /www.bsp.gov.ph/](https://www.bsp.gov.ph/)
Sa pamamagitan ng pagsunod sa mga hakbang na ito at paggamit ng mga magagamit na mapagkukunan, maaari mong pangasiwaan ang sitwasyon at harapin ang resulta ng isang online na scam na kinasasangkutan ng pagnanakaw ng pagkakakilanlan.</v>
      </c>
      <c r="F838" s="2">
        <f t="shared" si="1"/>
        <v>0</v>
      </c>
      <c r="G838" s="2"/>
      <c r="H838" s="2"/>
      <c r="I838" s="2"/>
      <c r="J838" s="2"/>
      <c r="K838" s="2"/>
      <c r="L838" s="2"/>
      <c r="M838" s="2"/>
      <c r="N838" s="2"/>
      <c r="O838" s="2"/>
      <c r="P838" s="2"/>
      <c r="Q838" s="2"/>
      <c r="R838" s="2"/>
      <c r="S838" s="2"/>
      <c r="T838" s="2"/>
      <c r="U838" s="2"/>
      <c r="V838" s="2"/>
      <c r="W838" s="2"/>
      <c r="X838" s="2"/>
      <c r="Y838" s="2"/>
      <c r="Z838" s="2"/>
      <c r="AA838" s="2"/>
    </row>
    <row r="839">
      <c r="A839" s="3" t="s">
        <v>2010</v>
      </c>
      <c r="B839" s="1" t="s">
        <v>2730</v>
      </c>
      <c r="C839" s="1" t="s">
        <v>2731</v>
      </c>
      <c r="D839" s="1" t="s">
        <v>2732</v>
      </c>
      <c r="E839" s="2" t="str">
        <f>IFERROR(__xludf.DUMMYFUNCTION("GOOGLETRANSLATE(C839, ""en"", ""TL"")"),"Sa Pilipinas, ang pananagutan sa mga online marketplace para sa pagpapadali sa mga mapanlinlang na transaksyon ay posible sa ilang partikular na sitwasyon. Narito ang isang breakdown ng legal na tanawin:
**Limited Liability sa ilalim ng ECE Act:**
Katulad"&amp;" ng maraming bansa, ang Philippine Electronic Commerce Act (ECE Act of 2000) ay nag-aalok ng ilang proteksyon sa mga online marketplace. Ang Seksyon 230 ay nagbibigay ng kaligtasan sa mga platform na ito, sa pangkalahatan ay pumipigil sa kanila na managot"&amp;" para sa nilalamang naka-host sa kanilang mga site (ibig sabihin, mga listahan mula sa mga mapanlinlang na nagbebenta).
**Mga Pagbubukod sa Marketplace Immunity:**
Gayunpaman, ang kaligtasan sa sakit na ito ay hindi ganap. Ang mga online marketplace ay ma"&amp;"aaring panagutin kung sila ay:
* **Alam na Pahintulutan ang Ilegal na Aktibidad:** Kung ang isang marketplace ay sadyang nagpapahintulot sa platform nito na gamitin para sa mga ilegal na aktibidad, tulad ng malakihang mga scam, at mabibigong kumilos sa ka"&amp;"bila ng mga red flag, maaari silang managot. Ang pagpapatunay sa kaalamang ito ay maaaring maging mahirap.
* **Balewalain ang Mataas na Panganib ng Panloloko:** Kung binabalewala ng isang marketplace ang paulit-ulit na reklamo tungkol sa isang partikular "&amp;"na nagbebenta o isang partikular na uri ng scam na laganap sa kanilang platform, at hindi nagpapatupad ng mga hakbang sa pag-iwas, maaari silang makita na pumikit sa mapanlinlang na aktibidad.
* **Nabigong Sumunod sa KYC (Know Your Customer):** Hinihiling"&amp;" sa kanila ng mga regulasyon sa marketplace na i-verify ang pagkakakilanlan ng kanilang mga nagbebenta (mga negosyong gumagamit ng platform) sa pamamagitan ng mga pamamaraan ng KYC. Kung nabigo ang isang marketplace na sundin ang mga panuntunang ito ng KY"&amp;"C at pinahihintulutan ang isang hindi kilalang nagbebenta na gumana sa kanilang platform, maaari silang managot nang higit kung ang nagbebentang iyon ay gumawa ng panloloko.
**Mga Batas sa Proteksyon ng Consumer:**
Priyoridad ng Pilipinas ang proteksyon n"&amp;"g mga mamimili. Habang umuunlad pa rin ang mga legal na interpretasyon, ang mga kaso sa korte sa hinaharap ay maaaring magtatag ng higit pang responsibilidad para sa mga online marketplace tungkol sa mga scam na nangyayari sa kanilang mga platform.
**Mga "&amp;"Hamon sa Pananagutan ng Mga Marketplace:**
* **Burden of Proof:** Ang pasanin ng patunay ay nasa iyo upang ipakita na alam o dapat na alam ng marketplace ang tungkol sa mapanlinlang na aktibidad.
* **Mga Kumplikado ng Mga Online na Transaksyon:** Ang pags"&amp;"ubaybay sa daloy ng mga pondo sa mga online na scam ay maaaring maging mahirap, lalo na sa mga hangganan.
* **Mga Gastos ng Litigation:** Ang pagdemanda sa isang malaking online na marketplace ay maaaring magastos at nakakaubos ng oras.
**Mga Alternatibon"&amp;"g Pagpipilian:**
* **Iulat ang Scam:** Iulat ang scam sa mismong platform at sa Philippine National Police Anti-Cybercrime Group (ACG) [https://acg.pnp.gov.ph/](https://acg. pnp.gov.ph/). Tinutulungan ng pag-uulat ang platform na matukoy ang mga mapanlinl"&amp;"ang na nagbebenta at imbestigahan ng ACG ang krimen.
* **Chargeback:** Kung gumamit ka ng credit card para sa mapanlinlang na transaksyon, maaari kang humiling ng chargeback mula sa iyong bangko.
* **Resolution ng Dispute:** Maraming mga online marketplac"&amp;"e ang may mga mekanismo sa pagresolba ng hindi pagkakaunawaan. Gamitin ang mga opsyong ito para maghain ng claim laban sa nagbebenta. **Pagkonsulta sa isang Abogado:**
* Maaaring payuhan ka ng isang abogado na dalubhasa sa cybercrime o proteksyon ng consu"&amp;"mer tungkol sa mga partikular na kalagayan ng iyong kaso at ang potensyal na panagutin ang online marketplace. Maaari nilang tasahin ang mga hamon at tuklasin ang mga alternatibong opsyon para mabawi ang iyong mga pagkalugi.
**Tandaan:**
Ang matagumpay na"&amp;" pagpapanagot sa isang online marketplace para sa isang mapanlinlang na transaksyon ay kumplikado. Habang umuunlad ang legal na balangkas upang mag-alok ng higit pang proteksyon ng consumer, nananatiling mataas ang pasanin ng patunay. Ang pag-uulat ng sca"&amp;"m at paghahangad ng mga alternatibong opsyon ay maaaring mas praktikal na paraan sa maraming sitwasyon.")</f>
        <v>Sa Pilipinas, ang pananagutan sa mga online marketplace para sa pagpapadali sa mga mapanlinlang na transaksyon ay posible sa ilang partikular na sitwasyon. Narito ang isang breakdown ng legal na tanawin:
**Limited Liability sa ilalim ng ECE Act:**
Katulad ng maraming bansa, ang Philippine Electronic Commerce Act (ECE Act of 2000) ay nag-aalok ng ilang proteksyon sa mga online marketplace. Ang Seksyon 230 ay nagbibigay ng kaligtasan sa mga platform na ito, sa pangkalahatan ay pumipigil sa kanila na managot para sa nilalamang naka-host sa kanilang mga site (ibig sabihin, mga listahan mula sa mga mapanlinlang na nagbebenta).
**Mga Pagbubukod sa Marketplace Immunity:**
Gayunpaman, ang kaligtasan sa sakit na ito ay hindi ganap. Ang mga online marketplace ay maaaring panagutin kung sila ay:
* **Alam na Pahintulutan ang Ilegal na Aktibidad:** Kung ang isang marketplace ay sadyang nagpapahintulot sa platform nito na gamitin para sa mga ilegal na aktibidad, tulad ng malakihang mga scam, at mabibigong kumilos sa kabila ng mga red flag, maaari silang managot. Ang pagpapatunay sa kaalamang ito ay maaaring maging mahirap.
* **Balewalain ang Mataas na Panganib ng Panloloko:** Kung binabalewala ng isang marketplace ang paulit-ulit na reklamo tungkol sa isang partikular na nagbebenta o isang partikular na uri ng scam na laganap sa kanilang platform, at hindi nagpapatupad ng mga hakbang sa pag-iwas, maaari silang makita na pumikit sa mapanlinlang na aktibidad.
* **Nabigong Sumunod sa KYC (Know Your Customer):** Hinihiling sa kanila ng mga regulasyon sa marketplace na i-verify ang pagkakakilanlan ng kanilang mga nagbebenta (mga negosyong gumagamit ng platform) sa pamamagitan ng mga pamamaraan ng KYC. Kung nabigo ang isang marketplace na sundin ang mga panuntunang ito ng KYC at pinahihintulutan ang isang hindi kilalang nagbebenta na gumana sa kanilang platform, maaari silang managot nang higit kung ang nagbebentang iyon ay gumawa ng panloloko.
**Mga Batas sa Proteksyon ng Consumer:**
Priyoridad ng Pilipinas ang proteksyon ng mga mamimili. Habang umuunlad pa rin ang mga legal na interpretasyon, ang mga kaso sa korte sa hinaharap ay maaaring magtatag ng higit pang responsibilidad para sa mga online marketplace tungkol sa mga scam na nangyayari sa kanilang mga platform.
**Mga Hamon sa Pananagutan ng Mga Marketplace:**
* **Burden of Proof:** Ang pasanin ng patunay ay nasa iyo upang ipakita na alam o dapat na alam ng marketplace ang tungkol sa mapanlinlang na aktibidad.
* **Mga Kumplikado ng Mga Online na Transaksyon:** Ang pagsubaybay sa daloy ng mga pondo sa mga online na scam ay maaaring maging mahirap, lalo na sa mga hangganan.
* **Mga Gastos ng Litigation:** Ang pagdemanda sa isang malaking online na marketplace ay maaaring magastos at nakakaubos ng oras.
**Mga Alternatibong Pagpipilian:**
* **Iulat ang Scam:** Iulat ang scam sa mismong platform at sa Philippine National Police Anti-Cybercrime Group (ACG) [https://acg.pnp.gov.ph/](https://acg. pnp.gov.ph/). Tinutulungan ng pag-uulat ang platform na matukoy ang mga mapanlinlang na nagbebenta at imbestigahan ng ACG ang krimen.
* **Chargeback:** Kung gumamit ka ng credit card para sa mapanlinlang na transaksyon, maaari kang humiling ng chargeback mula sa iyong bangko.
* **Resolution ng Dispute:** Maraming mga online marketplace ang may mga mekanismo sa pagresolba ng hindi pagkakaunawaan. Gamitin ang mga opsyong ito para maghain ng claim laban sa nagbebenta. **Pagkonsulta sa isang Abogado:**
* Maaaring payuhan ka ng isang abogado na dalubhasa sa cybercrime o proteksyon ng consumer tungkol sa mga partikular na kalagayan ng iyong kaso at ang potensyal na panagutin ang online marketplace. Maaari nilang tasahin ang mga hamon at tuklasin ang mga alternatibong opsyon para mabawi ang iyong mga pagkalugi.
**Tandaan:**
Ang matagumpay na pagpapanagot sa isang online marketplace para sa isang mapanlinlang na transaksyon ay kumplikado. Habang umuunlad ang legal na balangkas upang mag-alok ng higit pang proteksyon ng consumer, nananatiling mataas ang pasanin ng patunay. Ang pag-uulat ng scam at paghahangad ng mga alternatibong opsyon ay maaaring mas praktikal na paraan sa maraming sitwasyon.</v>
      </c>
      <c r="F839" s="2">
        <f t="shared" si="1"/>
        <v>0</v>
      </c>
      <c r="G839" s="2"/>
      <c r="H839" s="2"/>
      <c r="I839" s="2"/>
      <c r="J839" s="2"/>
      <c r="K839" s="2"/>
      <c r="L839" s="2"/>
      <c r="M839" s="2"/>
      <c r="N839" s="2"/>
      <c r="O839" s="2"/>
      <c r="P839" s="2"/>
      <c r="Q839" s="2"/>
      <c r="R839" s="2"/>
      <c r="S839" s="2"/>
      <c r="T839" s="2"/>
      <c r="U839" s="2"/>
      <c r="V839" s="2"/>
      <c r="W839" s="2"/>
      <c r="X839" s="2"/>
      <c r="Y839" s="2"/>
      <c r="Z839" s="2"/>
      <c r="AA839" s="2"/>
    </row>
    <row r="840">
      <c r="A840" s="3" t="s">
        <v>2010</v>
      </c>
      <c r="B840" s="1" t="s">
        <v>2733</v>
      </c>
      <c r="C840" s="1" t="s">
        <v>2734</v>
      </c>
      <c r="D840" s="1" t="s">
        <v>2735</v>
      </c>
      <c r="E840" s="2" t="str">
        <f>IFERROR(__xludf.DUMMYFUNCTION("GOOGLETRANSLATE(C840, ""en"", ""TL"")"),"Ang pagtanggap ng ebidensya sa isang kaso sa korte na kinasasangkutan ng online scam sa Pilipinas ay nakasalalay sa iba't ibang salik. Narito kung ano ang maaari mong gawin upang mapataas ang pagkakataong matanggap ang iyong ebidensya:
**Pagpapanatili ng "&amp;"Chain of Custody:**
* Gumawa ng talaan kung paano mo nakuha at inimbak ang bawat piraso ng ebidensya. Ito ay maaaring maging partikular na mahalaga para sa mga digital na ebidensya tulad ng mga email, mensahe, o mga talaan ng transaksyon. * Iwasang baguhi"&amp;"n o baguhin ang ebidensya sa anumang paraan. **Dokumentasyon:**
* Malinaw na idokumento ang petsa at oras na nakuha mo ang bawat piraso ng ebidensya. * Kung maaari, tandaan kung paano mo nakuha ang ebidensya (hal., nag-download ng screenshot, nag-print ng"&amp;" email).
**Originals vs. Copy:**
* Sa pangkalahatan, ang mga orihinal na dokumento ay mas pinipili bilang ebidensya. Gayunpaman, kung hindi available ang mga orihinal, maaaring tanggapin kung minsan ang mga malinaw at hindi nabagong kopya.
**Testimonya ng"&amp;" Saksi:**
* Kung ang ibang tao ay may kaalaman sa scam o maaaring patunayan ang iyong karanasan, isaalang-alang ang pagkuha ng nakasulat na pahayag ng saksi mula sa kanila.
**Pag-uulat ng Scam:**
* Ang pag-uulat ng scam sa Philippine National Police Anti-"&amp;"Cybercrime Group (ACG) [https://acg.pnp.gov.ph/](https://acg.pnp.gov.ph/) ay nagpapatibay sa iyong kaso. Ang ACG ay maaaring maayos na mangolekta at magdokumento ng ebidensya ayon sa mga legal na kinakailangan. **Pagkonsulta sa isang Abogado:**
* Maaaring"&amp;" payuhan ka ng isang abogado na dalubhasa sa cybercrime o proteksyon ng consumer sa pinakamahusay na paraan upang mapanatili at maipakita ang iyong ebidensya sa korte. Maaari nilang matiyak na ang iyong mga paraan ng pangongolekta ng ebidensya ay nakakatu"&amp;"gon sa mga legal na pamantayan at mapabuti ang pagiging matanggap ng iyong mga dokumento.
**Narito ang ilang karagdagang puntong dapat isaalang-alang:**
* Ang mga partikular na kinakailangan para sa pagtanggap ng ebidensya ay maaaring mag-iba depende sa u"&amp;"ri ng scam at uri ng kaso sa korte.
* Ang mga tuntunin ng ebidensya ay maaaring kumplikado. Huwag mag-atubiling kumunsulta sa isang abogado upang matiyak na ang iyong ebidensya ay pinangangasiwaan nang naaangkop.
**Tandaan:**
Bagama't maaari kang gumawa n"&amp;"g mga hakbang upang palakasin ang pagiging matanggap ng iyong ebidensya, ang pinakahuling desisyon ay nakasalalay sa hukom. Maaaring gabayan ka ng isang abogado sa legal na proseso at epektibong mag-navigate sa sistema ng hukuman.")</f>
        <v>Ang pagtanggap ng ebidensya sa isang kaso sa korte na kinasasangkutan ng online scam sa Pilipinas ay nakasalalay sa iba't ibang salik. Narito kung ano ang maaari mong gawin upang mapataas ang pagkakataong matanggap ang iyong ebidensya:
**Pagpapanatili ng Chain of Custody:**
* Gumawa ng talaan kung paano mo nakuha at inimbak ang bawat piraso ng ebidensya. Ito ay maaaring maging partikular na mahalaga para sa mga digital na ebidensya tulad ng mga email, mensahe, o mga talaan ng transaksyon. * Iwasang baguhin o baguhin ang ebidensya sa anumang paraan. **Dokumentasyon:**
* Malinaw na idokumento ang petsa at oras na nakuha mo ang bawat piraso ng ebidensya. * Kung maaari, tandaan kung paano mo nakuha ang ebidensya (hal., nag-download ng screenshot, nag-print ng email).
**Originals vs. Copy:**
* Sa pangkalahatan, ang mga orihinal na dokumento ay mas pinipili bilang ebidensya. Gayunpaman, kung hindi available ang mga orihinal, maaaring tanggapin kung minsan ang mga malinaw at hindi nabagong kopya.
**Testimonya ng Saksi:**
* Kung ang ibang tao ay may kaalaman sa scam o maaaring patunayan ang iyong karanasan, isaalang-alang ang pagkuha ng nakasulat na pahayag ng saksi mula sa kanila.
**Pag-uulat ng Scam:**
* Ang pag-uulat ng scam sa Philippine National Police Anti-Cybercrime Group (ACG) [https://acg.pnp.gov.ph/](https://acg.pnp.gov.ph/) ay nagpapatibay sa iyong kaso. Ang ACG ay maaaring maayos na mangolekta at magdokumento ng ebidensya ayon sa mga legal na kinakailangan. **Pagkonsulta sa isang Abogado:**
* Maaaring payuhan ka ng isang abogado na dalubhasa sa cybercrime o proteksyon ng consumer sa pinakamahusay na paraan upang mapanatili at maipakita ang iyong ebidensya sa korte. Maaari nilang matiyak na ang iyong mga paraan ng pangongolekta ng ebidensya ay nakakatugon sa mga legal na pamantayan at mapabuti ang pagiging matanggap ng iyong mga dokumento.
**Narito ang ilang karagdagang puntong dapat isaalang-alang:**
* Ang mga partikular na kinakailangan para sa pagtanggap ng ebidensya ay maaaring mag-iba depende sa uri ng scam at uri ng kaso sa korte.
* Ang mga tuntunin ng ebidensya ay maaaring kumplikado. Huwag mag-atubiling kumunsulta sa isang abogado upang matiyak na ang iyong ebidensya ay pinangangasiwaan nang naaangkop.
**Tandaan:**
Bagama't maaari kang gumawa ng mga hakbang upang palakasin ang pagiging matanggap ng iyong ebidensya, ang pinakahuling desisyon ay nakasalalay sa hukom. Maaaring gabayan ka ng isang abogado sa legal na proseso at epektibong mag-navigate sa sistema ng hukuman.</v>
      </c>
      <c r="F840" s="2">
        <f t="shared" si="1"/>
        <v>0</v>
      </c>
      <c r="G840" s="2"/>
      <c r="H840" s="2"/>
      <c r="I840" s="2"/>
      <c r="J840" s="2"/>
      <c r="K840" s="2"/>
      <c r="L840" s="2"/>
      <c r="M840" s="2"/>
      <c r="N840" s="2"/>
      <c r="O840" s="2"/>
      <c r="P840" s="2"/>
      <c r="Q840" s="2"/>
      <c r="R840" s="2"/>
      <c r="S840" s="2"/>
      <c r="T840" s="2"/>
      <c r="U840" s="2"/>
      <c r="V840" s="2"/>
      <c r="W840" s="2"/>
      <c r="X840" s="2"/>
      <c r="Y840" s="2"/>
      <c r="Z840" s="2"/>
      <c r="AA840" s="2"/>
    </row>
    <row r="841">
      <c r="A841" s="3" t="s">
        <v>2010</v>
      </c>
      <c r="B841" s="1" t="s">
        <v>2736</v>
      </c>
      <c r="C841" s="1" t="s">
        <v>2737</v>
      </c>
      <c r="D841" s="1" t="s">
        <v>2738</v>
      </c>
      <c r="E841" s="2" t="str">
        <f>IFERROR(__xludf.DUMMYFUNCTION("GOOGLETRANSLATE(C841, ""en"", ""TL"")"),"Sa Pilipinas, ang paghahabol ng legal na aksyon laban sa mga indibidwal na hindi alam na tumutulong sa mga scammer ay karaniwang hindi magiging matagumpay. Narito kung bakit:
* **Kakulangan ng Layunin:** Para sa karamihan ng mga sibil at kriminal na kaso,"&amp;" ang layunin ay gumaganap ng isang mahalagang papel. Kung may isang taong hindi sinasadyang tumulong sa isang scammer, wala silang kinakailangang malisyosong layunin na kinakailangan para sa legal na pananagutan.
* **Hirap na Patunayan ang Kaalaman:** Ang"&amp;" pagpapakita na alam ng isang tao na tinutulungan nila ang isang scam ay maaaring maging napakahirap. Baka sila mismo ang naligaw ng scammer.
* **Limited Legal Precedent:** Walang malakas na legal na pamarisan sa Pilipinas para sa pananagutan ng mga hindi"&amp;" alam na kasabwat sa mga online scam.
**Gayunpaman, may ilang mga nuances na dapat isaalang-alang:**
* **Kapabayaan:** Sa mga bihirang kaso, kung ang isang tao ay kumilos nang may matinding kapabayaan na nagpapadali sa isang scam, maaaring may posibilidad"&amp;" ng legal na aksyon batay sa mga batas sa kapabayaan. Gayunpaman, ang pagpapatunay ng gayong kapabayaan ay magiging isang mataas na bar.
* **Mga Obligasyon sa Kontraktwal:** Kung ang hindi nakakaalam na indibidwal ay may obligasyong kontraktwal na i-verif"&amp;"y ang impormasyon o kumilos nang may partikular na antas ng angkop na pagsusumikap (hal., isang empleyado ng serbisyo sa paglilipat ng pera), at ang kanilang kabiguan na gawin ito ay direktang nag-ambag sa scam, maaaring may potensyal na pananagutan sa ko"&amp;"ntrata.
**Mga Alternatibong Pamamaraan:**
* **Iulat ang Scam:** Iulat ang insidente sa Philippine National Police Anti-Cybercrime Group (ACG) [https://acg.pnp.gov.ph/](https://acg.pnp.gov.ph /). Makakatulong ito sa kanila na imbestigahan ang scam at posib"&amp;"leng masubaybayan ang mga pangunahing salarin.
* **Itaas ang Kamalayan:** Kung hindi sinasadyang tinulungan ng indibidwal ang scam dahil sa kakulangan ng kaalaman, isaalang-alang ang pagtuturo sa kanila tungkol sa mga karaniwang taktika ng scam upang maiw"&amp;"asan ang paglahok sa hinaharap.
* **Tumuon sa Pagbawi ng Pagkalugi:** Sa halip na magsagawa ng legal na aksyon laban sa hindi kilalang kasabwat, ituon ang iyong mga pagsisikap sa pagbawi sa iyong mga pagkalugi mula sa aktwal na scammer o pag-explore ng mg"&amp;"a alternatibong opsyon tulad ng mga claim sa insurance o chargeback (kung naaangkop).
**Pagkonsulta sa isang Abogado:**
* Bagama't malabong maging matagumpay ang legal na aksyon laban sa mga hindi nakakaalam na kasabwat, maaaring payuhan ka ng isang aboga"&amp;"do na dalubhasa sa cybercrime o proteksyon ng consumer sa iyong partikular na kaso at tuklasin ang lahat ng potensyal na opsyon. **Tandaan:**
Ang focus ay dapat sa pagtukoy at pagtigil sa mga tunay na scammer. Maliban kung ang hindi nakakaalam na indibidw"&amp;"al ay kumilos nang may kapabayaan o lumabag sa isang kontraktwal na obligasyon, ang paghahabol ng legal na aksyon laban sa kanila ay malamang na maging isang mahirap at potensyal na hindi matagumpay na pagsisikap.")</f>
        <v>Sa Pilipinas, ang paghahabol ng legal na aksyon laban sa mga indibidwal na hindi alam na tumutulong sa mga scammer ay karaniwang hindi magiging matagumpay. Narito kung bakit:
* **Kakulangan ng Layunin:** Para sa karamihan ng mga sibil at kriminal na kaso, ang layunin ay gumaganap ng isang mahalagang papel. Kung may isang taong hindi sinasadyang tumulong sa isang scammer, wala silang kinakailangang malisyosong layunin na kinakailangan para sa legal na pananagutan.
* **Hirap na Patunayan ang Kaalaman:** Ang pagpapakita na alam ng isang tao na tinutulungan nila ang isang scam ay maaaring maging napakahirap. Baka sila mismo ang naligaw ng scammer.
* **Limited Legal Precedent:** Walang malakas na legal na pamarisan sa Pilipinas para sa pananagutan ng mga hindi alam na kasabwat sa mga online scam.
**Gayunpaman, may ilang mga nuances na dapat isaalang-alang:**
* **Kapabayaan:** Sa mga bihirang kaso, kung ang isang tao ay kumilos nang may matinding kapabayaan na nagpapadali sa isang scam, maaaring may posibilidad ng legal na aksyon batay sa mga batas sa kapabayaan. Gayunpaman, ang pagpapatunay ng gayong kapabayaan ay magiging isang mataas na bar.
* **Mga Obligasyon sa Kontraktwal:** Kung ang hindi nakakaalam na indibidwal ay may obligasyong kontraktwal na i-verify ang impormasyon o kumilos nang may partikular na antas ng angkop na pagsusumikap (hal., isang empleyado ng serbisyo sa paglilipat ng pera), at ang kanilang kabiguan na gawin ito ay direktang nag-ambag sa scam, maaaring may potensyal na pananagutan sa kontrata.
**Mga Alternatibong Pamamaraan:**
* **Iulat ang Scam:** Iulat ang insidente sa Philippine National Police Anti-Cybercrime Group (ACG) [https://acg.pnp.gov.ph/](https://acg.pnp.gov.ph /). Makakatulong ito sa kanila na imbestigahan ang scam at posibleng masubaybayan ang mga pangunahing salarin.
* **Itaas ang Kamalayan:** Kung hindi sinasadyang tinulungan ng indibidwal ang scam dahil sa kakulangan ng kaalaman, isaalang-alang ang pagtuturo sa kanila tungkol sa mga karaniwang taktika ng scam upang maiwasan ang paglahok sa hinaharap.
* **Tumuon sa Pagbawi ng Pagkalugi:** Sa halip na magsagawa ng legal na aksyon laban sa hindi kilalang kasabwat, ituon ang iyong mga pagsisikap sa pagbawi sa iyong mga pagkalugi mula sa aktwal na scammer o pag-explore ng mga alternatibong opsyon tulad ng mga claim sa insurance o chargeback (kung naaangkop).
**Pagkonsulta sa isang Abogado:**
* Bagama't malabong maging matagumpay ang legal na aksyon laban sa mga hindi nakakaalam na kasabwat, maaaring payuhan ka ng isang abogado na dalubhasa sa cybercrime o proteksyon ng consumer sa iyong partikular na kaso at tuklasin ang lahat ng potensyal na opsyon. **Tandaan:**
Ang focus ay dapat sa pagtukoy at pagtigil sa mga tunay na scammer. Maliban kung ang hindi nakakaalam na indibidwal ay kumilos nang may kapabayaan o lumabag sa isang kontraktwal na obligasyon, ang paghahabol ng legal na aksyon laban sa kanila ay malamang na maging isang mahirap at potensyal na hindi matagumpay na pagsisikap.</v>
      </c>
      <c r="F841" s="2">
        <f t="shared" si="1"/>
        <v>0</v>
      </c>
      <c r="G841" s="2"/>
      <c r="H841" s="2"/>
      <c r="I841" s="2"/>
      <c r="J841" s="2"/>
      <c r="K841" s="2"/>
      <c r="L841" s="2"/>
      <c r="M841" s="2"/>
      <c r="N841" s="2"/>
      <c r="O841" s="2"/>
      <c r="P841" s="2"/>
      <c r="Q841" s="2"/>
      <c r="R841" s="2"/>
      <c r="S841" s="2"/>
      <c r="T841" s="2"/>
      <c r="U841" s="2"/>
      <c r="V841" s="2"/>
      <c r="W841" s="2"/>
      <c r="X841" s="2"/>
      <c r="Y841" s="2"/>
      <c r="Z841" s="2"/>
      <c r="AA841" s="2"/>
    </row>
    <row r="842">
      <c r="A842" s="3" t="s">
        <v>2010</v>
      </c>
      <c r="B842" s="1" t="s">
        <v>2739</v>
      </c>
      <c r="C842" s="1" t="s">
        <v>2740</v>
      </c>
      <c r="D842" s="1" t="s">
        <v>2741</v>
      </c>
      <c r="E842" s="2" t="str">
        <f>IFERROR(__xludf.DUMMYFUNCTION("GOOGLETRANSLATE(C842, ""en"", ""TL"")"),"Narito ang ilang pangunahing pag-iingat na maaari mong gawin upang maiwasan ang mga scam kapag nagsasagawa ng mga online na transaksyon sa Pilipinas:
**Bago Ka Bumili:**
* **Magsaliksik sa Nagbebenta/Platform:** Bago bumili, magsaliksik sa nagbebenta o pl"&amp;"atform na iyong isinasaalang-alang. Maghanap ng mga online na review, suriin ang kanilang pagiging lehitimo, at tiyaking mayroon silang secure na website na may malinaw na impormasyon sa pakikipag-ugnayan. * **Mag-ingat sa Mga Hindi Makatotohanang Deal:**"&amp;" Kung ang isang bagay ay mukhang napakagandang totoo, malamang na totoo. Mag-ingat sa mga alok na may makabuluhang mas mababang presyo kaysa sa halaga ng merkado. * **Gumamit ng Mga Secure na Paraan ng Pagbabayad:** Hangga't maaari, gumamit ng mga secure "&amp;"na paraan ng pagbabayad tulad ng mga credit card na may proteksyon ng mamimili o mga platform na may mga serbisyong escrow na may hawak ng mga pondo hanggang sa matanggap mo ang produkto tulad ng inilarawan. Iwasan ang mga direktang bank transfer o mga pa"&amp;"gbabayad ng cash maliban kung pakikitungo sa isang taong lubos mong pinagkakatiwalaan.
**Sa panahon ng Transaksyon:**
* **I-verify ang Impormasyon:** I-double check ang mga paglalarawan ng produkto, pagpepresyo, at mga detalye ng pagpapadala bago i-finali"&amp;"ze ang pagbili. * **Mag-ingat sa Mga Phishing Link:** Huwag mag-click sa mga kahina-hinalang link o attachment sa mga email o mensahe, lalo na kung ang mga ito ay nagmula sa mga lehitimong kumpanya. * **Gumamit ng Mga Malakas na Password at MFA:** Palagin"&amp;"g gumamit ng malalakas at natatanging password para sa iyong mga online na account at paganahin ang multi-factor authentication (MFA) para sa karagdagang seguridad. * **Secure na Wi-Fi:** Iwasang gumamit ng mga pampublikong Wi-Fi network para sa mga sensi"&amp;"tibong transaksyon tulad ng online shopping. Kung kailangan mong gumamit ng pampublikong Wi-Fi, isaalang-alang ang paggamit ng Virtual Private Network (VPN) upang i-encrypt ang iyong koneksyon.
**Pagkatapos ng Pagbili:**
* **Subaybayan ang Iyong Order:** "&amp;"Subaybayan ang iyong order at inaasahang timeframe ng paghahatid. * **Mag-ingat sa Mga Kahilingan sa Pagbabago:** Huwag sumang-ayon sa mga hindi inaasahang pagbabago sa mga paraan ng pagbabayad o mga address ng paghahatid pagkatapos mag-order.
* **Panatil"&amp;"ihin ang Mga Tala:** Panatilihin ang mga kopya ng mga resibo, pagkumpirma ng order, at pakikipag-ugnayan sa nagbebenta para sa sanggunian sa hinaharap.
**Mga Karagdagang Tip:**
* **Mag-ingat sa Mga Pressure Tactics:** Ang mga scammer ay madalas na nagsisi"&amp;"kap na lumikha ng isang pakiramdam ng pagkaapurahan upang pilitin ka sa paggawa ng isang mabilis na desisyon. Maglaan ng oras at huwag matakot na lumayo sa isang deal na nakakapaghinala.
* **Trust Your Gut:** Kung may nararamdamang mali tungkol sa isang t"&amp;"ransaksyon, malamang na mali. Huwag mag-atubiling magtiwala sa iyong instincts at iwasang dumaan dito.
* **Mag-ulat ng Kahina-hinalang Aktibidad:** Kung may hinala kang scam, iulat ito sa platform kung saan nangyari ang transaksyon at sa Philippine Nation"&amp;"al Police Anti-Cybercrime Group (ACG) [https://acg.pnp.gov.ph/ ](https://acg.pnp.gov.ph/).
**Manatiling Alam:**
* Maging pamilyar sa mga karaniwang taktika ng online scam. Ang website ng Philippine National Police Anti-Cybercrime Group (ACG) o ang Departm"&amp;"ent of Trade and Industry (DTI) consumer protection resources [https://www.dti.gov.ph/konsyumer/consumer-education/](https:// www.dti.gov.ph/konsyumer/consumer-education/) ay maaaring may impormasyon sa mga kasalukuyang scam.
Sa pamamagitan ng pagsunod sa"&amp;" mga pag-iingat na ito at pananatiling may kaalaman, maaari mong makabuluhang bawasan ang iyong panganib na mabiktima ng mga online scam kapag nakikibahagi sa mga online na transaksyon sa Pilipinas. Tandaan, ang pagbabantay at isang malusog na dosis ng pa"&amp;"g-aalinlangan ay susi sa pagprotekta sa iyong sarili online.")</f>
        <v>Narito ang ilang pangunahing pag-iingat na maaari mong gawin upang maiwasan ang mga scam kapag nagsasagawa ng mga online na transaksyon sa Pilipinas:
**Bago Ka Bumili:**
* **Magsaliksik sa Nagbebenta/Platform:** Bago bumili, magsaliksik sa nagbebenta o platform na iyong isinasaalang-alang. Maghanap ng mga online na review, suriin ang kanilang pagiging lehitimo, at tiyaking mayroon silang secure na website na may malinaw na impormasyon sa pakikipag-ugnayan. * **Mag-ingat sa Mga Hindi Makatotohanang Deal:** Kung ang isang bagay ay mukhang napakagandang totoo, malamang na totoo. Mag-ingat sa mga alok na may makabuluhang mas mababang presyo kaysa sa halaga ng merkado. * **Gumamit ng Mga Secure na Paraan ng Pagbabayad:** Hangga't maaari, gumamit ng mga secure na paraan ng pagbabayad tulad ng mga credit card na may proteksyon ng mamimili o mga platform na may mga serbisyong escrow na may hawak ng mga pondo hanggang sa matanggap mo ang produkto tulad ng inilarawan. Iwasan ang mga direktang bank transfer o mga pagbabayad ng cash maliban kung pakikitungo sa isang taong lubos mong pinagkakatiwalaan.
**Sa panahon ng Transaksyon:**
* **I-verify ang Impormasyon:** I-double check ang mga paglalarawan ng produkto, pagpepresyo, at mga detalye ng pagpapadala bago i-finalize ang pagbili. * **Mag-ingat sa Mga Phishing Link:** Huwag mag-click sa mga kahina-hinalang link o attachment sa mga email o mensahe, lalo na kung ang mga ito ay nagmula sa mga lehitimong kumpanya. * **Gumamit ng Mga Malakas na Password at MFA:** Palaging gumamit ng malalakas at natatanging password para sa iyong mga online na account at paganahin ang multi-factor authentication (MFA) para sa karagdagang seguridad. * **Secure na Wi-Fi:** Iwasang gumamit ng mga pampublikong Wi-Fi network para sa mga sensitibong transaksyon tulad ng online shopping. Kung kailangan mong gumamit ng pampublikong Wi-Fi, isaalang-alang ang paggamit ng Virtual Private Network (VPN) upang i-encrypt ang iyong koneksyon.
**Pagkatapos ng Pagbili:**
* **Subaybayan ang Iyong Order:** Subaybayan ang iyong order at inaasahang timeframe ng paghahatid. * **Mag-ingat sa Mga Kahilingan sa Pagbabago:** Huwag sumang-ayon sa mga hindi inaasahang pagbabago sa mga paraan ng pagbabayad o mga address ng paghahatid pagkatapos mag-order.
* **Panatilihin ang Mga Tala:** Panatilihin ang mga kopya ng mga resibo, pagkumpirma ng order, at pakikipag-ugnayan sa nagbebenta para sa sanggunian sa hinaharap.
**Mga Karagdagang Tip:**
* **Mag-ingat sa Mga Pressure Tactics:** Ang mga scammer ay madalas na nagsisikap na lumikha ng isang pakiramdam ng pagkaapurahan upang pilitin ka sa paggawa ng isang mabilis na desisyon. Maglaan ng oras at huwag matakot na lumayo sa isang deal na nakakapaghinala.
* **Trust Your Gut:** Kung may nararamdamang mali tungkol sa isang transaksyon, malamang na mali. Huwag mag-atubiling magtiwala sa iyong instincts at iwasang dumaan dito.
* **Mag-ulat ng Kahina-hinalang Aktibidad:** Kung may hinala kang scam, iulat ito sa platform kung saan nangyari ang transaksyon at sa Philippine National Police Anti-Cybercrime Group (ACG) [https://acg.pnp.gov.ph/ ](https://acg.pnp.gov.ph/).
**Manatiling Alam:**
* Maging pamilyar sa mga karaniwang taktika ng online scam. Ang website ng Philippine National Police Anti-Cybercrime Group (ACG) o ang Department of Trade and Industry (DTI) consumer protection resources [https://www.dti.gov.ph/konsyumer/consumer-education/](https:// www.dti.gov.ph/konsyumer/consumer-education/) ay maaaring may impormasyon sa mga kasalukuyang scam.
Sa pamamagitan ng pagsunod sa mga pag-iingat na ito at pananatiling may kaalaman, maaari mong makabuluhang bawasan ang iyong panganib na mabiktima ng mga online scam kapag nakikibahagi sa mga online na transaksyon sa Pilipinas. Tandaan, ang pagbabantay at isang malusog na dosis ng pag-aalinlangan ay susi sa pagprotekta sa iyong sarili online.</v>
      </c>
      <c r="F842" s="2">
        <f t="shared" si="1"/>
        <v>0</v>
      </c>
      <c r="G842" s="2"/>
      <c r="H842" s="2"/>
      <c r="I842" s="2"/>
      <c r="J842" s="2"/>
      <c r="K842" s="2"/>
      <c r="L842" s="2"/>
      <c r="M842" s="2"/>
      <c r="N842" s="2"/>
      <c r="O842" s="2"/>
      <c r="P842" s="2"/>
      <c r="Q842" s="2"/>
      <c r="R842" s="2"/>
      <c r="S842" s="2"/>
      <c r="T842" s="2"/>
      <c r="U842" s="2"/>
      <c r="V842" s="2"/>
      <c r="W842" s="2"/>
      <c r="X842" s="2"/>
      <c r="Y842" s="2"/>
      <c r="Z842" s="2"/>
      <c r="AA842" s="2"/>
    </row>
    <row r="843">
      <c r="A843" s="3" t="s">
        <v>2010</v>
      </c>
      <c r="B843" s="1" t="s">
        <v>2742</v>
      </c>
      <c r="C843" s="1" t="s">
        <v>2743</v>
      </c>
      <c r="D843" s="1" t="s">
        <v>2744</v>
      </c>
      <c r="E843" s="2" t="str">
        <f>IFERROR(__xludf.DUMMYFUNCTION("GOOGLETRANSLATE(C843, ""en"", ""TL"")"),"Kung makakakuha ka ng refund mula sa isang kumpanya sa Pilipinas na hindi namamalayang nagbenta sa iyo ng isang produkto ng scam ay depende sa ilang mga kadahilanan:
**Katangian ng Scam Product:**
* **Mga Pekeng Produkto:** Kung ang produkto ay isang peke"&amp;"ng bersyon ng isang lehitimong brand, maaaring may mga batayan ka para sa refund sa ilalim ng mga batas sa intelektwal na ari-arian. * **Mali o May Depektong Produkto:** Kung ang produkto ay may mali o may depekto, maaaring bigyan ka ng karapatan ng mga b"&amp;"atas sa proteksyon ng consumer sa Pilipinas sa refund o kapalit, kahit na hindi alam ng kumpanya na ito ay isang scam.
**Patakaran sa Pagbabalik ng Kumpanya:**
* Maraming kumpanya, kahit na ang mga lehitimong kumpanya, ay may mga patakaran sa pagbabalik n"&amp;"a nagbabalangkas ng mga partikular na kundisyon para sa pagkuha ng refund. Maingat na suriin ang kanilang patakaran sa pagbabalik upang maunawaan ang kanilang proseso at mga kinakailangan.
**Negosasyon at Komunikasyon:**
* Kahit na hindi alam ng kumpanya "&amp;"na nagbebenta sila ng produktong scam, ang pagpapaliwanag sa iyong sitwasyon at pagbibigay ng ebidensya (mga resibo, larawan, atbp.) ay maaaring humantong sa kanila na mag-alok ng refund bilang tanda ng mabuting kalooban, lalo na kung pinahahalagahan nila"&amp;" ang kasiyahan ng customer. **Narito ang ilang mapagkukunan na makakatulong:**
* **Department of Trade and Industry (DTI):** Ang DTI ay nagpapatupad ng mga batas sa proteksyon ng consumer sa Pilipinas. Ang kanilang website [invalid URL removed] ay nagbibi"&amp;"gay ng impormasyon sa iyong mga karapatan bilang consumer at kung paano maghain ng reklamo.
* **Philippine Online Dispute Resolution Center (ODRC):** Nag-aalok ang ODRC ng alternatibong mekanismo sa pagresolba ng hindi pagkakaunawaan para sa mga reklamo n"&amp;"g consumer na may kaugnayan sa mga online na transaksyon [https://podrs.dti.gov.ph/](https://podrs. dti.gov.ph/).
**Mga Karagdagang Pagsasaalang-alang:**
* **Mga Hamon sa Pagbawi ng mga Pondo:** Depende sa paraan ng pagbabayad at lokasyon ng nagbebenta, a"&amp;"ng pagbawi ng mga pondo ay maaaring maging kumplikado at matagal.
* **Cost-Effectiveness:** Kung mababa ang halaga ng produkto, maaaring hindi sulit ang paghabol ng refund sa pamamagitan ng mga legal na channel dahil sa mga potensyal na gastos.
**Rekomend"&amp;"asyon:**
* Magsimula sa pamamagitan ng direktang pakikipag-ugnayan sa kumpanya at pagpapaliwanag sa sitwasyon. Magbigay ng ebidensya at humiling ng refund batay sa produkto na may sira o peke (kung naaangkop). * Kung ang kumpanya ay hindi tumutugon o hind"&amp;"i nakakatulong, tuklasin ang mga opsyon sa DTI o isaalang-alang ang ODRC para sa paglutas ng hindi pagkakaunawaan.
* Kung mahalaga ang halaga ng produkto, kumunsulta sa isang abogado na dalubhasa sa proteksyon ng consumer upang maunawaan ang iyong mga leg"&amp;"al na opsyon at timbangin ang mga potensyal na benepisyo at gastos sa paghabol sa isang pormal na reklamo.
**Tandaan:**
Ang pagprotekta sa iyong sarili mula sa mga online na scam ay nangangailangan ng kumbinasyon ng pag-iingat at kaalaman. Sa pamamagitan "&amp;"ng pag-unawa sa iyong mga karapatan ng consumer at pagsasagawa ng mga kinakailangang pag-iingat, maaari mong bawasan ang panganib na ma-scam at madagdagan ang iyong mga pagkakataong makakuha ng refund kung may ganitong sitwasyon.")</f>
        <v>Kung makakakuha ka ng refund mula sa isang kumpanya sa Pilipinas na hindi namamalayang nagbenta sa iyo ng isang produkto ng scam ay depende sa ilang mga kadahilanan:
**Katangian ng Scam Product:**
* **Mga Pekeng Produkto:** Kung ang produkto ay isang pekeng bersyon ng isang lehitimong brand, maaaring may mga batayan ka para sa refund sa ilalim ng mga batas sa intelektwal na ari-arian. * **Mali o May Depektong Produkto:** Kung ang produkto ay may mali o may depekto, maaaring bigyan ka ng karapatan ng mga batas sa proteksyon ng consumer sa Pilipinas sa refund o kapalit, kahit na hindi alam ng kumpanya na ito ay isang scam.
**Patakaran sa Pagbabalik ng Kumpanya:**
* Maraming kumpanya, kahit na ang mga lehitimong kumpanya, ay may mga patakaran sa pagbabalik na nagbabalangkas ng mga partikular na kundisyon para sa pagkuha ng refund. Maingat na suriin ang kanilang patakaran sa pagbabalik upang maunawaan ang kanilang proseso at mga kinakailangan.
**Negosasyon at Komunikasyon:**
* Kahit na hindi alam ng kumpanya na nagbebenta sila ng produktong scam, ang pagpapaliwanag sa iyong sitwasyon at pagbibigay ng ebidensya (mga resibo, larawan, atbp.) ay maaaring humantong sa kanila na mag-alok ng refund bilang tanda ng mabuting kalooban, lalo na kung pinahahalagahan nila ang kasiyahan ng customer. **Narito ang ilang mapagkukunan na makakatulong:**
* **Department of Trade and Industry (DTI):** Ang DTI ay nagpapatupad ng mga batas sa proteksyon ng consumer sa Pilipinas. Ang kanilang website [invalid URL removed] ay nagbibigay ng impormasyon sa iyong mga karapatan bilang consumer at kung paano maghain ng reklamo.
* **Philippine Online Dispute Resolution Center (ODRC):** Nag-aalok ang ODRC ng alternatibong mekanismo sa pagresolba ng hindi pagkakaunawaan para sa mga reklamo ng consumer na may kaugnayan sa mga online na transaksyon [https://podrs.dti.gov.ph/](https://podrs. dti.gov.ph/).
**Mga Karagdagang Pagsasaalang-alang:**
* **Mga Hamon sa Pagbawi ng mga Pondo:** Depende sa paraan ng pagbabayad at lokasyon ng nagbebenta, ang pagbawi ng mga pondo ay maaaring maging kumplikado at matagal.
* **Cost-Effectiveness:** Kung mababa ang halaga ng produkto, maaaring hindi sulit ang paghabol ng refund sa pamamagitan ng mga legal na channel dahil sa mga potensyal na gastos.
**Rekomendasyon:**
* Magsimula sa pamamagitan ng direktang pakikipag-ugnayan sa kumpanya at pagpapaliwanag sa sitwasyon. Magbigay ng ebidensya at humiling ng refund batay sa produkto na may sira o peke (kung naaangkop). * Kung ang kumpanya ay hindi tumutugon o hindi nakakatulong, tuklasin ang mga opsyon sa DTI o isaalang-alang ang ODRC para sa paglutas ng hindi pagkakaunawaan.
* Kung mahalaga ang halaga ng produkto, kumunsulta sa isang abogado na dalubhasa sa proteksyon ng consumer upang maunawaan ang iyong mga legal na opsyon at timbangin ang mga potensyal na benepisyo at gastos sa paghabol sa isang pormal na reklamo.
**Tandaan:**
Ang pagprotekta sa iyong sarili mula sa mga online na scam ay nangangailangan ng kumbinasyon ng pag-iingat at kaalaman. Sa pamamagitan ng pag-unawa sa iyong mga karapatan ng consumer at pagsasagawa ng mga kinakailangang pag-iingat, maaari mong bawasan ang panganib na ma-scam at madagdagan ang iyong mga pagkakataong makakuha ng refund kung may ganitong sitwasyon.</v>
      </c>
      <c r="F843" s="2">
        <f t="shared" si="1"/>
        <v>0</v>
      </c>
      <c r="G843" s="2"/>
      <c r="H843" s="2"/>
      <c r="I843" s="2"/>
      <c r="J843" s="2"/>
      <c r="K843" s="2"/>
      <c r="L843" s="2"/>
      <c r="M843" s="2"/>
      <c r="N843" s="2"/>
      <c r="O843" s="2"/>
      <c r="P843" s="2"/>
      <c r="Q843" s="2"/>
      <c r="R843" s="2"/>
      <c r="S843" s="2"/>
      <c r="T843" s="2"/>
      <c r="U843" s="2"/>
      <c r="V843" s="2"/>
      <c r="W843" s="2"/>
      <c r="X843" s="2"/>
      <c r="Y843" s="2"/>
      <c r="Z843" s="2"/>
      <c r="AA843" s="2"/>
    </row>
    <row r="844">
      <c r="A844" s="3" t="s">
        <v>2010</v>
      </c>
      <c r="B844" s="1" t="s">
        <v>2745</v>
      </c>
      <c r="C844" s="1" t="s">
        <v>2746</v>
      </c>
      <c r="D844" s="1" t="s">
        <v>2747</v>
      </c>
      <c r="E844" s="2" t="str">
        <f>IFERROR(__xludf.DUMMYFUNCTION("GOOGLETRANSLATE(C844, ""en"", ""TL"")"),"Sa Pilipinas, ang pag-uulat ng mga online scam na nagta-target sa mga mahihinang populasyon ay napakahalaga upang matulungan ang mga awtoridad na masubaybayan ang mga may kasalanan at maprotektahan ang iba. Narito kung paano mo maiuulat ang mga ito:
**Phi"&amp;"lippine National Police Anti-Cybercrime Group (ACG):**
* **Pangunahing Katawan sa Pag-uulat:** Ang ACG ay dalubhasa sa pagsisiyasat sa mga cybercrime, kabilang ang mga online na scam. Mayroon silang website [https://acg.pnp.gov.ph/](https://acg.pnp.gov.ph"&amp;"/) kung saan maaari kang maghain ng online complaint form. * **Kailangan ang Impormasyon:** Kapag nagsampa ng reklamo, magbigay ng mas maraming detalye hangga't maaari, kabilang ang:
* Kalikasan ng scam.
* Paglalarawan ng (mga) scammer (kung kilala).
* Mg"&amp;"a tala ng komunikasyon (mga email, mensahe).
* Mga detalye ng transaksyong pinansyal (kung naaangkop).
* Impormasyon tungkol sa tinatarget na populasyong mahina (hal., matatanda, mga mag-aaral).
**Iba pang Mga Pagpipilian sa Pag-uulat:**
* **Department of"&amp;" Trade and Industry (DTI):** Kung ang scam ay nagsasangkot ng mga online na pagbili, maaari mo itong iulat sa DTI Consumer Protection Group. Bagama't maaaring hindi nila pinangangasiwaan ang mga pagsisiyasat ng kriminal, maaari silang tumulong sa mga kara"&amp;"patan ng consumer at posibleng mamagitan sa mga hindi pagkakaunawaan. Makikita mo ang kanilang online na form ng reklamo dito: [invalid URL removed].
**Pag-uulat na Partikular sa Platform:**
* **Mga Platform ng Social Media:** Maraming mga platform ng soc"&amp;"ial media (Facebook, Twitter) ang may built-in na mekanismo ng pag-uulat para sa mga kahina-hinalang profile o aktibidad. Iulat ang profile ng scammer at anumang nilalaman ng scam na nararanasan mo.
* **Online Marketplaces:** Kung nangyari ang scam sa isa"&amp;"ng online marketplace (Lazada, Shopee), iulat ang nagbebenta at ang mapanlinlang na aktibidad sa customer service o security team ng platform.
**Bakit Mahalaga ang Pag-uulat:**
* **Nadagdagang Kamalayan:** Nakakatulong ang pag-uulat na itaas ang kamalayan"&amp;" tungkol sa mga scam na nagta-target sa mga mahihinang populasyon. Nagbibigay-daan ito sa mga awtoridad na matukoy ang mga uso at mas epektibong i-target ang kanilang mga pagsisikap.
* **Potensyal na Pangangamba:** Ang iyong ulat ay maaaring maging mahala"&amp;"gang bahagi ng ebidensya para imbestigahan ng ACG at posibleng mahuli ang mga scammer.
* **Pagpigil:** Ang pag-uulat ay hindi hinihikayat ang mga hinaharap na scam sa pamamagitan ng pagpapahirap sa mga may kasalanan na malayang gumana.
**Mga Karagdagang T"&amp;"ip:**
* **Educate Others:** Magbahagi ng impormasyon tungkol sa mga karaniwang online na scam at kung paano maiiwasan ang mga ito, lalo na sa mga mahihinang populasyon na kilala mo o nakikipag-ugnayan.
* **Manatiling Alam:** Panatilihing updated ang iyong"&amp;" sarili sa mga pinakabagong online na taktika ng scam sa pamamagitan ng pagsunod sa mga mapagkakatiwalaang mapagkukunan tulad ng DTI o ACG.
**Tandaan:**
Ang pag-uulat ng mga online na scam ay nakakatulong na protektahan ang iyong sarili at ang iba mula sa"&amp;" pagiging biktima. Habang ang pagbawi sa iyong mga pagkalugi ay maaaring maging mahirap, ang iyong ulat ay maaaring mag-ambag sa pagtigil sa mga scammer at pag-iwas sa pinsala sa hinaharap.")</f>
        <v>Sa Pilipinas, ang pag-uulat ng mga online scam na nagta-target sa mga mahihinang populasyon ay napakahalaga upang matulungan ang mga awtoridad na masubaybayan ang mga may kasalanan at maprotektahan ang iba. Narito kung paano mo maiuulat ang mga ito:
**Philippine National Police Anti-Cybercrime Group (ACG):**
* **Pangunahing Katawan sa Pag-uulat:** Ang ACG ay dalubhasa sa pagsisiyasat sa mga cybercrime, kabilang ang mga online na scam. Mayroon silang website [https://acg.pnp.gov.ph/](https://acg.pnp.gov.ph/) kung saan maaari kang maghain ng online complaint form. * **Kailangan ang Impormasyon:** Kapag nagsampa ng reklamo, magbigay ng mas maraming detalye hangga't maaari, kabilang ang:
* Kalikasan ng scam.
* Paglalarawan ng (mga) scammer (kung kilala).
* Mga tala ng komunikasyon (mga email, mensahe).
* Mga detalye ng transaksyong pinansyal (kung naaangkop).
* Impormasyon tungkol sa tinatarget na populasyong mahina (hal., matatanda, mga mag-aaral).
**Iba pang Mga Pagpipilian sa Pag-uulat:**
* **Department of Trade and Industry (DTI):** Kung ang scam ay nagsasangkot ng mga online na pagbili, maaari mo itong iulat sa DTI Consumer Protection Group. Bagama't maaaring hindi nila pinangangasiwaan ang mga pagsisiyasat ng kriminal, maaari silang tumulong sa mga karapatan ng consumer at posibleng mamagitan sa mga hindi pagkakaunawaan. Makikita mo ang kanilang online na form ng reklamo dito: [invalid URL removed].
**Pag-uulat na Partikular sa Platform:**
* **Mga Platform ng Social Media:** Maraming mga platform ng social media (Facebook, Twitter) ang may built-in na mekanismo ng pag-uulat para sa mga kahina-hinalang profile o aktibidad. Iulat ang profile ng scammer at anumang nilalaman ng scam na nararanasan mo.
* **Online Marketplaces:** Kung nangyari ang scam sa isang online marketplace (Lazada, Shopee), iulat ang nagbebenta at ang mapanlinlang na aktibidad sa customer service o security team ng platform.
**Bakit Mahalaga ang Pag-uulat:**
* **Nadagdagang Kamalayan:** Nakakatulong ang pag-uulat na itaas ang kamalayan tungkol sa mga scam na nagta-target sa mga mahihinang populasyon. Nagbibigay-daan ito sa mga awtoridad na matukoy ang mga uso at mas epektibong i-target ang kanilang mga pagsisikap.
* **Potensyal na Pangangamba:** Ang iyong ulat ay maaaring maging mahalagang bahagi ng ebidensya para imbestigahan ng ACG at posibleng mahuli ang mga scammer.
* **Pagpigil:** Ang pag-uulat ay hindi hinihikayat ang mga hinaharap na scam sa pamamagitan ng pagpapahirap sa mga may kasalanan na malayang gumana.
**Mga Karagdagang Tip:**
* **Educate Others:** Magbahagi ng impormasyon tungkol sa mga karaniwang online na scam at kung paano maiiwasan ang mga ito, lalo na sa mga mahihinang populasyon na kilala mo o nakikipag-ugnayan.
* **Manatiling Alam:** Panatilihing updated ang iyong sarili sa mga pinakabagong online na taktika ng scam sa pamamagitan ng pagsunod sa mga mapagkakatiwalaang mapagkukunan tulad ng DTI o ACG.
**Tandaan:**
Ang pag-uulat ng mga online na scam ay nakakatulong na protektahan ang iyong sarili at ang iba mula sa pagiging biktima. Habang ang pagbawi sa iyong mga pagkalugi ay maaaring maging mahirap, ang iyong ulat ay maaaring mag-ambag sa pagtigil sa mga scammer at pag-iwas sa pinsala sa hinaharap.</v>
      </c>
      <c r="F844" s="2">
        <f t="shared" si="1"/>
        <v>0</v>
      </c>
      <c r="G844" s="2"/>
      <c r="H844" s="2"/>
      <c r="I844" s="2"/>
      <c r="J844" s="2"/>
      <c r="K844" s="2"/>
      <c r="L844" s="2"/>
      <c r="M844" s="2"/>
      <c r="N844" s="2"/>
      <c r="O844" s="2"/>
      <c r="P844" s="2"/>
      <c r="Q844" s="2"/>
      <c r="R844" s="2"/>
      <c r="S844" s="2"/>
      <c r="T844" s="2"/>
      <c r="U844" s="2"/>
      <c r="V844" s="2"/>
      <c r="W844" s="2"/>
      <c r="X844" s="2"/>
      <c r="Y844" s="2"/>
      <c r="Z844" s="2"/>
      <c r="AA844" s="2"/>
    </row>
    <row r="845">
      <c r="A845" s="3" t="s">
        <v>2010</v>
      </c>
      <c r="B845" s="1" t="s">
        <v>2748</v>
      </c>
      <c r="C845" s="1" t="s">
        <v>2749</v>
      </c>
      <c r="D845" s="1" t="s">
        <v>2750</v>
      </c>
      <c r="E845" s="2" t="str">
        <f>IFERROR(__xludf.DUMMYFUNCTION("GOOGLETRANSLATE(C845, ""en"", ""TL"")"),"Oo, maaari kang magsagawa ng sibil na aksyon laban sa website na nagho-host ng nilalaman ng scam sa ilalim ng batas ng Pilipinas. Narito ang isang pangkalahatang balangkas batay sa nauugnay na batas:
* **Republic Act No. 10175 o ang Cybercrime Prevention "&amp;"Act of 2012 (CPA):** Ang batas na ito ay nagpaparusa sa iba't ibang cybercrime, kabilang ang mga online scam. Sinasaklaw ng Seksyon 15 ng CPA ang ""Pagtanggal ng Nilalaman"" na nagpapahintulot sa naagrabyado na partido na humiling ng pag-alis ng labag sa "&amp;"batas na nilalaman.
* **Artikulo 19 ng 1987 Konstitusyon ng Pilipinas:** Ginagarantiyahan ng artikulong ito ang karapatan sa impormasyon at pagpapahayag. Gayunpaman, kinikilala din nito ang mga limitasyon sa karapatang ito, kabilang ang tungkol sa kaligta"&amp;"san at kaayusan ng publiko. Maaari kang magtaltalan na ang nilalaman ng scam ay lumalabag sa mga limitasyong ito.
* **Civil Code of the Philippines:** Ang Artikulo 21 at 32 ng Civil Code ay nagtatakda ng konsepto ng ""fault or negligence"" na maaaring mag"&amp;"dulot ng pinsala. Maaari kang magtaltalan na ang website na nagho-host ng nilalaman ng scam ay nagpabaya sa pagtanggal ng nilalaman sa pag-abiso.
Narito ang ilang karagdagang punto na dapat isaalang-alang:
* **The Communications Act of the Philippines (RA"&amp;" No. 7732):** Saklaw ng batas na ito ang regulasyon ng telekomunikasyon at maaaring may kaugnayan depende sa kung paano inuri ang website.
* **Batas sa Kaso:** Ang mga desisyon ng korte na nagbibigay-kahulugan sa mga batas na ito ay maaari ding gumanap ng"&amp;" isang papel. Makakatulong sa iyo ang pagkonsulta sa isang abogado na maunawaan kung paano naaangkop ang batas ng kaso sa iyong sitwasyon.
**Tandaan:** Ito ay isang pinasimple na pangkalahatang-ideya, at ang mga partikular na legal na batayan para sa iyon"&amp;"g kaso ay depende sa mga detalye ng nilalaman ng scam at sa website na nagho-host nito. Lubos na inirerekomendang kumunsulta sa isang abogadong may karanasan sa cybercrime at batas sa telekomunikasyon upang masuri ang posibilidad ng iyong kaso at ang pina"&amp;"kamahusay na paraan ng pagkilos.")</f>
        <v>Oo, maaari kang magsagawa ng sibil na aksyon laban sa website na nagho-host ng nilalaman ng scam sa ilalim ng batas ng Pilipinas. Narito ang isang pangkalahatang balangkas batay sa nauugnay na batas:
* **Republic Act No. 10175 o ang Cybercrime Prevention Act of 2012 (CPA):** Ang batas na ito ay nagpaparusa sa iba't ibang cybercrime, kabilang ang mga online scam. Sinasaklaw ng Seksyon 15 ng CPA ang "Pagtanggal ng Nilalaman" na nagpapahintulot sa naagrabyado na partido na humiling ng pag-alis ng labag sa batas na nilalaman.
* **Artikulo 19 ng 1987 Konstitusyon ng Pilipinas:** Ginagarantiyahan ng artikulong ito ang karapatan sa impormasyon at pagpapahayag. Gayunpaman, kinikilala din nito ang mga limitasyon sa karapatang ito, kabilang ang tungkol sa kaligtasan at kaayusan ng publiko. Maaari kang magtaltalan na ang nilalaman ng scam ay lumalabag sa mga limitasyong ito.
* **Civil Code of the Philippines:** Ang Artikulo 21 at 32 ng Civil Code ay nagtatakda ng konsepto ng "fault or negligence" na maaaring magdulot ng pinsala. Maaari kang magtaltalan na ang website na nagho-host ng nilalaman ng scam ay nagpabaya sa pagtanggal ng nilalaman sa pag-abiso.
Narito ang ilang karagdagang punto na dapat isaalang-alang:
* **The Communications Act of the Philippines (RA No. 7732):** Saklaw ng batas na ito ang regulasyon ng telekomunikasyon at maaaring may kaugnayan depende sa kung paano inuri ang website.
* **Batas sa Kaso:** Ang mga desisyon ng korte na nagbibigay-kahulugan sa mga batas na ito ay maaari ding gumanap ng isang papel. Makakatulong sa iyo ang pagkonsulta sa isang abogado na maunawaan kung paano naaangkop ang batas ng kaso sa iyong sitwasyon.
**Tandaan:** Ito ay isang pinasimple na pangkalahatang-ideya, at ang mga partikular na legal na batayan para sa iyong kaso ay depende sa mga detalye ng nilalaman ng scam at sa website na nagho-host nito. Lubos na inirerekomendang kumunsulta sa isang abogadong may karanasan sa cybercrime at batas sa telekomunikasyon upang masuri ang posibilidad ng iyong kaso at ang pinakamahusay na paraan ng pagkilos.</v>
      </c>
      <c r="F845" s="2">
        <f t="shared" si="1"/>
        <v>0</v>
      </c>
      <c r="G845" s="2"/>
      <c r="H845" s="2"/>
      <c r="I845" s="2"/>
      <c r="J845" s="2"/>
      <c r="K845" s="2"/>
      <c r="L845" s="2"/>
      <c r="M845" s="2"/>
      <c r="N845" s="2"/>
      <c r="O845" s="2"/>
      <c r="P845" s="2"/>
      <c r="Q845" s="2"/>
      <c r="R845" s="2"/>
      <c r="S845" s="2"/>
      <c r="T845" s="2"/>
      <c r="U845" s="2"/>
      <c r="V845" s="2"/>
      <c r="W845" s="2"/>
      <c r="X845" s="2"/>
      <c r="Y845" s="2"/>
      <c r="Z845" s="2"/>
      <c r="AA845" s="2"/>
    </row>
    <row r="846">
      <c r="A846" s="3" t="s">
        <v>2010</v>
      </c>
      <c r="B846" s="1" t="s">
        <v>2751</v>
      </c>
      <c r="C846" s="1" t="s">
        <v>2752</v>
      </c>
      <c r="D846" s="1" t="s">
        <v>2753</v>
      </c>
      <c r="E846" s="2" t="str">
        <f>IFERROR(__xludf.DUMMYFUNCTION("GOOGLETRANSLATE(C846, ""en"", ""TL"")"),"Narito ang ilang hakbang na maaari mong gawin upang maprotektahan ang iyong sarili nang legal kung hindi mo sinasadyang masangkot sa isang online scam sa Pilipinas:
**1. Magtipon ng Ebidensya:**
* **Mga Screenshot:** Kumuha ng mga screenshot ng lahat ng k"&amp;"omunikasyon sa scammer, kabilang ang nilalaman ng website, mga mensahe, at anumang mga transaksyong pinansyal.
* **Mga Tala:** I-save ang anumang mga email, text, o chat log na nauugnay sa scam. * **Mga Dokumentong Pananalapi:** Magtago ng mga kopya ng an"&amp;"umang mga transaksyong pinansyal na ginawa kaugnay ng scam (kung naaangkop). **2. Iulat ang Scam:**
* **Mga Awtoridad:** Iulat ang scam sa Philippine National Police (PNP) Anti-Cybercrime Unit. Maaari silang maabot sa pamamagitan ng kanilang website ([htt"&amp;"ps://acg.pnp.gov.ph/](https://acg.pnp.gov.ph/)) o sa pamamagitan ng pagtawag sa kanilang hotline 1800-138-8888.
* **Platform ng Website:** Iulat ang scam sa platform ng website kung saan natagpuan ang nilalaman ng scam. Karamihan sa mga platform ay may mg"&amp;"a mekanismo sa pag-uulat para sa mapanlinlang na aktibidad.
**3. Isaalang-alang ang Legal na Aksyon:**
* **Kumonsulta sa isang Abogado:** Bagama't makakatulong ang mga hakbang sa itaas na protektahan ang iyong sarili, isaalang-alang ang pagkonsulta sa isa"&amp;"ng abogado na dalubhasa sa cybercrime law. Maaari nilang tasahin ang iyong sitwasyon, payuhan ka sa mga legal na batayan para sa isang sibil na kaso laban sa host ng website (tulad ng tinalakay dati), at gabayan ka sa legal na proseso.
**4. Secure Yoursel"&amp;"f:**
* **Baguhin ang Mga Password:** Agad na baguhin ang mga password para sa anumang mga account na maaaring nakompromiso dahil sa scam. * **Mag-ulat ng Pagnanakaw ng Pagkakakilanlan:** Kung pinaghihinalaan mo ang pagnanakaw ng pagkakakilanlan, makipag-u"&amp;"gnayan sa nauugnay na credit bureaus (TransUnion Philippines, Equifax Credit Information Services Philippines Inc., at Credit Bureau Asia) upang maglagay ng alerto sa pandaraya sa iyong ulat ng kredito.
**Mga Batas ng Pilipinas at ang Konstitusyon:**
Ang "&amp;"mga sumusunod na batas ng Pilipinas at ang Konstitusyon ay maaaring may kaugnayan sa iyong sitwasyon:
* **Republic Act No. 10175 o ang Cybercrime Prevention Act of 2012 (CPA):** Ang batas na ito ay nagpaparusa sa mga online scam at nagbibigay-daan sa mga "&amp;"kahilingan sa pagtanggal ng content. * **Artikulo 19 ng 1987 Konstitusyon ng Pilipinas:** Pinoprotektahan nito ang kalayaan ng impormasyon ngunit kinikilala ang mga limitasyon para sa kaligtasan ng publiko. Maaari kang magtaltalan na ang nilalaman ng scam"&amp;" ay nasa ilalim ng mga limitasyong ito.
**Tandaan:** Ito ay para sa pangkalahatang impormasyon lamang. Ang pagkonsulta sa isang abogado ay mahalaga upang maunawaan ang iyong partikular na sitwasyon at ang pinakamahusay na legal na kurso ng aksyon.")</f>
        <v>Narito ang ilang hakbang na maaari mong gawin upang maprotektahan ang iyong sarili nang legal kung hindi mo sinasadyang masangkot sa isang online scam sa Pilipinas:
**1. Magtipon ng Ebidensya:**
* **Mga Screenshot:** Kumuha ng mga screenshot ng lahat ng komunikasyon sa scammer, kabilang ang nilalaman ng website, mga mensahe, at anumang mga transaksyong pinansyal.
* **Mga Tala:** I-save ang anumang mga email, text, o chat log na nauugnay sa scam. * **Mga Dokumentong Pananalapi:** Magtago ng mga kopya ng anumang mga transaksyong pinansyal na ginawa kaugnay ng scam (kung naaangkop). **2. Iulat ang Scam:**
* **Mga Awtoridad:** Iulat ang scam sa Philippine National Police (PNP) Anti-Cybercrime Unit. Maaari silang maabot sa pamamagitan ng kanilang website ([https://acg.pnp.gov.ph/](https://acg.pnp.gov.ph/)) o sa pamamagitan ng pagtawag sa kanilang hotline 1800-138-8888.
* **Platform ng Website:** Iulat ang scam sa platform ng website kung saan natagpuan ang nilalaman ng scam. Karamihan sa mga platform ay may mga mekanismo sa pag-uulat para sa mapanlinlang na aktibidad.
**3. Isaalang-alang ang Legal na Aksyon:**
* **Kumonsulta sa isang Abogado:** Bagama't makakatulong ang mga hakbang sa itaas na protektahan ang iyong sarili, isaalang-alang ang pagkonsulta sa isang abogado na dalubhasa sa cybercrime law. Maaari nilang tasahin ang iyong sitwasyon, payuhan ka sa mga legal na batayan para sa isang sibil na kaso laban sa host ng website (tulad ng tinalakay dati), at gabayan ka sa legal na proseso.
**4. Secure Yourself:**
* **Baguhin ang Mga Password:** Agad na baguhin ang mga password para sa anumang mga account na maaaring nakompromiso dahil sa scam. * **Mag-ulat ng Pagnanakaw ng Pagkakakilanlan:** Kung pinaghihinalaan mo ang pagnanakaw ng pagkakakilanlan, makipag-ugnayan sa nauugnay na credit bureaus (TransUnion Philippines, Equifax Credit Information Services Philippines Inc., at Credit Bureau Asia) upang maglagay ng alerto sa pandaraya sa iyong ulat ng kredito.
**Mga Batas ng Pilipinas at ang Konstitusyon:**
Ang mga sumusunod na batas ng Pilipinas at ang Konstitusyon ay maaaring may kaugnayan sa iyong sitwasyon:
* **Republic Act No. 10175 o ang Cybercrime Prevention Act of 2012 (CPA):** Ang batas na ito ay nagpaparusa sa mga online scam at nagbibigay-daan sa mga kahilingan sa pagtanggal ng content. * **Artikulo 19 ng 1987 Konstitusyon ng Pilipinas:** Pinoprotektahan nito ang kalayaan ng impormasyon ngunit kinikilala ang mga limitasyon para sa kaligtasan ng publiko. Maaari kang magtaltalan na ang nilalaman ng scam ay nasa ilalim ng mga limitasyong ito.
**Tandaan:** Ito ay para sa pangkalahatang impormasyon lamang. Ang pagkonsulta sa isang abogado ay mahalaga upang maunawaan ang iyong partikular na sitwasyon at ang pinakamahusay na legal na kurso ng aksyon.</v>
      </c>
      <c r="F846" s="2">
        <f t="shared" si="1"/>
        <v>0</v>
      </c>
      <c r="G846" s="2"/>
      <c r="H846" s="2"/>
      <c r="I846" s="2"/>
      <c r="J846" s="2"/>
      <c r="K846" s="2"/>
      <c r="L846" s="2"/>
      <c r="M846" s="2"/>
      <c r="N846" s="2"/>
      <c r="O846" s="2"/>
      <c r="P846" s="2"/>
      <c r="Q846" s="2"/>
      <c r="R846" s="2"/>
      <c r="S846" s="2"/>
      <c r="T846" s="2"/>
      <c r="U846" s="2"/>
      <c r="V846" s="2"/>
      <c r="W846" s="2"/>
      <c r="X846" s="2"/>
      <c r="Y846" s="2"/>
      <c r="Z846" s="2"/>
      <c r="AA846" s="2"/>
    </row>
    <row r="847">
      <c r="A847" s="3" t="s">
        <v>2010</v>
      </c>
      <c r="B847" s="1" t="s">
        <v>2754</v>
      </c>
      <c r="C847" s="1" t="s">
        <v>2755</v>
      </c>
      <c r="D847" s="1" t="s">
        <v>2756</v>
      </c>
      <c r="E847" s="2" t="str">
        <f>IFERROR(__xludf.DUMMYFUNCTION("GOOGLETRANSLATE(C847, ""en"", ""TL"")"),"Malamang, maaari kang makabawi ng mga pinsala kung hindi mo sinasadyang lumahok sa isang scam scheme sa ilalim ng batas ng Pilipinas. Narito ang isang breakdown batay sa nauugnay na batas:
* **Republic Act No. 10175 o ang Cybercrime Prevention Act of 2012"&amp;" (CPA):** Ang Seksyon 15 ng CPA ay nagpapahintulot sa ""Content Takedown"" kapag hiniling. Kung mapapatunayan mong nagpabaya ang website sa pag-alis ng nilalaman ng scam pagkatapos ng notification, maaari nitong palakasin ang iyong kaso para sa mga pinsal"&amp;"a.
* **Civil Code of the Philippines:** Ang Artikulo 21 at 32 ay tumatalakay sa ""kasalanan o kapabayaan"" na nagdudulot ng pinsala. Maaari kang magtaltalan na ang website na nagho-host ng nilalaman ng scam ay pabaya at nagdulot sa iyo ng pinansiyal na pi"&amp;"nsala.
Gayunpaman, ang pagbawi ng mga pinsala ay maaaring maging kumplikado. Narito ang ilang salik na dapat isaalang-alang:
* **Antas ng Iyong Paglahok:** Maaaring isaalang-alang ng mga korte sa Pilipinas ang lawak ng iyong pakikilahok. Ang hindi sinasad"&amp;"yang paglahok ay nagpapatibay sa iyong kaso kumpara sa hindi namamalayang pagpapadali sa scam.
* **Katangian ng mga Pinsala:** Ang uri ng mga pinsalang natamo mo (pagkawala sa pananalapi, emosyonal na pagkabalisa) ay magiging may kaugnayan. * **Responsibi"&amp;"lidad ng Website:** Titimbangin ng hukuman ang responsibilidad ng website sa pagho-host ng nilalaman ng scam. Mayroon ba silang kaalaman o gumawa ng mga makatwirang hakbang upang alisin ito kapag naabisuhan?
**Rekomendasyon:** Ang pagkonsulta sa isang abo"&amp;"gadong may karanasan sa cybercrime ay mahalaga. Maaari nilang suriin ang mga detalye ng iyong sitwasyon, kabilang ang scam, website, at mga pinsalang natamo. Batay dito, maaari ka nilang payuhan tungkol sa posibilidad na mabawi ang mga pinsala at ang pina"&amp;"kamahusay na legal na diskarte.
**Konstitusyon ng Pilipinas:**
* **Artikulo 19 ng 1987 Konstitusyon ng Pilipinas:** Habang ginagarantiyahan ang kalayaan ng impormasyon, kinikilala nito ang mga limitasyon para sa kaayusan at kaligtasan ng publiko. Maaari k"&amp;"ang magtaltalan na ang nilalaman ng scam ay nasa ilalim ng mga naturang limitasyon.
**Tandaan:** Ito ay isang pinasimple na pangkalahatang-ideya, at ang tagumpay ng pagbawi ng mga pinsala ay nakasalalay sa iyong partikular na kaso. Ang isang abogado ay ma"&amp;"aaring magbigay ng mas matalinong pagtatasa at gagabay sa iyo sa legal na proseso.")</f>
        <v>Malamang, maaari kang makabawi ng mga pinsala kung hindi mo sinasadyang lumahok sa isang scam scheme sa ilalim ng batas ng Pilipinas. Narito ang isang breakdown batay sa nauugnay na batas:
* **Republic Act No. 10175 o ang Cybercrime Prevention Act of 2012 (CPA):** Ang Seksyon 15 ng CPA ay nagpapahintulot sa "Content Takedown" kapag hiniling. Kung mapapatunayan mong nagpabaya ang website sa pag-alis ng nilalaman ng scam pagkatapos ng notification, maaari nitong palakasin ang iyong kaso para sa mga pinsala.
* **Civil Code of the Philippines:** Ang Artikulo 21 at 32 ay tumatalakay sa "kasalanan o kapabayaan" na nagdudulot ng pinsala. Maaari kang magtaltalan na ang website na nagho-host ng nilalaman ng scam ay pabaya at nagdulot sa iyo ng pinansiyal na pinsala.
Gayunpaman, ang pagbawi ng mga pinsala ay maaaring maging kumplikado. Narito ang ilang salik na dapat isaalang-alang:
* **Antas ng Iyong Paglahok:** Maaaring isaalang-alang ng mga korte sa Pilipinas ang lawak ng iyong pakikilahok. Ang hindi sinasadyang paglahok ay nagpapatibay sa iyong kaso kumpara sa hindi namamalayang pagpapadali sa scam.
* **Katangian ng mga Pinsala:** Ang uri ng mga pinsalang natamo mo (pagkawala sa pananalapi, emosyonal na pagkabalisa) ay magiging may kaugnayan. * **Responsibilidad ng Website:** Titimbangin ng hukuman ang responsibilidad ng website sa pagho-host ng nilalaman ng scam. Mayroon ba silang kaalaman o gumawa ng mga makatwirang hakbang upang alisin ito kapag naabisuhan?
**Rekomendasyon:** Ang pagkonsulta sa isang abogadong may karanasan sa cybercrime ay mahalaga. Maaari nilang suriin ang mga detalye ng iyong sitwasyon, kabilang ang scam, website, at mga pinsalang natamo. Batay dito, maaari ka nilang payuhan tungkol sa posibilidad na mabawi ang mga pinsala at ang pinakamahusay na legal na diskarte.
**Konstitusyon ng Pilipinas:**
* **Artikulo 19 ng 1987 Konstitusyon ng Pilipinas:** Habang ginagarantiyahan ang kalayaan ng impormasyon, kinikilala nito ang mga limitasyon para sa kaayusan at kaligtasan ng publiko. Maaari kang magtaltalan na ang nilalaman ng scam ay nasa ilalim ng mga naturang limitasyon.
**Tandaan:** Ito ay isang pinasimple na pangkalahatang-ideya, at ang tagumpay ng pagbawi ng mga pinsala ay nakasalalay sa iyong partikular na kaso. Ang isang abogado ay maaaring magbigay ng mas matalinong pagtatasa at gagabay sa iyo sa legal na proseso.</v>
      </c>
      <c r="F847" s="2">
        <f t="shared" si="1"/>
        <v>0</v>
      </c>
      <c r="G847" s="2"/>
      <c r="H847" s="2"/>
      <c r="I847" s="2"/>
      <c r="J847" s="2"/>
      <c r="K847" s="2"/>
      <c r="L847" s="2"/>
      <c r="M847" s="2"/>
      <c r="N847" s="2"/>
      <c r="O847" s="2"/>
      <c r="P847" s="2"/>
      <c r="Q847" s="2"/>
      <c r="R847" s="2"/>
      <c r="S847" s="2"/>
      <c r="T847" s="2"/>
      <c r="U847" s="2"/>
      <c r="V847" s="2"/>
      <c r="W847" s="2"/>
      <c r="X847" s="2"/>
      <c r="Y847" s="2"/>
      <c r="Z847" s="2"/>
      <c r="AA847" s="2"/>
    </row>
    <row r="848">
      <c r="A848" s="3" t="s">
        <v>2010</v>
      </c>
      <c r="B848" s="1" t="s">
        <v>2757</v>
      </c>
      <c r="C848" s="1" t="s">
        <v>2758</v>
      </c>
      <c r="D848" s="1" t="s">
        <v>2759</v>
      </c>
      <c r="E848" s="2" t="str">
        <f>IFERROR(__xludf.DUMMYFUNCTION("GOOGLETRANSLATE(C848, ""en"", ""TL"")"),"Ang pagbawi ng mga asset na nawala sa isang online na scam sa Pilipinas ay maaaring maging mahirap, ngunit narito ang ilang hakbang na maaari mong gawin upang subukan:
**1. Magtipon ng Ebidensya:**
* **Mga Tala ng Transaksyon:** Kolektahin ang lahat ng do"&amp;"kumentasyong nauugnay sa paglilipat ng mga asset, kabilang ang mga bank statement, resibo, o mga detalye ng online na transaksyon.
* **Komunikasyon:** I-save ang lahat ng komunikasyon sa scammer, kabilang ang mga email, text message, o chat log. * **Mga D"&amp;"etalye ng Scam:** Idokumento ang mga detalye ng scam mismo, gaya ng website na ginamit, ang uri ng scam, at anumang pangakong ginawa.
**2. Iulat ang Scam:**
* **Mga Awtoridad:** Maghain ng ulat sa Philippine National Police (PNP) Anti-Cybercrime Unit. Maa"&amp;"ari silang maabot sa pamamagitan ng kanilang website ([https://acg.pnp.gov.ph/](https://acg.pnp.gov.ph/)) o sa pamamagitan ng pagtawag sa kanilang hotline 1800-138-8888.
* **Institusyon ng Pinansyal:** Kung ang paglipat ay may kinalaman sa isang bangko o "&amp;"institusyong pinansyal, iulat kaagad ang scam sa kanila. Maaaring matulungan ka nilang i-freeze ang account kung saan inilipat ang iyong mga asset (depende sa mga pangyayari).
**3. Mga Legal na Pagpipilian:**
* **Kasong Sibil:** Isaalang-alang ang isang k"&amp;"asong sibil laban sa scammer. Maaari itong maging kumplikado, lalo na kung ang scammer ay matatagpuan sa labas ng Pilipinas. Gayunpaman, maaaring payuhan ka ng isang abogado tungkol sa pagiging posible batay sa ebidensya at potensyal na lokasyon ng scamme"&amp;"r.
* **Pagsubaybay sa Asset:** Sa ilang mga kaso, maaaring magrekomenda ang mga abogado ng pagsubaybay sa asset upang mahanap kung saan inilipat ang mga ninakaw na pondo. Maaaring magastos ito ngunit maaaring sulit para sa malalaking pagkalugi.
**Narito k"&amp;"ung paano maaaring may kaugnayan ang batas ng Pilipinas:**
* **Republic Act No. 10175 o ang Cybercrime Prevention Act of 2012 (CPA):** Bagama't hindi direktang nauugnay sa pagbawi ng asset, makakatulong ang CPA na itatag ang krimen at palakasin ang iyong "&amp;"kaso.
* **Rule 131 ng Rules of Court of the Philippines:** Sinasaklaw ng panuntunang ito ang ""Replevin,"" isang legal na remedyo para mabawi ang pagmamay-ari ng personal na ari-arian (na maaaring naaangkop depende sa uri ng asset).
**Mahahalagang Pagsasa"&amp;"alang-alang:**
* **Ang Oras ay Mahalaga:** Kapag mas maaga kang kumilos, mas malaki ang pagkakataong mabawi ang iyong mga asset. Ang mga scammer ay madalas na nagpapalipat ng pera nang mabilis.
* **Rate ng Tagumpay:** Sa kasamaang palad, ang pagbawi ng mg"&amp;"a asset na nawala sa mga online na scam ay maaaring maging mahirap, lalo na sa mga internasyonal na kaso.
* **Mga Legal na Gastos:** Maaaring magastos ang pagkonsulta sa isang abugado at pagsasagawa ng legal na aksyon. Timbangin ang potensyal na pagbawi l"&amp;"aban sa mga gastos na kasangkot. **Rekomendasyon:**
* Kumonsulta sa isang abogado na dalubhasa sa cybercrime at pagbawi ng asset. Maaari nilang tasahin ang iyong kaso, payuhan ang pinakamahusay na mga legal na opsyon, at gabayan ka sa proseso na isinasaal"&amp;"ang-alang ang mga partikular na detalye ng iyong sitwasyon.")</f>
        <v>Ang pagbawi ng mga asset na nawala sa isang online na scam sa Pilipinas ay maaaring maging mahirap, ngunit narito ang ilang hakbang na maaari mong gawin upang subukan:
**1. Magtipon ng Ebidensya:**
* **Mga Tala ng Transaksyon:** Kolektahin ang lahat ng dokumentasyong nauugnay sa paglilipat ng mga asset, kabilang ang mga bank statement, resibo, o mga detalye ng online na transaksyon.
* **Komunikasyon:** I-save ang lahat ng komunikasyon sa scammer, kabilang ang mga email, text message, o chat log. * **Mga Detalye ng Scam:** Idokumento ang mga detalye ng scam mismo, gaya ng website na ginamit, ang uri ng scam, at anumang pangakong ginawa.
**2. Iulat ang Scam:**
* **Mga Awtoridad:** Maghain ng ulat sa Philippine National Police (PNP) Anti-Cybercrime Unit. Maaari silang maabot sa pamamagitan ng kanilang website ([https://acg.pnp.gov.ph/](https://acg.pnp.gov.ph/)) o sa pamamagitan ng pagtawag sa kanilang hotline 1800-138-8888.
* **Institusyon ng Pinansyal:** Kung ang paglipat ay may kinalaman sa isang bangko o institusyong pinansyal, iulat kaagad ang scam sa kanila. Maaaring matulungan ka nilang i-freeze ang account kung saan inilipat ang iyong mga asset (depende sa mga pangyayari).
**3. Mga Legal na Pagpipilian:**
* **Kasong Sibil:** Isaalang-alang ang isang kasong sibil laban sa scammer. Maaari itong maging kumplikado, lalo na kung ang scammer ay matatagpuan sa labas ng Pilipinas. Gayunpaman, maaaring payuhan ka ng isang abogado tungkol sa pagiging posible batay sa ebidensya at potensyal na lokasyon ng scammer.
* **Pagsubaybay sa Asset:** Sa ilang mga kaso, maaaring magrekomenda ang mga abogado ng pagsubaybay sa asset upang mahanap kung saan inilipat ang mga ninakaw na pondo. Maaaring magastos ito ngunit maaaring sulit para sa malalaking pagkalugi.
**Narito kung paano maaaring may kaugnayan ang batas ng Pilipinas:**
* **Republic Act No. 10175 o ang Cybercrime Prevention Act of 2012 (CPA):** Bagama't hindi direktang nauugnay sa pagbawi ng asset, makakatulong ang CPA na itatag ang krimen at palakasin ang iyong kaso.
* **Rule 131 ng Rules of Court of the Philippines:** Sinasaklaw ng panuntunang ito ang "Replevin," isang legal na remedyo para mabawi ang pagmamay-ari ng personal na ari-arian (na maaaring naaangkop depende sa uri ng asset).
**Mahahalagang Pagsasaalang-alang:**
* **Ang Oras ay Mahalaga:** Kapag mas maaga kang kumilos, mas malaki ang pagkakataong mabawi ang iyong mga asset. Ang mga scammer ay madalas na nagpapalipat ng pera nang mabilis.
* **Rate ng Tagumpay:** Sa kasamaang palad, ang pagbawi ng mga asset na nawala sa mga online na scam ay maaaring maging mahirap, lalo na sa mga internasyonal na kaso.
* **Mga Legal na Gastos:** Maaaring magastos ang pagkonsulta sa isang abugado at pagsasagawa ng legal na aksyon. Timbangin ang potensyal na pagbawi laban sa mga gastos na kasangkot. **Rekomendasyon:**
* Kumonsulta sa isang abogado na dalubhasa sa cybercrime at pagbawi ng asset. Maaari nilang tasahin ang iyong kaso, payuhan ang pinakamahusay na mga legal na opsyon, at gabayan ka sa proseso na isinasaalang-alang ang mga partikular na detalye ng iyong sitwasyon.</v>
      </c>
      <c r="F848" s="2">
        <f t="shared" si="1"/>
        <v>0</v>
      </c>
      <c r="G848" s="2"/>
      <c r="H848" s="2"/>
      <c r="I848" s="2"/>
      <c r="J848" s="2"/>
      <c r="K848" s="2"/>
      <c r="L848" s="2"/>
      <c r="M848" s="2"/>
      <c r="N848" s="2"/>
      <c r="O848" s="2"/>
      <c r="P848" s="2"/>
      <c r="Q848" s="2"/>
      <c r="R848" s="2"/>
      <c r="S848" s="2"/>
      <c r="T848" s="2"/>
      <c r="U848" s="2"/>
      <c r="V848" s="2"/>
      <c r="W848" s="2"/>
      <c r="X848" s="2"/>
      <c r="Y848" s="2"/>
      <c r="Z848" s="2"/>
      <c r="AA848" s="2"/>
    </row>
    <row r="849">
      <c r="A849" s="3" t="s">
        <v>2010</v>
      </c>
      <c r="B849" s="1" t="s">
        <v>2760</v>
      </c>
      <c r="C849" s="1" t="s">
        <v>2761</v>
      </c>
      <c r="D849" s="1" t="s">
        <v>2762</v>
      </c>
      <c r="E849" s="2" t="str">
        <f>IFERROR(__xludf.DUMMYFUNCTION("GOOGLETRANSLATE(C849, ""en"", ""TL"")"),"Oo, may posibilidad na maaari kang magsagawa ng legal na aksyon laban sa mga online platform na kumikita sa pagho-host ng mga advertisement ng scam sa Pilipinas. Narito kung bakit:
**Mga Kamakailang Pag-unlad:**
* **Republic Act No. 11967 o ang Internet T"&amp;"ransactions Act (ITA):** Nilalayon ng 2018 na batas na ito na i-regulate ang mga online na transaksyon at panagutin ang mga platform para sa content na hino-host nila. Habang umuunlad pa rin, nagbibigay ito ng legal na batayan para sa potensyal na aksyon."&amp;" * **Mga Pahayag mula sa Mga Ahensya ng Gobyerno:** Ang Cybercrime Investigation and Coordinating Center (CICC) ay nagpahayag ng pananaw na ang ITA ay nagbibigay ng mga batayan upang panagutin ang mga platform ng social media para sa hindi pagtanggal ng n"&amp;"ilalaman ng scam. **Mga Legal na Argumento:**
* **Content Takedown (RA 10175):** Ang Seksyon 15 ng Cybercrime Prevention Act (CPA) ay nagpapahintulot sa paghiling ng pag-aalis ng labag sa batas na nilalaman. Maaari kang magtaltalan na ang mga advertisemen"&amp;"t ng scam ay nasa ilalim ng kategoryang ito.
* **Proteksyon ng Consumer (ITA):** Binibigyang-diin ng ITA ang proteksyon ng consumer at pananagutan sa platform. Maaari mong pagtalunan ang platform na nakinabang mula sa mga mapanlinlang na patalastas, na na"&amp;"gdudulot sa iyo ng pinsala.
* **Sibil na Kodigo (Artikulo 21 at 32):** Tinutugunan ng mga artikulong ito ang ""pagkakasala o kapabayaan"" na nagdudulot ng pinsala. Maaari kang magtaltalan na ang platform ay pabaya sa hindi pagsala ng mga scam ad sa kabila"&amp;" ng kita mula sa mga ito.
**Mahahalagang Pagsasaalang-alang:**
* **Responsibilidad ng Platform:** Magiging mahalaga ang papel ng platform. May kaalaman ba sila sa scam o gumawa ng mga makatwirang hakbang upang alisin ang mga ad kapag naabisuhan?
* **Katan"&amp;"gian ng Scam:** Ang mga detalye ng advertisement ng scam at ang resultang pinsala ay makakaimpluwensya sa iyong kaso.
* **Batas sa Kaso:** Ang mga desisyon ng korte na nagpapakahulugan sa mga batas na ito ay umuunlad pa rin. Makakatulong sa iyo ang pagkon"&amp;"sulta sa isang abogado na maunawaan ang nauugnay na batas ng kaso.
**Mga Rekomendasyon:**
* **Magtipon ng Ebidensya:** Mangolekta ng mga screenshot at mga detalye ng dokumento ng advertisement ng scam at ang iyong pakikipag-ugnayan sa platform.
* **Iulat "&amp;"ang Scam:** Iulat ang scam sa platform at sa PNP Anti-Cybercrime Unit.
* **Kumonsulta sa Abogado:** Maaaring tasahin ng isang abogadong may karanasan sa cybercrime at consumer law ang iyong kaso, magpayo sa pinakamahusay na legal na diskarte, at mag-navig"&amp;"ate sa mga kumplikado ng paghahabla sa isang malaking online na platform.
**Tandaan:** Ito ay isang umuunlad na larangan ng batas, at ang tagumpay ng iyong kaso ay nakasalalay sa mga partikular na detalye. Ang pagkonsulta sa isang abogado ay mahalaga upan"&amp;"g maunawaan ang posibilidad ng tagumpay at ang pinakamahusay na paraan ng pagkilos.")</f>
        <v>Oo, may posibilidad na maaari kang magsagawa ng legal na aksyon laban sa mga online platform na kumikita sa pagho-host ng mga advertisement ng scam sa Pilipinas. Narito kung bakit:
**Mga Kamakailang Pag-unlad:**
* **Republic Act No. 11967 o ang Internet Transactions Act (ITA):** Nilalayon ng 2018 na batas na ito na i-regulate ang mga online na transaksyon at panagutin ang mga platform para sa content na hino-host nila. Habang umuunlad pa rin, nagbibigay ito ng legal na batayan para sa potensyal na aksyon. * **Mga Pahayag mula sa Mga Ahensya ng Gobyerno:** Ang Cybercrime Investigation and Coordinating Center (CICC) ay nagpahayag ng pananaw na ang ITA ay nagbibigay ng mga batayan upang panagutin ang mga platform ng social media para sa hindi pagtanggal ng nilalaman ng scam. **Mga Legal na Argumento:**
* **Content Takedown (RA 10175):** Ang Seksyon 15 ng Cybercrime Prevention Act (CPA) ay nagpapahintulot sa paghiling ng pag-aalis ng labag sa batas na nilalaman. Maaari kang magtaltalan na ang mga advertisement ng scam ay nasa ilalim ng kategoryang ito.
* **Proteksyon ng Consumer (ITA):** Binibigyang-diin ng ITA ang proteksyon ng consumer at pananagutan sa platform. Maaari mong pagtalunan ang platform na nakinabang mula sa mga mapanlinlang na patalastas, na nagdudulot sa iyo ng pinsala.
* **Sibil na Kodigo (Artikulo 21 at 32):** Tinutugunan ng mga artikulong ito ang "pagkakasala o kapabayaan" na nagdudulot ng pinsala. Maaari kang magtaltalan na ang platform ay pabaya sa hindi pagsala ng mga scam ad sa kabila ng kita mula sa mga ito.
**Mahahalagang Pagsasaalang-alang:**
* **Responsibilidad ng Platform:** Magiging mahalaga ang papel ng platform. May kaalaman ba sila sa scam o gumawa ng mga makatwirang hakbang upang alisin ang mga ad kapag naabisuhan?
* **Katangian ng Scam:** Ang mga detalye ng advertisement ng scam at ang resultang pinsala ay makakaimpluwensya sa iyong kaso.
* **Batas sa Kaso:** Ang mga desisyon ng korte na nagpapakahulugan sa mga batas na ito ay umuunlad pa rin. Makakatulong sa iyo ang pagkonsulta sa isang abogado na maunawaan ang nauugnay na batas ng kaso.
**Mga Rekomendasyon:**
* **Magtipon ng Ebidensya:** Mangolekta ng mga screenshot at mga detalye ng dokumento ng advertisement ng scam at ang iyong pakikipag-ugnayan sa platform.
* **Iulat ang Scam:** Iulat ang scam sa platform at sa PNP Anti-Cybercrime Unit.
* **Kumonsulta sa Abogado:** Maaaring tasahin ng isang abogadong may karanasan sa cybercrime at consumer law ang iyong kaso, magpayo sa pinakamahusay na legal na diskarte, at mag-navigate sa mga kumplikado ng paghahabla sa isang malaking online na platform.
**Tandaan:** Ito ay isang umuunlad na larangan ng batas, at ang tagumpay ng iyong kaso ay nakasalalay sa mga partikular na detalye. Ang pagkonsulta sa isang abogado ay mahalaga upang maunawaan ang posibilidad ng tagumpay at ang pinakamahusay na paraan ng pagkilos.</v>
      </c>
      <c r="F849" s="2">
        <f t="shared" si="1"/>
        <v>0</v>
      </c>
      <c r="G849" s="2"/>
      <c r="H849" s="2"/>
      <c r="I849" s="2"/>
      <c r="J849" s="2"/>
      <c r="K849" s="2"/>
      <c r="L849" s="2"/>
      <c r="M849" s="2"/>
      <c r="N849" s="2"/>
      <c r="O849" s="2"/>
      <c r="P849" s="2"/>
      <c r="Q849" s="2"/>
      <c r="R849" s="2"/>
      <c r="S849" s="2"/>
      <c r="T849" s="2"/>
      <c r="U849" s="2"/>
      <c r="V849" s="2"/>
      <c r="W849" s="2"/>
      <c r="X849" s="2"/>
      <c r="Y849" s="2"/>
      <c r="Z849" s="2"/>
      <c r="AA849" s="2"/>
    </row>
    <row r="850">
      <c r="A850" s="3" t="s">
        <v>2763</v>
      </c>
      <c r="B850" s="1" t="s">
        <v>2764</v>
      </c>
      <c r="C850" s="1" t="s">
        <v>2765</v>
      </c>
      <c r="D850" s="1" t="s">
        <v>2766</v>
      </c>
      <c r="E850" s="2" t="str">
        <f>IFERROR(__xludf.DUMMYFUNCTION("GOOGLETRANSLATE(C850, ""en"", ""TL"")"),"Sa Pilipinas, ang money laundering ay tinukoy at pinarusahan sa ilalim ng Republic Act No. 9160, na kilala rin bilang Anti-Money Laundering Act (AMLA) ng 2001. Narito ang isang breakdown ng kung ano ang bumubuo sa money laundering sa ilalim ng batas na it"&amp;"o:
**Ang Batas ay nakatuon sa apat na pangunahing aksyon na kinasasangkutan ng mga iligal na nakuhang pondo:**
1. **Conversion o Transformation:** Ito ay nagsasangkot ng pagbabago sa anyo o kalikasan ng mga ilegal na pondo upang itago ang kanilang pinagmu"&amp;"lan. Kasama sa mga halimbawa ang pag-convert ng pera sa mga tseke ng manlalakbay, mahahalagang metal, o real estate.
2. **Paglipat:** Ito ay nagsasangkot ng paglipat ng mga ilegal na pondo mula sa isang lokasyon o tao patungo sa isa pa, sa loob ng bansa o"&amp;" internasyonal. Maaaring kabilang dito ang mga bank transfer, wire transfer, o paggamit ng mga kumpanya ng shell.
3. **Pagkuha:** Ito ay nagsasangkot ng pag-aari o kontrol sa mga ilegal na pondo, kahit na hindi pa pisikal na inilipat ang mga ito. Magagawa"&amp;" ito sa pamamagitan ng paglalagay ng mga ito sa isang bank account o paggamit sa mga ito para bumili ng mga asset.
4. **Pagtatago o Pagtatakpan:** Ito ay nagsasangkot ng pagtatago sa tunay na kalikasan, pinagmulan, lokasyon, pagmamay-ari, o paggalaw ng mg"&amp;"a ilegal na pondo. Magagawa ito sa pamamagitan ng mga kumplikadong transaksyon sa pananalapi, paggawa ng maling dokumentasyon, o paggamit ng mga nominado.
**Mahalagang tandaan na:**
* **Pag-alam sa Illegality:** Ang pagkakasala ay nangangailangan ng kaala"&amp;"man na ang mga pondo ay nagmula sa isang labag sa batas na aktibidad. * **Underlying Crime:** Ang money laundering ay hindi isang krimen sa sarili nitong. Dapat itong konektado sa isa pang krimen na nakabuo ng mga iligal na pondo. Kabilang sa mga halimbaw"&amp;"a ng predicate crime ang drug trafficking, terorismo financing, pandaraya, at katiwalian.
* **Mga Pagsusubok:** Pinaparusahan din ng batas ang mga pagtatangka na gumawa ng money laundering.
**Mga Karagdagang Mapagkukunan:**
* **Anti-Money Laundering Counc"&amp;"il (AMLC Philippines):** [http://www.amlc.gov.ph/](http://www.amlc.gov.ph/)
* **Binago ang Implementing Rules and Regulations ng RA 9160:** [https://www.pdic.gov.ph/files/ra9160irr.pdf](https://www.pdic.gov.ph/files/ra9160irr. pdf)
Tandaan, ito ay isang p"&amp;"inasimpleng paliwanag, at ang mga partikular na detalye ng isang kaso ang tutukuyin kung naganap ang money laundering. Kung mayroon kang anumang karagdagang tanong o pinaghihinalaang aktibidad ng money laundering, inirerekomenda na kumunsulta sa isang abo"&amp;"gado o iulat ito sa mga awtoridad.")</f>
        <v>Sa Pilipinas, ang money laundering ay tinukoy at pinarusahan sa ilalim ng Republic Act No. 9160, na kilala rin bilang Anti-Money Laundering Act (AMLA) ng 2001. Narito ang isang breakdown ng kung ano ang bumubuo sa money laundering sa ilalim ng batas na ito:
**Ang Batas ay nakatuon sa apat na pangunahing aksyon na kinasasangkutan ng mga iligal na nakuhang pondo:**
1. **Conversion o Transformation:** Ito ay nagsasangkot ng pagbabago sa anyo o kalikasan ng mga ilegal na pondo upang itago ang kanilang pinagmulan. Kasama sa mga halimbawa ang pag-convert ng pera sa mga tseke ng manlalakbay, mahahalagang metal, o real estate.
2. **Paglipat:** Ito ay nagsasangkot ng paglipat ng mga ilegal na pondo mula sa isang lokasyon o tao patungo sa isa pa, sa loob ng bansa o internasyonal. Maaaring kabilang dito ang mga bank transfer, wire transfer, o paggamit ng mga kumpanya ng shell.
3. **Pagkuha:** Ito ay nagsasangkot ng pag-aari o kontrol sa mga ilegal na pondo, kahit na hindi pa pisikal na inilipat ang mga ito. Magagawa ito sa pamamagitan ng paglalagay ng mga ito sa isang bank account o paggamit sa mga ito para bumili ng mga asset.
4. **Pagtatago o Pagtatakpan:** Ito ay nagsasangkot ng pagtatago sa tunay na kalikasan, pinagmulan, lokasyon, pagmamay-ari, o paggalaw ng mga ilegal na pondo. Magagawa ito sa pamamagitan ng mga kumplikadong transaksyon sa pananalapi, paggawa ng maling dokumentasyon, o paggamit ng mga nominado.
**Mahalagang tandaan na:**
* **Pag-alam sa Illegality:** Ang pagkakasala ay nangangailangan ng kaalaman na ang mga pondo ay nagmula sa isang labag sa batas na aktibidad. * **Underlying Crime:** Ang money laundering ay hindi isang krimen sa sarili nitong. Dapat itong konektado sa isa pang krimen na nakabuo ng mga iligal na pondo. Kabilang sa mga halimbawa ng predicate crime ang drug trafficking, terorismo financing, pandaraya, at katiwalian.
* **Mga Pagsusubok:** Pinaparusahan din ng batas ang mga pagtatangka na gumawa ng money laundering.
**Mga Karagdagang Mapagkukunan:**
* **Anti-Money Laundering Council (AMLC Philippines):** [http://www.amlc.gov.ph/](http://www.amlc.gov.ph/)
* **Binago ang Implementing Rules and Regulations ng RA 9160:** [https://www.pdic.gov.ph/files/ra9160irr.pdf](https://www.pdic.gov.ph/files/ra9160irr. pdf)
Tandaan, ito ay isang pinasimpleng paliwanag, at ang mga partikular na detalye ng isang kaso ang tutukuyin kung naganap ang money laundering. Kung mayroon kang anumang karagdagang tanong o pinaghihinalaang aktibidad ng money laundering, inirerekomenda na kumunsulta sa isang abogado o iulat ito sa mga awtoridad.</v>
      </c>
      <c r="F850" s="2">
        <f t="shared" si="1"/>
        <v>0</v>
      </c>
      <c r="G850" s="2"/>
      <c r="H850" s="2"/>
      <c r="I850" s="2"/>
      <c r="J850" s="2"/>
      <c r="K850" s="2"/>
      <c r="L850" s="2"/>
      <c r="M850" s="2"/>
      <c r="N850" s="2"/>
      <c r="O850" s="2"/>
      <c r="P850" s="2"/>
      <c r="Q850" s="2"/>
      <c r="R850" s="2"/>
      <c r="S850" s="2"/>
      <c r="T850" s="2"/>
      <c r="U850" s="2"/>
      <c r="V850" s="2"/>
      <c r="W850" s="2"/>
      <c r="X850" s="2"/>
      <c r="Y850" s="2"/>
      <c r="Z850" s="2"/>
      <c r="AA850" s="2"/>
    </row>
    <row r="851">
      <c r="A851" s="3" t="s">
        <v>2763</v>
      </c>
      <c r="B851" s="1" t="s">
        <v>2767</v>
      </c>
      <c r="C851" s="1" t="s">
        <v>2768</v>
      </c>
      <c r="D851" s="1" t="s">
        <v>2769</v>
      </c>
      <c r="E851" s="2" t="str">
        <f>IFERROR(__xludf.DUMMYFUNCTION("GOOGLETRANSLATE(C851, ""en"", ""TL"")"),"Ang money laundering ay isang proseso na naglalayong gawing lehitimo ang mga iligal na nakuhang pondo. Ang Anti-Money Laundering Act (AMLA) ng Pilipinas ay nakatuon sa tatlong pangunahing yugto:
1. **Placement:** Ito ang una at kadalasang pinakamapanganib"&amp;" na yugto. Ang layunin ay maipasok ang mga ilegal na pondo sa sistema ng pananalapi nang hindi nakakaakit ng pansin. Narito ang ilang karaniwang mga diskarte sa paglalagay:
* **Pag-istruktura:** Paghahati ng malalaking halaga ng cash sa mas maliliit na de"&amp;"posito sa ibaba ng mga limitasyon sa pag-uulat.
* **Smurfing:** Paggamit ng maraming tao para gumawa ng maliliit na deposito sa ngalan ng kriminal na organisasyon.
* **Cash-intensive na negosyo:** Laundering ng pera sa pamamagitan ng mga negosyong humahaw"&amp;"ak ng maraming pera, na nagpapahirap sa pagsubaybay sa pinagmulan ng mga pondo (hal., mga car wash, restaurant).
2. **Layering:** Kapag ang mga pondo ay nasa system na, ang money launderer ay naglalayon na lumikha ng isang kumplikadong web ng mga transaks"&amp;"yon upang ilayo ang mga ilegal na pondo mula sa kanilang pinagmulan. Kasama sa mga diskarte sa layering ang:
* **Wire transfers:** Ang paglipat ng mga pondo sa elektronikong paraan sa pagitan ng maraming account sa iba't ibang bansa.
* **Shell na kumpanya"&amp;":** Gumagamit ng mga fictitious na kumpanya para bumili at magbenta ng mga asset, na ginagawang hindi malinaw ang pagmamay-ari ng mga pondo.
* **Mga Casino:** Pag-convert ng cash sa mga chips, ang mga panalo sa pagsusugal pabalik sa cash, na lumilikha ng "&amp;"isang schein ng pagiging lehitimo.
3. **Pagsasama-sama:** Ito ang huling yugto kung saan ang nalabhan na pera ay muling ipinapasok sa ekonomiya bilang tila mga lehitimong pondo. Kasama sa mga diskarte sa pagsasama ang:
* **Pag-invest sa real estate o mga "&amp;"negosyo:** Ang mga ito ay maaaring magbigay ng isang tila lehitimong pinagmumulan ng kita at mga kita sa hinaharap. * **Mga pagbili na may mataas na halaga:** Gamit ang nilabang pera upang bumili ng mga mamahaling produkto tulad ng mga luxury car o artwor"&amp;"k.
**Mahalagang maunawaan na ang mga yugtong ito ay maaaring mag-overlap at maaaring maging kumplikado.** Ang mga ahensyang nagpapatupad ng batas ay sinanay upang tukuyin ang mga pulang bandila na nauugnay sa bawat yugto.
Narito ang ilang karagdagang punt"&amp;"o na dapat isaalang-alang:
* **Ang pagtaas ng paggamit ng teknolohiya:** Ang mga money launder ay patuloy na nag-aangkop ng kanilang mga pamamaraan, gamit ang cryptocurrency o hindi nagpapakilala sa mga online na transaksyon.
* **Ang kahalagahan ng intern"&amp;"asyonal na kooperasyon:** Ang money laundering ay kadalasang isang pandaigdigang krimen, at ang internasyonal na kooperasyon ay mahalaga upang masubaybayan at maantala ang mga aktibidad sa money laundering.
Tandaan, ito ay isang pinasimple na pangkalahata"&amp;"ng-ideya. Kung pinaghihinalaan mo ang aktibidad ng money laundering, inirerekomendang iulat ito sa mga awtoridad.")</f>
        <v>Ang money laundering ay isang proseso na naglalayong gawing lehitimo ang mga iligal na nakuhang pondo. Ang Anti-Money Laundering Act (AMLA) ng Pilipinas ay nakatuon sa tatlong pangunahing yugto:
1. **Placement:** Ito ang una at kadalasang pinakamapanganib na yugto. Ang layunin ay maipasok ang mga ilegal na pondo sa sistema ng pananalapi nang hindi nakakaakit ng pansin. Narito ang ilang karaniwang mga diskarte sa paglalagay:
* **Pag-istruktura:** Paghahati ng malalaking halaga ng cash sa mas maliliit na deposito sa ibaba ng mga limitasyon sa pag-uulat.
* **Smurfing:** Paggamit ng maraming tao para gumawa ng maliliit na deposito sa ngalan ng kriminal na organisasyon.
* **Cash-intensive na negosyo:** Laundering ng pera sa pamamagitan ng mga negosyong humahawak ng maraming pera, na nagpapahirap sa pagsubaybay sa pinagmulan ng mga pondo (hal., mga car wash, restaurant).
2. **Layering:** Kapag ang mga pondo ay nasa system na, ang money launderer ay naglalayon na lumikha ng isang kumplikadong web ng mga transaksyon upang ilayo ang mga ilegal na pondo mula sa kanilang pinagmulan. Kasama sa mga diskarte sa layering ang:
* **Wire transfers:** Ang paglipat ng mga pondo sa elektronikong paraan sa pagitan ng maraming account sa iba't ibang bansa.
* **Shell na kumpanya:** Gumagamit ng mga fictitious na kumpanya para bumili at magbenta ng mga asset, na ginagawang hindi malinaw ang pagmamay-ari ng mga pondo.
* **Mga Casino:** Pag-convert ng cash sa mga chips, ang mga panalo sa pagsusugal pabalik sa cash, na lumilikha ng isang schein ng pagiging lehitimo.
3. **Pagsasama-sama:** Ito ang huling yugto kung saan ang nalabhan na pera ay muling ipinapasok sa ekonomiya bilang tila mga lehitimong pondo. Kasama sa mga diskarte sa pagsasama ang:
* **Pag-invest sa real estate o mga negosyo:** Ang mga ito ay maaaring magbigay ng isang tila lehitimong pinagmumulan ng kita at mga kita sa hinaharap. * **Mga pagbili na may mataas na halaga:** Gamit ang nilabang pera upang bumili ng mga mamahaling produkto tulad ng mga luxury car o artwork.
**Mahalagang maunawaan na ang mga yugtong ito ay maaaring mag-overlap at maaaring maging kumplikado.** Ang mga ahensyang nagpapatupad ng batas ay sinanay upang tukuyin ang mga pulang bandila na nauugnay sa bawat yugto.
Narito ang ilang karagdagang punto na dapat isaalang-alang:
* **Ang pagtaas ng paggamit ng teknolohiya:** Ang mga money launder ay patuloy na nag-aangkop ng kanilang mga pamamaraan, gamit ang cryptocurrency o hindi nagpapakilala sa mga online na transaksyon.
* **Ang kahalagahan ng internasyonal na kooperasyon:** Ang money laundering ay kadalasang isang pandaigdigang krimen, at ang internasyonal na kooperasyon ay mahalaga upang masubaybayan at maantala ang mga aktibidad sa money laundering.
Tandaan, ito ay isang pinasimple na pangkalahatang-ideya. Kung pinaghihinalaan mo ang aktibidad ng money laundering, inirerekomendang iulat ito sa mga awtoridad.</v>
      </c>
      <c r="F851" s="2">
        <f t="shared" si="1"/>
        <v>0</v>
      </c>
      <c r="G851" s="2"/>
      <c r="H851" s="2"/>
      <c r="I851" s="2"/>
      <c r="J851" s="2"/>
      <c r="K851" s="2"/>
      <c r="L851" s="2"/>
      <c r="M851" s="2"/>
      <c r="N851" s="2"/>
      <c r="O851" s="2"/>
      <c r="P851" s="2"/>
      <c r="Q851" s="2"/>
      <c r="R851" s="2"/>
      <c r="S851" s="2"/>
      <c r="T851" s="2"/>
      <c r="U851" s="2"/>
      <c r="V851" s="2"/>
      <c r="W851" s="2"/>
      <c r="X851" s="2"/>
      <c r="Y851" s="2"/>
      <c r="Z851" s="2"/>
      <c r="AA851" s="2"/>
    </row>
    <row r="852">
      <c r="A852" s="3" t="s">
        <v>2763</v>
      </c>
      <c r="B852" s="1" t="s">
        <v>2770</v>
      </c>
      <c r="C852" s="1" t="s">
        <v>2771</v>
      </c>
      <c r="D852" s="1" t="s">
        <v>2772</v>
      </c>
      <c r="E852" s="2" t="str">
        <f>IFERROR(__xludf.DUMMYFUNCTION("GOOGLETRANSLATE(C852, ""en"", ""TL"")"),"Ang Pilipinas, tulad ng maraming bansa, ay nahaharap sa mga hamon sa money laundering. Narito ang ilang karaniwang paraan na ginagamit ng mga kriminal sa paglalaba ng pera, batay sa batas at kalakaran ng Pilipinas:
**Paglalagay (Paglalagay ng mga Ilegal n"&amp;"a Pondo sa System):**
* **Smurfing:** Kabilang dito ang paghahati ng malalaking halaga ng cash sa mas maliliit na deposito sa ibaba ng threshold sa pag-uulat na itinakda ng mga bangko. Maraming tao (smurf) ang gumagawa ng mga depositong ito sa iba't ibang"&amp;" sangay, na ginagawa itong parang mga lehitimong transaksyon.
* **Mga negosyong cash-intensive:** Maaaring mamuhunan ang mga kriminal sa mga negosyong humahawak ng maraming pera, tulad ng mga car wash, restaurant, o convenience store. Maaari nilang paghal"&amp;"uin ang mga ilegal na pondo sa mga lehitimong kita, na nagpapahirap sa pagsubaybay sa pinagmulan.
**Layering (Pagdistansya ng Pera sa Pinagmulan nito):**
* **Shell Companies:** Ito ay mga fictitious na kumpanya na ginawa para itago ang pagmamay-ari ng mga"&amp;" asset. Ang mga kriminal ay maaaring gumamit ng mga kumpanya ng shell upang bumili at magbenta ng mga ari-arian o iba pang mahahalagang bagay, na ginagawang mas mahirap sundan ang pera.
* **Trade-Based Laundering:** Kabilang dito ang pagmamanipula ng mga "&amp;"invoice sa internasyonal na kalakalan. Halimbawa, ang isang produkto ay maaaring maging sobrang presyo, at ang pagkakaiba sa pagitan ng tunay na presyo at ng napalaki na invoice ay kumakatawan sa nilabang pera. * **Casino Laundering:** Maaaring i-convert "&amp;"ng mga kriminal ang cash sa casino chips, magsugal ng maliit na halaga, at pagkatapos ay i-cash out ang mga panalo. Lumilikha ito ng papel na trail na nagmumungkahi na ang pera ay nagmula sa pagsusugal sa halip na mga ilegal na aktibidad.
**Pagsasama-sama"&amp;" (Pagiging Lehitimo ang Laundered Money):**
* **Real Estate:** Ang pamumuhunan sa mga ari-arian ay nagbibigay-daan sa mga kriminal na isama ang pera sa ekonomiya bilang isang tila lehitimong asset na may potensyal na pagbabalik sa hinaharap. * **Mga Pagbi"&amp;"li na Mataas ang Halaga:** Ang mga mamahaling produkto tulad ng mga kotse o likhang sining ay maaaring mabili gamit ang laundered na pera. Ang mga mamahaling bagay na ito ay nagiging isang paraan upang iimbak at gamitin ang mga pondo nang hindi nagtataas "&amp;"ng hinala.
**Mga Umuusbong na Trend:**
* **Teknolohiya:** Ang mga cryptocurrencies at hindi nagpapakilalang mga online na transaksyon ay lalong ginagamit ng mga money launderer upang pagsamantalahan ang mga kahinaan sa mga digital financial system.
**Tand"&amp;"aan:** Ito ay ilan lamang sa mga halimbawa, at ang mga paraan ng money laundering ay maaaring maging napakasalimuot. Kung pinaghihinalaan mo ang aktibidad ng money laundering, inirerekomendang iulat ito sa mga awtoridad.")</f>
        <v>Ang Pilipinas, tulad ng maraming bansa, ay nahaharap sa mga hamon sa money laundering. Narito ang ilang karaniwang paraan na ginagamit ng mga kriminal sa paglalaba ng pera, batay sa batas at kalakaran ng Pilipinas:
**Paglalagay (Paglalagay ng mga Ilegal na Pondo sa System):**
* **Smurfing:** Kabilang dito ang paghahati ng malalaking halaga ng cash sa mas maliliit na deposito sa ibaba ng threshold sa pag-uulat na itinakda ng mga bangko. Maraming tao (smurf) ang gumagawa ng mga depositong ito sa iba't ibang sangay, na ginagawa itong parang mga lehitimong transaksyon.
* **Mga negosyong cash-intensive:** Maaaring mamuhunan ang mga kriminal sa mga negosyong humahawak ng maraming pera, tulad ng mga car wash, restaurant, o convenience store. Maaari nilang paghaluin ang mga ilegal na pondo sa mga lehitimong kita, na nagpapahirap sa pagsubaybay sa pinagmulan.
**Layering (Pagdistansya ng Pera sa Pinagmulan nito):**
* **Shell Companies:** Ito ay mga fictitious na kumpanya na ginawa para itago ang pagmamay-ari ng mga asset. Ang mga kriminal ay maaaring gumamit ng mga kumpanya ng shell upang bumili at magbenta ng mga ari-arian o iba pang mahahalagang bagay, na ginagawang mas mahirap sundan ang pera.
* **Trade-Based Laundering:** Kabilang dito ang pagmamanipula ng mga invoice sa internasyonal na kalakalan. Halimbawa, ang isang produkto ay maaaring maging sobrang presyo, at ang pagkakaiba sa pagitan ng tunay na presyo at ng napalaki na invoice ay kumakatawan sa nilabang pera. * **Casino Laundering:** Maaaring i-convert ng mga kriminal ang cash sa casino chips, magsugal ng maliit na halaga, at pagkatapos ay i-cash out ang mga panalo. Lumilikha ito ng papel na trail na nagmumungkahi na ang pera ay nagmula sa pagsusugal sa halip na mga ilegal na aktibidad.
**Pagsasama-sama (Pagiging Lehitimo ang Laundered Money):**
* **Real Estate:** Ang pamumuhunan sa mga ari-arian ay nagbibigay-daan sa mga kriminal na isama ang pera sa ekonomiya bilang isang tila lehitimong asset na may potensyal na pagbabalik sa hinaharap. * **Mga Pagbili na Mataas ang Halaga:** Ang mga mamahaling produkto tulad ng mga kotse o likhang sining ay maaaring mabili gamit ang laundered na pera. Ang mga mamahaling bagay na ito ay nagiging isang paraan upang iimbak at gamitin ang mga pondo nang hindi nagtataas ng hinala.
**Mga Umuusbong na Trend:**
* **Teknolohiya:** Ang mga cryptocurrencies at hindi nagpapakilalang mga online na transaksyon ay lalong ginagamit ng mga money launderer upang pagsamantalahan ang mga kahinaan sa mga digital financial system.
**Tandaan:** Ito ay ilan lamang sa mga halimbawa, at ang mga paraan ng money laundering ay maaaring maging napakasalimuot. Kung pinaghihinalaan mo ang aktibidad ng money laundering, inirerekomendang iulat ito sa mga awtoridad.</v>
      </c>
      <c r="F852" s="2">
        <f t="shared" si="1"/>
        <v>0</v>
      </c>
      <c r="G852" s="2"/>
      <c r="H852" s="2"/>
      <c r="I852" s="2"/>
      <c r="J852" s="2"/>
      <c r="K852" s="2"/>
      <c r="L852" s="2"/>
      <c r="M852" s="2"/>
      <c r="N852" s="2"/>
      <c r="O852" s="2"/>
      <c r="P852" s="2"/>
      <c r="Q852" s="2"/>
      <c r="R852" s="2"/>
      <c r="S852" s="2"/>
      <c r="T852" s="2"/>
      <c r="U852" s="2"/>
      <c r="V852" s="2"/>
      <c r="W852" s="2"/>
      <c r="X852" s="2"/>
      <c r="Y852" s="2"/>
      <c r="Z852" s="2"/>
      <c r="AA852" s="2"/>
    </row>
    <row r="853">
      <c r="A853" s="3" t="s">
        <v>2763</v>
      </c>
      <c r="B853" s="1" t="s">
        <v>2773</v>
      </c>
      <c r="C853" s="1" t="s">
        <v>2774</v>
      </c>
      <c r="D853" s="1" t="s">
        <v>2775</v>
      </c>
      <c r="E853" s="2" t="str">
        <f>IFERROR(__xludf.DUMMYFUNCTION("GOOGLETRANSLATE(C853, ""en"", ""TL"")"),"Ang batas ng Pilipinas, sa ilalim ng Anti-Money Laundering Act (AMLA) ng 2001 (RA 9160), ay walang iisang partikular na kahulugan ng ""illicit funds."" Sa halip, ang batas ay nakatuon sa **pinagmulan** ng mga pondo at kung ang mga ito ay konektado sa isan"&amp;"g **predicate crime**.
Narito ang isang breakdown:
* **Mga Predicate na Krimen:** Ito ang mga krimen na bumubuo ng mga ilegal na pondo na na-launder sa ibang pagkakataon. Ang AMLA ay naglilista ng iba't ibang predicate na krimen, kabilang ang:
* Drug traf"&amp;"ficking
* Pagpopondo sa terorismo
* Panloloko
* Korapsyon
* Pagpupuslit
* Panloloko sa mga seguridad
* Syndicated na pagsusugal
* **Pag-alam sa Illegality:** Para ang money laundering ay maging isang krimen, ang taong sangkot ay dapat magkaroon ng kamalay"&amp;"an (o may makatwirang batayan upang maniwala) na ang mga pondo ay nagmula sa isa sa mga predicate na krimen na ito. **Sa esensya, ang anumang pondong nagmula sa mga ilegal na aktibidad na ito ay itinuturing na ""mga ipinagbabawal na pondo"" sa konteksto n"&amp;"g money laundering sa ilalim ng batas ng Pilipinas.** Narito ang isang halimbawa:
Si John ay nakakakuha ng pera sa pamamagitan ng pagbebenta ng ilegal na droga. Ang perang ito ay itinuturing na ""mga ipinagbabawal na pondo"" sa ilalim ng AMLA. Kung pagkat"&amp;"apos ay susubukan ni John na ideposito ang perang ito sa isang bangko o gamitin ito upang bumili ng ari-arian upang itago ang pinagmulan nito, maaari siyang kasuhan ng money laundering.
**Mahalagang tandaan:**
* Sinasaklaw din ng AMLA ang mga pagtatangka "&amp;"na gumawa ng money laundering, kahit na ang laundering mismo ay hindi matagumpay.
* Nalalapat ang batas sa parehong mga aktibidad sa lokal at internasyonal na money laundering.
**Mga Karagdagang Mapagkukunan:**
* Anti-Money Laundering Council (AMLC Philip"&amp;"pines): [http://www.amlc.gov.ph/](http://www.amlc.gov.ph/)
Kung mayroon kang anumang karagdagang tanong o pinaghihinalaang aktibidad ng money laundering, inirerekomenda na kumunsulta sa isang abogado o iulat ito sa mga awtoridad.")</f>
        <v>Ang batas ng Pilipinas, sa ilalim ng Anti-Money Laundering Act (AMLA) ng 2001 (RA 9160), ay walang iisang partikular na kahulugan ng "illicit funds." Sa halip, ang batas ay nakatuon sa **pinagmulan** ng mga pondo at kung ang mga ito ay konektado sa isang **predicate crime**.
Narito ang isang breakdown:
* **Mga Predicate na Krimen:** Ito ang mga krimen na bumubuo ng mga ilegal na pondo na na-launder sa ibang pagkakataon. Ang AMLA ay naglilista ng iba't ibang predicate na krimen, kabilang ang:
* Drug trafficking
* Pagpopondo sa terorismo
* Panloloko
* Korapsyon
* Pagpupuslit
* Panloloko sa mga seguridad
* Syndicated na pagsusugal
* **Pag-alam sa Illegality:** Para ang money laundering ay maging isang krimen, ang taong sangkot ay dapat magkaroon ng kamalayan (o may makatwirang batayan upang maniwala) na ang mga pondo ay nagmula sa isa sa mga predicate na krimen na ito. **Sa esensya, ang anumang pondong nagmula sa mga ilegal na aktibidad na ito ay itinuturing na "mga ipinagbabawal na pondo" sa konteksto ng money laundering sa ilalim ng batas ng Pilipinas.** Narito ang isang halimbawa:
Si John ay nakakakuha ng pera sa pamamagitan ng pagbebenta ng ilegal na droga. Ang perang ito ay itinuturing na "mga ipinagbabawal na pondo" sa ilalim ng AMLA. Kung pagkatapos ay susubukan ni John na ideposito ang perang ito sa isang bangko o gamitin ito upang bumili ng ari-arian upang itago ang pinagmulan nito, maaari siyang kasuhan ng money laundering.
**Mahalagang tandaan:**
* Sinasaklaw din ng AMLA ang mga pagtatangka na gumawa ng money laundering, kahit na ang laundering mismo ay hindi matagumpay.
* Nalalapat ang batas sa parehong mga aktibidad sa lokal at internasyonal na money laundering.
**Mga Karagdagang Mapagkukunan:**
* Anti-Money Laundering Council (AMLC Philippines): [http://www.amlc.gov.ph/](http://www.amlc.gov.ph/)
Kung mayroon kang anumang karagdagang tanong o pinaghihinalaang aktibidad ng money laundering, inirerekomenda na kumunsulta sa isang abogado o iulat ito sa mga awtoridad.</v>
      </c>
      <c r="F853" s="2">
        <f t="shared" si="1"/>
        <v>0</v>
      </c>
      <c r="G853" s="2"/>
      <c r="H853" s="2"/>
      <c r="I853" s="2"/>
      <c r="J853" s="2"/>
      <c r="K853" s="2"/>
      <c r="L853" s="2"/>
      <c r="M853" s="2"/>
      <c r="N853" s="2"/>
      <c r="O853" s="2"/>
      <c r="P853" s="2"/>
      <c r="Q853" s="2"/>
      <c r="R853" s="2"/>
      <c r="S853" s="2"/>
      <c r="T853" s="2"/>
      <c r="U853" s="2"/>
      <c r="V853" s="2"/>
      <c r="W853" s="2"/>
      <c r="X853" s="2"/>
      <c r="Y853" s="2"/>
      <c r="Z853" s="2"/>
      <c r="AA853" s="2"/>
    </row>
    <row r="854">
      <c r="A854" s="3" t="s">
        <v>2763</v>
      </c>
      <c r="B854" s="1" t="s">
        <v>2776</v>
      </c>
      <c r="C854" s="1" t="s">
        <v>2777</v>
      </c>
      <c r="D854" s="1" t="s">
        <v>2778</v>
      </c>
      <c r="E854" s="2" t="str">
        <f>IFERROR(__xludf.DUMMYFUNCTION("GOOGLETRANSLATE(C854, ""en"", ""TL"")"),"Ang mga parusa para sa money laundering sa Pilipinas ay nakabalangkas sa Republic Act No. 9160, na kilala rin bilang Anti-Money Laundering Act (AMLA) ng 2001. Narito ang isang breakdown ng mga parusa depende sa partikular na pagkakasala:
* **Seksyon 4 (a)"&amp;":** Sinasaklaw ng seksyong ito ang mismong pagkilos ng paglalaba ng pera. Ang parusa ay pagkakulong mula **pito (7) hanggang labing-apat (14) na taon** at multa na **hindi bababa sa Tatlong milyong piso ng Pilipinas (Php3,000,000.00) ngunit hindi hihigit "&amp;"sa doble ng halaga ng instrumento sa pananalapi o ari-arian na sangkot sa pagkakasala**.
* **Seksyon 4 (b):** Ang seksyong ito ay tumatalakay sa isang sakop na tao (tulad ng isang bangko o institusyong pinansyal) o sa kanilang mga tauhan na sadyang lumaho"&amp;"k sa money laundering. Ang parusa ay pagkakulong mula **apat (4) hanggang pitong (7) taon** at multang katumbas ng **hindi hihigit sa dalawang daang porsyento (200%) ng halaga ng instrumento sa pananalapi o pag-aari na nalabhan**.
* **Seksyon 4 (c):** Sin"&amp;"asaklaw ng seksyong ito ang isang tao na tumutulong sa ibang tao na gumawa ng money laundering sa pamamagitan ng mga pagkilos tulad ng pagbibigay ng account, ari-arian, o serbisyong pinansyal. Ang parusa ay pagkakulong mula **anim (6) na buwan hanggang ap"&amp;"at (4) na taon** o multa na **hindi bababa sa Isang daang libong piso ng Pilipinas (Php100,000.00) ngunit hindi hihigit sa Limang daang libong piso ng Pilipinas (Php500). ,000.00)**, o pareho.
**Mahalagang Tandaan:**
* Ito ay mga pangunahing parusa lamang"&amp;". Ang hukuman ay may ilang pagpapasya sa paghatol batay sa mga partikular na pangyayari ng kaso. * Ang ibang mga batas ay maaari ding ilapat depende sa pinagbabatayan na predicate na krimen na nauugnay sa money laundering.
**Mga Karagdagang Mapagkukunan:*"&amp;"*
* Anti-Money Laundering Council (AMLC Philippines): [http://www.amlc.gov.ph/](http://www.amlc.gov.ph/)
* Republic Act No. 9160 - AMLC: [http://www.amlc.gov.ph/laws/money-laundering/2015-10-16-02-50-56/republic-act-9160](http:// /www.amlc.gov.ph/laws/mon"&amp;"ey-laundering/2015-10-16-02-50-56/republic-act-9160)
Tandaan, ito ay para sa mga layuning pang-impormasyon lamang. Kung nahaharap ka sa mga kaso ng money laundering, mahalagang kumunsulta sa isang abogadong may karanasan sa batas na kriminal.")</f>
        <v>Ang mga parusa para sa money laundering sa Pilipinas ay nakabalangkas sa Republic Act No. 9160, na kilala rin bilang Anti-Money Laundering Act (AMLA) ng 2001. Narito ang isang breakdown ng mga parusa depende sa partikular na pagkakasala:
* **Seksyon 4 (a):** Sinasaklaw ng seksyong ito ang mismong pagkilos ng paglalaba ng pera. Ang parusa ay pagkakulong mula **pito (7) hanggang labing-apat (14) na taon** at multa na **hindi bababa sa Tatlong milyong piso ng Pilipinas (Php3,000,000.00) ngunit hindi hihigit sa doble ng halaga ng instrumento sa pananalapi o ari-arian na sangkot sa pagkakasala**.
* **Seksyon 4 (b):** Ang seksyong ito ay tumatalakay sa isang sakop na tao (tulad ng isang bangko o institusyong pinansyal) o sa kanilang mga tauhan na sadyang lumahok sa money laundering. Ang parusa ay pagkakulong mula **apat (4) hanggang pitong (7) taon** at multang katumbas ng **hindi hihigit sa dalawang daang porsyento (200%) ng halaga ng instrumento sa pananalapi o pag-aari na nalabhan**.
* **Seksyon 4 (c):** Sinasaklaw ng seksyong ito ang isang tao na tumutulong sa ibang tao na gumawa ng money laundering sa pamamagitan ng mga pagkilos tulad ng pagbibigay ng account, ari-arian, o serbisyong pinansyal. Ang parusa ay pagkakulong mula **anim (6) na buwan hanggang apat (4) na taon** o multa na **hindi bababa sa Isang daang libong piso ng Pilipinas (Php100,000.00) ngunit hindi hihigit sa Limang daang libong piso ng Pilipinas (Php500). ,000.00)**, o pareho.
**Mahalagang Tandaan:**
* Ito ay mga pangunahing parusa lamang. Ang hukuman ay may ilang pagpapasya sa paghatol batay sa mga partikular na pangyayari ng kaso. * Ang ibang mga batas ay maaari ding ilapat depende sa pinagbabatayan na predicate na krimen na nauugnay sa money laundering.
**Mga Karagdagang Mapagkukunan:**
* Anti-Money Laundering Council (AMLC Philippines): [http://www.amlc.gov.ph/](http://www.amlc.gov.ph/)
* Republic Act No. 9160 - AMLC: [http://www.amlc.gov.ph/laws/money-laundering/2015-10-16-02-50-56/republic-act-9160](http:// /www.amlc.gov.ph/laws/money-laundering/2015-10-16-02-50-56/republic-act-9160)
Tandaan, ito ay para sa mga layuning pang-impormasyon lamang. Kung nahaharap ka sa mga kaso ng money laundering, mahalagang kumunsulta sa isang abogadong may karanasan sa batas na kriminal.</v>
      </c>
      <c r="F854" s="2">
        <f t="shared" si="1"/>
        <v>0</v>
      </c>
      <c r="G854" s="2"/>
      <c r="H854" s="2"/>
      <c r="I854" s="2"/>
      <c r="J854" s="2"/>
      <c r="K854" s="2"/>
      <c r="L854" s="2"/>
      <c r="M854" s="2"/>
      <c r="N854" s="2"/>
      <c r="O854" s="2"/>
      <c r="P854" s="2"/>
      <c r="Q854" s="2"/>
      <c r="R854" s="2"/>
      <c r="S854" s="2"/>
      <c r="T854" s="2"/>
      <c r="U854" s="2"/>
      <c r="V854" s="2"/>
      <c r="W854" s="2"/>
      <c r="X854" s="2"/>
      <c r="Y854" s="2"/>
      <c r="Z854" s="2"/>
      <c r="AA854" s="2"/>
    </row>
    <row r="855">
      <c r="A855" s="3" t="s">
        <v>2763</v>
      </c>
      <c r="B855" s="1" t="s">
        <v>2779</v>
      </c>
      <c r="C855" s="1" t="s">
        <v>2780</v>
      </c>
      <c r="D855" s="1" t="s">
        <v>2781</v>
      </c>
      <c r="E855" s="2" t="str">
        <f>IFERROR(__xludf.DUMMYFUNCTION("GOOGLETRANSLATE(C855, ""en"", ""TL"")"),"Oo, may ilang potensyal na depensa laban sa mga singil sa money laundering sa Pilipinas. Narito ang isang breakdown batay sa batas ng Pilipinas (RA 9160 - Anti-Money Laundering Act):
**Mga Karaniwang Depensa:**
* **Kakulangan sa Kaalaman:** Ang pangunahin"&amp;"g elemento ng money laundering ay **alam** ang mga pondo na nagmula sa isang krimen. Kung maaari mong ipakita na tunay kang naniniwala na ang mga pondo ay lehitimo, maaari itong maging isang malakas na depensa. * **Maling Paniniwala:** Kahit na mayroon ka"&amp;"ng ilang hinala, kung maaari kang magpakita ng isang makatwirang pagkakamali tungkol sa pinagmulan ng mga pondo, maaari nitong pahinain ang kaso ng prosekusyon.
* **Entrapment:** Kung hinikayat ka ng pagpapatupad ng batas na gumawa ng money laundering sa "&amp;"pamamagitan ng mga taktika tulad ng pamimilit o hindi nararapat na panggigipit, maaari kang magkaroon ng depensa.
**Iba pang Potensyal na Depensa:**
* **Mga Paglabag sa Pamamaraan:** Kung ang iyong mga karapatan ay nilabag sa panahon ng pagsisiyasat o pag"&amp;"-aresto, maaari itong makaapekto sa kaso. * **Mga Teknikal na Depensa:** Ang mga pagkakamali o hindi pagkakatugma sa ebidensya ng prosekusyon ay maaaring lumikha ng makatwirang pagdududa tungkol sa iyong pagkakasala.
**Mahalagang Tandaan:**
* Ang pasanin "&amp;"ng patunay ay nakasalalay sa prosekusyon upang itatag ang iyong pagkakasala nang walang makatwirang pagdududa.
* Ang mga depensa ay maaaring kumplikado at nakadepende sa mga partikular na kalagayan ng iyong kaso.
* Ang pagkonsulta sa isang kwalipikadong a"&amp;"bogado na may karanasan sa money laundering defense ay napakahalaga. Maaari nilang suriin ang mga detalye ng iyong sitwasyon, payuhan ka sa pinakaangkop na diskarte sa pagtatanggol, at epektibong kinakatawan ka sa korte. **Narito ang ilang karagdagang pun"&amp;"tong dapat isaalang-alang:**
* **Kooperasyon:** Sa ilang mga kaso, ang pakikipagtulungan sa pagpapatupad ng batas sa pamamagitan ng pagbibigay ng impormasyon tungkol sa pinagmulan ng mga pondo o ang mga kriminal na sangkot ay maaaring isang posibilidad. G"&amp;"ayunpaman, ito ay dapat gawin lamang sa ilalim ng gabay ng isang abogado.
* **Civil Asset Forfeiture:** Kahit na hindi ka nahatulan ng money laundering, maaaring subukan ng gobyerno na kunin ang mga asset na pinaniniwalaan nilang nagmula sa mga ilegal na "&amp;"aktibidad. Matutulungan ka ng isang abogado na i-navigate ang prosesong ito.
**Tandaan:** Ito ay isang pinasimple na pangkalahatang-ideya, at ang pinakamahusay na paraan ng pagkilos ay nakasalalay sa iyong partikular na sitwasyon. Ang pagkonsulta sa isang"&amp;" abogado ay mahalaga upang maunawaan ang iyong mga legal na opsyon at bumuo ng isang malakas na depensa laban sa mga singil sa money laundering.")</f>
        <v>Oo, may ilang potensyal na depensa laban sa mga singil sa money laundering sa Pilipinas. Narito ang isang breakdown batay sa batas ng Pilipinas (RA 9160 - Anti-Money Laundering Act):
**Mga Karaniwang Depensa:**
* **Kakulangan sa Kaalaman:** Ang pangunahing elemento ng money laundering ay **alam** ang mga pondo na nagmula sa isang krimen. Kung maaari mong ipakita na tunay kang naniniwala na ang mga pondo ay lehitimo, maaari itong maging isang malakas na depensa. * **Maling Paniniwala:** Kahit na mayroon kang ilang hinala, kung maaari kang magpakita ng isang makatwirang pagkakamali tungkol sa pinagmulan ng mga pondo, maaari nitong pahinain ang kaso ng prosekusyon.
* **Entrapment:** Kung hinikayat ka ng pagpapatupad ng batas na gumawa ng money laundering sa pamamagitan ng mga taktika tulad ng pamimilit o hindi nararapat na panggigipit, maaari kang magkaroon ng depensa.
**Iba pang Potensyal na Depensa:**
* **Mga Paglabag sa Pamamaraan:** Kung ang iyong mga karapatan ay nilabag sa panahon ng pagsisiyasat o pag-aresto, maaari itong makaapekto sa kaso. * **Mga Teknikal na Depensa:** Ang mga pagkakamali o hindi pagkakatugma sa ebidensya ng prosekusyon ay maaaring lumikha ng makatwirang pagdududa tungkol sa iyong pagkakasala.
**Mahalagang Tandaan:**
* Ang pasanin ng patunay ay nakasalalay sa prosekusyon upang itatag ang iyong pagkakasala nang walang makatwirang pagdududa.
* Ang mga depensa ay maaaring kumplikado at nakadepende sa mga partikular na kalagayan ng iyong kaso.
* Ang pagkonsulta sa isang kwalipikadong abogado na may karanasan sa money laundering defense ay napakahalaga. Maaari nilang suriin ang mga detalye ng iyong sitwasyon, payuhan ka sa pinakaangkop na diskarte sa pagtatanggol, at epektibong kinakatawan ka sa korte. **Narito ang ilang karagdagang puntong dapat isaalang-alang:**
* **Kooperasyon:** Sa ilang mga kaso, ang pakikipagtulungan sa pagpapatupad ng batas sa pamamagitan ng pagbibigay ng impormasyon tungkol sa pinagmulan ng mga pondo o ang mga kriminal na sangkot ay maaaring isang posibilidad. Gayunpaman, ito ay dapat gawin lamang sa ilalim ng gabay ng isang abogado.
* **Civil Asset Forfeiture:** Kahit na hindi ka nahatulan ng money laundering, maaaring subukan ng gobyerno na kunin ang mga asset na pinaniniwalaan nilang nagmula sa mga ilegal na aktibidad. Matutulungan ka ng isang abogado na i-navigate ang prosesong ito.
**Tandaan:** Ito ay isang pinasimple na pangkalahatang-ideya, at ang pinakamahusay na paraan ng pagkilos ay nakasalalay sa iyong partikular na sitwasyon. Ang pagkonsulta sa isang abogado ay mahalaga upang maunawaan ang iyong mga legal na opsyon at bumuo ng isang malakas na depensa laban sa mga singil sa money laundering.</v>
      </c>
      <c r="F855" s="2">
        <f t="shared" si="1"/>
        <v>0</v>
      </c>
      <c r="G855" s="2"/>
      <c r="H855" s="2"/>
      <c r="I855" s="2"/>
      <c r="J855" s="2"/>
      <c r="K855" s="2"/>
      <c r="L855" s="2"/>
      <c r="M855" s="2"/>
      <c r="N855" s="2"/>
      <c r="O855" s="2"/>
      <c r="P855" s="2"/>
      <c r="Q855" s="2"/>
      <c r="R855" s="2"/>
      <c r="S855" s="2"/>
      <c r="T855" s="2"/>
      <c r="U855" s="2"/>
      <c r="V855" s="2"/>
      <c r="W855" s="2"/>
      <c r="X855" s="2"/>
      <c r="Y855" s="2"/>
      <c r="Z855" s="2"/>
      <c r="AA855" s="2"/>
    </row>
    <row r="856">
      <c r="A856" s="3" t="s">
        <v>2763</v>
      </c>
      <c r="B856" s="1" t="s">
        <v>2782</v>
      </c>
      <c r="C856" s="1" t="s">
        <v>2783</v>
      </c>
      <c r="D856" s="1" t="s">
        <v>2784</v>
      </c>
      <c r="E856" s="2" t="str">
        <f>IFERROR(__xludf.DUMMYFUNCTION("GOOGLETRANSLATE(C856, ""en"", ""TL"")"),"Sa Pilipinas, ang layunin ay gumaganap ng mahalagang papel sa mga kaso ng money laundering sa ilalim ng Anti-Money Laundering Act (AMLA) ng 2001 (RA 9160). Narito ang isang breakdown kung paano isinasaalang-alang ang layunin:
* **Pag-alam sa Illegality:**"&amp;" Upang mapatunayang nagkasala ng money laundering, dapat patunayan ng prosekusyon na **alam o may makatwirang dahilan upang maniwala** ang mga pondo ay nagmula sa isang kriminal na aktibidad. * Nangangahulugan ito na ang simpleng pangangasiwa ng mga kahin"&amp;"a-hinalang pondo ay hindi sapat. Dapat ay mayroon kang ilang kamalayan sa kanilang ilegal na pinagmulan.
* **Hindi Kinakailangan ang Tukoy na Kaalaman:** Hindi hinihiling sa iyo ng batas na malaman ang eksaktong uri ng pinagbabatayan na krimen (pagtrapiko"&amp;" ng droga, pandaraya, atbp.) Sapat na kung alam mong ang mga pondo ay karaniwang nagmula sa mga ilegal na aktibidad.
* **Ang Kawalang-ingat ay Sapat:** Kahit na wala kang aktwal na kaalaman, ang walang ingat na pagwawalang-bahala sa posibilidad na ang mga"&amp;" pondo ay ilegal ay maaaring sapat na para sa isang paghatol. Itinatampok nito ang kahalagahan ng pagsasagawa ng angkop na pagsisikap kapag humahawak ng malalaking halaga ng pera o nakikibahagi sa mga transaksyong pinansyal na tila hindi karaniwan.
**Nari"&amp;"to ang isang halimbawa:**
Nakatanggap si John ng malaking deposito ng pera mula sa isang estranghero. Wala siyang alam tungkol sa tao at pinaghihinalaan niyang maaaring kahina-hinala ang pera. Gayunpaman, idineposito pa rin ni John ang pera sa kanyang acc"&amp;"ount nang hindi nagtatanong. Ang mga aksyon ni John ay maaaring ituring na walang ingat na pagwawalang-bahala sa pinagmulan ng mga pondo, na posibleng humantong sa isang paniniwala sa money laundering.
**Mga Karagdagang Punto:**
* **Intent to Layer or Pla"&amp;"ce Funds:** Ang partikular na pagkakasala sa ilalim ng AMLA (placement, layering, o integration) ay maaari ding makaimpluwensya sa antas ng intent na kinakailangan. Gayunpaman, sa pangkalahatan, ang pag-alam o pagkakaroon ng mga makatwirang batayan upang "&amp;"maniwala na ang mga pondo ay ilegal ay nananatiling pangunahing konsepto.
* **Mga Depensa Batay sa Kakulangan ng Kaalaman:** Kung maipapakita mo na talagang naniniwala kang lehitimo ang mga pondo, maaari itong maging isang malakas na depensa laban sa mga "&amp;"singil sa money laundering.
**Tandaan:** Ito ay isang pinasimpleng paliwanag. Ang mga partikular na detalye ng iyong kaso at ang ebidensyang ipinakita ay tutukuyin kung paano binibigyang-kahulugan ng korte ang layunin. Ang pagkonsulta sa isang abogadong m"&amp;"ay karanasan sa money laundering defense ay mahalaga upang maunawaan kung paano nalalapat ang layunin sa iyong sitwasyon at bumuo ng isang malakas na diskarte sa pagtatanggol.")</f>
        <v>Sa Pilipinas, ang layunin ay gumaganap ng mahalagang papel sa mga kaso ng money laundering sa ilalim ng Anti-Money Laundering Act (AMLA) ng 2001 (RA 9160). Narito ang isang breakdown kung paano isinasaalang-alang ang layunin:
* **Pag-alam sa Illegality:** Upang mapatunayang nagkasala ng money laundering, dapat patunayan ng prosekusyon na **alam o may makatwirang dahilan upang maniwala** ang mga pondo ay nagmula sa isang kriminal na aktibidad. * Nangangahulugan ito na ang simpleng pangangasiwa ng mga kahina-hinalang pondo ay hindi sapat. Dapat ay mayroon kang ilang kamalayan sa kanilang ilegal na pinagmulan.
* **Hindi Kinakailangan ang Tukoy na Kaalaman:** Hindi hinihiling sa iyo ng batas na malaman ang eksaktong uri ng pinagbabatayan na krimen (pagtrapiko ng droga, pandaraya, atbp.) Sapat na kung alam mong ang mga pondo ay karaniwang nagmula sa mga ilegal na aktibidad.
* **Ang Kawalang-ingat ay Sapat:** Kahit na wala kang aktwal na kaalaman, ang walang ingat na pagwawalang-bahala sa posibilidad na ang mga pondo ay ilegal ay maaaring sapat na para sa isang paghatol. Itinatampok nito ang kahalagahan ng pagsasagawa ng angkop na pagsisikap kapag humahawak ng malalaking halaga ng pera o nakikibahagi sa mga transaksyong pinansyal na tila hindi karaniwan.
**Narito ang isang halimbawa:**
Nakatanggap si John ng malaking deposito ng pera mula sa isang estranghero. Wala siyang alam tungkol sa tao at pinaghihinalaan niyang maaaring kahina-hinala ang pera. Gayunpaman, idineposito pa rin ni John ang pera sa kanyang account nang hindi nagtatanong. Ang mga aksyon ni John ay maaaring ituring na walang ingat na pagwawalang-bahala sa pinagmulan ng mga pondo, na posibleng humantong sa isang paniniwala sa money laundering.
**Mga Karagdagang Punto:**
* **Intent to Layer or Place Funds:** Ang partikular na pagkakasala sa ilalim ng AMLA (placement, layering, o integration) ay maaari ding makaimpluwensya sa antas ng intent na kinakailangan. Gayunpaman, sa pangkalahatan, ang pag-alam o pagkakaroon ng mga makatwirang batayan upang maniwala na ang mga pondo ay ilegal ay nananatiling pangunahing konsepto.
* **Mga Depensa Batay sa Kakulangan ng Kaalaman:** Kung maipapakita mo na talagang naniniwala kang lehitimo ang mga pondo, maaari itong maging isang malakas na depensa laban sa mga singil sa money laundering.
**Tandaan:** Ito ay isang pinasimpleng paliwanag. Ang mga partikular na detalye ng iyong kaso at ang ebidensyang ipinakita ay tutukuyin kung paano binibigyang-kahulugan ng korte ang layunin. Ang pagkonsulta sa isang abogadong may karanasan sa money laundering defense ay mahalaga upang maunawaan kung paano nalalapat ang layunin sa iyong sitwasyon at bumuo ng isang malakas na diskarte sa pagtatanggol.</v>
      </c>
      <c r="F856" s="2">
        <f t="shared" si="1"/>
        <v>0</v>
      </c>
      <c r="G856" s="2"/>
      <c r="H856" s="2"/>
      <c r="I856" s="2"/>
      <c r="J856" s="2"/>
      <c r="K856" s="2"/>
      <c r="L856" s="2"/>
      <c r="M856" s="2"/>
      <c r="N856" s="2"/>
      <c r="O856" s="2"/>
      <c r="P856" s="2"/>
      <c r="Q856" s="2"/>
      <c r="R856" s="2"/>
      <c r="S856" s="2"/>
      <c r="T856" s="2"/>
      <c r="U856" s="2"/>
      <c r="V856" s="2"/>
      <c r="W856" s="2"/>
      <c r="X856" s="2"/>
      <c r="Y856" s="2"/>
      <c r="Z856" s="2"/>
      <c r="AA856" s="2"/>
    </row>
    <row r="857">
      <c r="A857" s="3" t="s">
        <v>2763</v>
      </c>
      <c r="B857" s="1" t="s">
        <v>2785</v>
      </c>
      <c r="C857" s="1" t="s">
        <v>2786</v>
      </c>
      <c r="D857" s="1" t="s">
        <v>2787</v>
      </c>
      <c r="E857" s="2" t="str">
        <f>IFERROR(__xludf.DUMMYFUNCTION("GOOGLETRANSLATE(C857, ""en"", ""TL"")"),"Sa Pilipinas, ang pagkakaiba sa pagitan ng legal at iligal na mga transaksyon sa pananalapi ay nakasalalay sa pinagmulan at layunin ng mga pondo, pati na rin kung paano pinangangasiwaan ang mga ito. Narito ang isang breakdown upang matulungan kang maunawa"&amp;"an:
**Mga Legal na Transaksyon sa Pinansyal:**
* **Source:** Ang mga pondo ay nagmumula sa mga lehitimong aktibidad tulad ng suweldo, kita sa negosyo, pamumuhunan, o mana. * **Layunin:** Ang mga pondo ay ginagamit para sa mga legal na layunin tulad ng pag"&amp;"bili ng mga produkto at serbisyo, pagbabayad ng mga bill, pamumuhunan, o pag-iipon.
* **Transparency:** Ang pinagmulan at layunin ng mga pondo ay malinaw at nabe-verify sa pamamagitan ng dokumentasyon tulad ng mga payslip, invoice, resibo, at bank stateme"&amp;"nt.
* **Pagsunod:** Ang mga institusyong pampinansyal ay karaniwang may mga pamamaraan ng Know Your Customer (KYC) upang i-verify ang mga pagkakakilanlan at maiwasan ang mga ilegal na aktibidad. Sumusunod ang mga transaksyon sa mga regulasyong itinakda ng"&amp;" Bangko Sentral ng Pilipinas (BSP) at iba pang kaugnay na ahensya.
**Mga Halimbawa ng Legal na Transaksyon:**
* Pagdeposito ng iyong suweldo sa iyong bank account.
* Pagbabayad para sa mga pamilihan gamit ang isang debit card.
* Paglilipat ng pera sa isan"&amp;"g kaibigan upang bayaran sila para sa isang pautang.
* Namumuhunan sa mga stock sa pamamagitan ng isang lisensyadong broker.
**Mga Ilegal na Transaksyon sa Pinansyal (Mga Pulang Watawat):**
* **Pinagmulan:** Ang mga pondo ay nagmumula sa mga kriminal na a"&amp;"ktibidad tulad ng drug trafficking, pandaraya, katiwalian, o pag-iwas sa buwis. * **Layunin:** Ang mga pondo ay ginagamit upang maglaba ng pera, tustusan ang mga ilegal na aktibidad, o itago ang kayamanan.
* **Secrecy:** Ang mga pagsisikap ay ginawa upang"&amp;" itago ang pinagmulan at layunin ng mga pondo. Ang mga transaksyon ay maaaring may kasamang malaking halaga ng cash, kumplikadong instrumento sa pananalapi, o mga kumpanya ng shell.
* **Hindi Pagsunod:** Maaaring maiwasan ng mga transaksyon ang mga instit"&amp;"usyong pampinansyal o may kinalaman sa pagsasaayos ng mga deposito upang manatili sa ibaba ng mga limitasyon sa pag-uulat.
**Mga Halimbawa ng Ilegal na Transaksyon:**
* Pagdedeposito ng malaking halaga ng cash nang walang malinaw na pinagmulan.
* Paghahat"&amp;"i ng malalaking cash deposit sa mas maliliit na transaksyon upang maiwasan ang mga kinakailangan sa pag-uulat.
* Pagpapadala ng pera sa ibang bansa sa mga hindi kilalang account para sa hindi kilalang layunin.
* Paggamit ng pekeng pasaporte o pagkakakilan"&amp;"lan ng ibang tao para magbukas ng bank account.
**Narito ang ilang karagdagang puntong dapat isaalang-alang:**
* **Mga Gray na Lugar:** Minsan, maaaring malabo ang linya sa pagitan ng legal at ilegal. Kung mukhang kahina-hinala ang isang transaksyon, pina"&amp;"kamahusay na magkamali sa panig ng pag-iingat at kumunsulta sa isang propesyonal sa pananalapi o abogado.
* **Ang Ignorance Isn't an Excuse:** Kahit na hindi mo alam na sangkot ka sa isang ilegal na transaksyon, maaari ka pa ring harapin ang mga legal na "&amp;"kahihinatnan. Mahalagang maging mapagbantay at magtanong kung may tila kakaiba.
**Tandaan:** Kung pinaghihinalaan mo ang ilegal na aktibidad sa pananalapi, iulat ito sa mga awtoridad. Maaari kang makipag-ugnayan sa Anti-Money Laundering Council (AMLC) o s"&amp;"a Philippine National Police (PNP) Anti-Cybercrime Unit.")</f>
        <v>Sa Pilipinas, ang pagkakaiba sa pagitan ng legal at iligal na mga transaksyon sa pananalapi ay nakasalalay sa pinagmulan at layunin ng mga pondo, pati na rin kung paano pinangangasiwaan ang mga ito. Narito ang isang breakdown upang matulungan kang maunawaan:
**Mga Legal na Transaksyon sa Pinansyal:**
* **Source:** Ang mga pondo ay nagmumula sa mga lehitimong aktibidad tulad ng suweldo, kita sa negosyo, pamumuhunan, o mana. * **Layunin:** Ang mga pondo ay ginagamit para sa mga legal na layunin tulad ng pagbili ng mga produkto at serbisyo, pagbabayad ng mga bill, pamumuhunan, o pag-iipon.
* **Transparency:** Ang pinagmulan at layunin ng mga pondo ay malinaw at nabe-verify sa pamamagitan ng dokumentasyon tulad ng mga payslip, invoice, resibo, at bank statement.
* **Pagsunod:** Ang mga institusyong pampinansyal ay karaniwang may mga pamamaraan ng Know Your Customer (KYC) upang i-verify ang mga pagkakakilanlan at maiwasan ang mga ilegal na aktibidad. Sumusunod ang mga transaksyon sa mga regulasyong itinakda ng Bangko Sentral ng Pilipinas (BSP) at iba pang kaugnay na ahensya.
**Mga Halimbawa ng Legal na Transaksyon:**
* Pagdeposito ng iyong suweldo sa iyong bank account.
* Pagbabayad para sa mga pamilihan gamit ang isang debit card.
* Paglilipat ng pera sa isang kaibigan upang bayaran sila para sa isang pautang.
* Namumuhunan sa mga stock sa pamamagitan ng isang lisensyadong broker.
**Mga Ilegal na Transaksyon sa Pinansyal (Mga Pulang Watawat):**
* **Pinagmulan:** Ang mga pondo ay nagmumula sa mga kriminal na aktibidad tulad ng drug trafficking, pandaraya, katiwalian, o pag-iwas sa buwis. * **Layunin:** Ang mga pondo ay ginagamit upang maglaba ng pera, tustusan ang mga ilegal na aktibidad, o itago ang kayamanan.
* **Secrecy:** Ang mga pagsisikap ay ginawa upang itago ang pinagmulan at layunin ng mga pondo. Ang mga transaksyon ay maaaring may kasamang malaking halaga ng cash, kumplikadong instrumento sa pananalapi, o mga kumpanya ng shell.
* **Hindi Pagsunod:** Maaaring maiwasan ng mga transaksyon ang mga institusyong pampinansyal o may kinalaman sa pagsasaayos ng mga deposito upang manatili sa ibaba ng mga limitasyon sa pag-uulat.
**Mga Halimbawa ng Ilegal na Transaksyon:**
* Pagdedeposito ng malaking halaga ng cash nang walang malinaw na pinagmulan.
* Paghahati ng malalaking cash deposit sa mas maliliit na transaksyon upang maiwasan ang mga kinakailangan sa pag-uulat.
* Pagpapadala ng pera sa ibang bansa sa mga hindi kilalang account para sa hindi kilalang layunin.
* Paggamit ng pekeng pasaporte o pagkakakilanlan ng ibang tao para magbukas ng bank account.
**Narito ang ilang karagdagang puntong dapat isaalang-alang:**
* **Mga Gray na Lugar:** Minsan, maaaring malabo ang linya sa pagitan ng legal at ilegal. Kung mukhang kahina-hinala ang isang transaksyon, pinakamahusay na magkamali sa panig ng pag-iingat at kumunsulta sa isang propesyonal sa pananalapi o abogado.
* **Ang Ignorance Isn't an Excuse:** Kahit na hindi mo alam na sangkot ka sa isang ilegal na transaksyon, maaari ka pa ring harapin ang mga legal na kahihinatnan. Mahalagang maging mapagbantay at magtanong kung may tila kakaiba.
**Tandaan:** Kung pinaghihinalaan mo ang ilegal na aktibidad sa pananalapi, iulat ito sa mga awtoridad. Maaari kang makipag-ugnayan sa Anti-Money Laundering Council (AMLC) o sa Philippine National Police (PNP) Anti-Cybercrime Unit.</v>
      </c>
      <c r="F857" s="2">
        <f t="shared" si="1"/>
        <v>0</v>
      </c>
      <c r="G857" s="2"/>
      <c r="H857" s="2"/>
      <c r="I857" s="2"/>
      <c r="J857" s="2"/>
      <c r="K857" s="2"/>
      <c r="L857" s="2"/>
      <c r="M857" s="2"/>
      <c r="N857" s="2"/>
      <c r="O857" s="2"/>
      <c r="P857" s="2"/>
      <c r="Q857" s="2"/>
      <c r="R857" s="2"/>
      <c r="S857" s="2"/>
      <c r="T857" s="2"/>
      <c r="U857" s="2"/>
      <c r="V857" s="2"/>
      <c r="W857" s="2"/>
      <c r="X857" s="2"/>
      <c r="Y857" s="2"/>
      <c r="Z857" s="2"/>
      <c r="AA857" s="2"/>
    </row>
    <row r="858">
      <c r="A858" s="3" t="s">
        <v>2763</v>
      </c>
      <c r="B858" s="1" t="s">
        <v>2788</v>
      </c>
      <c r="C858" s="1" t="s">
        <v>2789</v>
      </c>
      <c r="D858" s="1" t="s">
        <v>2790</v>
      </c>
      <c r="E858" s="2" t="str">
        <f>IFERROR(__xludf.DUMMYFUNCTION("GOOGLETRANSLATE(C858, ""en"", ""TL"")"),"Ang internasyonal na batas ay gumaganap ng isang mahalagang papel sa mga kaso ng money laundering na kinasasangkutan ng maraming hurisdiksyon, dahil madalas na pinagsasamantalahan ng mga kriminal ang mga pagkakaiba sa mga pambansang batas at sistema ng pa"&amp;"nanalapi. Narito kung paano nakakatulong ang internasyonal na batas na labanan ito:
**Mga Internasyonal na Kasunduan at Kombensiyon:**
* Ang Pilipinas ay lumagda sa iba't ibang internasyonal na kasunduan at kumbensyon laban sa money laundering at pagpopon"&amp;"do ng terorista. Ang mga kasunduang ito ay nagtatag ng isang balangkas para sa kooperasyon sa pagitan ng mga bansa, kabilang ang:
* Pagbabahagi ng impormasyon tungkol sa mga pinaghihinalaang aktibidad ng money laundering.
* Pagbibigay ng mutual legal na t"&amp;"ulong sa mga pagsisiyasat at pag-uusig.
* Pag-agaw at pagyeyelo ng mga ari-arian na nagmula sa krimen.
* Kabilang sa mga pangunahing kasunduan ang:
* Ang United Nations Convention laban sa Transnational Organised Crime (UNTOC) at ang mga Protocol nito.
* "&amp;"Ang Mga Rekomendasyon ng Financial Action Task Force (FATF).
**Mga Mekanismo para sa Internasyonal na Kooperasyon:**
* **Mutual Legal Assistance Treaties (MLATs):** Ang mga bilateral na kasunduan sa pagitan ng mga bansa ay nagpapahintulot sa kanila na mag"&amp;"bahagi ng ebidensya, testimonya ng saksi, at iba pang impormasyong kailangan para sa mga pagsisiyasat at pag-uusig.
* **Mga Joint Investigation Team:** Ang mga ahensyang nagpapatupad ng batas mula sa iba't ibang bansa ay maaaring magtulungan sa mga kumpli"&amp;"kadong kaso ng money laundering na sumasaklaw sa maraming hurisdiksyon.
* **Extradition Treaties:** Ang mga kasunduang ito ay nagpapahintulot sa isang bansa na humiling ng extradition ng isang pinaghihinalaang kriminal mula sa ibang bansa para sa paglilit"&amp;"is.
**Mga Hamon at Kumplikado:**
* **Pagkakaibang Pambansang Batas:** Ang pag-iiba-iba ng mga kahulugan ng mga paglabag sa money laundering at mga pamantayan sa ebidensiya sa mga bansa ay maaaring magpalubha sa mga pagsisiyasat at pag-uusig.
* **Bank Secr"&amp;"ecy Laws:** Ang mahigpit na bank secrecy law sa ilang bansa ay maaaring magpahirap sa pagkuha ng impormasyong pinansyal na kailangan para sa mga pagsisiyasat.
* **Resource Constraints:** Ang ilang mga bansa ay maaaring kulang sa mga mapagkukunan o kapasid"&amp;"ad upang epektibong mag-imbestiga at mag-prosecute ng mga kumplikadong kaso ng money laundering.
**Ang Papel ng mga Internasyonal na Organisasyon:**
* **FATF:** Ang inter-governmental body na ito ay nagtatakda ng mga internasyonal na pamantayan para sa pa"&amp;"glaban sa money laundering at pagpopondo ng terorista. Sinusuri at sinusubaybayan nila ang pagsunod ng mga bansa sa mga pamantayang ito.
* **Egmont Group:** Ang grupong ito ng mga financial intelligence unit (FIU) mula sa buong mundo ay nagpapadali sa pag"&amp;"papalitan ng impormasyon upang labanan ang money laundering at pagpopondo ng terorista.
**Epekto sa Mga Kaso sa Pilipinas:**
* Ang internasyonal na kooperasyon ay maaaring maging mahalaga para sa mga awtoridad ng Pilipinas na mangalap ng ebidensya na mata"&amp;"tagpuan sa ibang bansa, subaybayan ang mga na-launder na pondo sa mga hangganan, at tugisin ang mga suspek na tumakas sa bansa.
* Ang Pilipinas ay nagtatag ng mga mekanismo para sa internasyonal na kooperasyon, kabilang ang mga MLAT sa iba't ibang bansa a"&amp;"t pagiging kasapi sa FATF at Egmont Group.
**Tandaan:** Ang internasyonal na batas ay isang kumplikado at umuusbong na larangan. Kung ikaw ay sangkot sa isang kaso ng money laundering na may internasyonal na elemento, ang pagkonsulta sa isang abogadong ma"&amp;"y karanasan sa internasyonal na batas kriminal ay napakahalaga. Maaari ka nilang payuhan tungkol sa iyong mga karapatan at i-navigate ang mga legal na kumplikado ng mga naturang kaso.")</f>
        <v>Ang internasyonal na batas ay gumaganap ng isang mahalagang papel sa mga kaso ng money laundering na kinasasangkutan ng maraming hurisdiksyon, dahil madalas na pinagsasamantalahan ng mga kriminal ang mga pagkakaiba sa mga pambansang batas at sistema ng pananalapi. Narito kung paano nakakatulong ang internasyonal na batas na labanan ito:
**Mga Internasyonal na Kasunduan at Kombensiyon:**
* Ang Pilipinas ay lumagda sa iba't ibang internasyonal na kasunduan at kumbensyon laban sa money laundering at pagpopondo ng terorista. Ang mga kasunduang ito ay nagtatag ng isang balangkas para sa kooperasyon sa pagitan ng mga bansa, kabilang ang:
* Pagbabahagi ng impormasyon tungkol sa mga pinaghihinalaang aktibidad ng money laundering.
* Pagbibigay ng mutual legal na tulong sa mga pagsisiyasat at pag-uusig.
* Pag-agaw at pagyeyelo ng mga ari-arian na nagmula sa krimen.
* Kabilang sa mga pangunahing kasunduan ang:
* Ang United Nations Convention laban sa Transnational Organised Crime (UNTOC) at ang mga Protocol nito.
* Ang Mga Rekomendasyon ng Financial Action Task Force (FATF).
**Mga Mekanismo para sa Internasyonal na Kooperasyon:**
* **Mutual Legal Assistance Treaties (MLATs):** Ang mga bilateral na kasunduan sa pagitan ng mga bansa ay nagpapahintulot sa kanila na magbahagi ng ebidensya, testimonya ng saksi, at iba pang impormasyong kailangan para sa mga pagsisiyasat at pag-uusig.
* **Mga Joint Investigation Team:** Ang mga ahensyang nagpapatupad ng batas mula sa iba't ibang bansa ay maaaring magtulungan sa mga kumplikadong kaso ng money laundering na sumasaklaw sa maraming hurisdiksyon.
* **Extradition Treaties:** Ang mga kasunduang ito ay nagpapahintulot sa isang bansa na humiling ng extradition ng isang pinaghihinalaang kriminal mula sa ibang bansa para sa paglilitis.
**Mga Hamon at Kumplikado:**
* **Pagkakaibang Pambansang Batas:** Ang pag-iiba-iba ng mga kahulugan ng mga paglabag sa money laundering at mga pamantayan sa ebidensiya sa mga bansa ay maaaring magpalubha sa mga pagsisiyasat at pag-uusig.
* **Bank Secrecy Laws:** Ang mahigpit na bank secrecy law sa ilang bansa ay maaaring magpahirap sa pagkuha ng impormasyong pinansyal na kailangan para sa mga pagsisiyasat.
* **Resource Constraints:** Ang ilang mga bansa ay maaaring kulang sa mga mapagkukunan o kapasidad upang epektibong mag-imbestiga at mag-prosecute ng mga kumplikadong kaso ng money laundering.
**Ang Papel ng mga Internasyonal na Organisasyon:**
* **FATF:** Ang inter-governmental body na ito ay nagtatakda ng mga internasyonal na pamantayan para sa paglaban sa money laundering at pagpopondo ng terorista. Sinusuri at sinusubaybayan nila ang pagsunod ng mga bansa sa mga pamantayang ito.
* **Egmont Group:** Ang grupong ito ng mga financial intelligence unit (FIU) mula sa buong mundo ay nagpapadali sa pagpapalitan ng impormasyon upang labanan ang money laundering at pagpopondo ng terorista.
**Epekto sa Mga Kaso sa Pilipinas:**
* Ang internasyonal na kooperasyon ay maaaring maging mahalaga para sa mga awtoridad ng Pilipinas na mangalap ng ebidensya na matatagpuan sa ibang bansa, subaybayan ang mga na-launder na pondo sa mga hangganan, at tugisin ang mga suspek na tumakas sa bansa.
* Ang Pilipinas ay nagtatag ng mga mekanismo para sa internasyonal na kooperasyon, kabilang ang mga MLAT sa iba't ibang bansa at pagiging kasapi sa FATF at Egmont Group.
**Tandaan:** Ang internasyonal na batas ay isang kumplikado at umuusbong na larangan. Kung ikaw ay sangkot sa isang kaso ng money laundering na may internasyonal na elemento, ang pagkonsulta sa isang abogadong may karanasan sa internasyonal na batas kriminal ay napakahalaga. Maaari ka nilang payuhan tungkol sa iyong mga karapatan at i-navigate ang mga legal na kumplikado ng mga naturang kaso.</v>
      </c>
      <c r="F858" s="2">
        <f t="shared" si="1"/>
        <v>0</v>
      </c>
      <c r="G858" s="2"/>
      <c r="H858" s="2"/>
      <c r="I858" s="2"/>
      <c r="J858" s="2"/>
      <c r="K858" s="2"/>
      <c r="L858" s="2"/>
      <c r="M858" s="2"/>
      <c r="N858" s="2"/>
      <c r="O858" s="2"/>
      <c r="P858" s="2"/>
      <c r="Q858" s="2"/>
      <c r="R858" s="2"/>
      <c r="S858" s="2"/>
      <c r="T858" s="2"/>
      <c r="U858" s="2"/>
      <c r="V858" s="2"/>
      <c r="W858" s="2"/>
      <c r="X858" s="2"/>
      <c r="Y858" s="2"/>
      <c r="Z858" s="2"/>
      <c r="AA858" s="2"/>
    </row>
    <row r="859">
      <c r="A859" s="3" t="s">
        <v>2763</v>
      </c>
      <c r="B859" s="1" t="s">
        <v>2791</v>
      </c>
      <c r="C859" s="1" t="s">
        <v>2792</v>
      </c>
      <c r="D859" s="1" t="s">
        <v>2793</v>
      </c>
      <c r="E859" s="2" t="str">
        <f>IFERROR(__xludf.DUMMYFUNCTION("GOOGLETRANSLATE(C859, ""en"", ""TL"")"),"Sa Pilipinas, ang mga institusyong pampinansyal ay obligado ng batas na mag-ulat ng kahina-hinalang aktibidad at mga sakop na transaksyon upang maiwasan ang money laundering. Ang Anti-Money Laundering Council (AMLC) ay ang katawan ng gobyerno na responsab"&amp;"le sa pagpapatupad ng mga regulasyong ito. Narito ang isang breakdown ng mga pangunahing kinakailangan sa pag-uulat:
**Mga Kahina-hinalang Ulat sa Aktibidad (SARs):**
* **Kahulugan:** Ito ay mga ulat na inihain ng mga institusyong pampinansyal kapag pinag"&amp;"hihinalaan nila ang isang transaksyon ay nagsasangkot ng money laundering o pagpopondo ng terorista. * **Mga Threshold:** Walang minimum na halaga para sa isang SAR. Ang pokus ay sa kahina-hinalang kalikasan ng aktibidad, hindi lamang sa laki ng transaksy"&amp;"on.
* **Mga Pulang Watawat:** Kabilang sa mga halimbawa ng kahina-hinalang aktibidad ang:
* Mga transaksyon na hindi akma sa profile ng customer o karaniwang aktibidad.
* Malaking cash deposit o withdrawal nang walang malinaw na pinagmulan o layunin.
* Ku"&amp;"mplikado o hindi pangkaraniwang mga istrukturang pinansyal na kinasasangkutan ng maraming account o hurisdiksyon.
* Mga transaksyon sa mga kilala o pinaghihinalaang money launderer o terorista.
**Mga Saklaw na Transaksyon:**
* **Kahulugan:** Ito ay mga tr"&amp;"ansaksyong lumalampas sa isang partikular na halaga na kinakailangang iulat ng mga institusyong pampinansyal sa AMLC, hindi alintana kung mukhang kahina-hinala ang mga ito. * **Kasalukuyang Threshold:** Ang kasalukuyang threshold para sa mga sakop na tran"&amp;"saksyon ay **Philippine Peso (Php) 500,000** (o katumbas nito sa foreign currency) sa loob ng isang araw ng pagbabangko. Ito ay maaaring iakma ng Bangko Senting ng Pilipinas (BSP) kung kinakailangan.
**Mga Timeframe ng Pag-uulat:**
* **Mga SAR:** Ang mga "&amp;"ulat na ito ay dapat na isampa sa AMLC sa loob ng **limang (5) araw ng trabaho** mula sa paglitaw ng kahina-hinalang aktibidad. Ang Supervising Authority (BSP para sa mga bangko, Insurance Commission para sa mga kompanya ng insurance, atbp.) ay maaaring m"&amp;"agreseta ng mas mahabang panahon, hindi hihigit sa sampung (10) araw ng trabaho. * **Mga Saklaw na Transaksyon:** Ang mga transaksyong ito ay dapat iulat sa AMLC sa loob ng **isang (1) araw ng pagbabangko** ng kanilang paglitaw.
**Mga Karagdagang Kinakail"&amp;"angan:**
* **Customer Due Diligence (CDD):** Dapat tukuyin at i-verify ng mga institusyong pampinansyal ang pagkakakilanlan ng kanilang mga customer, maunawaan ang katangian ng kanilang negosyo, at tasahin ang panganib na idinudulot nila para sa money lau"&amp;"ndering.
* **Pag-iingat ng Rekord:** Ang mga detalyadong rekord ng lahat ng mga transaksyon ay dapat panatilihin nang hindi bababa sa **limang (5) taon**. Nagbibigay-daan ito sa mga awtoridad na imbestigahan ang mga potensyal na aktibidad ng money launder"&amp;"ing.
**Pagkabigong sumunod:**
* Ang mga institusyong pampinansyal at ang kanilang mga tauhan ay maaaring makaharap ng malalaking parusa para sa hindi pagsunod sa mga kinakailangan sa pag-uulat. Maaaring kabilang dito ang mga multa, pagsususpinde ng mga li"&amp;"sensya, at maging ang mga kasong kriminal.
**Mga Mapagkukunan:**
* Anti-Money Laundering Council (AMLC Philippines): [http://www.amlc.gov.ph/](http://www.amlc.gov.ph/) * AML Reporting in the Philippines: Trends and Future Prospects : [https://www.tookitak"&amp;"i.com/blog/tookitaki-revolutionizing-aml-philippines](https://www.tookitaki.com/blog/tookitaki-revolutionizing-aml-philippines)
**Mahalagang Paalala:** Ito ang mga pangkalahatang kinakailangan sa pag-uulat. Maaaring mag-iba ang mga partikular na regulasyo"&amp;"n depende sa uri ng institusyong pinansyal. Inirerekomenda na kumonsulta sa website ng AMLC o mga nauugnay na regulasyon para sa pinakabagong impormasyon.")</f>
        <v>Sa Pilipinas, ang mga institusyong pampinansyal ay obligado ng batas na mag-ulat ng kahina-hinalang aktibidad at mga sakop na transaksyon upang maiwasan ang money laundering. Ang Anti-Money Laundering Council (AMLC) ay ang katawan ng gobyerno na responsable sa pagpapatupad ng mga regulasyong ito. Narito ang isang breakdown ng mga pangunahing kinakailangan sa pag-uulat:
**Mga Kahina-hinalang Ulat sa Aktibidad (SARs):**
* **Kahulugan:** Ito ay mga ulat na inihain ng mga institusyong pampinansyal kapag pinaghihinalaan nila ang isang transaksyon ay nagsasangkot ng money laundering o pagpopondo ng terorista. * **Mga Threshold:** Walang minimum na halaga para sa isang SAR. Ang pokus ay sa kahina-hinalang kalikasan ng aktibidad, hindi lamang sa laki ng transaksyon.
* **Mga Pulang Watawat:** Kabilang sa mga halimbawa ng kahina-hinalang aktibidad ang:
* Mga transaksyon na hindi akma sa profile ng customer o karaniwang aktibidad.
* Malaking cash deposit o withdrawal nang walang malinaw na pinagmulan o layunin.
* Kumplikado o hindi pangkaraniwang mga istrukturang pinansyal na kinasasangkutan ng maraming account o hurisdiksyon.
* Mga transaksyon sa mga kilala o pinaghihinalaang money launderer o terorista.
**Mga Saklaw na Transaksyon:**
* **Kahulugan:** Ito ay mga transaksyong lumalampas sa isang partikular na halaga na kinakailangang iulat ng mga institusyong pampinansyal sa AMLC, hindi alintana kung mukhang kahina-hinala ang mga ito. * **Kasalukuyang Threshold:** Ang kasalukuyang threshold para sa mga sakop na transaksyon ay **Philippine Peso (Php) 500,000** (o katumbas nito sa foreign currency) sa loob ng isang araw ng pagbabangko. Ito ay maaaring iakma ng Bangko Senting ng Pilipinas (BSP) kung kinakailangan.
**Mga Timeframe ng Pag-uulat:**
* **Mga SAR:** Ang mga ulat na ito ay dapat na isampa sa AMLC sa loob ng **limang (5) araw ng trabaho** mula sa paglitaw ng kahina-hinalang aktibidad. Ang Supervising Authority (BSP para sa mga bangko, Insurance Commission para sa mga kompanya ng insurance, atbp.) ay maaaring magreseta ng mas mahabang panahon, hindi hihigit sa sampung (10) araw ng trabaho. * **Mga Saklaw na Transaksyon:** Ang mga transaksyong ito ay dapat iulat sa AMLC sa loob ng **isang (1) araw ng pagbabangko** ng kanilang paglitaw.
**Mga Karagdagang Kinakailangan:**
* **Customer Due Diligence (CDD):** Dapat tukuyin at i-verify ng mga institusyong pampinansyal ang pagkakakilanlan ng kanilang mga customer, maunawaan ang katangian ng kanilang negosyo, at tasahin ang panganib na idinudulot nila para sa money laundering.
* **Pag-iingat ng Rekord:** Ang mga detalyadong rekord ng lahat ng mga transaksyon ay dapat panatilihin nang hindi bababa sa **limang (5) taon**. Nagbibigay-daan ito sa mga awtoridad na imbestigahan ang mga potensyal na aktibidad ng money laundering.
**Pagkabigong sumunod:**
* Ang mga institusyong pampinansyal at ang kanilang mga tauhan ay maaaring makaharap ng malalaking parusa para sa hindi pagsunod sa mga kinakailangan sa pag-uulat. Maaaring kabilang dito ang mga multa, pagsususpinde ng mga lisensya, at maging ang mga kasong kriminal.
**Mga Mapagkukunan:**
* Anti-Money Laundering Council (AMLC Philippines): [http://www.amlc.gov.ph/](http://www.amlc.gov.ph/) * AML Reporting in the Philippines: Trends and Future Prospects : [https://www.tookitaki.com/blog/tookitaki-revolutionizing-aml-philippines](https://www.tookitaki.com/blog/tookitaki-revolutionizing-aml-philippines)
**Mahalagang Paalala:** Ito ang mga pangkalahatang kinakailangan sa pag-uulat. Maaaring mag-iba ang mga partikular na regulasyon depende sa uri ng institusyong pinansyal. Inirerekomenda na kumonsulta sa website ng AMLC o mga nauugnay na regulasyon para sa pinakabagong impormasyon.</v>
      </c>
      <c r="F859" s="2">
        <f t="shared" si="1"/>
        <v>0</v>
      </c>
      <c r="G859" s="2"/>
      <c r="H859" s="2"/>
      <c r="I859" s="2"/>
      <c r="J859" s="2"/>
      <c r="K859" s="2"/>
      <c r="L859" s="2"/>
      <c r="M859" s="2"/>
      <c r="N859" s="2"/>
      <c r="O859" s="2"/>
      <c r="P859" s="2"/>
      <c r="Q859" s="2"/>
      <c r="R859" s="2"/>
      <c r="S859" s="2"/>
      <c r="T859" s="2"/>
      <c r="U859" s="2"/>
      <c r="V859" s="2"/>
      <c r="W859" s="2"/>
      <c r="X859" s="2"/>
      <c r="Y859" s="2"/>
      <c r="Z859" s="2"/>
      <c r="AA859" s="2"/>
    </row>
    <row r="860">
      <c r="A860" s="3" t="s">
        <v>2763</v>
      </c>
      <c r="B860" s="1" t="s">
        <v>2794</v>
      </c>
      <c r="C860" s="1" t="s">
        <v>2795</v>
      </c>
      <c r="D860" s="1" t="s">
        <v>2796</v>
      </c>
      <c r="E860" s="2" t="str">
        <f>IFERROR(__xludf.DUMMYFUNCTION("GOOGLETRANSLATE(C860, ""en"", ""TL"")"),"Oo, sa Pilipinas, ang isang tao ay maaaring makasuhan ng money laundering kahit na hindi nila alam ang ilegal na pinagmumulan ng mga pondo, ngunit ito ay depende sa antas ng kamalayan at mga partikular na pangyayari. Narito ang isang breakdown:
**Mahalaga"&amp;"ng Elemento: Pag-alam sa Ilegal**
Ang pangunahing prinsipyo ng money laundering sa ilalim ng Anti-Money Laundering Act (AMLA) ng 2001 (RA 9160) ay dapat na alam ng tao (o may makatwirang batayan upang maniwala) na ang mga pondo ay nagmula sa isang krimina"&amp;"l na aktibidad.
**Mga Antas ng Kamalayan:**
* **Actual Knowledge:** Ito ang pinakamalakas na kaso kung saan malinaw na alam ng tao na ang mga pondo ay nagmumula sa mga ilegal na aktibidad (hal., direktang paglahok sa isang krimen na bumubuo ng pera).
* **"&amp;"Reckless Disregard:** Kahit na wala silang aktwal na kaalaman, ang walang ingat na pagwawalang-bahala sa posibilidad na ang mga pondo ay ilegal ay maaaring sapat na para sa isang paghatol. Nangangahulugan ito na pumikit sa mga kahina-hinalang pangyayari o"&amp;" hindi nagsasagawa ng pangunahing angkop na pagsusumikap kapag humahawak ng malalaking halaga ng pera o hindi pangkaraniwang mga transaksyon.
**Mga Aktor na Hindi Sinasadya (Money Mules):**
* Ang mga taong hindi sinasadyang ginagamit ng mga kriminal upang"&amp;" maglipat o maglaba ng pera ay minsang tinutukoy bilang ""money mules."" * Habang ang kamangmangan ay isang pagtatanggol, ito ay nakasalalay sa kung gaano kapani-paniwala ang kanilang kakulangan sa kaalaman. * Kung ang mga pulang bandila ay napakalinaw na"&amp;" ang sinumang makatwirang tao ay maghihinala ng isang bagay na mali, maaari pa rin silang mapatunayang nagkasala dahil sa walang ingat na pagwawalang-bahala.
**Kahalagahan ng Due Diligence:**
* Para protektahan ang iyong sarili, mahalagang maging mapagban"&amp;"tay at magtanong kung mukhang kahina-hinala ang isang transaksyon sa pananalapi. * Magsagawa ng basic due diligence, lalo na kapag nakikitungo sa malalaking halaga ng pera o hindi pamilyar na mga indibidwal.
**Mga Depensa Batay sa Kakulangan ng Kaalaman:*"&amp;"*
* Kung maaari mong ipakita na tunay kang naniniwala na ang mga pondo ay lehitimo, maaari itong maging isang malakas na depensa. * Maaaring makatulong ang ebidensyang sumusuporta sa paniniwalang ito, tulad ng mga kontrata, invoice, o komunikasyon sa nagp"&amp;"adala.
**Tandaan:**
* Ang pasanin ng patunay ay nakasalalay sa prosekusyon upang itatag ang iyong pagkakasala nang walang makatwirang pagdududa.
* Ang mga partikular na detalye ng iyong kaso at ang ebidensyang ipinakita ay tutukuyin kung paano binibigyang"&amp;"-kahulugan ng korte ang layunin.
* Ang pagkonsulta sa isang abogadong may karanasan sa money laundering defense ay mahalaga upang maunawaan kung paano naaangkop ang konsepto ng kaalaman sa iyong sitwasyon at bumuo ng isang malakas na diskarte sa pagtatang"&amp;"gol. Narito ang ilang mapagkukunan para sa karagdagang impormasyon:
* Anti-Money Laundering Council (AMLC Philippines): [http://www.amlc.gov.ph/](http://www.amlc.gov.ph/)
* Tatlong Elemento na Dapat Mapatunayan sa Kaso ng Money Laundering: [https://sancti"&amp;"onscanner.com/](https://sanctionscanner.com/)")</f>
        <v>Oo, sa Pilipinas, ang isang tao ay maaaring makasuhan ng money laundering kahit na hindi nila alam ang ilegal na pinagmumulan ng mga pondo, ngunit ito ay depende sa antas ng kamalayan at mga partikular na pangyayari. Narito ang isang breakdown:
**Mahalagang Elemento: Pag-alam sa Ilegal**
Ang pangunahing prinsipyo ng money laundering sa ilalim ng Anti-Money Laundering Act (AMLA) ng 2001 (RA 9160) ay dapat na alam ng tao (o may makatwirang batayan upang maniwala) na ang mga pondo ay nagmula sa isang kriminal na aktibidad.
**Mga Antas ng Kamalayan:**
* **Actual Knowledge:** Ito ang pinakamalakas na kaso kung saan malinaw na alam ng tao na ang mga pondo ay nagmumula sa mga ilegal na aktibidad (hal., direktang paglahok sa isang krimen na bumubuo ng pera).
* **Reckless Disregard:** Kahit na wala silang aktwal na kaalaman, ang walang ingat na pagwawalang-bahala sa posibilidad na ang mga pondo ay ilegal ay maaaring sapat na para sa isang paghatol. Nangangahulugan ito na pumikit sa mga kahina-hinalang pangyayari o hindi nagsasagawa ng pangunahing angkop na pagsusumikap kapag humahawak ng malalaking halaga ng pera o hindi pangkaraniwang mga transaksyon.
**Mga Aktor na Hindi Sinasadya (Money Mules):**
* Ang mga taong hindi sinasadyang ginagamit ng mga kriminal upang maglipat o maglaba ng pera ay minsang tinutukoy bilang "money mules." * Habang ang kamangmangan ay isang pagtatanggol, ito ay nakasalalay sa kung gaano kapani-paniwala ang kanilang kakulangan sa kaalaman. * Kung ang mga pulang bandila ay napakalinaw na ang sinumang makatwirang tao ay maghihinala ng isang bagay na mali, maaari pa rin silang mapatunayang nagkasala dahil sa walang ingat na pagwawalang-bahala.
**Kahalagahan ng Due Diligence:**
* Para protektahan ang iyong sarili, mahalagang maging mapagbantay at magtanong kung mukhang kahina-hinala ang isang transaksyon sa pananalapi. * Magsagawa ng basic due diligence, lalo na kapag nakikitungo sa malalaking halaga ng pera o hindi pamilyar na mga indibidwal.
**Mga Depensa Batay sa Kakulangan ng Kaalaman:**
* Kung maaari mong ipakita na tunay kang naniniwala na ang mga pondo ay lehitimo, maaari itong maging isang malakas na depensa. * Maaaring makatulong ang ebidensyang sumusuporta sa paniniwalang ito, tulad ng mga kontrata, invoice, o komunikasyon sa nagpadala.
**Tandaan:**
* Ang pasanin ng patunay ay nakasalalay sa prosekusyon upang itatag ang iyong pagkakasala nang walang makatwirang pagdududa.
* Ang mga partikular na detalye ng iyong kaso at ang ebidensyang ipinakita ay tutukuyin kung paano binibigyang-kahulugan ng korte ang layunin.
* Ang pagkonsulta sa isang abogadong may karanasan sa money laundering defense ay mahalaga upang maunawaan kung paano naaangkop ang konsepto ng kaalaman sa iyong sitwasyon at bumuo ng isang malakas na diskarte sa pagtatanggol. Narito ang ilang mapagkukunan para sa karagdagang impormasyon:
* Anti-Money Laundering Council (AMLC Philippines): [http://www.amlc.gov.ph/](http://www.amlc.gov.ph/)
* Tatlong Elemento na Dapat Mapatunayan sa Kaso ng Money Laundering: [https://sanctionscanner.com/](https://sanctionscanner.com/)</v>
      </c>
      <c r="F860" s="2">
        <f t="shared" si="1"/>
        <v>0</v>
      </c>
      <c r="G860" s="2"/>
      <c r="H860" s="2"/>
      <c r="I860" s="2"/>
      <c r="J860" s="2"/>
      <c r="K860" s="2"/>
      <c r="L860" s="2"/>
      <c r="M860" s="2"/>
      <c r="N860" s="2"/>
      <c r="O860" s="2"/>
      <c r="P860" s="2"/>
      <c r="Q860" s="2"/>
      <c r="R860" s="2"/>
      <c r="S860" s="2"/>
      <c r="T860" s="2"/>
      <c r="U860" s="2"/>
      <c r="V860" s="2"/>
      <c r="W860" s="2"/>
      <c r="X860" s="2"/>
      <c r="Y860" s="2"/>
      <c r="Z860" s="2"/>
      <c r="AA860" s="2"/>
    </row>
    <row r="861">
      <c r="A861" s="3" t="s">
        <v>2763</v>
      </c>
      <c r="B861" s="1" t="s">
        <v>2797</v>
      </c>
      <c r="C861" s="1" t="s">
        <v>2798</v>
      </c>
      <c r="D861" s="1" t="s">
        <v>2799</v>
      </c>
      <c r="E861" s="2" t="str">
        <f>IFERROR(__xludf.DUMMYFUNCTION("GOOGLETRANSLATE(C861, ""en"", ""TL"")"),"Sa Pilipinas, ang mga indibidwal ay walang malawak na legal na obligasyon tungkol sa pag-iwas sa money laundering kumpara sa mga institusyong pampinansyal. Gayunpaman, mayroon pa ring ilang mahahalagang hakbang na maaari mong gawin upang maiwasan ang hind"&amp;"i sinasadyang pagsali:
**Alamin ang Mga Pulang Watawat:**
* **Mga Kahina-hinalang Transaksyon:** Mag-ingat sa mga sitwasyon kung saan may humihiling sa iyo na pangasiwaan ang malalaking deposito ng pera, tumanggap ng mga pondo mula sa hindi kilalang pinag"&amp;"mulan, o hatiin ang malalaking transaksyon sa mas maliliit.
* **Mga Pambihirang Mapagbigay na Alok:** Kung may nag-aalok sa iyo ng mataas na kita sa mga pamumuhunan na may maliit na panganib, o isang pagkakataong kumita ng madaling pera sa pamamagitan ng "&amp;"mga serbisyo sa paglilipat ng pera, maging maingat. Ito ay maaaring mga scam na may kinalaman sa money laundering.
* **Inconsistent Information:** Bigyang-pansin ang mga hindi pagkakapare-pareho sa mga paliwanag tungkol sa pinagmulan o layunin ng mga pond"&amp;"o.
**Protektahan ang Iyong Sarili:**
* **Alamin ang Iyong Mga Kasosyo sa Negosyo:** Bago makipag-ugnayan sa pananalapi sa mga indibidwal o negosyo, subukang i-verify ang kanilang pagiging lehitimo. * **Magtanong:** Huwag matakot na magtanong tungkol sa pi"&amp;"nagmulan at layunin ng mga pondo, lalo na kung ang isang bagay ay tila hindi karaniwan.
* **Mag-ulat ng Kahina-hinalang Aktibidad:** Kung pinaghihinalaan mong may sangkot sa money laundering, iulat ito sa mga awtoridad. Maaari kang makipag-ugnayan sa Anti"&amp;"-Money Laundering Council (AMLC) o sa Philippine National Police (PNP) Anti-Cybercrime Unit.
**Narito kung bakit mahalaga ang mga hakbang na ito:**
* **Pag-iwas sa Legal na Problema:** Sa pamamagitan ng pagkakaroon ng kamalayan at pag-uulat ng kahina-hina"&amp;"lang aktibidad, makakatulong ka na maiwasan ang money laundering at protektahan ang iyong sarili mula sa mga potensyal na legal na kahihinatnan.
* **Pagprotekta sa Iyong Sarili mula sa Mga Scam:** Ang money laundering ay kadalasang iniuugnay sa mga scam. "&amp;"Ang pagiging maingat ay makakatulong sa iyo na maiwasan ang pagkawala ng pera.
* **Pag-aambag sa Mas Ligtas na Sistema ng Pinansyal:** Sa pamamagitan ng pag-uulat ng kahina-hinalang aktibidad, matutulungan mo ang mga awtoridad na labanan ang money launder"&amp;"ing at lumikha ng mas ligtas na kapaligirang pinansyal para sa lahat.
**Tandaan:**
* Ang focus ay sa **intent and awareness**. Kung hindi mo alam na natatanggap o pinangangasiwaan ang laundered na pera, malamang na hindi ka makakaharap ng mga legal na kah"&amp;"ihinatnan hangga't iuulat mo ito kapag naging kahina-hinala ka.
* Laging mas mabuting magkamali sa panig ng pag-iingat. Kung may mali, malamang.
**Mga Karagdagang Mapagkukunan:**
* Anti-Money Laundering Council (AMLC Philippines): [http://www.amlc.gov.ph/"&amp;"](http://www.amlc.gov.ph/)
* AMLA Awareness Campaign: [inalis ang invalid na URL]")</f>
        <v>Sa Pilipinas, ang mga indibidwal ay walang malawak na legal na obligasyon tungkol sa pag-iwas sa money laundering kumpara sa mga institusyong pampinansyal. Gayunpaman, mayroon pa ring ilang mahahalagang hakbang na maaari mong gawin upang maiwasan ang hindi sinasadyang pagsali:
**Alamin ang Mga Pulang Watawat:**
* **Mga Kahina-hinalang Transaksyon:** Mag-ingat sa mga sitwasyon kung saan may humihiling sa iyo na pangasiwaan ang malalaking deposito ng pera, tumanggap ng mga pondo mula sa hindi kilalang pinagmulan, o hatiin ang malalaking transaksyon sa mas maliliit.
* **Mga Pambihirang Mapagbigay na Alok:** Kung may nag-aalok sa iyo ng mataas na kita sa mga pamumuhunan na may maliit na panganib, o isang pagkakataong kumita ng madaling pera sa pamamagitan ng mga serbisyo sa paglilipat ng pera, maging maingat. Ito ay maaaring mga scam na may kinalaman sa money laundering.
* **Inconsistent Information:** Bigyang-pansin ang mga hindi pagkakapare-pareho sa mga paliwanag tungkol sa pinagmulan o layunin ng mga pondo.
**Protektahan ang Iyong Sarili:**
* **Alamin ang Iyong Mga Kasosyo sa Negosyo:** Bago makipag-ugnayan sa pananalapi sa mga indibidwal o negosyo, subukang i-verify ang kanilang pagiging lehitimo. * **Magtanong:** Huwag matakot na magtanong tungkol sa pinagmulan at layunin ng mga pondo, lalo na kung ang isang bagay ay tila hindi karaniwan.
* **Mag-ulat ng Kahina-hinalang Aktibidad:** Kung pinaghihinalaan mong may sangkot sa money laundering, iulat ito sa mga awtoridad. Maaari kang makipag-ugnayan sa Anti-Money Laundering Council (AMLC) o sa Philippine National Police (PNP) Anti-Cybercrime Unit.
**Narito kung bakit mahalaga ang mga hakbang na ito:**
* **Pag-iwas sa Legal na Problema:** Sa pamamagitan ng pagkakaroon ng kamalayan at pag-uulat ng kahina-hinalang aktibidad, makakatulong ka na maiwasan ang money laundering at protektahan ang iyong sarili mula sa mga potensyal na legal na kahihinatnan.
* **Pagprotekta sa Iyong Sarili mula sa Mga Scam:** Ang money laundering ay kadalasang iniuugnay sa mga scam. Ang pagiging maingat ay makakatulong sa iyo na maiwasan ang pagkawala ng pera.
* **Pag-aambag sa Mas Ligtas na Sistema ng Pinansyal:** Sa pamamagitan ng pag-uulat ng kahina-hinalang aktibidad, matutulungan mo ang mga awtoridad na labanan ang money laundering at lumikha ng mas ligtas na kapaligirang pinansyal para sa lahat.
**Tandaan:**
* Ang focus ay sa **intent and awareness**. Kung hindi mo alam na natatanggap o pinangangasiwaan ang laundered na pera, malamang na hindi ka makakaharap ng mga legal na kahihinatnan hangga't iuulat mo ito kapag naging kahina-hinala ka.
* Laging mas mabuting magkamali sa panig ng pag-iingat. Kung may mali, malamang.
**Mga Karagdagang Mapagkukunan:**
* Anti-Money Laundering Council (AMLC Philippines): [http://www.amlc.gov.ph/](http://www.amlc.gov.ph/)
* AMLA Awareness Campaign: [inalis ang invalid na URL]</v>
      </c>
      <c r="F861" s="2">
        <f t="shared" si="1"/>
        <v>0</v>
      </c>
      <c r="G861" s="2"/>
      <c r="H861" s="2"/>
      <c r="I861" s="2"/>
      <c r="J861" s="2"/>
      <c r="K861" s="2"/>
      <c r="L861" s="2"/>
      <c r="M861" s="2"/>
      <c r="N861" s="2"/>
      <c r="O861" s="2"/>
      <c r="P861" s="2"/>
      <c r="Q861" s="2"/>
      <c r="R861" s="2"/>
      <c r="S861" s="2"/>
      <c r="T861" s="2"/>
      <c r="U861" s="2"/>
      <c r="V861" s="2"/>
      <c r="W861" s="2"/>
      <c r="X861" s="2"/>
      <c r="Y861" s="2"/>
      <c r="Z861" s="2"/>
      <c r="AA861" s="2"/>
    </row>
    <row r="862">
      <c r="A862" s="3" t="s">
        <v>2763</v>
      </c>
      <c r="B862" s="1" t="s">
        <v>2800</v>
      </c>
      <c r="C862" s="1" t="s">
        <v>2801</v>
      </c>
      <c r="D862" s="1" t="s">
        <v>2802</v>
      </c>
      <c r="E862" s="2" t="str">
        <f>IFERROR(__xludf.DUMMYFUNCTION("GOOGLETRANSLATE(C862, ""en"", ""TL"")"),"Sa Pilipinas, ang isang matagumpay na diskarte sa pagtatanggol sa money laundering ay nakasalalay sa paghamon sa kaso ng prosekusyon sa pamamagitan ng pagtugon sa mga pangunahing elemento ng krimen sa ilalim ng Anti-Money Laundering Act (AMLA) ng 2001 (RA"&amp;" 9160). Narito ang isang breakdown ng mga pangunahing elemento at potensyal na diskarte sa pagtatanggol:
**Mga Pangunahing Elemento ng Money Laundering:**
* **Pag-alam sa Illegality:** Dapat patunayan ng prosekusyon na alam mo, o may makatwirang dahilan u"&amp;"pang paniwalaan, ang mga pondo ay nagmula sa isang kriminal na aktibidad. * **Specific Act:** Dapat nilang ipakita na nakagawa ka ng isa sa mga ipinagbabawal na gawain sa ilalim ng AMLA, gaya ng placement, layering, o integration ng mga pondo.
* **Halaga "&amp;"ng Kinasasangkutan:** Ang halaga ng money laundered ay maaaring maging isang kadahilanan, ngunit kahit na mas maliit na halaga ay maaaring usigin kung ang iba pang mga elemento ay napatunayan.
**Mga Istratehiya sa Pagtatanggol:**
* **Kakulangan ng Kaalama"&amp;"n:** Ito ay isang karaniwang diskarte sa pagtatanggol. Maaari kang magtaltalan na talagang naniniwala kang lehitimo ang mga pondo. * **Ebidensya:** Maaaring suportahan ng mga dokumento tulad ng mga kontrata, invoice, o komunikasyon sa nagpadala ng mga pon"&amp;"do ang claim na ito.
* **Maling Paniniwala:** Kahit na may hinala ka, kung maaari kang magpakita ng makatwirang pagkakamali tungkol sa pinagmulan, pinapahina nito ang kaso ng prosekusyon.
* ** Walang ingat na Pagwawalang-bahala:** Maaaring magtaltalan ang"&amp;" prosekusyon na binalewala mo ang posibilidad ng mga ilegal na pondo. Labanan ito sa pamamagitan ng pagpapakita ng angkop na pagsusumikap. * **Patunay ng Due Diligence:** Kung nagsagawa ka ng mga makatwirang pagtatanong tungkol sa pinagmulan ng mga pondo "&amp;"o ang pagiging lehitimo ng isang transaksyon, pinalalakas nito ang iyong posisyon.
* **Entrapment:** Kung hinikayat ka ng pagpapatupad ng batas na gumawa ng money laundering sa pamamagitan ng mga taktika tulad ng pamimilit o hindi nararapat na panggigipit"&amp;", maaari kang magkaroon ng depensa. * **Ebidensya:** Ang patunay ng mga taktikang ito ay mahalaga para sa isang matagumpay na pagtatanggol sa entrapment.
**Mga Karagdagang Pagsasaalang-alang:**
* **Mga Paglabag sa Pamamaraan:** Kung ang iyong mga karapata"&amp;"n ay nilabag sa panahon ng pagsisiyasat o pag-aresto, maaari itong makaapekto sa kaso. * **Mga Teknikal na Depensa:** Ang mga pagkakamali o hindi pagkakatugma sa ebidensya ng prosekusyon ay maaaring lumikha ng makatwirang pagdududa tungkol sa iyong pagkak"&amp;"asala.
**Kahalagahan ng Legal na Tagapayo:**
* Maaaring kumplikado ang mga kaso ng money laundering. Maaaring suriin ng isang kwalipikadong abogado na may karanasan sa lugar na ito ang mga detalye ng iyong sitwasyon, tukuyin ang pinakaangkop na diskarte s"&amp;"a pagtatanggol, at epektibong kumatawan sa iyo sa korte.
* Maaari ka nilang payuhan sa iyong mga opsyon, kabilang ang pakikipagtulungan sa pagpapatupad ng batas kung naaangkop, upang potensyal na makatanggap ng kaluwagan.
**Tandaan:**
* Ang pasanin ng pat"&amp;"unay ay nakasalalay sa prosekusyon upang itatag ang iyong pagkakasala nang walang makatwirang pagdududa.
* Ang mga tiyak na katotohanan at ebidensya ng iyong kaso ang tutukuyin ang pinakamabisang diskarte sa pagtatanggol.
* Ang pagkonsulta sa isang abogad"&amp;"o ay mahalaga upang maunawaan ang iyong mga legal na opsyon at bumuo ng isang malakas na depensa laban sa mga singil sa money laundering.
**Narito ang ilang karagdagang mapagkukunan:**
* Anti-Money Laundering Council (AMLC Philippines): [http://www.amlc.g"&amp;"ov.ph/](http://www.amlc.gov.ph/)
* Tatlong Elemento na Dapat Mapatunayan sa Kaso ng Money Laundering: [https://sanctionscanner.com/](https://sanctionscanner.com/)
**Disclaimer:** Ang impormasyong ito ay para sa pangkalahatang layuning pang-impormasyon lam"&amp;"ang at hindi dapat ituring bilang legal na payo.")</f>
        <v>Sa Pilipinas, ang isang matagumpay na diskarte sa pagtatanggol sa money laundering ay nakasalalay sa paghamon sa kaso ng prosekusyon sa pamamagitan ng pagtugon sa mga pangunahing elemento ng krimen sa ilalim ng Anti-Money Laundering Act (AMLA) ng 2001 (RA 9160). Narito ang isang breakdown ng mga pangunahing elemento at potensyal na diskarte sa pagtatanggol:
**Mga Pangunahing Elemento ng Money Laundering:**
* **Pag-alam sa Illegality:** Dapat patunayan ng prosekusyon na alam mo, o may makatwirang dahilan upang paniwalaan, ang mga pondo ay nagmula sa isang kriminal na aktibidad. * **Specific Act:** Dapat nilang ipakita na nakagawa ka ng isa sa mga ipinagbabawal na gawain sa ilalim ng AMLA, gaya ng placement, layering, o integration ng mga pondo.
* **Halaga ng Kinasasangkutan:** Ang halaga ng money laundered ay maaaring maging isang kadahilanan, ngunit kahit na mas maliit na halaga ay maaaring usigin kung ang iba pang mga elemento ay napatunayan.
**Mga Istratehiya sa Pagtatanggol:**
* **Kakulangan ng Kaalaman:** Ito ay isang karaniwang diskarte sa pagtatanggol. Maaari kang magtaltalan na talagang naniniwala kang lehitimo ang mga pondo. * **Ebidensya:** Maaaring suportahan ng mga dokumento tulad ng mga kontrata, invoice, o komunikasyon sa nagpadala ng mga pondo ang claim na ito.
* **Maling Paniniwala:** Kahit na may hinala ka, kung maaari kang magpakita ng makatwirang pagkakamali tungkol sa pinagmulan, pinapahina nito ang kaso ng prosekusyon.
* ** Walang ingat na Pagwawalang-bahala:** Maaaring magtaltalan ang prosekusyon na binalewala mo ang posibilidad ng mga ilegal na pondo. Labanan ito sa pamamagitan ng pagpapakita ng angkop na pagsusumikap. * **Patunay ng Due Diligence:** Kung nagsagawa ka ng mga makatwirang pagtatanong tungkol sa pinagmulan ng mga pondo o ang pagiging lehitimo ng isang transaksyon, pinalalakas nito ang iyong posisyon.
* **Entrapment:** Kung hinikayat ka ng pagpapatupad ng batas na gumawa ng money laundering sa pamamagitan ng mga taktika tulad ng pamimilit o hindi nararapat na panggigipit, maaari kang magkaroon ng depensa. * **Ebidensya:** Ang patunay ng mga taktikang ito ay mahalaga para sa isang matagumpay na pagtatanggol sa entrapment.
**Mga Karagdagang Pagsasaalang-alang:**
* **Mga Paglabag sa Pamamaraan:** Kung ang iyong mga karapatan ay nilabag sa panahon ng pagsisiyasat o pag-aresto, maaari itong makaapekto sa kaso. * **Mga Teknikal na Depensa:** Ang mga pagkakamali o hindi pagkakatugma sa ebidensya ng prosekusyon ay maaaring lumikha ng makatwirang pagdududa tungkol sa iyong pagkakasala.
**Kahalagahan ng Legal na Tagapayo:**
* Maaaring kumplikado ang mga kaso ng money laundering. Maaaring suriin ng isang kwalipikadong abogado na may karanasan sa lugar na ito ang mga detalye ng iyong sitwasyon, tukuyin ang pinakaangkop na diskarte sa pagtatanggol, at epektibong kumatawan sa iyo sa korte.
* Maaari ka nilang payuhan sa iyong mga opsyon, kabilang ang pakikipagtulungan sa pagpapatupad ng batas kung naaangkop, upang potensyal na makatanggap ng kaluwagan.
**Tandaan:**
* Ang pasanin ng patunay ay nakasalalay sa prosekusyon upang itatag ang iyong pagkakasala nang walang makatwirang pagdududa.
* Ang mga tiyak na katotohanan at ebidensya ng iyong kaso ang tutukuyin ang pinakamabisang diskarte sa pagtatanggol.
* Ang pagkonsulta sa isang abogado ay mahalaga upang maunawaan ang iyong mga legal na opsyon at bumuo ng isang malakas na depensa laban sa mga singil sa money laundering.
**Narito ang ilang karagdagang mapagkukunan:**
* Anti-Money Laundering Council (AMLC Philippines): [http://www.amlc.gov.ph/](http://www.amlc.gov.ph/)
* Tatlong Elemento na Dapat Mapatunayan sa Kaso ng Money Laundering: [https://sanctionscanner.com/](https://sanctionscanner.com/)
**Disclaimer:** Ang impormasyong ito ay para sa pangkalahatang layuning pang-impormasyon lamang at hindi dapat ituring bilang legal na payo.</v>
      </c>
      <c r="F862" s="2">
        <f t="shared" si="1"/>
        <v>0</v>
      </c>
      <c r="G862" s="2"/>
      <c r="H862" s="2"/>
      <c r="I862" s="2"/>
      <c r="J862" s="2"/>
      <c r="K862" s="2"/>
      <c r="L862" s="2"/>
      <c r="M862" s="2"/>
      <c r="N862" s="2"/>
      <c r="O862" s="2"/>
      <c r="P862" s="2"/>
      <c r="Q862" s="2"/>
      <c r="R862" s="2"/>
      <c r="S862" s="2"/>
      <c r="T862" s="2"/>
      <c r="U862" s="2"/>
      <c r="V862" s="2"/>
      <c r="W862" s="2"/>
      <c r="X862" s="2"/>
      <c r="Y862" s="2"/>
      <c r="Z862" s="2"/>
      <c r="AA862" s="2"/>
    </row>
    <row r="863">
      <c r="A863" s="3" t="s">
        <v>2763</v>
      </c>
      <c r="B863" s="1" t="s">
        <v>2803</v>
      </c>
      <c r="C863" s="1" t="s">
        <v>2804</v>
      </c>
      <c r="D863" s="1" t="s">
        <v>2805</v>
      </c>
      <c r="E863" s="2" t="str">
        <f>IFERROR(__xludf.DUMMYFUNCTION("GOOGLETRANSLATE(C863, ""en"", ""TL"")"),"Ang paglahok sa isang money laundering scheme ay maaaring magkaroon ng malubhang kahihinatnan sa Pilipinas, na makakaapekto sa iyo sa pananalapi, legal, at posibleng maging sa iyong reputasyon. Narito ang isang breakdown ng mga potensyal na epekto:
**Mga "&amp;"Legal na Parusa:**
* **Pagkulong:** Depende sa partikular na pagkakasala at ang halaga ng perang sangkot, maaari kang mabilanggo mula **anim na buwan hanggang labing-apat na taon**.
* **Mga multa:** Maaaring magpataw ng malalaking multa, na tumutugma sa i"&amp;"sang porsyento ng mga na-launder na pondo o isang nakapirming halaga depende sa pagkakasala.
**Mga Pinansyal na Repercussion:**
* **Pag-agaw ng mga Asset:** Maaaring kunin ng tagapagpatupad ng batas ang mga ari-arian na nagmula o ginagamit sa mga aktibida"&amp;"d sa money laundering. Maaaring kabilang dito ang cash, ari-arian, sasakyan, o pamumuhunan.
* **Pagkahirap Makakuha ng Mga Pautang o Serbisyong Pinansyal:** Ang isang paniniwala sa money laundering ay maaaring makapinsala sa iyong pagiging mapagkakatiwala"&amp;"an sa kredito at maging mahirap na makakuha ng mga pautang, mortgage, o iba pang serbisyong pinansyal sa hinaharap.
**Pinsala sa Reputasyon:**
* **Pampublikong Pagsusuri:** Ang mga kaso ng money laundering ay kadalasang nakakaakit ng atensyon ng media, na"&amp;" posibleng humahantong sa kahihiyan sa publiko at pinsala sa reputasyon.
* **Pagkawala ng Trabaho:** Depende sa iyong propesyon at employer, ang isang paniniwala sa money laundering ay maaaring humantong sa pagkawala ng trabaho o kahirapan sa paghahanap n"&amp;"g trabaho sa hinaharap.
**Mga Karagdagang Bunga:**
* **Deportasyon (para sa mga Dayuhang Nasyonal):** Ang mga dayuhang mamamayan na sangkot sa mga aktibidad sa money laundering ay maaaring humarap sa mga paglilitis sa deportasyon.
* **Hirap sa Paglalakbay"&amp;":** Ang pananalig sa money laundering ay maaaring magpahirap sa pagkuha ng mga visa o paglalakbay sa ibang bansa sa hinaharap.
**Kahit hindi Direktang Sisingilin:**
* **Association with Money Laundering:** Kahit na hindi direktang sinampahan ng krimen, an"&amp;"g simpleng pag-uugnay sa pagsisiyasat sa money laundering ay maaaring magkaroon ng mga negatibong kahihinatnan. **Tandaan:**
* Ito ay mga potensyal na kahihinatnan, at ang kalubhaan ay maaaring mag-iba depende sa partikular na mga pangyayari ng kaso.
* Na"&amp;"pakahalagang iwasan ang anumang pagkakasangkot sa mga aktibidad sa money laundering upang maprotektahan ang iyong sarili mula sa mga panganib na ito.
**Kung pinaghihinalaan mo ang money laundering:**
* Isumbong ito sa mga awtoridad. Maaari kang makipag-ug"&amp;"nayan sa Anti-Money Laundering Council (AMLC) o sa Philippine National Police (PNP) Anti-Cybercrime Unit.
**Mahalagang Paalala:** Ang impormasyong ito ay para sa pangkalahatang pag-unawa lamang at hindi dapat ituring bilang legal na payo. Kung ikaw ay nah"&amp;"aharap sa mga kaso ng money laundering, kumunsulta sa isang abogadong may karanasan sa batas kriminal upang maunawaan ang mga potensyal na kahihinatnan at bumuo ng isang malakas na diskarte sa pagtatanggol.")</f>
        <v>Ang paglahok sa isang money laundering scheme ay maaaring magkaroon ng malubhang kahihinatnan sa Pilipinas, na makakaapekto sa iyo sa pananalapi, legal, at posibleng maging sa iyong reputasyon. Narito ang isang breakdown ng mga potensyal na epekto:
**Mga Legal na Parusa:**
* **Pagkulong:** Depende sa partikular na pagkakasala at ang halaga ng perang sangkot, maaari kang mabilanggo mula **anim na buwan hanggang labing-apat na taon**.
* **Mga multa:** Maaaring magpataw ng malalaking multa, na tumutugma sa isang porsyento ng mga na-launder na pondo o isang nakapirming halaga depende sa pagkakasala.
**Mga Pinansyal na Repercussion:**
* **Pag-agaw ng mga Asset:** Maaaring kunin ng tagapagpatupad ng batas ang mga ari-arian na nagmula o ginagamit sa mga aktibidad sa money laundering. Maaaring kabilang dito ang cash, ari-arian, sasakyan, o pamumuhunan.
* **Pagkahirap Makakuha ng Mga Pautang o Serbisyong Pinansyal:** Ang isang paniniwala sa money laundering ay maaaring makapinsala sa iyong pagiging mapagkakatiwalaan sa kredito at maging mahirap na makakuha ng mga pautang, mortgage, o iba pang serbisyong pinansyal sa hinaharap.
**Pinsala sa Reputasyon:**
* **Pampublikong Pagsusuri:** Ang mga kaso ng money laundering ay kadalasang nakakaakit ng atensyon ng media, na posibleng humahantong sa kahihiyan sa publiko at pinsala sa reputasyon.
* **Pagkawala ng Trabaho:** Depende sa iyong propesyon at employer, ang isang paniniwala sa money laundering ay maaaring humantong sa pagkawala ng trabaho o kahirapan sa paghahanap ng trabaho sa hinaharap.
**Mga Karagdagang Bunga:**
* **Deportasyon (para sa mga Dayuhang Nasyonal):** Ang mga dayuhang mamamayan na sangkot sa mga aktibidad sa money laundering ay maaaring humarap sa mga paglilitis sa deportasyon.
* **Hirap sa Paglalakbay:** Ang pananalig sa money laundering ay maaaring magpahirap sa pagkuha ng mga visa o paglalakbay sa ibang bansa sa hinaharap.
**Kahit hindi Direktang Sisingilin:**
* **Association with Money Laundering:** Kahit na hindi direktang sinampahan ng krimen, ang simpleng pag-uugnay sa pagsisiyasat sa money laundering ay maaaring magkaroon ng mga negatibong kahihinatnan. **Tandaan:**
* Ito ay mga potensyal na kahihinatnan, at ang kalubhaan ay maaaring mag-iba depende sa partikular na mga pangyayari ng kaso.
* Napakahalagang iwasan ang anumang pagkakasangkot sa mga aktibidad sa money laundering upang maprotektahan ang iyong sarili mula sa mga panganib na ito.
**Kung pinaghihinalaan mo ang money laundering:**
* Isumbong ito sa mga awtoridad. Maaari kang makipag-ugnayan sa Anti-Money Laundering Council (AMLC) o sa Philippine National Police (PNP) Anti-Cybercrime Unit.
**Mahalagang Paalala:** Ang impormasyong ito ay para sa pangkalahatang pag-unawa lamang at hindi dapat ituring bilang legal na payo. Kung ikaw ay nahaharap sa mga kaso ng money laundering, kumunsulta sa isang abogadong may karanasan sa batas kriminal upang maunawaan ang mga potensyal na kahihinatnan at bumuo ng isang malakas na diskarte sa pagtatanggol.</v>
      </c>
      <c r="F863" s="2">
        <f t="shared" si="1"/>
        <v>0</v>
      </c>
      <c r="G863" s="2"/>
      <c r="H863" s="2"/>
      <c r="I863" s="2"/>
      <c r="J863" s="2"/>
      <c r="K863" s="2"/>
      <c r="L863" s="2"/>
      <c r="M863" s="2"/>
      <c r="N863" s="2"/>
      <c r="O863" s="2"/>
      <c r="P863" s="2"/>
      <c r="Q863" s="2"/>
      <c r="R863" s="2"/>
      <c r="S863" s="2"/>
      <c r="T863" s="2"/>
      <c r="U863" s="2"/>
      <c r="V863" s="2"/>
      <c r="W863" s="2"/>
      <c r="X863" s="2"/>
      <c r="Y863" s="2"/>
      <c r="Z863" s="2"/>
      <c r="AA863" s="2"/>
    </row>
    <row r="864">
      <c r="A864" s="3" t="s">
        <v>2763</v>
      </c>
      <c r="B864" s="1" t="s">
        <v>2806</v>
      </c>
      <c r="C864" s="1" t="s">
        <v>2807</v>
      </c>
      <c r="D864" s="1" t="s">
        <v>2808</v>
      </c>
      <c r="E864" s="2" t="str">
        <f>IFERROR(__xludf.DUMMYFUNCTION("GOOGLETRANSLATE(C864, ""en"", ""TL"")"),"Narito ang ilang hakbang na maaaring gawin ng mga indibidwal sa Pilipinas upang matiyak ang pagsunod sa mga regulasyon sa anti-money laundering (AML) sa kanilang mga transaksyong pinansyal:
**Alamin ang Mga Pulang Watawat:**
* **Mga Kahina-hinalang Transa"&amp;"ksyon:** Mag-ingat sa mga sitwasyong tila hindi karaniwan, tulad ng:
* Malaking cash deposit o withdrawal nang walang malinaw na pinagmulan o layunin.
* Mga kahilingan upang mahawakan ang mga paglilipat ng pera para sa mga hindi kilalang tao.
* Hatiin ang"&amp;" malalaking transaksyon sa mas maliliit para maiwasan ang mga kinakailangan sa pag-uulat.
* Hindi karaniwang mapagbigay na pamumuhunan ay nag-aalok na may maliit na panganib.
* **Inconsistent Information:** Bigyang-pansin ang mga hindi pagkakapare-pareho "&amp;"sa mga paliwanag tungkol sa pinagmulan o layunin ng mga pondo.
**Protektahan ang Iyong Sarili at ang Iyong Pananalapi:**
* **Alamin ang Iyong Mga Kasosyo sa Negosyo:** Bago makipag-ugnayan sa pananalapi sa mga indibidwal o negosyo, subukang i-verify ang k"&amp;"anilang pagiging lehitimo. * Magsaliksik sa kanila online o humingi ng mga sanggunian.
* **Magtanong:** Huwag matakot na magtanong tungkol sa pinagmulan at layunin ng mga pondo, lalo na kung ang isang bagay ay tila hindi karaniwan.
* **Panatilihin ang Mga"&amp;" Tala:** Panatilihin ang mga resibo, invoice, at iba pang dokumentasyong nauugnay sa iyong mga transaksyon sa pananalapi para sa isang makatwirang panahon (hindi bababa sa 5 taon sa ilang mga kaso). Makakatulong ito kung kailangan mong ipakita ang pagigin"&amp;"g lehitimo ng iyong mga aktibidad.
**Maging Vigilant:**
* **Mag-ulat ng Kahina-hinalang Aktibidad:** Kung pinaghihinalaan mong may sangkot sa money laundering, iulat ito sa mga awtoridad. Maaari kang makipag-ugnayan sa Anti-Money Laundering Council (AMLC)"&amp;" o sa Philippine National Police (PNP) Anti-Cybercrime Unit.
* **Manatiling Alam:** Maaaring umunlad ang mga regulasyon ng AML. Panatilihing updated ang iyong sarili sa pinakabagong mga kinakailangan at red flag sa pamamagitan ng pagsuri sa website ng AML"&amp;"C o pagkonsulta sa isang financial advisor.
**Mga Karagdagang Tip:**
* **Gumamit ng Mga Pinagkakatiwalaang Institusyon sa Pinansyal:** Isagawa ang iyong mga transaksyon sa pananalapi sa pamamagitan ng mga lisensyado at kinokontrol na mga bangko at iba pan"&amp;"g institusyong pinansyal. Ang mga institusyong ito ay may mga pamamaraan sa pagsunod sa AML upang makatulong na maiwasan ang money laundering.
* **Mag-ingat sa Mga Online Scam:** Maging maingat sa mga online na transaksyon o mga pagkakataon sa pamumuhunan"&amp;" na mukhang napakaganda para maging totoo. Magsaliksik ng anumang online na platform bago gamitin ang mga ito.
* **Huwag Ipahiram ang Iyong Account sa Iba:** Iwasang hayaan ang iba na gamitin ang iyong bank account para magsagawa ng mga transaksyon, lalo "&amp;"na kung hindi mo alam ang pinagmulan ng mga pondo.
**Tandaan:**
* Sa pamamagitan ng pagsunod sa mga hakbang na ito, maaari kang makatulong na pigilan ang iyong sarili mula sa hindi sinasadyang pagsali sa mga aktibidad sa money laundering.
* Ang pokus ay s"&amp;"a layunin at kamalayan. Kung nag-uulat ka ng kahina-hinalang aktibidad o nagpapakitang hindi mo alam ang ilegal na pinagmumulan ng mga pondo, malamang na hindi ka makakaharap ng mga legal na kahihinatnan.
* Laging mas mabuting magkamali sa panig ng pag-ii"&amp;"ngat. Kung may mali, iulat ito.
**Disclaimer:** Ang impormasyong ito ay para sa pangkalahatang pag-unawa lamang at hindi dapat ipagkamali bilang legal na payo. Kung mayroon kang mga partikular na tanong o alalahanin, kumunsulta sa isang financial advisor "&amp;"o abogado.")</f>
        <v>Narito ang ilang hakbang na maaaring gawin ng mga indibidwal sa Pilipinas upang matiyak ang pagsunod sa mga regulasyon sa anti-money laundering (AML) sa kanilang mga transaksyong pinansyal:
**Alamin ang Mga Pulang Watawat:**
* **Mga Kahina-hinalang Transaksyon:** Mag-ingat sa mga sitwasyong tila hindi karaniwan, tulad ng:
* Malaking cash deposit o withdrawal nang walang malinaw na pinagmulan o layunin.
* Mga kahilingan upang mahawakan ang mga paglilipat ng pera para sa mga hindi kilalang tao.
* Hatiin ang malalaking transaksyon sa mas maliliit para maiwasan ang mga kinakailangan sa pag-uulat.
* Hindi karaniwang mapagbigay na pamumuhunan ay nag-aalok na may maliit na panganib.
* **Inconsistent Information:** Bigyang-pansin ang mga hindi pagkakapare-pareho sa mga paliwanag tungkol sa pinagmulan o layunin ng mga pondo.
**Protektahan ang Iyong Sarili at ang Iyong Pananalapi:**
* **Alamin ang Iyong Mga Kasosyo sa Negosyo:** Bago makipag-ugnayan sa pananalapi sa mga indibidwal o negosyo, subukang i-verify ang kanilang pagiging lehitimo. * Magsaliksik sa kanila online o humingi ng mga sanggunian.
* **Magtanong:** Huwag matakot na magtanong tungkol sa pinagmulan at layunin ng mga pondo, lalo na kung ang isang bagay ay tila hindi karaniwan.
* **Panatilihin ang Mga Tala:** Panatilihin ang mga resibo, invoice, at iba pang dokumentasyong nauugnay sa iyong mga transaksyon sa pananalapi para sa isang makatwirang panahon (hindi bababa sa 5 taon sa ilang mga kaso). Makakatulong ito kung kailangan mong ipakita ang pagiging lehitimo ng iyong mga aktibidad.
**Maging Vigilant:**
* **Mag-ulat ng Kahina-hinalang Aktibidad:** Kung pinaghihinalaan mong may sangkot sa money laundering, iulat ito sa mga awtoridad. Maaari kang makipag-ugnayan sa Anti-Money Laundering Council (AMLC) o sa Philippine National Police (PNP) Anti-Cybercrime Unit.
* **Manatiling Alam:** Maaaring umunlad ang mga regulasyon ng AML. Panatilihing updated ang iyong sarili sa pinakabagong mga kinakailangan at red flag sa pamamagitan ng pagsuri sa website ng AMLC o pagkonsulta sa isang financial advisor.
**Mga Karagdagang Tip:**
* **Gumamit ng Mga Pinagkakatiwalaang Institusyon sa Pinansyal:** Isagawa ang iyong mga transaksyon sa pananalapi sa pamamagitan ng mga lisensyado at kinokontrol na mga bangko at iba pang institusyong pinansyal. Ang mga institusyong ito ay may mga pamamaraan sa pagsunod sa AML upang makatulong na maiwasan ang money laundering.
* **Mag-ingat sa Mga Online Scam:** Maging maingat sa mga online na transaksyon o mga pagkakataon sa pamumuhunan na mukhang napakaganda para maging totoo. Magsaliksik ng anumang online na platform bago gamitin ang mga ito.
* **Huwag Ipahiram ang Iyong Account sa Iba:** Iwasang hayaan ang iba na gamitin ang iyong bank account para magsagawa ng mga transaksyon, lalo na kung hindi mo alam ang pinagmulan ng mga pondo.
**Tandaan:**
* Sa pamamagitan ng pagsunod sa mga hakbang na ito, maaari kang makatulong na pigilan ang iyong sarili mula sa hindi sinasadyang pagsali sa mga aktibidad sa money laundering.
* Ang pokus ay sa layunin at kamalayan. Kung nag-uulat ka ng kahina-hinalang aktibidad o nagpapakitang hindi mo alam ang ilegal na pinagmumulan ng mga pondo, malamang na hindi ka makakaharap ng mga legal na kahihinatnan.
* Laging mas mabuting magkamali sa panig ng pag-iingat. Kung may mali, iulat ito.
**Disclaimer:** Ang impormasyong ito ay para sa pangkalahatang pag-unawa lamang at hindi dapat ipagkamali bilang legal na payo. Kung mayroon kang mga partikular na tanong o alalahanin, kumunsulta sa isang financial advisor o abogado.</v>
      </c>
      <c r="F864" s="2">
        <f t="shared" si="1"/>
        <v>0</v>
      </c>
      <c r="G864" s="2"/>
      <c r="H864" s="2"/>
      <c r="I864" s="2"/>
      <c r="J864" s="2"/>
      <c r="K864" s="2"/>
      <c r="L864" s="2"/>
      <c r="M864" s="2"/>
      <c r="N864" s="2"/>
      <c r="O864" s="2"/>
      <c r="P864" s="2"/>
      <c r="Q864" s="2"/>
      <c r="R864" s="2"/>
      <c r="S864" s="2"/>
      <c r="T864" s="2"/>
      <c r="U864" s="2"/>
      <c r="V864" s="2"/>
      <c r="W864" s="2"/>
      <c r="X864" s="2"/>
      <c r="Y864" s="2"/>
      <c r="Z864" s="2"/>
      <c r="AA864" s="2"/>
    </row>
    <row r="865">
      <c r="A865" s="3" t="s">
        <v>2763</v>
      </c>
      <c r="B865" s="1" t="s">
        <v>2809</v>
      </c>
      <c r="C865" s="1" t="s">
        <v>2810</v>
      </c>
      <c r="D865" s="1" t="s">
        <v>2811</v>
      </c>
      <c r="E865" s="2" t="str">
        <f>IFERROR(__xludf.DUMMYFUNCTION("GOOGLETRANSLATE(C865, ""en"", ""TL"")"),"Narito ang ilang pangunahing pulang bandila na maaaring magpahiwatig ng mga potensyal na aktibidad sa money laundering:
**Mga Kahina-hinalang Transaksyon:**
* **Malalaking Deposito o Pag-withdraw ng Pera:** Ang hindi maipaliwanag na malalaking deposito o "&amp;"pag-withdraw, lalo na sa cash, ay maaaring maging isang pulang bandila. Ito ay dahil ang mga kriminal ay madalas na umiiwas sa mga traceable na pamamaraan tulad ng mga tseke o money order upang maglaba ng pera.
* **Pag-istruktura:** Kabilang dito ang pagh"&amp;"ahati ng malalaking halaga ng pera sa mas maliliit na transaksyon sa ibaba ng mga limitasyon ng pag-uulat upang maiwasan ang pag-trigger ng Mga Kahina-hinalang Ulat ng Aktibidad (SAR) mula sa mga institusyong pampinansyal. * **Hindi Karaniwang Aktibidad K"&amp;"umpara sa Mga Nakaraang Transaksyon:** Ang isang biglaang pagtaas o makabuluhang pagbabago sa karaniwang mga pattern ng transaksyon ng isang tao, lalo na ang kinasasangkutan ng malalaking halaga ng pera, ay maaaring maging kahina-hinala.
* **Pagpapadala o"&amp;" Pagtanggap ng mga Pondo mula sa Mga Bansang Mataas ang Panganib:** Maaaring magtaas ng pulang bandila ang mga bansang may mahinang regulasyon sa AML o kilala sa mga aktibidad sa money laundering.
**Mga Pagkakaiba at Hindi Maipaliwanag na Aktibidad:**
* *"&amp;"*Hindi Pare-parehong Mga Paliwanag:** Kung ang isang tao ay magbibigay ng hindi malinaw o magkasalungat na mga paliwanag tungkol sa pinagmulan o layunin ng mga pondo, maaaring ito ay isang senyales na may sinusubukan siyang itago.
* **Kakulangan ng Katwir"&amp;"an sa Negosyo:** Kung ang isang transaksyon sa negosyo ay tila hindi makatwiran o walang kahulugan sa ekonomiya, ito ay nagkakahalaga ng pagsisiyasat pa. * **Pagkamadalian at Presyon para Kumpletuhin ang Mga Transaksyon:** Maaaring subukan ng mga kriminal"&amp;" na magmadali sa mga transaksyon upang maiwasan ang pagsisiyasat. Mag-ingat sa hindi nararapat na panggigipit upang makumpleto nang mabilis ang mga pinansiyal na pakikitungo.
**Mga Isyu sa Pagiging Marapat ng Customer:**
* **Pag-aatubili na Magbigay ng Pa"&amp;"gkakakilanlan:** Kung may mag-atubiling magbigay ng wastong pagkakakilanlan o magbigay ng maling impormasyon kapag nagbubukas ng account o nagsasagawa ng transaksyon, ito ay isang pulang bandila.
* **Shell Companies:** Maaaring kahina-hinala ang mga trans"&amp;"aksyong kinasasangkutan ng mga kumpanyang walang maliwanag na lehitimong layunin sa negosyo o anonymous na pagmamay-ari.
* **Politically Exposed Persons (PEPs):** Maaaring magdulot ng mas mataas na panganib ang mga indibidwal na may hawak na mga kilalang "&amp;"pampublikong tungkulin o mga malapit sa kanila dahil sa potensyal na katiwalian. Ang mga transaksyong kinasasangkutan ng mga PEP ay nangangailangan ng karagdagang pagsusuri.
**Tandaan:**
* Ang pagkakaroon ng isang pulang bandila ay hindi nangangahulugang "&amp;"nangyayari ang money laundering. Gayunpaman, mahalagang malaman ang mga babalang ito at iulat ang anumang mga hinala sa mga awtoridad.
* Ang mga institusyong pampinansyal ay may legal na obligasyon na mag-ulat ng kahina-hinalang aktibidad. Kung hindi ka s"&amp;"igurado tungkol sa isang transaksyon, kumunsulta sa iyong bangko o financial advisor.
* Sa pamamagitan ng pananatiling mapagbantay at pag-uulat ng kahina-hinalang aktibidad, maaari kang makatulong na maiwasan ang money laundering at mag-ambag sa isang mas"&amp;" ligtas na sistema ng pananalapi.")</f>
        <v>Narito ang ilang pangunahing pulang bandila na maaaring magpahiwatig ng mga potensyal na aktibidad sa money laundering:
**Mga Kahina-hinalang Transaksyon:**
* **Malalaking Deposito o Pag-withdraw ng Pera:** Ang hindi maipaliwanag na malalaking deposito o pag-withdraw, lalo na sa cash, ay maaaring maging isang pulang bandila. Ito ay dahil ang mga kriminal ay madalas na umiiwas sa mga traceable na pamamaraan tulad ng mga tseke o money order upang maglaba ng pera.
* **Pag-istruktura:** Kabilang dito ang paghahati ng malalaking halaga ng pera sa mas maliliit na transaksyon sa ibaba ng mga limitasyon ng pag-uulat upang maiwasan ang pag-trigger ng Mga Kahina-hinalang Ulat ng Aktibidad (SAR) mula sa mga institusyong pampinansyal. * **Hindi Karaniwang Aktibidad Kumpara sa Mga Nakaraang Transaksyon:** Ang isang biglaang pagtaas o makabuluhang pagbabago sa karaniwang mga pattern ng transaksyon ng isang tao, lalo na ang kinasasangkutan ng malalaking halaga ng pera, ay maaaring maging kahina-hinala.
* **Pagpapadala o Pagtanggap ng mga Pondo mula sa Mga Bansang Mataas ang Panganib:** Maaaring magtaas ng pulang bandila ang mga bansang may mahinang regulasyon sa AML o kilala sa mga aktibidad sa money laundering.
**Mga Pagkakaiba at Hindi Maipaliwanag na Aktibidad:**
* **Hindi Pare-parehong Mga Paliwanag:** Kung ang isang tao ay magbibigay ng hindi malinaw o magkasalungat na mga paliwanag tungkol sa pinagmulan o layunin ng mga pondo, maaaring ito ay isang senyales na may sinusubukan siyang itago.
* **Kakulangan ng Katwiran sa Negosyo:** Kung ang isang transaksyon sa negosyo ay tila hindi makatwiran o walang kahulugan sa ekonomiya, ito ay nagkakahalaga ng pagsisiyasat pa. * **Pagkamadalian at Presyon para Kumpletuhin ang Mga Transaksyon:** Maaaring subukan ng mga kriminal na magmadali sa mga transaksyon upang maiwasan ang pagsisiyasat. Mag-ingat sa hindi nararapat na panggigipit upang makumpleto nang mabilis ang mga pinansiyal na pakikitungo.
**Mga Isyu sa Pagiging Marapat ng Customer:**
* **Pag-aatubili na Magbigay ng Pagkakakilanlan:** Kung may mag-atubiling magbigay ng wastong pagkakakilanlan o magbigay ng maling impormasyon kapag nagbubukas ng account o nagsasagawa ng transaksyon, ito ay isang pulang bandila.
* **Shell Companies:** Maaaring kahina-hinala ang mga transaksyong kinasasangkutan ng mga kumpanyang walang maliwanag na lehitimong layunin sa negosyo o anonymous na pagmamay-ari.
* **Politically Exposed Persons (PEPs):** Maaaring magdulot ng mas mataas na panganib ang mga indibidwal na may hawak na mga kilalang pampublikong tungkulin o mga malapit sa kanila dahil sa potensyal na katiwalian. Ang mga transaksyong kinasasangkutan ng mga PEP ay nangangailangan ng karagdagang pagsusuri.
**Tandaan:**
* Ang pagkakaroon ng isang pulang bandila ay hindi nangangahulugang nangyayari ang money laundering. Gayunpaman, mahalagang malaman ang mga babalang ito at iulat ang anumang mga hinala sa mga awtoridad.
* Ang mga institusyong pampinansyal ay may legal na obligasyon na mag-ulat ng kahina-hinalang aktibidad. Kung hindi ka sigurado tungkol sa isang transaksyon, kumunsulta sa iyong bangko o financial advisor.
* Sa pamamagitan ng pananatiling mapagbantay at pag-uulat ng kahina-hinalang aktibidad, maaari kang makatulong na maiwasan ang money laundering at mag-ambag sa isang mas ligtas na sistema ng pananalapi.</v>
      </c>
      <c r="F865" s="2">
        <f t="shared" si="1"/>
        <v>0</v>
      </c>
      <c r="G865" s="2"/>
      <c r="H865" s="2"/>
      <c r="I865" s="2"/>
      <c r="J865" s="2"/>
      <c r="K865" s="2"/>
      <c r="L865" s="2"/>
      <c r="M865" s="2"/>
      <c r="N865" s="2"/>
      <c r="O865" s="2"/>
      <c r="P865" s="2"/>
      <c r="Q865" s="2"/>
      <c r="R865" s="2"/>
      <c r="S865" s="2"/>
      <c r="T865" s="2"/>
      <c r="U865" s="2"/>
      <c r="V865" s="2"/>
      <c r="W865" s="2"/>
      <c r="X865" s="2"/>
      <c r="Y865" s="2"/>
      <c r="Z865" s="2"/>
      <c r="AA865" s="2"/>
    </row>
    <row r="866">
      <c r="A866" s="3" t="s">
        <v>2763</v>
      </c>
      <c r="B866" s="1" t="s">
        <v>2812</v>
      </c>
      <c r="C866" s="1" t="s">
        <v>2813</v>
      </c>
      <c r="D866" s="1" t="s">
        <v>2814</v>
      </c>
      <c r="E866" s="2" t="str">
        <f>IFERROR(__xludf.DUMMYFUNCTION("GOOGLETRANSLATE(C866, ""en"", ""TL"")"),"Narito kung paano matutukoy ng mga indibidwal kung maaaring hindi sinasadyang nasangkot sila sa isang transaksyong kinasasangkutan ng nilabang pera:
**Suriin ang Iyong Mga Transaksyon:**
* **Maghanap ng Mga Pulang Watawat:** Suriin ang iyong mga kamakaila"&amp;"ng bank statement o aktibidad ng account para sa anumang mga transaksyong mukhang kahina-hinala batay sa mga pulang bandila na tinalakay kanina (malaking hindi maipaliwanag na mga deposito/pag-withdraw, pagbubuo, hindi pangkaraniwang aktibidad kumpara sa "&amp;"iyong pattern, atbp.) .
* **Mga Hindi Pamilyar na Nagpadala/Tanggap:** Suriin ang mga transaksyong kinasasangkutan ng mga pangalan na hindi mo nakikilala, lalo na para sa malalaking halaga o paulit-ulit na pakikipag-ugnayan.
* **Mga Hindi Maipaliwanag na "&amp;"Pondo:** Kung nakatanggap ka ng mga pondo nang walang malinaw na paliwanag para sa pinagmulan ng mga ito, lalo na mula sa hindi kilalang mga nagpadala, maging maingat.
**Reconcile Accounts Regular na:**
* Regular na suriin ang iyong mga bank statement at "&amp;"aktibidad ng account para sa anumang hindi awtorisadong transaksyon. * Agad na iulat ang anumang mga pagkakaiba sa iyong institusyong pinansyal. **Magtiwala sa Iyong Gut:**
* Kung may nararamdaman tungkol sa isang transaksyon na mali, kahit na hindi ito g"&amp;"anap na akma sa pamantayan ng red flag, pinakamahusay na magkamali sa panig ng pag-iingat.
**Mga Palatandaan ng Babala Higit pa sa mga Transaksyon:**
* **Pressure to Act Quickly:** Napilitan ka bang kumpletuhin ang isang transaksyon nang madalian, lalo na"&amp;" kung may kinalaman sa malalaking halaga o hindi pangkaraniwang paraan (mga deposito ng pera, paglilipat ng pera sa mga bansang may mataas na peligro)?
* **Mga Kahilingan sa Lihim:** May humiling ba sa iyo na panatilihing kumpidensyal ang transaksyon o hu"&amp;"wag magtanong tungkol sa pinagmulan ng mga pondo?
* **Mukhang Napakaganda ng Mga Alok para Maging Totoo:** Mag-ingat sa mga pagkakataon sa pamumuhunan o mga deal na mukhang hindi kapani-paniwalang kumikita na may maliit na panganib. Ang mga ito ay maaarin"&amp;"g mga scam na nauugnay sa money laundering.
**Kung Pinaghihinalaan Mo ang Pagkasangkot:**
* **Ihinto ang Pakikipag-ugnayan:** Huwag lumahok sa anumang karagdagang mga transaksyon sa mga kahina-hinalang indibidwal o entity.
* **Iulat ang Iyong Mga Alalahan"&amp;"in:** Makipag-ugnayan sa iyong institusyong pinansyal at iulat ang kahina-hinalang aktibidad. Obligado silang iulat ang mga ganitong kaso sa Anti-Money Laundering Council (AMLC).
* **Humingi ng Legal na Payo:** Isaalang-alang ang pagkonsulta sa isang abog"&amp;"adong may karanasan sa money laundering upang maunawaan ang iyong sitwasyon at mga potensyal na susunod na hakbang. **Mahahalagang Punto:**
* **Mahalaga ang Layunin:** Kahit na hindi mo namamalayan na nakatanggap o nakahawak ng nalaang pera, malamang na h"&amp;"indi ka makakaharap ng mga legal na kahihinatnan hangga't iuulat mo ito kapag naging kahina-hinala ka. Ang pokus ay sa kaalaman at layunin.
* **Ang Kooperasyon ay Mahalaga:** Kung nakikipagtulungan ka sa mga awtoridad at nagpapakitang hindi mo alam ang il"&amp;"egal na aktibidad, makakatulong ito na mabawasan ang anumang potensyal na isyu.
* **Prevention is Best:** Sa pamamagitan ng pagsunod sa AML best practices (pag-iwas sa malalaking transaksyon sa pera, pag-alam sa iyong mga kasosyo sa negosyo, pag-uulat ng "&amp;"kahina-hinalang aktibidad) maaari mong makabuluhang bawasan ang panganib ng hindi sinasadyang pagkakasangkot. **Tandaan:** * Huwag matakot na mag-ulat ng kahina-hinalang aktibidad. Mas mabuting maging ligtas kaysa magsisi.
* Nariyan ang mga institusyong p"&amp;"ampinansyal at awtoridad upang tumulong. Ang pag-uulat ng kahina-hinalang aktibidad ay makakatulong sa kanila na mag-imbestiga at maiwasan ang money laundering.
* Kung hindi ka sigurado sa isang sitwasyon, kumunsulta sa isang financial advisor o abogado p"&amp;"ara sa gabay.")</f>
        <v>Narito kung paano matutukoy ng mga indibidwal kung maaaring hindi sinasadyang nasangkot sila sa isang transaksyong kinasasangkutan ng nilabang pera:
**Suriin ang Iyong Mga Transaksyon:**
* **Maghanap ng Mga Pulang Watawat:** Suriin ang iyong mga kamakailang bank statement o aktibidad ng account para sa anumang mga transaksyong mukhang kahina-hinala batay sa mga pulang bandila na tinalakay kanina (malaking hindi maipaliwanag na mga deposito/pag-withdraw, pagbubuo, hindi pangkaraniwang aktibidad kumpara sa iyong pattern, atbp.) .
* **Mga Hindi Pamilyar na Nagpadala/Tanggap:** Suriin ang mga transaksyong kinasasangkutan ng mga pangalan na hindi mo nakikilala, lalo na para sa malalaking halaga o paulit-ulit na pakikipag-ugnayan.
* **Mga Hindi Maipaliwanag na Pondo:** Kung nakatanggap ka ng mga pondo nang walang malinaw na paliwanag para sa pinagmulan ng mga ito, lalo na mula sa hindi kilalang mga nagpadala, maging maingat.
**Reconcile Accounts Regular na:**
* Regular na suriin ang iyong mga bank statement at aktibidad ng account para sa anumang hindi awtorisadong transaksyon. * Agad na iulat ang anumang mga pagkakaiba sa iyong institusyong pinansyal. **Magtiwala sa Iyong Gut:**
* Kung may nararamdaman tungkol sa isang transaksyon na mali, kahit na hindi ito ganap na akma sa pamantayan ng red flag, pinakamahusay na magkamali sa panig ng pag-iingat.
**Mga Palatandaan ng Babala Higit pa sa mga Transaksyon:**
* **Pressure to Act Quickly:** Napilitan ka bang kumpletuhin ang isang transaksyon nang madalian, lalo na kung may kinalaman sa malalaking halaga o hindi pangkaraniwang paraan (mga deposito ng pera, paglilipat ng pera sa mga bansang may mataas na peligro)?
* **Mga Kahilingan sa Lihim:** May humiling ba sa iyo na panatilihing kumpidensyal ang transaksyon o huwag magtanong tungkol sa pinagmulan ng mga pondo?
* **Mukhang Napakaganda ng Mga Alok para Maging Totoo:** Mag-ingat sa mga pagkakataon sa pamumuhunan o mga deal na mukhang hindi kapani-paniwalang kumikita na may maliit na panganib. Ang mga ito ay maaaring mga scam na nauugnay sa money laundering.
**Kung Pinaghihinalaan Mo ang Pagkasangkot:**
* **Ihinto ang Pakikipag-ugnayan:** Huwag lumahok sa anumang karagdagang mga transaksyon sa mga kahina-hinalang indibidwal o entity.
* **Iulat ang Iyong Mga Alalahanin:** Makipag-ugnayan sa iyong institusyong pinansyal at iulat ang kahina-hinalang aktibidad. Obligado silang iulat ang mga ganitong kaso sa Anti-Money Laundering Council (AMLC).
* **Humingi ng Legal na Payo:** Isaalang-alang ang pagkonsulta sa isang abogadong may karanasan sa money laundering upang maunawaan ang iyong sitwasyon at mga potensyal na susunod na hakbang. **Mahahalagang Punto:**
* **Mahalaga ang Layunin:** Kahit na hindi mo namamalayan na nakatanggap o nakahawak ng nalaang pera, malamang na hindi ka makakaharap ng mga legal na kahihinatnan hangga't iuulat mo ito kapag naging kahina-hinala ka. Ang pokus ay sa kaalaman at layunin.
* **Ang Kooperasyon ay Mahalaga:** Kung nakikipagtulungan ka sa mga awtoridad at nagpapakitang hindi mo alam ang ilegal na aktibidad, makakatulong ito na mabawasan ang anumang potensyal na isyu.
* **Prevention is Best:** Sa pamamagitan ng pagsunod sa AML best practices (pag-iwas sa malalaking transaksyon sa pera, pag-alam sa iyong mga kasosyo sa negosyo, pag-uulat ng kahina-hinalang aktibidad) maaari mong makabuluhang bawasan ang panganib ng hindi sinasadyang pagkakasangkot. **Tandaan:** * Huwag matakot na mag-ulat ng kahina-hinalang aktibidad. Mas mabuting maging ligtas kaysa magsisi.
* Nariyan ang mga institusyong pampinansyal at awtoridad upang tumulong. Ang pag-uulat ng kahina-hinalang aktibidad ay makakatulong sa kanila na mag-imbestiga at maiwasan ang money laundering.
* Kung hindi ka sigurado sa isang sitwasyon, kumunsulta sa isang financial advisor o abogado para sa gabay.</v>
      </c>
      <c r="F866" s="2">
        <f t="shared" si="1"/>
        <v>0</v>
      </c>
      <c r="G866" s="2"/>
      <c r="H866" s="2"/>
      <c r="I866" s="2"/>
      <c r="J866" s="2"/>
      <c r="K866" s="2"/>
      <c r="L866" s="2"/>
      <c r="M866" s="2"/>
      <c r="N866" s="2"/>
      <c r="O866" s="2"/>
      <c r="P866" s="2"/>
      <c r="Q866" s="2"/>
      <c r="R866" s="2"/>
      <c r="S866" s="2"/>
      <c r="T866" s="2"/>
      <c r="U866" s="2"/>
      <c r="V866" s="2"/>
      <c r="W866" s="2"/>
      <c r="X866" s="2"/>
      <c r="Y866" s="2"/>
      <c r="Z866" s="2"/>
      <c r="AA866" s="2"/>
    </row>
    <row r="867">
      <c r="A867" s="3" t="s">
        <v>2763</v>
      </c>
      <c r="B867" s="1" t="s">
        <v>2815</v>
      </c>
      <c r="C867" s="1" t="s">
        <v>2816</v>
      </c>
      <c r="D867" s="1" t="s">
        <v>2817</v>
      </c>
      <c r="E867" s="2" t="str">
        <f>IFERROR(__xludf.DUMMYFUNCTION("GOOGLETRANSLATE(C867, ""en"", ""TL"")"),"Kung pinaghihinalaan mo na hindi mo alam na nasangkot ka sa isang money laundering scheme, narito ang mga hakbang na dapat mong gawin:
**1. Itigil ang Pakikipag-ugnayan:**
* **Ihinto ang anumang karagdagang mga transaksyon:** Huwag lumahok sa anumang kara"&amp;"gdagang mga aktibidad kasama ang mga kahina-hinalang indibidwal o entity. Maaaring kabilang dito ang mga paglilipat ng pera, pamamahala ng account, o iba pang mga pinansiyal na pakikitungo.
**2. Iulat ang Kahina-hinalang Aktibidad:**
* **Makipag-ugnayan s"&amp;"a iyong institusyong pampinansyal:** Iulat ang iyong mga alalahanin sa iyong bangko o iba pang tagapagbigay ng serbisyo sa pananalapi. Mayroon silang legal na obligasyon na iulat ang kahina-hinalang aktibidad sa Anti-Money Laundering Council (AMLC) sa Pil"&amp;"ipinas.
* **Mag-file ng ulat ng AML:** Maaari ka ring direktang maghain ng Suspicious Activity Report (SAR) sa AMLC. Ang kanilang website ay nagbibigay ng mga tagubilin at mga kinakailangang form: [http://www.amlc.gov.ph/](http://www.amlc.gov.ph/)
**3. Ma"&amp;"gtipon ng Ebidensya (Opsyonal, ngunit kapaki-pakinabang):**
* **Idokumento ang lahat:** Magtago ng mga kopya ng anumang email, resibo, kontrata, o iba pang dokumentasyong nauugnay sa mga kahina-hinalang transaksyon. Maaari itong maging kapaki-pakinabang p"&amp;"ara sa mga awtoridad at posibleng sarili mong depensa kung kinakailangan.
* **I-record ang mga detalye:** Isulat ang pinakamaraming impormasyon na maaalala mo tungkol sa sitwasyon, kabilang ang mga petsa, pangalan, halaga ng perang sangkot, at anumang par"&amp;"tikular na red flag na nagpapataas ng iyong hinala.
**4. Isaalang-alang ang Legal Counsel:**
* **Kumonsulta sa isang abogado:** Maaaring payuhan ka ng isang abogadong may karanasan sa money laundering tungkol sa iyong mga legal na karapatan at mga susunod"&amp;" na hakbang. Matutulungan ka nilang mag-navigate sa sitwasyon at posibleng kumatawan sa iyo kung may lumitaw na anumang legal na isyu.
**Mahahalagang Punto:**
* **Ang Kooperasyon ay Susi:** Sa pamamagitan ng pakikipagtulungan sa mga awtoridad at pagpapaki"&amp;"ta na hindi mo alam ang ilegal na aktibidad, malaki ang maitutulong nito sa iyong kaso.
* **Tumuon sa Layunin:** Ang susi sa money laundering ay kaalaman at layunin. Kung talagang hindi mo alam ang pamamaraan, malamang na hindi ka makakaharap ng mga legal"&amp;" na epekto.
* **Better Safe than Sorry:** Kahit na hindi ka sigurado ngunit naghihinala na may mali, iulat ito. Ang pag-uulat ng kahina-hinalang aktibidad ay nakakatulong sa mga awtoridad na mag-imbestiga at maiwasan ang money laundering.
**Mga Karagdagan"&amp;"g Mapagkukunan:**
* Anti-Money Laundering Council (AMLC Philippines): [http://www.amlc.gov.ph/](http://www.amlc.gov.ph/)
* AMLA Awareness Campaign: [inalis ang invalid na URL]
**Tandaan:** Ang impormasyong ito ay para sa pangkalahatang pag-unawa lamang at"&amp;" hindi dapat maging kapalit para sa propesyonal na legal na payo. Kung mayroon kang mga partikular na alalahanin, kumunsulta sa isang abogadong may karanasan sa money laundering.")</f>
        <v>Kung pinaghihinalaan mo na hindi mo alam na nasangkot ka sa isang money laundering scheme, narito ang mga hakbang na dapat mong gawin:
**1. Itigil ang Pakikipag-ugnayan:**
* **Ihinto ang anumang karagdagang mga transaksyon:** Huwag lumahok sa anumang karagdagang mga aktibidad kasama ang mga kahina-hinalang indibidwal o entity. Maaaring kabilang dito ang mga paglilipat ng pera, pamamahala ng account, o iba pang mga pinansiyal na pakikitungo.
**2. Iulat ang Kahina-hinalang Aktibidad:**
* **Makipag-ugnayan sa iyong institusyong pampinansyal:** Iulat ang iyong mga alalahanin sa iyong bangko o iba pang tagapagbigay ng serbisyo sa pananalapi. Mayroon silang legal na obligasyon na iulat ang kahina-hinalang aktibidad sa Anti-Money Laundering Council (AMLC) sa Pilipinas.
* **Mag-file ng ulat ng AML:** Maaari ka ring direktang maghain ng Suspicious Activity Report (SAR) sa AMLC. Ang kanilang website ay nagbibigay ng mga tagubilin at mga kinakailangang form: [http://www.amlc.gov.ph/](http://www.amlc.gov.ph/)
**3. Magtipon ng Ebidensya (Opsyonal, ngunit kapaki-pakinabang):**
* **Idokumento ang lahat:** Magtago ng mga kopya ng anumang email, resibo, kontrata, o iba pang dokumentasyong nauugnay sa mga kahina-hinalang transaksyon. Maaari itong maging kapaki-pakinabang para sa mga awtoridad at posibleng sarili mong depensa kung kinakailangan.
* **I-record ang mga detalye:** Isulat ang pinakamaraming impormasyon na maaalala mo tungkol sa sitwasyon, kabilang ang mga petsa, pangalan, halaga ng perang sangkot, at anumang partikular na red flag na nagpapataas ng iyong hinala.
**4. Isaalang-alang ang Legal Counsel:**
* **Kumonsulta sa isang abogado:** Maaaring payuhan ka ng isang abogadong may karanasan sa money laundering tungkol sa iyong mga legal na karapatan at mga susunod na hakbang. Matutulungan ka nilang mag-navigate sa sitwasyon at posibleng kumatawan sa iyo kung may lumitaw na anumang legal na isyu.
**Mahahalagang Punto:**
* **Ang Kooperasyon ay Susi:** Sa pamamagitan ng pakikipagtulungan sa mga awtoridad at pagpapakita na hindi mo alam ang ilegal na aktibidad, malaki ang maitutulong nito sa iyong kaso.
* **Tumuon sa Layunin:** Ang susi sa money laundering ay kaalaman at layunin. Kung talagang hindi mo alam ang pamamaraan, malamang na hindi ka makakaharap ng mga legal na epekto.
* **Better Safe than Sorry:** Kahit na hindi ka sigurado ngunit naghihinala na may mali, iulat ito. Ang pag-uulat ng kahina-hinalang aktibidad ay nakakatulong sa mga awtoridad na mag-imbestiga at maiwasan ang money laundering.
**Mga Karagdagang Mapagkukunan:**
* Anti-Money Laundering Council (AMLC Philippines): [http://www.amlc.gov.ph/](http://www.amlc.gov.ph/)
* AMLA Awareness Campaign: [inalis ang invalid na URL]
**Tandaan:** Ang impormasyong ito ay para sa pangkalahatang pag-unawa lamang at hindi dapat maging kapalit para sa propesyonal na legal na payo. Kung mayroon kang mga partikular na alalahanin, kumunsulta sa isang abogadong may karanasan sa money laundering.</v>
      </c>
      <c r="F867" s="2">
        <f t="shared" si="1"/>
        <v>0</v>
      </c>
      <c r="G867" s="2"/>
      <c r="H867" s="2"/>
      <c r="I867" s="2"/>
      <c r="J867" s="2"/>
      <c r="K867" s="2"/>
      <c r="L867" s="2"/>
      <c r="M867" s="2"/>
      <c r="N867" s="2"/>
      <c r="O867" s="2"/>
      <c r="P867" s="2"/>
      <c r="Q867" s="2"/>
      <c r="R867" s="2"/>
      <c r="S867" s="2"/>
      <c r="T867" s="2"/>
      <c r="U867" s="2"/>
      <c r="V867" s="2"/>
      <c r="W867" s="2"/>
      <c r="X867" s="2"/>
      <c r="Y867" s="2"/>
      <c r="Z867" s="2"/>
      <c r="AA867" s="2"/>
    </row>
    <row r="868">
      <c r="A868" s="3" t="s">
        <v>2763</v>
      </c>
      <c r="B868" s="1" t="s">
        <v>2818</v>
      </c>
      <c r="C868" s="1" t="s">
        <v>2819</v>
      </c>
      <c r="D868" s="1" t="s">
        <v>2820</v>
      </c>
      <c r="E868" s="2" t="str">
        <f>IFERROR(__xludf.DUMMYFUNCTION("GOOGLETRANSLATE(C868, ""en"", ""TL"")"),"Narito ang isang breakdown ng mga pangunahing pagkakaiba sa pagitan ng mga legal at ilegal na paraan ng paglilipat ng pera upang maiwasan ang mga akusasyon ng money laundering:
**Legal na Paglilipat ng Pera:**
* **Transparency:** Ang pinagmulan at layunin"&amp;" ng mga pondo ay malinaw at nabe-verify. Maaaring suportahan ng mga dokumento tulad ng mga invoice, resibo, kontrata, at talaan ng trabaho ang pagiging lehitimo ng paglipat.
* **Mga Institusyong Pananalapi:** Ang mga paglilipat ay isinasagawa sa pamamagit"&amp;"an ng mga lisensyado at kinokontrol na mga bangko, mga serbisyo sa paglilipat ng pera, o iba pang mga institusyong pampinansyal na may mga pamamaraan ng Know Your Customer (KYC) upang i-verify ang mga pagkakakilanlan at maiwasan ang ilegal na aktibidad. *"&amp;" **Mga Kinakailangan sa Pag-uulat:** Ang malalaking paglilipat (higit sa katumbas ng piso ng Pilipinas ng Php 500,000) ay iniuulat sa mga awtoridad ng mga institusyong pampinansyal alinsunod sa mga regulasyon ng AML.
**Mga Halimbawa ng Legal na Paglipat:*"&amp;"*
* Pagpapadala ng suweldo na kinita mula sa iyong trabaho sa ibang bansa sa iyong pamilya sa Pilipinas.
* Pagbabayad sa isang supplier para sa mga kalakal o serbisyo gamit ang isang bank transfer.
* Paghahati ng bill ng restaurant sa mga kaibigan gamit a"&amp;"ng isang app sa pagbabayad sa mobile.
* Namumuhunan ng mga pondo sa stock market sa pamamagitan ng isang lisensyadong broker.
**Ilegal na Paglilipat ng Pera (Mga Pulang Watawat):**
* **Secrecy:** Ang mga pagsisikap ay ginawa upang itago ang pinagmulan at "&amp;"layunin ng mga pondo. Maaaring gumamit ang mga nagpadala o tumanggap ng mga pekeng pangalan, hindi kilalang account, o kumplikadong istrukturang pampinansyal upang maiwasan ang pagtuklas.
* **Malalaking Cash Deposit:** Ang hindi maipaliwanag na malalaking"&amp;" deposito ng cash, lalo na sa maramihang mga transaksyon sa ibaba ng mga limitasyon sa pag-uulat (pag-istruktura), ay maaaring magpataas ng hinala.
* **Mga Impormal na Channel:** Gumagamit ng mga impormal na serbisyo sa paglilipat ng pera (money mule, und"&amp;"erground banking) na kulang sa mga regulasyon ng AML upang maiwasan ang pagsisiyasat.
* **Hindi Maipaliwanag na Pagkamadalian:** Ang pagpilit na kumpletuhin ang paglipat nang mabilis, nang walang wastong dokumentasyon o katwiran, ay maaaring maging isang "&amp;"pulang bandila.
**Mga Kahina-hinalang Aktibidad na Dapat Iwasan:**
* Huwag maglipat ng pera para sa isang taong hindi mo kilala o pinagkakatiwalaan.
* Huwag payagan ang iba na gamitin ang iyong bank account para maglipat ng mga pondo.
* Mag-ingat sa mga p"&amp;"agkakataon sa pamumuhunan na nangangako ng mataas na kita na may maliit na panganib.
* Huwag hatiin ang malalaking halaga ng pera sa mas maliliit na transaksyon upang maiwasan ang mga kinakailangan sa pag-uulat.
**Tandaan:**
* Kung ang isang bagay tungkol"&amp;" sa paglilipat ng pera ay tila kahina-hinala, huwag matakot na magtanong o iulat ito sa iyong institusyong pinansyal.
* Ang mga institusyong pampinansyal ay sinanay upang tukuyin ang potensyal na money laundering at mag-uulat ng kahina-hinalang aktibidad "&amp;"sa mga awtoridad.
**Narito ang ilang karagdagang tip:**
* **Panatilihin ang Paper Trail:** Panatilihin ang mga kopya ng mga resibo, invoice, at iba pang dokumentasyong nauugnay sa iyong mga paglilipat ng pera nang hindi bababa sa limang taon.
* **Gumamit "&amp;"ng Mga Reputable na Serbisyo:** Gumamit lamang ng mga lisensyado at kinokontrol na institusyong pampinansyal para sa mga paglilipat ng pera.
* **Manatiling Maalam:** Maging pamilyar sa mga regulasyon sa Anti-Money Laundering (AML) upang maunawaan ang iyon"&amp;"g mga responsibilidad at maiwasan ang hindi sinasadyang pagkakasangkot sa kahina-hinalang aktibidad.
Sa pamamagitan ng pagsunod sa mga alituntuning ito, masisiguro mong legal at transparent ang iyong mga paglilipat ng pera, na binabawasan ang panganib ng "&amp;"mga akusasyon sa money laundering.
**Disclaimer:** Ang impormasyong ito ay para sa pangkalahatang pag-unawa lamang at hindi dapat ituring na legal na payo. Kung mayroon kang mga partikular na tanong o alalahanin, kumunsulta sa isang abogado o tagapayo sa "&amp;"pananalapi.")</f>
        <v>Narito ang isang breakdown ng mga pangunahing pagkakaiba sa pagitan ng mga legal at ilegal na paraan ng paglilipat ng pera upang maiwasan ang mga akusasyon ng money laundering:
**Legal na Paglilipat ng Pera:**
* **Transparency:** Ang pinagmulan at layunin ng mga pondo ay malinaw at nabe-verify. Maaaring suportahan ng mga dokumento tulad ng mga invoice, resibo, kontrata, at talaan ng trabaho ang pagiging lehitimo ng paglipat.
* **Mga Institusyong Pananalapi:** Ang mga paglilipat ay isinasagawa sa pamamagitan ng mga lisensyado at kinokontrol na mga bangko, mga serbisyo sa paglilipat ng pera, o iba pang mga institusyong pampinansyal na may mga pamamaraan ng Know Your Customer (KYC) upang i-verify ang mga pagkakakilanlan at maiwasan ang ilegal na aktibidad. * **Mga Kinakailangan sa Pag-uulat:** Ang malalaking paglilipat (higit sa katumbas ng piso ng Pilipinas ng Php 500,000) ay iniuulat sa mga awtoridad ng mga institusyong pampinansyal alinsunod sa mga regulasyon ng AML.
**Mga Halimbawa ng Legal na Paglipat:**
* Pagpapadala ng suweldo na kinita mula sa iyong trabaho sa ibang bansa sa iyong pamilya sa Pilipinas.
* Pagbabayad sa isang supplier para sa mga kalakal o serbisyo gamit ang isang bank transfer.
* Paghahati ng bill ng restaurant sa mga kaibigan gamit ang isang app sa pagbabayad sa mobile.
* Namumuhunan ng mga pondo sa stock market sa pamamagitan ng isang lisensyadong broker.
**Ilegal na Paglilipat ng Pera (Mga Pulang Watawat):**
* **Secrecy:** Ang mga pagsisikap ay ginawa upang itago ang pinagmulan at layunin ng mga pondo. Maaaring gumamit ang mga nagpadala o tumanggap ng mga pekeng pangalan, hindi kilalang account, o kumplikadong istrukturang pampinansyal upang maiwasan ang pagtuklas.
* **Malalaking Cash Deposit:** Ang hindi maipaliwanag na malalaking deposito ng cash, lalo na sa maramihang mga transaksyon sa ibaba ng mga limitasyon sa pag-uulat (pag-istruktura), ay maaaring magpataas ng hinala.
* **Mga Impormal na Channel:** Gumagamit ng mga impormal na serbisyo sa paglilipat ng pera (money mule, underground banking) na kulang sa mga regulasyon ng AML upang maiwasan ang pagsisiyasat.
* **Hindi Maipaliwanag na Pagkamadalian:** Ang pagpilit na kumpletuhin ang paglipat nang mabilis, nang walang wastong dokumentasyon o katwiran, ay maaaring maging isang pulang bandila.
**Mga Kahina-hinalang Aktibidad na Dapat Iwasan:**
* Huwag maglipat ng pera para sa isang taong hindi mo kilala o pinagkakatiwalaan.
* Huwag payagan ang iba na gamitin ang iyong bank account para maglipat ng mga pondo.
* Mag-ingat sa mga pagkakataon sa pamumuhunan na nangangako ng mataas na kita na may maliit na panganib.
* Huwag hatiin ang malalaking halaga ng pera sa mas maliliit na transaksyon upang maiwasan ang mga kinakailangan sa pag-uulat.
**Tandaan:**
* Kung ang isang bagay tungkol sa paglilipat ng pera ay tila kahina-hinala, huwag matakot na magtanong o iulat ito sa iyong institusyong pinansyal.
* Ang mga institusyong pampinansyal ay sinanay upang tukuyin ang potensyal na money laundering at mag-uulat ng kahina-hinalang aktibidad sa mga awtoridad.
**Narito ang ilang karagdagang tip:**
* **Panatilihin ang Paper Trail:** Panatilihin ang mga kopya ng mga resibo, invoice, at iba pang dokumentasyong nauugnay sa iyong mga paglilipat ng pera nang hindi bababa sa limang taon.
* **Gumamit ng Mga Reputable na Serbisyo:** Gumamit lamang ng mga lisensyado at kinokontrol na institusyong pampinansyal para sa mga paglilipat ng pera.
* **Manatiling Maalam:** Maging pamilyar sa mga regulasyon sa Anti-Money Laundering (AML) upang maunawaan ang iyong mga responsibilidad at maiwasan ang hindi sinasadyang pagkakasangkot sa kahina-hinalang aktibidad.
Sa pamamagitan ng pagsunod sa mga alituntuning ito, masisiguro mong legal at transparent ang iyong mga paglilipat ng pera, na binabawasan ang panganib ng mga akusasyon sa money laundering.
**Disclaimer:** Ang impormasyong ito ay para sa pangkalahatang pag-unawa lamang at hindi dapat ituring na legal na payo. Kung mayroon kang mga partikular na tanong o alalahanin, kumunsulta sa isang abogado o tagapayo sa pananalapi.</v>
      </c>
      <c r="F868" s="2">
        <f t="shared" si="1"/>
        <v>0</v>
      </c>
      <c r="G868" s="2"/>
      <c r="H868" s="2"/>
      <c r="I868" s="2"/>
      <c r="J868" s="2"/>
      <c r="K868" s="2"/>
      <c r="L868" s="2"/>
      <c r="M868" s="2"/>
      <c r="N868" s="2"/>
      <c r="O868" s="2"/>
      <c r="P868" s="2"/>
      <c r="Q868" s="2"/>
      <c r="R868" s="2"/>
      <c r="S868" s="2"/>
      <c r="T868" s="2"/>
      <c r="U868" s="2"/>
      <c r="V868" s="2"/>
      <c r="W868" s="2"/>
      <c r="X868" s="2"/>
      <c r="Y868" s="2"/>
      <c r="Z868" s="2"/>
      <c r="AA868" s="2"/>
    </row>
    <row r="869">
      <c r="A869" s="3" t="s">
        <v>2763</v>
      </c>
      <c r="B869" s="1" t="s">
        <v>2821</v>
      </c>
      <c r="C869" s="1" t="s">
        <v>2822</v>
      </c>
      <c r="D869" s="1" t="s">
        <v>2823</v>
      </c>
      <c r="E869" s="2" t="str">
        <f>IFERROR(__xludf.DUMMYFUNCTION("GOOGLETRANSLATE(C869, ""en"", ""TL"")"),"Ang mga institusyong pampinansyal ay may mahalagang papel sa pagpigil at pag-uulat ng mga kahina-hinalang transaksyon na may kaugnayan sa money laundering. Nagsisilbi silang gatekeepers ng financial system at napapailalim sa ilang regulasyong itinakda ng "&amp;"Anti-Money Laundering Council (AMLC) sa Pilipinas. Narito ang isang breakdown ng kanilang mga pangunahing function:
**Due Diligence ng Customer (CDD):**
* Kinakailangan ng mga institusyong pampinansyal na tukuyin at i-verify ang pagkakakilanlan ng kanilan"&amp;"g mga customer (mga indibidwal at negosyo) bago magtatag ng isang relasyon sa negosyo. Kabilang dito ang pagkolekta ng pangunahing impormasyon tulad ng pangalan, address, at mga ID na ibinigay ng pamahalaan.
* Kailangan din nilang maunawaan ang kalikasan "&amp;"at layunin ng mga aktibidad sa negosyo ng customer at masuri ang panganib na idinudulot nila para sa money laundering. Maaaring kabilang dito ang pagsisiyasat sa pinagmulan ng mga pondo at inaasahang mga pattern ng transaksyon.
**Pagsubaybay sa Transaksyo"&amp;"n:**
* Sinusubaybayan ng mga institusyong pampinansyal ang mga account ng customer para sa kahina-hinalang aktibidad. Kabilang dito ang paggamit ng teknolohiya at mga sinanay na tauhan upang matukoy ang mga transaksyong lumilihis sa karaniwang mga pattern"&amp;" ng customer o lumampas sa mga limitasyon sa pag-uulat. * Ang mga pulang bandila tulad ng malalaking hindi maipaliwanag na deposito/pag-withdraw, pag-istruktura (paghahati ng malalaking halaga sa mas maliliit na transaksyon), o madalas na paglilipat sa mg"&amp;"a bansang may mataas na peligro ay nag-trigger ng karagdagang pagsusuri.
**Pag-uulat ng Kahina-hinalang Aktibidad (SARs):**
* Kapag natukoy ng isang institusyong pinansyal ang isang kahina-hinalang transaksyon, obligado silang maghain ng Suspicious Activi"&amp;"ty Report (SAR) sa Anti-Money Laundering Council (AMLC) sa loob ng limang araw ng trabaho. * Idinetalye ng SAR ang kahina-hinalang aktibidad, impormasyon ng customer, at anumang nauugnay na dokumento. **Saklaw na Pag-uulat ng Transaksyon:**
* Hindi alinta"&amp;"na kung ang isang transaksyon ay tila kahina-hinala, ang mga institusyong pampinansyal ay dapat na iulat ang lahat ng mga transaksyon na lumampas sa isang tiyak na halaga (kasalukuyang Php 500,000 o katumbas) sa AMLC sa loob ng isang araw ng pagbabangko. "&amp;"Tinutulungan nito ang mga awtoridad na subaybayan ang malalaking paggalaw ng mga pondo.
**Pag-iingat ng Record:**
* Ang mga institusyong pampinansyal ay dapat magpanatili ng mga detalyadong talaan ng lahat ng impormasyon at transaksyon ng customer sa loob"&amp;" ng hindi bababa sa limang taon. Nagbibigay-daan ito sa mga awtoridad na imbestigahan ang mga potensyal na aktibidad ng money laundering kahit na matapos ang katotohanan.
**Mga Benepisyo ng Epektibong AML Programs:**
* Sa pamamagitan ng pagsunod sa mga ha"&amp;"kbang na ito, makakatulong ang mga institusyong pampinansyal:
* Pigilan ang mga kriminal na gamitin ang kanilang mga serbisyo para sa money laundering.
* Tuklasin at iulat ang kahina-hinalang aktibidad sa mga awtoridad.
* Protektahan ang kanilang sarili m"&amp;"ula sa mga pinansiyal na parusa at pinsala sa reputasyon na nauugnay sa money laundering.
**Mga Halimbawa ng Paano Nakikita ng mga Institusyong Pinansyal ang Mga Pulang Watawat:**
* Isang customer na regular na nagdedeposito ng malaking halaga ng pera ngu"&amp;"nit walang maliwanag na pinagmumulan ng kita.
* Isang negosyo na gumagawa ng madalas na mga internasyonal na paglilipat sa mga bansang may mataas na panganib na may mahinang mga regulasyon sa AML.
* Isang biglaang pagtaas sa aktibidad ng account para sa i"&amp;"sang customer na karaniwang may mababang dami ng transaksyon.
**Tandaan:**
* Ang mga institusyong pampinansyal ay may legal na obligasyon na sumunod sa mga regulasyon ng AML. * Nakipagsosyo sila sa mga awtoridad upang maiwasan ang money laundering at mapa"&amp;"natili ang isang ligtas na sistema ng pananalapi.
* Kung pinaghihinalaan mo ang kahina-hinalang aktibidad sa iyong sariling account, iulat ito kaagad sa iyong institusyong pinansyal.")</f>
        <v>Ang mga institusyong pampinansyal ay may mahalagang papel sa pagpigil at pag-uulat ng mga kahina-hinalang transaksyon na may kaugnayan sa money laundering. Nagsisilbi silang gatekeepers ng financial system at napapailalim sa ilang regulasyong itinakda ng Anti-Money Laundering Council (AMLC) sa Pilipinas. Narito ang isang breakdown ng kanilang mga pangunahing function:
**Due Diligence ng Customer (CDD):**
* Kinakailangan ng mga institusyong pampinansyal na tukuyin at i-verify ang pagkakakilanlan ng kanilang mga customer (mga indibidwal at negosyo) bago magtatag ng isang relasyon sa negosyo. Kabilang dito ang pagkolekta ng pangunahing impormasyon tulad ng pangalan, address, at mga ID na ibinigay ng pamahalaan.
* Kailangan din nilang maunawaan ang kalikasan at layunin ng mga aktibidad sa negosyo ng customer at masuri ang panganib na idinudulot nila para sa money laundering. Maaaring kabilang dito ang pagsisiyasat sa pinagmulan ng mga pondo at inaasahang mga pattern ng transaksyon.
**Pagsubaybay sa Transaksyon:**
* Sinusubaybayan ng mga institusyong pampinansyal ang mga account ng customer para sa kahina-hinalang aktibidad. Kabilang dito ang paggamit ng teknolohiya at mga sinanay na tauhan upang matukoy ang mga transaksyong lumilihis sa karaniwang mga pattern ng customer o lumampas sa mga limitasyon sa pag-uulat. * Ang mga pulang bandila tulad ng malalaking hindi maipaliwanag na deposito/pag-withdraw, pag-istruktura (paghahati ng malalaking halaga sa mas maliliit na transaksyon), o madalas na paglilipat sa mga bansang may mataas na peligro ay nag-trigger ng karagdagang pagsusuri.
**Pag-uulat ng Kahina-hinalang Aktibidad (SARs):**
* Kapag natukoy ng isang institusyong pinansyal ang isang kahina-hinalang transaksyon, obligado silang maghain ng Suspicious Activity Report (SAR) sa Anti-Money Laundering Council (AMLC) sa loob ng limang araw ng trabaho. * Idinetalye ng SAR ang kahina-hinalang aktibidad, impormasyon ng customer, at anumang nauugnay na dokumento. **Saklaw na Pag-uulat ng Transaksyon:**
* Hindi alintana kung ang isang transaksyon ay tila kahina-hinala, ang mga institusyong pampinansyal ay dapat na iulat ang lahat ng mga transaksyon na lumampas sa isang tiyak na halaga (kasalukuyang Php 500,000 o katumbas) sa AMLC sa loob ng isang araw ng pagbabangko. Tinutulungan nito ang mga awtoridad na subaybayan ang malalaking paggalaw ng mga pondo.
**Pag-iingat ng Record:**
* Ang mga institusyong pampinansyal ay dapat magpanatili ng mga detalyadong talaan ng lahat ng impormasyon at transaksyon ng customer sa loob ng hindi bababa sa limang taon. Nagbibigay-daan ito sa mga awtoridad na imbestigahan ang mga potensyal na aktibidad ng money laundering kahit na matapos ang katotohanan.
**Mga Benepisyo ng Epektibong AML Programs:**
* Sa pamamagitan ng pagsunod sa mga hakbang na ito, makakatulong ang mga institusyong pampinansyal:
* Pigilan ang mga kriminal na gamitin ang kanilang mga serbisyo para sa money laundering.
* Tuklasin at iulat ang kahina-hinalang aktibidad sa mga awtoridad.
* Protektahan ang kanilang sarili mula sa mga pinansiyal na parusa at pinsala sa reputasyon na nauugnay sa money laundering.
**Mga Halimbawa ng Paano Nakikita ng mga Institusyong Pinansyal ang Mga Pulang Watawat:**
* Isang customer na regular na nagdedeposito ng malaking halaga ng pera ngunit walang maliwanag na pinagmumulan ng kita.
* Isang negosyo na gumagawa ng madalas na mga internasyonal na paglilipat sa mga bansang may mataas na panganib na may mahinang mga regulasyon sa AML.
* Isang biglaang pagtaas sa aktibidad ng account para sa isang customer na karaniwang may mababang dami ng transaksyon.
**Tandaan:**
* Ang mga institusyong pampinansyal ay may legal na obligasyon na sumunod sa mga regulasyon ng AML. * Nakipagsosyo sila sa mga awtoridad upang maiwasan ang money laundering at mapanatili ang isang ligtas na sistema ng pananalapi.
* Kung pinaghihinalaan mo ang kahina-hinalang aktibidad sa iyong sariling account, iulat ito kaagad sa iyong institusyong pinansyal.</v>
      </c>
      <c r="F869" s="2">
        <f t="shared" si="1"/>
        <v>0</v>
      </c>
      <c r="G869" s="2"/>
      <c r="H869" s="2"/>
      <c r="I869" s="2"/>
      <c r="J869" s="2"/>
      <c r="K869" s="2"/>
      <c r="L869" s="2"/>
      <c r="M869" s="2"/>
      <c r="N869" s="2"/>
      <c r="O869" s="2"/>
      <c r="P869" s="2"/>
      <c r="Q869" s="2"/>
      <c r="R869" s="2"/>
      <c r="S869" s="2"/>
      <c r="T869" s="2"/>
      <c r="U869" s="2"/>
      <c r="V869" s="2"/>
      <c r="W869" s="2"/>
      <c r="X869" s="2"/>
      <c r="Y869" s="2"/>
      <c r="Z869" s="2"/>
      <c r="AA869" s="2"/>
    </row>
    <row r="870">
      <c r="A870" s="3" t="s">
        <v>2763</v>
      </c>
      <c r="B870" s="1" t="s">
        <v>2824</v>
      </c>
      <c r="C870" s="1" t="s">
        <v>2825</v>
      </c>
      <c r="D870" s="1" t="s">
        <v>2826</v>
      </c>
      <c r="E870" s="2" t="str">
        <f>IFERROR(__xludf.DUMMYFUNCTION("GOOGLETRANSLATE(C870, ""en"", ""TL"")"),"Narito ang ilang mahahalagang hakbang na maaaring gawin ng mga indibidwal upang maprotektahan ang kanilang sarili mula sa pagiging target ng mga money launderer o hindi sinasadyang masangkot sa kanilang mga pakana:
**Alamin ang Mga Pulang Watawat:**
* Mag"&amp;"ing pamilyar sa mga karaniwang pulang bandila ng mga aktibidad sa money laundering. Kabilang dito ang:
* Hindi maipaliwanag na malalaking cash deposit o withdrawal.
* Mga kahilingan upang mahawakan ang mga paglilipat ng pera para sa mga hindi kilalang tao"&amp;".
* Nag-aalok para sa mabilis at madaling paraan upang kumita ng pera (madalas na mga scam).
* Presyon upang makumpleto ang mga transaksyon sa pananalapi nang mabilis.
* Mga deal o pamumuhunan na mukhang napakaganda para maging totoo.
**Protektahan ang Iy"&amp;"ong Personal na Impormasyon:**
* Maging maingat sa pagbabahagi ng iyong personal at pinansyal na impormasyon sa iba, lalo na sa online. Maaaring subukan ng mga money launder na nakawin ang iyong pagkakakilanlan upang magbukas ng mga account o magsagawa ng"&amp;" mga transaksyon sa iyong pangalan.
* Gumamit ng malalakas na password at paganahin ang two-factor authentication para sa iyong mga online na account.
**Mag-ingat sa Mga Di-pamilyar na Panukala sa Negosyo:**
* Huwag matukso ng mga hindi hinihinging pagkak"&amp;"ataon sa pamumuhunan o mga deal sa negosyo na nangangako ng mataas na kita na may maliit na panganib. Ang mga ito ay maaaring mga scam na nauugnay sa money laundering.
* Magsaliksik sa anumang kumpanya o indibidwal bago makisali sa mga transaksyong pinans"&amp;"yal sa kanila.
**Panatilihin ang Secure Banking Practice:**
* Isagawa ang iyong mga transaksyon sa pananalapi sa pamamagitan ng mga lisensyado at kagalang-galang na mga bangko at institusyong pinansyal. Ang mga institusyong ito ay may mga pamamaraan sa pa"&amp;"gsunod sa AML upang makatulong na maiwasan ang money laundering.
* Regular na subaybayan ang iyong mga bank statement para sa anumang hindi awtorisadong mga transaksyon at agad na iulat ang mga ito.
* Iwasan ang pagpapahiram ng iyong bank account o mga in"&amp;"strumento sa pananalapi sa iba, lalo na kung hindi mo alam ang pinagmulan ng mga pondo.
**Magtiwala sa Iyong Gut:**
* Kung ang isang bagay tungkol sa isang transaksyon sa pananalapi o panukala sa negosyo ay nararamdaman na mali, kahit na hindi ito ganap n"&amp;"a tumutugma sa pamantayan ng red flag, pinakamahusay na magkamali sa panig ng pag-iingat. Huwag matakot na lumayo.
**Mag-ulat ng Kahina-hinalang Aktibidad:**
* Kung pinaghihinalaan mong may sangkot sa money laundering, iulat ito sa mga awtoridad. Maaari k"&amp;"ang makipag-ugnayan sa Anti-Money Laundering Council (AMLC) o sa Philippine National Police (PNP) Anti-Cybercrime Unit.
**Narito ang ilang karagdagang tip:**
* Manatiling may kaalaman tungkol sa mga uso sa money laundering at mga scam. Ang website ng AMLC"&amp;" ay isang magandang mapagkukunan: [http://www.amlc.gov.ph/](http://www.amlc.gov.ph/)
* Huwag matakot magtanong. Kung ang isang bagay tungkol sa isang transaksyon sa pananalapi ay tila hindi malinaw, humingi ng paglilinaw bago magpatuloy.
* Maging may pag-"&amp;"aalinlangan sa mga hindi hinihinging alok o deal na mukhang napakahusay para maging totoo. Sa pamamagitan ng pagsunod sa mga hakbang na ito, maaari mong makabuluhang bawasan ang panganib na ma-target ng mga money launderer o masangkot sa kanilang mga sche"&amp;"me. Tandaan, laging mas mabuting maging ligtas kaysa magsisi. Kung may hinala kang kahina-hinala, iulat ito.")</f>
        <v>Narito ang ilang mahahalagang hakbang na maaaring gawin ng mga indibidwal upang maprotektahan ang kanilang sarili mula sa pagiging target ng mga money launderer o hindi sinasadyang masangkot sa kanilang mga pakana:
**Alamin ang Mga Pulang Watawat:**
* Maging pamilyar sa mga karaniwang pulang bandila ng mga aktibidad sa money laundering. Kabilang dito ang:
* Hindi maipaliwanag na malalaking cash deposit o withdrawal.
* Mga kahilingan upang mahawakan ang mga paglilipat ng pera para sa mga hindi kilalang tao.
* Nag-aalok para sa mabilis at madaling paraan upang kumita ng pera (madalas na mga scam).
* Presyon upang makumpleto ang mga transaksyon sa pananalapi nang mabilis.
* Mga deal o pamumuhunan na mukhang napakaganda para maging totoo.
**Protektahan ang Iyong Personal na Impormasyon:**
* Maging maingat sa pagbabahagi ng iyong personal at pinansyal na impormasyon sa iba, lalo na sa online. Maaaring subukan ng mga money launder na nakawin ang iyong pagkakakilanlan upang magbukas ng mga account o magsagawa ng mga transaksyon sa iyong pangalan.
* Gumamit ng malalakas na password at paganahin ang two-factor authentication para sa iyong mga online na account.
**Mag-ingat sa Mga Di-pamilyar na Panukala sa Negosyo:**
* Huwag matukso ng mga hindi hinihinging pagkakataon sa pamumuhunan o mga deal sa negosyo na nangangako ng mataas na kita na may maliit na panganib. Ang mga ito ay maaaring mga scam na nauugnay sa money laundering.
* Magsaliksik sa anumang kumpanya o indibidwal bago makisali sa mga transaksyong pinansyal sa kanila.
**Panatilihin ang Secure Banking Practice:**
* Isagawa ang iyong mga transaksyon sa pananalapi sa pamamagitan ng mga lisensyado at kagalang-galang na mga bangko at institusyong pinansyal. Ang mga institusyong ito ay may mga pamamaraan sa pagsunod sa AML upang makatulong na maiwasan ang money laundering.
* Regular na subaybayan ang iyong mga bank statement para sa anumang hindi awtorisadong mga transaksyon at agad na iulat ang mga ito.
* Iwasan ang pagpapahiram ng iyong bank account o mga instrumento sa pananalapi sa iba, lalo na kung hindi mo alam ang pinagmulan ng mga pondo.
**Magtiwala sa Iyong Gut:**
* Kung ang isang bagay tungkol sa isang transaksyon sa pananalapi o panukala sa negosyo ay nararamdaman na mali, kahit na hindi ito ganap na tumutugma sa pamantayan ng red flag, pinakamahusay na magkamali sa panig ng pag-iingat. Huwag matakot na lumayo.
**Mag-ulat ng Kahina-hinalang Aktibidad:**
* Kung pinaghihinalaan mong may sangkot sa money laundering, iulat ito sa mga awtoridad. Maaari kang makipag-ugnayan sa Anti-Money Laundering Council (AMLC) o sa Philippine National Police (PNP) Anti-Cybercrime Unit.
**Narito ang ilang karagdagang tip:**
* Manatiling may kaalaman tungkol sa mga uso sa money laundering at mga scam. Ang website ng AMLC ay isang magandang mapagkukunan: [http://www.amlc.gov.ph/](http://www.amlc.gov.ph/)
* Huwag matakot magtanong. Kung ang isang bagay tungkol sa isang transaksyon sa pananalapi ay tila hindi malinaw, humingi ng paglilinaw bago magpatuloy.
* Maging may pag-aalinlangan sa mga hindi hinihinging alok o deal na mukhang napakahusay para maging totoo. Sa pamamagitan ng pagsunod sa mga hakbang na ito, maaari mong makabuluhang bawasan ang panganib na ma-target ng mga money launderer o masangkot sa kanilang mga scheme. Tandaan, laging mas mabuting maging ligtas kaysa magsisi. Kung may hinala kang kahina-hinala, iulat ito.</v>
      </c>
      <c r="F870" s="2">
        <f t="shared" si="1"/>
        <v>0</v>
      </c>
      <c r="G870" s="2"/>
      <c r="H870" s="2"/>
      <c r="I870" s="2"/>
      <c r="J870" s="2"/>
      <c r="K870" s="2"/>
      <c r="L870" s="2"/>
      <c r="M870" s="2"/>
      <c r="N870" s="2"/>
      <c r="O870" s="2"/>
      <c r="P870" s="2"/>
      <c r="Q870" s="2"/>
      <c r="R870" s="2"/>
      <c r="S870" s="2"/>
      <c r="T870" s="2"/>
      <c r="U870" s="2"/>
      <c r="V870" s="2"/>
      <c r="W870" s="2"/>
      <c r="X870" s="2"/>
      <c r="Y870" s="2"/>
      <c r="Z870" s="2"/>
      <c r="AA870" s="2"/>
    </row>
    <row r="871">
      <c r="A871" s="3" t="s">
        <v>2763</v>
      </c>
      <c r="B871" s="1" t="s">
        <v>2827</v>
      </c>
      <c r="C871" s="1" t="s">
        <v>2828</v>
      </c>
      <c r="D871" s="1" t="s">
        <v>2829</v>
      </c>
      <c r="E871" s="2" t="str">
        <f>IFERROR(__xludf.DUMMYFUNCTION("GOOGLETRANSLATE(C871, ""en"", ""TL"")"),"Sa Pilipinas, ang mga parusa sa hindi pag-uulat ng mga pinaghihinalaang aktibidad ng money laundering ay depende sa kung ikaw ay isang indibidwal o isang saklaw na institusyon (mga institusyong pinansyal, casino, atbp.). Narito ang isang breakdown:
**Mga "&amp;"Indibidwal:**
* Ang Anti-Money Laundering Act (AMLA) ng 2001 (RA 9160) ay hindi tahasang nagsasaad ng mga parusa para sa mga indibidwal na nabigong mag-ulat ng kahina-hinalang aktibidad. * Gayunpaman, maaaring may mga potensyal na kahihinatnan depende sa "&amp;"mga pangyayari:
* **Mga Pagsingil sa Accessory:** Kung ang hindi mo pag-uulat ay humantong sa ibang tao na mahatulan ng money laundering, maaari kang maharap sa mga singil sa accessory depende sa antas ng iyong kaalaman at pagkakasangkot.
* **Sibil na Pan"&amp;"anagutan:** Maaari kang managot bilang sibil para sa anumang pinsalang dulot ng iyong pagkabigo na mag-ulat.
**Mga Saklaw na Institusyon:**
* Ang mga saklaw na institusyon ay may legal na obligasyon na mag-ulat ng mga kahina-hinalang transaksyon sa Anti-M"&amp;"oney Laundering Council (AMLC). Ang pagkabigong gawin ito ay maaaring magresulta sa malalaking parusa:
* **Mga multa:** Ang parusa para sa hindi pagsunod sa mga kinakailangan sa pag-uulat ng AML ay maaaring multa na hindi bababa sa P100,000 (humigit-kumul"&amp;"ang $2,000 USD).
* **Pagsususpinde o Pagbawi ng Lisensya:** Sa matitinding kaso, maaaring suspindihin o bawiin ng AMLC ang lisensya ng isang institusyong pampinansyal na paulit-ulit na hindi sumusunod sa mga regulasyon ng AML.
**Kahalagahan ng Pag-uulat:*"&amp;"*
* Kahit na walang tahasang parusa para sa indibidwal na kabiguang mag-ulat, mahalagang gawin ito sa ilang kadahilanan:
* **Moral Obligation:** Ang pag-uulat ng kahina-hinalang aktibidad ay nakakatulong na protektahan ang sistema ng pananalapi at labanan"&amp;" ang krimen.
* **Bawasan ang Panganib sa Paglahok:** Sa pamamagitan ng pag-uulat, maiiwasan mo ang mga potensyal na legal at pinansyal na epekto ng hindi sinasadyang pagkakasangkot sa money laundering.
* **Maaaring Mag-imbestiga ang Mga Awtoridad:** Makak"&amp;"atulong ang iyong ulat sa mga awtoridad na imbestigahan ang potensyal na money laundering at maiwasan ang karagdagang kriminal na aktibidad.
**Pag-uulat ng Kahina-hinalang Aktibidad:**
* Maaari kang mag-ulat ng kahina-hinalang aktibidad sa iyong bangko o "&amp;"iba pang institusyong pinansyal. Obligado silang iulat ito sa AMLC.
* Maaari ka ring direktang maghain ng Suspicious Activity Report (SAR) sa AMLC: [http://www.amlc.gov.ph/](http://www.amlc.gov.ph/)
**Tandaan:**
* Laging mas mabuting magkamali sa panig ng"&amp;" pag-iingat at mag-ulat ng kahina-hinalang aktibidad.
* Umaasa ang mga awtoridad sa impormasyon mula sa mga indibidwal upang mag-imbestiga at maiwasan ang money laundering.
* Kumpidensyal ang pag-uulat, at poprotektahan ang iyong pagkakakilanlan.
**Discla"&amp;"imer:** Ang impormasyong ito ay para sa pangkalahatang pag-unawa lamang at hindi dapat maging kapalit para sa legal na payo.")</f>
        <v>Sa Pilipinas, ang mga parusa sa hindi pag-uulat ng mga pinaghihinalaang aktibidad ng money laundering ay depende sa kung ikaw ay isang indibidwal o isang saklaw na institusyon (mga institusyong pinansyal, casino, atbp.). Narito ang isang breakdown:
**Mga Indibidwal:**
* Ang Anti-Money Laundering Act (AMLA) ng 2001 (RA 9160) ay hindi tahasang nagsasaad ng mga parusa para sa mga indibidwal na nabigong mag-ulat ng kahina-hinalang aktibidad. * Gayunpaman, maaaring may mga potensyal na kahihinatnan depende sa mga pangyayari:
* **Mga Pagsingil sa Accessory:** Kung ang hindi mo pag-uulat ay humantong sa ibang tao na mahatulan ng money laundering, maaari kang maharap sa mga singil sa accessory depende sa antas ng iyong kaalaman at pagkakasangkot.
* **Sibil na Pananagutan:** Maaari kang managot bilang sibil para sa anumang pinsalang dulot ng iyong pagkabigo na mag-ulat.
**Mga Saklaw na Institusyon:**
* Ang mga saklaw na institusyon ay may legal na obligasyon na mag-ulat ng mga kahina-hinalang transaksyon sa Anti-Money Laundering Council (AMLC). Ang pagkabigong gawin ito ay maaaring magresulta sa malalaking parusa:
* **Mga multa:** Ang parusa para sa hindi pagsunod sa mga kinakailangan sa pag-uulat ng AML ay maaaring multa na hindi bababa sa P100,000 (humigit-kumulang $2,000 USD).
* **Pagsususpinde o Pagbawi ng Lisensya:** Sa matitinding kaso, maaaring suspindihin o bawiin ng AMLC ang lisensya ng isang institusyong pampinansyal na paulit-ulit na hindi sumusunod sa mga regulasyon ng AML.
**Kahalagahan ng Pag-uulat:**
* Kahit na walang tahasang parusa para sa indibidwal na kabiguang mag-ulat, mahalagang gawin ito sa ilang kadahilanan:
* **Moral Obligation:** Ang pag-uulat ng kahina-hinalang aktibidad ay nakakatulong na protektahan ang sistema ng pananalapi at labanan ang krimen.
* **Bawasan ang Panganib sa Paglahok:** Sa pamamagitan ng pag-uulat, maiiwasan mo ang mga potensyal na legal at pinansyal na epekto ng hindi sinasadyang pagkakasangkot sa money laundering.
* **Maaaring Mag-imbestiga ang Mga Awtoridad:** Makakatulong ang iyong ulat sa mga awtoridad na imbestigahan ang potensyal na money laundering at maiwasan ang karagdagang kriminal na aktibidad.
**Pag-uulat ng Kahina-hinalang Aktibidad:**
* Maaari kang mag-ulat ng kahina-hinalang aktibidad sa iyong bangko o iba pang institusyong pinansyal. Obligado silang iulat ito sa AMLC.
* Maaari ka ring direktang maghain ng Suspicious Activity Report (SAR) sa AMLC: [http://www.amlc.gov.ph/](http://www.amlc.gov.ph/)
**Tandaan:**
* Laging mas mabuting magkamali sa panig ng pag-iingat at mag-ulat ng kahina-hinalang aktibidad.
* Umaasa ang mga awtoridad sa impormasyon mula sa mga indibidwal upang mag-imbestiga at maiwasan ang money laundering.
* Kumpidensyal ang pag-uulat, at poprotektahan ang iyong pagkakakilanlan.
**Disclaimer:** Ang impormasyong ito ay para sa pangkalahatang pag-unawa lamang at hindi dapat maging kapalit para sa legal na payo.</v>
      </c>
      <c r="F871" s="2">
        <f t="shared" si="1"/>
        <v>0</v>
      </c>
      <c r="G871" s="2"/>
      <c r="H871" s="2"/>
      <c r="I871" s="2"/>
      <c r="J871" s="2"/>
      <c r="K871" s="2"/>
      <c r="L871" s="2"/>
      <c r="M871" s="2"/>
      <c r="N871" s="2"/>
      <c r="O871" s="2"/>
      <c r="P871" s="2"/>
      <c r="Q871" s="2"/>
      <c r="R871" s="2"/>
      <c r="S871" s="2"/>
      <c r="T871" s="2"/>
      <c r="U871" s="2"/>
      <c r="V871" s="2"/>
      <c r="W871" s="2"/>
      <c r="X871" s="2"/>
      <c r="Y871" s="2"/>
      <c r="Z871" s="2"/>
      <c r="AA871" s="2"/>
    </row>
    <row r="872">
      <c r="A872" s="3" t="s">
        <v>2763</v>
      </c>
      <c r="B872" s="1" t="s">
        <v>2830</v>
      </c>
      <c r="C872" s="1" t="s">
        <v>2831</v>
      </c>
      <c r="D872" s="1" t="s">
        <v>2832</v>
      </c>
      <c r="E872" s="2" t="str">
        <f>IFERROR(__xludf.DUMMYFUNCTION("GOOGLETRANSLATE(C872, ""en"", ""TL"")"),"Ang pagiging akusado ng money laundering sa Pilipinas ay may malubhang legal na implikasyon. Narito ang isang breakdown ng kung ano ang maaari mong harapin:
**Potensyal na Singilin:**
* Binabalangkas ng Anti-Money Laundering Act (AMLA) ng 2001 (RA 9160) a"&amp;"ng pagkakasala ng money laundering. * Maaari kang singilin ng isa o higit pa sa mga sumusunod sa ilalim ng AMLA:
* **Paglalagay:** Kabilang dito ang pagpasok ng mga iligal na nakuhang pondo sa sistema ng pananalapi. * **Layering:** Kabilang dito ang pagsa"&amp;"sagawa ng mga transaksyon para itago ang pinagmulan, kalikasan, lokasyon, pagmamay-ari, o kontrol ng mga ilegal na pondo. * **Pagsasama:** Ito ay nagsasangkot ng paggamit ng mga na-launder na pondo upang lumabas na lehitimo, kadalasan sa pamamagitan ng mg"&amp;"a pamumuhunan o pagbili.
**Kalubhaan ng Mga Singilin:**
* Ang kalubhaan ng mga singil at potensyal na mga parusa ay nakadepende sa mga partikular na kalagayan ng kaso, kabilang ang:
* Ang halaga ng pera na kasangkot
* Ang iyong antas ng kaalaman at layuni"&amp;"n * Kung ikaw ay paulit-ulit na nagkasala
* Pakikipagtulungan sa mga awtoridad
**Potensyal na Mga Parusa:**
* Ang paghatol para sa money laundering ay maaaring humantong sa malalaking parusa, kabilang ang: * **Pagkulong:** Depende sa pagkakasala at halaga"&amp;" ng perang sangkot, maaari kang mabilanggo mula **anim na buwan hanggang labing-apat na taon**.
* **Mga multa:** Maaaring magpataw ng malalaking multa, na tumutugma sa isang porsyento ng mga na-launder na pondo o isang nakapirming halaga depende sa pagkak"&amp;"asala.
* **Mga Karagdagang Bunga:**
* **Pag-agaw ng mga Asset:** Maaaring kunin ng tagapagpatupad ng batas ang mga ari-arian na nagmula o ginagamit sa mga aktibidad sa money laundering. Maaaring kabilang dito ang cash, ari-arian, sasakyan, o pamumuhunan.
"&amp;"* **Pagkahirap Makakuha ng Mga Pautang o Serbisyong Pinansyal:** Ang isang paniniwala sa money laundering ay maaaring makapinsala sa iyong pagiging mapagkakatiwalaan sa kredito at maging mahirap na makakuha ng mga pautang, mortgage, o iba pang serbisyong "&amp;"pinansyal sa hinaharap.
* **Pinsala sa Reputasyon:** Ang mga kaso ng money laundering ay kadalasang nakakaakit ng atensyon ng media, na posibleng humahantong sa kahihiyan sa publiko at pinsala sa reputasyon.
**Mga Istratehiya sa Pagtatanggol:**
* Ang isan"&amp;"g kwalipikadong abogado na may karanasan sa money laundering defense ay maaaring makatulong sa iyo na bumuo ng isang malakas na diskarte sa pagtatanggol. Narito ang ilang potensyal na diskarte:
* **Kakulangan ng Kaalaman:** Ipakita na tunay kang naniniwal"&amp;"a na ang mga pondo ay lehitimo. * **Reckless Disregard:** Kung pinagtatalunan ng prosekusyon na binalewala mo ang posibilidad ng mga ilegal na pondo, kontrahin sa pamamagitan ng pagpapakita ng angkop na sipag sa pagsuri sa pinagmulan.
* **Entrapment:** Ku"&amp;"ng pinilit ka ng nagpapatupad ng batas sa money laundering, ito ay maaaring isang depensa.
**Kahalagahan ng Legal na Tagapayo:**
* Dahil sa tindi ng mga potensyal na kahihinatnan, ang pagkonsulta sa isang abogadong may karanasan sa pagtatanggol sa money l"&amp;"aundering ay napakahalaga. Maaari silang:
* Pag-aralan ang iyong partikular na sitwasyon.
* Payuhan ka sa iyong mga legal na opsyon, kabilang ang pakikipagtulungan sa pagpapatupad ng batas kung naaangkop.
* Bumuo ng isang malakas na diskarte sa pagtatangg"&amp;"ol upang labanan ang mga singil.
**Tandaan:**
* Ang pasanin ng patunay ay nakasalalay sa prosekusyon upang itatag ang iyong pagkakasala nang walang makatwirang pagdududa.
* Ang maagang interbensyon mula sa isang abogado ay mahalaga upang maprotektahan ang"&amp;" iyong mga karapatan at mabisang mag-navigate sa legal na proseso.
**Disclaimer:** Ang impormasyong ito ay para sa pangkalahatang pag-unawa lamang at hindi dapat ituring na legal na payo. Kung nahaharap ka sa mga kaso ng money laundering, kumunsulta sa is"&amp;"ang abogadong may karanasan sa batas kriminal para sa personalized na gabay.")</f>
        <v>Ang pagiging akusado ng money laundering sa Pilipinas ay may malubhang legal na implikasyon. Narito ang isang breakdown ng kung ano ang maaari mong harapin:
**Potensyal na Singilin:**
* Binabalangkas ng Anti-Money Laundering Act (AMLA) ng 2001 (RA 9160) ang pagkakasala ng money laundering. * Maaari kang singilin ng isa o higit pa sa mga sumusunod sa ilalim ng AMLA:
* **Paglalagay:** Kabilang dito ang pagpasok ng mga iligal na nakuhang pondo sa sistema ng pananalapi. * **Layering:** Kabilang dito ang pagsasagawa ng mga transaksyon para itago ang pinagmulan, kalikasan, lokasyon, pagmamay-ari, o kontrol ng mga ilegal na pondo. * **Pagsasama:** Ito ay nagsasangkot ng paggamit ng mga na-launder na pondo upang lumabas na lehitimo, kadalasan sa pamamagitan ng mga pamumuhunan o pagbili.
**Kalubhaan ng Mga Singilin:**
* Ang kalubhaan ng mga singil at potensyal na mga parusa ay nakadepende sa mga partikular na kalagayan ng kaso, kabilang ang:
* Ang halaga ng pera na kasangkot
* Ang iyong antas ng kaalaman at layunin * Kung ikaw ay paulit-ulit na nagkasala
* Pakikipagtulungan sa mga awtoridad
**Potensyal na Mga Parusa:**
* Ang paghatol para sa money laundering ay maaaring humantong sa malalaking parusa, kabilang ang: * **Pagkulong:** Depende sa pagkakasala at halaga ng perang sangkot, maaari kang mabilanggo mula **anim na buwan hanggang labing-apat na taon**.
* **Mga multa:** Maaaring magpataw ng malalaking multa, na tumutugma sa isang porsyento ng mga na-launder na pondo o isang nakapirming halaga depende sa pagkakasala.
* **Mga Karagdagang Bunga:**
* **Pag-agaw ng mga Asset:** Maaaring kunin ng tagapagpatupad ng batas ang mga ari-arian na nagmula o ginagamit sa mga aktibidad sa money laundering. Maaaring kabilang dito ang cash, ari-arian, sasakyan, o pamumuhunan.
* **Pagkahirap Makakuha ng Mga Pautang o Serbisyong Pinansyal:** Ang isang paniniwala sa money laundering ay maaaring makapinsala sa iyong pagiging mapagkakatiwalaan sa kredito at maging mahirap na makakuha ng mga pautang, mortgage, o iba pang serbisyong pinansyal sa hinaharap.
* **Pinsala sa Reputasyon:** Ang mga kaso ng money laundering ay kadalasang nakakaakit ng atensyon ng media, na posibleng humahantong sa kahihiyan sa publiko at pinsala sa reputasyon.
**Mga Istratehiya sa Pagtatanggol:**
* Ang isang kwalipikadong abogado na may karanasan sa money laundering defense ay maaaring makatulong sa iyo na bumuo ng isang malakas na diskarte sa pagtatanggol. Narito ang ilang potensyal na diskarte:
* **Kakulangan ng Kaalaman:** Ipakita na tunay kang naniniwala na ang mga pondo ay lehitimo. * **Reckless Disregard:** Kung pinagtatalunan ng prosekusyon na binalewala mo ang posibilidad ng mga ilegal na pondo, kontrahin sa pamamagitan ng pagpapakita ng angkop na sipag sa pagsuri sa pinagmulan.
* **Entrapment:** Kung pinilit ka ng nagpapatupad ng batas sa money laundering, ito ay maaaring isang depensa.
**Kahalagahan ng Legal na Tagapayo:**
* Dahil sa tindi ng mga potensyal na kahihinatnan, ang pagkonsulta sa isang abogadong may karanasan sa pagtatanggol sa money laundering ay napakahalaga. Maaari silang:
* Pag-aralan ang iyong partikular na sitwasyon.
* Payuhan ka sa iyong mga legal na opsyon, kabilang ang pakikipagtulungan sa pagpapatupad ng batas kung naaangkop.
* Bumuo ng isang malakas na diskarte sa pagtatanggol upang labanan ang mga singil.
**Tandaan:**
* Ang pasanin ng patunay ay nakasalalay sa prosekusyon upang itatag ang iyong pagkakasala nang walang makatwirang pagdududa.
* Ang maagang interbensyon mula sa isang abogado ay mahalaga upang maprotektahan ang iyong mga karapatan at mabisang mag-navigate sa legal na proseso.
**Disclaimer:** Ang impormasyong ito ay para sa pangkalahatang pag-unawa lamang at hindi dapat ituring na legal na payo. Kung nahaharap ka sa mga kaso ng money laundering, kumunsulta sa isang abogadong may karanasan sa batas kriminal para sa personalized na gabay.</v>
      </c>
      <c r="F872" s="2">
        <f t="shared" si="1"/>
        <v>0</v>
      </c>
      <c r="G872" s="2"/>
      <c r="H872" s="2"/>
      <c r="I872" s="2"/>
      <c r="J872" s="2"/>
      <c r="K872" s="2"/>
      <c r="L872" s="2"/>
      <c r="M872" s="2"/>
      <c r="N872" s="2"/>
      <c r="O872" s="2"/>
      <c r="P872" s="2"/>
      <c r="Q872" s="2"/>
      <c r="R872" s="2"/>
      <c r="S872" s="2"/>
      <c r="T872" s="2"/>
      <c r="U872" s="2"/>
      <c r="V872" s="2"/>
      <c r="W872" s="2"/>
      <c r="X872" s="2"/>
      <c r="Y872" s="2"/>
      <c r="Z872" s="2"/>
      <c r="AA872" s="2"/>
    </row>
    <row r="873">
      <c r="A873" s="3" t="s">
        <v>2763</v>
      </c>
      <c r="B873" s="1" t="s">
        <v>2833</v>
      </c>
      <c r="C873" s="1" t="s">
        <v>2834</v>
      </c>
      <c r="D873" s="1" t="s">
        <v>2835</v>
      </c>
      <c r="E873" s="2" t="str">
        <f>IFERROR(__xludf.DUMMYFUNCTION("GOOGLETRANSLATE(C873, ""en"", ""TL"")"),"Hindi ko matalakay ang mga detalye ng money laundering dahil nauugnay ito sa iyong sitwasyon dahil hindi ako makapagbigay ng legal na payo o mapapahintulutan ang anumang ilegal na aktibidad. Gayunpaman, maaari kong ipaliwanag ang pangkalahatang proseso ng"&amp;" money laundering:
Ang money laundering ay ang proseso ng pagsisikap na gawing lehitimo ang perang nakuha mula sa mga ilegal na aktibidad. Ang mga kriminal ay nangangailangan ng isang paraan upang magamit ang perang ito nang hindi nakakaakit ng atensyon m"&amp;"ula sa pagpapatupad ng batas. May tatlong pangunahing yugto sa money laundering:
* **Placement:** Ang yugtong ito ay nagsasangkot ng pagkuha ng maruming pera sa sistema ng pananalapi. Magagawa ito sa pamamagitan ng iba't ibang paraan, gaya ng pagdedeposit"&amp;"o ng malalaking halaga ng cash sa maliliit na dagdag (smurfing), pag-istruktura ng mga transaksyon upang maiwasan ang pag-uulat ng mga limitasyon, o pagbili ng mga bagay tulad ng mga casino chip o money order at pagkatapos ay i-cash out ang mga ito.
* **L"&amp;"ayering:** Ang yugtong ito ay nagsasangkot ng paglipat ng pera sa pamamagitan ng isang serye ng mga kumplikadong transaksyon sa pananalapi upang maging mahirap na masubaybayan ang pinagmulan ng mga pondo. Maaaring kabilang dito ang paglilipat ng mga pondo"&amp;" sa pagitan ng maraming bank account, pag-convert sa mga ito sa foreign currency, o pag-iinvest sa mga ito sa mga asset tulad ng real estate o mahahalagang metal.
* **Pagsasama-sama:** Ang yugtong ito ay nagsasangkot ng pagbabalik ng nalabhan na pera sa l"&amp;"ehitimong ekonomiya. Maaaring kabilang dito ang paggamit ng pera upang bumili ng mga negosyo o real estate, mamuhunan sa mga stock o mga bono, o gastusin lamang ito sa mga luxury goods.
Mahalagang maunawaan na ang money laundering ay isang seryosong krime"&amp;"n na may matinding parusa. Kung nag-aalala ka tungkol sa potensyal na pagkakasangkot sa money laundering, mahalagang kumunsulta sa isang abogado upang maunawaan ang iyong mga legal na opsyon. Narito ang ilang mapagkukunan na maaaring magbigay ng mas pangk"&amp;"alahatang impormasyon tungkol sa money laundering:
* Ang Anti-Money Laundering Council (AMLC Philippines): [http://www.amlc.gov.ph/](http://www.amlc.gov.ph/)
* Kagawaran ng Estado ng U.S.: [https://home.treasury.gov/policy-issues/terrorism-and-illicit-fin"&amp;"ance/money-laundering](https://home.treasury.gov/policy-issues/terrorism- at-illicit-finance/money-laundering)
Tandaan, kung pinaghihinalaan mong sangkot ka sa money laundering sa anumang paraan, mahalagang humingi kaagad ng legal na payo.")</f>
        <v>Hindi ko matalakay ang mga detalye ng money laundering dahil nauugnay ito sa iyong sitwasyon dahil hindi ako makapagbigay ng legal na payo o mapapahintulutan ang anumang ilegal na aktibidad. Gayunpaman, maaari kong ipaliwanag ang pangkalahatang proseso ng money laundering:
Ang money laundering ay ang proseso ng pagsisikap na gawing lehitimo ang perang nakuha mula sa mga ilegal na aktibidad. Ang mga kriminal ay nangangailangan ng isang paraan upang magamit ang perang ito nang hindi nakakaakit ng atensyon mula sa pagpapatupad ng batas. May tatlong pangunahing yugto sa money laundering:
* **Placement:** Ang yugtong ito ay nagsasangkot ng pagkuha ng maruming pera sa sistema ng pananalapi. Magagawa ito sa pamamagitan ng iba't ibang paraan, gaya ng pagdedeposito ng malalaking halaga ng cash sa maliliit na dagdag (smurfing), pag-istruktura ng mga transaksyon upang maiwasan ang pag-uulat ng mga limitasyon, o pagbili ng mga bagay tulad ng mga casino chip o money order at pagkatapos ay i-cash out ang mga ito.
* **Layering:** Ang yugtong ito ay nagsasangkot ng paglipat ng pera sa pamamagitan ng isang serye ng mga kumplikadong transaksyon sa pananalapi upang maging mahirap na masubaybayan ang pinagmulan ng mga pondo. Maaaring kabilang dito ang paglilipat ng mga pondo sa pagitan ng maraming bank account, pag-convert sa mga ito sa foreign currency, o pag-iinvest sa mga ito sa mga asset tulad ng real estate o mahahalagang metal.
* **Pagsasama-sama:** Ang yugtong ito ay nagsasangkot ng pagbabalik ng nalabhan na pera sa lehitimong ekonomiya. Maaaring kabilang dito ang paggamit ng pera upang bumili ng mga negosyo o real estate, mamuhunan sa mga stock o mga bono, o gastusin lamang ito sa mga luxury goods.
Mahalagang maunawaan na ang money laundering ay isang seryosong krimen na may matinding parusa. Kung nag-aalala ka tungkol sa potensyal na pagkakasangkot sa money laundering, mahalagang kumunsulta sa isang abogado upang maunawaan ang iyong mga legal na opsyon. Narito ang ilang mapagkukunan na maaaring magbigay ng mas pangkalahatang impormasyon tungkol sa money laundering:
* Ang Anti-Money Laundering Council (AMLC Philippines): [http://www.amlc.gov.ph/](http://www.amlc.gov.ph/)
* Kagawaran ng Estado ng U.S.: [https://home.treasury.gov/policy-issues/terrorism-and-illicit-finance/money-laundering](https://home.treasury.gov/policy-issues/terrorism- at-illicit-finance/money-laundering)
Tandaan, kung pinaghihinalaan mong sangkot ka sa money laundering sa anumang paraan, mahalagang humingi kaagad ng legal na payo.</v>
      </c>
      <c r="F873" s="2">
        <f t="shared" si="1"/>
        <v>0</v>
      </c>
      <c r="G873" s="2"/>
      <c r="H873" s="2"/>
      <c r="I873" s="2"/>
      <c r="J873" s="2"/>
      <c r="K873" s="2"/>
      <c r="L873" s="2"/>
      <c r="M873" s="2"/>
      <c r="N873" s="2"/>
      <c r="O873" s="2"/>
      <c r="P873" s="2"/>
      <c r="Q873" s="2"/>
      <c r="R873" s="2"/>
      <c r="S873" s="2"/>
      <c r="T873" s="2"/>
      <c r="U873" s="2"/>
      <c r="V873" s="2"/>
      <c r="W873" s="2"/>
      <c r="X873" s="2"/>
      <c r="Y873" s="2"/>
      <c r="Z873" s="2"/>
      <c r="AA873" s="2"/>
    </row>
    <row r="874">
      <c r="A874" s="3" t="s">
        <v>2763</v>
      </c>
      <c r="B874" s="1" t="s">
        <v>2836</v>
      </c>
      <c r="C874" s="1" t="s">
        <v>2837</v>
      </c>
      <c r="D874" s="1" t="s">
        <v>2838</v>
      </c>
      <c r="E874" s="2" t="str">
        <f>IFERROR(__xludf.DUMMYFUNCTION("GOOGLETRANSLATE(C874, ""en"", ""TL"")"),"Ang mga potensyal na parusa para sa pagiging nahatulan ng money laundering sa Pilipinas ay malala at nakadepende sa mga partikular na kalagayan ng iyong kaso. Narito ang isang breakdown ng kung ano ang maaari mong harapin:
**Mga Pagsingil at Pagkakasala:*"&amp;"*
Binabalangkas ng Anti-Money Laundering Act (AMLA) ng 2001 (RA 9160) ang pagkakasala ng money laundering. Maaari kang singilin ng isa o higit pa sa mga sumusunod sa ilalim ng AMLA:
* **Paglalagay:** Kabilang dito ang pagpasok ng mga iligal na nakuhang po"&amp;"ndo sa sistema ng pananalapi. * **Layering:** Kabilang dito ang pagsasagawa ng mga transaksyon para itago ang pinagmulan, kalikasan, lokasyon, pagmamay-ari, o kontrol ng mga ilegal na pondo. * **Pagsasama:** Ito ay nagsasangkot ng paggamit ng mga na-laund"&amp;"er na pondo upang lumabas na lehitimo, kadalasan sa pamamagitan ng mga pamumuhunan o pagbili.
**Tindi ng Mga Singil at Mga Parusa:**
Ang kalubhaan ng mga singil at potensyal na mga parusa ay nakasalalay sa mga salik tulad ng:
* **Halaga ng Money Laundered"&amp;":** Ang mas malalaking halaga ay karaniwang humahantong sa mas matitinding parusa. * **Antas ng Kaalaman at Layunin:** Alam mo ba na ang pinagmumulan ng mga pondo ay ilegal, o hindi mo alam na kasangkot ka? * **Ulitin ang Nagkasala:** Ang kasaysayan ng mo"&amp;"ney laundering ay may mas mabibigat na parusa.
* **Kooperasyon sa mga Awtoridad:** Ang pagpapakita ng kooperasyon ay maaaring humantong sa pagpapaubaya. **Potensyal na Mga Parusa:**
Narito ang isang breakdown ng mga potensyal na parusa:
* **Pagkulong:** *"&amp;" Ang parusa ay maaaring mula sa **anim na buwan hanggang labing-apat na taon** depende sa pagkakasala at sa halaga ng perang sangkot.
* **Mga multa:** Maaaring magpataw ng makabuluhang multa:
* Naaayon sa isang porsyento ng mga na-launder na pondo (hangga"&amp;"ng dalawang beses ang halaga)
* Isang nakapirming halaga depende sa pagkakasala (minimum Php 3 milyon)
**Mga Karagdagang Bunga:**
* **Pag-agaw ng mga Asset:** Maaaring kunin ng tagapagpatupad ng batas ang mga ari-arian na nagmula o ginagamit sa mga aktibi"&amp;"dad sa money laundering. Maaaring kabilang dito ang cash, ari-arian, sasakyan, o pamumuhunan.
* **Pagkahirap Makakuha ng Mga Serbisyong Pinansyal:** Ang isang paghatol ay maaaring makapinsala sa iyong pagiging mapagkakatiwalaan sa kredito at maging mahira"&amp;"p na makakuha ng mga pautang, pagsasangla, atbp.
* **Pinsala sa Reputasyon:** Ang mga kaso ng money laundering ay nakakaakit ng atensyon ng media, na posibleng humantong sa kahihiyan sa publiko at pinsala sa reputasyon.
**Kahalagahan ng Legal na Tagapayo:"&amp;"**
Dahil sa tindi ng mga kahihinatnan, ang pagkonsulta sa isang abogadong may karanasan sa pagtatanggol sa money laundering ay napakahalaga. Maaari silang:
* Pag-aralan ang iyong partikular na sitwasyon.
* Payuhan ka sa mga legal na opsyon, kabilang ang p"&amp;"akikipagtulungan sa pagpapatupad ng batas kung naaangkop.
* Bumuo ng isang malakas na diskarte sa pagtatanggol upang labanan ang mga singil.
**Tandaan:**
* Ang pasanin ng patunay ay nakasalalay sa pag-uusig upang itatag ang iyong pagkakasala nang walang m"&amp;"akatwirang pagdududa.
* Ang maagang interbensyon mula sa isang abogado ay mahalaga upang maprotektahan ang iyong mga karapatan at mabisang mag-navigate sa legal na proseso.
**Disclaimer:** Ang impormasyong ito ay para sa pangkalahatang pag-unawa lamang at"&amp;" hindi dapat ituring na legal na payo. Kung nahaharap ka sa mga kaso ng money laundering, kumunsulta sa isang abogadong may karanasan sa batas kriminal para sa personalized na gabay.")</f>
        <v>Ang mga potensyal na parusa para sa pagiging nahatulan ng money laundering sa Pilipinas ay malala at nakadepende sa mga partikular na kalagayan ng iyong kaso. Narito ang isang breakdown ng kung ano ang maaari mong harapin:
**Mga Pagsingil at Pagkakasala:**
Binabalangkas ng Anti-Money Laundering Act (AMLA) ng 2001 (RA 9160) ang pagkakasala ng money laundering. Maaari kang singilin ng isa o higit pa sa mga sumusunod sa ilalim ng AMLA:
* **Paglalagay:** Kabilang dito ang pagpasok ng mga iligal na nakuhang pondo sa sistema ng pananalapi. * **Layering:** Kabilang dito ang pagsasagawa ng mga transaksyon para itago ang pinagmulan, kalikasan, lokasyon, pagmamay-ari, o kontrol ng mga ilegal na pondo. * **Pagsasama:** Ito ay nagsasangkot ng paggamit ng mga na-launder na pondo upang lumabas na lehitimo, kadalasan sa pamamagitan ng mga pamumuhunan o pagbili.
**Tindi ng Mga Singil at Mga Parusa:**
Ang kalubhaan ng mga singil at potensyal na mga parusa ay nakasalalay sa mga salik tulad ng:
* **Halaga ng Money Laundered:** Ang mas malalaking halaga ay karaniwang humahantong sa mas matitinding parusa. * **Antas ng Kaalaman at Layunin:** Alam mo ba na ang pinagmumulan ng mga pondo ay ilegal, o hindi mo alam na kasangkot ka? * **Ulitin ang Nagkasala:** Ang kasaysayan ng money laundering ay may mas mabibigat na parusa.
* **Kooperasyon sa mga Awtoridad:** Ang pagpapakita ng kooperasyon ay maaaring humantong sa pagpapaubaya. **Potensyal na Mga Parusa:**
Narito ang isang breakdown ng mga potensyal na parusa:
* **Pagkulong:** * Ang parusa ay maaaring mula sa **anim na buwan hanggang labing-apat na taon** depende sa pagkakasala at sa halaga ng perang sangkot.
* **Mga multa:** Maaaring magpataw ng makabuluhang multa:
* Naaayon sa isang porsyento ng mga na-launder na pondo (hanggang dalawang beses ang halaga)
* Isang nakapirming halaga depende sa pagkakasala (minimum Php 3 milyon)
**Mga Karagdagang Bunga:**
* **Pag-agaw ng mga Asset:** Maaaring kunin ng tagapagpatupad ng batas ang mga ari-arian na nagmula o ginagamit sa mga aktibidad sa money laundering. Maaaring kabilang dito ang cash, ari-arian, sasakyan, o pamumuhunan.
* **Pagkahirap Makakuha ng Mga Serbisyong Pinansyal:** Ang isang paghatol ay maaaring makapinsala sa iyong pagiging mapagkakatiwalaan sa kredito at maging mahirap na makakuha ng mga pautang, pagsasangla, atbp.
* **Pinsala sa Reputasyon:** Ang mga kaso ng money laundering ay nakakaakit ng atensyon ng media, na posibleng humantong sa kahihiyan sa publiko at pinsala sa reputasyon.
**Kahalagahan ng Legal na Tagapayo:**
Dahil sa tindi ng mga kahihinatnan, ang pagkonsulta sa isang abogadong may karanasan sa pagtatanggol sa money laundering ay napakahalaga. Maaari silang:
* Pag-aralan ang iyong partikular na sitwasyon.
* Payuhan ka sa mga legal na opsyon, kabilang ang pakikipagtulungan sa pagpapatupad ng batas kung naaangkop.
* Bumuo ng isang malakas na diskarte sa pagtatanggol upang labanan ang mga singil.
**Tandaan:**
* Ang pasanin ng patunay ay nakasalalay sa pag-uusig upang itatag ang iyong pagkakasala nang walang makatwirang pagdududa.
* Ang maagang interbensyon mula sa isang abogado ay mahalaga upang maprotektahan ang iyong mga karapatan at mabisang mag-navigate sa legal na proseso.
**Disclaimer:** Ang impormasyong ito ay para sa pangkalahatang pag-unawa lamang at hindi dapat ituring na legal na payo. Kung nahaharap ka sa mga kaso ng money laundering, kumunsulta sa isang abogadong may karanasan sa batas kriminal para sa personalized na gabay.</v>
      </c>
      <c r="F874" s="2">
        <f t="shared" si="1"/>
        <v>0</v>
      </c>
      <c r="G874" s="2"/>
      <c r="H874" s="2"/>
      <c r="I874" s="2"/>
      <c r="J874" s="2"/>
      <c r="K874" s="2"/>
      <c r="L874" s="2"/>
      <c r="M874" s="2"/>
      <c r="N874" s="2"/>
      <c r="O874" s="2"/>
      <c r="P874" s="2"/>
      <c r="Q874" s="2"/>
      <c r="R874" s="2"/>
      <c r="S874" s="2"/>
      <c r="T874" s="2"/>
      <c r="U874" s="2"/>
      <c r="V874" s="2"/>
      <c r="W874" s="2"/>
      <c r="X874" s="2"/>
      <c r="Y874" s="2"/>
      <c r="Z874" s="2"/>
      <c r="AA874" s="2"/>
    </row>
    <row r="875">
      <c r="A875" s="3" t="s">
        <v>2763</v>
      </c>
      <c r="B875" s="1" t="s">
        <v>2839</v>
      </c>
      <c r="C875" s="1" t="s">
        <v>2840</v>
      </c>
      <c r="D875" s="1" t="s">
        <v>2841</v>
      </c>
      <c r="E875" s="2" t="str">
        <f>IFERROR(__xludf.DUMMYFUNCTION("GOOGLETRANSLATE(C875, ""en"", ""TL"")"),"Bagama't hindi ako makapag-alok ng partikular na legal na payo, narito ang pangkalahatang pangkalahatang-ideya ng mga potensyal na diskarte sa pagtatanggol para sa mga akusasyon sa money laundering:
**Kaalaman at Layunin:**
* **Kakulangan ng Kaalaman:** I"&amp;"pakita na tunay kang naniniwala na ang mga pondo ay lehitimo. Maaaring kabilang dito ang pagbibigay ng ebidensya ng angkop na pagsusumikap sa pagsuri sa pinagmulan ng mga pondo, tulad ng mga kontrata o mga invoice.
* **Reckless Disregard:** Kung pinagtata"&amp;"lunan ng prosekusyon na binalewala mo ang posibilidad ng mga ilegal na pondo, kontrahin sa pamamagitan ng pagpapakita na gumawa ka ng mga makatwirang hakbang upang i-verify ang pinagmulan (hal., mga pagsusuri sa background sa mga kasosyo sa negosyo). **Ma"&amp;"li ng Katotohanan:** * Ipakita na ikaw ay tunay na nagkamali tungkol sa pinagmulan ng mga pondo. Maaaring may kaugnayan ito kung nalinlang ka ng isang taong pinagkakatiwalaan mo.
**Pagkulong:**
* Kung pinilit ka ng pagpapatupad ng batas sa mga aktibidad s"&amp;"a money laundering, maaaring ito ay isang depensa. Gayunpaman, ang entrapment ay isang kumplikadong legal na konsepto na may mataas na pasanin ng patunay.
**Pagtutulungan:**
* Ang pakikipagtulungan sa mga awtoridad ay maaaring maging isang mahalagang disk"&amp;"arte. Ito ay maaaring kasangkot sa pagbibigay ng impormasyon o pagsuko ng anumang natitirang mga nalalabahan na pondo. **Pagbuo ng Malakas na Kaso:**
* Matutulungan ka ng isang kwalipikadong abogado na mangalap ng ebidensya para suportahan ang iyong depen"&amp;"sa. Maaaring kabilang dito ang:
* Dokumentasyon na nagpapatunay sa pinagmulan ng mga pondo.
* Saksihan ang mga patotoo na sumusuporta sa iyong kakulangan ng kaalaman o layunin.
* Mga rekord ng negosyo o iba pang ebidensya na nagpapakita ng mga lehitimong "&amp;"aktibidad sa pananalapi.
**Tandaan:**
* Ang pasanin ng patunay ay nakasalalay sa pag-uusig upang itatag ang iyong pagkakasala nang walang makatwirang pagdududa. * Ang maagang interbensyon mula sa isang abogado ay mahalaga. Maaari nilang suriin ang iyong s"&amp;"itwasyon, tuklasin ang lahat ng iyong mga opsyon, at bumuo ng isang matatag na diskarte sa pagtatanggol.
**Disclaimer:** Ang impormasyong ito ay para sa pangkalahatang pag-unawa lamang at hindi dapat ituring na legal na payo. Kung nahaharap ka sa mga kaso"&amp;"ng money laundering, kumunsulta sa isang abogadong may karanasan sa batas na kriminal para sa personalized na gabay na partikular sa iyong sitwasyon.")</f>
        <v>Bagama't hindi ako makapag-alok ng partikular na legal na payo, narito ang pangkalahatang pangkalahatang-ideya ng mga potensyal na diskarte sa pagtatanggol para sa mga akusasyon sa money laundering:
**Kaalaman at Layunin:**
* **Kakulangan ng Kaalaman:** Ipakita na tunay kang naniniwala na ang mga pondo ay lehitimo. Maaaring kabilang dito ang pagbibigay ng ebidensya ng angkop na pagsusumikap sa pagsuri sa pinagmulan ng mga pondo, tulad ng mga kontrata o mga invoice.
* **Reckless Disregard:** Kung pinagtatalunan ng prosekusyon na binalewala mo ang posibilidad ng mga ilegal na pondo, kontrahin sa pamamagitan ng pagpapakita na gumawa ka ng mga makatwirang hakbang upang i-verify ang pinagmulan (hal., mga pagsusuri sa background sa mga kasosyo sa negosyo). **Mali ng Katotohanan:** * Ipakita na ikaw ay tunay na nagkamali tungkol sa pinagmulan ng mga pondo. Maaaring may kaugnayan ito kung nalinlang ka ng isang taong pinagkakatiwalaan mo.
**Pagkulong:**
* Kung pinilit ka ng pagpapatupad ng batas sa mga aktibidad sa money laundering, maaaring ito ay isang depensa. Gayunpaman, ang entrapment ay isang kumplikadong legal na konsepto na may mataas na pasanin ng patunay.
**Pagtutulungan:**
* Ang pakikipagtulungan sa mga awtoridad ay maaaring maging isang mahalagang diskarte. Ito ay maaaring kasangkot sa pagbibigay ng impormasyon o pagsuko ng anumang natitirang mga nalalabahan na pondo. **Pagbuo ng Malakas na Kaso:**
* Matutulungan ka ng isang kwalipikadong abogado na mangalap ng ebidensya para suportahan ang iyong depensa. Maaaring kabilang dito ang:
* Dokumentasyon na nagpapatunay sa pinagmulan ng mga pondo.
* Saksihan ang mga patotoo na sumusuporta sa iyong kakulangan ng kaalaman o layunin.
* Mga rekord ng negosyo o iba pang ebidensya na nagpapakita ng mga lehitimong aktibidad sa pananalapi.
**Tandaan:**
* Ang pasanin ng patunay ay nakasalalay sa pag-uusig upang itatag ang iyong pagkakasala nang walang makatwirang pagdududa. * Ang maagang interbensyon mula sa isang abogado ay mahalaga. Maaari nilang suriin ang iyong sitwasyon, tuklasin ang lahat ng iyong mga opsyon, at bumuo ng isang matatag na diskarte sa pagtatanggol.
**Disclaimer:** Ang impormasyong ito ay para sa pangkalahatang pag-unawa lamang at hindi dapat ituring na legal na payo. Kung nahaharap ka sa mga kasong money laundering, kumunsulta sa isang abogadong may karanasan sa batas na kriminal para sa personalized na gabay na partikular sa iyong sitwasyon.</v>
      </c>
      <c r="F875" s="2">
        <f t="shared" si="1"/>
        <v>0</v>
      </c>
      <c r="G875" s="2"/>
      <c r="H875" s="2"/>
      <c r="I875" s="2"/>
      <c r="J875" s="2"/>
      <c r="K875" s="2"/>
      <c r="L875" s="2"/>
      <c r="M875" s="2"/>
      <c r="N875" s="2"/>
      <c r="O875" s="2"/>
      <c r="P875" s="2"/>
      <c r="Q875" s="2"/>
      <c r="R875" s="2"/>
      <c r="S875" s="2"/>
      <c r="T875" s="2"/>
      <c r="U875" s="2"/>
      <c r="V875" s="2"/>
      <c r="W875" s="2"/>
      <c r="X875" s="2"/>
      <c r="Y875" s="2"/>
      <c r="Z875" s="2"/>
      <c r="AA875" s="2"/>
    </row>
    <row r="876">
      <c r="A876" s="3" t="s">
        <v>2763</v>
      </c>
      <c r="B876" s="1" t="s">
        <v>2842</v>
      </c>
      <c r="C876" s="1" t="s">
        <v>2843</v>
      </c>
      <c r="D876" s="1" t="s">
        <v>2844</v>
      </c>
      <c r="E876" s="2" t="str">
        <f>IFERROR(__xludf.DUMMYFUNCTION("GOOGLETRANSLATE(C876, ""en"", ""TL"")"),"Sa Pilipinas, ang pangunahing batas na may kaugnayan sa money laundering ay ang Anti-Money Laundering Act (AMLA) of 2001, Republic Act No. 9160 [http://www.amlc.gov.ph/laws/money-laundering/2015- 10-16-02-50-56/republic-act-9160](http://www.amlc.gov.ph/la"&amp;"ws/money-laundering/2015-10-16-02-50-56/republic-act -9160). Ang batas na ito ay nagtatatag ng legal na balangkas para sa paglaban sa money laundering at pagpopondo ng terorista sa bansa. Narito ang ilang mahahalagang punto ng AMLA na dapat malaman:
* **M"&amp;"oney Laundering Offense:** Tinutukoy ng AMLA ang money laundering at binabalangkas ang tatlong yugto na karaniwang kasangkot: placement, layering, at integration (tinalakay dati).
* **Mga Saklaw na Institusyon:** Tinutukoy ng AMLA ang mga institusyong obl"&amp;"igadong sumunod sa mga regulasyon ng AML. Kabilang dito ang mga bangko, serbisyo sa paglilipat ng pera, casino, pawnshop, alahas, real estate broker, at iba pa na nakikitungo sa malalaking transaksyon sa pera.
* **Customer Due Diligence (CDD):** Ang mga s"&amp;"aklaw na institusyon ay dapat magsagawa ng CDD sa kanilang mga customer upang matukoy at ma-verify ang kanilang mga pagkakakilanlan at maunawaan ang kalikasan at layunin ng kanilang mga aktibidad sa negosyo. * **Suspicious Activity Reporting (SAR):** Ang "&amp;"mga institusyong pampinansyal ay dapat mag-ulat ng mga kahina-hinalang transaksyon sa Anti-Money Laundering Council (AMLC) sa loob ng limang araw ng trabaho. * **Saklaw na Pag-uulat ng Transaksyon:** Anuman ang hinala, dapat iulat ng mga institusyon ang l"&amp;"ahat ng transaksyong lumalampas sa isang partikular na halaga (kasalukuyang Php 500,000 o katumbas) sa AMLC sa loob ng isang araw ng pagbabangko.
* **Pag-iingat ng Rekord:** Ang mga saklaw na institusyon ay dapat magpanatili ng mga detalyadong talaan ng i"&amp;"mpormasyon ng customer at mga transaksyon sa loob ng hindi bababa sa limang taon.
* **Mga Parusa:** Ang AMLA ay nag-uutos ng mga parusa para sa hindi pagsunod sa mga regulasyon ng AML ng mga saklaw na institusyon at indibidwal na sadyang tumulong o sumasa"&amp;"ng-ayon sa mga aktibidad sa money laundering.
Narito ang ilang karagdagang mapagkukunan para sa iyong sanggunian:
* Anti-Money Laundering Council (AMLC Philippines): [http://www.amlc.gov.ph/](http://www.amlc.gov.ph/) * AMLA Awareness Campaign: [http://www"&amp;" .amlc.gov.ph/covered-persons/bsp-covered-persons](http://www.amlc.gov.ph/covered-persons/bsp-covered-persons) (**Disclaimer:** Ang link na ito ay maaaring hindi gumagana) Sa pamamagitan ng pag-unawa sa AMLA at sa mga pangunahing probisyon nito, maaari ka"&amp;"ng maging mas may kamalayan sa iyong mga responsibilidad at maiwasan ang hindi sinasadyang paglahok sa mga aktibidad sa money laundering. Tandaan, kung pinaghihinalaan mo ang kahina-hinalang aktibidad, direktang iulat ito sa iyong institusyong pampinansya"&amp;"l o sa AMLC.")</f>
        <v>Sa Pilipinas, ang pangunahing batas na may kaugnayan sa money laundering ay ang Anti-Money Laundering Act (AMLA) of 2001, Republic Act No. 9160 [http://www.amlc.gov.ph/laws/money-laundering/2015- 10-16-02-50-56/republic-act-9160](http://www.amlc.gov.ph/laws/money-laundering/2015-10-16-02-50-56/republic-act -9160). Ang batas na ito ay nagtatatag ng legal na balangkas para sa paglaban sa money laundering at pagpopondo ng terorista sa bansa. Narito ang ilang mahahalagang punto ng AMLA na dapat malaman:
* **Money Laundering Offense:** Tinutukoy ng AMLA ang money laundering at binabalangkas ang tatlong yugto na karaniwang kasangkot: placement, layering, at integration (tinalakay dati).
* **Mga Saklaw na Institusyon:** Tinutukoy ng AMLA ang mga institusyong obligadong sumunod sa mga regulasyon ng AML. Kabilang dito ang mga bangko, serbisyo sa paglilipat ng pera, casino, pawnshop, alahas, real estate broker, at iba pa na nakikitungo sa malalaking transaksyon sa pera.
* **Customer Due Diligence (CDD):** Ang mga saklaw na institusyon ay dapat magsagawa ng CDD sa kanilang mga customer upang matukoy at ma-verify ang kanilang mga pagkakakilanlan at maunawaan ang kalikasan at layunin ng kanilang mga aktibidad sa negosyo. * **Suspicious Activity Reporting (SAR):** Ang mga institusyong pampinansyal ay dapat mag-ulat ng mga kahina-hinalang transaksyon sa Anti-Money Laundering Council (AMLC) sa loob ng limang araw ng trabaho. * **Saklaw na Pag-uulat ng Transaksyon:** Anuman ang hinala, dapat iulat ng mga institusyon ang lahat ng transaksyong lumalampas sa isang partikular na halaga (kasalukuyang Php 500,000 o katumbas) sa AMLC sa loob ng isang araw ng pagbabangko.
* **Pag-iingat ng Rekord:** Ang mga saklaw na institusyon ay dapat magpanatili ng mga detalyadong talaan ng impormasyon ng customer at mga transaksyon sa loob ng hindi bababa sa limang taon.
* **Mga Parusa:** Ang AMLA ay nag-uutos ng mga parusa para sa hindi pagsunod sa mga regulasyon ng AML ng mga saklaw na institusyon at indibidwal na sadyang tumulong o sumasang-ayon sa mga aktibidad sa money laundering.
Narito ang ilang karagdagang mapagkukunan para sa iyong sanggunian:
* Anti-Money Laundering Council (AMLC Philippines): [http://www.amlc.gov.ph/](http://www.amlc.gov.ph/) * AMLA Awareness Campaign: [http://www .amlc.gov.ph/covered-persons/bsp-covered-persons](http://www.amlc.gov.ph/covered-persons/bsp-covered-persons) (**Disclaimer:** Ang link na ito ay maaaring hindi gumagana) Sa pamamagitan ng pag-unawa sa AMLA at sa mga pangunahing probisyon nito, maaari kang maging mas may kamalayan sa iyong mga responsibilidad at maiwasan ang hindi sinasadyang paglahok sa mga aktibidad sa money laundering. Tandaan, kung pinaghihinalaan mo ang kahina-hinalang aktibidad, direktang iulat ito sa iyong institusyong pampinansyal o sa AMLC.</v>
      </c>
      <c r="F876" s="2">
        <f t="shared" si="1"/>
        <v>0</v>
      </c>
      <c r="G876" s="2"/>
      <c r="H876" s="2"/>
      <c r="I876" s="2"/>
      <c r="J876" s="2"/>
      <c r="K876" s="2"/>
      <c r="L876" s="2"/>
      <c r="M876" s="2"/>
      <c r="N876" s="2"/>
      <c r="O876" s="2"/>
      <c r="P876" s="2"/>
      <c r="Q876" s="2"/>
      <c r="R876" s="2"/>
      <c r="S876" s="2"/>
      <c r="T876" s="2"/>
      <c r="U876" s="2"/>
      <c r="V876" s="2"/>
      <c r="W876" s="2"/>
      <c r="X876" s="2"/>
      <c r="Y876" s="2"/>
      <c r="Z876" s="2"/>
      <c r="AA876" s="2"/>
    </row>
    <row r="877">
      <c r="A877" s="3" t="s">
        <v>2763</v>
      </c>
      <c r="B877" s="1" t="s">
        <v>2845</v>
      </c>
      <c r="C877" s="1" t="s">
        <v>2846</v>
      </c>
      <c r="D877" s="1" t="s">
        <v>2847</v>
      </c>
      <c r="E877" s="2" t="str">
        <f>IFERROR(__xludf.DUMMYFUNCTION("GOOGLETRANSLATE(C877, ""en"", ""TL"")"),"Sa mga kaso ng money laundering, umaasa ang mga prosecutor sa kumbinasyon ng ebidensya para buuin ang kanilang kaso. Narito ang isang breakdown ng ilang karaniwang uri ng ebidensya na ginagamit:
**Mga Talaang Pananalapi:**
* **Mga Bank Statement:** Ang mg"&amp;"a transaksyong kinasasangkutan ng malalaking hindi maipaliwanag na deposito o pag-withdraw, madalas na paglilipat sa pagitan ng mga account, o aktibidad na hindi naaayon sa iyong profile sa pananalapi ay maaaring magpataas ng hinala.
* **Cash Transactions"&amp;":** Ang madalas na pagdeposito ng malalaking halaga ng cash, lalo na sa mga pinaghiwa-hiwalay na denominasyon (smurfing) upang maiwasan ang pag-uulat ng mga limitasyon, ay maaaring maging isang pulang bandila.
* **Mga Tala ng Pamumuhunan:** Ang mga kahina"&amp;"-hinalang pamumuhunan na may biglaang malaking kita o pamumuhunan na hindi naaayon sa iyong pagpapaubaya sa panganib ay maaaring maging katibayan ng mga nalikom sa laundering.
* **Mga Aplikasyon sa Pautang:** Ang mga aplikasyon para sa mga pautang na may "&amp;"maling impormasyon o paggamit ng mga na-launder na pondo bilang collateral ay maaaring maging dahilan.
**Papel at Dokumentasyon:**
* **Mga Pekeng Invoice o Kontrata:** Ang mga dokumentong ginamit upang bigyang-katwiran ang pinagmulan o paggalaw ng mga ile"&amp;"gal na pondo ay maaaring maging mahalagang ebidensya.
* **Shell Companies:** Ang paglikha o paggamit ng mga kumpanyang walang lehitimong layunin sa negosyo ngunit ginamit upang ilipat ang pera ay maaaring magpahiwatig ng laundering.
* **Wire Transfer Reco"&amp;"rds:** Ang mga paglilipat ng pera sa ibang bansa, lalo na sa mga bansang may mataas na peligro na may mahinang mga regulasyon sa AML, ay maaaring maging kahina-hinala.
**Pagsubaybay at Komunikasyon:**
* **CCTV Footage:** Ang mga recording mula sa mga bang"&amp;"ko, casino, o iba pang mga lokasyon kung saan naganap ang mga kahina-hinalang transaksyon ay maaaring gamitin bilang ebidensya.
* **Mga Tala ng Telepono:** Ang mga log ng tawag o na-intercept na mga komunikasyon na tumatalakay sa ilegal na aktibidad o pag"&amp;"galaw ng pera ay maaaring maging dahilan.
* **Data ng Computer:** Ang pagsusuri sa mga hard drive ng computer o mga digital na device ay maaaring magpakita ng ebidensya ng mga scheme ng money laundering o pakikipag-ugnayan sa mga kasabwat.
**Patotoo ng Ek"&amp;"spertong Saksi:**
* **Forensic Accountant:** Maaaring suriin ng mga propesyonal na ito ang mga kumplikadong transaksyon sa pananalapi at tukuyin ang mga pattern na naaayon sa money laundering.
* **Mga Eksperto sa Pagpapatupad ng Batas:** Ang mga opisyal n"&amp;"a may karanasan sa mga pagsisiyasat sa money laundering ay maaaring magbigay ng mga insight sa mga paraan na ginamit at nagbibigay-kahulugan sa ebidensya.
**Ibang Katibayan:**
* **Mga Pagbabago sa Estilo ng Pamumuhay:** Ang biglaang pagtaas ng kayamanan o"&amp;" hindi maipaliwanag na mga mamahaling pagbili na walang lehitimong pinagmumulan ng kita ay maaaring maging kahina-hinala.
* **Nasamsam na Mga Asset:** Ang pera, ari-arian, sasakyan, o mahahalagang bagay na nakuha sa pamamagitan ng money laundering ay maaa"&amp;"ring kunin at gamitin bilang ebidensya.
* **Testimonya ng Saksi:** Ang mga indibidwal na may kaalaman sa pagkakasangkot ng nasasakdal sa mga aktibidad sa money laundering ay maaaring tawagan upang tumestigo.
**Mahahalagang Punto:**
* Ang partikular na ebi"&amp;"densyang ginamit ay mag-iiba depende sa mga natatanging pangyayari ng kaso. * Ang mga tagausig ay madalas na umaasa sa circumstantial na ebidensya upang bumuo ng isang malakas na kaso, na nagpapakita ng pattern ng aktibidad na naaayon sa money laundering."&amp;"
* Ang pasanin ng patunay ay nakasalalay sa pag-uusig upang magtatag ng pagkakasala nang lampas sa isang makatwirang pagdududa. Kung nahaharap ka sa mga kasong money laundering, mahalagang kumunsulta sa isang abogadong may karanasan sa pagtatanggol sa mga"&amp;" ganitong kaso. Maaari nilang suriin ang ebidensya laban sa iyo at bumuo ng isang malakas na diskarte sa pagtatanggol.")</f>
        <v>Sa mga kaso ng money laundering, umaasa ang mga prosecutor sa kumbinasyon ng ebidensya para buuin ang kanilang kaso. Narito ang isang breakdown ng ilang karaniwang uri ng ebidensya na ginagamit:
**Mga Talaang Pananalapi:**
* **Mga Bank Statement:** Ang mga transaksyong kinasasangkutan ng malalaking hindi maipaliwanag na deposito o pag-withdraw, madalas na paglilipat sa pagitan ng mga account, o aktibidad na hindi naaayon sa iyong profile sa pananalapi ay maaaring magpataas ng hinala.
* **Cash Transactions:** Ang madalas na pagdeposito ng malalaking halaga ng cash, lalo na sa mga pinaghiwa-hiwalay na denominasyon (smurfing) upang maiwasan ang pag-uulat ng mga limitasyon, ay maaaring maging isang pulang bandila.
* **Mga Tala ng Pamumuhunan:** Ang mga kahina-hinalang pamumuhunan na may biglaang malaking kita o pamumuhunan na hindi naaayon sa iyong pagpapaubaya sa panganib ay maaaring maging katibayan ng mga nalikom sa laundering.
* **Mga Aplikasyon sa Pautang:** Ang mga aplikasyon para sa mga pautang na may maling impormasyon o paggamit ng mga na-launder na pondo bilang collateral ay maaaring maging dahilan.
**Papel at Dokumentasyon:**
* **Mga Pekeng Invoice o Kontrata:** Ang mga dokumentong ginamit upang bigyang-katwiran ang pinagmulan o paggalaw ng mga ilegal na pondo ay maaaring maging mahalagang ebidensya.
* **Shell Companies:** Ang paglikha o paggamit ng mga kumpanyang walang lehitimong layunin sa negosyo ngunit ginamit upang ilipat ang pera ay maaaring magpahiwatig ng laundering.
* **Wire Transfer Records:** Ang mga paglilipat ng pera sa ibang bansa, lalo na sa mga bansang may mataas na peligro na may mahinang mga regulasyon sa AML, ay maaaring maging kahina-hinala.
**Pagsubaybay at Komunikasyon:**
* **CCTV Footage:** Ang mga recording mula sa mga bangko, casino, o iba pang mga lokasyon kung saan naganap ang mga kahina-hinalang transaksyon ay maaaring gamitin bilang ebidensya.
* **Mga Tala ng Telepono:** Ang mga log ng tawag o na-intercept na mga komunikasyon na tumatalakay sa ilegal na aktibidad o paggalaw ng pera ay maaaring maging dahilan.
* **Data ng Computer:** Ang pagsusuri sa mga hard drive ng computer o mga digital na device ay maaaring magpakita ng ebidensya ng mga scheme ng money laundering o pakikipag-ugnayan sa mga kasabwat.
**Patotoo ng Ekspertong Saksi:**
* **Forensic Accountant:** Maaaring suriin ng mga propesyonal na ito ang mga kumplikadong transaksyon sa pananalapi at tukuyin ang mga pattern na naaayon sa money laundering.
* **Mga Eksperto sa Pagpapatupad ng Batas:** Ang mga opisyal na may karanasan sa mga pagsisiyasat sa money laundering ay maaaring magbigay ng mga insight sa mga paraan na ginamit at nagbibigay-kahulugan sa ebidensya.
**Ibang Katibayan:**
* **Mga Pagbabago sa Estilo ng Pamumuhay:** Ang biglaang pagtaas ng kayamanan o hindi maipaliwanag na mga mamahaling pagbili na walang lehitimong pinagmumulan ng kita ay maaaring maging kahina-hinala.
* **Nasamsam na Mga Asset:** Ang pera, ari-arian, sasakyan, o mahahalagang bagay na nakuha sa pamamagitan ng money laundering ay maaaring kunin at gamitin bilang ebidensya.
* **Testimonya ng Saksi:** Ang mga indibidwal na may kaalaman sa pagkakasangkot ng nasasakdal sa mga aktibidad sa money laundering ay maaaring tawagan upang tumestigo.
**Mahahalagang Punto:**
* Ang partikular na ebidensyang ginamit ay mag-iiba depende sa mga natatanging pangyayari ng kaso. * Ang mga tagausig ay madalas na umaasa sa circumstantial na ebidensya upang bumuo ng isang malakas na kaso, na nagpapakita ng pattern ng aktibidad na naaayon sa money laundering.
* Ang pasanin ng patunay ay nakasalalay sa pag-uusig upang magtatag ng pagkakasala nang lampas sa isang makatwirang pagdududa. Kung nahaharap ka sa mga kasong money laundering, mahalagang kumunsulta sa isang abogadong may karanasan sa pagtatanggol sa mga ganitong kaso. Maaari nilang suriin ang ebidensya laban sa iyo at bumuo ng isang malakas na diskarte sa pagtatanggol.</v>
      </c>
      <c r="F877" s="2">
        <f t="shared" si="1"/>
        <v>0</v>
      </c>
      <c r="G877" s="2"/>
      <c r="H877" s="2"/>
      <c r="I877" s="2"/>
      <c r="J877" s="2"/>
      <c r="K877" s="2"/>
      <c r="L877" s="2"/>
      <c r="M877" s="2"/>
      <c r="N877" s="2"/>
      <c r="O877" s="2"/>
      <c r="P877" s="2"/>
      <c r="Q877" s="2"/>
      <c r="R877" s="2"/>
      <c r="S877" s="2"/>
      <c r="T877" s="2"/>
      <c r="U877" s="2"/>
      <c r="V877" s="2"/>
      <c r="W877" s="2"/>
      <c r="X877" s="2"/>
      <c r="Y877" s="2"/>
      <c r="Z877" s="2"/>
      <c r="AA877" s="2"/>
    </row>
    <row r="878">
      <c r="A878" s="3" t="s">
        <v>2763</v>
      </c>
      <c r="B878" s="1" t="s">
        <v>2848</v>
      </c>
      <c r="C878" s="1" t="s">
        <v>2849</v>
      </c>
      <c r="D878" s="1" t="s">
        <v>2850</v>
      </c>
      <c r="E878" s="2" t="str">
        <f>IFERROR(__xludf.DUMMYFUNCTION("GOOGLETRANSLATE(C878, ""en"", ""TL"")"),"Sa Pilipinas, ang bigat ng patunay sa mga kaso ng money laundering ay sumusunod sa prinsipyo ng **proof beyond a reasonable doubt**. Nangangahulugan ito na ang prosekusyon ay may responsibilidad na kumbinsihin ang hukom o hurado na ang nasasakdal ay nagka"&amp;"sala nang may antas ng katiyakan na hindi nag-iiwan ng puwang para sa makatwirang pagdududa. Narito ang isang breakdown kung paano nalalapat ang pasanin ng patunay sa mga akusasyon sa money laundering:
**Presumption of Innocence:**
* Ang akusado ay ipinap"&amp;"alagay na inosente hanggang sa mapatunayang nagkasala. Ang pag-uusig ay dapat magpakita ng sapat na ebidensya upang madaig ang pagpapalagay na ito.
**Mga Elemento ng Money Laundering:**
* Ang AMLA (Anti-Money Laundering Act) ay tumutukoy sa money launderi"&amp;"ng bilang isang tatlong yugtong proseso: placement, layering, at integration. Dapat patunayan ng prosekusyon na sadyang lumahok ang nasasakdal sa kahit isa sa mga yugtong ito na may mga ilegal na pondo.
**Pagbuo ng Kaso:**
* Karaniwang gagamit ang proseku"&amp;"syon ng iba't ibang uri ng ebidensya (tinalakay dati) upang ipakita ang pagkakasangkot ng nasasakdal. Maaaring kabilang dito ang mga rekord sa pananalapi, mga dokumento, mga testimonya ng saksi, o pagsusuri ng eksperto.
* Ang ebidensya ay dapat sapat na m"&amp;"alakas upang lumikha ng isang malinaw at nakakumbinsi na salaysay na sinadyang naglaba ng pera ang nasasakdal.
**Mga Istratehiya sa Pagtatanggol:**
* Maaaring hamunin ng isang dalubhasang abogado ng depensa ang ebidensyang ipinakita ng prosekusyon at magt"&amp;"aas ng makatwirang pagdududa tungkol sa pagkakasala ng nasasakdal. * Maaaring kabilang dito ang pagtatanong sa interpretasyon ng mga rekord ng pananalapi, pagpapakita ng mga hindi pagkakatugma sa mga testimonya ng saksi, o pagpapakita ng kakulangan ng kaa"&amp;"laman tungkol sa ilegal na pinagmulan ng mga pondo.
** Makatwirang Pagdududa:**
* Kung, pagkatapos isaalang-alang ang lahat ng ebidensyang ipinakita ng magkabilang panig, ang hukom o hurado ay may malaking pagdududa tungkol sa pagkakasala ng nasasakdal, d"&amp;"apat nilang pawalang-sala ang nasasakdal.
**Tandaan:**
* Ang pasanin ng patunay ay hindi kailanman nagbabago sa nasasakdal. * Responsibilidad ng prosekusyon na patunayan ang kaso nang walang makatwirang pagdududa.
**Disclaimer:** Ang impormasyong ito ay p"&amp;"ara sa pangkalahatang pag-unawa lamang at hindi dapat ituring na legal na payo. Kung nahaharap ka sa mga kasong money laundering, kumunsulta sa isang abogadong may karanasan sa batas na kriminal para sa personalized na gabay na partikular sa iyong sitwasy"&amp;"on.")</f>
        <v>Sa Pilipinas, ang bigat ng patunay sa mga kaso ng money laundering ay sumusunod sa prinsipyo ng **proof beyond a reasonable doubt**. Nangangahulugan ito na ang prosekusyon ay may responsibilidad na kumbinsihin ang hukom o hurado na ang nasasakdal ay nagkasala nang may antas ng katiyakan na hindi nag-iiwan ng puwang para sa makatwirang pagdududa. Narito ang isang breakdown kung paano nalalapat ang pasanin ng patunay sa mga akusasyon sa money laundering:
**Presumption of Innocence:**
* Ang akusado ay ipinapalagay na inosente hanggang sa mapatunayang nagkasala. Ang pag-uusig ay dapat magpakita ng sapat na ebidensya upang madaig ang pagpapalagay na ito.
**Mga Elemento ng Money Laundering:**
* Ang AMLA (Anti-Money Laundering Act) ay tumutukoy sa money laundering bilang isang tatlong yugtong proseso: placement, layering, at integration. Dapat patunayan ng prosekusyon na sadyang lumahok ang nasasakdal sa kahit isa sa mga yugtong ito na may mga ilegal na pondo.
**Pagbuo ng Kaso:**
* Karaniwang gagamit ang prosekusyon ng iba't ibang uri ng ebidensya (tinalakay dati) upang ipakita ang pagkakasangkot ng nasasakdal. Maaaring kabilang dito ang mga rekord sa pananalapi, mga dokumento, mga testimonya ng saksi, o pagsusuri ng eksperto.
* Ang ebidensya ay dapat sapat na malakas upang lumikha ng isang malinaw at nakakumbinsi na salaysay na sinadyang naglaba ng pera ang nasasakdal.
**Mga Istratehiya sa Pagtatanggol:**
* Maaaring hamunin ng isang dalubhasang abogado ng depensa ang ebidensyang ipinakita ng prosekusyon at magtaas ng makatwirang pagdududa tungkol sa pagkakasala ng nasasakdal. * Maaaring kabilang dito ang pagtatanong sa interpretasyon ng mga rekord ng pananalapi, pagpapakita ng mga hindi pagkakatugma sa mga testimonya ng saksi, o pagpapakita ng kakulangan ng kaalaman tungkol sa ilegal na pinagmulan ng mga pondo.
** Makatwirang Pagdududa:**
* Kung, pagkatapos isaalang-alang ang lahat ng ebidensyang ipinakita ng magkabilang panig, ang hukom o hurado ay may malaking pagdududa tungkol sa pagkakasala ng nasasakdal, dapat nilang pawalang-sala ang nasasakdal.
**Tandaan:**
* Ang pasanin ng patunay ay hindi kailanman nagbabago sa nasasakdal. * Responsibilidad ng prosekusyon na patunayan ang kaso nang walang makatwirang pagdududa.
**Disclaimer:** Ang impormasyong ito ay para sa pangkalahatang pag-unawa lamang at hindi dapat ituring na legal na payo. Kung nahaharap ka sa mga kasong money laundering, kumunsulta sa isang abogadong may karanasan sa batas na kriminal para sa personalized na gabay na partikular sa iyong sitwasyon.</v>
      </c>
      <c r="F878" s="2">
        <f t="shared" si="1"/>
        <v>0</v>
      </c>
      <c r="G878" s="2"/>
      <c r="H878" s="2"/>
      <c r="I878" s="2"/>
      <c r="J878" s="2"/>
      <c r="K878" s="2"/>
      <c r="L878" s="2"/>
      <c r="M878" s="2"/>
      <c r="N878" s="2"/>
      <c r="O878" s="2"/>
      <c r="P878" s="2"/>
      <c r="Q878" s="2"/>
      <c r="R878" s="2"/>
      <c r="S878" s="2"/>
      <c r="T878" s="2"/>
      <c r="U878" s="2"/>
      <c r="V878" s="2"/>
      <c r="W878" s="2"/>
      <c r="X878" s="2"/>
      <c r="Y878" s="2"/>
      <c r="Z878" s="2"/>
      <c r="AA878" s="2"/>
    </row>
    <row r="879">
      <c r="A879" s="3" t="s">
        <v>2763</v>
      </c>
      <c r="B879" s="1" t="s">
        <v>2851</v>
      </c>
      <c r="C879" s="1" t="s">
        <v>2852</v>
      </c>
      <c r="D879" s="1" t="s">
        <v>2853</v>
      </c>
      <c r="E879" s="2" t="str">
        <f>IFERROR(__xludf.DUMMYFUNCTION("GOOGLETRANSLATE(C879, ""en"", ""TL"")"),"tiyak. Narito ang ilang aktibidad sa Pilipinas na maaaring mapagkakamalang money laundering, batay sa RA 9160 o ang Anti-Money Laundering Act of 2001:
* **Malalaking Transaksyon sa Pera:** Bagama't hindi ilegal sa sarili nito, ang pagdedeposito, pag-withd"&amp;"raw, o paglilipat ng napakalaking halaga ng cash (pesos o foreign currency) ay maaaring magtaas ng mga pulang bandila. Ang Anti-Money Laundering Council (AMLC) ay nag-aatas sa mga sakop na institusyon na mag-ulat ng mga kahina-hinalang transaksyon, at ang"&amp;" malalaking paggalaw ng pera ay maaaring mag-trigger ng mga naturang ulat.
* **Madalas na Pagdeposito ng Maliit na Halaga:** Ang kabaligtaran ay maaari ding maging kahina-hinala. Ang pag-istruktura, na kinabibilangan ng paghahati-hati ng malalaking halaga"&amp;" sa mas maliliit na deposito upang maiwasan ang mga limitasyon sa pag-uulat, ay isang karaniwang pamamaraan ng money laundering.
* **Hindi Karaniwang Aktibidad Kumpara sa Mga Nakaraang Transaksyon:** Kung ang iyong mga transaksyon sa bangko ay biglang nag"&amp;"pakita ng isang makabuluhang pagtaas o pagbabago sa aktibidad kumpara sa iyong karaniwang mga gawi sa pagbabangko, maaari itong masuri.
* **Mga Deposito na Hindi Naaayon sa Kita:** Kung ang iyong mga deposito ay higit na lumampas sa iyong idineklara na ki"&amp;"ta, ito ay maaaring isang pulang bandila. Ito ang dahilan kung bakit mahalagang ihain nang maayos ang iyong income tax return.
* **Pakikipag-ugnayan sa Maramihang Account sa Iba't Ibang Bangko:** Bagama't hindi ilegal, ang pagkakaroon ng maraming bank acc"&amp;"ount at patuloy na paglilipat ng pera sa pagitan ng mga ito ay maaaring magdulot ng hinala, lalo na kung ang pinagmulan ng mga pondo ay hindi malinaw.
Mahalagang tandaan na ang mga ito ay mga halimbawa lamang, at ang simpleng pagsali sa isa sa mga aktibid"&amp;"ad na ito ay hindi awtomatikong nangangahulugan na ikaw ay money laundering. Gayunpaman, pinakamahusay na iwasan ang mga aktibidad na maaaring magdulot ng hinala.
Kung mayroon kang anumang mga lehitimong dahilan para sa pagsasagawa ng malalaking transaksy"&amp;"on sa pera o pagbabago ng iyong mga gawi sa pagbabangko, palaging magandang ideya na talakayin muna ang mga ito sa iyong bangko. Makakatulong ito na maiwasan ang anumang hindi pagkakaunawaan.
Para sa mas malawak na pag-unawa, maaari kang sumangguni sa Rep"&amp;"ublic Act No. 9160 mismo [http://www.amlc.gov.ph/laws/money-laundering/2015-10-16-02-50-56/republic-act -9160](http://www.amlc.gov.ph/laws/money-laundering/2015-10-16-02-50-56/republic-act-9160).")</f>
        <v>tiyak. Narito ang ilang aktibidad sa Pilipinas na maaaring mapagkakamalang money laundering, batay sa RA 9160 o ang Anti-Money Laundering Act of 2001:
* **Malalaking Transaksyon sa Pera:** Bagama't hindi ilegal sa sarili nito, ang pagdedeposito, pag-withdraw, o paglilipat ng napakalaking halaga ng cash (pesos o foreign currency) ay maaaring magtaas ng mga pulang bandila. Ang Anti-Money Laundering Council (AMLC) ay nag-aatas sa mga sakop na institusyon na mag-ulat ng mga kahina-hinalang transaksyon, at ang malalaking paggalaw ng pera ay maaaring mag-trigger ng mga naturang ulat.
* **Madalas na Pagdeposito ng Maliit na Halaga:** Ang kabaligtaran ay maaari ding maging kahina-hinala. Ang pag-istruktura, na kinabibilangan ng paghahati-hati ng malalaking halaga sa mas maliliit na deposito upang maiwasan ang mga limitasyon sa pag-uulat, ay isang karaniwang pamamaraan ng money laundering.
* **Hindi Karaniwang Aktibidad Kumpara sa Mga Nakaraang Transaksyon:** Kung ang iyong mga transaksyon sa bangko ay biglang nagpakita ng isang makabuluhang pagtaas o pagbabago sa aktibidad kumpara sa iyong karaniwang mga gawi sa pagbabangko, maaari itong masuri.
* **Mga Deposito na Hindi Naaayon sa Kita:** Kung ang iyong mga deposito ay higit na lumampas sa iyong idineklara na kita, ito ay maaaring isang pulang bandila. Ito ang dahilan kung bakit mahalagang ihain nang maayos ang iyong income tax return.
* **Pakikipag-ugnayan sa Maramihang Account sa Iba't Ibang Bangko:** Bagama't hindi ilegal, ang pagkakaroon ng maraming bank account at patuloy na paglilipat ng pera sa pagitan ng mga ito ay maaaring magdulot ng hinala, lalo na kung ang pinagmulan ng mga pondo ay hindi malinaw.
Mahalagang tandaan na ang mga ito ay mga halimbawa lamang, at ang simpleng pagsali sa isa sa mga aktibidad na ito ay hindi awtomatikong nangangahulugan na ikaw ay money laundering. Gayunpaman, pinakamahusay na iwasan ang mga aktibidad na maaaring magdulot ng hinala.
Kung mayroon kang anumang mga lehitimong dahilan para sa pagsasagawa ng malalaking transaksyon sa pera o pagbabago ng iyong mga gawi sa pagbabangko, palaging magandang ideya na talakayin muna ang mga ito sa iyong bangko. Makakatulong ito na maiwasan ang anumang hindi pagkakaunawaan.
Para sa mas malawak na pag-unawa, maaari kang sumangguni sa Republic Act No. 9160 mismo [http://www.amlc.gov.ph/laws/money-laundering/2015-10-16-02-50-56/republic-act -9160](http://www.amlc.gov.ph/laws/money-laundering/2015-10-16-02-50-56/republic-act-9160).</v>
      </c>
      <c r="F879" s="2">
        <f t="shared" si="1"/>
        <v>0</v>
      </c>
      <c r="G879" s="2"/>
      <c r="H879" s="2"/>
      <c r="I879" s="2"/>
      <c r="J879" s="2"/>
      <c r="K879" s="2"/>
      <c r="L879" s="2"/>
      <c r="M879" s="2"/>
      <c r="N879" s="2"/>
      <c r="O879" s="2"/>
      <c r="P879" s="2"/>
      <c r="Q879" s="2"/>
      <c r="R879" s="2"/>
      <c r="S879" s="2"/>
      <c r="T879" s="2"/>
      <c r="U879" s="2"/>
      <c r="V879" s="2"/>
      <c r="W879" s="2"/>
      <c r="X879" s="2"/>
      <c r="Y879" s="2"/>
      <c r="Z879" s="2"/>
      <c r="AA879" s="2"/>
    </row>
    <row r="880">
      <c r="A880" s="3" t="s">
        <v>2763</v>
      </c>
      <c r="B880" s="1" t="s">
        <v>2854</v>
      </c>
      <c r="C880" s="1" t="s">
        <v>2855</v>
      </c>
      <c r="D880" s="1" t="s">
        <v>2856</v>
      </c>
      <c r="E880" s="2" t="str">
        <f>IFERROR(__xludf.DUMMYFUNCTION("GOOGLETRANSLATE(C880, ""en"", ""TL"")"),"Ang batas ng Pilipinas ay may pagkakaiba sa pagitan ng mga kasong sibil at kriminal na may kaugnayan sa money laundering. Narito ang isang breakdown batay sa Anti-Money Laundering Act (RA 9160) at sa Konstitusyon:
**Mga Pagsingil sa Kriminal (RA 9160):**
"&amp;"* **Pagtuon:** Ang mga singil na ito ay naglalayong parusahan ang mga indibidwal na gumawa ng krimen ng money laundering gaya ng tinukoy sa RA 9160. * **Kahulugan ng Money Laundering:** Ang pagkilos ng pagtatago o pagtatago sa kalikasan, pinagmulan, pagma"&amp;"may-ari, o paggalaw ng mga pondo na nagmula sa isang labag sa batas na aktibidad (predicate crime). * **Mga Parusa:** Ang mga ito ay maaaring mula sa pagkakulong (7 hanggang 14 na taon) hanggang sa mabigat na multa (hindi bababa sa 3 milyong piso, potensy"&amp;"al na doble ang halaga ng na-launder na pera).
* **Burden of Proof:** Dapat patunayan ng prosekusyon nang walang makatwirang pagdududa na ang akusado ay nakagawa ng money laundering.
**Mga Kaso Sibil ( مرتبط [murabit], Art. 1161, Kodigo Sibil ng Pilipinas"&amp;"):**
* **Pagtuon:** Ang mga kasong ito ay naglalayong mabawi ang pera o mga ari-arian na nakuha sa pamamagitan ng mga ilegal na aktibidad, kahit na walang mga kasong kriminal ang napatunayan.
* **Kahulugan:** Ang mismong konsepto ng money laundering ay hi"&amp;"ndi direktang tinutugunan sa mga kasong sibil. Gayunpaman, ang prinsipyo ng ""hindi makatarungang pagpapayaman"" (hindi makatarungang benepisyo) sa ilalim ng Artikulo 1161 ng Civil Code ay maaaring ilapat. * **Mga Sanction:** Maaaring ipag-utos ng korte a"&amp;"ng forfeiture ng ill-gotten wealth o mga ari-arian na nakuha sa pamamagitan ng mga aktibidad sa money laundering.
* **Burden of Proof:** Ang burden of proof ay maaaring mas mababa kaysa sa mga kasong kriminal. Ang hukuman ay maaaring mag-utos ng forfeitur"&amp;"e kung ang nakararami ng ebidensya (mas malamang kaysa sa hindi) ay nagpapakita na ang ari-arian ay nakuha nang ilegal.
Narito ang isang pagkakatulad upang ilarawan ang pagkakaiba:
* Isipin na ang isang kriminal na paglilitis ay parang isang laro ng footb"&amp;"all kung saan ang prosekusyon ay kailangang makaiskor ng touchdown (patunayan ang pagkakasala nang walang pag-aalinlangan) upang manalo.
* Ang kasong sibil na may kaugnayan sa money laundering, sa kabilang banda, ay maaaring katulad ng isang larong basket"&amp;"ball kung saan ang nagsasakdal ay kailangan lamang na makaiskor ng higit pang mga puntos (magpakita ng higit na katibayan) upang manalo. **Konstitusyon (Artikulo III, Seksyon 2):**
* Ginagarantiyahan ng Konstitusyon ng Pilipinas ang karapatan sa angkop na"&amp;" proseso sa parehong mga kasong kriminal at sibil. Tinitiyak nito ang pagiging patas at pinoprotektahan ang mga indibidwal mula sa mga maling akusasyon.
Tandaan, ito ay isang pinasimpleng paliwanag. Para sa masalimuot na mga detalye at legal na payo, ang "&amp;"pagkonsulta sa isang kwalipikadong abogado ay palaging inirerekomenda.")</f>
        <v>Ang batas ng Pilipinas ay may pagkakaiba sa pagitan ng mga kasong sibil at kriminal na may kaugnayan sa money laundering. Narito ang isang breakdown batay sa Anti-Money Laundering Act (RA 9160) at sa Konstitusyon:
**Mga Pagsingil sa Kriminal (RA 9160):**
* **Pagtuon:** Ang mga singil na ito ay naglalayong parusahan ang mga indibidwal na gumawa ng krimen ng money laundering gaya ng tinukoy sa RA 9160. * **Kahulugan ng Money Laundering:** Ang pagkilos ng pagtatago o pagtatago sa kalikasan, pinagmulan, pagmamay-ari, o paggalaw ng mga pondo na nagmula sa isang labag sa batas na aktibidad (predicate crime). * **Mga Parusa:** Ang mga ito ay maaaring mula sa pagkakulong (7 hanggang 14 na taon) hanggang sa mabigat na multa (hindi bababa sa 3 milyong piso, potensyal na doble ang halaga ng na-launder na pera).
* **Burden of Proof:** Dapat patunayan ng prosekusyon nang walang makatwirang pagdududa na ang akusado ay nakagawa ng money laundering.
**Mga Kaso Sibil ( مرتبط [murabit], Art. 1161, Kodigo Sibil ng Pilipinas):**
* **Pagtuon:** Ang mga kasong ito ay naglalayong mabawi ang pera o mga ari-arian na nakuha sa pamamagitan ng mga ilegal na aktibidad, kahit na walang mga kasong kriminal ang napatunayan.
* **Kahulugan:** Ang mismong konsepto ng money laundering ay hindi direktang tinutugunan sa mga kasong sibil. Gayunpaman, ang prinsipyo ng "hindi makatarungang pagpapayaman" (hindi makatarungang benepisyo) sa ilalim ng Artikulo 1161 ng Civil Code ay maaaring ilapat. * **Mga Sanction:** Maaaring ipag-utos ng korte ang forfeiture ng ill-gotten wealth o mga ari-arian na nakuha sa pamamagitan ng mga aktibidad sa money laundering.
* **Burden of Proof:** Ang burden of proof ay maaaring mas mababa kaysa sa mga kasong kriminal. Ang hukuman ay maaaring mag-utos ng forfeiture kung ang nakararami ng ebidensya (mas malamang kaysa sa hindi) ay nagpapakita na ang ari-arian ay nakuha nang ilegal.
Narito ang isang pagkakatulad upang ilarawan ang pagkakaiba:
* Isipin na ang isang kriminal na paglilitis ay parang isang laro ng football kung saan ang prosekusyon ay kailangang makaiskor ng touchdown (patunayan ang pagkakasala nang walang pag-aalinlangan) upang manalo.
* Ang kasong sibil na may kaugnayan sa money laundering, sa kabilang banda, ay maaaring katulad ng isang larong basketball kung saan ang nagsasakdal ay kailangan lamang na makaiskor ng higit pang mga puntos (magpakita ng higit na katibayan) upang manalo. **Konstitusyon (Artikulo III, Seksyon 2):**
* Ginagarantiyahan ng Konstitusyon ng Pilipinas ang karapatan sa angkop na proseso sa parehong mga kasong kriminal at sibil. Tinitiyak nito ang pagiging patas at pinoprotektahan ang mga indibidwal mula sa mga maling akusasyon.
Tandaan, ito ay isang pinasimpleng paliwanag. Para sa masalimuot na mga detalye at legal na payo, ang pagkonsulta sa isang kwalipikadong abogado ay palaging inirerekomenda.</v>
      </c>
      <c r="F880" s="2">
        <f t="shared" si="1"/>
        <v>0</v>
      </c>
      <c r="G880" s="2"/>
      <c r="H880" s="2"/>
      <c r="I880" s="2"/>
      <c r="J880" s="2"/>
      <c r="K880" s="2"/>
      <c r="L880" s="2"/>
      <c r="M880" s="2"/>
      <c r="N880" s="2"/>
      <c r="O880" s="2"/>
      <c r="P880" s="2"/>
      <c r="Q880" s="2"/>
      <c r="R880" s="2"/>
      <c r="S880" s="2"/>
      <c r="T880" s="2"/>
      <c r="U880" s="2"/>
      <c r="V880" s="2"/>
      <c r="W880" s="2"/>
      <c r="X880" s="2"/>
      <c r="Y880" s="2"/>
      <c r="Z880" s="2"/>
      <c r="AA880" s="2"/>
    </row>
    <row r="881">
      <c r="A881" s="3" t="s">
        <v>2763</v>
      </c>
      <c r="B881" s="1" t="s">
        <v>2857</v>
      </c>
      <c r="C881" s="1" t="s">
        <v>2858</v>
      </c>
      <c r="D881" s="1" t="s">
        <v>2859</v>
      </c>
      <c r="E881" s="2" t="str">
        <f>IFERROR(__xludf.DUMMYFUNCTION("GOOGLETRANSLATE(C881, ""en"", ""TL"")"),"Ang pagkilala sa pagitan ng mga lehitimong transaksyon at kahina-hinalang mga transaksyon ay maaaring nakakalito, ngunit ang batas ng Pilipinas (RA 9160) at sentido komun ay maaaring mag-alok ng ilang patnubay. Narito ang isang breakdown upang matulungan "&amp;"ka:
**Mga Lehitimong Transaksyon:**
* **Malinaw na Pinagmumulan ng Mga Pondo:** Mapakikita mong maipaliwanag kung saan nanggagaling ang iyong pera, gaya ng suweldo, kita sa negosyo, mana, o pagbebenta ng ari-arian.
* **Mga Transaksyon na Nakaayon sa Kasay"&amp;"sayan ng Pagbabangko:** Ang mga deposito at pag-withdraw ay tumutugma sa iyong karaniwang aktibidad sa pagbabangko at antas ng kita.
* **Tugma sa Aktibidad ng Negosyo ang Mga Transaksyon:** Kung nagpapatakbo ka ng negosyo, ipinapakita ng iyong mga transak"&amp;"syon ang iyong mga pattern sa pagbili at pagbebenta. * **Pagsunod sa Buwis:** Idineklara mo nang maayos ang iyong kita at nagbabayad ng mga buwis nang naaayon.
**Mga Potensyal na Kahina-hinalang Transaksyon (RA 9160):**
* **Malalaking Transaksyon ng Pera:"&amp;"** Bagama't hindi ilegal, ang pagdedeposito, pag-withdraw, o paglilipat ng napakalaking halaga ng cash (pesos o foreign currency) ay maaaring magtaas ng mga pulang bandila para sa Anti-Money Laundering Council (AMLC).
* **Madalas na Pagdeposito ng Maliit "&amp;"na Halaga (Pag-istruktura):** Ang paghahati-hati ng malalaking halaga sa mas maliliit na deposito upang maiwasan ang pag-uulat ng mga limitasyon ay isang karaniwang pamamaraan ng money laundering.
* **Hindi Karaniwang Aktibidad:** Mga makabuluhang pagtaas"&amp;" o pagbabago sa iyong mga pattern ng transaksyon kumpara sa iyong karaniwang mga gawi sa pagbabangko.
* **Mga Deposit na Lumalampas sa Kita:** Maaaring kahina-hinala ang mga deposito na labis na lumampas sa iyong ipinahayag na kita.
* **Maraming Account n"&amp;"a may Madalas na Paglilipat:** Ang pagkakaroon ng maraming bank account at patuloy na nagpapalipat-lipat ng pera sa pagitan ng mga ito, lalo na kung ang pinagmulan ng mga pondo ay hindi malinaw.
**Tandaan:**
* Ang pagsali sa isang kahina-hinalang aktibida"&amp;"d ay hindi awtomatikong nangangahulugan ng money laundering.
* Kung mayroon kang mga lehitimong dahilan para sa mga aktibidad na ito, talakayin muna ang mga ito sa iyong bangko upang maiwasan ang mga hindi pagkakaunawaan.
* Kung pinaghihinalaan mo ang iba"&amp;"ng tao sa money laundering, maaari mong iulat ito sa AMLC.
**nakatuon ang RA 9160 sa:**
* **Pagtatago o pagbabalatkayo** ang pinagmulan, pagmamay-ari, o paggalaw ng mga pondo na nagmula sa isang labag sa batas na aktibidad.
**Kapag may pagdududa, magkamal"&amp;"i sa panig ng pag-iingat. Kung ang isang transaksyon ay tila hindi karaniwan o nagsasangkot ng hindi maipaliwanag na malalaking halaga, kumunsulta sa isang propesyonal o sa iyong bangko.**")</f>
        <v>Ang pagkilala sa pagitan ng mga lehitimong transaksyon at kahina-hinalang mga transaksyon ay maaaring nakakalito, ngunit ang batas ng Pilipinas (RA 9160) at sentido komun ay maaaring mag-alok ng ilang patnubay. Narito ang isang breakdown upang matulungan ka:
**Mga Lehitimong Transaksyon:**
* **Malinaw na Pinagmumulan ng Mga Pondo:** Mapakikita mong maipaliwanag kung saan nanggagaling ang iyong pera, gaya ng suweldo, kita sa negosyo, mana, o pagbebenta ng ari-arian.
* **Mga Transaksyon na Nakaayon sa Kasaysayan ng Pagbabangko:** Ang mga deposito at pag-withdraw ay tumutugma sa iyong karaniwang aktibidad sa pagbabangko at antas ng kita.
* **Tugma sa Aktibidad ng Negosyo ang Mga Transaksyon:** Kung nagpapatakbo ka ng negosyo, ipinapakita ng iyong mga transaksyon ang iyong mga pattern sa pagbili at pagbebenta. * **Pagsunod sa Buwis:** Idineklara mo nang maayos ang iyong kita at nagbabayad ng mga buwis nang naaayon.
**Mga Potensyal na Kahina-hinalang Transaksyon (RA 9160):**
* **Malalaking Transaksyon ng Pera:** Bagama't hindi ilegal, ang pagdedeposito, pag-withdraw, o paglilipat ng napakalaking halaga ng cash (pesos o foreign currency) ay maaaring magtaas ng mga pulang bandila para sa Anti-Money Laundering Council (AMLC).
* **Madalas na Pagdeposito ng Maliit na Halaga (Pag-istruktura):** Ang paghahati-hati ng malalaking halaga sa mas maliliit na deposito upang maiwasan ang pag-uulat ng mga limitasyon ay isang karaniwang pamamaraan ng money laundering.
* **Hindi Karaniwang Aktibidad:** Mga makabuluhang pagtaas o pagbabago sa iyong mga pattern ng transaksyon kumpara sa iyong karaniwang mga gawi sa pagbabangko.
* **Mga Deposit na Lumalampas sa Kita:** Maaaring kahina-hinala ang mga deposito na labis na lumampas sa iyong ipinahayag na kita.
* **Maraming Account na may Madalas na Paglilipat:** Ang pagkakaroon ng maraming bank account at patuloy na nagpapalipat-lipat ng pera sa pagitan ng mga ito, lalo na kung ang pinagmulan ng mga pondo ay hindi malinaw.
**Tandaan:**
* Ang pagsali sa isang kahina-hinalang aktibidad ay hindi awtomatikong nangangahulugan ng money laundering.
* Kung mayroon kang mga lehitimong dahilan para sa mga aktibidad na ito, talakayin muna ang mga ito sa iyong bangko upang maiwasan ang mga hindi pagkakaunawaan.
* Kung pinaghihinalaan mo ang ibang tao sa money laundering, maaari mong iulat ito sa AMLC.
**nakatuon ang RA 9160 sa:**
* **Pagtatago o pagbabalatkayo** ang pinagmulan, pagmamay-ari, o paggalaw ng mga pondo na nagmula sa isang labag sa batas na aktibidad.
**Kapag may pagdududa, magkamali sa panig ng pag-iingat. Kung ang isang transaksyon ay tila hindi karaniwan o nagsasangkot ng hindi maipaliwanag na malalaking halaga, kumunsulta sa isang propesyonal o sa iyong bangko.**</v>
      </c>
      <c r="F881" s="2">
        <f t="shared" si="1"/>
        <v>0</v>
      </c>
      <c r="G881" s="2"/>
      <c r="H881" s="2"/>
      <c r="I881" s="2"/>
      <c r="J881" s="2"/>
      <c r="K881" s="2"/>
      <c r="L881" s="2"/>
      <c r="M881" s="2"/>
      <c r="N881" s="2"/>
      <c r="O881" s="2"/>
      <c r="P881" s="2"/>
      <c r="Q881" s="2"/>
      <c r="R881" s="2"/>
      <c r="S881" s="2"/>
      <c r="T881" s="2"/>
      <c r="U881" s="2"/>
      <c r="V881" s="2"/>
      <c r="W881" s="2"/>
      <c r="X881" s="2"/>
      <c r="Y881" s="2"/>
      <c r="Z881" s="2"/>
      <c r="AA881" s="2"/>
    </row>
    <row r="882">
      <c r="A882" s="3" t="s">
        <v>2763</v>
      </c>
      <c r="B882" s="1" t="s">
        <v>2860</v>
      </c>
      <c r="C882" s="1" t="s">
        <v>2861</v>
      </c>
      <c r="D882" s="1" t="s">
        <v>2862</v>
      </c>
      <c r="E882" s="2" t="str">
        <f>IFERROR(__xludf.DUMMYFUNCTION("GOOGLETRANSLATE(C882, ""en"", ""TL"")"),"Oo, kinikilala ng batas ng Pilipinas (RA 9160) ang mga depensa para sa mga hindi namamalayang lumahok sa money laundering. Narito ang maaaring makatulong sa iyong kaso:
* **Kakulangan sa Kaalaman:** Ang pangunahing depensa ay nagpapakita sa iyo ng tunay *"&amp;"*hindi alam** na sangkot ka sa paglalaba ng pera. Nangangahulugan ito na hindi ka maaaring makatuwirang pinaghihinalaan ang pagiging ilegal ng transaksyon.
* **Katibayan ng Due Diligence:** Kung gumawa ka ng mga makatwirang hakbang upang i-verify ang pagi"&amp;"ging lehitimo ng transaksyon at ang katapat, pinalalakas nito ang iyong depensa. Halimbawa, maaari mong ipakita sa iyo na naka-check ang pagpaparehistro ng negosyo ng kabilang partido o nagsagawa ng mga pagsusuri sa background (sa loob ng mga legal na han"&amp;"gganan).
* **Pakikipagtulungan sa Mga Awtoridad:** Kung makikipagtulungan ka sa tagapagpatupad ng batas o sa Anti-Money Laundering Council (AMLC) sa sandaling matuklasan mo ang kahina-hinalang katangian ng transaksyon, maipapakita nito ang iyong magandang"&amp;" loob at kahandaang tumulong sa mga awtoridad.
**Narito kung paano isinasaalang-alang ng batas (RA 9160) ang mga salik na ito:**
* Ang pag-uusig ay may pasanin na patunayan na **alam mong lumahok ka sa money laundering. * Kung maaari mong ipakita ang isan"&amp;"g kakulangan ng kaalaman at angkop na pagsusumikap, ang mga singil ay maaaring ibagsak.
**Mga Karagdagang Punto:**
* **Ang Kamangmangan sa Batas ay hindi Isang Pahintulutan:** Bagama't ang hindi pag-alam sa partikular na batas ay hindi lubos na nagpapawal"&amp;"ang-sala sa iyo, isinasaalang-alang ng mga korte ang antas ng hinala na nakapalibot sa transaksyon at ang iyong mga pagsisikap na i-verify ang pagiging lehitimo nito.
* **Humingi ng Legal na Payo:** Ang pag-navigate sa mga akusasyon sa money laundering ay"&amp;" maaaring maging kumplikado. Ang pagkonsulta sa isang abogadong nakaranas sa mga ganitong kaso ay mahalaga upang makabuo ng isang malakas na diskarte sa pagtatanggol.
**Tandaan:**
* Ang tagumpay ng iyong pagtatanggol ay nakasalalay sa pagpapatunay ng iyon"&amp;"g kakulangan sa kaalaman at anumang hakbang na iyong ginawa upang matiyak ang pagiging lehitimo ng transaksyon.
* Ang maagang pakikipagtulungan sa mga awtoridad ay maaaring maging kapaki-pakinabang.
**Disclaimer:** Ito ay hindi kapalit para sa legal na pa"&amp;"yo. Para sa isang komprehensibong pag-unawa at iniangkop na gabay batay sa iyong partikular na sitwasyon, ang pagkonsulta sa isang abogado ay lubos na inirerekomenda.")</f>
        <v>Oo, kinikilala ng batas ng Pilipinas (RA 9160) ang mga depensa para sa mga hindi namamalayang lumahok sa money laundering. Narito ang maaaring makatulong sa iyong kaso:
* **Kakulangan sa Kaalaman:** Ang pangunahing depensa ay nagpapakita sa iyo ng tunay **hindi alam** na sangkot ka sa paglalaba ng pera. Nangangahulugan ito na hindi ka maaaring makatuwirang pinaghihinalaan ang pagiging ilegal ng transaksyon.
* **Katibayan ng Due Diligence:** Kung gumawa ka ng mga makatwirang hakbang upang i-verify ang pagiging lehitimo ng transaksyon at ang katapat, pinalalakas nito ang iyong depensa. Halimbawa, maaari mong ipakita sa iyo na naka-check ang pagpaparehistro ng negosyo ng kabilang partido o nagsagawa ng mga pagsusuri sa background (sa loob ng mga legal na hangganan).
* **Pakikipagtulungan sa Mga Awtoridad:** Kung makikipagtulungan ka sa tagapagpatupad ng batas o sa Anti-Money Laundering Council (AMLC) sa sandaling matuklasan mo ang kahina-hinalang katangian ng transaksyon, maipapakita nito ang iyong magandang loob at kahandaang tumulong sa mga awtoridad.
**Narito kung paano isinasaalang-alang ng batas (RA 9160) ang mga salik na ito:**
* Ang pag-uusig ay may pasanin na patunayan na **alam mong lumahok ka sa money laundering. * Kung maaari mong ipakita ang isang kakulangan ng kaalaman at angkop na pagsusumikap, ang mga singil ay maaaring ibagsak.
**Mga Karagdagang Punto:**
* **Ang Kamangmangan sa Batas ay hindi Isang Pahintulutan:** Bagama't ang hindi pag-alam sa partikular na batas ay hindi lubos na nagpapawalang-sala sa iyo, isinasaalang-alang ng mga korte ang antas ng hinala na nakapalibot sa transaksyon at ang iyong mga pagsisikap na i-verify ang pagiging lehitimo nito.
* **Humingi ng Legal na Payo:** Ang pag-navigate sa mga akusasyon sa money laundering ay maaaring maging kumplikado. Ang pagkonsulta sa isang abogadong nakaranas sa mga ganitong kaso ay mahalaga upang makabuo ng isang malakas na diskarte sa pagtatanggol.
**Tandaan:**
* Ang tagumpay ng iyong pagtatanggol ay nakasalalay sa pagpapatunay ng iyong kakulangan sa kaalaman at anumang hakbang na iyong ginawa upang matiyak ang pagiging lehitimo ng transaksyon.
* Ang maagang pakikipagtulungan sa mga awtoridad ay maaaring maging kapaki-pakinabang.
**Disclaimer:** Ito ay hindi kapalit para sa legal na payo. Para sa isang komprehensibong pag-unawa at iniangkop na gabay batay sa iyong partikular na sitwasyon, ang pagkonsulta sa isang abogado ay lubos na inirerekomenda.</v>
      </c>
      <c r="F882" s="2">
        <f t="shared" si="1"/>
        <v>0</v>
      </c>
      <c r="G882" s="2"/>
      <c r="H882" s="2"/>
      <c r="I882" s="2"/>
      <c r="J882" s="2"/>
      <c r="K882" s="2"/>
      <c r="L882" s="2"/>
      <c r="M882" s="2"/>
      <c r="N882" s="2"/>
      <c r="O882" s="2"/>
      <c r="P882" s="2"/>
      <c r="Q882" s="2"/>
      <c r="R882" s="2"/>
      <c r="S882" s="2"/>
      <c r="T882" s="2"/>
      <c r="U882" s="2"/>
      <c r="V882" s="2"/>
      <c r="W882" s="2"/>
      <c r="X882" s="2"/>
      <c r="Y882" s="2"/>
      <c r="Z882" s="2"/>
      <c r="AA882" s="2"/>
    </row>
    <row r="883">
      <c r="A883" s="3" t="s">
        <v>2763</v>
      </c>
      <c r="B883" s="1" t="s">
        <v>2863</v>
      </c>
      <c r="C883" s="1" t="s">
        <v>2864</v>
      </c>
      <c r="D883" s="1" t="s">
        <v>2865</v>
      </c>
      <c r="E883" s="2" t="str">
        <f>IFERROR(__xludf.DUMMYFUNCTION("GOOGLETRANSLATE(C883, ""en"", ""TL"")"),"Ang layunin ay gumaganap ng isang mahalagang papel sa mga kaso ng money laundering sa ilalim ng batas ng Pilipinas, partikular sa Republic Act No. 9160 (Anti-Money Laundering Act o AMLA). Narito kung bakit:
* **Kahulugan ng Money Laundering:** Tinutukoy n"&amp;"g batas ang money laundering bilang sadyang pinapadali ang mga transaksyong kinasasangkutan ng mga pondong nagmula sa isang labag sa batas na aktibidad **na may layuning itago o itago** ang kanilang pinagmulan, pagmamay-ari, o paggalaw. * **Tatlong Elemen"&amp;"to na Dapat Patunayan:** Para sa paghatol sa money laundering, dapat patunayan ng prosekusyon ang tatlong elemento na lampas sa makatwirang pagdududa:
1. **Kaalaman:** Alam ng akusado na ang mga pondo ay nagmula sa isang labag sa batas na aktibidad (predi"&amp;"cate crime).
2. **Transaksyon:** Ang akusado ay lumahok sa isang transaksyong pinansyal na kinasasangkutan ng mga ilegal na pondo.
3. **Layunin:** Ang akusado **naglalayon** na itago o itago ang pinagmulan, pagmamay-ari, o paggalaw ng mga pondo.
**Walang "&amp;"Katibayan ng Layunin:**
* Kung hindi matukoy ng prosekusyon na ang akusado **naglalayon** na itago ang iligal na katangian ng mga pondo, magiging mahirap ang paghatol sa money laundering.
**Mga Halimbawa ng Layunin:**
* Pag-istruktura ng malalaking halaga"&amp;" sa mas maliliit na deposito upang maiwasan ang pag-uulat ng mga limitasyon.
* Paglalagay ng mga pondo sa pamamagitan ng paglipat ng mga ito sa maraming account o institusyong pampinansyal.
* Pagsasama ng nilabang pera sa mga lehitimong negosyo.
**Kahalag"&amp;"ahan ng Layunin:**
* Pinoprotektahan ng kinakailangang ito ang mga indibidwal na hindi sinasadyang lumahok sa mga transaksyong may kinalaman sa mga ilegal na pondo. * Ang isang taong nagdeposito ng tseke mula sa isang kakilala, nang hindi alam na ninakaw "&amp;"ang mga pondo, ay hindi magkasala ng money laundering kung wala silang layunin na itago ang pinagmulan.
**Tandaan:**
* Ang pasanin ng patunay ay nakasalalay sa pag-uusig upang maitaguyod ang **sinasadyang** pagkakasangkot sa money laundering.
* Kung pinag"&amp;"hihinalaan mong nasangkot ka sa isang kahina-hinalang transaksyon, humingi ng legal na tagapayo upang maunawaan ang iyong mga opsyon.
**Disclaimer:** Ang paliwanag na ito ay para sa mga layuning pang-impormasyon lamang at hindi dapat ituring na legal na p"&amp;"ayo. Ang pagkonsulta sa isang abogado para sa iyong partikular na sitwasyon ay mahalaga.")</f>
        <v>Ang layunin ay gumaganap ng isang mahalagang papel sa mga kaso ng money laundering sa ilalim ng batas ng Pilipinas, partikular sa Republic Act No. 9160 (Anti-Money Laundering Act o AMLA). Narito kung bakit:
* **Kahulugan ng Money Laundering:** Tinutukoy ng batas ang money laundering bilang sadyang pinapadali ang mga transaksyong kinasasangkutan ng mga pondong nagmula sa isang labag sa batas na aktibidad **na may layuning itago o itago** ang kanilang pinagmulan, pagmamay-ari, o paggalaw. * **Tatlong Elemento na Dapat Patunayan:** Para sa paghatol sa money laundering, dapat patunayan ng prosekusyon ang tatlong elemento na lampas sa makatwirang pagdududa:
1. **Kaalaman:** Alam ng akusado na ang mga pondo ay nagmula sa isang labag sa batas na aktibidad (predicate crime).
2. **Transaksyon:** Ang akusado ay lumahok sa isang transaksyong pinansyal na kinasasangkutan ng mga ilegal na pondo.
3. **Layunin:** Ang akusado **naglalayon** na itago o itago ang pinagmulan, pagmamay-ari, o paggalaw ng mga pondo.
**Walang Katibayan ng Layunin:**
* Kung hindi matukoy ng prosekusyon na ang akusado **naglalayon** na itago ang iligal na katangian ng mga pondo, magiging mahirap ang paghatol sa money laundering.
**Mga Halimbawa ng Layunin:**
* Pag-istruktura ng malalaking halaga sa mas maliliit na deposito upang maiwasan ang pag-uulat ng mga limitasyon.
* Paglalagay ng mga pondo sa pamamagitan ng paglipat ng mga ito sa maraming account o institusyong pampinansyal.
* Pagsasama ng nilabang pera sa mga lehitimong negosyo.
**Kahalagahan ng Layunin:**
* Pinoprotektahan ng kinakailangang ito ang mga indibidwal na hindi sinasadyang lumahok sa mga transaksyong may kinalaman sa mga ilegal na pondo. * Ang isang taong nagdeposito ng tseke mula sa isang kakilala, nang hindi alam na ninakaw ang mga pondo, ay hindi magkasala ng money laundering kung wala silang layunin na itago ang pinagmulan.
**Tandaan:**
* Ang pasanin ng patunay ay nakasalalay sa pag-uusig upang maitaguyod ang **sinasadyang** pagkakasangkot sa money laundering.
* Kung pinaghihinalaan mong nasangkot ka sa isang kahina-hinalang transaksyon, humingi ng legal na tagapayo upang maunawaan ang iyong mga opsyon.
**Disclaimer:** Ang paliwanag na ito ay para sa mga layuning pang-impormasyon lamang at hindi dapat ituring na legal na payo. Ang pagkonsulta sa isang abogado para sa iyong partikular na sitwasyon ay mahalaga.</v>
      </c>
      <c r="F883" s="2">
        <f t="shared" si="1"/>
        <v>0</v>
      </c>
      <c r="G883" s="2"/>
      <c r="H883" s="2"/>
      <c r="I883" s="2"/>
      <c r="J883" s="2"/>
      <c r="K883" s="2"/>
      <c r="L883" s="2"/>
      <c r="M883" s="2"/>
      <c r="N883" s="2"/>
      <c r="O883" s="2"/>
      <c r="P883" s="2"/>
      <c r="Q883" s="2"/>
      <c r="R883" s="2"/>
      <c r="S883" s="2"/>
      <c r="T883" s="2"/>
      <c r="U883" s="2"/>
      <c r="V883" s="2"/>
      <c r="W883" s="2"/>
      <c r="X883" s="2"/>
      <c r="Y883" s="2"/>
      <c r="Z883" s="2"/>
      <c r="AA883" s="2"/>
    </row>
    <row r="884">
      <c r="A884" s="3" t="s">
        <v>2763</v>
      </c>
      <c r="B884" s="1" t="s">
        <v>2866</v>
      </c>
      <c r="C884" s="1" t="s">
        <v>2867</v>
      </c>
      <c r="D884" s="1" t="s">
        <v>2868</v>
      </c>
      <c r="E884" s="2" t="str">
        <f>IFERROR(__xludf.DUMMYFUNCTION("GOOGLETRANSLATE(C884, ""en"", ""TL"")"),"Ang mga internasyonal na batas at kasunduan ay may mahalagang papel sa mga kaso na kinasasangkutan ng cross-border money laundering sa Pilipinas. Ganito:
**Pinahusay na Kooperasyon at Pagbabahagi ng Impormasyon:**
* Ang Pilipinas ay lumagda sa maraming in"&amp;"ternasyonal na kasunduan tulad ng United Nations Convention Against Transnational Organized Crime at ang mga Protocol nito. Ang mga kasunduan na ito ay nagtataguyod ng kooperasyon sa pagitan ng mga bansa sa pag-iimbestiga at pag-uusig sa mga paglabag sa m"&amp;"oney laundering.
* Nagbabahagi ang mga bansa ng impormasyon tungkol sa mga kahina-hinalang transaksyon, mga diskarte sa money laundering, at mga organisasyong kriminal na kasangkot. Ito ay nagpapahintulot sa mga awtoridad ng Pilipinas na matunton ang pagg"&amp;"alaw ng mga ipinagbabawal na pondo sa mga hangganan at bumuo ng mas malakas na mga kaso.
**Mutual Legal Assistance Treaties (MLATs):**
* Ang Pilipinas ay may mga MLAT na may maraming bansa. Ang mga kasunduan na ito ay nagtatag ng isang legal na balangkas "&amp;"para sa mga bansa na tumulong sa isa't isa sa mga kriminal na pagsisiyasat at pag-uusig.
* Halimbawa, maaaring payagan ng isang MLAT ang mga awtoridad ng Pilipinas na humiling ng mga rekord ng bangko o testimonya ng saksi mula sa ibang bansa na nauugnay s"&amp;"a isang kaso ng money laundering.
**Pagbawi ng Mga Nilabang Asset:**
* Pinapadali din ng mga internasyonal na kasunduan ang pagbawi ng mga ari-arian na ninakaw o nalabhan sa mga hangganan. Maaaring gamitin ng Pilipinas ang mga mekanismong ito para mabawi "&amp;"ang mga pondong nakatago sa mga dayuhang bank account.
**Mga Hamon at Limitasyon:**
* Sa kabila ng mga benepisyong ito, ang internasyonal na kooperasyon ay maaaring maging kumplikado dahil sa mga pagkakaiba sa mga pambansang batas at pamamaraan. * Ang ext"&amp;"radition ng mga suspek o pagpapatupad ng mga foreign warrant ay maaaring mahahabang proseso.
**Pangkalahatang Epekto:**
* Pinalalakas ng mga internasyonal na batas at kasunduan ang pagsisikap ng Pilipinas na labanan ang cross-border money laundering sa pa"&amp;"mamagitan ng:
* Pagpapahusay sa pagbabahagi ng impormasyon at mga kakayahan sa pagsisiyasat.
* Pinapadali ang pagbawi ng mga ninakaw o nilabang mga ari-arian.
**Tandaan:** Ito ay isang pinasimpleng paliwanag. Ang mga partikular na detalye at ang bisa ng m"&amp;"ga mekanismong ito ay nakadepende sa mga kasunduan na kasangkot at sa mga bansang nakikipagtulungan.")</f>
        <v>Ang mga internasyonal na batas at kasunduan ay may mahalagang papel sa mga kaso na kinasasangkutan ng cross-border money laundering sa Pilipinas. Ganito:
**Pinahusay na Kooperasyon at Pagbabahagi ng Impormasyon:**
* Ang Pilipinas ay lumagda sa maraming internasyonal na kasunduan tulad ng United Nations Convention Against Transnational Organized Crime at ang mga Protocol nito. Ang mga kasunduan na ito ay nagtataguyod ng kooperasyon sa pagitan ng mga bansa sa pag-iimbestiga at pag-uusig sa mga paglabag sa money laundering.
* Nagbabahagi ang mga bansa ng impormasyon tungkol sa mga kahina-hinalang transaksyon, mga diskarte sa money laundering, at mga organisasyong kriminal na kasangkot. Ito ay nagpapahintulot sa mga awtoridad ng Pilipinas na matunton ang paggalaw ng mga ipinagbabawal na pondo sa mga hangganan at bumuo ng mas malakas na mga kaso.
**Mutual Legal Assistance Treaties (MLATs):**
* Ang Pilipinas ay may mga MLAT na may maraming bansa. Ang mga kasunduan na ito ay nagtatag ng isang legal na balangkas para sa mga bansa na tumulong sa isa't isa sa mga kriminal na pagsisiyasat at pag-uusig.
* Halimbawa, maaaring payagan ng isang MLAT ang mga awtoridad ng Pilipinas na humiling ng mga rekord ng bangko o testimonya ng saksi mula sa ibang bansa na nauugnay sa isang kaso ng money laundering.
**Pagbawi ng Mga Nilabang Asset:**
* Pinapadali din ng mga internasyonal na kasunduan ang pagbawi ng mga ari-arian na ninakaw o nalabhan sa mga hangganan. Maaaring gamitin ng Pilipinas ang mga mekanismong ito para mabawi ang mga pondong nakatago sa mga dayuhang bank account.
**Mga Hamon at Limitasyon:**
* Sa kabila ng mga benepisyong ito, ang internasyonal na kooperasyon ay maaaring maging kumplikado dahil sa mga pagkakaiba sa mga pambansang batas at pamamaraan. * Ang extradition ng mga suspek o pagpapatupad ng mga foreign warrant ay maaaring mahahabang proseso.
**Pangkalahatang Epekto:**
* Pinalalakas ng mga internasyonal na batas at kasunduan ang pagsisikap ng Pilipinas na labanan ang cross-border money laundering sa pamamagitan ng:
* Pagpapahusay sa pagbabahagi ng impormasyon at mga kakayahan sa pagsisiyasat.
* Pinapadali ang pagbawi ng mga ninakaw o nilabang mga ari-arian.
**Tandaan:** Ito ay isang pinasimpleng paliwanag. Ang mga partikular na detalye at ang bisa ng mga mekanismong ito ay nakadepende sa mga kasunduan na kasangkot at sa mga bansang nakikipagtulungan.</v>
      </c>
      <c r="F884" s="2">
        <f t="shared" si="1"/>
        <v>0</v>
      </c>
      <c r="G884" s="2"/>
      <c r="H884" s="2"/>
      <c r="I884" s="2"/>
      <c r="J884" s="2"/>
      <c r="K884" s="2"/>
      <c r="L884" s="2"/>
      <c r="M884" s="2"/>
      <c r="N884" s="2"/>
      <c r="O884" s="2"/>
      <c r="P884" s="2"/>
      <c r="Q884" s="2"/>
      <c r="R884" s="2"/>
      <c r="S884" s="2"/>
      <c r="T884" s="2"/>
      <c r="U884" s="2"/>
      <c r="V884" s="2"/>
      <c r="W884" s="2"/>
      <c r="X884" s="2"/>
      <c r="Y884" s="2"/>
      <c r="Z884" s="2"/>
      <c r="AA884" s="2"/>
    </row>
    <row r="885">
      <c r="A885" s="3" t="s">
        <v>2763</v>
      </c>
      <c r="B885" s="1" t="s">
        <v>2869</v>
      </c>
      <c r="C885" s="1" t="s">
        <v>2870</v>
      </c>
      <c r="D885" s="1" t="s">
        <v>2871</v>
      </c>
      <c r="E885" s="2" t="str">
        <f>IFERROR(__xludf.DUMMYFUNCTION("GOOGLETRANSLATE(C885, ""en"", ""TL"")"),"Sa Pilipinas, ang structuring ay tumutukoy sa isang taktika na ginagamit ng mga kriminal upang maglaba ng pera sa pamamagitan ng Anti-Money Laundering Act (RA 9160). Narito ang isang breakdown ng konsepto:
* **Ano ito?** Kasama sa pag-istruktura ang sadya"&amp;"ng paghahati-hati ng malalaking halaga ng pera sa mas maliliit na deposito o mga transaksyon sa ibaba ng limitasyon sa pag-uulat na itinakda ng Anti-Money Laundering Council (AMLC). Sa Pilipinas, ang threshold na ito ay karaniwang anumang cash transaction"&amp;" na lampas sa Php 50,000.
* **Bakit ginagawa ito ng mga kriminal?** Ang layunin ng pagbubuo ay upang maiwasan ang pagtuklas ng mga awtoridad. Sa pamamagitan ng paghahati ng malalaking halaga sa mas maliliit na deposito, nilalayon ng mga kriminal na maiwas"&amp;"an ang pag-trigger ng Mga Kahina-hinalang Ulat sa Aktibidad (SAR) na kinakailangang i-file ng mga institusyong pampinansyal para sa mga transaksyong lampas sa limitasyon.
* **Paano ito labag sa batas?** Ang RA 9160 ay nagsasakriminal hindi lamang sa mismo"&amp;"ng money laundering kundi pati na rin sa anumang pagkilos na nilayon upang maiwasan ang mga kinakailangan sa pag-uulat. Ang pag-istruktura ay nasa ilalim ng kategoryang ito dahil ang layunin nito ay itago ang tunay na pinagmulan at halaga ng mga pondo.
* "&amp;"**Mga Halimbawa ng Istruktura:**
* Ang isang kriminal ay naghahati ng Php 1 milyon sa maraming deposito na Php 49,000 bawat isa sa loob ng ilang araw o linggo sa iba't ibang sangay ng bangko.
* Hinahati ng isang tao ang mga kita sa iligal na droga sa mas "&amp;"maliliit na halaga at may iba't ibang mga kasama na nagdeposito sa mga ito sa kanilang mga account.
* **Paano Iwasan ang Hindi Sinasadyang Pag-istruktura:** Kung mayroon kang lehitimong dahilan upang magdeposito ng malaking halaga ng cash, tulad ng pagbeb"&amp;"enta ng kotse o pagtanggap ng mana, pinakamahusay na ipaliwanag ito sa iyong bangko nang maaga. Makakatulong ito na maiwasan ang anumang hindi pagkakaunawaan o hinala.
**Mahahalagang Paalala:**
* Ang pag-istruktura mismo ay hindi kinakailangang patunayan "&amp;"ang money laundering. Gayunpaman, ito ay isang pulang bandila na maaaring mag-trigger ng karagdagang pagsisiyasat.
* Kung pinaghihinalaan mo na may sangkot sa istruktura o money laundering, maaari mong iulat ito sa AMLC.
**Disclaimer:** Ang paliwanag na i"&amp;"to ay para sa mga layuning pang-impormasyon lamang at hindi dapat ituring na legal na payo. Kung mayroon kang anumang mga alalahanin tungkol sa istruktura o money laundering, inirerekomenda ang pagkonsulta sa isang abogado.")</f>
        <v>Sa Pilipinas, ang structuring ay tumutukoy sa isang taktika na ginagamit ng mga kriminal upang maglaba ng pera sa pamamagitan ng Anti-Money Laundering Act (RA 9160). Narito ang isang breakdown ng konsepto:
* **Ano ito?** Kasama sa pag-istruktura ang sadyang paghahati-hati ng malalaking halaga ng pera sa mas maliliit na deposito o mga transaksyon sa ibaba ng limitasyon sa pag-uulat na itinakda ng Anti-Money Laundering Council (AMLC). Sa Pilipinas, ang threshold na ito ay karaniwang anumang cash transaction na lampas sa Php 50,000.
* **Bakit ginagawa ito ng mga kriminal?** Ang layunin ng pagbubuo ay upang maiwasan ang pagtuklas ng mga awtoridad. Sa pamamagitan ng paghahati ng malalaking halaga sa mas maliliit na deposito, nilalayon ng mga kriminal na maiwasan ang pag-trigger ng Mga Kahina-hinalang Ulat sa Aktibidad (SAR) na kinakailangang i-file ng mga institusyong pampinansyal para sa mga transaksyong lampas sa limitasyon.
* **Paano ito labag sa batas?** Ang RA 9160 ay nagsasakriminal hindi lamang sa mismong money laundering kundi pati na rin sa anumang pagkilos na nilayon upang maiwasan ang mga kinakailangan sa pag-uulat. Ang pag-istruktura ay nasa ilalim ng kategoryang ito dahil ang layunin nito ay itago ang tunay na pinagmulan at halaga ng mga pondo.
* **Mga Halimbawa ng Istruktura:**
* Ang isang kriminal ay naghahati ng Php 1 milyon sa maraming deposito na Php 49,000 bawat isa sa loob ng ilang araw o linggo sa iba't ibang sangay ng bangko.
* Hinahati ng isang tao ang mga kita sa iligal na droga sa mas maliliit na halaga at may iba't ibang mga kasama na nagdeposito sa mga ito sa kanilang mga account.
* **Paano Iwasan ang Hindi Sinasadyang Pag-istruktura:** Kung mayroon kang lehitimong dahilan upang magdeposito ng malaking halaga ng cash, tulad ng pagbebenta ng kotse o pagtanggap ng mana, pinakamahusay na ipaliwanag ito sa iyong bangko nang maaga. Makakatulong ito na maiwasan ang anumang hindi pagkakaunawaan o hinala.
**Mahahalagang Paalala:**
* Ang pag-istruktura mismo ay hindi kinakailangang patunayan ang money laundering. Gayunpaman, ito ay isang pulang bandila na maaaring mag-trigger ng karagdagang pagsisiyasat.
* Kung pinaghihinalaan mo na may sangkot sa istruktura o money laundering, maaari mong iulat ito sa AMLC.
**Disclaimer:** Ang paliwanag na ito ay para sa mga layuning pang-impormasyon lamang at hindi dapat ituring na legal na payo. Kung mayroon kang anumang mga alalahanin tungkol sa istruktura o money laundering, inirerekomenda ang pagkonsulta sa isang abogado.</v>
      </c>
      <c r="F885" s="2">
        <f t="shared" si="1"/>
        <v>0</v>
      </c>
      <c r="G885" s="2"/>
      <c r="H885" s="2"/>
      <c r="I885" s="2"/>
      <c r="J885" s="2"/>
      <c r="K885" s="2"/>
      <c r="L885" s="2"/>
      <c r="M885" s="2"/>
      <c r="N885" s="2"/>
      <c r="O885" s="2"/>
      <c r="P885" s="2"/>
      <c r="Q885" s="2"/>
      <c r="R885" s="2"/>
      <c r="S885" s="2"/>
      <c r="T885" s="2"/>
      <c r="U885" s="2"/>
      <c r="V885" s="2"/>
      <c r="W885" s="2"/>
      <c r="X885" s="2"/>
      <c r="Y885" s="2"/>
      <c r="Z885" s="2"/>
      <c r="AA885" s="2"/>
    </row>
    <row r="886">
      <c r="A886" s="3" t="s">
        <v>2763</v>
      </c>
      <c r="B886" s="1" t="s">
        <v>2872</v>
      </c>
      <c r="C886" s="1" t="s">
        <v>2873</v>
      </c>
      <c r="D886" s="1" t="s">
        <v>2874</v>
      </c>
      <c r="E886" s="2" t="str">
        <f>IFERROR(__xludf.DUMMYFUNCTION("GOOGLETRANSLATE(C886, ""en"", ""TL"")"),"Oo, sa Pilipinas, may ilang mga industriya at sektor na itinuturing na mataas ang panganib para sa mga aktibidad sa money laundering at samakatuwid ay mas masusing sinusuri ng mga awtoridad sa ilalim ng Anti-Money Laundering Act (RA 9160). Narito ang isan"&amp;"g breakdown:
**Mga Sektor na Mataas ang Panganib:**
* **Mga Institusyong Pananalapi:** Ang mga bangko, mga serbisyo sa pagpapadala ng pera, mga dealer ng foreign exchange, at mga casino ay nasa ilalim ng mahigpit na mga regulasyon dahil sa kanilang tungku"&amp;"lin sa paghawak ng malaking halaga ng pera. Kinakailangan silang mag-ulat ng mga kahina-hinalang transaksyon at magpatupad ng mga hakbang sa customer due diligence (CDD) upang i-verify ang pagkakakilanlan at pinagmulan ng mga pondo.
* **Remittance at Mone"&amp;"y Service Businesses:** Ang mga negosyong ito ay nangangasiwa ng malaking halaga ng money transfer, na ginagawa silang bulnerable sa pagsasamantala ng mga kriminal. Kinakailangan silang magparehistro sa Bangko Sentral ng Pilipinas (BSP) at sumunod sa mga "&amp;"regulasyon ng AML/CFT (Anti-Money Laundering/Combating the Financing of Terrorism).
* **Mga Dealer ng Precious Metals at Stones:** Dahil sa mataas na halaga at kadalian ng pagdadala ng mga item na ito, magagamit ang mga ito sa paglalaba ng pera. Ang mga n"&amp;"egosyong ito ay kinakailangang magparehistro sa AMLC at mag-ulat ng mga kahina-hinalang transaksyon.
* **Real Estate:** Ang sektor ng real estate ay maaaring maging kaakit-akit para sa money laundering dahil sa malalaking transaksyon sa pera na kasangkot "&amp;"sa mga pagbili ng ari-arian. Nasa ilalim na ngayon ng pagbabantay ng AMLC ang mga developer ng real estate, at kinakailangan nilang mag-ulat ng mga kahina-hinalang transaksyon. * **Industriya ng Pagsusugal:** Maaaring gamitin ang mga casino at online na p"&amp;"latform ng pagsusugal upang mabilis na ilipat ang malaking halaga ng pera. Ang industriya ay napapailalim sa mga regulasyon ng AML/CFT, at ang mga casino ay kinakailangang mag-ulat ng mga kahina-hinalang transaksyon na lampas sa Php 5 milyon.
**Dagdag pa:"&amp;"**
* **Mga Propesyonal:** Ang mga abogado, accountant, at iba pang propesyonal na nakikitungo sa mga transaksyon sa pananalapi ay maaaring sumailalim sa pagsisiyasat kung pinaghihinalaan silang sadyang nagpapadali sa mga aktibidad sa money laundering.
**B"&amp;"akit Mahalaga ang Pagsusuri:**
* Sa masusing pagsubaybay sa mga sektor na ito, mas mabisang matutukoy at maabala ng mga awtoridad ang mga scheme ng money laundering. * Nakakatulong ito upang maprotektahan ang integridad ng sistema ng pananalapi at labanan"&amp;" ang mga aktibidad na kriminal.
**Tandaan:** Ang listahang ito ay hindi kumpleto, at anumang negosyo o indibidwal na sangkot sa mga kahina-hinalang aktibidad sa pananalapi ay maaaring imbestigahan.")</f>
        <v>Oo, sa Pilipinas, may ilang mga industriya at sektor na itinuturing na mataas ang panganib para sa mga aktibidad sa money laundering at samakatuwid ay mas masusing sinusuri ng mga awtoridad sa ilalim ng Anti-Money Laundering Act (RA 9160). Narito ang isang breakdown:
**Mga Sektor na Mataas ang Panganib:**
* **Mga Institusyong Pananalapi:** Ang mga bangko, mga serbisyo sa pagpapadala ng pera, mga dealer ng foreign exchange, at mga casino ay nasa ilalim ng mahigpit na mga regulasyon dahil sa kanilang tungkulin sa paghawak ng malaking halaga ng pera. Kinakailangan silang mag-ulat ng mga kahina-hinalang transaksyon at magpatupad ng mga hakbang sa customer due diligence (CDD) upang i-verify ang pagkakakilanlan at pinagmulan ng mga pondo.
* **Remittance at Money Service Businesses:** Ang mga negosyong ito ay nangangasiwa ng malaking halaga ng money transfer, na ginagawa silang bulnerable sa pagsasamantala ng mga kriminal. Kinakailangan silang magparehistro sa Bangko Sentral ng Pilipinas (BSP) at sumunod sa mga regulasyon ng AML/CFT (Anti-Money Laundering/Combating the Financing of Terrorism).
* **Mga Dealer ng Precious Metals at Stones:** Dahil sa mataas na halaga at kadalian ng pagdadala ng mga item na ito, magagamit ang mga ito sa paglalaba ng pera. Ang mga negosyong ito ay kinakailangang magparehistro sa AMLC at mag-ulat ng mga kahina-hinalang transaksyon.
* **Real Estate:** Ang sektor ng real estate ay maaaring maging kaakit-akit para sa money laundering dahil sa malalaking transaksyon sa pera na kasangkot sa mga pagbili ng ari-arian. Nasa ilalim na ngayon ng pagbabantay ng AMLC ang mga developer ng real estate, at kinakailangan nilang mag-ulat ng mga kahina-hinalang transaksyon. * **Industriya ng Pagsusugal:** Maaaring gamitin ang mga casino at online na platform ng pagsusugal upang mabilis na ilipat ang malaking halaga ng pera. Ang industriya ay napapailalim sa mga regulasyon ng AML/CFT, at ang mga casino ay kinakailangang mag-ulat ng mga kahina-hinalang transaksyon na lampas sa Php 5 milyon.
**Dagdag pa:**
* **Mga Propesyonal:** Ang mga abogado, accountant, at iba pang propesyonal na nakikitungo sa mga transaksyon sa pananalapi ay maaaring sumailalim sa pagsisiyasat kung pinaghihinalaan silang sadyang nagpapadali sa mga aktibidad sa money laundering.
**Bakit Mahalaga ang Pagsusuri:**
* Sa masusing pagsubaybay sa mga sektor na ito, mas mabisang matutukoy at maabala ng mga awtoridad ang mga scheme ng money laundering. * Nakakatulong ito upang maprotektahan ang integridad ng sistema ng pananalapi at labanan ang mga aktibidad na kriminal.
**Tandaan:** Ang listahang ito ay hindi kumpleto, at anumang negosyo o indibidwal na sangkot sa mga kahina-hinalang aktibidad sa pananalapi ay maaaring imbestigahan.</v>
      </c>
      <c r="F886" s="2">
        <f t="shared" si="1"/>
        <v>0</v>
      </c>
      <c r="G886" s="2"/>
      <c r="H886" s="2"/>
      <c r="I886" s="2"/>
      <c r="J886" s="2"/>
      <c r="K886" s="2"/>
      <c r="L886" s="2"/>
      <c r="M886" s="2"/>
      <c r="N886" s="2"/>
      <c r="O886" s="2"/>
      <c r="P886" s="2"/>
      <c r="Q886" s="2"/>
      <c r="R886" s="2"/>
      <c r="S886" s="2"/>
      <c r="T886" s="2"/>
      <c r="U886" s="2"/>
      <c r="V886" s="2"/>
      <c r="W886" s="2"/>
      <c r="X886" s="2"/>
      <c r="Y886" s="2"/>
      <c r="Z886" s="2"/>
      <c r="AA886" s="2"/>
    </row>
    <row r="887">
      <c r="A887" s="3" t="s">
        <v>2763</v>
      </c>
      <c r="B887" s="1" t="s">
        <v>2875</v>
      </c>
      <c r="C887" s="1" t="s">
        <v>2876</v>
      </c>
      <c r="D887" s="1" t="s">
        <v>2877</v>
      </c>
      <c r="E887" s="2" t="str">
        <f>IFERROR(__xludf.DUMMYFUNCTION("GOOGLETRANSLATE(C887, ""en"", ""TL"")"),"Sa Pilipinas, ang Anti-Money Laundering Act (RA 9160) at ang mga regulasyon sa pagpapatupad nito ay nagtakda ng mga kinakailangan sa pag-uulat para sa mga negosyo upang makatulong na maiwasan ang money laundering. Narito ang isang breakdown ng mga panguna"&amp;"hing punto:
* **Mga Saklaw na Institusyon:** Ang mga negosyong inuri bilang ""mga saklaw na institusyon"" ng Bangko Sentral ng Pilipinas (BSP) o iba pang mga katawan na nagre-regulate ay napapailalim sa mga kinakailangan sa pag-uulat na ito. Kabilang dito"&amp;" ang:
* Mga bangko, quasi-bank, trust entity, pawnshop, at remittance service provider.
* Mga kompanya ng seguro at mga broker ng seguro.
* Mga mangangalakal ng mahahalagang metal at bato. * Mga casino at iba pang mga gaming establishment.
* Mga developer"&amp;" at broker ng real estate (mula noong 2013).
* Mga propesyonal tulad ng mga abogado at accountant (sa ilang mga kaso).
* **Mga Uri ng Ulat:** Ang mga saklaw na institusyon ay dapat magsumite ng dalawang pangunahing uri ng mga ulat sa Anti-Money Laundering"&amp;" Council (AMLC):
1. **Mga Saklaw na Transaksyon:** Ito ay mga transaksyong lampas sa isang tiyak na halaga sa cash o katumbas nito (kasalukuyang Php 500,000 o higit pa). Ang ulat ay dapat isampa sa loob ng limang araw ng trabaho mula sa petsa ng transaksy"&amp;"on.
2. **Mga Kahina-hinalang Transaksyon:** Ito ang mga transaksyon, anuman ang halaga, na nagpapataas ng mga pulang bandila para sa potensyal na aktibidad ng money laundering. Kasama sa mga halimbawa ang:
* Malaking cash transaction na walang malinaw na "&amp;"lehitimong source.
* Pag-istruktura (paghihiwa-hiwalay ng malalaking halaga sa mas maliliit na deposito).
* Hindi karaniwang aktibidad na hindi naaayon sa profile ng isang customer.
* **Customer Due Diligence (CDD):** Ang mga saklaw na institusyon ay kina"&amp;"kailangang magpatupad ng mga hakbang sa CDD upang i-verify ang pagkakakilanlan at pinagmumulan ng mga pondo para sa kanilang mga customer. Kabilang dito ang:
* **Pagkilala sa Customer:** Pagkuha at pagtatala ng pangunahing impormasyon tulad ng mga pangala"&amp;"n, address, at mga dokumento ng pagkakakilanlan para sa mga customer.
* **Pagtatasa ng Panganib:** Pagsusuri sa profile ng panganib ng customer batay sa mga salik tulad ng kalikasan ng negosyo, laki at dalas ng transaksyon, at lokasyong heograpikal.
* **P"&amp;"ag-iingat ng Rekord:** Ang mga saklaw na institusyon ay dapat magpanatili ng mga komprehensibong talaan ng impormasyon ng customer, mga transaksyon, at dokumentasyon ng CDD para sa isang tinukoy na panahon (karaniwan ay limang taon).
* **Pagsasanay:** Res"&amp;"ponsibilidad ng mga institusyon ang pagsasanay sa kanilang mga empleyado na kilalanin ang kahina-hinalang aktibidad at maunawaan ang kanilang mga obligasyon sa AML/CFT (Anti-Money Laundering/Combating the Financing of Terrorism).
**Kahalagahan ng Pag-uula"&amp;"t:**
* Sa pamamagitan ng agarang pag-uulat ng mga kahina-hinalang aktibidad at mga sakop na transaksyon, ang mga negosyo ay may mahalagang papel sa pagtulong sa mga awtoridad sa pag-detect at pagpigil sa money laundering.
**Mga Karagdagang Mapagkukunan:**"&amp;"
* Anti-Money Laundering Council (AMLC): [http://www.amlc.gov.ph/](http://www.amlc.gov.ph/)
* Bangko Sentral ng Pilipinas (BSP): [https://www.bsp.gov.ph/](https://www.bsp.gov.ph/)
**Disclaimer:** Ito ay para sa mga layuning pang-impormasyon lamang at hind"&amp;"i dapat maging kapalit para sa propesyonal na patnubay. Para sa mga partikular na kinakailangan sa pagsunod, kumunsulta sa iyong itinalagang katawan na nagre-regulate o isang abogado na dalubhasa sa AML/CFT.")</f>
        <v>Sa Pilipinas, ang Anti-Money Laundering Act (RA 9160) at ang mga regulasyon sa pagpapatupad nito ay nagtakda ng mga kinakailangan sa pag-uulat para sa mga negosyo upang makatulong na maiwasan ang money laundering. Narito ang isang breakdown ng mga pangunahing punto:
* **Mga Saklaw na Institusyon:** Ang mga negosyong inuri bilang "mga saklaw na institusyon" ng Bangko Sentral ng Pilipinas (BSP) o iba pang mga katawan na nagre-regulate ay napapailalim sa mga kinakailangan sa pag-uulat na ito. Kabilang dito ang:
* Mga bangko, quasi-bank, trust entity, pawnshop, at remittance service provider.
* Mga kompanya ng seguro at mga broker ng seguro.
* Mga mangangalakal ng mahahalagang metal at bato. * Mga casino at iba pang mga gaming establishment.
* Mga developer at broker ng real estate (mula noong 2013).
* Mga propesyonal tulad ng mga abogado at accountant (sa ilang mga kaso).
* **Mga Uri ng Ulat:** Ang mga saklaw na institusyon ay dapat magsumite ng dalawang pangunahing uri ng mga ulat sa Anti-Money Laundering Council (AMLC):
1. **Mga Saklaw na Transaksyon:** Ito ay mga transaksyong lampas sa isang tiyak na halaga sa cash o katumbas nito (kasalukuyang Php 500,000 o higit pa). Ang ulat ay dapat isampa sa loob ng limang araw ng trabaho mula sa petsa ng transaksyon.
2. **Mga Kahina-hinalang Transaksyon:** Ito ang mga transaksyon, anuman ang halaga, na nagpapataas ng mga pulang bandila para sa potensyal na aktibidad ng money laundering. Kasama sa mga halimbawa ang:
* Malaking cash transaction na walang malinaw na lehitimong source.
* Pag-istruktura (paghihiwa-hiwalay ng malalaking halaga sa mas maliliit na deposito).
* Hindi karaniwang aktibidad na hindi naaayon sa profile ng isang customer.
* **Customer Due Diligence (CDD):** Ang mga saklaw na institusyon ay kinakailangang magpatupad ng mga hakbang sa CDD upang i-verify ang pagkakakilanlan at pinagmumulan ng mga pondo para sa kanilang mga customer. Kabilang dito ang:
* **Pagkilala sa Customer:** Pagkuha at pagtatala ng pangunahing impormasyon tulad ng mga pangalan, address, at mga dokumento ng pagkakakilanlan para sa mga customer.
* **Pagtatasa ng Panganib:** Pagsusuri sa profile ng panganib ng customer batay sa mga salik tulad ng kalikasan ng negosyo, laki at dalas ng transaksyon, at lokasyong heograpikal.
* **Pag-iingat ng Rekord:** Ang mga saklaw na institusyon ay dapat magpanatili ng mga komprehensibong talaan ng impormasyon ng customer, mga transaksyon, at dokumentasyon ng CDD para sa isang tinukoy na panahon (karaniwan ay limang taon).
* **Pagsasanay:** Responsibilidad ng mga institusyon ang pagsasanay sa kanilang mga empleyado na kilalanin ang kahina-hinalang aktibidad at maunawaan ang kanilang mga obligasyon sa AML/CFT (Anti-Money Laundering/Combating the Financing of Terrorism).
**Kahalagahan ng Pag-uulat:**
* Sa pamamagitan ng agarang pag-uulat ng mga kahina-hinalang aktibidad at mga sakop na transaksyon, ang mga negosyo ay may mahalagang papel sa pagtulong sa mga awtoridad sa pag-detect at pagpigil sa money laundering.
**Mga Karagdagang Mapagkukunan:**
* Anti-Money Laundering Council (AMLC): [http://www.amlc.gov.ph/](http://www.amlc.gov.ph/)
* Bangko Sentral ng Pilipinas (BSP): [https://www.bsp.gov.ph/](https://www.bsp.gov.ph/)
**Disclaimer:** Ito ay para sa mga layuning pang-impormasyon lamang at hindi dapat maging kapalit para sa propesyonal na patnubay. Para sa mga partikular na kinakailangan sa pagsunod, kumunsulta sa iyong itinalagang katawan na nagre-regulate o isang abogado na dalubhasa sa AML/CFT.</v>
      </c>
      <c r="F887" s="2">
        <f t="shared" si="1"/>
        <v>0</v>
      </c>
      <c r="G887" s="2"/>
      <c r="H887" s="2"/>
      <c r="I887" s="2"/>
      <c r="J887" s="2"/>
      <c r="K887" s="2"/>
      <c r="L887" s="2"/>
      <c r="M887" s="2"/>
      <c r="N887" s="2"/>
      <c r="O887" s="2"/>
      <c r="P887" s="2"/>
      <c r="Q887" s="2"/>
      <c r="R887" s="2"/>
      <c r="S887" s="2"/>
      <c r="T887" s="2"/>
      <c r="U887" s="2"/>
      <c r="V887" s="2"/>
      <c r="W887" s="2"/>
      <c r="X887" s="2"/>
      <c r="Y887" s="2"/>
      <c r="Z887" s="2"/>
      <c r="AA887" s="2"/>
    </row>
    <row r="888">
      <c r="A888" s="3" t="s">
        <v>2763</v>
      </c>
      <c r="B888" s="1" t="s">
        <v>2878</v>
      </c>
      <c r="C888" s="1" t="s">
        <v>2879</v>
      </c>
      <c r="D888" s="1" t="s">
        <v>2880</v>
      </c>
      <c r="E888" s="2" t="str">
        <f>IFERROR(__xludf.DUMMYFUNCTION("GOOGLETRANSLATE(C888, ""en"", ""TL"")"),"Ang sistemang legal ng Pilipinas ay walang partikular na probisyon ng batas ng mga limitasyon para lamang sa money laundering sa ilalim ng Republic Act No. 9160 (Anti-Money Laundering Act o AMLA). Gayunpaman, nalalapat ang batas ng mga limitasyon para sa "&amp;"pinagbabatayan na krimen (ang ""predicate offense"") kung saan nagmula ang nilabang pera.
Narito ang isang breakdown kung paano ito gumagana:
* **Money Laundering vs. Predicate Offense:** Ang money laundering ay nagsasangkot ng pagtatago o pagtatago sa pi"&amp;"nagmumulan ng mga pondo na nagmula sa isang ilegal na aktibidad (predicate crime). * **Statute of Limitations and Predicate Crime:** Ang bawat krimen sa Pilipinas ay may partikular na batas ng mga limitasyon na nakabalangkas sa Revised Penal Code o mga es"&amp;"pesyal na batas. Tinutukoy nito ang tagal ng panahon kung kailan dapat isampa ang mga singil.
Halimbawa:
* Kung ang na-launder na pera ay nagmula sa illegal drug trafficking (predicate offense), ang naaangkop na batas ng mga limitasyon ay maaaring 20 taon"&amp;" (depende sa partikular na drug offense). * Sa kasong ito, ang mga awtoridad ay magkakaroon ng 20 taon mula sa petsa ng pagkakasala sa trafficking ng droga upang magsampa ng mga kaso para sa money laundering na may kaugnayan sa mga pondong iyon. **Mga Pan"&amp;"gunahing Punto:**
* Ang tiyak na takdang panahon para sa pagsasampa ng mga singil sa money laundering ay depende sa pinagbabatayan na krimen.
* Walang hiwalay na batas ng mga limitasyon para lamang sa mismong money laundering.
**Mga Karagdagang Pagsasaala"&amp;"ng-alang:**
* **Mga Kumplikadong Kaso:** Ang mga kaso ng money laundering ay maaaring maging kumplikado, na kinasasangkutan ng pagsubaybay sa paggalaw ng mga pondo at pangangalap ng ebidensya. Maaari nitong pahabain ang panahon ng pagsisiyasat bago isampa"&amp;" ang mga singil, kahit na nasa loob ng batas ng mga limitasyon.
* **Patuloy na Pagkakasala:** Sa ilang interpretasyon, ang money laundering ay maaaring ituring na isang patuloy na pagkakasala. Nangangahulugan ito na maaaring i-reset ang batas ng mga limit"&amp;"asyon kung lumabas ang bagong ebidensya ng aktibidad ng laundering.
**Disclaimer:** Ang paliwanag na ito ay para sa mga layuning pang-impormasyon lamang at hindi dapat ituring na legal na payo. Para sa isang komprehensibong pag-unawa sa iyong partikular n"&amp;"a sitwasyon, ang pagkonsulta sa isang abogado ay lubos na inirerekomenda.")</f>
        <v>Ang sistemang legal ng Pilipinas ay walang partikular na probisyon ng batas ng mga limitasyon para lamang sa money laundering sa ilalim ng Republic Act No. 9160 (Anti-Money Laundering Act o AMLA). Gayunpaman, nalalapat ang batas ng mga limitasyon para sa pinagbabatayan na krimen (ang "predicate offense") kung saan nagmula ang nilabang pera.
Narito ang isang breakdown kung paano ito gumagana:
* **Money Laundering vs. Predicate Offense:** Ang money laundering ay nagsasangkot ng pagtatago o pagtatago sa pinagmumulan ng mga pondo na nagmula sa isang ilegal na aktibidad (predicate crime). * **Statute of Limitations and Predicate Crime:** Ang bawat krimen sa Pilipinas ay may partikular na batas ng mga limitasyon na nakabalangkas sa Revised Penal Code o mga espesyal na batas. Tinutukoy nito ang tagal ng panahon kung kailan dapat isampa ang mga singil.
Halimbawa:
* Kung ang na-launder na pera ay nagmula sa illegal drug trafficking (predicate offense), ang naaangkop na batas ng mga limitasyon ay maaaring 20 taon (depende sa partikular na drug offense). * Sa kasong ito, ang mga awtoridad ay magkakaroon ng 20 taon mula sa petsa ng pagkakasala sa trafficking ng droga upang magsampa ng mga kaso para sa money laundering na may kaugnayan sa mga pondong iyon. **Mga Pangunahing Punto:**
* Ang tiyak na takdang panahon para sa pagsasampa ng mga singil sa money laundering ay depende sa pinagbabatayan na krimen.
* Walang hiwalay na batas ng mga limitasyon para lamang sa mismong money laundering.
**Mga Karagdagang Pagsasaalang-alang:**
* **Mga Kumplikadong Kaso:** Ang mga kaso ng money laundering ay maaaring maging kumplikado, na kinasasangkutan ng pagsubaybay sa paggalaw ng mga pondo at pangangalap ng ebidensya. Maaari nitong pahabain ang panahon ng pagsisiyasat bago isampa ang mga singil, kahit na nasa loob ng batas ng mga limitasyon.
* **Patuloy na Pagkakasala:** Sa ilang interpretasyon, ang money laundering ay maaaring ituring na isang patuloy na pagkakasala. Nangangahulugan ito na maaaring i-reset ang batas ng mga limitasyon kung lumabas ang bagong ebidensya ng aktibidad ng laundering.
**Disclaimer:** Ang paliwanag na ito ay para sa mga layuning pang-impormasyon lamang at hindi dapat ituring na legal na payo. Para sa isang komprehensibong pag-unawa sa iyong partikular na sitwasyon, ang pagkonsulta sa isang abogado ay lubos na inirerekomenda.</v>
      </c>
      <c r="F888" s="2">
        <f t="shared" si="1"/>
        <v>0</v>
      </c>
      <c r="G888" s="2"/>
      <c r="H888" s="2"/>
      <c r="I888" s="2"/>
      <c r="J888" s="2"/>
      <c r="K888" s="2"/>
      <c r="L888" s="2"/>
      <c r="M888" s="2"/>
      <c r="N888" s="2"/>
      <c r="O888" s="2"/>
      <c r="P888" s="2"/>
      <c r="Q888" s="2"/>
      <c r="R888" s="2"/>
      <c r="S888" s="2"/>
      <c r="T888" s="2"/>
      <c r="U888" s="2"/>
      <c r="V888" s="2"/>
      <c r="W888" s="2"/>
      <c r="X888" s="2"/>
      <c r="Y888" s="2"/>
      <c r="Z888" s="2"/>
      <c r="AA888" s="2"/>
    </row>
    <row r="889">
      <c r="A889" s="3" t="s">
        <v>2763</v>
      </c>
      <c r="B889" s="1" t="s">
        <v>2881</v>
      </c>
      <c r="C889" s="1" t="s">
        <v>2882</v>
      </c>
      <c r="D889" s="1" t="s">
        <v>2883</v>
      </c>
      <c r="E889" s="2" t="str">
        <f>IFERROR(__xludf.DUMMYFUNCTION("GOOGLETRANSLATE(C889, ""en"", ""TL"")"),"Kung pinaghihinalaan mong may sangkot sa money laundering sa Pilipinas, narito ang ilang hakbang na maaari mong gawin:
1. **Iulat ito sa Mga Awtoridad:** Ang pangunahing aksyon ay iulat ang iyong mga hinala sa Anti-Money Laundering Council (AMLC). Sila an"&amp;"g nangungunang ahensya sa Pilipinas para labanan ang money laundering. Maaari kang maghain ng ulat sa pamamagitan ng kanilang website [http://www.amlc.gov.ph/](http://www.amlc.gov.ph/) o sa kanilang hotline sa +632 886 5511.
2. **Magtipon ng Ebidensya (Op"&amp;"syonal):** Bagama't hindi kinakailangan, ang pagkakaroon ng ilang katibayan upang suportahan ang iyong mga hinala ay maaaring palakasin ang iyong ulat. Maaaring kabilang dito ang:
* Mga dokumento o talaan na nauugnay sa kahina-hinalang aktibidad (kung mak"&amp;"ukuha nang legal at ligtas).
* Mga petsa, oras, at lokasyon ng mga transaksyon (kung alam).
* Anumang iba pang mga detalye na maaaring makatulong, tulad ng mga saksi account (kung naaangkop).
3. **Panatilihin ang Pagiging Kumpidensyal:** Pinakamainam na p"&amp;"anatilihing kumpidensyal ang iyong mga hinala upang maiwasang malagay sa alanganin ang imbestigasyon.
4. **Protektahan ang Iyong Sarili:** Kung natatakot kang gantihan para sa pag-uulat, maaari kang humiling ng pagiging kumpidensyal mula sa AMLC. Mayroon "&amp;"silang mga mekanismo para protektahan ang pagkakakilanlan ng mga impormante.
**Mga Alternatibong Channel:**
* Maaari ka ring mag-ulat ng kahina-hinalang aktibidad sa iyong bangko o institusyong pinansyal. Obligado silang iulat ang mga naturang aktibidad s"&amp;"a AMLC.
**Mahahalagang Paalala:**
* Hindi mo kailangang magkaroon ng konkretong patunay ng money laundering. Iulat ang anumang mga hinala na mayroon ka nang may mabuting loob. * Sisiyasatin ng AMLC ang usapin at tutukuyin kung may sapat na ebidensya para "&amp;"ituloy ang isang kaso.
* Hindi ka mananagot kung ang mga akusasyon ay lumabas na walang batayan, hangga't iniulat mo nang may mabuting pananampalataya.
**Disclaimer:** Ito ay para sa mga layuning pang-impormasyon lamang at hindi dapat maging kapalit para "&amp;"sa propesyonal na patnubay. Kung mayroon kang karagdagang mga katanungan o kailangan ng legal na payo, kumunsulta sa isang abogado.")</f>
        <v>Kung pinaghihinalaan mong may sangkot sa money laundering sa Pilipinas, narito ang ilang hakbang na maaari mong gawin:
1. **Iulat ito sa Mga Awtoridad:** Ang pangunahing aksyon ay iulat ang iyong mga hinala sa Anti-Money Laundering Council (AMLC). Sila ang nangungunang ahensya sa Pilipinas para labanan ang money laundering. Maaari kang maghain ng ulat sa pamamagitan ng kanilang website [http://www.amlc.gov.ph/](http://www.amlc.gov.ph/) o sa kanilang hotline sa +632 886 5511.
2. **Magtipon ng Ebidensya (Opsyonal):** Bagama't hindi kinakailangan, ang pagkakaroon ng ilang katibayan upang suportahan ang iyong mga hinala ay maaaring palakasin ang iyong ulat. Maaaring kabilang dito ang:
* Mga dokumento o talaan na nauugnay sa kahina-hinalang aktibidad (kung makukuha nang legal at ligtas).
* Mga petsa, oras, at lokasyon ng mga transaksyon (kung alam).
* Anumang iba pang mga detalye na maaaring makatulong, tulad ng mga saksi account (kung naaangkop).
3. **Panatilihin ang Pagiging Kumpidensyal:** Pinakamainam na panatilihing kumpidensyal ang iyong mga hinala upang maiwasang malagay sa alanganin ang imbestigasyon.
4. **Protektahan ang Iyong Sarili:** Kung natatakot kang gantihan para sa pag-uulat, maaari kang humiling ng pagiging kumpidensyal mula sa AMLC. Mayroon silang mga mekanismo para protektahan ang pagkakakilanlan ng mga impormante.
**Mga Alternatibong Channel:**
* Maaari ka ring mag-ulat ng kahina-hinalang aktibidad sa iyong bangko o institusyong pinansyal. Obligado silang iulat ang mga naturang aktibidad sa AMLC.
**Mahahalagang Paalala:**
* Hindi mo kailangang magkaroon ng konkretong patunay ng money laundering. Iulat ang anumang mga hinala na mayroon ka nang may mabuting loob. * Sisiyasatin ng AMLC ang usapin at tutukuyin kung may sapat na ebidensya para ituloy ang isang kaso.
* Hindi ka mananagot kung ang mga akusasyon ay lumabas na walang batayan, hangga't iniulat mo nang may mabuting pananampalataya.
**Disclaimer:** Ito ay para sa mga layuning pang-impormasyon lamang at hindi dapat maging kapalit para sa propesyonal na patnubay. Kung mayroon kang karagdagang mga katanungan o kailangan ng legal na payo, kumunsulta sa isang abogado.</v>
      </c>
      <c r="F889" s="2">
        <f t="shared" si="1"/>
        <v>0</v>
      </c>
      <c r="G889" s="2"/>
      <c r="H889" s="2"/>
      <c r="I889" s="2"/>
      <c r="J889" s="2"/>
      <c r="K889" s="2"/>
      <c r="L889" s="2"/>
      <c r="M889" s="2"/>
      <c r="N889" s="2"/>
      <c r="O889" s="2"/>
      <c r="P889" s="2"/>
      <c r="Q889" s="2"/>
      <c r="R889" s="2"/>
      <c r="S889" s="2"/>
      <c r="T889" s="2"/>
      <c r="U889" s="2"/>
      <c r="V889" s="2"/>
      <c r="W889" s="2"/>
      <c r="X889" s="2"/>
      <c r="Y889" s="2"/>
      <c r="Z889" s="2"/>
      <c r="AA889" s="2"/>
    </row>
    <row r="890">
      <c r="A890" s="3" t="s">
        <v>2763</v>
      </c>
      <c r="B890" s="1" t="s">
        <v>2884</v>
      </c>
      <c r="C890" s="1" t="s">
        <v>2885</v>
      </c>
      <c r="D890" s="1" t="s">
        <v>2886</v>
      </c>
      <c r="E890" s="2" t="str">
        <f>IFERROR(__xludf.DUMMYFUNCTION("GOOGLETRANSLATE(C890, ""en"", ""TL"")"),"Sa Pilipinas, ang mga batas ng asset forfeiture ay isang makapangyarihang tool na ginagamit upang labanan ang money laundering, gaya ng nakabalangkas sa Republic Act No. 9160 (Anti-Money Laundering Act o AMLA) at kaugnay na jurisprudence. Narito ang isang"&amp;" breakdown kung paano ito gumagana:
**Konsepto ng Asset Forfeiture:**
* Sa mga kaso ng money laundering, ang asset forfeiture ay nagbibigay-daan sa gobyerno na sakupin at potensyal na kumuha ng pagmamay-ari ng mga asset na nagmula sa, o ginamit na may kau"&amp;"gnayan sa, labag sa batas na aktibidad.
* Nalalapat ito hindi lamang sa mismong nalabhan na pera kundi pati na rin sa anumang mga ari-arian o ari-arian na nakuha sa pamamagitan ng mga pondong iyon.
**Mga Uri ng Asset Forfeiture:**
* **Civil Forfeiture:** "&amp;"Isa itong kasong sibil na isinampa ng gobyerno laban sa asset mismo, kahit sino pa ang nagmamay-ari nito. Ang pasanin ng patunay ay nakasalalay sa gobyerno upang ipakita, sa pamamagitan ng higit na katibayan (mas malamang kaysa sa hindi), na ang asset ay "&amp;"konektado sa money laundering.
* **Criminal Forfeiture:** Ito ay isang accessory na parusa na ipinataw kapag nahatulan para sa money laundering. Ang pag-uusig ay dapat na patunayan nang walang makatwirang pagdududa na ang mga ari-arian ay nagmula o ginami"&amp;"t sa mga aktibidad sa money laundering.
**Mga Benepisyo ng Asset Forfeiture:**
* Nakakagambala sa mga pakana ng money laundering sa pamamagitan ng pag-alis sa mga kriminal ng kinita ng kanilang mga krimen.
* Pinipigilan ang hinaharap na mga aktibidad sa m"&amp;"oney laundering.
* Kinukuha ang mga pondo na maaaring magamit para sa iba pang mga layunin, tulad ng pagpopondo sa pagpapatupad ng batas o pagbabalik ng biktima.
**Mga Pangunahing Punto na Dapat Isaalang-alang:**
* **Mga Karapatan ng Inosenteng Third-Part"&amp;"y:** Kung maipakita ng isang lehitimong may-ari na nakuha nila ang asset nang may mabuting loob at walang kaalaman sa koneksyon nito sa money laundering, maaari nilang ma-claim ang asset.
* **Burden of Proof:** Ang pasanin ng patunay ay naiiba sa pagitan "&amp;"ng sibil at kriminal na forfeiture. Ang pag-unawa dito ay mahalaga para sa gobyerno at sa mga potensyal na claimant.
* **Mga Nagyeyelong Order:** Maaaring i-freeze ng mga awtoridad ang mga asset na pinaghihinalaang nauugnay sa money laundering upang maiwa"&amp;"san ang pagtatapon o paglipat ng mga ito bago ang isang pinal na desisyon sa forfeiture.
**Mga Halimbawa ng Na-forfeit na Asset:**
* Cash na nakuha mula sa mga ilegal na aktibidad.
* Mga ari-arian na binili gamit ang nilabang pera.
* Mga mamahaling sasaky"&amp;"an o iba pang mahahalagang bagay na nakuha sa pamamagitan ng ilegal na paraan.
**Disclaimer:** Ang paliwanag na ito ay para sa mga layuning pang-impormasyon lamang at hindi dapat ituring na legal na payo. Kung mayroon kang anumang mga katanungan tungkol s"&amp;"a pagkawala ng asset sa iyong partikular na sitwasyon, ang pagkonsulta sa isang abogado ay lubos na inirerekomenda.")</f>
        <v>Sa Pilipinas, ang mga batas ng asset forfeiture ay isang makapangyarihang tool na ginagamit upang labanan ang money laundering, gaya ng nakabalangkas sa Republic Act No. 9160 (Anti-Money Laundering Act o AMLA) at kaugnay na jurisprudence. Narito ang isang breakdown kung paano ito gumagana:
**Konsepto ng Asset Forfeiture:**
* Sa mga kaso ng money laundering, ang asset forfeiture ay nagbibigay-daan sa gobyerno na sakupin at potensyal na kumuha ng pagmamay-ari ng mga asset na nagmula sa, o ginamit na may kaugnayan sa, labag sa batas na aktibidad.
* Nalalapat ito hindi lamang sa mismong nalabhan na pera kundi pati na rin sa anumang mga ari-arian o ari-arian na nakuha sa pamamagitan ng mga pondong iyon.
**Mga Uri ng Asset Forfeiture:**
* **Civil Forfeiture:** Isa itong kasong sibil na isinampa ng gobyerno laban sa asset mismo, kahit sino pa ang nagmamay-ari nito. Ang pasanin ng patunay ay nakasalalay sa gobyerno upang ipakita, sa pamamagitan ng higit na katibayan (mas malamang kaysa sa hindi), na ang asset ay konektado sa money laundering.
* **Criminal Forfeiture:** Ito ay isang accessory na parusa na ipinataw kapag nahatulan para sa money laundering. Ang pag-uusig ay dapat na patunayan nang walang makatwirang pagdududa na ang mga ari-arian ay nagmula o ginamit sa mga aktibidad sa money laundering.
**Mga Benepisyo ng Asset Forfeiture:**
* Nakakagambala sa mga pakana ng money laundering sa pamamagitan ng pag-alis sa mga kriminal ng kinita ng kanilang mga krimen.
* Pinipigilan ang hinaharap na mga aktibidad sa money laundering.
* Kinukuha ang mga pondo na maaaring magamit para sa iba pang mga layunin, tulad ng pagpopondo sa pagpapatupad ng batas o pagbabalik ng biktima.
**Mga Pangunahing Punto na Dapat Isaalang-alang:**
* **Mga Karapatan ng Inosenteng Third-Party:** Kung maipakita ng isang lehitimong may-ari na nakuha nila ang asset nang may mabuting loob at walang kaalaman sa koneksyon nito sa money laundering, maaari nilang ma-claim ang asset.
* **Burden of Proof:** Ang pasanin ng patunay ay naiiba sa pagitan ng sibil at kriminal na forfeiture. Ang pag-unawa dito ay mahalaga para sa gobyerno at sa mga potensyal na claimant.
* **Mga Nagyeyelong Order:** Maaaring i-freeze ng mga awtoridad ang mga asset na pinaghihinalaang nauugnay sa money laundering upang maiwasan ang pagtatapon o paglipat ng mga ito bago ang isang pinal na desisyon sa forfeiture.
**Mga Halimbawa ng Na-forfeit na Asset:**
* Cash na nakuha mula sa mga ilegal na aktibidad.
* Mga ari-arian na binili gamit ang nilabang pera.
* Mga mamahaling sasakyan o iba pang mahahalagang bagay na nakuha sa pamamagitan ng ilegal na paraan.
**Disclaimer:** Ang paliwanag na ito ay para sa mga layuning pang-impormasyon lamang at hindi dapat ituring na legal na payo. Kung mayroon kang anumang mga katanungan tungkol sa pagkawala ng asset sa iyong partikular na sitwasyon, ang pagkonsulta sa isang abogado ay lubos na inirerekomenda.</v>
      </c>
      <c r="F890" s="2">
        <f t="shared" si="1"/>
        <v>0</v>
      </c>
      <c r="G890" s="2"/>
      <c r="H890" s="2"/>
      <c r="I890" s="2"/>
      <c r="J890" s="2"/>
      <c r="K890" s="2"/>
      <c r="L890" s="2"/>
      <c r="M890" s="2"/>
      <c r="N890" s="2"/>
      <c r="O890" s="2"/>
      <c r="P890" s="2"/>
      <c r="Q890" s="2"/>
      <c r="R890" s="2"/>
      <c r="S890" s="2"/>
      <c r="T890" s="2"/>
      <c r="U890" s="2"/>
      <c r="V890" s="2"/>
      <c r="W890" s="2"/>
      <c r="X890" s="2"/>
      <c r="Y890" s="2"/>
      <c r="Z890" s="2"/>
      <c r="AA890" s="2"/>
    </row>
    <row r="891">
      <c r="A891" s="3" t="s">
        <v>2763</v>
      </c>
      <c r="B891" s="1" t="s">
        <v>2887</v>
      </c>
      <c r="C891" s="1" t="s">
        <v>2888</v>
      </c>
      <c r="D891" s="1" t="s">
        <v>2889</v>
      </c>
      <c r="E891" s="2" t="str">
        <f>IFERROR(__xludf.DUMMYFUNCTION("GOOGLETRANSLATE(C891, ""en"", ""TL"")"),"Ang mga institusyong pampinansyal sa Pilipinas ay gumaganap ng isang mahalagang papel sa pagtukoy at pag-uulat ng mga potensyal na aktibidad ng money laundering, na kumikilos bilang mga tagabantay ng sistema ng pananalapi sa ilalim ng Republic Act No. 916"&amp;"0 (Anti-Money Laundering Act o AMLA). Narito kung paano sila nag-aambag:
**Due Diligence ng Customer (CDD):**
* Ang mga bangko at iba pang mga saklaw na institusyon ay kinakailangang magpatupad ng mga hakbang sa CDD upang i-verify ang pagkakakilanlan at p"&amp;"inagmumulan ng mga pondo para sa kanilang mga customer. Kabilang dito ang:
* Pagkuha at pagtatala ng pangunahing impormasyon tulad ng mga pangalan, address, at mga dokumento ng pagkakakilanlan.
* Pagtatasa sa profile ng panganib ng customer batay sa mga s"&amp;"alik tulad ng kalikasan ng negosyo, laki at dalas ng transaksyon, at heograpikal na lokasyon. * Sa pamamagitan ng mas mahusay na pag-unawa sa kanilang mga customer, matutukoy ng mga institusyong pampinansyal ang kahina-hinalang aktibidad na maaaring lumih"&amp;"is sa mga inaasahang pattern.
**Pagsubaybay sa Transaksyon:**
* Ang mga institusyon ay obligado na subaybayan ang mga transaksyon ng customer para sa anumang mga red flag na maaaring magpahiwatig ng money laundering. Maaaring kabilang dito ang:
* Malaking"&amp;" cash transaction na walang malinaw na lehitimong source.
* Pag-istruktura (paghihiwa-hiwalay ng malalaking halaga sa mas maliliit na deposito).
* Hindi pangkaraniwang aktibidad na hindi naaayon sa profile ng isang customer (hal., biglaang pagdami ng mga "&amp;"transaksyon para sa isang customer na may mababang kita).
* Mga transaksyong kinasasangkutan ng mga bansa o indibidwal na may mataas na panganib.
**Mga Kahina-hinalang Ulat sa Aktibidad (SARs):**
* Kung may nakitang kahina-hinalang transaksyon ang isang i"&amp;"nstitusyong pampinansyal, kinakailangan silang maghain ng SAR sa Anti-Money Laundering Council (AMLC) sa loob ng isang partikular na takdang panahon (karaniwan ay limang araw ng trabaho). Ang ulat na ito ay nagdedetalye ng kahina-hinalang aktibidad at nag"&amp;"bibigay ng may-katuturang impormasyon upang matulungan ang mga pagsisiyasat ng AMLC.
**Mga Programa sa Pagsunod:**
* Ang mga saklaw na institusyon ay dapat magtatag at magpanatili ng mga programa sa pagsunod sa AML/CFT (Anti-Money Laundering/Combating the"&amp;" Financing of Terrorism). Kasama sa mga programang ito ang:
* Pagpapatupad ng mga patakaran at pamamaraan upang maiwasan ang money laundering.
* Pagsasanay sa mga kawani upang makilala ang kahina-hinalang aktibidad at maunawaan ang kanilang mga obligasyon"&amp;" sa pag-uulat.
* Regular na sinusuri at ina-update ang kanilang AML/CFT na programa upang umangkop sa mga umuusbong na banta.
**Kahalagahan ng mga Institusyong Pinansyal:**
* Sa epektibong pagtupad sa mga tungkuling ito, ang mga institusyong pampinansyal "&amp;"ay may malaking bahagi sa pag-abala sa mga scheme ng money laundering at pagprotekta sa integridad ng sistema ng pananalapi.
* Ang kanilang pakikipagtulungan sa pagpapatupad ng batas ay mahalaga para sa pagsisiyasat at pag-uusig ng mga pagkakasala sa mone"&amp;"y laundering.
**Mga Karagdagang Tala:**
* Ang Bangko Sentral ng Pilipinas (BSP) ay naglalabas ng mga regulasyon at patnubay para sa mga saklaw na institusyon sa pagsunod sa AML/CFT.
* Ang pagkabigong sumunod sa mga regulasyong ito ay maaaring magresulta s"&amp;"a mga parusa para sa mga institusyong pinansyal.
**Disclaimer:** Ang paliwanag na ito ay para sa mga layuning pang-impormasyon lamang at hindi dapat maging kapalit ng propesyonal na patnubay. Para sa mga partikular na detalye at legal na kinakailangan, ku"&amp;"munsulta sa isang abogado o sa BSP.")</f>
        <v>Ang mga institusyong pampinansyal sa Pilipinas ay gumaganap ng isang mahalagang papel sa pagtukoy at pag-uulat ng mga potensyal na aktibidad ng money laundering, na kumikilos bilang mga tagabantay ng sistema ng pananalapi sa ilalim ng Republic Act No. 9160 (Anti-Money Laundering Act o AMLA). Narito kung paano sila nag-aambag:
**Due Diligence ng Customer (CDD):**
* Ang mga bangko at iba pang mga saklaw na institusyon ay kinakailangang magpatupad ng mga hakbang sa CDD upang i-verify ang pagkakakilanlan at pinagmumulan ng mga pondo para sa kanilang mga customer. Kabilang dito ang:
* Pagkuha at pagtatala ng pangunahing impormasyon tulad ng mga pangalan, address, at mga dokumento ng pagkakakilanlan.
* Pagtatasa sa profile ng panganib ng customer batay sa mga salik tulad ng kalikasan ng negosyo, laki at dalas ng transaksyon, at heograpikal na lokasyon. * Sa pamamagitan ng mas mahusay na pag-unawa sa kanilang mga customer, matutukoy ng mga institusyong pampinansyal ang kahina-hinalang aktibidad na maaaring lumihis sa mga inaasahang pattern.
**Pagsubaybay sa Transaksyon:**
* Ang mga institusyon ay obligado na subaybayan ang mga transaksyon ng customer para sa anumang mga red flag na maaaring magpahiwatig ng money laundering. Maaaring kabilang dito ang:
* Malaking cash transaction na walang malinaw na lehitimong source.
* Pag-istruktura (paghihiwa-hiwalay ng malalaking halaga sa mas maliliit na deposito).
* Hindi pangkaraniwang aktibidad na hindi naaayon sa profile ng isang customer (hal., biglaang pagdami ng mga transaksyon para sa isang customer na may mababang kita).
* Mga transaksyong kinasasangkutan ng mga bansa o indibidwal na may mataas na panganib.
**Mga Kahina-hinalang Ulat sa Aktibidad (SARs):**
* Kung may nakitang kahina-hinalang transaksyon ang isang institusyong pampinansyal, kinakailangan silang maghain ng SAR sa Anti-Money Laundering Council (AMLC) sa loob ng isang partikular na takdang panahon (karaniwan ay limang araw ng trabaho). Ang ulat na ito ay nagdedetalye ng kahina-hinalang aktibidad at nagbibigay ng may-katuturang impormasyon upang matulungan ang mga pagsisiyasat ng AMLC.
**Mga Programa sa Pagsunod:**
* Ang mga saklaw na institusyon ay dapat magtatag at magpanatili ng mga programa sa pagsunod sa AML/CFT (Anti-Money Laundering/Combating the Financing of Terrorism). Kasama sa mga programang ito ang:
* Pagpapatupad ng mga patakaran at pamamaraan upang maiwasan ang money laundering.
* Pagsasanay sa mga kawani upang makilala ang kahina-hinalang aktibidad at maunawaan ang kanilang mga obligasyon sa pag-uulat.
* Regular na sinusuri at ina-update ang kanilang AML/CFT na programa upang umangkop sa mga umuusbong na banta.
**Kahalagahan ng mga Institusyong Pinansyal:**
* Sa epektibong pagtupad sa mga tungkuling ito, ang mga institusyong pampinansyal ay may malaking bahagi sa pag-abala sa mga scheme ng money laundering at pagprotekta sa integridad ng sistema ng pananalapi.
* Ang kanilang pakikipagtulungan sa pagpapatupad ng batas ay mahalaga para sa pagsisiyasat at pag-uusig ng mga pagkakasala sa money laundering.
**Mga Karagdagang Tala:**
* Ang Bangko Sentral ng Pilipinas (BSP) ay naglalabas ng mga regulasyon at patnubay para sa mga saklaw na institusyon sa pagsunod sa AML/CFT.
* Ang pagkabigong sumunod sa mga regulasyong ito ay maaaring magresulta sa mga parusa para sa mga institusyong pinansyal.
**Disclaimer:** Ang paliwanag na ito ay para sa mga layuning pang-impormasyon lamang at hindi dapat maging kapalit ng propesyonal na patnubay. Para sa mga partikular na detalye at legal na kinakailangan, kumunsulta sa isang abogado o sa BSP.</v>
      </c>
      <c r="F891" s="2">
        <f t="shared" si="1"/>
        <v>0</v>
      </c>
      <c r="G891" s="2"/>
      <c r="H891" s="2"/>
      <c r="I891" s="2"/>
      <c r="J891" s="2"/>
      <c r="K891" s="2"/>
      <c r="L891" s="2"/>
      <c r="M891" s="2"/>
      <c r="N891" s="2"/>
      <c r="O891" s="2"/>
      <c r="P891" s="2"/>
      <c r="Q891" s="2"/>
      <c r="R891" s="2"/>
      <c r="S891" s="2"/>
      <c r="T891" s="2"/>
      <c r="U891" s="2"/>
      <c r="V891" s="2"/>
      <c r="W891" s="2"/>
      <c r="X891" s="2"/>
      <c r="Y891" s="2"/>
      <c r="Z891" s="2"/>
      <c r="AA891" s="2"/>
    </row>
    <row r="892">
      <c r="A892" s="3" t="s">
        <v>2763</v>
      </c>
      <c r="B892" s="1" t="s">
        <v>2890</v>
      </c>
      <c r="C892" s="1" t="s">
        <v>2891</v>
      </c>
      <c r="D892" s="1" t="s">
        <v>2892</v>
      </c>
      <c r="E892" s="2" t="str">
        <f>IFERROR(__xludf.DUMMYFUNCTION("GOOGLETRANSLATE(C892, ""en"", ""TL"")"),"Narito ang ilang hakbang na maaari mong gawin upang maprotektahan ang iyong sarili mula sa hindi sinasadyang pagkakasangkot sa mga scheme ng money laundering sa Pilipinas:
**Mag-ingat sa Mga Hindi Pangkaraniwang Transaksyon:**
* **Malalaking Deposito o Pa"&amp;"g-withdraw ng Pera:** Iwasang humawak ng malalaking halaga ng pera, lalo na kung hindi malinaw ang pinagmulan. Ang malalaking transaksyon sa pera (pesos o foreign currency) ay maaaring magtaas ng mga pulang bandila para sa money laundering.
* **Hindi Maka"&amp;"totohanang Mga Oportunidad sa Pamumuhunan:** Kung may nag-aalok ng mataas na kita na may maliit na panganib, maging maingat. Maaaring gamitin ng mga money laundering scheme ang pangako ng mabilis at madaling pera para akitin ang mga tao.
* **Madalas na Pa"&amp;"gdeposito ng Maliit na Halaga:** Ang pag-istruktura, na kinabibilangan ng paghahati-hati ng malalaking halaga sa mas maliliit na deposito upang maiwasan ang pag-uulat ng mga limitasyon, ay isang karaniwang taktika. Huwag lumahok sa mga naturang aktibidad,"&amp;" kahit na hiniling ng ibang tao. **I-verify ang Lehitimo ng mga Negosyo at Indibidwal:**
* **Mga Kumpanya o Mga Indibidwal ng Pananaliksik:** Bago makisali sa anumang mga transaksyong pinansyal, lalo na sa mga hindi pamilyar na entity, gawin ang iyong pan"&amp;"analiksik. Suriin ang kanilang mga detalye sa pagpaparehistro at mga online na pagsusuri upang malaman ang kanilang reputasyon. **Panatilihin ang Transparency sa iyong Bangko:**
* **Ipaliwanag ang Mga Malaking Transaksyon:** Kung mayroon kang lehitimong d"&amp;"ahilan para sa isang malaking deposito ng pera o pag-withdraw, talakayin ito sa iyong bangko bago. Makakatulong ito na maiwasan ang mga hindi pagkakaunawaan o mga hinala.
* **Mag-ulat ng Kahina-hinalang Aktibidad:** Kung pinaghihinalaan mo ang isang tao n"&amp;"a sumusubok na isangkot ka sa money laundering, iulat ito sa iyong bangko at sa Anti-Money Laundering Council (AMLC).
**Mga Pangkalahatang Pinakamahuhusay na Kasanayan:**
* **I-secure ang Iyong Personal na Impormasyon:** Mag-ingat sa pagbabahagi ng iyong "&amp;"personal at pinansyal na impormasyon sa iba. Kabilang dito ang mga detalye ng iyong bank account, mga dokumento ng ID, at numero ng social security.
* **Mag-ingat sa mga Money Mules:** Ang mga money mule ay mga taong hindi alam na ginagamit upang maglipat"&amp;" ng mga nilabang pera. Huwag payagan ang sinuman na gumamit ng iyong bank account upang tumanggap o magpadala ng mga pondo sa ngalan nila. * **Gumamit ng Mga Kagalang-galang na Institusyon sa Pinansyal:** Isagawa ang iyong mga transaksyon sa pananalapi sa"&amp;" pamamagitan ng mga itinatag at lisensyadong mga bangko o institusyon. **Tandaan:**
* Kung ang isang bagay ay tila napakaganda upang maging totoo, malamang na totoo. * Sa pamamagitan ng pagiging maingat at pagsunod sa mga hakbang na ito, maaari mong makab"&amp;"uluhang bawasan ang panganib na masangkot sa money laundering nang hindi nalalaman.
**Disclaimer:** Ang paliwanag na ito ay para sa mga layuning pang-impormasyon lamang at hindi dapat ituring na legal na payo. Kung mayroon kang anumang mga alalahanin o pi"&amp;"naghihinalaang aktibidad ng money laundering, inirerekomenda ang pagkonsulta sa isang abogado o iulat ito sa AMLC.")</f>
        <v>Narito ang ilang hakbang na maaari mong gawin upang maprotektahan ang iyong sarili mula sa hindi sinasadyang pagkakasangkot sa mga scheme ng money laundering sa Pilipinas:
**Mag-ingat sa Mga Hindi Pangkaraniwang Transaksyon:**
* **Malalaking Deposito o Pag-withdraw ng Pera:** Iwasang humawak ng malalaking halaga ng pera, lalo na kung hindi malinaw ang pinagmulan. Ang malalaking transaksyon sa pera (pesos o foreign currency) ay maaaring magtaas ng mga pulang bandila para sa money laundering.
* **Hindi Makatotohanang Mga Oportunidad sa Pamumuhunan:** Kung may nag-aalok ng mataas na kita na may maliit na panganib, maging maingat. Maaaring gamitin ng mga money laundering scheme ang pangako ng mabilis at madaling pera para akitin ang mga tao.
* **Madalas na Pagdeposito ng Maliit na Halaga:** Ang pag-istruktura, na kinabibilangan ng paghahati-hati ng malalaking halaga sa mas maliliit na deposito upang maiwasan ang pag-uulat ng mga limitasyon, ay isang karaniwang taktika. Huwag lumahok sa mga naturang aktibidad, kahit na hiniling ng ibang tao. **I-verify ang Lehitimo ng mga Negosyo at Indibidwal:**
* **Mga Kumpanya o Mga Indibidwal ng Pananaliksik:** Bago makisali sa anumang mga transaksyong pinansyal, lalo na sa mga hindi pamilyar na entity, gawin ang iyong pananaliksik. Suriin ang kanilang mga detalye sa pagpaparehistro at mga online na pagsusuri upang malaman ang kanilang reputasyon. **Panatilihin ang Transparency sa iyong Bangko:**
* **Ipaliwanag ang Mga Malaking Transaksyon:** Kung mayroon kang lehitimong dahilan para sa isang malaking deposito ng pera o pag-withdraw, talakayin ito sa iyong bangko bago. Makakatulong ito na maiwasan ang mga hindi pagkakaunawaan o mga hinala.
* **Mag-ulat ng Kahina-hinalang Aktibidad:** Kung pinaghihinalaan mo ang isang tao na sumusubok na isangkot ka sa money laundering, iulat ito sa iyong bangko at sa Anti-Money Laundering Council (AMLC).
**Mga Pangkalahatang Pinakamahuhusay na Kasanayan:**
* **I-secure ang Iyong Personal na Impormasyon:** Mag-ingat sa pagbabahagi ng iyong personal at pinansyal na impormasyon sa iba. Kabilang dito ang mga detalye ng iyong bank account, mga dokumento ng ID, at numero ng social security.
* **Mag-ingat sa mga Money Mules:** Ang mga money mule ay mga taong hindi alam na ginagamit upang maglipat ng mga nilabang pera. Huwag payagan ang sinuman na gumamit ng iyong bank account upang tumanggap o magpadala ng mga pondo sa ngalan nila. * **Gumamit ng Mga Kagalang-galang na Institusyon sa Pinansyal:** Isagawa ang iyong mga transaksyon sa pananalapi sa pamamagitan ng mga itinatag at lisensyadong mga bangko o institusyon. **Tandaan:**
* Kung ang isang bagay ay tila napakaganda upang maging totoo, malamang na totoo. * Sa pamamagitan ng pagiging maingat at pagsunod sa mga hakbang na ito, maaari mong makabuluhang bawasan ang panganib na masangkot sa money laundering nang hindi nalalaman.
**Disclaimer:** Ang paliwanag na ito ay para sa mga layuning pang-impormasyon lamang at hindi dapat ituring na legal na payo. Kung mayroon kang anumang mga alalahanin o pinaghihinalaang aktibidad ng money laundering, inirerekomenda ang pagkonsulta sa isang abogado o iulat ito sa AMLC.</v>
      </c>
      <c r="F892" s="2">
        <f t="shared" si="1"/>
        <v>0</v>
      </c>
      <c r="G892" s="2"/>
      <c r="H892" s="2"/>
      <c r="I892" s="2"/>
      <c r="J892" s="2"/>
      <c r="K892" s="2"/>
      <c r="L892" s="2"/>
      <c r="M892" s="2"/>
      <c r="N892" s="2"/>
      <c r="O892" s="2"/>
      <c r="P892" s="2"/>
      <c r="Q892" s="2"/>
      <c r="R892" s="2"/>
      <c r="S892" s="2"/>
      <c r="T892" s="2"/>
      <c r="U892" s="2"/>
      <c r="V892" s="2"/>
      <c r="W892" s="2"/>
      <c r="X892" s="2"/>
      <c r="Y892" s="2"/>
      <c r="Z892" s="2"/>
      <c r="AA892" s="2"/>
    </row>
    <row r="893">
      <c r="A893" s="3" t="s">
        <v>2763</v>
      </c>
      <c r="B893" s="1" t="s">
        <v>2893</v>
      </c>
      <c r="C893" s="1" t="s">
        <v>2894</v>
      </c>
      <c r="D893" s="1" t="s">
        <v>2895</v>
      </c>
      <c r="E893" s="2" t="str">
        <f>IFERROR(__xludf.DUMMYFUNCTION("GOOGLETRANSLATE(C893, ""en"", ""TL"")"),"Narito ang isang breakdown kung paano magsagawa ng angkop na pagsisikap upang mabawasan ang panganib ng hindi sinasadyang pagkakasangkot sa mga aktibidad sa money laundering sa Pilipinas:
**1. Unawain ang Mga Pulang Watawat:**
* Maging pamilyar sa mga kar"&amp;"aniwang palatandaan ng money laundering. Kabilang dito ang:
* Malaking cash transaction na walang malinaw na lehitimong source.
* Madalas na pagdedeposito ng maliliit na halaga (pag-istruktura).
* Hindi makatotohanang mga pagkakataon sa pamumuhunan na may"&amp;" mataas na kita at mababang panganib.
* Mga kahilingang gamitin ang iyong bank account para makatanggap o magpadala ng mga pondo sa ngalan ng ibang tao (money muling).
* Pakikitungo sa mga negosyo o indibidwal na may mahinang reputasyon o hindi malinaw na"&amp;" background.
**2. Mangalap ng Impormasyon:**
* **Para sa Mga Negosyo:**
* I-verify ang pagpaparehistro ng negosyo sa Securities and Exchange Commission (SEC) o Department of Trade and Industry (DTI). * Maghanap online para sa mga review, mga artikulo ng b"&amp;"alita, at anumang nauugnay na impormasyon tungkol sa reputasyon ng kumpanya.
* **Para sa mga Indibidwal:**
* Kung maaari, i-verify ang kanilang pagkakakilanlan sa pamamagitan ng mga ID na ibinigay ng gobyerno.
* Magpatuloy nang may pag-iingat kung tila na"&amp;"g-aalangan silang magbigay ng pangunahing impormasyon.
**3. Suriin ang Transaksyon:**
* **Layunin at Pinagmumulan ng mga Pondo:** Unawain ang layunin ng transaksyon at ang pinagmulan ng mga pondong kasangkot. * **Katuwiran:** Suriin kung ang halaga ng tra"&amp;"nsaksyon ay naaayon sa katangian ng negosyo o indibidwal. * **Pagiging Kumplikado:** Mag-ingat sa sobrang kumplikadong mga transaksyon o yaong kinasasangkutan ng maraming entity o hurisdiksyon.
**4. Idokumento ang Lahat:**
* Panatilihin ang isang talaan n"&amp;"g iyong mga pagsisikap sa nararapat na pagsusumikap, kabilang ang:
* Impormasyong nakuha tungkol sa negosyo o indibidwal.
* Mga kopya ng anumang mga dokumento ng pagkakakilanlan na na-verify.
* Mga talaan ng komunikasyon na may kaugnayan sa transaksyon.
*"&amp;"*5. Panatilihin ang Transparency sa iyong Bangko:**
* Kung hindi ka sigurado tungkol sa isang transaksyon o may mga alalahanin, hayagang talakayin ang mga ito sa iyong bangko. * Ipaliwanag ang katangian ng transaksyon at ang katapat na kasangkot.
**6. Mag"&amp;"-ulat ng Kahina-hinalang Aktibidad:**
* Kung pinaghihinalaan mong may kinalaman ang money laundering, iulat ito sa Anti-Money Laundering Council (AMLC) sa pamamagitan ng kanilang website [http://www.amlc.gov.ph/](http://www.amlc.gov.ph /) o hotline (+632 "&amp;"886 5511).
**Mga Karagdagang Tip:**
* Gumamit ng mga itinatag at kagalang-galang na institusyong pinansyal para sa iyong mga transaksyon.
* Iwasan ang pakikitungo sa mga indibidwal o negosyo na nagpipilit sa iyo na magmadali sa mga transaksyon o maiwasan "&amp;"ang mga karaniwang pamamaraan. * Kung ang isang bagay ay tila napakaganda upang maging totoo, malamang na totoo. Magtiwala sa iyong gut instinct.
**Disclaimer:** Ang paliwanag na ito ay para sa mga layuning pang-impormasyon lamang at hindi dapat ituring n"&amp;"a legal na payo. Para sa mga kumplikadong sitwasyon o kung mayroon kang anumang mga pagdududa, ang pagkonsulta sa isang abogado ay lubos na inirerekomenda.")</f>
        <v>Narito ang isang breakdown kung paano magsagawa ng angkop na pagsisikap upang mabawasan ang panganib ng hindi sinasadyang pagkakasangkot sa mga aktibidad sa money laundering sa Pilipinas:
**1. Unawain ang Mga Pulang Watawat:**
* Maging pamilyar sa mga karaniwang palatandaan ng money laundering. Kabilang dito ang:
* Malaking cash transaction na walang malinaw na lehitimong source.
* Madalas na pagdedeposito ng maliliit na halaga (pag-istruktura).
* Hindi makatotohanang mga pagkakataon sa pamumuhunan na may mataas na kita at mababang panganib.
* Mga kahilingang gamitin ang iyong bank account para makatanggap o magpadala ng mga pondo sa ngalan ng ibang tao (money muling).
* Pakikitungo sa mga negosyo o indibidwal na may mahinang reputasyon o hindi malinaw na background.
**2. Mangalap ng Impormasyon:**
* **Para sa Mga Negosyo:**
* I-verify ang pagpaparehistro ng negosyo sa Securities and Exchange Commission (SEC) o Department of Trade and Industry (DTI). * Maghanap online para sa mga review, mga artikulo ng balita, at anumang nauugnay na impormasyon tungkol sa reputasyon ng kumpanya.
* **Para sa mga Indibidwal:**
* Kung maaari, i-verify ang kanilang pagkakakilanlan sa pamamagitan ng mga ID na ibinigay ng gobyerno.
* Magpatuloy nang may pag-iingat kung tila nag-aalangan silang magbigay ng pangunahing impormasyon.
**3. Suriin ang Transaksyon:**
* **Layunin at Pinagmumulan ng mga Pondo:** Unawain ang layunin ng transaksyon at ang pinagmulan ng mga pondong kasangkot. * **Katuwiran:** Suriin kung ang halaga ng transaksyon ay naaayon sa katangian ng negosyo o indibidwal. * **Pagiging Kumplikado:** Mag-ingat sa sobrang kumplikadong mga transaksyon o yaong kinasasangkutan ng maraming entity o hurisdiksyon.
**4. Idokumento ang Lahat:**
* Panatilihin ang isang talaan ng iyong mga pagsisikap sa nararapat na pagsusumikap, kabilang ang:
* Impormasyong nakuha tungkol sa negosyo o indibidwal.
* Mga kopya ng anumang mga dokumento ng pagkakakilanlan na na-verify.
* Mga talaan ng komunikasyon na may kaugnayan sa transaksyon.
**5. Panatilihin ang Transparency sa iyong Bangko:**
* Kung hindi ka sigurado tungkol sa isang transaksyon o may mga alalahanin, hayagang talakayin ang mga ito sa iyong bangko. * Ipaliwanag ang katangian ng transaksyon at ang katapat na kasangkot.
**6. Mag-ulat ng Kahina-hinalang Aktibidad:**
* Kung pinaghihinalaan mong may kinalaman ang money laundering, iulat ito sa Anti-Money Laundering Council (AMLC) sa pamamagitan ng kanilang website [http://www.amlc.gov.ph/](http://www.amlc.gov.ph /) o hotline (+632 886 5511).
**Mga Karagdagang Tip:**
* Gumamit ng mga itinatag at kagalang-galang na institusyong pinansyal para sa iyong mga transaksyon.
* Iwasan ang pakikitungo sa mga indibidwal o negosyo na nagpipilit sa iyo na magmadali sa mga transaksyon o maiwasan ang mga karaniwang pamamaraan. * Kung ang isang bagay ay tila napakaganda upang maging totoo, malamang na totoo. Magtiwala sa iyong gut instinct.
**Disclaimer:** Ang paliwanag na ito ay para sa mga layuning pang-impormasyon lamang at hindi dapat ituring na legal na payo. Para sa mga kumplikadong sitwasyon o kung mayroon kang anumang mga pagdududa, ang pagkonsulta sa isang abogado ay lubos na inirerekomenda.</v>
      </c>
      <c r="F893" s="2">
        <f t="shared" si="1"/>
        <v>0</v>
      </c>
      <c r="G893" s="2"/>
      <c r="H893" s="2"/>
      <c r="I893" s="2"/>
      <c r="J893" s="2"/>
      <c r="K893" s="2"/>
      <c r="L893" s="2"/>
      <c r="M893" s="2"/>
      <c r="N893" s="2"/>
      <c r="O893" s="2"/>
      <c r="P893" s="2"/>
      <c r="Q893" s="2"/>
      <c r="R893" s="2"/>
      <c r="S893" s="2"/>
      <c r="T893" s="2"/>
      <c r="U893" s="2"/>
      <c r="V893" s="2"/>
      <c r="W893" s="2"/>
      <c r="X893" s="2"/>
      <c r="Y893" s="2"/>
      <c r="Z893" s="2"/>
      <c r="AA893" s="2"/>
    </row>
    <row r="894">
      <c r="A894" s="3" t="s">
        <v>2763</v>
      </c>
      <c r="B894" s="1" t="s">
        <v>2896</v>
      </c>
      <c r="C894" s="1" t="s">
        <v>2897</v>
      </c>
      <c r="D894" s="1" t="s">
        <v>2898</v>
      </c>
      <c r="E894" s="2" t="str">
        <f>IFERROR(__xludf.DUMMYFUNCTION("GOOGLETRANSLATE(C894, ""en"", ""TL"")"),"Ang Cryptocurrencies ay nagpapakilala ng parehong mga hamon at pagkakataon sa pag-detect at pag-uusig sa mga kaso ng money laundering sa Pilipinas. Narito ang isang breakdown ng magkabilang panig:
**Mga Hamon ng Cryptocurrencies para sa Detection ng Money"&amp;" Laundering:**
* **Pseudonymity:** Maraming cryptocurrencies ang nag-aalok ng antas ng anonymity. Habang ang mga transaksyon ay naitala sa isang pampublikong ledger (blockchain), ang mga pagkakakilanlan ng user ay kadalasang natatakpan ng mga address ng w"&amp;"allet. Ginagawa nitong mas mahirap ang pagsubaybay sa paggalaw ng mga pondo at pagtukoy sa mga taong sangkot.
* **Desentralisasyon:** Ang mga Cryptocurrencies ay tumatakbo sa mga desentralisadong network na walang sentral na awtoridad. Ginagawa nitong mah"&amp;"irap para sa mga tradisyunal na regulasyon sa pananalapi at mga kontrol ng AML/CFT (Anti-Money Laundering/Combating the Financing of Terrorism) na direktang mailapat.
* **Mga Cross-border na Transaksyon:** Ang mga transaksyon sa Crypto ay madaling lumampa"&amp;"s sa mga hangganan, na ginagawang kumplikado para sa mga pambansang awtoridad na subaybayan at imbestigahan ang kahina-hinalang aktibidad, lalo na kung limitado ang pakikipagtulungan sa pagitan ng mga bansa.
* **Mga Serbisyo sa Paghahalo:** Ang mga krimin"&amp;"al ay maaaring gumamit ng mga serbisyo ng paghahalo ng cryptocurrency upang higit pang i-anonymize ang mga transaksyon sa pamamagitan ng paghahalo ng mga na-launder na pondo sa mga lehitimong pondo, na ginagawang mas mahirap silang ma-trace.
**Mga Pagkaka"&amp;"taon na Mga Cryptocurrency na Present para sa Detection ng Money Laundering:**
* **Transparency:** Ang teknolohiya ng Blockchain ay nagbibigay ng permanente at transparent na talaan ng lahat ng mga transaksyon. Habang ang mga pagkakakilanlan ng gumagamit "&amp;"ay maaaring itago, ang paggalaw ng mga pondo ay maaari pa ring masubaybayan sa blockchain. Ang mga ahensyang nagpapatupad ng batas ay gumagawa ng mga tool upang pag-aralan ang data ng blockchain at tukuyin ang mga kahina-hinalang pattern.
* **Immutability"&amp;":** Ang mga transaksyon sa blockchain ay hindi maibabalik, na nagpapahirap sa mga kriminal na burahin ang kanilang mga track. Nagbibigay ito ng mahalagang audit trail para sa mga investigator.
* **Regulasyon:** Ang Pilipinas, tulad ng maraming bansa, ay g"&amp;"umagawa ng mga regulasyon para sa mga palitan ng cryptocurrency at mga service provider. Makakatulong ito na matukoy at masubaybayan ang kahina-hinalang aktibidad sa loob ng mga platform na ito.
**Pangkalahatang Epekto:**
* Ang mga Cryptocurrencies ay nag"&amp;"dudulot ng mga bagong hamon para sa pag-detect at pag-uusig sa money laundering.
* Gayunpaman, ang mga ahensyang nagpapatupad ng batas ay gumagawa ng mga diskarte upang magamit ang transparency at immutability ng blockchain technology para sa mga pagsisiy"&amp;"asat. * Ang epektibong regulasyon ng mga negosyong cryptocurrency ay mahalaga sa paglaban sa money laundering sa umuusbong na espasyong ito.
**Mga Karagdagang Tala:**
* Ang epekto ng cryptocurrencies sa money laundering ay umuunlad pa rin.
* Ang internasy"&amp;"onal na kooperasyon sa pagitan ng mga bansa at mga ahensyang nagpapatupad ng batas ay mahalaga para sa epektibong paglaban sa money laundering na kinasasangkutan ng mga cryptocurrencies.
**Disclaimer:** Ang paliwanag na ito ay para sa mga layuning pang-im"&amp;"pormasyon lamang at hindi dapat ituring na legal na payo. Kung mayroon kang anumang mga alalahanin tungkol sa money laundering o cryptocurrencies, inirerekomenda ang pagkonsulta sa isang abogado.")</f>
        <v>Ang Cryptocurrencies ay nagpapakilala ng parehong mga hamon at pagkakataon sa pag-detect at pag-uusig sa mga kaso ng money laundering sa Pilipinas. Narito ang isang breakdown ng magkabilang panig:
**Mga Hamon ng Cryptocurrencies para sa Detection ng Money Laundering:**
* **Pseudonymity:** Maraming cryptocurrencies ang nag-aalok ng antas ng anonymity. Habang ang mga transaksyon ay naitala sa isang pampublikong ledger (blockchain), ang mga pagkakakilanlan ng user ay kadalasang natatakpan ng mga address ng wallet. Ginagawa nitong mas mahirap ang pagsubaybay sa paggalaw ng mga pondo at pagtukoy sa mga taong sangkot.
* **Desentralisasyon:** Ang mga Cryptocurrencies ay tumatakbo sa mga desentralisadong network na walang sentral na awtoridad. Ginagawa nitong mahirap para sa mga tradisyunal na regulasyon sa pananalapi at mga kontrol ng AML/CFT (Anti-Money Laundering/Combating the Financing of Terrorism) na direktang mailapat.
* **Mga Cross-border na Transaksyon:** Ang mga transaksyon sa Crypto ay madaling lumampas sa mga hangganan, na ginagawang kumplikado para sa mga pambansang awtoridad na subaybayan at imbestigahan ang kahina-hinalang aktibidad, lalo na kung limitado ang pakikipagtulungan sa pagitan ng mga bansa.
* **Mga Serbisyo sa Paghahalo:** Ang mga kriminal ay maaaring gumamit ng mga serbisyo ng paghahalo ng cryptocurrency upang higit pang i-anonymize ang mga transaksyon sa pamamagitan ng paghahalo ng mga na-launder na pondo sa mga lehitimong pondo, na ginagawang mas mahirap silang ma-trace.
**Mga Pagkakataon na Mga Cryptocurrency na Present para sa Detection ng Money Laundering:**
* **Transparency:** Ang teknolohiya ng Blockchain ay nagbibigay ng permanente at transparent na talaan ng lahat ng mga transaksyon. Habang ang mga pagkakakilanlan ng gumagamit ay maaaring itago, ang paggalaw ng mga pondo ay maaari pa ring masubaybayan sa blockchain. Ang mga ahensyang nagpapatupad ng batas ay gumagawa ng mga tool upang pag-aralan ang data ng blockchain at tukuyin ang mga kahina-hinalang pattern.
* **Immutability:** Ang mga transaksyon sa blockchain ay hindi maibabalik, na nagpapahirap sa mga kriminal na burahin ang kanilang mga track. Nagbibigay ito ng mahalagang audit trail para sa mga investigator.
* **Regulasyon:** Ang Pilipinas, tulad ng maraming bansa, ay gumagawa ng mga regulasyon para sa mga palitan ng cryptocurrency at mga service provider. Makakatulong ito na matukoy at masubaybayan ang kahina-hinalang aktibidad sa loob ng mga platform na ito.
**Pangkalahatang Epekto:**
* Ang mga Cryptocurrencies ay nagdudulot ng mga bagong hamon para sa pag-detect at pag-uusig sa money laundering.
* Gayunpaman, ang mga ahensyang nagpapatupad ng batas ay gumagawa ng mga diskarte upang magamit ang transparency at immutability ng blockchain technology para sa mga pagsisiyasat. * Ang epektibong regulasyon ng mga negosyong cryptocurrency ay mahalaga sa paglaban sa money laundering sa umuusbong na espasyong ito.
**Mga Karagdagang Tala:**
* Ang epekto ng cryptocurrencies sa money laundering ay umuunlad pa rin.
* Ang internasyonal na kooperasyon sa pagitan ng mga bansa at mga ahensyang nagpapatupad ng batas ay mahalaga para sa epektibong paglaban sa money laundering na kinasasangkutan ng mga cryptocurrencies.
**Disclaimer:** Ang paliwanag na ito ay para sa mga layuning pang-impormasyon lamang at hindi dapat ituring na legal na payo. Kung mayroon kang anumang mga alalahanin tungkol sa money laundering o cryptocurrencies, inirerekomenda ang pagkonsulta sa isang abogado.</v>
      </c>
      <c r="F894" s="2">
        <f t="shared" si="1"/>
        <v>0</v>
      </c>
      <c r="G894" s="2"/>
      <c r="H894" s="2"/>
      <c r="I894" s="2"/>
      <c r="J894" s="2"/>
      <c r="K894" s="2"/>
      <c r="L894" s="2"/>
      <c r="M894" s="2"/>
      <c r="N894" s="2"/>
      <c r="O894" s="2"/>
      <c r="P894" s="2"/>
      <c r="Q894" s="2"/>
      <c r="R894" s="2"/>
      <c r="S894" s="2"/>
      <c r="T894" s="2"/>
      <c r="U894" s="2"/>
      <c r="V894" s="2"/>
      <c r="W894" s="2"/>
      <c r="X894" s="2"/>
      <c r="Y894" s="2"/>
      <c r="Z894" s="2"/>
      <c r="AA894" s="2"/>
    </row>
    <row r="895">
      <c r="A895" s="3" t="s">
        <v>2763</v>
      </c>
      <c r="B895" s="1" t="s">
        <v>2899</v>
      </c>
      <c r="C895" s="1" t="s">
        <v>2900</v>
      </c>
      <c r="D895" s="1" t="s">
        <v>2901</v>
      </c>
      <c r="E895" s="2" t="str">
        <f>IFERROR(__xludf.DUMMYFUNCTION("GOOGLETRANSLATE(C895, ""en"", ""TL"")"),"Ang layering ay ang pangalawang yugto ng money laundering, kasunod ng paglalagay. Sa yugtong ito, nilalayon ng mga kriminal na ikubli ang pinanggalingan ng mga iligal na pondo at magmukhang lehitimo ang mga ito. Narito ang isang breakdown kung paano gumag"&amp;"ana ang layering:
* **Layunin ng Layering:** Ang pangunahing layunin ay idistansya ang na-launder na pera mula sa kriminal na pinagmulan nito. Sa pamamagitan ng paglipat ng mga pondo sa isang serye ng mga kumplikadong transaksyon sa pananalapi, ang mga il"&amp;"igal na pinagmulan ay nagiging mahirap na matukoy.
* **Mga Paraang Ginamit sa Pag-layer:** Mayroong iba't ibang paraan na ginagamit ng mga kriminal para mag-layer ng pera, kabilang ang:
* **Smurfing:** Hinahati-hati ang malalaking halaga ng cash sa mas ma"&amp;"liliit na deposito sa ibaba ng mga threshold sa pag-uulat sa maraming bank account.
* **Pag-istruktura:** Paghahati sa malalaking transaksyon sa maraming mas maliliit para maiwasan ang pag-trigger ng Mga Kahina-hinalang Ulat sa Aktibidad (SAR) na kinakail"&amp;"angan ng mga institusyong pampinansyal.
* **Shell Companies:** Paggamit ng mga gawa-gawang negosyo upang lumikha ng mga pekeng transaksyon at mga invoice na nagpapaging lehitimo sa paggalaw ng mga pondo.
* **Mga Casino:** Pag-convert ng mga ipinagbabawal "&amp;"na pera sa mga chips ng casino, mga panalo sa pagsusugal (kahit maliit na panalo), at pagkatapos ay pag-cash out upang magmukhang lehitimo.
* **Trade-Based Money Laundering:** Higit o kulang ang pag-invoice ng mga produkto o serbisyo sa mga internasyonal "&amp;"na transaksyon sa kalakalan upang ilipat ang pera nang ilegal.
* **Cryptocurrencies:** Paggamit ng mga palitan ng cryptocurrency o paghahalo ng mga serbisyo upang i-anonymize ang mga transaksyon at itago ang pinagmulan ng mga pondo.
* **Epekto ng Layering"&amp;":** Ang bawat layer ay nagdaragdag ng pagiging kumplikado sa financial trail, na ginagawang mas mahirap para sa mga awtoridad na subaybayan ang pinagmulan ng mga pondo at ikonekta ang mga ito pabalik sa pinagbabatayan na aktibidad ng kriminal.
* **Kahalag"&amp;"ahan ng Layering:** Ang layering ay isang mahalagang yugto sa mga scheme ng money laundering. Kung walang epektibong paglalagay ng mga pondo, ang mga kriminal ay matukoy ang panganib at mas madaling maiugnay ng mga awtoridad ang pera pabalik sa iligal na "&amp;"mapagkukunan nito. **Tandaan:**
* Kung mas maraming layer ang kasangkot, mas nagiging hamon ang pagsubaybay sa maruming pera.
* Gumagamit ang mga ahensya ng pagpapatupad ng batas ng mga sopistikadong pamamaraan upang pag-aralan ang mga transaksyong pinans"&amp;"yal at tukuyin ang aktibidad ng layering. **Disclaimer:** Ang paliwanag na ito ay para sa mga layuning pang-impormasyon lamang at hindi dapat ituring na legal na payo. Kung pinaghihinalaan mo ang aktibidad ng money laundering, iulat ito sa tamang awtorida"&amp;"d.")</f>
        <v>Ang layering ay ang pangalawang yugto ng money laundering, kasunod ng paglalagay. Sa yugtong ito, nilalayon ng mga kriminal na ikubli ang pinanggalingan ng mga iligal na pondo at magmukhang lehitimo ang mga ito. Narito ang isang breakdown kung paano gumagana ang layering:
* **Layunin ng Layering:** Ang pangunahing layunin ay idistansya ang na-launder na pera mula sa kriminal na pinagmulan nito. Sa pamamagitan ng paglipat ng mga pondo sa isang serye ng mga kumplikadong transaksyon sa pananalapi, ang mga iligal na pinagmulan ay nagiging mahirap na matukoy.
* **Mga Paraang Ginamit sa Pag-layer:** Mayroong iba't ibang paraan na ginagamit ng mga kriminal para mag-layer ng pera, kabilang ang:
* **Smurfing:** Hinahati-hati ang malalaking halaga ng cash sa mas maliliit na deposito sa ibaba ng mga threshold sa pag-uulat sa maraming bank account.
* **Pag-istruktura:** Paghahati sa malalaking transaksyon sa maraming mas maliliit para maiwasan ang pag-trigger ng Mga Kahina-hinalang Ulat sa Aktibidad (SAR) na kinakailangan ng mga institusyong pampinansyal.
* **Shell Companies:** Paggamit ng mga gawa-gawang negosyo upang lumikha ng mga pekeng transaksyon at mga invoice na nagpapaging lehitimo sa paggalaw ng mga pondo.
* **Mga Casino:** Pag-convert ng mga ipinagbabawal na pera sa mga chips ng casino, mga panalo sa pagsusugal (kahit maliit na panalo), at pagkatapos ay pag-cash out upang magmukhang lehitimo.
* **Trade-Based Money Laundering:** Higit o kulang ang pag-invoice ng mga produkto o serbisyo sa mga internasyonal na transaksyon sa kalakalan upang ilipat ang pera nang ilegal.
* **Cryptocurrencies:** Paggamit ng mga palitan ng cryptocurrency o paghahalo ng mga serbisyo upang i-anonymize ang mga transaksyon at itago ang pinagmulan ng mga pondo.
* **Epekto ng Layering:** Ang bawat layer ay nagdaragdag ng pagiging kumplikado sa financial trail, na ginagawang mas mahirap para sa mga awtoridad na subaybayan ang pinagmulan ng mga pondo at ikonekta ang mga ito pabalik sa pinagbabatayan na aktibidad ng kriminal.
* **Kahalagahan ng Layering:** Ang layering ay isang mahalagang yugto sa mga scheme ng money laundering. Kung walang epektibong paglalagay ng mga pondo, ang mga kriminal ay matukoy ang panganib at mas madaling maiugnay ng mga awtoridad ang pera pabalik sa iligal na mapagkukunan nito. **Tandaan:**
* Kung mas maraming layer ang kasangkot, mas nagiging hamon ang pagsubaybay sa maruming pera.
* Gumagamit ang mga ahensya ng pagpapatupad ng batas ng mga sopistikadong pamamaraan upang pag-aralan ang mga transaksyong pinansyal at tukuyin ang aktibidad ng layering. **Disclaimer:** Ang paliwanag na ito ay para sa mga layuning pang-impormasyon lamang at hindi dapat ituring na legal na payo. Kung pinaghihinalaan mo ang aktibidad ng money laundering, iulat ito sa tamang awtoridad.</v>
      </c>
      <c r="F895" s="2">
        <f t="shared" si="1"/>
        <v>0</v>
      </c>
      <c r="G895" s="2"/>
      <c r="H895" s="2"/>
      <c r="I895" s="2"/>
      <c r="J895" s="2"/>
      <c r="K895" s="2"/>
      <c r="L895" s="2"/>
      <c r="M895" s="2"/>
      <c r="N895" s="2"/>
      <c r="O895" s="2"/>
      <c r="P895" s="2"/>
      <c r="Q895" s="2"/>
      <c r="R895" s="2"/>
      <c r="S895" s="2"/>
      <c r="T895" s="2"/>
      <c r="U895" s="2"/>
      <c r="V895" s="2"/>
      <c r="W895" s="2"/>
      <c r="X895" s="2"/>
      <c r="Y895" s="2"/>
      <c r="Z895" s="2"/>
      <c r="AA895" s="2"/>
    </row>
    <row r="896">
      <c r="A896" s="3" t="s">
        <v>2763</v>
      </c>
      <c r="B896" s="1" t="s">
        <v>2902</v>
      </c>
      <c r="C896" s="1" t="s">
        <v>2903</v>
      </c>
      <c r="D896" s="1" t="s">
        <v>2904</v>
      </c>
      <c r="E896" s="2" t="str">
        <f>IFERROR(__xludf.DUMMYFUNCTION("GOOGLETRANSLATE(C896, ""en"", ""TL"")"),"Ang pag-iwas sa buwis at pag-iwas sa buwis ay parehong mga diskarte upang bawasan ang iyong pasanin sa buwis, ngunit nahuhulog ang mga ito sa magkabilang panig ng legal na spectrum. Narito ang isang breakdown ng mga pangunahing pagkakaiba:
**Pag-iwas sa B"&amp;"uwis:**
* **Kahulugan:** Ang pag-iwas sa buwis ay ang **ilegal** na pagkilos ng sadyang pagtatago ng kita o impormasyon mula sa mga awtoridad sa buwis upang bawasan ang iyong pananagutan sa buwis. Kabilang dito ang aktibong panlilinlang sa pamahalaan tung"&amp;"kol sa iyong mga pananalapi. * **Mga Paraan:** Ang mga karaniwang paraan ng pag-iwas sa buwis ay kinabibilangan ng:
* Underreporting na kita (suweldo, interes, kita sa self-employment, atbp.)
* Nabigong maghain ng mga tax return sa kabuuan
* Paglikha ng m"&amp;"ga pekeng pagbabawas o kredito
* Pagtatago ng mga asset o kita sa mga offshore account
* **Mga Parusa:** Ang pag-iwas sa buwis ay isang malubhang krimen na may malupit na kahihinatnan. Kung mahuli, maaari mong harapin:
* Makabuluhang multa * Pagkakulong
*"&amp;" Ibalik ang mga buwis, interes, at mga parusa
**Pag-iwas sa Buwis:**
* **Kahulugan:** Ang pag-iwas sa buwis ay isang **legal** na diskarte na gumagamit ng mga pinahihintulutang pamamaraan upang mabawasan ang iyong pananagutan sa buwis. Kabilang dito ang p"&amp;"agsasamantala sa mga tax break, pagbabawas, at butas na pinapayagan ng tax code.
* **Mga Paraan:** Ang mga lehitimong diskarte sa pag-iwas sa buwis ay kinabibilangan ng:
* Pag-maximize ng mga pagbabawas para sa mga kontribusyon sa kawanggawa, interes sa m"&amp;"ortgage, at iba pang mga kwalipikadong gastos
* Pag-aambag sa mga retirement account tulad ng mga IRA o 401(k)s kung saan lumalaki ang mga kontribusyon na ipinagpaliban ng buwis
* Namumuhunan sa mga account na may pakinabang sa buwis
* Paggamit ng mga tax"&amp;" break para sa mga partikular na industriya o istruktura ng negosyo
* **Mga Benepisyo:** Ang pag-iwas sa buwis ay nagpapahintulot sa iyo na panatilihin ang higit pa sa iyong pinaghirapang pera. Ito ay isang matalinong diskarte sa pananalapi hangga't nanan"&amp;"atili ka sa loob ng mga legal na hangganan na itinakda ng tax code.
**Mga Pangunahing Pagkakaiba:**
Ang pangunahing pagkakaiba ay nasa **legality** at **intent**:
* **Legality:** Ang pag-iwas sa buwis ay legal, habang ang pag-iwas sa buwis ay isang krimen"&amp;".
* **Layunin:** Ang pag-iwas sa buwis ay naglalayong bawasan ang mga buwis sa legal na paraan, habang ang pag-iwas sa buwis ay sadyang niloloko ang mga awtoridad.
**Ang Linya sa Pagitan ng Pag-iwas at Pag-iwas:**
* Ang linya sa pagitan ng pag-iwas at pag"&amp;"-iwas kung minsan ay maaaring malabo. * Ang mga agresibong pamamaraan sa pag-iwas sa buwis na nagsasamantala sa mga butas ay maaaring mag-trigger ng pagsisiyasat mula sa mga awtoridad sa buwis. * Napakahalagang kumonsulta sa isang propesyonal sa buwis upa"&amp;"ng matiyak na ang iyong mga diskarte sa pagtitipid sa buwis ay mananatili sa loob ng mga legal na hangganan.
**Tandaan:**
* Walang masama sa paggamit ng mga diskarte sa pag-iwas sa buwis upang mabawasan ang iyong pasanin sa buwis. * Gayunpaman, mahalagang"&amp;" manatili sa kanang bahagi ng batas at iwasang tumawid sa linya sa ilegal na pag-iwas sa buwis.
**Disclaimer:** Ang paliwanag na ito ay para sa mga layuning pang-impormasyon lamang at hindi dapat ituring na payo sa buwis. Para sa mga partikular na diskart"&amp;"e o tanong sa buwis, kumunsulta sa isang kwalipikadong propesyonal sa buwis.")</f>
        <v>Ang pag-iwas sa buwis at pag-iwas sa buwis ay parehong mga diskarte upang bawasan ang iyong pasanin sa buwis, ngunit nahuhulog ang mga ito sa magkabilang panig ng legal na spectrum. Narito ang isang breakdown ng mga pangunahing pagkakaiba:
**Pag-iwas sa Buwis:**
* **Kahulugan:** Ang pag-iwas sa buwis ay ang **ilegal** na pagkilos ng sadyang pagtatago ng kita o impormasyon mula sa mga awtoridad sa buwis upang bawasan ang iyong pananagutan sa buwis. Kabilang dito ang aktibong panlilinlang sa pamahalaan tungkol sa iyong mga pananalapi. * **Mga Paraan:** Ang mga karaniwang paraan ng pag-iwas sa buwis ay kinabibilangan ng:
* Underreporting na kita (suweldo, interes, kita sa self-employment, atbp.)
* Nabigong maghain ng mga tax return sa kabuuan
* Paglikha ng mga pekeng pagbabawas o kredito
* Pagtatago ng mga asset o kita sa mga offshore account
* **Mga Parusa:** Ang pag-iwas sa buwis ay isang malubhang krimen na may malupit na kahihinatnan. Kung mahuli, maaari mong harapin:
* Makabuluhang multa * Pagkakulong
* Ibalik ang mga buwis, interes, at mga parusa
**Pag-iwas sa Buwis:**
* **Kahulugan:** Ang pag-iwas sa buwis ay isang **legal** na diskarte na gumagamit ng mga pinahihintulutang pamamaraan upang mabawasan ang iyong pananagutan sa buwis. Kabilang dito ang pagsasamantala sa mga tax break, pagbabawas, at butas na pinapayagan ng tax code.
* **Mga Paraan:** Ang mga lehitimong diskarte sa pag-iwas sa buwis ay kinabibilangan ng:
* Pag-maximize ng mga pagbabawas para sa mga kontribusyon sa kawanggawa, interes sa mortgage, at iba pang mga kwalipikadong gastos
* Pag-aambag sa mga retirement account tulad ng mga IRA o 401(k)s kung saan lumalaki ang mga kontribusyon na ipinagpaliban ng buwis
* Namumuhunan sa mga account na may pakinabang sa buwis
* Paggamit ng mga tax break para sa mga partikular na industriya o istruktura ng negosyo
* **Mga Benepisyo:** Ang pag-iwas sa buwis ay nagpapahintulot sa iyo na panatilihin ang higit pa sa iyong pinaghirapang pera. Ito ay isang matalinong diskarte sa pananalapi hangga't nananatili ka sa loob ng mga legal na hangganan na itinakda ng tax code.
**Mga Pangunahing Pagkakaiba:**
Ang pangunahing pagkakaiba ay nasa **legality** at **intent**:
* **Legality:** Ang pag-iwas sa buwis ay legal, habang ang pag-iwas sa buwis ay isang krimen.
* **Layunin:** Ang pag-iwas sa buwis ay naglalayong bawasan ang mga buwis sa legal na paraan, habang ang pag-iwas sa buwis ay sadyang niloloko ang mga awtoridad.
**Ang Linya sa Pagitan ng Pag-iwas at Pag-iwas:**
* Ang linya sa pagitan ng pag-iwas at pag-iwas kung minsan ay maaaring malabo. * Ang mga agresibong pamamaraan sa pag-iwas sa buwis na nagsasamantala sa mga butas ay maaaring mag-trigger ng pagsisiyasat mula sa mga awtoridad sa buwis. * Napakahalagang kumonsulta sa isang propesyonal sa buwis upang matiyak na ang iyong mga diskarte sa pagtitipid sa buwis ay mananatili sa loob ng mga legal na hangganan.
**Tandaan:**
* Walang masama sa paggamit ng mga diskarte sa pag-iwas sa buwis upang mabawasan ang iyong pasanin sa buwis. * Gayunpaman, mahalagang manatili sa kanang bahagi ng batas at iwasang tumawid sa linya sa ilegal na pag-iwas sa buwis.
**Disclaimer:** Ang paliwanag na ito ay para sa mga layuning pang-impormasyon lamang at hindi dapat ituring na payo sa buwis. Para sa mga partikular na diskarte o tanong sa buwis, kumunsulta sa isang kwalipikadong propesyonal sa buwis.</v>
      </c>
      <c r="F896" s="2">
        <f t="shared" si="1"/>
        <v>0</v>
      </c>
      <c r="G896" s="2"/>
      <c r="H896" s="2"/>
      <c r="I896" s="2"/>
      <c r="J896" s="2"/>
      <c r="K896" s="2"/>
      <c r="L896" s="2"/>
      <c r="M896" s="2"/>
      <c r="N896" s="2"/>
      <c r="O896" s="2"/>
      <c r="P896" s="2"/>
      <c r="Q896" s="2"/>
      <c r="R896" s="2"/>
      <c r="S896" s="2"/>
      <c r="T896" s="2"/>
      <c r="U896" s="2"/>
      <c r="V896" s="2"/>
      <c r="W896" s="2"/>
      <c r="X896" s="2"/>
      <c r="Y896" s="2"/>
      <c r="Z896" s="2"/>
      <c r="AA896" s="2"/>
    </row>
    <row r="897">
      <c r="A897" s="3" t="s">
        <v>2763</v>
      </c>
      <c r="B897" s="1" t="s">
        <v>2905</v>
      </c>
      <c r="C897" s="1" t="s">
        <v>2906</v>
      </c>
      <c r="D897" s="1" t="s">
        <v>2907</v>
      </c>
      <c r="E897" s="2" t="str">
        <f>IFERROR(__xludf.DUMMYFUNCTION("GOOGLETRANSLATE(C897, ""en"", ""TL"")"),"Ang mga kahihinatnan ng pagiging akusado o nahatulan ng pag-iwas sa buwis sa Pilipinas ay maaaring maging malubha, kapwa sa pananalapi at legal. Narito ang isang breakdown ng mga potensyal na epekto:
**Mga Parusa sa Pananalapi:**
* **Balik na Buwis, Inter"&amp;"es, at Mga Parusa:** Mananagot kang bayaran ang mga hindi nabayarang buwis na iyong iniiwasan, kasama ng malaking interes at mga parusa na maaaring maipon sa paglipas ng panahon. Ang mga parusang ito ay maaaring malaki at madaling doble o triple ang halag"&amp;"a ng orihinal na buwis na dapat bayaran.
* **Mga Legal na Bayarin:** Maaaring magastos ang pagtatanggol sa iyong sarili laban sa mga singil sa pag-iwas sa buwis. Ang mga bayad sa abogado at mga gastos sa korte ay maaaring magdagdag ng malaking pasanin sa "&amp;"pananalapi.
**Mga Legal na Bunga:**
* **Pagkulong:** Depende sa kalubhaan ng pagkakasala, ang pag-iwas sa buwis ay maaaring magresulta sa pagkakulong. Ang potensyal na oras ng pagkakakulong ay maaaring mula sa ilang buwan hanggang ilang taon. * **Criminal"&amp;" Record:** Ang paghatol para sa pag-iwas sa buwis ay mag-iiwan ng isang kriminal na rekord, na maaaring magkaroon ng pangmatagalang kahihinatnan. Maaapektuhan nito ang iyong mga pagkakataon sa trabaho, mga propesyonal na lisensya, at maging ang iyong kaka"&amp;"yahang maglakbay sa ilang mga bansa.
* **Pinsala sa Reputasyon:** Maaaring makapinsala sa iyong reputasyon at pampublikong imahe ang isang pagsingil sa pag-iwas sa buwis o paghatol.
**Mga Karagdagang Pagsasaalang-alang:**
* **Mga Sibil na Singil:** Sa ila"&amp;"ng mga kaso, maaari ring ituloy ng pamahalaan ang mga sibil na singil upang mabawi ang hindi nabayarang mga buwis at mga parusa.
* **Pagkawala ng Mga Propesyonal na Lisensya:** Para sa mga propesyonal tulad ng mga abogado, doktor, o accountant, ang pag-iw"&amp;"as sa buwis ay maaaring humantong sa pagsususpinde o pagbawi ng kanilang mga lisensya.
* **Hirap Makakuha ng Mga Pautang o Kredito:** Ang isang kriminal na rekord para sa pag-iwas sa buwis ay maaaring maging mahirap na makakuha ng mga pautang o kredito sa"&amp;" hinaharap.
**Ang Kalubhaan ng mga Kahihinatnan ay Depende sa Ilang Salik:**
* **Halaga ng Mga Hindi Nabayarang Buwis:** Kung mas malaki ang halaga ng mga iniiwasang buwis, mas mabigat ang mga parusa.
* **Intentionality:** Kung ang pag-iwas sa buwis ay si"&amp;"nadya at binalak, ang mga kahihinatnan ay magiging mas malala kaysa sa kung ito ay hindi sinasadya.
* **Kooperasyon sa mga Awtoridad:** Ang pagpapakita ng pakikipagtulungan at pagsisisi sa pamamagitan ng pagharap at pagsisiwalat ng pag-iwas sa buwis ay ma"&amp;"aaring humantong sa pagpapaubaya ng mga awtoridad.
**Tandaan:**
Ang pag-iwas sa buwis ay isang malubhang pagkakasala na may makabuluhang kahihinatnan. Kung mayroon kang anumang mga pagdududa tungkol sa iyong mga paghahain ng buwis o may utang sa likod ng "&amp;"mga buwis, mahalagang kumunsulta kaagad sa isang propesyonal sa buwis. Matutulungan ka nila na bumuo ng isang diskarte upang maging malinis at malutas ang isyu sa mga awtoridad sa buwis upang mabawasan ang mga potensyal na parusa.
**Disclaimer:** Ang pali"&amp;"wanag na ito ay para sa mga layuning pang-impormasyon lamang at hindi dapat ituring na legal na payo. Kung nahaharap ka sa mga singil sa pag-iwas sa buwis, kumunsulta sa isang abogado na dalubhasa sa batas sa buwis.")</f>
        <v>Ang mga kahihinatnan ng pagiging akusado o nahatulan ng pag-iwas sa buwis sa Pilipinas ay maaaring maging malubha, kapwa sa pananalapi at legal. Narito ang isang breakdown ng mga potensyal na epekto:
**Mga Parusa sa Pananalapi:**
* **Balik na Buwis, Interes, at Mga Parusa:** Mananagot kang bayaran ang mga hindi nabayarang buwis na iyong iniiwasan, kasama ng malaking interes at mga parusa na maaaring maipon sa paglipas ng panahon. Ang mga parusang ito ay maaaring malaki at madaling doble o triple ang halaga ng orihinal na buwis na dapat bayaran.
* **Mga Legal na Bayarin:** Maaaring magastos ang pagtatanggol sa iyong sarili laban sa mga singil sa pag-iwas sa buwis. Ang mga bayad sa abogado at mga gastos sa korte ay maaaring magdagdag ng malaking pasanin sa pananalapi.
**Mga Legal na Bunga:**
* **Pagkulong:** Depende sa kalubhaan ng pagkakasala, ang pag-iwas sa buwis ay maaaring magresulta sa pagkakulong. Ang potensyal na oras ng pagkakakulong ay maaaring mula sa ilang buwan hanggang ilang taon. * **Criminal Record:** Ang paghatol para sa pag-iwas sa buwis ay mag-iiwan ng isang kriminal na rekord, na maaaring magkaroon ng pangmatagalang kahihinatnan. Maaapektuhan nito ang iyong mga pagkakataon sa trabaho, mga propesyonal na lisensya, at maging ang iyong kakayahang maglakbay sa ilang mga bansa.
* **Pinsala sa Reputasyon:** Maaaring makapinsala sa iyong reputasyon at pampublikong imahe ang isang pagsingil sa pag-iwas sa buwis o paghatol.
**Mga Karagdagang Pagsasaalang-alang:**
* **Mga Sibil na Singil:** Sa ilang mga kaso, maaari ring ituloy ng pamahalaan ang mga sibil na singil upang mabawi ang hindi nabayarang mga buwis at mga parusa.
* **Pagkawala ng Mga Propesyonal na Lisensya:** Para sa mga propesyonal tulad ng mga abogado, doktor, o accountant, ang pag-iwas sa buwis ay maaaring humantong sa pagsususpinde o pagbawi ng kanilang mga lisensya.
* **Hirap Makakuha ng Mga Pautang o Kredito:** Ang isang kriminal na rekord para sa pag-iwas sa buwis ay maaaring maging mahirap na makakuha ng mga pautang o kredito sa hinaharap.
**Ang Kalubhaan ng mga Kahihinatnan ay Depende sa Ilang Salik:**
* **Halaga ng Mga Hindi Nabayarang Buwis:** Kung mas malaki ang halaga ng mga iniiwasang buwis, mas mabigat ang mga parusa.
* **Intentionality:** Kung ang pag-iwas sa buwis ay sinadya at binalak, ang mga kahihinatnan ay magiging mas malala kaysa sa kung ito ay hindi sinasadya.
* **Kooperasyon sa mga Awtoridad:** Ang pagpapakita ng pakikipagtulungan at pagsisisi sa pamamagitan ng pagharap at pagsisiwalat ng pag-iwas sa buwis ay maaaring humantong sa pagpapaubaya ng mga awtoridad.
**Tandaan:**
Ang pag-iwas sa buwis ay isang malubhang pagkakasala na may makabuluhang kahihinatnan. Kung mayroon kang anumang mga pagdududa tungkol sa iyong mga paghahain ng buwis o may utang sa likod ng mga buwis, mahalagang kumunsulta kaagad sa isang propesyonal sa buwis. Matutulungan ka nila na bumuo ng isang diskarte upang maging malinis at malutas ang isyu sa mga awtoridad sa buwis upang mabawasan ang mga potensyal na parusa.
**Disclaimer:** Ang paliwanag na ito ay para sa mga layuning pang-impormasyon lamang at hindi dapat ituring na legal na payo. Kung nahaharap ka sa mga singil sa pag-iwas sa buwis, kumunsulta sa isang abogado na dalubhasa sa batas sa buwis.</v>
      </c>
      <c r="F897" s="2">
        <f t="shared" si="1"/>
        <v>0</v>
      </c>
      <c r="G897" s="2"/>
      <c r="H897" s="2"/>
      <c r="I897" s="2"/>
      <c r="J897" s="2"/>
      <c r="K897" s="2"/>
      <c r="L897" s="2"/>
      <c r="M897" s="2"/>
      <c r="N897" s="2"/>
      <c r="O897" s="2"/>
      <c r="P897" s="2"/>
      <c r="Q897" s="2"/>
      <c r="R897" s="2"/>
      <c r="S897" s="2"/>
      <c r="T897" s="2"/>
      <c r="U897" s="2"/>
      <c r="V897" s="2"/>
      <c r="W897" s="2"/>
      <c r="X897" s="2"/>
      <c r="Y897" s="2"/>
      <c r="Z897" s="2"/>
      <c r="AA897" s="2"/>
    </row>
    <row r="898">
      <c r="A898" s="3" t="s">
        <v>2763</v>
      </c>
      <c r="B898" s="1" t="s">
        <v>2908</v>
      </c>
      <c r="C898" s="1" t="s">
        <v>2909</v>
      </c>
      <c r="D898" s="1" t="s">
        <v>2910</v>
      </c>
      <c r="E898" s="2" t="str">
        <f>IFERROR(__xludf.DUMMYFUNCTION("GOOGLETRANSLATE(C898, ""en"", ""TL"")"),"Sa Pilipinas, ang hindi pag-uulat ng kita nang tumpak ay may malaking legal na implikasyon, mula sa mga multa at karagdagang buwis hanggang sa mga potensyal na kasong kriminal. Narito ang isang breakdown ng mga kahihinatnan:
**Mga Parusa sa Sibil:**
* **M"&amp;"ga Kakulangan sa Buwis, Interes, at Mga Surcharge:** Tatasahin ng Bureau of Internal Revenue (BIR) ang mga hindi nabayarang buwis na dapat ay idineklara mo. Kabilang dito ang buwis sa kita, mga multa, at interes na naipon sa hindi nabayarang halaga sa pag"&amp;"lipas ng panahon. Ang mga karagdagang singil na ito ay maaaring makabuluhang tumaas ang iyong pasanin sa buwis.
**Posibleng Criminal Charges:**
* **Pag-iwas sa Buwis:** Kung matukoy ng BIR na sinadya mong itago ang iyong kita o iniligaw mo sila tungkol sa"&amp;" iyong mga pananalapi, maaari kang maharap sa mga kasong kriminal para sa pag-iwas sa buwis. Ito ay isang seryosong pagkakasala na maaaring parusahan ng:
* Pagkakulong: Depende sa kalubhaan ng kaso, ang tagal ng pagkakakulong ay maaaring mula sa ilang buw"&amp;"an hanggang ilang taon.
* Mga multa: Malaking multa ang maaaring ipataw sa ibabaw ng anumang binabayarang buwis.
**Mga Salik na Nakakaapekto sa Mga Pagsingil:**
Ang posibilidad at kalubhaan ng mga kasong kriminal ay nakasalalay sa ilang mga kadahilanan, k"&amp;"abilang ang:
* **Halaga ng Hindi Naiulat na Kita:** Kung mas malaki ang halaga ng hindi idineklara na kita, mas mataas ang pagkakataong maharap sa kriminal na pag-uusig.
* **Intentionality:** Ang mga sinadyang pagtatangka na itago ang kita ay malamang na "&amp;"humantong sa mas malupit na mga kahihinatnan kaysa sa hindi sinasadyang mga pagkakamali.
* **Kooperasyon sa mga Awtoridad:** Kusang-loob na kusang isiwalat ang hindi naiulat na kita at ang pakikipagtulungan sa imbestigasyon ng BIR ay maaaring magresulta s"&amp;"a kaluwagan.
**Iba pang Potensyal na Repercussion:**
* **Pinsala sa Reputasyon:** Ang isang pampublikong akusasyon o paghatol para sa mga paglabag na may kaugnayan sa buwis ay maaaring makapinsala sa iyong reputasyon at pampublikong imahe.
* **Hirap Makak"&amp;"uha ng Mga Pautang o Kredito:** Ang isang kriminal na rekord ay maaaring maging mahirap na makakuha ng mga pautang o kredito sa hinaharap.
* **Mga Isyu sa Propesyonal na Lisensya:** Para sa mga propesyonal tulad ng mga accountant o abogado, ang mga paglab"&amp;"ag sa buwis ay maaaring humantong sa pagsususpinde o pagbawi ng kanilang mga lisensya.
**Paano Iwasan ang Mga Isyu:**
* **Tumpak na Recordkeeping:** Panatilihin ang malinaw at organisadong mga talaan ng iyong kita at mga gastos upang matiyak ang tumpak na"&amp;" paghahain ng buwis.
* **Kumonsulta sa Tax Professional:** Kung mayroon kang anumang mga pagdududa tungkol sa iyong mga obligasyon sa buwis o kung paano iulat ang iyong kita, humingi ng patnubay mula sa isang kwalipikadong propesyonal sa buwis. Maaari ka "&amp;"nilang payuhan sa pinakamahusay na paraan ng pagkilos at tulungan kang manatiling sumusunod sa mga regulasyon sa buwis.
**Disclaimer:** Ang paliwanag na ito ay para sa mga layuning pang-impormasyon lamang at hindi dapat ituring na legal na payo. Kung mayr"&amp;"oon kang mga alalahanin tungkol sa hindi naiulat na kita o nahaharap sa mga isyu na may kaugnayan sa buwis, ang pagkonsulta sa isang abogado na dalubhasa sa batas sa buwis ay lubos na inirerekomenda.")</f>
        <v>Sa Pilipinas, ang hindi pag-uulat ng kita nang tumpak ay may malaking legal na implikasyon, mula sa mga multa at karagdagang buwis hanggang sa mga potensyal na kasong kriminal. Narito ang isang breakdown ng mga kahihinatnan:
**Mga Parusa sa Sibil:**
* **Mga Kakulangan sa Buwis, Interes, at Mga Surcharge:** Tatasahin ng Bureau of Internal Revenue (BIR) ang mga hindi nabayarang buwis na dapat ay idineklara mo. Kabilang dito ang buwis sa kita, mga multa, at interes na naipon sa hindi nabayarang halaga sa paglipas ng panahon. Ang mga karagdagang singil na ito ay maaaring makabuluhang tumaas ang iyong pasanin sa buwis.
**Posibleng Criminal Charges:**
* **Pag-iwas sa Buwis:** Kung matukoy ng BIR na sinadya mong itago ang iyong kita o iniligaw mo sila tungkol sa iyong mga pananalapi, maaari kang maharap sa mga kasong kriminal para sa pag-iwas sa buwis. Ito ay isang seryosong pagkakasala na maaaring parusahan ng:
* Pagkakulong: Depende sa kalubhaan ng kaso, ang tagal ng pagkakakulong ay maaaring mula sa ilang buwan hanggang ilang taon.
* Mga multa: Malaking multa ang maaaring ipataw sa ibabaw ng anumang binabayarang buwis.
**Mga Salik na Nakakaapekto sa Mga Pagsingil:**
Ang posibilidad at kalubhaan ng mga kasong kriminal ay nakasalalay sa ilang mga kadahilanan, kabilang ang:
* **Halaga ng Hindi Naiulat na Kita:** Kung mas malaki ang halaga ng hindi idineklara na kita, mas mataas ang pagkakataong maharap sa kriminal na pag-uusig.
* **Intentionality:** Ang mga sinadyang pagtatangka na itago ang kita ay malamang na humantong sa mas malupit na mga kahihinatnan kaysa sa hindi sinasadyang mga pagkakamali.
* **Kooperasyon sa mga Awtoridad:** Kusang-loob na kusang isiwalat ang hindi naiulat na kita at ang pakikipagtulungan sa imbestigasyon ng BIR ay maaaring magresulta sa kaluwagan.
**Iba pang Potensyal na Repercussion:**
* **Pinsala sa Reputasyon:** Ang isang pampublikong akusasyon o paghatol para sa mga paglabag na may kaugnayan sa buwis ay maaaring makapinsala sa iyong reputasyon at pampublikong imahe.
* **Hirap Makakuha ng Mga Pautang o Kredito:** Ang isang kriminal na rekord ay maaaring maging mahirap na makakuha ng mga pautang o kredito sa hinaharap.
* **Mga Isyu sa Propesyonal na Lisensya:** Para sa mga propesyonal tulad ng mga accountant o abogado, ang mga paglabag sa buwis ay maaaring humantong sa pagsususpinde o pagbawi ng kanilang mga lisensya.
**Paano Iwasan ang Mga Isyu:**
* **Tumpak na Recordkeeping:** Panatilihin ang malinaw at organisadong mga talaan ng iyong kita at mga gastos upang matiyak ang tumpak na paghahain ng buwis.
* **Kumonsulta sa Tax Professional:** Kung mayroon kang anumang mga pagdududa tungkol sa iyong mga obligasyon sa buwis o kung paano iulat ang iyong kita, humingi ng patnubay mula sa isang kwalipikadong propesyonal sa buwis. Maaari ka nilang payuhan sa pinakamahusay na paraan ng pagkilos at tulungan kang manatiling sumusunod sa mga regulasyon sa buwis.
**Disclaimer:** Ang paliwanag na ito ay para sa mga layuning pang-impormasyon lamang at hindi dapat ituring na legal na payo. Kung mayroon kang mga alalahanin tungkol sa hindi naiulat na kita o nahaharap sa mga isyu na may kaugnayan sa buwis, ang pagkonsulta sa isang abogado na dalubhasa sa batas sa buwis ay lubos na inirerekomenda.</v>
      </c>
      <c r="F898" s="2">
        <f t="shared" si="1"/>
        <v>0</v>
      </c>
      <c r="G898" s="2"/>
      <c r="H898" s="2"/>
      <c r="I898" s="2"/>
      <c r="J898" s="2"/>
      <c r="K898" s="2"/>
      <c r="L898" s="2"/>
      <c r="M898" s="2"/>
      <c r="N898" s="2"/>
      <c r="O898" s="2"/>
      <c r="P898" s="2"/>
      <c r="Q898" s="2"/>
      <c r="R898" s="2"/>
      <c r="S898" s="2"/>
      <c r="T898" s="2"/>
      <c r="U898" s="2"/>
      <c r="V898" s="2"/>
      <c r="W898" s="2"/>
      <c r="X898" s="2"/>
      <c r="Y898" s="2"/>
      <c r="Z898" s="2"/>
      <c r="AA898" s="2"/>
    </row>
    <row r="899">
      <c r="A899" s="3" t="s">
        <v>2763</v>
      </c>
      <c r="B899" s="1" t="s">
        <v>2911</v>
      </c>
      <c r="C899" s="1" t="s">
        <v>2912</v>
      </c>
      <c r="D899" s="1" t="s">
        <v>2913</v>
      </c>
      <c r="E899" s="2" t="str">
        <f>IFERROR(__xludf.DUMMYFUNCTION("GOOGLETRANSLATE(C899, ""en"", ""TL"")"),"Narito ang ilang senyales na maaaring nasa panganib ka ng hindi sinasadyang pag-iwas sa buwis sa Pilipinas:
**Hindi pamilyar sa Mga Batas sa Buwis:**
* **Kakulangan ng Kaalaman:** Kung bago ka sa paghahain ng mga buwis o hindi sigurado tungkol sa mga part"&amp;"ikular na regulasyon sa buwis na nalalapat sa iyong mga pinagmumulan ng kita, maaaring hindi mo sinasadyang makaligtaan ang pag-uulat ng ilang uri ng kita.
* **Mga Kumplikado sa Tax Code:** Ang Philippine tax code ay maaaring kumplikado, na may iba't iban"&amp;"g mga pagbabawas, mga exemption, at mga rate ng buwis depende sa uri ng iyong kita at sitwasyon. Ang hindi pamilyar sa mga nuances na ito ay maaaring humantong sa mga pagkakamali.
**Mahina Recordkeeping:**
* **Hindi Kumpleto o Hindi Tumpak na Mga Tala:** "&amp;"Kung walang malinaw at organisadong mga talaan ng iyong kita at mga gastos, mahirap tiyakin ang tumpak na paghahain ng buwis. Ang mga nawawalang resibo o pagpapabaya sa pagsubaybay sa mga daloy ng kita ay maaaring humantong sa hindi sinasadyang pagtanggal"&amp;".
* **Paghahalo ng Pananalapi ng Personal at Negosyo:** Para sa mga indibidwal na self-employed o sa mga nagpapatakbo ng maliliit na negosyo, ang pagsasama-sama ng personal at negosyong pananalapi ay maaaring maging mahirap na paghiwalayin ang nabubuwisan"&amp;"g kita ng negosyo mula sa mga personal na gastos. **Mga Pagbabago sa Iyong Pinansyal na Sitwasyon:**
* **Mga Bagong Pinagmumulan ng Kita:** Ang pagsisimula ng bagong trabaho, pagtanggap ng freelance na kita, o pagkakaroon ng kita sa pag-upa sa unang pagka"&amp;"kataon ay maaaring mangailangan ng pagsasaayos ng iyong mga pamamaraan sa paghahain ng buwis. Kung hindi mo alam ang mga kinakailangan sa pag-uulat para sa mga bagong daloy ng kita na ito, maaaring makaligtaan mong ihain ang mga kinakailangang form ng buw"&amp;"is.
* **Pagbebenta ng mga Asset:** Ang mga capital gain mula sa pagbebenta ng mga ari-arian, stock, o iba pang mga asset ay maaaring buwisan depende sa sitwasyon. Ang hindi pag-unawa sa mga implikasyon sa buwis ng mga naturang transaksyon ay maaaring huma"&amp;"ntong sa hindi sinasadyang pag-uulat.
**Mga Karaniwang Pagkakamali:**
* **Pagkabigong Iulat ang Lahat ng Kita:** Kabilang dito ang kita mula sa mga side hustles, freelance na trabaho, pag-aarkila ng mga ari-arian, o anumang mga kita na natatanggap mo.
* *"&amp;"*Maling Pag-uuri ng Kita:** Ang maling pag-uuri ng kita (hal., suweldo kumpara sa kita ng negosyo) ay maaaring humantong sa paglalapat ng mga maling rate ng buwis o pagkawala ng mga bawas.
* **Pag-claim ng Maling Pagbawas o Mga Kredito:** Ang pagkuha ng m"&amp;"ga pagbabawas o mga kredito sa buwis na hindi ka kwalipikado ay maaaring mag-trigger ng pagsisiyasat mula sa Bureau of Internal Revenue (BIR).
**Paano Bawasan ang Panganib:**
* **Educate Yourself:** Alamin ang mga pangunahing kaalaman sa paghahain ng buwi"&amp;"s sa Pilipinas. Ang website ng BIR ay nag-aalok ng mga mapagkukunan at gabay para sa mga nagbabayad ng buwis. * **Kumonsulta sa Tax Professional:** Kung mayroon kang anumang mga pagdududa o kumplikado sa iyong sitwasyon sa buwis, isaalang-alang ang paghin"&amp;"gi ng gabay mula sa isang kwalipikadong propesyonal sa buwis. Maaari nilang matiyak na tumpak kang mag-file at payuhan ka sa pag-maximize ng mga pagbabawas at mga kredito kung saan ka kwalipikado.
* **Panatilihin ang Mabuting Mga Tala:** Panatilihin ang m"&amp;"alinaw at organisadong mga talaan ng lahat ng iyong pinagmumulan ng kita at mga nauugnay na gastos sa buong taon. Gagawin nitong mas madali ang pag-file ng iyong mga buwis at mababawasan ang panganib ng mga pagkakamali.
* **Mag-file sa Oras:** Kahit na ma"&amp;"y utang ka sa mga buwis, mahalagang ihain ang iyong tax return sa oras upang maiwasan ang mga parusa para sa huli na pag-file.
**Tandaan:**
Nag-aalok ang Bureau of Internal Revenue (BIR) ng isang boluntaryong programa sa pagsisiwalat na nagpapahintulot sa"&amp;" mga nagbabayad ng buwis na ibunyag ang dati nang hindi naiulat na kita at magbayad ng anumang mga buwis na dapat bayaran nang may pinababang mga parusa. Maaaring maging kapaki-pakinabang na opsyon ang program na ito kung napagtanto mong nakagawa ka ng mg"&amp;"a hindi sinasadyang pagkakamali sa iyong mga nakaraang pag-file ng buwis.
**Disclaimer:** Ang paliwanag na ito ay para sa mga layuning pang-impormasyon lamang at hindi dapat ituring na legal na payo. Kung mayroon kang mga alalahanin tungkol sa iyong sitwa"&amp;"syon sa buwis o pinaghihinalaan mo na maaaring mayroon kang hindi naiulat na kita, ang pagkonsulta sa isang abogado na dalubhasa sa batas sa buwis ay lubos na inirerekomenda.")</f>
        <v>Narito ang ilang senyales na maaaring nasa panganib ka ng hindi sinasadyang pag-iwas sa buwis sa Pilipinas:
**Hindi pamilyar sa Mga Batas sa Buwis:**
* **Kakulangan ng Kaalaman:** Kung bago ka sa paghahain ng mga buwis o hindi sigurado tungkol sa mga partikular na regulasyon sa buwis na nalalapat sa iyong mga pinagmumulan ng kita, maaaring hindi mo sinasadyang makaligtaan ang pag-uulat ng ilang uri ng kita.
* **Mga Kumplikado sa Tax Code:** Ang Philippine tax code ay maaaring kumplikado, na may iba't ibang mga pagbabawas, mga exemption, at mga rate ng buwis depende sa uri ng iyong kita at sitwasyon. Ang hindi pamilyar sa mga nuances na ito ay maaaring humantong sa mga pagkakamali.
**Mahina Recordkeeping:**
* **Hindi Kumpleto o Hindi Tumpak na Mga Tala:** Kung walang malinaw at organisadong mga talaan ng iyong kita at mga gastos, mahirap tiyakin ang tumpak na paghahain ng buwis. Ang mga nawawalang resibo o pagpapabaya sa pagsubaybay sa mga daloy ng kita ay maaaring humantong sa hindi sinasadyang pagtanggal.
* **Paghahalo ng Pananalapi ng Personal at Negosyo:** Para sa mga indibidwal na self-employed o sa mga nagpapatakbo ng maliliit na negosyo, ang pagsasama-sama ng personal at negosyong pananalapi ay maaaring maging mahirap na paghiwalayin ang nabubuwisang kita ng negosyo mula sa mga personal na gastos. **Mga Pagbabago sa Iyong Pinansyal na Sitwasyon:**
* **Mga Bagong Pinagmumulan ng Kita:** Ang pagsisimula ng bagong trabaho, pagtanggap ng freelance na kita, o pagkakaroon ng kita sa pag-upa sa unang pagkakataon ay maaaring mangailangan ng pagsasaayos ng iyong mga pamamaraan sa paghahain ng buwis. Kung hindi mo alam ang mga kinakailangan sa pag-uulat para sa mga bagong daloy ng kita na ito, maaaring makaligtaan mong ihain ang mga kinakailangang form ng buwis.
* **Pagbebenta ng mga Asset:** Ang mga capital gain mula sa pagbebenta ng mga ari-arian, stock, o iba pang mga asset ay maaaring buwisan depende sa sitwasyon. Ang hindi pag-unawa sa mga implikasyon sa buwis ng mga naturang transaksyon ay maaaring humantong sa hindi sinasadyang pag-uulat.
**Mga Karaniwang Pagkakamali:**
* **Pagkabigong Iulat ang Lahat ng Kita:** Kabilang dito ang kita mula sa mga side hustles, freelance na trabaho, pag-aarkila ng mga ari-arian, o anumang mga kita na natatanggap mo.
* **Maling Pag-uuri ng Kita:** Ang maling pag-uuri ng kita (hal., suweldo kumpara sa kita ng negosyo) ay maaaring humantong sa paglalapat ng mga maling rate ng buwis o pagkawala ng mga bawas.
* **Pag-claim ng Maling Pagbawas o Mga Kredito:** Ang pagkuha ng mga pagbabawas o mga kredito sa buwis na hindi ka kwalipikado ay maaaring mag-trigger ng pagsisiyasat mula sa Bureau of Internal Revenue (BIR).
**Paano Bawasan ang Panganib:**
* **Educate Yourself:** Alamin ang mga pangunahing kaalaman sa paghahain ng buwis sa Pilipinas. Ang website ng BIR ay nag-aalok ng mga mapagkukunan at gabay para sa mga nagbabayad ng buwis. * **Kumonsulta sa Tax Professional:** Kung mayroon kang anumang mga pagdududa o kumplikado sa iyong sitwasyon sa buwis, isaalang-alang ang paghingi ng gabay mula sa isang kwalipikadong propesyonal sa buwis. Maaari nilang matiyak na tumpak kang mag-file at payuhan ka sa pag-maximize ng mga pagbabawas at mga kredito kung saan ka kwalipikado.
* **Panatilihin ang Mabuting Mga Tala:** Panatilihin ang malinaw at organisadong mga talaan ng lahat ng iyong pinagmumulan ng kita at mga nauugnay na gastos sa buong taon. Gagawin nitong mas madali ang pag-file ng iyong mga buwis at mababawasan ang panganib ng mga pagkakamali.
* **Mag-file sa Oras:** Kahit na may utang ka sa mga buwis, mahalagang ihain ang iyong tax return sa oras upang maiwasan ang mga parusa para sa huli na pag-file.
**Tandaan:**
Nag-aalok ang Bureau of Internal Revenue (BIR) ng isang boluntaryong programa sa pagsisiwalat na nagpapahintulot sa mga nagbabayad ng buwis na ibunyag ang dati nang hindi naiulat na kita at magbayad ng anumang mga buwis na dapat bayaran nang may pinababang mga parusa. Maaaring maging kapaki-pakinabang na opsyon ang program na ito kung napagtanto mong nakagawa ka ng mga hindi sinasadyang pagkakamali sa iyong mga nakaraang pag-file ng buwis.
**Disclaimer:** Ang paliwanag na ito ay para sa mga layuning pang-impormasyon lamang at hindi dapat ituring na legal na payo. Kung mayroon kang mga alalahanin tungkol sa iyong sitwasyon sa buwis o pinaghihinalaan mo na maaaring mayroon kang hindi naiulat na kita, ang pagkonsulta sa isang abogado na dalubhasa sa batas sa buwis ay lubos na inirerekomenda.</v>
      </c>
      <c r="F899" s="2">
        <f t="shared" si="1"/>
        <v>0</v>
      </c>
      <c r="G899" s="2"/>
      <c r="H899" s="2"/>
      <c r="I899" s="2"/>
      <c r="J899" s="2"/>
      <c r="K899" s="2"/>
      <c r="L899" s="2"/>
      <c r="M899" s="2"/>
      <c r="N899" s="2"/>
      <c r="O899" s="2"/>
      <c r="P899" s="2"/>
      <c r="Q899" s="2"/>
      <c r="R899" s="2"/>
      <c r="S899" s="2"/>
      <c r="T899" s="2"/>
      <c r="U899" s="2"/>
      <c r="V899" s="2"/>
      <c r="W899" s="2"/>
      <c r="X899" s="2"/>
      <c r="Y899" s="2"/>
      <c r="Z899" s="2"/>
      <c r="AA899" s="2"/>
    </row>
    <row r="900">
      <c r="A900" s="3" t="s">
        <v>2763</v>
      </c>
      <c r="B900" s="1" t="s">
        <v>2914</v>
      </c>
      <c r="C900" s="1" t="s">
        <v>2915</v>
      </c>
      <c r="D900" s="1" t="s">
        <v>2916</v>
      </c>
      <c r="E900" s="2" t="str">
        <f>IFERROR(__xludf.DUMMYFUNCTION("GOOGLETRANSLATE(C900, ""en"", ""TL"")"),"Narito ang ilang karaniwang paraan na hindi sinasadya ng mga indibidwal na gumawa ng pag-iwas sa buwis sa Pilipinas:
**Hindi pamilyar sa Mga Batas sa Buwis:**
* **Mga Nawawalang Uri ng Kita:** Ang mga taong bago sa paghahain ng buwis o walang alam sa mga "&amp;"partikular na regulasyon ay maaaring makaligtaan sa pag-uulat ng ilang partikular na pinagmumulan ng kita. Maaaring kabilang dito ang:
* Freelance na kita mula sa mga online gig o side hustles.
* Kita sa upa mula sa mga ari-arian.
* Interes na nakuha sa m"&amp;"ga savings account o pamumuhunan.
* Mga stock dividend o capital gains mula sa pagbebenta ng mga asset.
* **Maling Mga Bracket o Rate ng Buwis:** Ang hindi pag-unawa sa naaangkop na mga bracket ng buwis o mga rate para sa antas ng iyong kita ay maaaring h"&amp;"umantong sa mga maling kalkulasyon at kulang sa pagbabayad ng mga buwis.
**Mahinang Mga Kasanayan sa Pag-record:**
* **Hindi Kumpleto o Nawawalang Mga Tala:** Kung walang wastong dokumentasyon ng kita at mga gastos, mahirap tiyakin ang tumpak na paghahain"&amp;" ng buwis. Ito ay maaaring humantong sa:
* Nawawalang mga resibo o invoice para sa mga nababawas na gastos sa negosyo.
* Hindi tumpak na pagsubaybay sa mga daloy ng kita, lalo na para sa mga negosyong nakabatay sa pera.
* Kahirapan sa paghihiwalay ng pers"&amp;"onal at negosyong pananalapi para sa mga indibidwal na nagtatrabaho sa sarili.
* **Paraan ng Shoebox:** Ang simpleng pagkolekta ng mga resibo at paglalagay ng mga ito sa isang kahon ay nagiging mahirap na ikategorya at suriin ang mga ito pagdating ng pana"&amp;"hon ng buwis. **Pagpapabaya sa File ng Mga Kinakailangang Form:**
* **Hindi Nagrerehistro para sa Mga Buwis:** Maaaring makalimutan ng mga indibidwal na nagsisimula ng negosyo o tumatanggap ng freelance na kita na magparehistro sa Bureau of Internal Reven"&amp;"ue (BIR) at kumuha ng mga kinakailangang numero ng pagkakakilanlan sa buwis.
* **Mga Nawawalang Partikular na Form:** Depende sa iyong mga pinagmumulan ng kita, maaaring kailanganin mong mag-file ng mga karagdagang form na lampas sa karaniwang income tax "&amp;"return (hal., para sa mga fringe benefits, stock transactions, atbp.).
**Pag-claim ng Mga Maling Deduction o Credits:**
* **Mga Hindi Kwalipikadong Pagbawas:** Ang pag-claim ng mga bawas para sa mga gastusin na hindi ka karapat-dapat ay maaaring magtaas n"&amp;"g red flag sa BIR. * **Maling Pag-unawa sa Mga Panuntunan sa Pagbawas:** Ang hindi pag-unawa sa mga partikular na kinakailangan para sa pag-claim ng mga pagbabawas (hal., mga pagbabawas sa home office, mga gastos sa paglalakbay) ay maaaring humantong sa m"&amp;"ga pagkakamali.
* **Pagmamalabis ng mga Gastos:** Ang pagpapalaki ng halaga ng mga nababawas na gastos ay maaaring maging kaakit-akit, ngunit pinapataas nito ang panganib na ma-audit.
**Mga Karaniwang Pagkakamali:**
* **Pagbabalewala sa 13th Month Pay at "&amp;"Mga Bonus:** Ito ang mga pinagmumulan ng kita na nabubuwisan at kailangang ideklara sa iyong tax return.
* **Pagkalimot Tungkol sa Mga Regalo at Donasyon:** Bagama't hindi lahat ng regalo ay nabubuwisan, ang pag-unawa sa mga patakaran sa pagtanggap ng mal"&amp;"alaking regalo o donasyon ay napakahalaga.
* **Paghahalo ng Negosyo at Personal na Paggamit ng mga Asset:** Ang paggamit ng personal na sasakyan para sa mga layunin ng negosyo ay nangangailangan ng wastong recordkeeping upang ma-claim ang mga naaangkop na"&amp;" bawas.
**Tandaan:**
Ito ay ilan lamang sa mga karaniwang halimbawa. Ang intensyon ay isang pangunahing salik sa pag-iwas sa buwis. Kung hindi mo sinasadyang nagkamali, ang BIR ay nag-aalok ng isang boluntaryong programa sa pagsisiwalat upang maituwid ang"&amp;" sitwasyon na may pinababang mga parusa.
**Disclaimer:** Ang paliwanag na ito ay para sa mga layuning pang-impormasyon lamang at hindi dapat ituring na legal na payo. Kung mayroon kang mga alalahanin tungkol sa iyong sitwasyon sa buwis o pinaghihinalaan m"&amp;"o na maaaring mayroon kang hindi naiulat na kita, ang pagkonsulta sa isang abogado na dalubhasa sa batas sa buwis ay lubos na inirerekomenda.")</f>
        <v>Narito ang ilang karaniwang paraan na hindi sinasadya ng mga indibidwal na gumawa ng pag-iwas sa buwis sa Pilipinas:
**Hindi pamilyar sa Mga Batas sa Buwis:**
* **Mga Nawawalang Uri ng Kita:** Ang mga taong bago sa paghahain ng buwis o walang alam sa mga partikular na regulasyon ay maaaring makaligtaan sa pag-uulat ng ilang partikular na pinagmumulan ng kita. Maaaring kabilang dito ang:
* Freelance na kita mula sa mga online gig o side hustles.
* Kita sa upa mula sa mga ari-arian.
* Interes na nakuha sa mga savings account o pamumuhunan.
* Mga stock dividend o capital gains mula sa pagbebenta ng mga asset.
* **Maling Mga Bracket o Rate ng Buwis:** Ang hindi pag-unawa sa naaangkop na mga bracket ng buwis o mga rate para sa antas ng iyong kita ay maaaring humantong sa mga maling kalkulasyon at kulang sa pagbabayad ng mga buwis.
**Mahinang Mga Kasanayan sa Pag-record:**
* **Hindi Kumpleto o Nawawalang Mga Tala:** Kung walang wastong dokumentasyon ng kita at mga gastos, mahirap tiyakin ang tumpak na paghahain ng buwis. Ito ay maaaring humantong sa:
* Nawawalang mga resibo o invoice para sa mga nababawas na gastos sa negosyo.
* Hindi tumpak na pagsubaybay sa mga daloy ng kita, lalo na para sa mga negosyong nakabatay sa pera.
* Kahirapan sa paghihiwalay ng personal at negosyong pananalapi para sa mga indibidwal na nagtatrabaho sa sarili.
* **Paraan ng Shoebox:** Ang simpleng pagkolekta ng mga resibo at paglalagay ng mga ito sa isang kahon ay nagiging mahirap na ikategorya at suriin ang mga ito pagdating ng panahon ng buwis. **Pagpapabaya sa File ng Mga Kinakailangang Form:**
* **Hindi Nagrerehistro para sa Mga Buwis:** Maaaring makalimutan ng mga indibidwal na nagsisimula ng negosyo o tumatanggap ng freelance na kita na magparehistro sa Bureau of Internal Revenue (BIR) at kumuha ng mga kinakailangang numero ng pagkakakilanlan sa buwis.
* **Mga Nawawalang Partikular na Form:** Depende sa iyong mga pinagmumulan ng kita, maaaring kailanganin mong mag-file ng mga karagdagang form na lampas sa karaniwang income tax return (hal., para sa mga fringe benefits, stock transactions, atbp.).
**Pag-claim ng Mga Maling Deduction o Credits:**
* **Mga Hindi Kwalipikadong Pagbawas:** Ang pag-claim ng mga bawas para sa mga gastusin na hindi ka karapat-dapat ay maaaring magtaas ng red flag sa BIR. * **Maling Pag-unawa sa Mga Panuntunan sa Pagbawas:** Ang hindi pag-unawa sa mga partikular na kinakailangan para sa pag-claim ng mga pagbabawas (hal., mga pagbabawas sa home office, mga gastos sa paglalakbay) ay maaaring humantong sa mga pagkakamali.
* **Pagmamalabis ng mga Gastos:** Ang pagpapalaki ng halaga ng mga nababawas na gastos ay maaaring maging kaakit-akit, ngunit pinapataas nito ang panganib na ma-audit.
**Mga Karaniwang Pagkakamali:**
* **Pagbabalewala sa 13th Month Pay at Mga Bonus:** Ito ang mga pinagmumulan ng kita na nabubuwisan at kailangang ideklara sa iyong tax return.
* **Pagkalimot Tungkol sa Mga Regalo at Donasyon:** Bagama't hindi lahat ng regalo ay nabubuwisan, ang pag-unawa sa mga patakaran sa pagtanggap ng malalaking regalo o donasyon ay napakahalaga.
* **Paghahalo ng Negosyo at Personal na Paggamit ng mga Asset:** Ang paggamit ng personal na sasakyan para sa mga layunin ng negosyo ay nangangailangan ng wastong recordkeeping upang ma-claim ang mga naaangkop na bawas.
**Tandaan:**
Ito ay ilan lamang sa mga karaniwang halimbawa. Ang intensyon ay isang pangunahing salik sa pag-iwas sa buwis. Kung hindi mo sinasadyang nagkamali, ang BIR ay nag-aalok ng isang boluntaryong programa sa pagsisiwalat upang maituwid ang sitwasyon na may pinababang mga parusa.
**Disclaimer:** Ang paliwanag na ito ay para sa mga layuning pang-impormasyon lamang at hindi dapat ituring na legal na payo. Kung mayroon kang mga alalahanin tungkol sa iyong sitwasyon sa buwis o pinaghihinalaan mo na maaaring mayroon kang hindi naiulat na kita, ang pagkonsulta sa isang abogado na dalubhasa sa batas sa buwis ay lubos na inirerekomenda.</v>
      </c>
      <c r="F900" s="2">
        <f t="shared" si="1"/>
        <v>0</v>
      </c>
      <c r="G900" s="2"/>
      <c r="H900" s="2"/>
      <c r="I900" s="2"/>
      <c r="J900" s="2"/>
      <c r="K900" s="2"/>
      <c r="L900" s="2"/>
      <c r="M900" s="2"/>
      <c r="N900" s="2"/>
      <c r="O900" s="2"/>
      <c r="P900" s="2"/>
      <c r="Q900" s="2"/>
      <c r="R900" s="2"/>
      <c r="S900" s="2"/>
      <c r="T900" s="2"/>
      <c r="U900" s="2"/>
      <c r="V900" s="2"/>
      <c r="W900" s="2"/>
      <c r="X900" s="2"/>
      <c r="Y900" s="2"/>
      <c r="Z900" s="2"/>
      <c r="AA900" s="2"/>
    </row>
    <row r="901">
      <c r="A901" s="3" t="s">
        <v>2763</v>
      </c>
      <c r="B901" s="1" t="s">
        <v>2917</v>
      </c>
      <c r="C901" s="1" t="s">
        <v>2918</v>
      </c>
      <c r="D901" s="1" t="s">
        <v>2919</v>
      </c>
      <c r="E901" s="2" t="str">
        <f>IFERROR(__xludf.DUMMYFUNCTION("GOOGLETRANSLATE(C901, ""en"", ""TL"")"),"Ang batas ng mga limitasyon para sa mga kaso ng pag-iwas sa buwis sa Pilipinas ay tinukoy ng Tax Code, partikular sa Republic Act No. 8424 (Tax Code of 1997). Narito ang isang breakdown ng mga nauugnay na seksyon:
* **Pangkalahatang Panuntunan (Seksyon 20"&amp;"3):** Ang Bureau of Internal Revenue (BIR) ay karaniwang mayroong **tatlong (3) taon** upang tasahin ang mga buwis sa panloob na kita. Ang panahong ito ay binibilang mula sa huling araw na itinakda ng batas para sa paghahain ng tax return o mula sa araw n"&amp;"a isinampa ang return, alinman ang mas huli (Seksyon 203(2)).
* **Exception: Fraud o Failure to File (Seksyon 222):** Kung ang BIR ay nakatuklas ng **false o fraudulent return with intent to evade tax** or there is a complete **failure to file a return**,"&amp;" ang panahon ng pagtatasa ay pinalawig hanggang **sampung (10) taon** pagkatapos matuklasan ang kasinungalingan, pandaraya, o pagkukulang (Seksyon 222(a)).
* **Koleksyon ng mga Buwis (Seksyon 222):** Ang BIR sa pangkalahatan ay may **limang (5) taon** upa"&amp;"ng mangolekta ng mga buwis pagkatapos gawin ang pagtatasa o pagkatapos maisampa ang pagbabalik (Seksyon 222(c)). May mga probisyon para sa pagpapalawig ng panahong ito sa pamamagitan ng mga nakasulat na kasunduan o mga aksyon ng korte.
**Sa buod:**
* Para"&amp;" sa regular na pagtasa ng buwis, ang BIR ay may 3 taon.
* Para sa pag-iwas sa buwis sa pamamagitan ng mapanlinlang na pagbabalik o hindi pag-file, ang BIR ay may 10 taon pagkatapos matuklasan.
* Ang BIR sa pangkalahatan ay may 5 taon upang mangolekta ng m"&amp;"ga buwis pagkatapos ng pagtatasa o pag-file.
Tandaan, ito ay isang pinasimpleng paliwanag. Para sa kumpletong pag-unawa, palaging pinakamahusay na kumunsulta sa isang abogado na dalubhasa sa batas sa buwis ng Pilipinas.")</f>
        <v>Ang batas ng mga limitasyon para sa mga kaso ng pag-iwas sa buwis sa Pilipinas ay tinukoy ng Tax Code, partikular sa Republic Act No. 8424 (Tax Code of 1997). Narito ang isang breakdown ng mga nauugnay na seksyon:
* **Pangkalahatang Panuntunan (Seksyon 203):** Ang Bureau of Internal Revenue (BIR) ay karaniwang mayroong **tatlong (3) taon** upang tasahin ang mga buwis sa panloob na kita. Ang panahong ito ay binibilang mula sa huling araw na itinakda ng batas para sa paghahain ng tax return o mula sa araw na isinampa ang return, alinman ang mas huli (Seksyon 203(2)).
* **Exception: Fraud o Failure to File (Seksyon 222):** Kung ang BIR ay nakatuklas ng **false o fraudulent return with intent to evade tax** or there is a complete **failure to file a return**, ang panahon ng pagtatasa ay pinalawig hanggang **sampung (10) taon** pagkatapos matuklasan ang kasinungalingan, pandaraya, o pagkukulang (Seksyon 222(a)).
* **Koleksyon ng mga Buwis (Seksyon 222):** Ang BIR sa pangkalahatan ay may **limang (5) taon** upang mangolekta ng mga buwis pagkatapos gawin ang pagtatasa o pagkatapos maisampa ang pagbabalik (Seksyon 222(c)). May mga probisyon para sa pagpapalawig ng panahong ito sa pamamagitan ng mga nakasulat na kasunduan o mga aksyon ng korte.
**Sa buod:**
* Para sa regular na pagtasa ng buwis, ang BIR ay may 3 taon.
* Para sa pag-iwas sa buwis sa pamamagitan ng mapanlinlang na pagbabalik o hindi pag-file, ang BIR ay may 10 taon pagkatapos matuklasan.
* Ang BIR sa pangkalahatan ay may 5 taon upang mangolekta ng mga buwis pagkatapos ng pagtatasa o pag-file.
Tandaan, ito ay isang pinasimpleng paliwanag. Para sa kumpletong pag-unawa, palaging pinakamahusay na kumunsulta sa isang abogado na dalubhasa sa batas sa buwis ng Pilipinas.</v>
      </c>
      <c r="F901" s="2">
        <f t="shared" si="1"/>
        <v>0</v>
      </c>
      <c r="G901" s="2"/>
      <c r="H901" s="2"/>
      <c r="I901" s="2"/>
      <c r="J901" s="2"/>
      <c r="K901" s="2"/>
      <c r="L901" s="2"/>
      <c r="M901" s="2"/>
      <c r="N901" s="2"/>
      <c r="O901" s="2"/>
      <c r="P901" s="2"/>
      <c r="Q901" s="2"/>
      <c r="R901" s="2"/>
      <c r="S901" s="2"/>
      <c r="T901" s="2"/>
      <c r="U901" s="2"/>
      <c r="V901" s="2"/>
      <c r="W901" s="2"/>
      <c r="X901" s="2"/>
      <c r="Y901" s="2"/>
      <c r="Z901" s="2"/>
      <c r="AA901" s="2"/>
    </row>
    <row r="902">
      <c r="A902" s="3" t="s">
        <v>2763</v>
      </c>
      <c r="B902" s="1" t="s">
        <v>2920</v>
      </c>
      <c r="C902" s="1" t="s">
        <v>2921</v>
      </c>
      <c r="D902" s="1" t="s">
        <v>2922</v>
      </c>
      <c r="E902" s="2" t="str">
        <f>IFERROR(__xludf.DUMMYFUNCTION("GOOGLETRANSLATE(C902, ""en"", ""TL"")"),"Kung pinaghihinalaan mo na wala kang naiulat na kita o mga ari-arian sa Pilipinas, narito ang ilang hakbang na maaari mong gawin sa ilalim ng batas ng Pilipinas:
1. **Voluntary Disclosure Program (VDP):** Nag-aalok ang BIR ng VDP sa ilalim ng Seksyon 249 "&amp;"ng Tax Code. Ang programang ito ay nagpapahintulot sa mga nagbabayad ng buwis na kusang-loob na ibunyag ang dati nang hindi nabubuwis na kita o mga ari-arian kapalit ng pinababang mga parusa at kaligtasan mula sa kriminal na pag-uusig. Makakakita ka ng mg"&amp;"a detalye tungkol sa VDP sa BIR website [https://www.bir.gov.ph/](https://www.bir.gov.ph/).
2. **Kumonsulta sa isang Abogado sa Buwis:** Ang isang kwalipikadong abogado ng buwis sa Pilipinas ay maaaring payuhan ka sa pinakamahusay na paraan ng pagkilos ba"&amp;"tay sa iyong partikular na sitwasyon. Matutulungan ka nila na kalkulahin ang halaga ng buwis na dapat bayaran, mag-navigate sa proseso ng VDP, o kumatawan sa iyo sa kaso ng pag-audit. 3. **File Amended Tax Returns:** Maaari mong amyendahan ang iyong mga d"&amp;"ati nang na-file na tax return upang ipakita ang hindi naiulat na kita o mga asset. Nagpapakita ito ng magandang loob na pagsisikap sa iyong bahagi na sumunod sa mga batas sa buwis.
**Mahalagang Paalala:** Ito ay mga pangkalahatang hakbang, at ang pinakam"&amp;"ahusay na paraan ng pagkilos ay maaaring mag-iba depende sa iyong sitwasyon. Kung mas maaga mong matugunan ang isyu, mas mabuti. Ang pagkonsulta sa isang abogado sa buwis ay makakatulong sa iyo na matukoy ang pinakaangkop na diskarte sa ilalim ng batas ng"&amp;" Pilipinas.")</f>
        <v>Kung pinaghihinalaan mo na wala kang naiulat na kita o mga ari-arian sa Pilipinas, narito ang ilang hakbang na maaari mong gawin sa ilalim ng batas ng Pilipinas:
1. **Voluntary Disclosure Program (VDP):** Nag-aalok ang BIR ng VDP sa ilalim ng Seksyon 249 ng Tax Code. Ang programang ito ay nagpapahintulot sa mga nagbabayad ng buwis na kusang-loob na ibunyag ang dati nang hindi nabubuwis na kita o mga ari-arian kapalit ng pinababang mga parusa at kaligtasan mula sa kriminal na pag-uusig. Makakakita ka ng mga detalye tungkol sa VDP sa BIR website [https://www.bir.gov.ph/](https://www.bir.gov.ph/).
2. **Kumonsulta sa isang Abogado sa Buwis:** Ang isang kwalipikadong abogado ng buwis sa Pilipinas ay maaaring payuhan ka sa pinakamahusay na paraan ng pagkilos batay sa iyong partikular na sitwasyon. Matutulungan ka nila na kalkulahin ang halaga ng buwis na dapat bayaran, mag-navigate sa proseso ng VDP, o kumatawan sa iyo sa kaso ng pag-audit. 3. **File Amended Tax Returns:** Maaari mong amyendahan ang iyong mga dati nang na-file na tax return upang ipakita ang hindi naiulat na kita o mga asset. Nagpapakita ito ng magandang loob na pagsisikap sa iyong bahagi na sumunod sa mga batas sa buwis.
**Mahalagang Paalala:** Ito ay mga pangkalahatang hakbang, at ang pinakamahusay na paraan ng pagkilos ay maaaring mag-iba depende sa iyong sitwasyon. Kung mas maaga mong matugunan ang isyu, mas mabuti. Ang pagkonsulta sa isang abogado sa buwis ay makakatulong sa iyo na matukoy ang pinakaangkop na diskarte sa ilalim ng batas ng Pilipinas.</v>
      </c>
      <c r="F902" s="2">
        <f t="shared" si="1"/>
        <v>0</v>
      </c>
      <c r="G902" s="2"/>
      <c r="H902" s="2"/>
      <c r="I902" s="2"/>
      <c r="J902" s="2"/>
      <c r="K902" s="2"/>
      <c r="L902" s="2"/>
      <c r="M902" s="2"/>
      <c r="N902" s="2"/>
      <c r="O902" s="2"/>
      <c r="P902" s="2"/>
      <c r="Q902" s="2"/>
      <c r="R902" s="2"/>
      <c r="S902" s="2"/>
      <c r="T902" s="2"/>
      <c r="U902" s="2"/>
      <c r="V902" s="2"/>
      <c r="W902" s="2"/>
      <c r="X902" s="2"/>
      <c r="Y902" s="2"/>
      <c r="Z902" s="2"/>
      <c r="AA902" s="2"/>
    </row>
    <row r="903">
      <c r="A903" s="3" t="s">
        <v>2763</v>
      </c>
      <c r="B903" s="1" t="s">
        <v>2923</v>
      </c>
      <c r="C903" s="1" t="s">
        <v>2924</v>
      </c>
      <c r="D903" s="1" t="s">
        <v>2925</v>
      </c>
      <c r="E903" s="2" t="str">
        <f>IFERROR(__xludf.DUMMYFUNCTION("GOOGLETRANSLATE(C903, ""en"", ""TL"")"),"Pinahihintulutan ng batas ng Pilipinas ang responsableng pagpaplano ng buwis upang mabawasan ang iyong pananagutan sa buwis. Narito ang ilang estratehiya batay sa mga batas sa buwis ng Pilipinas:
**Sulitin ang mga Deduction at Credits:**
* **Konstitusyon "&amp;"ng PH, Artikulo VI, Seksyon 28(2):** Pinahihintulutan ng Konstitusyon ang pagpapataw ng mga buwis ""napapailalim sa mga limitasyon, eksempsyon, at pag-uuri gaya ng itinatadhana ng batas."" Nangangahulugan ito na maaari mong gamitin ang mga legal na pagbab"&amp;"awas at mga kredito na inaalok ng Tax Code.
* **Tax Code (RA 8424):** Ang Tax Code ay nagbabalangkas ng iba't ibang mga nababawas na gastos para sa mga indibidwal at negosyo, tulad ng:
* Mga gastos na nauugnay sa negosyo (hal., upa, mga utility, paglalakb"&amp;"ay)
* Mga gastos sa medikal
* Mga donasyong pangkawanggawa (na may mga limitasyon)
* **Mga Kredito sa Buwis:** Ang ilang partikular na mga kredito sa buwis ay maaaring higit pang bawasan ang iyong pananagutan sa buwis. Magsaliksik ng mga magagamit na kred"&amp;"ito batay sa iyong sitwasyon (hal., para sa mga dependent, minimum wage earners).
**I-maximize ang Tax-Exempt na Kita:**
* **Tax Code (RA 8424):** Ang ilang uri ng kita ay hindi kasama sa pagbubuwis. Galugarin ang mga pagbubukod na ito upang bawasan ang i"&amp;"yong nabubuwisang kita. Kasama sa mga halimbawa ang:
* Ilang benepisyo sa pagreretiro
* Kita ng interes sa ilang mga securities ng gobyerno
* Mga kita sa pagbebenta ng pangunahing tirahan (sa ilalim ng mga partikular na kundisyon)
**Isaalang-alang ang Mga"&amp;" Lehitimong Istruktura ng Negosyo:**
* **Corporation Code (RA 11232):** Ang pagpili ng tamang istruktura ng negosyo (sole proprietorship, partnership, corporation) ay maaaring makaapekto sa iyong tax liability. Kumonsulta sa isang propesyonal upang maunaw"&amp;"aan ang mga implikasyon sa buwis ng bawat istraktura.
**Mahahalagang Paalala:**
* **Palaging Panatilihin ang Mga Wastong Talaan:** Panatilihin ang mga resibo, invoice, at iba pang dokumentasyon upang suportahan ang iyong mga pagbabawas at kredito. Mahalag"&amp;"a ito sa kaso ng pag-audit ng Bureau of Internal Revenue (BIR).
* **Humingi ng Propesyonal na Payo:** Ang pagkonsulta sa isang abogado sa buwis o accountant na pamilyar sa mga batas sa buwis sa Pilipinas ay lubos na inirerekomenda. Maaari ka nilang gabaya"&amp;"n sa mga diskarte na sumusunod sa mga regulasyon at bawasan ang iyong pasanin sa buwis.
**Tandaan:** May malinaw na pagkakaiba sa pagitan ng pag-iwas sa buwis (legal na pag-minimize) at pag-iwas sa buwis (mga ilegal na paraan para makatakas sa mga buwis)."&amp;" Palaging unahin ang mga etikal at legal na pamamaraan kapag binabawasan ang iyong pananagutan sa buwis.")</f>
        <v>Pinahihintulutan ng batas ng Pilipinas ang responsableng pagpaplano ng buwis upang mabawasan ang iyong pananagutan sa buwis. Narito ang ilang estratehiya batay sa mga batas sa buwis ng Pilipinas:
**Sulitin ang mga Deduction at Credits:**
* **Konstitusyon ng PH, Artikulo VI, Seksyon 28(2):** Pinahihintulutan ng Konstitusyon ang pagpapataw ng mga buwis "napapailalim sa mga limitasyon, eksempsyon, at pag-uuri gaya ng itinatadhana ng batas." Nangangahulugan ito na maaari mong gamitin ang mga legal na pagbabawas at mga kredito na inaalok ng Tax Code.
* **Tax Code (RA 8424):** Ang Tax Code ay nagbabalangkas ng iba't ibang mga nababawas na gastos para sa mga indibidwal at negosyo, tulad ng:
* Mga gastos na nauugnay sa negosyo (hal., upa, mga utility, paglalakbay)
* Mga gastos sa medikal
* Mga donasyong pangkawanggawa (na may mga limitasyon)
* **Mga Kredito sa Buwis:** Ang ilang partikular na mga kredito sa buwis ay maaaring higit pang bawasan ang iyong pananagutan sa buwis. Magsaliksik ng mga magagamit na kredito batay sa iyong sitwasyon (hal., para sa mga dependent, minimum wage earners).
**I-maximize ang Tax-Exempt na Kita:**
* **Tax Code (RA 8424):** Ang ilang uri ng kita ay hindi kasama sa pagbubuwis. Galugarin ang mga pagbubukod na ito upang bawasan ang iyong nabubuwisang kita. Kasama sa mga halimbawa ang:
* Ilang benepisyo sa pagreretiro
* Kita ng interes sa ilang mga securities ng gobyerno
* Mga kita sa pagbebenta ng pangunahing tirahan (sa ilalim ng mga partikular na kundisyon)
**Isaalang-alang ang Mga Lehitimong Istruktura ng Negosyo:**
* **Corporation Code (RA 11232):** Ang pagpili ng tamang istruktura ng negosyo (sole proprietorship, partnership, corporation) ay maaaring makaapekto sa iyong tax liability. Kumonsulta sa isang propesyonal upang maunawaan ang mga implikasyon sa buwis ng bawat istraktura.
**Mahahalagang Paalala:**
* **Palaging Panatilihin ang Mga Wastong Talaan:** Panatilihin ang mga resibo, invoice, at iba pang dokumentasyon upang suportahan ang iyong mga pagbabawas at kredito. Mahalaga ito sa kaso ng pag-audit ng Bureau of Internal Revenue (BIR).
* **Humingi ng Propesyonal na Payo:** Ang pagkonsulta sa isang abogado sa buwis o accountant na pamilyar sa mga batas sa buwis sa Pilipinas ay lubos na inirerekomenda. Maaari ka nilang gabayan sa mga diskarte na sumusunod sa mga regulasyon at bawasan ang iyong pasanin sa buwis.
**Tandaan:** May malinaw na pagkakaiba sa pagitan ng pag-iwas sa buwis (legal na pag-minimize) at pag-iwas sa buwis (mga ilegal na paraan para makatakas sa mga buwis). Palaging unahin ang mga etikal at legal na pamamaraan kapag binabawasan ang iyong pananagutan sa buwis.</v>
      </c>
      <c r="F903" s="2">
        <f t="shared" si="1"/>
        <v>0</v>
      </c>
      <c r="G903" s="2"/>
      <c r="H903" s="2"/>
      <c r="I903" s="2"/>
      <c r="J903" s="2"/>
      <c r="K903" s="2"/>
      <c r="L903" s="2"/>
      <c r="M903" s="2"/>
      <c r="N903" s="2"/>
      <c r="O903" s="2"/>
      <c r="P903" s="2"/>
      <c r="Q903" s="2"/>
      <c r="R903" s="2"/>
      <c r="S903" s="2"/>
      <c r="T903" s="2"/>
      <c r="U903" s="2"/>
      <c r="V903" s="2"/>
      <c r="W903" s="2"/>
      <c r="X903" s="2"/>
      <c r="Y903" s="2"/>
      <c r="Z903" s="2"/>
      <c r="AA903" s="2"/>
    </row>
    <row r="904">
      <c r="A904" s="3" t="s">
        <v>2763</v>
      </c>
      <c r="B904" s="1" t="s">
        <v>2926</v>
      </c>
      <c r="C904" s="1" t="s">
        <v>2927</v>
      </c>
      <c r="D904" s="1" t="s">
        <v>2928</v>
      </c>
      <c r="E904" s="2" t="str">
        <f>IFERROR(__xludf.DUMMYFUNCTION("GOOGLETRANSLATE(C904, ""en"", ""TL"")"),"Narito ang isang breakdown ng mga indibidwal na responsibilidad tungkol sa pag-uulat ng dayuhang kita o mga ari-arian sa Pilipinas, batay sa batas ng Pilipinas:
**Tax Code (RA 8424):**
* **Residency vs. Domicile:** Binubuwisan ng Pilipinas ang mga residen"&amp;"te at mamamayan sa kanilang **pandaigdigang kita**, anuman ang pinagmulan (kabilang ang dayuhang kita). Ang paninirahan ay tinutukoy ng pisikal na presensya, habang ang domicile ay tumutukoy sa permanenteng tahanan ng isang tao.
* **Mga Kinakailangan sa P"&amp;"ag-uulat:** Ang mga residenteng Pilipino, anuman ang pagkamamamayan, at mga mamamayang may domicile ng Pilipinas ay kinakailangang iulat ang lahat ng kita at ari-arian ng dayuhan sa kanilang tax return. Kabilang dito ang:
* Kita sa ibang bansa (hal., suwe"&amp;"ldo, kita sa pamumuhunan)
* Mga dayuhang bank account
* Mga dayuhang pamumuhunan (hal., mga stock, mga bono)
* **Mga Form at Iskedyul:** Ang Bureau of Internal Revenue (BIR) ay nangangailangan ng mga partikular na form at iskedyul para sa pag-uulat ng day"&amp;"uhang kita at mga ari-arian. Maaaring kabilang dito ang:
* BIR Form 1701 (Income Tax Return para sa mga Indibidwal) na may Iskedyul D (para sa kita na nagmula sa mga mapagkukunan sa labas ng Pilipinas)
* BIR Form 1706 (Statement of Assets and Liabilities)"&amp;" **Mga Parusa para sa Hindi Pagsunod:**
* **Pagkabigong Mag-file o Mag-ulat:** May mga parusa para sa hindi pag-file ng tax return o pag-uulat ng dayuhang kita at mga asset. Maaaring kabilang dito ang mga surcharge, interes sa mga hindi nabayarang buwis, "&amp;"at maging ang pag-uusig sa kriminal.
**Mga Karagdagang Mapagkukunan:**
* **BIR website:** Ang BIR website ([https://www.bir.gov.ph/](https://www.bir.gov.ph/)) ay nagbibigay ng impormasyon sa mga form ng buwis, iskedyul, at tiyak na mga kinakailangan para "&amp;"sa pag-uulat ng dayuhang kita at mga ari-arian.
* **Mga propesyonal sa buwis:** Ang pagkonsulta sa isang abogado sa buwis o accountant na dalubhasa sa batas sa buwis ng Pilipinas ay lubos na inirerekomenda. Maaari silang magbigay ng partikular na patnubay"&amp;" batay sa iyong mga indibidwal na kalagayan at tiyaking sumusunod ka sa mga kinakailangan sa pag-uulat.
Tandaan, ito ay isang pangkalahatang pangkalahatang-ideya. Maaaring kumplikado ang mga batas sa buwis sa Pilipinas, at maaaring mag-iba-iba ang pinakam"&amp;"ahusay na paraan ng pagkilos depende sa iyong sitwasyon. Ang pagkonsulta sa isang propesyonal sa buwis ay maaaring matiyak ang tumpak na pag-uulat at maiwasan ang anumang mga potensyal na parusa.")</f>
        <v>Narito ang isang breakdown ng mga indibidwal na responsibilidad tungkol sa pag-uulat ng dayuhang kita o mga ari-arian sa Pilipinas, batay sa batas ng Pilipinas:
**Tax Code (RA 8424):**
* **Residency vs. Domicile:** Binubuwisan ng Pilipinas ang mga residente at mamamayan sa kanilang **pandaigdigang kita**, anuman ang pinagmulan (kabilang ang dayuhang kita). Ang paninirahan ay tinutukoy ng pisikal na presensya, habang ang domicile ay tumutukoy sa permanenteng tahanan ng isang tao.
* **Mga Kinakailangan sa Pag-uulat:** Ang mga residenteng Pilipino, anuman ang pagkamamamayan, at mga mamamayang may domicile ng Pilipinas ay kinakailangang iulat ang lahat ng kita at ari-arian ng dayuhan sa kanilang tax return. Kabilang dito ang:
* Kita sa ibang bansa (hal., suweldo, kita sa pamumuhunan)
* Mga dayuhang bank account
* Mga dayuhang pamumuhunan (hal., mga stock, mga bono)
* **Mga Form at Iskedyul:** Ang Bureau of Internal Revenue (BIR) ay nangangailangan ng mga partikular na form at iskedyul para sa pag-uulat ng dayuhang kita at mga ari-arian. Maaaring kabilang dito ang:
* BIR Form 1701 (Income Tax Return para sa mga Indibidwal) na may Iskedyul D (para sa kita na nagmula sa mga mapagkukunan sa labas ng Pilipinas)
* BIR Form 1706 (Statement of Assets and Liabilities) **Mga Parusa para sa Hindi Pagsunod:**
* **Pagkabigong Mag-file o Mag-ulat:** May mga parusa para sa hindi pag-file ng tax return o pag-uulat ng dayuhang kita at mga asset. Maaaring kabilang dito ang mga surcharge, interes sa mga hindi nabayarang buwis, at maging ang pag-uusig sa kriminal.
**Mga Karagdagang Mapagkukunan:**
* **BIR website:** Ang BIR website ([https://www.bir.gov.ph/](https://www.bir.gov.ph/)) ay nagbibigay ng impormasyon sa mga form ng buwis, iskedyul, at tiyak na mga kinakailangan para sa pag-uulat ng dayuhang kita at mga ari-arian.
* **Mga propesyonal sa buwis:** Ang pagkonsulta sa isang abogado sa buwis o accountant na dalubhasa sa batas sa buwis ng Pilipinas ay lubos na inirerekomenda. Maaari silang magbigay ng partikular na patnubay batay sa iyong mga indibidwal na kalagayan at tiyaking sumusunod ka sa mga kinakailangan sa pag-uulat.
Tandaan, ito ay isang pangkalahatang pangkalahatang-ideya. Maaaring kumplikado ang mga batas sa buwis sa Pilipinas, at maaaring mag-iba-iba ang pinakamahusay na paraan ng pagkilos depende sa iyong sitwasyon. Ang pagkonsulta sa isang propesyonal sa buwis ay maaaring matiyak ang tumpak na pag-uulat at maiwasan ang anumang mga potensyal na parusa.</v>
      </c>
      <c r="F904" s="2">
        <f t="shared" si="1"/>
        <v>0</v>
      </c>
      <c r="G904" s="2"/>
      <c r="H904" s="2"/>
      <c r="I904" s="2"/>
      <c r="J904" s="2"/>
      <c r="K904" s="2"/>
      <c r="L904" s="2"/>
      <c r="M904" s="2"/>
      <c r="N904" s="2"/>
      <c r="O904" s="2"/>
      <c r="P904" s="2"/>
      <c r="Q904" s="2"/>
      <c r="R904" s="2"/>
      <c r="S904" s="2"/>
      <c r="T904" s="2"/>
      <c r="U904" s="2"/>
      <c r="V904" s="2"/>
      <c r="W904" s="2"/>
      <c r="X904" s="2"/>
      <c r="Y904" s="2"/>
      <c r="Z904" s="2"/>
      <c r="AA904" s="2"/>
    </row>
    <row r="905">
      <c r="A905" s="3" t="s">
        <v>2763</v>
      </c>
      <c r="B905" s="1" t="s">
        <v>2929</v>
      </c>
      <c r="C905" s="1" t="s">
        <v>2930</v>
      </c>
      <c r="D905" s="1" t="s">
        <v>2931</v>
      </c>
      <c r="E905" s="2" t="str">
        <f>IFERROR(__xludf.DUMMYFUNCTION("GOOGLETRANSLATE(C905, ""en"", ""TL"")"),"Ang Pilipinas ay may sariling awtoridad sa buwis, ang Bureau of Internal Revenue (BIR), na humahawak sa mga pagsisiyasat sa buwis. Ang IRS ay ang nauugnay na ahensya sa United States, kaya hindi ako makapagbigay ng impormasyong partikular sa kanilang mga "&amp;"pamamaraan. Narito ang maaari mong asahan mula sa pagsisiyasat ng BIR sa Pilipinas:
**Paunang Pagsusuri:**
* **Mga Pagkakaiba at Pulang Watawat:** Maaaring magsimula ang BIR ng pagsisiyasat batay sa mga pulang bandila sa iyong tax return. Maaaring kabilan"&amp;"g dito ang mga hindi pagkakapare-pareho, nawawalang impormasyon, o makabuluhang pagbabawas kumpara sa iyong kita.
* **Impormasyon ng Third-Party:** Maaaring kumuha ang BIR ng impormasyon mula sa mga third party tulad ng mga bangko, employer, at ahensya ng"&amp;" gobyerno para i-verify ang iyong kita at mga asset.
**Proseso ng Pagsisiyasat:**
* **Mga Kahilingan sa Dokumento:** Maaaring humiling ang BIR ng karagdagang dokumentasyon upang suportahan ang iyong mga entry sa pagbabalik ng buwis, tulad ng mga resibo, i"&amp;"nvoice, at bank statement.
* **Mga Pagsusuri at Pag-audit:** Maaaring magsagawa ang BIR ng mga eksaminasyon o pag-audit upang mas malalim ang iyong sitwasyon sa pananalapi. Maaaring kabilang dito ang mga panayam at pagsusuri ng iyong mga rekord sa pananal"&amp;"api.
* **Mga Undercover na Operasyon (Sa Mga Bihirang Kaso):** Para sa mga kumplikadong kaso, maaaring gumamit ang Criminal Investigation Division ng BIR ng mga undercover na operasyon upang mangalap ng ebidensya.
**Mga Posibleng Resulta:**
* **Clean Bill"&amp;":** Kung nalaman ng BIR na sumusunod ang iyong tax return, sarado ang imbestigasyon.
* **Tax Assessment:** Kung may nakitang mga pagkakaiba, maaaring mag-assess ang BIR ng mga karagdagang buwis, interes, at mga parusa.
* **Mga Pagsingil sa Kriminal:** Sa "&amp;"matitinding kaso ng pandaraya o sadyang pag-iwas, maaaring magrekomenda ang BIR ng pag-uusig ng kriminal.
**Tandaan:**
* Mayroon kang mga karapatan sa panahon ng pagsisiyasat. Pinakamainam na kumunsulta sa isang abogado sa buwis na maaaring magpayo sa iyo"&amp;" sa pagtugon sa mga katanungan ng BIR at pagprotekta sa iyong mga karapatan.
* Ang pakikipagtulungan sa BIR ay maaaring humantong sa isang mas magandang resulta.
Bagama't hindi ko maibubunyag ang mga partikular na pamamaraan sa pagsisiyasat, ito ay dapat "&amp;"magbigay sa iyo ng pangkalahatang ideya kung paano maaaring lapitan ng BIR ang isang potensyal na kaso ng pag-iwas sa buwis sa Pilipinas.")</f>
        <v>Ang Pilipinas ay may sariling awtoridad sa buwis, ang Bureau of Internal Revenue (BIR), na humahawak sa mga pagsisiyasat sa buwis. Ang IRS ay ang nauugnay na ahensya sa United States, kaya hindi ako makapagbigay ng impormasyong partikular sa kanilang mga pamamaraan. Narito ang maaari mong asahan mula sa pagsisiyasat ng BIR sa Pilipinas:
**Paunang Pagsusuri:**
* **Mga Pagkakaiba at Pulang Watawat:** Maaaring magsimula ang BIR ng pagsisiyasat batay sa mga pulang bandila sa iyong tax return. Maaaring kabilang dito ang mga hindi pagkakapare-pareho, nawawalang impormasyon, o makabuluhang pagbabawas kumpara sa iyong kita.
* **Impormasyon ng Third-Party:** Maaaring kumuha ang BIR ng impormasyon mula sa mga third party tulad ng mga bangko, employer, at ahensya ng gobyerno para i-verify ang iyong kita at mga asset.
**Proseso ng Pagsisiyasat:**
* **Mga Kahilingan sa Dokumento:** Maaaring humiling ang BIR ng karagdagang dokumentasyon upang suportahan ang iyong mga entry sa pagbabalik ng buwis, tulad ng mga resibo, invoice, at bank statement.
* **Mga Pagsusuri at Pag-audit:** Maaaring magsagawa ang BIR ng mga eksaminasyon o pag-audit upang mas malalim ang iyong sitwasyon sa pananalapi. Maaaring kabilang dito ang mga panayam at pagsusuri ng iyong mga rekord sa pananalapi.
* **Mga Undercover na Operasyon (Sa Mga Bihirang Kaso):** Para sa mga kumplikadong kaso, maaaring gumamit ang Criminal Investigation Division ng BIR ng mga undercover na operasyon upang mangalap ng ebidensya.
**Mga Posibleng Resulta:**
* **Clean Bill:** Kung nalaman ng BIR na sumusunod ang iyong tax return, sarado ang imbestigasyon.
* **Tax Assessment:** Kung may nakitang mga pagkakaiba, maaaring mag-assess ang BIR ng mga karagdagang buwis, interes, at mga parusa.
* **Mga Pagsingil sa Kriminal:** Sa matitinding kaso ng pandaraya o sadyang pag-iwas, maaaring magrekomenda ang BIR ng pag-uusig ng kriminal.
**Tandaan:**
* Mayroon kang mga karapatan sa panahon ng pagsisiyasat. Pinakamainam na kumunsulta sa isang abogado sa buwis na maaaring magpayo sa iyo sa pagtugon sa mga katanungan ng BIR at pagprotekta sa iyong mga karapatan.
* Ang pakikipagtulungan sa BIR ay maaaring humantong sa isang mas magandang resulta.
Bagama't hindi ko maibubunyag ang mga partikular na pamamaraan sa pagsisiyasat, ito ay dapat magbigay sa iyo ng pangkalahatang ideya kung paano maaaring lapitan ng BIR ang isang potensyal na kaso ng pag-iwas sa buwis sa Pilipinas.</v>
      </c>
      <c r="F905" s="2">
        <f t="shared" si="1"/>
        <v>0</v>
      </c>
      <c r="G905" s="2"/>
      <c r="H905" s="2"/>
      <c r="I905" s="2"/>
      <c r="J905" s="2"/>
      <c r="K905" s="2"/>
      <c r="L905" s="2"/>
      <c r="M905" s="2"/>
      <c r="N905" s="2"/>
      <c r="O905" s="2"/>
      <c r="P905" s="2"/>
      <c r="Q905" s="2"/>
      <c r="R905" s="2"/>
      <c r="S905" s="2"/>
      <c r="T905" s="2"/>
      <c r="U905" s="2"/>
      <c r="V905" s="2"/>
      <c r="W905" s="2"/>
      <c r="X905" s="2"/>
      <c r="Y905" s="2"/>
      <c r="Z905" s="2"/>
      <c r="AA905" s="2"/>
    </row>
    <row r="906">
      <c r="A906" s="3" t="s">
        <v>2763</v>
      </c>
      <c r="B906" s="1" t="s">
        <v>2932</v>
      </c>
      <c r="C906" s="1" t="s">
        <v>2933</v>
      </c>
      <c r="D906" s="1" t="s">
        <v>2934</v>
      </c>
      <c r="E906" s="2" t="str">
        <f>IFERROR(__xludf.DUMMYFUNCTION("GOOGLETRANSLATE(C906, ""en"", ""TL"")"),"Oo, ang mga singil sa pag-iwas sa buwis sa Pilipinas ay tiyak na maaaring humantong sa pag-uusig sa krimen sa ilalim ng Tax Code (Republic Act No. 8424). Narito ang isang breakdown ng mga nauugnay na seksyon at mga potensyal na parusa:
**Pag-iwas sa Buwis"&amp;" (Seksyon 255):**
* Tinutukoy ng seksyong ito ang pag-iwas sa buwis bilang kusang pagtatangkang talunin o iwasan ang mga buwis sa pamamagitan ng:
* Maling o mapanlinlang na tax return
* Pag-alis ng kita sa pagbabalik
* Pagpapanatili ng isang double set ng"&amp;" mga libro ng mga account
* Pagkasira ng mga talaan ng accounting
**Mga Parusa (Seksyon 256):**
* Pagkakulong ng **hindi bababa sa dalawang (2) taon ngunit hindi hihigit sa anim (6) na taon** at multa na nagkakahalaga ng **hindi bababa sa dalawang beses a"&amp;"ng halaga ng iniiwasang buwis**
**Pinalubhang Pag-iwas sa Buwis (Seksyon 256):**
* Nalalapat ito kapag ang pag-iwas sa buwis ay nagsasangkot ng malaking halaga o ginawa ng isang pampublikong opisyal o empleyado. * Parusa: **Pagkulong ng hindi bababa sa an"&amp;"im (6) na taon ngunit hindi hihigit sa sampung (10) taon** at multa na nagkakahalaga ng **hindi bababa sa apat (4) na beses ng halaga ng iniiwasang buwis**
**Mga Karagdagang Pagsasaalang-alang:**
* **Civil Liability:** Bukod sa mga kriminal na parusa, man"&amp;"anagot din ang nagbabayad ng buwis para sa mga hindi nabayarang buwis, interes, at mga surcharge.
* **Pakiusap at Bargain:** Ang sistemang legal ng Pilipinas ay nagpapahintulot para sa plea bargaining, kung saan ang akusado ay maaaring umamin ng guilty sa"&amp;" isang mas mababang pagkakasala kapalit ng pinababang sentensiya.
**Kahalagahan ng Legal na Tagapayo:**
Ang pag-navigate sa mga singil sa pag-iwas sa buwis ay nangangailangan ng isang dalubhasang abogado na dalubhasa sa batas sa buwis ng Pilipinas. Maaari"&amp;" silang:
* Tulungan kang maunawaan ang mga singil at posibleng kahihinatnan
* Magbigay ng payo sa pinakamahusay na paraan ng pagkilos, kabilang ang pakikipagtulungan o mga diskarte sa pagtatanggol
* Kinatawan ka sa mga paglilitis sa korte
Tandaan, ito ay "&amp;"isang pinasimpleng paliwanag ng isang kumplikadong legal na paksa. Ang mga partikular na parusa at ang iyong mga legal na opsyon ay magdedepende sa mga detalye ng iyong kaso. Ang pagkonsulta sa isang abogado ay mahalaga kung ikaw ay nahaharap sa mga kaso "&amp;"ng pag-iwas sa buwis sa Pilipinas.")</f>
        <v>Oo, ang mga singil sa pag-iwas sa buwis sa Pilipinas ay tiyak na maaaring humantong sa pag-uusig sa krimen sa ilalim ng Tax Code (Republic Act No. 8424). Narito ang isang breakdown ng mga nauugnay na seksyon at mga potensyal na parusa:
**Pag-iwas sa Buwis (Seksyon 255):**
* Tinutukoy ng seksyong ito ang pag-iwas sa buwis bilang kusang pagtatangkang talunin o iwasan ang mga buwis sa pamamagitan ng:
* Maling o mapanlinlang na tax return
* Pag-alis ng kita sa pagbabalik
* Pagpapanatili ng isang double set ng mga libro ng mga account
* Pagkasira ng mga talaan ng accounting
**Mga Parusa (Seksyon 256):**
* Pagkakulong ng **hindi bababa sa dalawang (2) taon ngunit hindi hihigit sa anim (6) na taon** at multa na nagkakahalaga ng **hindi bababa sa dalawang beses ang halaga ng iniiwasang buwis**
**Pinalubhang Pag-iwas sa Buwis (Seksyon 256):**
* Nalalapat ito kapag ang pag-iwas sa buwis ay nagsasangkot ng malaking halaga o ginawa ng isang pampublikong opisyal o empleyado. * Parusa: **Pagkulong ng hindi bababa sa anim (6) na taon ngunit hindi hihigit sa sampung (10) taon** at multa na nagkakahalaga ng **hindi bababa sa apat (4) na beses ng halaga ng iniiwasang buwis**
**Mga Karagdagang Pagsasaalang-alang:**
* **Civil Liability:** Bukod sa mga kriminal na parusa, mananagot din ang nagbabayad ng buwis para sa mga hindi nabayarang buwis, interes, at mga surcharge.
* **Pakiusap at Bargain:** Ang sistemang legal ng Pilipinas ay nagpapahintulot para sa plea bargaining, kung saan ang akusado ay maaaring umamin ng guilty sa isang mas mababang pagkakasala kapalit ng pinababang sentensiya.
**Kahalagahan ng Legal na Tagapayo:**
Ang pag-navigate sa mga singil sa pag-iwas sa buwis ay nangangailangan ng isang dalubhasang abogado na dalubhasa sa batas sa buwis ng Pilipinas. Maaari silang:
* Tulungan kang maunawaan ang mga singil at posibleng kahihinatnan
* Magbigay ng payo sa pinakamahusay na paraan ng pagkilos, kabilang ang pakikipagtulungan o mga diskarte sa pagtatanggol
* Kinatawan ka sa mga paglilitis sa korte
Tandaan, ito ay isang pinasimpleng paliwanag ng isang kumplikadong legal na paksa. Ang mga partikular na parusa at ang iyong mga legal na opsyon ay magdedepende sa mga detalye ng iyong kaso. Ang pagkonsulta sa isang abogado ay mahalaga kung ikaw ay nahaharap sa mga kaso ng pag-iwas sa buwis sa Pilipinas.</v>
      </c>
      <c r="F906" s="2">
        <f t="shared" si="1"/>
        <v>0</v>
      </c>
      <c r="G906" s="2"/>
      <c r="H906" s="2"/>
      <c r="I906" s="2"/>
      <c r="J906" s="2"/>
      <c r="K906" s="2"/>
      <c r="L906" s="2"/>
      <c r="M906" s="2"/>
      <c r="N906" s="2"/>
      <c r="O906" s="2"/>
      <c r="P906" s="2"/>
      <c r="Q906" s="2"/>
      <c r="R906" s="2"/>
      <c r="S906" s="2"/>
      <c r="T906" s="2"/>
      <c r="U906" s="2"/>
      <c r="V906" s="2"/>
      <c r="W906" s="2"/>
      <c r="X906" s="2"/>
      <c r="Y906" s="2"/>
      <c r="Z906" s="2"/>
      <c r="AA906" s="2"/>
    </row>
    <row r="907">
      <c r="A907" s="3" t="s">
        <v>2763</v>
      </c>
      <c r="B907" s="1" t="s">
        <v>2935</v>
      </c>
      <c r="C907" s="1" t="s">
        <v>2936</v>
      </c>
      <c r="D907" s="1" t="s">
        <v>2937</v>
      </c>
      <c r="E907" s="2" t="str">
        <f>IFERROR(__xludf.DUMMYFUNCTION("GOOGLETRANSLATE(C907, ""en"", ""TL"")"),"Ang layunin ay isang kritikal na salik sa pagtukoy ng pag-iwas sa buwis sa ilalim ng batas ng Pilipinas, partikular sa Tax Code (Republic Act No. 8424). Narito kung bakit:
* **Seksyon 253:** Tinutukoy ng seksyong ito ang krimen ng ""Pagtatangkang iwasan o"&amp;" talunin ang buwis."" Binibigyang-diin nito ang **""kusa""** na sinusubukang bawasan ang pananagutan sa buwis sa pamamagitan ng mga ilegal na paraan.
* **Wilful Act:** Para sa isang aksyon na maituturing na pag-iwas sa buwis, dapat itong isang **sinadya a"&amp;"t sinasadya** na pagkilos upang maiwasan ang mga buwis. Ang kapabayaan lamang o mga pagkakamali sa paghahain ng mga tax return ay hindi nangangahulugang kwalipikado bilang pag-iwas sa buwis.
* **Burden of Proof:** Ang BIR ay may pasanin na patunayan na an"&amp;"g nagbabayad ng buwis **kusang nilayon** na umiwas sa mga buwis. Kailangan nilang magtatag ng ebidensya ng sinasadyang mga aksyon upang maiwasan ang mga obligasyon sa buwis.
**Mga Halimbawa:**
* **Scenario 1 (Tax Evasion):** Ang isang negosyante ay sadyan"&amp;"g nag-uulat ng kanyang kita sa pamamagitan ng pagtatago ng malaking bahagi ng kanyang mga kita sa isang lihim na bank account sa ibang bansa. Ang batas na ito ay nagpapakita ng sadyang layunin na umiwas sa mga buwis.
* **Scenario 2 (Hindi Pag-iwas sa Buwi"&amp;"s):** Ang isang bagong may-ari ng negosyo ay nagkamali sa pagkalkula ng kanilang mga bawas sa buwis. Ito ay hindi kinakailangang ituring na pag-iwas sa buwis kung walang katibayan ng sinasadyang maling paggawa.
**Kahalagahan ng Pagkonsulta sa Abogado:**
*"&amp;" Ang pagpapatunay ng layunin sa mga kaso ng pag-iwas sa buwis ay maaaring maging kumplikado. Maaaring suriin ng isang kwalipikadong abogado ng buwis sa Pilipinas ang iyong sitwasyon at tukuyin kung ang mga akusasyon ng BIR ay may sinasadyang layunin.
* **"&amp;"Pagsisiwalat at Pakikipagtulungan:** Sa ilang mga kaso, ang boluntaryong pagsisiwalat at pakikipagtulungan sa BIR ay maaaring makatulong sa pagpapakita ng kakulangan ng sinasadyang layunin at posibleng humantong sa isang mas maluwag na resulta.
Tandaan, a"&amp;"ng mga batas sa buwis ay maaaring maging masalimuot, at ang pinakamahusay na paraan ng pagkilos ay nakasalalay sa mga detalye ng iyong sitwasyon. Kung nahaharap ka sa mga potensyal na singil sa pag-iwas sa buwis, ang pagkonsulta sa isang abogado ay mahala"&amp;"ga upang maunawaan ang iyong mga karapatan at tuklasin ang mga potensyal na depensa.")</f>
        <v>Ang layunin ay isang kritikal na salik sa pagtukoy ng pag-iwas sa buwis sa ilalim ng batas ng Pilipinas, partikular sa Tax Code (Republic Act No. 8424). Narito kung bakit:
* **Seksyon 253:** Tinutukoy ng seksyong ito ang krimen ng "Pagtatangkang iwasan o talunin ang buwis." Binibigyang-diin nito ang **"kusa"** na sinusubukang bawasan ang pananagutan sa buwis sa pamamagitan ng mga ilegal na paraan.
* **Wilful Act:** Para sa isang aksyon na maituturing na pag-iwas sa buwis, dapat itong isang **sinadya at sinasadya** na pagkilos upang maiwasan ang mga buwis. Ang kapabayaan lamang o mga pagkakamali sa paghahain ng mga tax return ay hindi nangangahulugang kwalipikado bilang pag-iwas sa buwis.
* **Burden of Proof:** Ang BIR ay may pasanin na patunayan na ang nagbabayad ng buwis **kusang nilayon** na umiwas sa mga buwis. Kailangan nilang magtatag ng ebidensya ng sinasadyang mga aksyon upang maiwasan ang mga obligasyon sa buwis.
**Mga Halimbawa:**
* **Scenario 1 (Tax Evasion):** Ang isang negosyante ay sadyang nag-uulat ng kanyang kita sa pamamagitan ng pagtatago ng malaking bahagi ng kanyang mga kita sa isang lihim na bank account sa ibang bansa. Ang batas na ito ay nagpapakita ng sadyang layunin na umiwas sa mga buwis.
* **Scenario 2 (Hindi Pag-iwas sa Buwis):** Ang isang bagong may-ari ng negosyo ay nagkamali sa pagkalkula ng kanilang mga bawas sa buwis. Ito ay hindi kinakailangang ituring na pag-iwas sa buwis kung walang katibayan ng sinasadyang maling paggawa.
**Kahalagahan ng Pagkonsulta sa Abogado:**
* Ang pagpapatunay ng layunin sa mga kaso ng pag-iwas sa buwis ay maaaring maging kumplikado. Maaaring suriin ng isang kwalipikadong abogado ng buwis sa Pilipinas ang iyong sitwasyon at tukuyin kung ang mga akusasyon ng BIR ay may sinasadyang layunin.
* **Pagsisiwalat at Pakikipagtulungan:** Sa ilang mga kaso, ang boluntaryong pagsisiwalat at pakikipagtulungan sa BIR ay maaaring makatulong sa pagpapakita ng kakulangan ng sinasadyang layunin at posibleng humantong sa isang mas maluwag na resulta.
Tandaan, ang mga batas sa buwis ay maaaring maging masalimuot, at ang pinakamahusay na paraan ng pagkilos ay nakasalalay sa mga detalye ng iyong sitwasyon. Kung nahaharap ka sa mga potensyal na singil sa pag-iwas sa buwis, ang pagkonsulta sa isang abogado ay mahalaga upang maunawaan ang iyong mga karapatan at tuklasin ang mga potensyal na depensa.</v>
      </c>
      <c r="F907" s="2">
        <f t="shared" si="1"/>
        <v>0</v>
      </c>
      <c r="G907" s="2"/>
      <c r="H907" s="2"/>
      <c r="I907" s="2"/>
      <c r="J907" s="2"/>
      <c r="K907" s="2"/>
      <c r="L907" s="2"/>
      <c r="M907" s="2"/>
      <c r="N907" s="2"/>
      <c r="O907" s="2"/>
      <c r="P907" s="2"/>
      <c r="Q907" s="2"/>
      <c r="R907" s="2"/>
      <c r="S907" s="2"/>
      <c r="T907" s="2"/>
      <c r="U907" s="2"/>
      <c r="V907" s="2"/>
      <c r="W907" s="2"/>
      <c r="X907" s="2"/>
      <c r="Y907" s="2"/>
      <c r="Z907" s="2"/>
      <c r="AA907" s="2"/>
    </row>
    <row r="908">
      <c r="A908" s="3" t="s">
        <v>2763</v>
      </c>
      <c r="B908" s="1" t="s">
        <v>2938</v>
      </c>
      <c r="C908" s="1" t="s">
        <v>2939</v>
      </c>
      <c r="D908" s="1" t="s">
        <v>2940</v>
      </c>
      <c r="E908" s="2" t="str">
        <f>IFERROR(__xludf.DUMMYFUNCTION("GOOGLETRANSLATE(C908, ""en"", ""TL"")"),"Oo, ang Bureau of Internal Revenue (BIR) sa Pilipinas ay maaaring maglaan ng higit na pagsusuri sa ilang mga industriya at propesyon dahil sa mas mataas na panganib ng pag-iwas sa buwis. Narito kung bakit:
**Mga Industriya na may Mas Mataas na Transaksyon"&amp;" sa Pera:**
* **Seksyon 231 ng Tax Code (RA 8424):** Ang seksyong ito ay nagbibigay ng kapangyarihan sa BIR na humiling ng mga withholding tax sa ilang mga transaksyon upang matiyak ang pagkolekta ng buwis. Gayunpaman, ang mga industriya na may mataas na "&amp;"dami ng mga transaksyong cash ay maaaring gawing mas madali ang pag-underreport ng kita.
* **Mga Halimbawa:** Pagtitingi (lalo na ang maliliit na negosyo), transportasyon (hal., mga jeepney, taxi), konstruksyon
**Mga Propesyon na may Mataas na Potensyal n"&amp;"a Kumita at Flexible na Kita:**
* Kahirapan sa Pagsubaybay sa Kita: Ang mga propesyon kung saan ang kita ay nagmumula sa iba't ibang pinagmumulan o nagsasangkot ng mga pagbabayad ng cash ay maaaring maging mas mahirap para sa BIR na subaybayan.
* **Mga Ha"&amp;"limbawa:** Mga propesyonal tulad ng mga doktor, abogado, consultant, freelancer, artista, atleta
**Mga Industriyang May Potensyal para sa Underreporting na Imbentaryo:**
* **Tax Code (RA 8424):** Ang Tax Code ay may mga probisyon para sa pagbubuwis ng imb"&amp;"entaryo. Gayunpaman, ang ilang mga industriya ay maaaring hindi mag-ulat ng mga antas ng imbentaryo upang mabawasan ang kanilang pasanin sa buwis.
* **Mga Halimbawa:** Manufacturing, wholesale trade
**Mga Pulang Watawat para sa BIR:**
Bagama't ito ay ilan"&amp;"g halimbawa, ang BIR ay naghahanap ng mga partikular na pulang bandila na nagpapahiwatig ng potensyal na pag-iwas sa buwis. Maaaring kabilang dito ang:
* Mga makabuluhang pagkakaiba sa pagitan ng iniulat na kita at pamumuhay
* Hindi maipaliwanag na malala"&amp;"king deposito o withdrawal
* Kakulangan ng tamang bookkeeping records
* Pagkabigong maghain ng mga tax return
**Tandaan:**
* Ang pag-aari lamang sa isang mataas na panganib na industriya ay hindi ginagarantiyahan ang pagsisiyasat. Gayunpaman, nangangahulu"&amp;"gan ito na ang BIR ay maaaring maging mas mapagbantay sa pagsusuri sa iyong mga tax return at mga aktibidad sa pananalapi.
* Ang pagpapanatili ng wastong mga rekord, tumpak na pag-uulat ng kita, at pagsunod sa mga regulasyon sa buwis ay maaaring makatulon"&amp;"g na maiwasan ang hindi kinakailangang pagsisiyasat.
**Mahalagang kumunsulta sa isang propesyonal sa buwis** na pamilyar sa iyong partikular na industriya o propesyon para sa isang mas personalized na pagtatasa. Maaari ka nilang payuhan tungkol sa pinakam"&amp;"ahuhusay na kagawian para sa pagsunod sa buwis at bawasan ang panganib ng pagsisiyasat ng BIR.")</f>
        <v>Oo, ang Bureau of Internal Revenue (BIR) sa Pilipinas ay maaaring maglaan ng higit na pagsusuri sa ilang mga industriya at propesyon dahil sa mas mataas na panganib ng pag-iwas sa buwis. Narito kung bakit:
**Mga Industriya na may Mas Mataas na Transaksyon sa Pera:**
* **Seksyon 231 ng Tax Code (RA 8424):** Ang seksyong ito ay nagbibigay ng kapangyarihan sa BIR na humiling ng mga withholding tax sa ilang mga transaksyon upang matiyak ang pagkolekta ng buwis. Gayunpaman, ang mga industriya na may mataas na dami ng mga transaksyong cash ay maaaring gawing mas madali ang pag-underreport ng kita.
* **Mga Halimbawa:** Pagtitingi (lalo na ang maliliit na negosyo), transportasyon (hal., mga jeepney, taxi), konstruksyon
**Mga Propesyon na may Mataas na Potensyal na Kumita at Flexible na Kita:**
* Kahirapan sa Pagsubaybay sa Kita: Ang mga propesyon kung saan ang kita ay nagmumula sa iba't ibang pinagmumulan o nagsasangkot ng mga pagbabayad ng cash ay maaaring maging mas mahirap para sa BIR na subaybayan.
* **Mga Halimbawa:** Mga propesyonal tulad ng mga doktor, abogado, consultant, freelancer, artista, atleta
**Mga Industriyang May Potensyal para sa Underreporting na Imbentaryo:**
* **Tax Code (RA 8424):** Ang Tax Code ay may mga probisyon para sa pagbubuwis ng imbentaryo. Gayunpaman, ang ilang mga industriya ay maaaring hindi mag-ulat ng mga antas ng imbentaryo upang mabawasan ang kanilang pasanin sa buwis.
* **Mga Halimbawa:** Manufacturing, wholesale trade
**Mga Pulang Watawat para sa BIR:**
Bagama't ito ay ilang halimbawa, ang BIR ay naghahanap ng mga partikular na pulang bandila na nagpapahiwatig ng potensyal na pag-iwas sa buwis. Maaaring kabilang dito ang:
* Mga makabuluhang pagkakaiba sa pagitan ng iniulat na kita at pamumuhay
* Hindi maipaliwanag na malalaking deposito o withdrawal
* Kakulangan ng tamang bookkeeping records
* Pagkabigong maghain ng mga tax return
**Tandaan:**
* Ang pag-aari lamang sa isang mataas na panganib na industriya ay hindi ginagarantiyahan ang pagsisiyasat. Gayunpaman, nangangahulugan ito na ang BIR ay maaaring maging mas mapagbantay sa pagsusuri sa iyong mga tax return at mga aktibidad sa pananalapi.
* Ang pagpapanatili ng wastong mga rekord, tumpak na pag-uulat ng kita, at pagsunod sa mga regulasyon sa buwis ay maaaring makatulong na maiwasan ang hindi kinakailangang pagsisiyasat.
**Mahalagang kumunsulta sa isang propesyonal sa buwis** na pamilyar sa iyong partikular na industriya o propesyon para sa isang mas personalized na pagtatasa. Maaari ka nilang payuhan tungkol sa pinakamahuhusay na kagawian para sa pagsunod sa buwis at bawasan ang panganib ng pagsisiyasat ng BIR.</v>
      </c>
      <c r="F908" s="2">
        <f t="shared" si="1"/>
        <v>0</v>
      </c>
      <c r="G908" s="2"/>
      <c r="H908" s="2"/>
      <c r="I908" s="2"/>
      <c r="J908" s="2"/>
      <c r="K908" s="2"/>
      <c r="L908" s="2"/>
      <c r="M908" s="2"/>
      <c r="N908" s="2"/>
      <c r="O908" s="2"/>
      <c r="P908" s="2"/>
      <c r="Q908" s="2"/>
      <c r="R908" s="2"/>
      <c r="S908" s="2"/>
      <c r="T908" s="2"/>
      <c r="U908" s="2"/>
      <c r="V908" s="2"/>
      <c r="W908" s="2"/>
      <c r="X908" s="2"/>
      <c r="Y908" s="2"/>
      <c r="Z908" s="2"/>
      <c r="AA908" s="2"/>
    </row>
    <row r="909">
      <c r="A909" s="3" t="s">
        <v>2763</v>
      </c>
      <c r="B909" s="1" t="s">
        <v>2941</v>
      </c>
      <c r="C909" s="1" t="s">
        <v>2942</v>
      </c>
      <c r="D909" s="1" t="s">
        <v>2943</v>
      </c>
      <c r="E909" s="2" t="str">
        <f>IFERROR(__xludf.DUMMYFUNCTION("GOOGLETRANSLATE(C909, ""en"", ""TL"")"),"Narito ang isang pangkalahatang breakdown kung paano maaaring mangyari ang mga kaso ng tax evasion sa Pilipinas, batay sa batas ng Pilipinas:
**Initial Investigation (By the Bureau of Internal Revenue - BIR):**
* **Mga Pulang Watawat at Pagkakaiba:** Maaa"&amp;"ring magsimula ang BIR ng pagsisiyasat batay sa mga pulang bandila sa iyong tax return o impormasyon mula sa mga third party (mga bangko, employer). * **Mga Kahilingan sa Dokumento:** Maaaring humiling ang BIR ng karagdagang dokumentasyon upang suportahan"&amp;" ang iyong kita at mga bawas (mga resibo, invoice, bank statement).
* **Mga Pagsusuri at Pag-audit:** Maaaring magsagawa ang BIR ng mas malalim na pagsusuri sa iyong mga rekord sa pananalapi, na posibleng kasama ang mga panayam at pagsusuri.
**Posibleng R"&amp;"esulta ng BIR Investigation:**
* **Clean Bill:** Kung nakita ng BIR na sumusunod ang iyong tax return, sarado ang imbestigasyon.
* **Tax Assessment:** Kung may makitang mga pagkakaiba, maaaring tasahin ng BIR ang mga karagdagang buwis, interes, at mga par"&amp;"usa. Maaari kang magkaroon ng pagkakataon na labanan ang pagtatasa na ito.
**Kung Pinaghihinalaan ng BIR ang Tax Evasion:**
* **Referral ng Kaso:** Kung naniniwala ang BIR na sinadya mong umiwas sa mga buwis, maaari nilang i-refer ang kaso sa kanilang leg"&amp;"al na departamento para sa potensyal na pag-uusig ng kriminal.
**Criminal Investigation at Prosecution:**
* **Mga Pagsingil at Parusa:** Ang BIR ay maaaring magsampa ng mga kasong kriminal sa ilalim ng Tax Code (RA 8424), na may mga parusa mula sa pagkaku"&amp;"long at multa depende sa kalubhaan (Tingnan ang mga nakaraang sagot sa mga parusa). * **Legal na Representasyon:** Ang pagkonsulta sa isang abogado sa buwis ay mahalaga sa yugtong ito. Maaari silang magpayo sa mga diskarte sa pagtatanggol, plea bargain (k"&amp;"ung naaangkop), at kumatawan sa iyo sa korte.
**Mga Opsyon sa Resolusyon:**
* **Paglilitis:** Kung hindi ka umamin ng kasalanan, ang kaso ay mapupunta sa korte, kung saan ang magkabilang panig ay nagpapakita ng ebidensya.
* **Plea Bargain:** Sa ilang mga "&amp;"kaso, maaari kang makipag-ayos ng plea bargain sa prosekusyon para sa pinababang sentensiya. * **Settlement:** Maaari kang umabot sa isang settlement sa BIR bago ang paglilitis, na posibleng kinasasangkutan ng pagbabayad ng pabalik na buwis, mga multa, at"&amp;" pakikipagtulungan sa mga awtoridad.
**Mahahalagang Pagsasaalang-alang:**
* Ang buong proseso ay maaaring tumagal ng mga buwan o kahit na taon, depende sa pagiging kumplikado ng kaso. * Ang pakikipagtulungan sa BIR sa anumang yugto ay maaaring humantong s"&amp;"a isang mas kanais-nais na resulta.
* Ito ay isang pinasimple na pangkalahatang-ideya, at ang partikular na kurso ng iyong kaso ay depende sa mga detalye at sa iyong legal na diskarte.
**Tandaan:** Ang pagkonsulta sa isang kwalipikadong abogado ng buwis s"&amp;"a Pilipinas sa buong proseso ay napakahalaga. Maaari ka nilang gabayan sa iyong mga karapatan, potensyal na depensa, at i-navigate ang mga legal na kumplikado ng isang kaso ng pag-iwas sa buwis.")</f>
        <v>Narito ang isang pangkalahatang breakdown kung paano maaaring mangyari ang mga kaso ng tax evasion sa Pilipinas, batay sa batas ng Pilipinas:
**Initial Investigation (By the Bureau of Internal Revenue - BIR):**
* **Mga Pulang Watawat at Pagkakaiba:** Maaaring magsimula ang BIR ng pagsisiyasat batay sa mga pulang bandila sa iyong tax return o impormasyon mula sa mga third party (mga bangko, employer). * **Mga Kahilingan sa Dokumento:** Maaaring humiling ang BIR ng karagdagang dokumentasyon upang suportahan ang iyong kita at mga bawas (mga resibo, invoice, bank statement).
* **Mga Pagsusuri at Pag-audit:** Maaaring magsagawa ang BIR ng mas malalim na pagsusuri sa iyong mga rekord sa pananalapi, na posibleng kasama ang mga panayam at pagsusuri.
**Posibleng Resulta ng BIR Investigation:**
* **Clean Bill:** Kung nakita ng BIR na sumusunod ang iyong tax return, sarado ang imbestigasyon.
* **Tax Assessment:** Kung may makitang mga pagkakaiba, maaaring tasahin ng BIR ang mga karagdagang buwis, interes, at mga parusa. Maaari kang magkaroon ng pagkakataon na labanan ang pagtatasa na ito.
**Kung Pinaghihinalaan ng BIR ang Tax Evasion:**
* **Referral ng Kaso:** Kung naniniwala ang BIR na sinadya mong umiwas sa mga buwis, maaari nilang i-refer ang kaso sa kanilang legal na departamento para sa potensyal na pag-uusig ng kriminal.
**Criminal Investigation at Prosecution:**
* **Mga Pagsingil at Parusa:** Ang BIR ay maaaring magsampa ng mga kasong kriminal sa ilalim ng Tax Code (RA 8424), na may mga parusa mula sa pagkakulong at multa depende sa kalubhaan (Tingnan ang mga nakaraang sagot sa mga parusa). * **Legal na Representasyon:** Ang pagkonsulta sa isang abogado sa buwis ay mahalaga sa yugtong ito. Maaari silang magpayo sa mga diskarte sa pagtatanggol, plea bargain (kung naaangkop), at kumatawan sa iyo sa korte.
**Mga Opsyon sa Resolusyon:**
* **Paglilitis:** Kung hindi ka umamin ng kasalanan, ang kaso ay mapupunta sa korte, kung saan ang magkabilang panig ay nagpapakita ng ebidensya.
* **Plea Bargain:** Sa ilang mga kaso, maaari kang makipag-ayos ng plea bargain sa prosekusyon para sa pinababang sentensiya. * **Settlement:** Maaari kang umabot sa isang settlement sa BIR bago ang paglilitis, na posibleng kinasasangkutan ng pagbabayad ng pabalik na buwis, mga multa, at pakikipagtulungan sa mga awtoridad.
**Mahahalagang Pagsasaalang-alang:**
* Ang buong proseso ay maaaring tumagal ng mga buwan o kahit na taon, depende sa pagiging kumplikado ng kaso. * Ang pakikipagtulungan sa BIR sa anumang yugto ay maaaring humantong sa isang mas kanais-nais na resulta.
* Ito ay isang pinasimple na pangkalahatang-ideya, at ang partikular na kurso ng iyong kaso ay depende sa mga detalye at sa iyong legal na diskarte.
**Tandaan:** Ang pagkonsulta sa isang kwalipikadong abogado ng buwis sa Pilipinas sa buong proseso ay napakahalaga. Maaari ka nilang gabayan sa iyong mga karapatan, potensyal na depensa, at i-navigate ang mga legal na kumplikado ng isang kaso ng pag-iwas sa buwis.</v>
      </c>
      <c r="F909" s="2">
        <f t="shared" si="1"/>
        <v>0</v>
      </c>
      <c r="G909" s="2"/>
      <c r="H909" s="2"/>
      <c r="I909" s="2"/>
      <c r="J909" s="2"/>
      <c r="K909" s="2"/>
      <c r="L909" s="2"/>
      <c r="M909" s="2"/>
      <c r="N909" s="2"/>
      <c r="O909" s="2"/>
      <c r="P909" s="2"/>
      <c r="Q909" s="2"/>
      <c r="R909" s="2"/>
      <c r="S909" s="2"/>
      <c r="T909" s="2"/>
      <c r="U909" s="2"/>
      <c r="V909" s="2"/>
      <c r="W909" s="2"/>
      <c r="X909" s="2"/>
      <c r="Y909" s="2"/>
      <c r="Z909" s="2"/>
      <c r="AA909" s="2"/>
    </row>
    <row r="910">
      <c r="A910" s="3" t="s">
        <v>2763</v>
      </c>
      <c r="B910" s="1" t="s">
        <v>2944</v>
      </c>
      <c r="C910" s="1" t="s">
        <v>2945</v>
      </c>
      <c r="D910" s="1" t="s">
        <v>2946</v>
      </c>
      <c r="E910" s="2" t="str">
        <f>IFERROR(__xludf.DUMMYFUNCTION("GOOGLETRANSLATE(C910, ""en"", ""TL"")"),"Oo, ang mga singil sa pag-iwas sa buwis sa Pilipinas ay maaaring makaapekto sa iyong mga propesyonal na lisensya o sertipikasyon. Ganito:
**Depende ang Epekto sa Regulatory Body:**
* Ang iba't ibang propesyon ay may sariling mga regulatory body na nangang"&amp;"asiwa sa paglilisensya at propesyonal na pag-uugali. Ang bawat katawan ay maaaring may sariling mga patakaran tungkol sa mga kasong kriminal.
* Ang ilang mga katawan ng regulasyon ay maaaring may mga partikular na sugnay tungkol sa mga paglabag na nauugna"&amp;"y sa buwis na maaaring humantong sa pagsususpinde ng lisensya, pagbawi, o aksyong pandisiplina.
**Mga Halimbawa:**
* **Professional Regulation Commission (PRC):** Ang PRC ay namamahala sa iba't ibang propesyon (mga doktor, abogado, inhinyero, atbp.). Baga"&amp;"ma't wala silang partikular na sugnay sa pag-iwas sa buwis, maaari silang magsagawa ng aksyong pandisiplina para sa anumang kriminal na pagkakasala na sumasalamin sa pagiging angkop o moralidad ng isang propesyonal.
* **Securities and Exchange Commission "&amp;"(SEC):** Kinokontrol ng SEC ang mga korporasyon at broker-dealer. Ang isang kriminal na paghatol para sa pag-iwas sa buwis ay maaaring makaapekto sa kanilang mga propesyonal na lisensya.
**Mga Pangkalahatang Pagsasaalang-alang:**
* Kahit na hindi tahasang"&amp;" binanggit ng regulatory body ang pag-iwas sa buwis, ang isang kriminal na paghatol ay maaari pa ring makasira sa iyong reputasyon at tiwala ng publiko, na posibleng makaapekto sa iyong kakayahang magsanay sa iyong propesyon.
* Ang pagkawala ng iyong lise"&amp;"nsya ay maaaring magkaroon ng malubhang kahihinatnan para sa iyong karera.
**Kahalagahan ng Legal na Tagapayo:**
Ang isang kwalipikadong abogado ng Pilipinas na dalubhasa sa iyong propesyon ay maaaring magbigay ng partikular na patnubay kung paano maaarin"&amp;"g makaapekto ang mga singil sa pag-iwas sa buwis sa iyong mga lisensya o certification. Maaari silang:
* Magsaliksik sa mga nauugnay na regulasyon ng iyong namumunong katawan
* Magbigay ng payo sa mga potensyal na kahihinatnan at panganib
* Bumuo ng isang"&amp;" legal na diskarte upang mabawasan ang epekto sa iyong propesyonal na katayuan
**Tandaan:** Ito ay isang pangkalahatang pangkalahatang-ideya, at ang mga partikular na kahihinatnan ay nakadepende sa iyong propesyon, sa regulatory body, at sa mga detalye ng"&amp;" iyong kaso. Ang pagkonsulta sa isang abogado ay napakahalaga upang maunawaan ang mga potensyal na panganib at maprotektahan ang iyong mga propesyonal na lisensya o sertipikasyon.")</f>
        <v>Oo, ang mga singil sa pag-iwas sa buwis sa Pilipinas ay maaaring makaapekto sa iyong mga propesyonal na lisensya o sertipikasyon. Ganito:
**Depende ang Epekto sa Regulatory Body:**
* Ang iba't ibang propesyon ay may sariling mga regulatory body na nangangasiwa sa paglilisensya at propesyonal na pag-uugali. Ang bawat katawan ay maaaring may sariling mga patakaran tungkol sa mga kasong kriminal.
* Ang ilang mga katawan ng regulasyon ay maaaring may mga partikular na sugnay tungkol sa mga paglabag na nauugnay sa buwis na maaaring humantong sa pagsususpinde ng lisensya, pagbawi, o aksyong pandisiplina.
**Mga Halimbawa:**
* **Professional Regulation Commission (PRC):** Ang PRC ay namamahala sa iba't ibang propesyon (mga doktor, abogado, inhinyero, atbp.). Bagama't wala silang partikular na sugnay sa pag-iwas sa buwis, maaari silang magsagawa ng aksyong pandisiplina para sa anumang kriminal na pagkakasala na sumasalamin sa pagiging angkop o moralidad ng isang propesyonal.
* **Securities and Exchange Commission (SEC):** Kinokontrol ng SEC ang mga korporasyon at broker-dealer. Ang isang kriminal na paghatol para sa pag-iwas sa buwis ay maaaring makaapekto sa kanilang mga propesyonal na lisensya.
**Mga Pangkalahatang Pagsasaalang-alang:**
* Kahit na hindi tahasang binanggit ng regulatory body ang pag-iwas sa buwis, ang isang kriminal na paghatol ay maaari pa ring makasira sa iyong reputasyon at tiwala ng publiko, na posibleng makaapekto sa iyong kakayahang magsanay sa iyong propesyon.
* Ang pagkawala ng iyong lisensya ay maaaring magkaroon ng malubhang kahihinatnan para sa iyong karera.
**Kahalagahan ng Legal na Tagapayo:**
Ang isang kwalipikadong abogado ng Pilipinas na dalubhasa sa iyong propesyon ay maaaring magbigay ng partikular na patnubay kung paano maaaring makaapekto ang mga singil sa pag-iwas sa buwis sa iyong mga lisensya o certification. Maaari silang:
* Magsaliksik sa mga nauugnay na regulasyon ng iyong namumunong katawan
* Magbigay ng payo sa mga potensyal na kahihinatnan at panganib
* Bumuo ng isang legal na diskarte upang mabawasan ang epekto sa iyong propesyonal na katayuan
**Tandaan:** Ito ay isang pangkalahatang pangkalahatang-ideya, at ang mga partikular na kahihinatnan ay nakadepende sa iyong propesyon, sa regulatory body, at sa mga detalye ng iyong kaso. Ang pagkonsulta sa isang abogado ay napakahalaga upang maunawaan ang mga potensyal na panganib at maprotektahan ang iyong mga propesyonal na lisensya o sertipikasyon.</v>
      </c>
      <c r="F910" s="2">
        <f t="shared" si="1"/>
        <v>0</v>
      </c>
      <c r="G910" s="2"/>
      <c r="H910" s="2"/>
      <c r="I910" s="2"/>
      <c r="J910" s="2"/>
      <c r="K910" s="2"/>
      <c r="L910" s="2"/>
      <c r="M910" s="2"/>
      <c r="N910" s="2"/>
      <c r="O910" s="2"/>
      <c r="P910" s="2"/>
      <c r="Q910" s="2"/>
      <c r="R910" s="2"/>
      <c r="S910" s="2"/>
      <c r="T910" s="2"/>
      <c r="U910" s="2"/>
      <c r="V910" s="2"/>
      <c r="W910" s="2"/>
      <c r="X910" s="2"/>
      <c r="Y910" s="2"/>
      <c r="Z910" s="2"/>
      <c r="AA910" s="2"/>
    </row>
    <row r="911">
      <c r="A911" s="3" t="s">
        <v>2763</v>
      </c>
      <c r="B911" s="1" t="s">
        <v>2947</v>
      </c>
      <c r="C911" s="1" t="s">
        <v>2948</v>
      </c>
      <c r="D911" s="1" t="s">
        <v>2949</v>
      </c>
      <c r="E911" s="2" t="str">
        <f>IFERROR(__xludf.DUMMYFUNCTION("GOOGLETRANSLATE(C911, ""en"", ""TL"")"),"Sa Pilipinas, habang umiiral ang kriminal na pag-uusig para sa pag-iwas sa buwis, ang pangunahing pokus ng mga awtoridad sa buwis ay ang pagbawi ng mga hindi nabayarang buwis at mga kaugnay na parusa. Narito ang isang breakdown ng mga sibil na parusa para"&amp;" sa pag-iwas sa buwis sa ilalim ng batas ng Pilipinas (Tax Code, Republic Act No. 8424):
**1. Pagtatasa ng Mga Buwis sa Kakulangan:**
* Kung ang Bureau of Internal Revenue (BIR) ay nakadiskubre ng underreported income o omitted taxes, tatasahin nila ang h"&amp;"alaga ng deficiency tax. Kinakatawan nito ang mga buwis na dapat ay orihinal mong binayaran.
**2. Mga dagdag na singil:**
* Bilang karagdagan sa deficiency taxes, ang BIR ay nagpapataw ng mga surcharge para sa late payment. Ang mga ito ay karaniwang isang"&amp;" porsyento ng hindi nabayarang halaga ng buwis, na kinakalkula mula sa takdang petsa ng pagbabalik o pagbabayad.
**3. Interes:**
* Naiipon ang interes sa mga hindi nabayarang buwis mula sa itinakdang takdang petsa hanggang sa mabayaran ang buong halaga. A"&amp;"ng rate ng interes ay itinakda ng BIR at maaaring masyadong mataas (kasalukuyang 20% ​​kada taon o mas mataas na rate ayon sa itinatakda ng mga regulasyon).
**4. Mga Parusa sa Kompromiso:**
* Sa ilang mga kaso, ang BIR ay maaaring mag-alok ng kompromiso s"&amp;"a mga parusa, lalo na kung ikaw ay nakikipagtulungan sa pagsisiyasat at boluntaryong isiwalat ang mga kakulangan sa buwis. Ito ay maaaring humantong sa isang pagbawas sa kabuuang halaga ng mga parusa na dapat bayaran.
**Proseso ng Pagsusuri:**
* Ang BIR a"&amp;"y karaniwang maglalabas ng Letter of Assessment na nag-aabiso sa iyo ng anumang kakulangan sa buwis, surcharge, at interes na dapat bayaran.
* May karapatan kang paglabanan ang pagtatasa sa pamamagitan ng paghahain ng protesta sa BIR sa loob ng isang tiya"&amp;"k na takdang panahon.
* Kung ang protesta ay tinanggihan, maaari mong higit pang itaas ang kaso sa Court of Tax Appeals (CTA) para sa pagsusuri.
**Tandaan:**
* Ang mga parusang sibil na ito ay inilaan upang mabayaran ang gobyerno para sa nawalang kita sa "&amp;"buwis at pigilan ang pag-iwas sa buwis.
* Ang mga partikular na halaga ng mga parusa ay mag-iiba depende sa kalubhaan ng kaso at ang lawak ng kulang sa pagbabayad.
**Mahalagang kumunsulta sa isang abogado sa buwis** kung nahaharap ka sa isang pagtatasa ng"&amp;" buwis o mga potensyal na singil sa pag-iwas sa buwis. Maaari silang:
* Suriin ang pagtatasa at payuhan sa paligsahan ito
* Makipag-ayos sa BIR para sa isang kompromiso sa mga parusa
* Kinatawan ka sa kaso ng mga hindi pagkakaunawaan sa BIR o mga apela sa"&amp;" CTA")</f>
        <v>Sa Pilipinas, habang umiiral ang kriminal na pag-uusig para sa pag-iwas sa buwis, ang pangunahing pokus ng mga awtoridad sa buwis ay ang pagbawi ng mga hindi nabayarang buwis at mga kaugnay na parusa. Narito ang isang breakdown ng mga sibil na parusa para sa pag-iwas sa buwis sa ilalim ng batas ng Pilipinas (Tax Code, Republic Act No. 8424):
**1. Pagtatasa ng Mga Buwis sa Kakulangan:**
* Kung ang Bureau of Internal Revenue (BIR) ay nakadiskubre ng underreported income o omitted taxes, tatasahin nila ang halaga ng deficiency tax. Kinakatawan nito ang mga buwis na dapat ay orihinal mong binayaran.
**2. Mga dagdag na singil:**
* Bilang karagdagan sa deficiency taxes, ang BIR ay nagpapataw ng mga surcharge para sa late payment. Ang mga ito ay karaniwang isang porsyento ng hindi nabayarang halaga ng buwis, na kinakalkula mula sa takdang petsa ng pagbabalik o pagbabayad.
**3. Interes:**
* Naiipon ang interes sa mga hindi nabayarang buwis mula sa itinakdang takdang petsa hanggang sa mabayaran ang buong halaga. Ang rate ng interes ay itinakda ng BIR at maaaring masyadong mataas (kasalukuyang 20% ​​kada taon o mas mataas na rate ayon sa itinatakda ng mga regulasyon).
**4. Mga Parusa sa Kompromiso:**
* Sa ilang mga kaso, ang BIR ay maaaring mag-alok ng kompromiso sa mga parusa, lalo na kung ikaw ay nakikipagtulungan sa pagsisiyasat at boluntaryong isiwalat ang mga kakulangan sa buwis. Ito ay maaaring humantong sa isang pagbawas sa kabuuang halaga ng mga parusa na dapat bayaran.
**Proseso ng Pagsusuri:**
* Ang BIR ay karaniwang maglalabas ng Letter of Assessment na nag-aabiso sa iyo ng anumang kakulangan sa buwis, surcharge, at interes na dapat bayaran.
* May karapatan kang paglabanan ang pagtatasa sa pamamagitan ng paghahain ng protesta sa BIR sa loob ng isang tiyak na takdang panahon.
* Kung ang protesta ay tinanggihan, maaari mong higit pang itaas ang kaso sa Court of Tax Appeals (CTA) para sa pagsusuri.
**Tandaan:**
* Ang mga parusang sibil na ito ay inilaan upang mabayaran ang gobyerno para sa nawalang kita sa buwis at pigilan ang pag-iwas sa buwis.
* Ang mga partikular na halaga ng mga parusa ay mag-iiba depende sa kalubhaan ng kaso at ang lawak ng kulang sa pagbabayad.
**Mahalagang kumunsulta sa isang abogado sa buwis** kung nahaharap ka sa isang pagtatasa ng buwis o mga potensyal na singil sa pag-iwas sa buwis. Maaari silang:
* Suriin ang pagtatasa at payuhan sa paligsahan ito
* Makipag-ayos sa BIR para sa isang kompromiso sa mga parusa
* Kinatawan ka sa kaso ng mga hindi pagkakaunawaan sa BIR o mga apela sa CTA</v>
      </c>
      <c r="F911" s="2">
        <f t="shared" si="1"/>
        <v>0</v>
      </c>
      <c r="G911" s="2"/>
      <c r="H911" s="2"/>
      <c r="I911" s="2"/>
      <c r="J911" s="2"/>
      <c r="K911" s="2"/>
      <c r="L911" s="2"/>
      <c r="M911" s="2"/>
      <c r="N911" s="2"/>
      <c r="O911" s="2"/>
      <c r="P911" s="2"/>
      <c r="Q911" s="2"/>
      <c r="R911" s="2"/>
      <c r="S911" s="2"/>
      <c r="T911" s="2"/>
      <c r="U911" s="2"/>
      <c r="V911" s="2"/>
      <c r="W911" s="2"/>
      <c r="X911" s="2"/>
      <c r="Y911" s="2"/>
      <c r="Z911" s="2"/>
      <c r="AA911" s="2"/>
    </row>
    <row r="912">
      <c r="A912" s="3" t="s">
        <v>2763</v>
      </c>
      <c r="B912" s="1" t="s">
        <v>2950</v>
      </c>
      <c r="C912" s="1" t="s">
        <v>2951</v>
      </c>
      <c r="D912" s="1" t="s">
        <v>2952</v>
      </c>
      <c r="E912" s="2" t="str">
        <f>IFERROR(__xludf.DUMMYFUNCTION("GOOGLETRANSLATE(C912, ""en"", ""TL"")"),"Hindi ko tiyak na masasabi sa iyo kung dapat mong ibunyag o hindi ang nakaraang pag-iwas sa buwis sa mga awtoridad ng Pilipinas. Ito ay isang kumplikadong legal na sitwasyon at ang pinakamahusay na paraan ng pagkilos ay nakasalalay sa mga detalye ng iyong"&amp;" sitwasyon. Gayunpaman, makakapagbigay ako ng ilang pangkalahatang impormasyon tungkol sa mga programang boluntaryong pagsisiwalat sa Pilipinas na maaaring makatulong:
* **Ang Bureau of Internal Revenue (BIR) ay nag-aalok ng Voluntary Disclosure Program ("&amp;"VDP) sa ilalim ng Seksyon 249 ng Tax Code (Republic Act No. 8424).** Ang programang ito ay nagpapahintulot sa mga nagbabayad ng buwis na boluntaryong ibunyag ang dati nang hindi nabubuwis na kita o mga ari-arian bilang kapalit para sa pinababang mga parus"&amp;"a at kaligtasan mula sa kriminal na pag-uusig.
Narito ang ilang benepisyo ng pagsasaalang-alang sa VDP:
* **Mga Pinababang Parusa:** Nag-aalok ang VDP ng makabuluhang pagbawas sa mga parusa kumpara sa kung ano ang maaari mong harapin kung natuklasan ng BI"&amp;"R ang pag-iwas sa buwis nang mag-isa.
* **Immunity mula sa Criminal Prosecution:** Maaaring protektahan ka ng boluntaryong pagsisiwalat mula sa mga kasong kriminal na nauugnay sa pag-iwas sa buwis.
* **Kapayapaan ng Isip:** Ang pagsisiwalat ng mga nakaraa"&amp;"ng pananagutan sa buwis ay maaaring maibsan ang stress at pagkabalisa ng potensyal na mahuli ng BIR mamaya.
Gayunpaman, mayroon ding ilang mga limitasyon na dapat isaalang-alang:
* **Mga Limitasyon sa Oras:** Ang BIR ay maaaring magpataw ng mga limitasyon"&amp;" sa oras para sa pag-avail ng VDP.
* **Buong Kinakailangan sa Pagbubunyag:** Upang maging kuwalipikado para sa programa, dapat kang gumawa ng kumpleto at makatotohanang pagsisiwalat ng lahat ng hindi isiniwalat na kita at mga ari-arian.
* **Not Guaranteed"&amp;":** Ang pagtanggap sa VDP ay hindi garantisado. Ang BIR ay may pagpapasya na tanggihan ang mga aplikasyon sa ilang mga kaso.
**Pagkonsulta sa isang Tax Lawyer:**
Dahil sa mga kumplikadong kasangkot, ang pagkonsulta sa isang kwalipikadong abogado ng buwis "&amp;"sa Pilipinas na dalubhasa sa pag-iwas sa buwis ay lubos na inirerekomenda. Maaari silang:
* Suriin ang iyong partikular na sitwasyon at tukuyin kung ang VDP ang pinakamagandang opsyon para sa iyo.
* Tulungan kang kalkulahin ang mga potensyal na pananaguta"&amp;"n sa buwis at mga parusa na maaari mong harapin.
* Gabayan ka sa proseso ng VDP, tinitiyak ang kumpleto at tumpak na pagsisiwalat.
* Kinatawan ka sa iyong pakikitungo sa BIR.
**Tandaan:** Ito ay isang pangkalahatang pangkalahatang-ideya lamang. Ang mga ba"&amp;"tas sa buwis sa Pilipinas ay maaaring maging masalimuot, at ang pinakamahusay na paraan ng pagkilos ay nakasalalay sa mga detalye ng iyong sitwasyon. Ang pagkonsulta sa isang abogado sa buwis ay napakahalaga upang makagawa ng matalinong desisyon at posibl"&amp;"eng makinabang mula sa Voluntary Disclosure Program.")</f>
        <v>Hindi ko tiyak na masasabi sa iyo kung dapat mong ibunyag o hindi ang nakaraang pag-iwas sa buwis sa mga awtoridad ng Pilipinas. Ito ay isang kumplikadong legal na sitwasyon at ang pinakamahusay na paraan ng pagkilos ay nakasalalay sa mga detalye ng iyong sitwasyon. Gayunpaman, makakapagbigay ako ng ilang pangkalahatang impormasyon tungkol sa mga programang boluntaryong pagsisiwalat sa Pilipinas na maaaring makatulong:
* **Ang Bureau of Internal Revenue (BIR) ay nag-aalok ng Voluntary Disclosure Program (VDP) sa ilalim ng Seksyon 249 ng Tax Code (Republic Act No. 8424).** Ang programang ito ay nagpapahintulot sa mga nagbabayad ng buwis na boluntaryong ibunyag ang dati nang hindi nabubuwis na kita o mga ari-arian bilang kapalit para sa pinababang mga parusa at kaligtasan mula sa kriminal na pag-uusig.
Narito ang ilang benepisyo ng pagsasaalang-alang sa VDP:
* **Mga Pinababang Parusa:** Nag-aalok ang VDP ng makabuluhang pagbawas sa mga parusa kumpara sa kung ano ang maaari mong harapin kung natuklasan ng BIR ang pag-iwas sa buwis nang mag-isa.
* **Immunity mula sa Criminal Prosecution:** Maaaring protektahan ka ng boluntaryong pagsisiwalat mula sa mga kasong kriminal na nauugnay sa pag-iwas sa buwis.
* **Kapayapaan ng Isip:** Ang pagsisiwalat ng mga nakaraang pananagutan sa buwis ay maaaring maibsan ang stress at pagkabalisa ng potensyal na mahuli ng BIR mamaya.
Gayunpaman, mayroon ding ilang mga limitasyon na dapat isaalang-alang:
* **Mga Limitasyon sa Oras:** Ang BIR ay maaaring magpataw ng mga limitasyon sa oras para sa pag-avail ng VDP.
* **Buong Kinakailangan sa Pagbubunyag:** Upang maging kuwalipikado para sa programa, dapat kang gumawa ng kumpleto at makatotohanang pagsisiwalat ng lahat ng hindi isiniwalat na kita at mga ari-arian.
* **Not Guaranteed:** Ang pagtanggap sa VDP ay hindi garantisado. Ang BIR ay may pagpapasya na tanggihan ang mga aplikasyon sa ilang mga kaso.
**Pagkonsulta sa isang Tax Lawyer:**
Dahil sa mga kumplikadong kasangkot, ang pagkonsulta sa isang kwalipikadong abogado ng buwis sa Pilipinas na dalubhasa sa pag-iwas sa buwis ay lubos na inirerekomenda. Maaari silang:
* Suriin ang iyong partikular na sitwasyon at tukuyin kung ang VDP ang pinakamagandang opsyon para sa iyo.
* Tulungan kang kalkulahin ang mga potensyal na pananagutan sa buwis at mga parusa na maaari mong harapin.
* Gabayan ka sa proseso ng VDP, tinitiyak ang kumpleto at tumpak na pagsisiwalat.
* Kinatawan ka sa iyong pakikitungo sa BIR.
**Tandaan:** Ito ay isang pangkalahatang pangkalahatang-ideya lamang. Ang mga batas sa buwis sa Pilipinas ay maaaring maging masalimuot, at ang pinakamahusay na paraan ng pagkilos ay nakasalalay sa mga detalye ng iyong sitwasyon. Ang pagkonsulta sa isang abogado sa buwis ay napakahalaga upang makagawa ng matalinong desisyon at posibleng makinabang mula sa Voluntary Disclosure Program.</v>
      </c>
      <c r="F912" s="2">
        <f t="shared" si="1"/>
        <v>0</v>
      </c>
      <c r="G912" s="2"/>
      <c r="H912" s="2"/>
      <c r="I912" s="2"/>
      <c r="J912" s="2"/>
      <c r="K912" s="2"/>
      <c r="L912" s="2"/>
      <c r="M912" s="2"/>
      <c r="N912" s="2"/>
      <c r="O912" s="2"/>
      <c r="P912" s="2"/>
      <c r="Q912" s="2"/>
      <c r="R912" s="2"/>
      <c r="S912" s="2"/>
      <c r="T912" s="2"/>
      <c r="U912" s="2"/>
      <c r="V912" s="2"/>
      <c r="W912" s="2"/>
      <c r="X912" s="2"/>
      <c r="Y912" s="2"/>
      <c r="Z912" s="2"/>
      <c r="AA912" s="2"/>
    </row>
    <row r="913">
      <c r="A913" s="3" t="s">
        <v>2763</v>
      </c>
      <c r="B913" s="1" t="s">
        <v>2953</v>
      </c>
      <c r="C913" s="1" t="s">
        <v>2954</v>
      </c>
      <c r="D913" s="1" t="s">
        <v>2955</v>
      </c>
      <c r="E913" s="2" t="str">
        <f>IFERROR(__xludf.DUMMYFUNCTION("GOOGLETRANSLATE(C913, ""en"", ""TL"")"),"Oo, ang mga paratang sa pag-iwas sa buwis kung minsan ay maaaring magmula sa mga simpleng pagkakamali o hindi pagkakaunawaan sa Pilipinas. Narito kung bakit:
**Pagkakaiba sa pagitan ng Error at Pag-iwas:** * **Pag-iwas sa Buwis (Seksyon 255 ng Kodigo sa B"&amp;"uwis):** Ito ay nagsasangkot ng sinadya at sinasadyang mga pagkilos upang maiwasan ang mga buwis sa pamamagitan ng maling pagbabalik, pag-alis ng kita, pag-iingat ng dobleng hanay ng mga aklat, o pagsira mga talaan ng accounting.
* **Mga Simpleng Error:**"&amp;" Ito ay mga hindi sinasadyang pagkakamali habang naghahain ng mga tax return. Narito ang ilang halimbawa:
* **Math Errors:** Maling kalkulasyon sa kita, mga pagbabawas, o pagkalkula ng buwis.
* **Maling interpretasyon:** Pagkalito tungkol sa mga panuntuna"&amp;"n o regulasyon sa buwis. * **Nawawalang Dokumentasyon:** Pagkabigong isama ang mga kinakailangang resibo o invoice dahil sa pangangasiwa.
**Kapag ang mga Error ay humantong sa mga paratang:**
* Kahit na ang mga hindi sinasadyang pagkakamali ay maaaring ma"&amp;"g-trigger ng pagsisiyasat mula sa Bureau of Internal Revenue (BIR) kung magtataas sila ng mga pulang bandila. Maaaring kabilang dito ang mga makabuluhang pagkakaiba sa pagitan ng iniulat na kita at pamumuhay o hindi maipaliwanag na malalaking deposito.
* "&amp;"Ang BIR ay mag-iimbestiga upang matukoy kung ang mga pagkakamali ay tunay na pagkakamali o pagtatangkang itago ang nabubuwisang kita. **Mga Salik na Isinasaalang-alang ng BIR:**
* **Kasaysayan ng Pagsunod:** Ang isang kasaysayan ng tumpak na paghahain ng "&amp;"buwis ay maaaring magmungkahi na ang kasalukuyang error ay hindi sinasadya.
* **Kooperasyon sa BIR:** Ang pagiging bukas at kooperatiba sa panahon ng imbestigasyon ay nagpapakita ng mabuting loob.
* **Kalubhaan ng Error:** Ang mga maliliit na error ay mas"&amp;" malamang na magtaas ng hinala kumpara sa malaking pagkakaiba.
**Kahalagahan ng Pagtugon sa Mga Error:**
* Kung makatuklas ka ng error sa iyong tax return, mahalagang maghain ng mga binagong return sa lalong madaling panahon. Ipinapakita nito sa BIR na ha"&amp;"nda kang itama ang pagkakamali.
* Makakatulong sa iyo ang pagkonsulta sa isang propesyonal sa buwis na matukoy at maitama ang mga error sa iyong paghahain ng buwis.
**Naghahanap ng Legal na Tagapayo:**
Kung nahaharap ka sa mga paratang sa pag-iwas sa buwi"&amp;"s dahil sa pinaniniwalaan mong mga simpleng pagkakamali, inirerekomenda ang pagkonsulta sa isang abogado sa buwis. Maaari silang:
* Tulungan kang mangalap ng ebidensya upang ipakita ang hindi sinasadyang kalikasan ng pagkakamali.
* Makipag-ayos sa BIR par"&amp;"a sa iyo upang mabawasan ang mga parusa.
* Kumakatawan sa iyo kung ang kaso ay mapupunta sa korte (bihirang sa mga kaso ng mga tunay na pagkakamali).
**Tandaan:** Bagama't maaaring mangyari ang mga matapat na pagkakamali, sineseryoso ng BIR ang pag-iwas s"&amp;"a buwis. Kung mayroon kang anumang mga alalahanin tungkol sa iyong sitwasyon sa buwis, palaging pinakamahusay na kumunsulta sa isang kwalipikadong propesyonal sa buwis upang matiyak na tumpak kang nag-file at maiwasan ang potensyal na pagsisiyasat.")</f>
        <v>Oo, ang mga paratang sa pag-iwas sa buwis kung minsan ay maaaring magmula sa mga simpleng pagkakamali o hindi pagkakaunawaan sa Pilipinas. Narito kung bakit:
**Pagkakaiba sa pagitan ng Error at Pag-iwas:** * **Pag-iwas sa Buwis (Seksyon 255 ng Kodigo sa Buwis):** Ito ay nagsasangkot ng sinadya at sinasadyang mga pagkilos upang maiwasan ang mga buwis sa pamamagitan ng maling pagbabalik, pag-alis ng kita, pag-iingat ng dobleng hanay ng mga aklat, o pagsira mga talaan ng accounting.
* **Mga Simpleng Error:** Ito ay mga hindi sinasadyang pagkakamali habang naghahain ng mga tax return. Narito ang ilang halimbawa:
* **Math Errors:** Maling kalkulasyon sa kita, mga pagbabawas, o pagkalkula ng buwis.
* **Maling interpretasyon:** Pagkalito tungkol sa mga panuntunan o regulasyon sa buwis. * **Nawawalang Dokumentasyon:** Pagkabigong isama ang mga kinakailangang resibo o invoice dahil sa pangangasiwa.
**Kapag ang mga Error ay humantong sa mga paratang:**
* Kahit na ang mga hindi sinasadyang pagkakamali ay maaaring mag-trigger ng pagsisiyasat mula sa Bureau of Internal Revenue (BIR) kung magtataas sila ng mga pulang bandila. Maaaring kabilang dito ang mga makabuluhang pagkakaiba sa pagitan ng iniulat na kita at pamumuhay o hindi maipaliwanag na malalaking deposito.
* Ang BIR ay mag-iimbestiga upang matukoy kung ang mga pagkakamali ay tunay na pagkakamali o pagtatangkang itago ang nabubuwisang kita. **Mga Salik na Isinasaalang-alang ng BIR:**
* **Kasaysayan ng Pagsunod:** Ang isang kasaysayan ng tumpak na paghahain ng buwis ay maaaring magmungkahi na ang kasalukuyang error ay hindi sinasadya.
* **Kooperasyon sa BIR:** Ang pagiging bukas at kooperatiba sa panahon ng imbestigasyon ay nagpapakita ng mabuting loob.
* **Kalubhaan ng Error:** Ang mga maliliit na error ay mas malamang na magtaas ng hinala kumpara sa malaking pagkakaiba.
**Kahalagahan ng Pagtugon sa Mga Error:**
* Kung makatuklas ka ng error sa iyong tax return, mahalagang maghain ng mga binagong return sa lalong madaling panahon. Ipinapakita nito sa BIR na handa kang itama ang pagkakamali.
* Makakatulong sa iyo ang pagkonsulta sa isang propesyonal sa buwis na matukoy at maitama ang mga error sa iyong paghahain ng buwis.
**Naghahanap ng Legal na Tagapayo:**
Kung nahaharap ka sa mga paratang sa pag-iwas sa buwis dahil sa pinaniniwalaan mong mga simpleng pagkakamali, inirerekomenda ang pagkonsulta sa isang abogado sa buwis. Maaari silang:
* Tulungan kang mangalap ng ebidensya upang ipakita ang hindi sinasadyang kalikasan ng pagkakamali.
* Makipag-ayos sa BIR para sa iyo upang mabawasan ang mga parusa.
* Kumakatawan sa iyo kung ang kaso ay mapupunta sa korte (bihirang sa mga kaso ng mga tunay na pagkakamali).
**Tandaan:** Bagama't maaaring mangyari ang mga matapat na pagkakamali, sineseryoso ng BIR ang pag-iwas sa buwis. Kung mayroon kang anumang mga alalahanin tungkol sa iyong sitwasyon sa buwis, palaging pinakamahusay na kumunsulta sa isang kwalipikadong propesyonal sa buwis upang matiyak na tumpak kang nag-file at maiwasan ang potensyal na pagsisiyasat.</v>
      </c>
      <c r="F913" s="2">
        <f t="shared" si="1"/>
        <v>0</v>
      </c>
      <c r="G913" s="2"/>
      <c r="H913" s="2"/>
      <c r="I913" s="2"/>
      <c r="J913" s="2"/>
      <c r="K913" s="2"/>
      <c r="L913" s="2"/>
      <c r="M913" s="2"/>
      <c r="N913" s="2"/>
      <c r="O913" s="2"/>
      <c r="P913" s="2"/>
      <c r="Q913" s="2"/>
      <c r="R913" s="2"/>
      <c r="S913" s="2"/>
      <c r="T913" s="2"/>
      <c r="U913" s="2"/>
      <c r="V913" s="2"/>
      <c r="W913" s="2"/>
      <c r="X913" s="2"/>
      <c r="Y913" s="2"/>
      <c r="Z913" s="2"/>
      <c r="AA913" s="2"/>
    </row>
    <row r="914">
      <c r="A914" s="3" t="s">
        <v>2763</v>
      </c>
      <c r="B914" s="1" t="s">
        <v>2956</v>
      </c>
      <c r="C914" s="1" t="s">
        <v>2957</v>
      </c>
      <c r="D914" s="1" t="s">
        <v>2958</v>
      </c>
      <c r="E914" s="2" t="str">
        <f>IFERROR(__xludf.DUMMYFUNCTION("GOOGLETRANSLATE(C914, ""en"", ""TL"")"),"Narito ang ilang hakbang na maaari mong gawin upang maprotektahan ang iyong sarili mula sa hindi sinasadyang pagsali sa tax evasion scheme ng ibang tao sa Pilipinas:
**Mag-ingat sa Mga Hindi Makatotohanang Alok:**
* **Mga Pangako ng Makabuluhang Binawasan"&amp;"g Buwis:** Kung may nag-aalok ng mga paraan upang lubos na bawasan ang iyong pananagutan sa buwis sa pamamagitan ng mga paraang mukhang napakahusay para maging totoo, malamang na totoo sila. Ang mga lehitimong diskarte sa buwis ay naglalayong bawasan ang "&amp;"iyong pasanin sa buwis sa loob ng legal na balangkas.
* **Mga Hindi Karaniwang Kasanayan sa Negosyo:** Maging maingat sa mga negosyo o indibidwal na nagmumungkahi ng mga hindi pangkaraniwang istruktura ng pagbabayad, labis na paggamit ng mga cash na trans"&amp;"aksyon, o mga kahilingang itago ang kita o mga asset.
**Magsaliksik:**
* **I-verify ang Legitimacy ng Negosyo:** Bago makipag-ugnayan sa isang kumpanya o indibidwal para sa mga serbisyo sa buwis, saliksikin ang kanilang reputasyon at tiyaking nakarehistro"&amp;" sila sa Bureau of Internal Revenue (BIR). Maaari mong tingnan ang website ng BIR ([https://www.bir.gov.ph/](https://www.bir.gov.ph/)) para sa mga awtorisadong propesyonal sa buwis.
* **Unawain ang Mga Batas sa Buwis:** Ang pagkakaroon ng pangunahing pag-"&amp;"unawa sa mga batas sa buwis sa Pilipinas at mga karaniwang pagbabawas ay makakatulong sa iyong matukoy ang mga potensyal na red flag sa mga iminungkahing diskarte sa buwis.
**Panatilihin ang Malinaw na Dokumentasyon:**
* **Mga Detalyadong Tala:** Panatili"&amp;"hin ang wastong mga talaan ng lahat ng kita, gastos, at mga dokumentong nauugnay sa buwis. Magiging mahalaga ito kung haharap ka sa pagsisiyasat mula sa BIR, kahit na hindi sinasadya.
* **Mga Nakasulat na Kasunduan:** Para sa anumang mga serbisyong nauugn"&amp;"ay sa buwis, kumuha ng mga nakasulat na kasunduan na malinaw na nagbabalangkas sa saklaw ng trabaho, mga bayarin, at anumang potensyal na panganib na kasangkot.
**Humingi ng Propesyonal na Payo:**
* **Kumonsulta sa Tax Lawyer o Accountant:** Ang isang kwa"&amp;"lipikadong propesyonal sa buwis ay maaaring magbigay ng gabay sa mga lehitimong diskarte sa pagpaplano ng buwis at tulungan kang maiwasan ang pagkakasangkot sa anumang mga scheme.
**Mag-ulat ng Kahina-hinalang Aktibidad:**
* **BIR Hotline:** Kung pinaghih"&amp;"inalaan mong may taong nasangkot sa pag-iwas sa buwis, maaari mo itong iulat sa BIR nang hindi nagpapakilala sa pamamagitan ng kanilang hotline o online na mga channel.
**Tandaan:** Ang pagprotekta sa iyong sarili ay mahalaga. Sa pamamagitan ng pagiging m"&amp;"aingat, kaalaman, at paghingi ng propesyonal na payo, maaari mong bawasan ang panganib na hindi sinasadyang masangkot sa tax evasion scheme ng ibang tao.")</f>
        <v>Narito ang ilang hakbang na maaari mong gawin upang maprotektahan ang iyong sarili mula sa hindi sinasadyang pagsali sa tax evasion scheme ng ibang tao sa Pilipinas:
**Mag-ingat sa Mga Hindi Makatotohanang Alok:**
* **Mga Pangako ng Makabuluhang Binawasang Buwis:** Kung may nag-aalok ng mga paraan upang lubos na bawasan ang iyong pananagutan sa buwis sa pamamagitan ng mga paraang mukhang napakahusay para maging totoo, malamang na totoo sila. Ang mga lehitimong diskarte sa buwis ay naglalayong bawasan ang iyong pasanin sa buwis sa loob ng legal na balangkas.
* **Mga Hindi Karaniwang Kasanayan sa Negosyo:** Maging maingat sa mga negosyo o indibidwal na nagmumungkahi ng mga hindi pangkaraniwang istruktura ng pagbabayad, labis na paggamit ng mga cash na transaksyon, o mga kahilingang itago ang kita o mga asset.
**Magsaliksik:**
* **I-verify ang Legitimacy ng Negosyo:** Bago makipag-ugnayan sa isang kumpanya o indibidwal para sa mga serbisyo sa buwis, saliksikin ang kanilang reputasyon at tiyaking nakarehistro sila sa Bureau of Internal Revenue (BIR). Maaari mong tingnan ang website ng BIR ([https://www.bir.gov.ph/](https://www.bir.gov.ph/)) para sa mga awtorisadong propesyonal sa buwis.
* **Unawain ang Mga Batas sa Buwis:** Ang pagkakaroon ng pangunahing pag-unawa sa mga batas sa buwis sa Pilipinas at mga karaniwang pagbabawas ay makakatulong sa iyong matukoy ang mga potensyal na red flag sa mga iminungkahing diskarte sa buwis.
**Panatilihin ang Malinaw na Dokumentasyon:**
* **Mga Detalyadong Tala:** Panatilihin ang wastong mga talaan ng lahat ng kita, gastos, at mga dokumentong nauugnay sa buwis. Magiging mahalaga ito kung haharap ka sa pagsisiyasat mula sa BIR, kahit na hindi sinasadya.
* **Mga Nakasulat na Kasunduan:** Para sa anumang mga serbisyong nauugnay sa buwis, kumuha ng mga nakasulat na kasunduan na malinaw na nagbabalangkas sa saklaw ng trabaho, mga bayarin, at anumang potensyal na panganib na kasangkot.
**Humingi ng Propesyonal na Payo:**
* **Kumonsulta sa Tax Lawyer o Accountant:** Ang isang kwalipikadong propesyonal sa buwis ay maaaring magbigay ng gabay sa mga lehitimong diskarte sa pagpaplano ng buwis at tulungan kang maiwasan ang pagkakasangkot sa anumang mga scheme.
**Mag-ulat ng Kahina-hinalang Aktibidad:**
* **BIR Hotline:** Kung pinaghihinalaan mong may taong nasangkot sa pag-iwas sa buwis, maaari mo itong iulat sa BIR nang hindi nagpapakilala sa pamamagitan ng kanilang hotline o online na mga channel.
**Tandaan:** Ang pagprotekta sa iyong sarili ay mahalaga. Sa pamamagitan ng pagiging maingat, kaalaman, at paghingi ng propesyonal na payo, maaari mong bawasan ang panganib na hindi sinasadyang masangkot sa tax evasion scheme ng ibang tao.</v>
      </c>
      <c r="F914" s="2">
        <f t="shared" si="1"/>
        <v>0</v>
      </c>
      <c r="G914" s="2"/>
      <c r="H914" s="2"/>
      <c r="I914" s="2"/>
      <c r="J914" s="2"/>
      <c r="K914" s="2"/>
      <c r="L914" s="2"/>
      <c r="M914" s="2"/>
      <c r="N914" s="2"/>
      <c r="O914" s="2"/>
      <c r="P914" s="2"/>
      <c r="Q914" s="2"/>
      <c r="R914" s="2"/>
      <c r="S914" s="2"/>
      <c r="T914" s="2"/>
      <c r="U914" s="2"/>
      <c r="V914" s="2"/>
      <c r="W914" s="2"/>
      <c r="X914" s="2"/>
      <c r="Y914" s="2"/>
      <c r="Z914" s="2"/>
      <c r="AA914" s="2"/>
    </row>
    <row r="915">
      <c r="A915" s="3" t="s">
        <v>2763</v>
      </c>
      <c r="B915" s="1" t="s">
        <v>2959</v>
      </c>
      <c r="C915" s="1" t="s">
        <v>2960</v>
      </c>
      <c r="D915" s="1" t="s">
        <v>2961</v>
      </c>
      <c r="E915" s="2" t="str">
        <f>IFERROR(__xludf.DUMMYFUNCTION("GOOGLETRANSLATE(C915, ""en"", ""TL"")"),"Narito ang isang breakdown ng dokumentasyon na dapat mong panatilihin para sa pagsunod sa buwis sa Pilipinas:
**Mga Dokumento ng Kita:**
* **Mga Salary at Wage Statement (Form 2316):** Kung ikaw ay nagtatrabaho, magtago ng mga kopya ng iyong Form 2316, na"&amp;" nagpapakita ng iyong taunang kita at mga buwis na pinipigilan ng iyong employer.
* **Mga Rekord ng Kita sa Negosyo:** Para sa mga indibidwal na nagtatrabaho sa sarili o may-ari ng negosyo, panatilihin ang mga talaan ng lahat ng pinagmumulan ng kita, kabi"&amp;"lang ang mga resibo sa pagbebenta, mga invoice, at mga kontrata.
* **Mga Pahayag ng Kita sa Pamumuhunan:** Panatilihin ang dokumentasyon para sa kita sa pamumuhunan tulad ng interes na nakuha sa mga deposito, mga dibidendo mula sa mga stock, o kita sa pag"&amp;"-upa mula sa mga ari-arian.
**Dokumentasyon ng Gastos:**
* **Mga Resibo at Invoice:** Panatilihin ang mga resibo at invoice para sa lahat ng nababawas na gastos sa negosyo, gaya ng upa, mga utility, paglalakbay, mga supply, at pagkukumpuni.
* **Patunay ng"&amp;" Mga Pagbabayad:** Panatilihin ang mga talaan ng mga pagbabayad sa utang, pagbabayad ng interes, mga donasyong kawanggawa, at iba pang mga personal na gastos na mababawas (na may mga limitasyon).
**Mga Dokumentong Kaugnay ng Buwis:**
* **Tax Returns:** Ma"&amp;"gtago ng mga kopya ng iyong inihain na Income Tax Returns (ITRs) nang hindi bababa sa limang taon (BIR requirement). * **Mga Pagbabayad ng Buwis:** Panatilihin ang mga talaan ng mga pagbabayad ng buwis, kabilang ang mga resibo o kumpirmasyon mula sa BIR.
"&amp;"* **Korespondensya sa BIR:** Magtago ng mga kopya ng anumang komunikasyon na mayroon ka sa BIR, kasama ang mga abiso sa pagtatasa, mga ulat sa pag-audit, at mga dokumento ng resolusyon.
**Iba pang Mahahalagang Dokumento:**
* **Proof of Identity:** Panatil"&amp;"ihin ang mga kopya ng iyong mga ID na ibinigay ng gobyerno tulad ng pasaporte, lisensya sa pagmamaneho, o UMID card.
* **Patunay ng Pagmamay-ari:** Panatilihin ang mga dokumentong nauugnay sa mga asset tulad ng mga titulo ng ari-arian, pagpaparehistro ng "&amp;"sasakyan, o mga sertipiko ng pamumuhunan.
**Pagpapanatili ng Magandang Record:**
* **Organisasyon:** Iimbak ang iyong mga dokumento sa isang ligtas at organisadong paraan, pisikal man o elektroniko. Nagbibigay-daan ito para sa madaling pagkuha sa panahon "&amp;"ng paghahain ng buwis o mga potensyal na pag-audit.
* **Panahon ng Pagpapanatili:** Ang BIR sa pangkalahatan ay nangangailangan ng pag-iingat ng mga talaan nang hindi bababa sa limang taon mula sa petsa ng pag-file ng iyong ITR. Gayunpaman, ipinapayong pa"&amp;"natilihin ang mga mahahalagang dokumento tulad ng mga titulo ng ari-arian sa mas mahabang panahon.
**Mga Karagdagang Tip:**
* **Digitalization:** Isaalang-alang ang pag-digitize ng iyong mga resibo at invoice para sa mas madaling storage at accessibility."&amp;"
* **Accounting Software:** Para sa mga negosyo, ang paggamit ng software sa accounting ay maaaring i-streamline ang pagsubaybay sa gastos at pag-iingat ng rekord.
* **Kumonsulta sa isang Tax Professional:** Ang isang propesyonal sa buwis ay maaaring magp"&amp;"ayo sa mga partikular na kinakailangan sa dokumentasyon batay sa iyong mga indibidwal na kalagayan. Tandaan, ang wastong pag-iingat ng rekord ay mahalaga para sa tumpak na paghahain ng buwis at pinoprotektahan ka sa kaso ng mga pag-audit. Sa pamamagitan n"&amp;"g pagpapanatili ng mga dokumentong ito, maaari mong ipakita ang pagsunod sa mga batas at regulasyon sa buwis sa Pilipinas.")</f>
        <v>Narito ang isang breakdown ng dokumentasyon na dapat mong panatilihin para sa pagsunod sa buwis sa Pilipinas:
**Mga Dokumento ng Kita:**
* **Mga Salary at Wage Statement (Form 2316):** Kung ikaw ay nagtatrabaho, magtago ng mga kopya ng iyong Form 2316, na nagpapakita ng iyong taunang kita at mga buwis na pinipigilan ng iyong employer.
* **Mga Rekord ng Kita sa Negosyo:** Para sa mga indibidwal na nagtatrabaho sa sarili o may-ari ng negosyo, panatilihin ang mga talaan ng lahat ng pinagmumulan ng kita, kabilang ang mga resibo sa pagbebenta, mga invoice, at mga kontrata.
* **Mga Pahayag ng Kita sa Pamumuhunan:** Panatilihin ang dokumentasyon para sa kita sa pamumuhunan tulad ng interes na nakuha sa mga deposito, mga dibidendo mula sa mga stock, o kita sa pag-upa mula sa mga ari-arian.
**Dokumentasyon ng Gastos:**
* **Mga Resibo at Invoice:** Panatilihin ang mga resibo at invoice para sa lahat ng nababawas na gastos sa negosyo, gaya ng upa, mga utility, paglalakbay, mga supply, at pagkukumpuni.
* **Patunay ng Mga Pagbabayad:** Panatilihin ang mga talaan ng mga pagbabayad sa utang, pagbabayad ng interes, mga donasyong kawanggawa, at iba pang mga personal na gastos na mababawas (na may mga limitasyon).
**Mga Dokumentong Kaugnay ng Buwis:**
* **Tax Returns:** Magtago ng mga kopya ng iyong inihain na Income Tax Returns (ITRs) nang hindi bababa sa limang taon (BIR requirement). * **Mga Pagbabayad ng Buwis:** Panatilihin ang mga talaan ng mga pagbabayad ng buwis, kabilang ang mga resibo o kumpirmasyon mula sa BIR.
* **Korespondensya sa BIR:** Magtago ng mga kopya ng anumang komunikasyon na mayroon ka sa BIR, kasama ang mga abiso sa pagtatasa, mga ulat sa pag-audit, at mga dokumento ng resolusyon.
**Iba pang Mahahalagang Dokumento:**
* **Proof of Identity:** Panatilihin ang mga kopya ng iyong mga ID na ibinigay ng gobyerno tulad ng pasaporte, lisensya sa pagmamaneho, o UMID card.
* **Patunay ng Pagmamay-ari:** Panatilihin ang mga dokumentong nauugnay sa mga asset tulad ng mga titulo ng ari-arian, pagpaparehistro ng sasakyan, o mga sertipiko ng pamumuhunan.
**Pagpapanatili ng Magandang Record:**
* **Organisasyon:** Iimbak ang iyong mga dokumento sa isang ligtas at organisadong paraan, pisikal man o elektroniko. Nagbibigay-daan ito para sa madaling pagkuha sa panahon ng paghahain ng buwis o mga potensyal na pag-audit.
* **Panahon ng Pagpapanatili:** Ang BIR sa pangkalahatan ay nangangailangan ng pag-iingat ng mga talaan nang hindi bababa sa limang taon mula sa petsa ng pag-file ng iyong ITR. Gayunpaman, ipinapayong panatilihin ang mga mahahalagang dokumento tulad ng mga titulo ng ari-arian sa mas mahabang panahon.
**Mga Karagdagang Tip:**
* **Digitalization:** Isaalang-alang ang pag-digitize ng iyong mga resibo at invoice para sa mas madaling storage at accessibility.
* **Accounting Software:** Para sa mga negosyo, ang paggamit ng software sa accounting ay maaaring i-streamline ang pagsubaybay sa gastos at pag-iingat ng rekord.
* **Kumonsulta sa isang Tax Professional:** Ang isang propesyonal sa buwis ay maaaring magpayo sa mga partikular na kinakailangan sa dokumentasyon batay sa iyong mga indibidwal na kalagayan. Tandaan, ang wastong pag-iingat ng rekord ay mahalaga para sa tumpak na paghahain ng buwis at pinoprotektahan ka sa kaso ng mga pag-audit. Sa pamamagitan ng pagpapanatili ng mga dokumentong ito, maaari mong ipakita ang pagsunod sa mga batas at regulasyon sa buwis sa Pilipinas.</v>
      </c>
      <c r="F915" s="2">
        <f t="shared" si="1"/>
        <v>0</v>
      </c>
      <c r="G915" s="2"/>
      <c r="H915" s="2"/>
      <c r="I915" s="2"/>
      <c r="J915" s="2"/>
      <c r="K915" s="2"/>
      <c r="L915" s="2"/>
      <c r="M915" s="2"/>
      <c r="N915" s="2"/>
      <c r="O915" s="2"/>
      <c r="P915" s="2"/>
      <c r="Q915" s="2"/>
      <c r="R915" s="2"/>
      <c r="S915" s="2"/>
      <c r="T915" s="2"/>
      <c r="U915" s="2"/>
      <c r="V915" s="2"/>
      <c r="W915" s="2"/>
      <c r="X915" s="2"/>
      <c r="Y915" s="2"/>
      <c r="Z915" s="2"/>
      <c r="AA915" s="2"/>
    </row>
    <row r="916">
      <c r="A916" s="3" t="s">
        <v>2763</v>
      </c>
      <c r="B916" s="1" t="s">
        <v>2962</v>
      </c>
      <c r="C916" s="1" t="s">
        <v>2963</v>
      </c>
      <c r="D916" s="1" t="s">
        <v>2964</v>
      </c>
      <c r="E916" s="2" t="str">
        <f>IFERROR(__xludf.DUMMYFUNCTION("GOOGLETRANSLATE(C916, ""en"", ""TL"")"),"Sa Pilipinas, maaaring magkaroon ng ilang kalituhan sa pagitan ng mga lehitimong diskarte sa buwis at pag-iwas sa buwis. Narito ang ilang mga legal na diskarte sa buwis na maaaring magtaas ng kilay sa Bureau of Internal Revenue (BIR) ngunit ganap na katan"&amp;"ggap-tanggap:
**Pag-claim sa Lahat ng Pinahihintulutang Pagbawas:**
* Pinapayagan ng BIR ang mga kaltas para sa iba't ibang gastusin sa negosyo at personal. Gayunpaman, ang ilang mga nagbabayad ng buwis ay maaaring mag-alinlangan na i-claim ang lahat ng m"&amp;"ga karapat-dapat na pagbabawas sa takot na sila ay tila sobra-sobra.
* **Halimbawa:** Maaaring iwasan ng isang may-ari ng negosyo ang pag-claim ng mga lehitimong gastos sa paglalakbay dahil sa takot na masuri. **Pagsasamantala sa Mga Tax Exemption:**
* An"&amp;"g Philippine tax code ay nag-aalok ng mga exemption para sa ilang uri ng kita, tulad ng mga benepisyo sa pagreretiro o interes sa mga partikular na securities ng gobyerno. Ang paggamit sa mga pagbubukod na ito ay maaaring makabuluhang bawasan ang iyong na"&amp;"bubuwisang kita.
* **Halimbawa:** Maaaring mag-alinlangan ang isang indibidwal na mag-claim ng exemption para sa retirement income, sa takot na tanungin ng BIR ang pinagmulan.
**Pag-maximize sa Mga Pamumuhunang Mahusay sa Buwis:**
* Ang pamumuhunan sa mga"&amp;" instrumento tulad ng PAG-IBIG o SSS na kontribusyon ay maaaring mag-alok ng mga benepisyo at pagbabawas sa buwis. Gayunpaman, maaaring suriin ng BIR ang madalas o malalaking kontribusyon.
* **Halimbawa:** Maaaring mag-alinlangan ang isang indibidwal na i"&amp;"-maximize ang mga kontribusyon ng PAG-IBIG dahil sa mga potensyal na katanungan tungkol sa pinagmulan ng mga pondo.
**Paggamit ng Mga Lehitimong Istruktura ng Negosyo:**
* Ang pagpili ng tamang istraktura ng negosyo (sole proprietorship, partnership, corp"&amp;"oration) ay maaaring makaapekto sa iyong pananagutan sa buwis. Maaaring suriin ng BIR ang mga madalas na pagbabago sa mga istruktura ng negosyo.
* **Halimbawa:** Maaaring mag-alinlangan ang isang may-ari ng negosyo na lumipat sa isang korporasyon kung nat"&amp;"atakot silang maghinala ang BIR na sinusubukan nilang iwasan ang mga buwis.
**Bakit Maaaring Mag-trigger ng Pagsusuri ang Mga Istratehiyang Ito?**
* **Hindi pagkakapare-pareho:** Ang mga makabuluhang pagbabagu-bago sa mga na-claim na pagbabawas o biglaang"&amp;" paggamit ng mga exemption ay maaaring magtaas ng mga pulang bandila para sa BIR. Maaaring maghinala silang nagtatago ka ng kita o nagmamanipula ng mga talaan.
* **Kakulangan ng Dokumentasyon:** Ang pagkakaroon ng wastong dokumentasyon upang suportahan an"&amp;"g iyong mga pagbabawas at mga exemption ay maaaring maging mahirap para sa BIR na i-verify ang kanilang pagiging lehitimo.
**Paano Maiiwasan ang Pagkalito:**
* **Kumonsulta sa Tax Professional:** Ang isang kwalipikadong abogado sa buwis o accountant ay ma"&amp;"aaring magpayo sa mga lehitimong diskarte sa buwis at tiyaking mayroon kang wastong dokumentasyon upang suportahan ang iyong mga paghahabol.
* **Panatilihin ang Transparency:** Maging handa na ipaliwanag ang iyong mga diskarte sa buwis at magbigay ng doku"&amp;"mentasyon kung hihilingin ng BIR ang mga ito. * **Unti-unting Pagpapatupad:** Isaalang-alang ang pagpapatupad ng mga diskarte sa buwis nang paunti-unti, lalo na kung ang mga ito ay nagsasangkot ng mga makabuluhang pagbabago sa mga pagbabawas o mga exempti"&amp;"on.
Tandaan, ang susi ay maging transparent, mapanatili ang tamang mga rekord, at humingi ng propesyonal na patnubay upang matiyak na ang iyong mga diskarte sa buwis ay legal at mabawasan ang panganib ng hindi kinakailangang pagsusuri mula sa BIR.")</f>
        <v>Sa Pilipinas, maaaring magkaroon ng ilang kalituhan sa pagitan ng mga lehitimong diskarte sa buwis at pag-iwas sa buwis. Narito ang ilang mga legal na diskarte sa buwis na maaaring magtaas ng kilay sa Bureau of Internal Revenue (BIR) ngunit ganap na katanggap-tanggap:
**Pag-claim sa Lahat ng Pinahihintulutang Pagbawas:**
* Pinapayagan ng BIR ang mga kaltas para sa iba't ibang gastusin sa negosyo at personal. Gayunpaman, ang ilang mga nagbabayad ng buwis ay maaaring mag-alinlangan na i-claim ang lahat ng mga karapat-dapat na pagbabawas sa takot na sila ay tila sobra-sobra.
* **Halimbawa:** Maaaring iwasan ng isang may-ari ng negosyo ang pag-claim ng mga lehitimong gastos sa paglalakbay dahil sa takot na masuri. **Pagsasamantala sa Mga Tax Exemption:**
* Ang Philippine tax code ay nag-aalok ng mga exemption para sa ilang uri ng kita, tulad ng mga benepisyo sa pagreretiro o interes sa mga partikular na securities ng gobyerno. Ang paggamit sa mga pagbubukod na ito ay maaaring makabuluhang bawasan ang iyong nabubuwisang kita.
* **Halimbawa:** Maaaring mag-alinlangan ang isang indibidwal na mag-claim ng exemption para sa retirement income, sa takot na tanungin ng BIR ang pinagmulan.
**Pag-maximize sa Mga Pamumuhunang Mahusay sa Buwis:**
* Ang pamumuhunan sa mga instrumento tulad ng PAG-IBIG o SSS na kontribusyon ay maaaring mag-alok ng mga benepisyo at pagbabawas sa buwis. Gayunpaman, maaaring suriin ng BIR ang madalas o malalaking kontribusyon.
* **Halimbawa:** Maaaring mag-alinlangan ang isang indibidwal na i-maximize ang mga kontribusyon ng PAG-IBIG dahil sa mga potensyal na katanungan tungkol sa pinagmulan ng mga pondo.
**Paggamit ng Mga Lehitimong Istruktura ng Negosyo:**
* Ang pagpili ng tamang istraktura ng negosyo (sole proprietorship, partnership, corporation) ay maaaring makaapekto sa iyong pananagutan sa buwis. Maaaring suriin ng BIR ang mga madalas na pagbabago sa mga istruktura ng negosyo.
* **Halimbawa:** Maaaring mag-alinlangan ang isang may-ari ng negosyo na lumipat sa isang korporasyon kung natatakot silang maghinala ang BIR na sinusubukan nilang iwasan ang mga buwis.
**Bakit Maaaring Mag-trigger ng Pagsusuri ang Mga Istratehiyang Ito?**
* **Hindi pagkakapare-pareho:** Ang mga makabuluhang pagbabagu-bago sa mga na-claim na pagbabawas o biglaang paggamit ng mga exemption ay maaaring magtaas ng mga pulang bandila para sa BIR. Maaaring maghinala silang nagtatago ka ng kita o nagmamanipula ng mga talaan.
* **Kakulangan ng Dokumentasyon:** Ang pagkakaroon ng wastong dokumentasyon upang suportahan ang iyong mga pagbabawas at mga exemption ay maaaring maging mahirap para sa BIR na i-verify ang kanilang pagiging lehitimo.
**Paano Maiiwasan ang Pagkalito:**
* **Kumonsulta sa Tax Professional:** Ang isang kwalipikadong abogado sa buwis o accountant ay maaaring magpayo sa mga lehitimong diskarte sa buwis at tiyaking mayroon kang wastong dokumentasyon upang suportahan ang iyong mga paghahabol.
* **Panatilihin ang Transparency:** Maging handa na ipaliwanag ang iyong mga diskarte sa buwis at magbigay ng dokumentasyon kung hihilingin ng BIR ang mga ito. * **Unti-unting Pagpapatupad:** Isaalang-alang ang pagpapatupad ng mga diskarte sa buwis nang paunti-unti, lalo na kung ang mga ito ay nagsasangkot ng mga makabuluhang pagbabago sa mga pagbabawas o mga exemption.
Tandaan, ang susi ay maging transparent, mapanatili ang tamang mga rekord, at humingi ng propesyonal na patnubay upang matiyak na ang iyong mga diskarte sa buwis ay legal at mabawasan ang panganib ng hindi kinakailangang pagsusuri mula sa BIR.</v>
      </c>
      <c r="F916" s="2">
        <f t="shared" si="1"/>
        <v>0</v>
      </c>
      <c r="G916" s="2"/>
      <c r="H916" s="2"/>
      <c r="I916" s="2"/>
      <c r="J916" s="2"/>
      <c r="K916" s="2"/>
      <c r="L916" s="2"/>
      <c r="M916" s="2"/>
      <c r="N916" s="2"/>
      <c r="O916" s="2"/>
      <c r="P916" s="2"/>
      <c r="Q916" s="2"/>
      <c r="R916" s="2"/>
      <c r="S916" s="2"/>
      <c r="T916" s="2"/>
      <c r="U916" s="2"/>
      <c r="V916" s="2"/>
      <c r="W916" s="2"/>
      <c r="X916" s="2"/>
      <c r="Y916" s="2"/>
      <c r="Z916" s="2"/>
      <c r="AA916" s="2"/>
    </row>
    <row r="917">
      <c r="A917" s="3" t="s">
        <v>2763</v>
      </c>
      <c r="B917" s="1" t="s">
        <v>2965</v>
      </c>
      <c r="C917" s="1" t="s">
        <v>2966</v>
      </c>
      <c r="D917" s="1" t="s">
        <v>2967</v>
      </c>
      <c r="E917" s="2" t="str">
        <f>IFERROR(__xludf.DUMMYFUNCTION("GOOGLETRANSLATE(C917, ""en"", ""TL"")"),"Bagama't parehong may awtoridad ang mga pederal at estadong pamahalaan na buwisan ang mga residente, may ilang pangunahing pagkakaiba sa kung paano nila pinangangasiwaan ang pag-iwas sa buwis:
**Jurisdiction:**
* **Pederal:** Ang mga pederal na batas sa p"&amp;"ag-iwas sa buwis ay nalalapat sa lahat ng nagbabayad ng buwis sa United States at ipinapatupad ng Internal Revenue Service (IRS).
* **Estado:** Ang bawat estado ay may sariling tax code at maaaring tukuyin at usigin ang pag-iwas sa buwis para sa kita na n"&amp;"akuha sa loob ng estadong iyon. Nangangahulugan ito na maaari kang humarap sa mga singil mula sa parehong mga awtoridad ng pederal at estado para sa parehong pagkilos ng pag-iwas sa buwis.
**Mga Rate at Bracket ng Buwis:**
* **Pederal:** Ang pederal na pa"&amp;"mahalaan ay may progresibong sistema ng buwis na may maraming mga bracket ng buwis. Kung mas mataas ang iyong kita, mas mataas ang porsyento na binabayaran mo sa mga buwis.
* **Estado:** Ang mga estado ay may iba't ibang istruktura ng buwis. Ang ilan ay g"&amp;"umagamit ng flat rate ng buwis para sa lahat ng antas ng kita, habang ang iba ay may mga progresibong sistema na may sariling mga bracket at rate. Ang mga pagkakaibang ito ay maaaring lumikha ng mga sitwasyon kung saan ang isang tao ay maaaring umiiwas sa"&amp;" mga buwis ng estado ngunit sumusunod sa mga pederal na batas sa buwis (o vice versa).
**Mga Parusa:**
* **Pederal:** Ang mga singil sa federal tax evasion ay itinuturing na mga felonies at maaaring magresulta sa malalaking multa at pagkakulong (hanggang "&amp;"5 taon para sa sadyang pag-iwas). Ang IRS ay maaari ding magpataw ng mga parusang sibil at pabalik na buwis na may interes.
* **Estado:** Ang mga parusa para sa pag-iwas sa buwis ng estado ay maaaring mag-iba depende sa estado. Maaaring kabilang sa mga it"&amp;"o ang mga multa, pagkakulong (karaniwang mas maiikling mga sentensiya kaysa sa mga pederal na singil), at interes sa mga hindi nabayarang buwis.
**Pokus at Mga Mapagkukunan:**
* **Federal:** Ang IRS ay may mas malawak na saklaw at mas maraming mapagkukuna"&amp;"n na nakatuon sa pagsisiyasat sa pag-iwas sa buwis. Maaari nilang gamitin ang mga pederal na ahensyang nagpapatupad ng batas para sa mga kumplikadong kaso.
* **Estado:** Ang mga awtoridad sa buwis ng estado ay karaniwang may mas maliliit na badyet at maaa"&amp;"ring tumuon sa mas maliit na pag-iwas sa buwis sa loob ng kanilang hurisdiksyon.
**Mga Programa sa Pagbubunyag:**
* **Ang parehong pederal at estado na pamahalaan ay nag-aalok ng mga boluntaryong programa sa pagsisiwalat** na nagpapahintulot sa mga nagbab"&amp;"ayad ng buwis na maging malinis tungkol sa nakaraang pag-iwas sa buwis kapalit ng pinababang mga parusa o kaligtasan mula sa pag-uusig. Ang mga detalye ng mga programang ito ay mag-iiba ayon sa hurisdiksyon. **Kabuuan:**
Ang pag-iwas sa buwis ay isang ser"&amp;"yosong paglabag na may makabuluhang kahihinatnan sa parehong antas ng pederal at estado. Ang mga pagkakaiba sa hurisdiksyon, istruktura ng buwis, at mga parusa ay nagpapakita ng kahalagahan ng pag-unawa at pagsunod sa parehong mga batas sa buwis ng pedera"&amp;"l at estado. Ang pagkonsulta sa isang propesyonal sa buwis na pamilyar sa iyong partikular na sitwasyon ay mahalaga kung mayroon kang anumang mga katanungan o alalahanin.")</f>
        <v>Bagama't parehong may awtoridad ang mga pederal at estadong pamahalaan na buwisan ang mga residente, may ilang pangunahing pagkakaiba sa kung paano nila pinangangasiwaan ang pag-iwas sa buwis:
**Jurisdiction:**
* **Pederal:** Ang mga pederal na batas sa pag-iwas sa buwis ay nalalapat sa lahat ng nagbabayad ng buwis sa United States at ipinapatupad ng Internal Revenue Service (IRS).
* **Estado:** Ang bawat estado ay may sariling tax code at maaaring tukuyin at usigin ang pag-iwas sa buwis para sa kita na nakuha sa loob ng estadong iyon. Nangangahulugan ito na maaari kang humarap sa mga singil mula sa parehong mga awtoridad ng pederal at estado para sa parehong pagkilos ng pag-iwas sa buwis.
**Mga Rate at Bracket ng Buwis:**
* **Pederal:** Ang pederal na pamahalaan ay may progresibong sistema ng buwis na may maraming mga bracket ng buwis. Kung mas mataas ang iyong kita, mas mataas ang porsyento na binabayaran mo sa mga buwis.
* **Estado:** Ang mga estado ay may iba't ibang istruktura ng buwis. Ang ilan ay gumagamit ng flat rate ng buwis para sa lahat ng antas ng kita, habang ang iba ay may mga progresibong sistema na may sariling mga bracket at rate. Ang mga pagkakaibang ito ay maaaring lumikha ng mga sitwasyon kung saan ang isang tao ay maaaring umiiwas sa mga buwis ng estado ngunit sumusunod sa mga pederal na batas sa buwis (o vice versa).
**Mga Parusa:**
* **Pederal:** Ang mga singil sa federal tax evasion ay itinuturing na mga felonies at maaaring magresulta sa malalaking multa at pagkakulong (hanggang 5 taon para sa sadyang pag-iwas). Ang IRS ay maaari ding magpataw ng mga parusang sibil at pabalik na buwis na may interes.
* **Estado:** Ang mga parusa para sa pag-iwas sa buwis ng estado ay maaaring mag-iba depende sa estado. Maaaring kabilang sa mga ito ang mga multa, pagkakulong (karaniwang mas maiikling mga sentensiya kaysa sa mga pederal na singil), at interes sa mga hindi nabayarang buwis.
**Pokus at Mga Mapagkukunan:**
* **Federal:** Ang IRS ay may mas malawak na saklaw at mas maraming mapagkukunan na nakatuon sa pagsisiyasat sa pag-iwas sa buwis. Maaari nilang gamitin ang mga pederal na ahensyang nagpapatupad ng batas para sa mga kumplikadong kaso.
* **Estado:** Ang mga awtoridad sa buwis ng estado ay karaniwang may mas maliliit na badyet at maaaring tumuon sa mas maliit na pag-iwas sa buwis sa loob ng kanilang hurisdiksyon.
**Mga Programa sa Pagbubunyag:**
* **Ang parehong pederal at estado na pamahalaan ay nag-aalok ng mga boluntaryong programa sa pagsisiwalat** na nagpapahintulot sa mga nagbabayad ng buwis na maging malinis tungkol sa nakaraang pag-iwas sa buwis kapalit ng pinababang mga parusa o kaligtasan mula sa pag-uusig. Ang mga detalye ng mga programang ito ay mag-iiba ayon sa hurisdiksyon. **Kabuuan:**
Ang pag-iwas sa buwis ay isang seryosong paglabag na may makabuluhang kahihinatnan sa parehong antas ng pederal at estado. Ang mga pagkakaiba sa hurisdiksyon, istruktura ng buwis, at mga parusa ay nagpapakita ng kahalagahan ng pag-unawa at pagsunod sa parehong mga batas sa buwis ng pederal at estado. Ang pagkonsulta sa isang propesyonal sa buwis na pamilyar sa iyong partikular na sitwasyon ay mahalaga kung mayroon kang anumang mga katanungan o alalahanin.</v>
      </c>
      <c r="F917" s="2">
        <f t="shared" si="1"/>
        <v>0</v>
      </c>
      <c r="G917" s="2"/>
      <c r="H917" s="2"/>
      <c r="I917" s="2"/>
      <c r="J917" s="2"/>
      <c r="K917" s="2"/>
      <c r="L917" s="2"/>
      <c r="M917" s="2"/>
      <c r="N917" s="2"/>
      <c r="O917" s="2"/>
      <c r="P917" s="2"/>
      <c r="Q917" s="2"/>
      <c r="R917" s="2"/>
      <c r="S917" s="2"/>
      <c r="T917" s="2"/>
      <c r="U917" s="2"/>
      <c r="V917" s="2"/>
      <c r="W917" s="2"/>
      <c r="X917" s="2"/>
      <c r="Y917" s="2"/>
      <c r="Z917" s="2"/>
      <c r="AA917" s="2"/>
    </row>
    <row r="918">
      <c r="A918" s="3" t="s">
        <v>2763</v>
      </c>
      <c r="B918" s="1" t="s">
        <v>2968</v>
      </c>
      <c r="C918" s="1" t="s">
        <v>2969</v>
      </c>
      <c r="D918" s="1" t="s">
        <v>2970</v>
      </c>
      <c r="E918" s="2" t="str">
        <f>IFERROR(__xludf.DUMMYFUNCTION("GOOGLETRANSLATE(C918, ""en"", ""TL"")"),"Oo, ang mga singil sa pag-iwas sa buwis ay maaaring makaapekto sa iyong katayuan sa imigrasyon o aplikasyon ng pagkamamamayan sa Pilipinas. Narito kung bakit:
**Moral Turpitude:**
* Itinuturing ng batas sa imigrasyon ng Pilipinas ang pag-iwas sa buwis bil"&amp;"ang isang krimen na kinasasangkutan ng ""moral turpitude."" Ito ay isang legal na termino para sa mga krimen na itinuturing na likas na hindi tapat o base.
* Ang paghatol para sa isang krimen na may kinalaman sa moral turpitude ay maaaring maging batayan "&amp;"para sa:
* Pagtanggi ng aplikasyon ng visa
* Deportasyon ng isang legal na permanenteng residente (may-hawak ng green card)
* Pagtanggi ng isang landas sa pagkamamamayan
**Tindi ng Pagkakasala:**
* Ang epekto sa iyong katayuan sa imigrasyon ay depende sa "&amp;"kalubhaan ng mga singil sa pag-iwas sa buwis.
* **Minor Offenses:** Ang mga menor de edad na pagsingil sa pag-iwas sa buwis, lalo na kung naresolba nang may mga parusa at walang hatol na kriminal, ay maaaring magkaroon ng hindi gaanong malubhang kahihinat"&amp;"nan.
* **Felony Convictions:** Felony convictions para sa pag-iwas sa buwis ay mas malamang na magresulta sa deportasyon o pagtanggi ng mga benepisyo sa imigrasyon.
**Pasan ng Patunay:**
* Ang pasanin ng patunay ay nakasalalay sa gobyerno upang ipakita na"&amp;" ang krimen ay may kinalaman sa moral turpitude. Gayunpaman, ang isang paghatol sa pag-iwas sa buwis ay maaaring makabuluhang gawing kumplikado ang iyong kaso sa imigrasyon.
**Posible sa Pagwawaksi:**
* Sa ilang limitadong mga kaso, maaaring maging availa"&amp;"ble ang mga waiver para sa ilang partikular na benepisyo sa imigrasyon sa kabila ng paghatol na may kinalaman sa moral turpitude. Gayunpaman, ito ay kumplikado at nangangailangan ng legal na kadalubhasaan.
**Kahalagahan ng Legal na Tagapayo:**
Kung nahaha"&amp;"rap ka sa mga singil sa pag-iwas sa buwis at nag-aalala tungkol sa iyong katayuan sa imigrasyon, ang pagkonsulta sa isang kwalipikadong abogado sa imigrasyon ay napakahalaga. Maaari silang:
* Suriin ang mga partikular na singil at potensyal na kahihinatna"&amp;"n para sa iyong kaso sa imigrasyon.
* Magbigay ng payo sa mga diskarte upang mabawasan ang epekto, tulad ng paghingi ng plea bargain o pag-dismiss ng mga singil. * Kinatawan ka sa mga paglilitis sa imigrasyon kung kinakailangan.
* Tumulong na tuklasin ang"&amp;" posibilidad ng mga waiver (kung naaangkop) para sa iyong partikular na sitwasyon.
**Tandaan:** Ang batas sa imigrasyon ay masalimuot, at ang epekto ng mga singil sa pag-iwas sa buwis ay nakasalalay sa mga detalye ng iyong kaso. Ang pagkonsulta sa isang a"&amp;"bogado ng imigrasyon na pamilyar sa batas ng Pilipinas ay mahalaga upang maunawaan ang iyong mga opsyon at maprotektahan ang iyong katayuan sa imigrasyon.")</f>
        <v>Oo, ang mga singil sa pag-iwas sa buwis ay maaaring makaapekto sa iyong katayuan sa imigrasyon o aplikasyon ng pagkamamamayan sa Pilipinas. Narito kung bakit:
**Moral Turpitude:**
* Itinuturing ng batas sa imigrasyon ng Pilipinas ang pag-iwas sa buwis bilang isang krimen na kinasasangkutan ng "moral turpitude." Ito ay isang legal na termino para sa mga krimen na itinuturing na likas na hindi tapat o base.
* Ang paghatol para sa isang krimen na may kinalaman sa moral turpitude ay maaaring maging batayan para sa:
* Pagtanggi ng aplikasyon ng visa
* Deportasyon ng isang legal na permanenteng residente (may-hawak ng green card)
* Pagtanggi ng isang landas sa pagkamamamayan
**Tindi ng Pagkakasala:**
* Ang epekto sa iyong katayuan sa imigrasyon ay depende sa kalubhaan ng mga singil sa pag-iwas sa buwis.
* **Minor Offenses:** Ang mga menor de edad na pagsingil sa pag-iwas sa buwis, lalo na kung naresolba nang may mga parusa at walang hatol na kriminal, ay maaaring magkaroon ng hindi gaanong malubhang kahihinatnan.
* **Felony Convictions:** Felony convictions para sa pag-iwas sa buwis ay mas malamang na magresulta sa deportasyon o pagtanggi ng mga benepisyo sa imigrasyon.
**Pasan ng Patunay:**
* Ang pasanin ng patunay ay nakasalalay sa gobyerno upang ipakita na ang krimen ay may kinalaman sa moral turpitude. Gayunpaman, ang isang paghatol sa pag-iwas sa buwis ay maaaring makabuluhang gawing kumplikado ang iyong kaso sa imigrasyon.
**Posible sa Pagwawaksi:**
* Sa ilang limitadong mga kaso, maaaring maging available ang mga waiver para sa ilang partikular na benepisyo sa imigrasyon sa kabila ng paghatol na may kinalaman sa moral turpitude. Gayunpaman, ito ay kumplikado at nangangailangan ng legal na kadalubhasaan.
**Kahalagahan ng Legal na Tagapayo:**
Kung nahaharap ka sa mga singil sa pag-iwas sa buwis at nag-aalala tungkol sa iyong katayuan sa imigrasyon, ang pagkonsulta sa isang kwalipikadong abogado sa imigrasyon ay napakahalaga. Maaari silang:
* Suriin ang mga partikular na singil at potensyal na kahihinatnan para sa iyong kaso sa imigrasyon.
* Magbigay ng payo sa mga diskarte upang mabawasan ang epekto, tulad ng paghingi ng plea bargain o pag-dismiss ng mga singil. * Kinatawan ka sa mga paglilitis sa imigrasyon kung kinakailangan.
* Tumulong na tuklasin ang posibilidad ng mga waiver (kung naaangkop) para sa iyong partikular na sitwasyon.
**Tandaan:** Ang batas sa imigrasyon ay masalimuot, at ang epekto ng mga singil sa pag-iwas sa buwis ay nakasalalay sa mga detalye ng iyong kaso. Ang pagkonsulta sa isang abogado ng imigrasyon na pamilyar sa batas ng Pilipinas ay mahalaga upang maunawaan ang iyong mga opsyon at maprotektahan ang iyong katayuan sa imigrasyon.</v>
      </c>
      <c r="F918" s="2">
        <f t="shared" si="1"/>
        <v>0</v>
      </c>
      <c r="G918" s="2"/>
      <c r="H918" s="2"/>
      <c r="I918" s="2"/>
      <c r="J918" s="2"/>
      <c r="K918" s="2"/>
      <c r="L918" s="2"/>
      <c r="M918" s="2"/>
      <c r="N918" s="2"/>
      <c r="O918" s="2"/>
      <c r="P918" s="2"/>
      <c r="Q918" s="2"/>
      <c r="R918" s="2"/>
      <c r="S918" s="2"/>
      <c r="T918" s="2"/>
      <c r="U918" s="2"/>
      <c r="V918" s="2"/>
      <c r="W918" s="2"/>
      <c r="X918" s="2"/>
      <c r="Y918" s="2"/>
      <c r="Z918" s="2"/>
      <c r="AA918" s="2"/>
    </row>
    <row r="919">
      <c r="A919" s="3" t="s">
        <v>2763</v>
      </c>
      <c r="B919" s="1" t="s">
        <v>2971</v>
      </c>
      <c r="C919" s="1" t="s">
        <v>2972</v>
      </c>
      <c r="D919" s="1" t="s">
        <v>2958</v>
      </c>
      <c r="E919" s="2" t="str">
        <f>IFERROR(__xludf.DUMMYFUNCTION("GOOGLETRANSLATE(C919, ""en"", ""TL"")"),"Narito ang ilang hakbang na maaari mong gawin kung naniniwala kang hindi patas ang iyong tinatarget para sa pag-iwas sa buwis ng Bureau of Internal Revenue (BIR) sa Pilipinas:
**Magtipon ng Dokumentasyon:**
* **Tax Returns at Records:** Magtipon ng mga ko"&amp;"pya ng iyong na-file na tax return, mga sumusuportang dokumento tulad ng mga resibo, invoice, at patunay ng kita. Ipinapakita nito ang iyong mga pagsisikap sa tumpak na pag-file.
* **Komunikasyon sa BIR:** Panatilihin ang mga talaan ng anumang pakikipag-u"&amp;"gnayan mo sa BIR, kabilang ang mga abiso sa pagtatasa, mga ulat sa pag-audit, at mga sulat.
**Humingi ng Propesyonal na Tulong:**
* **Tax Lawyer o Accountant:** Maaaring suriin ng isang kwalipikadong propesyonal sa buwis ang mga paratang ng BIR, tasahin a"&amp;"ng iyong sitwasyon, at payuhan ang pinakamahusay na paraan ng pagkilos.
* **Legal na Representasyon:** Kung nahaharap ka sa mga pormal na akusasyon, ang pagkakaroon ng abogadong nakaranas ng mga hindi pagkakaunawaan sa buwis sa BIR ay napakahalaga.
**Tumu"&amp;"gon sa BIR:**
* **Huwag Ipagwalang-bahala:** Ang pagwawalang-bahala sa mga pagtatanong mula sa BIR ay maaaring magpalala sa sitwasyon. Tumugon kaagad at propesyonal sa pamamagitan ng iyong propesyonal sa buwis o abogado.
* **Magbigay ng Paliwanag:** Ipali"&amp;"wanag ang anumang mga pagkakaiba o mga pulang bandila na tinukoy ng BIR. Magpakita ng ebidensya upang suportahan ang iyong paghahain ng buwis at tugunan ang kanilang mga alalahanin.
* **Humiling ng Paglilinaw:** Kung tila hindi malinaw ang mga akusasyon n"&amp;"g BIR, humingi ng paglilinaw sa mga partikular na aspeto ng iyong paghahain ng buwis na kanilang kinukuwestiyon.
**Isaalang-alang ang Pamamagitan:**
* **Voluntary Disclosure Program (VDP):** Kung naaangkop, isaalang-alang ang VDP program ng BIR. Nagbibiga"&amp;"y-daan ito sa pagsisiwalat ng mga nakaraang pananagutan sa buwis na may pinababang mga parusa at potensyal na kaligtasan mula sa pag-uusig (kumonsulta sa isang abogado upang makita kung ikaw ay kwalipikado).
* **Impormal na Resolusyon:** Maaaring tuklasin"&amp;" ng iyong propesyonal sa buwis o abogado ang posibilidad ng mga impormal na negosasyon sa BIR upang malutas ang isyu nang hindi dadami sa mga pormal na hindi pagkakaunawaan. **Pormal na Resolusyon sa Di-pagkakasundo:**
* **Protesta:** Kung nag-isyu ang BI"&amp;"R ng deficiency tax assessment, maaari kang maghain ng pormal na protesta sa loob ng isang partikular na takdang panahon, na binabalangkas ang iyong mga pagtutol at sumusuportang ebidensya. * **Court of Tax Appeals (CTA):** Kung tatanggihan ng BIR ang iyo"&amp;"ng protesta, maaari kang mag-apela sa Court of Tax Appeals para sa pagsusuri ng kaso.
**Tandaan:**
* **Panatilihin ang Bukas na Komunikasyon:** Ang pananatiling transparent at kooperatiba sa BIR sa buong proseso ay maaaring magpakita ng iyong kahandaang t"&amp;"ugunan ang anumang mga isyu.
* **Idokumento ang Lahat:** Panatilihin ang mga detalyadong tala ng lahat ng pakikipag-ugnayan sa BIR, payong legal, at mga hakbang na ginawa upang malutas ang sitwasyon.
* **Maging Mapagpasensya:** Maaaring magtagal ang mga h"&amp;"indi pagkakaunawaan sa buwis, at ang pag-navigate sa mga legal na proseso ay nangangailangan ng pasensya. Ang pinakamahusay na paraan ng pagkilos ay nakasalalay sa mga detalye ng iyong sitwasyon. Ang pagkonsulta sa isang kwalipikadong propesyonal sa buwis"&amp;" at potensyal na isang abogado na nakaranas ng mga hindi pagkakaunawaan sa buwis sa BIR ay napakahalaga upang maprotektahan ang iyong mga karapatan at matiyak ang isang patas na resolusyon.")</f>
        <v>Narito ang ilang hakbang na maaari mong gawin kung naniniwala kang hindi patas ang iyong tinatarget para sa pag-iwas sa buwis ng Bureau of Internal Revenue (BIR) sa Pilipinas:
**Magtipon ng Dokumentasyon:**
* **Tax Returns at Records:** Magtipon ng mga kopya ng iyong na-file na tax return, mga sumusuportang dokumento tulad ng mga resibo, invoice, at patunay ng kita. Ipinapakita nito ang iyong mga pagsisikap sa tumpak na pag-file.
* **Komunikasyon sa BIR:** Panatilihin ang mga talaan ng anumang pakikipag-ugnayan mo sa BIR, kabilang ang mga abiso sa pagtatasa, mga ulat sa pag-audit, at mga sulat.
**Humingi ng Propesyonal na Tulong:**
* **Tax Lawyer o Accountant:** Maaaring suriin ng isang kwalipikadong propesyonal sa buwis ang mga paratang ng BIR, tasahin ang iyong sitwasyon, at payuhan ang pinakamahusay na paraan ng pagkilos.
* **Legal na Representasyon:** Kung nahaharap ka sa mga pormal na akusasyon, ang pagkakaroon ng abogadong nakaranas ng mga hindi pagkakaunawaan sa buwis sa BIR ay napakahalaga.
**Tumugon sa BIR:**
* **Huwag Ipagwalang-bahala:** Ang pagwawalang-bahala sa mga pagtatanong mula sa BIR ay maaaring magpalala sa sitwasyon. Tumugon kaagad at propesyonal sa pamamagitan ng iyong propesyonal sa buwis o abogado.
* **Magbigay ng Paliwanag:** Ipaliwanag ang anumang mga pagkakaiba o mga pulang bandila na tinukoy ng BIR. Magpakita ng ebidensya upang suportahan ang iyong paghahain ng buwis at tugunan ang kanilang mga alalahanin.
* **Humiling ng Paglilinaw:** Kung tila hindi malinaw ang mga akusasyon ng BIR, humingi ng paglilinaw sa mga partikular na aspeto ng iyong paghahain ng buwis na kanilang kinukuwestiyon.
**Isaalang-alang ang Pamamagitan:**
* **Voluntary Disclosure Program (VDP):** Kung naaangkop, isaalang-alang ang VDP program ng BIR. Nagbibigay-daan ito sa pagsisiwalat ng mga nakaraang pananagutan sa buwis na may pinababang mga parusa at potensyal na kaligtasan mula sa pag-uusig (kumonsulta sa isang abogado upang makita kung ikaw ay kwalipikado).
* **Impormal na Resolusyon:** Maaaring tuklasin ng iyong propesyonal sa buwis o abogado ang posibilidad ng mga impormal na negosasyon sa BIR upang malutas ang isyu nang hindi dadami sa mga pormal na hindi pagkakaunawaan. **Pormal na Resolusyon sa Di-pagkakasundo:**
* **Protesta:** Kung nag-isyu ang BIR ng deficiency tax assessment, maaari kang maghain ng pormal na protesta sa loob ng isang partikular na takdang panahon, na binabalangkas ang iyong mga pagtutol at sumusuportang ebidensya. * **Court of Tax Appeals (CTA):** Kung tatanggihan ng BIR ang iyong protesta, maaari kang mag-apela sa Court of Tax Appeals para sa pagsusuri ng kaso.
**Tandaan:**
* **Panatilihin ang Bukas na Komunikasyon:** Ang pananatiling transparent at kooperatiba sa BIR sa buong proseso ay maaaring magpakita ng iyong kahandaang tugunan ang anumang mga isyu.
* **Idokumento ang Lahat:** Panatilihin ang mga detalyadong tala ng lahat ng pakikipag-ugnayan sa BIR, payong legal, at mga hakbang na ginawa upang malutas ang sitwasyon.
* **Maging Mapagpasensya:** Maaaring magtagal ang mga hindi pagkakaunawaan sa buwis, at ang pag-navigate sa mga legal na proseso ay nangangailangan ng pasensya. Ang pinakamahusay na paraan ng pagkilos ay nakasalalay sa mga detalye ng iyong sitwasyon. Ang pagkonsulta sa isang kwalipikadong propesyonal sa buwis at potensyal na isang abogado na nakaranas ng mga hindi pagkakaunawaan sa buwis sa BIR ay napakahalaga upang maprotektahan ang iyong mga karapatan at matiyak ang isang patas na resolusyon.</v>
      </c>
      <c r="F919" s="2">
        <f t="shared" si="1"/>
        <v>0</v>
      </c>
      <c r="G919" s="2"/>
      <c r="H919" s="2"/>
      <c r="I919" s="2"/>
      <c r="J919" s="2"/>
      <c r="K919" s="2"/>
      <c r="L919" s="2"/>
      <c r="M919" s="2"/>
      <c r="N919" s="2"/>
      <c r="O919" s="2"/>
      <c r="P919" s="2"/>
      <c r="Q919" s="2"/>
      <c r="R919" s="2"/>
      <c r="S919" s="2"/>
      <c r="T919" s="2"/>
      <c r="U919" s="2"/>
      <c r="V919" s="2"/>
      <c r="W919" s="2"/>
      <c r="X919" s="2"/>
      <c r="Y919" s="2"/>
      <c r="Z919" s="2"/>
      <c r="AA919" s="2"/>
    </row>
    <row r="920">
      <c r="A920" s="3" t="s">
        <v>2763</v>
      </c>
      <c r="B920" s="1" t="s">
        <v>2973</v>
      </c>
      <c r="C920" s="1" t="s">
        <v>2974</v>
      </c>
      <c r="D920" s="1" t="s">
        <v>2975</v>
      </c>
      <c r="E920" s="2" t="str">
        <f>IFERROR(__xludf.DUMMYFUNCTION("GOOGLETRANSLATE(C920, ""en"", ""TL"")"),"Ang mga kaso ng pag-iwas sa buwis na kinasasangkutan ng cryptocurrency o mga digital na asset ay maaaring magkaiba sa mga tradisyunal na kaso sa ilang paraan dahil sa medyo bago at umuusbong na katangian ng mga asset na ito:
**Mga Hamon sa Pagsubaybay sa "&amp;"Mga Transaksyon:**
* **Desentralisadong Kalikasan:** Hindi tulad ng mga tradisyonal na institusyong pampinansyal, ang mga transaksyon sa cryptocurrency ay kadalasang nangyayari sa mga desentralisadong network, na ginagawang mas mahirap para sa mga awtorid"&amp;"ad na subaybayan.
* **Anonymity:** Bagama't hindi ganap na anonymous, nag-aalok ang ilang cryptocurrencies ng mas malaking anonymity kumpara sa mga tradisyunal na bank account, na ginagawang potensyal na mas madaling itago ang mga transaksyon.
* **Mga Ser"&amp;"bisyo sa Paghahalo:** Ang ilang mga gumagamit ng cryptocurrency ay gumagamit ng mga serbisyo ng paghahalo upang higit pang i-obfuscate ang pinagmulan at destinasyon ng kanilang mga digital na asset.
**Mga Nagbabagong Regulasyon:**
* **Hindi Malinaw na Mga"&amp;" Panuntunan sa Buwis:** Ang mga regulasyon sa buwis para sa cryptocurrency at mga digital na asset ay ginagawa pa rin sa maraming hurisdiksyon, kabilang ang Pilipinas. Maaari itong humantong sa pagkalito at kawalan ng katiyakan para sa mga nagbabayad ng b"&amp;"uwis.
* **Kakulangan ng Standardized na Pag-uulat:** Kasalukuyang walang standardized na sistema ng pag-uulat para sa mga transaksyong cryptocurrency sa lahat ng exchange at platform. Lumilikha ito ng mga hamon para sa mga awtoridad sa buwis sa pangangala"&amp;"p ng kumpletong impormasyon.
**Ang Pokus at Kakayahan ng BIR:**
* **Pagtaas ng Pagsusuri:** Ang BIR ay lalong nagiging kamalayan sa cryptocurrency at ang potensyal nito para sa pag-iwas sa buwis. Aktibong gumagawa sila ng mga estratehiya para subaybayan a"&amp;"t imbestigahan ang mga transaksyong nauugnay sa crypto.
* **Namumuhunan sa Dalubhasa:** Maaaring namumuhunan ang BIR sa teknolohiya at kadalubhasaan upang pahusayin ang kanilang kakayahang subaybayan at suriin ang mga transaksyon sa cryptocurrency para sa"&amp;" mga layunin ng buwis.
**Epekto sa Mga Pagsisiyasat at Ebidensya:**
* **Pagtitipon ng Data ng Transaksyon:** Maaaring kailanganin ng BIR na umasa sa impormasyon mula sa mga palitan o platform ng cryptocurrency, na maaaring maging hamon dahil sa mga alalah"&amp;"anin sa privacy at internasyonal na hurisdiksyon.
* **Pag-secure ng Digital Evidence:** Ang pagtiyak sa integridad at admissibility ng digital evidence mula sa mga transaksyon sa blockchain ay nangangailangan ng mga partikular na pamamaraan kumpara sa tra"&amp;"disyunal na paper-based na ebidensya.
**Narito kung paano maaaring mangyari ang mga pagkakaibang ito sa isang kaso:**
* **Tradisyunal na Kaso:** Maaaring magkaroon ng mas madaling access ang BIR sa mga bank statement at iba pang mga rekord sa pananalapi, "&amp;"na ginagawang mas simple ang pagsubaybay sa kita at pagtukoy ng mga pagkakaiba.
* **Cryptocurrency Case:** Maaaring mahihirapan ang BIR sa pagkuha ng kumpletong data ng transaksyon at pag-secure ng digital na ebidensya, na posibleng gawing mas kumplikado "&amp;"ang imbestigasyon.
**Sa kabila ng mga hamong ito, nalalapat pa rin ang mga batas sa pag-iwas sa buwis sa cryptocurrency at mga digital na asset.** Kung ginagamit mo ang mga asset na ito, napakahalaga na:
* **Panatilihin ang Tumpak na Mga Tala:** Panatilih"&amp;"in ang mga detalyadong tala ng lahat ng iyong mga transaksyon sa cryptocurrency, kabilang ang mga petsa, halaga, address ng wallet, at layunin.
* **Unawain ang Mga Batas sa Buwis:** Manatiling may alam tungkol sa pinakabagong mga regulasyon sa buwis na na"&amp;"uugnay sa cryptocurrency sa Pilipinas. Kumunsulta sa isang propesyonal sa buwis upang matiyak na tumpak kang nag-file.
* **Mag-ulat ng Kita:** Iulat ang lahat ng kita na nakuha mula sa mga transaksyong cryptocurrency, kabilang ang mga capital gain, mga re"&amp;"ward sa pagmimina, at kita sa staking.
Tandaan, ang pinakamahusay na paraan upang maiwasan ang mga akusasyon sa pag-iwas sa buwis na kinasasangkutan ng cryptocurrency ay ang maging transparent, mapanatili ang wastong mga rekord, at kumunsulta sa isang kwa"&amp;"lipikadong propesyonal sa buwis na pamilyar sa mga digital na asset.")</f>
        <v>Ang mga kaso ng pag-iwas sa buwis na kinasasangkutan ng cryptocurrency o mga digital na asset ay maaaring magkaiba sa mga tradisyunal na kaso sa ilang paraan dahil sa medyo bago at umuusbong na katangian ng mga asset na ito:
**Mga Hamon sa Pagsubaybay sa Mga Transaksyon:**
* **Desentralisadong Kalikasan:** Hindi tulad ng mga tradisyonal na institusyong pampinansyal, ang mga transaksyon sa cryptocurrency ay kadalasang nangyayari sa mga desentralisadong network, na ginagawang mas mahirap para sa mga awtoridad na subaybayan.
* **Anonymity:** Bagama't hindi ganap na anonymous, nag-aalok ang ilang cryptocurrencies ng mas malaking anonymity kumpara sa mga tradisyunal na bank account, na ginagawang potensyal na mas madaling itago ang mga transaksyon.
* **Mga Serbisyo sa Paghahalo:** Ang ilang mga gumagamit ng cryptocurrency ay gumagamit ng mga serbisyo ng paghahalo upang higit pang i-obfuscate ang pinagmulan at destinasyon ng kanilang mga digital na asset.
**Mga Nagbabagong Regulasyon:**
* **Hindi Malinaw na Mga Panuntunan sa Buwis:** Ang mga regulasyon sa buwis para sa cryptocurrency at mga digital na asset ay ginagawa pa rin sa maraming hurisdiksyon, kabilang ang Pilipinas. Maaari itong humantong sa pagkalito at kawalan ng katiyakan para sa mga nagbabayad ng buwis.
* **Kakulangan ng Standardized na Pag-uulat:** Kasalukuyang walang standardized na sistema ng pag-uulat para sa mga transaksyong cryptocurrency sa lahat ng exchange at platform. Lumilikha ito ng mga hamon para sa mga awtoridad sa buwis sa pangangalap ng kumpletong impormasyon.
**Ang Pokus at Kakayahan ng BIR:**
* **Pagtaas ng Pagsusuri:** Ang BIR ay lalong nagiging kamalayan sa cryptocurrency at ang potensyal nito para sa pag-iwas sa buwis. Aktibong gumagawa sila ng mga estratehiya para subaybayan at imbestigahan ang mga transaksyong nauugnay sa crypto.
* **Namumuhunan sa Dalubhasa:** Maaaring namumuhunan ang BIR sa teknolohiya at kadalubhasaan upang pahusayin ang kanilang kakayahang subaybayan at suriin ang mga transaksyon sa cryptocurrency para sa mga layunin ng buwis.
**Epekto sa Mga Pagsisiyasat at Ebidensya:**
* **Pagtitipon ng Data ng Transaksyon:** Maaaring kailanganin ng BIR na umasa sa impormasyon mula sa mga palitan o platform ng cryptocurrency, na maaaring maging hamon dahil sa mga alalahanin sa privacy at internasyonal na hurisdiksyon.
* **Pag-secure ng Digital Evidence:** Ang pagtiyak sa integridad at admissibility ng digital evidence mula sa mga transaksyon sa blockchain ay nangangailangan ng mga partikular na pamamaraan kumpara sa tradisyunal na paper-based na ebidensya.
**Narito kung paano maaaring mangyari ang mga pagkakaibang ito sa isang kaso:**
* **Tradisyunal na Kaso:** Maaaring magkaroon ng mas madaling access ang BIR sa mga bank statement at iba pang mga rekord sa pananalapi, na ginagawang mas simple ang pagsubaybay sa kita at pagtukoy ng mga pagkakaiba.
* **Cryptocurrency Case:** Maaaring mahihirapan ang BIR sa pagkuha ng kumpletong data ng transaksyon at pag-secure ng digital na ebidensya, na posibleng gawing mas kumplikado ang imbestigasyon.
**Sa kabila ng mga hamong ito, nalalapat pa rin ang mga batas sa pag-iwas sa buwis sa cryptocurrency at mga digital na asset.** Kung ginagamit mo ang mga asset na ito, napakahalaga na:
* **Panatilihin ang Tumpak na Mga Tala:** Panatilihin ang mga detalyadong tala ng lahat ng iyong mga transaksyon sa cryptocurrency, kabilang ang mga petsa, halaga, address ng wallet, at layunin.
* **Unawain ang Mga Batas sa Buwis:** Manatiling may alam tungkol sa pinakabagong mga regulasyon sa buwis na nauugnay sa cryptocurrency sa Pilipinas. Kumunsulta sa isang propesyonal sa buwis upang matiyak na tumpak kang nag-file.
* **Mag-ulat ng Kita:** Iulat ang lahat ng kita na nakuha mula sa mga transaksyong cryptocurrency, kabilang ang mga capital gain, mga reward sa pagmimina, at kita sa staking.
Tandaan, ang pinakamahusay na paraan upang maiwasan ang mga akusasyon sa pag-iwas sa buwis na kinasasangkutan ng cryptocurrency ay ang maging transparent, mapanatili ang wastong mga rekord, at kumunsulta sa isang kwalipikadong propesyonal sa buwis na pamilyar sa mga digital na asset.</v>
      </c>
      <c r="F920" s="2">
        <f t="shared" si="1"/>
        <v>0</v>
      </c>
      <c r="G920" s="2"/>
      <c r="H920" s="2"/>
      <c r="I920" s="2"/>
      <c r="J920" s="2"/>
      <c r="K920" s="2"/>
      <c r="L920" s="2"/>
      <c r="M920" s="2"/>
      <c r="N920" s="2"/>
      <c r="O920" s="2"/>
      <c r="P920" s="2"/>
      <c r="Q920" s="2"/>
      <c r="R920" s="2"/>
      <c r="S920" s="2"/>
      <c r="T920" s="2"/>
      <c r="U920" s="2"/>
      <c r="V920" s="2"/>
      <c r="W920" s="2"/>
      <c r="X920" s="2"/>
      <c r="Y920" s="2"/>
      <c r="Z920" s="2"/>
      <c r="AA920" s="2"/>
    </row>
    <row r="921">
      <c r="A921" s="3" t="s">
        <v>2763</v>
      </c>
      <c r="B921" s="1" t="s">
        <v>2976</v>
      </c>
      <c r="C921" s="1" t="s">
        <v>2977</v>
      </c>
      <c r="D921" s="1" t="s">
        <v>2978</v>
      </c>
      <c r="E921" s="2" t="str">
        <f>IFERROR(__xludf.DUMMYFUNCTION("GOOGLETRANSLATE(C921, ""en"", ""TL"")"),"Oo, sa ilalim ng batas ng Pilipinas, ang mga paratang sa pag-iwas sa buwis ay maaaring magmula sa mga pagkakaiba sa mga bawas sa buwis o mga kredito. Ang National Internal Revenue Code (NIRC) ng Pilipinas, partikular ang Seksyon 248 ng Republic Act No. 84"&amp;"24, ay tumutukoy sa tax evasion bilang anumang kilos o pagkukulang na ginawa ng isang nagbabayad ng buwis para sa layunin ng pag-iwas o pagtalo sa pagbabayad ng buwis na ipinataw ng batas.
Ang mga pagkakaiba sa mga bawas sa buwis o mga kredito ay maaaring"&amp;" maging mga pulang bandila para sa pag-iwas sa buwis kung mapapatunayang ang mga ito ay:
* **Sobstantially exaggerated** - Nangangahulugan ito ng pag-claim ng mga pagbabawas o mga kredito para sa mga halagang mas mataas kaysa sa aktwal na pinapayagan ng b"&amp;"atas.
* **Walang batayan o kathang-isip** - Pag-claim ng mga pagbabawas o kredito para sa mga gastos na hindi kailanman nangyari o hindi lehitimong gastos sa negosyo.
* **Hindi sinusuportahan ng wastong dokumentasyon** - Ang nagbabayad ng buwis ay hindi m"&amp;"aaaring magbigay ng mga resibo, invoice, o iba pang mga dokumento upang bigyang-katwiran ang mga na-claim na mga pagbabawas o mga kredito.
Narito ang ilang nauugnay na probisyon ng Konstitusyon at NIRC:
* **Konstitusyon ng Pilipinas, Artikulo III, Seksyon"&amp;" 14:** Ang seksyong ito ay nagsasaad na ang دولت (Dáulat, Tagalog para sa ""Estado"") ay dapat tiyakin ang maagap at buong pagbabayad ng mga buwis.
* **National Internal Revenue Code (NIRC), Seksyon 232:** Binabalangkas ng seksyong ito ang iba't ibang uri"&amp;" ng mga pinahihintulutang bawas mula sa kabuuang kita.
* **National Internal Revenue Code (NIRC), Seksyon 234:** Binabalangkas ng seksyong ito ang iba't ibang uri ng mga kredito sa buwis na maaaring maging karapatan ng mga nagbabayad ng buwis.
Kung hindi "&amp;"ka sigurado tungkol sa pagiging lehitimo ng isang bawas o kredito na iyong isinasaalang-alang na i-claim, pinakamahusay na kumunsulta sa isang propesyonal sa buwis upang maiwasan ang anumang mga potensyal na paratang ng pag-iwas sa buwis.")</f>
        <v>Oo, sa ilalim ng batas ng Pilipinas, ang mga paratang sa pag-iwas sa buwis ay maaaring magmula sa mga pagkakaiba sa mga bawas sa buwis o mga kredito. Ang National Internal Revenue Code (NIRC) ng Pilipinas, partikular ang Seksyon 248 ng Republic Act No. 8424, ay tumutukoy sa tax evasion bilang anumang kilos o pagkukulang na ginawa ng isang nagbabayad ng buwis para sa layunin ng pag-iwas o pagtalo sa pagbabayad ng buwis na ipinataw ng batas.
Ang mga pagkakaiba sa mga bawas sa buwis o mga kredito ay maaaring maging mga pulang bandila para sa pag-iwas sa buwis kung mapapatunayang ang mga ito ay:
* **Sobstantially exaggerated** - Nangangahulugan ito ng pag-claim ng mga pagbabawas o mga kredito para sa mga halagang mas mataas kaysa sa aktwal na pinapayagan ng batas.
* **Walang batayan o kathang-isip** - Pag-claim ng mga pagbabawas o kredito para sa mga gastos na hindi kailanman nangyari o hindi lehitimong gastos sa negosyo.
* **Hindi sinusuportahan ng wastong dokumentasyon** - Ang nagbabayad ng buwis ay hindi maaaring magbigay ng mga resibo, invoice, o iba pang mga dokumento upang bigyang-katwiran ang mga na-claim na mga pagbabawas o mga kredito.
Narito ang ilang nauugnay na probisyon ng Konstitusyon at NIRC:
* **Konstitusyon ng Pilipinas, Artikulo III, Seksyon 14:** Ang seksyong ito ay nagsasaad na ang دولت (Dáulat, Tagalog para sa "Estado") ay dapat tiyakin ang maagap at buong pagbabayad ng mga buwis.
* **National Internal Revenue Code (NIRC), Seksyon 232:** Binabalangkas ng seksyong ito ang iba't ibang uri ng mga pinahihintulutang bawas mula sa kabuuang kita.
* **National Internal Revenue Code (NIRC), Seksyon 234:** Binabalangkas ng seksyong ito ang iba't ibang uri ng mga kredito sa buwis na maaaring maging karapatan ng mga nagbabayad ng buwis.
Kung hindi ka sigurado tungkol sa pagiging lehitimo ng isang bawas o kredito na iyong isinasaalang-alang na i-claim, pinakamahusay na kumunsulta sa isang propesyonal sa buwis upang maiwasan ang anumang mga potensyal na paratang ng pag-iwas sa buwis.</v>
      </c>
      <c r="F921" s="2">
        <f t="shared" si="1"/>
        <v>0</v>
      </c>
      <c r="G921" s="2"/>
      <c r="H921" s="2"/>
      <c r="I921" s="2"/>
      <c r="J921" s="2"/>
      <c r="K921" s="2"/>
      <c r="L921" s="2"/>
      <c r="M921" s="2"/>
      <c r="N921" s="2"/>
      <c r="O921" s="2"/>
      <c r="P921" s="2"/>
      <c r="Q921" s="2"/>
      <c r="R921" s="2"/>
      <c r="S921" s="2"/>
      <c r="T921" s="2"/>
      <c r="U921" s="2"/>
      <c r="V921" s="2"/>
      <c r="W921" s="2"/>
      <c r="X921" s="2"/>
      <c r="Y921" s="2"/>
      <c r="Z921" s="2"/>
      <c r="AA921" s="2"/>
    </row>
    <row r="922">
      <c r="A922" s="3" t="s">
        <v>2763</v>
      </c>
      <c r="B922" s="1" t="s">
        <v>2979</v>
      </c>
      <c r="C922" s="1" t="s">
        <v>2980</v>
      </c>
      <c r="D922" s="1" t="s">
        <v>2981</v>
      </c>
      <c r="E922" s="2" t="str">
        <f>IFERROR(__xludf.DUMMYFUNCTION("GOOGLETRANSLATE(C922, ""en"", ""TL"")"),"Ang mga pagbabago sa mga batas o regulasyon sa buwis sa Pilipinas ay maaaring makaapekto sa mga potensyal na kaso ng pag-iwas sa buwis sa ilang paraan:
**Paggawa ng mga Bagong Loopholes:**
* Ang mga bagong batas o regulasyon, habang nilalayon na pahusayin"&amp;" ang pangongolekta ng buwis, ay maaaring hindi sinasadyang lumikha ng mga bagong butas na maaaring pagsamantalahan ng mga tax evader. Maaari nitong gawing mas mahirap para sa mga awtoridad na tuklasin at usigin ang pag-iwas sa buwis.
**Pagsasara ng mga Um"&amp;"iiral na Loopholes:**
* Sa kabaligtaran, ang mga pagbabago sa mga batas o regulasyon ay maaari ding isara ang mga umiiral na butas na dating ginamit para sa pag-iwas sa buwis. Ito ay maaaring maging mas mahirap para sa mga nagbabayad ng buwis na umiwas sa"&amp;" mga buwis at maaaring humantong sa pagtaas ng koleksyon ng buwis para sa gobyerno.
**Pinataas na Pagsusuri sa Mga Tukoy na Lugar:**
* Kung ang mga bagong batas o regulasyon ay nagta-target ng mga partikular na lugar kung saan karaniwan ang pag-iwas sa bu"&amp;"wis, maaari itong humantong sa mas mataas na pagsusuri ng Bureau of Internal Revenue (BIR) sa mga lugar na iyon. Maaari nitong gawing mas malamang na matukoy ang mga pagtatangka sa pag-iwas sa buwis sa mga lugar na iyon.
**Epekto sa Mga Parusa:**
* Ang mg"&amp;"a pagbabago sa mga batas o regulasyon sa buwis ay maaari ding makaapekto sa mga parusa para sa pag-iwas sa buwis. Maaaring hadlangan ng mga tumaas na parusa ang mga potensyal na umiiwas sa buwis at mahikayat ang pagsunod.
**Mga Hamon sa Pagpapatupad:**
* "&amp;"Ang bisa ng mga bagong batas o regulasyon sa pagbabawas ng tax evasion ay nakasalalay din sa kapasidad ng BIR na mabisang ipatupad ang mga ito. Kabilang dito ang pagkakaroon ng sapat na mapagkukunan para sa mga pag-audit at pagsisiyasat, pati na rin ang p"&amp;"agkakaroon ng malinaw na mga alituntunin para sa pagpapatupad ng mga bagong panuntunan.
Narito ang ilang karagdagang punto na dapat isaalang-alang:
* Ang pagiging kumplikado ng mga batas at regulasyon sa buwis ay maaaring maging isang panganib na kadahila"&amp;"nan para sa pag-iwas sa buwis. Ang mga madalas na pagbabago ay maaaring makadagdag sa kumplikadong ito at maging mas mahirap para sa mga nagbabayad ng buwis na sumunod.
* Ang kamalayan ng publiko sa mga batas at regulasyon sa buwis ay may papel din. Kung "&amp;"hindi alam ng mga nagbabayad ng buwis ang kanilang mga obligasyon o ang mga kahihinatnan ng hindi pagsunod, maaari silang mas malamang na hindi sinasadyang gumawa ng pag-iwas sa buwis.
Sa pangkalahatan, ang mga pagbabago sa mga batas o regulasyon sa buwis"&amp;" ay maaaring magkaroon ng magkahalong epekto sa mga potensyal na kaso ng pag-iwas sa buwis. Bagama't maaari silang lumikha ng mga bagong hamon para sa mga awtoridad sa buwis, maaari rin silang magamit upang isara ang mga butas at hadlangan ang pag-iwas sa"&amp;" buwis. Ang bisa ng mga pagbabagong ito ay nakasalalay sa iba't ibang salik, kabilang ang mga partikular na probisyon ng batas, kapasidad ng BIR para sa pagpapatupad, at ang pangkalahatang kapaligiran sa pagbubuwis sa Pilipinas.")</f>
        <v>Ang mga pagbabago sa mga batas o regulasyon sa buwis sa Pilipinas ay maaaring makaapekto sa mga potensyal na kaso ng pag-iwas sa buwis sa ilang paraan:
**Paggawa ng mga Bagong Loopholes:**
* Ang mga bagong batas o regulasyon, habang nilalayon na pahusayin ang pangongolekta ng buwis, ay maaaring hindi sinasadyang lumikha ng mga bagong butas na maaaring pagsamantalahan ng mga tax evader. Maaari nitong gawing mas mahirap para sa mga awtoridad na tuklasin at usigin ang pag-iwas sa buwis.
**Pagsasara ng mga Umiiral na Loopholes:**
* Sa kabaligtaran, ang mga pagbabago sa mga batas o regulasyon ay maaari ding isara ang mga umiiral na butas na dating ginamit para sa pag-iwas sa buwis. Ito ay maaaring maging mas mahirap para sa mga nagbabayad ng buwis na umiwas sa mga buwis at maaaring humantong sa pagtaas ng koleksyon ng buwis para sa gobyerno.
**Pinataas na Pagsusuri sa Mga Tukoy na Lugar:**
* Kung ang mga bagong batas o regulasyon ay nagta-target ng mga partikular na lugar kung saan karaniwan ang pag-iwas sa buwis, maaari itong humantong sa mas mataas na pagsusuri ng Bureau of Internal Revenue (BIR) sa mga lugar na iyon. Maaari nitong gawing mas malamang na matukoy ang mga pagtatangka sa pag-iwas sa buwis sa mga lugar na iyon.
**Epekto sa Mga Parusa:**
* Ang mga pagbabago sa mga batas o regulasyon sa buwis ay maaari ding makaapekto sa mga parusa para sa pag-iwas sa buwis. Maaaring hadlangan ng mga tumaas na parusa ang mga potensyal na umiiwas sa buwis at mahikayat ang pagsunod.
**Mga Hamon sa Pagpapatupad:**
* Ang bisa ng mga bagong batas o regulasyon sa pagbabawas ng tax evasion ay nakasalalay din sa kapasidad ng BIR na mabisang ipatupad ang mga ito. Kabilang dito ang pagkakaroon ng sapat na mapagkukunan para sa mga pag-audit at pagsisiyasat, pati na rin ang pagkakaroon ng malinaw na mga alituntunin para sa pagpapatupad ng mga bagong panuntunan.
Narito ang ilang karagdagang punto na dapat isaalang-alang:
* Ang pagiging kumplikado ng mga batas at regulasyon sa buwis ay maaaring maging isang panganib na kadahilanan para sa pag-iwas sa buwis. Ang mga madalas na pagbabago ay maaaring makadagdag sa kumplikadong ito at maging mas mahirap para sa mga nagbabayad ng buwis na sumunod.
* Ang kamalayan ng publiko sa mga batas at regulasyon sa buwis ay may papel din. Kung hindi alam ng mga nagbabayad ng buwis ang kanilang mga obligasyon o ang mga kahihinatnan ng hindi pagsunod, maaari silang mas malamang na hindi sinasadyang gumawa ng pag-iwas sa buwis.
Sa pangkalahatan, ang mga pagbabago sa mga batas o regulasyon sa buwis ay maaaring magkaroon ng magkahalong epekto sa mga potensyal na kaso ng pag-iwas sa buwis. Bagama't maaari silang lumikha ng mga bagong hamon para sa mga awtoridad sa buwis, maaari rin silang magamit upang isara ang mga butas at hadlangan ang pag-iwas sa buwis. Ang bisa ng mga pagbabagong ito ay nakasalalay sa iba't ibang salik, kabilang ang mga partikular na probisyon ng batas, kapasidad ng BIR para sa pagpapatupad, at ang pangkalahatang kapaligiran sa pagbubuwis sa Pilipinas.</v>
      </c>
      <c r="F922" s="2">
        <f t="shared" si="1"/>
        <v>0</v>
      </c>
      <c r="G922" s="2"/>
      <c r="H922" s="2"/>
      <c r="I922" s="2"/>
      <c r="J922" s="2"/>
      <c r="K922" s="2"/>
      <c r="L922" s="2"/>
      <c r="M922" s="2"/>
      <c r="N922" s="2"/>
      <c r="O922" s="2"/>
      <c r="P922" s="2"/>
      <c r="Q922" s="2"/>
      <c r="R922" s="2"/>
      <c r="S922" s="2"/>
      <c r="T922" s="2"/>
      <c r="U922" s="2"/>
      <c r="V922" s="2"/>
      <c r="W922" s="2"/>
      <c r="X922" s="2"/>
      <c r="Y922" s="2"/>
      <c r="Z922" s="2"/>
      <c r="AA922" s="2"/>
    </row>
    <row r="923">
      <c r="A923" s="3" t="s">
        <v>2763</v>
      </c>
      <c r="B923" s="1" t="s">
        <v>2982</v>
      </c>
      <c r="C923" s="1" t="s">
        <v>2983</v>
      </c>
      <c r="D923" s="1" t="s">
        <v>2984</v>
      </c>
      <c r="E923" s="2" t="str">
        <f>IFERROR(__xludf.DUMMYFUNCTION("GOOGLETRANSLATE(C923, ""en"", ""TL"")"),"Walang partikular na batas sa Pilipinas na nakatuon lamang sa mga proteksyon ng whistleblower para sa pag-uulat ng pag-iwas sa buwis. Gayunpaman, ang ilang kasalukuyang legal na probisyon ay maaaring mag-alok ng ilang antas ng pag-iingat:
1. **Ang Konstit"&amp;"usyon:**
* **Artikulo III, Seksyon 14:** Ang seksyong ito ay nag-uutos sa Estado na tiyakin ang ""maagap at buong pagbabayad ng mga buwis."" Sa pamamagitan ng pag-uulat ng pag-iwas sa buwis, hindi mo direktang itinataguyod ang prinsipyong ito ng konstitus"&amp;"yon.
2. **Republic Act No. 6713 (Code of Conduct and Ethical Standards for Public Officials and Employees):**
* Ang batas na ito ay nagtataguyod ng etikal na pag-uugali at pananagutan sa loob ng mga ahensya ng gobyerno. Bagama't hindi nito direktang tinut"&amp;"ugunan ang whistleblowing sa pag-iwas sa buwis, maaari itong bigyang kahulugan bilang pagsuporta sa mga indibidwal na nag-uulat ng maling gawain sa loob ng sistema ng buwis, lalo na kung sila ay mga empleyado ng gobyerno. 3. **Bureau of Internal Revenue ("&amp;"BIR) Programs:**
* Ang BIR mismo ay walang pormal na programa sa proteksyon ng whistleblower. Gayunpaman, mayroon silang mga inisyatiba na naghihikayat sa pag-uulat ng mga paglabag sa buwis, gaya ng:
* **Run After Tax Evaders (RATE):** Ang program na ito "&amp;"ay nagbibigay-daan sa hindi kilalang pag-uulat ng mga cheats sa buwis sa pamamagitan ng isang hotline o online na form. Bagama't hindi matitiyak ang anonymity sa buong proseso, nag-aalok ito ng paunang layer ng proteksyon.
* **Tax Reward Program:** Nag-aa"&amp;"lok ang program na ito ng mga insentibo (pinansyal na reward) sa mga indibidwal na nagbibigay ng impormasyon na humahantong sa pangongolekta ng mga karagdagang buwis. Gayunpaman, may kasama itong mga partikular na kinakailangan, at maaaring hindi posible "&amp;"ang anonymity. **Mahahalagang Pagsasaalang-alang:**
* Bagama't walang komprehensibong batas sa proteksyon ng whistleblower, ang pag-uulat ng pag-iwas sa buwis ay maaari pa ring maging isang matapang na pagkilos. Maipapayo na kumunsulta sa isang abogado na"&amp;" dalubhasa sa batas sa buwis upang maunawaan ang mga potensyal na panganib at magagamit na mga opsyon bago mag-ulat.
* Magtipon ng matibay na ebidensya upang suportahan ang iyong mga pahayag. Maaaring kabilang dito ang mga dokumento, resibo, o mga testimo"&amp;"nya ng saksi. * Isaalang-alang ang pag-uulat nang hindi nagpapakilala kung maaari, sa pamamagitan ng programa ng RATE ng BIR.
Tandaan, ang legal na tanawin ay maaaring kumplikado. Bagama't ang impormasyong ito ay nagbibigay ng pangkalahatang pangkalahatan"&amp;"g-ideya, ang paghingi ng propesyonal na legal na payo ay napakahalaga para sa pag-navigate sa mga partikular na sitwasyon at pag-maximize ng iyong proteksyon.")</f>
        <v>Walang partikular na batas sa Pilipinas na nakatuon lamang sa mga proteksyon ng whistleblower para sa pag-uulat ng pag-iwas sa buwis. Gayunpaman, ang ilang kasalukuyang legal na probisyon ay maaaring mag-alok ng ilang antas ng pag-iingat:
1. **Ang Konstitusyon:**
* **Artikulo III, Seksyon 14:** Ang seksyong ito ay nag-uutos sa Estado na tiyakin ang "maagap at buong pagbabayad ng mga buwis." Sa pamamagitan ng pag-uulat ng pag-iwas sa buwis, hindi mo direktang itinataguyod ang prinsipyong ito ng konstitusyon.
2. **Republic Act No. 6713 (Code of Conduct and Ethical Standards for Public Officials and Employees):**
* Ang batas na ito ay nagtataguyod ng etikal na pag-uugali at pananagutan sa loob ng mga ahensya ng gobyerno. Bagama't hindi nito direktang tinutugunan ang whistleblowing sa pag-iwas sa buwis, maaari itong bigyang kahulugan bilang pagsuporta sa mga indibidwal na nag-uulat ng maling gawain sa loob ng sistema ng buwis, lalo na kung sila ay mga empleyado ng gobyerno. 3. **Bureau of Internal Revenue (BIR) Programs:**
* Ang BIR mismo ay walang pormal na programa sa proteksyon ng whistleblower. Gayunpaman, mayroon silang mga inisyatiba na naghihikayat sa pag-uulat ng mga paglabag sa buwis, gaya ng:
* **Run After Tax Evaders (RATE):** Ang program na ito ay nagbibigay-daan sa hindi kilalang pag-uulat ng mga cheats sa buwis sa pamamagitan ng isang hotline o online na form. Bagama't hindi matitiyak ang anonymity sa buong proseso, nag-aalok ito ng paunang layer ng proteksyon.
* **Tax Reward Program:** Nag-aalok ang program na ito ng mga insentibo (pinansyal na reward) sa mga indibidwal na nagbibigay ng impormasyon na humahantong sa pangongolekta ng mga karagdagang buwis. Gayunpaman, may kasama itong mga partikular na kinakailangan, at maaaring hindi posible ang anonymity. **Mahahalagang Pagsasaalang-alang:**
* Bagama't walang komprehensibong batas sa proteksyon ng whistleblower, ang pag-uulat ng pag-iwas sa buwis ay maaari pa ring maging isang matapang na pagkilos. Maipapayo na kumunsulta sa isang abogado na dalubhasa sa batas sa buwis upang maunawaan ang mga potensyal na panganib at magagamit na mga opsyon bago mag-ulat.
* Magtipon ng matibay na ebidensya upang suportahan ang iyong mga pahayag. Maaaring kabilang dito ang mga dokumento, resibo, o mga testimonya ng saksi. * Isaalang-alang ang pag-uulat nang hindi nagpapakilala kung maaari, sa pamamagitan ng programa ng RATE ng BIR.
Tandaan, ang legal na tanawin ay maaaring kumplikado. Bagama't ang impormasyong ito ay nagbibigay ng pangkalahatang pangkalahatang-ideya, ang paghingi ng propesyonal na legal na payo ay napakahalaga para sa pag-navigate sa mga partikular na sitwasyon at pag-maximize ng iyong proteksyon.</v>
      </c>
      <c r="F923" s="2">
        <f t="shared" si="1"/>
        <v>0</v>
      </c>
      <c r="G923" s="2"/>
      <c r="H923" s="2"/>
      <c r="I923" s="2"/>
      <c r="J923" s="2"/>
      <c r="K923" s="2"/>
      <c r="L923" s="2"/>
      <c r="M923" s="2"/>
      <c r="N923" s="2"/>
      <c r="O923" s="2"/>
      <c r="P923" s="2"/>
      <c r="Q923" s="2"/>
      <c r="R923" s="2"/>
      <c r="S923" s="2"/>
      <c r="T923" s="2"/>
      <c r="U923" s="2"/>
      <c r="V923" s="2"/>
      <c r="W923" s="2"/>
      <c r="X923" s="2"/>
      <c r="Y923" s="2"/>
      <c r="Z923" s="2"/>
      <c r="AA923" s="2"/>
    </row>
    <row r="924">
      <c r="A924" s="3" t="s">
        <v>2763</v>
      </c>
      <c r="B924" s="1" t="s">
        <v>2985</v>
      </c>
      <c r="C924" s="1" t="s">
        <v>2986</v>
      </c>
      <c r="D924" s="1" t="s">
        <v>2987</v>
      </c>
      <c r="E924" s="2" t="str">
        <f>IFERROR(__xludf.DUMMYFUNCTION("GOOGLETRANSLATE(C924, ""en"", ""TL"")"),"Oo, ang mga singil sa pag-iwas sa buwis sa Pilipinas ay maaaring ayusin sa labas ng korte sa pamamagitan ng isang programa na tinatawag na **Offer of Compromise (OC)** na inaalok ng Bureau of Internal Revenue (BIR). Ang programang ito ay nagpapahintulot s"&amp;"a mga nagbabayad ng buwis na nahaharap sa mga pananagutan sa buwis, kabilang ang mga may mga singil sa pag-iwas sa buwis, na ayusin ang kanilang mga obligasyon sa pamahalaan nang hindi dumaan sa isang buong paglilitis sa korte.
Narito kung paano gumagana "&amp;"ang Alok ng Pagkompromiso:
* **Pagsisimula:** Ang nagbabayad ng buwis o ang kanilang awtorisadong kinatawan ay nagsusumite ng isang pormal na nakasulat na kahilingan sa BIR na nagpapahayag ng kanilang layunin na ayusin ang kaso ng buwis sa pamamagitan ng "&amp;"Alok ng Pagkompromiso.
* **Pagsusuri:** Sinusuri ng BIR ang kahilingan, isinasaalang-alang ang mga salik tulad ng katangian ng paglabag, ang halaga ng kakulangan sa buwis, at ang kapasidad ng nagbabayad ng buwis na magbayad.
* **Negosasyon:** Kung tatangg"&amp;"apin ng BIR ang kahilingan, makikipag-ayos sila ng halaga ng kompromiso sa nagbabayad ng buwis. Ang halagang ito ay karaniwang mas mababa kaysa sa kabuuang pananagutan sa buwis, kabilang ang mga multa at surcharge.
* **Pagtanggap at Pag-aayos:** Kung napa"&amp;"gkasunduan ang halaga ng kompromiso, dapat bayaran ng nagbabayad ng buwis ang napagkasunduang halaga sa loob ng takdang panahon na itinakda ng BIR. Kapag naayos na, isasara ang kaso ng buwis, at wala nang iba pang mga parusa o legal na aksyon ang ipapatup"&amp;"ad.
**Narito ang ilang mapagkukunan para sa karagdagang impormasyon:**
* Bureau of Internal Revenue (BIR): [https://www.bir.gov.ph/](https://www.bir.gov.ph/) - Maaaring may pinakabagong impormasyon ang BIR website sa Alok ng Programa ng kompromiso.
* Repu"&amp;"blic Act No. 8424 (Tax Code): Binabalangkas ng batas na ito ang legal na balangkas para sa pangangasiwa ng buwis sa Pilipinas, kabilang ang mga probisyon sa Alok ng Kompromiso (maaaring matagpuan ang mga nauugnay na seksyon sa ilalim ng Title IV sa Pagtat"&amp;"asa at Pagkolekta). Mahahanap mo ang batas sa pamamagitan ng iba't ibang mga database ng legal na pananaliksik. **Mahahalagang puntos na dapat tandaan:**
* Hindi lahat ng kaso ng pag-iwas sa buwis ay kwalipikado para sa isang Alok ng Pagkompromiso. Ang BI"&amp;"R ay may pagpapasya na tanggapin o tanggihan ang kahilingan.
* Ang pag-aayos sa pamamagitan ng isang Alok ng Kompromiso ay karaniwang nagsasangkot ng pagbabayad ng malaking halaga ng pera. Maipapayo na kumunsulta sa isang abogado sa buwis upang maunawaan "&amp;"ang mga implikasyon at matiyak na nakakakuha ka ng patas na kasunduan.
* Kahit na tinanggap ng BIR ang iyong Alok ng Kompromiso, ang kriminal na aspeto ng pag-iwas sa buwis ay maaari pa ring ituloy ng Department of Justice (DOJ) depende sa mga kalagayan n"&amp;"g kaso.")</f>
        <v>Oo, ang mga singil sa pag-iwas sa buwis sa Pilipinas ay maaaring ayusin sa labas ng korte sa pamamagitan ng isang programa na tinatawag na **Offer of Compromise (OC)** na inaalok ng Bureau of Internal Revenue (BIR). Ang programang ito ay nagpapahintulot sa mga nagbabayad ng buwis na nahaharap sa mga pananagutan sa buwis, kabilang ang mga may mga singil sa pag-iwas sa buwis, na ayusin ang kanilang mga obligasyon sa pamahalaan nang hindi dumaan sa isang buong paglilitis sa korte.
Narito kung paano gumagana ang Alok ng Pagkompromiso:
* **Pagsisimula:** Ang nagbabayad ng buwis o ang kanilang awtorisadong kinatawan ay nagsusumite ng isang pormal na nakasulat na kahilingan sa BIR na nagpapahayag ng kanilang layunin na ayusin ang kaso ng buwis sa pamamagitan ng Alok ng Pagkompromiso.
* **Pagsusuri:** Sinusuri ng BIR ang kahilingan, isinasaalang-alang ang mga salik tulad ng katangian ng paglabag, ang halaga ng kakulangan sa buwis, at ang kapasidad ng nagbabayad ng buwis na magbayad.
* **Negosasyon:** Kung tatanggapin ng BIR ang kahilingan, makikipag-ayos sila ng halaga ng kompromiso sa nagbabayad ng buwis. Ang halagang ito ay karaniwang mas mababa kaysa sa kabuuang pananagutan sa buwis, kabilang ang mga multa at surcharge.
* **Pagtanggap at Pag-aayos:** Kung napagkasunduan ang halaga ng kompromiso, dapat bayaran ng nagbabayad ng buwis ang napagkasunduang halaga sa loob ng takdang panahon na itinakda ng BIR. Kapag naayos na, isasara ang kaso ng buwis, at wala nang iba pang mga parusa o legal na aksyon ang ipapatupad.
**Narito ang ilang mapagkukunan para sa karagdagang impormasyon:**
* Bureau of Internal Revenue (BIR): [https://www.bir.gov.ph/](https://www.bir.gov.ph/) - Maaaring may pinakabagong impormasyon ang BIR website sa Alok ng Programa ng kompromiso.
* Republic Act No. 8424 (Tax Code): Binabalangkas ng batas na ito ang legal na balangkas para sa pangangasiwa ng buwis sa Pilipinas, kabilang ang mga probisyon sa Alok ng Kompromiso (maaaring matagpuan ang mga nauugnay na seksyon sa ilalim ng Title IV sa Pagtatasa at Pagkolekta). Mahahanap mo ang batas sa pamamagitan ng iba't ibang mga database ng legal na pananaliksik. **Mahahalagang puntos na dapat tandaan:**
* Hindi lahat ng kaso ng pag-iwas sa buwis ay kwalipikado para sa isang Alok ng Pagkompromiso. Ang BIR ay may pagpapasya na tanggapin o tanggihan ang kahilingan.
* Ang pag-aayos sa pamamagitan ng isang Alok ng Kompromiso ay karaniwang nagsasangkot ng pagbabayad ng malaking halaga ng pera. Maipapayo na kumunsulta sa isang abogado sa buwis upang maunawaan ang mga implikasyon at matiyak na nakakakuha ka ng patas na kasunduan.
* Kahit na tinanggap ng BIR ang iyong Alok ng Kompromiso, ang kriminal na aspeto ng pag-iwas sa buwis ay maaari pa ring ituloy ng Department of Justice (DOJ) depende sa mga kalagayan ng kaso.</v>
      </c>
      <c r="F924" s="2">
        <f t="shared" si="1"/>
        <v>0</v>
      </c>
      <c r="G924" s="2"/>
      <c r="H924" s="2"/>
      <c r="I924" s="2"/>
      <c r="J924" s="2"/>
      <c r="K924" s="2"/>
      <c r="L924" s="2"/>
      <c r="M924" s="2"/>
      <c r="N924" s="2"/>
      <c r="O924" s="2"/>
      <c r="P924" s="2"/>
      <c r="Q924" s="2"/>
      <c r="R924" s="2"/>
      <c r="S924" s="2"/>
      <c r="T924" s="2"/>
      <c r="U924" s="2"/>
      <c r="V924" s="2"/>
      <c r="W924" s="2"/>
      <c r="X924" s="2"/>
      <c r="Y924" s="2"/>
      <c r="Z924" s="2"/>
      <c r="AA924" s="2"/>
    </row>
    <row r="925">
      <c r="A925" s="3" t="s">
        <v>2763</v>
      </c>
      <c r="B925" s="1" t="s">
        <v>2988</v>
      </c>
      <c r="C925" s="1" t="s">
        <v>2989</v>
      </c>
      <c r="D925" s="1" t="s">
        <v>2990</v>
      </c>
      <c r="E925" s="2" t="str">
        <f>IFERROR(__xludf.DUMMYFUNCTION("GOOGLETRANSLATE(C925, ""en"", ""TL"")"),"Sa Pilipinas, ang pasanin ng patunay ay naiiba sa pagitan ng mga kaso ng sibil at kriminal na pag-iwas sa buwis. Narito ang isang breakdown:
**Kaso sa Pag-iwas sa Buwis ng Sibil:**
* **Burden of Proof:** Ang burden of proof ay nasa **government (Bureau of"&amp;" Internal Revenue - BIR)**. * **Standard of Proof:** Dapat patunayan ng gobyerno ang kakulangan sa buwis sa pamamagitan ng **preponderance of evidence**. Nangangahulugan ito na dapat silang magpakita ng ebidensya na mas malamang na totoo kaysa hindi.
**Ka"&amp;"so sa Pag-iwas sa Buwis ng Kriminal:**
* **Burden of Proof:** Ang burden of proof ay nasa **gobyerno (Department of Justice - DOJ)**. * **Standard of Proof:** Gayunpaman, ang pamantayan ng patunay ay mas mahigpit sa isang kasong kriminal. Dapat patunayan "&amp;"ng gobyerno ang pagkakasala ng nagbabayad ng buwis **beyond a reasonable doubt**. Ito ay isang mas mataas na pamantayan, na nangangailangan ng gobyerno na umalis sa korte nang walang pag-aalinlangan, pagkatapos isaalang-alang ang lahat ng ebidensya, na an"&amp;"g nagbabayad ng buwis ay nakagawa ng krimen.
Narito ang isang talahanayan na nagbubuod sa mga pangunahing pagkakaiba:
| Tampok | Kaso sa Pag-iwas sa Buwis ng Sibil | Kaso sa Pag-iwas sa Buwis ng Kriminal |
|---------------------------------------|--------"&amp;"-------------- ---|----------------------------|
| Pasanin ng Patunay | Pamahalaan (BIR) | Pamahalaan (DOJ) |
| Pamantayan ng Patunay | Preponderance ng Ebidensya | Higit Pa sa Makatwirang Pagdududa |
**Epekto ng Iba't Ibang Pasan:**
* **Kaso Sibil:** Sa "&amp;"kasong sibil, ang mas mababang pamantayan ng patunay ay nagpapadali para sa pamahalaan na manalo. Kailangan lang nilang kumbinsihin ang korte na mas malamang na ang nagbabayad ng buwis ay may utang ng karagdagang buwis. * **Kasong Kriminal:** Sa isang kas"&amp;"ong kriminal, ang mataas na pamantayan ng patunay ay nagpapahirap sa gobyerno na makakuha ng isang paghatol. Ang ebidensyang ipinakita ay dapat na napakalakas na walang ibang kapani-paniwalang paliwanag para sa mga aksyon ng nagbabayad ng buwis maliban sa"&amp;" intensyonal na pag-iwas sa buwis.
**Mga Karagdagang Tala:**
* Kahit na natalo ang gobyerno sa kasong criminal tax evasion dahil sa mataas na burden of proof, maaari pa ring managot ang nagbabayad ng buwis para sa mga kakulangan sa buwis sa isang hiwalay "&amp;"na kasong sibil na may mas mababang burden of proof.
Tandaan, ito ay isang pangkalahatang pangkalahatang-ideya. Para sa partikular na legal na payo sa iyong sitwasyon, palaging pinakamahusay na kumunsulta sa isang kwalipikadong abogado sa buwis sa Pilipin"&amp;"as.")</f>
        <v>Sa Pilipinas, ang pasanin ng patunay ay naiiba sa pagitan ng mga kaso ng sibil at kriminal na pag-iwas sa buwis. Narito ang isang breakdown:
**Kaso sa Pag-iwas sa Buwis ng Sibil:**
* **Burden of Proof:** Ang burden of proof ay nasa **government (Bureau of Internal Revenue - BIR)**. * **Standard of Proof:** Dapat patunayan ng gobyerno ang kakulangan sa buwis sa pamamagitan ng **preponderance of evidence**. Nangangahulugan ito na dapat silang magpakita ng ebidensya na mas malamang na totoo kaysa hindi.
**Kaso sa Pag-iwas sa Buwis ng Kriminal:**
* **Burden of Proof:** Ang burden of proof ay nasa **gobyerno (Department of Justice - DOJ)**. * **Standard of Proof:** Gayunpaman, ang pamantayan ng patunay ay mas mahigpit sa isang kasong kriminal. Dapat patunayan ng gobyerno ang pagkakasala ng nagbabayad ng buwis **beyond a reasonable doubt**. Ito ay isang mas mataas na pamantayan, na nangangailangan ng gobyerno na umalis sa korte nang walang pag-aalinlangan, pagkatapos isaalang-alang ang lahat ng ebidensya, na ang nagbabayad ng buwis ay nakagawa ng krimen.
Narito ang isang talahanayan na nagbubuod sa mga pangunahing pagkakaiba:
| Tampok | Kaso sa Pag-iwas sa Buwis ng Sibil | Kaso sa Pag-iwas sa Buwis ng Kriminal |
|---------------------------------------|---------------------- ---|----------------------------|
| Pasanin ng Patunay | Pamahalaan (BIR) | Pamahalaan (DOJ) |
| Pamantayan ng Patunay | Preponderance ng Ebidensya | Higit Pa sa Makatwirang Pagdududa |
**Epekto ng Iba't Ibang Pasan:**
* **Kaso Sibil:** Sa kasong sibil, ang mas mababang pamantayan ng patunay ay nagpapadali para sa pamahalaan na manalo. Kailangan lang nilang kumbinsihin ang korte na mas malamang na ang nagbabayad ng buwis ay may utang ng karagdagang buwis. * **Kasong Kriminal:** Sa isang kasong kriminal, ang mataas na pamantayan ng patunay ay nagpapahirap sa gobyerno na makakuha ng isang paghatol. Ang ebidensyang ipinakita ay dapat na napakalakas na walang ibang kapani-paniwalang paliwanag para sa mga aksyon ng nagbabayad ng buwis maliban sa intensyonal na pag-iwas sa buwis.
**Mga Karagdagang Tala:**
* Kahit na natalo ang gobyerno sa kasong criminal tax evasion dahil sa mataas na burden of proof, maaari pa ring managot ang nagbabayad ng buwis para sa mga kakulangan sa buwis sa isang hiwalay na kasong sibil na may mas mababang burden of proof.
Tandaan, ito ay isang pangkalahatang pangkalahatang-ideya. Para sa partikular na legal na payo sa iyong sitwasyon, palaging pinakamahusay na kumunsulta sa isang kwalipikadong abogado sa buwis sa Pilipinas.</v>
      </c>
      <c r="F925" s="2">
        <f t="shared" si="1"/>
        <v>0</v>
      </c>
      <c r="G925" s="2"/>
      <c r="H925" s="2"/>
      <c r="I925" s="2"/>
      <c r="J925" s="2"/>
      <c r="K925" s="2"/>
      <c r="L925" s="2"/>
      <c r="M925" s="2"/>
      <c r="N925" s="2"/>
      <c r="O925" s="2"/>
      <c r="P925" s="2"/>
      <c r="Q925" s="2"/>
      <c r="R925" s="2"/>
      <c r="S925" s="2"/>
      <c r="T925" s="2"/>
      <c r="U925" s="2"/>
      <c r="V925" s="2"/>
      <c r="W925" s="2"/>
      <c r="X925" s="2"/>
      <c r="Y925" s="2"/>
      <c r="Z925" s="2"/>
      <c r="AA925" s="2"/>
    </row>
    <row r="926">
      <c r="A926" s="3" t="s">
        <v>2763</v>
      </c>
      <c r="B926" s="1" t="s">
        <v>2991</v>
      </c>
      <c r="C926" s="1" t="s">
        <v>2992</v>
      </c>
      <c r="D926" s="1" t="s">
        <v>2993</v>
      </c>
      <c r="E926" s="2" t="str">
        <f>IFERROR(__xludf.DUMMYFUNCTION("GOOGLETRANSLATE(C926, ""en"", ""TL"")"),"Oo, ang mga paratang sa pag-iwas sa buwis ay maaaring makabuluhang makaapekto sa iyong kakayahang makakuha ng mga pautang o financing sa Pilipinas. Narito kung bakit:
**Pagsusuri sa Panganib ng Tagapahiram:**
* Ang mga bangko at iba pang institusyon ng pa"&amp;"gpapautang ay nagsasagawa ng masusing pagsusuri sa panganib bago aprubahan ang mga pautang o financing. Ang mga paratang sa pag-iwas sa buwis ay nagtataas ng mga pulang bandila para sa mga nagpapahiram habang ipinapahiwatig ng mga ito:
* **Iresponsableng "&amp;"Pananalapi:** Iminumungkahi ng paratang na maaaring hindi ka responsable sa iyong mga pananalapi, na posibleng humantong sa kahirapan sa pagbabayad ng utang.
* **Mga Legal na Isyu:** Ang isang patuloy na kaso ng pag-iwas sa buwis ay maaaring lumikha ng mg"&amp;"a legal na komplikasyon at kawalan ng katiyakan, na ginagawa kang hindi gaanong kaakit-akit na nanghihiram.
* **Potensyal para sa Panloloko:** Ang pag-iwas sa buwis ay maaaring iugnay sa mga mapanlinlang na aktibidad, na gustong iwasan ng mga nagpapahiram"&amp;".
**Pagbabahagi ng Impormasyon at Pag-blacklist:**
* Ang Pilipinas ay mayroong Credit Information System (CIS) kung saan ang impormasyon ng kredito, kabilang ang mga default at negatibong ulat, ay ibinabahagi sa mga bangko at mga institusyong nagpapautang"&amp;". Ang mga paratang sa pag-iwas sa buwis, lalo na kung nagsasangkot ang mga ito ng mga hindi nabayarang pananagutan sa buwis, ay maaaring iulat sa CIS, na negatibong nakakaapekto sa iyong credit score. * Dagdag pa rito, maaaring i-blacklist ng Bureau of In"&amp;"ternal Revenue (BIR) ang mga nagbabayad ng buwis na may natitirang mga obligasyon sa buwis, na maaaring i-flag ng mga nagpapahiram sa panahon ng kanilang proseso ng pag-verify.
**Epekto sa Mga Aplikasyon sa Pautang:**
* Kahit na ang mga paratang ay hindi "&amp;"pa napatunayan, maaari pa rin itong magdulot ng mga pagkaantala o pagtanggi sa iyong aplikasyon sa pautang. Maaaring mag-alinlangan ang mga nagpapahiram na tanggapin ang karagdagang panganib na nauugnay sa isang patuloy na kaso.
* Maaaring kailanganin kan"&amp;"g magbigay ng malawak na dokumentasyon upang matugunan ang mga paratang at ipakita ang iyong katatagan sa pananalapi. Narito ang ilang rekomendasyon:
* **Be Upfront:** Kung mayroon kang mga paratang sa pag-iwas sa buwis laban sa iyo, maging transparent sa"&amp;" nagpapahiram kapag nag-a-apply para sa isang loan. Ipaliwanag nang tapat ang sitwasyon at magbigay ng anumang nauugnay na dokumentasyon na sumusuporta sa iyong kaso.
* **Lutasin ang Isyu:** Ang pinakamahusay na paraan ng pagkilos ay upang malutas ang mga"&amp;" paratang sa pag-iwas sa buwis sa lalong madaling panahon. Makipagtulungan sa isang propesyonal sa buwis o abogado upang tugunan ang sitwasyon at linisin ang iyong pangalan.
* **Pagbutihin ang Iyong Credit Score:** Habang ang paglutas sa isyu sa buwis ay "&amp;"mahalaga, tumuon sa pagpapabuti ng iyong pangkalahatang marka ng kredito sa pamamagitan ng pagpapanatili ng magandang kasaysayan ng pagbabayad sa mga umiiral nang utang.
**Tandaan:** Ito ay pangkalahatang impormasyon. Maipapayo na kumunsulta sa isang fina"&amp;"ncial advisor o tax lawyer para sa partikular na payo sa iyong sitwasyon at kung paano i-navigate ang proseso ng pag-aaplay ng pautang na may mga paratang sa pag-iwas sa buwis.")</f>
        <v>Oo, ang mga paratang sa pag-iwas sa buwis ay maaaring makabuluhang makaapekto sa iyong kakayahang makakuha ng mga pautang o financing sa Pilipinas. Narito kung bakit:
**Pagsusuri sa Panganib ng Tagapahiram:**
* Ang mga bangko at iba pang institusyon ng pagpapautang ay nagsasagawa ng masusing pagsusuri sa panganib bago aprubahan ang mga pautang o financing. Ang mga paratang sa pag-iwas sa buwis ay nagtataas ng mga pulang bandila para sa mga nagpapahiram habang ipinapahiwatig ng mga ito:
* **Iresponsableng Pananalapi:** Iminumungkahi ng paratang na maaaring hindi ka responsable sa iyong mga pananalapi, na posibleng humantong sa kahirapan sa pagbabayad ng utang.
* **Mga Legal na Isyu:** Ang isang patuloy na kaso ng pag-iwas sa buwis ay maaaring lumikha ng mga legal na komplikasyon at kawalan ng katiyakan, na ginagawa kang hindi gaanong kaakit-akit na nanghihiram.
* **Potensyal para sa Panloloko:** Ang pag-iwas sa buwis ay maaaring iugnay sa mga mapanlinlang na aktibidad, na gustong iwasan ng mga nagpapahiram.
**Pagbabahagi ng Impormasyon at Pag-blacklist:**
* Ang Pilipinas ay mayroong Credit Information System (CIS) kung saan ang impormasyon ng kredito, kabilang ang mga default at negatibong ulat, ay ibinabahagi sa mga bangko at mga institusyong nagpapautang. Ang mga paratang sa pag-iwas sa buwis, lalo na kung nagsasangkot ang mga ito ng mga hindi nabayarang pananagutan sa buwis, ay maaaring iulat sa CIS, na negatibong nakakaapekto sa iyong credit score. * Dagdag pa rito, maaaring i-blacklist ng Bureau of Internal Revenue (BIR) ang mga nagbabayad ng buwis na may natitirang mga obligasyon sa buwis, na maaaring i-flag ng mga nagpapahiram sa panahon ng kanilang proseso ng pag-verify.
**Epekto sa Mga Aplikasyon sa Pautang:**
* Kahit na ang mga paratang ay hindi pa napatunayan, maaari pa rin itong magdulot ng mga pagkaantala o pagtanggi sa iyong aplikasyon sa pautang. Maaaring mag-alinlangan ang mga nagpapahiram na tanggapin ang karagdagang panganib na nauugnay sa isang patuloy na kaso.
* Maaaring kailanganin kang magbigay ng malawak na dokumentasyon upang matugunan ang mga paratang at ipakita ang iyong katatagan sa pananalapi. Narito ang ilang rekomendasyon:
* **Be Upfront:** Kung mayroon kang mga paratang sa pag-iwas sa buwis laban sa iyo, maging transparent sa nagpapahiram kapag nag-a-apply para sa isang loan. Ipaliwanag nang tapat ang sitwasyon at magbigay ng anumang nauugnay na dokumentasyon na sumusuporta sa iyong kaso.
* **Lutasin ang Isyu:** Ang pinakamahusay na paraan ng pagkilos ay upang malutas ang mga paratang sa pag-iwas sa buwis sa lalong madaling panahon. Makipagtulungan sa isang propesyonal sa buwis o abogado upang tugunan ang sitwasyon at linisin ang iyong pangalan.
* **Pagbutihin ang Iyong Credit Score:** Habang ang paglutas sa isyu sa buwis ay mahalaga, tumuon sa pagpapabuti ng iyong pangkalahatang marka ng kredito sa pamamagitan ng pagpapanatili ng magandang kasaysayan ng pagbabayad sa mga umiiral nang utang.
**Tandaan:** Ito ay pangkalahatang impormasyon. Maipapayo na kumunsulta sa isang financial advisor o tax lawyer para sa partikular na payo sa iyong sitwasyon at kung paano i-navigate ang proseso ng pag-aaplay ng pautang na may mga paratang sa pag-iwas sa buwis.</v>
      </c>
      <c r="F926" s="2">
        <f t="shared" si="1"/>
        <v>0</v>
      </c>
      <c r="G926" s="2"/>
      <c r="H926" s="2"/>
      <c r="I926" s="2"/>
      <c r="J926" s="2"/>
      <c r="K926" s="2"/>
      <c r="L926" s="2"/>
      <c r="M926" s="2"/>
      <c r="N926" s="2"/>
      <c r="O926" s="2"/>
      <c r="P926" s="2"/>
      <c r="Q926" s="2"/>
      <c r="R926" s="2"/>
      <c r="S926" s="2"/>
      <c r="T926" s="2"/>
      <c r="U926" s="2"/>
      <c r="V926" s="2"/>
      <c r="W926" s="2"/>
      <c r="X926" s="2"/>
      <c r="Y926" s="2"/>
      <c r="Z926" s="2"/>
      <c r="AA926" s="2"/>
    </row>
    <row r="927">
      <c r="A927" s="3" t="s">
        <v>2763</v>
      </c>
      <c r="B927" s="1" t="s">
        <v>2994</v>
      </c>
      <c r="C927" s="1" t="s">
        <v>2995</v>
      </c>
      <c r="D927" s="1" t="s">
        <v>2996</v>
      </c>
      <c r="E927" s="2" t="str">
        <f>IFERROR(__xludf.DUMMYFUNCTION("GOOGLETRANSLATE(C927, ""en"", ""TL"")"),"Ang **Bureau of Internal Revenue (BIR)** ang humahawak sa pangongolekta ng buwis sa Pilipinas, hindi sa IRS. Narito ang dapat mong gawin kung makatanggap ka ng notice mula sa BIR tungkol sa potensyal na pag-iwas sa buwis:
**1. Huwag Magpanic:** Ang pagtan"&amp;"ggap ng paunawa ay maaaring maging stress, ngunit manatiling kalmado at iwasang balewalain ito. Ang pagwawalang-bahala sa paunawa ay maaaring humantong sa karagdagang mga parusa at komplikasyon.
**2. Unawain ang Paunawa:** Maingat na basahin ang paunawa m"&amp;"ula sa BIR. Dapat nitong ipaliwanag ang dahilan ng pakikipag-ugnayan, ang mga pinaghihinalaang pagkakaiba, at ang halaga ng pananagutan sa buwis na pinag-uusapan (kung mayroon man).
**3. Magtipon ng Mga Dokumento:** Magsimulang mangolekta ng mga nauugnay "&amp;"na dokumento gaya ng mga tax return, resibo, invoice, at anumang iba pang dokumentasyon na sumusuporta sa iyong mga paghahain ng buwis.
**4. Humingi ng Propesyonal na Tulong:** Maaaring kumplikado ang mga batas sa buwis. Isaalang-alang ang pagkonsulta sa "&amp;"isang abogado sa buwis o isang propesyonal sa buwis na dalubhasa sa batas sa buwis sa Pilipinas. Maaari nilang suriin ang paunawa, pag-aralan ang iyong sitwasyon, at payuhan ka sa pinakamahusay na paraan ng pagkilos.
**5. Tumugon sa BIR:** Malamang na kas"&amp;"ama sa paunawa ang mga tagubilin kung paano tumugon sa BIR. Maaaring kabilang dito ang pagsusumite ng mga karagdagang dokumento, pagdalo sa isang kumperensya, o paghiling ng pagdinig. Maingat na sundin ang mga tagubilin at matugunan ang anumang mga deadli"&amp;"ne.
Narito ang ilang karagdagang bagay na dapat tandaan:
* **Be Honest and Transparent:** Sa anumang pakikipag-ugnayan sa BIR, maging tapat at tapat sa iyong sitwasyong pinansyal. Ang pagbibigay ng maling impormasyon ay maaaring magpalala sa sitwasyon at "&amp;"humantong sa mga kasong kriminal.
* **Isaalang-alang ang Isang Alok ng Kompromiso:** Kung may utang kang karagdagang buwis, maaaring mag-alok ang BIR ng kasunduan sa pamamagitan ng kanilang Offer of Compromise (OC) program. Ang programang ito ay nagbibiga"&amp;"y-daan sa iyo na magbayad ng mas mababang halaga upang mabayaran ang pananagutan sa buwis. Maaaring payuhan ka ng isang propesyonal sa buwis sa pagiging posible ng opsyong ito.
* **Makipagtulungan sa BIR:** Ang pakikipagtulungan sa BIR sa buong proseso ay"&amp;" maaaring magpakita ng iyong pagpayag na lutasin ang isyu. Gayunpaman, magagabayan ka ng iyong tagapayo sa buwis kung anong impormasyon ang ibubunyag at kung paano protektahan ang iyong mga karapatan.
Tandaan, ito ay isang pangkalahatang gabay lamang. Par"&amp;"a sa partikular na payo sa legal at buwis na naaayon sa iyong sitwasyon, ang pagkonsulta sa isang kwalipikadong abogado sa buwis sa Pilipinas ay lubos na inirerekomenda.")</f>
        <v>Ang **Bureau of Internal Revenue (BIR)** ang humahawak sa pangongolekta ng buwis sa Pilipinas, hindi sa IRS. Narito ang dapat mong gawin kung makatanggap ka ng notice mula sa BIR tungkol sa potensyal na pag-iwas sa buwis:
**1. Huwag Magpanic:** Ang pagtanggap ng paunawa ay maaaring maging stress, ngunit manatiling kalmado at iwasang balewalain ito. Ang pagwawalang-bahala sa paunawa ay maaaring humantong sa karagdagang mga parusa at komplikasyon.
**2. Unawain ang Paunawa:** Maingat na basahin ang paunawa mula sa BIR. Dapat nitong ipaliwanag ang dahilan ng pakikipag-ugnayan, ang mga pinaghihinalaang pagkakaiba, at ang halaga ng pananagutan sa buwis na pinag-uusapan (kung mayroon man).
**3. Magtipon ng Mga Dokumento:** Magsimulang mangolekta ng mga nauugnay na dokumento gaya ng mga tax return, resibo, invoice, at anumang iba pang dokumentasyon na sumusuporta sa iyong mga paghahain ng buwis.
**4. Humingi ng Propesyonal na Tulong:** Maaaring kumplikado ang mga batas sa buwis. Isaalang-alang ang pagkonsulta sa isang abogado sa buwis o isang propesyonal sa buwis na dalubhasa sa batas sa buwis sa Pilipinas. Maaari nilang suriin ang paunawa, pag-aralan ang iyong sitwasyon, at payuhan ka sa pinakamahusay na paraan ng pagkilos.
**5. Tumugon sa BIR:** Malamang na kasama sa paunawa ang mga tagubilin kung paano tumugon sa BIR. Maaaring kabilang dito ang pagsusumite ng mga karagdagang dokumento, pagdalo sa isang kumperensya, o paghiling ng pagdinig. Maingat na sundin ang mga tagubilin at matugunan ang anumang mga deadline.
Narito ang ilang karagdagang bagay na dapat tandaan:
* **Be Honest and Transparent:** Sa anumang pakikipag-ugnayan sa BIR, maging tapat at tapat sa iyong sitwasyong pinansyal. Ang pagbibigay ng maling impormasyon ay maaaring magpalala sa sitwasyon at humantong sa mga kasong kriminal.
* **Isaalang-alang ang Isang Alok ng Kompromiso:** Kung may utang kang karagdagang buwis, maaaring mag-alok ang BIR ng kasunduan sa pamamagitan ng kanilang Offer of Compromise (OC) program. Ang programang ito ay nagbibigay-daan sa iyo na magbayad ng mas mababang halaga upang mabayaran ang pananagutan sa buwis. Maaaring payuhan ka ng isang propesyonal sa buwis sa pagiging posible ng opsyong ito.
* **Makipagtulungan sa BIR:** Ang pakikipagtulungan sa BIR sa buong proseso ay maaaring magpakita ng iyong pagpayag na lutasin ang isyu. Gayunpaman, magagabayan ka ng iyong tagapayo sa buwis kung anong impormasyon ang ibubunyag at kung paano protektahan ang iyong mga karapatan.
Tandaan, ito ay isang pangkalahatang gabay lamang. Para sa partikular na payo sa legal at buwis na naaayon sa iyong sitwasyon, ang pagkonsulta sa isang kwalipikadong abogado sa buwis sa Pilipinas ay lubos na inirerekomenda.</v>
      </c>
      <c r="F927" s="2">
        <f t="shared" si="1"/>
        <v>0</v>
      </c>
      <c r="G927" s="2"/>
      <c r="H927" s="2"/>
      <c r="I927" s="2"/>
      <c r="J927" s="2"/>
      <c r="K927" s="2"/>
      <c r="L927" s="2"/>
      <c r="M927" s="2"/>
      <c r="N927" s="2"/>
      <c r="O927" s="2"/>
      <c r="P927" s="2"/>
      <c r="Q927" s="2"/>
      <c r="R927" s="2"/>
      <c r="S927" s="2"/>
      <c r="T927" s="2"/>
      <c r="U927" s="2"/>
      <c r="V927" s="2"/>
      <c r="W927" s="2"/>
      <c r="X927" s="2"/>
      <c r="Y927" s="2"/>
      <c r="Z927" s="2"/>
      <c r="AA927" s="2"/>
    </row>
    <row r="928">
      <c r="A928" s="3" t="s">
        <v>2763</v>
      </c>
      <c r="B928" s="1" t="s">
        <v>2997</v>
      </c>
      <c r="C928" s="1" t="s">
        <v>2998</v>
      </c>
      <c r="D928" s="1" t="s">
        <v>2999</v>
      </c>
      <c r="E928" s="2" t="str">
        <f>IFERROR(__xludf.DUMMYFUNCTION("GOOGLETRANSLATE(C928, ""en"", ""TL"")"),"Maaaring magkaiba ang mga diskarte sa pag-iwas sa buwis sa pagitan ng mga indibidwal at negosyo/korporasyon sa Pilipinas dahil sa likas na katangian ng kanilang mga pinagmumulan ng kita at mga kasanayan sa pag-iingat ng rekord. Narito ang isang breakdown "&amp;"ng ilang pangunahing pagkakaiba:
**Indibidwal na Pag-iwas sa Buwis:**
* **Mga Karaniwang Paraan:** * Underreporting na kita: Maaaring itago ng mga indibidwal ang kita mula sa freelance na trabaho, side business, o rental property.
* Pagpapalaki ng mga pag"&amp;"babawas: Pag-aangkin ng mga personal na gastusin bilang mga pagbabawas sa negosyo o labis na pagtatantya ng mga lehitimong bawas.
* Pagkabigong maghain ng mga tax return: Ganap na pagpapabaya na maghain ng mga tax return nang buo.
* **Mga Hamon para sa BI"&amp;"R:** * Nahihirapang subaybayan ang mga indibidwal na pinagmumulan ng kita, lalo na ang mga negosyong nakabatay sa pera.
* Pag-asa sa sariling iniulat na kita sa pamamagitan ng mga tax return.
**Pag-iwas sa Buwis sa Negosyo/Corporation:**
* **Mga Karaniwan"&amp;"g Paraan:**
* Paglikha ng mga kumpanya ng shell: Pagse-set up ng mga pekeng kumpanya upang i-funnel ang kita at itago ang pagmamay-ari.
* Maling accounting: Pagmamanipula ng mga rekord sa pananalapi upang maliitin ang mga kita at kita na nabubuwisang.
* T"&amp;"ransfer pricing: Artipisyal na pagpapalaki ng halaga ng mga kalakal na ibinebenta sa mga transaksyon sa pagitan ng mga kaugnay na kumpanya upang ilipat ang mga kita sa mga hurisdiksyon na mababa ang buwis.
* Panunuhol at katiwalian: Nag-aalok ng mga suhol"&amp;" sa mga opisyal ng buwis upang hindi mapansin ang mga pagkakaiba.
* **Mga Hamon para sa BIR:** * Ang mga kumplikadong istruktura ng korporasyon ay maaaring magpahirap sa pagsubaybay sa daloy ng mga pondo.
* Maaaring samantalahin ng mga multinasyunal na ko"&amp;"rporasyon ang mga butas sa pamamagitan ng paglilipat ng kita sa mga bansang may mas mababang rate ng buwis.
**Mga Karagdagang Pagsasaalang-alang:**
* **Mga Parusa:** Ang mga parusa para sa pag-iwas sa buwis ay maaaring maging malubha para sa parehong mga "&amp;"indibidwal at negosyo, kabilang ang mga multa, pagkakulong, at kahirapan sa pagkuha ng mga lisensya o permit.
* **Mga Paraan ng Pagtukoy:** Gumagamit ang BIR ng iba't ibang paraan upang matukoy ang pag-iwas sa buwis, kabilang ang data analytics, pag-audit"&amp;", at pag-follow up sa mga lead at whistleblower na ulat.
**Mahalagang tandaan:**
* Ito ay isang pangkalahatang pangkalahatang-ideya, at ang mga paraan ng pag-iwas sa buwis ay maaaring maging mas sopistikado.
* Ang mga indibidwal at negosyo/korporasyon ay "&amp;"dapat sumunod sa mga batas sa buwis ng Pilipinas upang maiwasan ang mga legal na epekto at mga parusa.
Kung pinaghihinalaan mo ang pag-iwas sa buwis, maaari mo itong iulat nang hindi nagpapakilala sa BIR sa pamamagitan ng kanilang programang Run After Tax"&amp;" Evaders (RATE). Napakahalagang kumonsulta sa isang kwalipikadong propesyonal sa buwis para sa partikular na payo sa paghahain ng buwis at upang matiyak na sumusunod ka sa mga regulasyon sa buwis ng Pilipinas.")</f>
        <v>Maaaring magkaiba ang mga diskarte sa pag-iwas sa buwis sa pagitan ng mga indibidwal at negosyo/korporasyon sa Pilipinas dahil sa likas na katangian ng kanilang mga pinagmumulan ng kita at mga kasanayan sa pag-iingat ng rekord. Narito ang isang breakdown ng ilang pangunahing pagkakaiba:
**Indibidwal na Pag-iwas sa Buwis:**
* **Mga Karaniwang Paraan:** * Underreporting na kita: Maaaring itago ng mga indibidwal ang kita mula sa freelance na trabaho, side business, o rental property.
* Pagpapalaki ng mga pagbabawas: Pag-aangkin ng mga personal na gastusin bilang mga pagbabawas sa negosyo o labis na pagtatantya ng mga lehitimong bawas.
* Pagkabigong maghain ng mga tax return: Ganap na pagpapabaya na maghain ng mga tax return nang buo.
* **Mga Hamon para sa BIR:** * Nahihirapang subaybayan ang mga indibidwal na pinagmumulan ng kita, lalo na ang mga negosyong nakabatay sa pera.
* Pag-asa sa sariling iniulat na kita sa pamamagitan ng mga tax return.
**Pag-iwas sa Buwis sa Negosyo/Corporation:**
* **Mga Karaniwang Paraan:**
* Paglikha ng mga kumpanya ng shell: Pagse-set up ng mga pekeng kumpanya upang i-funnel ang kita at itago ang pagmamay-ari.
* Maling accounting: Pagmamanipula ng mga rekord sa pananalapi upang maliitin ang mga kita at kita na nabubuwisang.
* Transfer pricing: Artipisyal na pagpapalaki ng halaga ng mga kalakal na ibinebenta sa mga transaksyon sa pagitan ng mga kaugnay na kumpanya upang ilipat ang mga kita sa mga hurisdiksyon na mababa ang buwis.
* Panunuhol at katiwalian: Nag-aalok ng mga suhol sa mga opisyal ng buwis upang hindi mapansin ang mga pagkakaiba.
* **Mga Hamon para sa BIR:** * Ang mga kumplikadong istruktura ng korporasyon ay maaaring magpahirap sa pagsubaybay sa daloy ng mga pondo.
* Maaaring samantalahin ng mga multinasyunal na korporasyon ang mga butas sa pamamagitan ng paglilipat ng kita sa mga bansang may mas mababang rate ng buwis.
**Mga Karagdagang Pagsasaalang-alang:**
* **Mga Parusa:** Ang mga parusa para sa pag-iwas sa buwis ay maaaring maging malubha para sa parehong mga indibidwal at negosyo, kabilang ang mga multa, pagkakulong, at kahirapan sa pagkuha ng mga lisensya o permit.
* **Mga Paraan ng Pagtukoy:** Gumagamit ang BIR ng iba't ibang paraan upang matukoy ang pag-iwas sa buwis, kabilang ang data analytics, pag-audit, at pag-follow up sa mga lead at whistleblower na ulat.
**Mahalagang tandaan:**
* Ito ay isang pangkalahatang pangkalahatang-ideya, at ang mga paraan ng pag-iwas sa buwis ay maaaring maging mas sopistikado.
* Ang mga indibidwal at negosyo/korporasyon ay dapat sumunod sa mga batas sa buwis ng Pilipinas upang maiwasan ang mga legal na epekto at mga parusa.
Kung pinaghihinalaan mo ang pag-iwas sa buwis, maaari mo itong iulat nang hindi nagpapakilala sa BIR sa pamamagitan ng kanilang programang Run After Tax Evaders (RATE). Napakahalagang kumonsulta sa isang kwalipikadong propesyonal sa buwis para sa partikular na payo sa paghahain ng buwis at upang matiyak na sumusunod ka sa mga regulasyon sa buwis ng Pilipinas.</v>
      </c>
      <c r="F928" s="2">
        <f t="shared" si="1"/>
        <v>0</v>
      </c>
      <c r="G928" s="2"/>
      <c r="H928" s="2"/>
      <c r="I928" s="2"/>
      <c r="J928" s="2"/>
      <c r="K928" s="2"/>
      <c r="L928" s="2"/>
      <c r="M928" s="2"/>
      <c r="N928" s="2"/>
      <c r="O928" s="2"/>
      <c r="P928" s="2"/>
      <c r="Q928" s="2"/>
      <c r="R928" s="2"/>
      <c r="S928" s="2"/>
      <c r="T928" s="2"/>
      <c r="U928" s="2"/>
      <c r="V928" s="2"/>
      <c r="W928" s="2"/>
      <c r="X928" s="2"/>
      <c r="Y928" s="2"/>
      <c r="Z928" s="2"/>
      <c r="AA928" s="2"/>
    </row>
    <row r="929">
      <c r="A929" s="3" t="s">
        <v>2763</v>
      </c>
      <c r="B929" s="1" t="s">
        <v>3000</v>
      </c>
      <c r="C929" s="1" t="s">
        <v>3001</v>
      </c>
      <c r="D929" s="1" t="s">
        <v>3002</v>
      </c>
      <c r="E929" s="2" t="str">
        <f>IFERROR(__xludf.DUMMYFUNCTION("GOOGLETRANSLATE(C929, ""en"", ""TL"")"),"Ang epekto ng mga singil sa pag-iwas sa buwis sa iyong kakayahang magtrabaho sa ilang industriya o sektor sa Pilipinas ay maaaring mag-iba depende sa ilang salik:
* **Kalubhaan ng Mga Singilin:** Ang mga menor de edad na singil sa pag-iwas sa buwis, lalo "&amp;"na kung mabilis na naresolba, ay maaaring magkaroon ng kaunting epekto sa iyong mga pagkakataon sa trabaho. Gayunpaman, ang mga seryosong singil na may malaking halaga ng hindi nabayarang buwis o mga kriminal na paniniwala ay maaaring makahadlang sa iyong"&amp;" mga prospect sa trabaho.
* **Mga Regulasyon sa Industriya:** Ang ilang partikular na industriya sa Pilipinas, gaya ng pananalapi, accounting, o mga sektor ng gobyerno, ay maaaring magkaroon ng mas mahigpit na mga kinakailangan para sa pag-uugali ng emple"&amp;"yado at etikal na pag-uugali. Ang mga singil sa pag-iwas sa buwis ay maaaring makita bilang isang pulang bandila para sa mga industriyang ito, na posibleng humantong sa pagkadiskwalipikasyon sa panahon ng mga aplikasyon sa trabaho o kahit na aksyong pandi"&amp;"siplina para sa mga kasalukuyang empleyado.
* **Pagpapasya ng Employer:** Sa huli, ang mga pribadong kumpanya ay may pagpapasya na kumuha o magtanggal ng mga empleyado batay sa kanilang sariling mga patakaran at pagtatasa ng mga potensyal na panganib. Ang"&amp;" mga singil sa pag-iwas sa buwis, kahit na hindi napatunayan, ay maaaring magdulot ng mga alalahanin tungkol sa pagiging mapagkakatiwalaan o pananagutan sa pananalapi ng isang aplikante, na humahantong sa pagtanggi. * **Mga Kinakailangan sa Pagbubunyag:**"&amp;" Ang ilang mga propesyonal na lisensya o sertipikasyon ay maaaring mangailangan ng pagsisiwalat ng mga kasong kriminal, kabilang ang mga paghatol sa pag-iwas sa buwis. Ito ay maaaring humantong sa pagsususpinde o pagbawi ng lisensya.
Narito ang ilang kara"&amp;"gdagang punto na dapat isaalang-alang:
* **Transparency:** Kung mayroon kang mga singil sa pag-iwas sa buwis laban sa iyo, ang pagharap sa mga potensyal na tagapag-empleyo sa panahon ng proseso ng pakikipanayam ay maaaring magpakita ng iyong pagpayag na t"&amp;"ugunan ang sitwasyon.
* **Oras:** Habang lumilipas ang oras at naresolba ang mga singil (lalo na kung naayos nang walang hatol), maaaring mabawasan ang epekto sa iyong kakayahang magtrabaho.
* **Rehabilitasyon sa Karera:** Depende sa kalubhaan ng kaso, is"&amp;"aalang-alang ang paghahanap ng mga programa sa rehabilitasyon sa karera upang ipakita ang iyong pangako sa mga responsableng kasanayan sa pananalapi. **Mahalagang tandaan:**
* Ang impormasyong ito ay para sa pangkalahatang gabay lamang. Ang mga partikular"&amp;" na kahihinatnan ng mga singil sa pag-iwas sa buwis sa iyong pagtatrabaho ay depende sa mga natatanging kalagayan ng iyong kaso.
* Ang pagkonsulta sa isang legal na propesyonal ay makakapagbigay sa iyo ng mas tiyak na payo batay sa iyong sitwasyon at mga "&amp;"nauugnay na regulasyon sa industriya.
Narito ang ilang mapagkukunan na maaaring makatulong sa iyo:
* Bureau of Internal Revenue (BIR): [https://www.bir.gov.ph/](https://www.bir.gov.ph/) - Maaaring may impormasyon ang website ng BIR sa epekto ng mga paglab"&amp;"ag sa buwis sa mga partikular na propesyon o lisensya. * Professional Regulation Commission (PRC): [https://www.prc.gov.ph/](https://www.prc.gov.ph/) - Ang website ng PRC ay maaaring magbalangkas ng mga kinakailangan sa pagsisiwalat para sa mga partikular"&amp;" na lisensya na may kaugnayan sa buwis singil sa pag-iwas.")</f>
        <v>Ang epekto ng mga singil sa pag-iwas sa buwis sa iyong kakayahang magtrabaho sa ilang industriya o sektor sa Pilipinas ay maaaring mag-iba depende sa ilang salik:
* **Kalubhaan ng Mga Singilin:** Ang mga menor de edad na singil sa pag-iwas sa buwis, lalo na kung mabilis na naresolba, ay maaaring magkaroon ng kaunting epekto sa iyong mga pagkakataon sa trabaho. Gayunpaman, ang mga seryosong singil na may malaking halaga ng hindi nabayarang buwis o mga kriminal na paniniwala ay maaaring makahadlang sa iyong mga prospect sa trabaho.
* **Mga Regulasyon sa Industriya:** Ang ilang partikular na industriya sa Pilipinas, gaya ng pananalapi, accounting, o mga sektor ng gobyerno, ay maaaring magkaroon ng mas mahigpit na mga kinakailangan para sa pag-uugali ng empleyado at etikal na pag-uugali. Ang mga singil sa pag-iwas sa buwis ay maaaring makita bilang isang pulang bandila para sa mga industriyang ito, na posibleng humantong sa pagkadiskwalipikasyon sa panahon ng mga aplikasyon sa trabaho o kahit na aksyong pandisiplina para sa mga kasalukuyang empleyado.
* **Pagpapasya ng Employer:** Sa huli, ang mga pribadong kumpanya ay may pagpapasya na kumuha o magtanggal ng mga empleyado batay sa kanilang sariling mga patakaran at pagtatasa ng mga potensyal na panganib. Ang mga singil sa pag-iwas sa buwis, kahit na hindi napatunayan, ay maaaring magdulot ng mga alalahanin tungkol sa pagiging mapagkakatiwalaan o pananagutan sa pananalapi ng isang aplikante, na humahantong sa pagtanggi. * **Mga Kinakailangan sa Pagbubunyag:** Ang ilang mga propesyonal na lisensya o sertipikasyon ay maaaring mangailangan ng pagsisiwalat ng mga kasong kriminal, kabilang ang mga paghatol sa pag-iwas sa buwis. Ito ay maaaring humantong sa pagsususpinde o pagbawi ng lisensya.
Narito ang ilang karagdagang punto na dapat isaalang-alang:
* **Transparency:** Kung mayroon kang mga singil sa pag-iwas sa buwis laban sa iyo, ang pagharap sa mga potensyal na tagapag-empleyo sa panahon ng proseso ng pakikipanayam ay maaaring magpakita ng iyong pagpayag na tugunan ang sitwasyon.
* **Oras:** Habang lumilipas ang oras at naresolba ang mga singil (lalo na kung naayos nang walang hatol), maaaring mabawasan ang epekto sa iyong kakayahang magtrabaho.
* **Rehabilitasyon sa Karera:** Depende sa kalubhaan ng kaso, isaalang-alang ang paghahanap ng mga programa sa rehabilitasyon sa karera upang ipakita ang iyong pangako sa mga responsableng kasanayan sa pananalapi. **Mahalagang tandaan:**
* Ang impormasyong ito ay para sa pangkalahatang gabay lamang. Ang mga partikular na kahihinatnan ng mga singil sa pag-iwas sa buwis sa iyong pagtatrabaho ay depende sa mga natatanging kalagayan ng iyong kaso.
* Ang pagkonsulta sa isang legal na propesyonal ay makakapagbigay sa iyo ng mas tiyak na payo batay sa iyong sitwasyon at mga nauugnay na regulasyon sa industriya.
Narito ang ilang mapagkukunan na maaaring makatulong sa iyo:
* Bureau of Internal Revenue (BIR): [https://www.bir.gov.ph/](https://www.bir.gov.ph/) - Maaaring may impormasyon ang website ng BIR sa epekto ng mga paglabag sa buwis sa mga partikular na propesyon o lisensya. * Professional Regulation Commission (PRC): [https://www.prc.gov.ph/](https://www.prc.gov.ph/) - Ang website ng PRC ay maaaring magbalangkas ng mga kinakailangan sa pagsisiwalat para sa mga partikular na lisensya na may kaugnayan sa buwis singil sa pag-iwas.</v>
      </c>
      <c r="F929" s="2">
        <f t="shared" si="1"/>
        <v>0</v>
      </c>
      <c r="G929" s="2"/>
      <c r="H929" s="2"/>
      <c r="I929" s="2"/>
      <c r="J929" s="2"/>
      <c r="K929" s="2"/>
      <c r="L929" s="2"/>
      <c r="M929" s="2"/>
      <c r="N929" s="2"/>
      <c r="O929" s="2"/>
      <c r="P929" s="2"/>
      <c r="Q929" s="2"/>
      <c r="R929" s="2"/>
      <c r="S929" s="2"/>
      <c r="T929" s="2"/>
      <c r="U929" s="2"/>
      <c r="V929" s="2"/>
      <c r="W929" s="2"/>
      <c r="X929" s="2"/>
      <c r="Y929" s="2"/>
      <c r="Z929" s="2"/>
      <c r="AA929" s="2"/>
    </row>
    <row r="930">
      <c r="A930" s="3" t="s">
        <v>2763</v>
      </c>
      <c r="B930" s="1" t="s">
        <v>3003</v>
      </c>
      <c r="C930" s="1" t="s">
        <v>3004</v>
      </c>
      <c r="D930" s="1" t="s">
        <v>3005</v>
      </c>
      <c r="E930" s="2" t="str">
        <f>IFERROR(__xludf.DUMMYFUNCTION("GOOGLETRANSLATE(C930, ""en"", ""TL"")"),"Sa panahon ng pagsisiyasat o pag-audit sa pag-iwas sa buwis sa Pilipinas, ang legal na tagapayo ay maaaring gumanap ng mahalagang papel sa pagprotekta sa iyong mga karapatan at pag-navigate sa kumplikadong legal na tanawin. Ganito:
**Pag-unawa sa Sitwasyo"&amp;"n:**
* **Pagsusuri sa Paunawa:** Maingat na susuriin ng iyong abogado ang paunawa na natanggap mo mula sa Bureau of Internal Revenue (BIR) upang maunawaan ang uri ng pagsisiyasat o pag-audit at ang mga sinasabing pagkakaiba.
**Pagprotekta sa Iyong Mga Kar"&amp;"apatan:**
* **Karapatang Manatiling Tahimik:** Maaaring payuhan ka ng iyong abogado tungkol sa iyong karapatan na manatiling tahimik at iwasang gumawa ng anumang mga incriminating statement habang nakikipag-ugnayan sa BIR. * **Karapatang Magkatawan:** May"&amp;" karapatan kang katawanin ng legal na tagapayo sa buong proseso. Ang iyong abogado ay maaaring matiyak na ang iyong mga karapatan ay itinataguyod at mag-navigate sa komunikasyon sa BIR para sa iyo.
**Diskarte at Representasyon:**
* **Pagbuo ng Depensa:** "&amp;"Batay sa mga detalye ng iyong kaso, ang iyong abogado ay maaaring bumuo ng diskarte sa pagtatanggol upang matugunan ang mga alalahanin ng BIR. Maaaring kabilang dito ang pangangalap ng ebidensya upang suportahan ang iyong mga paghahain ng buwis o pakikipa"&amp;"g-ayos sa isang kasunduan.
* **Komunikasyon sa BIR:** Kakayanin ng iyong abogado ang lahat ng komunikasyon sa BIR, tinitiyak na ang iyong mga tugon ay tumpak, kumpleto, at protektahan ang iyong mga legal na interes.
**Pamamahala sa Proseso:**
* **Pagkataw"&amp;"an sa Pag-audit:** Kung ito ay isang pag-audit, ang iyong abogado ay maaaring kumatawan sa iyo sa panahon ng mga pagpupulong sa mga auditor ng BIR, na tinitiyak ang isang patas at masusing pagsusuri ng iyong mga talaan ng buwis. * **Representasyon ng Pags"&amp;"isiyasat:** Para sa mga pagsisiyasat, magagabayan ka ng iyong abogado sa proseso, magpapayo sa pagsusumite ng mga dokumento, at tiyaking protektado ang iyong mga karapatan.
**Mga Karagdagang Pagsasaalang-alang:**
* **Maagang Pamamagitan:** Ang paghingi ng"&amp;" legal na tagapayo nang maaga, kahit na natanggap ang paunang abiso, ay maaaring maging kapaki-pakinabang. Ang maagang interbensyon ay nagpapahintulot sa iyong abogado na bumuo ng isang maagap na diskarte at potensyal na maiwasan ang mas malubhang kahihin"&amp;"atnan.
* **Open Communication:** Panatilihin ang bukas at tapat na komunikasyon sa iyong abogado sa buong proseso. Ito ay nagpapahintulot sa kanila na bumuo ng pinakamahusay na posibleng diskarte sa pagtatanggol batay sa lahat ng mga katotohanan.
* **Pag-"&amp;"unawa sa Mga Gastos:** Ang legal na representasyon ay may kaugnay na mga gastos. Talakayin ang mga bayarin sa iyong abogado nang maaga at tiyaking nauunawaan mo ang saklaw ng kanilang mga serbisyo.
**Tandaan:**
* Ito ay isang pangkalahatang pangkalahatang"&amp;"-ideya. Ang partikular na tungkulin ng iyong abogado ay depende sa mga detalye ng iyong sitwasyon at sa yugto ng pagsisiyasat o pag-audit. * Ang pagkonsulta sa isang kwalipikadong abogado sa buwis sa Pilipinas ay mahalaga upang makatanggap ng iniangkop na"&amp;" payo at matiyak na ang iyong mga legal na karapatan ay protektado sa buong proseso.")</f>
        <v>Sa panahon ng pagsisiyasat o pag-audit sa pag-iwas sa buwis sa Pilipinas, ang legal na tagapayo ay maaaring gumanap ng mahalagang papel sa pagprotekta sa iyong mga karapatan at pag-navigate sa kumplikadong legal na tanawin. Ganito:
**Pag-unawa sa Sitwasyon:**
* **Pagsusuri sa Paunawa:** Maingat na susuriin ng iyong abogado ang paunawa na natanggap mo mula sa Bureau of Internal Revenue (BIR) upang maunawaan ang uri ng pagsisiyasat o pag-audit at ang mga sinasabing pagkakaiba.
**Pagprotekta sa Iyong Mga Karapatan:**
* **Karapatang Manatiling Tahimik:** Maaaring payuhan ka ng iyong abogado tungkol sa iyong karapatan na manatiling tahimik at iwasang gumawa ng anumang mga incriminating statement habang nakikipag-ugnayan sa BIR. * **Karapatang Magkatawan:** May karapatan kang katawanin ng legal na tagapayo sa buong proseso. Ang iyong abogado ay maaaring matiyak na ang iyong mga karapatan ay itinataguyod at mag-navigate sa komunikasyon sa BIR para sa iyo.
**Diskarte at Representasyon:**
* **Pagbuo ng Depensa:** Batay sa mga detalye ng iyong kaso, ang iyong abogado ay maaaring bumuo ng diskarte sa pagtatanggol upang matugunan ang mga alalahanin ng BIR. Maaaring kabilang dito ang pangangalap ng ebidensya upang suportahan ang iyong mga paghahain ng buwis o pakikipag-ayos sa isang kasunduan.
* **Komunikasyon sa BIR:** Kakayanin ng iyong abogado ang lahat ng komunikasyon sa BIR, tinitiyak na ang iyong mga tugon ay tumpak, kumpleto, at protektahan ang iyong mga legal na interes.
**Pamamahala sa Proseso:**
* **Pagkatawan sa Pag-audit:** Kung ito ay isang pag-audit, ang iyong abogado ay maaaring kumatawan sa iyo sa panahon ng mga pagpupulong sa mga auditor ng BIR, na tinitiyak ang isang patas at masusing pagsusuri ng iyong mga talaan ng buwis. * **Representasyon ng Pagsisiyasat:** Para sa mga pagsisiyasat, magagabayan ka ng iyong abogado sa proseso, magpapayo sa pagsusumite ng mga dokumento, at tiyaking protektado ang iyong mga karapatan.
**Mga Karagdagang Pagsasaalang-alang:**
* **Maagang Pamamagitan:** Ang paghingi ng legal na tagapayo nang maaga, kahit na natanggap ang paunang abiso, ay maaaring maging kapaki-pakinabang. Ang maagang interbensyon ay nagpapahintulot sa iyong abogado na bumuo ng isang maagap na diskarte at potensyal na maiwasan ang mas malubhang kahihinatnan.
* **Open Communication:** Panatilihin ang bukas at tapat na komunikasyon sa iyong abogado sa buong proseso. Ito ay nagpapahintulot sa kanila na bumuo ng pinakamahusay na posibleng diskarte sa pagtatanggol batay sa lahat ng mga katotohanan.
* **Pag-unawa sa Mga Gastos:** Ang legal na representasyon ay may kaugnay na mga gastos. Talakayin ang mga bayarin sa iyong abogado nang maaga at tiyaking nauunawaan mo ang saklaw ng kanilang mga serbisyo.
**Tandaan:**
* Ito ay isang pangkalahatang pangkalahatang-ideya. Ang partikular na tungkulin ng iyong abogado ay depende sa mga detalye ng iyong sitwasyon at sa yugto ng pagsisiyasat o pag-audit. * Ang pagkonsulta sa isang kwalipikadong abogado sa buwis sa Pilipinas ay mahalaga upang makatanggap ng iniangkop na payo at matiyak na ang iyong mga legal na karapatan ay protektado sa buong proseso.</v>
      </c>
      <c r="F930" s="2">
        <f t="shared" si="1"/>
        <v>0</v>
      </c>
      <c r="G930" s="2"/>
      <c r="H930" s="2"/>
      <c r="I930" s="2"/>
      <c r="J930" s="2"/>
      <c r="K930" s="2"/>
      <c r="L930" s="2"/>
      <c r="M930" s="2"/>
      <c r="N930" s="2"/>
      <c r="O930" s="2"/>
      <c r="P930" s="2"/>
      <c r="Q930" s="2"/>
      <c r="R930" s="2"/>
      <c r="S930" s="2"/>
      <c r="T930" s="2"/>
      <c r="U930" s="2"/>
      <c r="V930" s="2"/>
      <c r="W930" s="2"/>
      <c r="X930" s="2"/>
      <c r="Y930" s="2"/>
      <c r="Z930" s="2"/>
      <c r="AA930" s="2"/>
    </row>
    <row r="931">
      <c r="A931" s="3" t="s">
        <v>2763</v>
      </c>
      <c r="B931" s="1" t="s">
        <v>3006</v>
      </c>
      <c r="C931" s="1" t="s">
        <v>3007</v>
      </c>
      <c r="D931" s="1" t="s">
        <v>3008</v>
      </c>
      <c r="E931" s="2" t="str">
        <f>IFERROR(__xludf.DUMMYFUNCTION("GOOGLETRANSLATE(C931, ""en"", ""TL"")"),"Sa Pilipinas, ang pag-alis ng mga kriminal na rekord, kabilang ang para sa pag-iwas sa buwis, ay isang kumplikadong proseso na may limitadong mga posibilidad. Narito ang isang breakdown ng kasalukuyang sitwasyon:
* **Mga Probisyon ng Limitadong Expungemen"&amp;"t:** Ang Pilipinas ay kasalukuyang walang pangkalahatang batas na nagpapahintulot sa awtomatikong pagtanggal ng mga rekord ng kriminal pagkatapos magsilbi ng sentensiya o pagkatapos ng isang tiyak na panahon.
* **Mga Pagbubukod: Posible ang pag-alis sa il"&amp;"alim ng mga partikular na pagkakataon, ngunit ang mga ito ay mga pagbubukod sa halip na ang panuntunan.** Narito ang dalawang nauugnay na sitwasyon:
* **First Offense and Non-Violent Crime:** Republic Act No. 11211, na kilala rin bilang ""New Probation La"&amp;"w,"" ay nagbibigay-daan para sa pagtanggal ng criminal record para sa unang paglabag na kinasasangkutan ng isang non-violent crime pagkatapos ng matagumpay na pagkumpleto probasyon. Gayunpaman, ang pag-iwas sa buwis ay maaaring maging isang kumplikadong i"&amp;"syu, at ang pag-uuri nito bilang isang ""marahas na krimen"" ay nakasalalay sa mga partikular na detalye ng kaso.
* **Presidential Pardon:** Ang Pangulo ng Pilipinas ang may hawak ng kapangyarihang magbigay ng mga pardon, na maaaring epektibong burahin an"&amp;"g paghatol sa iyong rekord. Gayunpaman, ang mga pardon ay bihirang ibigay at batay sa pagpapasya ng Pangulo.
**Mga Rekomendasyon:**
* **Kumonsulta sa Abogado:** Dahil sa limitadong saklaw ng expungement sa Pilipinas, ang pagkonsulta sa isang kwalipikadong"&amp;" abogado sa buwis ay napakahalaga. Maaari nilang tasahin ang iyong partikular na sitwasyon at matukoy kung ang iyong kaso ay nasa ilalim ng mga pagbubukod para sa pagtanggal sa ilalim ng Bagong Probation Law.
* **Mga Alternatibong Diskarte:** Kung ang exp"&amp;"ungement ay hindi isang opsyon, galugarin ang mga alternatibong diskarte upang pagaanin ang epekto ng mga singil sa pag-iwas sa buwis sa iyong buhay. Maaaring kabilang dito ang:
* **Pag-aayos ng Kaso:** Ang pag-abot sa isang kasunduan sa BIR (Offer of Com"&amp;"promise program) ay maaaring magpakita ng iyong pagpayag na lutasin ang isyu at maaaring mabawasan ang kalubhaan ng mga singil sa iyong rekord.
* **Career Rehabilitation Programs:** Ang pagsali sa mga programang nagpapakita ng iyong pangako sa mga respons"&amp;"ableng kasanayan sa pananalapi ay maaaring mapabuti ang iyong mga prospect sa ilang partikular na industriya.
**Tandaan:**
Ang legal na tanawin ay maaaring maging kumplikado, at ito ay isang pangkalahatang pangkalahatang-ideya lamang. Para sa partikular n"&amp;"a payo sa iyong sitwasyon at ang posibilidad ng expungement, ang pagkonsulta sa isang kwalipikadong abogado sa buwis sa Pilipinas ay lubos na inirerekomenda.")</f>
        <v>Sa Pilipinas, ang pag-alis ng mga kriminal na rekord, kabilang ang para sa pag-iwas sa buwis, ay isang kumplikadong proseso na may limitadong mga posibilidad. Narito ang isang breakdown ng kasalukuyang sitwasyon:
* **Mga Probisyon ng Limitadong Expungement:** Ang Pilipinas ay kasalukuyang walang pangkalahatang batas na nagpapahintulot sa awtomatikong pagtanggal ng mga rekord ng kriminal pagkatapos magsilbi ng sentensiya o pagkatapos ng isang tiyak na panahon.
* **Mga Pagbubukod: Posible ang pag-alis sa ilalim ng mga partikular na pagkakataon, ngunit ang mga ito ay mga pagbubukod sa halip na ang panuntunan.** Narito ang dalawang nauugnay na sitwasyon:
* **First Offense and Non-Violent Crime:** Republic Act No. 11211, na kilala rin bilang "New Probation Law," ay nagbibigay-daan para sa pagtanggal ng criminal record para sa unang paglabag na kinasasangkutan ng isang non-violent crime pagkatapos ng matagumpay na pagkumpleto probasyon. Gayunpaman, ang pag-iwas sa buwis ay maaaring maging isang kumplikadong isyu, at ang pag-uuri nito bilang isang "marahas na krimen" ay nakasalalay sa mga partikular na detalye ng kaso.
* **Presidential Pardon:** Ang Pangulo ng Pilipinas ang may hawak ng kapangyarihang magbigay ng mga pardon, na maaaring epektibong burahin ang paghatol sa iyong rekord. Gayunpaman, ang mga pardon ay bihirang ibigay at batay sa pagpapasya ng Pangulo.
**Mga Rekomendasyon:**
* **Kumonsulta sa Abogado:** Dahil sa limitadong saklaw ng expungement sa Pilipinas, ang pagkonsulta sa isang kwalipikadong abogado sa buwis ay napakahalaga. Maaari nilang tasahin ang iyong partikular na sitwasyon at matukoy kung ang iyong kaso ay nasa ilalim ng mga pagbubukod para sa pagtanggal sa ilalim ng Bagong Probation Law.
* **Mga Alternatibong Diskarte:** Kung ang expungement ay hindi isang opsyon, galugarin ang mga alternatibong diskarte upang pagaanin ang epekto ng mga singil sa pag-iwas sa buwis sa iyong buhay. Maaaring kabilang dito ang:
* **Pag-aayos ng Kaso:** Ang pag-abot sa isang kasunduan sa BIR (Offer of Compromise program) ay maaaring magpakita ng iyong pagpayag na lutasin ang isyu at maaaring mabawasan ang kalubhaan ng mga singil sa iyong rekord.
* **Career Rehabilitation Programs:** Ang pagsali sa mga programang nagpapakita ng iyong pangako sa mga responsableng kasanayan sa pananalapi ay maaaring mapabuti ang iyong mga prospect sa ilang partikular na industriya.
**Tandaan:**
Ang legal na tanawin ay maaaring maging kumplikado, at ito ay isang pangkalahatang pangkalahatang-ideya lamang. Para sa partikular na payo sa iyong sitwasyon at ang posibilidad ng expungement, ang pagkonsulta sa isang kwalipikadong abogado sa buwis sa Pilipinas ay lubos na inirerekomenda.</v>
      </c>
      <c r="F931" s="2">
        <f t="shared" si="1"/>
        <v>0</v>
      </c>
      <c r="G931" s="2"/>
      <c r="H931" s="2"/>
      <c r="I931" s="2"/>
      <c r="J931" s="2"/>
      <c r="K931" s="2"/>
      <c r="L931" s="2"/>
      <c r="M931" s="2"/>
      <c r="N931" s="2"/>
      <c r="O931" s="2"/>
      <c r="P931" s="2"/>
      <c r="Q931" s="2"/>
      <c r="R931" s="2"/>
      <c r="S931" s="2"/>
      <c r="T931" s="2"/>
      <c r="U931" s="2"/>
      <c r="V931" s="2"/>
      <c r="W931" s="2"/>
      <c r="X931" s="2"/>
      <c r="Y931" s="2"/>
      <c r="Z931" s="2"/>
      <c r="AA931" s="2"/>
    </row>
    <row r="932">
      <c r="A932" s="3" t="s">
        <v>2763</v>
      </c>
      <c r="B932" s="1" t="s">
        <v>3009</v>
      </c>
      <c r="C932" s="1" t="s">
        <v>3010</v>
      </c>
      <c r="D932" s="1" t="s">
        <v>3011</v>
      </c>
      <c r="E932" s="2" t="str">
        <f>IFERROR(__xludf.DUMMYFUNCTION("GOOGLETRANSLATE(C932, ""en"", ""TL"")"),"Ang pag-iwas sa buwis ay isang malubhang pagkakasala sa ilalim ng batas ng Pilipinas at maaaring magkaroon ng mga legal na kahihinatnan. Gayunpaman, ang direktang epekto nito sa pagiging karapat-dapat para sa mga benepisyo o programa ng pamahalaan ay maaa"&amp;"ring depende sa partikular na benepisyo o programang pinag-uusapan. Sa pangkalahatan, ang pag-iwas sa buwis ay isang kriminal na pagkakasala, at kung mapatunayang nagkasala, maaari itong humantong sa mga multa at pagkakulong.
Ang ilang mga benepisyo o "&amp;"programa ng gobyerno ay maaaring may mga pamantayan sa pagiging karapat-dapat na isinasaalang-alang ang legal na katayuan ng isang indibidwal, mga rekord sa pananalapi, o pagsunod sa mga obligasyon sa buwis. Sa mga kaso kung saan ang benepisyo o programa "&amp;"ng gobyerno ay nangangailangan ng malinis na legal na rekord o pagsunod sa mga batas sa buwis, ang pagiging nahatulan ng pag-iwas sa buwis ay maaaring negatibong makaapekto sa pagiging kwalipikado.
Mahalagang tandaan na ang bawat benepisyo o programa n"&amp;"g gobyerno ay maaaring may sariling hanay ng mga kinakailangan sa pagiging karapat-dapat, at ang epekto ng pag-iwas sa buwis sa pagiging karapat-dapat ay magdedepende sa mga partikular na tuntunin at regulasyon na namamahala sa partikular na benepisyo o p"&amp;"rogramang iyon. Kung mayroon kang mga alalahanin tungkol sa isang partikular na benepisyo o programa, ipinapayong kumunsulta sa mga legal na propesyonal o may-katuturang awtoridad ng gobyerno para sa tumpak at napapanahon na impormasyon.")</f>
        <v>Ang pag-iwas sa buwis ay isang malubhang pagkakasala sa ilalim ng batas ng Pilipinas at maaaring magkaroon ng mga legal na kahihinatnan. Gayunpaman, ang direktang epekto nito sa pagiging karapat-dapat para sa mga benepisyo o programa ng pamahalaan ay maaaring depende sa partikular na benepisyo o programang pinag-uusapan. Sa pangkalahatan, ang pag-iwas sa buwis ay isang kriminal na pagkakasala, at kung mapatunayang nagkasala, maaari itong humantong sa mga multa at pagkakulong.
Ang ilang mga benepisyo o programa ng gobyerno ay maaaring may mga pamantayan sa pagiging karapat-dapat na isinasaalang-alang ang legal na katayuan ng isang indibidwal, mga rekord sa pananalapi, o pagsunod sa mga obligasyon sa buwis. Sa mga kaso kung saan ang benepisyo o programa ng gobyerno ay nangangailangan ng malinis na legal na rekord o pagsunod sa mga batas sa buwis, ang pagiging nahatulan ng pag-iwas sa buwis ay maaaring negatibong makaapekto sa pagiging kwalipikado.
Mahalagang tandaan na ang bawat benepisyo o programa ng gobyerno ay maaaring may sariling hanay ng mga kinakailangan sa pagiging karapat-dapat, at ang epekto ng pag-iwas sa buwis sa pagiging karapat-dapat ay magdedepende sa mga partikular na tuntunin at regulasyon na namamahala sa partikular na benepisyo o programang iyon. Kung mayroon kang mga alalahanin tungkol sa isang partikular na benepisyo o programa, ipinapayong kumunsulta sa mga legal na propesyonal o may-katuturang awtoridad ng gobyerno para sa tumpak at napapanahon na impormasyon.</v>
      </c>
      <c r="F932" s="2">
        <f t="shared" si="1"/>
        <v>0</v>
      </c>
      <c r="G932" s="2"/>
      <c r="H932" s="2"/>
      <c r="I932" s="2"/>
      <c r="J932" s="2"/>
      <c r="K932" s="2"/>
      <c r="L932" s="2"/>
      <c r="M932" s="2"/>
      <c r="N932" s="2"/>
      <c r="O932" s="2"/>
      <c r="P932" s="2"/>
      <c r="Q932" s="2"/>
      <c r="R932" s="2"/>
      <c r="S932" s="2"/>
      <c r="T932" s="2"/>
      <c r="U932" s="2"/>
      <c r="V932" s="2"/>
      <c r="W932" s="2"/>
      <c r="X932" s="2"/>
      <c r="Y932" s="2"/>
      <c r="Z932" s="2"/>
      <c r="AA932" s="2"/>
    </row>
    <row r="933">
      <c r="A933" s="3" t="s">
        <v>2763</v>
      </c>
      <c r="B933" s="1" t="s">
        <v>3012</v>
      </c>
      <c r="C933" s="1" t="s">
        <v>3013</v>
      </c>
      <c r="D933" s="1" t="s">
        <v>3014</v>
      </c>
      <c r="E933" s="2" t="str">
        <f>IFERROR(__xludf.DUMMYFUNCTION("GOOGLETRANSLATE(C933, ""en"", ""TL"")"),"Oo, ang mga paratang sa pag-iwas sa buwis sa Pilipinas ay maaaring humantong sa pag-alis ng asset o pag-agaw. Ang Bureau of Internal Revenue (BIR) ay may awtoridad na magpasimula ng mga legal na aksyon laban sa mga indibidwal o entidad na pinaghihinalaang"&amp;" ng pag-iwas sa buwis. Kung ang isang tao ay napatunayang nagkasala ng pag-iwas sa buwis, ang pamahalaan ay maaaring gumawa ng mga legal na hakbang upang mabawi ang mga hindi nabayarang buwis at mga parusa.
Ang pag-alis o pag-agaw ng asset ay maaaring "&amp;"maging bahagi ng legal na proseso para ipatupad ang pangongolekta ng buwis. Maaaring hangarin ng pamahalaan na kunin ang mga ari-arian, ari-arian, o mga pondo na pagmamay-ari ng indibidwal o entity na sangkot sa pag-iwas sa buwis upang matugunan ang mga p"&amp;"ananagutan sa buwis. Ang proseso ay karaniwang nagsasangkot ng mga legal na paglilitis, at ang pamahalaan ay dapat sumunod sa angkop na proseso upang matiyak ang pagiging patas.
Mahalagang tandaan na ang pag-alis o pag-agaw ng asset ay isang seryosong "&amp;"resulta ng pag-iwas sa buwis at binibigyang-diin ang kahalagahan ng pagsunod sa mga batas sa buwis sa Pilipinas. Ang mga indibidwal o entity na nahaharap sa mga paratang sa pag-iwas sa buwis ay dapat humingi ng legal na payo at tulong upang i-navigate ang"&amp;" legal na proseso at protektahan ang kanilang mga karapatan.")</f>
        <v>Oo, ang mga paratang sa pag-iwas sa buwis sa Pilipinas ay maaaring humantong sa pag-alis ng asset o pag-agaw. Ang Bureau of Internal Revenue (BIR) ay may awtoridad na magpasimula ng mga legal na aksyon laban sa mga indibidwal o entidad na pinaghihinalaang ng pag-iwas sa buwis. Kung ang isang tao ay napatunayang nagkasala ng pag-iwas sa buwis, ang pamahalaan ay maaaring gumawa ng mga legal na hakbang upang mabawi ang mga hindi nabayarang buwis at mga parusa.
Ang pag-alis o pag-agaw ng asset ay maaaring maging bahagi ng legal na proseso para ipatupad ang pangongolekta ng buwis. Maaaring hangarin ng pamahalaan na kunin ang mga ari-arian, ari-arian, o mga pondo na pagmamay-ari ng indibidwal o entity na sangkot sa pag-iwas sa buwis upang matugunan ang mga pananagutan sa buwis. Ang proseso ay karaniwang nagsasangkot ng mga legal na paglilitis, at ang pamahalaan ay dapat sumunod sa angkop na proseso upang matiyak ang pagiging patas.
Mahalagang tandaan na ang pag-alis o pag-agaw ng asset ay isang seryosong resulta ng pag-iwas sa buwis at binibigyang-diin ang kahalagahan ng pagsunod sa mga batas sa buwis sa Pilipinas. Ang mga indibidwal o entity na nahaharap sa mga paratang sa pag-iwas sa buwis ay dapat humingi ng legal na payo at tulong upang i-navigate ang legal na proseso at protektahan ang kanilang mga karapatan.</v>
      </c>
      <c r="F933" s="2">
        <f t="shared" si="1"/>
        <v>0</v>
      </c>
      <c r="G933" s="2"/>
      <c r="H933" s="2"/>
      <c r="I933" s="2"/>
      <c r="J933" s="2"/>
      <c r="K933" s="2"/>
      <c r="L933" s="2"/>
      <c r="M933" s="2"/>
      <c r="N933" s="2"/>
      <c r="O933" s="2"/>
      <c r="P933" s="2"/>
      <c r="Q933" s="2"/>
      <c r="R933" s="2"/>
      <c r="S933" s="2"/>
      <c r="T933" s="2"/>
      <c r="U933" s="2"/>
      <c r="V933" s="2"/>
      <c r="W933" s="2"/>
      <c r="X933" s="2"/>
      <c r="Y933" s="2"/>
      <c r="Z933" s="2"/>
      <c r="AA933" s="2"/>
    </row>
    <row r="934">
      <c r="A934" s="3" t="s">
        <v>2763</v>
      </c>
      <c r="B934" s="1" t="s">
        <v>3015</v>
      </c>
      <c r="C934" s="1" t="s">
        <v>3016</v>
      </c>
      <c r="D934" s="1" t="s">
        <v>3017</v>
      </c>
      <c r="E934" s="2" t="str">
        <f>IFERROR(__xludf.DUMMYFUNCTION("GOOGLETRANSLATE(C934, ""en"", ""TL"")"),"Ang pagtiyak sa katumpakan ng iyong mga paghahain ng buwis ay mahalaga upang maiwasan ang mga potensyal na akusasyon ng pag-iwas sa buwis. Narito ang ilang hakbang na maaari mong gawin upang makatulong na matiyak ang tumpak na paghahain ng buwis:
1. **Pan"&amp;"atilihin ang Mga Detalyadong Tala:**
Panatilihin ang organisado at detalyadong mga talaan ng lahat ng iyong mga transaksyon sa pananalapi, kita, gastos, at mga pagbabawas. Ang wastong dokumentasyon ay maaaring magsilbi bilang katibayan ng katumpakan ng iy"&amp;"ong mga paghahain ng buwis.
2. **Unawain ang Mga Batas sa Buwis:**
Manatiling may alam tungkol sa pinakabagong mga batas sa buwis, regulasyon, at update sa Pilipinas. Humingi ng propesyonal na payo kung kinakailangan upang maunawaan kung paano naaangkop a"&amp;"ng mga partikular na tuntunin sa iyong sitwasyon.
3. **Mag-hire ng Kwalipikadong Tax Professional:**
Isaalang-alang ang pagkuha ng isang sertipikadong pampublikong accountant (CPA) o isang propesyonal sa buwis upang tulungan ka sa iyong mga paghahain ng b"&amp;"uwis. Maaari silang magbigay ng gabay, tiyakin ang pagsunod, at tumulong na tukuyin ang mga karapat-dapat na pagbabawas at kredito.
4. **Gumamit ng Maaasahang Accounting Software:**
Gumamit ng maaasahang software ng accounting upang subaybayan ang iyong m"&amp;"ga transaksyon sa pananalapi. Makakatulong ito na mabawasan ang mga error at matiyak na tumpak ang iyong mga tala.
5. **Suriin ang Iyong Mga Paghahain Bago Isumite:**
Maglaan ng oras upang masusing suriin ang iyong mga tax return bago isumite ang mga ito."&amp;" Suriin kung may anumang mga pagkakaiba, error, o nawawalang impormasyon.
6. **Ipahayag ang Lahat ng Kita:**
Iulat ang lahat ng pinagmumulan ng kita, kabilang ang mga sahod, kita sa negosyo, mga pamumuhunan, at iba pang mga mapagkukunan. Ang pagkabigong i"&amp;"deklara nang tumpak ang kita ay maaaring humantong sa mga akusasyon ng pag-iwas sa buwis.
7. **Ibunyag ang Mga Asset at Pananagutan:**
Kung kinakailangan, ibunyag nang tumpak ang mga asset at pananagutan. Ang pagtatago o pagbibigay ng maling impormasyon t"&amp;"ungkol sa iyong sitwasyon sa pananalapi ay maaaring ituring na isang mapanlinlang na gawa.
8. **Tumugon Agad sa Mga Pagtatanong ng BIR:**
Kung nakatanggap ka ng mga katanungan o pag-audit mula sa Bureau of Internal Revenue (BIR), tumugon kaagad at ibigay "&amp;"ang kinakailangang dokumentasyon. Ang pakikipagtulungan sa mga awtoridad sa buwis ay maaaring magpakita ng iyong pangako sa pagsunod.
9. **Humingi ng Propesyonal na Tulong sa Panahon ng Pag-audit:**
Kung nahaharap ka sa isang pag-audit sa buwis, isaalang-"&amp;"alang ang paghingi ng propesyonal na tulong upang gabayan ka sa proseso at matiyak na ang iyong mga karapatan ay protektado.
10. **Regular na I-update ang Iyong Impormasyon:**
Panatilihing napapanahon ang iyong personal at pinansyal na impormasyon sa BIR "&amp;"para makatanggap ng anumang mahahalagang komunikasyon at matiyak ang pagsunod sa mga regulasyon sa buwis.
Tandaan na maaaring magbago ang mga batas at regulasyon sa buwis, kaya ang pananatiling may kaalaman at paghingi ng propesyonal na payo ay maaaring m"&amp;"ag-ambag sa tumpak at sumusunod na paghahain ng buwis.")</f>
        <v>Ang pagtiyak sa katumpakan ng iyong mga paghahain ng buwis ay mahalaga upang maiwasan ang mga potensyal na akusasyon ng pag-iwas sa buwis. Narito ang ilang hakbang na maaari mong gawin upang makatulong na matiyak ang tumpak na paghahain ng buwis:
1. **Panatilihin ang Mga Detalyadong Tala:**
Panatilihin ang organisado at detalyadong mga talaan ng lahat ng iyong mga transaksyon sa pananalapi, kita, gastos, at mga pagbabawas. Ang wastong dokumentasyon ay maaaring magsilbi bilang katibayan ng katumpakan ng iyong mga paghahain ng buwis.
2. **Unawain ang Mga Batas sa Buwis:**
Manatiling may alam tungkol sa pinakabagong mga batas sa buwis, regulasyon, at update sa Pilipinas. Humingi ng propesyonal na payo kung kinakailangan upang maunawaan kung paano naaangkop ang mga partikular na tuntunin sa iyong sitwasyon.
3. **Mag-hire ng Kwalipikadong Tax Professional:**
Isaalang-alang ang pagkuha ng isang sertipikadong pampublikong accountant (CPA) o isang propesyonal sa buwis upang tulungan ka sa iyong mga paghahain ng buwis. Maaari silang magbigay ng gabay, tiyakin ang pagsunod, at tumulong na tukuyin ang mga karapat-dapat na pagbabawas at kredito.
4. **Gumamit ng Maaasahang Accounting Software:**
Gumamit ng maaasahang software ng accounting upang subaybayan ang iyong mga transaksyon sa pananalapi. Makakatulong ito na mabawasan ang mga error at matiyak na tumpak ang iyong mga tala.
5. **Suriin ang Iyong Mga Paghahain Bago Isumite:**
Maglaan ng oras upang masusing suriin ang iyong mga tax return bago isumite ang mga ito. Suriin kung may anumang mga pagkakaiba, error, o nawawalang impormasyon.
6. **Ipahayag ang Lahat ng Kita:**
Iulat ang lahat ng pinagmumulan ng kita, kabilang ang mga sahod, kita sa negosyo, mga pamumuhunan, at iba pang mga mapagkukunan. Ang pagkabigong ideklara nang tumpak ang kita ay maaaring humantong sa mga akusasyon ng pag-iwas sa buwis.
7. **Ibunyag ang Mga Asset at Pananagutan:**
Kung kinakailangan, ibunyag nang tumpak ang mga asset at pananagutan. Ang pagtatago o pagbibigay ng maling impormasyon tungkol sa iyong sitwasyon sa pananalapi ay maaaring ituring na isang mapanlinlang na gawa.
8. **Tumugon Agad sa Mga Pagtatanong ng BIR:**
Kung nakatanggap ka ng mga katanungan o pag-audit mula sa Bureau of Internal Revenue (BIR), tumugon kaagad at ibigay ang kinakailangang dokumentasyon. Ang pakikipagtulungan sa mga awtoridad sa buwis ay maaaring magpakita ng iyong pangako sa pagsunod.
9. **Humingi ng Propesyonal na Tulong sa Panahon ng Pag-audit:**
Kung nahaharap ka sa isang pag-audit sa buwis, isaalang-alang ang paghingi ng propesyonal na tulong upang gabayan ka sa proseso at matiyak na ang iyong mga karapatan ay protektado.
10. **Regular na I-update ang Iyong Impormasyon:**
Panatilihing napapanahon ang iyong personal at pinansyal na impormasyon sa BIR para makatanggap ng anumang mahahalagang komunikasyon at matiyak ang pagsunod sa mga regulasyon sa buwis.
Tandaan na maaaring magbago ang mga batas at regulasyon sa buwis, kaya ang pananatiling may kaalaman at paghingi ng propesyonal na payo ay maaaring mag-ambag sa tumpak at sumusunod na paghahain ng buwis.</v>
      </c>
      <c r="F934" s="2">
        <f t="shared" si="1"/>
        <v>0</v>
      </c>
      <c r="G934" s="2"/>
      <c r="H934" s="2"/>
      <c r="I934" s="2"/>
      <c r="J934" s="2"/>
      <c r="K934" s="2"/>
      <c r="L934" s="2"/>
      <c r="M934" s="2"/>
      <c r="N934" s="2"/>
      <c r="O934" s="2"/>
      <c r="P934" s="2"/>
      <c r="Q934" s="2"/>
      <c r="R934" s="2"/>
      <c r="S934" s="2"/>
      <c r="T934" s="2"/>
      <c r="U934" s="2"/>
      <c r="V934" s="2"/>
      <c r="W934" s="2"/>
      <c r="X934" s="2"/>
      <c r="Y934" s="2"/>
      <c r="Z934" s="2"/>
      <c r="AA934" s="2"/>
    </row>
    <row r="935">
      <c r="A935" s="3" t="s">
        <v>2763</v>
      </c>
      <c r="B935" s="1" t="s">
        <v>3018</v>
      </c>
      <c r="C935" s="1" t="s">
        <v>3019</v>
      </c>
      <c r="D935" s="1" t="s">
        <v>3020</v>
      </c>
      <c r="E935" s="2" t="str">
        <f>IFERROR(__xludf.DUMMYFUNCTION("GOOGLETRANSLATE(C935, ""en"", ""TL"")"),"Ang Pilipinas ay tumatakbo sa ilalim ng isang unitary system ng pamahalaan, kaya walang konsepto ng hiwalay na estado at pederal na paghahain ng buwis. Ang mga hindi pagkakapare-pareho sa paghahain ng buwis ay nasa pagitan ng pagbabalik ng nagbabayad ng b"&amp;"uwis at ng mga talaan ng Bureau of Internal Revenue (BIR).
Narito kung paano tinatalakay ng batas ng Pilipinas ang mga hindi pagkakatugma sa paghahain ng buwis:
* **Tax Code (RA 8424):** Ang batas na ito, partikular ang Title II sa Income Taxation, ay nag"&amp;"babalangkas ng mga kinakailangan sa paghahain ng buwis at mga parusa para sa hindi pagsunod. Tinatalakay ng mga seksyon tulad ng 253 at 255 ang mga kahihinatnan ng mapanlinlang na pagbabalik ng buwis, na maaaring kabilang ang pagkakulong at mga multa.
* *"&amp;"*BIR Rules and Regulations:** Ang BIR ay naglalabas ng mga regulasyon para ipatupad ang Tax Code. Tinukoy ng mga regulasyong ito kung ano ang bumubuo ng isang pagkakaiba at ang kaukulang kurso ng aksyon.
**Kaya, oo, ang mga hindi pagkakapare-pareho sa pag"&amp;"itan ng pagbabalik ng isang nagbabayad ng buwis at mga talaan ng BIR ay maaaring mag-trigger ng mga paratang sa pag-iwas sa buwis.** Maaaring imbestigahan ng BIR ang mga pagkakaiba at ituloy ang mga parusa kung makakita sila ng katibayan ng sadyang pag-uu"&amp;"lat ng kita o labis na pahayag ng mga pagbabawas.
Para sa mas komprehensibong pag-unawa, ipinapayong kumunsulta sa isang abogado sa buwis o direktang sumangguni sa website ng BIR o magtanong sa kanilang tanggapan.")</f>
        <v>Ang Pilipinas ay tumatakbo sa ilalim ng isang unitary system ng pamahalaan, kaya walang konsepto ng hiwalay na estado at pederal na paghahain ng buwis. Ang mga hindi pagkakapare-pareho sa paghahain ng buwis ay nasa pagitan ng pagbabalik ng nagbabayad ng buwis at ng mga talaan ng Bureau of Internal Revenue (BIR).
Narito kung paano tinatalakay ng batas ng Pilipinas ang mga hindi pagkakatugma sa paghahain ng buwis:
* **Tax Code (RA 8424):** Ang batas na ito, partikular ang Title II sa Income Taxation, ay nagbabalangkas ng mga kinakailangan sa paghahain ng buwis at mga parusa para sa hindi pagsunod. Tinatalakay ng mga seksyon tulad ng 253 at 255 ang mga kahihinatnan ng mapanlinlang na pagbabalik ng buwis, na maaaring kabilang ang pagkakulong at mga multa.
* **BIR Rules and Regulations:** Ang BIR ay naglalabas ng mga regulasyon para ipatupad ang Tax Code. Tinukoy ng mga regulasyong ito kung ano ang bumubuo ng isang pagkakaiba at ang kaukulang kurso ng aksyon.
**Kaya, oo, ang mga hindi pagkakapare-pareho sa pagitan ng pagbabalik ng isang nagbabayad ng buwis at mga talaan ng BIR ay maaaring mag-trigger ng mga paratang sa pag-iwas sa buwis.** Maaaring imbestigahan ng BIR ang mga pagkakaiba at ituloy ang mga parusa kung makakita sila ng katibayan ng sadyang pag-uulat ng kita o labis na pahayag ng mga pagbabawas.
Para sa mas komprehensibong pag-unawa, ipinapayong kumunsulta sa isang abogado sa buwis o direktang sumangguni sa website ng BIR o magtanong sa kanilang tanggapan.</v>
      </c>
      <c r="F935" s="2">
        <f t="shared" si="1"/>
        <v>0</v>
      </c>
      <c r="G935" s="2"/>
      <c r="H935" s="2"/>
      <c r="I935" s="2"/>
      <c r="J935" s="2"/>
      <c r="K935" s="2"/>
      <c r="L935" s="2"/>
      <c r="M935" s="2"/>
      <c r="N935" s="2"/>
      <c r="O935" s="2"/>
      <c r="P935" s="2"/>
      <c r="Q935" s="2"/>
      <c r="R935" s="2"/>
      <c r="S935" s="2"/>
      <c r="T935" s="2"/>
      <c r="U935" s="2"/>
      <c r="V935" s="2"/>
      <c r="W935" s="2"/>
      <c r="X935" s="2"/>
      <c r="Y935" s="2"/>
      <c r="Z935" s="2"/>
      <c r="AA935" s="2"/>
    </row>
    <row r="936">
      <c r="A936" s="3" t="s">
        <v>2763</v>
      </c>
      <c r="B936" s="1" t="s">
        <v>3021</v>
      </c>
      <c r="C936" s="1" t="s">
        <v>3022</v>
      </c>
      <c r="D936" s="1" t="s">
        <v>3023</v>
      </c>
      <c r="E936" s="2" t="str">
        <f>IFERROR(__xludf.DUMMYFUNCTION("GOOGLETRANSLATE(C936, ""en"", ""TL"")"),"Ang Pilipinas ay tumatakbo sa ilalim ng unitary system ng gobyerno, kaya walang IRS. Ang pagbubuwis ay pinangangasiwaan ng Bureau of Internal Revenue (BIR). Narito kung paano pinoprotektahan ng batas ng Pilipinas ang mga nagbabayad ng buwis sa panahon ng "&amp;"pag-audit ng BIR na may kaugnayan sa potensyal na pag-iwas sa buwis:
**Konstitusyon ng Pilipinas (1987):**
* **Seksyon 1, Artikulo III (Right to Self-Incrimination):** May karapatan kang manatiling tahimik at hindi mapilitan na sagutin ang mga tanong na m"&amp;"aaaring magdulot sa iyo ng kasalanan.
* **Seksyon 2, Artikulo III (Karapatang Magpayo):** May karapatan kang tulungan ng legal na tagapayo na iyong pinili sa lahat ng yugto ng paglilitis.
**Tax Code (RA 8424):**
* **Seksyon 221:** Ang seksyong ito ay nagb"&amp;"ibigay sa mga nagbabayad ng buwis ng karapatang maabisuhan sa pamamagitan ng pagsulat ng pagtatasa at upang labanan ito sa loob ng isang partikular na panahon.
* **Seksyon 222:** Binabalangkas ng seksyong ito ang pamamaraan para sa pagprotesta sa isang pa"&amp;"gtatasa. Maaari kang maghain ng nakasulat na protesta sa BIR at humiling ng muling pagsisiyasat.
**Mga Panuntunan at Regulasyon ng BIR:**
Ang BIR ay naglalabas ng mga regulasyon na nagdedetalye ng mga karapatan ng mga nagbabayad ng buwis sa panahon ng pag"&amp;"-audit. Kabilang dito ang karapatang:
* I-access ang mga talaan ng pag-audit.
* Magpakita ng ebidensya upang pabulaanan ang mga natuklasan ng BIR.
* Samahan ng isang abogado o kinatawan ng buwis sa panahon ng pag-audit.
**Narito ang ilang karagdagang punt"&amp;"os na dapat tandaan:**
* **Makipagtulungan sa BIR:** Ibigay ang lahat ng hiniling na dokumento sa loob ng makatwirang takdang panahon. Maging magalang at propesyonal sa pakikipag-ugnayan sa mga tauhan ng BIR.
* **Humingi ng legal na tagapayo:** Maaaring p"&amp;"ayuhan ka ng isang abogado sa buwis tungkol sa iyong mga karapatan at kumatawan sa iyo sa proseso ng pag-audit.
**Mahalagang Mapagkukunan:**
* Bureau of Internal Revenue (BIR): [https://www.bir.gov.ph/](https://www.bir.gov.ph/)
* Konstitusyon ng Pilipinas"&amp;": [https://lawphil.net/consti/cons1987.html](https://lawphil.net/consti/cons1987.html)
* Tax Code (RA 8424): [https://www.bir.gov.ph/index.php/tax-code.html](https://www.bir.gov.ph/index.php/tax- code.html)")</f>
        <v>Ang Pilipinas ay tumatakbo sa ilalim ng unitary system ng gobyerno, kaya walang IRS. Ang pagbubuwis ay pinangangasiwaan ng Bureau of Internal Revenue (BIR). Narito kung paano pinoprotektahan ng batas ng Pilipinas ang mga nagbabayad ng buwis sa panahon ng pag-audit ng BIR na may kaugnayan sa potensyal na pag-iwas sa buwis:
**Konstitusyon ng Pilipinas (1987):**
* **Seksyon 1, Artikulo III (Right to Self-Incrimination):** May karapatan kang manatiling tahimik at hindi mapilitan na sagutin ang mga tanong na maaaring magdulot sa iyo ng kasalanan.
* **Seksyon 2, Artikulo III (Karapatang Magpayo):** May karapatan kang tulungan ng legal na tagapayo na iyong pinili sa lahat ng yugto ng paglilitis.
**Tax Code (RA 8424):**
* **Seksyon 221:** Ang seksyong ito ay nagbibigay sa mga nagbabayad ng buwis ng karapatang maabisuhan sa pamamagitan ng pagsulat ng pagtatasa at upang labanan ito sa loob ng isang partikular na panahon.
* **Seksyon 222:** Binabalangkas ng seksyong ito ang pamamaraan para sa pagprotesta sa isang pagtatasa. Maaari kang maghain ng nakasulat na protesta sa BIR at humiling ng muling pagsisiyasat.
**Mga Panuntunan at Regulasyon ng BIR:**
Ang BIR ay naglalabas ng mga regulasyon na nagdedetalye ng mga karapatan ng mga nagbabayad ng buwis sa panahon ng pag-audit. Kabilang dito ang karapatang:
* I-access ang mga talaan ng pag-audit.
* Magpakita ng ebidensya upang pabulaanan ang mga natuklasan ng BIR.
* Samahan ng isang abogado o kinatawan ng buwis sa panahon ng pag-audit.
**Narito ang ilang karagdagang puntos na dapat tandaan:**
* **Makipagtulungan sa BIR:** Ibigay ang lahat ng hiniling na dokumento sa loob ng makatwirang takdang panahon. Maging magalang at propesyonal sa pakikipag-ugnayan sa mga tauhan ng BIR.
* **Humingi ng legal na tagapayo:** Maaaring payuhan ka ng isang abogado sa buwis tungkol sa iyong mga karapatan at kumatawan sa iyo sa proseso ng pag-audit.
**Mahalagang Mapagkukunan:**
* Bureau of Internal Revenue (BIR): [https://www.bir.gov.ph/](https://www.bir.gov.ph/)
* Konstitusyon ng Pilipinas: [https://lawphil.net/consti/cons1987.html](https://lawphil.net/consti/cons1987.html)
* Tax Code (RA 8424): [https://www.bir.gov.ph/index.php/tax-code.html](https://www.bir.gov.ph/index.php/tax- code.html)</v>
      </c>
      <c r="F936" s="2">
        <f t="shared" si="1"/>
        <v>0</v>
      </c>
      <c r="G936" s="2"/>
      <c r="H936" s="2"/>
      <c r="I936" s="2"/>
      <c r="J936" s="2"/>
      <c r="K936" s="2"/>
      <c r="L936" s="2"/>
      <c r="M936" s="2"/>
      <c r="N936" s="2"/>
      <c r="O936" s="2"/>
      <c r="P936" s="2"/>
      <c r="Q936" s="2"/>
      <c r="R936" s="2"/>
      <c r="S936" s="2"/>
      <c r="T936" s="2"/>
      <c r="U936" s="2"/>
      <c r="V936" s="2"/>
      <c r="W936" s="2"/>
      <c r="X936" s="2"/>
      <c r="Y936" s="2"/>
      <c r="Z936" s="2"/>
      <c r="AA936" s="2"/>
    </row>
    <row r="937">
      <c r="A937" s="3" t="s">
        <v>2763</v>
      </c>
      <c r="B937" s="1" t="s">
        <v>3024</v>
      </c>
      <c r="C937" s="1" t="s">
        <v>3025</v>
      </c>
      <c r="D937" s="1" t="s">
        <v>3026</v>
      </c>
      <c r="E937" s="2" t="str">
        <f>IFERROR(__xludf.DUMMYFUNCTION("GOOGLETRANSLATE(C937, ""en"", ""TL"")"),"Sa Pilipinas, ang mga singil sa tax evasion mismo ay mga kasong kriminal na isinampa ng estado laban sa nagbabayad ng buwis. Ang mga ito ay karaniwang nagreresulta sa mga parusa tulad ng mga multa o pagkakulong. Gayunpaman, ang pag-iwas sa buwis ay maaari"&amp;" ding magkaroon ng mga sibil na epekto sa pamamagitan ng magkahiwalay na mga demanda mula sa mga apektadong partido. Ganito:
* **Di-tuwirang mga Pinsala:** Kung ang pag-iwas sa buwis ng isang kumpanya ay humantong sa mga pagkalugi sa pananalapi para sa is"&amp;"a pang negosyo dahil sa hindi patas na kumpetisyon o iba pang mga kadahilanan, ang apektadong kumpanya ay maaaring magsampa ng sibil na kaso upang mabawi ang mga pinsala. Ito ay malamang na umaasa sa mga probisyon ng Civil Code sa mga obligasyon at pinsal"&amp;"a (Artikulo 1157 pataas).
* **Paglabag sa Kontrata:** Kung ang isang kontrata sa pagitan ng dalawang partido ay may kasamang sugnay na nangangailangan ng tumpak na pag-uulat ng buwis, at ang pag-iwas sa buwis ng isang partido ay nagresulta sa paglabag sa "&amp;"sugnay na iyon, ang kabilang partido ay maaaring magdemanda para sa kabayaran. Ito ay depende sa mga partikular na tuntunin ng kontrata. **Bagama't hindi direktang tutugunan ng kasong sibil ang mismong pag-iwas sa buwis, maaari itong magpataw ng mga karag"&amp;"dagang pasanin sa pananalapi sa nagbabayad ng buwis na napatunayang nagkasala sa kasong kriminal.**
Narito ang ilang mapagkukunan para sa karagdagang paggalugad:
* **Civil Code of the Philippines:** [https://lawphil.net/statutes/repacts/ra1949/ra_386_1949"&amp;".html](https://lawphil.net/statutes/repacts/ra1949/ra_386_1949.html)")</f>
        <v>Sa Pilipinas, ang mga singil sa tax evasion mismo ay mga kasong kriminal na isinampa ng estado laban sa nagbabayad ng buwis. Ang mga ito ay karaniwang nagreresulta sa mga parusa tulad ng mga multa o pagkakulong. Gayunpaman, ang pag-iwas sa buwis ay maaari ding magkaroon ng mga sibil na epekto sa pamamagitan ng magkahiwalay na mga demanda mula sa mga apektadong partido. Ganito:
* **Di-tuwirang mga Pinsala:** Kung ang pag-iwas sa buwis ng isang kumpanya ay humantong sa mga pagkalugi sa pananalapi para sa isa pang negosyo dahil sa hindi patas na kumpetisyon o iba pang mga kadahilanan, ang apektadong kumpanya ay maaaring magsampa ng sibil na kaso upang mabawi ang mga pinsala. Ito ay malamang na umaasa sa mga probisyon ng Civil Code sa mga obligasyon at pinsala (Artikulo 1157 pataas).
* **Paglabag sa Kontrata:** Kung ang isang kontrata sa pagitan ng dalawang partido ay may kasamang sugnay na nangangailangan ng tumpak na pag-uulat ng buwis, at ang pag-iwas sa buwis ng isang partido ay nagresulta sa paglabag sa sugnay na iyon, ang kabilang partido ay maaaring magdemanda para sa kabayaran. Ito ay depende sa mga partikular na tuntunin ng kontrata. **Bagama't hindi direktang tutugunan ng kasong sibil ang mismong pag-iwas sa buwis, maaari itong magpataw ng mga karagdagang pasanin sa pananalapi sa nagbabayad ng buwis na napatunayang nagkasala sa kasong kriminal.**
Narito ang ilang mapagkukunan para sa karagdagang paggalugad:
* **Civil Code of the Philippines:** [https://lawphil.net/statutes/repacts/ra1949/ra_386_1949.html](https://lawphil.net/statutes/repacts/ra1949/ra_386_1949.html)</v>
      </c>
      <c r="F937" s="2">
        <f t="shared" si="1"/>
        <v>0</v>
      </c>
      <c r="G937" s="2"/>
      <c r="H937" s="2"/>
      <c r="I937" s="2"/>
      <c r="J937" s="2"/>
      <c r="K937" s="2"/>
      <c r="L937" s="2"/>
      <c r="M937" s="2"/>
      <c r="N937" s="2"/>
      <c r="O937" s="2"/>
      <c r="P937" s="2"/>
      <c r="Q937" s="2"/>
      <c r="R937" s="2"/>
      <c r="S937" s="2"/>
      <c r="T937" s="2"/>
      <c r="U937" s="2"/>
      <c r="V937" s="2"/>
      <c r="W937" s="2"/>
      <c r="X937" s="2"/>
      <c r="Y937" s="2"/>
      <c r="Z937" s="2"/>
      <c r="AA937" s="2"/>
    </row>
    <row r="938">
      <c r="A938" s="3" t="s">
        <v>2763</v>
      </c>
      <c r="B938" s="1" t="s">
        <v>3027</v>
      </c>
      <c r="C938" s="1" t="s">
        <v>3028</v>
      </c>
      <c r="D938" s="1" t="s">
        <v>3029</v>
      </c>
      <c r="E938" s="2" t="str">
        <f>IFERROR(__xludf.DUMMYFUNCTION("GOOGLETRANSLATE(C938, ""en"", ""TL"")"),"Ang Philippine tax code ay malawakang nalalapat sa ""lahat ng kita na nagmula sa anumang pinagmulan,"" gaya ng nakasaad sa kahulugan ng kabuuang kita sa ilalim ng Seksyon 32 ng Tax Code (RA 8424). Kinukuha nito ang kita na kinita sa pamamagitan ng mga ile"&amp;"gal na aktibidad o under-the-table na mga transaksyon. Narito ang isang breakdown:
* **Pagbubuwis ng Ilegal na Kita:** Kahit na ang mismong aktibidad ay ilegal, ang kita na nabuo mula dito ay itinuturing pa ring nabubuwisan sa ilalim ng batas ng Pilipinas"&amp;". Walang exemption para sa source of income.
* **Mga Hamon sa Pag-uulat ng Ilegal na Kita:** Malinaw, maaaring mahirap mag-ulat ng kinita sa pamamagitan ng mga ilegal na aktibidad. Gayunpaman, ang hindi pagdedeklara ng kita na ito ay maaaring humantong sa"&amp;" mga singil sa pag-iwas sa buwis.
* **Mga Kapangyarihan ng BIR:** Ang Bureau of Internal Revenue (BIR) ay may awtoridad na imbestigahan ang hindi maipaliwanag na yaman o kahina-hinalang hindi pagkakatugma sa pagitan ng pamumuhay ng isang nagbabayad ng buw"&amp;"is at idineklara na kita. Kung naghihinala ang BIR ng ilegal na kita, maaari silang gumamit ng circumstantial evidence at iba pang investigative measures para makagawa ng kaso.
* **Mga Parusa para sa Pag-iwas sa Buwis:** Ang mahuli para sa pag-iwas sa buw"&amp;"is sa iligal na kita ay maaaring humantong sa malalaking parusa, kabilang ang pagkakulong, multa, at mga surcharge. Narito ang ilang karagdagang punto na dapat isaalang-alang:
* **Under-the-Table Transactions:** Ang kita na natanggap mula sa under-the-tab"&amp;"le na mga transaksyon, kahit na ang aktibidad mismo ay hindi ilegal (hal., mga kakaibang trabaho na walang wastong resibo), ay dapat pa ring ideklara para sa mga layunin ng buwis. Ang pagkabigong gawin ito ay maaari ding ituring na pag-iwas sa buwis.
* **"&amp;"Naghahanap ng Legal na Payo:** Kung mayroon kang kita mula sa mga ilegal na aktibidad o under-the-table na mga transaksyon, ang pagkonsulta sa isang abogado sa buwis ay lubos na inirerekomenda. Maaari ka nilang payuhan sa pinakamahusay na paraan ng pagkil"&amp;"os upang sumunod sa mga batas sa buwis at mabawasan ang mga potensyal na legal na panganib.
**Mahalagang Mapagkukunan:**
* Bureau of Internal Revenue (BIR): [https://www.bir.gov.ph/](https://www.bir.gov.ph/)
* Tax Code (RA 8424): [https://www.bir.gov.ph/i"&amp;"ndex.php/tax-code.html](https://www.bir.gov.ph/index.php/tax- code.html)")</f>
        <v>Ang Philippine tax code ay malawakang nalalapat sa "lahat ng kita na nagmula sa anumang pinagmulan," gaya ng nakasaad sa kahulugan ng kabuuang kita sa ilalim ng Seksyon 32 ng Tax Code (RA 8424). Kinukuha nito ang kita na kinita sa pamamagitan ng mga ilegal na aktibidad o under-the-table na mga transaksyon. Narito ang isang breakdown:
* **Pagbubuwis ng Ilegal na Kita:** Kahit na ang mismong aktibidad ay ilegal, ang kita na nabuo mula dito ay itinuturing pa ring nabubuwisan sa ilalim ng batas ng Pilipinas. Walang exemption para sa source of income.
* **Mga Hamon sa Pag-uulat ng Ilegal na Kita:** Malinaw, maaaring mahirap mag-ulat ng kinita sa pamamagitan ng mga ilegal na aktibidad. Gayunpaman, ang hindi pagdedeklara ng kita na ito ay maaaring humantong sa mga singil sa pag-iwas sa buwis.
* **Mga Kapangyarihan ng BIR:** Ang Bureau of Internal Revenue (BIR) ay may awtoridad na imbestigahan ang hindi maipaliwanag na yaman o kahina-hinalang hindi pagkakatugma sa pagitan ng pamumuhay ng isang nagbabayad ng buwis at idineklara na kita. Kung naghihinala ang BIR ng ilegal na kita, maaari silang gumamit ng circumstantial evidence at iba pang investigative measures para makagawa ng kaso.
* **Mga Parusa para sa Pag-iwas sa Buwis:** Ang mahuli para sa pag-iwas sa buwis sa iligal na kita ay maaaring humantong sa malalaking parusa, kabilang ang pagkakulong, multa, at mga surcharge. Narito ang ilang karagdagang punto na dapat isaalang-alang:
* **Under-the-Table Transactions:** Ang kita na natanggap mula sa under-the-table na mga transaksyon, kahit na ang aktibidad mismo ay hindi ilegal (hal., mga kakaibang trabaho na walang wastong resibo), ay dapat pa ring ideklara para sa mga layunin ng buwis. Ang pagkabigong gawin ito ay maaari ding ituring na pag-iwas sa buwis.
* **Naghahanap ng Legal na Payo:** Kung mayroon kang kita mula sa mga ilegal na aktibidad o under-the-table na mga transaksyon, ang pagkonsulta sa isang abogado sa buwis ay lubos na inirerekomenda. Maaari ka nilang payuhan sa pinakamahusay na paraan ng pagkilos upang sumunod sa mga batas sa buwis at mabawasan ang mga potensyal na legal na panganib.
**Mahalagang Mapagkukunan:**
* Bureau of Internal Revenue (BIR): [https://www.bir.gov.ph/](https://www.bir.gov.ph/)
* Tax Code (RA 8424): [https://www.bir.gov.ph/index.php/tax-code.html](https://www.bir.gov.ph/index.php/tax- code.html)</v>
      </c>
      <c r="F938" s="2">
        <f t="shared" si="1"/>
        <v>0</v>
      </c>
      <c r="G938" s="2"/>
      <c r="H938" s="2"/>
      <c r="I938" s="2"/>
      <c r="J938" s="2"/>
      <c r="K938" s="2"/>
      <c r="L938" s="2"/>
      <c r="M938" s="2"/>
      <c r="N938" s="2"/>
      <c r="O938" s="2"/>
      <c r="P938" s="2"/>
      <c r="Q938" s="2"/>
      <c r="R938" s="2"/>
      <c r="S938" s="2"/>
      <c r="T938" s="2"/>
      <c r="U938" s="2"/>
      <c r="V938" s="2"/>
      <c r="W938" s="2"/>
      <c r="X938" s="2"/>
      <c r="Y938" s="2"/>
      <c r="Z938" s="2"/>
      <c r="AA938" s="2"/>
    </row>
    <row r="939">
      <c r="A939" s="3" t="s">
        <v>2763</v>
      </c>
      <c r="B939" s="1" t="s">
        <v>3030</v>
      </c>
      <c r="C939" s="1" t="s">
        <v>3031</v>
      </c>
      <c r="D939" s="1" t="s">
        <v>3032</v>
      </c>
      <c r="E939" s="2" t="str">
        <f>IFERROR(__xludf.DUMMYFUNCTION("GOOGLETRANSLATE(C939, ""en"", ""TL"")"),"Ang batas ng Pilipinas (Konstitusyon at RA) ay hindi direktang naghihigpit sa paglalakbay batay lamang sa mga paratang sa pag-iwas sa buwis. Gayunpaman, may mga hindi direktang paraan na maaari itong makaapekto sa iyong kakayahang maglakbay sa ibang bansa"&amp;":
* **Exit Order:** Kung ang BIR ay nagbigay ng ""exit order"" laban sa iyo sa panahon ng pagsisiyasat sa pag-iwas sa buwis, maaari nitong pansamantalang paghigpitan ang iyong pag-alis sa Pilipinas. Nilalayon ng order na ito na pigilan kang umalis ng bans"&amp;"a at maiwasan ang mga potensyal na pananagutan sa buwis.
* **Warrants of Arrest:** Kung pormal na isinampa ang mga singil sa pag-iwas sa buwis at inilabas ang warrant of arrest, maaari kang pigilan sa pag-alis ng Pilipinas o kahit na arestuhin pagdating s"&amp;"a ibang bansa kung saan mayroong extradition treaty ang Pilipinas.
* **Mga Pagkaantala at Pagsusuri:** Kahit na walang exit order o warrant, ang mga paratang sa pag-iwas sa buwis ay maaaring humantong sa mga pagkaantala at karagdagang pagsisiyasat sa mga "&amp;"checkpoint ng imigrasyon. Maaaring pigilin ka ng mga awtoridad para sa pagtatanong o mangailangan ng karagdagang dokumentasyon upang i-verify ang iyong katayuan.
**Narito ang ilang rekomendasyon para mabawasan ang mga isyu sa paglalakbay:**
* **Alisin ang"&amp;" iyong mga pananagutan sa buwis:** Ang paglutas ng anumang natitirang isyu sa buwis sa BIR bago maglakbay ay lubos na ipinapayong.
* **I-verify ang iyong status:** Kung mayroon kang anumang mga alalahanin, suriin sa BIR upang kumpirmahin kung mayroong anu"&amp;"mang mga paghihigpit sa iyong paglalakbay.
* **Humingi ng legal na payo:** Maaaring payuhan ka ng isang abogado tungkol sa iyong partikular na sitwasyon at tumulong sa pag-navigate sa anumang mga potensyal na hamon.
**Mga Karagdagang Mapagkukunan:**
* Bur"&amp;"eau of Internal Revenue (BIR): [https://www.bir.gov.ph/](https://www.bir.gov.ph/)")</f>
        <v>Ang batas ng Pilipinas (Konstitusyon at RA) ay hindi direktang naghihigpit sa paglalakbay batay lamang sa mga paratang sa pag-iwas sa buwis. Gayunpaman, may mga hindi direktang paraan na maaari itong makaapekto sa iyong kakayahang maglakbay sa ibang bansa:
* **Exit Order:** Kung ang BIR ay nagbigay ng "exit order" laban sa iyo sa panahon ng pagsisiyasat sa pag-iwas sa buwis, maaari nitong pansamantalang paghigpitan ang iyong pag-alis sa Pilipinas. Nilalayon ng order na ito na pigilan kang umalis ng bansa at maiwasan ang mga potensyal na pananagutan sa buwis.
* **Warrants of Arrest:** Kung pormal na isinampa ang mga singil sa pag-iwas sa buwis at inilabas ang warrant of arrest, maaari kang pigilan sa pag-alis ng Pilipinas o kahit na arestuhin pagdating sa ibang bansa kung saan mayroong extradition treaty ang Pilipinas.
* **Mga Pagkaantala at Pagsusuri:** Kahit na walang exit order o warrant, ang mga paratang sa pag-iwas sa buwis ay maaaring humantong sa mga pagkaantala at karagdagang pagsisiyasat sa mga checkpoint ng imigrasyon. Maaaring pigilin ka ng mga awtoridad para sa pagtatanong o mangailangan ng karagdagang dokumentasyon upang i-verify ang iyong katayuan.
**Narito ang ilang rekomendasyon para mabawasan ang mga isyu sa paglalakbay:**
* **Alisin ang iyong mga pananagutan sa buwis:** Ang paglutas ng anumang natitirang isyu sa buwis sa BIR bago maglakbay ay lubos na ipinapayong.
* **I-verify ang iyong status:** Kung mayroon kang anumang mga alalahanin, suriin sa BIR upang kumpirmahin kung mayroong anumang mga paghihigpit sa iyong paglalakbay.
* **Humingi ng legal na payo:** Maaaring payuhan ka ng isang abogado tungkol sa iyong partikular na sitwasyon at tumulong sa pag-navigate sa anumang mga potensyal na hamon.
**Mga Karagdagang Mapagkukunan:**
* Bureau of Internal Revenue (BIR): [https://www.bir.gov.ph/](https://www.bir.gov.ph/)</v>
      </c>
      <c r="F939" s="2">
        <f t="shared" si="1"/>
        <v>0</v>
      </c>
      <c r="G939" s="2"/>
      <c r="H939" s="2"/>
      <c r="I939" s="2"/>
      <c r="J939" s="2"/>
      <c r="K939" s="2"/>
      <c r="L939" s="2"/>
      <c r="M939" s="2"/>
      <c r="N939" s="2"/>
      <c r="O939" s="2"/>
      <c r="P939" s="2"/>
      <c r="Q939" s="2"/>
      <c r="R939" s="2"/>
      <c r="S939" s="2"/>
      <c r="T939" s="2"/>
      <c r="U939" s="2"/>
      <c r="V939" s="2"/>
      <c r="W939" s="2"/>
      <c r="X939" s="2"/>
      <c r="Y939" s="2"/>
      <c r="Z939" s="2"/>
      <c r="AA939" s="2"/>
    </row>
    <row r="940">
      <c r="A940" s="3" t="s">
        <v>2763</v>
      </c>
      <c r="B940" s="1" t="s">
        <v>3033</v>
      </c>
      <c r="C940" s="1" t="s">
        <v>3034</v>
      </c>
      <c r="D940" s="1" t="s">
        <v>3035</v>
      </c>
      <c r="E940" s="2" t="str">
        <f>IFERROR(__xludf.DUMMYFUNCTION("GOOGLETRANSLATE(C940, ""en"", ""TL"")"),"Ang paghatol para sa pag-iwas sa buwis sa Pilipinas ay maaaring magkaroon ng makabuluhang pangmatagalang kahihinatnan na lampas sa mga agarang parusa. Narito ang isang breakdown ng ilang potensyal na implikasyon:
**Mga Pinansyal na Repercussion:**
* **Mga"&amp;" multa at Surcharge:** Ang mga paghatol sa pag-iwas sa buwis ay kadalasang nagreresulta sa mabigat na multa sa itaas ng anumang buwis na dapat bayaran. Ang mga multa na ito ay maaaring maging malaki at lumikha ng isang pangmatagalang pasanin sa pananalapi"&amp;".
* **Hirap Makakuha ng Mga Pautang:** Ang isang kriminal na rekord para sa pag-iwas sa buwis ay maaaring maging mahirap na makakuha ng mga pautang para sa mga negosyo o personal na pangangailangan. Maaaring mag-ingat ang mga bangko at iba pang institusyo"&amp;"n sa pagpapautang sa mga indibidwal na may kasaysayan ng hindi pagsunod sa mga batas sa buwis.
* **Pinsala sa Reputasyon:** Ang paghatol sa pag-iwas sa buwis ay maaaring makapinsala sa iyong reputasyon sa komunidad ng negosyo at personal na buhay. Maaari "&amp;"itong makaapekto sa iyong propesyonal na katayuan at limitahan ang mga pagkakataon sa negosyo sa hinaharap.
**Mga Legal na Paghihigpit:**
* **Pagkawala ng Mga Propesyonal na Lisensya:** Depende sa iyong propesyon, ang isang paghatol sa pag-iwas sa buwis a"&amp;"y maaaring humantong sa pagsususpinde o pagbawi ng iyong propesyonal na lisensya. Malaki ang epekto nito sa iyong kakayahang kumita.
* **Pagkontrata ng Pamahalaan:** Ang mga negosyong napatunayang nagkasala ng pag-iwas sa buwis ay maaaring pagbawalan sa p"&amp;"aglahok sa mga kontrata ng gobyerno o pag-bid sa mga pampublikong proyekto. * **Mga Isyu sa Immigration:** Bagama't hindi tahasang pinaghihigpitan ng batas ng Pilipinas ang paglalakbay, ang paghatol sa pag-iwas sa buwis ay maaaring magpalubha sa mga pagta"&amp;"tangka sa hinaharap na makakuha ng mga visa o mga permit sa pagtatrabaho sa ilang partikular na bansa, lalo na ang mga may kasunduan sa extradition sa Pilipinas.
**Social Stigma:**
* **Pagkawala ng Tiwala:** Ang isang paghatol sa pag-iwas sa buwis ay maaa"&amp;"ring masira ang tiwala sa iyong personal at propesyonal na mga relasyon. Maaaring nag-aalangan ang mga tao na makipagnegosyo sa iyo o tingnan ka bilang hindi mapagkakatiwalaan.
* **Hirap sa Paghanap ng Trabaho:** Ang pagkakaroon ng isang kriminal na rekor"&amp;"d para sa pag-iwas sa buwis ay maaaring magpahirap sa paghahanap ng trabaho, lalo na sa mga sektor na may mahigpit na mga kinakailangan sa pagsunod.
**Rehabilitation Iyong Larawan:**
* **Buong Pagbabayad ng Mga Pananagutan:** Ang ganap na pag-aayos sa lah"&amp;"at ng hindi pa nababayarang obligasyon sa buwis, multa, at mga surcharge ay nagpapakita ng pangako sa pagwawasto sa sitwasyon. * **Pagpapasulong ng Pagsunod:** Ang pagpapanatili ng malinis na rekord ng buwis para sa isang pinalawig na panahon pagkatapos n"&amp;"g paghatol ay maaaring makatulong na muling buuin ang tiwala at magpakita ng pagbabago sa pag-uugali.
* **Legal na Tulong:** Ang pagkonsulta sa isang abogado ay maaaring makatulong sa iyo na mag-navigate sa legal at pinansyal na mga implikasyon ng isang p"&amp;"aghatol at tuklasin ang mga opsyon para sa pagpapagaan sa pangmatagalang pinsala.
Tandaan, hindi ito isang kumpletong listahan, at ang mga partikular na kahihinatnan ay mag-iiba depende sa kalubhaan ng pagkakasala at sa iyong mga indibidwal na kalagayan. "&amp;"Napakahalagang maunawaan ang potensyal na pangmatagalang epekto bago gumawa ng anumang mga desisyon tungkol sa pagsunod sa buwis.")</f>
        <v>Ang paghatol para sa pag-iwas sa buwis sa Pilipinas ay maaaring magkaroon ng makabuluhang pangmatagalang kahihinatnan na lampas sa mga agarang parusa. Narito ang isang breakdown ng ilang potensyal na implikasyon:
**Mga Pinansyal na Repercussion:**
* **Mga multa at Surcharge:** Ang mga paghatol sa pag-iwas sa buwis ay kadalasang nagreresulta sa mabigat na multa sa itaas ng anumang buwis na dapat bayaran. Ang mga multa na ito ay maaaring maging malaki at lumikha ng isang pangmatagalang pasanin sa pananalapi.
* **Hirap Makakuha ng Mga Pautang:** Ang isang kriminal na rekord para sa pag-iwas sa buwis ay maaaring maging mahirap na makakuha ng mga pautang para sa mga negosyo o personal na pangangailangan. Maaaring mag-ingat ang mga bangko at iba pang institusyon sa pagpapautang sa mga indibidwal na may kasaysayan ng hindi pagsunod sa mga batas sa buwis.
* **Pinsala sa Reputasyon:** Ang paghatol sa pag-iwas sa buwis ay maaaring makapinsala sa iyong reputasyon sa komunidad ng negosyo at personal na buhay. Maaari itong makaapekto sa iyong propesyonal na katayuan at limitahan ang mga pagkakataon sa negosyo sa hinaharap.
**Mga Legal na Paghihigpit:**
* **Pagkawala ng Mga Propesyonal na Lisensya:** Depende sa iyong propesyon, ang isang paghatol sa pag-iwas sa buwis ay maaaring humantong sa pagsususpinde o pagbawi ng iyong propesyonal na lisensya. Malaki ang epekto nito sa iyong kakayahang kumita.
* **Pagkontrata ng Pamahalaan:** Ang mga negosyong napatunayang nagkasala ng pag-iwas sa buwis ay maaaring pagbawalan sa paglahok sa mga kontrata ng gobyerno o pag-bid sa mga pampublikong proyekto. * **Mga Isyu sa Immigration:** Bagama't hindi tahasang pinaghihigpitan ng batas ng Pilipinas ang paglalakbay, ang paghatol sa pag-iwas sa buwis ay maaaring magpalubha sa mga pagtatangka sa hinaharap na makakuha ng mga visa o mga permit sa pagtatrabaho sa ilang partikular na bansa, lalo na ang mga may kasunduan sa extradition sa Pilipinas.
**Social Stigma:**
* **Pagkawala ng Tiwala:** Ang isang paghatol sa pag-iwas sa buwis ay maaaring masira ang tiwala sa iyong personal at propesyonal na mga relasyon. Maaaring nag-aalangan ang mga tao na makipagnegosyo sa iyo o tingnan ka bilang hindi mapagkakatiwalaan.
* **Hirap sa Paghanap ng Trabaho:** Ang pagkakaroon ng isang kriminal na rekord para sa pag-iwas sa buwis ay maaaring magpahirap sa paghahanap ng trabaho, lalo na sa mga sektor na may mahigpit na mga kinakailangan sa pagsunod.
**Rehabilitation Iyong Larawan:**
* **Buong Pagbabayad ng Mga Pananagutan:** Ang ganap na pag-aayos sa lahat ng hindi pa nababayarang obligasyon sa buwis, multa, at mga surcharge ay nagpapakita ng pangako sa pagwawasto sa sitwasyon. * **Pagpapasulong ng Pagsunod:** Ang pagpapanatili ng malinis na rekord ng buwis para sa isang pinalawig na panahon pagkatapos ng paghatol ay maaaring makatulong na muling buuin ang tiwala at magpakita ng pagbabago sa pag-uugali.
* **Legal na Tulong:** Ang pagkonsulta sa isang abogado ay maaaring makatulong sa iyo na mag-navigate sa legal at pinansyal na mga implikasyon ng isang paghatol at tuklasin ang mga opsyon para sa pagpapagaan sa pangmatagalang pinsala.
Tandaan, hindi ito isang kumpletong listahan, at ang mga partikular na kahihinatnan ay mag-iiba depende sa kalubhaan ng pagkakasala at sa iyong mga indibidwal na kalagayan. Napakahalagang maunawaan ang potensyal na pangmatagalang epekto bago gumawa ng anumang mga desisyon tungkol sa pagsunod sa buwis.</v>
      </c>
      <c r="F940" s="2">
        <f t="shared" si="1"/>
        <v>0</v>
      </c>
      <c r="G940" s="2"/>
      <c r="H940" s="2"/>
      <c r="I940" s="2"/>
      <c r="J940" s="2"/>
      <c r="K940" s="2"/>
      <c r="L940" s="2"/>
      <c r="M940" s="2"/>
      <c r="N940" s="2"/>
      <c r="O940" s="2"/>
      <c r="P940" s="2"/>
      <c r="Q940" s="2"/>
      <c r="R940" s="2"/>
      <c r="S940" s="2"/>
      <c r="T940" s="2"/>
      <c r="U940" s="2"/>
      <c r="V940" s="2"/>
      <c r="W940" s="2"/>
      <c r="X940" s="2"/>
      <c r="Y940" s="2"/>
      <c r="Z940" s="2"/>
      <c r="AA940" s="2"/>
    </row>
    <row r="941">
      <c r="A941" s="3" t="s">
        <v>2763</v>
      </c>
      <c r="B941" s="1" t="s">
        <v>3036</v>
      </c>
      <c r="C941" s="1" t="s">
        <v>3037</v>
      </c>
      <c r="D941" s="1" t="s">
        <v>3038</v>
      </c>
      <c r="E941" s="2" t="str">
        <f>IFERROR(__xludf.DUMMYFUNCTION("GOOGLETRANSLATE(C941, ""en"", ""TL"")"),"Oo, sa Pilipinas, ang mga singil sa pag-iwas sa buwis *maaaring* mapag-usapan sa ilalim ng ilang mga pangyayari. Narito kung paano ito gumagana:
**Mga Salik para sa Negosasyon:**
* **Kalubhaan ng Pagkakasala:** Ang lawak ng pag-iwas sa buwis (halaga ng hi"&amp;"ndi idineklara na kita, pagkakaroon ng sadyang pagtatago) ay nakakaapekto sa posibilidad na makipag-ayos sa isang plea bargain. Ang mga menor de edad na pagkakasala ay maaaring mas katanggap-tanggap sa negosasyon.
* **Kooperasyon sa mga Awtoridad:** Ang p"&amp;"agpapakita ng pakikipagtulungan sa Bureau of Internal Revenue (BIR) sa panahon ng pagsisiyasat, tulad ng agarang pagbibigay ng mga hiniling na dokumento o paggawa ng tapat na pagsisiwalat ng iyong sitwasyon sa buwis, ay maaaring mapabuti ang iyong mga pag"&amp;"kakataon na magkaroon ng magandang resulta.
* **Nakaraang Kasaysayan ng Kriminal:** Ang isang malinis na rekord ng kriminal sa pangkalahatan ay nagpapatibay sa iyong posisyon sa pakikipagnegosasyon kumpara sa isang taong may kasaysayan ng mga paglabag sa "&amp;"buwis.
**Proseso ng Negosasyon:**
* **Kinatawan ng isang Abogado:** Ang pag-uusap sa buwis ay masalimuot at ang pagkakaroon ng isang abogado na may karanasan sa batas sa buwis ng Pilipinas ay napakahalaga. Maaari silang makipag-ayos sa BIR para sa iyo at "&amp;"isulong ang mas mababang pagkakasala o pinababang parusa.
* **Pakiusap na Magkasundo:** Ang mga negosasyon ay kadalasang nagsasangkot ng plea bargain, kung saan umamin ka ng guilty sa isang mas mababang pagkakasala kapalit ng mas magaan na sentensiya. Maa"&amp;"aring kabilang dito ang mga pinababang multa, probasyon sa halip na oras ng pagkakakulong, o kumbinasyon ng dalawa.
* **Voluntary Disclosure:** Ang sistema ng buwis sa Pilipinas ay nagbibigay ng insentibo sa boluntaryong pagsunod sa buwis sa pamamagitan n"&amp;"g mga programa tulad ng Voluntary Disclosure Program (VDP) ng BIR. Ang pagsisiwalat ng dati nang hindi natax na kita bago pormal na masingil ay maaaring humantong sa makabuluhang pagbawas ng mga parusa.
**Mahalagang Mapagkukunan:**
* Bureau of Internal Re"&amp;"venue (BIR): [https://www.bir.gov.ph/](https://www.bir.gov.ph/)
**Tandaan, ang negosasyon ay hindi ginagarantiyahan.** Ang BIR ay may pagpapasya na magpasya kung ituloy ang buong singil o tatanggap ng plea bargain. Ang pagkonsulta sa isang abogado sa buwi"&amp;"s ay mahalaga upang maunawaan ang iyong mga opsyon at bumuo ng isang malakas na diskarte sa negosasyon.")</f>
        <v>Oo, sa Pilipinas, ang mga singil sa pag-iwas sa buwis *maaaring* mapag-usapan sa ilalim ng ilang mga pangyayari. Narito kung paano ito gumagana:
**Mga Salik para sa Negosasyon:**
* **Kalubhaan ng Pagkakasala:** Ang lawak ng pag-iwas sa buwis (halaga ng hindi idineklara na kita, pagkakaroon ng sadyang pagtatago) ay nakakaapekto sa posibilidad na makipag-ayos sa isang plea bargain. Ang mga menor de edad na pagkakasala ay maaaring mas katanggap-tanggap sa negosasyon.
* **Kooperasyon sa mga Awtoridad:** Ang pagpapakita ng pakikipagtulungan sa Bureau of Internal Revenue (BIR) sa panahon ng pagsisiyasat, tulad ng agarang pagbibigay ng mga hiniling na dokumento o paggawa ng tapat na pagsisiwalat ng iyong sitwasyon sa buwis, ay maaaring mapabuti ang iyong mga pagkakataon na magkaroon ng magandang resulta.
* **Nakaraang Kasaysayan ng Kriminal:** Ang isang malinis na rekord ng kriminal sa pangkalahatan ay nagpapatibay sa iyong posisyon sa pakikipagnegosasyon kumpara sa isang taong may kasaysayan ng mga paglabag sa buwis.
**Proseso ng Negosasyon:**
* **Kinatawan ng isang Abogado:** Ang pag-uusap sa buwis ay masalimuot at ang pagkakaroon ng isang abogado na may karanasan sa batas sa buwis ng Pilipinas ay napakahalaga. Maaari silang makipag-ayos sa BIR para sa iyo at isulong ang mas mababang pagkakasala o pinababang parusa.
* **Pakiusap na Magkasundo:** Ang mga negosasyon ay kadalasang nagsasangkot ng plea bargain, kung saan umamin ka ng guilty sa isang mas mababang pagkakasala kapalit ng mas magaan na sentensiya. Maaaring kabilang dito ang mga pinababang multa, probasyon sa halip na oras ng pagkakakulong, o kumbinasyon ng dalawa.
* **Voluntary Disclosure:** Ang sistema ng buwis sa Pilipinas ay nagbibigay ng insentibo sa boluntaryong pagsunod sa buwis sa pamamagitan ng mga programa tulad ng Voluntary Disclosure Program (VDP) ng BIR. Ang pagsisiwalat ng dati nang hindi natax na kita bago pormal na masingil ay maaaring humantong sa makabuluhang pagbawas ng mga parusa.
**Mahalagang Mapagkukunan:**
* Bureau of Internal Revenue (BIR): [https://www.bir.gov.ph/](https://www.bir.gov.ph/)
**Tandaan, ang negosasyon ay hindi ginagarantiyahan.** Ang BIR ay may pagpapasya na magpasya kung ituloy ang buong singil o tatanggap ng plea bargain. Ang pagkonsulta sa isang abogado sa buwis ay mahalaga upang maunawaan ang iyong mga opsyon at bumuo ng isang malakas na diskarte sa negosasyon.</v>
      </c>
      <c r="F941" s="2">
        <f t="shared" si="1"/>
        <v>0</v>
      </c>
      <c r="G941" s="2"/>
      <c r="H941" s="2"/>
      <c r="I941" s="2"/>
      <c r="J941" s="2"/>
      <c r="K941" s="2"/>
      <c r="L941" s="2"/>
      <c r="M941" s="2"/>
      <c r="N941" s="2"/>
      <c r="O941" s="2"/>
      <c r="P941" s="2"/>
      <c r="Q941" s="2"/>
      <c r="R941" s="2"/>
      <c r="S941" s="2"/>
      <c r="T941" s="2"/>
      <c r="U941" s="2"/>
      <c r="V941" s="2"/>
      <c r="W941" s="2"/>
      <c r="X941" s="2"/>
      <c r="Y941" s="2"/>
      <c r="Z941" s="2"/>
      <c r="AA941" s="2"/>
    </row>
    <row r="942">
      <c r="A942" s="3" t="s">
        <v>2763</v>
      </c>
      <c r="B942" s="1" t="s">
        <v>3039</v>
      </c>
      <c r="C942" s="1" t="s">
        <v>3040</v>
      </c>
      <c r="D942" s="1" t="s">
        <v>3041</v>
      </c>
      <c r="E942" s="2" t="str">
        <f>IFERROR(__xludf.DUMMYFUNCTION("GOOGLETRANSLATE(C942, ""en"", ""TL"")"),"Ang paghatol sa pag-iwas sa buwis sa Pilipinas ay maaaring makaapekto sa iyong pagiging kwalipikado para sa mga propesyonal na lisensya o certification sa ilang paraan:
* **Professional Regulatory Boards (PRBs):** Maraming propesyon sa Pilipinas ang kinok"&amp;"ontrol ng Professional Regulatory Boards (PRBs) sa ilalim ng partikular na Republic Acts (RA). Ang mga PRB na ito ay may awtoridad na disiplinahin o bawiin ang mga lisensya para sa iba't ibang dahilan, kabilang ang hindi etikal na pag-uugali o isang krimi"&amp;"nal na rekord. * **Moral Turpitude:** Ang pag-iwas sa buwis ay maaaring ituring na isang krimen na kinasasangkutan ng moral turpitude, na nagpapahiwatig ng sadyang pagwawalang-bahala sa mga etikal na pamantayan ng propesyon. Ang bawat PRB ay may sariling "&amp;"code ng etika na tumutukoy sa moral turpitude, kaya ang tiyak na epekto sa iyong lisensya ay depende sa namumunong lupon at sa kalubhaan ng pagkakasala.
Narito ang ilang potensyal na kahihinatnan:
* **Pagsuspinde o Pagbawi ng Lisensya:** Kung nalaman ng P"&amp;"RB na ang iyong paghatol sa pag-iwas sa buwis ay bumubuo ng moral turpitude, maaari nilang suspindihin o bawiin ang iyong propesyonal na lisensya. Malaki ang epekto nito sa iyong kakayahang magsanay sa iyong propesyon.
* **Pagtanggi sa Aplikasyon:** Kahit"&amp;" na hindi ka pa nahatulan ngunit may nakabinbing mga singil sa pag-iwas sa buwis, maaaring maantala o tanggihan ng ilang PRB ang iyong aplikasyon para sa isang propesyonal na lisensya hanggang sa malutas ang mga singil.
**Mahalagang tandaan na ang mga par"&amp;"tikular na kahihinatnan ay mag-iiba depende sa propesyon at sa namamahala sa PRB.** Narito ang maaari mong gawin:
* **I-verify gamit ang iyong PRB:** Makipag-ugnayan sa PRB na kumokontrol sa iyong propesyon at magtanong tungkol sa kanilang mga patakaran t"&amp;"ungkol sa mga paghatol sa pag-iwas sa buwis. Maaari nilang linawin kung ang isang paghatol ay awtomatikong magdidisqualify sa iyo o kung may puwang para sa pagsasaalang-alang. * **Kumonsulta sa isang Abogado:** Maaaring payuhan ka ng isang abogado na dalu"&amp;"bhasa sa iyong propesyon at administratibong batas sa mga potensyal na kahihinatnan ng isang paghatol sa pag-iwas sa buwis sa iyong lisensya at tuklasin ang anumang magagamit na mga opsyon.
Narito ang ilang mapagkukunan upang makapagsimula ka:
* Professio"&amp;"nal Regulatory Commission (PRC): [https://www.prc.gov.ph/](https://www.prc.gov.ph/) (Ang website na ito ay nagbibigay ng direktoryo ng lahat ng PRB sa Pilipinas)
* Philippine Bar Association: [https://www.ibp.ph/](https://www.ibp.ph/) (Para sa mga abogado"&amp;") Tandaan, ang impormasyong ito ay para sa pangkalahatang gabay lamang. Ang mga partikular na batas at regulasyon tungkol sa mga propesyonal na lisensya at pag-iwas sa buwis ay maaaring kumplikado. Ang pagkonsulta sa isang abogadong may karanasan sa iyong"&amp;" propesyon ay lubos na inirerekomenda upang maunawaan ang mga potensyal na epekto at tuklasin ang mga paraan upang maprotektahan ang iyong propesyonal na katayuan.")</f>
        <v>Ang paghatol sa pag-iwas sa buwis sa Pilipinas ay maaaring makaapekto sa iyong pagiging kwalipikado para sa mga propesyonal na lisensya o certification sa ilang paraan:
* **Professional Regulatory Boards (PRBs):** Maraming propesyon sa Pilipinas ang kinokontrol ng Professional Regulatory Boards (PRBs) sa ilalim ng partikular na Republic Acts (RA). Ang mga PRB na ito ay may awtoridad na disiplinahin o bawiin ang mga lisensya para sa iba't ibang dahilan, kabilang ang hindi etikal na pag-uugali o isang kriminal na rekord. * **Moral Turpitude:** Ang pag-iwas sa buwis ay maaaring ituring na isang krimen na kinasasangkutan ng moral turpitude, na nagpapahiwatig ng sadyang pagwawalang-bahala sa mga etikal na pamantayan ng propesyon. Ang bawat PRB ay may sariling code ng etika na tumutukoy sa moral turpitude, kaya ang tiyak na epekto sa iyong lisensya ay depende sa namumunong lupon at sa kalubhaan ng pagkakasala.
Narito ang ilang potensyal na kahihinatnan:
* **Pagsuspinde o Pagbawi ng Lisensya:** Kung nalaman ng PRB na ang iyong paghatol sa pag-iwas sa buwis ay bumubuo ng moral turpitude, maaari nilang suspindihin o bawiin ang iyong propesyonal na lisensya. Malaki ang epekto nito sa iyong kakayahang magsanay sa iyong propesyon.
* **Pagtanggi sa Aplikasyon:** Kahit na hindi ka pa nahatulan ngunit may nakabinbing mga singil sa pag-iwas sa buwis, maaaring maantala o tanggihan ng ilang PRB ang iyong aplikasyon para sa isang propesyonal na lisensya hanggang sa malutas ang mga singil.
**Mahalagang tandaan na ang mga partikular na kahihinatnan ay mag-iiba depende sa propesyon at sa namamahala sa PRB.** Narito ang maaari mong gawin:
* **I-verify gamit ang iyong PRB:** Makipag-ugnayan sa PRB na kumokontrol sa iyong propesyon at magtanong tungkol sa kanilang mga patakaran tungkol sa mga paghatol sa pag-iwas sa buwis. Maaari nilang linawin kung ang isang paghatol ay awtomatikong magdidisqualify sa iyo o kung may puwang para sa pagsasaalang-alang. * **Kumonsulta sa isang Abogado:** Maaaring payuhan ka ng isang abogado na dalubhasa sa iyong propesyon at administratibong batas sa mga potensyal na kahihinatnan ng isang paghatol sa pag-iwas sa buwis sa iyong lisensya at tuklasin ang anumang magagamit na mga opsyon.
Narito ang ilang mapagkukunan upang makapagsimula ka:
* Professional Regulatory Commission (PRC): [https://www.prc.gov.ph/](https://www.prc.gov.ph/) (Ang website na ito ay nagbibigay ng direktoryo ng lahat ng PRB sa Pilipinas)
* Philippine Bar Association: [https://www.ibp.ph/](https://www.ibp.ph/) (Para sa mga abogado) Tandaan, ang impormasyong ito ay para sa pangkalahatang gabay lamang. Ang mga partikular na batas at regulasyon tungkol sa mga propesyonal na lisensya at pag-iwas sa buwis ay maaaring kumplikado. Ang pagkonsulta sa isang abogadong may karanasan sa iyong propesyon ay lubos na inirerekomenda upang maunawaan ang mga potensyal na epekto at tuklasin ang mga paraan upang maprotektahan ang iyong propesyonal na katayuan.</v>
      </c>
      <c r="F942" s="2">
        <f t="shared" si="1"/>
        <v>0</v>
      </c>
      <c r="G942" s="2"/>
      <c r="H942" s="2"/>
      <c r="I942" s="2"/>
      <c r="J942" s="2"/>
      <c r="K942" s="2"/>
      <c r="L942" s="2"/>
      <c r="M942" s="2"/>
      <c r="N942" s="2"/>
      <c r="O942" s="2"/>
      <c r="P942" s="2"/>
      <c r="Q942" s="2"/>
      <c r="R942" s="2"/>
      <c r="S942" s="2"/>
      <c r="T942" s="2"/>
      <c r="U942" s="2"/>
      <c r="V942" s="2"/>
      <c r="W942" s="2"/>
      <c r="X942" s="2"/>
      <c r="Y942" s="2"/>
      <c r="Z942" s="2"/>
      <c r="AA942" s="2"/>
    </row>
    <row r="943">
      <c r="A943" s="3" t="s">
        <v>2763</v>
      </c>
      <c r="B943" s="1" t="s">
        <v>3042</v>
      </c>
      <c r="C943" s="1" t="s">
        <v>3043</v>
      </c>
      <c r="D943" s="1" t="s">
        <v>3044</v>
      </c>
      <c r="E943" s="2" t="str">
        <f>IFERROR(__xludf.DUMMYFUNCTION("GOOGLETRANSLATE(C943, ""en"", ""TL"")"),"Sa Pilipinas, ang mga singil sa pag-iwas sa buwis ay maaaring ihain nang retroactive sa mga nakaraang taon ng buwis, ngunit may mga limitasyon. Narito ang isang breakdown batay sa batas ng Pilipinas (Konstitusyon at RAs):
* **Pangkalahatang Panuntunan:** "&amp;"Ang Kodigo sa Buwis (RA 8424) ay nagpapahintulot sa BIR na tasahin at kolektahin ang mga hindi nabayarang buwis para sa mga nakaraang taon. Walang mahigpit na limitasyon sa oras para sa BIR na matuklasan at mag-usig ng pag-iwas sa buwis, lalo na kung mayr"&amp;"oon silang dahilan upang maniwala na sinadya ang underreporting o mapanlinlang na tax return na nangyari.
* **Panahon ng Reseta:** Gayunpaman, mayroong panahon ng reseta para sa mga kriminal na pagkakasala, kabilang ang pag-iwas sa buwis. Nangangahulugan "&amp;"ito na mayroong takdang panahon kung saan dapat magsampa ng mga singil ang pamahalaan. Ang tiyak na takdang panahon ay nakasalalay sa kalubhaan ng pagkakasala, gaya ng nakabalangkas sa Binagong Kodigo Penal (RPC).
* **Pagpapahaba ng Panahon ng Reseta:** M"&amp;"aaaring pahabain ng ilang partikular na pagkilos ang panahon ng reseta para sa mga singil sa pag-iwas sa buwis. Narito ang dalawang pangunahing halimbawa:
* **Boluntaryong Pagbubunyag:** Kung ang isang nagbabayad ng buwis ay boluntaryong nagbubunyag ng da"&amp;"ti nang hindi natax na kita sa pamamagitan ng BIR's Voluntary Disclosure Program (VDP) *bago* pormal na masingil, maaari nitong pahabain ang panahon ng reseta.
* **Overt Act:** Kung ang nagbabayad ng buwis ay gagawa ng isang tahasang pagkilos na nagtatago"&amp;" sa kanilang pananagutan sa buwis (hal., pagsira sa mga talaan ng accounting), maaari nitong i-restart ang panahon ng reseta, na magbibigay sa BIR ng mas maraming oras upang magsampa ng mga singilin.
**Narito ang ilang mapagkukunan para sa karagdagang pag"&amp;"galugad:**
* Bureau of Internal Revenue (BIR): [https://www.bir.gov.ph/](https://www.bir.gov.ph/)
* Tax Code (RA 8424): [https://www.bir.gov.ph/index.php/tax-code.html](https://www.bir.gov.ph/index.php/tax- code.html)
* Binagong Penal Code: [https://quizl"&amp;"et.com/606246131/revised-penal-code-of-the-philippines-flash-cards/](https://quizlet.com/606246131/revised-penal-code- ng-the-philippines-flash-cards/)
**Tandaan, ito ay isang kumplikadong legal na paksa.** Kung nahaharap ka sa mga paratang sa pag-iwas sa"&amp;" buwis para sa mga nakaraang taon ng buwis, ang pagkonsulta sa isang abogado sa buwis ay napakahalaga. Maaari nilang suriin ang iyong partikular na sitwasyon, tasahin ang posibilidad ng mga retroactive na pagsingil, at payuhan ka sa pinakamahusay na paraa"&amp;"n ng pagkilos.")</f>
        <v>Sa Pilipinas, ang mga singil sa pag-iwas sa buwis ay maaaring ihain nang retroactive sa mga nakaraang taon ng buwis, ngunit may mga limitasyon. Narito ang isang breakdown batay sa batas ng Pilipinas (Konstitusyon at RAs):
* **Pangkalahatang Panuntunan:** Ang Kodigo sa Buwis (RA 8424) ay nagpapahintulot sa BIR na tasahin at kolektahin ang mga hindi nabayarang buwis para sa mga nakaraang taon. Walang mahigpit na limitasyon sa oras para sa BIR na matuklasan at mag-usig ng pag-iwas sa buwis, lalo na kung mayroon silang dahilan upang maniwala na sinadya ang underreporting o mapanlinlang na tax return na nangyari.
* **Panahon ng Reseta:** Gayunpaman, mayroong panahon ng reseta para sa mga kriminal na pagkakasala, kabilang ang pag-iwas sa buwis. Nangangahulugan ito na mayroong takdang panahon kung saan dapat magsampa ng mga singil ang pamahalaan. Ang tiyak na takdang panahon ay nakasalalay sa kalubhaan ng pagkakasala, gaya ng nakabalangkas sa Binagong Kodigo Penal (RPC).
* **Pagpapahaba ng Panahon ng Reseta:** Maaaring pahabain ng ilang partikular na pagkilos ang panahon ng reseta para sa mga singil sa pag-iwas sa buwis. Narito ang dalawang pangunahing halimbawa:
* **Boluntaryong Pagbubunyag:** Kung ang isang nagbabayad ng buwis ay boluntaryong nagbubunyag ng dati nang hindi natax na kita sa pamamagitan ng BIR's Voluntary Disclosure Program (VDP) *bago* pormal na masingil, maaari nitong pahabain ang panahon ng reseta.
* **Overt Act:** Kung ang nagbabayad ng buwis ay gagawa ng isang tahasang pagkilos na nagtatago sa kanilang pananagutan sa buwis (hal., pagsira sa mga talaan ng accounting), maaari nitong i-restart ang panahon ng reseta, na magbibigay sa BIR ng mas maraming oras upang magsampa ng mga singilin.
**Narito ang ilang mapagkukunan para sa karagdagang paggalugad:**
* Bureau of Internal Revenue (BIR): [https://www.bir.gov.ph/](https://www.bir.gov.ph/)
* Tax Code (RA 8424): [https://www.bir.gov.ph/index.php/tax-code.html](https://www.bir.gov.ph/index.php/tax- code.html)
* Binagong Penal Code: [https://quizlet.com/606246131/revised-penal-code-of-the-philippines-flash-cards/](https://quizlet.com/606246131/revised-penal-code- ng-the-philippines-flash-cards/)
**Tandaan, ito ay isang kumplikadong legal na paksa.** Kung nahaharap ka sa mga paratang sa pag-iwas sa buwis para sa mga nakaraang taon ng buwis, ang pagkonsulta sa isang abogado sa buwis ay napakahalaga. Maaari nilang suriin ang iyong partikular na sitwasyon, tasahin ang posibilidad ng mga retroactive na pagsingil, at payuhan ka sa pinakamahusay na paraan ng pagkilos.</v>
      </c>
      <c r="F943" s="2">
        <f t="shared" si="1"/>
        <v>0</v>
      </c>
      <c r="G943" s="2"/>
      <c r="H943" s="2"/>
      <c r="I943" s="2"/>
      <c r="J943" s="2"/>
      <c r="K943" s="2"/>
      <c r="L943" s="2"/>
      <c r="M943" s="2"/>
      <c r="N943" s="2"/>
      <c r="O943" s="2"/>
      <c r="P943" s="2"/>
      <c r="Q943" s="2"/>
      <c r="R943" s="2"/>
      <c r="S943" s="2"/>
      <c r="T943" s="2"/>
      <c r="U943" s="2"/>
      <c r="V943" s="2"/>
      <c r="W943" s="2"/>
      <c r="X943" s="2"/>
      <c r="Y943" s="2"/>
      <c r="Z943" s="2"/>
      <c r="AA943" s="2"/>
    </row>
    <row r="944">
      <c r="A944" s="3" t="s">
        <v>2763</v>
      </c>
      <c r="B944" s="1" t="s">
        <v>3045</v>
      </c>
      <c r="C944" s="1" t="s">
        <v>3046</v>
      </c>
      <c r="D944" s="1" t="s">
        <v>3047</v>
      </c>
      <c r="E944" s="2" t="str">
        <f>IFERROR(__xludf.DUMMYFUNCTION("GOOGLETRANSLATE(C944, ""en"", ""TL"")"),"Ang pag-iwas sa buwis ay madalas na nauugnay sa iba pang mga krimen sa pananalapi at mapanlinlang na aktibidad sa Pilipinas. Ganito:
**Pagtatago ng Kita para sa Pag-iwas sa Buwis:** Maraming mga krimen sa pananalapi o mapanlinlang na aktibidad ang naglala"&amp;"yong makabuo ng kita na nakatago mula sa mga awtoridad. Ang nakatagong kita na ito ay nagiging target para sa pag-iwas sa buwis. Narito ang ilang halimbawa:
* **Money Laundering:** Maaaring gumamit ang mga kriminal ng mga kumpanya ng shell, pekeng mga inv"&amp;"oice, o kumplikadong transaksyon sa pananalapi upang maglaba ng pera na nagmula sa mga ilegal na aktibidad tulad ng pagbebenta ng droga o paglustay. Ang nilabang pera na ito ay kailangang ""ipaliwanag"" para sa mga layunin ng buwis, na humahantong sa pag-"&amp;"iwas sa buwis sa pamamagitan ng hindi pag-uulat ng kita o paglikha ng mga maling pinagmumulan ng kita.
* **Pamemeke ng mga Financial Statement:** Maaaring manipulahin ng mga negosyong nasasangkot sa mga mapanlinlang na aktibidad ang kanilang mga financial"&amp;" statement upang maliitin ang mga kita at bawasan ang kanilang mga pananagutan sa buwis. Maaaring kabilang dito ang pagpapalaki ng mga gastos, pagtatago ng mga asset, o pagsugpo sa kita.
* **Mga Scam sa Pamumuhunan:** Ang mga Ponzi scheme o iba pang mga s"&amp;"cam sa pamumuhunan ay maaaring may kasamang paglilipat ng mga pondo ng mamumuhunan para sa personal na pakinabang. Maaaring subukan ng mga salarin na itago ang kita na ito sa pamamagitan ng mga taktika sa pag-iwas sa buwis.
**Pag-iwas sa Buwis bilang Pina"&amp;"gmumulan ng Mga Pondo:**
Ang pag-iwas sa buwis mismo ay maaaring maging mapagkukunan ng mga pondo para sa iba pang mga krimen sa pananalapi. Ang labis na pera na natipid sa pamamagitan ng hindi pagbabayad ng mga buwis ay maaaring gamitin sa:
* **Mga Ilega"&amp;"l na Aktibidad sa Pananalapi:** Ang pag-iwas sa buwis ay maaaring makabuo ng mga pondo para sa mga kriminal upang mamuhunan sa mga ilegal na negosyo, opisyal ng panunuhol, o pondohan ang iba pang mga kriminal na aktibidad.
* **Ipagpatuloy ang Mga Mapanlin"&amp;"lang na Scheme:** Ang perang naipon mula sa mga buwis ay maaaring gamitin upang suportahan ang mga patuloy na mapanlinlang na pamamaraan, tulad ng pagpapanatili ng mga pekeng negosyo o pagpopondo ng mga payout sa mga namumuhunan sa isang Ponzi scheme.
**P"&amp;"agtuklas at Pagsisiyasat:**
Ang mga pagsisiyasat sa pag-iwas sa buwis ay madalas na nagbubunyag ng iba pang mga krimen sa pananalapi. Narito kung bakit:
* **Mga hindi pagkakapare-pareho:** Ang pagsisiyasat sa mga tax return ay maaaring magbunyag ng mga hi"&amp;"ndi pagkakapare-pareho na maaaring tumukoy sa mga pinagbabatayan na mapanlinlang na aktibidad. Halimbawa, ang isang marangyang pamumuhay na hindi sinusuportahan ng ipinahayag na kita ay maaaring mag-trigger ng mga pagsisiyasat sa hindi maipaliwanag na yam"&amp;"an.
* **Paper Trail:** Ang pagsunod sa pinansiyal na trail ng mga buwis na hindi binabayaran ay maaaring humantong sa ebidensya ng iba pang mga ilegal na aktibidad. Halimbawa, maaaring subaybayan ng BIR ang mga hindi pangkaraniwang paglilipat ng pera o tu"&amp;"kuyin ang mga kahina-hinalang transaksyon sa negosyo na nauugnay sa pag-iwas sa buwis.
**Ang Bureau of Internal Revenue (BIR) ay madalas na nakikipagtulungan sa iba pang ahensyang nagpapatupad ng batas** upang imbestigahan ang magkakaugnay na mga krimeng "&amp;"pinansyal na ito. Maaari silang magbahagi ng impormasyon, mga mapagkukunan ng pool, at maghabol ng mga singil para sa parehong pag-iwas sa buwis at ang pinagbabatayan na aktibidad ng kriminal.
**Tandaan, hindi ito isang kumpletong listahan.** Ang mga part"&amp;"ikular na paraan ng pag-iwas sa buwis ay sumasalubong sa iba pang mga krimen sa pananalapi ay nakadepende sa uri ng krimen at sa mga paraan na ginamit upang itago ang kita. Kung pinaghihinalaan mo ang pag-iwas sa buwis o iba pang mga krimen sa pananalapi "&amp;"ay nangyayari, inirerekomenda na iulat ang mga ito sa mga tamang awtoridad.")</f>
        <v>Ang pag-iwas sa buwis ay madalas na nauugnay sa iba pang mga krimen sa pananalapi at mapanlinlang na aktibidad sa Pilipinas. Ganito:
**Pagtatago ng Kita para sa Pag-iwas sa Buwis:** Maraming mga krimen sa pananalapi o mapanlinlang na aktibidad ang naglalayong makabuo ng kita na nakatago mula sa mga awtoridad. Ang nakatagong kita na ito ay nagiging target para sa pag-iwas sa buwis. Narito ang ilang halimbawa:
* **Money Laundering:** Maaaring gumamit ang mga kriminal ng mga kumpanya ng shell, pekeng mga invoice, o kumplikadong transaksyon sa pananalapi upang maglaba ng pera na nagmula sa mga ilegal na aktibidad tulad ng pagbebenta ng droga o paglustay. Ang nilabang pera na ito ay kailangang "ipaliwanag" para sa mga layunin ng buwis, na humahantong sa pag-iwas sa buwis sa pamamagitan ng hindi pag-uulat ng kita o paglikha ng mga maling pinagmumulan ng kita.
* **Pamemeke ng mga Financial Statement:** Maaaring manipulahin ng mga negosyong nasasangkot sa mga mapanlinlang na aktibidad ang kanilang mga financial statement upang maliitin ang mga kita at bawasan ang kanilang mga pananagutan sa buwis. Maaaring kabilang dito ang pagpapalaki ng mga gastos, pagtatago ng mga asset, o pagsugpo sa kita.
* **Mga Scam sa Pamumuhunan:** Ang mga Ponzi scheme o iba pang mga scam sa pamumuhunan ay maaaring may kasamang paglilipat ng mga pondo ng mamumuhunan para sa personal na pakinabang. Maaaring subukan ng mga salarin na itago ang kita na ito sa pamamagitan ng mga taktika sa pag-iwas sa buwis.
**Pag-iwas sa Buwis bilang Pinagmumulan ng Mga Pondo:**
Ang pag-iwas sa buwis mismo ay maaaring maging mapagkukunan ng mga pondo para sa iba pang mga krimen sa pananalapi. Ang labis na pera na natipid sa pamamagitan ng hindi pagbabayad ng mga buwis ay maaaring gamitin sa:
* **Mga Ilegal na Aktibidad sa Pananalapi:** Ang pag-iwas sa buwis ay maaaring makabuo ng mga pondo para sa mga kriminal upang mamuhunan sa mga ilegal na negosyo, opisyal ng panunuhol, o pondohan ang iba pang mga kriminal na aktibidad.
* **Ipagpatuloy ang Mga Mapanlinlang na Scheme:** Ang perang naipon mula sa mga buwis ay maaaring gamitin upang suportahan ang mga patuloy na mapanlinlang na pamamaraan, tulad ng pagpapanatili ng mga pekeng negosyo o pagpopondo ng mga payout sa mga namumuhunan sa isang Ponzi scheme.
**Pagtuklas at Pagsisiyasat:**
Ang mga pagsisiyasat sa pag-iwas sa buwis ay madalas na nagbubunyag ng iba pang mga krimen sa pananalapi. Narito kung bakit:
* **Mga hindi pagkakapare-pareho:** Ang pagsisiyasat sa mga tax return ay maaaring magbunyag ng mga hindi pagkakapare-pareho na maaaring tumukoy sa mga pinagbabatayan na mapanlinlang na aktibidad. Halimbawa, ang isang marangyang pamumuhay na hindi sinusuportahan ng ipinahayag na kita ay maaaring mag-trigger ng mga pagsisiyasat sa hindi maipaliwanag na yaman.
* **Paper Trail:** Ang pagsunod sa pinansiyal na trail ng mga buwis na hindi binabayaran ay maaaring humantong sa ebidensya ng iba pang mga ilegal na aktibidad. Halimbawa, maaaring subaybayan ng BIR ang mga hindi pangkaraniwang paglilipat ng pera o tukuyin ang mga kahina-hinalang transaksyon sa negosyo na nauugnay sa pag-iwas sa buwis.
**Ang Bureau of Internal Revenue (BIR) ay madalas na nakikipagtulungan sa iba pang ahensyang nagpapatupad ng batas** upang imbestigahan ang magkakaugnay na mga krimeng pinansyal na ito. Maaari silang magbahagi ng impormasyon, mga mapagkukunan ng pool, at maghabol ng mga singil para sa parehong pag-iwas sa buwis at ang pinagbabatayan na aktibidad ng kriminal.
**Tandaan, hindi ito isang kumpletong listahan.** Ang mga partikular na paraan ng pag-iwas sa buwis ay sumasalubong sa iba pang mga krimen sa pananalapi ay nakadepende sa uri ng krimen at sa mga paraan na ginamit upang itago ang kita. Kung pinaghihinalaan mo ang pag-iwas sa buwis o iba pang mga krimen sa pananalapi ay nangyayari, inirerekomenda na iulat ang mga ito sa mga tamang awtoridad.</v>
      </c>
      <c r="F944" s="2">
        <f t="shared" si="1"/>
        <v>0</v>
      </c>
      <c r="G944" s="2"/>
      <c r="H944" s="2"/>
      <c r="I944" s="2"/>
      <c r="J944" s="2"/>
      <c r="K944" s="2"/>
      <c r="L944" s="2"/>
      <c r="M944" s="2"/>
      <c r="N944" s="2"/>
      <c r="O944" s="2"/>
      <c r="P944" s="2"/>
      <c r="Q944" s="2"/>
      <c r="R944" s="2"/>
      <c r="S944" s="2"/>
      <c r="T944" s="2"/>
      <c r="U944" s="2"/>
      <c r="V944" s="2"/>
      <c r="W944" s="2"/>
      <c r="X944" s="2"/>
      <c r="Y944" s="2"/>
      <c r="Z944" s="2"/>
      <c r="AA944" s="2"/>
    </row>
    <row r="945">
      <c r="A945" s="3" t="s">
        <v>2763</v>
      </c>
      <c r="B945" s="1" t="s">
        <v>3048</v>
      </c>
      <c r="C945" s="1" t="s">
        <v>3049</v>
      </c>
      <c r="D945" s="1" t="s">
        <v>3050</v>
      </c>
      <c r="E945" s="2" t="str">
        <f>IFERROR(__xludf.DUMMYFUNCTION("GOOGLETRANSLATE(C945, ""en"", ""TL"")"),"Narito ang ilang hakbang na maaari mong gawin upang protektahan ang iyong mga ari-arian at legal na karapatan kung nahaharap sa mga paratang ng pag-iwas sa buwis sa Pilipinas:
**1. Humingi Kaagad ng Legal na Payo:** Ito ang pinakamahalagang hakbang. Maaar"&amp;"ing payuhan ka ng isang abogado sa buwis na may karanasan sa batas ng Pilipinas tungkol sa iyong mga karapatan at epektibong mag-navigate sa legal na proseso. Maaari silang kumatawan sa iyo sa mga pakikipag-ugnayan sa Bureau of Internal Revenue (BIR) at s"&amp;"a korte, kung kinakailangan. **2. Huwag Talakayin ang Kaso sa BIR Nang Wala ang Iyong Abogado:** Maaaring subukan ng BIR na tanungin ka tungkol sa mga paratang. Pinakamainam na naroroon ang iyong abogado sa anumang pakikipag-ugnayan sa kanila. Maaaring pa"&amp;"yuhan ka ng iyong abogado kung ano ang sasabihin at tiyaking ang iyong mga tugon ay nasa loob ng iyong mga legal na karapatan.
**3. Magtipon ng Dokumentasyon:** Kolektahin ang lahat ng nauugnay na dokumento na nauugnay sa iyong mga paghahain ng buwis, mga"&amp;" talaan sa pananalapi, at anumang ebidensya na sumusuporta sa iyong posisyon. Maaaring kabilang dito ang mga resibo, invoice, bank statement, at kontrata. Maaaring gabayan ka ng iyong abogado kung anong dokumentasyon ang kailangan.
**4. Maging Matulungin,"&amp;" Ngunit Hindi Maparating:** Bagama't mahalaga ang pakikipagtulungan sa pagsisiyasat ng BIR, hindi ito nangangahulugan ng pag-amin ng pagkakasala. Maaaring payuhan ka ng iyong abogado tungkol sa isang balanseng diskarte, tinitiyak na nakikipagtulungan ka s"&amp;"a loob ng mga legal na hangganan at maiwasan ang hindi sinasadyang pagsisisi sa iyong sarili. **5. Galugarin ang Mga Potensyal na Resolusyon:** Depende sa tindi ng mga paratang, maaaring tuklasin ng iyong abogado ang mga opsyon tulad ng:
* **Voluntary Dis"&amp;"closure Program (VDP):** Kung hindi ka pa pormal na nasingil, pinapayagan ng VDP ng BIR ang pagsisiwalat ng dati nang hindi nabubuwis na kita at pagbabayad ng mga multa upang potensyal na maiwasan ang kriminal na pag-uusig.
* **Negosasyon:** Maaaring maki"&amp;"pag-ayos ang iyong abogado sa BIR para sa pinababang parusa o mas mababang pagkakasala kapalit ng iyong pakikipagtulungan.
**6. Unawain ang Mga Potensyal na Istratehiya sa Proteksyon ng Asset:** Habang ang iyong abogado ay magbibigay ng partikular na patn"&amp;"ubay batay sa iyong sitwasyon, narito ang ilang pangkalahatang pagsasaalang-alang:
* **Paglipat ng mga Asset:** Maaaring paghigpitan ng batas ng Pilipinas ang paglilipat ng mga ari-arian upang maiwasan ang mga nagpapautang, kabilang ang BIR. Ang pagkonsul"&amp;"ta sa iyong abogado ay napakahalaga bago gumawa ng anumang hakbang.
* **Pagbubunyag ng Pinansyal:** Maaaring kailanganin mong ibunyag ang iyong mga asset bilang bahagi ng pagsisiyasat. Ang transparency sa iyong abogado ay susi sa pag-navigate sa mga kinak"&amp;"ailangang ito.
**Tandaan:** Ang impormasyong ito ay para sa pangkalahatang gabay lamang. Ang bawat kaso ay natatangi, at ang mga partikular na hakbang ay depende sa mga detalye ng iyong sitwasyon. Ang pagkonsulta sa isang kwalipikadong abogado sa buwis ay"&amp;" mahalaga upang maprotektahan ang iyong mga ari-arian at mga legal na karapatan nang epektibo.")</f>
        <v>Narito ang ilang hakbang na maaari mong gawin upang protektahan ang iyong mga ari-arian at legal na karapatan kung nahaharap sa mga paratang ng pag-iwas sa buwis sa Pilipinas:
**1. Humingi Kaagad ng Legal na Payo:** Ito ang pinakamahalagang hakbang. Maaaring payuhan ka ng isang abogado sa buwis na may karanasan sa batas ng Pilipinas tungkol sa iyong mga karapatan at epektibong mag-navigate sa legal na proseso. Maaari silang kumatawan sa iyo sa mga pakikipag-ugnayan sa Bureau of Internal Revenue (BIR) at sa korte, kung kinakailangan. **2. Huwag Talakayin ang Kaso sa BIR Nang Wala ang Iyong Abogado:** Maaaring subukan ng BIR na tanungin ka tungkol sa mga paratang. Pinakamainam na naroroon ang iyong abogado sa anumang pakikipag-ugnayan sa kanila. Maaaring payuhan ka ng iyong abogado kung ano ang sasabihin at tiyaking ang iyong mga tugon ay nasa loob ng iyong mga legal na karapatan.
**3. Magtipon ng Dokumentasyon:** Kolektahin ang lahat ng nauugnay na dokumento na nauugnay sa iyong mga paghahain ng buwis, mga talaan sa pananalapi, at anumang ebidensya na sumusuporta sa iyong posisyon. Maaaring kabilang dito ang mga resibo, invoice, bank statement, at kontrata. Maaaring gabayan ka ng iyong abogado kung anong dokumentasyon ang kailangan.
**4. Maging Matulungin, Ngunit Hindi Maparating:** Bagama't mahalaga ang pakikipagtulungan sa pagsisiyasat ng BIR, hindi ito nangangahulugan ng pag-amin ng pagkakasala. Maaaring payuhan ka ng iyong abogado tungkol sa isang balanseng diskarte, tinitiyak na nakikipagtulungan ka sa loob ng mga legal na hangganan at maiwasan ang hindi sinasadyang pagsisisi sa iyong sarili. **5. Galugarin ang Mga Potensyal na Resolusyon:** Depende sa tindi ng mga paratang, maaaring tuklasin ng iyong abogado ang mga opsyon tulad ng:
* **Voluntary Disclosure Program (VDP):** Kung hindi ka pa pormal na nasingil, pinapayagan ng VDP ng BIR ang pagsisiwalat ng dati nang hindi nabubuwis na kita at pagbabayad ng mga multa upang potensyal na maiwasan ang kriminal na pag-uusig.
* **Negosasyon:** Maaaring makipag-ayos ang iyong abogado sa BIR para sa pinababang parusa o mas mababang pagkakasala kapalit ng iyong pakikipagtulungan.
**6. Unawain ang Mga Potensyal na Istratehiya sa Proteksyon ng Asset:** Habang ang iyong abogado ay magbibigay ng partikular na patnubay batay sa iyong sitwasyon, narito ang ilang pangkalahatang pagsasaalang-alang:
* **Paglipat ng mga Asset:** Maaaring paghigpitan ng batas ng Pilipinas ang paglilipat ng mga ari-arian upang maiwasan ang mga nagpapautang, kabilang ang BIR. Ang pagkonsulta sa iyong abogado ay napakahalaga bago gumawa ng anumang hakbang.
* **Pagbubunyag ng Pinansyal:** Maaaring kailanganin mong ibunyag ang iyong mga asset bilang bahagi ng pagsisiyasat. Ang transparency sa iyong abogado ay susi sa pag-navigate sa mga kinakailangang ito.
**Tandaan:** Ang impormasyong ito ay para sa pangkalahatang gabay lamang. Ang bawat kaso ay natatangi, at ang mga partikular na hakbang ay depende sa mga detalye ng iyong sitwasyon. Ang pagkonsulta sa isang kwalipikadong abogado sa buwis ay mahalaga upang maprotektahan ang iyong mga ari-arian at mga legal na karapatan nang epektibo.</v>
      </c>
      <c r="F945" s="2">
        <f t="shared" si="1"/>
        <v>0</v>
      </c>
      <c r="G945" s="2"/>
      <c r="H945" s="2"/>
      <c r="I945" s="2"/>
      <c r="J945" s="2"/>
      <c r="K945" s="2"/>
      <c r="L945" s="2"/>
      <c r="M945" s="2"/>
      <c r="N945" s="2"/>
      <c r="O945" s="2"/>
      <c r="P945" s="2"/>
      <c r="Q945" s="2"/>
      <c r="R945" s="2"/>
      <c r="S945" s="2"/>
      <c r="T945" s="2"/>
      <c r="U945" s="2"/>
      <c r="V945" s="2"/>
      <c r="W945" s="2"/>
      <c r="X945" s="2"/>
      <c r="Y945" s="2"/>
      <c r="Z945" s="2"/>
      <c r="AA945" s="2"/>
    </row>
    <row r="946">
      <c r="A946" s="3" t="s">
        <v>2763</v>
      </c>
      <c r="B946" s="1" t="s">
        <v>3051</v>
      </c>
      <c r="C946" s="1" t="s">
        <v>3052</v>
      </c>
      <c r="D946" s="1" t="s">
        <v>3053</v>
      </c>
      <c r="E946" s="2" t="str">
        <f>IFERROR(__xludf.DUMMYFUNCTION("GOOGLETRANSLATE(C946, ""en"", ""TL"")"),"Sa ilalim ng batas ng Pilipinas (Konstitusyon at RA), narito ang ilan sa iyong mga legal na karapatan kung ikaw ay inakusahan ng kidnapping:
**Karapatang Manatiling Tahimik (Seksyon 1, Artikulo III ng Konstitusyon ng 1987):** May karapatan kang huwag sagu"&amp;"tin ang anumang mga katanungan na maaaring magdulot sa iyo ng kasalanan. Maaari mong magalang na tumanggi na sagutin ang mga tanong mula sa pulisya o sinuman hanggang sa nakausap mo ang isang abogado.
**Karapatang Magpayo (Seksyon 2, Artikulo III ng Konst"&amp;"itusyon ng 1987):** May karapatan kang tulungan ng legal na tagapayo na iyong pinili sa lahat ng yugto ng paglilitis. Kabilang dito ang paunang pagsisiyasat, pagpigil, at mga pagdinig sa korte. **Karapatang Mabatid sa Mga Pagsingil (Seksyon 14, Artikulo I"&amp;"II ng Saligang Batas ng 1987):** May karapatan kang malaman ang uri at dahilan ng akusasyon laban sa iyo. Dapat ipaalam sa iyo ng arresting officer ang sinasabing krimen na iyong ginawa.
**Karapatan sa Mabilis na Paglilitis (Seksyon 14, Artikulo III ng Ko"&amp;"nstitusyon ng 1987):** May karapatan ka sa isang mabilis na paglilitis nang walang labis na pagkaantala. Nangangahulugan ito na ang iyong kaso ay dapat dinggin ng korte sa lalong madaling panahon.
**Presumption of Innocence (Seksyon 1, Artikulo III ng 198"&amp;"7 Constitution):** Ikaw ay ipinapalagay na inosente hanggang sa mapatunayang nagkasala nang lampas sa makatwirang pagdududa. Ang pasanin ng patunay ay nakasalalay sa prosekusyon upang itatag ang iyong pagkakasala.
Narito ang ilang karagdagang punto na dap"&amp;"at isaalang-alang:
* **Huwag Lumaban sa Pag-aresto:** Kung ikaw ay inaresto, makipagtulungan sa pulisya. Ang paglaban sa pag-aresto ay maaaring humantong sa mga karagdagang singil. * **Humiling Kaagad ng Abogado:** Sa lalong madaling panahon, humiling na "&amp;"makipag-usap sa isang abogado. Maaari kang makipag-ugnayan sa isang abogado sa iyong sarili, o ang iyong pamilya ay maaaring gawin ito sa iyong ngalan.
* **Intindihin ang Mga Detalye ng Akusasyon:** Kapag mayroon kang abogado, matutulungan ka nilang mauna"&amp;"waan ang mga partikular na paratang laban sa iyo at ang ginagamit na ebidensya.
* **Makipagtulungan sa Iyong Abogado:** Ibigay sa iyong abogado ang lahat ng impormasyong magagawa mo tungkol sa sitwasyon. Maging tapat at transparent sa kanila upang matiyak"&amp;" na magagawa nila ang pinakamahusay na posibleng depensa.
**Mahalagang Mapagkukunan:**
* Konstitusyon ng Pilipinas: [https://lawphil.net/consti/cons1987.html](https://lawphil.net/consti/cons1987.html)
* Public Attorney's Office (PAO): Ang PAO ay nagbibiga"&amp;"y ng libreng legal na tulong sa mga mahihirap na Pilipino. Maaari kang makipag-ugnayan sa iyong lokal na tanggapan ng PAO para sa tulong sa paghahanap ng abogado: [https://pao.gov.ph/](https://pao.gov.ph/)
**Disclaimer:** Ang impormasyong ito ay para sa p"&amp;"angkalahatang kaalaman lamang at hindi bumubuo ng legal na payo. Ang mga partikular na legal na karapatan at pamamaraan ay maaaring mag-iba depende sa mga kalagayan ng iyong kaso. Ang pagkonsulta sa isang kwalipikadong abogado ay napakahalaga upang maunaw"&amp;"aan ang iyong mga karapatan at mabisang mag-navigate sa legal na proseso.")</f>
        <v>Sa ilalim ng batas ng Pilipinas (Konstitusyon at RA), narito ang ilan sa iyong mga legal na karapatan kung ikaw ay inakusahan ng kidnapping:
**Karapatang Manatiling Tahimik (Seksyon 1, Artikulo III ng Konstitusyon ng 1987):** May karapatan kang huwag sagutin ang anumang mga katanungan na maaaring magdulot sa iyo ng kasalanan. Maaari mong magalang na tumanggi na sagutin ang mga tanong mula sa pulisya o sinuman hanggang sa nakausap mo ang isang abogado.
**Karapatang Magpayo (Seksyon 2, Artikulo III ng Konstitusyon ng 1987):** May karapatan kang tulungan ng legal na tagapayo na iyong pinili sa lahat ng yugto ng paglilitis. Kabilang dito ang paunang pagsisiyasat, pagpigil, at mga pagdinig sa korte. **Karapatang Mabatid sa Mga Pagsingil (Seksyon 14, Artikulo III ng Saligang Batas ng 1987):** May karapatan kang malaman ang uri at dahilan ng akusasyon laban sa iyo. Dapat ipaalam sa iyo ng arresting officer ang sinasabing krimen na iyong ginawa.
**Karapatan sa Mabilis na Paglilitis (Seksyon 14, Artikulo III ng Konstitusyon ng 1987):** May karapatan ka sa isang mabilis na paglilitis nang walang labis na pagkaantala. Nangangahulugan ito na ang iyong kaso ay dapat dinggin ng korte sa lalong madaling panahon.
**Presumption of Innocence (Seksyon 1, Artikulo III ng 1987 Constitution):** Ikaw ay ipinapalagay na inosente hanggang sa mapatunayang nagkasala nang lampas sa makatwirang pagdududa. Ang pasanin ng patunay ay nakasalalay sa prosekusyon upang itatag ang iyong pagkakasala.
Narito ang ilang karagdagang punto na dapat isaalang-alang:
* **Huwag Lumaban sa Pag-aresto:** Kung ikaw ay inaresto, makipagtulungan sa pulisya. Ang paglaban sa pag-aresto ay maaaring humantong sa mga karagdagang singil. * **Humiling Kaagad ng Abogado:** Sa lalong madaling panahon, humiling na makipag-usap sa isang abogado. Maaari kang makipag-ugnayan sa isang abogado sa iyong sarili, o ang iyong pamilya ay maaaring gawin ito sa iyong ngalan.
* **Intindihin ang Mga Detalye ng Akusasyon:** Kapag mayroon kang abogado, matutulungan ka nilang maunawaan ang mga partikular na paratang laban sa iyo at ang ginagamit na ebidensya.
* **Makipagtulungan sa Iyong Abogado:** Ibigay sa iyong abogado ang lahat ng impormasyong magagawa mo tungkol sa sitwasyon. Maging tapat at transparent sa kanila upang matiyak na magagawa nila ang pinakamahusay na posibleng depensa.
**Mahalagang Mapagkukunan:**
* Konstitusyon ng Pilipinas: [https://lawphil.net/consti/cons1987.html](https://lawphil.net/consti/cons1987.html)
* Public Attorney's Office (PAO): Ang PAO ay nagbibigay ng libreng legal na tulong sa mga mahihirap na Pilipino. Maaari kang makipag-ugnayan sa iyong lokal na tanggapan ng PAO para sa tulong sa paghahanap ng abogado: [https://pao.gov.ph/](https://pao.gov.ph/)
**Disclaimer:** Ang impormasyong ito ay para sa pangkalahatang kaalaman lamang at hindi bumubuo ng legal na payo. Ang mga partikular na legal na karapatan at pamamaraan ay maaaring mag-iba depende sa mga kalagayan ng iyong kaso. Ang pagkonsulta sa isang kwalipikadong abogado ay napakahalaga upang maunawaan ang iyong mga karapatan at mabisang mag-navigate sa legal na proseso.</v>
      </c>
      <c r="F946" s="2">
        <f t="shared" si="1"/>
        <v>0</v>
      </c>
      <c r="G946" s="2"/>
      <c r="H946" s="2"/>
      <c r="I946" s="2"/>
      <c r="J946" s="2"/>
      <c r="K946" s="2"/>
      <c r="L946" s="2"/>
      <c r="M946" s="2"/>
      <c r="N946" s="2"/>
      <c r="O946" s="2"/>
      <c r="P946" s="2"/>
      <c r="Q946" s="2"/>
      <c r="R946" s="2"/>
      <c r="S946" s="2"/>
      <c r="T946" s="2"/>
      <c r="U946" s="2"/>
      <c r="V946" s="2"/>
      <c r="W946" s="2"/>
      <c r="X946" s="2"/>
      <c r="Y946" s="2"/>
      <c r="Z946" s="2"/>
      <c r="AA946" s="2"/>
    </row>
    <row r="947">
      <c r="A947" s="3" t="s">
        <v>2763</v>
      </c>
      <c r="B947" s="1" t="s">
        <v>3054</v>
      </c>
      <c r="C947" s="1" t="s">
        <v>3055</v>
      </c>
      <c r="D947" s="1" t="s">
        <v>3056</v>
      </c>
      <c r="E947" s="2" t="str">
        <f>IFERROR(__xludf.DUMMYFUNCTION("GOOGLETRANSLATE(C947, ""en"", ""TL"")"),"Sa Pilipinas, ang pagkidnap ay isang seryosong krimen na may malupit na parusa. Narito ang isang breakdown ng kalubhaan at mga potensyal na kahihinatnan:
**Kalubhaan:**
* **Marahas na Krimen:** Ang pagkidnap ay itinuturing na isang marahas na krimen at ti"&amp;"natrato nang may kalubhaan ng sistema ng hustisya. Ito ay isang krimen na naglalagay ng takot at maaaring magkaroon ng pangmatagalang psychological trauma sa biktima.
* **Iba't ibang Degree:** Kinikilala ng batas ng Pilipinas ang iba't ibang antas ng pagk"&amp;"idnap na may iba't ibang mga parusa depende sa mga pangyayari (pagkakaroon ng malubhang pisikal na pinsala, hinihingi ng ransom, atbp.).
**Potensyal na Mga Parusa:**
Ang parusa para sa kidnapping ay depende sa partikular na uri ng kidnapping na ginawa, ga"&amp;"ya ng nakabalangkas sa Article 267 ng Revised Penal Code (RA 18):
* **Pagkidnap at Malubhang Illegal na Detensyon:** Ito ang batayang pagkakasala at may parusang reclusion perpetua (habang buhay na pagkakakulong) hanggang kamatayan. Nalalapat ito sa mga k"&amp;"aso kung saan ang pagkidnap ay tumatagal ng higit sa limang araw, nagsasangkot ng pagtulad sa pampublikong awtoridad, o nagdulot ng malubhang pisikal na pinsala sa biktima.
* **Pagkidnap na may Pantubos:** Ang parusa ay kamatayan kung ang pagkidnap ay gin"&amp;"awa para sa layunin ng pangingikil ng ransom mula sa biktima o sinumang ibang tao.
* **Pagkidnap sa isang Menor de edad, Babae, o Pampublikong Opisyal:** Ang parusa ay reclusion perpetua kahit na wala sa mga pangyayaring nabanggit sa itaas ang naroroon. A"&amp;"ng pagkidnap sa mga mahihinang grupong ito ay nakikita na partikular na kasuklam-suklam.
* **Slight Illegal Detention:** Ito ay isang mas mababang pagkakasala na nalalapat sa mga kaso kung saan wala sa mga nagpapalubha na pangyayari ay naroroon. Ang parus"&amp;"a ay reclusion temporal (pagkakulong ng maximum na 14 na taon at 8 buwan).
**Narito ang ilang mapagkukunan para sa karagdagang paggalugad:**
* Binagong Kodigo Penal (Artikulo 267): [https://lawphil.net/judjuris/juri2020/jan2020/gr_229086_2020.html](https:"&amp;"//lawphil.net/judjuris/juri2020/jan2020/gr_229086_2020.html)
**Tandaan:** Ang impormasyong ito ay para sa pangkalahatang kaalaman lamang. Ang mga partikular na singil at parusa na maaari mong harapin ay depende sa mga detalye ng iyong kaso. Ang pagkonsult"&amp;"a sa isang abogado ay mahalaga upang maunawaan ang mga potensyal na kahihinatnan at bumuo ng isang malakas na depensa.")</f>
        <v>Sa Pilipinas, ang pagkidnap ay isang seryosong krimen na may malupit na parusa. Narito ang isang breakdown ng kalubhaan at mga potensyal na kahihinatnan:
**Kalubhaan:**
* **Marahas na Krimen:** Ang pagkidnap ay itinuturing na isang marahas na krimen at tinatrato nang may kalubhaan ng sistema ng hustisya. Ito ay isang krimen na naglalagay ng takot at maaaring magkaroon ng pangmatagalang psychological trauma sa biktima.
* **Iba't ibang Degree:** Kinikilala ng batas ng Pilipinas ang iba't ibang antas ng pagkidnap na may iba't ibang mga parusa depende sa mga pangyayari (pagkakaroon ng malubhang pisikal na pinsala, hinihingi ng ransom, atbp.).
**Potensyal na Mga Parusa:**
Ang parusa para sa kidnapping ay depende sa partikular na uri ng kidnapping na ginawa, gaya ng nakabalangkas sa Article 267 ng Revised Penal Code (RA 18):
* **Pagkidnap at Malubhang Illegal na Detensyon:** Ito ang batayang pagkakasala at may parusang reclusion perpetua (habang buhay na pagkakakulong) hanggang kamatayan. Nalalapat ito sa mga kaso kung saan ang pagkidnap ay tumatagal ng higit sa limang araw, nagsasangkot ng pagtulad sa pampublikong awtoridad, o nagdulot ng malubhang pisikal na pinsala sa biktima.
* **Pagkidnap na may Pantubos:** Ang parusa ay kamatayan kung ang pagkidnap ay ginawa para sa layunin ng pangingikil ng ransom mula sa biktima o sinumang ibang tao.
* **Pagkidnap sa isang Menor de edad, Babae, o Pampublikong Opisyal:** Ang parusa ay reclusion perpetua kahit na wala sa mga pangyayaring nabanggit sa itaas ang naroroon. Ang pagkidnap sa mga mahihinang grupong ito ay nakikita na partikular na kasuklam-suklam.
* **Slight Illegal Detention:** Ito ay isang mas mababang pagkakasala na nalalapat sa mga kaso kung saan wala sa mga nagpapalubha na pangyayari ay naroroon. Ang parusa ay reclusion temporal (pagkakulong ng maximum na 14 na taon at 8 buwan).
**Narito ang ilang mapagkukunan para sa karagdagang paggalugad:**
* Binagong Kodigo Penal (Artikulo 267): [https://lawphil.net/judjuris/juri2020/jan2020/gr_229086_2020.html](https://lawphil.net/judjuris/juri2020/jan2020/gr_229086_2020.html)
**Tandaan:** Ang impormasyong ito ay para sa pangkalahatang kaalaman lamang. Ang mga partikular na singil at parusa na maaari mong harapin ay depende sa mga detalye ng iyong kaso. Ang pagkonsulta sa isang abogado ay mahalaga upang maunawaan ang mga potensyal na kahihinatnan at bumuo ng isang malakas na depensa.</v>
      </c>
      <c r="F947" s="2">
        <f t="shared" si="1"/>
        <v>0</v>
      </c>
      <c r="G947" s="2"/>
      <c r="H947" s="2"/>
      <c r="I947" s="2"/>
      <c r="J947" s="2"/>
      <c r="K947" s="2"/>
      <c r="L947" s="2"/>
      <c r="M947" s="2"/>
      <c r="N947" s="2"/>
      <c r="O947" s="2"/>
      <c r="P947" s="2"/>
      <c r="Q947" s="2"/>
      <c r="R947" s="2"/>
      <c r="S947" s="2"/>
      <c r="T947" s="2"/>
      <c r="U947" s="2"/>
      <c r="V947" s="2"/>
      <c r="W947" s="2"/>
      <c r="X947" s="2"/>
      <c r="Y947" s="2"/>
      <c r="Z947" s="2"/>
      <c r="AA947" s="2"/>
    </row>
    <row r="948">
      <c r="A948" s="3" t="s">
        <v>2763</v>
      </c>
      <c r="B948" s="1" t="s">
        <v>3057</v>
      </c>
      <c r="C948" s="1" t="s">
        <v>3058</v>
      </c>
      <c r="D948" s="1" t="s">
        <v>3059</v>
      </c>
      <c r="E948" s="2" t="str">
        <f>IFERROR(__xludf.DUMMYFUNCTION("GOOGLETRANSLATE(C948, ""en"", ""TL"")"),"Ang legal na kahulugan ng kidnapping sa Pilipinas ay makikita sa Article 267 ng Revised Penal Code (RA 18). Narito ang isang breakdown ng mga pangunahing elemento:
**Ang Batas:** Nakatuon ang batas sa pagkilos ng pag-alis sa ibang tao ng kalayaan ""labag "&amp;"sa kanilang kalooban."" Ito ay maaaring magsasangkot ng sapilitang transportasyon, pagdukot, o anumang iba pang paraan ng paghihigpit sa kalayaan sa paggalaw ng isang tao.
**Tagal:** Ang Binagong Kodigo Penal ay hindi tumutukoy ng pinakamababang tagal par"&amp;"a sa pagkidnap upang ituring na isang krimen. Gayunpaman, ang parusa ay nagiging mas malupit kung ang pagkakait ng kalayaan ay tumatagal ng higit sa limang araw.
**Nagpapalubha ng mga Kalagayan:** Ang ilang partikular na pangyayari ay makabuluhang nagpapa"&amp;"taas ng parusa para sa pagkidnap:
* **Malubhang Pisikal na Pinsala:** Kung ang biktima ay dumanas ng malubhang pisikal na pinsala sa panahon ng pagkidnap, ang parusa ay mas malupit.
* **Simulating Public Authority:** Kung ang mga kidnapper ay nagpapanggap"&amp;" na nagpapatupad ng batas o iba pang opisyal para makuha ang tiwala ng biktima, mas matindi ang parusa.
* **Ransom Demand:** Kung ang pagkidnap ay ginawa sa layuning mangikil ng ransom, ang parusa ay kamatayan.
**Mga Espesyal na Kaso:** Isinasaalang-alang"&amp;" ng batas na mas seryoso ang pagkidnap sa isang menor de edad, babae, o pampublikong opisyal:
* **Mga Menor de edad at Babae:** Ang pagkidnap sa isang taong itinuturing na mahina dahil sa edad o kasarian ay may mas mabigat na parusa, kahit na wala ang nag"&amp;"papalubha na mga pangyayari na binanggit sa itaas.
* **Mga Pampublikong Opisyal:** Ang pagkidnap sa isang tao sa posisyon ng pampublikong awtoridad ay itinuturing na isang matinding pagkakasala at may hatol na habambuhay.
**Narito ang ilang mapagkukunan p"&amp;"ara sa karagdagang paggalugad:**
* Binagong Kodigo Penal (Artikulo 267): [https://lawphil.net/judjuris/juri1964/mar1964/gr_l-21991_1964.html](https://lawphil.net/judjuris/juri1964/mar1964/gr_l-219491_1964.html )
**Disclaimer:** Ang impormasyong ito ay par"&amp;"a sa pangkalahatang kaalaman lamang at hindi bumubuo ng legal na payo. Ang mga partikular na detalye ng isang kaso ng pagkidnap ay maaaring makabuluhang makaimpluwensya sa mga singil at parusang kasangkot. Ang pagkonsulta sa isang kwalipikadong abogado ay"&amp;" mahalaga upang maunawaan ang mga ligal na lilim ng iyong sitwasyon.")</f>
        <v>Ang legal na kahulugan ng kidnapping sa Pilipinas ay makikita sa Article 267 ng Revised Penal Code (RA 18). Narito ang isang breakdown ng mga pangunahing elemento:
**Ang Batas:** Nakatuon ang batas sa pagkilos ng pag-alis sa ibang tao ng kalayaan "labag sa kanilang kalooban." Ito ay maaaring magsasangkot ng sapilitang transportasyon, pagdukot, o anumang iba pang paraan ng paghihigpit sa kalayaan sa paggalaw ng isang tao.
**Tagal:** Ang Binagong Kodigo Penal ay hindi tumutukoy ng pinakamababang tagal para sa pagkidnap upang ituring na isang krimen. Gayunpaman, ang parusa ay nagiging mas malupit kung ang pagkakait ng kalayaan ay tumatagal ng higit sa limang araw.
**Nagpapalubha ng mga Kalagayan:** Ang ilang partikular na pangyayari ay makabuluhang nagpapataas ng parusa para sa pagkidnap:
* **Malubhang Pisikal na Pinsala:** Kung ang biktima ay dumanas ng malubhang pisikal na pinsala sa panahon ng pagkidnap, ang parusa ay mas malupit.
* **Simulating Public Authority:** Kung ang mga kidnapper ay nagpapanggap na nagpapatupad ng batas o iba pang opisyal para makuha ang tiwala ng biktima, mas matindi ang parusa.
* **Ransom Demand:** Kung ang pagkidnap ay ginawa sa layuning mangikil ng ransom, ang parusa ay kamatayan.
**Mga Espesyal na Kaso:** Isinasaalang-alang ng batas na mas seryoso ang pagkidnap sa isang menor de edad, babae, o pampublikong opisyal:
* **Mga Menor de edad at Babae:** Ang pagkidnap sa isang taong itinuturing na mahina dahil sa edad o kasarian ay may mas mabigat na parusa, kahit na wala ang nagpapalubha na mga pangyayari na binanggit sa itaas.
* **Mga Pampublikong Opisyal:** Ang pagkidnap sa isang tao sa posisyon ng pampublikong awtoridad ay itinuturing na isang matinding pagkakasala at may hatol na habambuhay.
**Narito ang ilang mapagkukunan para sa karagdagang paggalugad:**
* Binagong Kodigo Penal (Artikulo 267): [https://lawphil.net/judjuris/juri1964/mar1964/gr_l-21991_1964.html](https://lawphil.net/judjuris/juri1964/mar1964/gr_l-219491_1964.html )
**Disclaimer:** Ang impormasyong ito ay para sa pangkalahatang kaalaman lamang at hindi bumubuo ng legal na payo. Ang mga partikular na detalye ng isang kaso ng pagkidnap ay maaaring makabuluhang makaimpluwensya sa mga singil at parusang kasangkot. Ang pagkonsulta sa isang kwalipikadong abogado ay mahalaga upang maunawaan ang mga ligal na lilim ng iyong sitwasyon.</v>
      </c>
      <c r="F948" s="2">
        <f t="shared" si="1"/>
        <v>0</v>
      </c>
      <c r="G948" s="2"/>
      <c r="H948" s="2"/>
      <c r="I948" s="2"/>
      <c r="J948" s="2"/>
      <c r="K948" s="2"/>
      <c r="L948" s="2"/>
      <c r="M948" s="2"/>
      <c r="N948" s="2"/>
      <c r="O948" s="2"/>
      <c r="P948" s="2"/>
      <c r="Q948" s="2"/>
      <c r="R948" s="2"/>
      <c r="S948" s="2"/>
      <c r="T948" s="2"/>
      <c r="U948" s="2"/>
      <c r="V948" s="2"/>
      <c r="W948" s="2"/>
      <c r="X948" s="2"/>
      <c r="Y948" s="2"/>
      <c r="Z948" s="2"/>
      <c r="AA948" s="2"/>
    </row>
    <row r="949">
      <c r="A949" s="3" t="s">
        <v>2763</v>
      </c>
      <c r="B949" s="1" t="s">
        <v>3060</v>
      </c>
      <c r="C949" s="1" t="s">
        <v>3061</v>
      </c>
      <c r="D949" s="1" t="s">
        <v>3062</v>
      </c>
      <c r="E949" s="2" t="str">
        <f>IFERROR(__xludf.DUMMYFUNCTION("GOOGLETRANSLATE(C949, ""en"", ""TL"")"),"Ang kalubhaan ng kasong kidnapping sa Pilipinas ay nakasalalay sa ilang salik na nakabalangkas sa Article 267 ng Revised Penal Code (RA 18). Tinutukoy ng mga salik na ito ang partikular na uri ng paglabag sa kidnapping at ang kaukulang parusa. Narito ang "&amp;"isang breakdown ng mga pangunahing salik:
* **Tagal ng Pagkabihag:** Ang batayang paglabag sa ilalim ng Artikulo 267 ay ""Pagkidnap at Malubhang Illegal na Detensyon."" Bagama't hindi tinukoy ng batas ang isang minimum na tagal, ang isang mas mahabang pag"&amp;"kabihag (higit sa limang araw) ay karaniwang isinasalin sa isang mas malupit na parusa.
* **Pagkakaroon ng Karahasan o Mga Banta:** Kung ang pagkidnap ay nagsasangkot ng karahasan, pananakot, o nagdulot ng malubhang pisikal na pinsala sa biktima, ang paru"&amp;"sa ay magiging mas matindi. Sinasalamin nito ang tumaas na trauma at panganib na naidulot sa biktima.
* **Mga Hinihingi sa Pantubos:** Ang pagkidnap para sa ransom ay itinuturing na pinakamabigat na pagkakasala sa ilalim ng Artikulo 267 at may pinakamataa"&amp;"s na parusa, na kamatayan. Kinikilala ng batas ang tumaas na takot at potensyal na pagkawala na nauugnay sa mga hinihingi ng ransom.
* **Pagkakakilanlan ng Biktima:** Isinasaalang-alang ng batas ang pagkidnap sa ilang indibidwal kahit na mas mabibigat na "&amp;"pagkakasala:
* **Mga Menor de edad:** Ang pagkidnap sa isang menor de edad ay itinuturing na partikular na kapintasan dahil sa kanilang kahinaan. Kahit na walang nagpapalubha na pangyayari, ito ay nagdadala ng habambuhay na sentensiya (reclusion perpetua)"&amp;". * **Mga Babae:** Katulad ng mga menor de edad, ang pagkidnap sa isang babae ay itinuturing na mas matindi dahil sa potensyal na pagsasamantala at kahinaan. Ito ay umaakit ng habambuhay na sentensiya nang hindi nangangailangan ng nagpapalubha na mga sali"&amp;"k.
* **Mga Pampublikong Opisyal:** Ang pagkidnap sa isang tao sa posisyon ng pampublikong awtoridad ay itinuturing na isang seryosong pag-atake sa kaayusan at kaligtasan ng publiko. Mayroon din itong habambuhay na sentensiya.
* **Pagpapanggap ng Awtoridad"&amp;":** Kung nagpanggap ang mga kidnapper bilang tagapagpatupad ng batas o iba pang opisyal upang makuha ang tiwala ng biktima, ito ay itinuturing na isang nagpapalubha na pangyayari at nagpapataas ng parusa.
* **Lawak ng Pagpaplano:** Bagama't hindi tahasang"&amp;" binanggit sa batas, ang isang mahusay na binalak at organisadong pagkidnap ay maaaring makita bilang isang mas malubhang pagkakasala kumpara sa isang kusang pagkilos.
**Tandaan, ilan lang ito sa mga salik na nakakaimpluwensya sa tindi ng singil sa pagkid"&amp;"nap.** Ang mga partikular na detalye ng bawat kaso ay mahalaga. Ang pagkonsulta sa isang abogado ay mahalaga upang maunawaan kung paano naaangkop ang mga salik na ito sa iyong sitwasyon at ang mga potensyal na kahihinatnan na maaari mong harapin.
Narito a"&amp;"ng ilang mapagkukunan para sa karagdagang paggalugad:
* Binagong Kodigo Penal (Artikulo 267): [https://lawphil.net/judjuris/juri2020/jan2020/gr_229086_2020.html](https://lawphil.net/judjuris/juri2020/jan2020/gr_229086_2020.html)")</f>
        <v>Ang kalubhaan ng kasong kidnapping sa Pilipinas ay nakasalalay sa ilang salik na nakabalangkas sa Article 267 ng Revised Penal Code (RA 18). Tinutukoy ng mga salik na ito ang partikular na uri ng paglabag sa kidnapping at ang kaukulang parusa. Narito ang isang breakdown ng mga pangunahing salik:
* **Tagal ng Pagkabihag:** Ang batayang paglabag sa ilalim ng Artikulo 267 ay "Pagkidnap at Malubhang Illegal na Detensyon." Bagama't hindi tinukoy ng batas ang isang minimum na tagal, ang isang mas mahabang pagkabihag (higit sa limang araw) ay karaniwang isinasalin sa isang mas malupit na parusa.
* **Pagkakaroon ng Karahasan o Mga Banta:** Kung ang pagkidnap ay nagsasangkot ng karahasan, pananakot, o nagdulot ng malubhang pisikal na pinsala sa biktima, ang parusa ay magiging mas matindi. Sinasalamin nito ang tumaas na trauma at panganib na naidulot sa biktima.
* **Mga Hinihingi sa Pantubos:** Ang pagkidnap para sa ransom ay itinuturing na pinakamabigat na pagkakasala sa ilalim ng Artikulo 267 at may pinakamataas na parusa, na kamatayan. Kinikilala ng batas ang tumaas na takot at potensyal na pagkawala na nauugnay sa mga hinihingi ng ransom.
* **Pagkakakilanlan ng Biktima:** Isinasaalang-alang ng batas ang pagkidnap sa ilang indibidwal kahit na mas mabibigat na pagkakasala:
* **Mga Menor de edad:** Ang pagkidnap sa isang menor de edad ay itinuturing na partikular na kapintasan dahil sa kanilang kahinaan. Kahit na walang nagpapalubha na pangyayari, ito ay nagdadala ng habambuhay na sentensiya (reclusion perpetua). * **Mga Babae:** Katulad ng mga menor de edad, ang pagkidnap sa isang babae ay itinuturing na mas matindi dahil sa potensyal na pagsasamantala at kahinaan. Ito ay umaakit ng habambuhay na sentensiya nang hindi nangangailangan ng nagpapalubha na mga salik.
* **Mga Pampublikong Opisyal:** Ang pagkidnap sa isang tao sa posisyon ng pampublikong awtoridad ay itinuturing na isang seryosong pag-atake sa kaayusan at kaligtasan ng publiko. Mayroon din itong habambuhay na sentensiya.
* **Pagpapanggap ng Awtoridad:** Kung nagpanggap ang mga kidnapper bilang tagapagpatupad ng batas o iba pang opisyal upang makuha ang tiwala ng biktima, ito ay itinuturing na isang nagpapalubha na pangyayari at nagpapataas ng parusa.
* **Lawak ng Pagpaplano:** Bagama't hindi tahasang binanggit sa batas, ang isang mahusay na binalak at organisadong pagkidnap ay maaaring makita bilang isang mas malubhang pagkakasala kumpara sa isang kusang pagkilos.
**Tandaan, ilan lang ito sa mga salik na nakakaimpluwensya sa tindi ng singil sa pagkidnap.** Ang mga partikular na detalye ng bawat kaso ay mahalaga. Ang pagkonsulta sa isang abogado ay mahalaga upang maunawaan kung paano naaangkop ang mga salik na ito sa iyong sitwasyon at ang mga potensyal na kahihinatnan na maaari mong harapin.
Narito ang ilang mapagkukunan para sa karagdagang paggalugad:
* Binagong Kodigo Penal (Artikulo 267): [https://lawphil.net/judjuris/juri2020/jan2020/gr_229086_2020.html](https://lawphil.net/judjuris/juri2020/jan2020/gr_229086_2020.html)</v>
      </c>
      <c r="F949" s="2">
        <f t="shared" si="1"/>
        <v>0</v>
      </c>
      <c r="G949" s="2"/>
      <c r="H949" s="2"/>
      <c r="I949" s="2"/>
      <c r="J949" s="2"/>
      <c r="K949" s="2"/>
      <c r="L949" s="2"/>
      <c r="M949" s="2"/>
      <c r="N949" s="2"/>
      <c r="O949" s="2"/>
      <c r="P949" s="2"/>
      <c r="Q949" s="2"/>
      <c r="R949" s="2"/>
      <c r="S949" s="2"/>
      <c r="T949" s="2"/>
      <c r="U949" s="2"/>
      <c r="V949" s="2"/>
      <c r="W949" s="2"/>
      <c r="X949" s="2"/>
      <c r="Y949" s="2"/>
      <c r="Z949" s="2"/>
      <c r="AA949" s="2"/>
    </row>
    <row r="950">
      <c r="A950" s="3" t="s">
        <v>2763</v>
      </c>
      <c r="B950" s="1" t="s">
        <v>3063</v>
      </c>
      <c r="C950" s="1" t="s">
        <v>3064</v>
      </c>
      <c r="D950" s="1" t="s">
        <v>3065</v>
      </c>
      <c r="E950" s="2" t="str">
        <f>IFERROR(__xludf.DUMMYFUNCTION("GOOGLETRANSLATE(C950, ""en"", ""TL"")"),"Tinutukoy ng batas ng Pilipinas ang pagkakaiba sa pagitan ng kidnapping at huwad na pagkakulong, kahit na parehong may kinalaman sa pagkakait sa isang tao ng kanilang kalayaan. Narito ang isang breakdown ng mga pangunahing pagkakaiba:
**Pagkidnap (Artikul"&amp;"o 267, Binagong Kodigo Penal):**
* **Nakatuon sa Paggalaw:** Ang pagkidnap ay karaniwang nagsasangkot ng pag-alis ng isang tao mula sa kanilang karaniwang lugar na labag sa kanilang kalooban. Ang paggalaw na ito, o asportasyon, ay isang mahalagang element"&amp;"o.
* **Tagal na Hindi Mahalaga (Base na Pagkakasala):** Ang batayang pagkakasala ng kidnapping at seryosong iligal na pagpigil ay hindi tumutukoy ng pinakamababang tagal. Gayunpaman, ang mas mahabang pagkabihag ay kadalasang humahantong sa mas mabibigat n"&amp;"a parusa.
* **Nagpapalubha ng mga Kalagayan:** Ang pagkakaroon ng karahasan, pagbabanta, paghingi ng ransom, o pag-target sa mga partikular na biktima (mga menor de edad, babae, pampublikong opisyal) ay makabuluhang nagpapataas ng parusa para sa kidnappin"&amp;"g.
**Maling Pagkakulong:**
* **No Movement Required:** Ang maling pagkakulong ay nagsasangkot ng paghihigpit sa kalayaan ng isang tao sa paggalaw sa loob ng isang nakakulong na espasyo, kahit na ang kanilang sariling tahanan. Ang paggalaw ay hindi isang k"&amp;"inakailangang elemento.
* **Nakatuon sa Labag sa Batas na Pagkulong:** Ang pangunahing elemento ay ang labag sa batas na pagkulong o pagpigil sa kalayaan ng biktima.
* **Lesser Penalty:** Ang maling pagkakulong ay karaniwang itinuturing na hindi gaanong s"&amp;"eryosong pagkakasala kumpara sa kidnapping at may mas magaan na parusa (maximum na anim na buwang pagkakakulong).
Narito ang isang talahanayan na nagbubuod sa mga pangunahing pagkakaiba:
| Tampok | Pagkidnap | Maling Pagkakulong |
|-----------------------"&amp;"----------------|---------------------- ------------------------|----------------------- -------|
| Paggalaw | Kinakailangan (asportasyon) | Hindi Kinakailangan |
| Tagal | Maaaring may kaugnayan sa parusa (mas malupit nang mas matagal) | Hindi isang pang"&amp;"unahing kadahilanan |
| Nagpapalubha ng mga Kalagayan | Dagdagan ang parusa (karahasan, pantubos, atbp.) | Hindi Naaangkop |
| Uri ng Biktima | Maaaring makaapekto sa parusa (mga menor de edad, babae, atbp.) | Hindi Naaangkop |
| Parusa | Mas malala (kabi"&amp;"lang ang kamatayan) | Hindi gaanong malala (max 6 na buwan) |
**Tandaan, ang mga partikular na katotohanan ng isang kaso ay mahalaga.** Minsan, ang linya sa pagitan ng kidnapping at maling pagkakulong ay maaaring malabo. Narito ang ilang karagdagang punto"&amp;" na dapat isaalang-alang:
* **Layunin:** Sa kidnapping, ang layunin ay karaniwang ilipat ang biktima sa ibang lokasyon. Sa maling pagkakulong, ang layunin ay paghigpitan ang kanilang kalayaan sa isang nakakulong na espasyo. Gayunpaman, ang pagpapatunay ng"&amp;" layunin ay maaaring maging kumplikado. * **Tagal:** Bagama't hindi tumutukoy sa salik sa batayang pagkakasala ng pagkidnap, ang napakaikling tagal ay maaaring higit na nagpapahiwatig ng maling pagkakulong.
* **Legal na Representasyon:** Kung nahaharap sa"&amp;" mga akusasyon ng alinmang pagkakasala, ang pagkonsulta sa isang abogado ay mahalaga. Maaari nilang suriin ang mga partikular na detalye ng iyong kaso at matukoy ang pinakaangkop na diskarte sa pagtatanggol.
Narito ang ilang mapagkukunan para sa karagdaga"&amp;"ng paggalugad:
* Binagong Kodigo Penal (Artikulo 267): [https://lawphil.net/judjuris/juri2020/jan2020/gr_229086_2020.html](https://lawphil.net/judjuris/juri2020/jan2020/gr_229086_2020.html)")</f>
        <v>Tinutukoy ng batas ng Pilipinas ang pagkakaiba sa pagitan ng kidnapping at huwad na pagkakulong, kahit na parehong may kinalaman sa pagkakait sa isang tao ng kanilang kalayaan. Narito ang isang breakdown ng mga pangunahing pagkakaiba:
**Pagkidnap (Artikulo 267, Binagong Kodigo Penal):**
* **Nakatuon sa Paggalaw:** Ang pagkidnap ay karaniwang nagsasangkot ng pag-alis ng isang tao mula sa kanilang karaniwang lugar na labag sa kanilang kalooban. Ang paggalaw na ito, o asportasyon, ay isang mahalagang elemento.
* **Tagal na Hindi Mahalaga (Base na Pagkakasala):** Ang batayang pagkakasala ng kidnapping at seryosong iligal na pagpigil ay hindi tumutukoy ng pinakamababang tagal. Gayunpaman, ang mas mahabang pagkabihag ay kadalasang humahantong sa mas mabibigat na parusa.
* **Nagpapalubha ng mga Kalagayan:** Ang pagkakaroon ng karahasan, pagbabanta, paghingi ng ransom, o pag-target sa mga partikular na biktima (mga menor de edad, babae, pampublikong opisyal) ay makabuluhang nagpapataas ng parusa para sa kidnapping.
**Maling Pagkakulong:**
* **No Movement Required:** Ang maling pagkakulong ay nagsasangkot ng paghihigpit sa kalayaan ng isang tao sa paggalaw sa loob ng isang nakakulong na espasyo, kahit na ang kanilang sariling tahanan. Ang paggalaw ay hindi isang kinakailangang elemento.
* **Nakatuon sa Labag sa Batas na Pagkulong:** Ang pangunahing elemento ay ang labag sa batas na pagkulong o pagpigil sa kalayaan ng biktima.
* **Lesser Penalty:** Ang maling pagkakulong ay karaniwang itinuturing na hindi gaanong seryosong pagkakasala kumpara sa kidnapping at may mas magaan na parusa (maximum na anim na buwang pagkakakulong).
Narito ang isang talahanayan na nagbubuod sa mga pangunahing pagkakaiba:
| Tampok | Pagkidnap | Maling Pagkakulong |
|---------------------------------------|---------------------- ------------------------|----------------------- -------|
| Paggalaw | Kinakailangan (asportasyon) | Hindi Kinakailangan |
| Tagal | Maaaring may kaugnayan sa parusa (mas malupit nang mas matagal) | Hindi isang pangunahing kadahilanan |
| Nagpapalubha ng mga Kalagayan | Dagdagan ang parusa (karahasan, pantubos, atbp.) | Hindi Naaangkop |
| Uri ng Biktima | Maaaring makaapekto sa parusa (mga menor de edad, babae, atbp.) | Hindi Naaangkop |
| Parusa | Mas malala (kabilang ang kamatayan) | Hindi gaanong malala (max 6 na buwan) |
**Tandaan, ang mga partikular na katotohanan ng isang kaso ay mahalaga.** Minsan, ang linya sa pagitan ng kidnapping at maling pagkakulong ay maaaring malabo. Narito ang ilang karagdagang punto na dapat isaalang-alang:
* **Layunin:** Sa kidnapping, ang layunin ay karaniwang ilipat ang biktima sa ibang lokasyon. Sa maling pagkakulong, ang layunin ay paghigpitan ang kanilang kalayaan sa isang nakakulong na espasyo. Gayunpaman, ang pagpapatunay ng layunin ay maaaring maging kumplikado. * **Tagal:** Bagama't hindi tumutukoy sa salik sa batayang pagkakasala ng pagkidnap, ang napakaikling tagal ay maaaring higit na nagpapahiwatig ng maling pagkakulong.
* **Legal na Representasyon:** Kung nahaharap sa mga akusasyon ng alinmang pagkakasala, ang pagkonsulta sa isang abogado ay mahalaga. Maaari nilang suriin ang mga partikular na detalye ng iyong kaso at matukoy ang pinakaangkop na diskarte sa pagtatanggol.
Narito ang ilang mapagkukunan para sa karagdagang paggalugad:
* Binagong Kodigo Penal (Artikulo 267): [https://lawphil.net/judjuris/juri2020/jan2020/gr_229086_2020.html](https://lawphil.net/judjuris/juri2020/jan2020/gr_229086_2020.html)</v>
      </c>
      <c r="F950" s="2">
        <f t="shared" si="1"/>
        <v>0</v>
      </c>
      <c r="G950" s="2"/>
      <c r="H950" s="2"/>
      <c r="I950" s="2"/>
      <c r="J950" s="2"/>
      <c r="K950" s="2"/>
      <c r="L950" s="2"/>
      <c r="M950" s="2"/>
      <c r="N950" s="2"/>
      <c r="O950" s="2"/>
      <c r="P950" s="2"/>
      <c r="Q950" s="2"/>
      <c r="R950" s="2"/>
      <c r="S950" s="2"/>
      <c r="T950" s="2"/>
      <c r="U950" s="2"/>
      <c r="V950" s="2"/>
      <c r="W950" s="2"/>
      <c r="X950" s="2"/>
      <c r="Y950" s="2"/>
      <c r="Z950" s="2"/>
      <c r="AA950" s="2"/>
    </row>
    <row r="951">
      <c r="A951" s="3" t="s">
        <v>2763</v>
      </c>
      <c r="B951" s="1" t="s">
        <v>3066</v>
      </c>
      <c r="C951" s="1" t="s">
        <v>3067</v>
      </c>
      <c r="D951" s="2" t="str">
        <f>IFERROR(__xludf.DUMMYFUNCTION("GOOGLETRANSLATE(B951, ""en"", ""TL"")"),"Ano ang dapat kong gawin kung ako ay maling inakusahan ng kidnapping?")</f>
        <v>Ano ang dapat kong gawin kung ako ay maling inakusahan ng kidnapping?</v>
      </c>
      <c r="E951" s="2" t="str">
        <f>IFERROR(__xludf.DUMMYFUNCTION("GOOGLETRANSLATE(C951, ""en"", ""TL"")"),"Narito ang dapat mong gawin kung naakusahan ka ng kidnapping sa Pilipinas:
**1. Manatiling Kalmado at Huwag Lumaban:** Kung lalapitan ng nagpapatupad ng batas, manatiling kalmado at makipagtulungan. Ang paglaban sa pag-aresto ay makikita bilang pag-amin n"&amp;"g pagkakasala at humantong sa mga karagdagang singil.
**2. Humiling Kaagad ng Abogado:** Ang iyong pinakamahalagang hakbang ay humiling ng abogado sa lalong madaling panahon. May karapatan kang maging legal na tagapayo sa ilalim ng Konstitusyon ng Pilipin"&amp;"as (Seksyon 2, Artikulo III). Huwag sagutin ang anumang mga tanong o gumawa ng anumang mga pahayag hangga't hindi mo nakakausap ang iyong abogado.
**3. Iwasang Magbigay ng mga Pahayag sa Kaninuman Maliban sa Iyong Abogado:** Anumang sasabihin mo ay maaari"&amp;"ng gamitin laban sa iyo. Maaaring payuhan ka ng iyong abogado kung ano ang sasabihin at kung paano pinakamahusay na makipagtulungan sa imbestigasyon habang pinoprotektahan ang iyong mga karapatan.
**4. Magtipon ng Ebidensya ng Iyong Kawalang-kasalanan:** "&amp;"Kung mayroon kang anumang ebidensya na nagpapatunay sa iyong kinaroroonan o alibi sa panahon ng di-umano'y pagkidnap, ibigay ito sa iyong abogado. Maaaring kabilang dito ang mga resibo, testimonya ng saksi, CCTV footage, o mga talaan ng telepono.
**5. Mak"&amp;"ipagtulungan sa Diskarte sa Pagtatanggol ng Iyong Abogado:** Maging tapat at transparent sa iyong abogado tungkol sa lahat ng mga detalye ng iyong sitwasyon. Kung mas maraming impormasyon ang mayroon sila, mas mahusay silang makakabuo ng isang malakas na "&amp;"diskarte sa pagtatanggol upang patunayan ang iyong kawalang-kasalanan.
**Narito ang ilang mapagkukunan na maaaring makatulong:**
* **Public Attorney's Office (PAO):** Ang PAO ay nagbibigay ng libreng legal na tulong sa mga mahihirap na Pilipino. Maaari ka"&amp;"ng makipag-ugnayan sa iyong lokal na tanggapan ng PAO para sa tulong sa paghahanap ng abogado: [https://pao.gov.ph/](https://pao.gov.ph/)
* **Konstitusyon ng Pilipinas:** [https://lawphil.net/consti/cons1987.html](https://lawphil.net/consti/cons1987.html)"&amp;"
**Tandaan:** Ang impormasyong ito ay para sa pangkalahatang kaalaman lamang at hindi bumubuo ng legal na payo. Ang bawat kaso ay natatangi, at ang mga partikular na hakbang ay depende sa mga detalye ng iyong sitwasyon. Ang pagkonsulta sa isang kwalipikad"&amp;"ong abogado sa lalong madaling panahon ay mahalaga upang maprotektahan ang iyong mga karapatan at labanan ang mga singil nang epektibo.")</f>
        <v>Narito ang dapat mong gawin kung naakusahan ka ng kidnapping sa Pilipinas:
**1. Manatiling Kalmado at Huwag Lumaban:** Kung lalapitan ng nagpapatupad ng batas, manatiling kalmado at makipagtulungan. Ang paglaban sa pag-aresto ay makikita bilang pag-amin ng pagkakasala at humantong sa mga karagdagang singil.
**2. Humiling Kaagad ng Abogado:** Ang iyong pinakamahalagang hakbang ay humiling ng abogado sa lalong madaling panahon. May karapatan kang maging legal na tagapayo sa ilalim ng Konstitusyon ng Pilipinas (Seksyon 2, Artikulo III). Huwag sagutin ang anumang mga tanong o gumawa ng anumang mga pahayag hangga't hindi mo nakakausap ang iyong abogado.
**3. Iwasang Magbigay ng mga Pahayag sa Kaninuman Maliban sa Iyong Abogado:** Anumang sasabihin mo ay maaaring gamitin laban sa iyo. Maaaring payuhan ka ng iyong abogado kung ano ang sasabihin at kung paano pinakamahusay na makipagtulungan sa imbestigasyon habang pinoprotektahan ang iyong mga karapatan.
**4. Magtipon ng Ebidensya ng Iyong Kawalang-kasalanan:** Kung mayroon kang anumang ebidensya na nagpapatunay sa iyong kinaroroonan o alibi sa panahon ng di-umano'y pagkidnap, ibigay ito sa iyong abogado. Maaaring kabilang dito ang mga resibo, testimonya ng saksi, CCTV footage, o mga talaan ng telepono.
**5. Makipagtulungan sa Diskarte sa Pagtatanggol ng Iyong Abogado:** Maging tapat at transparent sa iyong abogado tungkol sa lahat ng mga detalye ng iyong sitwasyon. Kung mas maraming impormasyon ang mayroon sila, mas mahusay silang makakabuo ng isang malakas na diskarte sa pagtatanggol upang patunayan ang iyong kawalang-kasalanan.
**Narito ang ilang mapagkukunan na maaaring makatulong:**
* **Public Attorney's Office (PAO):** Ang PAO ay nagbibigay ng libreng legal na tulong sa mga mahihirap na Pilipino. Maaari kang makipag-ugnayan sa iyong lokal na tanggapan ng PAO para sa tulong sa paghahanap ng abogado: [https://pao.gov.ph/](https://pao.gov.ph/)
* **Konstitusyon ng Pilipinas:** [https://lawphil.net/consti/cons1987.html](https://lawphil.net/consti/cons1987.html)
**Tandaan:** Ang impormasyong ito ay para sa pangkalahatang kaalaman lamang at hindi bumubuo ng legal na payo. Ang bawat kaso ay natatangi, at ang mga partikular na hakbang ay depende sa mga detalye ng iyong sitwasyon. Ang pagkonsulta sa isang kwalipikadong abogado sa lalong madaling panahon ay mahalaga upang maprotektahan ang iyong mga karapatan at labanan ang mga singil nang epektibo.</v>
      </c>
      <c r="F951" s="2">
        <f t="shared" si="1"/>
        <v>0</v>
      </c>
      <c r="G951" s="2"/>
      <c r="H951" s="2"/>
      <c r="I951" s="2"/>
      <c r="J951" s="2"/>
      <c r="K951" s="2"/>
      <c r="L951" s="2"/>
      <c r="M951" s="2"/>
      <c r="N951" s="2"/>
      <c r="O951" s="2"/>
      <c r="P951" s="2"/>
      <c r="Q951" s="2"/>
      <c r="R951" s="2"/>
      <c r="S951" s="2"/>
      <c r="T951" s="2"/>
      <c r="U951" s="2"/>
      <c r="V951" s="2"/>
      <c r="W951" s="2"/>
      <c r="X951" s="2"/>
      <c r="Y951" s="2"/>
      <c r="Z951" s="2"/>
      <c r="AA951" s="2"/>
    </row>
    <row r="952">
      <c r="A952" s="3" t="s">
        <v>2763</v>
      </c>
      <c r="B952" s="1" t="s">
        <v>3068</v>
      </c>
      <c r="C952" s="1" t="s">
        <v>3069</v>
      </c>
      <c r="D952" s="2" t="str">
        <f>IFERROR(__xludf.DUMMYFUNCTION("GOOGLETRANSLATE(B952, ""en"", ""TL"")"),"Mayroon bang anumang posibleng depensa laban sa kasong kidnapping?")</f>
        <v>Mayroon bang anumang posibleng depensa laban sa kasong kidnapping?</v>
      </c>
      <c r="E952" s="2" t="str">
        <f>IFERROR(__xludf.DUMMYFUNCTION("GOOGLETRANSLATE(C952, ""en"", ""TL"")"),"Oo, kinikilala ng batas ng Pilipinas ang ilang depensa laban sa kasong kidnapping sa ilalim ng Revised Penal Code (RPC). Narito ang ilang mga posibilidad:
* **Pahintulot:** Ang sinasabing biktima ay kusang sumama sa akusado at hindi pinigilan o binantaan."&amp;" * **Tapat na Pagkakamali:** Ang akusado ay tunay na naniniwala na sila ay may karapatang kunin ang tao (hal., ang isang magulang ay nagkakamali sa pagkuha ng isang bata sa panahon ng isang hindi pagkakaunawaan sa pangangalaga).
* **Kakulangan ng Layong K"&amp;"riminal:** Hindi nilayon ng akusado na kidnapin ang tao (hal., aksidenteng itinaboy ang isang tao sa kotse).
* **Entrapment:** Ang akusado ay hinikayat o hinikayat ng tagapagpatupad ng batas na gawin ang krimen.
**Kaugnay na Batas:**
* Tinutukoy at pinapa"&amp;"rusahan ng Artikulo 267 ng Revised Penal Code ang kidnapping at illegal detention [https://www.icj.org/se-asia-security-law/revised-penal-code-1930/articles-267-268-the- binagong-penal-code-an-act-revising-the-penal-code-and-other-penal-laws-no-3815-decem"&amp;"ber-8-1930/](https://www.icj.org/se- asia-security-law/revised-penal-code-1930/articles-267-268-the-revised-penal-code-an-act-revising-the-penal-code-and-other-penal-laws-no- 3815-disyembre-8-1930/)
**Mahalagang Tandaan:**
* Ang pasanin ng patunay ay naka"&amp;"salalay sa akusado upang magtatag ng wastong depensa. * Ito ay mga pangkalahatang halimbawa lamang, at ang partikular na depensa ay depende sa mga pangyayari ng kaso.
Para sa isang mas nuanced na pag-unawa sa mga depensa laban sa mga singil sa kidnapping,"&amp;" lubos na inirerekomenda na kumunsulta sa isang abogado ng Pilipinas na maaaring magsuri ng mga detalye ng iyong sitwasyon.")</f>
        <v>Oo, kinikilala ng batas ng Pilipinas ang ilang depensa laban sa kasong kidnapping sa ilalim ng Revised Penal Code (RPC). Narito ang ilang mga posibilidad:
* **Pahintulot:** Ang sinasabing biktima ay kusang sumama sa akusado at hindi pinigilan o binantaan. * **Tapat na Pagkakamali:** Ang akusado ay tunay na naniniwala na sila ay may karapatang kunin ang tao (hal., ang isang magulang ay nagkakamali sa pagkuha ng isang bata sa panahon ng isang hindi pagkakaunawaan sa pangangalaga).
* **Kakulangan ng Layong Kriminal:** Hindi nilayon ng akusado na kidnapin ang tao (hal., aksidenteng itinaboy ang isang tao sa kotse).
* **Entrapment:** Ang akusado ay hinikayat o hinikayat ng tagapagpatupad ng batas na gawin ang krimen.
**Kaugnay na Batas:**
* Tinutukoy at pinaparusahan ng Artikulo 267 ng Revised Penal Code ang kidnapping at illegal detention [https://www.icj.org/se-asia-security-law/revised-penal-code-1930/articles-267-268-the- binagong-penal-code-an-act-revising-the-penal-code-and-other-penal-laws-no-3815-december-8-1930/](https://www.icj.org/se- asia-security-law/revised-penal-code-1930/articles-267-268-the-revised-penal-code-an-act-revising-the-penal-code-and-other-penal-laws-no- 3815-disyembre-8-1930/)
**Mahalagang Tandaan:**
* Ang pasanin ng patunay ay nakasalalay sa akusado upang magtatag ng wastong depensa. * Ito ay mga pangkalahatang halimbawa lamang, at ang partikular na depensa ay depende sa mga pangyayari ng kaso.
Para sa isang mas nuanced na pag-unawa sa mga depensa laban sa mga singil sa kidnapping, lubos na inirerekomenda na kumunsulta sa isang abogado ng Pilipinas na maaaring magsuri ng mga detalye ng iyong sitwasyon.</v>
      </c>
      <c r="F952" s="2">
        <f t="shared" si="1"/>
        <v>0</v>
      </c>
      <c r="G952" s="2"/>
      <c r="H952" s="2"/>
      <c r="I952" s="2"/>
      <c r="J952" s="2"/>
      <c r="K952" s="2"/>
      <c r="L952" s="2"/>
      <c r="M952" s="2"/>
      <c r="N952" s="2"/>
      <c r="O952" s="2"/>
      <c r="P952" s="2"/>
      <c r="Q952" s="2"/>
      <c r="R952" s="2"/>
      <c r="S952" s="2"/>
      <c r="T952" s="2"/>
      <c r="U952" s="2"/>
      <c r="V952" s="2"/>
      <c r="W952" s="2"/>
      <c r="X952" s="2"/>
      <c r="Y952" s="2"/>
      <c r="Z952" s="2"/>
      <c r="AA952" s="2"/>
    </row>
    <row r="953">
      <c r="A953" s="3" t="s">
        <v>2763</v>
      </c>
      <c r="B953" s="1" t="s">
        <v>3070</v>
      </c>
      <c r="C953" s="1" t="s">
        <v>3071</v>
      </c>
      <c r="D953" s="2" t="str">
        <f>IFERROR(__xludf.DUMMYFUNCTION("GOOGLETRANSLATE(B953, ""en"", ""TL"")"),"Paano pinangangasiwaan ng batas ang mga kaso kung saan ang sinasabing biktima ay kusang sumama sa mga akusado?")</f>
        <v>Paano pinangangasiwaan ng batas ang mga kaso kung saan ang sinasabing biktima ay kusang sumama sa mga akusado?</v>
      </c>
      <c r="E953" s="2" t="str">
        <f>IFERROR(__xludf.DUMMYFUNCTION("GOOGLETRANSLATE(C953, ""en"", ""TL"")"),"Sa batas ng Pilipinas, ang katotohanan na kusang sumama sa mga akusado ang sinasabing biktima ay isang makabuluhang salik sa mga kaso ng kidnapping, ngunit hindi nito awtomatikong binabalewala ang posibilidad ng isang krimen. Narito ang isang breakdown ba"&amp;"tay sa Revised Penal Code (RPC):
**Artikulo 267 ng RPC** ay tumutukoy at nagpaparusa sa pagkidnap at iligal na pagkulong [https://lawphil.net/statutes/repacts/ra1954/ra_1084_1954.html](https://lawphil.net/statutes/repacts/ra1954/ ra_1084_1954.html). Nag-i"&amp;"iba ito sa pagitan ng dalawang sitwasyon:
1. **Pagkidnap:** Kapag ang iligal na pagkulong ay tumagal ng higit sa tatlong (3) araw.
2. **Illegal Detention:** Kapag ang iligal na detensyon ay tumagal nang wala pang tatlong (3) araw.
**Pahintulot at Depensa:"&amp;"**
Ang pahintulot ng pinaghihinalaang biktima ay mahalaga, ngunit ito ay sinusuri sa loob ng konteksto ng sitwasyon. Narito kung paano ito maaaring tingnan ng batas:
* **Tunay na Pahintulot:** Kung ang pinaghihinalaang biktima ay tunay na pumayag na sumam"&amp;"a sa akusado nang walang anumang puwersa, pananakot, o pamimilit, maaari itong maging isang malakas na depensa laban sa mga kaso ng kidnapping. * **Panggap na Pahintulot:** Ang pahintulot na nakuha sa pamamagitan ng mga pagbabanta, pangako, o pagmamanipul"&amp;"a ay hindi maituturing na tunay. Maaari nitong palakasin ang kaso ng kidnapping.
* **Edad ng Pahintulot:** Ang mga menor de edad (mas mababa sa 18 taong gulang) ay hindi maaaring legal na magbigay ng pahintulot para sa mga sitwasyong maaaring maglagay sa "&amp;"kanila sa panganib. Kahit na ang isang menor de edad ay kusang sumama sa isang tao, maaari pa rin itong ituring na kidnapping.
**Pasan ng Patunay:**
Ang prosekusyon ay may pasanin na patunayan na ang mga sumusunod na elemento ay naroroon:
* Iligal na ikin"&amp;"ulong ng akusado ang biktima.
* Ang detensyon ay tumagal para sa kaukulang panahon (higit sa 3 araw para sa kidnapping, mas mababa sa 3 araw para sa iligal na pagkulong).
**Pagsusuri ng Kaso:**
Susuriin ng mga korte ang kabuuan ng mga pangyayari upang mat"&amp;"ukoy kung ang kilos ay binubuo ng pagkidnap. Narito ang ilang salik na maaari nilang isaalang-alang:
* **Katangian ng Relasyon:** Mayroon bang dati nang relasyon sa pagitan ng akusado at ng di-umano'y biktima? * **Duration of Absence:** Gaano katagal naka"&amp;"kulong ang sinasabing biktima?
* **Mga Paghihigpit sa Kalayaan:** Pinaghigpitan ba ang kalayaan sa paggalaw ng pinaghihinalaang biktima? **Rekomendasyon:**
Kung ikaw ay nasasangkot sa isang kaso kung saan ang sinasabing biktima ay kusang sumama sa iyo, ma"&amp;"halagang kumunsulta sa isang abogado ng Pilipinas. Maaari nilang suriin ang mga partikular na detalye at payuhan ka sa naaangkop na legal na diskarte batay sa batas at jurisprudence ng Pilipinas (mga desisyon ng korte).")</f>
        <v>Sa batas ng Pilipinas, ang katotohanan na kusang sumama sa mga akusado ang sinasabing biktima ay isang makabuluhang salik sa mga kaso ng kidnapping, ngunit hindi nito awtomatikong binabalewala ang posibilidad ng isang krimen. Narito ang isang breakdown batay sa Revised Penal Code (RPC):
**Artikulo 267 ng RPC** ay tumutukoy at nagpaparusa sa pagkidnap at iligal na pagkulong [https://lawphil.net/statutes/repacts/ra1954/ra_1084_1954.html](https://lawphil.net/statutes/repacts/ra1954/ ra_1084_1954.html). Nag-iiba ito sa pagitan ng dalawang sitwasyon:
1. **Pagkidnap:** Kapag ang iligal na pagkulong ay tumagal ng higit sa tatlong (3) araw.
2. **Illegal Detention:** Kapag ang iligal na detensyon ay tumagal nang wala pang tatlong (3) araw.
**Pahintulot at Depensa:**
Ang pahintulot ng pinaghihinalaang biktima ay mahalaga, ngunit ito ay sinusuri sa loob ng konteksto ng sitwasyon. Narito kung paano ito maaaring tingnan ng batas:
* **Tunay na Pahintulot:** Kung ang pinaghihinalaang biktima ay tunay na pumayag na sumama sa akusado nang walang anumang puwersa, pananakot, o pamimilit, maaari itong maging isang malakas na depensa laban sa mga kaso ng kidnapping. * **Panggap na Pahintulot:** Ang pahintulot na nakuha sa pamamagitan ng mga pagbabanta, pangako, o pagmamanipula ay hindi maituturing na tunay. Maaari nitong palakasin ang kaso ng kidnapping.
* **Edad ng Pahintulot:** Ang mga menor de edad (mas mababa sa 18 taong gulang) ay hindi maaaring legal na magbigay ng pahintulot para sa mga sitwasyong maaaring maglagay sa kanila sa panganib. Kahit na ang isang menor de edad ay kusang sumama sa isang tao, maaari pa rin itong ituring na kidnapping.
**Pasan ng Patunay:**
Ang prosekusyon ay may pasanin na patunayan na ang mga sumusunod na elemento ay naroroon:
* Iligal na ikinulong ng akusado ang biktima.
* Ang detensyon ay tumagal para sa kaukulang panahon (higit sa 3 araw para sa kidnapping, mas mababa sa 3 araw para sa iligal na pagkulong).
**Pagsusuri ng Kaso:**
Susuriin ng mga korte ang kabuuan ng mga pangyayari upang matukoy kung ang kilos ay binubuo ng pagkidnap. Narito ang ilang salik na maaari nilang isaalang-alang:
* **Katangian ng Relasyon:** Mayroon bang dati nang relasyon sa pagitan ng akusado at ng di-umano'y biktima? * **Duration of Absence:** Gaano katagal nakakulong ang sinasabing biktima?
* **Mga Paghihigpit sa Kalayaan:** Pinaghigpitan ba ang kalayaan sa paggalaw ng pinaghihinalaang biktima? **Rekomendasyon:**
Kung ikaw ay nasasangkot sa isang kaso kung saan ang sinasabing biktima ay kusang sumama sa iyo, mahalagang kumunsulta sa isang abogado ng Pilipinas. Maaari nilang suriin ang mga partikular na detalye at payuhan ka sa naaangkop na legal na diskarte batay sa batas at jurisprudence ng Pilipinas (mga desisyon ng korte).</v>
      </c>
      <c r="F953" s="2">
        <f t="shared" si="1"/>
        <v>0</v>
      </c>
      <c r="G953" s="2"/>
      <c r="H953" s="2"/>
      <c r="I953" s="2"/>
      <c r="J953" s="2"/>
      <c r="K953" s="2"/>
      <c r="L953" s="2"/>
      <c r="M953" s="2"/>
      <c r="N953" s="2"/>
      <c r="O953" s="2"/>
      <c r="P953" s="2"/>
      <c r="Q953" s="2"/>
      <c r="R953" s="2"/>
      <c r="S953" s="2"/>
      <c r="T953" s="2"/>
      <c r="U953" s="2"/>
      <c r="V953" s="2"/>
      <c r="W953" s="2"/>
      <c r="X953" s="2"/>
      <c r="Y953" s="2"/>
      <c r="Z953" s="2"/>
      <c r="AA953" s="2"/>
    </row>
    <row r="954">
      <c r="A954" s="3" t="s">
        <v>2763</v>
      </c>
      <c r="B954" s="1" t="s">
        <v>3072</v>
      </c>
      <c r="C954" s="1" t="s">
        <v>3073</v>
      </c>
      <c r="D954" s="2" t="str">
        <f>IFERROR(__xludf.DUMMYFUNCTION("GOOGLETRANSLATE(B954, ""en"", ""TL"")"),"Ano ang papel na ginagampanan ng layunin sa isang kaso ng pagkidnap?")</f>
        <v>Ano ang papel na ginagampanan ng layunin sa isang kaso ng pagkidnap?</v>
      </c>
      <c r="E954" s="2" t="str">
        <f>IFERROR(__xludf.DUMMYFUNCTION("GOOGLETRANSLATE(C954, ""en"", ""TL"")"),"Ang layunin ay gumaganap ng isang mahalagang papel sa mga kaso ng kidnapping sa ilalim ng batas ng Pilipinas, partikular na ang Revised Penal Code (RPC). Ganito:
**Ang Dalawang Elemento ng Pagkidnap:**
Tinutukoy ng Article 267 ng RPC ang kidnapping at ill"&amp;"egal detention [https://lawphil.net/judjuris/juri1964/mar1964/gr_l-21991_1964.html](https://lawphil.net/judjuris/juri1964/mar1964/gr_l-2194. html). Binabalangkas nito ang dalawang pangunahing elemento na dapat patunayan ng prosekusyon para sa isang paghat"&amp;"ol:
1. **Illegal Detention:** Pinagkaitan ng akusado ang biktima ng kanilang kalayaan nang walang legal na katwiran.
2. **Tagal:** Ang pagpigil ay tumagal ng isang partikular na panahon:
* **Pagkidnap:** Higit sa tatlong (3) araw.
* **Ilegal na Detensyon:"&amp;"** Wala pang tatlong (3) araw.
**Layunin at Pananagutang Kriminal:**
Ang batas ng Pilipinas ay sumusunod sa prinsipyo ng **actus reus** (guilty act) at **mens rea** (guilty mind). Nangangahulugan ito na para magawa ang isang krimen, dapat mayroong parehon"&amp;"g maling gawa (actus reus) at isang kriminal na layunin (mens rea) sa bahagi ng akusado.
Sa mga kaso ng pagkidnap, ang layunin ay maaaring ikategorya sa dalawang pangunahing uri:
* **Tiyak na Layunin:** Ang akusado ay may sadyang intensiyon na tanggalin a"&amp;"ng biktima ng kanilang kalayaan para sa isang partikular na layunin (hal., pantubos, paghihiganti). Ito ang pinakakaraniwang uri ng layunin sa mga kaso ng pagkidnap.
* **Pangkalahatang Layunin ng Kriminal:** Alam ng akusado na ang kanilang mga aksyon ay m"&amp;"alamang na magreresulta sa iligal na pagkulong ng biktima, kahit na hindi ito ang kanilang pangunahing layunin. (hal., pilit na inaalis ang isang tao habang nakikipag-away). **Mga Halimbawa ng Paano Naaapektuhan ng Layunin ang Mga Pagsingil sa Pagkidnap:*"&amp;"*
* **Kawalan ng Layunin:** Kung hindi sinasadyang ikinulong ng akusado ang isang tao sa isang silid nang hindi namamalayan, at ang tao ay napalaya sa ilang sandali, ang kawalan ng layuning magpigil ay maaaring magpawalang-bisa sa mga singil sa pagkidnap."&amp;" * **Maling Paniniwala:** Kung ang isang magulang ay nagkamali sa pagkuha ng kanilang anak sa panahon ng isang hindi pagkakaunawaan sa kustodiya, sa paniniwalang sila ay may legal na karapatan, maaaring isaalang-alang ng hukuman ang kanilang layunin at po"&amp;"tensyal na bawasan ang mga singil.
**Pagbabawas ng mga Kalagayan:**
Ang layunin ng akusado ay maaari ring makaimpluwensya sa parusa kung mahatulan. Ang pagkakaroon ng mga nagpapagaan na pangyayari, tulad ng kawalan ng layuning magdulot ng pinsala, ay maaa"&amp;"ring humantong sa mas magaan na sentensiya.
**Kahalagahan ng Pagkonsulta sa Abogado:**
Ang pag-unawa sa papel ng layunin sa mga kaso ng pagkidnap ay kumplikado. Kung nahaharap ka sa mga naturang kaso o nasasangkot sa isang sitwasyon kung saan malabo ang l"&amp;"inya sa pagitan ng pagpayag at pagkidnap, ang pagkonsulta sa isang abogado ng Pilipinas ay napakahalaga. Maaari nilang suriin ang mga partikular na katotohanan, tasahin ang iyong layunin, at payuhan ang naaangkop na diskarte sa pagtatanggol sa batas batay"&amp;" sa batas ng Pilipinas at mga interpretasyong panghukuman.")</f>
        <v>Ang layunin ay gumaganap ng isang mahalagang papel sa mga kaso ng kidnapping sa ilalim ng batas ng Pilipinas, partikular na ang Revised Penal Code (RPC). Ganito:
**Ang Dalawang Elemento ng Pagkidnap:**
Tinutukoy ng Article 267 ng RPC ang kidnapping at illegal detention [https://lawphil.net/judjuris/juri1964/mar1964/gr_l-21991_1964.html](https://lawphil.net/judjuris/juri1964/mar1964/gr_l-2194. html). Binabalangkas nito ang dalawang pangunahing elemento na dapat patunayan ng prosekusyon para sa isang paghatol:
1. **Illegal Detention:** Pinagkaitan ng akusado ang biktima ng kanilang kalayaan nang walang legal na katwiran.
2. **Tagal:** Ang pagpigil ay tumagal ng isang partikular na panahon:
* **Pagkidnap:** Higit sa tatlong (3) araw.
* **Ilegal na Detensyon:** Wala pang tatlong (3) araw.
**Layunin at Pananagutang Kriminal:**
Ang batas ng Pilipinas ay sumusunod sa prinsipyo ng **actus reus** (guilty act) at **mens rea** (guilty mind). Nangangahulugan ito na para magawa ang isang krimen, dapat mayroong parehong maling gawa (actus reus) at isang kriminal na layunin (mens rea) sa bahagi ng akusado.
Sa mga kaso ng pagkidnap, ang layunin ay maaaring ikategorya sa dalawang pangunahing uri:
* **Tiyak na Layunin:** Ang akusado ay may sadyang intensiyon na tanggalin ang biktima ng kanilang kalayaan para sa isang partikular na layunin (hal., pantubos, paghihiganti). Ito ang pinakakaraniwang uri ng layunin sa mga kaso ng pagkidnap.
* **Pangkalahatang Layunin ng Kriminal:** Alam ng akusado na ang kanilang mga aksyon ay malamang na magreresulta sa iligal na pagkulong ng biktima, kahit na hindi ito ang kanilang pangunahing layunin. (hal., pilit na inaalis ang isang tao habang nakikipag-away). **Mga Halimbawa ng Paano Naaapektuhan ng Layunin ang Mga Pagsingil sa Pagkidnap:**
* **Kawalan ng Layunin:** Kung hindi sinasadyang ikinulong ng akusado ang isang tao sa isang silid nang hindi namamalayan, at ang tao ay napalaya sa ilang sandali, ang kawalan ng layuning magpigil ay maaaring magpawalang-bisa sa mga singil sa pagkidnap. * **Maling Paniniwala:** Kung ang isang magulang ay nagkamali sa pagkuha ng kanilang anak sa panahon ng isang hindi pagkakaunawaan sa kustodiya, sa paniniwalang sila ay may legal na karapatan, maaaring isaalang-alang ng hukuman ang kanilang layunin at potensyal na bawasan ang mga singil.
**Pagbabawas ng mga Kalagayan:**
Ang layunin ng akusado ay maaari ring makaimpluwensya sa parusa kung mahatulan. Ang pagkakaroon ng mga nagpapagaan na pangyayari, tulad ng kawalan ng layuning magdulot ng pinsala, ay maaaring humantong sa mas magaan na sentensiya.
**Kahalagahan ng Pagkonsulta sa Abogado:**
Ang pag-unawa sa papel ng layunin sa mga kaso ng pagkidnap ay kumplikado. Kung nahaharap ka sa mga naturang kaso o nasasangkot sa isang sitwasyon kung saan malabo ang linya sa pagitan ng pagpayag at pagkidnap, ang pagkonsulta sa isang abogado ng Pilipinas ay napakahalaga. Maaari nilang suriin ang mga partikular na katotohanan, tasahin ang iyong layunin, at payuhan ang naaangkop na diskarte sa pagtatanggol sa batas batay sa batas ng Pilipinas at mga interpretasyong panghukuman.</v>
      </c>
      <c r="F954" s="2">
        <f t="shared" si="1"/>
        <v>0</v>
      </c>
      <c r="G954" s="2"/>
      <c r="H954" s="2"/>
      <c r="I954" s="2"/>
      <c r="J954" s="2"/>
      <c r="K954" s="2"/>
      <c r="L954" s="2"/>
      <c r="M954" s="2"/>
      <c r="N954" s="2"/>
      <c r="O954" s="2"/>
      <c r="P954" s="2"/>
      <c r="Q954" s="2"/>
      <c r="R954" s="2"/>
      <c r="S954" s="2"/>
      <c r="T954" s="2"/>
      <c r="U954" s="2"/>
      <c r="V954" s="2"/>
      <c r="W954" s="2"/>
      <c r="X954" s="2"/>
      <c r="Y954" s="2"/>
      <c r="Z954" s="2"/>
      <c r="AA954" s="2"/>
    </row>
    <row r="955">
      <c r="A955" s="3" t="s">
        <v>2763</v>
      </c>
      <c r="B955" s="1" t="s">
        <v>3074</v>
      </c>
      <c r="C955" s="1" t="s">
        <v>3075</v>
      </c>
      <c r="D955" s="2" t="str">
        <f>IFERROR(__xludf.DUMMYFUNCTION("GOOGLETRANSLATE(B955, ""en"", ""TL"")"),"Maaari bang bawasan ang mga kaso ng kidnapping kung bawiin ng sinasabing biktima ang kanilang pahayag?")</f>
        <v>Maaari bang bawasan ang mga kaso ng kidnapping kung bawiin ng sinasabing biktima ang kanilang pahayag?</v>
      </c>
      <c r="E955" s="2" t="str">
        <f>IFERROR(__xludf.DUMMYFUNCTION("GOOGLETRANSLATE(C955, ""en"", ""TL"")"),"Sa batas ng Pilipinas, ang kasong kidnapping ay maaaring hindi awtomatikong mapapawalang-bisa dahil lamang sa pagbawi ng sinasabing biktima sa kanilang pahayag. Narito ang isang breakdown:
* **Ang Epekto ng Recantation:** Bagama't ang isang recantation ay"&amp;" maaaring magpahina sa kaso ng prosekusyon, hindi nito ginagarantiyahan ang pagtanggal. * **Pagpapasya sa Pag-uusig:** Ang tagausig sa huli ay magpapasya kung itutuloy ang mga kaso. Maaari nilang isaalang-alang:
* **Lakas ng Iba Pang Ebidensya:** Kung may"&amp;"roong matibay na independiyenteng ebidensya (mga testimonya ng saksi, CCTV footage, atbp.) na sumusuporta sa kidnapping, maaaring magpatuloy ang kaso sa kabila ng pagbawi. * **Mga Dahilan para sa Pagbawi:** Ang tagausig ay malamang na mag-iimbestiga kung "&amp;"bakit ang sinasabing biktima ay tumalikod. Ang takot, pananakot, o panggigipit mula sa akusado ay maaaring magdulot ng pagdududa sa bisa ng recantation.
**Mga Kaugnay na Batas:**
* Walang partikular na probisyon ang batas ng Pilipinas na tumutugon sa pagb"&amp;"awi sa mga kaso ng kidnapping. Gayunpaman, nalalapat ang prinsipyo ng **""free will""**. Isinasaalang-alang ng korte kung ang paunang pahayag at pagbawi ng sinasabi ng biktima ay ginawa nang malaya at kusang-loob.
**Mga Posibleng Resulta:**
* **Binaba ang"&amp;" mga Singil:** Kung ang pagbawi ay itinuring na kapani-paniwala at may kaunting sumusuportang ebidensya, maaaring i-dismiss ng tagausig ang kaso. * **Mga Pinababang Singilin:** Kung ang pagbawi ay nagpapahina sa kaso ngunit hindi ito ganap na mapawalang-b"&amp;"isa, ang mga singil ay maaaring mabawasan (hal., mula sa pagkidnap hanggang sa ilegal na pagpigil). * **Patuloy na Pag-uusig:** Sa kabila ng pagbawi, ang kaso ay maaaring magpatuloy batay sa iba pang ebidensya.
**Mga Panganib ng Recantation:**
* **Perjury"&amp;" Charges:** Kung ang pagsisiyasat ay nagsiwalat na ang pinaghihinalaang biktima ay nagsinungaling sa kanilang inisyal na pahayag, maaari silang harapin ng perjury charges.
* **Kakulangan ng Proteksyon:** Ang pag-recant ay maaaring maglantad sa pinaghihina"&amp;"laang biktima sa higit pang pagbabanta o pananakot kung ang akusado ay hindi tunay na nagsisisi.
**Rekomendasyon:**
Kung ikaw ay sangkot sa isang kaso ng kidnapping kung saan ang sinasabing biktima ay gustong tumalikod, ang pagkonsulta sa isang abogado ng"&amp;" Pilipinas ay napakahalaga. Maaari silang:
* Magbigay ng payo sa mga legal na implikasyon ng recantation.
* Tumulong sa pag-navigate sa pakikipag-ugnayan sa pagpapatupad ng batas at sa sistema ng hukuman.
* Kinatawan ang akusado o ang sinasabing biktima, "&amp;"depende sa sitwasyon.
**Tandaan:** Ang impormasyong ito ay nagbibigay ng pangkalahatang pangkalahatang-ideya. Para sa partikular na legal na payo tungkol sa iyong sitwasyon, ang pagkonsulta sa isang kwalipikadong abogado ng Pilipinas ay lubos na inirereko"&amp;"menda.")</f>
        <v>Sa batas ng Pilipinas, ang kasong kidnapping ay maaaring hindi awtomatikong mapapawalang-bisa dahil lamang sa pagbawi ng sinasabing biktima sa kanilang pahayag. Narito ang isang breakdown:
* **Ang Epekto ng Recantation:** Bagama't ang isang recantation ay maaaring magpahina sa kaso ng prosekusyon, hindi nito ginagarantiyahan ang pagtanggal. * **Pagpapasya sa Pag-uusig:** Ang tagausig sa huli ay magpapasya kung itutuloy ang mga kaso. Maaari nilang isaalang-alang:
* **Lakas ng Iba Pang Ebidensya:** Kung mayroong matibay na independiyenteng ebidensya (mga testimonya ng saksi, CCTV footage, atbp.) na sumusuporta sa kidnapping, maaaring magpatuloy ang kaso sa kabila ng pagbawi. * **Mga Dahilan para sa Pagbawi:** Ang tagausig ay malamang na mag-iimbestiga kung bakit ang sinasabing biktima ay tumalikod. Ang takot, pananakot, o panggigipit mula sa akusado ay maaaring magdulot ng pagdududa sa bisa ng recantation.
**Mga Kaugnay na Batas:**
* Walang partikular na probisyon ang batas ng Pilipinas na tumutugon sa pagbawi sa mga kaso ng kidnapping. Gayunpaman, nalalapat ang prinsipyo ng **"free will"**. Isinasaalang-alang ng korte kung ang paunang pahayag at pagbawi ng sinasabi ng biktima ay ginawa nang malaya at kusang-loob.
**Mga Posibleng Resulta:**
* **Binaba ang mga Singil:** Kung ang pagbawi ay itinuring na kapani-paniwala at may kaunting sumusuportang ebidensya, maaaring i-dismiss ng tagausig ang kaso. * **Mga Pinababang Singilin:** Kung ang pagbawi ay nagpapahina sa kaso ngunit hindi ito ganap na mapawalang-bisa, ang mga singil ay maaaring mabawasan (hal., mula sa pagkidnap hanggang sa ilegal na pagpigil). * **Patuloy na Pag-uusig:** Sa kabila ng pagbawi, ang kaso ay maaaring magpatuloy batay sa iba pang ebidensya.
**Mga Panganib ng Recantation:**
* **Perjury Charges:** Kung ang pagsisiyasat ay nagsiwalat na ang pinaghihinalaang biktima ay nagsinungaling sa kanilang inisyal na pahayag, maaari silang harapin ng perjury charges.
* **Kakulangan ng Proteksyon:** Ang pag-recant ay maaaring maglantad sa pinaghihinalaang biktima sa higit pang pagbabanta o pananakot kung ang akusado ay hindi tunay na nagsisisi.
**Rekomendasyon:**
Kung ikaw ay sangkot sa isang kaso ng kidnapping kung saan ang sinasabing biktima ay gustong tumalikod, ang pagkonsulta sa isang abogado ng Pilipinas ay napakahalaga. Maaari silang:
* Magbigay ng payo sa mga legal na implikasyon ng recantation.
* Tumulong sa pag-navigate sa pakikipag-ugnayan sa pagpapatupad ng batas at sa sistema ng hukuman.
* Kinatawan ang akusado o ang sinasabing biktima, depende sa sitwasyon.
**Tandaan:** Ang impormasyong ito ay nagbibigay ng pangkalahatang pangkalahatang-ideya. Para sa partikular na legal na payo tungkol sa iyong sitwasyon, ang pagkonsulta sa isang kwalipikadong abogado ng Pilipinas ay lubos na inirerekomenda.</v>
      </c>
      <c r="F955" s="2">
        <f t="shared" si="1"/>
        <v>0</v>
      </c>
      <c r="G955" s="2"/>
      <c r="H955" s="2"/>
      <c r="I955" s="2"/>
      <c r="J955" s="2"/>
      <c r="K955" s="2"/>
      <c r="L955" s="2"/>
      <c r="M955" s="2"/>
      <c r="N955" s="2"/>
      <c r="O955" s="2"/>
      <c r="P955" s="2"/>
      <c r="Q955" s="2"/>
      <c r="R955" s="2"/>
      <c r="S955" s="2"/>
      <c r="T955" s="2"/>
      <c r="U955" s="2"/>
      <c r="V955" s="2"/>
      <c r="W955" s="2"/>
      <c r="X955" s="2"/>
      <c r="Y955" s="2"/>
      <c r="Z955" s="2"/>
      <c r="AA955" s="2"/>
    </row>
    <row r="956">
      <c r="A956" s="3" t="s">
        <v>2763</v>
      </c>
      <c r="B956" s="1" t="s">
        <v>3076</v>
      </c>
      <c r="C956" s="1" t="s">
        <v>3077</v>
      </c>
      <c r="D956" s="2" t="str">
        <f>IFERROR(__xludf.DUMMYFUNCTION("GOOGLETRANSLATE(B956, ""en"", ""TL"")"),"Paano naaapektuhan ng hurisdiksyon ang mga kaso ng kidnapping, lalo na kung ang insidente ay nangyari sa mga linya ng estado?")</f>
        <v>Paano naaapektuhan ng hurisdiksyon ang mga kaso ng kidnapping, lalo na kung ang insidente ay nangyari sa mga linya ng estado?</v>
      </c>
      <c r="E956" s="2" t="str">
        <f>IFERROR(__xludf.DUMMYFUNCTION("GOOGLETRANSLATE(C956, ""en"", ""TL"")"),"Sa Pilipinas, ang pagkidnap ay isang pambansang krimen, kaya ang mga linya ng estado ay hindi magiging salik sa loob ng bansa. Gayunpaman, nagiging may-katuturan ang hurisdiksyon kung ang pagkidnap ay nagsasangkot ng pagtawid sa mga internasyonal na hangg"&amp;"anan. Narito ang isang breakdown:
**Pambansang Krimen:**
* Itinuring ng batas ng Pilipinas ang kidnapping bilang isang pambansang krimen sa ilalim ng Revised Penal Code (RPC), partikular sa Article 267 [https://www.icj.org/se-asia-security-law/revised-pen"&amp;"al-code-1930/articles- 267-268-the-revised-penal-code-an-act-revising-the-penal-code-and-other-penal-laws-no-3815-december-8-1930/](https://www. icj.org/se-asia-security-law/revised-penal-code-1930/articles-267-268-the-revised-penal-code-an-act-revising-t"&amp;"he-penal-code-and-other- penal-laws-no-3815-december-8-1930/). * Nangangahulugan ito na ang anumang kaso ng kidnapping ay nasa ilalim ng hurisdiksyon ng mga korte ng Pilipinas, anuman ang lokasyon sa loob ng Pilipinas.
**International Kidnapping:**
* Kung"&amp;" ang pagkidnap ay nagsasangkot ng pagdadala sa biktima sa labas ng Pilipinas, ang hurisdiksyon ay nagiging mas kumplikado:
* **Mga Kasunduan:** Maaaring may umiiral na mga kasunduan ang Pilipinas sa ibang bansa tungkol sa internasyonal na pagkidnap. Ang m"&amp;"ga kasunduan na ito ay nagbabalangkas kung aling bansa ang may hurisdiksyon upang usigin ang krimen.
* **International Law:** Ang mga prinsipyo ng internasyonal na batas, tulad ng teritoryal na hurisdiksyon at nasyonalidad na hurisdiksyon, ay maaari ding "&amp;"maglaro.
**Mga Hamon ng International Cases:**
* Ang mga internasyonal na kaso ng kidnapping ay maaaring maging masalimuot dahil sa:
* **Magkasalungat na Jurisdiction:** Ang Pilipinas at ang ibang bansa ay maaaring mag-claim ng hurisdiksyon.
* **Mga Prose"&amp;"so ng Extradition:** Kasama sa extradition ang isang bansa na pormal na isinusuko ang isang suspek sa isa pa para sa paglilitis. Ang prosesong ito ay maaaring mahaba at kumplikado.
* **Pagtitipon ng Ebidensya:** Ang pagkolekta ng ebidensya sa mga hanggana"&amp;"n ay maaaring maging mahirap.
**Rekomendasyon:**
* Kung sangkot ka sa isang internasyonal na kaso ng pagkidnap, ang paghingi ng tulong sa isang abogado na dalubhasa sa internasyonal na batas ay napakahalaga. Maaari silang mag-navigate sa mga kumplikado ng"&amp;" hurisdiksyon, extradition, at pangangalap ng ebidensya.
**Mga Karagdagang Pagsasaalang-alang:**
* Maaaring sangkot pa rin ang mga ahensyang nagpapatupad ng batas ng Pilipinas sa mga internasyonal na kaso ng kidnapping, kahit na may hurisdiksyon ang ibang"&amp;" bansa. Maaari silang makipagtulungan sa mga dayuhang awtoridad sa mga pagsisiyasat at pagbawi ng biktima.
* Ang mga pamilya ng mga biktima ng kidnapping ay maaari ding tuklasin ang paghahanap ng hustisya sa pamamagitan ng mga internasyonal na organisasyo"&amp;"n na nagtataguyod para sa mga biktima ng krimen.
Tandaan, ito ay isang pinasimple na pangkalahatang-ideya. Para sa partikular na legal na payo sa mga internasyonal na kaso ng kidnapping, ang pagkonsulta sa isang kwalipikadong abogado ng Pilipinas na may k"&amp;"adalubhasaan sa internasyonal na batas ay lubos na inirerekomenda.")</f>
        <v>Sa Pilipinas, ang pagkidnap ay isang pambansang krimen, kaya ang mga linya ng estado ay hindi magiging salik sa loob ng bansa. Gayunpaman, nagiging may-katuturan ang hurisdiksyon kung ang pagkidnap ay nagsasangkot ng pagtawid sa mga internasyonal na hangganan. Narito ang isang breakdown:
**Pambansang Krimen:**
* Itinuring ng batas ng Pilipinas ang kidnapping bilang isang pambansang krimen sa ilalim ng Revised Penal Code (RPC), partikular sa Article 267 [https://www.icj.org/se-asia-security-law/revised-penal-code-1930/articles- 267-268-the-revised-penal-code-an-act-revising-the-penal-code-and-other-penal-laws-no-3815-december-8-1930/](https://www. icj.org/se-asia-security-law/revised-penal-code-1930/articles-267-268-the-revised-penal-code-an-act-revising-the-penal-code-and-other- penal-laws-no-3815-december-8-1930/). * Nangangahulugan ito na ang anumang kaso ng kidnapping ay nasa ilalim ng hurisdiksyon ng mga korte ng Pilipinas, anuman ang lokasyon sa loob ng Pilipinas.
**International Kidnapping:**
* Kung ang pagkidnap ay nagsasangkot ng pagdadala sa biktima sa labas ng Pilipinas, ang hurisdiksyon ay nagiging mas kumplikado:
* **Mga Kasunduan:** Maaaring may umiiral na mga kasunduan ang Pilipinas sa ibang bansa tungkol sa internasyonal na pagkidnap. Ang mga kasunduan na ito ay nagbabalangkas kung aling bansa ang may hurisdiksyon upang usigin ang krimen.
* **International Law:** Ang mga prinsipyo ng internasyonal na batas, tulad ng teritoryal na hurisdiksyon at nasyonalidad na hurisdiksyon, ay maaari ding maglaro.
**Mga Hamon ng International Cases:**
* Ang mga internasyonal na kaso ng kidnapping ay maaaring maging masalimuot dahil sa:
* **Magkasalungat na Jurisdiction:** Ang Pilipinas at ang ibang bansa ay maaaring mag-claim ng hurisdiksyon.
* **Mga Proseso ng Extradition:** Kasama sa extradition ang isang bansa na pormal na isinusuko ang isang suspek sa isa pa para sa paglilitis. Ang prosesong ito ay maaaring mahaba at kumplikado.
* **Pagtitipon ng Ebidensya:** Ang pagkolekta ng ebidensya sa mga hangganan ay maaaring maging mahirap.
**Rekomendasyon:**
* Kung sangkot ka sa isang internasyonal na kaso ng pagkidnap, ang paghingi ng tulong sa isang abogado na dalubhasa sa internasyonal na batas ay napakahalaga. Maaari silang mag-navigate sa mga kumplikado ng hurisdiksyon, extradition, at pangangalap ng ebidensya.
**Mga Karagdagang Pagsasaalang-alang:**
* Maaaring sangkot pa rin ang mga ahensyang nagpapatupad ng batas ng Pilipinas sa mga internasyonal na kaso ng kidnapping, kahit na may hurisdiksyon ang ibang bansa. Maaari silang makipagtulungan sa mga dayuhang awtoridad sa mga pagsisiyasat at pagbawi ng biktima.
* Ang mga pamilya ng mga biktima ng kidnapping ay maaari ding tuklasin ang paghahanap ng hustisya sa pamamagitan ng mga internasyonal na organisasyon na nagtataguyod para sa mga biktima ng krimen.
Tandaan, ito ay isang pinasimple na pangkalahatang-ideya. Para sa partikular na legal na payo sa mga internasyonal na kaso ng kidnapping, ang pagkonsulta sa isang kwalipikadong abogado ng Pilipinas na may kadalubhasaan sa internasyonal na batas ay lubos na inirerekomenda.</v>
      </c>
      <c r="F956" s="2">
        <f t="shared" si="1"/>
        <v>0</v>
      </c>
      <c r="G956" s="2"/>
      <c r="H956" s="2"/>
      <c r="I956" s="2"/>
      <c r="J956" s="2"/>
      <c r="K956" s="2"/>
      <c r="L956" s="2"/>
      <c r="M956" s="2"/>
      <c r="N956" s="2"/>
      <c r="O956" s="2"/>
      <c r="P956" s="2"/>
      <c r="Q956" s="2"/>
      <c r="R956" s="2"/>
      <c r="S956" s="2"/>
      <c r="T956" s="2"/>
      <c r="U956" s="2"/>
      <c r="V956" s="2"/>
      <c r="W956" s="2"/>
      <c r="X956" s="2"/>
      <c r="Y956" s="2"/>
      <c r="Z956" s="2"/>
      <c r="AA956" s="2"/>
    </row>
    <row r="957">
      <c r="A957" s="3" t="s">
        <v>2763</v>
      </c>
      <c r="B957" s="1" t="s">
        <v>3078</v>
      </c>
      <c r="C957" s="1" t="s">
        <v>3079</v>
      </c>
      <c r="D957" s="2" t="str">
        <f>IFERROR(__xludf.DUMMYFUNCTION("GOOGLETRANSLATE(B957, ""en"", ""TL"")"),"Mayroon bang batas ng mga limitasyon para sa mga singil sa pagkidnap?")</f>
        <v>Mayroon bang batas ng mga limitasyon para sa mga singil sa pagkidnap?</v>
      </c>
      <c r="E957" s="2" t="str">
        <f>IFERROR(__xludf.DUMMYFUNCTION("GOOGLETRANSLATE(C957, ""en"", ""TL"")"),"Sa Pilipinas, walang **walang batas ng mga limitasyon para sa mga singil sa pagkidnap**. Nangangahulugan ito na ang mga awtoridad ay maaaring mag-usig ng kasong kidnapping kahit gaano pa katagal ang lumipas mula nang mangyari ang krimen.
Narito kung bakit"&amp;":
* **Serious Crime:** Ang pagkidnap ay itinuturing na isang karumal-dumal na krimen sa Pilipinas, na nagdudulot ng matinding pisikal at sikolohikal na pinsala sa biktima. Mayroong malakas na interes ng publiko sa pagpapanagot sa mga may kasalanan, anuman"&amp;" ang oras na lumipas.
* **Pagtitipon ng Ebidensya:** Ang mga kumplikadong kaso ng kidnapping ay maaaring tumagal ng oras upang mag-imbestiga at mangalap ng ebidensya. Ang kawalan ng isang batas ng mga limitasyon ay nagbibigay-daan para sa isang masusing p"&amp;"agsisiyasat upang dalhin ang akusado sa hustisya.
* **Patuloy na Pinsala:** Ang mga epekto ng pagkidnap sa biktima at sa kanilang pamilya ay maaaring pangmatagalan. Ang patuloy na pinsalang ito ay nagbibigay-katwiran sa posibilidad ng pag-uusig kahit na l"&amp;"umipas ang isang makabuluhang panahon.
**Pinagmulan:**
Bagama't walang partikular na code ang batas ng Pilipinas na tumutugon sa batas ng mga limitasyon para sa pagkidnap, maraming mapagkukunan ang nagpapatunay sa puntong ito. Narito ang ilang halimbawa:
"&amp;"* Find the Kids - Maaari bang Kasuhan ang isang Magulang ng Kidnapping sa Pilipinas? [https://findthekids.org/2022/09/can-a-parent-be-charged-with-kidnapping-in-the-philippines/](https://findthekids.org/2022/09/can-a -parent-be-charged-with-kidnapping-in-"&amp;"the-philippines/) highlights the absence of a statute of limitations for kidnapping.
* Spodek Law Group - Kidnapping + Mga Batas, Singilin, at Batas ng mga Limitasyon [https://www.federallawyers.com/criminal-defense/federal-statutes-of-limitations/](https"&amp;"://www.federallawyers.com/criminal -defense/federal-statutes-of-limitations/) tinatalakay ang kidnapping bilang isang krimen na walang statute of limitations, bagama't ang source na ito ay mula sa isang US law firm, ang prinsipyo ay nalalapat sa Pilipinas"&amp;".
**Mahalagang Paalala:**
Ang kawalan ng batas ng mga limitasyon ay nalalapat sa pag-uusig sa krimen. Gayunpaman, maaaring may mga limitasyon sa oras para sa pagsasampa ng mga kasong sibil na may kaugnayan sa pagkidnap, tulad ng paghingi ng kabayaran para"&amp;" sa mga pinsala. Ang isang abogado ng Pilipinas ay maaaring magbigay ng mas tiyak na patnubay sa aspetong ito.")</f>
        <v>Sa Pilipinas, walang **walang batas ng mga limitasyon para sa mga singil sa pagkidnap**. Nangangahulugan ito na ang mga awtoridad ay maaaring mag-usig ng kasong kidnapping kahit gaano pa katagal ang lumipas mula nang mangyari ang krimen.
Narito kung bakit:
* **Serious Crime:** Ang pagkidnap ay itinuturing na isang karumal-dumal na krimen sa Pilipinas, na nagdudulot ng matinding pisikal at sikolohikal na pinsala sa biktima. Mayroong malakas na interes ng publiko sa pagpapanagot sa mga may kasalanan, anuman ang oras na lumipas.
* **Pagtitipon ng Ebidensya:** Ang mga kumplikadong kaso ng kidnapping ay maaaring tumagal ng oras upang mag-imbestiga at mangalap ng ebidensya. Ang kawalan ng isang batas ng mga limitasyon ay nagbibigay-daan para sa isang masusing pagsisiyasat upang dalhin ang akusado sa hustisya.
* **Patuloy na Pinsala:** Ang mga epekto ng pagkidnap sa biktima at sa kanilang pamilya ay maaaring pangmatagalan. Ang patuloy na pinsalang ito ay nagbibigay-katwiran sa posibilidad ng pag-uusig kahit na lumipas ang isang makabuluhang panahon.
**Pinagmulan:**
Bagama't walang partikular na code ang batas ng Pilipinas na tumutugon sa batas ng mga limitasyon para sa pagkidnap, maraming mapagkukunan ang nagpapatunay sa puntong ito. Narito ang ilang halimbawa:
* Find the Kids - Maaari bang Kasuhan ang isang Magulang ng Kidnapping sa Pilipinas? [https://findthekids.org/2022/09/can-a-parent-be-charged-with-kidnapping-in-the-philippines/](https://findthekids.org/2022/09/can-a -parent-be-charged-with-kidnapping-in-the-philippines/) highlights the absence of a statute of limitations for kidnapping.
* Spodek Law Group - Kidnapping + Mga Batas, Singilin, at Batas ng mga Limitasyon [https://www.federallawyers.com/criminal-defense/federal-statutes-of-limitations/](https://www.federallawyers.com/criminal -defense/federal-statutes-of-limitations/) tinatalakay ang kidnapping bilang isang krimen na walang statute of limitations, bagama't ang source na ito ay mula sa isang US law firm, ang prinsipyo ay nalalapat sa Pilipinas.
**Mahalagang Paalala:**
Ang kawalan ng batas ng mga limitasyon ay nalalapat sa pag-uusig sa krimen. Gayunpaman, maaaring may mga limitasyon sa oras para sa pagsasampa ng mga kasong sibil na may kaugnayan sa pagkidnap, tulad ng paghingi ng kabayaran para sa mga pinsala. Ang isang abogado ng Pilipinas ay maaaring magbigay ng mas tiyak na patnubay sa aspetong ito.</v>
      </c>
      <c r="F957" s="2">
        <f t="shared" si="1"/>
        <v>0</v>
      </c>
      <c r="G957" s="2"/>
      <c r="H957" s="2"/>
      <c r="I957" s="2"/>
      <c r="J957" s="2"/>
      <c r="K957" s="2"/>
      <c r="L957" s="2"/>
      <c r="M957" s="2"/>
      <c r="N957" s="2"/>
      <c r="O957" s="2"/>
      <c r="P957" s="2"/>
      <c r="Q957" s="2"/>
      <c r="R957" s="2"/>
      <c r="S957" s="2"/>
      <c r="T957" s="2"/>
      <c r="U957" s="2"/>
      <c r="V957" s="2"/>
      <c r="W957" s="2"/>
      <c r="X957" s="2"/>
      <c r="Y957" s="2"/>
      <c r="Z957" s="2"/>
      <c r="AA957" s="2"/>
    </row>
    <row r="958">
      <c r="A958" s="3" t="s">
        <v>2763</v>
      </c>
      <c r="B958" s="1" t="s">
        <v>3080</v>
      </c>
      <c r="C958" s="1" t="s">
        <v>3081</v>
      </c>
      <c r="D958" s="2" t="str">
        <f>IFERROR(__xludf.DUMMYFUNCTION("GOOGLETRANSLATE(B958, ""en"", ""TL"")"),"Paano tinutugunan ng batas ang mga kaso ng pagkidnap ng magulang o panghihimasok sa kustodiya?")</f>
        <v>Paano tinutugunan ng batas ang mga kaso ng pagkidnap ng magulang o panghihimasok sa kustodiya?</v>
      </c>
      <c r="E958" s="2" t="str">
        <f>IFERROR(__xludf.DUMMYFUNCTION("GOOGLETRANSLATE(C958, ""en"", ""TL"")"),"Hindi tulad ng ilang bansa, hindi tinatrato ng batas ng Pilipinas ang pagkidnap ng magulang o panghihimasok sa custodial bilang isang hiwalay na krimen. Narito ang isang breakdown ng mga nauugnay na legal na aspeto:
* **Sibil na Di-pagkakasundo:** Itinutu"&amp;"ring ng batas ng Pilipinas ang pagkidnap ng magulang o panghihimasok sa kustodiya bilang isang sibil na hindi pagkakaunawaan tungkol sa pag-iingat ng bata. * **Mga Karapatan sa Kustodiya:** Ang pokus ay nakasalalay sa pagtukoy at pagpapatupad ng mga umiir"&amp;"al nang karapatan sa pangangalaga na itinatag sa pamamagitan ng:
* **Mga Utos ng Hukuman:** Kung ang hukuman ay naglabas ng utos sa pag-iingat na nagbabalangkas ng mga kaayusan sa pagbisita at paninirahan, ang paglabag sa mga utos na iyon ay maaaring huma"&amp;"ntong sa pagsuway sa paglilitis sa hukuman.
* **Mga Kasunduan sa Paghihiwalay:** Kung ang mga magulang ay may kasunduan sa paghihiwalay na may kaayusan sa pag-iingat, ang paglabag dito ay maaaring matugunan sa pamamagitan ng civil litigation.
**Pagbawi ng"&amp;" Bata:**
* **Mga Isinulat:** Maaaring maghain ng petisyon sa korte ang left-behind na magulang para sa writ of habeas corpus. Pinipilit ng writ na ito ang taong humahawak sa bata na humarap sa korte at bigyang-katwiran ang pagkakakulong.
* **Tulong sa Pag"&amp;"papatupad ng Batas:** Maaaring tumulong ang mga awtoridad sa paghahanap at pagbawi sa bata, lalo na kung mayroong utos ng hukuman.
**International Parental Abduction:**
* Kung dadalhin ang bata sa labas ng Pilipinas, maaaring ipatawag ng Pilipinas ang Hag"&amp;"ue Convention on Child Abduction [https://www.hcch.net/en/instruments/conventions/specialised-sections/child-abduction](https:// www.hcch.net/en/instruments/conventions/specialised-sections/child-abduction) Ang internasyonal na kasunduan na ito ay nagtata"&amp;"tag ng balangkas para sa agarang pagbabalik ng mga dinukot na bata.
**Mga Hamon:**
* Mahabang Proseso: Ang pagresolba sa mga kaso ng pagkidnap ng magulang sa pamamagitan ng sistema ng hukuman ay maaaring mahaba at nakakapagod ng damdamin. * Kakulangan ng "&amp;"Mga Singil sa Kriminal: Ang kawalan ng mga kasong kriminal na partikular para sa pagkidnap ng magulang ay maaaring makita bilang isang disbentaha para sa kaliwang magulang.
**Kahalagahan ng Legal na Tagapayo:**
* Ang pagkonsulta sa isang abogado ng Pilipi"&amp;"nas na may karanasan sa batas ng pamilya ay napakahalaga sa mga sitwasyong ito. Maaari silang magpayo sa pinakamabisang paraan ng pagkilos upang mabawi ang bata at ipatupad ang mga kasalukuyang kaayusan sa pag-iingat.
**Mga Karagdagang Pagsasaalang-alang:"&amp;"**
* Bagama't hindi ito itinuturing ng batas ng Pilipinas bilang isang krimen, ang pagkidnap ng magulang ay maaari pa ring magkaroon ng malubhang kahihinatnan. Ang naiwan na magulang ay maaaring igawad ng nag-iisang kustodiya o pinaghihigpitang mga karapa"&amp;"tan sa pagbisita para sa magulang na kumuha sa bata.
* Ang batas ng Pilipinas ay patuloy na umuunlad, at maaaring may patuloy na mga pagsisikap sa lehislatura upang tugunan ang pagkidnap ng magulang nang mas direkta. Ang isang abogado ay maaaring panatili"&amp;"hin kang updated sa anumang mga legal na pag-unlad. Tandaan, ito ay isang pinasimple na pangkalahatang-ideya. Para sa partikular na legal na payo tungkol sa pagkidnap ng magulang o panghihimasok sa kustodiya, ang pagkonsulta sa isang kwalipikadong abogado"&amp;" ng Pilipinas na dalubhasa sa batas ng pamilya ay lubos na inirerekomenda.")</f>
        <v>Hindi tulad ng ilang bansa, hindi tinatrato ng batas ng Pilipinas ang pagkidnap ng magulang o panghihimasok sa custodial bilang isang hiwalay na krimen. Narito ang isang breakdown ng mga nauugnay na legal na aspeto:
* **Sibil na Di-pagkakasundo:** Itinuturing ng batas ng Pilipinas ang pagkidnap ng magulang o panghihimasok sa kustodiya bilang isang sibil na hindi pagkakaunawaan tungkol sa pag-iingat ng bata. * **Mga Karapatan sa Kustodiya:** Ang pokus ay nakasalalay sa pagtukoy at pagpapatupad ng mga umiiral nang karapatan sa pangangalaga na itinatag sa pamamagitan ng:
* **Mga Utos ng Hukuman:** Kung ang hukuman ay naglabas ng utos sa pag-iingat na nagbabalangkas ng mga kaayusan sa pagbisita at paninirahan, ang paglabag sa mga utos na iyon ay maaaring humantong sa pagsuway sa paglilitis sa hukuman.
* **Mga Kasunduan sa Paghihiwalay:** Kung ang mga magulang ay may kasunduan sa paghihiwalay na may kaayusan sa pag-iingat, ang paglabag dito ay maaaring matugunan sa pamamagitan ng civil litigation.
**Pagbawi ng Bata:**
* **Mga Isinulat:** Maaaring maghain ng petisyon sa korte ang left-behind na magulang para sa writ of habeas corpus. Pinipilit ng writ na ito ang taong humahawak sa bata na humarap sa korte at bigyang-katwiran ang pagkakakulong.
* **Tulong sa Pagpapatupad ng Batas:** Maaaring tumulong ang mga awtoridad sa paghahanap at pagbawi sa bata, lalo na kung mayroong utos ng hukuman.
**International Parental Abduction:**
* Kung dadalhin ang bata sa labas ng Pilipinas, maaaring ipatawag ng Pilipinas ang Hague Convention on Child Abduction [https://www.hcch.net/en/instruments/conventions/specialised-sections/child-abduction](https:// www.hcch.net/en/instruments/conventions/specialised-sections/child-abduction) Ang internasyonal na kasunduan na ito ay nagtatatag ng balangkas para sa agarang pagbabalik ng mga dinukot na bata.
**Mga Hamon:**
* Mahabang Proseso: Ang pagresolba sa mga kaso ng pagkidnap ng magulang sa pamamagitan ng sistema ng hukuman ay maaaring mahaba at nakakapagod ng damdamin. * Kakulangan ng Mga Singil sa Kriminal: Ang kawalan ng mga kasong kriminal na partikular para sa pagkidnap ng magulang ay maaaring makita bilang isang disbentaha para sa kaliwang magulang.
**Kahalagahan ng Legal na Tagapayo:**
* Ang pagkonsulta sa isang abogado ng Pilipinas na may karanasan sa batas ng pamilya ay napakahalaga sa mga sitwasyong ito. Maaari silang magpayo sa pinakamabisang paraan ng pagkilos upang mabawi ang bata at ipatupad ang mga kasalukuyang kaayusan sa pag-iingat.
**Mga Karagdagang Pagsasaalang-alang:**
* Bagama't hindi ito itinuturing ng batas ng Pilipinas bilang isang krimen, ang pagkidnap ng magulang ay maaari pa ring magkaroon ng malubhang kahihinatnan. Ang naiwan na magulang ay maaaring igawad ng nag-iisang kustodiya o pinaghihigpitang mga karapatan sa pagbisita para sa magulang na kumuha sa bata.
* Ang batas ng Pilipinas ay patuloy na umuunlad, at maaaring may patuloy na mga pagsisikap sa lehislatura upang tugunan ang pagkidnap ng magulang nang mas direkta. Ang isang abogado ay maaaring panatilihin kang updated sa anumang mga legal na pag-unlad. Tandaan, ito ay isang pinasimple na pangkalahatang-ideya. Para sa partikular na legal na payo tungkol sa pagkidnap ng magulang o panghihimasok sa kustodiya, ang pagkonsulta sa isang kwalipikadong abogado ng Pilipinas na dalubhasa sa batas ng pamilya ay lubos na inirerekomenda.</v>
      </c>
      <c r="F958" s="2">
        <f t="shared" si="1"/>
        <v>0</v>
      </c>
      <c r="G958" s="2"/>
      <c r="H958" s="2"/>
      <c r="I958" s="2"/>
      <c r="J958" s="2"/>
      <c r="K958" s="2"/>
      <c r="L958" s="2"/>
      <c r="M958" s="2"/>
      <c r="N958" s="2"/>
      <c r="O958" s="2"/>
      <c r="P958" s="2"/>
      <c r="Q958" s="2"/>
      <c r="R958" s="2"/>
      <c r="S958" s="2"/>
      <c r="T958" s="2"/>
      <c r="U958" s="2"/>
      <c r="V958" s="2"/>
      <c r="W958" s="2"/>
      <c r="X958" s="2"/>
      <c r="Y958" s="2"/>
      <c r="Z958" s="2"/>
      <c r="AA958" s="2"/>
    </row>
    <row r="959">
      <c r="A959" s="3" t="s">
        <v>2763</v>
      </c>
      <c r="B959" s="1" t="s">
        <v>3082</v>
      </c>
      <c r="C959" s="1" t="s">
        <v>3083</v>
      </c>
      <c r="D959" s="2" t="str">
        <f>IFERROR(__xludf.DUMMYFUNCTION("GOOGLETRANSLATE(B959, ""en"", ""TL"")"),"Ano ang mga potensyal na kahihinatnan kung ang isang bata ay sangkot sa isang kaso ng kidnapping?")</f>
        <v>Ano ang mga potensyal na kahihinatnan kung ang isang bata ay sangkot sa isang kaso ng kidnapping?</v>
      </c>
      <c r="E959" s="2" t="str">
        <f>IFERROR(__xludf.DUMMYFUNCTION("GOOGLETRANSLATE(C959, ""en"", ""TL"")"),"Sa Pilipinas, ang pagkakasangkot ng isang bata sa isang kaso ng kidnapping ay maaaring magkaroon ng malubhang kahihinatnan, kapwa pisikal at emosyonal. Narito ang isang breakdown ng mga potensyal na epekto:
**Pisikal na Pinsala:**
* **Mga Pinsala:** Sa pa"&amp;"nahon ng pagkidnap, ang bata ay maaaring sumailalim sa karahasan o pagpigil, na humahantong sa mga pisikal na pinsala.
* **Pagpapabaya:** Ang mga pangunahing pangangailangan ng bata para sa pagkain, tubig, tirahan, at pangangalagang medikal ay maaaring hi"&amp;"ndi matugunan sa panahon ng kanilang pagkabihag, na makakaapekto sa kanilang kalusugan.
**Emosyonal na Trauma:**
* **Takot at Pagkabalisa:** Ang karanasan ng pagkidnap ay maaaring hindi kapani-paniwalang nakakatakot at humantong sa pangmatagalang pagkabal"&amp;"isa at takot.
* **Post-traumatic Stress Disorder (PTSD):** Sa malalang kaso, maaaring magkaroon ang bata ng PTSD, na nailalarawan sa pamamagitan ng mga bangungot, flashback, at kahirapan sa pang-araw-araw na buhay.
* **Mga Isyu sa Attachment:** Maaaring n"&amp;"ahihirapan ang bata na magtiwala sa mga nasa hustong gulang o bumuo ng malusog na attachment pagkatapos ng karanasan sa pagkidnap.
**Sosyal na Epekto:**
* **Pag-alis sa Paaralan:** Ang emosyonal na trauma ay maaaring makaapekto sa kakayahan ng bata na mag"&amp;"-concentrate at makilahok sa mga aktibidad sa paaralan.
* **Social Isolation:** Maaaring umalis ang bata sa mga social interaction dahil sa takot o kahirapan sa pagtitiwala sa iba.
* **Mga Problema sa Pag-uugali:** Maaaring magpakita ang bata ng mga probl"&amp;"ema sa pag-uugali tulad ng pagsalakay, pagkilos, o pananakit sa sarili bilang isang paraan upang makayanan ang trauma.
**Proteksyon at Suporta:**
Narito ang ilang mapagkukunang magagamit upang matulungan ang mga bata na nasangkot sa mga kaso ng kidnapping"&amp;":
* **Mga Ahensya ng Gobyerno:** Nag-aalok ang Department of Social Welfare and Development (DSWD) [https://www.dswd.gov.ph/](https://www.dswd.gov.ph/) ng tulong sa mga biktima ng krimen, kabilang ang mga bata.
* **Non-Governmental Organizations (NGOs):**"&amp;" Maraming NGO ang nakikipagtulungan sa mga batang biktima ng krimen, nagbibigay ng mga serbisyo sa pagpapayo, rehabilitasyon, at suporta. * **Trauma-Informed Therapist:** Ang paghingi ng propesyonal na tulong mula sa mga therapist na dalubhasa sa trauma a"&amp;"y maaaring makatulong nang malaki sa bata na maproseso at gumaling mula sa kanilang karanasan.
**Kahalagahan ng Pamamagitan:**
Ang maagang interbensyon at pag-access sa mga serbisyo ng suporta ay mahalaga para sa pagbawi ng isang bata pagkatapos ng pagkid"&amp;"nap. Makakatulong ito sa kanila na makayanan ang emosyonal na trauma, mabawasan ang mga pangmatagalang kahihinatnan, at muling buuin ang kanilang buhay.
**Disclaimer:** Ang impormasyong ito ay inilaan para sa pangkalahatang kaalaman at hindi dapat kunin b"&amp;"ilang kapalit ng propesyonal na medikal o sikolohikal na payo. Kung ang isang bata ay nasangkot sa isang kidnapping, ang paghingi ng propesyonal na tulong mula sa isang therapist o tagapayo ay lubos na inirerekomenda.")</f>
        <v>Sa Pilipinas, ang pagkakasangkot ng isang bata sa isang kaso ng kidnapping ay maaaring magkaroon ng malubhang kahihinatnan, kapwa pisikal at emosyonal. Narito ang isang breakdown ng mga potensyal na epekto:
**Pisikal na Pinsala:**
* **Mga Pinsala:** Sa panahon ng pagkidnap, ang bata ay maaaring sumailalim sa karahasan o pagpigil, na humahantong sa mga pisikal na pinsala.
* **Pagpapabaya:** Ang mga pangunahing pangangailangan ng bata para sa pagkain, tubig, tirahan, at pangangalagang medikal ay maaaring hindi matugunan sa panahon ng kanilang pagkabihag, na makakaapekto sa kanilang kalusugan.
**Emosyonal na Trauma:**
* **Takot at Pagkabalisa:** Ang karanasan ng pagkidnap ay maaaring hindi kapani-paniwalang nakakatakot at humantong sa pangmatagalang pagkabalisa at takot.
* **Post-traumatic Stress Disorder (PTSD):** Sa malalang kaso, maaaring magkaroon ang bata ng PTSD, na nailalarawan sa pamamagitan ng mga bangungot, flashback, at kahirapan sa pang-araw-araw na buhay.
* **Mga Isyu sa Attachment:** Maaaring nahihirapan ang bata na magtiwala sa mga nasa hustong gulang o bumuo ng malusog na attachment pagkatapos ng karanasan sa pagkidnap.
**Sosyal na Epekto:**
* **Pag-alis sa Paaralan:** Ang emosyonal na trauma ay maaaring makaapekto sa kakayahan ng bata na mag-concentrate at makilahok sa mga aktibidad sa paaralan.
* **Social Isolation:** Maaaring umalis ang bata sa mga social interaction dahil sa takot o kahirapan sa pagtitiwala sa iba.
* **Mga Problema sa Pag-uugali:** Maaaring magpakita ang bata ng mga problema sa pag-uugali tulad ng pagsalakay, pagkilos, o pananakit sa sarili bilang isang paraan upang makayanan ang trauma.
**Proteksyon at Suporta:**
Narito ang ilang mapagkukunang magagamit upang matulungan ang mga bata na nasangkot sa mga kaso ng kidnapping:
* **Mga Ahensya ng Gobyerno:** Nag-aalok ang Department of Social Welfare and Development (DSWD) [https://www.dswd.gov.ph/](https://www.dswd.gov.ph/) ng tulong sa mga biktima ng krimen, kabilang ang mga bata.
* **Non-Governmental Organizations (NGOs):** Maraming NGO ang nakikipagtulungan sa mga batang biktima ng krimen, nagbibigay ng mga serbisyo sa pagpapayo, rehabilitasyon, at suporta. * **Trauma-Informed Therapist:** Ang paghingi ng propesyonal na tulong mula sa mga therapist na dalubhasa sa trauma ay maaaring makatulong nang malaki sa bata na maproseso at gumaling mula sa kanilang karanasan.
**Kahalagahan ng Pamamagitan:**
Ang maagang interbensyon at pag-access sa mga serbisyo ng suporta ay mahalaga para sa pagbawi ng isang bata pagkatapos ng pagkidnap. Makakatulong ito sa kanila na makayanan ang emosyonal na trauma, mabawasan ang mga pangmatagalang kahihinatnan, at muling buuin ang kanilang buhay.
**Disclaimer:** Ang impormasyong ito ay inilaan para sa pangkalahatang kaalaman at hindi dapat kunin bilang kapalit ng propesyonal na medikal o sikolohikal na payo. Kung ang isang bata ay nasangkot sa isang kidnapping, ang paghingi ng propesyonal na tulong mula sa isang therapist o tagapayo ay lubos na inirerekomenda.</v>
      </c>
      <c r="F959" s="2">
        <f t="shared" si="1"/>
        <v>0</v>
      </c>
      <c r="G959" s="2"/>
      <c r="H959" s="2"/>
      <c r="I959" s="2"/>
      <c r="J959" s="2"/>
      <c r="K959" s="2"/>
      <c r="L959" s="2"/>
      <c r="M959" s="2"/>
      <c r="N959" s="2"/>
      <c r="O959" s="2"/>
      <c r="P959" s="2"/>
      <c r="Q959" s="2"/>
      <c r="R959" s="2"/>
      <c r="S959" s="2"/>
      <c r="T959" s="2"/>
      <c r="U959" s="2"/>
      <c r="V959" s="2"/>
      <c r="W959" s="2"/>
      <c r="X959" s="2"/>
      <c r="Y959" s="2"/>
      <c r="Z959" s="2"/>
      <c r="AA959" s="2"/>
    </row>
    <row r="960">
      <c r="A960" s="3" t="s">
        <v>2763</v>
      </c>
      <c r="B960" s="1" t="s">
        <v>3084</v>
      </c>
      <c r="C960" s="1" t="s">
        <v>3085</v>
      </c>
      <c r="D960" s="2" t="str">
        <f>IFERROR(__xludf.DUMMYFUNCTION("GOOGLETRANSLATE(B960, ""en"", ""TL"")"),"Paano nakakaapekto ang pagkakasangkot ng mga baril o iba pang armas sa isang kaso ng kidnapping?")</f>
        <v>Paano nakakaapekto ang pagkakasangkot ng mga baril o iba pang armas sa isang kaso ng kidnapping?</v>
      </c>
      <c r="E960" s="2" t="str">
        <f>IFERROR(__xludf.DUMMYFUNCTION("GOOGLETRANSLATE(C960, ""en"", ""TL"")"),"Sa Pilipinas, ang pagkakasangkot ng mga baril o iba pang armas sa isang kaso ng kidnapping ay maaaring makabuluhang tumaas ang kalubhaan ng mga singil at potensyal na mga parusa. Narito ang isang breakdown ng epekto:
**Taas na Singilin:**
* Simple Kidnapp"&amp;"ing vs. Qualified Kidnapping: Naiiba ng Revised Penal Code (RPC) sa pagitan ng simpleng kidnapping at qualified kidnapping (Article 267) [https://lawphil.net/statutes/repacts/ra1954/ra_1084_1954.html](https:// lawphil.net/statutes/repacts/ra1954/ra_1084_1"&amp;"954.html). Ang simpleng kidnapping ay may mas mababang parusa kumpara sa qualified kidnapping.
* Ang paggamit ng baril o iba pang nakamamatay na sandata ay itinuturing na isang qualifying circumstance, awtomatikong itinataas ang singil sa qualified kidnap"&amp;"ping. **Mga Kwalipikadong Kalagayan:**
Narito ang ilang partikular na paraan kung paano maitataas ng mga baril o iba pang armas ang singil sa kidnapping sa kwalipikadong kidnapping:
* **Pagbabanta gamit ang Armas:** Kahit na ang baril ay hindi na-discharg"&amp;"e, ang pagbabanta sa biktima ng baril o iba pang mapanganib na sandata sa panahon ng pagkidnap ay kwalipikado ito.
* **Paggamit ng Armas para Pigilan:** Ang paggamit ng sandata para pigilan o saktan ang biktima sa panahon ng pagkidnap ay magiging kwalipik"&amp;"ado ito.
**Mas mabigat na Parusa:**
Ang qualified kidnapping ay may mas mabigat na parusa kumpara sa simpleng kidnapping. Ang parusa para sa kuwalipikadong pagkidnap ay maaaring mula sa reclusion perpetua (habang buhay na pagkakakulong) hanggang kamatayan"&amp;", depende sa pagkakaroon ng karagdagang mga pangyayaring kwalipikado.
**Mga Halimbawa ng Pinataas na Parusa:**
Narito ang isang pinasimpleng paghahambing upang ilarawan ang epekto:
* **Simpleng Pagkidnap:** Pagkakulong ng hindi bababa sa 6 na buwan at 1 a"&amp;"raw hanggang 7 taon (nang walang malubhang pisikal na pinsala)
* **Kwalipikadong Pagkidnap:** Reclusion perpetua (habang-buhay na pagkakakulong) hanggang kamatayan (na may mga karagdagang sitwasyong kwalipikado)
**Mahahalagang Paalala:**
* Ang tiyak na pa"&amp;"rusa ay depende sa eksaktong kalagayan ng kaso at sa pagpapasya ng hukom. * Kahit na ang pagkidnap ay hindi nagsasangkot ng isang baril, ang iba pang mga kadahilanan tulad ng pagdudulot ng malubhang pisikal na pinsala sa biktima ay maaari ring itaas ang s"&amp;"ingil sa kwalipikadong kidnapping.
**Rekomendasyon:**
Kung sangkot ka sa isang kaso ng kidnapping kung saan ginamit ang mga baril o iba pang armas, ang pagkonsulta sa isang abogado ng Pilipinas ay napakahalaga. Maaari nilang suriin ang mga partikular na d"&amp;"etalye at payuhan ka tungkol sa mga potensyal na singil at legal na estratehiya batay sa batas at jurisprudence ng Pilipinas (mga desisyon ng korte).")</f>
        <v>Sa Pilipinas, ang pagkakasangkot ng mga baril o iba pang armas sa isang kaso ng kidnapping ay maaaring makabuluhang tumaas ang kalubhaan ng mga singil at potensyal na mga parusa. Narito ang isang breakdown ng epekto:
**Taas na Singilin:**
* Simple Kidnapping vs. Qualified Kidnapping: Naiiba ng Revised Penal Code (RPC) sa pagitan ng simpleng kidnapping at qualified kidnapping (Article 267) [https://lawphil.net/statutes/repacts/ra1954/ra_1084_1954.html](https:// lawphil.net/statutes/repacts/ra1954/ra_1084_1954.html). Ang simpleng kidnapping ay may mas mababang parusa kumpara sa qualified kidnapping.
* Ang paggamit ng baril o iba pang nakamamatay na sandata ay itinuturing na isang qualifying circumstance, awtomatikong itinataas ang singil sa qualified kidnapping. **Mga Kwalipikadong Kalagayan:**
Narito ang ilang partikular na paraan kung paano maitataas ng mga baril o iba pang armas ang singil sa kidnapping sa kwalipikadong kidnapping:
* **Pagbabanta gamit ang Armas:** Kahit na ang baril ay hindi na-discharge, ang pagbabanta sa biktima ng baril o iba pang mapanganib na sandata sa panahon ng pagkidnap ay kwalipikado ito.
* **Paggamit ng Armas para Pigilan:** Ang paggamit ng sandata para pigilan o saktan ang biktima sa panahon ng pagkidnap ay magiging kwalipikado ito.
**Mas mabigat na Parusa:**
Ang qualified kidnapping ay may mas mabigat na parusa kumpara sa simpleng kidnapping. Ang parusa para sa kuwalipikadong pagkidnap ay maaaring mula sa reclusion perpetua (habang buhay na pagkakakulong) hanggang kamatayan, depende sa pagkakaroon ng karagdagang mga pangyayaring kwalipikado.
**Mga Halimbawa ng Pinataas na Parusa:**
Narito ang isang pinasimpleng paghahambing upang ilarawan ang epekto:
* **Simpleng Pagkidnap:** Pagkakulong ng hindi bababa sa 6 na buwan at 1 araw hanggang 7 taon (nang walang malubhang pisikal na pinsala)
* **Kwalipikadong Pagkidnap:** Reclusion perpetua (habang-buhay na pagkakakulong) hanggang kamatayan (na may mga karagdagang sitwasyong kwalipikado)
**Mahahalagang Paalala:**
* Ang tiyak na parusa ay depende sa eksaktong kalagayan ng kaso at sa pagpapasya ng hukom. * Kahit na ang pagkidnap ay hindi nagsasangkot ng isang baril, ang iba pang mga kadahilanan tulad ng pagdudulot ng malubhang pisikal na pinsala sa biktima ay maaari ring itaas ang singil sa kwalipikadong kidnapping.
**Rekomendasyon:**
Kung sangkot ka sa isang kaso ng kidnapping kung saan ginamit ang mga baril o iba pang armas, ang pagkonsulta sa isang abogado ng Pilipinas ay napakahalaga. Maaari nilang suriin ang mga partikular na detalye at payuhan ka tungkol sa mga potensyal na singil at legal na estratehiya batay sa batas at jurisprudence ng Pilipinas (mga desisyon ng korte).</v>
      </c>
      <c r="F960" s="2">
        <f t="shared" si="1"/>
        <v>0</v>
      </c>
      <c r="G960" s="2"/>
      <c r="H960" s="2"/>
      <c r="I960" s="2"/>
      <c r="J960" s="2"/>
      <c r="K960" s="2"/>
      <c r="L960" s="2"/>
      <c r="M960" s="2"/>
      <c r="N960" s="2"/>
      <c r="O960" s="2"/>
      <c r="P960" s="2"/>
      <c r="Q960" s="2"/>
      <c r="R960" s="2"/>
      <c r="S960" s="2"/>
      <c r="T960" s="2"/>
      <c r="U960" s="2"/>
      <c r="V960" s="2"/>
      <c r="W960" s="2"/>
      <c r="X960" s="2"/>
      <c r="Y960" s="2"/>
      <c r="Z960" s="2"/>
      <c r="AA960" s="2"/>
    </row>
    <row r="961">
      <c r="A961" s="3" t="s">
        <v>2763</v>
      </c>
      <c r="B961" s="1" t="s">
        <v>3086</v>
      </c>
      <c r="C961" s="1" t="s">
        <v>3087</v>
      </c>
      <c r="D961" s="2" t="str">
        <f>IFERROR(__xludf.DUMMYFUNCTION("GOOGLETRANSLATE(B961, ""en"", ""TL"")"),"Maaari bang kasuhan ng iba ang mga kasabwat sa kasong kidnapping?")</f>
        <v>Maaari bang kasuhan ng iba ang mga kasabwat sa kasong kidnapping?</v>
      </c>
      <c r="E961" s="2" t="str">
        <f>IFERROR(__xludf.DUMMYFUNCTION("GOOGLETRANSLATE(C961, ""en"", ""TL"")"),"Oo, ang mga kasabwat sa isang kaso ng kidnapping sa Pilipinas ay maaaring kasuhan nang iba sa mga pangunahing salarin, depende sa kanilang antas ng pagkakasangkot at layunin. Narito ang isang breakdown batay sa batas ng Pilipinas, partikular ang Revised P"&amp;"enal Code (RPC):
**Principal vs. Accomplice:**
* **Principal:** Ang taong direktang gumawa ng krimen ng pagkidnap o lumahok sa pagpapatupad nito na may parehong antas ng kriminal na layunin bilang pangunahing may kasalanan.
* **Kasabwat:** Isang taong, na"&amp;" may kaalaman sa planong kriminal, ay nakikipagtulungan sa pagpapatupad ng pagkidnap sa pamamagitan ng pagbibigay ng tulong o paghihikayat, ngunit sa mas mababang antas kaysa sa punong-guro. **Mga Degree ng Pananagutan para sa Mga Kasabwat:**
Kinikilala n"&amp;"g RPC ang iba't ibang antas ng pananagutan para sa mga kasabwat (Artikulo 18) [inalis ang di-wastong URL]:
1. **Inducers:** Yaong mga direktang nanghihikayat, nag-uudyok, o nagpapakilos sa ibang tao na gawin ang krimen.
2. **Mga Kasabwat sa pamamagitan ng"&amp;" Kooperasyon:** Yaong mga nakikipagtulungan sa pagsasagawa ng kilos sa pamamagitan ng pagsasagawa ng mga materyal na gawain kung wala ang krimen ay hindi nagagawa. (hal., pagmamaneho ng getaway car) 3. **Mga Kasabwat sa pamamagitan ng Moral Aid:** Yaong m"&amp;"ga nagbibigay ng panghihikayat o moral na suporta sa prinsipal nang hindi direktang nakikilahok sa pisikal na gawain.
**Mga Kasabwat sa Pagsingil:**
* **Parehong Krimen:** Sa ilang mga kaso, maaaring kasuhan ang mga kasabwat ng parehong krimen gaya ng pri"&amp;"nsipal (hal., kwalipikadong pagkidnap gamit ang baril) kung makabuluhan ang kanilang antas ng pagkakasangkot at layunin.
* **Lesser Charge:** Para sa mga kasabwat na may mas mababang antas ng pakikilahok o layunin, ang mga singil ay maaaring mabawasan. (h"&amp;"al., accessory sa kidnapping)
**Mga Salik na Nakakaapekto sa Mga Pagsingil:**
Narito ang ilang salik na maaaring makaimpluwensya sa mga paratang laban sa mga kasabwat:
* **Antas ng Paglahok:** Ang lawak ng tulong ng kasabwat sa pagpaplano o pagsasagawa ng"&amp;" kidnapping.
* **Kaalaman at Layunin:** Kung alam ng kasabwat ang tungkol sa plano at nilayon upang mapadali ang pagkidnap.
* **Degree of Involvement:** Gaano kahalaga ang papel ng kasabwat sa tagumpay ng krimen?
**Kahalagahan ng Legal na Tagapayo:**
Kung"&amp;" ikaw ay sangkot sa isang kaso ng kidnapping bilang isang kasabwat, ang pagkonsulta sa isang abogado ng Pilipinas ay napakahalaga. Maaari silang:
* Suriin ang mga detalye ng iyong paglahok at suriin ang mga potensyal na singil na maaari mong harapin.
* Ga"&amp;"lugarin ang mga posibleng depensa batay sa iyong antas ng kaalaman at layunin.
* Kinatawan ka sa korte at makipag-ayos sa mga tagausig para sa iyo. **Disclaimer:** Nagbibigay ang impormasyong ito ng pangkalahatang pangkalahatang-ideya. Para sa partikular "&amp;"na legal na payo tungkol sa iyong sitwasyon bilang isang kasabwat sa isang kaso ng kidnapping, ang pagkonsulta sa isang kwalipikadong abogado ng Pilipinas ay lubos na inirerekomenda.")</f>
        <v>Oo, ang mga kasabwat sa isang kaso ng kidnapping sa Pilipinas ay maaaring kasuhan nang iba sa mga pangunahing salarin, depende sa kanilang antas ng pagkakasangkot at layunin. Narito ang isang breakdown batay sa batas ng Pilipinas, partikular ang Revised Penal Code (RPC):
**Principal vs. Accomplice:**
* **Principal:** Ang taong direktang gumawa ng krimen ng pagkidnap o lumahok sa pagpapatupad nito na may parehong antas ng kriminal na layunin bilang pangunahing may kasalanan.
* **Kasabwat:** Isang taong, na may kaalaman sa planong kriminal, ay nakikipagtulungan sa pagpapatupad ng pagkidnap sa pamamagitan ng pagbibigay ng tulong o paghihikayat, ngunit sa mas mababang antas kaysa sa punong-guro. **Mga Degree ng Pananagutan para sa Mga Kasabwat:**
Kinikilala ng RPC ang iba't ibang antas ng pananagutan para sa mga kasabwat (Artikulo 18) [inalis ang di-wastong URL]:
1. **Inducers:** Yaong mga direktang nanghihikayat, nag-uudyok, o nagpapakilos sa ibang tao na gawin ang krimen.
2. **Mga Kasabwat sa pamamagitan ng Kooperasyon:** Yaong mga nakikipagtulungan sa pagsasagawa ng kilos sa pamamagitan ng pagsasagawa ng mga materyal na gawain kung wala ang krimen ay hindi nagagawa. (hal., pagmamaneho ng getaway car) 3. **Mga Kasabwat sa pamamagitan ng Moral Aid:** Yaong mga nagbibigay ng panghihikayat o moral na suporta sa prinsipal nang hindi direktang nakikilahok sa pisikal na gawain.
**Mga Kasabwat sa Pagsingil:**
* **Parehong Krimen:** Sa ilang mga kaso, maaaring kasuhan ang mga kasabwat ng parehong krimen gaya ng prinsipal (hal., kwalipikadong pagkidnap gamit ang baril) kung makabuluhan ang kanilang antas ng pagkakasangkot at layunin.
* **Lesser Charge:** Para sa mga kasabwat na may mas mababang antas ng pakikilahok o layunin, ang mga singil ay maaaring mabawasan. (hal., accessory sa kidnapping)
**Mga Salik na Nakakaapekto sa Mga Pagsingil:**
Narito ang ilang salik na maaaring makaimpluwensya sa mga paratang laban sa mga kasabwat:
* **Antas ng Paglahok:** Ang lawak ng tulong ng kasabwat sa pagpaplano o pagsasagawa ng kidnapping.
* **Kaalaman at Layunin:** Kung alam ng kasabwat ang tungkol sa plano at nilayon upang mapadali ang pagkidnap.
* **Degree of Involvement:** Gaano kahalaga ang papel ng kasabwat sa tagumpay ng krimen?
**Kahalagahan ng Legal na Tagapayo:**
Kung ikaw ay sangkot sa isang kaso ng kidnapping bilang isang kasabwat, ang pagkonsulta sa isang abogado ng Pilipinas ay napakahalaga. Maaari silang:
* Suriin ang mga detalye ng iyong paglahok at suriin ang mga potensyal na singil na maaari mong harapin.
* Galugarin ang mga posibleng depensa batay sa iyong antas ng kaalaman at layunin.
* Kinatawan ka sa korte at makipag-ayos sa mga tagausig para sa iyo. **Disclaimer:** Nagbibigay ang impormasyong ito ng pangkalahatang pangkalahatang-ideya. Para sa partikular na legal na payo tungkol sa iyong sitwasyon bilang isang kasabwat sa isang kaso ng kidnapping, ang pagkonsulta sa isang kwalipikadong abogado ng Pilipinas ay lubos na inirerekomenda.</v>
      </c>
      <c r="F961" s="2">
        <f t="shared" si="1"/>
        <v>0</v>
      </c>
      <c r="G961" s="2"/>
      <c r="H961" s="2"/>
      <c r="I961" s="2"/>
      <c r="J961" s="2"/>
      <c r="K961" s="2"/>
      <c r="L961" s="2"/>
      <c r="M961" s="2"/>
      <c r="N961" s="2"/>
      <c r="O961" s="2"/>
      <c r="P961" s="2"/>
      <c r="Q961" s="2"/>
      <c r="R961" s="2"/>
      <c r="S961" s="2"/>
      <c r="T961" s="2"/>
      <c r="U961" s="2"/>
      <c r="V961" s="2"/>
      <c r="W961" s="2"/>
      <c r="X961" s="2"/>
      <c r="Y961" s="2"/>
      <c r="Z961" s="2"/>
      <c r="AA961" s="2"/>
    </row>
    <row r="962">
      <c r="A962" s="3" t="s">
        <v>2763</v>
      </c>
      <c r="B962" s="1" t="s">
        <v>3088</v>
      </c>
      <c r="C962" s="1" t="s">
        <v>3089</v>
      </c>
      <c r="D962" s="2" t="str">
        <f>IFERROR(__xludf.DUMMYFUNCTION("GOOGLETRANSLATE(B962, ""en"", ""TL"")"),"Ano ang dapat kong gawin kung pinaghihinalaan ko na ang aking anak ay kinidnap ng kanilang iba pang magulang?")</f>
        <v>Ano ang dapat kong gawin kung pinaghihinalaan ko na ang aking anak ay kinidnap ng kanilang iba pang magulang?</v>
      </c>
      <c r="E962" s="2" t="str">
        <f>IFERROR(__xludf.DUMMYFUNCTION("GOOGLETRANSLATE(C962, ""en"", ""TL"")"),"Narito ang dapat mong gawin kung pinaghihinalaan mo na ang iyong anak ay kinidnap ng isa pa nilang magulang sa Pilipinas:
**Mga Agarang Hakbang:**
1. **Makipag-ugnayan sa Mga Awtoridad:** Magsampa kaagad ng ulat sa pulisya. Ibigay ang lahat ng detalye tun"&amp;"gkol sa iyong anak, sa ibang magulang, at anumang impormasyong mayroon ka tungkol sa posibleng pagkidnap. 2. **Magtipon ng Ebidensya:** Mangolekta ng anumang mga dokumento na maaaring makatulong, tulad ng mga kasunduan sa pag-iingat, mga pasaporte, kamaka"&amp;"ilang mga larawan ng iyong anak, o patunay ng iyong relasyon sa bata.
**Mga Legal na Panukala:**
1. **Kumonsulta sa Abogado:** Maaaring payuhan ka ng isang abogado na dalubhasa sa batas ng pamilya tungkol sa iyong mga legal na karapatan at opsyon. Matutul"&amp;"ungan ka nila na magsampa ng petisyon para sa isang writ of habeas corpus, na nagpipilit sa ibang magulang na humarap sa korte at bigyang-katwiran ang pagkulong sa bata.
2. **Pagpapatupad ng Kasunduan sa Kustodiya:** Kung mayroon kang kasunduan sa pag-iin"&amp;"gat na iniutos ng hukuman at nilalabag ito ng ibang magulang, matutulungan ka ng iyong abogado na ipatupad ang kasunduan sa pamamagitan ng sistema ng hukuman.
**Paghahanap ng Iyong Anak:**
1. **Makipagtulungan sa Pagpapatupad ng Batas:** Makipagtulungan n"&amp;"ang buo sa imbestigasyon ng pulisya. Magbigay ng anumang impormasyon na sa tingin mo ay maaaring makatulong na mahanap ang iyong anak.
2. **Makipag-ugnayan sa mga NGO:** Ilang Non-Governmental Organization (NGOs) ay dalubhasa sa mga nawawalang kaso ng mga"&amp;" bata. Maaari silang mag-alok ng mga mapagkukunan at suporta sa paghahanap ng iyong anak.
**Mga Karagdagang Tip:**
* **Huwag Publikong Akusahan ang Ibang Magulang:** Ito ay posibleng ilagay sa panganib ang iyong anak. * **Panatilihin ang Komunikasyon:** B"&amp;"agama't maaaring mahirap ang pakikipag-ugnayan sa ibang magulang, isaalang-alang ang pakikipag-ugnayan kung mayroon kang anumang mapagkakatiwalaang lead sa kanilang kinaroroonan. * **Alagaan ang Iyong Sarili:** Ito ay isang nakababahalang sitwasyon. Humin"&amp;"gi ng emosyonal na suporta mula sa mga pinagkakatiwalaang kaibigan, pamilya, o isang therapist.
**Mahalagang Paalala:**
Ang Pilipinas ay hindi lumagda sa Hague Convention on Child Abduction [https://www.hcch.net/en/instruments/conventions/specialised-sect"&amp;"ions/child-abduction](https://www.hcch.net/en /instruments/conventions/specialised-sections/child-abduction). Ang internasyonal na kasunduan na ito ay nag-streamline sa proseso ng pagbabalik ng mga dinukot na bata sa mga hangganan. Dahil ang ibang magulan"&amp;"g ay nasa loob ng Pilipinas, ang Hague Convention ay hindi nalalapat sa kasong ito. **Tandaan:** Ito ay isang kritikal na sitwasyon, at ang paggawa ng agarang aksyon ay mahalaga. Ang pagkonsulta sa isang abogado na dalubhasa sa batas ng pamilya ay lubos n"&amp;"a inirerekomenda. Maaari ka nilang gabayan sa legal na proseso, protektahan ang iyong mga karapatan, at tulungan kang mahanap ang iyong anak.")</f>
        <v>Narito ang dapat mong gawin kung pinaghihinalaan mo na ang iyong anak ay kinidnap ng isa pa nilang magulang sa Pilipinas:
**Mga Agarang Hakbang:**
1. **Makipag-ugnayan sa Mga Awtoridad:** Magsampa kaagad ng ulat sa pulisya. Ibigay ang lahat ng detalye tungkol sa iyong anak, sa ibang magulang, at anumang impormasyong mayroon ka tungkol sa posibleng pagkidnap. 2. **Magtipon ng Ebidensya:** Mangolekta ng anumang mga dokumento na maaaring makatulong, tulad ng mga kasunduan sa pag-iingat, mga pasaporte, kamakailang mga larawan ng iyong anak, o patunay ng iyong relasyon sa bata.
**Mga Legal na Panukala:**
1. **Kumonsulta sa Abogado:** Maaaring payuhan ka ng isang abogado na dalubhasa sa batas ng pamilya tungkol sa iyong mga legal na karapatan at opsyon. Matutulungan ka nila na magsampa ng petisyon para sa isang writ of habeas corpus, na nagpipilit sa ibang magulang na humarap sa korte at bigyang-katwiran ang pagkulong sa bata.
2. **Pagpapatupad ng Kasunduan sa Kustodiya:** Kung mayroon kang kasunduan sa pag-iingat na iniutos ng hukuman at nilalabag ito ng ibang magulang, matutulungan ka ng iyong abogado na ipatupad ang kasunduan sa pamamagitan ng sistema ng hukuman.
**Paghahanap ng Iyong Anak:**
1. **Makipagtulungan sa Pagpapatupad ng Batas:** Makipagtulungan nang buo sa imbestigasyon ng pulisya. Magbigay ng anumang impormasyon na sa tingin mo ay maaaring makatulong na mahanap ang iyong anak.
2. **Makipag-ugnayan sa mga NGO:** Ilang Non-Governmental Organization (NGOs) ay dalubhasa sa mga nawawalang kaso ng mga bata. Maaari silang mag-alok ng mga mapagkukunan at suporta sa paghahanap ng iyong anak.
**Mga Karagdagang Tip:**
* **Huwag Publikong Akusahan ang Ibang Magulang:** Ito ay posibleng ilagay sa panganib ang iyong anak. * **Panatilihin ang Komunikasyon:** Bagama't maaaring mahirap ang pakikipag-ugnayan sa ibang magulang, isaalang-alang ang pakikipag-ugnayan kung mayroon kang anumang mapagkakatiwalaang lead sa kanilang kinaroroonan. * **Alagaan ang Iyong Sarili:** Ito ay isang nakababahalang sitwasyon. Humingi ng emosyonal na suporta mula sa mga pinagkakatiwalaang kaibigan, pamilya, o isang therapist.
**Mahalagang Paalala:**
Ang Pilipinas ay hindi lumagda sa Hague Convention on Child Abduction [https://www.hcch.net/en/instruments/conventions/specialised-sections/child-abduction](https://www.hcch.net/en /instruments/conventions/specialised-sections/child-abduction). Ang internasyonal na kasunduan na ito ay nag-streamline sa proseso ng pagbabalik ng mga dinukot na bata sa mga hangganan. Dahil ang ibang magulang ay nasa loob ng Pilipinas, ang Hague Convention ay hindi nalalapat sa kasong ito. **Tandaan:** Ito ay isang kritikal na sitwasyon, at ang paggawa ng agarang aksyon ay mahalaga. Ang pagkonsulta sa isang abogado na dalubhasa sa batas ng pamilya ay lubos na inirerekomenda. Maaari ka nilang gabayan sa legal na proseso, protektahan ang iyong mga karapatan, at tulungan kang mahanap ang iyong anak.</v>
      </c>
      <c r="F962" s="2">
        <f t="shared" si="1"/>
        <v>0</v>
      </c>
      <c r="G962" s="2"/>
      <c r="H962" s="2"/>
      <c r="I962" s="2"/>
      <c r="J962" s="2"/>
      <c r="K962" s="2"/>
      <c r="L962" s="2"/>
      <c r="M962" s="2"/>
      <c r="N962" s="2"/>
      <c r="O962" s="2"/>
      <c r="P962" s="2"/>
      <c r="Q962" s="2"/>
      <c r="R962" s="2"/>
      <c r="S962" s="2"/>
      <c r="T962" s="2"/>
      <c r="U962" s="2"/>
      <c r="V962" s="2"/>
      <c r="W962" s="2"/>
      <c r="X962" s="2"/>
      <c r="Y962" s="2"/>
      <c r="Z962" s="2"/>
      <c r="AA962" s="2"/>
    </row>
    <row r="963">
      <c r="A963" s="3" t="s">
        <v>2763</v>
      </c>
      <c r="B963" s="1" t="s">
        <v>3090</v>
      </c>
      <c r="C963" s="1" t="s">
        <v>3091</v>
      </c>
      <c r="D963" s="2" t="str">
        <f>IFERROR(__xludf.DUMMYFUNCTION("GOOGLETRANSLATE(B963, ""en"", ""TL"")"),"Paano pinangangasiwaan ng batas ang mga internasyonal na kaso ng kidnapping?")</f>
        <v>Paano pinangangasiwaan ng batas ang mga internasyonal na kaso ng kidnapping?</v>
      </c>
      <c r="E963" s="2" t="str">
        <f>IFERROR(__xludf.DUMMYFUNCTION("GOOGLETRANSLATE(C963, ""en"", ""TL"")"),"Ang mga internasyonal na kaso ng kidnapping, kung saan ang isang bata ay dinadala sa mga internasyonal na hangganan, ay nagsasangkot ng isang kumplikadong interplay ng mga batas at hurisdiksyon. Narito ang isang breakdown kung paano karaniwang pinangangas"&amp;"iwaan ng batas ang mga sitwasyong ito:
**Mga Internasyonal na Kasunduan:**
* **Hague Convention on the Civil Aspects of International Child Abduction:** Ito ang pinakamahalagang internasyonal na kasunduan tungkol sa child abduction. Nagtatatag ito ng bala"&amp;"ngkas para sa agarang pagbabalik ng mga bata na maling inalis o pinanatili sa isang bansang lumagda [https://www.hcch.net/en/instruments/conventions/specialised-sections/child-abduction](https:// www.hcch.net/en/instruments/conventions/specialised-section"&amp;"s/child-abduction).
**Mga Pangunahing Punto ng Hague Convention:**
* **Mga Awtoridad ng Sentral:** Ang bawat bansang lumagda ay nagtatalaga ng isang Awtoridad ng Sentral upang pangasiwaan ang mga kahilingan para sa pagbabalik ng mga dinukot na bata. * **P"&amp;"rompt Return:** Ang focus ay sa agarang pagbabalik ng bata sa kanilang bansang karaniwang tinitirhan, kung saan sila ay bago ang maling pag-alis o pagpapanatili.
* **Mga Depensa:** Ang convention ay nagbibigay-daan para sa ilang mga eksepsiyon at mga depe"&amp;"nsa para sa hindi pagbabalik sa bata, tulad ng kung ang bata ay tumutol dahil sa kanilang kapanahunan at edad, o kung may panganib na mapinsala sa kanilang sariling bansa.
**Ibang Kaugnay na Batas:**
* **Mga Batas Domestic:** Ang Pilipinas at ang ibang ba"&amp;"nsang kasangkot ay magkakaroon ng sariling mga batas sa loob ng bansa tungkol sa pagkidnap at pag-iingat ng bata. Ang mga batas na ito ay maaaring gumana sa tabi ng Hague Convention.
* **International Law:** Ang mga prinsipyo ng internasyonal na batas, ga"&amp;"ya ng teritoryal na hurisdiksyon at nasyonalidad na hurisdiksyon, ay maaari ding maging mga salik sa mga kumplikadong kaso.
**Mga Hamon ng International Cases:**
* **Jurisdictional Conflicts:** Ang Pilipinas at ang ibang bansa ay maaaring mag-claim ng hur"&amp;"isdiksyon, na humahantong sa mga pagkaantala.
* **Mga Proseso ng Extradition:** Kung ang mga kasong kriminal ay hinahabol laban sa dumukot, ang mga proseso ng extradition upang maibalik sila sa Pilipinas para sa paglilitis ay maaaring mahaba.
* **Pagtitip"&amp;"on ng Ebidensya:** Ang pagkolekta ng ebidensya sa mga hangganan ay maaaring maging mahirap at nakakaubos ng oras.
**Naghahanap ng Tulong:**
* **Abogado na Espesyalista sa Internasyonal na Batas:** Ang isang abogado na may kadalubhasaan sa internasyonal na"&amp;" batas at mga kaso ng pagdukot sa bata ay mahalaga. Maaari silang mag-navigate sa mga kumplikado ng hurisdiksyon, extradition, at proseso ng Hague Convention.
* **Mga Ahensya ng Gobyerno:** Maaaring mag-alok ng tulong ang Department of Social Welfare and "&amp;"Development (DSWD) sa Pilipinas at ikonekta ka sa mga nauugnay na mapagkukunan.
**Mga Karagdagang Pagsasaalang-alang:**
* **International Cooperation:** Maaaring magtulungan ang mga ahensyang nagpapatupad ng batas sa Pilipinas at sa ibang bansa para mahan"&amp;"ap ang bata. * **Non-Governmental Organizations (NGOs):** Ang mga NGO na dalubhasa sa mga nawawalang kaso ng mga bata ay maaaring magbigay ng suporta at mapagkukunan para sa mga pamilyang sangkot sa mga internasyonal na kaso ng pagdukot.
**Tandaan:** Ito "&amp;"ay isang pinasimple na pangkalahatang-ideya. Bawat kaso ay natatangi. Ang pagkonsulta sa isang kwalipikadong abogado na dalubhasa sa internasyonal na batas ng pamilya at pagdukot ng bata ay mahalaga para sa pag-navigate sa mga legal na kumplikado at pagta"&amp;"as ng mga pagkakataon ng isang ligtas at mabilis na pagbabalik ng iyong anak.")</f>
        <v>Ang mga internasyonal na kaso ng kidnapping, kung saan ang isang bata ay dinadala sa mga internasyonal na hangganan, ay nagsasangkot ng isang kumplikadong interplay ng mga batas at hurisdiksyon. Narito ang isang breakdown kung paano karaniwang pinangangasiwaan ng batas ang mga sitwasyong ito:
**Mga Internasyonal na Kasunduan:**
* **Hague Convention on the Civil Aspects of International Child Abduction:** Ito ang pinakamahalagang internasyonal na kasunduan tungkol sa child abduction. Nagtatatag ito ng balangkas para sa agarang pagbabalik ng mga bata na maling inalis o pinanatili sa isang bansang lumagda [https://www.hcch.net/en/instruments/conventions/specialised-sections/child-abduction](https:// www.hcch.net/en/instruments/conventions/specialised-sections/child-abduction).
**Mga Pangunahing Punto ng Hague Convention:**
* **Mga Awtoridad ng Sentral:** Ang bawat bansang lumagda ay nagtatalaga ng isang Awtoridad ng Sentral upang pangasiwaan ang mga kahilingan para sa pagbabalik ng mga dinukot na bata. * **Prompt Return:** Ang focus ay sa agarang pagbabalik ng bata sa kanilang bansang karaniwang tinitirhan, kung saan sila ay bago ang maling pag-alis o pagpapanatili.
* **Mga Depensa:** Ang convention ay nagbibigay-daan para sa ilang mga eksepsiyon at mga depensa para sa hindi pagbabalik sa bata, tulad ng kung ang bata ay tumutol dahil sa kanilang kapanahunan at edad, o kung may panganib na mapinsala sa kanilang sariling bansa.
**Ibang Kaugnay na Batas:**
* **Mga Batas Domestic:** Ang Pilipinas at ang ibang bansang kasangkot ay magkakaroon ng sariling mga batas sa loob ng bansa tungkol sa pagkidnap at pag-iingat ng bata. Ang mga batas na ito ay maaaring gumana sa tabi ng Hague Convention.
* **International Law:** Ang mga prinsipyo ng internasyonal na batas, gaya ng teritoryal na hurisdiksyon at nasyonalidad na hurisdiksyon, ay maaari ding maging mga salik sa mga kumplikadong kaso.
**Mga Hamon ng International Cases:**
* **Jurisdictional Conflicts:** Ang Pilipinas at ang ibang bansa ay maaaring mag-claim ng hurisdiksyon, na humahantong sa mga pagkaantala.
* **Mga Proseso ng Extradition:** Kung ang mga kasong kriminal ay hinahabol laban sa dumukot, ang mga proseso ng extradition upang maibalik sila sa Pilipinas para sa paglilitis ay maaaring mahaba.
* **Pagtitipon ng Ebidensya:** Ang pagkolekta ng ebidensya sa mga hangganan ay maaaring maging mahirap at nakakaubos ng oras.
**Naghahanap ng Tulong:**
* **Abogado na Espesyalista sa Internasyonal na Batas:** Ang isang abogado na may kadalubhasaan sa internasyonal na batas at mga kaso ng pagdukot sa bata ay mahalaga. Maaari silang mag-navigate sa mga kumplikado ng hurisdiksyon, extradition, at proseso ng Hague Convention.
* **Mga Ahensya ng Gobyerno:** Maaaring mag-alok ng tulong ang Department of Social Welfare and Development (DSWD) sa Pilipinas at ikonekta ka sa mga nauugnay na mapagkukunan.
**Mga Karagdagang Pagsasaalang-alang:**
* **International Cooperation:** Maaaring magtulungan ang mga ahensyang nagpapatupad ng batas sa Pilipinas at sa ibang bansa para mahanap ang bata. * **Non-Governmental Organizations (NGOs):** Ang mga NGO na dalubhasa sa mga nawawalang kaso ng mga bata ay maaaring magbigay ng suporta at mapagkukunan para sa mga pamilyang sangkot sa mga internasyonal na kaso ng pagdukot.
**Tandaan:** Ito ay isang pinasimple na pangkalahatang-ideya. Bawat kaso ay natatangi. Ang pagkonsulta sa isang kwalipikadong abogado na dalubhasa sa internasyonal na batas ng pamilya at pagdukot ng bata ay mahalaga para sa pag-navigate sa mga legal na kumplikado at pagtaas ng mga pagkakataon ng isang ligtas at mabilis na pagbabalik ng iyong anak.</v>
      </c>
      <c r="F963" s="2">
        <f t="shared" si="1"/>
        <v>0</v>
      </c>
      <c r="G963" s="2"/>
      <c r="H963" s="2"/>
      <c r="I963" s="2"/>
      <c r="J963" s="2"/>
      <c r="K963" s="2"/>
      <c r="L963" s="2"/>
      <c r="M963" s="2"/>
      <c r="N963" s="2"/>
      <c r="O963" s="2"/>
      <c r="P963" s="2"/>
      <c r="Q963" s="2"/>
      <c r="R963" s="2"/>
      <c r="S963" s="2"/>
      <c r="T963" s="2"/>
      <c r="U963" s="2"/>
      <c r="V963" s="2"/>
      <c r="W963" s="2"/>
      <c r="X963" s="2"/>
      <c r="Y963" s="2"/>
      <c r="Z963" s="2"/>
      <c r="AA963" s="2"/>
    </row>
    <row r="964">
      <c r="A964" s="3" t="s">
        <v>2763</v>
      </c>
      <c r="B964" s="1" t="s">
        <v>3092</v>
      </c>
      <c r="C964" s="1" t="s">
        <v>3093</v>
      </c>
      <c r="D964" s="2" t="str">
        <f>IFERROR(__xludf.DUMMYFUNCTION("GOOGLETRANSLATE(B964, ""en"", ""TL"")"),"Mayroon bang anumang partikular na protocol o legal na pamamaraan na dapat sundin sa mga kaso ng pinaghihinalaang kidnapping?")</f>
        <v>Mayroon bang anumang partikular na protocol o legal na pamamaraan na dapat sundin sa mga kaso ng pinaghihinalaang kidnapping?</v>
      </c>
      <c r="E964" s="2" t="str">
        <f>IFERROR(__xludf.DUMMYFUNCTION("GOOGLETRANSLATE(C964, ""en"", ""TL"")"),"Sa Pilipinas, may mga partikular na protocol at legal na pamamaraan na dapat sundin kung pinaghihinalaan mo na ang iyong anak o ibang tao ay kinidnap. Narito ang isang breakdown ng mga pangunahing hakbang:
**Agad na Pagkilos:**
1. **Makipag-ugnayan sa Pag"&amp;"papatupad ng Batas:** Ito ang pinakamahalagang hakbang. Tawagan ang police emergency hotline (117) o pumunta sa pinakamalapit na istasyon ng pulisya upang mag-file ng ulat. Ibigay ang lahat ng detalye tungkol sa biktima, anumang mga potensyal na suspek, a"&amp;"t ang mga pangyayari sa paligid ng pagkawala. 2. **Magtipon ng Impormasyon:** Habang naghihintay ng pulis, kolektahin ang anumang impormasyon na maaaring makatulong. Maaaring kabilang dito ang:
* Kamakailang mga larawan ng biktima.
* Mga detalye tungkol s"&amp;"a pananamit ng biktima at anumang mga tampok na nagpapakilala.
* Impormasyon tungkol sa pang-araw-araw na gawain ng biktima at potensyal na kinaroroonan.
* Anumang katibayan ng isang pakikibaka o kahina-hinalang aktibidad.
**Mga Legal na Panukala:**
1. **"&amp;"Makipagtulungan sa Police Investigator:** Makipagtulungan nang buo sa imbestigasyon ng pulisya. Magbigay ng anumang impormasyon na mayroon ka at sagutin ang kanilang mga tanong nang totoo. 2. **Kumonsulta sa isang Abogado:** Ang isang abogado na dalubhasa"&amp;" sa batas ng pamilya (kung may kasamang bata) o batas sa kriminal ay maaaring payuhan ka sa iyong mga legal na karapatan at mga opsyon. Matutulungan ka rin nilang mag-navigate sa mga legal na prosesong kasangkot sa kaso.
**Paghahanap ng Biktima:**
1. **Mg"&amp;"a Pagsisikap sa Paghahanap:** Depende sa mga pangyayari, maaari kang masangkot sa mga pagsisikap sa paghahanap na nakipag-ugnayan sa pulisya. 2. **Media Outreach:** Sa ilang mga kaso, sa pag-apruba ng pulisya, maaari mong isaalang-alang ang pakikipagtulun"&amp;"gan sa mga media outlet upang magbahagi ng impormasyon tungkol sa nawawalang tao at itaas ang kamalayan ng publiko.
**Mga Karagdagang Mapagkukunan:**
* **Mga Ahensya ng Gobyerno:** Nag-aalok ang Department of Social Welfare and Development (DSWD) ng supor"&amp;"ta at mapagkukunan para sa mga pamilya ng mga nawawalang tao. * **Non-Governmental Organizations (NGOs):** Maraming NGO ang dalubhasa sa mga nawawalang kaso ng mga bata. Maaari silang mag-alok ng mga grupo ng suporta, pagpapayo, at tulong sa paghahanap ng"&amp;" mga nawawalang mahal sa buhay.
**Mahahalagang Paalala:**
* **Huwag Publikong Akusahan ang mga Suspek:** Ito ay posibleng ilagay sa panganib ang biktima. * **Panatilihin ang Komunikasyon:** Bagama't maaaring mahirap ang pakikipag-ugnayan sa pinaghihinalaa"&amp;"ng kidnapper, kung makatanggap ka ng anumang mapagkakatiwalaang impormasyon tungkol sa kinaroroonan ng biktima, isaalang-alang ang pakikipag-ugnayan sa mga awtoridad.
* **Alagaan ang Iyong Sarili:** Ito ay isang hindi kapani-paniwalang nakababahalang sitw"&amp;"asyon. Humingi ng emosyonal na suporta mula sa mga pinagkakatiwalaang kaibigan, pamilya, o isang therapist.
**Narito ang ilang karagdagang puntos na dapat tandaan:**
* **Pag-iingat ng Ebidensya:** Iwasang makagambala sa mga potensyal na eksena sa krimen o"&amp;" baguhin ang ebidensya. Bahala na sa mga police investigator.
* **Mga Maling Ulat:** Ang paghahain ng maling ulat sa pagkidnap ay isang krimen mismo. Tiyaking mayroon kang tunay na dahilan upang maghinala ng isang kidnapping bago makipag-ugnayan sa mga aw"&amp;"toridad.
* **Ang Kooperasyon ay Susi:** Ang pakikipagtulungan sa pagpapatupad ng batas, legal na tagapayo, at mga nauugnay na mapagkukunan ay mahalaga para sa matagumpay na pagsisiyasat at ligtas na pagbabalik ng biktima.
Sa pamamagitan ng pagsunod sa mga"&amp;" protocol at legal na pamamaraan na ito, maaari mong palakihin ang mga pagkakataong magkaroon ng positibong resulta sa isang pinaghihinalaang kaso ng kidnapping. Tandaan, ang mabilis na pagkilos at pagbibigay ng tumpak na impormasyon sa mga awtoridad ay m"&amp;"ahalaga.")</f>
        <v>Sa Pilipinas, may mga partikular na protocol at legal na pamamaraan na dapat sundin kung pinaghihinalaan mo na ang iyong anak o ibang tao ay kinidnap. Narito ang isang breakdown ng mga pangunahing hakbang:
**Agad na Pagkilos:**
1. **Makipag-ugnayan sa Pagpapatupad ng Batas:** Ito ang pinakamahalagang hakbang. Tawagan ang police emergency hotline (117) o pumunta sa pinakamalapit na istasyon ng pulisya upang mag-file ng ulat. Ibigay ang lahat ng detalye tungkol sa biktima, anumang mga potensyal na suspek, at ang mga pangyayari sa paligid ng pagkawala. 2. **Magtipon ng Impormasyon:** Habang naghihintay ng pulis, kolektahin ang anumang impormasyon na maaaring makatulong. Maaaring kabilang dito ang:
* Kamakailang mga larawan ng biktima.
* Mga detalye tungkol sa pananamit ng biktima at anumang mga tampok na nagpapakilala.
* Impormasyon tungkol sa pang-araw-araw na gawain ng biktima at potensyal na kinaroroonan.
* Anumang katibayan ng isang pakikibaka o kahina-hinalang aktibidad.
**Mga Legal na Panukala:**
1. **Makipagtulungan sa Police Investigator:** Makipagtulungan nang buo sa imbestigasyon ng pulisya. Magbigay ng anumang impormasyon na mayroon ka at sagutin ang kanilang mga tanong nang totoo. 2. **Kumonsulta sa isang Abogado:** Ang isang abogado na dalubhasa sa batas ng pamilya (kung may kasamang bata) o batas sa kriminal ay maaaring payuhan ka sa iyong mga legal na karapatan at mga opsyon. Matutulungan ka rin nilang mag-navigate sa mga legal na prosesong kasangkot sa kaso.
**Paghahanap ng Biktima:**
1. **Mga Pagsisikap sa Paghahanap:** Depende sa mga pangyayari, maaari kang masangkot sa mga pagsisikap sa paghahanap na nakipag-ugnayan sa pulisya. 2. **Media Outreach:** Sa ilang mga kaso, sa pag-apruba ng pulisya, maaari mong isaalang-alang ang pakikipagtulungan sa mga media outlet upang magbahagi ng impormasyon tungkol sa nawawalang tao at itaas ang kamalayan ng publiko.
**Mga Karagdagang Mapagkukunan:**
* **Mga Ahensya ng Gobyerno:** Nag-aalok ang Department of Social Welfare and Development (DSWD) ng suporta at mapagkukunan para sa mga pamilya ng mga nawawalang tao. * **Non-Governmental Organizations (NGOs):** Maraming NGO ang dalubhasa sa mga nawawalang kaso ng mga bata. Maaari silang mag-alok ng mga grupo ng suporta, pagpapayo, at tulong sa paghahanap ng mga nawawalang mahal sa buhay.
**Mahahalagang Paalala:**
* **Huwag Publikong Akusahan ang mga Suspek:** Ito ay posibleng ilagay sa panganib ang biktima. * **Panatilihin ang Komunikasyon:** Bagama't maaaring mahirap ang pakikipag-ugnayan sa pinaghihinalaang kidnapper, kung makatanggap ka ng anumang mapagkakatiwalaang impormasyon tungkol sa kinaroroonan ng biktima, isaalang-alang ang pakikipag-ugnayan sa mga awtoridad.
* **Alagaan ang Iyong Sarili:** Ito ay isang hindi kapani-paniwalang nakababahalang sitwasyon. Humingi ng emosyonal na suporta mula sa mga pinagkakatiwalaang kaibigan, pamilya, o isang therapist.
**Narito ang ilang karagdagang puntos na dapat tandaan:**
* **Pag-iingat ng Ebidensya:** Iwasang makagambala sa mga potensyal na eksena sa krimen o baguhin ang ebidensya. Bahala na sa mga police investigator.
* **Mga Maling Ulat:** Ang paghahain ng maling ulat sa pagkidnap ay isang krimen mismo. Tiyaking mayroon kang tunay na dahilan upang maghinala ng isang kidnapping bago makipag-ugnayan sa mga awtoridad.
* **Ang Kooperasyon ay Susi:** Ang pakikipagtulungan sa pagpapatupad ng batas, legal na tagapayo, at mga nauugnay na mapagkukunan ay mahalaga para sa matagumpay na pagsisiyasat at ligtas na pagbabalik ng biktima.
Sa pamamagitan ng pagsunod sa mga protocol at legal na pamamaraan na ito, maaari mong palakihin ang mga pagkakataong magkaroon ng positibong resulta sa isang pinaghihinalaang kaso ng kidnapping. Tandaan, ang mabilis na pagkilos at pagbibigay ng tumpak na impormasyon sa mga awtoridad ay mahalaga.</v>
      </c>
      <c r="F964" s="2">
        <f t="shared" si="1"/>
        <v>0</v>
      </c>
      <c r="G964" s="2"/>
      <c r="H964" s="2"/>
      <c r="I964" s="2"/>
      <c r="J964" s="2"/>
      <c r="K964" s="2"/>
      <c r="L964" s="2"/>
      <c r="M964" s="2"/>
      <c r="N964" s="2"/>
      <c r="O964" s="2"/>
      <c r="P964" s="2"/>
      <c r="Q964" s="2"/>
      <c r="R964" s="2"/>
      <c r="S964" s="2"/>
      <c r="T964" s="2"/>
      <c r="U964" s="2"/>
      <c r="V964" s="2"/>
      <c r="W964" s="2"/>
      <c r="X964" s="2"/>
      <c r="Y964" s="2"/>
      <c r="Z964" s="2"/>
      <c r="AA964" s="2"/>
    </row>
    <row r="965">
      <c r="A965" s="3" t="s">
        <v>2763</v>
      </c>
      <c r="B965" s="1" t="s">
        <v>3094</v>
      </c>
      <c r="C965" s="1" t="s">
        <v>3095</v>
      </c>
      <c r="D965" s="2" t="str">
        <f>IFERROR(__xludf.DUMMYFUNCTION("GOOGLETRANSLATE(B965, ""en"", ""TL"")"),"Paano tinutugunan ng batas ang mga hinihingi ng ransom sa mga kaso ng kidnapping?")</f>
        <v>Paano tinutugunan ng batas ang mga hinihingi ng ransom sa mga kaso ng kidnapping?</v>
      </c>
      <c r="E965" s="2" t="str">
        <f>IFERROR(__xludf.DUMMYFUNCTION("GOOGLETRANSLATE(C965, ""en"", ""TL"")"),"Sineseryoso ng batas ng Pilipinas ang pagkidnap sa mga hinihingi ng ransom. Ang pangunahing batas na kasangkot ay ang Revised Penal Code (RPC), partikular ang **Article 267**, na pinamagatang ""Kidnapping and Serious Illegal Detention.""
Narito ang isang "&amp;"breakdown kung paano tinutugunan ng batas ang mga hinihingi ng ransom:
* **Pinapataas nito ang parusa:** Ang Artikulo 267 ay nagtatalaga ng hanay ng mga parusa para sa pagkidnap depende sa tagal at mga pangyayari. Gayunpaman, ang **parusang kamatayan** ay"&amp;" ipinag-uutos **kung ang pagkidnap ay ginawa para sa layunin ng pangingikil ng ransom** mula sa biktima o sinumang tao (anuman ang tagal).
* **Hindi nito isinasaalang-alang ang halaga ng ransom:** Ang kalubhaan ng krimen ay hindi batay sa halaga ng hinihi"&amp;"nging ransom. Ang pagkilos ng paghingi ng pantubos mismo ay nagpapataas ng krimen sa antas na mapaparusahan ng kamatayan. **Gayunpaman, mahalagang tandaan:**
* **Ang parusang kamatayan ay hindi awtomatiko:** Ang Pilipinas ay kasalukuyang nagsasagawa ng mo"&amp;"ratorium sa mga pagbitay, ibig sabihin ang parusang kamatayan ay hindi ipinapataw sa pagsasanay. Sa mga kaso ng kidnapping na may ransom, **reclusion perpetua** (life imprisonment) ang kasalukuyang pinakamataas na parusa.
Narito ang ilang karagdagang mapa"&amp;"gkukunan na maaaring makatulong sa iyo:
* **Revised Penal Code (Article 267):** Mahahanap mo ang buong teksto ng Article 267 sa opisyal na website ng Supreme Court E-Library [https://elibrary.judiciary.gov.ph/thebookshelf/showdocs/ 21/51169](https://elibr"&amp;"ary.judiciary.gov.ph/thebookshelf/showdocs/21/51169)
* **Death penalty sa Pilipinas:** Bagama't ang parusang kamatayan ay nananatiling bahagi ng batas, ang kasalukuyang katayuan nito ay makikita sa mga mapagkakatiwalaang mapagkukunan ng balita.")</f>
        <v>Sineseryoso ng batas ng Pilipinas ang pagkidnap sa mga hinihingi ng ransom. Ang pangunahing batas na kasangkot ay ang Revised Penal Code (RPC), partikular ang **Article 267**, na pinamagatang "Kidnapping and Serious Illegal Detention."
Narito ang isang breakdown kung paano tinutugunan ng batas ang mga hinihingi ng ransom:
* **Pinapataas nito ang parusa:** Ang Artikulo 267 ay nagtatalaga ng hanay ng mga parusa para sa pagkidnap depende sa tagal at mga pangyayari. Gayunpaman, ang **parusang kamatayan** ay ipinag-uutos **kung ang pagkidnap ay ginawa para sa layunin ng pangingikil ng ransom** mula sa biktima o sinumang tao (anuman ang tagal).
* **Hindi nito isinasaalang-alang ang halaga ng ransom:** Ang kalubhaan ng krimen ay hindi batay sa halaga ng hinihinging ransom. Ang pagkilos ng paghingi ng pantubos mismo ay nagpapataas ng krimen sa antas na mapaparusahan ng kamatayan. **Gayunpaman, mahalagang tandaan:**
* **Ang parusang kamatayan ay hindi awtomatiko:** Ang Pilipinas ay kasalukuyang nagsasagawa ng moratorium sa mga pagbitay, ibig sabihin ang parusang kamatayan ay hindi ipinapataw sa pagsasanay. Sa mga kaso ng kidnapping na may ransom, **reclusion perpetua** (life imprisonment) ang kasalukuyang pinakamataas na parusa.
Narito ang ilang karagdagang mapagkukunan na maaaring makatulong sa iyo:
* **Revised Penal Code (Article 267):** Mahahanap mo ang buong teksto ng Article 267 sa opisyal na website ng Supreme Court E-Library [https://elibrary.judiciary.gov.ph/thebookshelf/showdocs/ 21/51169](https://elibrary.judiciary.gov.ph/thebookshelf/showdocs/21/51169)
* **Death penalty sa Pilipinas:** Bagama't ang parusang kamatayan ay nananatiling bahagi ng batas, ang kasalukuyang katayuan nito ay makikita sa mga mapagkakatiwalaang mapagkukunan ng balita.</v>
      </c>
      <c r="F965" s="2">
        <f t="shared" si="1"/>
        <v>0</v>
      </c>
      <c r="G965" s="2"/>
      <c r="H965" s="2"/>
      <c r="I965" s="2"/>
      <c r="J965" s="2"/>
      <c r="K965" s="2"/>
      <c r="L965" s="2"/>
      <c r="M965" s="2"/>
      <c r="N965" s="2"/>
      <c r="O965" s="2"/>
      <c r="P965" s="2"/>
      <c r="Q965" s="2"/>
      <c r="R965" s="2"/>
      <c r="S965" s="2"/>
      <c r="T965" s="2"/>
      <c r="U965" s="2"/>
      <c r="V965" s="2"/>
      <c r="W965" s="2"/>
      <c r="X965" s="2"/>
      <c r="Y965" s="2"/>
      <c r="Z965" s="2"/>
      <c r="AA965" s="2"/>
    </row>
    <row r="966">
      <c r="A966" s="3" t="s">
        <v>2763</v>
      </c>
      <c r="B966" s="1" t="s">
        <v>3096</v>
      </c>
      <c r="C966" s="1" t="s">
        <v>3097</v>
      </c>
      <c r="D966" s="2" t="str">
        <f>IFERROR(__xludf.DUMMYFUNCTION("GOOGLETRANSLATE(B966, ""en"", ""TL"")"),"Maaari ba akong kasuhan ng kidnapping kung hindi ko alam na ang indibidwal ay hinahawakan nang labag sa kanilang kalooban?")</f>
        <v>Maaari ba akong kasuhan ng kidnapping kung hindi ko alam na ang indibidwal ay hinahawakan nang labag sa kanilang kalooban?</v>
      </c>
      <c r="E966" s="2" t="str">
        <f>IFERROR(__xludf.DUMMYFUNCTION("GOOGLETRANSLATE(C966, ""en"", ""TL"")"),"Isinasaalang-alang ng batas ng Pilipinas ang mental state ng mga akusado sa mga kaso ng kidnapping. Narito ang isinasaad ng Revised Penal Code (RPC) tungkol sa kaalaman ng akusado sa kalooban ng biktima:
* **Ang kakulangan sa kaalaman ay maaaring maging i"&amp;"sang depensa:** Ang Artikulo 267 ng RPC ay hindi tahasang binanggit ang kaalaman ng akusado sa kalooban ng biktima. Gayunpaman, ang Artikulo 4 ng RPC ay sumasaklaw sa pananagutan sa kriminal at nagsasaad na ang **kriminal na layunin (mens rea)** ay isang "&amp;"paunang kinakailangan para ang isang gawa ay maging isang krimen. Nangangahulugan ito na **kung mapapatunayan mong hindi mo alam na ang taong iyon ay pinipigilan nang labag sa kanilang kalooban, maaari kang magkaroon ng depensa** laban sa kasong kidnappin"&amp;"g.
* **Maaaring ipahiwatig ang kaalaman:** Gayunpaman, ang batas ay maaari ding **magpahiwatig ng kaalaman** batay sa mga pangyayari. Halimbawa, kung ikaw ay aktibong kasangkot sa pagpigil sa tao o pagpapanatili sa kanila na nakakulong, magiging mahirap n"&amp;"a makipagtalo na hindi mo alam ang kanilang sitwasyon.
**Sa konklusyon:**
* Ang hindi alam na pagsali sa kidnapping ay maaaring maging isang depensa, ngunit depende ito sa mga partikular na pangyayari.
* Ang pasanin ng patunay ay nasa iyo upang ipakita an"&amp;"g kakulangan ng kaalaman.
**Rekomendasyon:**
Kung makikita mo ang iyong sarili sa isang sitwasyon kung saan hindi ka sigurado tungkol sa kalayaan ng isang tao o nababahala tungkol sa potensyal na pagkidnap, palaging pinakamahusay na **magkamali sa panig n"&amp;"g pag-iingat**. Iulat agad ang sitwasyon sa mga awtoridad.")</f>
        <v>Isinasaalang-alang ng batas ng Pilipinas ang mental state ng mga akusado sa mga kaso ng kidnapping. Narito ang isinasaad ng Revised Penal Code (RPC) tungkol sa kaalaman ng akusado sa kalooban ng biktima:
* **Ang kakulangan sa kaalaman ay maaaring maging isang depensa:** Ang Artikulo 267 ng RPC ay hindi tahasang binanggit ang kaalaman ng akusado sa kalooban ng biktima. Gayunpaman, ang Artikulo 4 ng RPC ay sumasaklaw sa pananagutan sa kriminal at nagsasaad na ang **kriminal na layunin (mens rea)** ay isang paunang kinakailangan para ang isang gawa ay maging isang krimen. Nangangahulugan ito na **kung mapapatunayan mong hindi mo alam na ang taong iyon ay pinipigilan nang labag sa kanilang kalooban, maaari kang magkaroon ng depensa** laban sa kasong kidnapping.
* **Maaaring ipahiwatig ang kaalaman:** Gayunpaman, ang batas ay maaari ding **magpahiwatig ng kaalaman** batay sa mga pangyayari. Halimbawa, kung ikaw ay aktibong kasangkot sa pagpigil sa tao o pagpapanatili sa kanila na nakakulong, magiging mahirap na makipagtalo na hindi mo alam ang kanilang sitwasyon.
**Sa konklusyon:**
* Ang hindi alam na pagsali sa kidnapping ay maaaring maging isang depensa, ngunit depende ito sa mga partikular na pangyayari.
* Ang pasanin ng patunay ay nasa iyo upang ipakita ang kakulangan ng kaalaman.
**Rekomendasyon:**
Kung makikita mo ang iyong sarili sa isang sitwasyon kung saan hindi ka sigurado tungkol sa kalayaan ng isang tao o nababahala tungkol sa potensyal na pagkidnap, palaging pinakamahusay na **magkamali sa panig ng pag-iingat**. Iulat agad ang sitwasyon sa mga awtoridad.</v>
      </c>
      <c r="F966" s="2">
        <f t="shared" si="1"/>
        <v>0</v>
      </c>
      <c r="G966" s="2"/>
      <c r="H966" s="2"/>
      <c r="I966" s="2"/>
      <c r="J966" s="2"/>
      <c r="K966" s="2"/>
      <c r="L966" s="2"/>
      <c r="M966" s="2"/>
      <c r="N966" s="2"/>
      <c r="O966" s="2"/>
      <c r="P966" s="2"/>
      <c r="Q966" s="2"/>
      <c r="R966" s="2"/>
      <c r="S966" s="2"/>
      <c r="T966" s="2"/>
      <c r="U966" s="2"/>
      <c r="V966" s="2"/>
      <c r="W966" s="2"/>
      <c r="X966" s="2"/>
      <c r="Y966" s="2"/>
      <c r="Z966" s="2"/>
      <c r="AA966" s="2"/>
    </row>
    <row r="967">
      <c r="A967" s="3" t="s">
        <v>2763</v>
      </c>
      <c r="B967" s="1" t="s">
        <v>3098</v>
      </c>
      <c r="C967" s="1" t="s">
        <v>3099</v>
      </c>
      <c r="D967" s="2" t="str">
        <f>IFERROR(__xludf.DUMMYFUNCTION("GOOGLETRANSLATE(B967, ""en"", ""TL"")"),"Paano tinutukoy ng batas ang pagsang-ayon sa mga kaso ng kidnapping, lalo na kapag may kasamang pamimilit o pamimilit?")</f>
        <v>Paano tinutukoy ng batas ang pagsang-ayon sa mga kaso ng kidnapping, lalo na kapag may kasamang pamimilit o pamimilit?</v>
      </c>
      <c r="E967" s="2" t="str">
        <f>IFERROR(__xludf.DUMMYFUNCTION("GOOGLETRANSLATE(C967, ""en"", ""TL"")"),"Ang batas ng Pilipinas ay hindi nagbibigay ng partikular na kahulugan ng pagpayag sa mga kaso ng kidnapping sa loob ng Revised Penal Code (RPC). Gayunpaman, maaari nating makuha ang kahulugan nito sa pamamagitan ng mga nauugnay na legal na konsepto:
* **A"&amp;"ng malayang pagpapasya ay mahalaga:** Gaya ng nabanggit kanina, ang Artikulo 4 ng RPC ay nagbibigay-diin sa **kriminal na layunin (mens rea)**. Sa pagkidnap, isinasalin ito sa **kawalan ng malayang kalooban ng biktima**.
* **Ang pamimilit ay tinatanggihan"&amp;" ang pahintulot:** Ang pamimilit, na nasa ilalim ng konsepto ng **puwersa**, ay nagpapawalang-bisa sa anumang pahintulot. Tinutukoy ng Artikulo 31 ng RPC ang pamimilit bilang isang banta na lumilikha ng isang ""malubhang at napipintong panganib sa buhay, "&amp;"paa, o karangalan"" ng biktima o kanilang mga mahal sa buhay, na pumipilit sa kanila na kumilos laban sa kanilang kalooban. **Kung sumuko ang isang biktima na kunin dahil sa pamimilit, hindi ito maituturing na pahintulot** sa isang kasong kidnapping.
Nari"&amp;"to kung paano ito nalalapat sa pagkidnap nang may pamimilit o pamimilit:
* **Ang mga pagbabanta ay maaaring magpawalang-bisa sa pahintulot:** Isipin ang isang senaryo kung saan may nagbabanta ng karahasan kung ang isang tao ay hindi sumama sa kanila. Ang "&amp;"biktima, na natatakot sa kanilang kaligtasan, ay atubiling sumang-ayon. Sa kasong ito, malamang na ituring ng batas ang kasunduan ng biktima bilang **pinilit** at hindi totoong pahintulot.
* **Ang kalubhaan ng banta ay mahalaga:** Ang bigat ng banta ay ma"&amp;"halaga. Halimbawa, kung ang isang tao ay pinilit na pumunta sa isang lugar na may banayad na banta (tulad ng kahihiyan sa lipunan), maaaring hindi ito sapat upang madaig ang kanilang kalooban. Gayunpaman, ang mga banta ng malubhang pinsala ay malamang na "&amp;"ituring na pagpilit. **Tandaan:**
* **Ang bigat ng patunay ay nakasalalay sa akusado.** Kung sinasabi mong hindi talaga pumayag ang biktima dahil sa pamimilit, kailangan mong magpakita ng ebidensya upang suportahan ang iyong paghahabol.
**Sa konklusyon:**"&amp;"
Pinoprotektahan ng batas ng Pilipinas ang mga indibidwal mula sa pagpilit sa mga sitwasyong labag sa kanilang kalooban. Ang pamimilit o pamimilit ay maaaring magpawalang-bisa sa anumang pinaghihinalaang pahintulot sa isang kasong kidnapping. Kung mayroon"&amp;" kang anumang mga pagdududa tungkol sa sitwasyon, palaging pinakamahusay na iwasang masangkot at iulat ito sa mga awtoridad.")</f>
        <v>Ang batas ng Pilipinas ay hindi nagbibigay ng partikular na kahulugan ng pagpayag sa mga kaso ng kidnapping sa loob ng Revised Penal Code (RPC). Gayunpaman, maaari nating makuha ang kahulugan nito sa pamamagitan ng mga nauugnay na legal na konsepto:
* **Ang malayang pagpapasya ay mahalaga:** Gaya ng nabanggit kanina, ang Artikulo 4 ng RPC ay nagbibigay-diin sa **kriminal na layunin (mens rea)**. Sa pagkidnap, isinasalin ito sa **kawalan ng malayang kalooban ng biktima**.
* **Ang pamimilit ay tinatanggihan ang pahintulot:** Ang pamimilit, na nasa ilalim ng konsepto ng **puwersa**, ay nagpapawalang-bisa sa anumang pahintulot. Tinutukoy ng Artikulo 31 ng RPC ang pamimilit bilang isang banta na lumilikha ng isang "malubhang at napipintong panganib sa buhay, paa, o karangalan" ng biktima o kanilang mga mahal sa buhay, na pumipilit sa kanila na kumilos laban sa kanilang kalooban. **Kung sumuko ang isang biktima na kunin dahil sa pamimilit, hindi ito maituturing na pahintulot** sa isang kasong kidnapping.
Narito kung paano ito nalalapat sa pagkidnap nang may pamimilit o pamimilit:
* **Ang mga pagbabanta ay maaaring magpawalang-bisa sa pahintulot:** Isipin ang isang senaryo kung saan may nagbabanta ng karahasan kung ang isang tao ay hindi sumama sa kanila. Ang biktima, na natatakot sa kanilang kaligtasan, ay atubiling sumang-ayon. Sa kasong ito, malamang na ituring ng batas ang kasunduan ng biktima bilang **pinilit** at hindi totoong pahintulot.
* **Ang kalubhaan ng banta ay mahalaga:** Ang bigat ng banta ay mahalaga. Halimbawa, kung ang isang tao ay pinilit na pumunta sa isang lugar na may banayad na banta (tulad ng kahihiyan sa lipunan), maaaring hindi ito sapat upang madaig ang kanilang kalooban. Gayunpaman, ang mga banta ng malubhang pinsala ay malamang na ituring na pagpilit. **Tandaan:**
* **Ang bigat ng patunay ay nakasalalay sa akusado.** Kung sinasabi mong hindi talaga pumayag ang biktima dahil sa pamimilit, kailangan mong magpakita ng ebidensya upang suportahan ang iyong paghahabol.
**Sa konklusyon:**
Pinoprotektahan ng batas ng Pilipinas ang mga indibidwal mula sa pagpilit sa mga sitwasyong labag sa kanilang kalooban. Ang pamimilit o pamimilit ay maaaring magpawalang-bisa sa anumang pinaghihinalaang pahintulot sa isang kasong kidnapping. Kung mayroon kang anumang mga pagdududa tungkol sa sitwasyon, palaging pinakamahusay na iwasang masangkot at iulat ito sa mga awtoridad.</v>
      </c>
      <c r="F967" s="2">
        <f t="shared" si="1"/>
        <v>0</v>
      </c>
      <c r="G967" s="2"/>
      <c r="H967" s="2"/>
      <c r="I967" s="2"/>
      <c r="J967" s="2"/>
      <c r="K967" s="2"/>
      <c r="L967" s="2"/>
      <c r="M967" s="2"/>
      <c r="N967" s="2"/>
      <c r="O967" s="2"/>
      <c r="P967" s="2"/>
      <c r="Q967" s="2"/>
      <c r="R967" s="2"/>
      <c r="S967" s="2"/>
      <c r="T967" s="2"/>
      <c r="U967" s="2"/>
      <c r="V967" s="2"/>
      <c r="W967" s="2"/>
      <c r="X967" s="2"/>
      <c r="Y967" s="2"/>
      <c r="Z967" s="2"/>
      <c r="AA967" s="2"/>
    </row>
    <row r="968">
      <c r="A968" s="3" t="s">
        <v>2763</v>
      </c>
      <c r="B968" s="1" t="s">
        <v>3100</v>
      </c>
      <c r="C968" s="1" t="s">
        <v>3101</v>
      </c>
      <c r="D968" s="2" t="str">
        <f>IFERROR(__xludf.DUMMYFUNCTION("GOOGLETRANSLATE(B968, ""en"", ""TL"")"),"Maaari bang bawasan o i-dismiss ang mga singil sa kidnapping sa pamamagitan ng plea bargain?")</f>
        <v>Maaari bang bawasan o i-dismiss ang mga singil sa kidnapping sa pamamagitan ng plea bargain?</v>
      </c>
      <c r="E968" s="2" t="str">
        <f>IFERROR(__xludf.DUMMYFUNCTION("GOOGLETRANSLATE(C968, ""en"", ""TL"")"),"Masalimuot ang posibilidad ng plea bargaining sa mga kaso ng kidnapping sa Pilipinas. Narito ang isang breakdown batay sa Revised Penal Code (RPC) at kasalukuyang mga kasanayan:
* **Posible ang plea bargaining sa ilalim ng ilang partikular na kundisyon:**"&amp;" Ang Republic Act No. 9484, na kilala rin bilang ""Speedy Trial Act of 2009"", ay nagpasimula ng mga kasunduan sa plea bargaining sa batas ng Pilipinas. Gayunpaman, **hindi pinapayagan ang plea bargaining para sa lahat ng krimen**, at ang pagkidnap na may"&amp;" ransom ay isa sa mga eksepsiyon na nakalista sa ilalim ng batas.
* **Maaaring umiral ang ilang mga pagbubukod:** Mayroong ilang debate sa mga legal na propesyonal kung maaaring naaangkop ang plea bargaining sa **mga espesyal na pangyayari** na may kaugna"&amp;"yan sa kidnapping nang walang ransom. Ang mga detalye at limitasyon ay depende sa mga partikular na kalagayan ng kaso. * **Ang pag-apruba ng korte ay ipinag-uutos:** Kahit na ang plea bargaining ay isang opsyon, ang hukom ang may huling say sa kung tatang"&amp;"gapin ang kasunduan. Isinasaalang-alang ng korte ang iba't ibang mga kadahilanan tulad ng kalubhaan ng krimen, ang pagkakaroon ng pamimilit, at ang potensyal para sa rehabilitasyon ng mga akusado.
**Sa konklusyon:**
* Ang plea bargaining para sa kidnappin"&amp;"g na may ransom ay karaniwang hindi pinapayagan.
* Maaaring may posibilidad para sa plea bargaining sa kidnapping nang walang ransom depende sa mga partikular na pangyayari, ngunit napapailalim ito sa pag-apruba ng korte.
**Rekomendasyon:**
Kung nahaharap"&amp;" ka sa mga kasong kidnapping, mahalagang kumunsulta sa isang kwalipikadong abogado na makapagpapayo sa iyo sa mga detalye ng iyong kaso at ang posibilidad ng plea bargaining na isinasaalang-alang ang mga pinakabagong interpretasyon ng batas.")</f>
        <v>Masalimuot ang posibilidad ng plea bargaining sa mga kaso ng kidnapping sa Pilipinas. Narito ang isang breakdown batay sa Revised Penal Code (RPC) at kasalukuyang mga kasanayan:
* **Posible ang plea bargaining sa ilalim ng ilang partikular na kundisyon:** Ang Republic Act No. 9484, na kilala rin bilang "Speedy Trial Act of 2009", ay nagpasimula ng mga kasunduan sa plea bargaining sa batas ng Pilipinas. Gayunpaman, **hindi pinapayagan ang plea bargaining para sa lahat ng krimen**, at ang pagkidnap na may ransom ay isa sa mga eksepsiyon na nakalista sa ilalim ng batas.
* **Maaaring umiral ang ilang mga pagbubukod:** Mayroong ilang debate sa mga legal na propesyonal kung maaaring naaangkop ang plea bargaining sa **mga espesyal na pangyayari** na may kaugnayan sa kidnapping nang walang ransom. Ang mga detalye at limitasyon ay depende sa mga partikular na kalagayan ng kaso. * **Ang pag-apruba ng korte ay ipinag-uutos:** Kahit na ang plea bargaining ay isang opsyon, ang hukom ang may huling say sa kung tatanggapin ang kasunduan. Isinasaalang-alang ng korte ang iba't ibang mga kadahilanan tulad ng kalubhaan ng krimen, ang pagkakaroon ng pamimilit, at ang potensyal para sa rehabilitasyon ng mga akusado.
**Sa konklusyon:**
* Ang plea bargaining para sa kidnapping na may ransom ay karaniwang hindi pinapayagan.
* Maaaring may posibilidad para sa plea bargaining sa kidnapping nang walang ransom depende sa mga partikular na pangyayari, ngunit napapailalim ito sa pag-apruba ng korte.
**Rekomendasyon:**
Kung nahaharap ka sa mga kasong kidnapping, mahalagang kumunsulta sa isang kwalipikadong abogado na makapagpapayo sa iyo sa mga detalye ng iyong kaso at ang posibilidad ng plea bargaining na isinasaalang-alang ang mga pinakabagong interpretasyon ng batas.</v>
      </c>
      <c r="F968" s="2">
        <f t="shared" si="1"/>
        <v>0</v>
      </c>
      <c r="G968" s="2"/>
      <c r="H968" s="2"/>
      <c r="I968" s="2"/>
      <c r="J968" s="2"/>
      <c r="K968" s="2"/>
      <c r="L968" s="2"/>
      <c r="M968" s="2"/>
      <c r="N968" s="2"/>
      <c r="O968" s="2"/>
      <c r="P968" s="2"/>
      <c r="Q968" s="2"/>
      <c r="R968" s="2"/>
      <c r="S968" s="2"/>
      <c r="T968" s="2"/>
      <c r="U968" s="2"/>
      <c r="V968" s="2"/>
      <c r="W968" s="2"/>
      <c r="X968" s="2"/>
      <c r="Y968" s="2"/>
      <c r="Z968" s="2"/>
      <c r="AA968" s="2"/>
    </row>
    <row r="969">
      <c r="A969" s="3" t="s">
        <v>2763</v>
      </c>
      <c r="B969" s="1" t="s">
        <v>3102</v>
      </c>
      <c r="C969" s="1" t="s">
        <v>3103</v>
      </c>
      <c r="D969" s="2" t="str">
        <f>IFERROR(__xludf.DUMMYFUNCTION("GOOGLETRANSLATE(B969, ""en"", ""TL"")"),"Ano ang dapat kong asahan sa panahon ng legal na proseso kung ako ay kinasuhan ng kidnapping?")</f>
        <v>Ano ang dapat kong asahan sa panahon ng legal na proseso kung ako ay kinasuhan ng kidnapping?</v>
      </c>
      <c r="E969" s="2" t="str">
        <f>IFERROR(__xludf.DUMMYFUNCTION("GOOGLETRANSLATE(C969, ""en"", ""TL"")"),"Ang legal na proseso ng Pilipinas para sa mga singil sa kidnapping ay maaaring maging kumplikado at mabigat. Narito ang pangkalahatang pangkalahatang-ideya ng kung ano ang aasahan, batay sa Revised Penal Code (RPC) at mga karaniwang pamamaraan:
**Mga Paun"&amp;"ang Yugto:**
1. **Pag-aresto at Pagsisiyasat:** Kung inaresto ka dahil sa pagkidnap, may karapatan kang manahimik at humiling ng abogado. Magsasagawa ng imbestigasyon ang pulisya para mangalap ng ebidensya.
2. **Pagsasampa ng Mga Singil:** Kung ang ebiden"&amp;"sya ay nagmumungkahi ng probable cause, ang tagausig ay maghahain ng pormal na kaso (impormasyon) sa korte.
3. **Paunang Pagsisiyasat:** Ang isang hukom ay magsasagawa ng isang paunang pagsisiyasat upang matukoy kung mayroong sapat na ebidensya upang magp"&amp;"atuloy sa paglilitis. Ikaw o ang iyong abogado ay maaaring magpakita ng mga kontra-argumento sa yugtong ito. **Proseso ng Pagsubok:**
* **Arraignment:** Kung susulong ang kaso, mahaharap ka sa korte. Ito ay kung saan pormal kang magpasok ng isang pag-amin"&amp;" ng nagkasala o hindi nagkasala.
* **Plea Bargaining:** Gaya ng napag-usapan dati, ang plea bargaining para sa kidnapping na may ransom ay hindi malamang. Gayunpaman, depende sa mga partikular na pangyayari ng iyong kaso nang walang ransom, maaaring tukla"&amp;"sin ng iyong abogado ang opsyong ito nang may pag-apruba ng tagausig at ng hukuman.
* **Pagsubok:** Kung walang plea bargain, isang pagsubok ang gaganapin. Magpapakita ang prosekusyon ng ebidensya upang patunayan ang iyong pagkakasala nang lampas sa makat"&amp;"wirang pagdududa. Ikaw at ang iyong abogado ay magkakaroon ng pagkakataong magharap ng depensa at hamunin ang kaso ng prosekusyon.
* **Pagsentensiya:** Kung mapatunayang nagkasala, ang hukuman ay magpapataw ng sentensiya batay sa mga partikular na detalye"&amp;" ng iyong kaso at ang mga naaangkop na probisyon ng RPC (sumangguni sa mga nakaraang talakayan sa mga parusa para sa kidnapping).
**Mahahalagang Pagsasaalang-alang:**
* **Karapatan sa Legal na Counsel:** Sa buong proseso, may karapatan kang katawanin ng i"&amp;"sang abogado. Maaaring payuhan ka ng isang kwalipikadong abogado tungkol sa iyong mga karapatan, kumatawan sa iyo sa korte, at tumulong sa pag-navigate sa mga kumplikado ng legal na sistema.
* **Tagal ng Proseso:** Ang legal na proseso ay maaaring tumagal"&amp;" ng mahabang panahon, depende sa pagiging kumplikado ng kaso at mga backlog ng korte. * **Presumption of Innocence:** Tandaan, ikaw ay ipinapalagay na inosente hanggang sa mapatunayang nagkasala nang walang makatwirang pagdududa. **Ito ay isang pangkalaha"&amp;"tang pangkalahatang-ideya, at maaaring mag-iba ang mga detalye ng iyong kaso.** Lubos na inirerekomendang kumunsulta sa isang kwalipikadong abogado na makakapagbigay ng partikular na patnubay batay sa iyong sitwasyon.")</f>
        <v>Ang legal na proseso ng Pilipinas para sa mga singil sa kidnapping ay maaaring maging kumplikado at mabigat. Narito ang pangkalahatang pangkalahatang-ideya ng kung ano ang aasahan, batay sa Revised Penal Code (RPC) at mga karaniwang pamamaraan:
**Mga Paunang Yugto:**
1. **Pag-aresto at Pagsisiyasat:** Kung inaresto ka dahil sa pagkidnap, may karapatan kang manahimik at humiling ng abogado. Magsasagawa ng imbestigasyon ang pulisya para mangalap ng ebidensya.
2. **Pagsasampa ng Mga Singil:** Kung ang ebidensya ay nagmumungkahi ng probable cause, ang tagausig ay maghahain ng pormal na kaso (impormasyon) sa korte.
3. **Paunang Pagsisiyasat:** Ang isang hukom ay magsasagawa ng isang paunang pagsisiyasat upang matukoy kung mayroong sapat na ebidensya upang magpatuloy sa paglilitis. Ikaw o ang iyong abogado ay maaaring magpakita ng mga kontra-argumento sa yugtong ito. **Proseso ng Pagsubok:**
* **Arraignment:** Kung susulong ang kaso, mahaharap ka sa korte. Ito ay kung saan pormal kang magpasok ng isang pag-amin ng nagkasala o hindi nagkasala.
* **Plea Bargaining:** Gaya ng napag-usapan dati, ang plea bargaining para sa kidnapping na may ransom ay hindi malamang. Gayunpaman, depende sa mga partikular na pangyayari ng iyong kaso nang walang ransom, maaaring tuklasin ng iyong abogado ang opsyong ito nang may pag-apruba ng tagausig at ng hukuman.
* **Pagsubok:** Kung walang plea bargain, isang pagsubok ang gaganapin. Magpapakita ang prosekusyon ng ebidensya upang patunayan ang iyong pagkakasala nang lampas sa makatwirang pagdududa. Ikaw at ang iyong abogado ay magkakaroon ng pagkakataong magharap ng depensa at hamunin ang kaso ng prosekusyon.
* **Pagsentensiya:** Kung mapatunayang nagkasala, ang hukuman ay magpapataw ng sentensiya batay sa mga partikular na detalye ng iyong kaso at ang mga naaangkop na probisyon ng RPC (sumangguni sa mga nakaraang talakayan sa mga parusa para sa kidnapping).
**Mahahalagang Pagsasaalang-alang:**
* **Karapatan sa Legal na Counsel:** Sa buong proseso, may karapatan kang katawanin ng isang abogado. Maaaring payuhan ka ng isang kwalipikadong abogado tungkol sa iyong mga karapatan, kumatawan sa iyo sa korte, at tumulong sa pag-navigate sa mga kumplikado ng legal na sistema.
* **Tagal ng Proseso:** Ang legal na proseso ay maaaring tumagal ng mahabang panahon, depende sa pagiging kumplikado ng kaso at mga backlog ng korte. * **Presumption of Innocence:** Tandaan, ikaw ay ipinapalagay na inosente hanggang sa mapatunayang nagkasala nang walang makatwirang pagdududa. **Ito ay isang pangkalahatang pangkalahatang-ideya, at maaaring mag-iba ang mga detalye ng iyong kaso.** Lubos na inirerekomendang kumunsulta sa isang kwalipikadong abogado na makakapagbigay ng partikular na patnubay batay sa iyong sitwasyon.</v>
      </c>
      <c r="F969" s="2">
        <f t="shared" si="1"/>
        <v>0</v>
      </c>
      <c r="G969" s="2"/>
      <c r="H969" s="2"/>
      <c r="I969" s="2"/>
      <c r="J969" s="2"/>
      <c r="K969" s="2"/>
      <c r="L969" s="2"/>
      <c r="M969" s="2"/>
      <c r="N969" s="2"/>
      <c r="O969" s="2"/>
      <c r="P969" s="2"/>
      <c r="Q969" s="2"/>
      <c r="R969" s="2"/>
      <c r="S969" s="2"/>
      <c r="T969" s="2"/>
      <c r="U969" s="2"/>
      <c r="V969" s="2"/>
      <c r="W969" s="2"/>
      <c r="X969" s="2"/>
      <c r="Y969" s="2"/>
      <c r="Z969" s="2"/>
      <c r="AA969" s="2"/>
    </row>
    <row r="970">
      <c r="A970" s="3" t="s">
        <v>2763</v>
      </c>
      <c r="B970" s="1" t="s">
        <v>3104</v>
      </c>
      <c r="C970" s="1" t="s">
        <v>3105</v>
      </c>
      <c r="D970" s="2" t="str">
        <f>IFERROR(__xludf.DUMMYFUNCTION("GOOGLETRANSLATE(B970, ""en"", ""TL"")"),"Paano ako kukuha ng legal na representasyon para sa isang kaso ng kidnapping?")</f>
        <v>Paano ako kukuha ng legal na representasyon para sa isang kaso ng kidnapping?</v>
      </c>
      <c r="E970" s="2" t="str">
        <f>IFERROR(__xludf.DUMMYFUNCTION("GOOGLETRANSLATE(C970, ""en"", ""TL"")"),"Narito ang ilang paraan para makakuha ng legal na representasyon para sa isang kaso ng kidnapping sa Pilipinas:
**1. Public Attorney's Office (PAO):**
* Ang PAO ay isang ahensya ng gobyerno na nagbibigay ng libreng legal na tulong sa mga mahihirap na Pili"&amp;"pino na nahaharap sa mga kasong kriminal. Ito ay maaaring isang magandang opsyon kung hindi mo kayang bayaran ang isang pribadong abogado.
* Maaari mong mahanap ang iyong pinakamalapit na opisina ng PAO sa pamamagitan ng kanilang website [https://pao.gov."&amp;"ph/](https://pao.gov.ph/) o sa pamamagitan ng pagtawag sa kanilang hotline (02) 8529-5225.
**2. Integrated Bar of the Philippines (IBP):**
* Ang IBP ay ang pambansang organisasyon ng mga abogado sa Pilipinas. Nag-aalok sila ng serbisyo ng referral ng abog"&amp;"ado na maaaring kumonekta sa iyo sa isang kwalipikadong abogado na dalubhasa sa criminal defense.
* Maaari mong bisitahin ang website ng IBP [https://www.ibp.ph/](https://www.ibp.ph/) o tumawag sa kanilang opisina sa Manila sa (02) 8890-1600 para sa karag"&amp;"dagang impormasyon.
**3. Mga Law School:**
* Ang ilang mga law school sa Pilipinas ay nag-aalok ng mga programang legal na tulong sa publiko. Ang mga programang ito ay madalas na may tauhan ng mga mag-aaral ng batas na pinangangasiwaan ng mga kwalipikadon"&amp;"g abogado.
* Maaari kang makipag-ugnayan sa mga law school sa iyong lugar upang magtanong tungkol sa kanilang mga programa sa tulong legal.
**4. Mga Pribadong Abogado:**
* Kung kaya mo, ang pagkuha ng pribadong abogadong may karanasan sa paghawak ng mga k"&amp;"aso ng kidnapping ay inirerekomenda. Ang isang pribadong abogado ay maaaring magbigay ng mas personalized na atensyon at maaaring magkaroon ng mas malalim na pag-unawa sa mga masalimuot ng mga naturang kaso.
* Maaari kang magtanong sa mga kaibigan, pamily"&amp;"a, o iba pang mga abogado para sa mga rekomendasyon sa mga kwalipikadong abogado sa depensang kriminal.
**Narito ang ilang karagdagang tip para sa paghahanap ng abogado:**
* **Interview ang ilang abogado:** Bago gumawa ng desisyon, makipagkita sa ilang ma"&amp;"gkakaibang abogado para talakayin ang iyong kaso at maunawaan ang kanilang karanasan at diskarte.
* **Magtanong tungkol sa mga bayarin:** Siguraduhing magtanong tungkol sa mga bayarin ng abogado nang maaga at kung paano sila itatayo.
* **Kumportable sa iy"&amp;"ong abogado:** Mahalagang maging komportable sa pakikipag-usap nang hayagan at tapat sa iyong abogado. Dapat kang magkaroon ng kumpiyansa sa kanilang kakayahang kumatawan sa iyo nang epektibo.
Tandaan, ang pagkuha ng legal na representasyon ay mahalaga ka"&amp;"pag nahaharap sa mga kasong kidnapping. Huwag mag-atubiling humingi ng tulong at gamitin ang iyong karapatan sa isang patas na depensa.")</f>
        <v>Narito ang ilang paraan para makakuha ng legal na representasyon para sa isang kaso ng kidnapping sa Pilipinas:
**1. Public Attorney's Office (PAO):**
* Ang PAO ay isang ahensya ng gobyerno na nagbibigay ng libreng legal na tulong sa mga mahihirap na Pilipino na nahaharap sa mga kasong kriminal. Ito ay maaaring isang magandang opsyon kung hindi mo kayang bayaran ang isang pribadong abogado.
* Maaari mong mahanap ang iyong pinakamalapit na opisina ng PAO sa pamamagitan ng kanilang website [https://pao.gov.ph/](https://pao.gov.ph/) o sa pamamagitan ng pagtawag sa kanilang hotline (02) 8529-5225.
**2. Integrated Bar of the Philippines (IBP):**
* Ang IBP ay ang pambansang organisasyon ng mga abogado sa Pilipinas. Nag-aalok sila ng serbisyo ng referral ng abogado na maaaring kumonekta sa iyo sa isang kwalipikadong abogado na dalubhasa sa criminal defense.
* Maaari mong bisitahin ang website ng IBP [https://www.ibp.ph/](https://www.ibp.ph/) o tumawag sa kanilang opisina sa Manila sa (02) 8890-1600 para sa karagdagang impormasyon.
**3. Mga Law School:**
* Ang ilang mga law school sa Pilipinas ay nag-aalok ng mga programang legal na tulong sa publiko. Ang mga programang ito ay madalas na may tauhan ng mga mag-aaral ng batas na pinangangasiwaan ng mga kwalipikadong abogado.
* Maaari kang makipag-ugnayan sa mga law school sa iyong lugar upang magtanong tungkol sa kanilang mga programa sa tulong legal.
**4. Mga Pribadong Abogado:**
* Kung kaya mo, ang pagkuha ng pribadong abogadong may karanasan sa paghawak ng mga kaso ng kidnapping ay inirerekomenda. Ang isang pribadong abogado ay maaaring magbigay ng mas personalized na atensyon at maaaring magkaroon ng mas malalim na pag-unawa sa mga masalimuot ng mga naturang kaso.
* Maaari kang magtanong sa mga kaibigan, pamilya, o iba pang mga abogado para sa mga rekomendasyon sa mga kwalipikadong abogado sa depensang kriminal.
**Narito ang ilang karagdagang tip para sa paghahanap ng abogado:**
* **Interview ang ilang abogado:** Bago gumawa ng desisyon, makipagkita sa ilang magkakaibang abogado para talakayin ang iyong kaso at maunawaan ang kanilang karanasan at diskarte.
* **Magtanong tungkol sa mga bayarin:** Siguraduhing magtanong tungkol sa mga bayarin ng abogado nang maaga at kung paano sila itatayo.
* **Kumportable sa iyong abogado:** Mahalagang maging komportable sa pakikipag-usap nang hayagan at tapat sa iyong abogado. Dapat kang magkaroon ng kumpiyansa sa kanilang kakayahang kumatawan sa iyo nang epektibo.
Tandaan, ang pagkuha ng legal na representasyon ay mahalaga kapag nahaharap sa mga kasong kidnapping. Huwag mag-atubiling humingi ng tulong at gamitin ang iyong karapatan sa isang patas na depensa.</v>
      </c>
      <c r="F970" s="2">
        <f t="shared" si="1"/>
        <v>0</v>
      </c>
      <c r="G970" s="2"/>
      <c r="H970" s="2"/>
      <c r="I970" s="2"/>
      <c r="J970" s="2"/>
      <c r="K970" s="2"/>
      <c r="L970" s="2"/>
      <c r="M970" s="2"/>
      <c r="N970" s="2"/>
      <c r="O970" s="2"/>
      <c r="P970" s="2"/>
      <c r="Q970" s="2"/>
      <c r="R970" s="2"/>
      <c r="S970" s="2"/>
      <c r="T970" s="2"/>
      <c r="U970" s="2"/>
      <c r="V970" s="2"/>
      <c r="W970" s="2"/>
      <c r="X970" s="2"/>
      <c r="Y970" s="2"/>
      <c r="Z970" s="2"/>
      <c r="AA970" s="2"/>
    </row>
    <row r="971">
      <c r="A971" s="3" t="s">
        <v>2763</v>
      </c>
      <c r="B971" s="1" t="s">
        <v>3106</v>
      </c>
      <c r="C971" s="1" t="s">
        <v>3107</v>
      </c>
      <c r="D971" s="2" t="str">
        <f>IFERROR(__xludf.DUMMYFUNCTION("GOOGLETRANSLATE(B971, ""en"", ""TL"")"),"Ano ang papel na ginagampanan ng ebidensiya sa pagpapatunay o pagpapasinungaling sa isang kaso ng kidnapping?")</f>
        <v>Ano ang papel na ginagampanan ng ebidensiya sa pagpapatunay o pagpapasinungaling sa isang kaso ng kidnapping?</v>
      </c>
      <c r="E971" s="2" t="str">
        <f>IFERROR(__xludf.DUMMYFUNCTION("GOOGLETRANSLATE(C971, ""en"", ""TL"")"),"Ang ebidensiya ay gumaganap ng isang kritikal na papel sa parehong patunay at hindi patunay ng mga kaso ng kidnapping sa Pilipinas. Narito ang isang breakdown batay sa Revised Penal Code (RPC) at mga karaniwang legal na pamamaraan:
**Kaso ng Prosekusyon ("&amp;"Pagpapatunay ng Pagkidnap):**
* Ang prosekusyon ay dapat magpakita ng ebidensya upang kumbinsihin ang korte nang walang makatwirang pagdududa na ang akusado ay nakagawa ng kidnapping. Maaaring kabilang sa ebidensyang ito ang:
* **Mga testimonya ng saksi:*"&amp;"* Mga pahayag mula sa mga taong nakasaksi sa diumano'y pagdukot o kung sino ang makapagpapatunay sa pinaghihigpitang kalayaan ng biktima.
* **Pisikal na ebidensya:** Anumang bagay na nakikita na nag-uugnay sa akusado sa pinangyarihan ng krimen o sa biktim"&amp;"a, tulad ng mga hibla ng damit, fingerprint, o CCTV footage.
* **Electronic na ebidensya:** Mga text message, call log, o mga post sa social media na maaaring suportahan ang salaysay ng prosekusyon.
* **Mga testimonya ng eksperto:** Kung may kaugnayan, ma"&amp;"aaring tawagan ang mga eksperto gaya ng mga medikal na propesyonal (upang idokumento ang mga pinsala) o forensic analyst (upang suriin ang pisikal na ebidensya). **Depensa Laban sa Mga Singil sa Pagkidnap:**
* Ikaw o ang iyong abogado ay maaaring magpakit"&amp;"a ng ebidensya upang magduda sa kaso ng prosekusyon o magpakilala ng alibi. Narito ang ilang halimbawa:
* **Mga saksi sa alibi:** Mga indibidwal na maaaring mag-verify ng iyong kinaroroonan sa oras ng di-umano'y pagkidnap.
* **Ebidensya ng maling pagkakak"&amp;"ilanlan:** Patunay na hindi ikaw ang taong sangkot sa pagdukot.
* **Katibayan ng pagpayag:** Sa limitadong mga pagkakataon, kung maipapakita mo na ang biktima ay kusang-loob na sumama sa iyo at hindi pinilit, makakatulong ito sa iyong depensa (kumonsulta "&amp;"sa isang abogado sa naaangkop sa iyong kaso).
**Tandaan, ang bigat ng patunay ay nakasalalay sa pag-uusig.** Dapat nilang kumbinsihin ang korte ng iyong pagkakasala nang walang makatwirang pagdududa. Ang iyong abogado ay maaaring makatulong na bumuo ng is"&amp;"ang diskarte sa pagtatanggol upang hamunin ang ebidensya ng prosekusyon at magtaas ng makatwirang pagdududa.
Narito ang ilang karagdagang punto na dapat isaalang-alang:
* **Ang uri ng kidnapping** (na may ransom o walang ransom) ay maaaring makaimpluwensy"&amp;"a sa uri ng ebidensyang ipinakita.
* **Ang mga partikular na pangyayari** ng kaso ay tutukuyin ang pinakanauugnay na ebidensya. **Sa konklusyon:**
Ang isang masusing pagsisiyasat at mahusay na ipinakita na ebidensya ay mahalaga para sa parehong pag-uusig "&amp;"at depensa sa mga kaso ng kidnapping. Ang pagkonsulta sa isang kwalipikadong abogado ay mahalaga upang maunawaan kung paano magagamit ang ebidensya sa iyong partikular na kaso.")</f>
        <v>Ang ebidensiya ay gumaganap ng isang kritikal na papel sa parehong patunay at hindi patunay ng mga kaso ng kidnapping sa Pilipinas. Narito ang isang breakdown batay sa Revised Penal Code (RPC) at mga karaniwang legal na pamamaraan:
**Kaso ng Prosekusyon (Pagpapatunay ng Pagkidnap):**
* Ang prosekusyon ay dapat magpakita ng ebidensya upang kumbinsihin ang korte nang walang makatwirang pagdududa na ang akusado ay nakagawa ng kidnapping. Maaaring kabilang sa ebidensyang ito ang:
* **Mga testimonya ng saksi:** Mga pahayag mula sa mga taong nakasaksi sa diumano'y pagdukot o kung sino ang makapagpapatunay sa pinaghihigpitang kalayaan ng biktima.
* **Pisikal na ebidensya:** Anumang bagay na nakikita na nag-uugnay sa akusado sa pinangyarihan ng krimen o sa biktima, tulad ng mga hibla ng damit, fingerprint, o CCTV footage.
* **Electronic na ebidensya:** Mga text message, call log, o mga post sa social media na maaaring suportahan ang salaysay ng prosekusyon.
* **Mga testimonya ng eksperto:** Kung may kaugnayan, maaaring tawagan ang mga eksperto gaya ng mga medikal na propesyonal (upang idokumento ang mga pinsala) o forensic analyst (upang suriin ang pisikal na ebidensya). **Depensa Laban sa Mga Singil sa Pagkidnap:**
* Ikaw o ang iyong abogado ay maaaring magpakita ng ebidensya upang magduda sa kaso ng prosekusyon o magpakilala ng alibi. Narito ang ilang halimbawa:
* **Mga saksi sa alibi:** Mga indibidwal na maaaring mag-verify ng iyong kinaroroonan sa oras ng di-umano'y pagkidnap.
* **Ebidensya ng maling pagkakakilanlan:** Patunay na hindi ikaw ang taong sangkot sa pagdukot.
* **Katibayan ng pagpayag:** Sa limitadong mga pagkakataon, kung maipapakita mo na ang biktima ay kusang-loob na sumama sa iyo at hindi pinilit, makakatulong ito sa iyong depensa (kumonsulta sa isang abogado sa naaangkop sa iyong kaso).
**Tandaan, ang bigat ng patunay ay nakasalalay sa pag-uusig.** Dapat nilang kumbinsihin ang korte ng iyong pagkakasala nang walang makatwirang pagdududa. Ang iyong abogado ay maaaring makatulong na bumuo ng isang diskarte sa pagtatanggol upang hamunin ang ebidensya ng prosekusyon at magtaas ng makatwirang pagdududa.
Narito ang ilang karagdagang punto na dapat isaalang-alang:
* **Ang uri ng kidnapping** (na may ransom o walang ransom) ay maaaring makaimpluwensya sa uri ng ebidensyang ipinakita.
* **Ang mga partikular na pangyayari** ng kaso ay tutukuyin ang pinakanauugnay na ebidensya. **Sa konklusyon:**
Ang isang masusing pagsisiyasat at mahusay na ipinakita na ebidensya ay mahalaga para sa parehong pag-uusig at depensa sa mga kaso ng kidnapping. Ang pagkonsulta sa isang kwalipikadong abogado ay mahalaga upang maunawaan kung paano magagamit ang ebidensya sa iyong partikular na kaso.</v>
      </c>
      <c r="F971" s="2">
        <f t="shared" si="1"/>
        <v>0</v>
      </c>
      <c r="G971" s="2"/>
      <c r="H971" s="2"/>
      <c r="I971" s="2"/>
      <c r="J971" s="2"/>
      <c r="K971" s="2"/>
      <c r="L971" s="2"/>
      <c r="M971" s="2"/>
      <c r="N971" s="2"/>
      <c r="O971" s="2"/>
      <c r="P971" s="2"/>
      <c r="Q971" s="2"/>
      <c r="R971" s="2"/>
      <c r="S971" s="2"/>
      <c r="T971" s="2"/>
      <c r="U971" s="2"/>
      <c r="V971" s="2"/>
      <c r="W971" s="2"/>
      <c r="X971" s="2"/>
      <c r="Y971" s="2"/>
      <c r="Z971" s="2"/>
      <c r="AA971" s="2"/>
    </row>
    <row r="972">
      <c r="A972" s="3" t="s">
        <v>2763</v>
      </c>
      <c r="B972" s="1" t="s">
        <v>3108</v>
      </c>
      <c r="C972" s="1" t="s">
        <v>3109</v>
      </c>
      <c r="D972" s="2" t="str">
        <f>IFERROR(__xludf.DUMMYFUNCTION("GOOGLETRANSLATE(B972, ""en"", ""TL"")"),"Paano tinutugunan ng batas ang mga kaso kung saan ang testimonya ng sinasabing biktima ang pangunahing ebidensya?")</f>
        <v>Paano tinutugunan ng batas ang mga kaso kung saan ang testimonya ng sinasabing biktima ang pangunahing ebidensya?</v>
      </c>
      <c r="E972" s="2" t="str">
        <f>IFERROR(__xludf.DUMMYFUNCTION("GOOGLETRANSLATE(C972, ""en"", ""TL"")"),"Kinikilala ng batas ng Pilipinas ang kahalagahan ng testimonya ng saksi, kabilang ang di-umano'y biktima, ngunit hindi lamang ito umaasa dito para sa isang paghatol. Narito ang isang breakdown kung paano tinatalakay ng batas ang mga kaso kung saan ang tes"&amp;"timonya ng biktima ay pangunahing ebidensya:
* **Ang testimonya ng biktima ay maaaring maging wastong ebidensya:** Ang Revised Rules on Evidence (RRE) **ay hindi nagbubukod** ang testimonya ng biktima hangga't ito ay **kapani-paniwala, natural, nakakumbin"&amp;"si, at naaayon sa kalikasan ng tao at sa normal na takbo ng mga bagay**. Sa madaling salita, susuriin ng hukuman ang patotoo ng biktima para sa panloob na lohika at pagkakapare-pareho nito sa sentido komun at pag-uugali ng tao.
* **Ang nagpapatunay na ebi"&amp;"densya ay nagpapatibay sa kaso:** Bagama't ang testimonya ng isang biktima ay maaaring nakakahimok, ang mga korte sa pangkalahatan ay mas gusto na ito **pinatunayan ng ibang ebidensya**. Maaaring kabilang dito ang:
* **Testimonya ng saksi:** Mga pahayag m"&amp;"ula sa ibang tao na maaaring sumuporta sa account ng biktima.
* **Pisikal na ebidensya:** Anumang bagay na nakikita na nagpapatibay sa salaysay ng biktima, tulad ng CCTV footage, mga hibla ng damit, o mga medikal na rekord (sa mga kaso ng pag-atake).
* **"&amp;"Electronic na ebidensya:** Mga text message, call log, o mga post sa social media na nakaayon sa testimonya ng biktima.
**Narito kung paano ito gumagana sa mga kaso ng pagkidnap (gamit ang iyong halimbawa):**
* Isipin ang isang kaso kung saan inaakusahan "&amp;"ka ng biktima ng kidnapping at ang kanilang testimonya ang pangunahing ebidensya. Para sa isang paghatol, malamang na maghanap ang hukuman ng **nagpapatibay na ebidensya**. Ito ay maaaring mga saksi na account ng pagdukot, CCTV footage, o marahil isang ra"&amp;"nsom demand na iyong ipinadala.
**Narito ang ilang karagdagang puntong dapat isaalang-alang:**
* **Kredibilidad ng biktima:** Susuriin ng hukuman ang **kredibilidad** ng testimonya ng biktima. Maaaring isaalang-alang ang mga salik tulad ng kilos ng biktim"&amp;"a, pagkakapare-pareho sa mga pahayag, at mga potensyal na pagkiling. * **Edad at mental na kalagayan ng biktima:** Ang **edad at mental na estado** ng biktima, lalo na sa mga kaso na kinasasangkutan ng mga bata o indibidwal na may mga limitasyon sa pag-ii"&amp;"sip, ay maaaring makaimpluwensya kung gaano kabigat ang itinalaga ng hukuman sa kanilang patotoo. * **Diskarte sa depensa:** Maaaring bumuo ang iyong abogado ng diskarte sa pagtatanggol upang **hamonin ang kredibilidad** ng testimonya ng biktima o **magbi"&amp;"gay ng alternatibong paliwanag** para sa mga kaganapan. **Sa konklusyon:**
Ang patotoo ng biktima ay maaaring maging isang makapangyarihang piraso ng ebidensya, ngunit mag-isa, maaaring hindi ito sapat para sa isang paghatol. Ang sistemang legal ng Pilipi"&amp;"nas ay binibigyang-diin ang nagpapatunay na ebidensya at isang masusing pagtatasa ng kredibilidad bago umabot sa isang hatol. Kung ikaw ay nahaharap sa mga kaso kung saan ang testimonya ng biktima ay sentro, ang pagkonsulta sa isang abogado ay mahalaga up"&amp;"ang bumuo ng isang komprehensibong diskarte sa pagtatanggol.")</f>
        <v>Kinikilala ng batas ng Pilipinas ang kahalagahan ng testimonya ng saksi, kabilang ang di-umano'y biktima, ngunit hindi lamang ito umaasa dito para sa isang paghatol. Narito ang isang breakdown kung paano tinatalakay ng batas ang mga kaso kung saan ang testimonya ng biktima ay pangunahing ebidensya:
* **Ang testimonya ng biktima ay maaaring maging wastong ebidensya:** Ang Revised Rules on Evidence (RRE) **ay hindi nagbubukod** ang testimonya ng biktima hangga't ito ay **kapani-paniwala, natural, nakakumbinsi, at naaayon sa kalikasan ng tao at sa normal na takbo ng mga bagay**. Sa madaling salita, susuriin ng hukuman ang patotoo ng biktima para sa panloob na lohika at pagkakapare-pareho nito sa sentido komun at pag-uugali ng tao.
* **Ang nagpapatunay na ebidensya ay nagpapatibay sa kaso:** Bagama't ang testimonya ng isang biktima ay maaaring nakakahimok, ang mga korte sa pangkalahatan ay mas gusto na ito **pinatunayan ng ibang ebidensya**. Maaaring kabilang dito ang:
* **Testimonya ng saksi:** Mga pahayag mula sa ibang tao na maaaring sumuporta sa account ng biktima.
* **Pisikal na ebidensya:** Anumang bagay na nakikita na nagpapatibay sa salaysay ng biktima, tulad ng CCTV footage, mga hibla ng damit, o mga medikal na rekord (sa mga kaso ng pag-atake).
* **Electronic na ebidensya:** Mga text message, call log, o mga post sa social media na nakaayon sa testimonya ng biktima.
**Narito kung paano ito gumagana sa mga kaso ng pagkidnap (gamit ang iyong halimbawa):**
* Isipin ang isang kaso kung saan inaakusahan ka ng biktima ng kidnapping at ang kanilang testimonya ang pangunahing ebidensya. Para sa isang paghatol, malamang na maghanap ang hukuman ng **nagpapatibay na ebidensya**. Ito ay maaaring mga saksi na account ng pagdukot, CCTV footage, o marahil isang ransom demand na iyong ipinadala.
**Narito ang ilang karagdagang puntong dapat isaalang-alang:**
* **Kredibilidad ng biktima:** Susuriin ng hukuman ang **kredibilidad** ng testimonya ng biktima. Maaaring isaalang-alang ang mga salik tulad ng kilos ng biktima, pagkakapare-pareho sa mga pahayag, at mga potensyal na pagkiling. * **Edad at mental na kalagayan ng biktima:** Ang **edad at mental na estado** ng biktima, lalo na sa mga kaso na kinasasangkutan ng mga bata o indibidwal na may mga limitasyon sa pag-iisip, ay maaaring makaimpluwensya kung gaano kabigat ang itinalaga ng hukuman sa kanilang patotoo. * **Diskarte sa depensa:** Maaaring bumuo ang iyong abogado ng diskarte sa pagtatanggol upang **hamonin ang kredibilidad** ng testimonya ng biktima o **magbigay ng alternatibong paliwanag** para sa mga kaganapan. **Sa konklusyon:**
Ang patotoo ng biktima ay maaaring maging isang makapangyarihang piraso ng ebidensya, ngunit mag-isa, maaaring hindi ito sapat para sa isang paghatol. Ang sistemang legal ng Pilipinas ay binibigyang-diin ang nagpapatunay na ebidensya at isang masusing pagtatasa ng kredibilidad bago umabot sa isang hatol. Kung ikaw ay nahaharap sa mga kaso kung saan ang testimonya ng biktima ay sentro, ang pagkonsulta sa isang abogado ay mahalaga upang bumuo ng isang komprehensibong diskarte sa pagtatanggol.</v>
      </c>
      <c r="F972" s="2">
        <f t="shared" si="1"/>
        <v>0</v>
      </c>
      <c r="G972" s="2"/>
      <c r="H972" s="2"/>
      <c r="I972" s="2"/>
      <c r="J972" s="2"/>
      <c r="K972" s="2"/>
      <c r="L972" s="2"/>
      <c r="M972" s="2"/>
      <c r="N972" s="2"/>
      <c r="O972" s="2"/>
      <c r="P972" s="2"/>
      <c r="Q972" s="2"/>
      <c r="R972" s="2"/>
      <c r="S972" s="2"/>
      <c r="T972" s="2"/>
      <c r="U972" s="2"/>
      <c r="V972" s="2"/>
      <c r="W972" s="2"/>
      <c r="X972" s="2"/>
      <c r="Y972" s="2"/>
      <c r="Z972" s="2"/>
      <c r="AA972" s="2"/>
    </row>
    <row r="973">
      <c r="A973" s="3" t="s">
        <v>2763</v>
      </c>
      <c r="B973" s="1" t="s">
        <v>3110</v>
      </c>
      <c r="C973" s="1" t="s">
        <v>3111</v>
      </c>
      <c r="D973" s="2" t="str">
        <f>IFERROR(__xludf.DUMMYFUNCTION("GOOGLETRANSLATE(B973, ""en"", ""TL"")"),"Magagamit ba ang surveillance footage o iba pang teknolohikal na ebidensya sa isang kaso ng kidnapping?")</f>
        <v>Magagamit ba ang surveillance footage o iba pang teknolohikal na ebidensya sa isang kaso ng kidnapping?</v>
      </c>
      <c r="E973" s="2" t="str">
        <f>IFERROR(__xludf.DUMMYFUNCTION("GOOGLETRANSLATE(C973, ""en"", ""TL"")"),"Talagang, ang surveillance footage at iba pang teknolohikal na ebidensya ay maaaring maging napakahalaga sa mga kaso ng kidnapping sa loob ng legal na sistema ng Pilipinas. Ganito:
* **Tanggap na Ebidensya:** Ang Revised Rules on Electronic Evidence (RREE"&amp;") ay nagbibigay-daan para sa pagtanggap ng electronic at teknolohikal na ebidensya sa mga paglilitis sa korte, kabilang ang surveillance footage, cellphone data, at GPS tracking.
* **Pagpapalakas ng Kaso:** Ang ganitong uri ng ebidensya ay maaaring makabu"&amp;"luhang palakasin ang kaso ng prosekusyon o suportahan ang mga argumento ng depensa. * **Surveillance Footage:** Ang CCTV footage o mga recording mula sa mga security camera na kumukuha ng di-umano'y pagdukot, ang akusado na kasama ng biktima, o ang biktim"&amp;"a na pinigilan ay maaaring maging lubhang mapanghikayat na ebidensya.
* **Data ng Cellphone:** Makakatulong ang mga log ng tawag, text message, at data ng lokasyon na nakuha mula sa mga cellphone na magtatag ng mga timeline, komunikasyon sa pagitan ng mga"&amp;" partido, at potensyal na paggalaw ng akusado o biktima. * **GPS Tracking:** Kung ang isang GPS tracking device ay legal na naka-install sa isang sasakyan o teleponong kasangkot sa kaso, ang data nito ay maaaring magbigay ng mahalagang impormasyon sa loka"&amp;"syon.
**Gayunpaman, ilang mahalagang punto na dapat isaalang-alang:**
* **Legalidad ng Pagkuha:** Ang **paraan ng pagkuha ng ebidensya** ay mahalaga. Ang ebidensyang nakolekta sa pamamagitan ng mga ilegal na paraan (hal., pag-hack sa isang telepono) ay ma"&amp;"aaring hindi isama sa korte.
* **Kinakailangan ang Authentication:** Ang pagiging tunay ng teknolohikal na ebidensya ay kailangang maitatag. Maaaring kabilang dito ang pagpapakita ng mga ekspertong testigo na maaaring mag-verify ng footage o hindi na-tamp"&amp;"er ang data.
* **Mga Hamon sa Depensa:** Maaaring hamunin ng abogado ng depensa ang interpretasyon ng ebidensya o makipagtalo para sa hindi kumpleto nito. **Kabuuan:**
Ang footage ng surveillance at iba pang teknolohikal na ebidensya ay maaaring magkaroon"&amp;" ng malaking papel sa pagbuo ng isang malakas na kaso sa mga pagsubok sa pagkidnap. Ang pagiging matanggap at bigat na ibinigay sa ebidensyang ito ay depende sa kung paano ito nakuha, kung paano ito ipinakita, at kung gaano ito napatotohanan.
**Rekomendas"&amp;"yon:**
Kung ikaw ay sangkot sa isang kaso ng kidnapping kung saan ang surveillance footage o iba pang teknolohikal na ebidensya ay naroroon, ang pagkonsulta sa isang abogado ay napakahalaga. Maaari ka nilang payuhan tungkol sa mga legal na implikasyon ng "&amp;"naturang ebidensya at ang potensyal na epekto nito sa iyong kaso.")</f>
        <v>Talagang, ang surveillance footage at iba pang teknolohikal na ebidensya ay maaaring maging napakahalaga sa mga kaso ng kidnapping sa loob ng legal na sistema ng Pilipinas. Ganito:
* **Tanggap na Ebidensya:** Ang Revised Rules on Electronic Evidence (RREE) ay nagbibigay-daan para sa pagtanggap ng electronic at teknolohikal na ebidensya sa mga paglilitis sa korte, kabilang ang surveillance footage, cellphone data, at GPS tracking.
* **Pagpapalakas ng Kaso:** Ang ganitong uri ng ebidensya ay maaaring makabuluhang palakasin ang kaso ng prosekusyon o suportahan ang mga argumento ng depensa. * **Surveillance Footage:** Ang CCTV footage o mga recording mula sa mga security camera na kumukuha ng di-umano'y pagdukot, ang akusado na kasama ng biktima, o ang biktima na pinigilan ay maaaring maging lubhang mapanghikayat na ebidensya.
* **Data ng Cellphone:** Makakatulong ang mga log ng tawag, text message, at data ng lokasyon na nakuha mula sa mga cellphone na magtatag ng mga timeline, komunikasyon sa pagitan ng mga partido, at potensyal na paggalaw ng akusado o biktima. * **GPS Tracking:** Kung ang isang GPS tracking device ay legal na naka-install sa isang sasakyan o teleponong kasangkot sa kaso, ang data nito ay maaaring magbigay ng mahalagang impormasyon sa lokasyon.
**Gayunpaman, ilang mahalagang punto na dapat isaalang-alang:**
* **Legalidad ng Pagkuha:** Ang **paraan ng pagkuha ng ebidensya** ay mahalaga. Ang ebidensyang nakolekta sa pamamagitan ng mga ilegal na paraan (hal., pag-hack sa isang telepono) ay maaaring hindi isama sa korte.
* **Kinakailangan ang Authentication:** Ang pagiging tunay ng teknolohikal na ebidensya ay kailangang maitatag. Maaaring kabilang dito ang pagpapakita ng mga ekspertong testigo na maaaring mag-verify ng footage o hindi na-tamper ang data.
* **Mga Hamon sa Depensa:** Maaaring hamunin ng abogado ng depensa ang interpretasyon ng ebidensya o makipagtalo para sa hindi kumpleto nito. **Kabuuan:**
Ang footage ng surveillance at iba pang teknolohikal na ebidensya ay maaaring magkaroon ng malaking papel sa pagbuo ng isang malakas na kaso sa mga pagsubok sa pagkidnap. Ang pagiging matanggap at bigat na ibinigay sa ebidensyang ito ay depende sa kung paano ito nakuha, kung paano ito ipinakita, at kung gaano ito napatotohanan.
**Rekomendasyon:**
Kung ikaw ay sangkot sa isang kaso ng kidnapping kung saan ang surveillance footage o iba pang teknolohikal na ebidensya ay naroroon, ang pagkonsulta sa isang abogado ay napakahalaga. Maaari ka nilang payuhan tungkol sa mga legal na implikasyon ng naturang ebidensya at ang potensyal na epekto nito sa iyong kaso.</v>
      </c>
      <c r="F973" s="2">
        <f t="shared" si="1"/>
        <v>0</v>
      </c>
      <c r="G973" s="2"/>
      <c r="H973" s="2"/>
      <c r="I973" s="2"/>
      <c r="J973" s="2"/>
      <c r="K973" s="2"/>
      <c r="L973" s="2"/>
      <c r="M973" s="2"/>
      <c r="N973" s="2"/>
      <c r="O973" s="2"/>
      <c r="P973" s="2"/>
      <c r="Q973" s="2"/>
      <c r="R973" s="2"/>
      <c r="S973" s="2"/>
      <c r="T973" s="2"/>
      <c r="U973" s="2"/>
      <c r="V973" s="2"/>
      <c r="W973" s="2"/>
      <c r="X973" s="2"/>
      <c r="Y973" s="2"/>
      <c r="Z973" s="2"/>
      <c r="AA973" s="2"/>
    </row>
    <row r="974">
      <c r="A974" s="3" t="s">
        <v>2763</v>
      </c>
      <c r="B974" s="1" t="s">
        <v>3112</v>
      </c>
      <c r="C974" s="1" t="s">
        <v>3113</v>
      </c>
      <c r="D974" s="2" t="str">
        <f>IFERROR(__xludf.DUMMYFUNCTION("GOOGLETRANSLATE(B974, ""en"", ""TL"")"),"Paano nagiging salik ang sakit sa isip o kawalan ng kakayahan sa mga kaso ng kidnapping?")</f>
        <v>Paano nagiging salik ang sakit sa isip o kawalan ng kakayahan sa mga kaso ng kidnapping?</v>
      </c>
      <c r="E974" s="2" t="str">
        <f>IFERROR(__xludf.DUMMYFUNCTION("GOOGLETRANSLATE(C974, ""en"", ""TL"")"),"Ang sakit sa pag-iisip o kawalan ng kakayahan ay maaaring maging salik sa mga kaso ng kidnapping sa Pilipinas, ngunit nakakaapekto ito sa pananagutan sa kriminal sa isang komplikadong paraan. Narito ang isang breakdown batay sa Revised Penal Code (RPC) at"&amp;" mga nauugnay na legal na konsepto:
**Pag-unawa sa Criminal Liability:**
* **Ang mens rea (kriminal na layunin) ay mahalaga:** Ang Artikulo 4 ng RPC ay nagbibigay-diin na ang **intent** ay isang paunang kinakailangan para sa isang kilos na ituring na isan"&amp;"g krimen. Nangangahulugan ito na ang akusado ay dapat na alam at kusang ginawa ang kilos.
**Karamdaman sa Pag-iisip at Kakayahang Kriminal:**
* **Insanity Defense:** Kinikilala ng RPC (Artikulo 6) ang **pagkabaliw** bilang batayan para sa pag-iiwas sa isa"&amp;"ng tao sa pananagutan sa kriminal. Gayunpaman, ang kahulugan ng legal na pagkabaliw ay makitid at nakatuon sa **kawalan ng kakayahang maunawaan ang kalikasan at mga kahihinatnan ng kilos**.
* **Kawalan ng kakayahan sa pag-iisip:** Higit pa sa pagkabaliw, "&amp;"maaaring magkaroon ng **mga antas ng kawalan ng kakayahan sa pag-iisip**. Ang isang tao ay maaaring hindi ganap na baliw ngunit ang kanilang mental na kalagayan ay maaaring **nagpahina sa kanilang paghuhusga o pag-unawa** sa sitwasyon.
**Epekto sa Mga Sin"&amp;"gil sa Pagkidnap:**
* **Complete Insanity:** Kung matukoy ng isang kwalipikadong medikal na propesyonal na ang akusado ay ganap na nabaliw sa oras ng pagkidnap, malamang na sila ay hindi kasama sa kriminal na pananagutan**. Gayunpaman, ang pag-iingat at p"&amp;"aggamot sa isang pasilidad sa kalusugan ng isip ay maaaring utos ng hukuman.
* **Partial Insanity/Diminished Capacity:** Kung ang akusado ay may sakit sa pag-iisip na **nagpahina sa kanilang paghatol** ngunit hindi ito ganap na inalis, maaaring ituring it"&amp;"o ng hukuman** bilang isang nagpapagaan na kadahilanan**. Maaari itong humantong sa mas mababang parusa**. **Narito kung paano ito gumagana sa pagsasanay:**
* Isipin ang isang kaso kung saan ang isang taong may schizophrenia ay kumidnap ng isang tao dahil"&amp;" sa maling akala**. Ang isang matagumpay na pagtatanggol sa pagkabaliw ay maaaring posible dito. * Sa ibang senaryo, ang isang taong may matinding depresyon ay maaaring mapilitan o manipulahin upang lumahok sa isang kidnapping. Ang pagbawas sa kapasidad d"&amp;"ahil sa sakit sa pag-iisip ay maaaring pagtalunan na potensyal na bawasan ang parusa.
**Mahahalagang Pagsasaalang-alang:**
* **Ang pasanin ng patunay** para sa pagtatatag ng pagkabaliw o pagbaba ng kapasidad **ay nakasalalay sa depensa**. Ang isang kwalip"&amp;"ikadong medikal na pagsusuri at patotoo ng eksperto ay mahalaga.
* **Ang hukuman ay may pagpapasya** sa pagtukoy sa epekto ng sakit sa isip sa kaso. **Rekomendasyon:**
Kung ang sakit sa isip o kawalan ng kakayahan ay isang potensyal na salik sa iyong kaso"&amp;" ng kidnapping, ang pagkonsulta sa isang abogadong may karanasan sa criminal defense** ay napakahalaga. Maaari silang makipagtulungan sa mga medikal na propesyonal upang bumuo ng isang malakas na diskarte sa pagtatanggol na isinasaalang-alang ang iyong pa"&amp;"rtikular na sitwasyon.")</f>
        <v>Ang sakit sa pag-iisip o kawalan ng kakayahan ay maaaring maging salik sa mga kaso ng kidnapping sa Pilipinas, ngunit nakakaapekto ito sa pananagutan sa kriminal sa isang komplikadong paraan. Narito ang isang breakdown batay sa Revised Penal Code (RPC) at mga nauugnay na legal na konsepto:
**Pag-unawa sa Criminal Liability:**
* **Ang mens rea (kriminal na layunin) ay mahalaga:** Ang Artikulo 4 ng RPC ay nagbibigay-diin na ang **intent** ay isang paunang kinakailangan para sa isang kilos na ituring na isang krimen. Nangangahulugan ito na ang akusado ay dapat na alam at kusang ginawa ang kilos.
**Karamdaman sa Pag-iisip at Kakayahang Kriminal:**
* **Insanity Defense:** Kinikilala ng RPC (Artikulo 6) ang **pagkabaliw** bilang batayan para sa pag-iiwas sa isang tao sa pananagutan sa kriminal. Gayunpaman, ang kahulugan ng legal na pagkabaliw ay makitid at nakatuon sa **kawalan ng kakayahang maunawaan ang kalikasan at mga kahihinatnan ng kilos**.
* **Kawalan ng kakayahan sa pag-iisip:** Higit pa sa pagkabaliw, maaaring magkaroon ng **mga antas ng kawalan ng kakayahan sa pag-iisip**. Ang isang tao ay maaaring hindi ganap na baliw ngunit ang kanilang mental na kalagayan ay maaaring **nagpahina sa kanilang paghuhusga o pag-unawa** sa sitwasyon.
**Epekto sa Mga Singil sa Pagkidnap:**
* **Complete Insanity:** Kung matukoy ng isang kwalipikadong medikal na propesyonal na ang akusado ay ganap na nabaliw sa oras ng pagkidnap, malamang na sila ay hindi kasama sa kriminal na pananagutan**. Gayunpaman, ang pag-iingat at paggamot sa isang pasilidad sa kalusugan ng isip ay maaaring utos ng hukuman.
* **Partial Insanity/Diminished Capacity:** Kung ang akusado ay may sakit sa pag-iisip na **nagpahina sa kanilang paghatol** ngunit hindi ito ganap na inalis, maaaring ituring ito ng hukuman** bilang isang nagpapagaan na kadahilanan**. Maaari itong humantong sa mas mababang parusa**. **Narito kung paano ito gumagana sa pagsasanay:**
* Isipin ang isang kaso kung saan ang isang taong may schizophrenia ay kumidnap ng isang tao dahil sa maling akala**. Ang isang matagumpay na pagtatanggol sa pagkabaliw ay maaaring posible dito. * Sa ibang senaryo, ang isang taong may matinding depresyon ay maaaring mapilitan o manipulahin upang lumahok sa isang kidnapping. Ang pagbawas sa kapasidad dahil sa sakit sa pag-iisip ay maaaring pagtalunan na potensyal na bawasan ang parusa.
**Mahahalagang Pagsasaalang-alang:**
* **Ang pasanin ng patunay** para sa pagtatatag ng pagkabaliw o pagbaba ng kapasidad **ay nakasalalay sa depensa**. Ang isang kwalipikadong medikal na pagsusuri at patotoo ng eksperto ay mahalaga.
* **Ang hukuman ay may pagpapasya** sa pagtukoy sa epekto ng sakit sa isip sa kaso. **Rekomendasyon:**
Kung ang sakit sa isip o kawalan ng kakayahan ay isang potensyal na salik sa iyong kaso ng kidnapping, ang pagkonsulta sa isang abogadong may karanasan sa criminal defense** ay napakahalaga. Maaari silang makipagtulungan sa mga medikal na propesyonal upang bumuo ng isang malakas na diskarte sa pagtatanggol na isinasaalang-alang ang iyong partikular na sitwasyon.</v>
      </c>
      <c r="F974" s="2">
        <f t="shared" si="1"/>
        <v>0</v>
      </c>
      <c r="G974" s="2"/>
      <c r="H974" s="2"/>
      <c r="I974" s="2"/>
      <c r="J974" s="2"/>
      <c r="K974" s="2"/>
      <c r="L974" s="2"/>
      <c r="M974" s="2"/>
      <c r="N974" s="2"/>
      <c r="O974" s="2"/>
      <c r="P974" s="2"/>
      <c r="Q974" s="2"/>
      <c r="R974" s="2"/>
      <c r="S974" s="2"/>
      <c r="T974" s="2"/>
      <c r="U974" s="2"/>
      <c r="V974" s="2"/>
      <c r="W974" s="2"/>
      <c r="X974" s="2"/>
      <c r="Y974" s="2"/>
      <c r="Z974" s="2"/>
      <c r="AA974" s="2"/>
    </row>
    <row r="975">
      <c r="A975" s="3" t="s">
        <v>2763</v>
      </c>
      <c r="B975" s="1" t="s">
        <v>3114</v>
      </c>
      <c r="C975" s="1" t="s">
        <v>3115</v>
      </c>
      <c r="D975" s="2" t="str">
        <f>IFERROR(__xludf.DUMMYFUNCTION("GOOGLETRANSLATE(B975, ""en"", ""TL"")"),"Ano ang dapat kong gawin kung naniniwala ako na ang aking mga karapatan ay nilabag sa panahon ng pagsisiyasat o pag-aresto para sa kidnapping?")</f>
        <v>Ano ang dapat kong gawin kung naniniwala ako na ang aking mga karapatan ay nilabag sa panahon ng pagsisiyasat o pag-aresto para sa kidnapping?</v>
      </c>
      <c r="E975" s="2" t="str">
        <f>IFERROR(__xludf.DUMMYFUNCTION("GOOGLETRANSLATE(C975, ""en"", ""TL"")"),"Kung naniniwala kang nilabag ang iyong mga karapatan sa panahon ng imbestigasyon o pag-aresto para sa kidnapping sa Pilipinas, narito ang ilang hakbang na maaari mong gawin:
1. **Manatiling Tahimik at Humiling ng Abogado:** Ito ang iyong pinakamahalagang "&amp;"karapatan. May karapatan kang manatiling tahimik at huwag sumagot ng anumang mga katanungan hanggang sa nakakausap mo ang isang abogado. Maaari mong magalang na sabihin: ""**Isang abogado po ang aking hinihiling (I am requesting a lawyer).**"" Philippine "&amp;"law enforcement is obligated to inform you of this right. 2. **Tandaan ang Mga Detalye:** Kung maaari, subukang idokumento ang pinakamaraming detalye hangga't maaari tungkol sa pinaghihinalaang paglabag. Maaaring kabilang dito ang:
* Petsa at oras ng pag-"&amp;"aresto/pag-iimbestiga.
* Mga pangalan at numero ng badge ng mga opisyal na kasangkot.
* Mga partikular na detalye ng pinaghihinalaang paglabag sa mga karapatan (hal., pinilit na umamin, hindi makatwirang paghahanap).
3. **Humingi ng Legal na Counsel:** An"&amp;"g pagkonsulta sa isang abogadong may karanasan sa criminal defense ay mahalaga. Maaari ka nilang payuhan sa pinakamahusay na paraan ng pagkilos batay sa mga detalye ng iyong sitwasyon. Narito ang ilang mga mapagkukunan upang matulungan kang makahanap ng i"&amp;"sang abogado:
* Public Attorney's Office (PAO): [https://pao.gov.ph/](https://pao.gov.ph/) (libreng legal na tulong para sa mahihirap na Pilipino)
* Integrated Bar of the Philippines (IBP): [https://www.ibp.ph/about.html](https://www.ibp.ph/about.html) (l"&amp;"awyer referral service)
* Mga Paaralan ng Batas (mga programa sa tulong sa batas)
4. **Maghain ng Reklamo:** Maaari kang magsampa ng pormal na reklamo laban sa mga opisyal na kasangkot. * Ang **National Bureau of Investigation (NBI)** ay nag-iimbestiga sa"&amp;" mga reklamo laban sa mga opisyal ng pagpapatupad ng batas. Maaari mong mahanap ang kanilang website dito: [https://www.nbi.gov.ph/](https://www.nbi.gov.ph/)
* Ang **Commission on Human Rights (CHR)** ay nag-iimbestiga sa mga paglabag sa karapatang pantao"&amp;". Maaari mong mahanap ang kanilang website dito: [https://chr.gov.ph/](https://chr.gov.ph/)
**Mahahalagang Puntos na Dapat Tandaan:**
* **Mahalaga ang ebidensya:** Ang pagkakaroon ng dokumentadong patunay ng di-umano'y paglabag sa mga karapatan ay maaarin"&amp;"g palakasin ang iyong kaso.
* **Maaaring malapat ang mga limitasyon sa oras:** Maaaring may mga deadline para sa paghahain ng mga reklamo, kaya mahalaga ang pagkilos kaagad.
* **Makipagtulungan sa iyong abogado:** Ibigay sa iyong abogado ang lahat ng mga "&amp;"detalye at impormasyong kailangan nila upang epektibong kumatawan sa iyo.
**Ito ay pangkalahatang impormasyon lamang, at ang mga detalye ng iyong sitwasyon ay maaaring mangailangan ng ibang diskarte. Ang pagkonsulta sa isang kwalipikadong abogado ay lubos"&amp;" na inirerekomenda upang maunawaan ang iyong mga karapatan at tuklasin ang mga potensyal na legal na remedyo.**")</f>
        <v>Kung naniniwala kang nilabag ang iyong mga karapatan sa panahon ng imbestigasyon o pag-aresto para sa kidnapping sa Pilipinas, narito ang ilang hakbang na maaari mong gawin:
1. **Manatiling Tahimik at Humiling ng Abogado:** Ito ang iyong pinakamahalagang karapatan. May karapatan kang manatiling tahimik at huwag sumagot ng anumang mga katanungan hanggang sa nakakausap mo ang isang abogado. Maaari mong magalang na sabihin: "**Isang abogado po ang aking hinihiling (I am requesting a lawyer).**" Philippine law enforcement is obligated to inform you of this right. 2. **Tandaan ang Mga Detalye:** Kung maaari, subukang idokumento ang pinakamaraming detalye hangga't maaari tungkol sa pinaghihinalaang paglabag. Maaaring kabilang dito ang:
* Petsa at oras ng pag-aresto/pag-iimbestiga.
* Mga pangalan at numero ng badge ng mga opisyal na kasangkot.
* Mga partikular na detalye ng pinaghihinalaang paglabag sa mga karapatan (hal., pinilit na umamin, hindi makatwirang paghahanap).
3. **Humingi ng Legal na Counsel:** Ang pagkonsulta sa isang abogadong may karanasan sa criminal defense ay mahalaga. Maaari ka nilang payuhan sa pinakamahusay na paraan ng pagkilos batay sa mga detalye ng iyong sitwasyon. Narito ang ilang mga mapagkukunan upang matulungan kang makahanap ng isang abogado:
* Public Attorney's Office (PAO): [https://pao.gov.ph/](https://pao.gov.ph/) (libreng legal na tulong para sa mahihirap na Pilipino)
* Integrated Bar of the Philippines (IBP): [https://www.ibp.ph/about.html](https://www.ibp.ph/about.html) (lawyer referral service)
* Mga Paaralan ng Batas (mga programa sa tulong sa batas)
4. **Maghain ng Reklamo:** Maaari kang magsampa ng pormal na reklamo laban sa mga opisyal na kasangkot. * Ang **National Bureau of Investigation (NBI)** ay nag-iimbestiga sa mga reklamo laban sa mga opisyal ng pagpapatupad ng batas. Maaari mong mahanap ang kanilang website dito: [https://www.nbi.gov.ph/](https://www.nbi.gov.ph/)
* Ang **Commission on Human Rights (CHR)** ay nag-iimbestiga sa mga paglabag sa karapatang pantao. Maaari mong mahanap ang kanilang website dito: [https://chr.gov.ph/](https://chr.gov.ph/)
**Mahahalagang Puntos na Dapat Tandaan:**
* **Mahalaga ang ebidensya:** Ang pagkakaroon ng dokumentadong patunay ng di-umano'y paglabag sa mga karapatan ay maaaring palakasin ang iyong kaso.
* **Maaaring malapat ang mga limitasyon sa oras:** Maaaring may mga deadline para sa paghahain ng mga reklamo, kaya mahalaga ang pagkilos kaagad.
* **Makipagtulungan sa iyong abogado:** Ibigay sa iyong abogado ang lahat ng mga detalye at impormasyong kailangan nila upang epektibong kumatawan sa iyo.
**Ito ay pangkalahatang impormasyon lamang, at ang mga detalye ng iyong sitwasyon ay maaaring mangailangan ng ibang diskarte. Ang pagkonsulta sa isang kwalipikadong abogado ay lubos na inirerekomenda upang maunawaan ang iyong mga karapatan at tuklasin ang mga potensyal na legal na remedyo.**</v>
      </c>
      <c r="F975" s="2">
        <f t="shared" si="1"/>
        <v>0</v>
      </c>
      <c r="G975" s="2"/>
      <c r="H975" s="2"/>
      <c r="I975" s="2"/>
      <c r="J975" s="2"/>
      <c r="K975" s="2"/>
      <c r="L975" s="2"/>
      <c r="M975" s="2"/>
      <c r="N975" s="2"/>
      <c r="O975" s="2"/>
      <c r="P975" s="2"/>
      <c r="Q975" s="2"/>
      <c r="R975" s="2"/>
      <c r="S975" s="2"/>
      <c r="T975" s="2"/>
      <c r="U975" s="2"/>
      <c r="V975" s="2"/>
      <c r="W975" s="2"/>
      <c r="X975" s="2"/>
      <c r="Y975" s="2"/>
      <c r="Z975" s="2"/>
      <c r="AA975" s="2"/>
    </row>
    <row r="976">
      <c r="A976" s="3" t="s">
        <v>2763</v>
      </c>
      <c r="B976" s="1" t="s">
        <v>3116</v>
      </c>
      <c r="C976" s="1" t="s">
        <v>3117</v>
      </c>
      <c r="D976" s="2" t="str">
        <f>IFERROR(__xludf.DUMMYFUNCTION("GOOGLETRANSLATE(B976, ""en"", ""TL"")"),"Paano tinatrato ng batas ang mga kaso kung saan ang sinasabing biktima ay nasaktan sa panahon ng kidnapping?")</f>
        <v>Paano tinatrato ng batas ang mga kaso kung saan ang sinasabing biktima ay nasaktan sa panahon ng kidnapping?</v>
      </c>
      <c r="E976" s="2" t="str">
        <f>IFERROR(__xludf.DUMMYFUNCTION("GOOGLETRANSLATE(C976, ""en"", ""TL"")"),"Sa Pilipinas, ang pinsalang idinulot sa biktima sa panahon ng kasong kidnapping **ay nagpapataas ng kalubhaan ng krimen at ang potensyal na parusa** na ipapataw sa mga akusado. Narito ang isang breakdown batay sa Revised Penal Code (RPC) at mga nauugnay n"&amp;"a legal na prinsipyo:
* **Ang pagkidnap ay isang seryosong krimen:** Ang Artikulo 267 ng RPC ay nag-uutos na ng **hanay ng mga parusa** para sa pagkidnap depende sa tagal at mga pangyayari. Gayunpaman, ang pagkakaroon ng pinsala sa biktima ay nagpapataas "&amp;"ng krimen sa isang **graver offense**.
* **Iba't ibang uri ng pinsala:** Ang partikular na uri ng pinsala ay maaaring higit na makaimpluwensya sa mga singil at parusa:
* **Slight physical injuries:** Kung ang biktima ay nagtamo ng minor injuries, ang kidn"&amp;"apping charge ay maaaring **pagsamahin sa karagdagang charge ng physical assault**, na magreresulta sa isang mas malupit na sentensiya.
* **Malubhang pisikal na pinsala:** Maaaring mapataas ng mas matinding pinsala ang singil sa kidnapping sa **kidnapping"&amp;" na may malubhang pisikal na pinsala**, na nagdadala ng **mas mabigat na parusa** sa ilalim ng RPC. * **Kamatayan:** Sa kalunos-lunos na kaso kung saan ang biktima ay namatay dahil sa pagkidnap o dahil sa pananakit, ang akusasyon ay malamang na **pagpatay"&amp;"** kasama ang kidnapping, na magreresulta sa **pinakamabigat na parusa** na posible. sa ilalim ng batas ng Pilipinas.
**Narito ang isang halimbawa:**
Isipin ang isang kaso ng kidnapping kung saan ang biktima ay nakakulong sa loob ng isang araw nang walang"&amp;" anumang pisikal na pinsala. Ito ay malamang na ituring na isang pangunahing kidnapping sa ilalim ng Artikulo 267. Gayunpaman, kung ang biktima ay binugbog sa panahon ng pagkidnap, ang akusado ay maaaring maharap sa mga kaso para sa parehong kidnapping **"&amp;"at** pisikal na pag-atake.
**Mga Karagdagang Pagsasaalang-alang:**
* **Psychological harm:** Bagama't ang RPC ay pangunahing nakatuon sa mga pisikal na pinsala, sikolohikal na trauma** na natamo sa biktima ay maaaring ituring ng hukuman bilang isang lumal"&amp;"alang salik sa panahon ng paghatol.
* **Layong saktan:** Ang **layunin ng akusado** hinggil sa pinsala ay maaari ding may kaugnayan. Kung pinaghandaan ang pinsala**, maaari nitong palubhain pa ang parusa.
**Sa konklusyon:**
Sineseryoso ng batas ng Pilipin"&amp;"as ang pinsalang idinulot sa biktima sa panahon ng pagkidnap. Ang mga partikular na singil at parusa ay depende sa kalubhaan ng pinsala at sa mga pangyayari ng kaso. Kung ikaw ay nahaharap sa mga kaso sa isang kaso ng pagkidnap kung saan ang biktima ay na"&amp;"saktan, ang pagkonsulta sa isang kwalipikadong abogado ay napakahalaga upang maunawaan ang mga potensyal na kahihinatnan at tuklasin ang iyong mga opsyon sa pagtatanggol.")</f>
        <v>Sa Pilipinas, ang pinsalang idinulot sa biktima sa panahon ng kasong kidnapping **ay nagpapataas ng kalubhaan ng krimen at ang potensyal na parusa** na ipapataw sa mga akusado. Narito ang isang breakdown batay sa Revised Penal Code (RPC) at mga nauugnay na legal na prinsipyo:
* **Ang pagkidnap ay isang seryosong krimen:** Ang Artikulo 267 ng RPC ay nag-uutos na ng **hanay ng mga parusa** para sa pagkidnap depende sa tagal at mga pangyayari. Gayunpaman, ang pagkakaroon ng pinsala sa biktima ay nagpapataas ng krimen sa isang **graver offense**.
* **Iba't ibang uri ng pinsala:** Ang partikular na uri ng pinsala ay maaaring higit na makaimpluwensya sa mga singil at parusa:
* **Slight physical injuries:** Kung ang biktima ay nagtamo ng minor injuries, ang kidnapping charge ay maaaring **pagsamahin sa karagdagang charge ng physical assault**, na magreresulta sa isang mas malupit na sentensiya.
* **Malubhang pisikal na pinsala:** Maaaring mapataas ng mas matinding pinsala ang singil sa kidnapping sa **kidnapping na may malubhang pisikal na pinsala**, na nagdadala ng **mas mabigat na parusa** sa ilalim ng RPC. * **Kamatayan:** Sa kalunos-lunos na kaso kung saan ang biktima ay namatay dahil sa pagkidnap o dahil sa pananakit, ang akusasyon ay malamang na **pagpatay** kasama ang kidnapping, na magreresulta sa **pinakamabigat na parusa** na posible. sa ilalim ng batas ng Pilipinas.
**Narito ang isang halimbawa:**
Isipin ang isang kaso ng kidnapping kung saan ang biktima ay nakakulong sa loob ng isang araw nang walang anumang pisikal na pinsala. Ito ay malamang na ituring na isang pangunahing kidnapping sa ilalim ng Artikulo 267. Gayunpaman, kung ang biktima ay binugbog sa panahon ng pagkidnap, ang akusado ay maaaring maharap sa mga kaso para sa parehong kidnapping **at** pisikal na pag-atake.
**Mga Karagdagang Pagsasaalang-alang:**
* **Psychological harm:** Bagama't ang RPC ay pangunahing nakatuon sa mga pisikal na pinsala, sikolohikal na trauma** na natamo sa biktima ay maaaring ituring ng hukuman bilang isang lumalalang salik sa panahon ng paghatol.
* **Layong saktan:** Ang **layunin ng akusado** hinggil sa pinsala ay maaari ding may kaugnayan. Kung pinaghandaan ang pinsala**, maaari nitong palubhain pa ang parusa.
**Sa konklusyon:**
Sineseryoso ng batas ng Pilipinas ang pinsalang idinulot sa biktima sa panahon ng pagkidnap. Ang mga partikular na singil at parusa ay depende sa kalubhaan ng pinsala at sa mga pangyayari ng kaso. Kung ikaw ay nahaharap sa mga kaso sa isang kaso ng pagkidnap kung saan ang biktima ay nasaktan, ang pagkonsulta sa isang kwalipikadong abogado ay napakahalaga upang maunawaan ang mga potensyal na kahihinatnan at tuklasin ang iyong mga opsyon sa pagtatanggol.</v>
      </c>
      <c r="F976" s="2">
        <f t="shared" si="1"/>
        <v>0</v>
      </c>
      <c r="G976" s="2"/>
      <c r="H976" s="2"/>
      <c r="I976" s="2"/>
      <c r="J976" s="2"/>
      <c r="K976" s="2"/>
      <c r="L976" s="2"/>
      <c r="M976" s="2"/>
      <c r="N976" s="2"/>
      <c r="O976" s="2"/>
      <c r="P976" s="2"/>
      <c r="Q976" s="2"/>
      <c r="R976" s="2"/>
      <c r="S976" s="2"/>
      <c r="T976" s="2"/>
      <c r="U976" s="2"/>
      <c r="V976" s="2"/>
      <c r="W976" s="2"/>
      <c r="X976" s="2"/>
      <c r="Y976" s="2"/>
      <c r="Z976" s="2"/>
      <c r="AA976" s="2"/>
    </row>
    <row r="977">
      <c r="A977" s="3" t="s">
        <v>2763</v>
      </c>
      <c r="B977" s="1" t="s">
        <v>3118</v>
      </c>
      <c r="C977" s="1" t="s">
        <v>3119</v>
      </c>
      <c r="D977" s="2" t="str">
        <f>IFERROR(__xludf.DUMMYFUNCTION("GOOGLETRANSLATE(B977, ""en"", ""TL"")"),"Maaari bang i-upgrade ang isang singil sa pagkidnap sa isang mas malubhang pagkakasala kung mayroong ilang mga pangyayari?")</f>
        <v>Maaari bang i-upgrade ang isang singil sa pagkidnap sa isang mas malubhang pagkakasala kung mayroong ilang mga pangyayari?</v>
      </c>
      <c r="E977" s="2" t="str">
        <f>IFERROR(__xludf.DUMMYFUNCTION("GOOGLETRANSLATE(C977, ""en"", ""TL"")"),"Oo, ang singil sa pagkidnap sa Pilipinas ay maaaring i-upgrade sa isang mas seryosong pagkakasala depende sa **mga partikular na nagpapalubha na pangyayari** na naroroon sa panahon ng krimen. Narito kung paano ito tinatalakay ng batas batay sa Revised Pen"&amp;"al Code (RPC) at mga nauugnay na legal na prinsipyo:
* **Ang Artikulo 267 ng RPC** ay nagbabalangkas ng mga batayang parusa para sa pagkidnap. Gayunpaman, binanggit din ng artikulo ang **mga partikular na pangyayari** na maaaring magpataas ng krimen sa is"&amp;"ang mas seryosong pagkakasala na may **mas matitinding parusa**.
**Narito ang ilang sitwasyon na maaaring humantong sa mas malubhang pagsingil:**
* **Serious physical injuries:** Kung ang biktima ay nagtamo ng **grave** physical injuries sa panahon ng kid"&amp;"napping, ang singil ay malamang na ma-upgrade sa **kidnapping with serious physical injuries**.
* **Kamatayan:** Sa trahedya na senaryo kung saan namatay ang biktima bilang resulta ng pagkidnap o pananakit, malamang na **pagpatay** ang paratang kasama ng "&amp;"kidnapping. Dala nito ang **pinakamataas na parusa** na posible sa ilalim ng batas ng Pilipinas (depende sa pagkakaroon ng mga kwalipikadong elemento ng pagpatay).
* **Humihingi ng ransom:** Gaya ng napag-usapan dati, ang **kidnapping with ransom** ay isa"&amp;"ng hiwalay at mas malubhang pagkakasala kumpara sa kidnapping na walang ransom. Ang pagkakaroon ng ransom demand **awtomatikong** nagpapataas ng krimen at nagdadala ng **death penalty** (bagama't kasalukuyang napapailalim sa moratorium).
* **Ang kahinaan "&amp;"ng biktima:** Ang **edad** (mga bata, matanda) o **kalagayan ng pag-iisip** (mga indibidwal na may kapansanan) ng biktima ay maaaring ituring na nagpapalubha ng mga pangyayari. Ang mga krimen laban sa **partikular na mahina** na mga indibidwal ay madalas "&amp;"na tinitingnan nang mas malupit ng hukuman.
* **Publisidad/Terror:** Kung ang pagkidnap ay ginawa nang may **malawakang publisidad** o **naglalayong lumikha ng pampublikong terorismo**, maaari itong ituring na isang mas malubhang pagkakasala.
**Narito ang"&amp;" isang halimbawa:**
Isipin ang isang kaso ng kidnapping kung saan ang biktima ay isang bata na nakakulong sa loob ng isang linggo at nagtamo ng malubhang pinsala. Sa sitwasyong ito, ang batayang singil sa kidnapping ay malamang na ma-upgrade sa **kidnappi"&amp;"ng na may malubhang pisikal na pinsala** dahil sa pinsalang dulot at **kahinaan ng biktima** (bata).
**Mahalagang Tandaan:**
* Ang **pagkakaroon ng maraming nagpapalubha na pangyayari** ay maaaring higit pang magpapataas sa kalubhaan ng pagkakasala at sa "&amp;"potensyal na parusa.
* Ang **hukuman ay may pagpapasya** sa pagtukoy ng bigat na ibinibigay sa bawat nagpapalubha na pangyayari kapag nagpapataw ng isang pangungusap.
**Rekomendasyon:**
Kung ikaw ay nahaharap sa mga kasong kidnapping, lalo na kung may mga"&amp;" nagpapalubha na pangyayari, ang pagkonsulta sa isang kwalipikadong abogado** ay napakahalaga. Maaari ka nilang payuhan sa mga potensyal na kahihinatnan at tuklasin ang mga diskarte sa pagtatanggol upang potensyal na mapagaan ang mga singil.")</f>
        <v>Oo, ang singil sa pagkidnap sa Pilipinas ay maaaring i-upgrade sa isang mas seryosong pagkakasala depende sa **mga partikular na nagpapalubha na pangyayari** na naroroon sa panahon ng krimen. Narito kung paano ito tinatalakay ng batas batay sa Revised Penal Code (RPC) at mga nauugnay na legal na prinsipyo:
* **Ang Artikulo 267 ng RPC** ay nagbabalangkas ng mga batayang parusa para sa pagkidnap. Gayunpaman, binanggit din ng artikulo ang **mga partikular na pangyayari** na maaaring magpataas ng krimen sa isang mas seryosong pagkakasala na may **mas matitinding parusa**.
**Narito ang ilang sitwasyon na maaaring humantong sa mas malubhang pagsingil:**
* **Serious physical injuries:** Kung ang biktima ay nagtamo ng **grave** physical injuries sa panahon ng kidnapping, ang singil ay malamang na ma-upgrade sa **kidnapping with serious physical injuries**.
* **Kamatayan:** Sa trahedya na senaryo kung saan namatay ang biktima bilang resulta ng pagkidnap o pananakit, malamang na **pagpatay** ang paratang kasama ng kidnapping. Dala nito ang **pinakamataas na parusa** na posible sa ilalim ng batas ng Pilipinas (depende sa pagkakaroon ng mga kwalipikadong elemento ng pagpatay).
* **Humihingi ng ransom:** Gaya ng napag-usapan dati, ang **kidnapping with ransom** ay isang hiwalay at mas malubhang pagkakasala kumpara sa kidnapping na walang ransom. Ang pagkakaroon ng ransom demand **awtomatikong** nagpapataas ng krimen at nagdadala ng **death penalty** (bagama't kasalukuyang napapailalim sa moratorium).
* **Ang kahinaan ng biktima:** Ang **edad** (mga bata, matanda) o **kalagayan ng pag-iisip** (mga indibidwal na may kapansanan) ng biktima ay maaaring ituring na nagpapalubha ng mga pangyayari. Ang mga krimen laban sa **partikular na mahina** na mga indibidwal ay madalas na tinitingnan nang mas malupit ng hukuman.
* **Publisidad/Terror:** Kung ang pagkidnap ay ginawa nang may **malawakang publisidad** o **naglalayong lumikha ng pampublikong terorismo**, maaari itong ituring na isang mas malubhang pagkakasala.
**Narito ang isang halimbawa:**
Isipin ang isang kaso ng kidnapping kung saan ang biktima ay isang bata na nakakulong sa loob ng isang linggo at nagtamo ng malubhang pinsala. Sa sitwasyong ito, ang batayang singil sa kidnapping ay malamang na ma-upgrade sa **kidnapping na may malubhang pisikal na pinsala** dahil sa pinsalang dulot at **kahinaan ng biktima** (bata).
**Mahalagang Tandaan:**
* Ang **pagkakaroon ng maraming nagpapalubha na pangyayari** ay maaaring higit pang magpapataas sa kalubhaan ng pagkakasala at sa potensyal na parusa.
* Ang **hukuman ay may pagpapasya** sa pagtukoy ng bigat na ibinibigay sa bawat nagpapalubha na pangyayari kapag nagpapataw ng isang pangungusap.
**Rekomendasyon:**
Kung ikaw ay nahaharap sa mga kasong kidnapping, lalo na kung may mga nagpapalubha na pangyayari, ang pagkonsulta sa isang kwalipikadong abogado** ay napakahalaga. Maaari ka nilang payuhan sa mga potensyal na kahihinatnan at tuklasin ang mga diskarte sa pagtatanggol upang potensyal na mapagaan ang mga singil.</v>
      </c>
      <c r="F977" s="2">
        <f t="shared" si="1"/>
        <v>0</v>
      </c>
      <c r="G977" s="2"/>
      <c r="H977" s="2"/>
      <c r="I977" s="2"/>
      <c r="J977" s="2"/>
      <c r="K977" s="2"/>
      <c r="L977" s="2"/>
      <c r="M977" s="2"/>
      <c r="N977" s="2"/>
      <c r="O977" s="2"/>
      <c r="P977" s="2"/>
      <c r="Q977" s="2"/>
      <c r="R977" s="2"/>
      <c r="S977" s="2"/>
      <c r="T977" s="2"/>
      <c r="U977" s="2"/>
      <c r="V977" s="2"/>
      <c r="W977" s="2"/>
      <c r="X977" s="2"/>
      <c r="Y977" s="2"/>
      <c r="Z977" s="2"/>
      <c r="AA977" s="2"/>
    </row>
    <row r="978">
      <c r="A978" s="3" t="s">
        <v>2763</v>
      </c>
      <c r="B978" s="1" t="s">
        <v>3120</v>
      </c>
      <c r="C978" s="1" t="s">
        <v>3121</v>
      </c>
      <c r="D978" s="2" t="str">
        <f>IFERROR(__xludf.DUMMYFUNCTION("GOOGLETRANSLATE(B978, ""en"", ""TL"")"),"Paano tinutugunan ng batas ang mga kaso kung saan ang dinukot na indibidwal ay isang menor de edad o walang kakayahan na nasa hustong gulang?")</f>
        <v>Paano tinutugunan ng batas ang mga kaso kung saan ang dinukot na indibidwal ay isang menor de edad o walang kakayahan na nasa hustong gulang?</v>
      </c>
      <c r="E978" s="2" t="str">
        <f>IFERROR(__xludf.DUMMYFUNCTION("GOOGLETRANSLATE(C978, ""en"", ""TL"")"),"Kinikilala ng batas ng Pilipinas ang **tumaas na kahinaan** ng mga menor de edad (bata) at walang kakayahan na matatanda sa mga kaso ng kidnapping. Narito kung paano tinutugunan ng batas ang mga ganitong sitwasyon batay sa Revised Penal Code (RPC) at mga "&amp;"nauugnay na legal na konsepto:
* **Tumuon sa Pagprotekta sa Mahina:** Ang sistema ng hustisya ay inuuna ang **proteksyon sa mga bata at may kapansanan na matatanda**. Ito ay makikita sa **mas matitinding parusa** para sa mga paglabag sa pagkidnap na kinas"&amp;"asangkutan ng mga demograpikong ito.
* **Presumption of Aggravating Circumstance:** Sa mga kaso ng kidnapping, ang **edad** ng biktima (pagiging isang menor de edad) o ang kanilang **mental state** (na incapacitated) ay madalas na itinuturing na isang **a"&amp;"ggravating circumstance** bilang default. Nangangahulugan ito na ang parusa para sa kidnapping ay **awtomatikong** mas matindi kumpara sa isang kaso na kinasasangkutan ng isang nasa hustong gulang na biktima.
* **Mga Tukoy na Parusa para sa Kidnapping Min"&amp;"ors/Incapacitated Adults:** Habang ang Artikulo 267 ng RPC ay nagbabalangkas ng mga pangkalahatang parusa para sa kidnapping, ang mga karagdagang probisyon ay tumutugon sa kidnapping na kinasasangkutan ng mga bulnerableng biktima:
* **Artikulo 268:** Ang "&amp;"artikulong ito ay partikular na tumatalakay sa **kidnapping o ilegal na pagkulong** ng isang menor de edad na wala pang 18 taong gulang. Ang mga parusa ay **mas mabigat** kaysa sa mga nasa ilalim ng Artikulo 267.
* **Artikulo 270:** Tinutugunan ng artikul"&amp;"ong ito ang **pagdukot** (pagkuha ng isang tao nang may pahintulot para sa isang imoral na layunin) ng isang babae. Bagama't hindi mahigpit na pagkidnap, mayroon itong **mas mabigat na parusa** kung ang babae ay wala pang 18 taong gulang.
* **Vulnerabilit"&amp;"y and Intent:** Ang **degree of vulnerability** ng menor de edad o incapacitated adult ay maaari ding isaalang-alang. Halimbawa, ang isang napakabata na bata o isang taong may malubhang kapansanan sa pag-iisip ay maaaring makita bilang **mas mahina** kays"&amp;"a sa isang mas matandang binatilyo. Karagdagan pa, ang **layunin ng akusado** hinggil sa kahinaan ng biktima ay maaaring isama. Ang paghuli sa isang kilalang kahinaan ay maaaring magpalala sa parusa.
**Narito ang isang halimbawa:**
Isipin ang isang kaso n"&amp;"g kidnapping kung saan dinukot ng isang estranghero ang isang 5 taong gulang na bata. Sa sitwasyong ito, ang batayang singil sa kidnapping ay malamang na **ma-upgrade** dahil sa edad ng biktima (menor de edad) at ang **pinapalagay na nagpapalubha na pangy"&amp;"ayari**. Ang mga parusa ay **mas matindi** kaysa sa kasong kidnapping na kinasasangkutan ng isang nasa hustong gulang na biktima.
**Mahahalagang Pagsasaalang-alang:**
* **Kahulugan ng Mental Incapacity:** Ang legal na kahulugan ng **mental incapacity** sa"&amp;" mga kaso ng kidnapping ay hindi tahasang tinukoy sa RPC. Ang mga desisyon ng korte at mga pagsusuri ng eksperto ay malamang na gagamitin upang matukoy ang mental fitness**.
* **Mga Karapatan sa Kustodiya:** Kung ang pagkidnap ay nagsasangkot ng isang men"&amp;"or de edad, ang isyu ng **mga karapatan sa pangangalaga** ay maaaring isang hiwalay na legal na alalahanin. Ang isang kwalipikadong abogado ay maaaring magpayo sa pag-navigate sa mga kumplikadong ito.
**Rekomendasyon:**
Kung ikaw ay nahaharap sa mga kaso "&amp;"para sa pagkidnap sa isang menor de edad o walang kakayahan na nasa hustong gulang, ang pagkonsulta sa isang abogadong may karanasan sa criminal defense** ay napakahalaga. Maaari nilang ipaliwanag ang mga legal na implikasyon na isinasaalang-alang ang kah"&amp;"inaan ng biktima at tuklasin ang mga potensyal na diskarte sa pagtatanggol.
**Tandaan:** Ang batas ng Pilipinas ay inuuna ang pagprotekta sa mga mahihinang indibidwal. Ang pag-unawa sa mga legal na prinsipyong ito ay maaaring maging mahalaga kung ikaw ay "&amp;"nasasangkot sa isang kaso na kinasasangkutan ng pagkidnap ng isang menor de edad o walang kakayahan na nasa hustong gulang.")</f>
        <v>Kinikilala ng batas ng Pilipinas ang **tumaas na kahinaan** ng mga menor de edad (bata) at walang kakayahan na matatanda sa mga kaso ng kidnapping. Narito kung paano tinutugunan ng batas ang mga ganitong sitwasyon batay sa Revised Penal Code (RPC) at mga nauugnay na legal na konsepto:
* **Tumuon sa Pagprotekta sa Mahina:** Ang sistema ng hustisya ay inuuna ang **proteksyon sa mga bata at may kapansanan na matatanda**. Ito ay makikita sa **mas matitinding parusa** para sa mga paglabag sa pagkidnap na kinasasangkutan ng mga demograpikong ito.
* **Presumption of Aggravating Circumstance:** Sa mga kaso ng kidnapping, ang **edad** ng biktima (pagiging isang menor de edad) o ang kanilang **mental state** (na incapacitated) ay madalas na itinuturing na isang **aggravating circumstance** bilang default. Nangangahulugan ito na ang parusa para sa kidnapping ay **awtomatikong** mas matindi kumpara sa isang kaso na kinasasangkutan ng isang nasa hustong gulang na biktima.
* **Mga Tukoy na Parusa para sa Kidnapping Minors/Incapacitated Adults:** Habang ang Artikulo 267 ng RPC ay nagbabalangkas ng mga pangkalahatang parusa para sa kidnapping, ang mga karagdagang probisyon ay tumutugon sa kidnapping na kinasasangkutan ng mga bulnerableng biktima:
* **Artikulo 268:** Ang artikulong ito ay partikular na tumatalakay sa **kidnapping o ilegal na pagkulong** ng isang menor de edad na wala pang 18 taong gulang. Ang mga parusa ay **mas mabigat** kaysa sa mga nasa ilalim ng Artikulo 267.
* **Artikulo 270:** Tinutugunan ng artikulong ito ang **pagdukot** (pagkuha ng isang tao nang may pahintulot para sa isang imoral na layunin) ng isang babae. Bagama't hindi mahigpit na pagkidnap, mayroon itong **mas mabigat na parusa** kung ang babae ay wala pang 18 taong gulang.
* **Vulnerability and Intent:** Ang **degree of vulnerability** ng menor de edad o incapacitated adult ay maaari ding isaalang-alang. Halimbawa, ang isang napakabata na bata o isang taong may malubhang kapansanan sa pag-iisip ay maaaring makita bilang **mas mahina** kaysa sa isang mas matandang binatilyo. Karagdagan pa, ang **layunin ng akusado** hinggil sa kahinaan ng biktima ay maaaring isama. Ang paghuli sa isang kilalang kahinaan ay maaaring magpalala sa parusa.
**Narito ang isang halimbawa:**
Isipin ang isang kaso ng kidnapping kung saan dinukot ng isang estranghero ang isang 5 taong gulang na bata. Sa sitwasyong ito, ang batayang singil sa kidnapping ay malamang na **ma-upgrade** dahil sa edad ng biktima (menor de edad) at ang **pinapalagay na nagpapalubha na pangyayari**. Ang mga parusa ay **mas matindi** kaysa sa kasong kidnapping na kinasasangkutan ng isang nasa hustong gulang na biktima.
**Mahahalagang Pagsasaalang-alang:**
* **Kahulugan ng Mental Incapacity:** Ang legal na kahulugan ng **mental incapacity** sa mga kaso ng kidnapping ay hindi tahasang tinukoy sa RPC. Ang mga desisyon ng korte at mga pagsusuri ng eksperto ay malamang na gagamitin upang matukoy ang mental fitness**.
* **Mga Karapatan sa Kustodiya:** Kung ang pagkidnap ay nagsasangkot ng isang menor de edad, ang isyu ng **mga karapatan sa pangangalaga** ay maaaring isang hiwalay na legal na alalahanin. Ang isang kwalipikadong abogado ay maaaring magpayo sa pag-navigate sa mga kumplikadong ito.
**Rekomendasyon:**
Kung ikaw ay nahaharap sa mga kaso para sa pagkidnap sa isang menor de edad o walang kakayahan na nasa hustong gulang, ang pagkonsulta sa isang abogadong may karanasan sa criminal defense** ay napakahalaga. Maaari nilang ipaliwanag ang mga legal na implikasyon na isinasaalang-alang ang kahinaan ng biktima at tuklasin ang mga potensyal na diskarte sa pagtatanggol.
**Tandaan:** Ang batas ng Pilipinas ay inuuna ang pagprotekta sa mga mahihinang indibidwal. Ang pag-unawa sa mga legal na prinsipyong ito ay maaaring maging mahalaga kung ikaw ay nasasangkot sa isang kaso na kinasasangkutan ng pagkidnap ng isang menor de edad o walang kakayahan na nasa hustong gulang.</v>
      </c>
      <c r="F978" s="2">
        <f t="shared" si="1"/>
        <v>0</v>
      </c>
      <c r="G978" s="2"/>
      <c r="H978" s="2"/>
      <c r="I978" s="2"/>
      <c r="J978" s="2"/>
      <c r="K978" s="2"/>
      <c r="L978" s="2"/>
      <c r="M978" s="2"/>
      <c r="N978" s="2"/>
      <c r="O978" s="2"/>
      <c r="P978" s="2"/>
      <c r="Q978" s="2"/>
      <c r="R978" s="2"/>
      <c r="S978" s="2"/>
      <c r="T978" s="2"/>
      <c r="U978" s="2"/>
      <c r="V978" s="2"/>
      <c r="W978" s="2"/>
      <c r="X978" s="2"/>
      <c r="Y978" s="2"/>
      <c r="Z978" s="2"/>
      <c r="AA978" s="2"/>
    </row>
    <row r="979">
      <c r="A979" s="3" t="s">
        <v>2763</v>
      </c>
      <c r="B979" s="1" t="s">
        <v>3122</v>
      </c>
      <c r="C979" s="1" t="s">
        <v>3123</v>
      </c>
      <c r="D979" s="2" t="str">
        <f>IFERROR(__xludf.DUMMYFUNCTION("GOOGLETRANSLATE(B979, ""en"", ""TL"")"),"Ano ang dapat kong gawin kung mayroon akong impormasyon tungkol sa isang pagkidnap ngunit natatakot akong gantihan para sa pagharap?")</f>
        <v>Ano ang dapat kong gawin kung mayroon akong impormasyon tungkol sa isang pagkidnap ngunit natatakot akong gantihan para sa pagharap?</v>
      </c>
      <c r="E979" s="2" t="str">
        <f>IFERROR(__xludf.DUMMYFUNCTION("GOOGLETRANSLATE(C979, ""en"", ""TL"")"),"Narito kung ano ang maaari mong gawin kung mayroon kang impormasyon tungkol sa isang pagkidnap ngunit natatakot kang gantihan para sa pagsulong:
**Priyoridad ang Kaligtasan:**
* Ang iyong kaligtasan ay higit sa lahat. Kung naniniwala kang may mataas na pa"&amp;"nganib ng paghihiganti, unahin ang pagprotekta sa iyong sarili at iwasang direktang harapin ang mga kidnapper. **Iulat ang Impormasyon nang Hindi Nakikilala:**
May mga paraan para iulat ang impormasyon nang hindi nagpapakilala sa Pilipinas:
* **Tumawag sa"&amp;" National Bureau of Investigation (NBI) Hotline:** 02-8527-8163. Maaari kang humiling na manatiling hindi nagpapakilala sa panahon ng tawag.
* **Ulat sa pamamagitan ng Website ng PNP Anti-Kidnapping Group (AKG):** [https://akg.pnp.gov.ph/](https://akg.pnp"&amp;".gov.ph/) Nag-aalok ang website na ito ng online na form sa pag-uulat kung saan maaari kang magsumite ng impormasyon nang hindi nagpapakilala.
* **Mag-ulat sa pamamagitan ng App sa Pag-uulat ng Krimen:** Isaalang-alang ang paggamit ng **i-Witness** ng Dep"&amp;"artment of the Interior and Local Government (DILG). Ang app na ito ay nagbibigay-daan para sa hindi kilalang pag-uulat ng krimen.
**Magbigay ng Maraming Detalye hangga't Posible:**
Habang nananatiling anonymous, subukang magbigay ng maraming **detalyadon"&amp;"g impormasyon** hangga't maaari sa panahon ng iyong ulat. Ito ay maaaring makabuluhang tumaas ang mga pagkakataon ng isang matagumpay na pagsisiyasat at pagliligtas:
* Paglalarawan ng biktima (kung kilala)
* Anumang mga detalye tungkol sa mga kidnapper (h"&amp;"itsura, sasakyang ginamit)
* Impormasyon sa lokasyon (kung saan mo nakita ang biktima/mga suspek)
* Oras at petsa ng obserbasyon **Humingi ng Tulong mula sa Pinagkakatiwalaang Pinagmulan:**
* **Magtiwala sa isang pinagkakatiwalaang kaibigan o miyembro ng "&amp;"pamilya:** Kung kumportable ka, ibahagi ang impormasyon sa isang taong pinagkakatiwalaan mo na makakatulong sa iyong mag-navigate sa iyong mga opsyon at magbigay ng emosyonal na suporta.
* **Makipag-ugnayan sa isang Abogado:** Maaaring payuhan ka ng isang"&amp;" abogado tungkol sa iyong mga legal na karapatan at mga opsyon sa pagiging kumpidensyal**. Maaari ka nilang gabayan kung paano iulat ang impormasyon habang pinapaliit ang panganib ng paghihiganti. Makakahanap ka ng mga mapagkukunan para sa pagkuha ng lega"&amp;"l na tulong sa mga nakaraang sagot sa pag-uusap na ito (sumangguni sa ""Paano ako kukuha ng legal na representasyon para sa isang kaso ng kidnapping?"").
**Tandaan:** * Ang anumang impormasyong ibibigay mo ay maaaring maging mahalaga para sa pagsagip sa b"&amp;"iktima.
* May mga paraan upang mag-ulat nang hindi nagpapakilala, na binabawasan ang panganib ng paghihiganti.
* Huwag mag-atubiling humingi ng tulong sa mga pinagkakatiwalaang indibidwal o legal na propesyonal.
**Ang kaligtasan ng biktima at ng iyong sar"&amp;"ili ang pinakamahalaga. Sa pamamagitan ng pag-uulat ng impormasyon nang may pananagutan, maaari kang magkaroon ng malaking pagkakaiba sa kritikal na sitwasyong ito.**")</f>
        <v>Narito kung ano ang maaari mong gawin kung mayroon kang impormasyon tungkol sa isang pagkidnap ngunit natatakot kang gantihan para sa pagsulong:
**Priyoridad ang Kaligtasan:**
* Ang iyong kaligtasan ay higit sa lahat. Kung naniniwala kang may mataas na panganib ng paghihiganti, unahin ang pagprotekta sa iyong sarili at iwasang direktang harapin ang mga kidnapper. **Iulat ang Impormasyon nang Hindi Nakikilala:**
May mga paraan para iulat ang impormasyon nang hindi nagpapakilala sa Pilipinas:
* **Tumawag sa National Bureau of Investigation (NBI) Hotline:** 02-8527-8163. Maaari kang humiling na manatiling hindi nagpapakilala sa panahon ng tawag.
* **Ulat sa pamamagitan ng Website ng PNP Anti-Kidnapping Group (AKG):** [https://akg.pnp.gov.ph/](https://akg.pnp.gov.ph/) Nag-aalok ang website na ito ng online na form sa pag-uulat kung saan maaari kang magsumite ng impormasyon nang hindi nagpapakilala.
* **Mag-ulat sa pamamagitan ng App sa Pag-uulat ng Krimen:** Isaalang-alang ang paggamit ng **i-Witness** ng Department of the Interior and Local Government (DILG). Ang app na ito ay nagbibigay-daan para sa hindi kilalang pag-uulat ng krimen.
**Magbigay ng Maraming Detalye hangga't Posible:**
Habang nananatiling anonymous, subukang magbigay ng maraming **detalyadong impormasyon** hangga't maaari sa panahon ng iyong ulat. Ito ay maaaring makabuluhang tumaas ang mga pagkakataon ng isang matagumpay na pagsisiyasat at pagliligtas:
* Paglalarawan ng biktima (kung kilala)
* Anumang mga detalye tungkol sa mga kidnapper (hitsura, sasakyang ginamit)
* Impormasyon sa lokasyon (kung saan mo nakita ang biktima/mga suspek)
* Oras at petsa ng obserbasyon **Humingi ng Tulong mula sa Pinagkakatiwalaang Pinagmulan:**
* **Magtiwala sa isang pinagkakatiwalaang kaibigan o miyembro ng pamilya:** Kung kumportable ka, ibahagi ang impormasyon sa isang taong pinagkakatiwalaan mo na makakatulong sa iyong mag-navigate sa iyong mga opsyon at magbigay ng emosyonal na suporta.
* **Makipag-ugnayan sa isang Abogado:** Maaaring payuhan ka ng isang abogado tungkol sa iyong mga legal na karapatan at mga opsyon sa pagiging kumpidensyal**. Maaari ka nilang gabayan kung paano iulat ang impormasyon habang pinapaliit ang panganib ng paghihiganti. Makakahanap ka ng mga mapagkukunan para sa pagkuha ng legal na tulong sa mga nakaraang sagot sa pag-uusap na ito (sumangguni sa "Paano ako kukuha ng legal na representasyon para sa isang kaso ng kidnapping?").
**Tandaan:** * Ang anumang impormasyong ibibigay mo ay maaaring maging mahalaga para sa pagsagip sa biktima.
* May mga paraan upang mag-ulat nang hindi nagpapakilala, na binabawasan ang panganib ng paghihiganti.
* Huwag mag-atubiling humingi ng tulong sa mga pinagkakatiwalaang indibidwal o legal na propesyonal.
**Ang kaligtasan ng biktima at ng iyong sarili ang pinakamahalaga. Sa pamamagitan ng pag-uulat ng impormasyon nang may pananagutan, maaari kang magkaroon ng malaking pagkakaiba sa kritikal na sitwasyong ito.**</v>
      </c>
      <c r="F979" s="2">
        <f t="shared" si="1"/>
        <v>0</v>
      </c>
      <c r="G979" s="2"/>
      <c r="H979" s="2"/>
      <c r="I979" s="2"/>
      <c r="J979" s="2"/>
      <c r="K979" s="2"/>
      <c r="L979" s="2"/>
      <c r="M979" s="2"/>
      <c r="N979" s="2"/>
      <c r="O979" s="2"/>
      <c r="P979" s="2"/>
      <c r="Q979" s="2"/>
      <c r="R979" s="2"/>
      <c r="S979" s="2"/>
      <c r="T979" s="2"/>
      <c r="U979" s="2"/>
      <c r="V979" s="2"/>
      <c r="W979" s="2"/>
      <c r="X979" s="2"/>
      <c r="Y979" s="2"/>
      <c r="Z979" s="2"/>
      <c r="AA979" s="2"/>
    </row>
    <row r="980">
      <c r="A980" s="3" t="s">
        <v>2763</v>
      </c>
      <c r="B980" s="1" t="s">
        <v>3124</v>
      </c>
      <c r="C980" s="1" t="s">
        <v>3125</v>
      </c>
      <c r="D980" s="2" t="str">
        <f>IFERROR(__xludf.DUMMYFUNCTION("GOOGLETRANSLATE(B980, ""en"", ""TL"")"),"Maaapektuhan ba ng singil sa kidnapping ang aking katayuan sa imigrasyon kung hindi ako mamamayan ng bansang ito?")</f>
        <v>Maaapektuhan ba ng singil sa kidnapping ang aking katayuan sa imigrasyon kung hindi ako mamamayan ng bansang ito?</v>
      </c>
      <c r="E980" s="2" t="str">
        <f>IFERROR(__xludf.DUMMYFUNCTION("GOOGLETRANSLATE(C980, ""en"", ""TL"")"),"Oo, ang isang singil sa pagkidnap ay maaaring makaapekto sa iyong katayuan sa imigrasyon sa Pilipinas kahit na ikaw ay hindi isang mamamayan. Narito kung bakit:
* **Grounds for Deportation sa ilalim ng Immigration Law** Ang Bureau of Immigration (BI) ay m"&amp;"ay awtoridad na i-deport ang mga dayuhan batay sa iba't ibang batayan sa ilalim ng mga batas at patakaran sa imigrasyon ng Pilipinas [https://immigration.gov.ph/](https: //immigration.gov.ph/). Ang isang dahilan para sa deportasyon ay kung ang isang dayuh"&amp;"an ay napatunayang nagkasala sa isang krimen na may kinalaman sa moral turpitude.
* **Moral Turpitude** Ang terminong ""moral turpitude"" ay hindi tinukoy sa batas ng Pilipinas, ngunit binigyang-kahulugan ito ng mga korte na kasama ang mga karumal-dumal n"&amp;"a krimen at ang mga nagpapakita ng masamang ugali. Ang pagkidnap ay karaniwang itinuturing na isang krimen na kinasasangkutan ng moral turpitude [https://lawphil.net/judjuris/juri2009/apr2009/gr_180363_2009.html](https://lawphil.net/judjuris/juri2009/apr2"&amp;"009/gr_180363_2009/html).
* **Binago ang Kodigo Penal** Ang Binagong Kodigo Penal ng Pilipinas (Act No. 3815) ay tumutukoy sa kidnapping at sa mga parusa nito [https://lawlibrary.chanrobles.com/](https://lawlibrary.chanrobles.com/) .
**Konklusyon**
Samaka"&amp;"tuwid, ang isang singil sa pagkidnap ay maaaring maging batayan para sa mga paglilitis sa deportasyon ng BI. Maipapayo na kumunsulta sa isang abogado upang maunawaan ang mga partikular na detalye ng iyong kaso at ang mga potensyal na kahihinatnan ng imigr"&amp;"asyon. Matutulungan ka nilang mag-navigate sa legal na proseso at payuhan ka sa pinakamahusay na paraan ng pagkilos.")</f>
        <v>Oo, ang isang singil sa pagkidnap ay maaaring makaapekto sa iyong katayuan sa imigrasyon sa Pilipinas kahit na ikaw ay hindi isang mamamayan. Narito kung bakit:
* **Grounds for Deportation sa ilalim ng Immigration Law** Ang Bureau of Immigration (BI) ay may awtoridad na i-deport ang mga dayuhan batay sa iba't ibang batayan sa ilalim ng mga batas at patakaran sa imigrasyon ng Pilipinas [https://immigration.gov.ph/](https: //immigration.gov.ph/). Ang isang dahilan para sa deportasyon ay kung ang isang dayuhan ay napatunayang nagkasala sa isang krimen na may kinalaman sa moral turpitude.
* **Moral Turpitude** Ang terminong "moral turpitude" ay hindi tinukoy sa batas ng Pilipinas, ngunit binigyang-kahulugan ito ng mga korte na kasama ang mga karumal-dumal na krimen at ang mga nagpapakita ng masamang ugali. Ang pagkidnap ay karaniwang itinuturing na isang krimen na kinasasangkutan ng moral turpitude [https://lawphil.net/judjuris/juri2009/apr2009/gr_180363_2009.html](https://lawphil.net/judjuris/juri2009/apr2009/gr_180363_2009/html).
* **Binago ang Kodigo Penal** Ang Binagong Kodigo Penal ng Pilipinas (Act No. 3815) ay tumutukoy sa kidnapping at sa mga parusa nito [https://lawlibrary.chanrobles.com/](https://lawlibrary.chanrobles.com/) .
**Konklusyon**
Samakatuwid, ang isang singil sa pagkidnap ay maaaring maging batayan para sa mga paglilitis sa deportasyon ng BI. Maipapayo na kumunsulta sa isang abogado upang maunawaan ang mga partikular na detalye ng iyong kaso at ang mga potensyal na kahihinatnan ng imigrasyon. Matutulungan ka nilang mag-navigate sa legal na proseso at payuhan ka sa pinakamahusay na paraan ng pagkilos.</v>
      </c>
      <c r="F980" s="2">
        <f t="shared" si="1"/>
        <v>0</v>
      </c>
      <c r="G980" s="2"/>
      <c r="H980" s="2"/>
      <c r="I980" s="2"/>
      <c r="J980" s="2"/>
      <c r="K980" s="2"/>
      <c r="L980" s="2"/>
      <c r="M980" s="2"/>
      <c r="N980" s="2"/>
      <c r="O980" s="2"/>
      <c r="P980" s="2"/>
      <c r="Q980" s="2"/>
      <c r="R980" s="2"/>
      <c r="S980" s="2"/>
      <c r="T980" s="2"/>
      <c r="U980" s="2"/>
      <c r="V980" s="2"/>
      <c r="W980" s="2"/>
      <c r="X980" s="2"/>
      <c r="Y980" s="2"/>
      <c r="Z980" s="2"/>
      <c r="AA980" s="2"/>
    </row>
    <row r="981">
      <c r="A981" s="3" t="s">
        <v>2763</v>
      </c>
      <c r="B981" s="1" t="s">
        <v>3126</v>
      </c>
      <c r="C981" s="1" t="s">
        <v>3127</v>
      </c>
      <c r="D981" s="2" t="str">
        <f>IFERROR(__xludf.DUMMYFUNCTION("GOOGLETRANSLATE(B981, ""en"", ""TL"")"),"Paano pinangangasiwaan ng batas ang mga kaso kung saan ang sinasabing biktima ay kusang sumama sa akusado sa simula ngunit kalaunan ay gustong umalis?")</f>
        <v>Paano pinangangasiwaan ng batas ang mga kaso kung saan ang sinasabing biktima ay kusang sumama sa akusado sa simula ngunit kalaunan ay gustong umalis?</v>
      </c>
      <c r="E981" s="2" t="str">
        <f>IFERROR(__xludf.DUMMYFUNCTION("GOOGLETRANSLATE(C981, ""en"", ""TL"")"),"Isinasaalang-alang ng batas ng Pilipinas ang isyu ng pagpayag sa kabuuan ng pakikipag-ugnayan sa pagitan ng akusado at ng di-umano'y biktima. Narito ang isang breakdown ng mga nauugnay na legal na konsepto:
**Binago ang Kodigo Penal sa Iligal na Detensyon"&amp;" (Artikulo 267):**
* Tinutukoy ng artikulong ito ang iligal na pagpigil bilang pag-alis ng kalayaan ng isang tao nang walang legal na batayan. * Walang kinakailangan na ang detensyon ay mula pa sa simula. Kahit na ang sinasabing biktima ay kusang-loob na "&amp;"pumunta, kung sila ay napigilan sa ibang pagkakataon na labag sa kanilang kalooban, maaari itong ituring na ilegal na pagpigil. **Mga Tao vs. Hernandez (G.R. No. L-47394)**
* Binibigyang-diin ng kaso ng Korte Suprema na ang esensya ng iligal na pagpigil a"&amp;"y ang **iligal na pag-agaw o paghihigpit sa kalayaan ng isang tao.** * Ang pagkilos ng akusado sa pagpigil sa sinasabing biktima na umalis, kahit na sila ay kusang-loob na pumunta sa una, ay maaaring itinuturing na ilegal na pagkulong.
**People vs. Manalo"&amp;" (G.R. No. 126024)**
* Binibigyang-diin ng kasong ito na **maaaring bawiin ang pahintulot anumang oras.** * Kung ang pinaghihinalaang biktima ay nagpahayag ng pagnanais na umalis, at pinipigilan sila ng akusado, maaari itong ituring na ilegal na pagpigil."&amp;"
**Mga Elemento ng Illegal na Detensyon:**
* Mayroong labag sa batas na pagkakait o paghihigpit sa kalayaan ng isang tao.
* Ang pagkilos ng pag-alis ng kalayaan ay sinadya.
**Mga Pangunahing Punto:**
* **Mahalaga ang pagsang-ayon**: Ang paunang pagpayag n"&amp;"g di-umano'y biktima na sumama sa akusado ay hindi pinababayaan ang posibilidad ng iligal na pagkulong kung ang kanilang kalayaan sa paggalaw ay paghihigpitan sa ibang pagkakataon.
* **Pag-withdraw ng pahintulot**: Ang pinaghihinalaang biktima ay may kara"&amp;"patang bawiin ang kanilang pahintulot sa anumang punto. * **Burden of proof**: Dapat patunayan ng prosekusyon ang mga elemento ng iligal na pagpigil nang walang makatwirang pagdududa. **Dagdag pa:**
* Kinikilala rin ng batas ng Pilipinas ang krimen ng pag"&amp;"dukot (Article 349 ng Revised Penal Code) na kinapapalooban ng pag-alis ng isang tao sa kanilang tahanan nang walang pahintulot. Gayunpaman, ang pagdukot ay nakatuon sa pagkilos ng pagkuha sa tao, habang ang iligal na pagkulong ay nakatuon sa paghihigpit "&amp;"ng kalayaan.
**Mahalagang tandaan na:**
Ito ay mga pangkalahatang legal na prinsipyo. Ang mga tiyak na katotohanan at pangyayari ng bawat kaso ay magpapasiya kung paano inilalapat ang batas. Kung nahaharap ka sa mga paratang ng iligal na pagkulong, o kung"&amp;" naniniwala kang naging biktima ka ng iligal na pagpigil, mahalagang kumunsulta sa isang abogado upang maunawaan ang iyong mga karapatan at opsyon.")</f>
        <v>Isinasaalang-alang ng batas ng Pilipinas ang isyu ng pagpayag sa kabuuan ng pakikipag-ugnayan sa pagitan ng akusado at ng di-umano'y biktima. Narito ang isang breakdown ng mga nauugnay na legal na konsepto:
**Binago ang Kodigo Penal sa Iligal na Detensyon (Artikulo 267):**
* Tinutukoy ng artikulong ito ang iligal na pagpigil bilang pag-alis ng kalayaan ng isang tao nang walang legal na batayan. * Walang kinakailangan na ang detensyon ay mula pa sa simula. Kahit na ang sinasabing biktima ay kusang-loob na pumunta, kung sila ay napigilan sa ibang pagkakataon na labag sa kanilang kalooban, maaari itong ituring na ilegal na pagpigil. **Mga Tao vs. Hernandez (G.R. No. L-47394)**
* Binibigyang-diin ng kaso ng Korte Suprema na ang esensya ng iligal na pagpigil ay ang **iligal na pag-agaw o paghihigpit sa kalayaan ng isang tao.** * Ang pagkilos ng akusado sa pagpigil sa sinasabing biktima na umalis, kahit na sila ay kusang-loob na pumunta sa una, ay maaaring itinuturing na ilegal na pagkulong.
**People vs. Manalo (G.R. No. 126024)**
* Binibigyang-diin ng kasong ito na **maaaring bawiin ang pahintulot anumang oras.** * Kung ang pinaghihinalaang biktima ay nagpahayag ng pagnanais na umalis, at pinipigilan sila ng akusado, maaari itong ituring na ilegal na pagpigil.
**Mga Elemento ng Illegal na Detensyon:**
* Mayroong labag sa batas na pagkakait o paghihigpit sa kalayaan ng isang tao.
* Ang pagkilos ng pag-alis ng kalayaan ay sinadya.
**Mga Pangunahing Punto:**
* **Mahalaga ang pagsang-ayon**: Ang paunang pagpayag ng di-umano'y biktima na sumama sa akusado ay hindi pinababayaan ang posibilidad ng iligal na pagkulong kung ang kanilang kalayaan sa paggalaw ay paghihigpitan sa ibang pagkakataon.
* **Pag-withdraw ng pahintulot**: Ang pinaghihinalaang biktima ay may karapatang bawiin ang kanilang pahintulot sa anumang punto. * **Burden of proof**: Dapat patunayan ng prosekusyon ang mga elemento ng iligal na pagpigil nang walang makatwirang pagdududa. **Dagdag pa:**
* Kinikilala rin ng batas ng Pilipinas ang krimen ng pagdukot (Article 349 ng Revised Penal Code) na kinapapalooban ng pag-alis ng isang tao sa kanilang tahanan nang walang pahintulot. Gayunpaman, ang pagdukot ay nakatuon sa pagkilos ng pagkuha sa tao, habang ang iligal na pagkulong ay nakatuon sa paghihigpit ng kalayaan.
**Mahalagang tandaan na:**
Ito ay mga pangkalahatang legal na prinsipyo. Ang mga tiyak na katotohanan at pangyayari ng bawat kaso ay magpapasiya kung paano inilalapat ang batas. Kung nahaharap ka sa mga paratang ng iligal na pagkulong, o kung naniniwala kang naging biktima ka ng iligal na pagpigil, mahalagang kumunsulta sa isang abogado upang maunawaan ang iyong mga karapatan at opsyon.</v>
      </c>
      <c r="F981" s="2">
        <f t="shared" si="1"/>
        <v>0</v>
      </c>
      <c r="G981" s="2"/>
      <c r="H981" s="2"/>
      <c r="I981" s="2"/>
      <c r="J981" s="2"/>
      <c r="K981" s="2"/>
      <c r="L981" s="2"/>
      <c r="M981" s="2"/>
      <c r="N981" s="2"/>
      <c r="O981" s="2"/>
      <c r="P981" s="2"/>
      <c r="Q981" s="2"/>
      <c r="R981" s="2"/>
      <c r="S981" s="2"/>
      <c r="T981" s="2"/>
      <c r="U981" s="2"/>
      <c r="V981" s="2"/>
      <c r="W981" s="2"/>
      <c r="X981" s="2"/>
      <c r="Y981" s="2"/>
      <c r="Z981" s="2"/>
      <c r="AA981" s="2"/>
    </row>
    <row r="982">
      <c r="A982" s="3" t="s">
        <v>2763</v>
      </c>
      <c r="B982" s="1" t="s">
        <v>3128</v>
      </c>
      <c r="C982" s="1" t="s">
        <v>3129</v>
      </c>
      <c r="D982" s="2" t="str">
        <f>IFERROR(__xludf.DUMMYFUNCTION("GOOGLETRANSLATE(B982, ""en"", ""TL"")"),"Ano ang dapat kong gawin kung pinaghihinalaan kong may kakilala akong nagpaplano ng pagkidnap?")</f>
        <v>Ano ang dapat kong gawin kung pinaghihinalaan kong may kakilala akong nagpaplano ng pagkidnap?</v>
      </c>
      <c r="E982" s="2" t="str">
        <f>IFERROR(__xludf.DUMMYFUNCTION("GOOGLETRANSLATE(C982, ""en"", ""TL"")"),"Narito ang dapat mong gawin kung pinaghihinalaan mo ang isang taong kilala mo na nagpaplano ng pagkidnap ayon sa batas ng Pilipinas:
1. **Iulat ito sa mga Awtoridad:** * **Philippine National Police (PNP):** Ang PNP ang pangunahing ahensyang nagpapatupad "&amp;"ng batas sa Pilipinas. Maaari mong iulat ang nakaplanong pagkidnap sa pinakamalapit na istasyon ng pulisya o tawagan ang kanilang hotline 117.
* **National Bureau of Investigation (NBI):** Maaari mo ring iulat ang krimen sa NBI, na isang investigative age"&amp;"ncy sa ilalim ng Department of Justice (DOJ).
2. **Magtipon ng Ebidensya (kung maaari):** Bagama't hindi kinakailangan, maaaring makatulong ang anumang katibayan na maaari mong makuha na sumusuporta sa iyong hinala. Maaaring kabilang dito ang:
* Nakarinig"&amp;" ng mga pag-uusap tungkol sa plano
* Pagsaksi sa kahina-hinalang aktibidad
* Mga text message o mga post sa social media
**Mahalagang Paalala:** * **Huwag subukang harapin ang suspek nang mag-isa.** Ang pagkidnap ay isang seryosong krimen, at ang pagharap"&amp;" sa suspek ay maaaring maglagay sa iyo sa panganib. Ipaubaya sa awtoridad ang imbestigasyon. * **Magbigay ng mga detalye sa mga awtoridad:** Kapag nag-uulat ng krimen, maging detalyado hangga't maaari tungkol sa iyong mga hinala. Isama ang pagkakakilanlan"&amp;" ng suspek (kung kilala), ang potensyal na target (kung kilala), at anumang impormasyon na mayroon ka tungkol sa binalak na pagkidnap.
**Dagdag pa:**
* **Anonymous Tip:** Kung natatakot kang kilalanin ang iyong sarili, maaari mong iulat ang krimen nang hi"&amp;"ndi nagpapakilala. * **Konsultasyon sa Abugado:** Bagama't hindi sapilitan, maaaring makatulong ang pagkonsulta sa isang abogado, lalo na kung mayroon kang mga alalahanin tungkol sa iyong kaligtasan o mga potensyal na legal na epekto ng iyong ulat. Narito"&amp;" ang ilang mapagkukunan na maaaring makatulong:
* Philippine National Police (PNP): [https://pnp.gov.ph/](https://pnp.gov.ph/)
* National Bureau of Investigation (NBI): [https://www.nbi.gov.ph/](https://www.nbi.gov.ph/)
* Philippine Department of Justice "&amp;"(DOJ): [https://www.doj.gov.ph/](https://www.doj.gov.ph/)
Tandaan, ang pagkilos upang maiwasan ang pagkidnap ay maaaring makapagligtas ng buhay. Sa pamamagitan ng pag-uulat ng iyong mga hinala sa mga awtoridad, maaari kang makatulong na panatilihing ligta"&amp;"s ang komunidad.")</f>
        <v>Narito ang dapat mong gawin kung pinaghihinalaan mo ang isang taong kilala mo na nagpaplano ng pagkidnap ayon sa batas ng Pilipinas:
1. **Iulat ito sa mga Awtoridad:** * **Philippine National Police (PNP):** Ang PNP ang pangunahing ahensyang nagpapatupad ng batas sa Pilipinas. Maaari mong iulat ang nakaplanong pagkidnap sa pinakamalapit na istasyon ng pulisya o tawagan ang kanilang hotline 117.
* **National Bureau of Investigation (NBI):** Maaari mo ring iulat ang krimen sa NBI, na isang investigative agency sa ilalim ng Department of Justice (DOJ).
2. **Magtipon ng Ebidensya (kung maaari):** Bagama't hindi kinakailangan, maaaring makatulong ang anumang katibayan na maaari mong makuha na sumusuporta sa iyong hinala. Maaaring kabilang dito ang:
* Nakarinig ng mga pag-uusap tungkol sa plano
* Pagsaksi sa kahina-hinalang aktibidad
* Mga text message o mga post sa social media
**Mahalagang Paalala:** * **Huwag subukang harapin ang suspek nang mag-isa.** Ang pagkidnap ay isang seryosong krimen, at ang pagharap sa suspek ay maaaring maglagay sa iyo sa panganib. Ipaubaya sa awtoridad ang imbestigasyon. * **Magbigay ng mga detalye sa mga awtoridad:** Kapag nag-uulat ng krimen, maging detalyado hangga't maaari tungkol sa iyong mga hinala. Isama ang pagkakakilanlan ng suspek (kung kilala), ang potensyal na target (kung kilala), at anumang impormasyon na mayroon ka tungkol sa binalak na pagkidnap.
**Dagdag pa:**
* **Anonymous Tip:** Kung natatakot kang kilalanin ang iyong sarili, maaari mong iulat ang krimen nang hindi nagpapakilala. * **Konsultasyon sa Abugado:** Bagama't hindi sapilitan, maaaring makatulong ang pagkonsulta sa isang abogado, lalo na kung mayroon kang mga alalahanin tungkol sa iyong kaligtasan o mga potensyal na legal na epekto ng iyong ulat. Narito ang ilang mapagkukunan na maaaring makatulong:
* Philippine National Police (PNP): [https://pnp.gov.ph/](https://pnp.gov.ph/)
* National Bureau of Investigation (NBI): [https://www.nbi.gov.ph/](https://www.nbi.gov.ph/)
* Philippine Department of Justice (DOJ): [https://www.doj.gov.ph/](https://www.doj.gov.ph/)
Tandaan, ang pagkilos upang maiwasan ang pagkidnap ay maaaring makapagligtas ng buhay. Sa pamamagitan ng pag-uulat ng iyong mga hinala sa mga awtoridad, maaari kang makatulong na panatilihing ligtas ang komunidad.</v>
      </c>
      <c r="F982" s="2">
        <f t="shared" si="1"/>
        <v>0</v>
      </c>
      <c r="G982" s="2"/>
      <c r="H982" s="2"/>
      <c r="I982" s="2"/>
      <c r="J982" s="2"/>
      <c r="K982" s="2"/>
      <c r="L982" s="2"/>
      <c r="M982" s="2"/>
      <c r="N982" s="2"/>
      <c r="O982" s="2"/>
      <c r="P982" s="2"/>
      <c r="Q982" s="2"/>
      <c r="R982" s="2"/>
      <c r="S982" s="2"/>
      <c r="T982" s="2"/>
      <c r="U982" s="2"/>
      <c r="V982" s="2"/>
      <c r="W982" s="2"/>
      <c r="X982" s="2"/>
      <c r="Y982" s="2"/>
      <c r="Z982" s="2"/>
      <c r="AA982" s="2"/>
    </row>
    <row r="983">
      <c r="A983" s="3" t="s">
        <v>2763</v>
      </c>
      <c r="B983" s="1" t="s">
        <v>3130</v>
      </c>
      <c r="C983" s="1" t="s">
        <v>3131</v>
      </c>
      <c r="D983" s="2" t="str">
        <f>IFERROR(__xludf.DUMMYFUNCTION("GOOGLETRANSLATE(B983, ""en"", ""TL"")"),"Paano tinutugunan ng batas ang mga kaso ng virtual o online na banta sa kidnapping?")</f>
        <v>Paano tinutugunan ng batas ang mga kaso ng virtual o online na banta sa kidnapping?</v>
      </c>
      <c r="E983" s="2" t="str">
        <f>IFERROR(__xludf.DUMMYFUNCTION("GOOGLETRANSLATE(C983, ""en"", ""TL"")"),"Kinikilala at tinutugunan ng legal na sistema ng Pilipinas ang mga virtual o online na banta ng kidnapping sa pamamagitan ng ilang nauugnay na batas:
* **Revised Penal Code (RPC) Provisions:**
* **Artikulo 294 (Pagbabanta na gumawa ng krimen):** Pinaparus"&amp;"ahan nito ang sinumang magbanta ng kamatayan sa ibang tao o anumang iba pang pinsala sa kanilang tao. Ang mga online na banta ng kidnapping ay maaaring mahulog sa ilalim ng probisyong ito.
* **Artikulo 315 (Mga Alarm at Iskandalo):** Sinasaklaw nito ang s"&amp;"inumang tao na nagdudulot ng alarma sa pamamagitan ng pagpapakalat ng alingawngaw ng sunog o iba pang panganib. Ang sadyang pagpapakalat ng maling impormasyon tungkol sa isang kidnapping online ay maaaring parusahan sa ilalim ng artikulong ito.
* **Republ"&amp;"ic Act No. 10175 (Cybercrime Prevention Act of 2012):** Ang batas na ito ay partikular na tumutugon sa ilang cybercrime, kabilang ang:
* **Seksyon 4(c)(4) - Cyber-bullying:** Sinasaklaw nito ang mga gawaing naglalayong mang-inis, abusuhin, o mang-harass n"&amp;"g ibang tao online. Ang mga banta sa online ay maaaring ituring na cyberbullying.
* **Seksyon 5 - Pagbabanta na magdulot ng pinsala:** Direktang pinaparusahan nito ang mga nagpapadala ng mga pagbabanta sa pamamagitan ng internet upang magdulot ng pagkabal"&amp;"isa o takot sa tatanggap.
**Paano Inilalapat ang Batas:**
* **Nilalaman at Konteksto:** Isasaalang-alang ng mga hukuman ang nilalaman ng pagbabanta, ang konteksto kung saan ito inihatid, at ang layunin sa likod nito. Ang isang malinaw at kasalukuyang bant"&amp;"a ng karahasan ay mas sineseryoso kaysa sa malabo o mapaglarong pananalita.
* **Pagsisiyasat:** Sisiyasatin ng tagapagpatupad ng batas ang online na banta upang matukoy ang kredibilidad at pinagmulan nito. Maaaring kabilang dito ang pagsubaybay sa pinagmu"&amp;"lan ng banta at pagsusuri sa nilalaman.
* **Mga Parusa:** Ang mga parusa para sa mga banta sa online na kidnapping ay mag-iiba depende sa partikular na batas na nilabag. Ang mga parusa ay maaaring mula sa multa hanggang sa pagkakulong.
**Dagdag pa:**
* **"&amp;"Preserving Evidence:** Kung nakatanggap ka ng online na banta ng kidnapping, mahalagang panatilihin ang ebidensya. Maaaring kabilang dito ang pagkuha ng mga screenshot, pag-save ng komunikasyon, at pag-uulat nito sa mga naaangkop na awtoridad.
**Mga Mapag"&amp;"kukunan:**
* Philippine National Police (PNP): [https://pnp.gov.ph/](https://pnp.gov.ph/)
* Department of Justice (DOJ): [https://www.doj.gov.ph/](https://www.doj.gov.ph/)
Sa pamamagitan ng pag-uulat ng mga banta sa online, makakatulong kang matiyak ang i"&amp;"sang mas ligtas na kapaligiran sa online at panagutin ang mga iyon para sa kanilang mga aksyon.")</f>
        <v>Kinikilala at tinutugunan ng legal na sistema ng Pilipinas ang mga virtual o online na banta ng kidnapping sa pamamagitan ng ilang nauugnay na batas:
* **Revised Penal Code (RPC) Provisions:**
* **Artikulo 294 (Pagbabanta na gumawa ng krimen):** Pinaparusahan nito ang sinumang magbanta ng kamatayan sa ibang tao o anumang iba pang pinsala sa kanilang tao. Ang mga online na banta ng kidnapping ay maaaring mahulog sa ilalim ng probisyong ito.
* **Artikulo 315 (Mga Alarm at Iskandalo):** Sinasaklaw nito ang sinumang tao na nagdudulot ng alarma sa pamamagitan ng pagpapakalat ng alingawngaw ng sunog o iba pang panganib. Ang sadyang pagpapakalat ng maling impormasyon tungkol sa isang kidnapping online ay maaaring parusahan sa ilalim ng artikulong ito.
* **Republic Act No. 10175 (Cybercrime Prevention Act of 2012):** Ang batas na ito ay partikular na tumutugon sa ilang cybercrime, kabilang ang:
* **Seksyon 4(c)(4) - Cyber-bullying:** Sinasaklaw nito ang mga gawaing naglalayong mang-inis, abusuhin, o mang-harass ng ibang tao online. Ang mga banta sa online ay maaaring ituring na cyberbullying.
* **Seksyon 5 - Pagbabanta na magdulot ng pinsala:** Direktang pinaparusahan nito ang mga nagpapadala ng mga pagbabanta sa pamamagitan ng internet upang magdulot ng pagkabalisa o takot sa tatanggap.
**Paano Inilalapat ang Batas:**
* **Nilalaman at Konteksto:** Isasaalang-alang ng mga hukuman ang nilalaman ng pagbabanta, ang konteksto kung saan ito inihatid, at ang layunin sa likod nito. Ang isang malinaw at kasalukuyang banta ng karahasan ay mas sineseryoso kaysa sa malabo o mapaglarong pananalita.
* **Pagsisiyasat:** Sisiyasatin ng tagapagpatupad ng batas ang online na banta upang matukoy ang kredibilidad at pinagmulan nito. Maaaring kabilang dito ang pagsubaybay sa pinagmulan ng banta at pagsusuri sa nilalaman.
* **Mga Parusa:** Ang mga parusa para sa mga banta sa online na kidnapping ay mag-iiba depende sa partikular na batas na nilabag. Ang mga parusa ay maaaring mula sa multa hanggang sa pagkakulong.
**Dagdag pa:**
* **Preserving Evidence:** Kung nakatanggap ka ng online na banta ng kidnapping, mahalagang panatilihin ang ebidensya. Maaaring kabilang dito ang pagkuha ng mga screenshot, pag-save ng komunikasyon, at pag-uulat nito sa mga naaangkop na awtoridad.
**Mga Mapagkukunan:**
* Philippine National Police (PNP): [https://pnp.gov.ph/](https://pnp.gov.ph/)
* Department of Justice (DOJ): [https://www.doj.gov.ph/](https://www.doj.gov.ph/)
Sa pamamagitan ng pag-uulat ng mga banta sa online, makakatulong kang matiyak ang isang mas ligtas na kapaligiran sa online at panagutin ang mga iyon para sa kanilang mga aksyon.</v>
      </c>
      <c r="F983" s="2">
        <f t="shared" si="1"/>
        <v>0</v>
      </c>
      <c r="G983" s="2"/>
      <c r="H983" s="2"/>
      <c r="I983" s="2"/>
      <c r="J983" s="2"/>
      <c r="K983" s="2"/>
      <c r="L983" s="2"/>
      <c r="M983" s="2"/>
      <c r="N983" s="2"/>
      <c r="O983" s="2"/>
      <c r="P983" s="2"/>
      <c r="Q983" s="2"/>
      <c r="R983" s="2"/>
      <c r="S983" s="2"/>
      <c r="T983" s="2"/>
      <c r="U983" s="2"/>
      <c r="V983" s="2"/>
      <c r="W983" s="2"/>
      <c r="X983" s="2"/>
      <c r="Y983" s="2"/>
      <c r="Z983" s="2"/>
      <c r="AA983" s="2"/>
    </row>
    <row r="984">
      <c r="A984" s="3" t="s">
        <v>2763</v>
      </c>
      <c r="B984" s="1" t="s">
        <v>3132</v>
      </c>
      <c r="C984" s="1" t="s">
        <v>3133</v>
      </c>
      <c r="D984" s="2" t="str">
        <f>IFERROR(__xludf.DUMMYFUNCTION("GOOGLETRANSLATE(B984, ""en"", ""TL"")"),"Maaari ba akong kasuhan ng kidnapping kung ako ay isang hindi sinasadyang kalahok sa krimen?")</f>
        <v>Maaari ba akong kasuhan ng kidnapping kung ako ay isang hindi sinasadyang kalahok sa krimen?</v>
      </c>
      <c r="E984" s="2" t="str">
        <f>IFERROR(__xludf.DUMMYFUNCTION("GOOGLETRANSLATE(C984, ""en"", ""TL"")"),"Oo, kinikilala ng batas ng Pilipinas sa ilalim ng Revised Penal Code ang posibilidad na singilin ang isang tao ng kidnapping kahit na ang kanilang partisipasyon ay hindi sinasadya (Artikulo 344). Nalalapat ito sa ilang partikular na sitwasyon:
* **Krimina"&amp;"lidad sa pamamagitan ng Pag-uudyok (Artikulo 18):** Maaaring managot ang isang tao para sa isang krimen kung hinikayat niya ang iba na gawin ang krimen, kahit na hindi sila direktang lumahok sa mismong gawa. Halimbawa, kung nalinlang ka sa pag-akit ng isa"&amp;"ng tao sa isang lokasyon para sa isang kidnapping, maaari kang kasuhan ng kidnapping sa pamamagitan ng pang-uudyok.
* **Reckless Imprudence (Article 365):** Nalalapat ito kung ang iyong mga aksyon, na ginawa nang walang ingat, ay nakakatulong sa pagkidnap"&amp;". Ang isang halimbawa ay maaaring pagmamaneho ng isang getaway car para sa isang taong hindi mo alam na inagaw ang isang kasama.
**Mga Depensa:**
* **Kakulangan ng Layunin:** Kung maaari mong ipakita na wala kang intensyon na lumahok sa isang kidnapping a"&amp;"t hindi mo alam ang kriminal na aktibidad, maaaring mayroon kang depensa.
* **Pagkakamali ng Katotohanan:** Kung nagkamali ka tungkol sa tunay na katangian ng sitwasyon at naniniwala kang nakikilahok ka sa isang legal na aktibidad, maaari itong maging isa"&amp;"ng depensa.
**Kahalagahan ng Konsultasyon:**
Ang mga tiyak na katotohanan ng iyong sitwasyon ay tutukuyin kung maaari kang kasuhan ng kidnapping. Kung naniniwala ka na hindi mo sinasadyang nasangkot ka sa isang kidnapping, mahalagang kumunsulta sa isang a"&amp;"bogado upang maunawaan ang iyong mga legal na karapatan at potensyal na depensa. Maaari nilang suriin ang mga detalye ng iyong kaso at payuhan ka sa pinakamahusay na paraan ng pagkilos.")</f>
        <v>Oo, kinikilala ng batas ng Pilipinas sa ilalim ng Revised Penal Code ang posibilidad na singilin ang isang tao ng kidnapping kahit na ang kanilang partisipasyon ay hindi sinasadya (Artikulo 344). Nalalapat ito sa ilang partikular na sitwasyon:
* **Kriminalidad sa pamamagitan ng Pag-uudyok (Artikulo 18):** Maaaring managot ang isang tao para sa isang krimen kung hinikayat niya ang iba na gawin ang krimen, kahit na hindi sila direktang lumahok sa mismong gawa. Halimbawa, kung nalinlang ka sa pag-akit ng isang tao sa isang lokasyon para sa isang kidnapping, maaari kang kasuhan ng kidnapping sa pamamagitan ng pang-uudyok.
* **Reckless Imprudence (Article 365):** Nalalapat ito kung ang iyong mga aksyon, na ginawa nang walang ingat, ay nakakatulong sa pagkidnap. Ang isang halimbawa ay maaaring pagmamaneho ng isang getaway car para sa isang taong hindi mo alam na inagaw ang isang kasama.
**Mga Depensa:**
* **Kakulangan ng Layunin:** Kung maaari mong ipakita na wala kang intensyon na lumahok sa isang kidnapping at hindi mo alam ang kriminal na aktibidad, maaaring mayroon kang depensa.
* **Pagkakamali ng Katotohanan:** Kung nagkamali ka tungkol sa tunay na katangian ng sitwasyon at naniniwala kang nakikilahok ka sa isang legal na aktibidad, maaari itong maging isang depensa.
**Kahalagahan ng Konsultasyon:**
Ang mga tiyak na katotohanan ng iyong sitwasyon ay tutukuyin kung maaari kang kasuhan ng kidnapping. Kung naniniwala ka na hindi mo sinasadyang nasangkot ka sa isang kidnapping, mahalagang kumunsulta sa isang abogado upang maunawaan ang iyong mga legal na karapatan at potensyal na depensa. Maaari nilang suriin ang mga detalye ng iyong kaso at payuhan ka sa pinakamahusay na paraan ng pagkilos.</v>
      </c>
      <c r="F984" s="2">
        <f t="shared" si="1"/>
        <v>0</v>
      </c>
      <c r="G984" s="2"/>
      <c r="H984" s="2"/>
      <c r="I984" s="2"/>
      <c r="J984" s="2"/>
      <c r="K984" s="2"/>
      <c r="L984" s="2"/>
      <c r="M984" s="2"/>
      <c r="N984" s="2"/>
      <c r="O984" s="2"/>
      <c r="P984" s="2"/>
      <c r="Q984" s="2"/>
      <c r="R984" s="2"/>
      <c r="S984" s="2"/>
      <c r="T984" s="2"/>
      <c r="U984" s="2"/>
      <c r="V984" s="2"/>
      <c r="W984" s="2"/>
      <c r="X984" s="2"/>
      <c r="Y984" s="2"/>
      <c r="Z984" s="2"/>
      <c r="AA984" s="2"/>
    </row>
    <row r="985">
      <c r="A985" s="3" t="s">
        <v>2763</v>
      </c>
      <c r="B985" s="1" t="s">
        <v>3134</v>
      </c>
      <c r="C985" s="1" t="s">
        <v>3135</v>
      </c>
      <c r="D985" s="2" t="str">
        <f>IFERROR(__xludf.DUMMYFUNCTION("GOOGLETRANSLATE(B985, ""en"", ""TL"")"),"Paano tinutugunan ng batas ang mga kaso ng familial kidnapping o pagdukot ng isang miyembro ng pamilya?")</f>
        <v>Paano tinutugunan ng batas ang mga kaso ng familial kidnapping o pagdukot ng isang miyembro ng pamilya?</v>
      </c>
      <c r="E985" s="2" t="str">
        <f>IFERROR(__xludf.DUMMYFUNCTION("GOOGLETRANSLATE(C985, ""en"", ""TL"")"),"Sa Pilipinas, ang familial kidnapping, na kilala rin bilang pagdukot ng isang miyembro ng pamilya, ay nagpapakita ng isang komplikadong legal na sitwasyon. Narito ang isang breakdown batay sa batas ng Pilipinas:
* **Walang Partikular na Krimen para sa Pag"&amp;"kidnap ng Pamilya:** Hindi tulad ng maraming bansa, ang batas ng Pilipinas ay walang partikular na krimen para sa pagkidnap ng isang miyembro ng pamilya.
* **Mga Pagtatalo sa Kustodiya:** Ang pagkidnap sa pamilya ay kadalasang itinuturing bilang **dispute"&amp;" sa kustodiya** na pinamamahalaan ng batas sibil. Nangangahulugan ito na tutukuyin ng mga korte ang nararapat na kustodiya sa pamamagitan ng mga legal na paglilitis, hindi mga kasong kriminal.
* **Exception: Illegal Detention:** Gayunpaman, maaari pa ring"&amp;" tugunan ng batas ang mga sitwasyon kung saan pinaghihigpitan ang kalayaan sa paggalaw ng bata. Kinikilala ng batas ng Pilipinas ang **illegal na detensyon (Artikulo 267 ng Binagong Kodigo Penal)** na nalalapat kahit sa loob ng mga pamilya. Kung ang isang"&amp;" miyembro ng pamilya ay kumuha ng isang bata at pinaghihigpitan ang kanilang kalayaan laban sa kanilang kalooban, maaari silang kasuhan ng illegal detention.
**Mga Pangunahing Punto:**
* **Tumutok sa Layunin:** Ang nakatuon ay sa **layunin** sa likod ng m"&amp;"ga aksyon ng miyembro ng pamilya. Kung ang bata ay hindi pinipigilan at ang kanilang kapakanan ay hindi nasa panganib, maaaring hindi ito ituring na isang krimen.
* **Kagalingan ng Bata:** Sa huli, ang pangunahing alalahanin ay ang kaligtasan at kagalinga"&amp;"n ng bata. Uunahin ng mga korte ang pagtiyak na ang bata ay nasa isang ligtas at ligtas na kapaligiran.
**Ano ang gagawin:**
* **Negosasyon/Mediation:** Sa maraming pagkakataon, ang pagresolba sa sitwasyon sa pamamagitan ng negosasyon o pamamagitan ay maa"&amp;"aring ang pinakamahusay na paraan ng pagkilos, lalo na kung ang kaligtasan ng bata ay wala sa agarang panganib.
* **Legal na Aksyon:** Kung ang kaligtasan ng bata ay nasa panganib o ang ibang miyembro ng pamilya ay hindi nakikipagtulungan, maaaring kailan"&amp;"ganin ang legal na aksyon. Maaaring kabilang dito ang paghahain ng petisyon para sa kustodiya o mga kaso ng ilegal na pagpigil, depende sa mga pangyayari.
**Naghahanap ng Legal na Tagapayo:**
Dahil sa pagiging kumplikado ng familial kidnapping, ang pagkon"&amp;"sulta sa isang abogadong may karanasan sa batas ng pamilya ay lubos na inirerekomenda. Maaari nilang tasahin ang partikular na sitwasyon, payuhan ka sa mga pinakamahusay na legal na opsyon, at katawanin ka sa korte kung kinakailangan.
**Mga Karagdagang Pa"&amp;"gsasaalang-alang:**
* **Domestic Violence:** Kung may kasaysayan ng karahasan sa tahanan, maaari nitong maimpluwensyahan ang desisyon ng korte tungkol sa pag-iingat at kaligtasan ng bata.
* **International Parental Child Abduction:** Kung ang bata ay aali"&amp;"sin sa Pilipinas, ang mga internasyonal na legal na kasunduan tulad ng Hague Convention on Child Abduction ay maaaring maglaro.
Tandaan, ito ay isang pangkalahatang pangkalahatang-ideya, at ang partikular na aplikasyon ng batas ay nakasalalay sa mga natat"&amp;"anging kalagayan ng bawat kaso. Ang pagkonsulta sa isang abogado ay maaaring magbigay ng mas tiyak na patnubay batay sa iyong sitwasyon.")</f>
        <v>Sa Pilipinas, ang familial kidnapping, na kilala rin bilang pagdukot ng isang miyembro ng pamilya, ay nagpapakita ng isang komplikadong legal na sitwasyon. Narito ang isang breakdown batay sa batas ng Pilipinas:
* **Walang Partikular na Krimen para sa Pagkidnap ng Pamilya:** Hindi tulad ng maraming bansa, ang batas ng Pilipinas ay walang partikular na krimen para sa pagkidnap ng isang miyembro ng pamilya.
* **Mga Pagtatalo sa Kustodiya:** Ang pagkidnap sa pamilya ay kadalasang itinuturing bilang **dispute sa kustodiya** na pinamamahalaan ng batas sibil. Nangangahulugan ito na tutukuyin ng mga korte ang nararapat na kustodiya sa pamamagitan ng mga legal na paglilitis, hindi mga kasong kriminal.
* **Exception: Illegal Detention:** Gayunpaman, maaari pa ring tugunan ng batas ang mga sitwasyon kung saan pinaghihigpitan ang kalayaan sa paggalaw ng bata. Kinikilala ng batas ng Pilipinas ang **illegal na detensyon (Artikulo 267 ng Binagong Kodigo Penal)** na nalalapat kahit sa loob ng mga pamilya. Kung ang isang miyembro ng pamilya ay kumuha ng isang bata at pinaghihigpitan ang kanilang kalayaan laban sa kanilang kalooban, maaari silang kasuhan ng illegal detention.
**Mga Pangunahing Punto:**
* **Tumutok sa Layunin:** Ang nakatuon ay sa **layunin** sa likod ng mga aksyon ng miyembro ng pamilya. Kung ang bata ay hindi pinipigilan at ang kanilang kapakanan ay hindi nasa panganib, maaaring hindi ito ituring na isang krimen.
* **Kagalingan ng Bata:** Sa huli, ang pangunahing alalahanin ay ang kaligtasan at kagalingan ng bata. Uunahin ng mga korte ang pagtiyak na ang bata ay nasa isang ligtas at ligtas na kapaligiran.
**Ano ang gagawin:**
* **Negosasyon/Mediation:** Sa maraming pagkakataon, ang pagresolba sa sitwasyon sa pamamagitan ng negosasyon o pamamagitan ay maaaring ang pinakamahusay na paraan ng pagkilos, lalo na kung ang kaligtasan ng bata ay wala sa agarang panganib.
* **Legal na Aksyon:** Kung ang kaligtasan ng bata ay nasa panganib o ang ibang miyembro ng pamilya ay hindi nakikipagtulungan, maaaring kailanganin ang legal na aksyon. Maaaring kabilang dito ang paghahain ng petisyon para sa kustodiya o mga kaso ng ilegal na pagpigil, depende sa mga pangyayari.
**Naghahanap ng Legal na Tagapayo:**
Dahil sa pagiging kumplikado ng familial kidnapping, ang pagkonsulta sa isang abogadong may karanasan sa batas ng pamilya ay lubos na inirerekomenda. Maaari nilang tasahin ang partikular na sitwasyon, payuhan ka sa mga pinakamahusay na legal na opsyon, at katawanin ka sa korte kung kinakailangan.
**Mga Karagdagang Pagsasaalang-alang:**
* **Domestic Violence:** Kung may kasaysayan ng karahasan sa tahanan, maaari nitong maimpluwensyahan ang desisyon ng korte tungkol sa pag-iingat at kaligtasan ng bata.
* **International Parental Child Abduction:** Kung ang bata ay aalisin sa Pilipinas, ang mga internasyonal na legal na kasunduan tulad ng Hague Convention on Child Abduction ay maaaring maglaro.
Tandaan, ito ay isang pangkalahatang pangkalahatang-ideya, at ang partikular na aplikasyon ng batas ay nakasalalay sa mga natatanging kalagayan ng bawat kaso. Ang pagkonsulta sa isang abogado ay maaaring magbigay ng mas tiyak na patnubay batay sa iyong sitwasyon.</v>
      </c>
      <c r="F985" s="2">
        <f t="shared" si="1"/>
        <v>0</v>
      </c>
      <c r="G985" s="2"/>
      <c r="H985" s="2"/>
      <c r="I985" s="2"/>
      <c r="J985" s="2"/>
      <c r="K985" s="2"/>
      <c r="L985" s="2"/>
      <c r="M985" s="2"/>
      <c r="N985" s="2"/>
      <c r="O985" s="2"/>
      <c r="P985" s="2"/>
      <c r="Q985" s="2"/>
      <c r="R985" s="2"/>
      <c r="S985" s="2"/>
      <c r="T985" s="2"/>
      <c r="U985" s="2"/>
      <c r="V985" s="2"/>
      <c r="W985" s="2"/>
      <c r="X985" s="2"/>
      <c r="Y985" s="2"/>
      <c r="Z985" s="2"/>
      <c r="AA985" s="2"/>
    </row>
    <row r="986">
      <c r="A986" s="3" t="s">
        <v>2763</v>
      </c>
      <c r="B986" s="1" t="s">
        <v>3136</v>
      </c>
      <c r="C986" s="1" t="s">
        <v>3137</v>
      </c>
      <c r="D986" s="2" t="str">
        <f>IFERROR(__xludf.DUMMYFUNCTION("GOOGLETRANSLATE(B986, ""en"", ""TL"")"),"Ano ang dapat kong gawin kung makatanggap ako ng ransom demand para sa pagbabalik ng isang kidnap na indibidwal?")</f>
        <v>Ano ang dapat kong gawin kung makatanggap ako ng ransom demand para sa pagbabalik ng isang kidnap na indibidwal?</v>
      </c>
      <c r="E986" s="2" t="str">
        <f>IFERROR(__xludf.DUMMYFUNCTION("GOOGLETRANSLATE(C986, ""en"", ""TL"")"),"Ang pagtanggap ng ransom demand para sa isang inagaw na mahal sa buhay ay isang nakakatakot na karanasan. Narito ang dapat mong gawin ayon sa batas ng Pilipinas:
**Agad-agad:**
1. **Huwag Makipag-ugnayan sa mga Kidnappers:** Iwasang direktang tumugon sa m"&amp;"ga hinihingi ng mga kidnapper o makisali sa mga negosasyon. Maaari nitong gawing kumplikado ang sitwasyon at posibleng ilagay sa panganib ang biktima.
2. **Makipag-ugnayan sa Law Enforcement:** Ang pinakamahalagang hakbang ay iulat kaagad ang kidnapping a"&amp;"t ransom demand sa Philippine National Police (PNP). I-dial ang 117 para sa emergency hotline ng PNP o pumunta sa pinakamalapit na istasyon ng pulisya.
3. **Magtipon ng Ebidensya:** Kung maaari, subukang panatilihin ang anumang ebidensya na nauugnay sa hi"&amp;"nihingi ng ransom. Maaaring kabilang dito ang:
* Ang ransom note mismo (kung mayroong pisikal na tala)
* Mga pag-record ng mga tawag sa telepono (kung mayroon man)
* Anumang mga mensahe o email na naglalaman ng demand
**Paggawa gamit ang Law Enforcement:*"&amp;"*
* **Magbigay ng Mga Detalye:** Makipagtulungan nang buo sa pulisya at ibigay ang lahat ng detalyeng mayroon ka tungkol sa pagkidnap, kahilingan sa ransom, at anumang impormasyon tungkol sa mga kidnapper.
* **Sundin ang Mga Tagubilin:** Malamang na ang p"&amp;"ulis ang manguna sa paghawak ng sitwasyon. Maingat na sundin ang kanilang mga tagubilin at gabay. Sila ay mga sinanay na propesyonal na may karanasan sa paghawak ng mga sitwasyong ito.
**Mga Karagdagang Pagsasaalang-alang:**
* **Huwag Magbayad ng Ransom N"&amp;"ang Walang Konsultasyon:** Ang pagbabayad ng ransom ay hindi ginagarantiyahan upang matiyak ang ligtas na pagbabalik ng biktima. Maaaring magpayo ang tagapagpatupad ng batas tungkol sa mga panganib at benepisyo ng pagbabayad ng ransom.
* **Humingi ng Lega"&amp;"l na Counsel:** Ang pagkonsulta sa isang abogadong may karanasan sa mga kaso ng kidnapping ay maaaring maging lubhang kapaki-pakinabang. Maaari ka nilang payuhan sa iyong mga legal na karapatan at mag-navigate sa mga legal na aspeto ng sitwasyon.
* **Emos"&amp;"yonal na Suporta:** Ang pagharap sa isang kidnapping ay emosyonal na nakakapagod. Pag-isipang humingi ng suporta mula sa pamilya, mga kaibigan, o isang tagapayo sa krisis.
Narito ang ilang mapagkukunan na maaaring makatulong:
* Philippine National Police "&amp;"(PNP): [https://pnp.gov.ph/](https://pnp.gov.ph/)
* Department of Justice (DOJ): [https://www.doj.gov.ph/](https://www.doj.gov.ph/)
Tandaan, ang pagpapahalaga sa kaligtasan ng biktima ay pinakamahalaga. Makipagtulungan sa pagpapatupad ng batas at unahin a"&amp;"ng kanilang gabay sa buong pagsubok na ito.")</f>
        <v>Ang pagtanggap ng ransom demand para sa isang inagaw na mahal sa buhay ay isang nakakatakot na karanasan. Narito ang dapat mong gawin ayon sa batas ng Pilipinas:
**Agad-agad:**
1. **Huwag Makipag-ugnayan sa mga Kidnappers:** Iwasang direktang tumugon sa mga hinihingi ng mga kidnapper o makisali sa mga negosasyon. Maaari nitong gawing kumplikado ang sitwasyon at posibleng ilagay sa panganib ang biktima.
2. **Makipag-ugnayan sa Law Enforcement:** Ang pinakamahalagang hakbang ay iulat kaagad ang kidnapping at ransom demand sa Philippine National Police (PNP). I-dial ang 117 para sa emergency hotline ng PNP o pumunta sa pinakamalapit na istasyon ng pulisya.
3. **Magtipon ng Ebidensya:** Kung maaari, subukang panatilihin ang anumang ebidensya na nauugnay sa hinihingi ng ransom. Maaaring kabilang dito ang:
* Ang ransom note mismo (kung mayroong pisikal na tala)
* Mga pag-record ng mga tawag sa telepono (kung mayroon man)
* Anumang mga mensahe o email na naglalaman ng demand
**Paggawa gamit ang Law Enforcement:**
* **Magbigay ng Mga Detalye:** Makipagtulungan nang buo sa pulisya at ibigay ang lahat ng detalyeng mayroon ka tungkol sa pagkidnap, kahilingan sa ransom, at anumang impormasyon tungkol sa mga kidnapper.
* **Sundin ang Mga Tagubilin:** Malamang na ang pulis ang manguna sa paghawak ng sitwasyon. Maingat na sundin ang kanilang mga tagubilin at gabay. Sila ay mga sinanay na propesyonal na may karanasan sa paghawak ng mga sitwasyong ito.
**Mga Karagdagang Pagsasaalang-alang:**
* **Huwag Magbayad ng Ransom Nang Walang Konsultasyon:** Ang pagbabayad ng ransom ay hindi ginagarantiyahan upang matiyak ang ligtas na pagbabalik ng biktima. Maaaring magpayo ang tagapagpatupad ng batas tungkol sa mga panganib at benepisyo ng pagbabayad ng ransom.
* **Humingi ng Legal na Counsel:** Ang pagkonsulta sa isang abogadong may karanasan sa mga kaso ng kidnapping ay maaaring maging lubhang kapaki-pakinabang. Maaari ka nilang payuhan sa iyong mga legal na karapatan at mag-navigate sa mga legal na aspeto ng sitwasyon.
* **Emosyonal na Suporta:** Ang pagharap sa isang kidnapping ay emosyonal na nakakapagod. Pag-isipang humingi ng suporta mula sa pamilya, mga kaibigan, o isang tagapayo sa krisis.
Narito ang ilang mapagkukunan na maaaring makatulong:
* Philippine National Police (PNP): [https://pnp.gov.ph/](https://pnp.gov.ph/)
* Department of Justice (DOJ): [https://www.doj.gov.ph/](https://www.doj.gov.ph/)
Tandaan, ang pagpapahalaga sa kaligtasan ng biktima ay pinakamahalaga. Makipagtulungan sa pagpapatupad ng batas at unahin ang kanilang gabay sa buong pagsubok na ito.</v>
      </c>
      <c r="F986" s="2">
        <f t="shared" si="1"/>
        <v>0</v>
      </c>
      <c r="G986" s="2"/>
      <c r="H986" s="2"/>
      <c r="I986" s="2"/>
      <c r="J986" s="2"/>
      <c r="K986" s="2"/>
      <c r="L986" s="2"/>
      <c r="M986" s="2"/>
      <c r="N986" s="2"/>
      <c r="O986" s="2"/>
      <c r="P986" s="2"/>
      <c r="Q986" s="2"/>
      <c r="R986" s="2"/>
      <c r="S986" s="2"/>
      <c r="T986" s="2"/>
      <c r="U986" s="2"/>
      <c r="V986" s="2"/>
      <c r="W986" s="2"/>
      <c r="X986" s="2"/>
      <c r="Y986" s="2"/>
      <c r="Z986" s="2"/>
      <c r="AA986" s="2"/>
    </row>
    <row r="987">
      <c r="A987" s="3" t="s">
        <v>2763</v>
      </c>
      <c r="B987" s="1" t="s">
        <v>3138</v>
      </c>
      <c r="C987" s="1" t="s">
        <v>3139</v>
      </c>
      <c r="D987" s="2" t="str">
        <f>IFERROR(__xludf.DUMMYFUNCTION("GOOGLETRANSLATE(B987, ""en"", ""TL"")"),"Paano tinutugunan ng batas ang mga kaso kung saan ang pinaghihinalaang biktima ay dinala sa mga hangganan ng estado o internasyonal?")</f>
        <v>Paano tinutugunan ng batas ang mga kaso kung saan ang pinaghihinalaang biktima ay dinala sa mga hangganan ng estado o internasyonal?</v>
      </c>
      <c r="E987" s="2" t="str">
        <f>IFERROR(__xludf.DUMMYFUNCTION("GOOGLETRANSLATE(C987, ""en"", ""TL"")"),"Kapag ang isang di-umano'y kaso ng pagkidnap ay kinasasangkutan ng biktima na dinadala sa mga linya ng estado sa loob ng Pilipinas o internasyonal, ang mga legal na pagsasaalang-alang ay nagiging mas kumplikado. Narito ang isang breakdown batay sa batas n"&amp;"g Pilipinas:
**Sa loob ng Pilipinas (Interstate Kidnapping):**
* **Philippine National Police (PNP):** Ang PNP ay may hurisdiksyon sa buong Pilipinas. Malamang na sila ang manguna sa pag-iimbestiga sa kaso, saan man dinala ang biktima.
* **Mga Espesyal na"&amp;" Batas:** Bagama't walang partikular na batas para lamang sa interstate kidnapping, maaaring malapat ang iba pang nauugnay na batas:
* **Revised Penal Code (RPC) Provisions:** Ang mga kasalukuyang probisyon ng kidnapping (hal., Artikulo 267 - Illegal Dete"&amp;"ntion) ay maaari pa ring ilapat.
* **Mga Espesyal na Batas sa Penal:** Depende sa mga pangyayari, ang mga espesyal na batas ng penal tulad ng Anti-Trafficking in Persons Act (RA 9208) o Anti-Child Trafficking Act (RA 9842) ay maaaring isaalang-alang kung "&amp;"ang pagkidnap ay may kinalaman sa pagsasamantala.
**International (Transnational Kidnapping):**
* **International Cooperation:** Ang pagpapatupad ng batas ng Pilipinas ay malamang na makipagtulungan sa mga awtoridad sa kabilang bansa sa pamamagitan ng mga"&amp;" mekanismo ng internasyonal na kooperasyon tulad ng:
* **Mutual Legal Assistance Treaties (MLATs):** Ang mga treaty na ito ay nagbibigay-daan para sa pagbabahagi ng impormasyon at tulong sa pagsisiyasat sa pagitan ng mga bansa.
* **Interpol:** Maaaring ma"&amp;"padali ng International Criminal Police Organization ang komunikasyon at koordinasyon sa pagitan ng mga ahensyang nagpapatupad ng batas sa buong mundo.
* **International Law:** Ang mga internasyonal na kasunduan tulad ng Hague Convention on the Civil Aspe"&amp;"cts of International Child Abduction ay maaaring may kaugnayan sa mga kaso ng child abduction.
**Mga Hamon at Pagsasaalang-alang:**
* **Mga Isyu sa Hurisdiksiyon:** Ang pagtukoy kung aling bansa ang may hurisdiksyon upang usigin ang krimen ay maaaring mag"&amp;"ing kumplikado, lalo na sa mga internasyonal na kaso.
* **Extradition:** Kung ang suspek ay nasa ibang bansa, maaaring kailanganin ang mga proseso ng extradition para madala sila sa hustisya sa Pilipinas.
**Kahalagahan ng Legal na Tagapayo:**
Ang pag-navi"&amp;"gate sa mga legal na kumplikado ng interstate o internasyonal na mga kaso ng kidnapping ay nangangailangan ng espesyal na kaalaman. Ang pagkonsulta sa isang abogadong may karanasan sa mga transnational na krimen ay lubos na inirerekomenda. Narito ang ilan"&amp;"g mapagkukunan na maaaring makatulong:
* Philippine National Police (PNP): [https://pnp.gov.ph/](https://pnp.gov.ph/)
* Department of Justice (DOJ): [https://www.doj.gov.ph/](https://www.doj.gov.ph/)
Tandaan, ito ay mga pangkalahatang ligal na prinsipyo, "&amp;"at ang partikular na aplikasyon ng batas ay nakasalalay sa mga natatanging kalagayan ng bawat kaso. Ang pagkonsulta sa isang abogado ay maaaring magbigay sa iyo ng mas tiyak na patnubay batay sa iyong sitwasyon.")</f>
        <v>Kapag ang isang di-umano'y kaso ng pagkidnap ay kinasasangkutan ng biktima na dinadala sa mga linya ng estado sa loob ng Pilipinas o internasyonal, ang mga legal na pagsasaalang-alang ay nagiging mas kumplikado. Narito ang isang breakdown batay sa batas ng Pilipinas:
**Sa loob ng Pilipinas (Interstate Kidnapping):**
* **Philippine National Police (PNP):** Ang PNP ay may hurisdiksyon sa buong Pilipinas. Malamang na sila ang manguna sa pag-iimbestiga sa kaso, saan man dinala ang biktima.
* **Mga Espesyal na Batas:** Bagama't walang partikular na batas para lamang sa interstate kidnapping, maaaring malapat ang iba pang nauugnay na batas:
* **Revised Penal Code (RPC) Provisions:** Ang mga kasalukuyang probisyon ng kidnapping (hal., Artikulo 267 - Illegal Detention) ay maaari pa ring ilapat.
* **Mga Espesyal na Batas sa Penal:** Depende sa mga pangyayari, ang mga espesyal na batas ng penal tulad ng Anti-Trafficking in Persons Act (RA 9208) o Anti-Child Trafficking Act (RA 9842) ay maaaring isaalang-alang kung ang pagkidnap ay may kinalaman sa pagsasamantala.
**International (Transnational Kidnapping):**
* **International Cooperation:** Ang pagpapatupad ng batas ng Pilipinas ay malamang na makipagtulungan sa mga awtoridad sa kabilang bansa sa pamamagitan ng mga mekanismo ng internasyonal na kooperasyon tulad ng:
* **Mutual Legal Assistance Treaties (MLATs):** Ang mga treaty na ito ay nagbibigay-daan para sa pagbabahagi ng impormasyon at tulong sa pagsisiyasat sa pagitan ng mga bansa.
* **Interpol:** Maaaring mapadali ng International Criminal Police Organization ang komunikasyon at koordinasyon sa pagitan ng mga ahensyang nagpapatupad ng batas sa buong mundo.
* **International Law:** Ang mga internasyonal na kasunduan tulad ng Hague Convention on the Civil Aspects of International Child Abduction ay maaaring may kaugnayan sa mga kaso ng child abduction.
**Mga Hamon at Pagsasaalang-alang:**
* **Mga Isyu sa Hurisdiksiyon:** Ang pagtukoy kung aling bansa ang may hurisdiksyon upang usigin ang krimen ay maaaring maging kumplikado, lalo na sa mga internasyonal na kaso.
* **Extradition:** Kung ang suspek ay nasa ibang bansa, maaaring kailanganin ang mga proseso ng extradition para madala sila sa hustisya sa Pilipinas.
**Kahalagahan ng Legal na Tagapayo:**
Ang pag-navigate sa mga legal na kumplikado ng interstate o internasyonal na mga kaso ng kidnapping ay nangangailangan ng espesyal na kaalaman. Ang pagkonsulta sa isang abogadong may karanasan sa mga transnational na krimen ay lubos na inirerekomenda. Narito ang ilang mapagkukunan na maaaring makatulong:
* Philippine National Police (PNP): [https://pnp.gov.ph/](https://pnp.gov.ph/)
* Department of Justice (DOJ): [https://www.doj.gov.ph/](https://www.doj.gov.ph/)
Tandaan, ito ay mga pangkalahatang ligal na prinsipyo, at ang partikular na aplikasyon ng batas ay nakasalalay sa mga natatanging kalagayan ng bawat kaso. Ang pagkonsulta sa isang abogado ay maaaring magbigay sa iyo ng mas tiyak na patnubay batay sa iyong sitwasyon.</v>
      </c>
      <c r="F987" s="2">
        <f t="shared" si="1"/>
        <v>0</v>
      </c>
      <c r="G987" s="2"/>
      <c r="H987" s="2"/>
      <c r="I987" s="2"/>
      <c r="J987" s="2"/>
      <c r="K987" s="2"/>
      <c r="L987" s="2"/>
      <c r="M987" s="2"/>
      <c r="N987" s="2"/>
      <c r="O987" s="2"/>
      <c r="P987" s="2"/>
      <c r="Q987" s="2"/>
      <c r="R987" s="2"/>
      <c r="S987" s="2"/>
      <c r="T987" s="2"/>
      <c r="U987" s="2"/>
      <c r="V987" s="2"/>
      <c r="W987" s="2"/>
      <c r="X987" s="2"/>
      <c r="Y987" s="2"/>
      <c r="Z987" s="2"/>
      <c r="AA987" s="2"/>
    </row>
    <row r="988">
      <c r="A988" s="3" t="s">
        <v>2763</v>
      </c>
      <c r="B988" s="1" t="s">
        <v>3140</v>
      </c>
      <c r="C988" s="1" t="s">
        <v>3141</v>
      </c>
      <c r="D988" s="2" t="str">
        <f>IFERROR(__xludf.DUMMYFUNCTION("GOOGLETRANSLATE(B988, ""en"", ""TL"")"),"Maaari ba akong kasuhan ng kidnapping kung tumulong lang ako sa pagpaplano o pagpapadali sa krimen?")</f>
        <v>Maaari ba akong kasuhan ng kidnapping kung tumulong lang ako sa pagpaplano o pagpapadali sa krimen?</v>
      </c>
      <c r="E988" s="2" t="str">
        <f>IFERROR(__xludf.DUMMYFUNCTION("GOOGLETRANSLATE(C988, ""en"", ""TL"")"),"Oo, sa ilalim ng batas ng Pilipinas, maaari kang kasuhan ng kidnapping kahit tumulong ka lamang sa pagpaplano o pagpapadali sa krimen. Narito kung bakit:
* **Accessory before the Fact:** Kinikilala ng Revised Penal Code (Artikulo 18) ang konsepto ng isang"&amp;" ""accessory bago ang katotohanan."" Nangangahulugan ito ng isang tao na, bagama't hindi direktang nakikilahok sa mismong krimen, ay nag-aambag sa pagpapatupad nito sa pamamagitan ng pagpaplano, pagbibigay ng paraan, o paghikayat sa pangunahing nagkasala."&amp;" Kung ang iyong tulong sa pagpaplano o pagpapadali sa pagkidnap ay sinadya, maaari kang singilin bilang isang accessory.
* **Conspiracy:** Isa pang nauugnay na konsepto ay conspiracy (Artikulo 88). Nalalapat ito kapag ang dalawa o higit pang mga tao ay su"&amp;"mang-ayon na gumawa ng krimen at magsagawa ng mga aksyon sa pagsulong ng kasunduang iyon. Kung nakilahok ka sa pagpaplano ng kidnapping na may intensyon na maisagawa ito, maaari kang kasuhan ng conspiracy to commit kidnapping.
**Antas ng Paglahok:**
Ang m"&amp;"ga partikular na singil at parusa na maaari mong harapin ay depende sa lawak ng iyong pagkakasangkot. Ang isang taong nagbigay ng getaway na kotse ay maaaring maharap sa iba't ibang singil kaysa sa isang taong nag-scout sa lokasyon para sa pagkidnap.
**Ka"&amp;"halagahan ng Pagkonsulta sa Abogado:**
Ang mga partikular na katotohanan ng iyong sitwasyon ay mahalaga sa pagtukoy sa mga potensyal na singil na maaari mong harapin. Ang pagkonsulta sa isang abogadong may karanasan sa batas kriminal ay lubos na inirereko"&amp;"menda. Maaari nilang suriin ang mga detalye ng iyong pagkakasangkot, tasahin ang mga potensyal na legal na epekto, at payuhan ka sa pinakamahusay na paraan ng pagkilos.
Narito ang ilang karagdagang punto na dapat isaalang-alang:
* **Withdrawal:** Maaaring"&amp;" kilalanin ng batas ng Pilipinas ang posibilidad ng pag-withdraw mula sa isang pagsasabwatan. Kung umatras ka sa plano bago nangyari ang pagkidnap at gumawa ng mga hakbang upang maiwasan ito, maaaring ito ay isang nagpapagaan na kadahilanan sa iyong depen"&amp;"sa.
* **Kaalaman sa Layunin:** Kailangang patunayan ng prosekusyon na alam mo na ang pagkilos na tinutulungan mo ay nilayon na maging isang kidnapping. Tandaan, ito ay isang pangkalahatang pangkalahatang-ideya, at ang partikular na aplikasyon ng batas ay "&amp;"nakasalalay sa iyong natatanging sitwasyon. Ang pagkonsulta sa isang abogado ay maaaring magbigay ng mas tumpak na pagtatasa ng mga potensyal na singil batay sa mga detalye ng iyong pagkakasangkot.")</f>
        <v>Oo, sa ilalim ng batas ng Pilipinas, maaari kang kasuhan ng kidnapping kahit tumulong ka lamang sa pagpaplano o pagpapadali sa krimen. Narito kung bakit:
* **Accessory before the Fact:** Kinikilala ng Revised Penal Code (Artikulo 18) ang konsepto ng isang "accessory bago ang katotohanan." Nangangahulugan ito ng isang tao na, bagama't hindi direktang nakikilahok sa mismong krimen, ay nag-aambag sa pagpapatupad nito sa pamamagitan ng pagpaplano, pagbibigay ng paraan, o paghikayat sa pangunahing nagkasala. Kung ang iyong tulong sa pagpaplano o pagpapadali sa pagkidnap ay sinadya, maaari kang singilin bilang isang accessory.
* **Conspiracy:** Isa pang nauugnay na konsepto ay conspiracy (Artikulo 88). Nalalapat ito kapag ang dalawa o higit pang mga tao ay sumang-ayon na gumawa ng krimen at magsagawa ng mga aksyon sa pagsulong ng kasunduang iyon. Kung nakilahok ka sa pagpaplano ng kidnapping na may intensyon na maisagawa ito, maaari kang kasuhan ng conspiracy to commit kidnapping.
**Antas ng Paglahok:**
Ang mga partikular na singil at parusa na maaari mong harapin ay depende sa lawak ng iyong pagkakasangkot. Ang isang taong nagbigay ng getaway na kotse ay maaaring maharap sa iba't ibang singil kaysa sa isang taong nag-scout sa lokasyon para sa pagkidnap.
**Kahalagahan ng Pagkonsulta sa Abogado:**
Ang mga partikular na katotohanan ng iyong sitwasyon ay mahalaga sa pagtukoy sa mga potensyal na singil na maaari mong harapin. Ang pagkonsulta sa isang abogadong may karanasan sa batas kriminal ay lubos na inirerekomenda. Maaari nilang suriin ang mga detalye ng iyong pagkakasangkot, tasahin ang mga potensyal na legal na epekto, at payuhan ka sa pinakamahusay na paraan ng pagkilos.
Narito ang ilang karagdagang punto na dapat isaalang-alang:
* **Withdrawal:** Maaaring kilalanin ng batas ng Pilipinas ang posibilidad ng pag-withdraw mula sa isang pagsasabwatan. Kung umatras ka sa plano bago nangyari ang pagkidnap at gumawa ng mga hakbang upang maiwasan ito, maaaring ito ay isang nagpapagaan na kadahilanan sa iyong depensa.
* **Kaalaman sa Layunin:** Kailangang patunayan ng prosekusyon na alam mo na ang pagkilos na tinutulungan mo ay nilayon na maging isang kidnapping. Tandaan, ito ay isang pangkalahatang pangkalahatang-ideya, at ang partikular na aplikasyon ng batas ay nakasalalay sa iyong natatanging sitwasyon. Ang pagkonsulta sa isang abogado ay maaaring magbigay ng mas tumpak na pagtatasa ng mga potensyal na singil batay sa mga detalye ng iyong pagkakasangkot.</v>
      </c>
      <c r="F988" s="2">
        <f t="shared" si="1"/>
        <v>0</v>
      </c>
      <c r="G988" s="2"/>
      <c r="H988" s="2"/>
      <c r="I988" s="2"/>
      <c r="J988" s="2"/>
      <c r="K988" s="2"/>
      <c r="L988" s="2"/>
      <c r="M988" s="2"/>
      <c r="N988" s="2"/>
      <c r="O988" s="2"/>
      <c r="P988" s="2"/>
      <c r="Q988" s="2"/>
      <c r="R988" s="2"/>
      <c r="S988" s="2"/>
      <c r="T988" s="2"/>
      <c r="U988" s="2"/>
      <c r="V988" s="2"/>
      <c r="W988" s="2"/>
      <c r="X988" s="2"/>
      <c r="Y988" s="2"/>
      <c r="Z988" s="2"/>
      <c r="AA988" s="2"/>
    </row>
    <row r="989">
      <c r="A989" s="3" t="s">
        <v>2763</v>
      </c>
      <c r="B989" s="1" t="s">
        <v>3142</v>
      </c>
      <c r="C989" s="1" t="s">
        <v>3143</v>
      </c>
      <c r="D989" s="2" t="str">
        <f>IFERROR(__xludf.DUMMYFUNCTION("GOOGLETRANSLATE(B989, ""en"", ""TL"")"),"Paano tinutugunan ng batas ang mga kaso kung saan nakuha ang pahintulot ng sinasabing biktima sa pamamagitan ng pandaraya o panlilinlang?")</f>
        <v>Paano tinutugunan ng batas ang mga kaso kung saan nakuha ang pahintulot ng sinasabing biktima sa pamamagitan ng pandaraya o panlilinlang?</v>
      </c>
      <c r="E989" s="2" t="str">
        <f>IFERROR(__xludf.DUMMYFUNCTION("GOOGLETRANSLATE(C989, ""en"", ""TL"")"),"Sa Pilipinas, tinatrato ng batas ang mga kaso ng kidnapping kung saan nakuha ang pahintulot ng sinasabing biktima sa pamamagitan ng pandaraya o panlilinlang na may nuanced approach. Narito ang isang breakdown batay sa mga nauugnay na legal na konsepto ng "&amp;"Pilipinas:
* **Konsepto ng Pahintulot sa Kidnapping:** Kinikilala ng batas ng Pilipinas ang kahalagahan ng pagpayag sa mga kaso ng kidnapping. Gayunpaman, ang pahintulot na nakuha sa pamamagitan ng pandaraya o panlilinlang ay karaniwang itinuturing na **d"&amp;"i-wasto**.
* **Revised Penal Code (RPC) Provisions:**
* **Artikulo 267 (Illegal na Detensyon):** Nakatuon ang artikulong ito sa iligal na pagkakait o paghihigpit sa kalayaan ng isang tao. Kahit na ang biktima sa simula ay kusang-loob na pumunta dahil sa p"&amp;"andaraya o panlilinlang, kung ang kanilang kalayaan sa paggalaw ay paghigpitan sa ibang pagkakataon laban sa kanilang kalooban, maaari itong ituring na ilegal na pagpigil.
* **Batas sa Kaso:** Ang mga desisyon ng Korte Suprema tulad ng People vs. Hernande"&amp;"z (G.R. No. L-47394) at People vs. Manalo (G.R. No. 126024) ay binibigyang-diin na **ang esensya ng iligal na pagpigil ay ang labag sa batas na pagkakait ng isang kalayaan ng tao**. Kung ang panlilinlang ay naging dahilan upang maniwala ang biktima na mal"&amp;"aya silang umalis ngunit napigilan sila, maaari itong ituring na ilegal na pagpigil.
**Pandaraya o Panlilinlang:**
Ang pangunahing salik ay ang likas na katangian ng pandaraya o panlilinlang na ginamit. Narito ang ilang mga pagsasaalang-alang:
* **Materya"&amp;"l na Misrepresentation:** Ang panlilinlang ay dapat sapat na makabuluhan upang maimpluwensyahan ang desisyon ng biktima. Halimbawa, ang malinlang sa paniniwalang pupunta ka sa isang party ngunit ang pagiging bihag ay maituturing na materyal na maling repr"&amp;"esentasyon.
* **Reasonable Reliance:** Ang pagtitiwala ng biktima sa panlilinlang ay dapat na makatwiran. Halimbawa, kung ang isang tao ay naakit ng isang pekeng alok ng trabaho at pagkatapos ay pinigilan, ito ay maaaring ituring na makatwirang pag-asa.
*"&amp;"*Pasan ng Patunay:**
Ang prosekusyon ay may pasanin na patunayan na ang akusado ay:
* **Inalis sa biktima ang kanilang kalayaan**
* **Ginawa ito nang ilegal**
* **Gumamit ng panloloko o panlilinlang para makuha ang paunang ""pahintulot""**
**Kahalagahan n"&amp;"g Legal na Tagapayo:**
Ang mga partikular na detalye ng kaso, ang likas na katangian ng pandaraya, at ang mga aksyon ng biktima ay lahat ay may papel sa pagtukoy sa legal na resulta. Ang pagkonsulta sa isang abogadong may karanasan sa batas na kriminal ay"&amp;" mahalaga. Maaari nilang suriin ang sitwasyon, tasahin ang bisa ng pinaghihinalaang pahintulot, at payuhan ka sa pinakamahusay na legal na paraan ng pagkilos.")</f>
        <v>Sa Pilipinas, tinatrato ng batas ang mga kaso ng kidnapping kung saan nakuha ang pahintulot ng sinasabing biktima sa pamamagitan ng pandaraya o panlilinlang na may nuanced approach. Narito ang isang breakdown batay sa mga nauugnay na legal na konsepto ng Pilipinas:
* **Konsepto ng Pahintulot sa Kidnapping:** Kinikilala ng batas ng Pilipinas ang kahalagahan ng pagpayag sa mga kaso ng kidnapping. Gayunpaman, ang pahintulot na nakuha sa pamamagitan ng pandaraya o panlilinlang ay karaniwang itinuturing na **di-wasto**.
* **Revised Penal Code (RPC) Provisions:**
* **Artikulo 267 (Illegal na Detensyon):** Nakatuon ang artikulong ito sa iligal na pagkakait o paghihigpit sa kalayaan ng isang tao. Kahit na ang biktima sa simula ay kusang-loob na pumunta dahil sa pandaraya o panlilinlang, kung ang kanilang kalayaan sa paggalaw ay paghigpitan sa ibang pagkakataon laban sa kanilang kalooban, maaari itong ituring na ilegal na pagpigil.
* **Batas sa Kaso:** Ang mga desisyon ng Korte Suprema tulad ng People vs. Hernandez (G.R. No. L-47394) at People vs. Manalo (G.R. No. 126024) ay binibigyang-diin na **ang esensya ng iligal na pagpigil ay ang labag sa batas na pagkakait ng isang kalayaan ng tao**. Kung ang panlilinlang ay naging dahilan upang maniwala ang biktima na malaya silang umalis ngunit napigilan sila, maaari itong ituring na ilegal na pagpigil.
**Pandaraya o Panlilinlang:**
Ang pangunahing salik ay ang likas na katangian ng pandaraya o panlilinlang na ginamit. Narito ang ilang mga pagsasaalang-alang:
* **Materyal na Misrepresentation:** Ang panlilinlang ay dapat sapat na makabuluhan upang maimpluwensyahan ang desisyon ng biktima. Halimbawa, ang malinlang sa paniniwalang pupunta ka sa isang party ngunit ang pagiging bihag ay maituturing na materyal na maling representasyon.
* **Reasonable Reliance:** Ang pagtitiwala ng biktima sa panlilinlang ay dapat na makatwiran. Halimbawa, kung ang isang tao ay naakit ng isang pekeng alok ng trabaho at pagkatapos ay pinigilan, ito ay maaaring ituring na makatwirang pag-asa.
**Pasan ng Patunay:**
Ang prosekusyon ay may pasanin na patunayan na ang akusado ay:
* **Inalis sa biktima ang kanilang kalayaan**
* **Ginawa ito nang ilegal**
* **Gumamit ng panloloko o panlilinlang para makuha ang paunang "pahintulot"**
**Kahalagahan ng Legal na Tagapayo:**
Ang mga partikular na detalye ng kaso, ang likas na katangian ng pandaraya, at ang mga aksyon ng biktima ay lahat ay may papel sa pagtukoy sa legal na resulta. Ang pagkonsulta sa isang abogadong may karanasan sa batas na kriminal ay mahalaga. Maaari nilang suriin ang sitwasyon, tasahin ang bisa ng pinaghihinalaang pahintulot, at payuhan ka sa pinakamahusay na legal na paraan ng pagkilos.</v>
      </c>
      <c r="F989" s="2">
        <f t="shared" si="1"/>
        <v>0</v>
      </c>
      <c r="G989" s="2"/>
      <c r="H989" s="2"/>
      <c r="I989" s="2"/>
      <c r="J989" s="2"/>
      <c r="K989" s="2"/>
      <c r="L989" s="2"/>
      <c r="M989" s="2"/>
      <c r="N989" s="2"/>
      <c r="O989" s="2"/>
      <c r="P989" s="2"/>
      <c r="Q989" s="2"/>
      <c r="R989" s="2"/>
      <c r="S989" s="2"/>
      <c r="T989" s="2"/>
      <c r="U989" s="2"/>
      <c r="V989" s="2"/>
      <c r="W989" s="2"/>
      <c r="X989" s="2"/>
      <c r="Y989" s="2"/>
      <c r="Z989" s="2"/>
      <c r="AA989" s="2"/>
    </row>
    <row r="990">
      <c r="A990" s="3" t="s">
        <v>2763</v>
      </c>
      <c r="B990" s="1" t="s">
        <v>3144</v>
      </c>
      <c r="C990" s="1" t="s">
        <v>3145</v>
      </c>
      <c r="D990" s="2" t="str">
        <f>IFERROR(__xludf.DUMMYFUNCTION("GOOGLETRANSLATE(B990, ""en"", ""TL"")"),"Ano ang dapat kong gawin kung naniniwala akong maling inaakusahan ako ng kidnapping para sa malisyosong dahilan?")</f>
        <v>Ano ang dapat kong gawin kung naniniwala akong maling inaakusahan ako ng kidnapping para sa malisyosong dahilan?</v>
      </c>
      <c r="E990" s="2" t="str">
        <f>IFERROR(__xludf.DUMMYFUNCTION("GOOGLETRANSLATE(C990, ""en"", ""TL"")"),"Ang pagiging maling akusado ng kidnapping ay isang seryosong sitwasyon. Narito ang dapat mong gawin sa Pilipinas ayon sa batas ng Pilipinas:
**Panatilihin ang Iyong Karapatan na Manatiling Tahimik:**
* **Huwag sagutin ang mga tanong** mula sa pulis nang w"&amp;"alang abogado. May karapatan kang manatiling tahimik sa ilalim ng Konstitusyon ng Pilipinas (Artikulo III, Seksyon 12). **Humiling ng Abogado:**
* **Agad na humiling ng isang abogado** upang kumatawan sa iyo sa buong prosesong legal. Maaaring payuhan ka n"&amp;"g isang abogado tungkol sa iyong mga karapatan at mag-navigate sa legal na sistema para sa iyo.
**Makipagtulungan sa Pagsisiyasat (sa loob ng dahilan):**
* **Habang may karapatan kang manatiling tahimik, maaari kang makipagtulungan sa pagsisiyasat** sa pa"&amp;"mamagitan ng pagbibigay ng makatotohanang impormasyon na nagpapakita ng iyong kawalang-kasalanan. Gayunpaman, palaging gawin ito kasama ang iyong abogado na naroroon upang matiyak na ang iyong mga pahayag ay hindi mali ang kahulugan.
**Magtipon ng Katibay"&amp;"an upang Suportahan ang Iyong Alibi:**
* **Makipagtulungan sa iyong abogado upang mangalap ng ebidensya** na sumusuporta sa iyong alibi at sumasalungat sa akusasyon. Maaaring kabilang dito ang mga pahayag ng saksi, mga resibo, mga talaan ng telepono, CCTV"&amp;" footage, o anumang dokumentasyon na nagpapatunay sa iyong kinaroroonan sa oras ng di-umano'y pagkidnap.
**Pag-isipang Maghain ng Countersuit:**
* **Depende sa mga pangyayari,** maaaring gusto mong pag-isipang magsampa ng countersuit para sa maling akusas"&amp;"yon. Talakayin ang opsyong ito sa iyong abogado upang maunawaan ang mga legal na batayan at mga potensyal na resulta.
**Mga Mapagkukunan:**
* **Public Attorney's Office (PAO):** Ang PAO ay nagbibigay ng libreng legal na tulong sa mga indigent na indibidwa"&amp;"l na nahaharap sa mga kasong kriminal. Maaari mo silang kontakin sa pamamagitan ng kanilang website [https://pao.gov.ph/](https://pao.gov.ph/) o sa pamamagitan ng pagtawag sa kanilang hotline (02) 8529-5244.
* **Integrated Bar of the Philippines (IBP):** "&amp;"Nag-aalok ang IBP ng serbisyo ng referral ng abogado upang matulungan kang makahanap ng isang kwalipikadong abogado sa iyong lugar. Maaari mo silang kontakin sa pamamagitan ng kanilang website [https://www.ibp.ph/](https://www.ibp.ph/).
**Tandaan:**
* **H"&amp;"uwag mag-panic**: Manatiling kalmado at maingat sa buong proseso.
* **Huwag makipag-usap sa nag-aakusa**: Hayaan ang iyong abogado na pangasiwaan ang lahat ng komunikasyon.
* **Idokumento ang lahat**: Magtago ng mga kopya ng anumang mga dokumento o ebiden"&amp;"sya na nauugnay sa kaso.
Sa pamamagitan ng pagsunod sa mga hakbang na ito at paghingi ng legal na payo, maaari kang gumawa ng mga proactive na hakbang upang ipagtanggol ang iyong sarili laban sa isang maling akusasyon ng kidnapping.")</f>
        <v>Ang pagiging maling akusado ng kidnapping ay isang seryosong sitwasyon. Narito ang dapat mong gawin sa Pilipinas ayon sa batas ng Pilipinas:
**Panatilihin ang Iyong Karapatan na Manatiling Tahimik:**
* **Huwag sagutin ang mga tanong** mula sa pulis nang walang abogado. May karapatan kang manatiling tahimik sa ilalim ng Konstitusyon ng Pilipinas (Artikulo III, Seksyon 12). **Humiling ng Abogado:**
* **Agad na humiling ng isang abogado** upang kumatawan sa iyo sa buong prosesong legal. Maaaring payuhan ka ng isang abogado tungkol sa iyong mga karapatan at mag-navigate sa legal na sistema para sa iyo.
**Makipagtulungan sa Pagsisiyasat (sa loob ng dahilan):**
* **Habang may karapatan kang manatiling tahimik, maaari kang makipagtulungan sa pagsisiyasat** sa pamamagitan ng pagbibigay ng makatotohanang impormasyon na nagpapakita ng iyong kawalang-kasalanan. Gayunpaman, palaging gawin ito kasama ang iyong abogado na naroroon upang matiyak na ang iyong mga pahayag ay hindi mali ang kahulugan.
**Magtipon ng Katibayan upang Suportahan ang Iyong Alibi:**
* **Makipagtulungan sa iyong abogado upang mangalap ng ebidensya** na sumusuporta sa iyong alibi at sumasalungat sa akusasyon. Maaaring kabilang dito ang mga pahayag ng saksi, mga resibo, mga talaan ng telepono, CCTV footage, o anumang dokumentasyon na nagpapatunay sa iyong kinaroroonan sa oras ng di-umano'y pagkidnap.
**Pag-isipang Maghain ng Countersuit:**
* **Depende sa mga pangyayari,** maaaring gusto mong pag-isipang magsampa ng countersuit para sa maling akusasyon. Talakayin ang opsyong ito sa iyong abogado upang maunawaan ang mga legal na batayan at mga potensyal na resulta.
**Mga Mapagkukunan:**
* **Public Attorney's Office (PAO):** Ang PAO ay nagbibigay ng libreng legal na tulong sa mga indigent na indibidwal na nahaharap sa mga kasong kriminal. Maaari mo silang kontakin sa pamamagitan ng kanilang website [https://pao.gov.ph/](https://pao.gov.ph/) o sa pamamagitan ng pagtawag sa kanilang hotline (02) 8529-5244.
* **Integrated Bar of the Philippines (IBP):** Nag-aalok ang IBP ng serbisyo ng referral ng abogado upang matulungan kang makahanap ng isang kwalipikadong abogado sa iyong lugar. Maaari mo silang kontakin sa pamamagitan ng kanilang website [https://www.ibp.ph/](https://www.ibp.ph/).
**Tandaan:**
* **Huwag mag-panic**: Manatiling kalmado at maingat sa buong proseso.
* **Huwag makipag-usap sa nag-aakusa**: Hayaan ang iyong abogado na pangasiwaan ang lahat ng komunikasyon.
* **Idokumento ang lahat**: Magtago ng mga kopya ng anumang mga dokumento o ebidensya na nauugnay sa kaso.
Sa pamamagitan ng pagsunod sa mga hakbang na ito at paghingi ng legal na payo, maaari kang gumawa ng mga proactive na hakbang upang ipagtanggol ang iyong sarili laban sa isang maling akusasyon ng kidnapping.</v>
      </c>
      <c r="F990" s="2">
        <f t="shared" si="1"/>
        <v>0</v>
      </c>
      <c r="G990" s="2"/>
      <c r="H990" s="2"/>
      <c r="I990" s="2"/>
      <c r="J990" s="2"/>
      <c r="K990" s="2"/>
      <c r="L990" s="2"/>
      <c r="M990" s="2"/>
      <c r="N990" s="2"/>
      <c r="O990" s="2"/>
      <c r="P990" s="2"/>
      <c r="Q990" s="2"/>
      <c r="R990" s="2"/>
      <c r="S990" s="2"/>
      <c r="T990" s="2"/>
      <c r="U990" s="2"/>
      <c r="V990" s="2"/>
      <c r="W990" s="2"/>
      <c r="X990" s="2"/>
      <c r="Y990" s="2"/>
      <c r="Z990" s="2"/>
      <c r="AA990" s="2"/>
    </row>
    <row r="991">
      <c r="A991" s="3" t="s">
        <v>2763</v>
      </c>
      <c r="B991" s="1" t="s">
        <v>3146</v>
      </c>
      <c r="C991" s="1" t="s">
        <v>3147</v>
      </c>
      <c r="D991" s="2" t="str">
        <f>IFERROR(__xludf.DUMMYFUNCTION("GOOGLETRANSLATE(B991, ""en"", ""TL"")"),"Paano tinutugunan ng batas ang mga kaso kung saan ang sinasabing biktima ay kinidnap para sa ransom ngunit kalaunan ay pinalaya nang hindi nasaktan?")</f>
        <v>Paano tinutugunan ng batas ang mga kaso kung saan ang sinasabing biktima ay kinidnap para sa ransom ngunit kalaunan ay pinalaya nang hindi nasaktan?</v>
      </c>
      <c r="E991" s="2" t="str">
        <f>IFERROR(__xludf.DUMMYFUNCTION("GOOGLETRANSLATE(C991, ""en"", ""TL"")"),"Sa Pilipinas, ang kidnapping for ransom, kahit na ang biktima ay pinalaya nang hindi nasaktan, ay isang malubhang krimen na may malupit na parusa. Narito ang isang breakdown kung paano tinutugunan ng batas ang mga ganitong kaso:
* **Revised Penal Code (RP"&amp;"C) Article 267:** Tinutukoy ng artikulong ito ang krimen ng kidnapping at ang mga parusa nito. Ang Seksyon 4 ay partikular na tumutugon sa kidnapping para sa ransom:
&gt; ""Ang parusa ng reclusion perpetua hanggang kamatayan ay ipapataw sa sinumang tao na, ."&amp;".. dumudukot o mang-aagaw ng iba, na may layuning kumuha ng pantubos...""
**Mga Pangunahing Punto:**
* **Mahalaga ang Layunin:** Nakatuon ang batas sa **layunin** sa likod ng pagkidnap. Kahit na ang biktima ay pinalaya nang hindi nasaktan, ang layunin na "&amp;"mangikil ng ransom ay tumutupad sa mga elemento ng krimen.
* **Tindi ng Parusa:** Ang parusa para sa kidnapping para sa ransom ay **reclusion perpetua to death**, na isang napakabigat na parusa.
* **Case Law:** Ang mga desisyon ng Korte Suprema tulad ng P"&amp;"eople vs. Borja (G.R. No. 199710) ay nagha-highlight na hindi kinakailangan ang isang partikular na anyo ng ransom. Hangga't ang isang bagay na may halaga ay nilayon bilang bargaining chip para sa pagpapalaya ng biktima, ang krimen ay ginawa.
**Ano ang Hi"&amp;"ndi Pinahihintulutan ang Krimen:**
* **Paglaya ng Biktima:** Ang katotohanan na ang biktima sa kalaunan ay pinalaya nang hindi nasaktan ay hindi nagpapawalang-bisa sa krimen mismo. * **Pagbabayad sa Pantubos:** Kung ang isang ransom ay talagang binayaran "&amp;"o hindi ay walang kaugnayan. Ang layuning mangikil ng ransom ay sapat na para magawa ang krimen.
**Mga Posibleng Depensa:**
Bagama't mapaghamong, maaaring may ilang potensyal na panlaban depende sa mga partikular na pangyayari:
* **Pagkakamali ng Katotoha"&amp;"nan:** Kung ang akusado ay tunay na naniniwala na hindi sila nakikilahok sa isang kidnapping para sa ransom, ito ay maaaring isang depensa. Gayunpaman, ito ay magiging mahirap patunayan.
* **Dress:** Kung ang akusado ay pinilit na lumahok sa kidnapping sa"&amp;" ilalim ng banta ng karahasan, ito ay maaaring isang depensa. Gayunpaman, kailangan nilang ipakita na wala silang ibang pagpipilian.
**Kahalagahan ng Legal na Tagapayo:**
Kung ikaw ay nahaharap sa mga kaso ng kidnapping para sa ransom, kahit na ang biktim"&amp;"a ay pinalaya nang hindi nasaktan, ang pagkonsulta sa isang abogadong may karanasan sa batas na kriminal ay napakahalaga. Maaari nilang suriin ang mga detalye ng iyong kaso, tasahin ang mga potensyal na depensa, at katawanin ka sa korte.
Narito ang ilang "&amp;"karagdagang mapagkukunan:
* Philippine National Police (PNP): [https://pnp.gov.ph/](https://pnp.gov.ph/)
* Department of Justice (DOJ): [https://www.doj.gov.ph/](https://www.doj.gov.ph/)
Tandaan, ito ay isang pangkalahatang pangkalahatang-ideya, at ang pa"&amp;"rtikular na aplikasyon ng batas ay nakasalalay sa mga natatanging kalagayan ng bawat kaso. Ang pagkonsulta sa isang abogado ay maaaring magbigay ng mas tumpak na pagtatasa ng mga singil na maaari mong harapin at mga potensyal na depensa.")</f>
        <v>Sa Pilipinas, ang kidnapping for ransom, kahit na ang biktima ay pinalaya nang hindi nasaktan, ay isang malubhang krimen na may malupit na parusa. Narito ang isang breakdown kung paano tinutugunan ng batas ang mga ganitong kaso:
* **Revised Penal Code (RPC) Article 267:** Tinutukoy ng artikulong ito ang krimen ng kidnapping at ang mga parusa nito. Ang Seksyon 4 ay partikular na tumutugon sa kidnapping para sa ransom:
&gt; "Ang parusa ng reclusion perpetua hanggang kamatayan ay ipapataw sa sinumang tao na, ... dumudukot o mang-aagaw ng iba, na may layuning kumuha ng pantubos..."
**Mga Pangunahing Punto:**
* **Mahalaga ang Layunin:** Nakatuon ang batas sa **layunin** sa likod ng pagkidnap. Kahit na ang biktima ay pinalaya nang hindi nasaktan, ang layunin na mangikil ng ransom ay tumutupad sa mga elemento ng krimen.
* **Tindi ng Parusa:** Ang parusa para sa kidnapping para sa ransom ay **reclusion perpetua to death**, na isang napakabigat na parusa.
* **Case Law:** Ang mga desisyon ng Korte Suprema tulad ng People vs. Borja (G.R. No. 199710) ay nagha-highlight na hindi kinakailangan ang isang partikular na anyo ng ransom. Hangga't ang isang bagay na may halaga ay nilayon bilang bargaining chip para sa pagpapalaya ng biktima, ang krimen ay ginawa.
**Ano ang Hindi Pinahihintulutan ang Krimen:**
* **Paglaya ng Biktima:** Ang katotohanan na ang biktima sa kalaunan ay pinalaya nang hindi nasaktan ay hindi nagpapawalang-bisa sa krimen mismo. * **Pagbabayad sa Pantubos:** Kung ang isang ransom ay talagang binayaran o hindi ay walang kaugnayan. Ang layuning mangikil ng ransom ay sapat na para magawa ang krimen.
**Mga Posibleng Depensa:**
Bagama't mapaghamong, maaaring may ilang potensyal na panlaban depende sa mga partikular na pangyayari:
* **Pagkakamali ng Katotohanan:** Kung ang akusado ay tunay na naniniwala na hindi sila nakikilahok sa isang kidnapping para sa ransom, ito ay maaaring isang depensa. Gayunpaman, ito ay magiging mahirap patunayan.
* **Dress:** Kung ang akusado ay pinilit na lumahok sa kidnapping sa ilalim ng banta ng karahasan, ito ay maaaring isang depensa. Gayunpaman, kailangan nilang ipakita na wala silang ibang pagpipilian.
**Kahalagahan ng Legal na Tagapayo:**
Kung ikaw ay nahaharap sa mga kaso ng kidnapping para sa ransom, kahit na ang biktima ay pinalaya nang hindi nasaktan, ang pagkonsulta sa isang abogadong may karanasan sa batas na kriminal ay napakahalaga. Maaari nilang suriin ang mga detalye ng iyong kaso, tasahin ang mga potensyal na depensa, at katawanin ka sa korte.
Narito ang ilang karagdagang mapagkukunan:
* Philippine National Police (PNP): [https://pnp.gov.ph/](https://pnp.gov.ph/)
* Department of Justice (DOJ): [https://www.doj.gov.ph/](https://www.doj.gov.ph/)
Tandaan, ito ay isang pangkalahatang pangkalahatang-ideya, at ang partikular na aplikasyon ng batas ay nakasalalay sa mga natatanging kalagayan ng bawat kaso. Ang pagkonsulta sa isang abogado ay maaaring magbigay ng mas tumpak na pagtatasa ng mga singil na maaari mong harapin at mga potensyal na depensa.</v>
      </c>
      <c r="F991" s="2">
        <f t="shared" si="1"/>
        <v>0</v>
      </c>
      <c r="G991" s="2"/>
      <c r="H991" s="2"/>
      <c r="I991" s="2"/>
      <c r="J991" s="2"/>
      <c r="K991" s="2"/>
      <c r="L991" s="2"/>
      <c r="M991" s="2"/>
      <c r="N991" s="2"/>
      <c r="O991" s="2"/>
      <c r="P991" s="2"/>
      <c r="Q991" s="2"/>
      <c r="R991" s="2"/>
      <c r="S991" s="2"/>
      <c r="T991" s="2"/>
      <c r="U991" s="2"/>
      <c r="V991" s="2"/>
      <c r="W991" s="2"/>
      <c r="X991" s="2"/>
      <c r="Y991" s="2"/>
      <c r="Z991" s="2"/>
      <c r="AA991" s="2"/>
    </row>
    <row r="992">
      <c r="A992" s="3" t="s">
        <v>2763</v>
      </c>
      <c r="B992" s="1" t="s">
        <v>3148</v>
      </c>
      <c r="C992" s="1" t="s">
        <v>3149</v>
      </c>
      <c r="D992" s="2" t="str">
        <f>IFERROR(__xludf.DUMMYFUNCTION("GOOGLETRANSLATE(B992, ""en"", ""TL"")"),"Maaari ba akong makasuhan ng kidnapping kung hindi ko namamalayan ang isang taong kinidnap?")</f>
        <v>Maaari ba akong makasuhan ng kidnapping kung hindi ko namamalayan ang isang taong kinidnap?</v>
      </c>
      <c r="E992" s="2" t="str">
        <f>IFERROR(__xludf.DUMMYFUNCTION("GOOGLETRANSLATE(C992, ""en"", ""TL"")"),"Gaya ng naunang napag-usapan, oo, sa ilalim ng batas ng Pilipinas, maaari kang kasuhan ng kidnapping kahit na hindi mo namamalayan na dinala mo ang isang taong kinikidnap. Narito ang isang refresher sa mga nauugnay na punto at karagdagang mga pagsasaalang"&amp;"-alang:
**Hindi sinasadyang Paglahok:**
Kinikilala ng Binagong Kodigo Penal (Artikulo 18) ang konsepto ng isang **accessory bago ang katotohanan**. Nalalapat ito sa isang tao na hindi sinasadyang nag-ambag sa isang krimen sa pamamagitan ng:
* Pagpaplano ("&amp;"kahit na hindi sila direktang lumahok)
* Pagbibigay ng paraan (hal., pagmamaneho ng getaway car)
* Paghihikayat sa pangunahing nagkasala
**Hindi Maingat na Imprudence:**
Ang isa pang nauugnay na konsepto ay **reckless imprudence (Article 365)**. Nalalapat"&amp;" ito kung ang iyong mga aksyon, na ginawa nang walang ingat, ay nakakatulong sa pagkidnap. Ang isang halimbawa ay maaaring pagmamaneho ng isang getaway car para sa isang taong hindi mo alam na nakatulong sa pagkidnap ng isang tao. Dito, ang ibig sabihin n"&amp;"g ""reckless imprudence"" ay kumikilos nang hindi isinasaalang-alang ang mga kahihinatnan ng iyong mga aksyon.
**Mga Depensa:**
* **Kakulangan ng Layunin:** Kung maaari mong ipakita na wala kang intensyon na lumahok sa isang kidnapping at hindi mo alam an"&amp;"g kriminal na aktibidad, maaaring mayroon kang depensa. * **Pagkakamali ng Katotohanan:** Kung nagkamali ka tungkol sa tunay na katangian ng sitwasyon at naniniwala kang nakikilahok ka sa isang legal na aktibidad, maaari itong maging isang depensa. Gayunp"&amp;"aman, ang pagkakamali ay dapat na makatwiran.
**Kahalagahan ng Konsultasyon:**
Ang mga tiyak na katotohanan ng iyong sitwasyon ay tutukuyin kung maaari kang kasuhan ng kidnapping. Narito kung bakit mahalaga ang pagkonsulta sa isang abogado:
* **Pagsusuri "&amp;"sa Iyong Tungkulin:** Maaaring suriin ng isang abogado ang mga detalye ng iyong pagkakasangkot, tulad ng kung paano ka namanipula o nalinlang, upang matukoy ang posibilidad ng mga pagsingil at mga potensyal na depensa.
* **Pag-unawa sa Batas:** Maaari nil"&amp;"ang ipaliwanag ang mga legal na prinsipyo ng hindi sinasadyang paglahok at ang antas ng kaalaman o layunin na kinakailangan para sa singil sa pagkidnap.
* **Pagprotekta sa Iyong Mga Karapatan:** Kung tatanungin ka ng tagapagpatupad ng batas, matitiyak ng "&amp;"isang abogado na protektado ang iyong mga karapatan at payuhan ka kung paano tumugon.
**Mga Salik sa Pagbabawas:**
Kung hindi mo namamalayan na nasangkot ka ngunit nakipagtulungan sa pagpapatupad ng batas sa sandaling natuklasan mo ang katotohanan, maaari"&amp;"ng ito ay isang nagpapagaan na salik sa iyong kaso, na posibleng humantong sa mas mababang mga singil o mas magaang sentensiya. **Tandaan:** Ito ay isang pangkalahatang pangkalahatang-ideya. Ang pagkonsulta sa isang abogadong may karanasan sa batas krimin"&amp;"al ay lubos na inirerekomenda. Maaari silang magbigay ng mas tiyak na pagtatasa ng iyong sitwasyon at mga potensyal na legal na kahihinatnan.")</f>
        <v>Gaya ng naunang napag-usapan, oo, sa ilalim ng batas ng Pilipinas, maaari kang kasuhan ng kidnapping kahit na hindi mo namamalayan na dinala mo ang isang taong kinikidnap. Narito ang isang refresher sa mga nauugnay na punto at karagdagang mga pagsasaalang-alang:
**Hindi sinasadyang Paglahok:**
Kinikilala ng Binagong Kodigo Penal (Artikulo 18) ang konsepto ng isang **accessory bago ang katotohanan**. Nalalapat ito sa isang tao na hindi sinasadyang nag-ambag sa isang krimen sa pamamagitan ng:
* Pagpaplano (kahit na hindi sila direktang lumahok)
* Pagbibigay ng paraan (hal., pagmamaneho ng getaway car)
* Paghihikayat sa pangunahing nagkasala
**Hindi Maingat na Imprudence:**
Ang isa pang nauugnay na konsepto ay **reckless imprudence (Article 365)**. Nalalapat ito kung ang iyong mga aksyon, na ginawa nang walang ingat, ay nakakatulong sa pagkidnap. Ang isang halimbawa ay maaaring pagmamaneho ng isang getaway car para sa isang taong hindi mo alam na nakatulong sa pagkidnap ng isang tao. Dito, ang ibig sabihin ng "reckless imprudence" ay kumikilos nang hindi isinasaalang-alang ang mga kahihinatnan ng iyong mga aksyon.
**Mga Depensa:**
* **Kakulangan ng Layunin:** Kung maaari mong ipakita na wala kang intensyon na lumahok sa isang kidnapping at hindi mo alam ang kriminal na aktibidad, maaaring mayroon kang depensa. * **Pagkakamali ng Katotohanan:** Kung nagkamali ka tungkol sa tunay na katangian ng sitwasyon at naniniwala kang nakikilahok ka sa isang legal na aktibidad, maaari itong maging isang depensa. Gayunpaman, ang pagkakamali ay dapat na makatwiran.
**Kahalagahan ng Konsultasyon:**
Ang mga tiyak na katotohanan ng iyong sitwasyon ay tutukuyin kung maaari kang kasuhan ng kidnapping. Narito kung bakit mahalaga ang pagkonsulta sa isang abogado:
* **Pagsusuri sa Iyong Tungkulin:** Maaaring suriin ng isang abogado ang mga detalye ng iyong pagkakasangkot, tulad ng kung paano ka namanipula o nalinlang, upang matukoy ang posibilidad ng mga pagsingil at mga potensyal na depensa.
* **Pag-unawa sa Batas:** Maaari nilang ipaliwanag ang mga legal na prinsipyo ng hindi sinasadyang paglahok at ang antas ng kaalaman o layunin na kinakailangan para sa singil sa pagkidnap.
* **Pagprotekta sa Iyong Mga Karapatan:** Kung tatanungin ka ng tagapagpatupad ng batas, matitiyak ng isang abogado na protektado ang iyong mga karapatan at payuhan ka kung paano tumugon.
**Mga Salik sa Pagbabawas:**
Kung hindi mo namamalayan na nasangkot ka ngunit nakipagtulungan sa pagpapatupad ng batas sa sandaling natuklasan mo ang katotohanan, maaaring ito ay isang nagpapagaan na salik sa iyong kaso, na posibleng humantong sa mas mababang mga singil o mas magaang sentensiya. **Tandaan:** Ito ay isang pangkalahatang pangkalahatang-ideya. Ang pagkonsulta sa isang abogadong may karanasan sa batas kriminal ay lubos na inirerekomenda. Maaari silang magbigay ng mas tiyak na pagtatasa ng iyong sitwasyon at mga potensyal na legal na kahihinatnan.</v>
      </c>
      <c r="F992" s="2">
        <f t="shared" si="1"/>
        <v>0</v>
      </c>
      <c r="G992" s="2"/>
      <c r="H992" s="2"/>
      <c r="I992" s="2"/>
      <c r="J992" s="2"/>
      <c r="K992" s="2"/>
      <c r="L992" s="2"/>
      <c r="M992" s="2"/>
      <c r="N992" s="2"/>
      <c r="O992" s="2"/>
      <c r="P992" s="2"/>
      <c r="Q992" s="2"/>
      <c r="R992" s="2"/>
      <c r="S992" s="2"/>
      <c r="T992" s="2"/>
      <c r="U992" s="2"/>
      <c r="V992" s="2"/>
      <c r="W992" s="2"/>
      <c r="X992" s="2"/>
      <c r="Y992" s="2"/>
      <c r="Z992" s="2"/>
      <c r="AA992" s="2"/>
    </row>
    <row r="993">
      <c r="A993" s="3" t="s">
        <v>2763</v>
      </c>
      <c r="B993" s="1" t="s">
        <v>3150</v>
      </c>
      <c r="C993" s="1" t="s">
        <v>3151</v>
      </c>
      <c r="D993" s="2" t="str">
        <f>IFERROR(__xludf.DUMMYFUNCTION("GOOGLETRANSLATE(B993, ""en"", ""TL"")"),"Paano tinutugunan ng batas ang mga kaso kung saan ang diumano'y biktima ay pinakawalan nang hindi nasaktan sa ilang sandali pagkatapos na kinidnap?")</f>
        <v>Paano tinutugunan ng batas ang mga kaso kung saan ang diumano'y biktima ay pinakawalan nang hindi nasaktan sa ilang sandali pagkatapos na kinidnap?</v>
      </c>
      <c r="E993" s="2" t="str">
        <f>IFERROR(__xludf.DUMMYFUNCTION("GOOGLETRANSLATE(C993, ""en"", ""TL"")"),"Sa Pilipinas, mahigpit ang paninindigan ng batas sa pagkidnap, kahit na ang biktima ay pinalaya nang hindi nasaktan pagkatapos ng pagdukot. Narito ang isang breakdown kung paano tinutugunan ng batas ang mga ganitong kaso:
**Layunin ang Pinakamahalaga:**
*"&amp;" **Revised Penal Code (RPC) Article 267:** Itong pangunahing probisyon sa kidnapping, partikular sa Seksyon 4, ay tumutugon sa kidnapping for ransom. Ang mahalagang elemento ay ang **layunin** sa likod ng akto: ""Ang parusa ng reclusion perpetua hanggang "&amp;"kamatayan ay ipapataw sa sinumang tao na, ... kumidnap o nang-aagaw ng iba, na may layuning kumuha ng pantubos...""
* **Tumutok sa Layunin:** Nakatuon ang batas ng Pilipinas sa **layuning alisin ang kalayaan ng isang tao** at posibleng mangikil ng isang b"&amp;"agay na may halaga (pantubos), anuman ang tagal ng pagkidnap o ang kondisyon ng biktima sa paglaya.
**Mga Kaso at Precedent:**
* **Mga Desisyon ng Korte Suprema:** Ang mga desisyon tulad ng People vs. Borja (G.R. No. 199710) ay binibigyang-diin na ang par"&amp;"tikular na anyo ng ransom ay hindi mahalaga. Ang layunin na kunin ang isang bagay na mahalaga, kahit na hindi pera, ay tumutupad sa mga elemento ng krimen.
**Ang Pagpapalaya ay Hindi Pinababayaan ang Krimen:**
* **Paglaya ng Biktima:** Ang katotohanan na "&amp;"ang biktima ay pinalaya sa kalaunan nang hindi nasaktan ay hindi nagbubura sa mismong krimen. Ang layuning dukutin at posibleng mangikil ng ransom ay tumutukoy sa pagkakasala.
* **Pagbabayad sa Pantubos:** Kung talagang binayaran ang ransom ay hindi nauug"&amp;"nay. Ang **intent to extort** ay sapat na para magawa ang krimen.
**Mga Potensyal na Depensa (Bagaman Mapanghamon):**
* **Pagkakamali ng Katotohanan:** Kung ang akusado ay tunay na naniniwala na hindi sila nakikilahok sa isang kidnapping para sa ransom, i"&amp;"to ay maaaring isang depensa (ngunit mahirap patunayan).
* **Pagpipilit:** Kung ang akusado ay napilitang lumahok sa ilalim ng banta ng karahasan, ito ay maaaring isang depensa (ngunit nangangailangan ng malinaw na ebidensya ng pamimilit).
**Kahalagahan n"&amp;"g Legal na Tagapayo:**
Ang pagkonsulta sa isang abogadong may karanasan sa batas kriminal ay mahalaga kung mahaharap ka sa mga kaso ng kidnapping, kahit na ang biktima ay pinalaya nang hindi nasaktan. Maaari nilang suriin ang iyong partikular na sitwasyon"&amp;" at tuklasin ang mga potensyal na depensa:
* **Pagtatasa ng Layunin:** Makakatulong sila sa iyo na matukoy kung ang iyong mga aksyon ay tunay na nagpapakita ng layuning lumahok sa isang kidnapping.
* **Mitigating Factors:** Maaari nilang tuklasin kung may"&amp;"roong anumang nagpapagaan na salik sa iyong kaso, tulad ng agarang pakikipagtulungan sa mga awtoridad kapag napagtanto ang sitwasyon. * **Legal na Representasyon:** Maaari silang kumatawan sa iyo sa hukuman at magsulong para sa pinakamahusay na posibleng "&amp;"resulta. Narito ang ilang mga mapagkukunan para sa karagdagang sanggunian:
* Philippine National Police (PNP): [https://pnp.gov.ph/](https://pnp.gov.ph/)
* Department of Justice (DOJ): [https://www.doj.gov.ph/](https://www.doj.gov.ph/)
Tandaan, ito ay isa"&amp;"ng pangkalahatang pangkalahatang-ideya. Bagama't positibo ang pagpapalaya para sa biktima, hindi nito pinababayaan ang kabigatan ng krimen sa mata ng batas. Ang pagkonsulta sa isang abogado ay maaaring magbigay ng isang mas tumpak na pagtatasa ng iyong si"&amp;"twasyon at mga potensyal na legal na kahihinatnan.")</f>
        <v>Sa Pilipinas, mahigpit ang paninindigan ng batas sa pagkidnap, kahit na ang biktima ay pinalaya nang hindi nasaktan pagkatapos ng pagdukot. Narito ang isang breakdown kung paano tinutugunan ng batas ang mga ganitong kaso:
**Layunin ang Pinakamahalaga:**
* **Revised Penal Code (RPC) Article 267:** Itong pangunahing probisyon sa kidnapping, partikular sa Seksyon 4, ay tumutugon sa kidnapping for ransom. Ang mahalagang elemento ay ang **layunin** sa likod ng akto: "Ang parusa ng reclusion perpetua hanggang kamatayan ay ipapataw sa sinumang tao na, ... kumidnap o nang-aagaw ng iba, na may layuning kumuha ng pantubos..."
* **Tumutok sa Layunin:** Nakatuon ang batas ng Pilipinas sa **layuning alisin ang kalayaan ng isang tao** at posibleng mangikil ng isang bagay na may halaga (pantubos), anuman ang tagal ng pagkidnap o ang kondisyon ng biktima sa paglaya.
**Mga Kaso at Precedent:**
* **Mga Desisyon ng Korte Suprema:** Ang mga desisyon tulad ng People vs. Borja (G.R. No. 199710) ay binibigyang-diin na ang partikular na anyo ng ransom ay hindi mahalaga. Ang layunin na kunin ang isang bagay na mahalaga, kahit na hindi pera, ay tumutupad sa mga elemento ng krimen.
**Ang Pagpapalaya ay Hindi Pinababayaan ang Krimen:**
* **Paglaya ng Biktima:** Ang katotohanan na ang biktima ay pinalaya sa kalaunan nang hindi nasaktan ay hindi nagbubura sa mismong krimen. Ang layuning dukutin at posibleng mangikil ng ransom ay tumutukoy sa pagkakasala.
* **Pagbabayad sa Pantubos:** Kung talagang binayaran ang ransom ay hindi nauugnay. Ang **intent to extort** ay sapat na para magawa ang krimen.
**Mga Potensyal na Depensa (Bagaman Mapanghamon):**
* **Pagkakamali ng Katotohanan:** Kung ang akusado ay tunay na naniniwala na hindi sila nakikilahok sa isang kidnapping para sa ransom, ito ay maaaring isang depensa (ngunit mahirap patunayan).
* **Pagpipilit:** Kung ang akusado ay napilitang lumahok sa ilalim ng banta ng karahasan, ito ay maaaring isang depensa (ngunit nangangailangan ng malinaw na ebidensya ng pamimilit).
**Kahalagahan ng Legal na Tagapayo:**
Ang pagkonsulta sa isang abogadong may karanasan sa batas kriminal ay mahalaga kung mahaharap ka sa mga kaso ng kidnapping, kahit na ang biktima ay pinalaya nang hindi nasaktan. Maaari nilang suriin ang iyong partikular na sitwasyon at tuklasin ang mga potensyal na depensa:
* **Pagtatasa ng Layunin:** Makakatulong sila sa iyo na matukoy kung ang iyong mga aksyon ay tunay na nagpapakita ng layuning lumahok sa isang kidnapping.
* **Mitigating Factors:** Maaari nilang tuklasin kung mayroong anumang nagpapagaan na salik sa iyong kaso, tulad ng agarang pakikipagtulungan sa mga awtoridad kapag napagtanto ang sitwasyon. * **Legal na Representasyon:** Maaari silang kumatawan sa iyo sa hukuman at magsulong para sa pinakamahusay na posibleng resulta. Narito ang ilang mga mapagkukunan para sa karagdagang sanggunian:
* Philippine National Police (PNP): [https://pnp.gov.ph/](https://pnp.gov.ph/)
* Department of Justice (DOJ): [https://www.doj.gov.ph/](https://www.doj.gov.ph/)
Tandaan, ito ay isang pangkalahatang pangkalahatang-ideya. Bagama't positibo ang pagpapalaya para sa biktima, hindi nito pinababayaan ang kabigatan ng krimen sa mata ng batas. Ang pagkonsulta sa isang abogado ay maaaring magbigay ng isang mas tumpak na pagtatasa ng iyong sitwasyon at mga potensyal na legal na kahihinatnan.</v>
      </c>
      <c r="F993" s="2">
        <f t="shared" si="1"/>
        <v>0</v>
      </c>
      <c r="G993" s="2"/>
      <c r="H993" s="2"/>
      <c r="I993" s="2"/>
      <c r="J993" s="2"/>
      <c r="K993" s="2"/>
      <c r="L993" s="2"/>
      <c r="M993" s="2"/>
      <c r="N993" s="2"/>
      <c r="O993" s="2"/>
      <c r="P993" s="2"/>
      <c r="Q993" s="2"/>
      <c r="R993" s="2"/>
      <c r="S993" s="2"/>
      <c r="T993" s="2"/>
      <c r="U993" s="2"/>
      <c r="V993" s="2"/>
      <c r="W993" s="2"/>
      <c r="X993" s="2"/>
      <c r="Y993" s="2"/>
      <c r="Z993" s="2"/>
      <c r="AA993" s="2"/>
    </row>
    <row r="994">
      <c r="A994" s="3" t="s">
        <v>2763</v>
      </c>
      <c r="B994" s="1" t="s">
        <v>3152</v>
      </c>
      <c r="C994" s="1" t="s">
        <v>3153</v>
      </c>
      <c r="D994" s="2" t="str">
        <f>IFERROR(__xludf.DUMMYFUNCTION("GOOGLETRANSLATE(B994, ""en"", ""TL"")"),"Maaari bang tanggalin ang isang singil sa pagkidnap mula sa aking rekord kung ako ay napawalang-sala o ang mga singil ay natanggal?")</f>
        <v>Maaari bang tanggalin ang isang singil sa pagkidnap mula sa aking rekord kung ako ay napawalang-sala o ang mga singil ay natanggal?</v>
      </c>
      <c r="E994" s="2" t="str">
        <f>IFERROR(__xludf.DUMMYFUNCTION("GOOGLETRANSLATE(C994, ""en"", ""TL"")"),"Ang Pilipinas ay may mas limitadong proseso ng expungement kumpara sa ilang ibang bansa. Narito ang kailangan mong malaman tungkol sa pag-alis ng singil sa pagkidnap sa Pilipinas:
* **Ang Pagpapawalang-sala o Pagbaba ng mga Singilin ay Hindi Awtomatikong "&amp;"Nauuwi sa Pag-alis:** Sa kasamaang-palad, ang simpleng pagpapawalang-sala sa isang singil sa pagkidnap o pagbaba ng mga singil ay hindi awtomatikong mabubura ito sa iyong tala. * **Acquittal with Finality:** Gayunpaman, ang isang acquittal **with finality"&amp;"** (ibig sabihin ang lahat ng apela ay naubos na o ang deadline ng pag-apela) ay maaaring maging batayan para sa isang petisyon para sa pagkansela ng criminal record sa ilalim ng batas ng Pilipinas .
**Petisyon para sa Pagkansela ng Criminal Record:**
* *"&amp;"*Mga Kinakailangan:** Upang maghain ng petisyon para sa pagkansela ng iyong criminal record, kakailanganin mong matugunan ang mga partikular na kinakailangan:
* Ikaw ay dapat na isang mamamayang Pilipino.
* Dapat ay hindi ka nahatulan ng anumang iba pang "&amp;"krimen (maliban sa napakaliit na pagkakasala).
* Dapat ay nagpakita ka na ng mabuting moral na karakter mula nang mapawalang-sala.
* **Proseso:** Ang petisyon para sa pagkansela ay inihain sa korte na naglabas ng desisyon sa pagpapawalang-sala. Ang proses"&amp;"o ay maaaring maging kumplikado at matagal.
**Naghahanap ng Legal na Tagapayo:**
Ang pagkonsulta sa isang abogado na may karanasan sa mga pamamaraan ng expungement ay lubos na inirerekomenda. Maaari silang:
* **Assess Eligibility:** Suriin ang iyong parti"&amp;"kular na sitwasyon at tukuyin kung natutugunan mo ang pamantayan para sa paghahain ng petisyon para sa pagkansela.
* **Mag-navigate sa Proseso:** Gabayan ka sa mga legal na pamamaraan na kasangkot sa paghahain ng petisyon.
* **Palakihin ang mga Tsansang M"&amp;"agtatagumpay:** Palakihin ang iyong mga pagkakataon ng isang matagumpay na resulta sa pamamagitan ng pagtiyak na ang petisyon ay maayos na inihanda at naihain.
**Mga Alternatibong Solusyon:**
Kung hindi ka karapat-dapat para sa pagkansela dahil sa iba pan"&amp;"g mga paghatol sa iyong rekord, maaaring tuklasin ng isang abogado ang mga alternatibong solusyon tulad ng:
* **Pag-secure ng Certificate of Final Disposition:** Ipinapakita ng dokumentong ito na na-dismiss ang kaso o naabsuwelto ka. Bagama't hindi isang "&amp;"expungement, maaari itong makatulong sa ilang sitwasyon.
**Mahalagang Paalala:**
Ang proseso at mga kinakailangan para sa pagtanggal o pagkansela ng mga kriminal na rekord ay maaaring magbago. Ang pagkonsulta sa isang abogado ay nagsisiguro na mayroon kan"&amp;"g pinakabagong impormasyon at gabay batay sa kasalukuyang batas ng Pilipinas.")</f>
        <v>Ang Pilipinas ay may mas limitadong proseso ng expungement kumpara sa ilang ibang bansa. Narito ang kailangan mong malaman tungkol sa pag-alis ng singil sa pagkidnap sa Pilipinas:
* **Ang Pagpapawalang-sala o Pagbaba ng mga Singilin ay Hindi Awtomatikong Nauuwi sa Pag-alis:** Sa kasamaang-palad, ang simpleng pagpapawalang-sala sa isang singil sa pagkidnap o pagbaba ng mga singil ay hindi awtomatikong mabubura ito sa iyong tala. * **Acquittal with Finality:** Gayunpaman, ang isang acquittal **with finality** (ibig sabihin ang lahat ng apela ay naubos na o ang deadline ng pag-apela) ay maaaring maging batayan para sa isang petisyon para sa pagkansela ng criminal record sa ilalim ng batas ng Pilipinas .
**Petisyon para sa Pagkansela ng Criminal Record:**
* **Mga Kinakailangan:** Upang maghain ng petisyon para sa pagkansela ng iyong criminal record, kakailanganin mong matugunan ang mga partikular na kinakailangan:
* Ikaw ay dapat na isang mamamayang Pilipino.
* Dapat ay hindi ka nahatulan ng anumang iba pang krimen (maliban sa napakaliit na pagkakasala).
* Dapat ay nagpakita ka na ng mabuting moral na karakter mula nang mapawalang-sala.
* **Proseso:** Ang petisyon para sa pagkansela ay inihain sa korte na naglabas ng desisyon sa pagpapawalang-sala. Ang proseso ay maaaring maging kumplikado at matagal.
**Naghahanap ng Legal na Tagapayo:**
Ang pagkonsulta sa isang abogado na may karanasan sa mga pamamaraan ng expungement ay lubos na inirerekomenda. Maaari silang:
* **Assess Eligibility:** Suriin ang iyong partikular na sitwasyon at tukuyin kung natutugunan mo ang pamantayan para sa paghahain ng petisyon para sa pagkansela.
* **Mag-navigate sa Proseso:** Gabayan ka sa mga legal na pamamaraan na kasangkot sa paghahain ng petisyon.
* **Palakihin ang mga Tsansang Magtatagumpay:** Palakihin ang iyong mga pagkakataon ng isang matagumpay na resulta sa pamamagitan ng pagtiyak na ang petisyon ay maayos na inihanda at naihain.
**Mga Alternatibong Solusyon:**
Kung hindi ka karapat-dapat para sa pagkansela dahil sa iba pang mga paghatol sa iyong rekord, maaaring tuklasin ng isang abogado ang mga alternatibong solusyon tulad ng:
* **Pag-secure ng Certificate of Final Disposition:** Ipinapakita ng dokumentong ito na na-dismiss ang kaso o naabsuwelto ka. Bagama't hindi isang expungement, maaari itong makatulong sa ilang sitwasyon.
**Mahalagang Paalala:**
Ang proseso at mga kinakailangan para sa pagtanggal o pagkansela ng mga kriminal na rekord ay maaaring magbago. Ang pagkonsulta sa isang abogado ay nagsisiguro na mayroon kang pinakabagong impormasyon at gabay batay sa kasalukuyang batas ng Pilipinas.</v>
      </c>
      <c r="F994" s="2">
        <f t="shared" si="1"/>
        <v>0</v>
      </c>
      <c r="G994" s="2"/>
      <c r="H994" s="2"/>
      <c r="I994" s="2"/>
      <c r="J994" s="2"/>
      <c r="K994" s="2"/>
      <c r="L994" s="2"/>
      <c r="M994" s="2"/>
      <c r="N994" s="2"/>
      <c r="O994" s="2"/>
      <c r="P994" s="2"/>
      <c r="Q994" s="2"/>
      <c r="R994" s="2"/>
      <c r="S994" s="2"/>
      <c r="T994" s="2"/>
      <c r="U994" s="2"/>
      <c r="V994" s="2"/>
      <c r="W994" s="2"/>
      <c r="X994" s="2"/>
      <c r="Y994" s="2"/>
      <c r="Z994" s="2"/>
      <c r="AA994" s="2"/>
    </row>
    <row r="995">
      <c r="A995" s="3" t="s">
        <v>2763</v>
      </c>
      <c r="B995" s="1" t="s">
        <v>3154</v>
      </c>
      <c r="C995" s="1" t="s">
        <v>3155</v>
      </c>
      <c r="D995" s="2" t="str">
        <f>IFERROR(__xludf.DUMMYFUNCTION("GOOGLETRANSLATE(B995, ""en"", ""TL"")"),"Paano tinutugunan ng batas ang mga kaso kung saan ang testimonya ng sinasabing biktima ay hindi mapagkakatiwalaan o kontradiksyon?")</f>
        <v>Paano tinutugunan ng batas ang mga kaso kung saan ang testimonya ng sinasabing biktima ay hindi mapagkakatiwalaan o kontradiksyon?</v>
      </c>
      <c r="E995" s="2" t="str">
        <f>IFERROR(__xludf.DUMMYFUNCTION("GOOGLETRANSLATE(C995, ""en"", ""TL"")"),"Sa Pilipinas, ang batas ay lumalapit sa mga kaso kung saan ang testimonya ng sinasabing biktima sa isang kaso ng kidnapping ay hindi mapagkakatiwalaan o kontradiksyon nang may pag-iingat. Narito ang isang breakdown kung paano maaaring pangasiwaan ng mga k"&amp;"orte ang mga ganitong sitwasyon:
* **Presumption of Innocence:** Pinaninindigan ng sistema ng hustisya ng Pilipinas ang presumption of innocence (Artikulo III, Seksyon 14 ng Konstitusyon). Nangangahulugan ito na ang pasanin ng patunay ay nakasalalay sa pr"&amp;"osekusyon upang itatag ang pagkakasala ng akusado nang lampas sa makatwirang pagdududa.
* **Pagsusuri sa Testimonya ng Biktima:** Bagama't mahalaga ang testimonya ng biktima, hindi lamang aasa ang mga hukuman dito kung may mga hindi pagkakapare-pareho o p"&amp;"agdududa. Isasaalang-alang ng mga hukom ang mga salik tulad ng:
* **Kredibilidad ng Saksi:** Ang kilos, edad, at potensyal na motibo ng biktima sa pagbibigay ng hindi tumpak na impormasyon ay sinusuri lahat.
* **Nagpapatibay na Ebidensya:** Maaaring palak"&amp;"asin o pahinain ng pisikal na ebidensya, testimonya ng saksi, alibi, o CCTV footage ang account ng biktima.
* **Inconsistencies at Contradictions:** Ang mga maliliit na inconsistencies ay maaaring maiugnay sa memory lapses o sa emosyonal na trauma ng kara"&amp;"nasan. Gayunpaman, ang mga makabuluhang kontradiksyon o hindi pagkakapare-pareho ay maaaring magdulot ng mga pagdududa tungkol sa katumpakan ng patotoo.
* **Mahalaga ang Iba Pang Ebidensya:** Sa mga kaso na may hindi mapagkakatiwalaan o salungat na patoto"&amp;"o ng biktima, ang isang malakas na kaso na may iba pang uri ng ebidensya ay mahalaga para sa isang paghatol. Maaaring kabilang dito ang:
* Forensic na ebidensya mula sa pinangyarihan ng krimen
* Saksihan ang mga testimonya mula sa mga bystanders o mga tao"&amp;"ng nakakita sa akusado kasama ng biktima
* Mga rekord ng telepono o elektronikong ebidensya na naglalagay ng akusado sa pinangyarihan
**Tungkulin ng Depensa:**
* **Pagbibigay-diin sa mga Pabagu-bago:** Malamang na i-highlight ng abogado ng depensa ang anu"&amp;"mang mga hindi pagkakapare-pareho o kontradiksyon sa testimonya ng biktima upang magduda sa kaso ng prosekusyon.
* **Mga Alternatibong Paliwanag:** Ang depensa ay maaaring mag-alok ng mga alternatibong paliwanag para sa mga kaganapan, na posibleng lumikha"&amp;" ng makatwirang pagdududa tungkol sa pagkidnap o pagkakasangkot ng akusado.
**Potensyal na Resulta:**
* **Paghatol:** Kung, sa kabila ng mga hindi pagkakapare-pareho, ang prosekusyon ay maaaring magharap ng isang nakakahimok na kaso na may iba pang mga an"&amp;"yo ng ebidensya, ang isang paghatol ay posible pa rin. * **Acquittal:** Kung ang mga hindi pagkakapare-pareho sa testimonya ng biktima, kasama ng kakulangan ng matibay na ebidensyang sumusuporta, ay lumikha ng makatwirang pagdududa, ang akusado ay maaarin"&amp;"g mapawalang-sala.
**Kahalagahan ng Legal na Tagapayo:**
Ang isang abogado na may karanasan sa criminal defense ay mahalaga sa mga ganitong kaso. Maaari silang:
* **Suriin ang Testimonya ng Biktima:** Kritikal na suriin ang mga pahayag ng biktima at tukuy"&amp;"in ang mga hindi pagkakapare-pareho.
* **Magtipon ng Mga Pansuportang Ebidensya:** Tumulong na mangalap ng ebidensya na nagpapatibay sa kaso ng depensa at naglalabas ng makatwirang pagdududa.
* **Bumuo ng Diskarte sa Depensa:** Gumawa ng legal na diskarte"&amp;" na gumagamit ng mga kahinaan sa kaso ng prosekusyon at ang hindi pagiging maaasahan ng testimonya ng biktima.
**Tandaan:**
* Ang bawat kaso ay natatangi. Ang tiyak na bigat na ibinigay sa testimonya ng biktima ay nakasalalay sa mga detalye ng sitwasyon a"&amp;"t sa pagkakaroon ng iba pang ebidensya.
* Ang isang malakas na diskarte sa pagtatanggol na nagha-highlight ng mga hindi pagkakapare-pareho at nangangalap ng mga sumusuportang ebidensya ay maaaring maging mahalaga sa mga naturang kaso. Ang pagkonsulta sa i"&amp;"sang abogado ay lubos na inirerekomenda upang i-navigate ang mga kumplikado ng legal na proseso.")</f>
        <v>Sa Pilipinas, ang batas ay lumalapit sa mga kaso kung saan ang testimonya ng sinasabing biktima sa isang kaso ng kidnapping ay hindi mapagkakatiwalaan o kontradiksyon nang may pag-iingat. Narito ang isang breakdown kung paano maaaring pangasiwaan ng mga korte ang mga ganitong sitwasyon:
* **Presumption of Innocence:** Pinaninindigan ng sistema ng hustisya ng Pilipinas ang presumption of innocence (Artikulo III, Seksyon 14 ng Konstitusyon). Nangangahulugan ito na ang pasanin ng patunay ay nakasalalay sa prosekusyon upang itatag ang pagkakasala ng akusado nang lampas sa makatwirang pagdududa.
* **Pagsusuri sa Testimonya ng Biktima:** Bagama't mahalaga ang testimonya ng biktima, hindi lamang aasa ang mga hukuman dito kung may mga hindi pagkakapare-pareho o pagdududa. Isasaalang-alang ng mga hukom ang mga salik tulad ng:
* **Kredibilidad ng Saksi:** Ang kilos, edad, at potensyal na motibo ng biktima sa pagbibigay ng hindi tumpak na impormasyon ay sinusuri lahat.
* **Nagpapatibay na Ebidensya:** Maaaring palakasin o pahinain ng pisikal na ebidensya, testimonya ng saksi, alibi, o CCTV footage ang account ng biktima.
* **Inconsistencies at Contradictions:** Ang mga maliliit na inconsistencies ay maaaring maiugnay sa memory lapses o sa emosyonal na trauma ng karanasan. Gayunpaman, ang mga makabuluhang kontradiksyon o hindi pagkakapare-pareho ay maaaring magdulot ng mga pagdududa tungkol sa katumpakan ng patotoo.
* **Mahalaga ang Iba Pang Ebidensya:** Sa mga kaso na may hindi mapagkakatiwalaan o salungat na patotoo ng biktima, ang isang malakas na kaso na may iba pang uri ng ebidensya ay mahalaga para sa isang paghatol. Maaaring kabilang dito ang:
* Forensic na ebidensya mula sa pinangyarihan ng krimen
* Saksihan ang mga testimonya mula sa mga bystanders o mga taong nakakita sa akusado kasama ng biktima
* Mga rekord ng telepono o elektronikong ebidensya na naglalagay ng akusado sa pinangyarihan
**Tungkulin ng Depensa:**
* **Pagbibigay-diin sa mga Pabagu-bago:** Malamang na i-highlight ng abogado ng depensa ang anumang mga hindi pagkakapare-pareho o kontradiksyon sa testimonya ng biktima upang magduda sa kaso ng prosekusyon.
* **Mga Alternatibong Paliwanag:** Ang depensa ay maaaring mag-alok ng mga alternatibong paliwanag para sa mga kaganapan, na posibleng lumikha ng makatwirang pagdududa tungkol sa pagkidnap o pagkakasangkot ng akusado.
**Potensyal na Resulta:**
* **Paghatol:** Kung, sa kabila ng mga hindi pagkakapare-pareho, ang prosekusyon ay maaaring magharap ng isang nakakahimok na kaso na may iba pang mga anyo ng ebidensya, ang isang paghatol ay posible pa rin. * **Acquittal:** Kung ang mga hindi pagkakapare-pareho sa testimonya ng biktima, kasama ng kakulangan ng matibay na ebidensyang sumusuporta, ay lumikha ng makatwirang pagdududa, ang akusado ay maaaring mapawalang-sala.
**Kahalagahan ng Legal na Tagapayo:**
Ang isang abogado na may karanasan sa criminal defense ay mahalaga sa mga ganitong kaso. Maaari silang:
* **Suriin ang Testimonya ng Biktima:** Kritikal na suriin ang mga pahayag ng biktima at tukuyin ang mga hindi pagkakapare-pareho.
* **Magtipon ng Mga Pansuportang Ebidensya:** Tumulong na mangalap ng ebidensya na nagpapatibay sa kaso ng depensa at naglalabas ng makatwirang pagdududa.
* **Bumuo ng Diskarte sa Depensa:** Gumawa ng legal na diskarte na gumagamit ng mga kahinaan sa kaso ng prosekusyon at ang hindi pagiging maaasahan ng testimonya ng biktima.
**Tandaan:**
* Ang bawat kaso ay natatangi. Ang tiyak na bigat na ibinigay sa testimonya ng biktima ay nakasalalay sa mga detalye ng sitwasyon at sa pagkakaroon ng iba pang ebidensya.
* Ang isang malakas na diskarte sa pagtatanggol na nagha-highlight ng mga hindi pagkakapare-pareho at nangangalap ng mga sumusuportang ebidensya ay maaaring maging mahalaga sa mga naturang kaso. Ang pagkonsulta sa isang abogado ay lubos na inirerekomenda upang i-navigate ang mga kumplikado ng legal na proseso.</v>
      </c>
      <c r="F995" s="2">
        <f t="shared" si="1"/>
        <v>0</v>
      </c>
      <c r="G995" s="2"/>
      <c r="H995" s="2"/>
      <c r="I995" s="2"/>
      <c r="J995" s="2"/>
      <c r="K995" s="2"/>
      <c r="L995" s="2"/>
      <c r="M995" s="2"/>
      <c r="N995" s="2"/>
      <c r="O995" s="2"/>
      <c r="P995" s="2"/>
      <c r="Q995" s="2"/>
      <c r="R995" s="2"/>
      <c r="S995" s="2"/>
      <c r="T995" s="2"/>
      <c r="U995" s="2"/>
      <c r="V995" s="2"/>
      <c r="W995" s="2"/>
      <c r="X995" s="2"/>
      <c r="Y995" s="2"/>
      <c r="Z995" s="2"/>
      <c r="AA995" s="2"/>
    </row>
    <row r="996">
      <c r="A996" s="3" t="s">
        <v>2763</v>
      </c>
      <c r="B996" s="1" t="s">
        <v>3156</v>
      </c>
      <c r="C996" s="1" t="s">
        <v>3157</v>
      </c>
      <c r="D996" s="2" t="str">
        <f>IFERROR(__xludf.DUMMYFUNCTION("GOOGLETRANSLATE(B996, ""en"", ""TL"")"),"Ano ang aking mga legal na karapatan kung ako ay biktima ng karahasan sa tahanan?")</f>
        <v>Ano ang aking mga legal na karapatan kung ako ay biktima ng karahasan sa tahanan?</v>
      </c>
      <c r="E996" s="2" t="str">
        <f>IFERROR(__xludf.DUMMYFUNCTION("GOOGLETRANSLATE(C996, ""en"", ""TL"")"),"Ang Pilipinas ay nagtatag ng mga legal na proteksyon para sa mga biktima ng karahasan sa tahanan. Narito ang isang breakdown ng iyong mga karapatan sa ilalim ng Anti-Violence Against Women and their Children Act of 2004 (RA 9262):
**Mga Order sa Proteksyo"&amp;"n:**
* **Barangay Protection Order (BPO):** Maaari kang maghain ng BPO sa iyong barangay captain para sa agarang proteksyon. Maaari nitong utusan ang nang-aabuso na umalis sa tirahan, lumayo sa iyo at sa iyong mga anak, at ipagbawal ang karagdagang karaha"&amp;"san nang hanggang 30 araw.
* **Temporary Protection Order (TPO):** Maaari kang humingi ng TPO mula sa Family Court para sa mas mahabang panahon (hanggang anim na buwan) na may posibleng pag-renew. Nag-aalok ito ng mga katulad na proteksyon bilang isang BP"&amp;"O at maaari ding paghigpitan ang pakikipag-usap ng nang-aabuso sa iyo at sa iyong mga anak.
* **Permanent Protection Order (PPO):** Sa korte, maaari kang humiling ng PPO para sa pangmatagalang proteksyon. Maaaring kasama sa order na ito ang mga probisyon "&amp;"tulad ng:
* Pagbubukod mula sa tirahan
* Pagbabawal sa pakikipag-ugnayan sa iyo o sa iyong mga anak
* Pinansyal na suporta para sa iyo at sa iyong mga anak
**Karapatang Magsampa ng Mga Singil sa Kriminal:**
* May karapatan kang magsampa ng mga kasong krim"&amp;"inal laban sa iyong nang-aabuso para sa iba't ibang gawain ng karahasan sa ilalim ng RA 9262, tulad ng pisikal, sekswal, sikolohikal na pang-aabuso, o pang-ekonomiyang pang-aabuso. Ang mga ito ay maaaring humantong sa mga parusa tulad ng pagkakulong at mu"&amp;"lta.
**Karapatan sa Ligtas na Akomodasyon:**
* May karapatan kang ma-access ang mga ligtas na shelter o crisis intervention centers na pinapatakbo ng gobyerno o NGOs. Ang mga pasilidad na ito ay nagbibigay ng pansamantalang akomodasyon, pagpapayo, at iba "&amp;"pang mga serbisyo ng suporta.
**Karapatan sa Legal na Tulong:**
* Nagbibigay ang gobyerno ng libreng legal na tulong sa mga biktima ng karahasan sa tahanan sa pamamagitan ng Public Attorney's Office (PAO). Maaari ka ring humingi ng tulong sa mga pribadong"&amp;" abogado na dalubhasa sa batas ng pamilya o mga karapatan ng kababaihan. **Mga Karagdagang Mapagkukunan:**
* Department of Justice (DOJ) - VAWC Help Desk: [https://www.doj.gov.ph/](https://www.doj.gov.ph/) (Hanapin ang impormasyon sa pakikipag-ugnayan sa "&amp;"Help Desk ng VAWC)
* Philippine Commission on Women (PCW): [https://pcw.gov.ph/](https://pcw.gov.ph/) * PAO Website: [https://pao.gov.ph/]( https://pao.gov.ph/)
**Tandaan:** * Hindi ka nag-iisa. Mayroong mga mapagkukunang magagamit upang matulungan ka.
* "&amp;"May karapatan kang mamuhay nang walang karahasan. * Ang paggawa ng legal na aksyon ay maaaring maprotektahan ang iyong sarili at ang iyong mga anak.
Kung nakakaranas ka ng karahasan sa tahanan, mahalagang humingi ng tulong at suporta. Pag-isipang makipag-"&amp;"ugnayan sa isang pinagkakatiwalaang kaibigan, miyembro ng pamilya, o isang krisis hotline para sa agarang tulong.")</f>
        <v>Ang Pilipinas ay nagtatag ng mga legal na proteksyon para sa mga biktima ng karahasan sa tahanan. Narito ang isang breakdown ng iyong mga karapatan sa ilalim ng Anti-Violence Against Women and their Children Act of 2004 (RA 9262):
**Mga Order sa Proteksyon:**
* **Barangay Protection Order (BPO):** Maaari kang maghain ng BPO sa iyong barangay captain para sa agarang proteksyon. Maaari nitong utusan ang nang-aabuso na umalis sa tirahan, lumayo sa iyo at sa iyong mga anak, at ipagbawal ang karagdagang karahasan nang hanggang 30 araw.
* **Temporary Protection Order (TPO):** Maaari kang humingi ng TPO mula sa Family Court para sa mas mahabang panahon (hanggang anim na buwan) na may posibleng pag-renew. Nag-aalok ito ng mga katulad na proteksyon bilang isang BPO at maaari ding paghigpitan ang pakikipag-usap ng nang-aabuso sa iyo at sa iyong mga anak.
* **Permanent Protection Order (PPO):** Sa korte, maaari kang humiling ng PPO para sa pangmatagalang proteksyon. Maaaring kasama sa order na ito ang mga probisyon tulad ng:
* Pagbubukod mula sa tirahan
* Pagbabawal sa pakikipag-ugnayan sa iyo o sa iyong mga anak
* Pinansyal na suporta para sa iyo at sa iyong mga anak
**Karapatang Magsampa ng Mga Singil sa Kriminal:**
* May karapatan kang magsampa ng mga kasong kriminal laban sa iyong nang-aabuso para sa iba't ibang gawain ng karahasan sa ilalim ng RA 9262, tulad ng pisikal, sekswal, sikolohikal na pang-aabuso, o pang-ekonomiyang pang-aabuso. Ang mga ito ay maaaring humantong sa mga parusa tulad ng pagkakulong at multa.
**Karapatan sa Ligtas na Akomodasyon:**
* May karapatan kang ma-access ang mga ligtas na shelter o crisis intervention centers na pinapatakbo ng gobyerno o NGOs. Ang mga pasilidad na ito ay nagbibigay ng pansamantalang akomodasyon, pagpapayo, at iba pang mga serbisyo ng suporta.
**Karapatan sa Legal na Tulong:**
* Nagbibigay ang gobyerno ng libreng legal na tulong sa mga biktima ng karahasan sa tahanan sa pamamagitan ng Public Attorney's Office (PAO). Maaari ka ring humingi ng tulong sa mga pribadong abogado na dalubhasa sa batas ng pamilya o mga karapatan ng kababaihan. **Mga Karagdagang Mapagkukunan:**
* Department of Justice (DOJ) - VAWC Help Desk: [https://www.doj.gov.ph/](https://www.doj.gov.ph/) (Hanapin ang impormasyon sa pakikipag-ugnayan sa Help Desk ng VAWC)
* Philippine Commission on Women (PCW): [https://pcw.gov.ph/](https://pcw.gov.ph/) * PAO Website: [https://pao.gov.ph/]( https://pao.gov.ph/)
**Tandaan:** * Hindi ka nag-iisa. Mayroong mga mapagkukunang magagamit upang matulungan ka.
* May karapatan kang mamuhay nang walang karahasan. * Ang paggawa ng legal na aksyon ay maaaring maprotektahan ang iyong sarili at ang iyong mga anak.
Kung nakakaranas ka ng karahasan sa tahanan, mahalagang humingi ng tulong at suporta. Pag-isipang makipag-ugnayan sa isang pinagkakatiwalaang kaibigan, miyembro ng pamilya, o isang krisis hotline para sa agarang tulong.</v>
      </c>
      <c r="F996" s="2">
        <f t="shared" si="1"/>
        <v>0</v>
      </c>
      <c r="G996" s="2"/>
      <c r="H996" s="2"/>
      <c r="I996" s="2"/>
      <c r="J996" s="2"/>
      <c r="K996" s="2"/>
      <c r="L996" s="2"/>
      <c r="M996" s="2"/>
      <c r="N996" s="2"/>
      <c r="O996" s="2"/>
      <c r="P996" s="2"/>
      <c r="Q996" s="2"/>
      <c r="R996" s="2"/>
      <c r="S996" s="2"/>
      <c r="T996" s="2"/>
      <c r="U996" s="2"/>
      <c r="V996" s="2"/>
      <c r="W996" s="2"/>
      <c r="X996" s="2"/>
      <c r="Y996" s="2"/>
      <c r="Z996" s="2"/>
      <c r="AA996" s="2"/>
    </row>
    <row r="997">
      <c r="A997" s="3" t="s">
        <v>2763</v>
      </c>
      <c r="B997" s="1" t="s">
        <v>3158</v>
      </c>
      <c r="C997" s="1" t="s">
        <v>3159</v>
      </c>
      <c r="D997" s="2" t="str">
        <f>IFERROR(__xludf.DUMMYFUNCTION("GOOGLETRANSLATE(B997, ""en"", ""TL"")"),"Paano ako makakakuha ng restraining order laban sa aking nang-aabuso?")</f>
        <v>Paano ako makakakuha ng restraining order laban sa aking nang-aabuso?</v>
      </c>
      <c r="E997" s="2" t="str">
        <f>IFERROR(__xludf.DUMMYFUNCTION("GOOGLETRANSLATE(C997, ""en"", ""TL"")"),"Sa Pilipinas, para makakuha ng restraining order laban sa iyong nang-aabuso, maaari kang maghain ng **protection order** sa ilalim ng Anti-Violence Against Women and their Children Act of 2004 (RA 9262). Narito ang isang breakdown ng proseso:
**Dalawang P"&amp;"angunahing Uri ng Mga Kautusang Proteksyon:**
* **Barangay Protection Order (BPO):**
* Ito ay isang mas mabilis na opsyon, na isinampa sa iyong barangay kapitan (lokal na pinuno ng komunidad).
* Nag-aalok ito ng agarang proteksyon hanggang sa 30 araw. * M"&amp;"aaaring idirekta ng utos ang nang-aabuso na umalis sa tirahan, lumayo sa iyo at sa iyong mga anak, at ipagbawal ang karagdagang karahasan.
* **Temporary Protection Order (TPO) at Permanent Protection Order (PPO):**
* Ang mga ito ay isinampa sa Family Cour"&amp;"t at nag-aalok ng pangmatagalang proteksyon.
* Ang isang TPO ay may bisa hanggang anim na buwan na may posibilidad ng pag-renew.
* Ang PPO ay nagbibigay ng mas permanenteng proteksyon.
* Ang parehong mga TPO at PPO ay maaaring magsama ng mga probisyon na "&amp;"katulad ng isang BPO, kasama ang mga paghihigpit sa komunikasyon at potensyal na suportang pinansyal.
**Mga Hakbang para Makakuha ng Proteksyon Order:**
1. **Magtipon ng Ebidensya:** Mangolekta ng anumang katibayan ng pang-aabuso, tulad ng mga medikal na "&amp;"rekord, mga ulat ng pulisya, mga larawan ng mga pinsala, mga pahayag ng saksi, o mga text message na naglalaman ng mga pagbabanta.
2. **Maghain ng Petisyon:** Maaari kang magsampa ng petisyon para sa isang utos ng proteksyon sa iyong sarili o humingi ng t"&amp;"ulong mula sa isang abogado o social worker. * Para sa isang BPO, lapitan ang iyong barangay captain at ihain ang petisyon.
* Para sa isang TPO o PPO, kakailanganin mong maghain ng petisyon sa Family Court na pinakamalapit sa iyong tirahan.
3. **Iskedyul "&amp;"ng Pagdinig:** Ang hukuman ay mag-iskedyul ng pagdinig upang marinig ang iyong panig ng kuwento at ang tugon ng nang-aabuso (kung sila ay lumabas).
4. **Desisyon ng Kautusan sa Proteksyon:** Ang hukuman ay magpapasya kung ibibigay ang utos ng proteksyon b"&amp;"atay sa ipinakitang ebidensya. **Mga Karagdagang Pagsasaalang-alang:**
* **Legal na Tulong:** Bagama't maaari kang magsampa ng petisyon sa iyong sarili, ang pagkonsulta sa isang abogadong may karanasan sa batas ng pamilya o mga karapatan ng kababaihan ay "&amp;"maaaring maging lubhang kapaki-pakinabang. Maaari ka nilang gabayan sa legal na proseso, tiyaking maayos na naihain ang petisyon, at kinakatawan ka sa korte.
* **Libreng Legal Aid:** Ang Public Attorney's Office (PAO) ay nag-aalok ng libreng legal na tulo"&amp;"ng sa mga biktima ng karahasan sa tahanan. [https://pao.gov.ph/](https://pao.gov.ph/)
**Mahahalagang Punto:**
* Hindi mo kailangang ikasal sa iyong nang-aabuso upang maging kwalipikado para sa isang utos ng proteksyon.
* Ang mga order na ito ay maaaring i"&amp;"lapat sa kasalukuyan o dating matalik na kasosyo, mga taong may anak ka, o mga kamag-anak sa loob ng isang partikular na antas.
* Walang bayad sa paghahain para sa petisyon ng utos ng proteksyon.
**Mga Mapagkukunan para sa Suporta:**
* Department of Justi"&amp;"ce (DOJ) - VAWC Help Desk: [https://www.doj.gov.ph/](https://www.doj.gov.ph/) (Hanapin ang impormasyon sa pakikipag-ugnayan sa Help Desk ng VAWC)
* Philippine Commission on Women (PCW): [https://pcw.gov.ph/](https://pcw.gov.ph/)
Tandaan, hindi ka nag-iisa"&amp;". Mayroong mga mapagkukunan at suporta na magagamit upang matulungan ka sa mahirap na sitwasyong ito. Ang pagsasagawa ng legal na aksyon ay maaaring maprotektahan ang iyong sarili at ang iyong mga anak.")</f>
        <v>Sa Pilipinas, para makakuha ng restraining order laban sa iyong nang-aabuso, maaari kang maghain ng **protection order** sa ilalim ng Anti-Violence Against Women and their Children Act of 2004 (RA 9262). Narito ang isang breakdown ng proseso:
**Dalawang Pangunahing Uri ng Mga Kautusang Proteksyon:**
* **Barangay Protection Order (BPO):**
* Ito ay isang mas mabilis na opsyon, na isinampa sa iyong barangay kapitan (lokal na pinuno ng komunidad).
* Nag-aalok ito ng agarang proteksyon hanggang sa 30 araw. * Maaaring idirekta ng utos ang nang-aabuso na umalis sa tirahan, lumayo sa iyo at sa iyong mga anak, at ipagbawal ang karagdagang karahasan.
* **Temporary Protection Order (TPO) at Permanent Protection Order (PPO):**
* Ang mga ito ay isinampa sa Family Court at nag-aalok ng pangmatagalang proteksyon.
* Ang isang TPO ay may bisa hanggang anim na buwan na may posibilidad ng pag-renew.
* Ang PPO ay nagbibigay ng mas permanenteng proteksyon.
* Ang parehong mga TPO at PPO ay maaaring magsama ng mga probisyon na katulad ng isang BPO, kasama ang mga paghihigpit sa komunikasyon at potensyal na suportang pinansyal.
**Mga Hakbang para Makakuha ng Proteksyon Order:**
1. **Magtipon ng Ebidensya:** Mangolekta ng anumang katibayan ng pang-aabuso, tulad ng mga medikal na rekord, mga ulat ng pulisya, mga larawan ng mga pinsala, mga pahayag ng saksi, o mga text message na naglalaman ng mga pagbabanta.
2. **Maghain ng Petisyon:** Maaari kang magsampa ng petisyon para sa isang utos ng proteksyon sa iyong sarili o humingi ng tulong mula sa isang abogado o social worker. * Para sa isang BPO, lapitan ang iyong barangay captain at ihain ang petisyon.
* Para sa isang TPO o PPO, kakailanganin mong maghain ng petisyon sa Family Court na pinakamalapit sa iyong tirahan.
3. **Iskedyul ng Pagdinig:** Ang hukuman ay mag-iskedyul ng pagdinig upang marinig ang iyong panig ng kuwento at ang tugon ng nang-aabuso (kung sila ay lumabas).
4. **Desisyon ng Kautusan sa Proteksyon:** Ang hukuman ay magpapasya kung ibibigay ang utos ng proteksyon batay sa ipinakitang ebidensya. **Mga Karagdagang Pagsasaalang-alang:**
* **Legal na Tulong:** Bagama't maaari kang magsampa ng petisyon sa iyong sarili, ang pagkonsulta sa isang abogadong may karanasan sa batas ng pamilya o mga karapatan ng kababaihan ay maaaring maging lubhang kapaki-pakinabang. Maaari ka nilang gabayan sa legal na proseso, tiyaking maayos na naihain ang petisyon, at kinakatawan ka sa korte.
* **Libreng Legal Aid:** Ang Public Attorney's Office (PAO) ay nag-aalok ng libreng legal na tulong sa mga biktima ng karahasan sa tahanan. [https://pao.gov.ph/](https://pao.gov.ph/)
**Mahahalagang Punto:**
* Hindi mo kailangang ikasal sa iyong nang-aabuso upang maging kwalipikado para sa isang utos ng proteksyon.
* Ang mga order na ito ay maaaring ilapat sa kasalukuyan o dating matalik na kasosyo, mga taong may anak ka, o mga kamag-anak sa loob ng isang partikular na antas.
* Walang bayad sa paghahain para sa petisyon ng utos ng proteksyon.
**Mga Mapagkukunan para sa Suporta:**
* Department of Justice (DOJ) - VAWC Help Desk: [https://www.doj.gov.ph/](https://www.doj.gov.ph/) (Hanapin ang impormasyon sa pakikipag-ugnayan sa Help Desk ng VAWC)
* Philippine Commission on Women (PCW): [https://pcw.gov.ph/](https://pcw.gov.ph/)
Tandaan, hindi ka nag-iisa. Mayroong mga mapagkukunan at suporta na magagamit upang matulungan ka sa mahirap na sitwasyong ito. Ang pagsasagawa ng legal na aksyon ay maaaring maprotektahan ang iyong sarili at ang iyong mga anak.</v>
      </c>
      <c r="F997" s="2">
        <f t="shared" si="1"/>
        <v>0</v>
      </c>
      <c r="G997" s="2"/>
      <c r="H997" s="2"/>
      <c r="I997" s="2"/>
      <c r="J997" s="2"/>
      <c r="K997" s="2"/>
      <c r="L997" s="2"/>
      <c r="M997" s="2"/>
      <c r="N997" s="2"/>
      <c r="O997" s="2"/>
      <c r="P997" s="2"/>
      <c r="Q997" s="2"/>
      <c r="R997" s="2"/>
      <c r="S997" s="2"/>
      <c r="T997" s="2"/>
      <c r="U997" s="2"/>
      <c r="V997" s="2"/>
      <c r="W997" s="2"/>
      <c r="X997" s="2"/>
      <c r="Y997" s="2"/>
      <c r="Z997" s="2"/>
      <c r="AA997" s="2"/>
    </row>
    <row r="998">
      <c r="A998" s="3" t="s">
        <v>2763</v>
      </c>
      <c r="B998" s="1" t="s">
        <v>3160</v>
      </c>
      <c r="C998" s="1" t="s">
        <v>3161</v>
      </c>
      <c r="D998" s="2" t="str">
        <f>IFERROR(__xludf.DUMMYFUNCTION("GOOGLETRANSLATE(B998, ""en"", ""TL"")"),"Ano ang bumubuo sa karahasan sa tahanan sa ilalim ng batas sa ating nasasakupan?")</f>
        <v>Ano ang bumubuo sa karahasan sa tahanan sa ilalim ng batas sa ating nasasakupan?</v>
      </c>
      <c r="E998" s="2" t="str">
        <f>IFERROR(__xludf.DUMMYFUNCTION("GOOGLETRANSLATE(C998, ""en"", ""TL"")"),"Ang pangunahing batas sa karahasan sa tahanan sa Pilipinas ay ang Republic Act No. 9262, na kilala rin bilang Anti-Violence Against Women and their Children Act (VAWC Act). Tinutukoy ng Batas na ito ang karahasan laban sa kababaihan at kanilang mga anak ("&amp;"VAWC) sa ilalim ng Seksyon 3. Narito ang isang breakdown ng kung ano ang itinuturing nitong karahasan sa tahanan:
* **Pisikal na karahasan** - Kabilang dito ang anumang pagkilos na nagdudulot ng pisikal na pananakit sa babae o sa kanyang anak, tulad ng pa"&amp;"ghampas, pagsipa, pagsampal, pagkurot, o pagsunog.
* **Sekwal na karahasan** - Sinasaklaw nito ang anumang pagkilos na nagpipilit sa isang babae o sa kanyang anak na makipagtalik o gumawa ng anumang sekswal na aktibidad na nagdudulot o nagbabanta sa pisik"&amp;"al na pinsala.
* **Psychological violence** - Ito ay nagsasangkot ng anumang kilos o pagkukulang na nagdudulot o naglalayong magdulot ng mental o emosyonal na pagdurusa sa babae o sa kanyang anak. Kabilang dito ang mga pagbabanta, kahihiyan, at pananakot."&amp;"
* **Economic abuse** - Ito ay tumutukoy sa pagkontrol sa pananalapi ng babae at pagkakait sa kanya ng kanyang mga mapagkukunang pinansyal.
Kinikilala din ng batas ang pag-stalk at pag-aalis sa babae ng kanyang kalayaan o karapatang kumilos bilang mga any"&amp;"o ng karahasan.
Mahalagang tandaan na ang VAWC ay maaaring gawin ng isang matalik na kapareha (asawa, dating asawa, live-in partner, boyfriend/girlfriend, fiance) o isang taong nakasama o nagkaroon ng pakikipagtalik o pakikipag-date ang babae, o isang tao"&amp;"ng may karaniwang anak sa babae.
Para sa mas malawak na pag-unawa, maaari mong suriin ang Republic Act No. 9262 mismo o kumonsulta sa isang abogado na dalubhasa sa family law.")</f>
        <v>Ang pangunahing batas sa karahasan sa tahanan sa Pilipinas ay ang Republic Act No. 9262, na kilala rin bilang Anti-Violence Against Women and their Children Act (VAWC Act). Tinutukoy ng Batas na ito ang karahasan laban sa kababaihan at kanilang mga anak (VAWC) sa ilalim ng Seksyon 3. Narito ang isang breakdown ng kung ano ang itinuturing nitong karahasan sa tahanan:
* **Pisikal na karahasan** - Kabilang dito ang anumang pagkilos na nagdudulot ng pisikal na pananakit sa babae o sa kanyang anak, tulad ng paghampas, pagsipa, pagsampal, pagkurot, o pagsunog.
* **Sekwal na karahasan** - Sinasaklaw nito ang anumang pagkilos na nagpipilit sa isang babae o sa kanyang anak na makipagtalik o gumawa ng anumang sekswal na aktibidad na nagdudulot o nagbabanta sa pisikal na pinsala.
* **Psychological violence** - Ito ay nagsasangkot ng anumang kilos o pagkukulang na nagdudulot o naglalayong magdulot ng mental o emosyonal na pagdurusa sa babae o sa kanyang anak. Kabilang dito ang mga pagbabanta, kahihiyan, at pananakot.
* **Economic abuse** - Ito ay tumutukoy sa pagkontrol sa pananalapi ng babae at pagkakait sa kanya ng kanyang mga mapagkukunang pinansyal.
Kinikilala din ng batas ang pag-stalk at pag-aalis sa babae ng kanyang kalayaan o karapatang kumilos bilang mga anyo ng karahasan.
Mahalagang tandaan na ang VAWC ay maaaring gawin ng isang matalik na kapareha (asawa, dating asawa, live-in partner, boyfriend/girlfriend, fiance) o isang taong nakasama o nagkaroon ng pakikipagtalik o pakikipag-date ang babae, o isang taong may karaniwang anak sa babae.
Para sa mas malawak na pag-unawa, maaari mong suriin ang Republic Act No. 9262 mismo o kumonsulta sa isang abogado na dalubhasa sa family law.</v>
      </c>
      <c r="F998" s="2">
        <f t="shared" si="1"/>
        <v>0</v>
      </c>
      <c r="G998" s="2"/>
      <c r="H998" s="2"/>
      <c r="I998" s="2"/>
      <c r="J998" s="2"/>
      <c r="K998" s="2"/>
      <c r="L998" s="2"/>
      <c r="M998" s="2"/>
      <c r="N998" s="2"/>
      <c r="O998" s="2"/>
      <c r="P998" s="2"/>
      <c r="Q998" s="2"/>
      <c r="R998" s="2"/>
      <c r="S998" s="2"/>
      <c r="T998" s="2"/>
      <c r="U998" s="2"/>
      <c r="V998" s="2"/>
      <c r="W998" s="2"/>
      <c r="X998" s="2"/>
      <c r="Y998" s="2"/>
      <c r="Z998" s="2"/>
      <c r="AA998" s="2"/>
    </row>
    <row r="999">
      <c r="A999" s="3" t="s">
        <v>2763</v>
      </c>
      <c r="B999" s="1" t="s">
        <v>3162</v>
      </c>
      <c r="C999" s="1" t="s">
        <v>3163</v>
      </c>
      <c r="D999" s="2" t="str">
        <f>IFERROR(__xludf.DUMMYFUNCTION("GOOGLETRANSLATE(B999, ""en"", ""TL"")"),"Paano ko mapoprotektahan ang aking sarili at ang aking mga anak mula sa karagdagang pang-aabuso?")</f>
        <v>Paano ko mapoprotektahan ang aking sarili at ang aking mga anak mula sa karagdagang pang-aabuso?</v>
      </c>
      <c r="E999" s="2" t="str">
        <f>IFERROR(__xludf.DUMMYFUNCTION("GOOGLETRANSLATE(C999, ""en"", ""TL"")"),"Narito ang ilang paraan na mapoprotektahan mo ang iyong sarili at ang iyong mga anak mula sa karagdagang pang-aabuso sa ilalim ng Batas ng Pilipinas:
**1. Mag-file ng Protection Order:**
* Ang VAWC Act (RA 9262) ay nagpapahintulot sa iyo na maghain ng Pet"&amp;"ition for Protection Order (PPO) laban sa nang-aabuso. Ang utos na ito, kung ipinagkaloob ng korte, ay maaaring:
* Idirekta ang nang-aabuso na lumayo sa iyo at sa iyong mga anak (nag-iiba-iba ang distansya depende sa utos).
* Ipagbawal ang nang-aabuso na "&amp;"makipag-ugnayan sa iyo o sa iyong mga anak.
* Ibigay sa iyo ang pag-iingat ng iyong mga anak.
* Ipatupad ang suportang pinansyal mula sa nang-aabuso.
**2. Iulat ang Pang-aabuso sa Mga Awtoridad:**
* Maaari mong iulat ang pang-aabuso sa pulisya o opisyal n"&amp;"g barangay. * Ang pulisya ay inatasan ng batas (RA 9262) na tanggapin ang iyong reklamo at imbestigahan ang insidente.
* Maaari ka ring tulungan ng mga opisyal ng barangay sa paghahain ng utos ng proteksyon at pakikialam sa nang-aabuso (kung naaangkop).
*"&amp;"*3. Maghanap ng Silungan:**
* Ikaw at ang iyong mga anak ay maaaring humingi ng pansamantalang tirahan sa isang sentro ng krisis ng kababaihan o isang ligtas na bahay na pinamamahalaan ng Department of Social Welfare and Development (DSWD).
* Ang mga pasi"&amp;"lidad na ito ay maaaring magbigay sa iyo ng isang ligtas na lugar upang manatili, pagpapayo, at iba pang mga paraan ng tulong.
**4. Humingi ng Legal na Tulong:**
* Maaaring payuhan ka ng isang abogado na dalubhasa sa batas ng pamilya tungkol sa iyong mga "&amp;"legal na karapatan at opsyon. * Maaari din silang kumatawan sa iyo sa korte kapag nagsampa ng utos ng proteksyon o iba pang legal na paglilitis.
**Narito ang ilang mapagkukunan na makakatulong:**
* Department of Social Welfare and Development (DSWD): [htt"&amp;"ps://www.dswd.gov.ph/](https://www.dswd.gov.ph/)
* Philippine Commission on Women (PCW): [https://pcw.gov.ph/](https://pcw.gov.ph/)
* Public Attorney's Office (PAO): [https://pao.gov.ph/](https://pao.gov.ph/)
**Mahalagang Paalala:**
* Ang iyong kaligtasan"&amp;" at ang kaligtasan ng iyong mga anak ay pinakamahalaga. * Kung ikaw ay nasa agarang panganib, tumawag sa police hotline 117 o tumuloy sa iyong pinakamalapit na istasyon ng pulisya.
Tandaan, hindi ka nag-iisa. May mga mapagkukunang magagamit upang matulung"&amp;"an ka at ang iyong mga anak na malampasan ang sitwasyong ito.")</f>
        <v>Narito ang ilang paraan na mapoprotektahan mo ang iyong sarili at ang iyong mga anak mula sa karagdagang pang-aabuso sa ilalim ng Batas ng Pilipinas:
**1. Mag-file ng Protection Order:**
* Ang VAWC Act (RA 9262) ay nagpapahintulot sa iyo na maghain ng Petition for Protection Order (PPO) laban sa nang-aabuso. Ang utos na ito, kung ipinagkaloob ng korte, ay maaaring:
* Idirekta ang nang-aabuso na lumayo sa iyo at sa iyong mga anak (nag-iiba-iba ang distansya depende sa utos).
* Ipagbawal ang nang-aabuso na makipag-ugnayan sa iyo o sa iyong mga anak.
* Ibigay sa iyo ang pag-iingat ng iyong mga anak.
* Ipatupad ang suportang pinansyal mula sa nang-aabuso.
**2. Iulat ang Pang-aabuso sa Mga Awtoridad:**
* Maaari mong iulat ang pang-aabuso sa pulisya o opisyal ng barangay. * Ang pulisya ay inatasan ng batas (RA 9262) na tanggapin ang iyong reklamo at imbestigahan ang insidente.
* Maaari ka ring tulungan ng mga opisyal ng barangay sa paghahain ng utos ng proteksyon at pakikialam sa nang-aabuso (kung naaangkop).
**3. Maghanap ng Silungan:**
* Ikaw at ang iyong mga anak ay maaaring humingi ng pansamantalang tirahan sa isang sentro ng krisis ng kababaihan o isang ligtas na bahay na pinamamahalaan ng Department of Social Welfare and Development (DSWD).
* Ang mga pasilidad na ito ay maaaring magbigay sa iyo ng isang ligtas na lugar upang manatili, pagpapayo, at iba pang mga paraan ng tulong.
**4. Humingi ng Legal na Tulong:**
* Maaaring payuhan ka ng isang abogado na dalubhasa sa batas ng pamilya tungkol sa iyong mga legal na karapatan at opsyon. * Maaari din silang kumatawan sa iyo sa korte kapag nagsampa ng utos ng proteksyon o iba pang legal na paglilitis.
**Narito ang ilang mapagkukunan na makakatulong:**
* Department of Social Welfare and Development (DSWD): [https://www.dswd.gov.ph/](https://www.dswd.gov.ph/)
* Philippine Commission on Women (PCW): [https://pcw.gov.ph/](https://pcw.gov.ph/)
* Public Attorney's Office (PAO): [https://pao.gov.ph/](https://pao.gov.ph/)
**Mahalagang Paalala:**
* Ang iyong kaligtasan at ang kaligtasan ng iyong mga anak ay pinakamahalaga. * Kung ikaw ay nasa agarang panganib, tumawag sa police hotline 117 o tumuloy sa iyong pinakamalapit na istasyon ng pulisya.
Tandaan, hindi ka nag-iisa. May mga mapagkukunang magagamit upang matulungan ka at ang iyong mga anak na malampasan ang sitwasyong ito.</v>
      </c>
      <c r="F999" s="2">
        <f t="shared" si="1"/>
        <v>0</v>
      </c>
      <c r="G999" s="2"/>
      <c r="H999" s="2"/>
      <c r="I999" s="2"/>
      <c r="J999" s="2"/>
      <c r="K999" s="2"/>
      <c r="L999" s="2"/>
      <c r="M999" s="2"/>
      <c r="N999" s="2"/>
      <c r="O999" s="2"/>
      <c r="P999" s="2"/>
      <c r="Q999" s="2"/>
      <c r="R999" s="2"/>
      <c r="S999" s="2"/>
      <c r="T999" s="2"/>
      <c r="U999" s="2"/>
      <c r="V999" s="2"/>
      <c r="W999" s="2"/>
      <c r="X999" s="2"/>
      <c r="Y999" s="2"/>
      <c r="Z999" s="2"/>
      <c r="AA999" s="2"/>
    </row>
    <row r="1000">
      <c r="A1000" s="3" t="s">
        <v>2763</v>
      </c>
      <c r="B1000" s="1" t="s">
        <v>3164</v>
      </c>
      <c r="C1000" s="1" t="s">
        <v>3165</v>
      </c>
      <c r="D1000" s="2" t="str">
        <f>IFERROR(__xludf.DUMMYFUNCTION("GOOGLETRANSLATE(B1000, ""en"", ""TL"")"),"Maaari ba akong magsampa ng mga kaso laban sa aking nang-aabuso kahit na hindi ko iniulat kaagad ang insidente?")</f>
        <v>Maaari ba akong magsampa ng mga kaso laban sa aking nang-aabuso kahit na hindi ko iniulat kaagad ang insidente?</v>
      </c>
      <c r="E1000" s="2" t="str">
        <f>IFERROR(__xludf.DUMMYFUNCTION("GOOGLETRANSLATE(C1000, ""en"", ""TL"")"),"Sa ilalim ng VAWC Act (RA 9262), maaari ka pa ring magsampa ng kaso laban sa iyong nang-aabuso kahit na huli mong iulat ang insidente. Walang partikular na takdang panahon na ipinag-uutos sa batas para sa paghahain ng reklamo. Gayunpaman, mahalagang mauna"&amp;"waan na ang isang naantalang ulat ay maaaring makaapekto sa lakas ng iyong kaso. Narito kung bakit:
* **Ebidensya:** Ang mga bagong ebidensiya tulad ng mga pinsala o mga testimonya ng saksi ay maaaring maging mahalaga sa mga kaso ng karahasan sa tahanan. "&amp;"Kung mas mahaba ang pagkaantala, mas mahirap makakuha ng matibay na ebidensya. * **Statute of Limitations:** Bagama't walang tiyak na deadline para sa pag-uulat sa ilalim ng VAWC, ang ilang partikular na pagkilos ng karahasan ay maaaring may magkahiwalay "&amp;"na batas ng mga limitasyon sa ilalim ng Binagong Kodigo Penal. Nililimitahan ng mga batas na ito ang takdang panahon para sa pagsasampa ng mga kasong kriminal. Ang pagkonsulta sa isang abogado ay makakatulong sa iyo na maunawaan kung ang partikular na kil"&amp;"os ay nasa ilalim ng isang batas ng mga limitasyon.
Narito kung ano ang makakatulong kahit na may pagkaantala sa pag-uulat:
* **Idokumento ang Lahat:** Kung mayroon kang anumang ebidensya ng pang-aabuso, kahit na nangyari ito noong nakaraan, idokumento it"&amp;"o. Maaaring kabilang dito ang mga medikal na rekord, mga larawan ng mga pinsala, mga ulat ng pulisya (kung mayroon man), o mga pahayag ng saksi (kung makukuha). * **Mag-ulat Kaagad Ngayon:** Kahit na nangyari ang insidente nang mas maaga, iulat ito sa pul"&amp;"isya sa lalong madaling panahon. Nagtatatag ito ng talaan ng pang-aabuso at makakatulong sa pagsisimula ng pagsisiyasat. Ang iyong pinakamahusay na hakbang ay ang pagkonsulta sa isang abogado na dalubhasa sa batas ng pamilya. Maaari nilang tasahin ang iyo"&amp;"ng sitwasyon, payuhan ka sa mga legal na opsyon na magagamit, at katawanin ka sa korte kung magpasya kang magsampa ng mga kaso.")</f>
        <v>Sa ilalim ng VAWC Act (RA 9262), maaari ka pa ring magsampa ng kaso laban sa iyong nang-aabuso kahit na huli mong iulat ang insidente. Walang partikular na takdang panahon na ipinag-uutos sa batas para sa paghahain ng reklamo. Gayunpaman, mahalagang maunawaan na ang isang naantalang ulat ay maaaring makaapekto sa lakas ng iyong kaso. Narito kung bakit:
* **Ebidensya:** Ang mga bagong ebidensiya tulad ng mga pinsala o mga testimonya ng saksi ay maaaring maging mahalaga sa mga kaso ng karahasan sa tahanan. Kung mas mahaba ang pagkaantala, mas mahirap makakuha ng matibay na ebidensya. * **Statute of Limitations:** Bagama't walang tiyak na deadline para sa pag-uulat sa ilalim ng VAWC, ang ilang partikular na pagkilos ng karahasan ay maaaring may magkahiwalay na batas ng mga limitasyon sa ilalim ng Binagong Kodigo Penal. Nililimitahan ng mga batas na ito ang takdang panahon para sa pagsasampa ng mga kasong kriminal. Ang pagkonsulta sa isang abogado ay makakatulong sa iyo na maunawaan kung ang partikular na kilos ay nasa ilalim ng isang batas ng mga limitasyon.
Narito kung ano ang makakatulong kahit na may pagkaantala sa pag-uulat:
* **Idokumento ang Lahat:** Kung mayroon kang anumang ebidensya ng pang-aabuso, kahit na nangyari ito noong nakaraan, idokumento ito. Maaaring kabilang dito ang mga medikal na rekord, mga larawan ng mga pinsala, mga ulat ng pulisya (kung mayroon man), o mga pahayag ng saksi (kung makukuha). * **Mag-ulat Kaagad Ngayon:** Kahit na nangyari ang insidente nang mas maaga, iulat ito sa pulisya sa lalong madaling panahon. Nagtatatag ito ng talaan ng pang-aabuso at makakatulong sa pagsisimula ng pagsisiyasat. Ang iyong pinakamahusay na hakbang ay ang pagkonsulta sa isang abogado na dalubhasa sa batas ng pamilya. Maaari nilang tasahin ang iyong sitwasyon, payuhan ka sa mga legal na opsyon na magagamit, at katawanin ka sa korte kung magpasya kang magsampa ng mga kaso.</v>
      </c>
      <c r="F1000" s="2">
        <f t="shared" si="1"/>
        <v>0</v>
      </c>
      <c r="G1000" s="2"/>
      <c r="H1000" s="2"/>
      <c r="I1000" s="2"/>
      <c r="J1000" s="2"/>
      <c r="K1000" s="2"/>
      <c r="L1000" s="2"/>
      <c r="M1000" s="2"/>
      <c r="N1000" s="2"/>
      <c r="O1000" s="2"/>
      <c r="P1000" s="2"/>
      <c r="Q1000" s="2"/>
      <c r="R1000" s="2"/>
      <c r="S1000" s="2"/>
      <c r="T1000" s="2"/>
      <c r="U1000" s="2"/>
      <c r="V1000" s="2"/>
      <c r="W1000" s="2"/>
      <c r="X1000" s="2"/>
      <c r="Y1000" s="2"/>
      <c r="Z1000" s="2"/>
      <c r="AA1000" s="2"/>
    </row>
    <row r="1001">
      <c r="A1001" s="3" t="s">
        <v>2763</v>
      </c>
      <c r="B1001" s="1" t="s">
        <v>3166</v>
      </c>
      <c r="C1001" s="1" t="s">
        <v>3167</v>
      </c>
      <c r="D1001" s="2" t="str">
        <f>IFERROR(__xludf.DUMMYFUNCTION("GOOGLETRANSLATE(B1001, ""en"", ""TL"")"),"Anong katibayan ang kinakailangan upang patunayan ang karahasan sa tahanan sa korte?")</f>
        <v>Anong katibayan ang kinakailangan upang patunayan ang karahasan sa tahanan sa korte?</v>
      </c>
      <c r="E1001" s="2" t="str">
        <f>IFERROR(__xludf.DUMMYFUNCTION("GOOGLETRANSLATE(C1001, ""en"", ""TL"")"),"Ang sistemang legal ng Pilipinas ay hindi nangangailangan ng partikular na uri ng ebidensya para patunayan ang karahasan sa tahanan. Gayunpaman, upang palakasin ang iyong kaso sa korte, maaaring makatulong ang ilang uri ng ebidensya sa ilalim ng VAWC Act "&amp;"(RA 9262). Narito ang maaari mong isaalang-alang:
* **Mga Rekord na Medikal:** Ang mga medikal na dokumento na nagpapakita ng mga pinsalang natamo mula sa pang-aabuso ay maaaring maging malakas na ebidensya. Maaaring kabilang dito ang mga rekord ng ospita"&amp;"l, mga ulat ng doktor, mga reseta, o mga larawan ng mga pinsala (kung maaari, kinuha kaagad pagkatapos ng insidente).
* **Mga Ulat ng Pulisya:** Kung nagsampa ka ng ulat sa pulisya noong nangyari ang insidente o kahit na sa ibang pagkakataon, ang pagpapak"&amp;"ita ng kopya ng ulat ay maaaring idokumento ang pang-aabuso at ang imbestigasyon ng pulisya.
* **Testimonya ng saksi:** Maaaring patunayan ng mga pahayag mula sa mga taong nakasaksi ng pang-aabuso ang iyong account ng mga kaganapan. Ito ay maaaring mga ka"&amp;"pitbahay, miyembro ng pamilya, kaibigan, o maging ang iyong mga anak (depende sa kanilang edad).
* **Mga Larawan o Recording (kung magagamit):** Kung mayroon kang mga larawan ng mga pinsala, napinsalang ari-arian, o mga recording ng mga pagbabanta, maaari"&amp;"ng ipakita ang mga ito bilang ebidensya. Tandaan, kasalukuyan lamang ang mga recording na nakuhang legal.
* **Journal Entries o Logs:** Ang pag-iingat ng rekord ng pang-aabuso, kabilang ang mga petsa, mga detalye ng mga insidente, at mga testigo na naroro"&amp;"on (kung mayroon man), ay maaaring makatulong. Maaari itong magsilbi bilang isang anyo ng dokumentasyon upang suportahan ang iyong mga paghahabol.
**Mga Karagdagang Pagsasaalang-alang:**
* Bagama't hindi mandatory, ang isang Barangay Protection Order (BPO"&amp;") na inisyu na pabor sa iyo ay maaaring iharap bilang sumusuportang ebidensya.
* Mahalagang tandaan na ang kawalan ng isang partikular na uri ng ebidensya ay hindi kinakailangang magpapahina sa iyong kaso. Matutulungan ka ng isang abogado na mangalap at m"&amp;"agpakita ng ebidensya sa pinakamabisang paraan na posible.
Tandaan, ang pasanin ng patunay ay nakasalalay sa pag-uusig sa mga kasong kriminal. Gayunpaman, sa mga kaso na kinasasangkutan ng VAWC, inilalagay ng batas ang ""pasanin ng pagpapaliwanag"" sa res"&amp;"pondent (nag-aabuso) kapag naipakita mo na ang ""malaking ebidensya"" ng pang-aabuso. Nangangahulugan ito na kung maaari kang magpakita ng sapat na katibayan upang magmungkahi ng pang-aabuso na naganap, ang nang-aabuso ay kailangang ipaliwanag ang kanilan"&amp;"g mga aksyon upang potensyal na maiwasan ang pananagutan. Para sa pinakamahusay na resulta, ang pagkonsulta sa isang abogado na dalubhasa sa batas ng pamilya ay lubos na inirerekomenda. Maaari ka nilang gabayan sa pangangalap ng ebidensya, unawain ang mga"&amp;" ligal na lilim ng iyong kaso, at kinakatawan ka sa korte.")</f>
        <v>Ang sistemang legal ng Pilipinas ay hindi nangangailangan ng partikular na uri ng ebidensya para patunayan ang karahasan sa tahanan. Gayunpaman, upang palakasin ang iyong kaso sa korte, maaaring makatulong ang ilang uri ng ebidensya sa ilalim ng VAWC Act (RA 9262). Narito ang maaari mong isaalang-alang:
* **Mga Rekord na Medikal:** Ang mga medikal na dokumento na nagpapakita ng mga pinsalang natamo mula sa pang-aabuso ay maaaring maging malakas na ebidensya. Maaaring kabilang dito ang mga rekord ng ospital, mga ulat ng doktor, mga reseta, o mga larawan ng mga pinsala (kung maaari, kinuha kaagad pagkatapos ng insidente).
* **Mga Ulat ng Pulisya:** Kung nagsampa ka ng ulat sa pulisya noong nangyari ang insidente o kahit na sa ibang pagkakataon, ang pagpapakita ng kopya ng ulat ay maaaring idokumento ang pang-aabuso at ang imbestigasyon ng pulisya.
* **Testimonya ng saksi:** Maaaring patunayan ng mga pahayag mula sa mga taong nakasaksi ng pang-aabuso ang iyong account ng mga kaganapan. Ito ay maaaring mga kapitbahay, miyembro ng pamilya, kaibigan, o maging ang iyong mga anak (depende sa kanilang edad).
* **Mga Larawan o Recording (kung magagamit):** Kung mayroon kang mga larawan ng mga pinsala, napinsalang ari-arian, o mga recording ng mga pagbabanta, maaaring ipakita ang mga ito bilang ebidensya. Tandaan, kasalukuyan lamang ang mga recording na nakuhang legal.
* **Journal Entries o Logs:** Ang pag-iingat ng rekord ng pang-aabuso, kabilang ang mga petsa, mga detalye ng mga insidente, at mga testigo na naroroon (kung mayroon man), ay maaaring makatulong. Maaari itong magsilbi bilang isang anyo ng dokumentasyon upang suportahan ang iyong mga paghahabol.
**Mga Karagdagang Pagsasaalang-alang:**
* Bagama't hindi mandatory, ang isang Barangay Protection Order (BPO) na inisyu na pabor sa iyo ay maaaring iharap bilang sumusuportang ebidensya.
* Mahalagang tandaan na ang kawalan ng isang partikular na uri ng ebidensya ay hindi kinakailangang magpapahina sa iyong kaso. Matutulungan ka ng isang abogado na mangalap at magpakita ng ebidensya sa pinakamabisang paraan na posible.
Tandaan, ang pasanin ng patunay ay nakasalalay sa pag-uusig sa mga kasong kriminal. Gayunpaman, sa mga kaso na kinasasangkutan ng VAWC, inilalagay ng batas ang "pasanin ng pagpapaliwanag" sa respondent (nag-aabuso) kapag naipakita mo na ang "malaking ebidensya" ng pang-aabuso. Nangangahulugan ito na kung maaari kang magpakita ng sapat na katibayan upang magmungkahi ng pang-aabuso na naganap, ang nang-aabuso ay kailangang ipaliwanag ang kanilang mga aksyon upang potensyal na maiwasan ang pananagutan. Para sa pinakamahusay na resulta, ang pagkonsulta sa isang abogado na dalubhasa sa batas ng pamilya ay lubos na inirerekomenda. Maaari ka nilang gabayan sa pangangalap ng ebidensya, unawain ang mga ligal na lilim ng iyong kaso, at kinakatawan ka sa korte.</v>
      </c>
      <c r="F1001" s="2">
        <f t="shared" si="1"/>
        <v>0</v>
      </c>
      <c r="G1001" s="2"/>
      <c r="H1001" s="2"/>
      <c r="I1001" s="2"/>
      <c r="J1001" s="2"/>
      <c r="K1001" s="2"/>
      <c r="L1001" s="2"/>
      <c r="M1001" s="2"/>
      <c r="N1001" s="2"/>
      <c r="O1001" s="2"/>
      <c r="P1001" s="2"/>
      <c r="Q1001" s="2"/>
      <c r="R1001" s="2"/>
      <c r="S1001" s="2"/>
      <c r="T1001" s="2"/>
      <c r="U1001" s="2"/>
      <c r="V1001" s="2"/>
      <c r="W1001" s="2"/>
      <c r="X1001" s="2"/>
      <c r="Y1001" s="2"/>
      <c r="Z1001" s="2"/>
      <c r="AA1001" s="2"/>
    </row>
    <row r="1002">
      <c r="A1002" s="3" t="s">
        <v>2763</v>
      </c>
      <c r="B1002" s="1" t="s">
        <v>3168</v>
      </c>
      <c r="C1002" s="1" t="s">
        <v>3169</v>
      </c>
      <c r="D1002" s="2" t="str">
        <f>IFERROR(__xludf.DUMMYFUNCTION("GOOGLETRANSLATE(B1002, ""en"", ""TL"")"),"Paano tinutukoy ng batas ang emosyonal o sikolohikal na pang-aabuso sa mga kaso ng karahasan sa tahanan?")</f>
        <v>Paano tinutukoy ng batas ang emosyonal o sikolohikal na pang-aabuso sa mga kaso ng karahasan sa tahanan?</v>
      </c>
      <c r="E1002" s="2" t="str">
        <f>IFERROR(__xludf.DUMMYFUNCTION("GOOGLETRANSLATE(C1002, ""en"", ""TL"")"),"Ang Anti-Violence Against Women and their Children Act (RA 9262) ay naglalarawan ng emosyonal o sikolohikal na pang-aabuso sa ilalim ng Seksyon 5 (i). Narito ang isinasaalang-alang nito:
* **Mga kilos o pagtanggal na nagdudulot ng pagdurusa sa pag-iisip o"&amp;" emosyonal:** Sinasaklaw nito ang malawak na hanay ng mga pag-uugali ng nang-aabuso na naglalayong magdulot ng emosyonal na pagkabalisa. Kasama sa mga halimbawa ang patuloy na kahihiyan, pananakot sa salita, pang-iinsulto, pananakot, paghihiwalay, at pag-"&amp;"i-stalk.
* **Nagiging sanhi ng mental o emosyonal na paghihirap, pangungutya sa publiko o kahihiyan:** Ito ay tumutukoy sa mga pagkilos na sadyang nagdudulot ng kahihiyan o kahihiyan sa publiko. Maaaring kabilang dito ang pagpapakalat ng mga tsismis, pagk"&amp;"ontrol sa kung sino ang iyong nakikita o kausap, o pagpaparamdam sa iyo na wala kang halaga sa harap ng iba.
* **Paulit-ulit na pasalita at emosyonal na pang-aabuso:** Sinasaklaw nito ang isang pattern ng mga masasakit na salita, insulto, sigawan, o tawag"&amp;" sa pangalan na nilayon upang kontrolin o maliitin ka.
* **Pagkaila ng suportang pinansyal:** Kung sadyang pinipigilan ng iyong partner ang mga mapagkukunang pinansyal upang kontrolin ka o gawing umaasa, maaari itong ituring na emosyonal na pang-aabuso.
*"&amp;" **Pagkaila sa pag-iingat o pag-access sa mga menor de edad na bata:** Ito ay maituturing na emosyonal na pang-aabuso kung ginamit bilang isang taktika upang manipulahin o kontrolin ka.
Mahalagang tandaan na ang batas ay hindi nangangailangan ng isang sol"&amp;"ong, partikular na aksyon upang bumuo ng emosyonal na pang-aabuso. Ang isang pattern ng pag-uugali na nagdudulot ng mental o emosyonal na pagdurusa ay maaaring ituring na pang-aabuso sa ilalim ng RA 9262.
Narito ang ilang karagdagang punto na dapat isaala"&amp;"ng-alang:
* Kinikilala ng batas na ang emosyonal o sikolohikal na pang-aabuso ay maaaring magkaroon ng malubhang kahihinatnan tulad ng depresyon, pagkabalisa, at post-traumatic stress disorder (PTSD).
* **Interpretasyon ng Korte Suprema:** Noong 2023, ipi"&amp;"nasiya ng Korte Suprema na ang pagtataksil sa mag-asawa ay maaaring ituring na sikolohikal na karahasan sa ilalim ng RA 9262 kung ito ay ginagamit upang kontrolin ang mga aksyon o desisyon ng babae [SC: Marital Infidelity is Psychological Violence under V"&amp;"AWC - Supreme Hukuman ng Pilipinas]. Itinatampok nito na ang konteksto at layunin sa likod ng mga aksyon ng nang-aabuso ay mahalaga sa pagtukoy ng emosyonal o sikolohikal na pang-aabuso. Kung nakakaranas ka ng emosyonal o sikolohikal na pang-aabuso, tanda"&amp;"an na hindi ka nag-iisa. Mayroong mga mapagkukunang magagamit upang matulungan ka. Pag-isipang humingi ng legal na payo mula sa isang abogadong dalubhasa sa batas ng pamilya upang maunawaan ang iyong mga karapatan at mga opsyon sa ilalim ng batas.")</f>
        <v>Ang Anti-Violence Against Women and their Children Act (RA 9262) ay naglalarawan ng emosyonal o sikolohikal na pang-aabuso sa ilalim ng Seksyon 5 (i). Narito ang isinasaalang-alang nito:
* **Mga kilos o pagtanggal na nagdudulot ng pagdurusa sa pag-iisip o emosyonal:** Sinasaklaw nito ang malawak na hanay ng mga pag-uugali ng nang-aabuso na naglalayong magdulot ng emosyonal na pagkabalisa. Kasama sa mga halimbawa ang patuloy na kahihiyan, pananakot sa salita, pang-iinsulto, pananakot, paghihiwalay, at pag-i-stalk.
* **Nagiging sanhi ng mental o emosyonal na paghihirap, pangungutya sa publiko o kahihiyan:** Ito ay tumutukoy sa mga pagkilos na sadyang nagdudulot ng kahihiyan o kahihiyan sa publiko. Maaaring kabilang dito ang pagpapakalat ng mga tsismis, pagkontrol sa kung sino ang iyong nakikita o kausap, o pagpaparamdam sa iyo na wala kang halaga sa harap ng iba.
* **Paulit-ulit na pasalita at emosyonal na pang-aabuso:** Sinasaklaw nito ang isang pattern ng mga masasakit na salita, insulto, sigawan, o tawag sa pangalan na nilayon upang kontrolin o maliitin ka.
* **Pagkaila ng suportang pinansyal:** Kung sadyang pinipigilan ng iyong partner ang mga mapagkukunang pinansyal upang kontrolin ka o gawing umaasa, maaari itong ituring na emosyonal na pang-aabuso.
* **Pagkaila sa pag-iingat o pag-access sa mga menor de edad na bata:** Ito ay maituturing na emosyonal na pang-aabuso kung ginamit bilang isang taktika upang manipulahin o kontrolin ka.
Mahalagang tandaan na ang batas ay hindi nangangailangan ng isang solong, partikular na aksyon upang bumuo ng emosyonal na pang-aabuso. Ang isang pattern ng pag-uugali na nagdudulot ng mental o emosyonal na pagdurusa ay maaaring ituring na pang-aabuso sa ilalim ng RA 9262.
Narito ang ilang karagdagang punto na dapat isaalang-alang:
* Kinikilala ng batas na ang emosyonal o sikolohikal na pang-aabuso ay maaaring magkaroon ng malubhang kahihinatnan tulad ng depresyon, pagkabalisa, at post-traumatic stress disorder (PTSD).
* **Interpretasyon ng Korte Suprema:** Noong 2023, ipinasiya ng Korte Suprema na ang pagtataksil sa mag-asawa ay maaaring ituring na sikolohikal na karahasan sa ilalim ng RA 9262 kung ito ay ginagamit upang kontrolin ang mga aksyon o desisyon ng babae [SC: Marital Infidelity is Psychological Violence under VAWC - Supreme Hukuman ng Pilipinas]. Itinatampok nito na ang konteksto at layunin sa likod ng mga aksyon ng nang-aabuso ay mahalaga sa pagtukoy ng emosyonal o sikolohikal na pang-aabuso. Kung nakakaranas ka ng emosyonal o sikolohikal na pang-aabuso, tandaan na hindi ka nag-iisa. Mayroong mga mapagkukunang magagamit upang matulungan ka. Pag-isipang humingi ng legal na payo mula sa isang abogadong dalubhasa sa batas ng pamilya upang maunawaan ang iyong mga karapatan at mga opsyon sa ilalim ng batas.</v>
      </c>
      <c r="F1002" s="2">
        <f t="shared" si="1"/>
        <v>0</v>
      </c>
      <c r="G1002" s="2"/>
      <c r="H1002" s="2"/>
      <c r="I1002" s="2"/>
      <c r="J1002" s="2"/>
      <c r="K1002" s="2"/>
      <c r="L1002" s="2"/>
      <c r="M1002" s="2"/>
      <c r="N1002" s="2"/>
      <c r="O1002" s="2"/>
      <c r="P1002" s="2"/>
      <c r="Q1002" s="2"/>
      <c r="R1002" s="2"/>
      <c r="S1002" s="2"/>
      <c r="T1002" s="2"/>
      <c r="U1002" s="2"/>
      <c r="V1002" s="2"/>
      <c r="W1002" s="2"/>
      <c r="X1002" s="2"/>
      <c r="Y1002" s="2"/>
      <c r="Z1002" s="2"/>
      <c r="AA1002" s="2"/>
    </row>
    <row r="1003">
      <c r="A1003" s="3" t="s">
        <v>2763</v>
      </c>
      <c r="B1003" s="1" t="s">
        <v>3170</v>
      </c>
      <c r="C1003" s="1" t="s">
        <v>3171</v>
      </c>
      <c r="D1003" s="2" t="str">
        <f>IFERROR(__xludf.DUMMYFUNCTION("GOOGLETRANSLATE(B1003, ""en"", ""TL"")"),"Maaari ba akong maghain ng diborsiyo o humingi ng kustodiya sa aking mga anak batay sa karahasan sa tahanan?")</f>
        <v>Maaari ba akong maghain ng diborsiyo o humingi ng kustodiya sa aking mga anak batay sa karahasan sa tahanan?</v>
      </c>
      <c r="E1003" s="2" t="str">
        <f>IFERROR(__xludf.DUMMYFUNCTION("GOOGLETRANSLATE(C1003, ""en"", ""TL"")"),"Oo, ang karahasan sa tahanan ay maaaring maging batayan para sa parehong mga desisyon sa diborsyo at pangangalaga sa bata sa Pilipinas. Narito kung paano nalalapat ang batas:
* **Diborsiyo:**
Ang Pilipinas ay walang ganap na diborsyo. Gayunpaman, sa ilali"&amp;"m ng Family Code (Executive Order No. 227), ang legal na paghihiwalay ay maaaring ipagkaloob sa batayan ng paulit-ulit na pisikal na karahasan o labis na mapang-abusong pag-uugali na nakadirekta laban sa iyo (ang nagpetisyon), isang karaniwang bata, o iyo"&amp;"ng anak (Artikulo 35(1). ) ng Family Code). Kung makakita ang korte ng sapat na ebidensya ng karahasan sa tahanan, maaaring magbigay ng legal na paghihiwalay. Nagbibigay-daan ito sa iyo na mamuhay nang hiwalay sa iyong asawa at posibleng mabigyan ng kusto"&amp;"diya ng iyong mga anak. * **Child Custody:**
Ang Anti-Violence Against Women and their Children Act (RA 9262) ay inuuna ang kaligtasan at kapakanan ng mga bata sa mga kaso ng karahasan sa tahanan. Narito ang ibinibigay ng batas:
* **Seksyon 28 ng RA 9262:"&amp;"** Ang seksyong ito ay nagbibigay ng priyoridad sa babaeng nasa mga desisyon sa pangangalaga sa bata kung siya ay biktima ng karahasan. Ang mga bata ay maaaring awtomatikong igawad sa iyo ng karapatang sumuporta, lalo na kung sila ay wala pang pitong (7) "&amp;"taong gulang o mas matanda na may kapansanan sa pag-iisip o pisikal.
* **Pinakamahusay na Interes ng Bata:** Sa huli, ang hukuman ay magpapasya ng kustodiya batay sa prinsipyo ng ""pinakamahusay na interes ng bata"" (Artikulo 211 ng Family Code). Isinasaa"&amp;"lang-alang nito ang mga salik tulad ng edad ng bata, emosyonal na kagalingan, relasyon sa bawat magulang, at ang kakayahan ng bawat magulang na magbigay ng ligtas at mapangalagaang kapaligiran. Ang katibayan ng karahasan sa tahanan ay maaaring makabuluhan"&amp;"g makaapekto sa desisyong ito, dahil inuuna ng korte ang kaligtasan ng bata.
**Narito ang dapat tandaan:**
* Habang pinalalakas ng karahasan sa tahanan ang iyong kaso para sa kustodiya, hindi ito awtomatikong garantiya. Isasaalang-alang ng korte ang lahat"&amp;" ng nauugnay na salik.
* Ang pagkakaroon ng abogadong may karanasan sa batas ng pamilya ay mahalaga. Maaari ka nilang payuhan sa legal na proseso, mangalap ng ebidensya ng karahasan sa tahanan, at epektibong kumatawan sa iyo sa korte.
Kung isinasaalang-al"&amp;"ang mo ang diborsyo o naghahanap ng kustodiya ng bata, ang pagkonsulta sa isang abogado na dalubhasa sa batas ng pamilya ay lubos na inirerekomenda. Maaari ka nilang gabayan sa legal na proseso, unawain ang iyong mga karapatan at opsyon, at itaguyod ang i"&amp;"yong pinakamahusay na interes at ang kapakanan ng iyong mga anak.")</f>
        <v>Oo, ang karahasan sa tahanan ay maaaring maging batayan para sa parehong mga desisyon sa diborsyo at pangangalaga sa bata sa Pilipinas. Narito kung paano nalalapat ang batas:
* **Diborsiyo:**
Ang Pilipinas ay walang ganap na diborsyo. Gayunpaman, sa ilalim ng Family Code (Executive Order No. 227), ang legal na paghihiwalay ay maaaring ipagkaloob sa batayan ng paulit-ulit na pisikal na karahasan o labis na mapang-abusong pag-uugali na nakadirekta laban sa iyo (ang nagpetisyon), isang karaniwang bata, o iyong anak (Artikulo 35(1). ) ng Family Code). Kung makakita ang korte ng sapat na ebidensya ng karahasan sa tahanan, maaaring magbigay ng legal na paghihiwalay. Nagbibigay-daan ito sa iyo na mamuhay nang hiwalay sa iyong asawa at posibleng mabigyan ng kustodiya ng iyong mga anak. * **Child Custody:**
Ang Anti-Violence Against Women and their Children Act (RA 9262) ay inuuna ang kaligtasan at kapakanan ng mga bata sa mga kaso ng karahasan sa tahanan. Narito ang ibinibigay ng batas:
* **Seksyon 28 ng RA 9262:** Ang seksyong ito ay nagbibigay ng priyoridad sa babaeng nasa mga desisyon sa pangangalaga sa bata kung siya ay biktima ng karahasan. Ang mga bata ay maaaring awtomatikong igawad sa iyo ng karapatang sumuporta, lalo na kung sila ay wala pang pitong (7) taong gulang o mas matanda na may kapansanan sa pag-iisip o pisikal.
* **Pinakamahusay na Interes ng Bata:** Sa huli, ang hukuman ay magpapasya ng kustodiya batay sa prinsipyo ng "pinakamahusay na interes ng bata" (Artikulo 211 ng Family Code). Isinasaalang-alang nito ang mga salik tulad ng edad ng bata, emosyonal na kagalingan, relasyon sa bawat magulang, at ang kakayahan ng bawat magulang na magbigay ng ligtas at mapangalagaang kapaligiran. Ang katibayan ng karahasan sa tahanan ay maaaring makabuluhang makaapekto sa desisyong ito, dahil inuuna ng korte ang kaligtasan ng bata.
**Narito ang dapat tandaan:**
* Habang pinalalakas ng karahasan sa tahanan ang iyong kaso para sa kustodiya, hindi ito awtomatikong garantiya. Isasaalang-alang ng korte ang lahat ng nauugnay na salik.
* Ang pagkakaroon ng abogadong may karanasan sa batas ng pamilya ay mahalaga. Maaari ka nilang payuhan sa legal na proseso, mangalap ng ebidensya ng karahasan sa tahanan, at epektibong kumatawan sa iyo sa korte.
Kung isinasaalang-alang mo ang diborsyo o naghahanap ng kustodiya ng bata, ang pagkonsulta sa isang abogado na dalubhasa sa batas ng pamilya ay lubos na inirerekomenda. Maaari ka nilang gabayan sa legal na proseso, unawain ang iyong mga karapatan at opsyon, at itaguyod ang iyong pinakamahusay na interes at ang kapakanan ng iyong mga anak.</v>
      </c>
      <c r="F1003" s="2">
        <f t="shared" si="1"/>
        <v>0</v>
      </c>
      <c r="G1003" s="2"/>
      <c r="H1003" s="2"/>
      <c r="I1003" s="2"/>
      <c r="J1003" s="2"/>
      <c r="K1003" s="2"/>
      <c r="L1003" s="2"/>
      <c r="M1003" s="2"/>
      <c r="N1003" s="2"/>
      <c r="O1003" s="2"/>
      <c r="P1003" s="2"/>
      <c r="Q1003" s="2"/>
      <c r="R1003" s="2"/>
      <c r="S1003" s="2"/>
      <c r="T1003" s="2"/>
      <c r="U1003" s="2"/>
      <c r="V1003" s="2"/>
      <c r="W1003" s="2"/>
      <c r="X1003" s="2"/>
      <c r="Y1003" s="2"/>
      <c r="Z1003" s="2"/>
      <c r="AA1003" s="2"/>
    </row>
    <row r="1004">
      <c r="A1004" s="3" t="s">
        <v>2763</v>
      </c>
      <c r="B1004" s="1" t="s">
        <v>3172</v>
      </c>
      <c r="C1004" s="1" t="s">
        <v>3173</v>
      </c>
      <c r="D1004" s="2" t="str">
        <f>IFERROR(__xludf.DUMMYFUNCTION("GOOGLETRANSLATE(B1004, ""en"", ""TL"")"),"Anong mga legal na remedyo ang magagamit sa mga biktima ng karahasan sa tahanan?")</f>
        <v>Anong mga legal na remedyo ang magagamit sa mga biktima ng karahasan sa tahanan?</v>
      </c>
      <c r="E1004" s="2" t="str">
        <f>IFERROR(__xludf.DUMMYFUNCTION("GOOGLETRANSLATE(C1004, ""en"", ""TL"")"),"Ang sistemang legal ng Pilipinas ay nag-aalok ng iba't ibang legal na remedyo para sa mga biktima ng karahasan sa tahanan sa ilalim ng Anti-Violence Against Women and their Children Act (RA 9262) at Family Code. Narito ang isang breakdown ng ilang panguna"&amp;"hing opsyon:
**Mga Order sa Proteksyon:**
* **Barangay Protection Order (BPO):** Ito ay makukuha mula sa iyong barangay captain at nag-aalok ng agarang proteksyon mula sa karagdagang karahasan. Maaari nitong idirekta ang nang-aabuso na lumayo sa iyo at sa"&amp;" iyong mga anak (nag-iiba-iba ang distansya) at pagbawalan silang makipag-ugnayan sa iyo.
* **Temporary Protection Order (TPO):** Inisyu ng korte, ang isang TPO ay nagbibigay ng katulad na mga hakbang sa proteksyon bilang isang BPO ngunit tumatagal ng 15 "&amp;"araw at maaaring palawigin ng isa pang 15 araw pagkatapos ng petisyon.
* **Permanent Protection Order (PPO):** Ang proteksyong ito na iniutos ng korte ay mas pangmatagalan at nag-aalok ng mas malawak na mga hakbang tulad ng pagbibigay ng kustodiya sa iyon"&amp;"g mga anak, pagpapatupad ng suportang pinansyal mula sa nang-aabuso, at pagbabawal sa kanila na lumapit sa iyong lugar ng trabaho o paaralan .
**Mga Pagsingil sa Kriminal:**
Maaari kang magsampa ng mga kaso laban sa iyong nang-aabuso para sa iba't ibang g"&amp;"awain ng karahasan sa ilalim ng RA 9262, tulad ng pisikal na karahasan, sekswal na karahasan, sikolohikal na karahasan, at pang-aabuso sa ekonomiya. Depende sa partikular na pagkilos at kalubhaan, ang mga parusa ay maaaring mula sa pagkakulong hanggang sa"&amp;" mga multa at mandatoryong pagpapayo. **Mga Pinsala ng Sibil:**
Ang RA 9262 ay nagpapahintulot sa mga biktima na humingi ng civil damages mula sa nang-aabuso. Maaaring kabilang dito ang kabayaran para sa mga gastusing medikal, nawalang sahod, mga pinsalan"&amp;"g moral (emosyonal na pagdurusa), at mga kapuri-puri na pinsala (upang magsilbing isang hadlang).
**Kustodiya at Suporta:**
Gaya ng nabanggit kanina, ang karahasan sa tahanan ay maaaring maging isang malakas na salik sa mga desisyon sa pangangalaga sa bat"&amp;"a. Priyoridad ng mga korte ang kaligtasan at kagalingan ng bata, at ang ebidensya ng pang-aabuso ay maaaring makabuluhang makaapekto sa resulta. Bukod pa rito, sa ilalim ng RA 9262, ang suportang pinansyal mula sa nang-aabuso ay maaaring ipatupad sa pamam"&amp;"agitan ng isang utos ng proteksyon. **Legal na Paghihiwalay:**
Bagama't walang ganap na diborsiyo ang Pilipinas, maaaring ibigay ang legal na paghihiwalay dahil sa paulit-ulit na pisikal na karahasan o labis na mapang-abusong pag-uugali na nakadirekta lab"&amp;"an sa iyo. Nagbibigay-daan ito sa iyo na manirahan nang hiwalay at posibleng mabigyan ng kustodiya ng iyong mga anak. **Serbisyo ng Suporta:**
Nagbibigay ang gobyerno ng iba't ibang serbisyo ng suporta para sa mga biktima ng karahasan sa tahanan, kabilang"&amp;" ang:
* Mga tirahan sa mga sentro ng krisis ng kababaihan at mga ligtas na bahay
* Legal na tulong mula sa Public Attorney's Office (PAO)
* Pagpapayo at suportang sikolohikal
**Tandaan:**
* Ang pagkonsulta sa isang abogado na dalubhasa sa batas ng pamilya"&amp;" ay mahalaga. Maaari ka nilang payuhan sa mga legal na opsyon na pinakaangkop para sa iyong sitwasyon, mangalap ng ebidensya, kumatawan sa iyo sa korte, at tiyaking protektado ang iyong mga karapatan.
* Hindi ka nag-iisa. May mga mapagkukunang magagamit u"&amp;"pang matulungan kang malampasan ang sitwasyong ito. Makipag-ugnayan sa Philippine Commission on Women (PCW) o sa Department of Social Welfare and Development (DSWD) para sa tulong.")</f>
        <v>Ang sistemang legal ng Pilipinas ay nag-aalok ng iba't ibang legal na remedyo para sa mga biktima ng karahasan sa tahanan sa ilalim ng Anti-Violence Against Women and their Children Act (RA 9262) at Family Code. Narito ang isang breakdown ng ilang pangunahing opsyon:
**Mga Order sa Proteksyon:**
* **Barangay Protection Order (BPO):** Ito ay makukuha mula sa iyong barangay captain at nag-aalok ng agarang proteksyon mula sa karagdagang karahasan. Maaari nitong idirekta ang nang-aabuso na lumayo sa iyo at sa iyong mga anak (nag-iiba-iba ang distansya) at pagbawalan silang makipag-ugnayan sa iyo.
* **Temporary Protection Order (TPO):** Inisyu ng korte, ang isang TPO ay nagbibigay ng katulad na mga hakbang sa proteksyon bilang isang BPO ngunit tumatagal ng 15 araw at maaaring palawigin ng isa pang 15 araw pagkatapos ng petisyon.
* **Permanent Protection Order (PPO):** Ang proteksyong ito na iniutos ng korte ay mas pangmatagalan at nag-aalok ng mas malawak na mga hakbang tulad ng pagbibigay ng kustodiya sa iyong mga anak, pagpapatupad ng suportang pinansyal mula sa nang-aabuso, at pagbabawal sa kanila na lumapit sa iyong lugar ng trabaho o paaralan .
**Mga Pagsingil sa Kriminal:**
Maaari kang magsampa ng mga kaso laban sa iyong nang-aabuso para sa iba't ibang gawain ng karahasan sa ilalim ng RA 9262, tulad ng pisikal na karahasan, sekswal na karahasan, sikolohikal na karahasan, at pang-aabuso sa ekonomiya. Depende sa partikular na pagkilos at kalubhaan, ang mga parusa ay maaaring mula sa pagkakulong hanggang sa mga multa at mandatoryong pagpapayo. **Mga Pinsala ng Sibil:**
Ang RA 9262 ay nagpapahintulot sa mga biktima na humingi ng civil damages mula sa nang-aabuso. Maaaring kabilang dito ang kabayaran para sa mga gastusing medikal, nawalang sahod, mga pinsalang moral (emosyonal na pagdurusa), at mga kapuri-puri na pinsala (upang magsilbing isang hadlang).
**Kustodiya at Suporta:**
Gaya ng nabanggit kanina, ang karahasan sa tahanan ay maaaring maging isang malakas na salik sa mga desisyon sa pangangalaga sa bata. Priyoridad ng mga korte ang kaligtasan at kagalingan ng bata, at ang ebidensya ng pang-aabuso ay maaaring makabuluhang makaapekto sa resulta. Bukod pa rito, sa ilalim ng RA 9262, ang suportang pinansyal mula sa nang-aabuso ay maaaring ipatupad sa pamamagitan ng isang utos ng proteksyon. **Legal na Paghihiwalay:**
Bagama't walang ganap na diborsiyo ang Pilipinas, maaaring ibigay ang legal na paghihiwalay dahil sa paulit-ulit na pisikal na karahasan o labis na mapang-abusong pag-uugali na nakadirekta laban sa iyo. Nagbibigay-daan ito sa iyo na manirahan nang hiwalay at posibleng mabigyan ng kustodiya ng iyong mga anak. **Serbisyo ng Suporta:**
Nagbibigay ang gobyerno ng iba't ibang serbisyo ng suporta para sa mga biktima ng karahasan sa tahanan, kabilang ang:
* Mga tirahan sa mga sentro ng krisis ng kababaihan at mga ligtas na bahay
* Legal na tulong mula sa Public Attorney's Office (PAO)
* Pagpapayo at suportang sikolohikal
**Tandaan:**
* Ang pagkonsulta sa isang abogado na dalubhasa sa batas ng pamilya ay mahalaga. Maaari ka nilang payuhan sa mga legal na opsyon na pinakaangkop para sa iyong sitwasyon, mangalap ng ebidensya, kumatawan sa iyo sa korte, at tiyaking protektado ang iyong mga karapatan.
* Hindi ka nag-iisa. May mga mapagkukunang magagamit upang matulungan kang malampasan ang sitwasyong ito. Makipag-ugnayan sa Philippine Commission on Women (PCW) o sa Department of Social Welfare and Development (DSWD) para sa tulong.</v>
      </c>
      <c r="F1004" s="2">
        <f t="shared" si="1"/>
        <v>0</v>
      </c>
      <c r="G1004" s="2"/>
      <c r="H1004" s="2"/>
      <c r="I1004" s="2"/>
      <c r="J1004" s="2"/>
      <c r="K1004" s="2"/>
      <c r="L1004" s="2"/>
      <c r="M1004" s="2"/>
      <c r="N1004" s="2"/>
      <c r="O1004" s="2"/>
      <c r="P1004" s="2"/>
      <c r="Q1004" s="2"/>
      <c r="R1004" s="2"/>
      <c r="S1004" s="2"/>
      <c r="T1004" s="2"/>
      <c r="U1004" s="2"/>
      <c r="V1004" s="2"/>
      <c r="W1004" s="2"/>
      <c r="X1004" s="2"/>
      <c r="Y1004" s="2"/>
      <c r="Z1004" s="2"/>
      <c r="AA1004" s="2"/>
    </row>
    <row r="1005">
      <c r="A1005" s="3" t="s">
        <v>2763</v>
      </c>
      <c r="B1005" s="1" t="s">
        <v>3174</v>
      </c>
      <c r="C1005" s="1" t="s">
        <v>3175</v>
      </c>
      <c r="D1005" s="2" t="str">
        <f>IFERROR(__xludf.DUMMYFUNCTION("GOOGLETRANSLATE(B1005, ""en"", ""TL"")"),"Paano tinutugunan ng batas ang pang-aabuso sa pananalapi sa mga kaso ng karahasan sa tahanan?")</f>
        <v>Paano tinutugunan ng batas ang pang-aabuso sa pananalapi sa mga kaso ng karahasan sa tahanan?</v>
      </c>
      <c r="E1005" s="2" t="str">
        <f>IFERROR(__xludf.DUMMYFUNCTION("GOOGLETRANSLATE(C1005, ""en"", ""TL"")"),"Kinikilala ng Anti-Violence Against Women and their Children Act (RA 9262) ang pang-aabuso sa ekonomiya bilang isang uri ng karahasan sa tahanan sa Pilipinas. Narito kung paano ito tinutugunan ng batas:
**Kahulugan ng Pang-ekonomiyang Pang-aabuso:**
Ang S"&amp;"eksyon 3(e) ng RA 9262 ay tumutukoy sa pang-aabuso sa ekonomiya bilang mga gawaing kumokontrol sa pananalapi ng babae at inaalis sa kanya ang kanyang mga mapagkukunang pinansyal. Narito ang ilang partikular na halimbawa:
* **Pagpigil sa babae sa paggawa n"&amp;"g lehitimong trabaho o negosyo:** Hindi ito nalalapat kung tutol ang asawa para sa mga wastong dahilan na tinukoy sa ilalim ng Family Code.
* **Pagkontrol sa sariling pera o ari-arian ng babae:** Maaaring kabilang dito ang pagkuha ng kanyang pera o pagpig"&amp;"il sa kanyang pag-access dito, o pagkontrol kung paano niya ginagastos ang kanyang sariling mga kita.
* **Solly controlled the conjugal or common money/properties:** Ito ay tumutukoy sa mga sitwasyon kung saan ang nang-aabuso ay ganap na kontrolado ang la"&amp;"hat ng pananalapi at ari-arian, na iniiwan ang babae na umaasa sa kanila.
* **Pagsira sa ari-arian ng sambahayan:** Bagama't hindi direktang nauugnay sa kontrol sa pananalapi, maaari itong maging isang taktika upang bigyan ng pang-ekonomiyang panggigipit "&amp;"at pagkaitan ang babae ng mga mapagkukunan.
**Mahalagang maunawaan:**
* Ang kabiguan lamang na pinansyal na suportahan ang pamilya ay hindi awtomatikong itinuturing na pang-ekonomiyang pang-aabuso sa ilalim ng RA 9262. Ang Family Code ay nag-uutos ng supo"&amp;"rtang pinansyal sa pagitan ng mga asawa at mga magulang sa mga anak.
* Gayunpaman, kung ang pagtanggi ng suportang pinansyal ay sinasadya at sinadya na may layuning magdulot ng pagdurusa sa isip o emosyonal, maaari itong ituring na pang-ekonomiyang pang-a"&amp;"abuso sa ilalim ng RA 9262. Halimbawa, ang pagtanggi sa mahahalagang mapagkukunang pinansyal para sa mga pangangailangan ng babae o mga bata ay maaaring ituring na pang-aabuso .
**Mga Legal na remedyo para sa Pang-aabuso sa Ekonomiya:**
* **Mga Kautusan s"&amp;"a Proteksyon:** Ang isang utos ng proteksyon na nakuha sa pamamagitan ng kapitan ng barangay o hukuman ay maaaring maghigpit sa pag-access ng nang-aabuso sa mga conjugal fund o ari-arian at mag-utos sa kanila na magbigay ng pinansiyal na suporta.
* **Mga "&amp;"Pinsala sa Sibil:** Maaaring idemanda ng mga biktima ang nang-aabuso para sa mga pinsala, kabilang ang kabayaran para sa nawalang sahod o nawalang mga pagkakataong kumita dahil sa pang-aabuso sa ekonomiya.
* **Mga Karapatan sa Ari-arian:** Pinoprotektahan"&amp;" ng Family Code ang mga karapatan sa ari-arian ng babae. Sa mga kaso ng paghihiwalay o pagpapawalang-bisa, maaaring isaalang-alang ng korte ang pang-aabuso sa ekonomiya kapag hinahati ang mga ari-arian ng mag-asawa.
**Mga Hamon at Pagsasaalang-alang:**
* "&amp;"Ang pagpapatunay ng pang-aabuso sa ekonomiya ay maaaring maging mahirap. Gayunpaman, ang pag-iingat ng mga rekord sa pananalapi, pagdodokumento ng mga pagkakataon ng kontrol o pagtanggi sa mga mapagkukunan, at mga testimonya ng saksi ay maaaring magpatiba"&amp;"y sa iyong kaso.
* Ang pagkonsulta sa isang abogado na dalubhasa sa batas ng pamilya ay mahalaga. Maaari ka nilang payuhan sa pinakamahusay na paraan ng pagkilos, mangalap ng ebidensya, at kumatawan sa iyo sa korte kung kinakailangan.
Tandaan, ang pang-aa"&amp;"buso sa ekonomiya ay maaaring magkaroon ng malaking epekto sa iyong kagalingan. Ang batas ay nagbibigay ng mga paraan para sa proteksyon at mga mapagkukunan upang matulungan kang mabawi ang kalayaan sa pananalapi. Huwag mag-atubiling humingi ng legal na p"&amp;"ayo at suporta para matugunan ang ganitong uri ng karahasan sa tahanan.")</f>
        <v>Kinikilala ng Anti-Violence Against Women and their Children Act (RA 9262) ang pang-aabuso sa ekonomiya bilang isang uri ng karahasan sa tahanan sa Pilipinas. Narito kung paano ito tinutugunan ng batas:
**Kahulugan ng Pang-ekonomiyang Pang-aabuso:**
Ang Seksyon 3(e) ng RA 9262 ay tumutukoy sa pang-aabuso sa ekonomiya bilang mga gawaing kumokontrol sa pananalapi ng babae at inaalis sa kanya ang kanyang mga mapagkukunang pinansyal. Narito ang ilang partikular na halimbawa:
* **Pagpigil sa babae sa paggawa ng lehitimong trabaho o negosyo:** Hindi ito nalalapat kung tutol ang asawa para sa mga wastong dahilan na tinukoy sa ilalim ng Family Code.
* **Pagkontrol sa sariling pera o ari-arian ng babae:** Maaaring kabilang dito ang pagkuha ng kanyang pera o pagpigil sa kanyang pag-access dito, o pagkontrol kung paano niya ginagastos ang kanyang sariling mga kita.
* **Solly controlled the conjugal or common money/properties:** Ito ay tumutukoy sa mga sitwasyon kung saan ang nang-aabuso ay ganap na kontrolado ang lahat ng pananalapi at ari-arian, na iniiwan ang babae na umaasa sa kanila.
* **Pagsira sa ari-arian ng sambahayan:** Bagama't hindi direktang nauugnay sa kontrol sa pananalapi, maaari itong maging isang taktika upang bigyan ng pang-ekonomiyang panggigipit at pagkaitan ang babae ng mga mapagkukunan.
**Mahalagang maunawaan:**
* Ang kabiguan lamang na pinansyal na suportahan ang pamilya ay hindi awtomatikong itinuturing na pang-ekonomiyang pang-aabuso sa ilalim ng RA 9262. Ang Family Code ay nag-uutos ng suportang pinansyal sa pagitan ng mga asawa at mga magulang sa mga anak.
* Gayunpaman, kung ang pagtanggi ng suportang pinansyal ay sinasadya at sinadya na may layuning magdulot ng pagdurusa sa isip o emosyonal, maaari itong ituring na pang-ekonomiyang pang-aabuso sa ilalim ng RA 9262. Halimbawa, ang pagtanggi sa mahahalagang mapagkukunang pinansyal para sa mga pangangailangan ng babae o mga bata ay maaaring ituring na pang-aabuso .
**Mga Legal na remedyo para sa Pang-aabuso sa Ekonomiya:**
* **Mga Kautusan sa Proteksyon:** Ang isang utos ng proteksyon na nakuha sa pamamagitan ng kapitan ng barangay o hukuman ay maaaring maghigpit sa pag-access ng nang-aabuso sa mga conjugal fund o ari-arian at mag-utos sa kanila na magbigay ng pinansiyal na suporta.
* **Mga Pinsala sa Sibil:** Maaaring idemanda ng mga biktima ang nang-aabuso para sa mga pinsala, kabilang ang kabayaran para sa nawalang sahod o nawalang mga pagkakataong kumita dahil sa pang-aabuso sa ekonomiya.
* **Mga Karapatan sa Ari-arian:** Pinoprotektahan ng Family Code ang mga karapatan sa ari-arian ng babae. Sa mga kaso ng paghihiwalay o pagpapawalang-bisa, maaaring isaalang-alang ng korte ang pang-aabuso sa ekonomiya kapag hinahati ang mga ari-arian ng mag-asawa.
**Mga Hamon at Pagsasaalang-alang:**
* Ang pagpapatunay ng pang-aabuso sa ekonomiya ay maaaring maging mahirap. Gayunpaman, ang pag-iingat ng mga rekord sa pananalapi, pagdodokumento ng mga pagkakataon ng kontrol o pagtanggi sa mga mapagkukunan, at mga testimonya ng saksi ay maaaring magpatibay sa iyong kaso.
* Ang pagkonsulta sa isang abogado na dalubhasa sa batas ng pamilya ay mahalaga. Maaari ka nilang payuhan sa pinakamahusay na paraan ng pagkilos, mangalap ng ebidensya, at kumatawan sa iyo sa korte kung kinakailangan.
Tandaan, ang pang-aabuso sa ekonomiya ay maaaring magkaroon ng malaking epekto sa iyong kagalingan. Ang batas ay nagbibigay ng mga paraan para sa proteksyon at mga mapagkukunan upang matulungan kang mabawi ang kalayaan sa pananalapi. Huwag mag-atubiling humingi ng legal na payo at suporta para matugunan ang ganitong uri ng karahasan sa tahanan.</v>
      </c>
      <c r="F1005" s="2">
        <f t="shared" si="1"/>
        <v>0</v>
      </c>
      <c r="G1005" s="2"/>
      <c r="H1005" s="2"/>
      <c r="I1005" s="2"/>
      <c r="J1005" s="2"/>
      <c r="K1005" s="2"/>
      <c r="L1005" s="2"/>
      <c r="M1005" s="2"/>
      <c r="N1005" s="2"/>
      <c r="O1005" s="2"/>
      <c r="P1005" s="2"/>
      <c r="Q1005" s="2"/>
      <c r="R1005" s="2"/>
      <c r="S1005" s="2"/>
      <c r="T1005" s="2"/>
      <c r="U1005" s="2"/>
      <c r="V1005" s="2"/>
      <c r="W1005" s="2"/>
      <c r="X1005" s="2"/>
      <c r="Y1005" s="2"/>
      <c r="Z1005" s="2"/>
      <c r="AA1005" s="2"/>
    </row>
    <row r="1006">
      <c r="A1006" s="3" t="s">
        <v>2763</v>
      </c>
      <c r="B1006" s="1" t="s">
        <v>3176</v>
      </c>
      <c r="C1006" s="1" t="s">
        <v>3177</v>
      </c>
      <c r="D1006" s="2" t="str">
        <f>IFERROR(__xludf.DUMMYFUNCTION("GOOGLETRANSLATE(B1006, ""en"", ""TL"")"),"Maaari ko bang idemanda ang aking nang-aabuso para sa mga pinsala sa isang sibil na hukuman?")</f>
        <v>Maaari ko bang idemanda ang aking nang-aabuso para sa mga pinsala sa isang sibil na hukuman?</v>
      </c>
      <c r="E1006" s="2" t="str">
        <f>IFERROR(__xludf.DUMMYFUNCTION("GOOGLETRANSLATE(C1006, ""en"", ""TL"")"),"Oo, maaari mong kasuhan ang iyong nang-aabuso para sa mga pinsala sa isang sibil na hukuman sa Pilipinas sa ilalim ng Anti-Violence Against Women and their Children Act (RA 9262). Narito kung paano pinapayagan ka ng batas na humingi ng kabayaran:
* **Mga "&amp;"Pinsala ng Sibil (Artikulo 26 ng RA 9262):** Ang probisyong ito ay nagpapahintulot sa iyo na magsampa ng kasong sibil laban sa iyong nang-aabuso upang mabawi ang mga pinsalang natamo mo dahil sa karahasan. Ang mga pinsalang ito ay maaaring ikategorya sa t"&amp;"atlong pangunahing uri:
* **Mga aktwal na pinsala:** Ito ay tumutukoy sa nasusukat na pagkalugi sa pananalapi na dulot ng pang-aabuso. Kabilang sa mga halimbawa ang mga gastusing medikal, nawalang sahod dahil sa mga pinsala o ang pangangailangang takasan "&amp;"ang nang-aabuso, at mga gastos sa pagkumpuni para sa nasirang ari-arian.
* **Mga pinsala sa moral:** Binabayaran nito ang pagdurusa sa isip o emosyonal na dinanas mo dahil sa pang-aabuso. Walang nakapirming halaga para sa moral na pinsala, ngunit isinasaa"&amp;"lang-alang ng hukuman ang kalubhaan ng karahasan at ang epekto nito sa iyo.
* **Mga halimbawang pinsala:** Ang mga ito ay nilayon upang parusahan ang nang-aabuso at hadlangan ang mga katulad na gawain sa hinaharap. Ang halaga ay tinutukoy ng korte batay s"&amp;"a bigat ng pagkakasala.
* **Burden of Proof:** Mahalagang maunawaan na ang burden of proof ay nasa iyo, ang nagsasakdal. Kailangan mong magpakita ng ebidensya na nagpapatunay sa nangyaring pang-aabuso at kung paano ito nagdulot ng mga pinsalang iyong inaa"&amp;"ngkin. Maaaring kabilang dito ang mga medikal na rekord, mga ulat ng pulisya, mga testimonya ng saksi, at mga larawan ng mga pinsala o nasirang ari-arian.
**Mga Benepisyo ng Pagsampa ng Kaso Sibil:**
* **Financial Compensation:** Ang isang matagumpay na s"&amp;"ibil na demanda ay maaaring magbigay ng pinansyal na mapagkukunan upang makatulong na mabayaran ang mga gastos na nauugnay sa pang-aabuso at muling buuin ang iyong buhay.
* **Pagpapanagot sa Nang-aabuso:** Ang pagdemanda sa iyong nang-aabuso sa korteng si"&amp;"bil ay maaaring isang paraan upang humingi ng hustisya at magpadala ng mensahe na ang kanilang mga aksyon ay may mga kahihinatnan.
**Mga Hamon at Pagsasaalang-alang:**
* **Mga Legal na Gastos:** Ang pagsasampa ng kasong sibil ay nagsasangkot ng mga legal "&amp;"na bayarin at mga gastos sa hukuman. Ang pagkonsulta sa isang abogado na dalubhasa sa batas ng pamilya ay mahalaga upang maunawaan ang mga implikasyon sa pananalapi. * **Time and Emotional Strain:** Ang mga demanda sa sibil ay maaaring tumagal ng oras upa"&amp;"ng malutas at maaaring maging emosyonal. Isaalang-alang ang emosyonal na epekto ng muling pagbisita sa pang-aabuso sa panahon ng legal na proseso.
**Naghahanap ng Legal na Tulong:**
* Ang pagkonsulta sa isang abogado ay lubos na inirerekomenda. Maaari nil"&amp;"ang tasahin ang iyong kaso, payuhan ka sa mga kalakasan at kahinaan ng iyong paghahabol, mangalap ng ebidensya, at kumatawan sa iyo sa korte. * Maaari kang maging karapat-dapat para sa legal na tulong mula sa Public Attorney's Office (PAO) kung natutuguna"&amp;"n mo ang kanilang mga pangangailangan sa pananalapi.
Tandaan, hindi ka nag-iisa. May mga mapagkukunang magagamit upang matulungan kang mag-navigate sa legal na proseso at humingi ng kabayaran para sa mga pinsalang natamo mo.")</f>
        <v>Oo, maaari mong kasuhan ang iyong nang-aabuso para sa mga pinsala sa isang sibil na hukuman sa Pilipinas sa ilalim ng Anti-Violence Against Women and their Children Act (RA 9262). Narito kung paano pinapayagan ka ng batas na humingi ng kabayaran:
* **Mga Pinsala ng Sibil (Artikulo 26 ng RA 9262):** Ang probisyong ito ay nagpapahintulot sa iyo na magsampa ng kasong sibil laban sa iyong nang-aabuso upang mabawi ang mga pinsalang natamo mo dahil sa karahasan. Ang mga pinsalang ito ay maaaring ikategorya sa tatlong pangunahing uri:
* **Mga aktwal na pinsala:** Ito ay tumutukoy sa nasusukat na pagkalugi sa pananalapi na dulot ng pang-aabuso. Kabilang sa mga halimbawa ang mga gastusing medikal, nawalang sahod dahil sa mga pinsala o ang pangangailangang takasan ang nang-aabuso, at mga gastos sa pagkumpuni para sa nasirang ari-arian.
* **Mga pinsala sa moral:** Binabayaran nito ang pagdurusa sa isip o emosyonal na dinanas mo dahil sa pang-aabuso. Walang nakapirming halaga para sa moral na pinsala, ngunit isinasaalang-alang ng hukuman ang kalubhaan ng karahasan at ang epekto nito sa iyo.
* **Mga halimbawang pinsala:** Ang mga ito ay nilayon upang parusahan ang nang-aabuso at hadlangan ang mga katulad na gawain sa hinaharap. Ang halaga ay tinutukoy ng korte batay sa bigat ng pagkakasala.
* **Burden of Proof:** Mahalagang maunawaan na ang burden of proof ay nasa iyo, ang nagsasakdal. Kailangan mong magpakita ng ebidensya na nagpapatunay sa nangyaring pang-aabuso at kung paano ito nagdulot ng mga pinsalang iyong inaangkin. Maaaring kabilang dito ang mga medikal na rekord, mga ulat ng pulisya, mga testimonya ng saksi, at mga larawan ng mga pinsala o nasirang ari-arian.
**Mga Benepisyo ng Pagsampa ng Kaso Sibil:**
* **Financial Compensation:** Ang isang matagumpay na sibil na demanda ay maaaring magbigay ng pinansyal na mapagkukunan upang makatulong na mabayaran ang mga gastos na nauugnay sa pang-aabuso at muling buuin ang iyong buhay.
* **Pagpapanagot sa Nang-aabuso:** Ang pagdemanda sa iyong nang-aabuso sa korteng sibil ay maaaring isang paraan upang humingi ng hustisya at magpadala ng mensahe na ang kanilang mga aksyon ay may mga kahihinatnan.
**Mga Hamon at Pagsasaalang-alang:**
* **Mga Legal na Gastos:** Ang pagsasampa ng kasong sibil ay nagsasangkot ng mga legal na bayarin at mga gastos sa hukuman. Ang pagkonsulta sa isang abogado na dalubhasa sa batas ng pamilya ay mahalaga upang maunawaan ang mga implikasyon sa pananalapi. * **Time and Emotional Strain:** Ang mga demanda sa sibil ay maaaring tumagal ng oras upang malutas at maaaring maging emosyonal. Isaalang-alang ang emosyonal na epekto ng muling pagbisita sa pang-aabuso sa panahon ng legal na proseso.
**Naghahanap ng Legal na Tulong:**
* Ang pagkonsulta sa isang abogado ay lubos na inirerekomenda. Maaari nilang tasahin ang iyong kaso, payuhan ka sa mga kalakasan at kahinaan ng iyong paghahabol, mangalap ng ebidensya, at kumatawan sa iyo sa korte. * Maaari kang maging karapat-dapat para sa legal na tulong mula sa Public Attorney's Office (PAO) kung natutugunan mo ang kanilang mga pangangailangan sa pananalapi.
Tandaan, hindi ka nag-iisa. May mga mapagkukunang magagamit upang matulungan kang mag-navigate sa legal na proseso at humingi ng kabayaran para sa mga pinsalang natamo mo.</v>
      </c>
      <c r="F1006" s="2">
        <f t="shared" si="1"/>
        <v>0</v>
      </c>
      <c r="G1006" s="2"/>
      <c r="H1006" s="2"/>
      <c r="I1006" s="2"/>
      <c r="J1006" s="2"/>
      <c r="K1006" s="2"/>
      <c r="L1006" s="2"/>
      <c r="M1006" s="2"/>
      <c r="N1006" s="2"/>
      <c r="O1006" s="2"/>
      <c r="P1006" s="2"/>
      <c r="Q1006" s="2"/>
      <c r="R1006" s="2"/>
      <c r="S1006" s="2"/>
      <c r="T1006" s="2"/>
      <c r="U1006" s="2"/>
      <c r="V1006" s="2"/>
      <c r="W1006" s="2"/>
      <c r="X1006" s="2"/>
      <c r="Y1006" s="2"/>
      <c r="Z1006" s="2"/>
      <c r="AA1006" s="2"/>
    </row>
    <row r="1007">
      <c r="A1007" s="3" t="s">
        <v>2763</v>
      </c>
      <c r="B1007" s="1" t="s">
        <v>3178</v>
      </c>
      <c r="C1007" s="1" t="s">
        <v>3179</v>
      </c>
      <c r="D1007" s="2" t="str">
        <f>IFERROR(__xludf.DUMMYFUNCTION("GOOGLETRANSLATE(B1007, ""en"", ""TL"")"),"Ano ang dapat kong gawin kung natatakot ako para sa aking kaligtasan pagkatapos iwan ang nang-aabuso sa akin?")</f>
        <v>Ano ang dapat kong gawin kung natatakot ako para sa aking kaligtasan pagkatapos iwan ang nang-aabuso sa akin?</v>
      </c>
      <c r="E1007" s="2" t="str">
        <f>IFERROR(__xludf.DUMMYFUNCTION("GOOGLETRANSLATE(C1007, ""en"", ""TL"")"),"Ganap na mauunawaan ang pagkatakot para sa iyong kaligtasan pagkatapos umalis sa isang mapang-abusong relasyon. Narito ang ilang hakbang na maaari mong gawin upang mapataas ang iyong kaligtasan:
**Bumuo ng Planong Pangkaligtasan:**
* **Safe Haven:** Tukuy"&amp;"in ang isang ligtas na lugar na matutuluyan, tulad ng bahay ng kaibigan, lugar ng miyembro ng pamilya, o shelter ng kababaihan. * **Emergency Contact:** Magkaroon ng pinagkakatiwalaang kaibigan o miyembro ng pamilya na maaari mong kontakin kaagad kung sa "&amp;"tingin mo ay hindi ka ligtas.
* **Baguhin ang Mga Routine:** Pag-iba-iba ang iyong mga pang-araw-araw na gawain upang mas mahirap para sa iyong nang-aabuso na mahulaan ang iyong mga galaw. Maaaring kabilang dito ang pagbabago ng iyong pag-commute, pamimil"&amp;"i sa iba't ibang lugar, at pagpili ng iba't ibang ruta para sa mga paglalakad.
* **Ipaalam sa Mga Tao:** Ipaalam sa malalapit na kaibigan, miyembro ng pamilya, katrabaho, at maging sa mga kapitbahay ang tungkol sa sitwasyon at nang-aabuso sa iyo. Ang pagk"&amp;"akaroon ng kamalayan sa mga tao ay maaaring makapigil sa iyong nang-aabuso at magbigay ng suporta kung kinakailangan.
* **Restraining Order:** Isaalang-alang ang paghahain ng utos ng proteksyon (Barangay Protection Order o Temporary/Permanent Protection O"&amp;"rder na ibinigay ng hukuman) upang legal na paghigpitan ang pakikipag-ugnayan sa iyo ng nang-aabuso sa iyo. **Mga Pansariling Panukala sa Kaligtasan:**
* **Baguhin ang Mga Kandado:** Kung uuwi ka o kailangan mong manatili doon, isaalang-alang ang pagpapal"&amp;"it ng mga kandado sa mga pinto at bintana.
* **I-block ang Komunikasyon:** I-block ang numero ng telepono, email, at social media account ng iyong nang-aabuso.
* **Idokumento ang Lahat:** Panatilihin ang isang talaan ng anumang karagdagang mga pagtatangka"&amp;" sa pakikipag-ugnayan o pagbabanta mula sa iyong nang-aabuso. Maaaring kabilang dito ang mga screenshot, voicemail (kung legal sa iyong lugar), at nakasulat na dokumentasyon na may mga petsa at detalye.
* **Maging Aware sa Paligid:** Manatiling alerto at "&amp;"magkaroon ng kamalayan sa iyong paligid, lalo na kapag pumapasok o umaalis sa iyong tahanan, sasakyan, o lugar ng trabaho.
* **Self-Defense:** Isaalang-alang ang pagkuha ng klase sa pagtatanggol sa sarili upang palakasin ang iyong kumpiyansa at mga pangun"&amp;"ahing kasanayan sa pagtatanggol sa sarili kung kinakailangan.
**Humingi ng Karagdagang Suporta:**
* **Crisis Hotline:** Isaalang-alang ang pakikipag-ugnayan sa isang domestic violence hotline para sa agarang suporta at gabay.
* **Legal na Tulong:** Maaari"&amp;"ng payuhan ka ng isang abogado na dalubhasa sa batas ng pamilya tungkol sa iyong mga legal na karapatan at opsyon, kabilang ang mga utos ng proteksyon at posibleng magdemanda sa iyong nang-aabuso. * **Pagpapayo:** Makakatulong sa iyo ang Therapy na harapi"&amp;"n ang emosyonal na trauma ng pang-aabuso at bumuo ng mga mekanismo sa pagharap upang sumulong.
**Narito ang ilang mapagkukunan sa Pilipinas na maaaring makatulong:**
* Philippine National Commission on the Role of Women (PCW): PCW website: [https://pcw.go"&amp;"v.ph/](https://pcw.gov.ph/) * Department of Social Welfare and Development (DSWD) : Website ng DSWD: [https://www.dswd.gov.ph/](https://www.dswd.gov.ph/)
* Women's Legal Resource Center (WLRC): WLRC website: [inalis ang invalid na URL]
Tandaan, ang iyong "&amp;"kaligtasan ang pinakamahalaga. Huwag mag-atubiling humingi ng tulong at gamitin ang mga mapagkukunang magagamit upang protektahan ang iyong sarili. Hindi ka nag-iisa.")</f>
        <v>Ganap na mauunawaan ang pagkatakot para sa iyong kaligtasan pagkatapos umalis sa isang mapang-abusong relasyon. Narito ang ilang hakbang na maaari mong gawin upang mapataas ang iyong kaligtasan:
**Bumuo ng Planong Pangkaligtasan:**
* **Safe Haven:** Tukuyin ang isang ligtas na lugar na matutuluyan, tulad ng bahay ng kaibigan, lugar ng miyembro ng pamilya, o shelter ng kababaihan. * **Emergency Contact:** Magkaroon ng pinagkakatiwalaang kaibigan o miyembro ng pamilya na maaari mong kontakin kaagad kung sa tingin mo ay hindi ka ligtas.
* **Baguhin ang Mga Routine:** Pag-iba-iba ang iyong mga pang-araw-araw na gawain upang mas mahirap para sa iyong nang-aabuso na mahulaan ang iyong mga galaw. Maaaring kabilang dito ang pagbabago ng iyong pag-commute, pamimili sa iba't ibang lugar, at pagpili ng iba't ibang ruta para sa mga paglalakad.
* **Ipaalam sa Mga Tao:** Ipaalam sa malalapit na kaibigan, miyembro ng pamilya, katrabaho, at maging sa mga kapitbahay ang tungkol sa sitwasyon at nang-aabuso sa iyo. Ang pagkakaroon ng kamalayan sa mga tao ay maaaring makapigil sa iyong nang-aabuso at magbigay ng suporta kung kinakailangan.
* **Restraining Order:** Isaalang-alang ang paghahain ng utos ng proteksyon (Barangay Protection Order o Temporary/Permanent Protection Order na ibinigay ng hukuman) upang legal na paghigpitan ang pakikipag-ugnayan sa iyo ng nang-aabuso sa iyo. **Mga Pansariling Panukala sa Kaligtasan:**
* **Baguhin ang Mga Kandado:** Kung uuwi ka o kailangan mong manatili doon, isaalang-alang ang pagpapalit ng mga kandado sa mga pinto at bintana.
* **I-block ang Komunikasyon:** I-block ang numero ng telepono, email, at social media account ng iyong nang-aabuso.
* **Idokumento ang Lahat:** Panatilihin ang isang talaan ng anumang karagdagang mga pagtatangka sa pakikipag-ugnayan o pagbabanta mula sa iyong nang-aabuso. Maaaring kabilang dito ang mga screenshot, voicemail (kung legal sa iyong lugar), at nakasulat na dokumentasyon na may mga petsa at detalye.
* **Maging Aware sa Paligid:** Manatiling alerto at magkaroon ng kamalayan sa iyong paligid, lalo na kapag pumapasok o umaalis sa iyong tahanan, sasakyan, o lugar ng trabaho.
* **Self-Defense:** Isaalang-alang ang pagkuha ng klase sa pagtatanggol sa sarili upang palakasin ang iyong kumpiyansa at mga pangunahing kasanayan sa pagtatanggol sa sarili kung kinakailangan.
**Humingi ng Karagdagang Suporta:**
* **Crisis Hotline:** Isaalang-alang ang pakikipag-ugnayan sa isang domestic violence hotline para sa agarang suporta at gabay.
* **Legal na Tulong:** Maaaring payuhan ka ng isang abogado na dalubhasa sa batas ng pamilya tungkol sa iyong mga legal na karapatan at opsyon, kabilang ang mga utos ng proteksyon at posibleng magdemanda sa iyong nang-aabuso. * **Pagpapayo:** Makakatulong sa iyo ang Therapy na harapin ang emosyonal na trauma ng pang-aabuso at bumuo ng mga mekanismo sa pagharap upang sumulong.
**Narito ang ilang mapagkukunan sa Pilipinas na maaaring makatulong:**
* Philippine National Commission on the Role of Women (PCW): PCW website: [https://pcw.gov.ph/](https://pcw.gov.ph/) * Department of Social Welfare and Development (DSWD) : Website ng DSWD: [https://www.dswd.gov.ph/](https://www.dswd.gov.ph/)
* Women's Legal Resource Center (WLRC): WLRC website: [inalis ang invalid na URL]
Tandaan, ang iyong kaligtasan ang pinakamahalaga. Huwag mag-atubiling humingi ng tulong at gamitin ang mga mapagkukunang magagamit upang protektahan ang iyong sarili. Hindi ka nag-iisa.</v>
      </c>
      <c r="F1007" s="2">
        <f t="shared" si="1"/>
        <v>0</v>
      </c>
      <c r="G1007" s="2"/>
      <c r="H1007" s="2"/>
      <c r="I1007" s="2"/>
      <c r="J1007" s="2"/>
      <c r="K1007" s="2"/>
      <c r="L1007" s="2"/>
      <c r="M1007" s="2"/>
      <c r="N1007" s="2"/>
      <c r="O1007" s="2"/>
      <c r="P1007" s="2"/>
      <c r="Q1007" s="2"/>
      <c r="R1007" s="2"/>
      <c r="S1007" s="2"/>
      <c r="T1007" s="2"/>
      <c r="U1007" s="2"/>
      <c r="V1007" s="2"/>
      <c r="W1007" s="2"/>
      <c r="X1007" s="2"/>
      <c r="Y1007" s="2"/>
      <c r="Z1007" s="2"/>
      <c r="AA1007" s="2"/>
    </row>
    <row r="1008">
      <c r="A1008" s="3" t="s">
        <v>2763</v>
      </c>
      <c r="B1008" s="1" t="s">
        <v>3180</v>
      </c>
      <c r="C1008" s="1" t="s">
        <v>3181</v>
      </c>
      <c r="D1008" s="2" t="str">
        <f>IFERROR(__xludf.DUMMYFUNCTION("GOOGLETRANSLATE(B1008, ""en"", ""TL"")"),"Paano pinangangasiwaan ng batas ang mga kaso kung saan ang nang-aabuso ay miyembro ng pamilya o asawa?")</f>
        <v>Paano pinangangasiwaan ng batas ang mga kaso kung saan ang nang-aabuso ay miyembro ng pamilya o asawa?</v>
      </c>
      <c r="E1008" s="2" t="str">
        <f>IFERROR(__xludf.DUMMYFUNCTION("GOOGLETRANSLATE(C1008, ""en"", ""TL"")"),"Kinikilala ng batas ng Pilipinas ang kahinaan ng mga biktima kapag ang nang-aabuso ay miyembro ng pamilya o asawa. Narito kung paano tinatalakay ng batas ang mga sitwasyong ito:
* **Tumutok sa Pagprotekta sa mga Biktima:** Ang Anti-Violence Against Women "&amp;"and their Children Act (RA 9262) ay inuuna ang proteksyon ng kababaihan at mga bata mula sa karahasan, anuman ang kaugnayan sa nang-aabuso. * **Mas Malawak na Kahulugan ng Nang-aabuso:** Ang RA 9262 ay tumutukoy sa nang-aabuso hindi lamang bilang isang as"&amp;"awa o live-in partner kundi bilang isang tao kung kanino ang babae ay nagkaroon o nagkaroon ng relasyong sekswal o pakikipag-date, o isang taong may karaniwang anak. kasama ang babae. Maaaring kabilang dito ang mga ama, anak, kapatid na lalaki, tiyuhin, o"&amp;" kahit na dating kasintahan.
Narito ang isang breakdown kung paano nalalapat ang batas depende sa kaugnayan ng nang-aabuso sa biktima:
* **Asawa o Dating Asawa:** Kung ang nang-aabuso ay ang iyong kasalukuyan o dating asawa, ang mga legal na remedyo sa il"&amp;"alim ng RA 9262 at ang Family Code ay magagamit. Kabilang dito ang paghahain para sa mga utos ng proteksyon, pagdiin ng mga singil para sa mga partikular na gawain ng karahasan, at potensyal na humingi ng legal na paghihiwalay batay sa mga batayan ng kara"&amp;"hasan sa tahanan.
* **Miyembro ng Pamilya:** Kung ang nang-aabuso ay miyembro ng pamilya (ama, anak, kapatid, tiyuhin, atbp.), maaari pa ring makuha ang mga utos ng proteksyon sa ilalim ng RA 9262. Gayunpaman, ang pagpindot sa mga singil ay maaaring depen"&amp;"de sa partikular na pagkilos ng karahasan na ginawa. Tinutukoy ng Binagong Kodigo Penal ang iba't ibang krimen tulad ng pisikal na pag-atake, sekswal na pag-atake, o mga pagbabanta na maaaring gamitin upang usigin ang nang-aabuso, depende sa sitwasyon.
**"&amp;"Mahahalagang Pagsasaalang-alang:**
* **Mahalaga ang ebidensya:** Anuman ang relasyon, ang pangangalap ng ebidensya ng pang-aabuso ay mahalaga upang palakasin ang iyong kaso kapag humihingi ng mga utos ng proteksyon o pagpindot ng mga singil. Maaaring kabi"&amp;"lang dito ang mga medikal na rekord, mga ulat ng pulisya, mga testimonya ng saksi, at mga larawan ng mga pinsala o nasirang ari-arian.
* **Emosyonal/Psychological na Pang-aabuso:** Tandaan, kinikilala ng RA 9262 ang emosyonal o sikolohikal na pang-aabuso "&amp;"bilang isang uri ng karahasan sa tahanan. Ito ay maaaring may kaugnayan kahit na sa mga kaso kung saan ang nang-aabuso ay isang miyembro ng pamilya, hindi lamang isang asawa o kapareha.
* **Kustodiya at Suporta:** Kung mayroon kang mga anak at isinasaalan"&amp;"g-alang ang pag-alis sa mapang-abusong sitwasyon, uunahin ng hukuman ang kaligtasan at pinakamainam na interes ng bata kapag nagpapasya sa kustodiya. Ang katibayan ng karahasan sa tahanan ay maaaring makabuluhang makaapekto sa desisyong ito. **Naghahanap "&amp;"ng Legal na Tulong:**
Ang pagkonsulta sa isang abogado na dalubhasa sa batas ng pamilya ay mahalaga. Maaari ka nilang payuhan sa mga legal na opsyon na pinakaangkop para sa iyong sitwasyon, isinasaalang-alang ang partikular na relasyon sa pagitan mo at ng"&amp;" nang-aabuso, mangalap ng ebidensya, kumatawan sa iyo sa hukuman, at tiyaking protektado ang iyong mga karapatan at kaligtasan.
Tandaan, hindi ka nag-iisa. May mga mapagkukunang magagamit upang matulungan kang malampasan ang karahasan sa tahanan anuman an"&amp;"g kaugnayan ng nang-aabuso sa iyo. Makipag-ugnayan sa Philippine Commission on Women (PCW) o sa Department of Social Welfare and Development (DSWD) para sa suporta.")</f>
        <v>Kinikilala ng batas ng Pilipinas ang kahinaan ng mga biktima kapag ang nang-aabuso ay miyembro ng pamilya o asawa. Narito kung paano tinatalakay ng batas ang mga sitwasyong ito:
* **Tumutok sa Pagprotekta sa mga Biktima:** Ang Anti-Violence Against Women and their Children Act (RA 9262) ay inuuna ang proteksyon ng kababaihan at mga bata mula sa karahasan, anuman ang kaugnayan sa nang-aabuso. * **Mas Malawak na Kahulugan ng Nang-aabuso:** Ang RA 9262 ay tumutukoy sa nang-aabuso hindi lamang bilang isang asawa o live-in partner kundi bilang isang tao kung kanino ang babae ay nagkaroon o nagkaroon ng relasyong sekswal o pakikipag-date, o isang taong may karaniwang anak. kasama ang babae. Maaaring kabilang dito ang mga ama, anak, kapatid na lalaki, tiyuhin, o kahit na dating kasintahan.
Narito ang isang breakdown kung paano nalalapat ang batas depende sa kaugnayan ng nang-aabuso sa biktima:
* **Asawa o Dating Asawa:** Kung ang nang-aabuso ay ang iyong kasalukuyan o dating asawa, ang mga legal na remedyo sa ilalim ng RA 9262 at ang Family Code ay magagamit. Kabilang dito ang paghahain para sa mga utos ng proteksyon, pagdiin ng mga singil para sa mga partikular na gawain ng karahasan, at potensyal na humingi ng legal na paghihiwalay batay sa mga batayan ng karahasan sa tahanan.
* **Miyembro ng Pamilya:** Kung ang nang-aabuso ay miyembro ng pamilya (ama, anak, kapatid, tiyuhin, atbp.), maaari pa ring makuha ang mga utos ng proteksyon sa ilalim ng RA 9262. Gayunpaman, ang pagpindot sa mga singil ay maaaring depende sa partikular na pagkilos ng karahasan na ginawa. Tinutukoy ng Binagong Kodigo Penal ang iba't ibang krimen tulad ng pisikal na pag-atake, sekswal na pag-atake, o mga pagbabanta na maaaring gamitin upang usigin ang nang-aabuso, depende sa sitwasyon.
**Mahahalagang Pagsasaalang-alang:**
* **Mahalaga ang ebidensya:** Anuman ang relasyon, ang pangangalap ng ebidensya ng pang-aabuso ay mahalaga upang palakasin ang iyong kaso kapag humihingi ng mga utos ng proteksyon o pagpindot ng mga singil. Maaaring kabilang dito ang mga medikal na rekord, mga ulat ng pulisya, mga testimonya ng saksi, at mga larawan ng mga pinsala o nasirang ari-arian.
* **Emosyonal/Psychological na Pang-aabuso:** Tandaan, kinikilala ng RA 9262 ang emosyonal o sikolohikal na pang-aabuso bilang isang uri ng karahasan sa tahanan. Ito ay maaaring may kaugnayan kahit na sa mga kaso kung saan ang nang-aabuso ay isang miyembro ng pamilya, hindi lamang isang asawa o kapareha.
* **Kustodiya at Suporta:** Kung mayroon kang mga anak at isinasaalang-alang ang pag-alis sa mapang-abusong sitwasyon, uunahin ng hukuman ang kaligtasan at pinakamainam na interes ng bata kapag nagpapasya sa kustodiya. Ang katibayan ng karahasan sa tahanan ay maaaring makabuluhang makaapekto sa desisyong ito. **Naghahanap ng Legal na Tulong:**
Ang pagkonsulta sa isang abogado na dalubhasa sa batas ng pamilya ay mahalaga. Maaari ka nilang payuhan sa mga legal na opsyon na pinakaangkop para sa iyong sitwasyon, isinasaalang-alang ang partikular na relasyon sa pagitan mo at ng nang-aabuso, mangalap ng ebidensya, kumatawan sa iyo sa hukuman, at tiyaking protektado ang iyong mga karapatan at kaligtasan.
Tandaan, hindi ka nag-iisa. May mga mapagkukunang magagamit upang matulungan kang malampasan ang karahasan sa tahanan anuman ang kaugnayan ng nang-aabuso sa iyo. Makipag-ugnayan sa Philippine Commission on Women (PCW) o sa Department of Social Welfare and Development (DSWD) para sa suporta.</v>
      </c>
      <c r="F1008" s="2">
        <f t="shared" si="1"/>
        <v>0</v>
      </c>
      <c r="G1008" s="2"/>
      <c r="H1008" s="2"/>
      <c r="I1008" s="2"/>
      <c r="J1008" s="2"/>
      <c r="K1008" s="2"/>
      <c r="L1008" s="2"/>
      <c r="M1008" s="2"/>
      <c r="N1008" s="2"/>
      <c r="O1008" s="2"/>
      <c r="P1008" s="2"/>
      <c r="Q1008" s="2"/>
      <c r="R1008" s="2"/>
      <c r="S1008" s="2"/>
      <c r="T1008" s="2"/>
      <c r="U1008" s="2"/>
      <c r="V1008" s="2"/>
      <c r="W1008" s="2"/>
      <c r="X1008" s="2"/>
      <c r="Y1008" s="2"/>
      <c r="Z1008" s="2"/>
      <c r="AA1008" s="2"/>
    </row>
    <row r="1009">
      <c r="A1009" s="3" t="s">
        <v>2763</v>
      </c>
      <c r="B1009" s="1" t="s">
        <v>3182</v>
      </c>
      <c r="C1009" s="1" t="s">
        <v>3183</v>
      </c>
      <c r="D1009" s="2" t="str">
        <f>IFERROR(__xludf.DUMMYFUNCTION("GOOGLETRANSLATE(B1009, ""en"", ""TL"")"),"Maaari bang bawasan ang mga singil sa karahasan sa tahanan kung bawiin ng biktima ang kanilang pahayag?")</f>
        <v>Maaari bang bawasan ang mga singil sa karahasan sa tahanan kung bawiin ng biktima ang kanilang pahayag?</v>
      </c>
      <c r="E1009" s="2" t="str">
        <f>IFERROR(__xludf.DUMMYFUNCTION("GOOGLETRANSLATE(C1009, ""en"", ""TL"")"),"Sa Pilipinas, ang pagbawi sa isang pahayag ng biktima **ay hindi awtomatikong** hahantong sa pagbaba ng mga singil sa karahasan sa tahanan. Narito ang kaugnay na batas:
* **Republic Act No. 9262** na kilala rin bilang ""Anti-Violence Against Women and the"&amp;"ir Children Act of 2004"" [R.A. 9262]
Itinuring ng Batas na ito ang karahasan sa tahanan bilang isang krimen laban sa estado, hindi lamang isang personal na pagkakasala. Nangangahulugan ito na ang desisyon na ituloy ang mga kaso ay nakasalalay sa tagausig"&amp;", hindi lamang sa biktima.
Kahit na may recantation, ang tagausig **maaari pa ring ituloy ang kaso** kung mayroong **iba pang ebidensya** gaya ng:
* Mga rekord ng medikal na nagdodokumento ng mga pinsala
* Mga ulat ng pulisya
* Mga patotoo ng saksi
* Mga "&amp;"text message o mga post sa social media na naglalaman ng mga pagbabanta
**Dagdag pa rito, ang pagbawi sa isang pahayag ay maaaring magkaroon ng legal na kahihinatnan** para sa biktima. Maaari silang kasuhan ng:
* Perajury (maling patotoo sa ilalim ng panu"&amp;"numpa)
* Harang sa Katarungan
**Mahahalagang Paalala:**
* Hindi ito legal na payo. Kung ikaw ay nasasangkot sa isang kaso ng karahasan sa tahanan, kumunsulta sa isang abogado na maaaring magbigay sa iyo ng partikular na patnubay batay sa iyong sitwasyon.
"&amp;"* May mga mapagkukunang magagamit upang matulungan ang mga biktima ng karahasan sa tahanan. Maaari kang makipag-ugnayan sa Department of Social Welfare and Development (DSWD) o mga NGO na nagbibigay ng suporta at tulong.")</f>
        <v>Sa Pilipinas, ang pagbawi sa isang pahayag ng biktima **ay hindi awtomatikong** hahantong sa pagbaba ng mga singil sa karahasan sa tahanan. Narito ang kaugnay na batas:
* **Republic Act No. 9262** na kilala rin bilang "Anti-Violence Against Women and their Children Act of 2004" [R.A. 9262]
Itinuring ng Batas na ito ang karahasan sa tahanan bilang isang krimen laban sa estado, hindi lamang isang personal na pagkakasala. Nangangahulugan ito na ang desisyon na ituloy ang mga kaso ay nakasalalay sa tagausig, hindi lamang sa biktima.
Kahit na may recantation, ang tagausig **maaari pa ring ituloy ang kaso** kung mayroong **iba pang ebidensya** gaya ng:
* Mga rekord ng medikal na nagdodokumento ng mga pinsala
* Mga ulat ng pulisya
* Mga patotoo ng saksi
* Mga text message o mga post sa social media na naglalaman ng mga pagbabanta
**Dagdag pa rito, ang pagbawi sa isang pahayag ay maaaring magkaroon ng legal na kahihinatnan** para sa biktima. Maaari silang kasuhan ng:
* Perajury (maling patotoo sa ilalim ng panunumpa)
* Harang sa Katarungan
**Mahahalagang Paalala:**
* Hindi ito legal na payo. Kung ikaw ay nasasangkot sa isang kaso ng karahasan sa tahanan, kumunsulta sa isang abogado na maaaring magbigay sa iyo ng partikular na patnubay batay sa iyong sitwasyon.
* May mga mapagkukunang magagamit upang matulungan ang mga biktima ng karahasan sa tahanan. Maaari kang makipag-ugnayan sa Department of Social Welfare and Development (DSWD) o mga NGO na nagbibigay ng suporta at tulong.</v>
      </c>
      <c r="F1009" s="2">
        <f t="shared" si="1"/>
        <v>0</v>
      </c>
      <c r="G1009" s="2"/>
      <c r="H1009" s="2"/>
      <c r="I1009" s="2"/>
      <c r="J1009" s="2"/>
      <c r="K1009" s="2"/>
      <c r="L1009" s="2"/>
      <c r="M1009" s="2"/>
      <c r="N1009" s="2"/>
      <c r="O1009" s="2"/>
      <c r="P1009" s="2"/>
      <c r="Q1009" s="2"/>
      <c r="R1009" s="2"/>
      <c r="S1009" s="2"/>
      <c r="T1009" s="2"/>
      <c r="U1009" s="2"/>
      <c r="V1009" s="2"/>
      <c r="W1009" s="2"/>
      <c r="X1009" s="2"/>
      <c r="Y1009" s="2"/>
      <c r="Z1009" s="2"/>
      <c r="AA1009" s="2"/>
    </row>
    <row r="1010">
      <c r="A1010" s="3" t="s">
        <v>2763</v>
      </c>
      <c r="B1010" s="1" t="s">
        <v>3184</v>
      </c>
      <c r="C1010" s="1" t="s">
        <v>3185</v>
      </c>
      <c r="D1010" s="2" t="str">
        <f>IFERROR(__xludf.DUMMYFUNCTION("GOOGLETRANSLATE(B1010, ""en"", ""TL"")"),"Paano pinoprotektahan ng batas ang mga biktima na natatakot na tumestigo laban sa kanilang mga nang-aabuso?")</f>
        <v>Paano pinoprotektahan ng batas ang mga biktima na natatakot na tumestigo laban sa kanilang mga nang-aabuso?</v>
      </c>
      <c r="E1010" s="2" t="str">
        <f>IFERROR(__xludf.DUMMYFUNCTION("GOOGLETRANSLATE(C1010, ""en"", ""TL"")"),"Nag-aalok ang batas ng Pilipinas ng ilang layer ng proteksyon para sa mga biktima na natatakot na tumestigo laban sa kanilang mga nang-aabuso:
**1. Batas sa Proteksyon, Seguridad at Benepisyo ng Saksi (Republic Act No. 6981):**
Ang batas na ito ay nagtata"&amp;"tag ng Witness Protection Program upang matiyak ang kaligtasan ng mga testigo, kabilang ang mga biktima, sa mga kasong kriminal. Nag-aalok ang programa ng:
* Relokasyon at pag-iingat
* Tulong pinansyal
* Mga bagong pagkakakilanlan (sa matinding kaso)
* Mg"&amp;"a hakbang sa seguridad
Maaaring mag-aplay ang mga biktima para sa pagsasama sa programa sa pamamagitan ng Department of Justice (DOJ).
**2. Anti-Violence Against Women and their Children Act (Republic Act No. 9262):**
* **Pagiging Kumpidensyal:** Pinoprot"&amp;"ektahan ang pagkakakilanlan at kinaroroonan ng biktima at kanilang mga anak [R.A. 9262]. Pinaliit nito ang panganib na gumanti ang nang-aabuso.
* **Mga Kautusan para sa Proteksyon ng Barangay (Mga BPO) at Mga Kautusang Proteksyon (PO):** Ang mga utos ng h"&amp;"ukuman na ito ay nag-uutos sa nang-aabuso na lumayo sa biktima at sa kanilang mga anak. Maaari rin nilang pagbawalan ang nang-aabuso na makipag-ugnayan sa biktima o pumasok sa kanilang tirahan [R.A. 9262].
**3. Iba pang mga Panukala:**
* **Testimonya ng c"&amp;"losed-circuit television (CCTV):** Nagbibigay-daan sa mga biktima na tumestigo sa isang hiwalay na silid na malayo sa nang-aabuso (napapailalim sa pag-apruba ng hukuman).
* **Sikolohikal na suporta:** Ang mga ahensya ng gobyerno at NGO ay nag-aalok ng pag"&amp;"papayo at iba pang mga serbisyo ng suporta upang matulungan ang mga biktima na makayanan ang trauma at maghanda para sa mga paglilitis sa korte.
**Mahalagang Tandaan:**
* Ang mga proteksyong ito ay naglalayong bigyan ng kapangyarihan ang mga biktima na lu"&amp;"mapit at lumahok sa legal na proseso.
* Kahit na ang pagbawi ng biktima, maaaring ituloy ng tagausig ang kaso batay sa iba pang ebidensya [R.A. 9262]. Kung ikaw ay biktima ng pang-aabuso at natatakot na tumestigo, makipag-ugnayan sa Department of Justice "&amp;"(DOJ) o mga NGO na maaaring magbigay ng legal na tulong at ikonekta ka sa Witness Protection Program.")</f>
        <v>Nag-aalok ang batas ng Pilipinas ng ilang layer ng proteksyon para sa mga biktima na natatakot na tumestigo laban sa kanilang mga nang-aabuso:
**1. Batas sa Proteksyon, Seguridad at Benepisyo ng Saksi (Republic Act No. 6981):**
Ang batas na ito ay nagtatatag ng Witness Protection Program upang matiyak ang kaligtasan ng mga testigo, kabilang ang mga biktima, sa mga kasong kriminal. Nag-aalok ang programa ng:
* Relokasyon at pag-iingat
* Tulong pinansyal
* Mga bagong pagkakakilanlan (sa matinding kaso)
* Mga hakbang sa seguridad
Maaaring mag-aplay ang mga biktima para sa pagsasama sa programa sa pamamagitan ng Department of Justice (DOJ).
**2. Anti-Violence Against Women and their Children Act (Republic Act No. 9262):**
* **Pagiging Kumpidensyal:** Pinoprotektahan ang pagkakakilanlan at kinaroroonan ng biktima at kanilang mga anak [R.A. 9262]. Pinaliit nito ang panganib na gumanti ang nang-aabuso.
* **Mga Kautusan para sa Proteksyon ng Barangay (Mga BPO) at Mga Kautusang Proteksyon (PO):** Ang mga utos ng hukuman na ito ay nag-uutos sa nang-aabuso na lumayo sa biktima at sa kanilang mga anak. Maaari rin nilang pagbawalan ang nang-aabuso na makipag-ugnayan sa biktima o pumasok sa kanilang tirahan [R.A. 9262].
**3. Iba pang mga Panukala:**
* **Testimonya ng closed-circuit television (CCTV):** Nagbibigay-daan sa mga biktima na tumestigo sa isang hiwalay na silid na malayo sa nang-aabuso (napapailalim sa pag-apruba ng hukuman).
* **Sikolohikal na suporta:** Ang mga ahensya ng gobyerno at NGO ay nag-aalok ng pagpapayo at iba pang mga serbisyo ng suporta upang matulungan ang mga biktima na makayanan ang trauma at maghanda para sa mga paglilitis sa korte.
**Mahalagang Tandaan:**
* Ang mga proteksyong ito ay naglalayong bigyan ng kapangyarihan ang mga biktima na lumapit at lumahok sa legal na proseso.
* Kahit na ang pagbawi ng biktima, maaaring ituloy ng tagausig ang kaso batay sa iba pang ebidensya [R.A. 9262]. Kung ikaw ay biktima ng pang-aabuso at natatakot na tumestigo, makipag-ugnayan sa Department of Justice (DOJ) o mga NGO na maaaring magbigay ng legal na tulong at ikonekta ka sa Witness Protection Program.</v>
      </c>
      <c r="F1010" s="2">
        <f t="shared" si="1"/>
        <v>0</v>
      </c>
      <c r="G1010" s="2"/>
      <c r="H1010" s="2"/>
      <c r="I1010" s="2"/>
      <c r="J1010" s="2"/>
      <c r="K1010" s="2"/>
      <c r="L1010" s="2"/>
      <c r="M1010" s="2"/>
      <c r="N1010" s="2"/>
      <c r="O1010" s="2"/>
      <c r="P1010" s="2"/>
      <c r="Q1010" s="2"/>
      <c r="R1010" s="2"/>
      <c r="S1010" s="2"/>
      <c r="T1010" s="2"/>
      <c r="U1010" s="2"/>
      <c r="V1010" s="2"/>
      <c r="W1010" s="2"/>
      <c r="X1010" s="2"/>
      <c r="Y1010" s="2"/>
      <c r="Z1010" s="2"/>
      <c r="AA1010" s="2"/>
    </row>
    <row r="1011">
      <c r="A1011" s="3" t="s">
        <v>2763</v>
      </c>
      <c r="B1011" s="1" t="s">
        <v>3186</v>
      </c>
      <c r="C1011" s="1" t="s">
        <v>3187</v>
      </c>
      <c r="D1011" s="2" t="str">
        <f>IFERROR(__xludf.DUMMYFUNCTION("GOOGLETRANSLATE(B1011, ""en"", ""TL"")"),"Maaari ba akong makakuha ng legal aid o tulong kung hindi ko kayang magbayad ng abogado?")</f>
        <v>Maaari ba akong makakuha ng legal aid o tulong kung hindi ko kayang magbayad ng abogado?</v>
      </c>
      <c r="E1011" s="2" t="str">
        <f>IFERROR(__xludf.DUMMYFUNCTION("GOOGLETRANSLATE(C1011, ""en"", ""TL"")"),"Oo, nag-aalok ang Pilipinas ng legal na tulong sa mga hindi kayang magbayad ng pribadong abogado. Narito ang ilang mapagkukunan:
* **Public Attorney's Office (PAO):** Ang ahensya ng gobyernong ito ay nagbibigay ng libreng legal na tulong, pagpapayo, at re"&amp;"presentasyon sa mga mahihirap na Pilipino sa mga kasong sibil, kriminal, at administratibo sa Korte Suprema ng Pilipinas: sc.judiciary.gov.ph. Maaari kang makipag-ugnayan sa kanila sa pamamagitan ng:
* Email: pao_executive@yahoo.com
* Telepono:
* +63 2 89"&amp;"29-9436
* +63 2 8426-2075
* +63 2 8426-2801
* +63 2 8426-2450
* +63 2 8426-2987
* +63 2 8426-2683
* **Integrated Bar of the Philippines (IBP) Legal Aid Program:** Ang IBP, ang opisyal na organisasyon ng lahat ng abogado sa Pilipinas, ay may programang leg"&amp;"al aid na nag-aalok ng libreng legal na tulong sa mga kwalipikadong indibidwal Supreme Court Philippines: sc.judiciary .gov.ph. Maaari kang makipag-ugnayan sa kanila sa pamamagitan ng:
* Email: ibplegalaid@gmail.com
* Telepono:
* +63 2 8631-3016
* +63 2 8"&amp;"631-3017
* +63 2 8631-3018
**Dagdag pa:**
* **Mga klinika ng legal na tulong sa paaralan ng batas:** Maraming mga law school sa Pilipinas ang nagpapatakbo ng mga klinika ng legal aid na may tauhan ng mga mag-aaral ng batas na pinangangasiwaan ng mga aboga"&amp;"do. Nag-aalok ang mga klinikang ito ng mga libreng serbisyong legal sa mga mahihirap na kliyente [inalis ang invalid na URL].
* **NGOs:** Ang ilang NGO ay nagbibigay ng legal na tulong sa mga partikular na grupo o para sa mga partikular na legal na isyu.
"&amp;"**Narito ang karaniwang kailangan mo para maging kwalipikado para sa legal na tulong:**
* Katibayan ng kita na nagpapakita ng pangangailangang pinansyal
* Mga dokumentong nauugnay sa iyong legal na kaso
**Tandaan:** Ang impormasyong ito ay hindi pamalit p"&amp;"ara sa propesyonal na payong legal. Inirerekomenda kong makipag-ugnayan sa PAO o IBP upang talakayin ang iyong partikular na sitwasyon at tingnan kung kwalipikado ka para sa kanilang programa sa tulong legal.")</f>
        <v>Oo, nag-aalok ang Pilipinas ng legal na tulong sa mga hindi kayang magbayad ng pribadong abogado. Narito ang ilang mapagkukunan:
* **Public Attorney's Office (PAO):** Ang ahensya ng gobyernong ito ay nagbibigay ng libreng legal na tulong, pagpapayo, at representasyon sa mga mahihirap na Pilipino sa mga kasong sibil, kriminal, at administratibo sa Korte Suprema ng Pilipinas: sc.judiciary.gov.ph. Maaari kang makipag-ugnayan sa kanila sa pamamagitan ng:
* Email: pao_executive@yahoo.com
* Telepono:
* +63 2 8929-9436
* +63 2 8426-2075
* +63 2 8426-2801
* +63 2 8426-2450
* +63 2 8426-2987
* +63 2 8426-2683
* **Integrated Bar of the Philippines (IBP) Legal Aid Program:** Ang IBP, ang opisyal na organisasyon ng lahat ng abogado sa Pilipinas, ay may programang legal aid na nag-aalok ng libreng legal na tulong sa mga kwalipikadong indibidwal Supreme Court Philippines: sc.judiciary .gov.ph. Maaari kang makipag-ugnayan sa kanila sa pamamagitan ng:
* Email: ibplegalaid@gmail.com
* Telepono:
* +63 2 8631-3016
* +63 2 8631-3017
* +63 2 8631-3018
**Dagdag pa:**
* **Mga klinika ng legal na tulong sa paaralan ng batas:** Maraming mga law school sa Pilipinas ang nagpapatakbo ng mga klinika ng legal aid na may tauhan ng mga mag-aaral ng batas na pinangangasiwaan ng mga abogado. Nag-aalok ang mga klinikang ito ng mga libreng serbisyong legal sa mga mahihirap na kliyente [inalis ang invalid na URL].
* **NGOs:** Ang ilang NGO ay nagbibigay ng legal na tulong sa mga partikular na grupo o para sa mga partikular na legal na isyu.
**Narito ang karaniwang kailangan mo para maging kwalipikado para sa legal na tulong:**
* Katibayan ng kita na nagpapakita ng pangangailangang pinansyal
* Mga dokumentong nauugnay sa iyong legal na kaso
**Tandaan:** Ang impormasyong ito ay hindi pamalit para sa propesyonal na payong legal. Inirerekomenda kong makipag-ugnayan sa PAO o IBP upang talakayin ang iyong partikular na sitwasyon at tingnan kung kwalipikado ka para sa kanilang programa sa tulong legal.</v>
      </c>
      <c r="F1011" s="2">
        <f t="shared" si="1"/>
        <v>0</v>
      </c>
      <c r="G1011" s="2"/>
      <c r="H1011" s="2"/>
      <c r="I1011" s="2"/>
      <c r="J1011" s="2"/>
      <c r="K1011" s="2"/>
      <c r="L1011" s="2"/>
      <c r="M1011" s="2"/>
      <c r="N1011" s="2"/>
      <c r="O1011" s="2"/>
      <c r="P1011" s="2"/>
      <c r="Q1011" s="2"/>
      <c r="R1011" s="2"/>
      <c r="S1011" s="2"/>
      <c r="T1011" s="2"/>
      <c r="U1011" s="2"/>
      <c r="V1011" s="2"/>
      <c r="W1011" s="2"/>
      <c r="X1011" s="2"/>
      <c r="Y1011" s="2"/>
      <c r="Z1011" s="2"/>
      <c r="AA1011" s="2"/>
    </row>
    <row r="1012">
      <c r="A1012" s="3" t="s">
        <v>2763</v>
      </c>
      <c r="B1012" s="1" t="s">
        <v>3188</v>
      </c>
      <c r="C1012" s="1" t="s">
        <v>3189</v>
      </c>
      <c r="D1012" s="2" t="str">
        <f>IFERROR(__xludf.DUMMYFUNCTION("GOOGLETRANSLATE(B1012, ""en"", ""TL"")"),"Paano tinutugunan ng batas ang mga kaso ng stalking o harassment bilang bahagi ng karahasan sa tahanan?")</f>
        <v>Paano tinutugunan ng batas ang mga kaso ng stalking o harassment bilang bahagi ng karahasan sa tahanan?</v>
      </c>
      <c r="E1012" s="2" t="str">
        <f>IFERROR(__xludf.DUMMYFUNCTION("GOOGLETRANSLATE(C1012, ""en"", ""TL"")"),"Kinikilala ng Pilipinas ang stalking at harassment bilang mga anyo ng karahasan laban sa kababaihan at kanilang mga anak sa ilalim ng **Republic Act No. 9262** na kilala rin bilang ""Anti-Violence Against Women and their Children Act of 2004"" (VAWC Act) "&amp;"[R.A. 9262].
Narito kung paano tinutugunan ng VAWC Act ang stalking at harassment:
* **Kahulugan ng Karahasan Laban sa Kababaihan at Kanilang mga Anak:** Tinutukoy ng Batas ang karahasan laban sa mga kababaihan at kanilang mga anak upang isama ang ""anuma"&amp;"ng gawa o serye ng mga kilos na ginawa ng isang matalik na kapareha... na kinabibilangan ng pagdudulot ng pagdurusa sa isip o emosyonal, publiko panlilibak o kahihiyan sa babae o sa kanyang anak..."" [R.A. 9262, Sec. 3(a)(5)(i)] Ang mga pagkilos tulad ng "&amp;"paulit-ulit na pagbabanta, pagsubaybay sa mga paggalaw, o hindi gustong komunikasyon ay maaaring nasa ilalim ng kahulugang ito. * **Mga Ipinagbabawal na Gawa:** Ang VAWC Act ay partikular na nagbabawal sa isang tao na magdulot ng sikolohikal na karahasan "&amp;"sa isang babae o sa kanyang anak, kabilang ang:
* Nagdudulot ng pagdurusa sa isip o emosyonal
* Pampublikong pangungutya o kahihiyan [R.A. 9262, Sec. 5(e)]
Ang pag-stalk at panliligalig na nagdudulot ng mental o emosyonal na pagdurusa o pampublikong kahih"&amp;"iyan ay maaaring ituring na mga paglabag sa probisyong ito.
* **Mga Parusa:** Ang VAWC Act ay nagsasaad ng mga parusa para sa mga gumagawa ng karahasan laban sa kababaihan at kanilang mga anak. Ang parusa ay depende sa kalubhaan ng mga gawang ginawa [R.A."&amp;" 9262, Sec. 6].
**Mga Karagdagang Punto:**
* **Ebidensya:** Para sa mga kaso ng stalking at harassment, may mahalagang papel ang ebidensya. Maaaring kabilang dito ang:
* Mga patotoo ng saksi
* Mga text message o mga post sa social media na naglalaman ng m"&amp;"ga banta o panliligalig na mensahe
* Mga ulat ng pulisya
* **Mga Kautusan para sa Proteksyon ng Barangay (Mga BPO) at Mga Kautusang Proteksyon (Mga PO):** Maaaring humingi ng mga utos ng proteksyon ang mga biktima sa pamamagitan ng barangay o mga korte. A"&amp;"ng mga kautusang ito ay maaaring mag-utos sa nang-aabuso na lumayo sa biktima at sa kanilang mga anak, at maaari ring pagbawalan silang makipag-ugnayan sa biktima [R.A. 9262].
**Mahalagang tandaan:**
* Hindi ito legal na payo. Kung nakakaranas ka ng panli"&amp;"ligalig o panliligalig, kumunsulta sa isang abogado upang maunawaan ang iyong mga karapatan at opsyon sa ilalim ng batas.
* Maaari kang makipag-ugnayan sa Department of Justice (DOJ) o mga NGO na nagbibigay ng suporta at tulong sa mga biktima ng karahasan"&amp;" sa tahanan.")</f>
        <v>Kinikilala ng Pilipinas ang stalking at harassment bilang mga anyo ng karahasan laban sa kababaihan at kanilang mga anak sa ilalim ng **Republic Act No. 9262** na kilala rin bilang "Anti-Violence Against Women and their Children Act of 2004" (VAWC Act) [R.A. 9262].
Narito kung paano tinutugunan ng VAWC Act ang stalking at harassment:
* **Kahulugan ng Karahasan Laban sa Kababaihan at Kanilang mga Anak:** Tinutukoy ng Batas ang karahasan laban sa mga kababaihan at kanilang mga anak upang isama ang "anumang gawa o serye ng mga kilos na ginawa ng isang matalik na kapareha... na kinabibilangan ng pagdudulot ng pagdurusa sa isip o emosyonal, publiko panlilibak o kahihiyan sa babae o sa kanyang anak..." [R.A. 9262, Sec. 3(a)(5)(i)] Ang mga pagkilos tulad ng paulit-ulit na pagbabanta, pagsubaybay sa mga paggalaw, o hindi gustong komunikasyon ay maaaring nasa ilalim ng kahulugang ito. * **Mga Ipinagbabawal na Gawa:** Ang VAWC Act ay partikular na nagbabawal sa isang tao na magdulot ng sikolohikal na karahasan sa isang babae o sa kanyang anak, kabilang ang:
* Nagdudulot ng pagdurusa sa isip o emosyonal
* Pampublikong pangungutya o kahihiyan [R.A. 9262, Sec. 5(e)]
Ang pag-stalk at panliligalig na nagdudulot ng mental o emosyonal na pagdurusa o pampublikong kahihiyan ay maaaring ituring na mga paglabag sa probisyong ito.
* **Mga Parusa:** Ang VAWC Act ay nagsasaad ng mga parusa para sa mga gumagawa ng karahasan laban sa kababaihan at kanilang mga anak. Ang parusa ay depende sa kalubhaan ng mga gawang ginawa [R.A. 9262, Sec. 6].
**Mga Karagdagang Punto:**
* **Ebidensya:** Para sa mga kaso ng stalking at harassment, may mahalagang papel ang ebidensya. Maaaring kabilang dito ang:
* Mga patotoo ng saksi
* Mga text message o mga post sa social media na naglalaman ng mga banta o panliligalig na mensahe
* Mga ulat ng pulisya
* **Mga Kautusan para sa Proteksyon ng Barangay (Mga BPO) at Mga Kautusang Proteksyon (Mga PO):** Maaaring humingi ng mga utos ng proteksyon ang mga biktima sa pamamagitan ng barangay o mga korte. Ang mga kautusang ito ay maaaring mag-utos sa nang-aabuso na lumayo sa biktima at sa kanilang mga anak, at maaari ring pagbawalan silang makipag-ugnayan sa biktima [R.A. 9262].
**Mahalagang tandaan:**
* Hindi ito legal na payo. Kung nakakaranas ka ng panliligalig o panliligalig, kumunsulta sa isang abogado upang maunawaan ang iyong mga karapatan at opsyon sa ilalim ng batas.
* Maaari kang makipag-ugnayan sa Department of Justice (DOJ) o mga NGO na nagbibigay ng suporta at tulong sa mga biktima ng karahasan sa tahanan.</v>
      </c>
      <c r="F1012" s="2">
        <f t="shared" si="1"/>
        <v>0</v>
      </c>
      <c r="G1012" s="2"/>
      <c r="H1012" s="2"/>
      <c r="I1012" s="2"/>
      <c r="J1012" s="2"/>
      <c r="K1012" s="2"/>
      <c r="L1012" s="2"/>
      <c r="M1012" s="2"/>
      <c r="N1012" s="2"/>
      <c r="O1012" s="2"/>
      <c r="P1012" s="2"/>
      <c r="Q1012" s="2"/>
      <c r="R1012" s="2"/>
      <c r="S1012" s="2"/>
      <c r="T1012" s="2"/>
      <c r="U1012" s="2"/>
      <c r="V1012" s="2"/>
      <c r="W1012" s="2"/>
      <c r="X1012" s="2"/>
      <c r="Y1012" s="2"/>
      <c r="Z1012" s="2"/>
      <c r="AA1012" s="2"/>
    </row>
    <row r="1013">
      <c r="A1013" s="3" t="s">
        <v>2763</v>
      </c>
      <c r="B1013" s="1" t="s">
        <v>3190</v>
      </c>
      <c r="C1013" s="1" t="s">
        <v>3191</v>
      </c>
      <c r="D1013" s="2" t="str">
        <f>IFERROR(__xludf.DUMMYFUNCTION("GOOGLETRANSLATE(B1013, ""en"", ""TL"")"),"Ano ang dapat kong gawin kung ang aking nang-aabuso ay lumabag sa isang restraining order?")</f>
        <v>Ano ang dapat kong gawin kung ang aking nang-aabuso ay lumabag sa isang restraining order?</v>
      </c>
      <c r="E1013" s="2" t="str">
        <f>IFERROR(__xludf.DUMMYFUNCTION("GOOGLETRANSLATE(C1013, ""en"", ""TL"")"),"Narito ang dapat mong gawin kung lumabag ang iyong nang-aabuso sa isang restraining order sa Pilipinas:
**1. Tiyakin ang Iyong Kaligtasan:**
* **Tumawag Kaagad sa Pulis (Dial 911):** Kung sa tingin mo ay nasa panganib ka kaagad, tumawag sa pulis at iulat "&amp;"ang paglabag. Maaari nilang arestuhin ang nang-aabuso at alisin sila sa sitwasyon.
**2. Idokumento ang Paglabag:**
* **Magtago ng rekord:** Kung walang agarang panganib, idokumento ang paglabag nang lubusan hangga't maaari. Kabilang dito ang:
* Petsa at o"&amp;"ras ng paglabag
* Mga partikular na detalye ng nangyari (hal., mga pagtatangka sa pakikipag-ugnayan, ginawang mga banta)
* Sinumang saksi na naroroon
* Kung maaari, panatilihin ang ebidensya tulad ng mga screenshot ng mga mensahe, voice recording ng mga p"&amp;"agbabanta, o mga larawan ng mga pinsala.
**3. Iulat ang Paglabag:**
* **Pumunta sa Police Station:** Kapag naramdaman mong ligtas ka, pumunta sa pinakamalapit na istasyon ng pulis at mag-file ng ulat tungkol sa paglabag. Dalhin ang iyong kopya ng restrain"&amp;"ing order at anumang ebidensya na iyong naidokumento.
**4. Isaalang-alang ang Legal na Tulong:**
* **Kumonsulta sa isang abogado:** Maaaring payuhan ka ng isang abogado tungkol sa iyong mga legal na karapatan at mga opsyon. Matutulungan ka nila na maghain"&amp;" ng petisyon para ipatigil ang nang-aabuso sa pagsuway sa korte dahil sa paglabag sa restraining order. * **Humingi ng Libreng Legal Aid:** Kung hindi mo kayang magbayad ng abogado, maaari kang humingi ng libreng legal na tulong mula sa Public Attorney's "&amp;"Office (PAO) o sa Integrated Bar of the Philippines (IBP) Legal Aid Program (Tingnan ang nakaraang sagot para sa contact mga detalye).
**Mga Karagdagang Mapagkukunan:**
* **Department of Justice (DOJ):** Nag-aalok ang DOJ ng suporta at tulong sa mga bikti"&amp;"ma ng karahasan laban sa kababaihan. Maaari kang makipag-ugnayan sa kanilang hotline o bisitahin ang kanilang website para sa karagdagang impormasyon.
* **NGOs:** Maraming NGO ang nagtatrabaho upang suportahan ang mga biktima ng karahasan sa tahanan. Maaa"&amp;"ri silang magbigay ng pagpapayo, tirahan, at legal na tulong. **Mahalagang Tandaan:**
* Ang iyong kaligtasan ang pangunahing priyoridad. Kung sa tingin mo ay isang banta ang iyong nang-aabuso, unahin ang paghingi ng tulong mula sa mga awtoridad.
* Huwag s"&amp;"ubukang harapin ang iyong nang-aabuso sa iyong sarili.
* May mga mapagkukunang magagamit upang matulungan ka. Huwag mag-atubiling makipag-ugnayan para sa suporta.
Ang impormasyong ito ay hindi kapalit para sa propesyonal na legal na payo. Kung mayroon kan"&amp;"g partikular na sitwasyon o tanong, kumunsulta sa isang abogado upang maunawaan ang iyong mga karapatan at opsyon sa ilalim ng batas ng Pilipinas.")</f>
        <v>Narito ang dapat mong gawin kung lumabag ang iyong nang-aabuso sa isang restraining order sa Pilipinas:
**1. Tiyakin ang Iyong Kaligtasan:**
* **Tumawag Kaagad sa Pulis (Dial 911):** Kung sa tingin mo ay nasa panganib ka kaagad, tumawag sa pulis at iulat ang paglabag. Maaari nilang arestuhin ang nang-aabuso at alisin sila sa sitwasyon.
**2. Idokumento ang Paglabag:**
* **Magtago ng rekord:** Kung walang agarang panganib, idokumento ang paglabag nang lubusan hangga't maaari. Kabilang dito ang:
* Petsa at oras ng paglabag
* Mga partikular na detalye ng nangyari (hal., mga pagtatangka sa pakikipag-ugnayan, ginawang mga banta)
* Sinumang saksi na naroroon
* Kung maaari, panatilihin ang ebidensya tulad ng mga screenshot ng mga mensahe, voice recording ng mga pagbabanta, o mga larawan ng mga pinsala.
**3. Iulat ang Paglabag:**
* **Pumunta sa Police Station:** Kapag naramdaman mong ligtas ka, pumunta sa pinakamalapit na istasyon ng pulis at mag-file ng ulat tungkol sa paglabag. Dalhin ang iyong kopya ng restraining order at anumang ebidensya na iyong naidokumento.
**4. Isaalang-alang ang Legal na Tulong:**
* **Kumonsulta sa isang abogado:** Maaaring payuhan ka ng isang abogado tungkol sa iyong mga legal na karapatan at mga opsyon. Matutulungan ka nila na maghain ng petisyon para ipatigil ang nang-aabuso sa pagsuway sa korte dahil sa paglabag sa restraining order. * **Humingi ng Libreng Legal Aid:** Kung hindi mo kayang magbayad ng abogado, maaari kang humingi ng libreng legal na tulong mula sa Public Attorney's Office (PAO) o sa Integrated Bar of the Philippines (IBP) Legal Aid Program (Tingnan ang nakaraang sagot para sa contact mga detalye).
**Mga Karagdagang Mapagkukunan:**
* **Department of Justice (DOJ):** Nag-aalok ang DOJ ng suporta at tulong sa mga biktima ng karahasan laban sa kababaihan. Maaari kang makipag-ugnayan sa kanilang hotline o bisitahin ang kanilang website para sa karagdagang impormasyon.
* **NGOs:** Maraming NGO ang nagtatrabaho upang suportahan ang mga biktima ng karahasan sa tahanan. Maaari silang magbigay ng pagpapayo, tirahan, at legal na tulong. **Mahalagang Tandaan:**
* Ang iyong kaligtasan ang pangunahing priyoridad. Kung sa tingin mo ay isang banta ang iyong nang-aabuso, unahin ang paghingi ng tulong mula sa mga awtoridad.
* Huwag subukang harapin ang iyong nang-aabuso sa iyong sarili.
* May mga mapagkukunang magagamit upang matulungan ka. Huwag mag-atubiling makipag-ugnayan para sa suporta.
Ang impormasyong ito ay hindi kapalit para sa propesyonal na legal na payo. Kung mayroon kang partikular na sitwasyon o tanong, kumunsulta sa isang abogado upang maunawaan ang iyong mga karapatan at opsyon sa ilalim ng batas ng Pilipinas.</v>
      </c>
      <c r="F1013" s="2">
        <f t="shared" si="1"/>
        <v>0</v>
      </c>
      <c r="G1013" s="2"/>
      <c r="H1013" s="2"/>
      <c r="I1013" s="2"/>
      <c r="J1013" s="2"/>
      <c r="K1013" s="2"/>
      <c r="L1013" s="2"/>
      <c r="M1013" s="2"/>
      <c r="N1013" s="2"/>
      <c r="O1013" s="2"/>
      <c r="P1013" s="2"/>
      <c r="Q1013" s="2"/>
      <c r="R1013" s="2"/>
      <c r="S1013" s="2"/>
      <c r="T1013" s="2"/>
      <c r="U1013" s="2"/>
      <c r="V1013" s="2"/>
      <c r="W1013" s="2"/>
      <c r="X1013" s="2"/>
      <c r="Y1013" s="2"/>
      <c r="Z1013" s="2"/>
      <c r="AA1013" s="2"/>
    </row>
    <row r="1014">
      <c r="A1014" s="3" t="s">
        <v>2763</v>
      </c>
      <c r="B1014" s="1" t="s">
        <v>3192</v>
      </c>
      <c r="C1014" s="1" t="s">
        <v>3193</v>
      </c>
      <c r="D1014" s="2" t="str">
        <f>IFERROR(__xludf.DUMMYFUNCTION("GOOGLETRANSLATE(B1014, ""en"", ""TL"")"),"Paano tinutugunan ng batas ang mga kaso ng karahasan sa tahanan sa mga relasyon sa parehong kasarian?")</f>
        <v>Paano tinutugunan ng batas ang mga kaso ng karahasan sa tahanan sa mga relasyon sa parehong kasarian?</v>
      </c>
      <c r="E1014" s="2" t="str">
        <f>IFERROR(__xludf.DUMMYFUNCTION("GOOGLETRANSLATE(C1014, ""en"", ""TL"")"),"Sa Pilipinas, ang batas tungkol sa karahasan sa tahanan sa mga relasyon sa parehong kasarian ay batay sa isang progresibong interpretasyon ng **Republic Act No. 9262** o ang ""Anti-Violence Against Women and their Children Act of 2004"" (VAWC Act) [R.A. 9"&amp;"262].
Narito ang isang breakdown kung paano nalalapat ang batas:
* **Pasiya ng Korte Suprema:** Nilinaw ng Korte Suprema na pinoprotektahan ng VAWC Act ang mga kababaihan sa mga relasyon sa parehong kasarian. Sa isang mahalagang desisyon (SC: Anti-VAWC Ac"&amp;"t Applies to Lesbian Relationships), binigyang-kahulugan ng korte ang paggamit ng Batas sa gender-neutral na terminong ""tao"" upang sumaklaw sa mga kasosyong lesbian [Supreme Court of the Philippines: sc.judiciary.gov.ph ].
* **Kahulugan ng Karahasan:** "&amp;"Ang VAWC Act ay malawakang tumutukoy sa karahasan laban sa mga kababaihan at kanilang mga anak, kabilang ang ""anumang gawa o serye ng mga kilos na ginawa ng isang matalik na kapareha... na kinabibilangan ng pagdudulot ng pagdurusa sa isip o emosyonal..."&amp;""" [ R.A. 9262, Sec. 3(a)(5)(i)]. Nalalapat ang kahulugang ito anuman ang kasarian ng mga kasosyong kasangkot.
* **Mga Kautusan sa Proteksyon:** Ang mga biktima ng karahasan sa tahanan sa mga relasyon ng parehong kasarian ay maaaring mag-aplay para sa Mga"&amp;" Kautusan ng Proteksyon ng Barangay (BPO) o Mga Kautusang Proteksyon (PO) sa pamamagitan ng barangay o mga korte. Ang mga utos na ito ay nag-aalok ng proteksyon mula sa nang-aabuso, kabilang ang mga utos na lumayo at mga limitasyon sa pakikipag-ugnayan [R"&amp;".A. 9262].
**Mahahalagang Punto na Dapat Isaalang-alang:**
* Habang kinikilala ng Korte Suprema ang aplikasyon ng VAWC sa mga relasyon sa parehong kasarian, ang Pilipinas ay walang legal na pagkilala sa same-sex marriage. * Bagama't ang batas ay nagbibiga"&amp;"y ng proteksyon, ang mga LGBTQ+ na biktima ng karahasan sa tahanan ay maaaring humarap sa societal stigma at mga hamon sa pag-access sa mga serbisyo ng suporta.
* **Ebidensya:** Katulad ng mga relasyon sa kabaligtaran ng kasarian, ang matibay na ebidensya"&amp;" ay mahalaga para sa mga kaso ng karahasan sa tahanan na kinasasangkutan ng mga kapareha ng parehong kasarian. Maaaring kabilang dito ang:
* Mga testimonya sa saksi * Mga text message o mga post sa social media na nagdodokumento ng mga pagbabanta o pang-a"&amp;"abuso
* Mga ulat ng pulisya
* Mga rekord ng medikal (kung naaangkop)
**Kung nakakaranas ka ng karahasan sa tahanan sa isang relasyon sa parehong kasarian:**
* **Alamin ang iyong mga karapatan:** Ang VAWC Act ay nagpoprotekta sa iyo.
* **Humingi ng tulong:"&amp;"** Makipag-ugnayan sa mga awtoridad kung sa tingin mo ay hindi ligtas. * **Isaalang-alang ang legal na tulong:** Ang Public Attorney's Office (PAO) o ang IBP Legal Aid Program ay maaaring magbigay ng libreng legal na tulong (Tingnan ang nakaraang sagot pa"&amp;"ra sa mga detalye sa pakikipag-ugnayan). * **Makipag-ugnayan sa mga NGO:** Maraming NGO ang nagtatrabaho upang suportahan ang mga LGBTQ+ na biktima ng karahasan sa tahanan at maaaring mag-alok ng pagpapayo, tirahan, at legal na tulong.
Ang impormasyong it"&amp;"o ay hindi kapalit para sa propesyonal na legal na payo. Kung kailangan mo ng tiyak na patnubay, kumunsulta sa isang abogado na maaaring tumugon sa iyong sitwasyon batay sa batas ng Pilipinas.")</f>
        <v>Sa Pilipinas, ang batas tungkol sa karahasan sa tahanan sa mga relasyon sa parehong kasarian ay batay sa isang progresibong interpretasyon ng **Republic Act No. 9262** o ang "Anti-Violence Against Women and their Children Act of 2004" (VAWC Act) [R.A. 9262].
Narito ang isang breakdown kung paano nalalapat ang batas:
* **Pasiya ng Korte Suprema:** Nilinaw ng Korte Suprema na pinoprotektahan ng VAWC Act ang mga kababaihan sa mga relasyon sa parehong kasarian. Sa isang mahalagang desisyon (SC: Anti-VAWC Act Applies to Lesbian Relationships), binigyang-kahulugan ng korte ang paggamit ng Batas sa gender-neutral na terminong "tao" upang sumaklaw sa mga kasosyong lesbian [Supreme Court of the Philippines: sc.judiciary.gov.ph ].
* **Kahulugan ng Karahasan:** Ang VAWC Act ay malawakang tumutukoy sa karahasan laban sa mga kababaihan at kanilang mga anak, kabilang ang "anumang gawa o serye ng mga kilos na ginawa ng isang matalik na kapareha... na kinabibilangan ng pagdudulot ng pagdurusa sa isip o emosyonal..." [ R.A. 9262, Sec. 3(a)(5)(i)]. Nalalapat ang kahulugang ito anuman ang kasarian ng mga kasosyong kasangkot.
* **Mga Kautusan sa Proteksyon:** Ang mga biktima ng karahasan sa tahanan sa mga relasyon ng parehong kasarian ay maaaring mag-aplay para sa Mga Kautusan ng Proteksyon ng Barangay (BPO) o Mga Kautusang Proteksyon (PO) sa pamamagitan ng barangay o mga korte. Ang mga utos na ito ay nag-aalok ng proteksyon mula sa nang-aabuso, kabilang ang mga utos na lumayo at mga limitasyon sa pakikipag-ugnayan [R.A. 9262].
**Mahahalagang Punto na Dapat Isaalang-alang:**
* Habang kinikilala ng Korte Suprema ang aplikasyon ng VAWC sa mga relasyon sa parehong kasarian, ang Pilipinas ay walang legal na pagkilala sa same-sex marriage. * Bagama't ang batas ay nagbibigay ng proteksyon, ang mga LGBTQ+ na biktima ng karahasan sa tahanan ay maaaring humarap sa societal stigma at mga hamon sa pag-access sa mga serbisyo ng suporta.
* **Ebidensya:** Katulad ng mga relasyon sa kabaligtaran ng kasarian, ang matibay na ebidensya ay mahalaga para sa mga kaso ng karahasan sa tahanan na kinasasangkutan ng mga kapareha ng parehong kasarian. Maaaring kabilang dito ang:
* Mga testimonya sa saksi * Mga text message o mga post sa social media na nagdodokumento ng mga pagbabanta o pang-aabuso
* Mga ulat ng pulisya
* Mga rekord ng medikal (kung naaangkop)
**Kung nakakaranas ka ng karahasan sa tahanan sa isang relasyon sa parehong kasarian:**
* **Alamin ang iyong mga karapatan:** Ang VAWC Act ay nagpoprotekta sa iyo.
* **Humingi ng tulong:** Makipag-ugnayan sa mga awtoridad kung sa tingin mo ay hindi ligtas. * **Isaalang-alang ang legal na tulong:** Ang Public Attorney's Office (PAO) o ang IBP Legal Aid Program ay maaaring magbigay ng libreng legal na tulong (Tingnan ang nakaraang sagot para sa mga detalye sa pakikipag-ugnayan). * **Makipag-ugnayan sa mga NGO:** Maraming NGO ang nagtatrabaho upang suportahan ang mga LGBTQ+ na biktima ng karahasan sa tahanan at maaaring mag-alok ng pagpapayo, tirahan, at legal na tulong.
Ang impormasyong ito ay hindi kapalit para sa propesyonal na legal na payo. Kung kailangan mo ng tiyak na patnubay, kumunsulta sa isang abogado na maaaring tumugon sa iyong sitwasyon batay sa batas ng Pilipinas.</v>
      </c>
      <c r="F1014" s="2">
        <f t="shared" si="1"/>
        <v>0</v>
      </c>
      <c r="G1014" s="2"/>
      <c r="H1014" s="2"/>
      <c r="I1014" s="2"/>
      <c r="J1014" s="2"/>
      <c r="K1014" s="2"/>
      <c r="L1014" s="2"/>
      <c r="M1014" s="2"/>
      <c r="N1014" s="2"/>
      <c r="O1014" s="2"/>
      <c r="P1014" s="2"/>
      <c r="Q1014" s="2"/>
      <c r="R1014" s="2"/>
      <c r="S1014" s="2"/>
      <c r="T1014" s="2"/>
      <c r="U1014" s="2"/>
      <c r="V1014" s="2"/>
      <c r="W1014" s="2"/>
      <c r="X1014" s="2"/>
      <c r="Y1014" s="2"/>
      <c r="Z1014" s="2"/>
      <c r="AA1014" s="2"/>
    </row>
    <row r="1015">
      <c r="A1015" s="3" t="s">
        <v>2763</v>
      </c>
      <c r="B1015" s="1" t="s">
        <v>3194</v>
      </c>
      <c r="C1015" s="1" t="s">
        <v>3195</v>
      </c>
      <c r="D1015" s="2" t="str">
        <f>IFERROR(__xludf.DUMMYFUNCTION("GOOGLETRANSLATE(B1015, ""en"", ""TL"")"),"Maaari ba akong humingi ng kabayaran para sa mga gastusing medikal o therapy na may kaugnayan sa karahasan sa tahanan?")</f>
        <v>Maaari ba akong humingi ng kabayaran para sa mga gastusing medikal o therapy na may kaugnayan sa karahasan sa tahanan?</v>
      </c>
      <c r="E1015" s="2" t="str">
        <f>IFERROR(__xludf.DUMMYFUNCTION("GOOGLETRANSLATE(C1015, ""en"", ""TL"")"),"Oo, sa ilalim ng batas ng Pilipinas, maaari kang humingi ng kabayaran para sa mga gastusing medikal o therapy na may kaugnayan sa karahasan sa tahanan. Ganito:
* **Republic Act No. 9262** o ang ""Anti-Violence Against Women and their Children Act of 2004"&amp;""" (VAWC Act) [R.A. 9262] ay nagpapahintulot sa mga biktima na mag-claim ng mga pinsala para sa mga pinsalang natamo dahil sa karahasan sa tahanan. Maaaring kabilang dito ang:
* Mga gastos sa medikal para sa paggamot ng mga pisikal na pinsala
* Mga sikolo"&amp;"hikal na gastos para sa therapy o pagpapayo
* **Mga Pinsala sa Sibil:** Kapag nagsampa ng kaso laban sa iyong nang-aabuso, maaari mong isama ang isang paghahabol para sa mga pinsalang sibil upang mabawi ang mga gastos na iyong natamo dahil sa karahasan. K"&amp;"abilang dito ang mga dokumentadong singil sa medikal at mga resibo para sa mga sesyon ng therapy.
* **Suporta mula sa Pamahalaan:** Maaaring mag-alok ang pamahalaan ng ilang tulong pinansyal para sa medikal na paggamot at therapy sa mga biktima ng karahas"&amp;"an sa tahanan. Maaari kang magtanong sa Department of Social Welfare and Development (DSWD) o mga NGO na sumusuporta sa mga biktima ng karahasan sa tahanan tungkol sa mga magagamit na programa.
**Narito ang karaniwang kailangan mong i-claim ang kabayaran:"&amp;"**
* **Ulat ng Pulis:** Isang ulat ng pulisya na nagdodokumento sa insidente ng karahasan sa tahanan.
* **Mga Rekord na Medikal:** Dokumentasyon ng iyong mga pinsala at natanggap na medikal na paggamot.
* **Mga Rekord ng Therapy (kung naaangkop):** Mga re"&amp;"sibo at talaan mula sa iyong mga sesyon ng therapy. * **Ebidensya ng Pang-aabuso:** Maaaring kabilang dito ang mga testimonya ng saksi, mga larawan ng mga pinsala, o mga mensaheng nagbabanta.
**Mahalagang Dapat Tandaan:**
* Ang proseso ng pag-claim ng kab"&amp;"ayaran ay maaaring maging kumplikado. Maipapayo na kumunsulta sa isang abogado na dalubhasa sa mga kaso ng karahasan sa tahanan. Maaari ka nilang gabayan sa legal na proseso at tulungan kang mangalap ng mga kinakailangang ebidensya.
* **Libreng Legal na T"&amp;"ulong:** Ang Public Attorney's Office (PAO) o ang IBP Legal Aid Program ay maaaring magbigay ng libreng legal na tulong (Tingnan ang naunang sagot para sa mga detalye sa pakikipag-ugnayan).
* **Ang tagumpay ay nakasalalay sa katibayan:** Kung mas malakas "&amp;"ang iyong ebidensya ng pang-aabuso at ang mga nagresultang gastos sa medikal/mga pangangailangan sa therapy, mas malaki ang iyong pagkakataong mag-claim ng kabayaran.
Tandaan, ang impormasyong ito ay hindi kapalit para sa propesyonal na legal na payo. Kun"&amp;"g mayroon kang isang partikular na sitwasyon, kumunsulta sa isang abogado upang maunawaan ang iyong mga karapatan at mga opsyon sa paghingi ng kabayaran sa ilalim ng batas ng Pilipinas.")</f>
        <v>Oo, sa ilalim ng batas ng Pilipinas, maaari kang humingi ng kabayaran para sa mga gastusing medikal o therapy na may kaugnayan sa karahasan sa tahanan. Ganito:
* **Republic Act No. 9262** o ang "Anti-Violence Against Women and their Children Act of 2004" (VAWC Act) [R.A. 9262] ay nagpapahintulot sa mga biktima na mag-claim ng mga pinsala para sa mga pinsalang natamo dahil sa karahasan sa tahanan. Maaaring kabilang dito ang:
* Mga gastos sa medikal para sa paggamot ng mga pisikal na pinsala
* Mga sikolohikal na gastos para sa therapy o pagpapayo
* **Mga Pinsala sa Sibil:** Kapag nagsampa ng kaso laban sa iyong nang-aabuso, maaari mong isama ang isang paghahabol para sa mga pinsalang sibil upang mabawi ang mga gastos na iyong natamo dahil sa karahasan. Kabilang dito ang mga dokumentadong singil sa medikal at mga resibo para sa mga sesyon ng therapy.
* **Suporta mula sa Pamahalaan:** Maaaring mag-alok ang pamahalaan ng ilang tulong pinansyal para sa medikal na paggamot at therapy sa mga biktima ng karahasan sa tahanan. Maaari kang magtanong sa Department of Social Welfare and Development (DSWD) o mga NGO na sumusuporta sa mga biktima ng karahasan sa tahanan tungkol sa mga magagamit na programa.
**Narito ang karaniwang kailangan mong i-claim ang kabayaran:**
* **Ulat ng Pulis:** Isang ulat ng pulisya na nagdodokumento sa insidente ng karahasan sa tahanan.
* **Mga Rekord na Medikal:** Dokumentasyon ng iyong mga pinsala at natanggap na medikal na paggamot.
* **Mga Rekord ng Therapy (kung naaangkop):** Mga resibo at talaan mula sa iyong mga sesyon ng therapy. * **Ebidensya ng Pang-aabuso:** Maaaring kabilang dito ang mga testimonya ng saksi, mga larawan ng mga pinsala, o mga mensaheng nagbabanta.
**Mahalagang Dapat Tandaan:**
* Ang proseso ng pag-claim ng kabayaran ay maaaring maging kumplikado. Maipapayo na kumunsulta sa isang abogado na dalubhasa sa mga kaso ng karahasan sa tahanan. Maaari ka nilang gabayan sa legal na proseso at tulungan kang mangalap ng mga kinakailangang ebidensya.
* **Libreng Legal na Tulong:** Ang Public Attorney's Office (PAO) o ang IBP Legal Aid Program ay maaaring magbigay ng libreng legal na tulong (Tingnan ang naunang sagot para sa mga detalye sa pakikipag-ugnayan).
* **Ang tagumpay ay nakasalalay sa katibayan:** Kung mas malakas ang iyong ebidensya ng pang-aabuso at ang mga nagresultang gastos sa medikal/mga pangangailangan sa therapy, mas malaki ang iyong pagkakataong mag-claim ng kabayaran.
Tandaan, ang impormasyong ito ay hindi kapalit para sa propesyonal na legal na payo. Kung mayroon kang isang partikular na sitwasyon, kumunsulta sa isang abogado upang maunawaan ang iyong mga karapatan at mga opsyon sa paghingi ng kabayaran sa ilalim ng batas ng Pilipinas.</v>
      </c>
      <c r="F1015" s="2">
        <f t="shared" si="1"/>
        <v>0</v>
      </c>
      <c r="G1015" s="2"/>
      <c r="H1015" s="2"/>
      <c r="I1015" s="2"/>
      <c r="J1015" s="2"/>
      <c r="K1015" s="2"/>
      <c r="L1015" s="2"/>
      <c r="M1015" s="2"/>
      <c r="N1015" s="2"/>
      <c r="O1015" s="2"/>
      <c r="P1015" s="2"/>
      <c r="Q1015" s="2"/>
      <c r="R1015" s="2"/>
      <c r="S1015" s="2"/>
      <c r="T1015" s="2"/>
      <c r="U1015" s="2"/>
      <c r="V1015" s="2"/>
      <c r="W1015" s="2"/>
      <c r="X1015" s="2"/>
      <c r="Y1015" s="2"/>
      <c r="Z1015" s="2"/>
      <c r="AA1015" s="2"/>
    </row>
    <row r="1016">
      <c r="A1016" s="3" t="s">
        <v>2763</v>
      </c>
      <c r="B1016" s="1" t="s">
        <v>3196</v>
      </c>
      <c r="C1016" s="1" t="s">
        <v>3197</v>
      </c>
      <c r="D1016" s="2" t="str">
        <f>IFERROR(__xludf.DUMMYFUNCTION("GOOGLETRANSLATE(B1016, ""en"", ""TL"")"),"Paano pinoprotektahan ng batas ang mga biktima ng karahasan sa tahanan sa panahon ng paglilitis sa pangangalaga sa bata?")</f>
        <v>Paano pinoprotektahan ng batas ang mga biktima ng karahasan sa tahanan sa panahon ng paglilitis sa pangangalaga sa bata?</v>
      </c>
      <c r="E1016" s="2" t="str">
        <f>IFERROR(__xludf.DUMMYFUNCTION("GOOGLETRANSLATE(C1016, ""en"", ""TL"")"),"Ang batas ng Pilipinas ay inuuna ang **pinakamahusay na interes ng bata** sa panahon ng paglilitis sa pangangalaga sa bata Kabilang dito ang pagprotekta sa mga bata mula sa anumang pinsala, kabilang ang pagkakalantad sa karahasan sa tahanan. Narito kung p"&amp;"aano pinoprotektahan ng batas ang mga biktima ng karahasan sa tahanan sa mga sitwasyong ito:
* **Ebidensya ng Karahasan sa Tahanan:** Ang isang biktima ng karahasan sa tahanan ay maaaring magpakita ng ebidensya sa korte upang ipakita kung paano ang pag-uu"&amp;"gali ng nang-aabuso ay nagdudulot ng banta sa kaligtasan at kapakanan ng bata. Maaaring kabilang sa ebidensyang ito ang:
* Mga ulat ng pulisya ng mga insidente ng karahasan sa tahanan
* Mga rekord ng medikal na nagdodokumento ng mga pinsala
* Mga patotoo "&amp;"ng saksi
* Mga utos ng hukuman ng proteksyon laban sa nang-aabuso
* Katibayan ng sikolohikal na pang-aabuso (hal., mga ulat ng therapist, kung naaangkop)
* **Mga Kaayusan sa Kustodiya:** Batay sa ebidensya, maaaring ibigay ng korte ang nag-iisang kustodiy"&amp;"a sa hindi mapang-abusong magulang**. Sa ilang mga kaso, maaaring igawad ang magkasanib na pag-iingat na may mga paghihigpit. Maaaring limitahan ng mga paghihigpit na ito ang pakikipag-ugnayan ng nang-aabuso sa bata o nangangailangan ng pinangangasiwaang "&amp;"pagbisita.
* **Mga Kautusan sa Proteksyon:** Maaaring gamitin ang isang utos ng proteksyon na ibinigay ng korte upang limitahan ang pakikipag-ugnayan ng nang-aabuso sa bata at matiyak ang kaligtasan ng bata.
**Mga Kaugnay na Batas:**
* **Republic Act No. "&amp;"9262** o ang ""Anti-Violence Against Women and their Children Act of 2004"" (VAWC Act) [R.A. 9262] kinikilala ang karahasan laban sa kababaihan at kanilang mga anak bilang isang krimen.
* **Republic Act No. 8980** o ang ""Domestic Disruption Code of the P"&amp;"hilippines"" ay nagbabalangkas sa mga salik na isinasaalang-alang sa mga desisyon sa pangangalaga sa bata, kabilang ang moral na kaangkupan ng mga magulang.
**Narito ang ilang karagdagang puntong dapat isaalang-alang:**
* **Humingi ng Legal na Counsel:** "&amp;"Maaaring payuhan ka ng isang abogadong may karanasan sa batas ng pamilya sa pagharap ng iyong kaso at tiyaking protektado ang iyong mga karapatan sa panahon ng paglilitis sa pag-iingat ng bata.
* **Support Services:** Ang Department of Social Welfare and "&amp;"Development (DSWD) at mga NGO ay nag-aalok ng mga serbisyo ng suporta sa mga biktima ng karahasan sa tahanan, kabilang ang pagpapayo at legal na tulong.
**Tandaan:**
* Hindi ito legal na payo. Kung ikaw ay sangkot sa isang kaso sa pag-iingat ng bata at na"&amp;"kakaranas ng karahasan sa tahanan, kumunsulta sa isang abogado upang maunawaan ang iyong mga karapatan at mga opsyon sa ilalim ng batas ng Pilipinas.
* Ang iyong kaligtasan at kaligtasan ng iyong anak ang mga pangunahing priyoridad. Huwag mag-atubiling hu"&amp;"mingi ng tulong sa mga awtoridad o NGO kung sa tingin mo ay nasa panganib ka.")</f>
        <v>Ang batas ng Pilipinas ay inuuna ang **pinakamahusay na interes ng bata** sa panahon ng paglilitis sa pangangalaga sa bata Kabilang dito ang pagprotekta sa mga bata mula sa anumang pinsala, kabilang ang pagkakalantad sa karahasan sa tahanan. Narito kung paano pinoprotektahan ng batas ang mga biktima ng karahasan sa tahanan sa mga sitwasyong ito:
* **Ebidensya ng Karahasan sa Tahanan:** Ang isang biktima ng karahasan sa tahanan ay maaaring magpakita ng ebidensya sa korte upang ipakita kung paano ang pag-uugali ng nang-aabuso ay nagdudulot ng banta sa kaligtasan at kapakanan ng bata. Maaaring kabilang sa ebidensyang ito ang:
* Mga ulat ng pulisya ng mga insidente ng karahasan sa tahanan
* Mga rekord ng medikal na nagdodokumento ng mga pinsala
* Mga patotoo ng saksi
* Mga utos ng hukuman ng proteksyon laban sa nang-aabuso
* Katibayan ng sikolohikal na pang-aabuso (hal., mga ulat ng therapist, kung naaangkop)
* **Mga Kaayusan sa Kustodiya:** Batay sa ebidensya, maaaring ibigay ng korte ang nag-iisang kustodiya sa hindi mapang-abusong magulang**. Sa ilang mga kaso, maaaring igawad ang magkasanib na pag-iingat na may mga paghihigpit. Maaaring limitahan ng mga paghihigpit na ito ang pakikipag-ugnayan ng nang-aabuso sa bata o nangangailangan ng pinangangasiwaang pagbisita.
* **Mga Kautusan sa Proteksyon:** Maaaring gamitin ang isang utos ng proteksyon na ibinigay ng korte upang limitahan ang pakikipag-ugnayan ng nang-aabuso sa bata at matiyak ang kaligtasan ng bata.
**Mga Kaugnay na Batas:**
* **Republic Act No. 9262** o ang "Anti-Violence Against Women and their Children Act of 2004" (VAWC Act) [R.A. 9262] kinikilala ang karahasan laban sa kababaihan at kanilang mga anak bilang isang krimen.
* **Republic Act No. 8980** o ang "Domestic Disruption Code of the Philippines" ay nagbabalangkas sa mga salik na isinasaalang-alang sa mga desisyon sa pangangalaga sa bata, kabilang ang moral na kaangkupan ng mga magulang.
**Narito ang ilang karagdagang puntong dapat isaalang-alang:**
* **Humingi ng Legal na Counsel:** Maaaring payuhan ka ng isang abogadong may karanasan sa batas ng pamilya sa pagharap ng iyong kaso at tiyaking protektado ang iyong mga karapatan sa panahon ng paglilitis sa pag-iingat ng bata.
* **Support Services:** Ang Department of Social Welfare and Development (DSWD) at mga NGO ay nag-aalok ng mga serbisyo ng suporta sa mga biktima ng karahasan sa tahanan, kabilang ang pagpapayo at legal na tulong.
**Tandaan:**
* Hindi ito legal na payo. Kung ikaw ay sangkot sa isang kaso sa pag-iingat ng bata at nakakaranas ng karahasan sa tahanan, kumunsulta sa isang abogado upang maunawaan ang iyong mga karapatan at mga opsyon sa ilalim ng batas ng Pilipinas.
* Ang iyong kaligtasan at kaligtasan ng iyong anak ang mga pangunahing priyoridad. Huwag mag-atubiling humingi ng tulong sa mga awtoridad o NGO kung sa tingin mo ay nasa panganib ka.</v>
      </c>
      <c r="F1016" s="2">
        <f t="shared" si="1"/>
        <v>0</v>
      </c>
      <c r="G1016" s="2"/>
      <c r="H1016" s="2"/>
      <c r="I1016" s="2"/>
      <c r="J1016" s="2"/>
      <c r="K1016" s="2"/>
      <c r="L1016" s="2"/>
      <c r="M1016" s="2"/>
      <c r="N1016" s="2"/>
      <c r="O1016" s="2"/>
      <c r="P1016" s="2"/>
      <c r="Q1016" s="2"/>
      <c r="R1016" s="2"/>
      <c r="S1016" s="2"/>
      <c r="T1016" s="2"/>
      <c r="U1016" s="2"/>
      <c r="V1016" s="2"/>
      <c r="W1016" s="2"/>
      <c r="X1016" s="2"/>
      <c r="Y1016" s="2"/>
      <c r="Z1016" s="2"/>
      <c r="AA1016" s="2"/>
    </row>
    <row r="1017">
      <c r="A1017" s="3" t="s">
        <v>2763</v>
      </c>
      <c r="B1017" s="1" t="s">
        <v>3198</v>
      </c>
      <c r="C1017" s="1" t="s">
        <v>3199</v>
      </c>
      <c r="D1017" s="2" t="str">
        <f>IFERROR(__xludf.DUMMYFUNCTION("GOOGLETRANSLATE(B1017, ""en"", ""TL"")"),"Maaari pa ba akong magsampa ng kaso kung hindi ako pisikal na nagtamo ng mga pinsala mula sa pang-aabuso?")</f>
        <v>Maaari pa ba akong magsampa ng kaso kung hindi ako pisikal na nagtamo ng mga pinsala mula sa pang-aabuso?</v>
      </c>
      <c r="E1017" s="2" t="str">
        <f>IFERROR(__xludf.DUMMYFUNCTION("GOOGLETRANSLATE(C1017, ""en"", ""TL"")"),"Oo, sa Pilipinas, maaari ka pa ring magsampa ng mga kaso para sa karahasan sa tahanan kahit na hindi ka nagtamo ng mga pisikal na pinsala mula sa pang-aabuso. Narito kung bakit:
* **R.A. 9262 Nakatuon sa Mas Malawak na Pang-aabuso:** Ang **Republic Act No"&amp;". 9262** o ang ""Anti-Violence Against Women and their Children Act of 2004"" (VAWC Act) [R.A. 9262] ay malawakang tumutukoy sa karahasan laban sa kababaihan at kanilang mga anak. Kabilang dito ang: * ""causing mental or emotional suffering..."" [R.A. 926"&amp;"2, Sec. 3(a)(5)(i)]
Nangangahulugan ito na ang sikolohikal na pang-aabuso, pagbabanta, pananakot, at panliligalig ay maaaring ituring na lahat ng karahasan sa tahanan sa ilalim ng VAWC Act.
* **Tumuon sa Ebidensya:** Kahit na walang mga pisikal na pinsala"&amp;", masusuportahan ng ebidensya ang iyong kaso. Maaaring kabilang dito ang:
* **Mga testimonya ng saksi:** Ang mga taong nakasaksi ng pang-aabuso ay maaaring magbigay ng mga ulat tungkol sa nangyari.
* **Mga rekord ng medikal:** Maaaring makatulong ang doku"&amp;"mentasyon ng mga isyu sa kalusugan ng isip o paggamot para sa pagkabalisa o depresyon na nagreresulta mula sa pang-aabuso.
* **Mga text message, email, o post sa social media:** Maaaring maglaman ang mga ito ng ebidensya ng mga pagbabanta, insulto, o pagk"&amp;"ontrol sa gawi.
* **Mga ulat ng pulisya:** Ang pag-uulat ng pang-aabuso sa pulisya ay lumilikha ng rekord ng insidente.
* **Ang Kaso ay Nakadepende sa Ebidensya:** Ang lakas ng iyong kaso ay nakadepende sa ebidensya na maaari mong makuha upang ipakita ang"&amp;" mapang-abusong pag-uugali. **Narito ang ilang karagdagang puntong dapat isaalang-alang:**
* **Kumonsulta sa Abogado:** Maaaring payuhan ka ng isang abogadong may karanasan sa mga kaso ng karahasan sa tahanan kung paano bubuuin ang iyong kaso at mag-navig"&amp;"ate sa legal na proseso.
* **Libreng Legal na Tulong:** Ang Public Attorney's Office (PAO) o ang IBP Legal Aid Program ay maaaring magbigay ng libreng legal na tulong (Tingnan ang naunang sagot para sa mga detalye sa pakikipag-ugnayan).
* **Support Servic"&amp;"es:** Ang Department of Social Welfare and Development (DSWD) at mga NGO ay nag-aalok ng mga serbisyo ng suporta sa mga biktima ng karahasan sa tahanan, kabilang ang pagpapayo at legal na tulong.
**Tandaan:** * Hindi ito legal na payo. Kung nakakaranas ka"&amp;" ng karahasan sa tahanan, huwag mag-atubiling humingi ng tulong. Ang iyong kaligtasan at kagalingan ay mahalaga.
* Hindi ka nag-iisa. Mayroong mga mapagkukunang magagamit upang matulungan ka.")</f>
        <v>Oo, sa Pilipinas, maaari ka pa ring magsampa ng mga kaso para sa karahasan sa tahanan kahit na hindi ka nagtamo ng mga pisikal na pinsala mula sa pang-aabuso. Narito kung bakit:
* **R.A. 9262 Nakatuon sa Mas Malawak na Pang-aabuso:** Ang **Republic Act No. 9262** o ang "Anti-Violence Against Women and their Children Act of 2004" (VAWC Act) [R.A. 9262] ay malawakang tumutukoy sa karahasan laban sa kababaihan at kanilang mga anak. Kabilang dito ang: * "causing mental or emotional suffering..." [R.A. 9262, Sec. 3(a)(5)(i)]
Nangangahulugan ito na ang sikolohikal na pang-aabuso, pagbabanta, pananakot, at panliligalig ay maaaring ituring na lahat ng karahasan sa tahanan sa ilalim ng VAWC Act.
* **Tumuon sa Ebidensya:** Kahit na walang mga pisikal na pinsala, masusuportahan ng ebidensya ang iyong kaso. Maaaring kabilang dito ang:
* **Mga testimonya ng saksi:** Ang mga taong nakasaksi ng pang-aabuso ay maaaring magbigay ng mga ulat tungkol sa nangyari.
* **Mga rekord ng medikal:** Maaaring makatulong ang dokumentasyon ng mga isyu sa kalusugan ng isip o paggamot para sa pagkabalisa o depresyon na nagreresulta mula sa pang-aabuso.
* **Mga text message, email, o post sa social media:** Maaaring maglaman ang mga ito ng ebidensya ng mga pagbabanta, insulto, o pagkontrol sa gawi.
* **Mga ulat ng pulisya:** Ang pag-uulat ng pang-aabuso sa pulisya ay lumilikha ng rekord ng insidente.
* **Ang Kaso ay Nakadepende sa Ebidensya:** Ang lakas ng iyong kaso ay nakadepende sa ebidensya na maaari mong makuha upang ipakita ang mapang-abusong pag-uugali. **Narito ang ilang karagdagang puntong dapat isaalang-alang:**
* **Kumonsulta sa Abogado:** Maaaring payuhan ka ng isang abogadong may karanasan sa mga kaso ng karahasan sa tahanan kung paano bubuuin ang iyong kaso at mag-navigate sa legal na proseso.
* **Libreng Legal na Tulong:** Ang Public Attorney's Office (PAO) o ang IBP Legal Aid Program ay maaaring magbigay ng libreng legal na tulong (Tingnan ang naunang sagot para sa mga detalye sa pakikipag-ugnayan).
* **Support Services:** Ang Department of Social Welfare and Development (DSWD) at mga NGO ay nag-aalok ng mga serbisyo ng suporta sa mga biktima ng karahasan sa tahanan, kabilang ang pagpapayo at legal na tulong.
**Tandaan:** * Hindi ito legal na payo. Kung nakakaranas ka ng karahasan sa tahanan, huwag mag-atubiling humingi ng tulong. Ang iyong kaligtasan at kagalingan ay mahalaga.
* Hindi ka nag-iisa. Mayroong mga mapagkukunang magagamit upang matulungan ka.</v>
      </c>
      <c r="F1017" s="2">
        <f t="shared" si="1"/>
        <v>0</v>
      </c>
      <c r="G1017" s="2"/>
      <c r="H1017" s="2"/>
      <c r="I1017" s="2"/>
      <c r="J1017" s="2"/>
      <c r="K1017" s="2"/>
      <c r="L1017" s="2"/>
      <c r="M1017" s="2"/>
      <c r="N1017" s="2"/>
      <c r="O1017" s="2"/>
      <c r="P1017" s="2"/>
      <c r="Q1017" s="2"/>
      <c r="R1017" s="2"/>
      <c r="S1017" s="2"/>
      <c r="T1017" s="2"/>
      <c r="U1017" s="2"/>
      <c r="V1017" s="2"/>
      <c r="W1017" s="2"/>
      <c r="X1017" s="2"/>
      <c r="Y1017" s="2"/>
      <c r="Z1017" s="2"/>
      <c r="AA1017" s="2"/>
    </row>
    <row r="1018">
      <c r="A1018" s="3" t="s">
        <v>2763</v>
      </c>
      <c r="B1018" s="1" t="s">
        <v>3200</v>
      </c>
      <c r="C1018" s="1" t="s">
        <v>3201</v>
      </c>
      <c r="D1018" s="2" t="str">
        <f>IFERROR(__xludf.DUMMYFUNCTION("GOOGLETRANSLATE(B1018, ""en"", ""TL"")"),"Paano tinutugunan ng batas ang mga kaso kung saan ang nang-aabuso ay siya ring pangunahing tagapag-alaga ng mga bata?")</f>
        <v>Paano tinutugunan ng batas ang mga kaso kung saan ang nang-aabuso ay siya ring pangunahing tagapag-alaga ng mga bata?</v>
      </c>
      <c r="E1018" s="2" t="str">
        <f>IFERROR(__xludf.DUMMYFUNCTION("GOOGLETRANSLATE(C1018, ""en"", ""TL"")"),"Ang sitwasyon kung saan ang nang-aabuso ay ang pangunahing tagapag-alaga ng mga bata sa Pilipinas ay nagpapakita ng isang kumplikadong hamon sa loob ng mga kaso ng karahasan sa tahanan. Bagama't inuuna ng batas ang kaligtasan at kapakanan ng bata, kinikil"&amp;"ala din nito ang kahalagahan ng isang matatag at nag-aalaga na tagapag-alaga. Narito kung paano sinusubukan ng batas na balansehin ang mga nakikipagkumpitensyang interes na ito:
**Tumutok sa Mga Pinakamahusay na Interes ng Bata:** Ang batas ng Pilipinas, "&amp;"partikular na ang **Republic Act No. 8980** o ang ""Domestic Disruption Code of the Philippines,"" ay nagdidikta na ang mga desisyon sa pangangalaga sa bata ay dapat unahin ang **pinakamahusay na interes ng bata* *. Kabilang dito ang pagprotekta sa kanila"&amp;" mula sa anumang pinsala, kabilang ang pagkakalantad sa karahasan sa tahanan.
**Ebidensya at Alternatibo:**
* **Ebidensya ng Pang-aabuso:** Ang biktima ay maaaring magpakita ng ebidensya sa korte upang ipakita ang pag-uugali ng nang-aabuso ay nagdudulot n"&amp;"g banta sa kaligtasan ng bata. Maaaring kabilang sa ebidensyang ito ang parehong mga uri na binanggit dati (mga saksi, medikal na rekord, ulat ng pulisya).
* **Pagsusuri ng mga Alternatibo:** Isasaalang-alang ng hukuman ang mga alternatibong tagapag-alaga"&amp;"**. Maaaring kabilang dito ang ibang magulang, lolo't lola, o iba pang kamag-anak na itinuturing na karapat-dapat na magbigay ng ligtas at mapag-aruga na kapaligiran para sa bata.
**Mga Pag-aayos at Proteksyon sa Kustodiya:**
* **Mga Desisyon sa Kustodiya"&amp;":** Batay sa ebidensya at magagamit na mga opsyon, maaaring igawad ng hukuman ang nag-iisang pag-iingat sa hindi mapang-abusong magulang**. Sa ilang mga kaso, maaaring isaalang-alang ang magkasanib na pag-iingat na may mga paghihigpit. Maaaring limitahan "&amp;"ng mga paghihigpit na ito ang pakikipag-ugnayan ng nang-aabuso sa bata o nangangailangan ng pinangangasiwaang pagbisita. * **Mga Kautusan sa Proteksyon:** Maaaring gamitin ang isang utos ng proteksyon na ibinigay ng korte upang limitahan ang pakikipag-ugn"&amp;"ayan ng nang-aabuso sa bata at matiyak ang kaligtasan ng bata, kahit na manatili sila sa iisang sambahayan. **Mga Hamon at Pagsasaalang-alang:**
* **Pagtitipon ng Ebidensya:** Ang pagbuo ng isang malakas na kaso ng pang-aabuso nang walang pisikal na pinsa"&amp;"la ay maaaring maging mahirap.
* **Mga Limitadong Alternatibo:** Maaaring hindi laging madali ang paghahanap ng mga angkop na alternatibong tagapag-alaga, lalo na para sa maliliit na bata.
* **Kaligtasan sa Panahon ng Mga Paglilitis:** May panganib ng pag"&amp;"dami ng pang-aabuso sa panahon ng legal na proseso.
**Mga Rekomendasyon:**
* **Humingi ng Legal na Counsel:** Maaaring payuhan ka ng isang abogadong may karanasan sa batas ng pamilya at karahasan sa tahanan sa pagharap ng iyong kaso at tiyaking protektado"&amp;" ang mga karapatan mo at ng iyong anak.
* **Support Services:** Ang Department of Social Welfare and Development (DSWD) at mga NGO ay nag-aalok ng mga serbisyo ng suporta sa mga biktima ng karahasan sa tahanan, kabilang ang pagpapayo, tirahan kung kinakai"&amp;"langan, at legal na tulong.
* **Safety Planning:** Makipagtulungan sa isang abogado at social worker upang bumuo ng isang planong pangkaligtasan upang protektahan ang iyong sarili at ang iyong anak sa panahon at pagkatapos ng mga legal na paglilitis.
**Ta"&amp;"ndaan:** * Hindi ito legal na payo. Kung ikaw ay nasa ganitong sitwasyon, kumunsulta sa isang abogado upang maunawaan ang iyong mga partikular na karapatan at opsyon sa ilalim ng batas ng Pilipinas. * May mga mapagkukunang magagamit upang matulungan ka at"&amp;" ang iyong anak. Huwag mag-atubiling humingi ng tulong sa mga awtoridad, NGO, o serbisyong panlipunan. Ang legal na proseso ay maaaring kumplikado, ngunit ang pagbibigay-priyoridad sa iyong kaligtasan at kapakanan ng iyong anak ay napakahalaga.")</f>
        <v>Ang sitwasyon kung saan ang nang-aabuso ay ang pangunahing tagapag-alaga ng mga bata sa Pilipinas ay nagpapakita ng isang kumplikadong hamon sa loob ng mga kaso ng karahasan sa tahanan. Bagama't inuuna ng batas ang kaligtasan at kapakanan ng bata, kinikilala din nito ang kahalagahan ng isang matatag at nag-aalaga na tagapag-alaga. Narito kung paano sinusubukan ng batas na balansehin ang mga nakikipagkumpitensyang interes na ito:
**Tumutok sa Mga Pinakamahusay na Interes ng Bata:** Ang batas ng Pilipinas, partikular na ang **Republic Act No. 8980** o ang "Domestic Disruption Code of the Philippines," ay nagdidikta na ang mga desisyon sa pangangalaga sa bata ay dapat unahin ang **pinakamahusay na interes ng bata* *. Kabilang dito ang pagprotekta sa kanila mula sa anumang pinsala, kabilang ang pagkakalantad sa karahasan sa tahanan.
**Ebidensya at Alternatibo:**
* **Ebidensya ng Pang-aabuso:** Ang biktima ay maaaring magpakita ng ebidensya sa korte upang ipakita ang pag-uugali ng nang-aabuso ay nagdudulot ng banta sa kaligtasan ng bata. Maaaring kabilang sa ebidensyang ito ang parehong mga uri na binanggit dati (mga saksi, medikal na rekord, ulat ng pulisya).
* **Pagsusuri ng mga Alternatibo:** Isasaalang-alang ng hukuman ang mga alternatibong tagapag-alaga**. Maaaring kabilang dito ang ibang magulang, lolo't lola, o iba pang kamag-anak na itinuturing na karapat-dapat na magbigay ng ligtas at mapag-aruga na kapaligiran para sa bata.
**Mga Pag-aayos at Proteksyon sa Kustodiya:**
* **Mga Desisyon sa Kustodiya:** Batay sa ebidensya at magagamit na mga opsyon, maaaring igawad ng hukuman ang nag-iisang pag-iingat sa hindi mapang-abusong magulang**. Sa ilang mga kaso, maaaring isaalang-alang ang magkasanib na pag-iingat na may mga paghihigpit. Maaaring limitahan ng mga paghihigpit na ito ang pakikipag-ugnayan ng nang-aabuso sa bata o nangangailangan ng pinangangasiwaang pagbisita. * **Mga Kautusan sa Proteksyon:** Maaaring gamitin ang isang utos ng proteksyon na ibinigay ng korte upang limitahan ang pakikipag-ugnayan ng nang-aabuso sa bata at matiyak ang kaligtasan ng bata, kahit na manatili sila sa iisang sambahayan. **Mga Hamon at Pagsasaalang-alang:**
* **Pagtitipon ng Ebidensya:** Ang pagbuo ng isang malakas na kaso ng pang-aabuso nang walang pisikal na pinsala ay maaaring maging mahirap.
* **Mga Limitadong Alternatibo:** Maaaring hindi laging madali ang paghahanap ng mga angkop na alternatibong tagapag-alaga, lalo na para sa maliliit na bata.
* **Kaligtasan sa Panahon ng Mga Paglilitis:** May panganib ng pagdami ng pang-aabuso sa panahon ng legal na proseso.
**Mga Rekomendasyon:**
* **Humingi ng Legal na Counsel:** Maaaring payuhan ka ng isang abogadong may karanasan sa batas ng pamilya at karahasan sa tahanan sa pagharap ng iyong kaso at tiyaking protektado ang mga karapatan mo at ng iyong anak.
* **Support Services:** Ang Department of Social Welfare and Development (DSWD) at mga NGO ay nag-aalok ng mga serbisyo ng suporta sa mga biktima ng karahasan sa tahanan, kabilang ang pagpapayo, tirahan kung kinakailangan, at legal na tulong.
* **Safety Planning:** Makipagtulungan sa isang abogado at social worker upang bumuo ng isang planong pangkaligtasan upang protektahan ang iyong sarili at ang iyong anak sa panahon at pagkatapos ng mga legal na paglilitis.
**Tandaan:** * Hindi ito legal na payo. Kung ikaw ay nasa ganitong sitwasyon, kumunsulta sa isang abogado upang maunawaan ang iyong mga partikular na karapatan at opsyon sa ilalim ng batas ng Pilipinas. * May mga mapagkukunang magagamit upang matulungan ka at ang iyong anak. Huwag mag-atubiling humingi ng tulong sa mga awtoridad, NGO, o serbisyong panlipunan. Ang legal na proseso ay maaaring kumplikado, ngunit ang pagbibigay-priyoridad sa iyong kaligtasan at kapakanan ng iyong anak ay napakahalaga.</v>
      </c>
      <c r="F1018" s="2">
        <f t="shared" si="1"/>
        <v>0</v>
      </c>
      <c r="G1018" s="2"/>
      <c r="H1018" s="2"/>
      <c r="I1018" s="2"/>
      <c r="J1018" s="2"/>
      <c r="K1018" s="2"/>
      <c r="L1018" s="2"/>
      <c r="M1018" s="2"/>
      <c r="N1018" s="2"/>
      <c r="O1018" s="2"/>
      <c r="P1018" s="2"/>
      <c r="Q1018" s="2"/>
      <c r="R1018" s="2"/>
      <c r="S1018" s="2"/>
      <c r="T1018" s="2"/>
      <c r="U1018" s="2"/>
      <c r="V1018" s="2"/>
      <c r="W1018" s="2"/>
      <c r="X1018" s="2"/>
      <c r="Y1018" s="2"/>
      <c r="Z1018" s="2"/>
      <c r="AA1018" s="2"/>
    </row>
    <row r="1019">
      <c r="A1019" s="3" t="s">
        <v>2763</v>
      </c>
      <c r="B1019" s="1" t="s">
        <v>3202</v>
      </c>
      <c r="C1019" s="1" t="s">
        <v>3203</v>
      </c>
      <c r="D1019" s="2" t="str">
        <f>IFERROR(__xludf.DUMMYFUNCTION("GOOGLETRANSLATE(B1019, ""en"", ""TL"")"),"Maaari ba akong makakuha ng emergency na pabahay o tulong pinansyal bilang biktima ng karahasan sa tahanan?")</f>
        <v>Maaari ba akong makakuha ng emergency na pabahay o tulong pinansyal bilang biktima ng karahasan sa tahanan?</v>
      </c>
      <c r="E1019" s="2" t="str">
        <f>IFERROR(__xludf.DUMMYFUNCTION("GOOGLETRANSLATE(C1019, ""en"", ""TL"")"),"Oo, may mga mapagkukunang magagamit sa Pilipinas upang matulungan ang mga biktima ng karahasan sa tahanan na may emergency na pabahay at tulong pinansyal. Narito ang isang breakdown ng mga opsyon:
**Pabahay na Pang-emergency:**
* **Mga Shelter ng Gobyerno"&amp;":** Ang Department of Social Welfare and Development (DSWD) ay nagpapatakbo ng mga shelter na nagbibigay ng pansamantalang akomodasyon at mga serbisyo ng suporta para sa mga biktima ng karahasan laban sa kababaihan (VAW) kabilang ang karahasan sa tahanan."&amp;" * **NGO Shelters:** Maraming NGO ang nag-aalok ng shelter at support services partikular para sa mga biktima ng domestic violence. Ang mga shelter na ito ay maaaring magsilbi sa mga babaeng may mga anak o mga partikular na pangangailangan. Maaari kang ma"&amp;"ghanap online para sa ""domestic violence shelters Philippines"" o makipag-ugnayan sa mga NGO na nakatuon sa mga karapatan ng kababaihan o mga serbisyo ng VAW.
**Tulong Pinansyal:**
* **Mga Programa ng Pamahalaan:** Maaaring mag-alok ang DSWD ng limitadon"&amp;"g tulong pinansyal sa mga biktima ng VAW. Maaaring kabilang dito ang tulong sa transportasyon, pansamantalang tulong sa kabuhayan, o mga programa sa pagsasanay sa kasanayan.
* **Legal na Tulong:** Maaaring payuhan ka ng isang abogado tungkol sa iyong mga "&amp;"karapatang mag-claim ng mga pinsala mula sa iyong nang-aabuso sa ilalim ng VAWC Act. Maaaring kabilang dito ang kabayaran para sa mga gastusing medikal o therapy na may kaugnayan sa karahasan sa tahanan (tingnan ang nakaraang sagot sa pag-claim ng kabayar"&amp;"an).
* **Suporta ng NGO:** Maaaring mag-alok ang ilang NGO ng tulong pinansyal o tulong sa paghahanap ng trabaho upang matulungan ang mga biktima na makamit ang kalayaan sa pananalapi.
**Narito ang ilang mapagkukunan upang makapagsimula ka:**
* **Departme"&amp;"nt of Social Welfare and Development (DSWD):** [https://www.dswd.gov.ph/](https://www.dswd.gov.ph/) - May crisis hotline ang DSWD at mga tanggapang panrehiyon na maaaring magbigay ng impormasyon sa mga tirahan at mga programa ng tulong.
* **Philippine Com"&amp;"mission on Women (PCW):** [https://pcw.gov.ph/](https://pcw.gov.ph/) - Ang PCW ay nagtataguyod para sa mga karapatan ng kababaihan at maaaring mag-alok ng mga referral upang suportahan mga serbisyo.
* **NGOs:** Maaari kang maghanap online para sa mga NGO "&amp;"na nagtatrabaho sa mga isyu sa VAW sa iyong lugar. Ang ilang mga halimbawa ay kinabibilangan ng:
* Gabriela Women's Network: [https://en.wikipedia.org/wiki/Gabriela_Women%27s_Party](https://en.wikipedia.org/wiki/Gabriela_Women%27s_Party)
* Lila Pilipina F"&amp;"oundation: [https://worldhistorycommons.org/lila-pilipina-brochure](https://worldhistorycommons.org/lila-pilipina-brochure)
* Ateneo Human Rights Center: [https://ahrc.org.ph/](https://ahrc.org.ph/) **Mga Mahalagang Dapat Tandaan:**
* Ang pagkakaroon ng m"&amp;"ga mapagkukunan ay maaaring mag-iba depende sa iyong lokasyon.
* Ang mga emergency shelter ay kadalasang may limitadong kapasidad, kaya ang mabilis na pagkilos ay mahalaga.
* Karaniwang kinakailangan ang dokumentasyon upang ma-access ang mga programa ng t"&amp;"ulong ng gobyerno. Maaaring kabilang dito ang mga ulat ng pulisya, mga rekord ng medikal, o mga sertipikasyon ng barangay.
* Humingi ng legal na payo upang maunawaan ang iyong mga karapatan at mga opsyon para sa pag-claim ng kabayaran.
Tandaan, ang imporm"&amp;"asyong ito ay hindi kapalit para sa propesyonal na legal na payo. Kung mayroon kang mga partikular na tanong, kumunsulta sa isang abogado na dalubhasa sa mga kaso ng karahasan sa tahanan. Kung nakakaranas ka ng karahasan sa tahanan, huwag mag-atubiling hu"&amp;"mingi ng tulong. May mga taong nagmamalasakit sa iyong kaligtasan at kapakanan.")</f>
        <v>Oo, may mga mapagkukunang magagamit sa Pilipinas upang matulungan ang mga biktima ng karahasan sa tahanan na may emergency na pabahay at tulong pinansyal. Narito ang isang breakdown ng mga opsyon:
**Pabahay na Pang-emergency:**
* **Mga Shelter ng Gobyerno:** Ang Department of Social Welfare and Development (DSWD) ay nagpapatakbo ng mga shelter na nagbibigay ng pansamantalang akomodasyon at mga serbisyo ng suporta para sa mga biktima ng karahasan laban sa kababaihan (VAW) kabilang ang karahasan sa tahanan. * **NGO Shelters:** Maraming NGO ang nag-aalok ng shelter at support services partikular para sa mga biktima ng domestic violence. Ang mga shelter na ito ay maaaring magsilbi sa mga babaeng may mga anak o mga partikular na pangangailangan. Maaari kang maghanap online para sa "domestic violence shelters Philippines" o makipag-ugnayan sa mga NGO na nakatuon sa mga karapatan ng kababaihan o mga serbisyo ng VAW.
**Tulong Pinansyal:**
* **Mga Programa ng Pamahalaan:** Maaaring mag-alok ang DSWD ng limitadong tulong pinansyal sa mga biktima ng VAW. Maaaring kabilang dito ang tulong sa transportasyon, pansamantalang tulong sa kabuhayan, o mga programa sa pagsasanay sa kasanayan.
* **Legal na Tulong:** Maaaring payuhan ka ng isang abogado tungkol sa iyong mga karapatang mag-claim ng mga pinsala mula sa iyong nang-aabuso sa ilalim ng VAWC Act. Maaaring kabilang dito ang kabayaran para sa mga gastusing medikal o therapy na may kaugnayan sa karahasan sa tahanan (tingnan ang nakaraang sagot sa pag-claim ng kabayaran).
* **Suporta ng NGO:** Maaaring mag-alok ang ilang NGO ng tulong pinansyal o tulong sa paghahanap ng trabaho upang matulungan ang mga biktima na makamit ang kalayaan sa pananalapi.
**Narito ang ilang mapagkukunan upang makapagsimula ka:**
* **Department of Social Welfare and Development (DSWD):** [https://www.dswd.gov.ph/](https://www.dswd.gov.ph/) - May crisis hotline ang DSWD at mga tanggapang panrehiyon na maaaring magbigay ng impormasyon sa mga tirahan at mga programa ng tulong.
* **Philippine Commission on Women (PCW):** [https://pcw.gov.ph/](https://pcw.gov.ph/) - Ang PCW ay nagtataguyod para sa mga karapatan ng kababaihan at maaaring mag-alok ng mga referral upang suportahan mga serbisyo.
* **NGOs:** Maaari kang maghanap online para sa mga NGO na nagtatrabaho sa mga isyu sa VAW sa iyong lugar. Ang ilang mga halimbawa ay kinabibilangan ng:
* Gabriela Women's Network: [https://en.wikipedia.org/wiki/Gabriela_Women%27s_Party](https://en.wikipedia.org/wiki/Gabriela_Women%27s_Party)
* Lila Pilipina Foundation: [https://worldhistorycommons.org/lila-pilipina-brochure](https://worldhistorycommons.org/lila-pilipina-brochure)
* Ateneo Human Rights Center: [https://ahrc.org.ph/](https://ahrc.org.ph/) **Mga Mahalagang Dapat Tandaan:**
* Ang pagkakaroon ng mga mapagkukunan ay maaaring mag-iba depende sa iyong lokasyon.
* Ang mga emergency shelter ay kadalasang may limitadong kapasidad, kaya ang mabilis na pagkilos ay mahalaga.
* Karaniwang kinakailangan ang dokumentasyon upang ma-access ang mga programa ng tulong ng gobyerno. Maaaring kabilang dito ang mga ulat ng pulisya, mga rekord ng medikal, o mga sertipikasyon ng barangay.
* Humingi ng legal na payo upang maunawaan ang iyong mga karapatan at mga opsyon para sa pag-claim ng kabayaran.
Tandaan, ang impormasyong ito ay hindi kapalit para sa propesyonal na legal na payo. Kung mayroon kang mga partikular na tanong, kumunsulta sa isang abogado na dalubhasa sa mga kaso ng karahasan sa tahanan. Kung nakakaranas ka ng karahasan sa tahanan, huwag mag-atubiling humingi ng tulong. May mga taong nagmamalasakit sa iyong kaligtasan at kapakanan.</v>
      </c>
      <c r="F1019" s="2">
        <f t="shared" si="1"/>
        <v>0</v>
      </c>
      <c r="G1019" s="2"/>
      <c r="H1019" s="2"/>
      <c r="I1019" s="2"/>
      <c r="J1019" s="2"/>
      <c r="K1019" s="2"/>
      <c r="L1019" s="2"/>
      <c r="M1019" s="2"/>
      <c r="N1019" s="2"/>
      <c r="O1019" s="2"/>
      <c r="P1019" s="2"/>
      <c r="Q1019" s="2"/>
      <c r="R1019" s="2"/>
      <c r="S1019" s="2"/>
      <c r="T1019" s="2"/>
      <c r="U1019" s="2"/>
      <c r="V1019" s="2"/>
      <c r="W1019" s="2"/>
      <c r="X1019" s="2"/>
      <c r="Y1019" s="2"/>
      <c r="Z1019" s="2"/>
      <c r="AA1019" s="2"/>
    </row>
    <row r="1020">
      <c r="A1020" s="3" t="s">
        <v>2763</v>
      </c>
      <c r="B1020" s="1" t="s">
        <v>3204</v>
      </c>
      <c r="C1020" s="1" t="s">
        <v>3205</v>
      </c>
      <c r="D1020" s="2" t="str">
        <f>IFERROR(__xludf.DUMMYFUNCTION("GOOGLETRANSLATE(B1020, ""en"", ""TL"")"),"Paano pinangangasiwaan ng batas ang mga kaso kung saan ang nang-aabuso ay may kasaysayan ng karahasan?")</f>
        <v>Paano pinangangasiwaan ng batas ang mga kaso kung saan ang nang-aabuso ay may kasaysayan ng karahasan?</v>
      </c>
      <c r="E1020" s="2" t="str">
        <f>IFERROR(__xludf.DUMMYFUNCTION("GOOGLETRANSLATE(C1020, ""en"", ""TL"")"),"Sa Pilipinas, ang kasaysayan ng karahasan ng nang-aabuso ay maaaring maging isang mahalagang kadahilanan sa mga kaso ng karahasan sa tahanan. Narito kung paano ito isinasaalang-alang ng batas:
* **Ebidensya ng Propensity for Violence:** Ang isang kasaysay"&amp;"an ng karahasan ay nagpapatibay sa kaso laban sa nang-aabuso. Nagpapakita ito ng pattern ng pag-uugali at pinapataas ang posibilidad na magpapatuloy ang pang-aabuso.
* **Mga Uri ng Ebidensya:** Ang katibayan ng kasaysayan ng karahasan ng nang-aabuso ay ma"&amp;"aaring kabilang ang:
* Mga ulat ng pulisya ng mga nakaraang insidente ng karahasan sa tahanan laban sa iyo o sa iba.
* Mga rekord ng korte ng mga paghatol para sa mga pagkakasala na may kaugnayan sa karahasan.
* Saksihan ang mga testimonya mula sa mga tao"&amp;"ng nakasaksi sa marahas na pag-uugali ng nang-aabuso.
* Mga rekord ng medikal na nagdodokumento ng mga pinsalang natamo mula sa nakaraang pang-aabuso.
* Mga utos ng proteksyon na ibinigay laban sa nang-aabuso sa nakaraan.
* **Epekto sa Mga Kautusan sa Pro"&amp;"teksyon at Mga Desisyon sa Kustodiya:**
* **Mga Kautusan sa Proteksyon:** Ang isang kasaysayan ng karahasan ay maaaring makaimpluwensya sa korte na magbigay ng mas mahigpit na utos ng proteksyon. Maaaring kabilang dito ang mga limitasyon sa kakayahan ng n"&amp;"ang-aabuso na makipag-ugnayan sa iyo o lumapit sa iyong tirahan o lugar ng trabaho. * **Child Custody:** Kung may mga bata na kasangkot, uunahin ng hukuman ang kanilang kaligtasan. Ang isang kasaysayan ng karahasan ng nang-aabuso ay maaaring magtimbang la"&amp;"ban sa kanila sa mga desisyon sa pangangalaga sa bata. Maaaring igawad ng korte ang nag-iisang kustodiya sa hindi mapang-abusong magulang o limitahan ang pakikipag-ugnayan ng nang-aabuso sa mga bata. * **Pinataas na mga Parusa:** Depende sa kalubhaan ng n"&amp;"akaraang karahasan ng nang-aabuso at sa kasalukuyang kaso, maaari silang mapaharap sa mas mabibigat na parusa kung mapatunayang nagkasala. Narito ang ilang karagdagang punto na dapat isaalang-alang:
* **Magtipon ng Ebidensya:** Kung mayroon kang anumang d"&amp;"okumentasyon ng nakaraang karahasan ng nang-aabuso, panatilihin ito at ipakita ito sa pulisya o sa iyong abogado.
* **Safety Planning:** Kung nakatira ka pa rin kasama ang nang-aabuso, matutulungan ka ng isang abogado at social worker na bumuo ng planong "&amp;"pangkaligtasan para protektahan ang iyong sarili at ang iyong mga anak.
* **Humingi ng Legal na Payo:** Maaaring payuhan ka ng isang abogadong nakaranas sa mga kaso ng karahasan sa tahanan kung paano gamitin ang kasaysayan ng karahasan ng nang-aabuso upan"&amp;"g palakasin ang iyong kaso at protektahan ang iyong mga karapatan.
**Mahahalagang Paalala:**
* Hindi ito legal na payo. Kung nakakaranas ka ng karahasan sa tahanan, kumunsulta sa isang abogado upang maunawaan ang iyong partikular na sitwasyon at mga opsyo"&amp;"n sa ilalim ng batas ng Pilipinas.
* May mga mapagkukunang magagamit upang matulungan ka. Huwag mag-atubiling humingi ng tulong mula sa mga awtoridad, NGO, o serbisyong panlipunan. Ang iyong kaligtasan at kagalingan ay mahalaga. Tandaan, hindi ka nag-iisa"&amp;".")</f>
        <v>Sa Pilipinas, ang kasaysayan ng karahasan ng nang-aabuso ay maaaring maging isang mahalagang kadahilanan sa mga kaso ng karahasan sa tahanan. Narito kung paano ito isinasaalang-alang ng batas:
* **Ebidensya ng Propensity for Violence:** Ang isang kasaysayan ng karahasan ay nagpapatibay sa kaso laban sa nang-aabuso. Nagpapakita ito ng pattern ng pag-uugali at pinapataas ang posibilidad na magpapatuloy ang pang-aabuso.
* **Mga Uri ng Ebidensya:** Ang katibayan ng kasaysayan ng karahasan ng nang-aabuso ay maaaring kabilang ang:
* Mga ulat ng pulisya ng mga nakaraang insidente ng karahasan sa tahanan laban sa iyo o sa iba.
* Mga rekord ng korte ng mga paghatol para sa mga pagkakasala na may kaugnayan sa karahasan.
* Saksihan ang mga testimonya mula sa mga taong nakasaksi sa marahas na pag-uugali ng nang-aabuso.
* Mga rekord ng medikal na nagdodokumento ng mga pinsalang natamo mula sa nakaraang pang-aabuso.
* Mga utos ng proteksyon na ibinigay laban sa nang-aabuso sa nakaraan.
* **Epekto sa Mga Kautusan sa Proteksyon at Mga Desisyon sa Kustodiya:**
* **Mga Kautusan sa Proteksyon:** Ang isang kasaysayan ng karahasan ay maaaring makaimpluwensya sa korte na magbigay ng mas mahigpit na utos ng proteksyon. Maaaring kabilang dito ang mga limitasyon sa kakayahan ng nang-aabuso na makipag-ugnayan sa iyo o lumapit sa iyong tirahan o lugar ng trabaho. * **Child Custody:** Kung may mga bata na kasangkot, uunahin ng hukuman ang kanilang kaligtasan. Ang isang kasaysayan ng karahasan ng nang-aabuso ay maaaring magtimbang laban sa kanila sa mga desisyon sa pangangalaga sa bata. Maaaring igawad ng korte ang nag-iisang kustodiya sa hindi mapang-abusong magulang o limitahan ang pakikipag-ugnayan ng nang-aabuso sa mga bata. * **Pinataas na mga Parusa:** Depende sa kalubhaan ng nakaraang karahasan ng nang-aabuso at sa kasalukuyang kaso, maaari silang mapaharap sa mas mabibigat na parusa kung mapatunayang nagkasala. Narito ang ilang karagdagang punto na dapat isaalang-alang:
* **Magtipon ng Ebidensya:** Kung mayroon kang anumang dokumentasyon ng nakaraang karahasan ng nang-aabuso, panatilihin ito at ipakita ito sa pulisya o sa iyong abogado.
* **Safety Planning:** Kung nakatira ka pa rin kasama ang nang-aabuso, matutulungan ka ng isang abogado at social worker na bumuo ng planong pangkaligtasan para protektahan ang iyong sarili at ang iyong mga anak.
* **Humingi ng Legal na Payo:** Maaaring payuhan ka ng isang abogadong nakaranas sa mga kaso ng karahasan sa tahanan kung paano gamitin ang kasaysayan ng karahasan ng nang-aabuso upang palakasin ang iyong kaso at protektahan ang iyong mga karapatan.
**Mahahalagang Paalala:**
* Hindi ito legal na payo. Kung nakakaranas ka ng karahasan sa tahanan, kumunsulta sa isang abogado upang maunawaan ang iyong partikular na sitwasyon at mga opsyon sa ilalim ng batas ng Pilipinas.
* May mga mapagkukunang magagamit upang matulungan ka. Huwag mag-atubiling humingi ng tulong mula sa mga awtoridad, NGO, o serbisyong panlipunan. Ang iyong kaligtasan at kagalingan ay mahalaga. Tandaan, hindi ka nag-iisa.</v>
      </c>
      <c r="F1020" s="2">
        <f t="shared" si="1"/>
        <v>0</v>
      </c>
      <c r="G1020" s="2"/>
      <c r="H1020" s="2"/>
      <c r="I1020" s="2"/>
      <c r="J1020" s="2"/>
      <c r="K1020" s="2"/>
      <c r="L1020" s="2"/>
      <c r="M1020" s="2"/>
      <c r="N1020" s="2"/>
      <c r="O1020" s="2"/>
      <c r="P1020" s="2"/>
      <c r="Q1020" s="2"/>
      <c r="R1020" s="2"/>
      <c r="S1020" s="2"/>
      <c r="T1020" s="2"/>
      <c r="U1020" s="2"/>
      <c r="V1020" s="2"/>
      <c r="W1020" s="2"/>
      <c r="X1020" s="2"/>
      <c r="Y1020" s="2"/>
      <c r="Z1020" s="2"/>
      <c r="AA1020" s="2"/>
    </row>
    <row r="1021">
      <c r="A1021" s="3" t="s">
        <v>2763</v>
      </c>
      <c r="B1021" s="1" t="s">
        <v>3206</v>
      </c>
      <c r="C1021" s="1" t="s">
        <v>3207</v>
      </c>
      <c r="D1021" s="2" t="str">
        <f>IFERROR(__xludf.DUMMYFUNCTION("GOOGLETRANSLATE(B1021, ""en"", ""TL"")"),"Maaari ba akong makakuha ng legal na proteksyon kung natatakot akong gantihan ang aking nang-aabuso para sa paghingi ng tulong?")</f>
        <v>Maaari ba akong makakuha ng legal na proteksyon kung natatakot akong gantihan ang aking nang-aabuso para sa paghingi ng tulong?</v>
      </c>
      <c r="E1021" s="2" t="str">
        <f>IFERROR(__xludf.DUMMYFUNCTION("GOOGLETRANSLATE(C1021, ""en"", ""TL"")"),"Oo, ang batas ng Pilipinas ay nag-aalok ng ilang layer ng proteksyon para sa mga biktima na natatakot sa paghihiganti mula sa kanilang mga nang-aabuso para sa paghingi ng tulong. Narito ang isang breakdown ng mga opsyon na magagamit:
**Mga Mekanismo ng Pr"&amp;"oteksyon:**
* **Programa sa Proteksyon ng Saksi:** Ang Witness Protection, Security and Benefit Act (Republic Act No. 6981) ay nagtatatag ng isang programa upang matiyak ang kaligtasan ng mga testigo, kabilang ang mga biktima, sa mga kasong kriminal. Nag-"&amp;"aalok ang programa ng:
* Relokasyon at pag-iingat
* Tulong pinansyal
* Mga bagong pagkakakilanlan (sa matinding kaso)
* Mga hakbang sa seguridad
Maaaring mag-aplay ang mga biktima para sa pagsasama sa programa sa pamamagitan ng Department of Justice (DOJ)"&amp;".
* **Mga Kautusan sa Proteksyon:** Ang Batas na Anti-Violence Against Women and their Children Act (Republic Act No. 9262) ay nagpapahintulot sa mga biktima na humingi ng proteksyon sa pamamagitan ng barangay o mga korte. Ang mga utos na ito ay nag-uutos"&amp;" sa nang-aabuso na lumayo sa biktima at sa kanilang mga anak. Maaari rin nilang pagbawalan ang nang-aabuso na makipag-ugnayan sa biktima o pumasok sa kanilang tirahan [R.A. 9262].
* **Pagiging Kumpidensyal:** Ang VAWC Act ay nagpoprotekta sa pagkakakilanl"&amp;"an at kinaroroonan ng biktima at kanilang mga anak [R.A. 9262]. Pinaliit nito ang panganib na gumanti ang nang-aabuso.
**Mga Karagdagang Panukala:**
* **Testimonya ng closed-circuit television (CCTV):** Nagbibigay-daan ito sa mga biktima na tumestigo sa i"&amp;"sang hiwalay na silid na malayo sa nang-aabuso (napapailalim sa pag-apruba ng korte). * **Legal na Representasyon:** Maaaring tumulong ang isang abogado sa pag-navigate sa legal na proseso at itaguyod ang iyong kaligtasan sa panahon ng paglilitis sa korte"&amp;".
**Narito ang magagawa mo para mapataas ang iyong kaligtasan:**
* **Huwag harapin ang iyong nang-aabuso:** Kung natatakot kang gantihan, iwasan ang direktang komprontasyon sa nang-aabuso.
* **Bumuo ng planong pangkaligtasan:** Makipagtulungan sa isang ab"&amp;"ogado, social worker, o NGO upang lumikha ng planong pangkaligtasan na nagpapaliit sa iyong panganib na malantad sa nang-aabuso. * **Idokumento ang pang-aabuso:** Panatilihin ang isang talaan ng anumang pagbabanta, panliligalig, o karahasan bilang ebidens"&amp;"ya. * **Humingi ng Suporta:** Makipag-ugnayan sa mga NGO o grupo ng suporta para sa mga biktima ng karahasan sa tahanan. Maaari silang magbigay ng emosyonal na suporta, pagpapayo, at kung minsan kahit pansamantalang tirahan.
**Mahahalagang Puntos na Dapat"&amp;" Tandaan:**
* Kahit na pumasok ka sa Witness Protection Program, ang pakikipagtulungan sa prosekusyon ay mahalaga para sa isang matagumpay na kaso.
* Ang mga utos ng proteksyon ay maaaring maging isang hadlang ngunit maaaring hindi ganap na maalis ang pan"&amp;"ganib ng paghihiganti. * May mga mapagkukunang magagamit upang matulungan ka. Huwag mag-atubiling humingi ng tulong sa mga awtoridad, NGO, o serbisyong panlipunan kahit na natatakot kang gantihan.
**Tandaan:** Ang impormasyong ito ay hindi pamalit para sa"&amp;" propesyonal na payong legal. Kung nakakaranas ka ng karahasan sa tahanan, kumunsulta sa isang abogado upang maunawaan ang iyong partikular na sitwasyon at mga opsyon para sa pagkuha ng legal na proteksyon sa ilalim ng batas ng Pilipinas.")</f>
        <v>Oo, ang batas ng Pilipinas ay nag-aalok ng ilang layer ng proteksyon para sa mga biktima na natatakot sa paghihiganti mula sa kanilang mga nang-aabuso para sa paghingi ng tulong. Narito ang isang breakdown ng mga opsyon na magagamit:
**Mga Mekanismo ng Proteksyon:**
* **Programa sa Proteksyon ng Saksi:** Ang Witness Protection, Security and Benefit Act (Republic Act No. 6981) ay nagtatatag ng isang programa upang matiyak ang kaligtasan ng mga testigo, kabilang ang mga biktima, sa mga kasong kriminal. Nag-aalok ang programa ng:
* Relokasyon at pag-iingat
* Tulong pinansyal
* Mga bagong pagkakakilanlan (sa matinding kaso)
* Mga hakbang sa seguridad
Maaaring mag-aplay ang mga biktima para sa pagsasama sa programa sa pamamagitan ng Department of Justice (DOJ).
* **Mga Kautusan sa Proteksyon:** Ang Batas na Anti-Violence Against Women and their Children Act (Republic Act No. 9262) ay nagpapahintulot sa mga biktima na humingi ng proteksyon sa pamamagitan ng barangay o mga korte. Ang mga utos na ito ay nag-uutos sa nang-aabuso na lumayo sa biktima at sa kanilang mga anak. Maaari rin nilang pagbawalan ang nang-aabuso na makipag-ugnayan sa biktima o pumasok sa kanilang tirahan [R.A. 9262].
* **Pagiging Kumpidensyal:** Ang VAWC Act ay nagpoprotekta sa pagkakakilanlan at kinaroroonan ng biktima at kanilang mga anak [R.A. 9262]. Pinaliit nito ang panganib na gumanti ang nang-aabuso.
**Mga Karagdagang Panukala:**
* **Testimonya ng closed-circuit television (CCTV):** Nagbibigay-daan ito sa mga biktima na tumestigo sa isang hiwalay na silid na malayo sa nang-aabuso (napapailalim sa pag-apruba ng korte). * **Legal na Representasyon:** Maaaring tumulong ang isang abogado sa pag-navigate sa legal na proseso at itaguyod ang iyong kaligtasan sa panahon ng paglilitis sa korte.
**Narito ang magagawa mo para mapataas ang iyong kaligtasan:**
* **Huwag harapin ang iyong nang-aabuso:** Kung natatakot kang gantihan, iwasan ang direktang komprontasyon sa nang-aabuso.
* **Bumuo ng planong pangkaligtasan:** Makipagtulungan sa isang abogado, social worker, o NGO upang lumikha ng planong pangkaligtasan na nagpapaliit sa iyong panganib na malantad sa nang-aabuso. * **Idokumento ang pang-aabuso:** Panatilihin ang isang talaan ng anumang pagbabanta, panliligalig, o karahasan bilang ebidensya. * **Humingi ng Suporta:** Makipag-ugnayan sa mga NGO o grupo ng suporta para sa mga biktima ng karahasan sa tahanan. Maaari silang magbigay ng emosyonal na suporta, pagpapayo, at kung minsan kahit pansamantalang tirahan.
**Mahahalagang Puntos na Dapat Tandaan:**
* Kahit na pumasok ka sa Witness Protection Program, ang pakikipagtulungan sa prosekusyon ay mahalaga para sa isang matagumpay na kaso.
* Ang mga utos ng proteksyon ay maaaring maging isang hadlang ngunit maaaring hindi ganap na maalis ang panganib ng paghihiganti. * May mga mapagkukunang magagamit upang matulungan ka. Huwag mag-atubiling humingi ng tulong sa mga awtoridad, NGO, o serbisyong panlipunan kahit na natatakot kang gantihan.
**Tandaan:** Ang impormasyong ito ay hindi pamalit para sa propesyonal na payong legal. Kung nakakaranas ka ng karahasan sa tahanan, kumunsulta sa isang abogado upang maunawaan ang iyong partikular na sitwasyon at mga opsyon para sa pagkuha ng legal na proteksyon sa ilalim ng batas ng Pilipinas.</v>
      </c>
      <c r="F1021" s="2">
        <f t="shared" si="1"/>
        <v>0</v>
      </c>
      <c r="G1021" s="2"/>
      <c r="H1021" s="2"/>
      <c r="I1021" s="2"/>
      <c r="J1021" s="2"/>
      <c r="K1021" s="2"/>
      <c r="L1021" s="2"/>
      <c r="M1021" s="2"/>
      <c r="N1021" s="2"/>
      <c r="O1021" s="2"/>
      <c r="P1021" s="2"/>
      <c r="Q1021" s="2"/>
      <c r="R1021" s="2"/>
      <c r="S1021" s="2"/>
      <c r="T1021" s="2"/>
      <c r="U1021" s="2"/>
      <c r="V1021" s="2"/>
      <c r="W1021" s="2"/>
      <c r="X1021" s="2"/>
      <c r="Y1021" s="2"/>
      <c r="Z1021" s="2"/>
      <c r="AA1021" s="2"/>
    </row>
    <row r="1022">
      <c r="A1022" s="3" t="s">
        <v>2763</v>
      </c>
      <c r="B1022" s="1" t="s">
        <v>3208</v>
      </c>
      <c r="C1022" s="1" t="s">
        <v>3209</v>
      </c>
      <c r="D1022" s="2" t="str">
        <f>IFERROR(__xludf.DUMMYFUNCTION("GOOGLETRANSLATE(B1022, ""en"", ""TL"")"),"Paano tinutugunan ng batas ang mga kaso kung saan nangyayari ang karahasan sa tahanan sa isang relasyon sa pakikipag-date?")</f>
        <v>Paano tinutugunan ng batas ang mga kaso kung saan nangyayari ang karahasan sa tahanan sa isang relasyon sa pakikipag-date?</v>
      </c>
      <c r="E1022" s="2" t="str">
        <f>IFERROR(__xludf.DUMMYFUNCTION("GOOGLETRANSLATE(C1022, ""en"", ""TL"")"),"Kinikilala ng Pilipinas ang pakikipag-date bilang mga batayan para sa proteksyon sa ilalim ng batas tungkol sa karahasan sa tahanan. Narito ang isang breakdown kung paano nalalapat ang batas:
* **Mahalagang Batas:** Ang pangunahing legal na balangkas ay a"&amp;"ng **Republic Act No. 9262** o ang ""Anti-Violence Against Women and their Children Act of 2004"" (VAWC Act) [R.A. 9262].
* **Kahulugan ng ""Karahasan Laban sa Kababaihan"":** Ang VAWC Act ay malawak na tumutukoy sa karahasan laban sa kababaihan upang isa"&amp;"ma ang mga gawaing ginawa ng isang ""matalik na kapareha"" na maaaring sumaklaw sa mga kasosyo sa pakikipag-date [R.A. 9262, Sec. 3(a)]. Kabilang dito ang:
* Pisikal na karahasan
* Sekswal na karahasan
* Sikolohikal na karahasan
* Pang-aabuso sa ekonomiya"&amp;"
* Mga banta ng mga ganitong gawain
* **Pasiya ng Korte Suprema:** Nilinaw pa ng Korte Suprema ang aplikasyon ng VAWC Act sa same-sex dating relationships sa pamamagitan ng pagbibigay-kahulugan sa paggamit ng Batas ng gender-neutral na terminong ""tao"" u"&amp;"pang masakop ang mga kasosyong lesbian [Supreme Court of the Philippines: sc.judiciary.gov.ph]. Ang prinsipyong ito ay malamang na umaabot din sa heterosexual dating relasyon. Samakatuwid, kung nakakaranas ka ng karahasan sa tahanan sa isang relasyon sa p"&amp;"akikipag-date, may karapatan kang humingi ng legal na proteksyon sa ilalim ng VAWC Act.
**Narito ang maaari mong gawin:**
* **Iulat ang Pang-aabuso:** Maghain ng ulat sa pulisya. Lumilikha ito ng talaan ng insidente at maaaring magsimula ng mga legal na p"&amp;"aglilitis laban sa iyong nang-aabuso.
* **Humingi ng Medikal na Atensyon:** Kung nagtamo ka ng mga pinsala, kumuha ng medikal na atensyon at idokumento ang mga ito. Ang mga rekord ng medikal ay maaaring maging mahalagang ebidensya.
* **Mag-apply para sa M"&amp;"ga Kautusan para sa Proteksyon:** Maaari kang mag-aplay para sa isang Barangay Protection Order (BPO) o isang utos ng proteksyon na ibinigay ng korte. Ang mga utos na ito ay maaaring mag-utos sa nang-aabuso na lumayo sa iyo at maaari ring paghigpitan ang "&amp;"kanilang kakayahang makipag-ugnayan sa iyo.
**Mga Karagdagang Punto na Dapat Isaalang-alang:**
* **Ebidensya:** Katulad ng ibang mga kaso ng karahasan sa tahanan, ang matibay na ebidensya ay nagpapatibay sa iyong kaso. Maaaring kabilang dito ang:
* Mga pa"&amp;"totoo ng saksi
* Mga text message o mga post sa social media na naglalaman ng mga banta o mapang-abusong pananalita
* Mga ulat ng pulisya
* Mga rekord ng medikal (kung naaangkop)
* **Legal na Tulong:** Maaaring payuhan ka ng isang abogadong nakaranas sa m"&amp;"ga kaso ng karahasan sa tahanan tungkol sa iyong mga karapatan at opsyon at gagabay sa iyo sa legal na proseso. Maaaring makakuha ng libreng legal na tulong mula sa Public Attorney's Office (PAO) o sa Integrated Bar of the Philippines (IBP) Legal Aid Prog"&amp;"ram.
* **Support Services:** Maraming NGO ang nagtatrabaho upang suportahan ang mga biktima ng karahasan sa tahanan sa pakikipag-date. Maaari silang magbigay ng pagpapayo, tirahan (kung kinakailangan), at legal na tulong.
**Mahalagang Tandaan:**
* Hindi i"&amp;"to kapalit ng legal na payo. Kung mayroon kang partikular na sitwasyon, kumunsulta sa isang abogado upang maunawaan ang iyong mga karapatan at opsyon sa ilalim ng batas ng Pilipinas.
* Ang iyong kaligtasan ang pangunahing priyoridad. Huwag mag-atubiling h"&amp;"umingi ng tulong sa mga awtoridad o NGO kung sa tingin mo ay hindi ligtas.")</f>
        <v>Kinikilala ng Pilipinas ang pakikipag-date bilang mga batayan para sa proteksyon sa ilalim ng batas tungkol sa karahasan sa tahanan. Narito ang isang breakdown kung paano nalalapat ang batas:
* **Mahalagang Batas:** Ang pangunahing legal na balangkas ay ang **Republic Act No. 9262** o ang "Anti-Violence Against Women and their Children Act of 2004" (VAWC Act) [R.A. 9262].
* **Kahulugan ng "Karahasan Laban sa Kababaihan":** Ang VAWC Act ay malawak na tumutukoy sa karahasan laban sa kababaihan upang isama ang mga gawaing ginawa ng isang "matalik na kapareha" na maaaring sumaklaw sa mga kasosyo sa pakikipag-date [R.A. 9262, Sec. 3(a)]. Kabilang dito ang:
* Pisikal na karahasan
* Sekswal na karahasan
* Sikolohikal na karahasan
* Pang-aabuso sa ekonomiya
* Mga banta ng mga ganitong gawain
* **Pasiya ng Korte Suprema:** Nilinaw pa ng Korte Suprema ang aplikasyon ng VAWC Act sa same-sex dating relationships sa pamamagitan ng pagbibigay-kahulugan sa paggamit ng Batas ng gender-neutral na terminong "tao" upang masakop ang mga kasosyong lesbian [Supreme Court of the Philippines: sc.judiciary.gov.ph]. Ang prinsipyong ito ay malamang na umaabot din sa heterosexual dating relasyon. Samakatuwid, kung nakakaranas ka ng karahasan sa tahanan sa isang relasyon sa pakikipag-date, may karapatan kang humingi ng legal na proteksyon sa ilalim ng VAWC Act.
**Narito ang maaari mong gawin:**
* **Iulat ang Pang-aabuso:** Maghain ng ulat sa pulisya. Lumilikha ito ng talaan ng insidente at maaaring magsimula ng mga legal na paglilitis laban sa iyong nang-aabuso.
* **Humingi ng Medikal na Atensyon:** Kung nagtamo ka ng mga pinsala, kumuha ng medikal na atensyon at idokumento ang mga ito. Ang mga rekord ng medikal ay maaaring maging mahalagang ebidensya.
* **Mag-apply para sa Mga Kautusan para sa Proteksyon:** Maaari kang mag-aplay para sa isang Barangay Protection Order (BPO) o isang utos ng proteksyon na ibinigay ng korte. Ang mga utos na ito ay maaaring mag-utos sa nang-aabuso na lumayo sa iyo at maaari ring paghigpitan ang kanilang kakayahang makipag-ugnayan sa iyo.
**Mga Karagdagang Punto na Dapat Isaalang-alang:**
* **Ebidensya:** Katulad ng ibang mga kaso ng karahasan sa tahanan, ang matibay na ebidensya ay nagpapatibay sa iyong kaso. Maaaring kabilang dito ang:
* Mga patotoo ng saksi
* Mga text message o mga post sa social media na naglalaman ng mga banta o mapang-abusong pananalita
* Mga ulat ng pulisya
* Mga rekord ng medikal (kung naaangkop)
* **Legal na Tulong:** Maaaring payuhan ka ng isang abogadong nakaranas sa mga kaso ng karahasan sa tahanan tungkol sa iyong mga karapatan at opsyon at gagabay sa iyo sa legal na proseso. Maaaring makakuha ng libreng legal na tulong mula sa Public Attorney's Office (PAO) o sa Integrated Bar of the Philippines (IBP) Legal Aid Program.
* **Support Services:** Maraming NGO ang nagtatrabaho upang suportahan ang mga biktima ng karahasan sa tahanan sa pakikipag-date. Maaari silang magbigay ng pagpapayo, tirahan (kung kinakailangan), at legal na tulong.
**Mahalagang Tandaan:**
* Hindi ito kapalit ng legal na payo. Kung mayroon kang partikular na sitwasyon, kumunsulta sa isang abogado upang maunawaan ang iyong mga karapatan at opsyon sa ilalim ng batas ng Pilipinas.
* Ang iyong kaligtasan ang pangunahing priyoridad. Huwag mag-atubiling humingi ng tulong sa mga awtoridad o NGO kung sa tingin mo ay hindi ligtas.</v>
      </c>
      <c r="F1022" s="2">
        <f t="shared" si="1"/>
        <v>0</v>
      </c>
      <c r="G1022" s="2"/>
      <c r="H1022" s="2"/>
      <c r="I1022" s="2"/>
      <c r="J1022" s="2"/>
      <c r="K1022" s="2"/>
      <c r="L1022" s="2"/>
      <c r="M1022" s="2"/>
      <c r="N1022" s="2"/>
      <c r="O1022" s="2"/>
      <c r="P1022" s="2"/>
      <c r="Q1022" s="2"/>
      <c r="R1022" s="2"/>
      <c r="S1022" s="2"/>
      <c r="T1022" s="2"/>
      <c r="U1022" s="2"/>
      <c r="V1022" s="2"/>
      <c r="W1022" s="2"/>
      <c r="X1022" s="2"/>
      <c r="Y1022" s="2"/>
      <c r="Z1022" s="2"/>
      <c r="AA1022" s="2"/>
    </row>
    <row r="1023">
      <c r="A1023" s="3" t="s">
        <v>2763</v>
      </c>
      <c r="B1023" s="1" t="s">
        <v>3210</v>
      </c>
      <c r="C1023" s="1" t="s">
        <v>3211</v>
      </c>
      <c r="D1023" s="2" t="str">
        <f>IFERROR(__xludf.DUMMYFUNCTION("GOOGLETRANSLATE(B1023, ""en"", ""TL"")"),"Maaari ba akong makakuha ng isang utos ng proteksyon kahit na hindi ako kasal sa aking nang-aabuso?")</f>
        <v>Maaari ba akong makakuha ng isang utos ng proteksyon kahit na hindi ako kasal sa aking nang-aabuso?</v>
      </c>
      <c r="E1023" s="2" t="str">
        <f>IFERROR(__xludf.DUMMYFUNCTION("GOOGLETRANSLATE(C1023, ""en"", ""TL"")"),"Oo, sa Pilipinas, maaari kang makakuha ng utos ng proteksyon kahit na hindi ka kasal sa iyong nang-aabuso. Pinoprotektahan ng batas ang mga biktima ng karahasan sa tahanan sa iba't ibang relasyon, kabilang ang pakikipag-date.
Narito ang isang breakdown ng"&amp;" may-katuturang batas at kung paano ito nalalapat sa pagkuha ng utos ng proteksyon:
* **Anti-Violence Against Women and their Children Act (VAWC Act):** Ang Republic Act No. 9262 ay ang pangunahing batas na tumutugon sa karahasan sa tahanan. Ang Batas ay "&amp;"tumutukoy sa karahasan laban sa kababaihan nang malawakan upang isama ang mga gawaing ginawa ng isang ""matalik na kasosyo"" na maaaring sumaklaw sa mga kasosyo sa pakikipag-date [R.A. 9262, Sec. 3(a)].
* **Sino ang maaaring Mag-aplay para sa Mga Utos ng "&amp;"Proteksyon?** Sa ilalim ng VAWC Act, maraming partido ang maaaring mag-file para sa mga order ng proteksyon, kabilang ang:
* **Ang nasaktang partido (biktima):** Nalalapat ito sa iyo kung nakakaranas ka ng karahasan sa tahanan.
* **Ang mga taong may kaugn"&amp;"ayan sa biktima:** Ang mga magulang, tagapag-alaga, o yaong may dugo o relasyon sa pag-aasawa sa biktima ay maaari ding maghain para sa kanila.
**Mga Uri ng Mga Kautusang Proteksyon:**
* **Barangay Protection Order (BPO):** Ang mga kautusang ito ay inilab"&amp;"as ng kapitan ng barangay (punong nayon) at nag-aalok ng pansamantalang proteksyon mula sa nang-aabuso. * **Mga Kautusan sa Proteksyon mula sa Korte:** Ang mga korte ay maaaring maglabas ng iba't ibang mga utos ng proteksyon depende sa sitwasyon. Ang mga "&amp;"utos na ito ay maaaring mag-utos sa nang-aabuso na lumayo sa iyo at sa iyong tirahan at maaari ring paghigpitan ang kanilang kakayahang makipag-ugnayan sa iyo o magkaroon ng mga baril.
**Mahahalagang Puntos na Dapat Tandaan:**
* **Mahalaga ang ebidensya:*"&amp;"* Ang pagbuo ng isang malakas na kaso upang makakuha ng utos ng proteksyon ay kadalasang umaasa sa ebidensya. Maaaring kabilang dito ang:
* Mga testimonya sa saksi * Mga text message o mga post sa social media na nagdodokumento ng mga pagbabanta o pang-aa"&amp;"buso
* Nag-uulat ang pulisya kung nagsampa ka ng ulat
* Mga rekord ng medikal (kung naaangkop)
* **Humingi ng Legal na Tulong:** Maaaring payuhan ka ng isang abogadong pamilyar sa mga kaso ng karahasan sa tahanan tungkol sa pinakamahusay na paraan ng pagk"&amp;"ilos at gagabay sa iyo sa proseso ng pagkuha ng utos ng proteksyon. Maaaring makakuha ng libreng legal na tulong mula sa Public Attorney's Office (PAO) o sa Integrated Bar of the Philippines (IBP) Legal Aid Program.
**Narito ang maaari mong gawin upang ma"&amp;"kapagsimula:**
* **Iulat ang Pang-aabuso:** Ang paghahain ng ulat sa pulisya ay lumilikha ng rekord ng insidente at maaaring makatulong na ebidensya. * **Magtipon ng Ebidensya:** Panatilihin ang anumang dokumentasyon ng pang-aabuso, gaya ng mga mensaheng "&amp;"nagbabantang o mga medikal na rekord.
* **Humingi ng Legal na Counsel o Makipag-ugnayan sa mga NGO:** Ang isang abogado o NGO na dalubhasa sa karahasan sa tahanan ay maaaring magbigay ng gabay at suporta sa buong proseso ng pagkuha ng utos ng proteksyon.
"&amp;"**Tandaan:**
Ang impormasyong ito ay hindi kapalit para sa propesyonal na legal na payo. Kung ikaw ay nakakaranas ng karahasan sa tahanan, kumunsulta sa isang abogado upang maunawaan ang iyong partikular na sitwasyon at mga opsyon para sa pagkuha ng isang"&amp;" utos na proteksiyon sa ilalim ng batas ng Pilipinas. Ang iyong kaligtasan ay mahalaga. Huwag mag-atubiling makipag-ugnayan para sa tulong.")</f>
        <v>Oo, sa Pilipinas, maaari kang makakuha ng utos ng proteksyon kahit na hindi ka kasal sa iyong nang-aabuso. Pinoprotektahan ng batas ang mga biktima ng karahasan sa tahanan sa iba't ibang relasyon, kabilang ang pakikipag-date.
Narito ang isang breakdown ng may-katuturang batas at kung paano ito nalalapat sa pagkuha ng utos ng proteksyon:
* **Anti-Violence Against Women and their Children Act (VAWC Act):** Ang Republic Act No. 9262 ay ang pangunahing batas na tumutugon sa karahasan sa tahanan. Ang Batas ay tumutukoy sa karahasan laban sa kababaihan nang malawakan upang isama ang mga gawaing ginawa ng isang "matalik na kasosyo" na maaaring sumaklaw sa mga kasosyo sa pakikipag-date [R.A. 9262, Sec. 3(a)].
* **Sino ang maaaring Mag-aplay para sa Mga Utos ng Proteksyon?** Sa ilalim ng VAWC Act, maraming partido ang maaaring mag-file para sa mga order ng proteksyon, kabilang ang:
* **Ang nasaktang partido (biktima):** Nalalapat ito sa iyo kung nakakaranas ka ng karahasan sa tahanan.
* **Ang mga taong may kaugnayan sa biktima:** Ang mga magulang, tagapag-alaga, o yaong may dugo o relasyon sa pag-aasawa sa biktima ay maaari ding maghain para sa kanila.
**Mga Uri ng Mga Kautusang Proteksyon:**
* **Barangay Protection Order (BPO):** Ang mga kautusang ito ay inilabas ng kapitan ng barangay (punong nayon) at nag-aalok ng pansamantalang proteksyon mula sa nang-aabuso. * **Mga Kautusan sa Proteksyon mula sa Korte:** Ang mga korte ay maaaring maglabas ng iba't ibang mga utos ng proteksyon depende sa sitwasyon. Ang mga utos na ito ay maaaring mag-utos sa nang-aabuso na lumayo sa iyo at sa iyong tirahan at maaari ring paghigpitan ang kanilang kakayahang makipag-ugnayan sa iyo o magkaroon ng mga baril.
**Mahahalagang Puntos na Dapat Tandaan:**
* **Mahalaga ang ebidensya:** Ang pagbuo ng isang malakas na kaso upang makakuha ng utos ng proteksyon ay kadalasang umaasa sa ebidensya. Maaaring kabilang dito ang:
* Mga testimonya sa saksi * Mga text message o mga post sa social media na nagdodokumento ng mga pagbabanta o pang-aabuso
* Nag-uulat ang pulisya kung nagsampa ka ng ulat
* Mga rekord ng medikal (kung naaangkop)
* **Humingi ng Legal na Tulong:** Maaaring payuhan ka ng isang abogadong pamilyar sa mga kaso ng karahasan sa tahanan tungkol sa pinakamahusay na paraan ng pagkilos at gagabay sa iyo sa proseso ng pagkuha ng utos ng proteksyon. Maaaring makakuha ng libreng legal na tulong mula sa Public Attorney's Office (PAO) o sa Integrated Bar of the Philippines (IBP) Legal Aid Program.
**Narito ang maaari mong gawin upang makapagsimula:**
* **Iulat ang Pang-aabuso:** Ang paghahain ng ulat sa pulisya ay lumilikha ng rekord ng insidente at maaaring makatulong na ebidensya. * **Magtipon ng Ebidensya:** Panatilihin ang anumang dokumentasyon ng pang-aabuso, gaya ng mga mensaheng nagbabantang o mga medikal na rekord.
* **Humingi ng Legal na Counsel o Makipag-ugnayan sa mga NGO:** Ang isang abogado o NGO na dalubhasa sa karahasan sa tahanan ay maaaring magbigay ng gabay at suporta sa buong proseso ng pagkuha ng utos ng proteksyon.
**Tandaan:**
Ang impormasyong ito ay hindi kapalit para sa propesyonal na legal na payo. Kung ikaw ay nakakaranas ng karahasan sa tahanan, kumunsulta sa isang abogado upang maunawaan ang iyong partikular na sitwasyon at mga opsyon para sa pagkuha ng isang utos na proteksiyon sa ilalim ng batas ng Pilipinas. Ang iyong kaligtasan ay mahalaga. Huwag mag-atubiling makipag-ugnayan para sa tulong.</v>
      </c>
      <c r="F1023" s="2">
        <f t="shared" si="1"/>
        <v>0</v>
      </c>
      <c r="G1023" s="2"/>
      <c r="H1023" s="2"/>
      <c r="I1023" s="2"/>
      <c r="J1023" s="2"/>
      <c r="K1023" s="2"/>
      <c r="L1023" s="2"/>
      <c r="M1023" s="2"/>
      <c r="N1023" s="2"/>
      <c r="O1023" s="2"/>
      <c r="P1023" s="2"/>
      <c r="Q1023" s="2"/>
      <c r="R1023" s="2"/>
      <c r="S1023" s="2"/>
      <c r="T1023" s="2"/>
      <c r="U1023" s="2"/>
      <c r="V1023" s="2"/>
      <c r="W1023" s="2"/>
      <c r="X1023" s="2"/>
      <c r="Y1023" s="2"/>
      <c r="Z1023" s="2"/>
      <c r="AA1023" s="2"/>
    </row>
    <row r="1024">
      <c r="A1024" s="3" t="s">
        <v>2763</v>
      </c>
      <c r="B1024" s="1" t="s">
        <v>3212</v>
      </c>
      <c r="C1024" s="1" t="s">
        <v>3213</v>
      </c>
      <c r="D1024" s="2" t="str">
        <f>IFERROR(__xludf.DUMMYFUNCTION("GOOGLETRANSLATE(B1024, ""en"", ""TL"")"),"Paano tinutugunan ng batas ang mga kaso kung saan ang nang-aabuso ay gumagamit ng mga armas o nagbabanta nang may nakamamatay na puwersa?")</f>
        <v>Paano tinutugunan ng batas ang mga kaso kung saan ang nang-aabuso ay gumagamit ng mga armas o nagbabanta nang may nakamamatay na puwersa?</v>
      </c>
      <c r="E1024" s="2" t="str">
        <f>IFERROR(__xludf.DUMMYFUNCTION("GOOGLETRANSLATE(C1024, ""en"", ""TL"")"),"Tinutugunan ng batas ng Pilipinas ang mga nang-aabuso na gumagamit ng mga sandata o nagbabantang nakamamatay na puwersa sa pamamagitan ng kumbinasyon ng Konstitusyon at Republic Acts:
**1. Karapatan sa Seguridad ng Tao (Konstitusyon):** Ang Artikulo III, "&amp;"Seksyon 1 ng Konstitusyon ng 1987 ay ginagarantiyahan ang karapatan sa seguridad ng tao. Nangangahulugan ito na ang mga aksyon ng nang-aabuso ay makikita bilang isang paglabag sa iyong pangunahing karapatang maging ligtas.
**2. Republic Act No. 9262 (Anti"&amp;"-Violence Against Women and their Children Act):** Ang batas na ito ay partikular na idinisenyo upang protektahan ang kababaihan at kanilang mga anak mula sa karahasan. Narito kung paano ito nalalapat:
* **Mga Kautusan sa Proteksyon:** Ang Seksyon 8 ay na"&amp;"gpapahintulot sa iyo na magpetisyon para sa isang Temporary Protection Order (TPO) o isang Permanent Protection Order (PPO). Maaaring pagbawalan ng mga utos na ito ang nang-aabuso na makipag-ugnayan sa iyo, pumasok sa iyong tahanan, at magkaroon ng anuman"&amp;"g nakamamatay na armas [Republic Act No. 9262].
* **Pagkumpiska ng mga Nakamamatay na Armas:** Maaaring kumpiskahin ng mga opisyal ng barangay o ng korte ang anumang nakamamatay na armas sa pag-aari ng nang-aabuso kapag naglabas ng utos ng proteksyon [Rep"&amp;"ublic Act No. 9262].
**3. Mga Partikular na Krimen:** Depende sa partikular na sitwasyon, ang mga aksyon ng nang-aabuso ay maaari ding ituring na magkakahiwalay na krimen:
* **Mga Banta at Pamimilit (Binagong Kodigo Penal):** Ang Artikulo 282 ng Binagong "&amp;"Kodigo Penal ay nagpaparusa sa mga banta na magdulot ng kamatayan o malubhang pisikal na pananakit [Revised Penal Code].
* **Illegal Possession of Firearms (Republic Act No. 8294):** Kung ang nang-aabuso ay nagtataglay ng baril na walang lisensya, maaari "&amp;"silang kasuhan sa ilalim ng Republic Act No. 8294.
**4. Self-Defense (Revised Penal Code):** Kinikilala din ng Revised Penal Code ang karapatan sa pagtatanggol sa sarili sa ilalim ng Article 11 [Revised Penal Code]. Maaaring malapat ito kung mapipilitan k"&amp;"ang gumamit ng makatwirang puwersa upang protektahan ang iyong sarili mula sa agarang banta ng nang-aabuso gamit ang isang nakamamatay na sandata.
**Tandaan:** Ito ay isang pangkalahatang pangkalahatang-ideya lamang. Ang mga partikular na singil at legal "&amp;"na opsyon ay magdedepende sa mga detalye ng iyong sitwasyon. Laging pinakamahusay na kumunsulta sa isang abogado na maaaring magpayo sa iyo batay sa mga partikular na katotohanan ng iyong kaso.")</f>
        <v>Tinutugunan ng batas ng Pilipinas ang mga nang-aabuso na gumagamit ng mga sandata o nagbabantang nakamamatay na puwersa sa pamamagitan ng kumbinasyon ng Konstitusyon at Republic Acts:
**1. Karapatan sa Seguridad ng Tao (Konstitusyon):** Ang Artikulo III, Seksyon 1 ng Konstitusyon ng 1987 ay ginagarantiyahan ang karapatan sa seguridad ng tao. Nangangahulugan ito na ang mga aksyon ng nang-aabuso ay makikita bilang isang paglabag sa iyong pangunahing karapatang maging ligtas.
**2. Republic Act No. 9262 (Anti-Violence Against Women and their Children Act):** Ang batas na ito ay partikular na idinisenyo upang protektahan ang kababaihan at kanilang mga anak mula sa karahasan. Narito kung paano ito nalalapat:
* **Mga Kautusan sa Proteksyon:** Ang Seksyon 8 ay nagpapahintulot sa iyo na magpetisyon para sa isang Temporary Protection Order (TPO) o isang Permanent Protection Order (PPO). Maaaring pagbawalan ng mga utos na ito ang nang-aabuso na makipag-ugnayan sa iyo, pumasok sa iyong tahanan, at magkaroon ng anumang nakamamatay na armas [Republic Act No. 9262].
* **Pagkumpiska ng mga Nakamamatay na Armas:** Maaaring kumpiskahin ng mga opisyal ng barangay o ng korte ang anumang nakamamatay na armas sa pag-aari ng nang-aabuso kapag naglabas ng utos ng proteksyon [Republic Act No. 9262].
**3. Mga Partikular na Krimen:** Depende sa partikular na sitwasyon, ang mga aksyon ng nang-aabuso ay maaari ding ituring na magkakahiwalay na krimen:
* **Mga Banta at Pamimilit (Binagong Kodigo Penal):** Ang Artikulo 282 ng Binagong Kodigo Penal ay nagpaparusa sa mga banta na magdulot ng kamatayan o malubhang pisikal na pananakit [Revised Penal Code].
* **Illegal Possession of Firearms (Republic Act No. 8294):** Kung ang nang-aabuso ay nagtataglay ng baril na walang lisensya, maaari silang kasuhan sa ilalim ng Republic Act No. 8294.
**4. Self-Defense (Revised Penal Code):** Kinikilala din ng Revised Penal Code ang karapatan sa pagtatanggol sa sarili sa ilalim ng Article 11 [Revised Penal Code]. Maaaring malapat ito kung mapipilitan kang gumamit ng makatwirang puwersa upang protektahan ang iyong sarili mula sa agarang banta ng nang-aabuso gamit ang isang nakamamatay na sandata.
**Tandaan:** Ito ay isang pangkalahatang pangkalahatang-ideya lamang. Ang mga partikular na singil at legal na opsyon ay magdedepende sa mga detalye ng iyong sitwasyon. Laging pinakamahusay na kumunsulta sa isang abogado na maaaring magpayo sa iyo batay sa mga partikular na katotohanan ng iyong kaso.</v>
      </c>
      <c r="F1024" s="2">
        <f t="shared" si="1"/>
        <v>0</v>
      </c>
      <c r="G1024" s="2"/>
      <c r="H1024" s="2"/>
      <c r="I1024" s="2"/>
      <c r="J1024" s="2"/>
      <c r="K1024" s="2"/>
      <c r="L1024" s="2"/>
      <c r="M1024" s="2"/>
      <c r="N1024" s="2"/>
      <c r="O1024" s="2"/>
      <c r="P1024" s="2"/>
      <c r="Q1024" s="2"/>
      <c r="R1024" s="2"/>
      <c r="S1024" s="2"/>
      <c r="T1024" s="2"/>
      <c r="U1024" s="2"/>
      <c r="V1024" s="2"/>
      <c r="W1024" s="2"/>
      <c r="X1024" s="2"/>
      <c r="Y1024" s="2"/>
      <c r="Z1024" s="2"/>
      <c r="AA1024" s="2"/>
    </row>
    <row r="1025">
      <c r="A1025" s="3" t="s">
        <v>2763</v>
      </c>
      <c r="B1025" s="1" t="s">
        <v>3214</v>
      </c>
      <c r="C1025" s="1" t="s">
        <v>3215</v>
      </c>
      <c r="D1025" s="2" t="str">
        <f>IFERROR(__xludf.DUMMYFUNCTION("GOOGLETRANSLATE(B1025, ""en"", ""TL"")"),"Maaari ba akong magsampa ng kaso laban sa aking nang-aabuso kung ako ay isang menor de edad o walang kakayahan na nasa hustong gulang?")</f>
        <v>Maaari ba akong magsampa ng kaso laban sa aking nang-aabuso kung ako ay isang menor de edad o walang kakayahan na nasa hustong gulang?</v>
      </c>
      <c r="E1025" s="2" t="str">
        <f>IFERROR(__xludf.DUMMYFUNCTION("GOOGLETRANSLATE(C1025, ""en"", ""TL"")"),"Oo, maaari kang magsampa ng kaso laban sa iyong nang-aabuso kahit na ikaw ay isang menor de edad o walang kakayahan na nasa hustong gulang sa Pilipinas. Narito kung paano nalalapat ang batas:
**Mga menor de edad:**
* **Representasyon:** Ang mga menor de e"&amp;"dad ay hindi maaaring magsampa ng mga singil sa kanilang sarili. Gayunpaman, ang isang magulang, legal na tagapag-alaga, o isang itinalagang kinatawan ay maaaring magsampa ng reklamo sa ngalan mo [Republic Act No. 9262].
* **Mga Serbisyong Panlipunan:** A"&amp;"ng mga ahensya ng serbisyong panlipunan ng pamahalaan ay maaari ding makialam at simulan ang pagsasampa ng mga kaso upang protektahan ang isang menor de edad [Republic Act No. 9262].
**Mga Matanda na Walang Kakayanan:**
* **Tungkulin ng Tagapag-alaga:** K"&amp;"atulad ng mga menor de edad, ang isang legal na tagapag-alaga ay maaaring magsampa ng reklamo sa ngalan ng isang walang kakayahan na nasa hustong gulang [Republic Act No. 9262]. * **Paghirang sa Korte:** Kung walang legal na tagapag-alaga, ang hukuman ay "&amp;"maaaring magtalaga ng isang kinatawan upang kumilos sa ngalan ng walang kakayahan na nasa hustong gulang [Rule 64, Seksyon 2 ng Mga Panuntunan ng Hukuman].
**Republic Act No. 9262 (Anti-Violence Against Women and their Children Act):** Ang batas na ito ay"&amp;" partikular na nagpoprotekta sa kababaihan at kanilang mga anak, kabilang ang mga menor de edad, mula sa karahasan. Pinapayagan nito ang pagsasampa ng mga utos ng proteksyon at mga kasong kriminal laban sa nang-aabuso.
**Iba Pang mga Batas:** Depende sa u"&amp;"ri ng pang-aabuso, ang ibang mga batas ay maaari ding gamitin para magsampa ng mga kaso. Maaaring kabilang dito ang Binagong Kodigo Penal para sa mga krimen tulad ng pisikal na pag-atake o pagbabanta.
**Rekomendasyon:**
Bagama't hindi ka makakapagsingil s"&amp;"a iyong sarili, mahalagang humingi ng tulong. Narito ang ilang mapagkukunan:
* Iulat ang pang-aabuso sa isang pinagkakatiwalaang nasa hustong gulang, miyembro ng pamilya, guro, o social worker.
* Makipag-ugnayan sa Department of Social Welfare and Develop"&amp;"ment (DSWD) para sa tulong: DSWD National Hotline (NCR) - 1386 o DSWD Regional Offices [https://www.dswd.gov.ph/](https://www.dswd. gov.ph/)
* Tumawag sa Philippine National Police (PNP) Women and Children Protection Center (WCPC) hotline: 1853
Tandaan, h"&amp;"indi ka nag-iisa. May mga taong makakatulong sa iyo na makuha ang proteksyon na nararapat sa iyo.")</f>
        <v>Oo, maaari kang magsampa ng kaso laban sa iyong nang-aabuso kahit na ikaw ay isang menor de edad o walang kakayahan na nasa hustong gulang sa Pilipinas. Narito kung paano nalalapat ang batas:
**Mga menor de edad:**
* **Representasyon:** Ang mga menor de edad ay hindi maaaring magsampa ng mga singil sa kanilang sarili. Gayunpaman, ang isang magulang, legal na tagapag-alaga, o isang itinalagang kinatawan ay maaaring magsampa ng reklamo sa ngalan mo [Republic Act No. 9262].
* **Mga Serbisyong Panlipunan:** Ang mga ahensya ng serbisyong panlipunan ng pamahalaan ay maaari ding makialam at simulan ang pagsasampa ng mga kaso upang protektahan ang isang menor de edad [Republic Act No. 9262].
**Mga Matanda na Walang Kakayanan:**
* **Tungkulin ng Tagapag-alaga:** Katulad ng mga menor de edad, ang isang legal na tagapag-alaga ay maaaring magsampa ng reklamo sa ngalan ng isang walang kakayahan na nasa hustong gulang [Republic Act No. 9262]. * **Paghirang sa Korte:** Kung walang legal na tagapag-alaga, ang hukuman ay maaaring magtalaga ng isang kinatawan upang kumilos sa ngalan ng walang kakayahan na nasa hustong gulang [Rule 64, Seksyon 2 ng Mga Panuntunan ng Hukuman].
**Republic Act No. 9262 (Anti-Violence Against Women and their Children Act):** Ang batas na ito ay partikular na nagpoprotekta sa kababaihan at kanilang mga anak, kabilang ang mga menor de edad, mula sa karahasan. Pinapayagan nito ang pagsasampa ng mga utos ng proteksyon at mga kasong kriminal laban sa nang-aabuso.
**Iba Pang mga Batas:** Depende sa uri ng pang-aabuso, ang ibang mga batas ay maaari ding gamitin para magsampa ng mga kaso. Maaaring kabilang dito ang Binagong Kodigo Penal para sa mga krimen tulad ng pisikal na pag-atake o pagbabanta.
**Rekomendasyon:**
Bagama't hindi ka makakapagsingil sa iyong sarili, mahalagang humingi ng tulong. Narito ang ilang mapagkukunan:
* Iulat ang pang-aabuso sa isang pinagkakatiwalaang nasa hustong gulang, miyembro ng pamilya, guro, o social worker.
* Makipag-ugnayan sa Department of Social Welfare and Development (DSWD) para sa tulong: DSWD National Hotline (NCR) - 1386 o DSWD Regional Offices [https://www.dswd.gov.ph/](https://www.dswd. gov.ph/)
* Tumawag sa Philippine National Police (PNP) Women and Children Protection Center (WCPC) hotline: 1853
Tandaan, hindi ka nag-iisa. May mga taong makakatulong sa iyo na makuha ang proteksyon na nararapat sa iyo.</v>
      </c>
      <c r="F1025" s="2">
        <f t="shared" si="1"/>
        <v>0</v>
      </c>
      <c r="G1025" s="2"/>
      <c r="H1025" s="2"/>
      <c r="I1025" s="2"/>
      <c r="J1025" s="2"/>
      <c r="K1025" s="2"/>
      <c r="L1025" s="2"/>
      <c r="M1025" s="2"/>
      <c r="N1025" s="2"/>
      <c r="O1025" s="2"/>
      <c r="P1025" s="2"/>
      <c r="Q1025" s="2"/>
      <c r="R1025" s="2"/>
      <c r="S1025" s="2"/>
      <c r="T1025" s="2"/>
      <c r="U1025" s="2"/>
      <c r="V1025" s="2"/>
      <c r="W1025" s="2"/>
      <c r="X1025" s="2"/>
      <c r="Y1025" s="2"/>
      <c r="Z1025" s="2"/>
      <c r="AA1025" s="2"/>
    </row>
    <row r="1026">
      <c r="A1026" s="3" t="s">
        <v>2763</v>
      </c>
      <c r="B1026" s="1" t="s">
        <v>3216</v>
      </c>
      <c r="C1026" s="1" t="s">
        <v>3217</v>
      </c>
      <c r="D1026" s="2" t="str">
        <f>IFERROR(__xludf.DUMMYFUNCTION("GOOGLETRANSLATE(B1026, ""en"", ""TL"")"),"Paano tinutugunan ng batas ang mga kaso kung saan itinatanggi ng nang-aabuso ang mga paratang ng karahasan sa tahanan?")</f>
        <v>Paano tinutugunan ng batas ang mga kaso kung saan itinatanggi ng nang-aabuso ang mga paratang ng karahasan sa tahanan?</v>
      </c>
      <c r="E1026" s="2" t="str">
        <f>IFERROR(__xludf.DUMMYFUNCTION("GOOGLETRANSLATE(C1026, ""en"", ""TL"")"),"Tinutugunan ng batas ng Pilipinas ang mga kaso ng karahasan sa tahanan kung saan itinatanggi ng nang-aabuso ang mga paratang sa pamamagitan ng paglalagay ng bigat ng patunay sa nagrereklamo ngunit isinasaalang-alang din ang iba pang anyo ng ebidensya:
* *"&amp;"*Ang Pasan ng Patunay ng Nagrereklamo:** Katulad ng karamihan sa mga kasong kriminal, ang Pilipinas ay sumusunod sa prinsipyo na ang pasanin ng patunay ay nasa nagrereklamo [Mga Panuntunan ng Hukuman, Rule 131, Seksyon 3]. Nangangahulugan ito na ikaw, bil"&amp;"ang biktima, ay may responsibilidad na magpakita ng ebidensya na nangyari ang pang-aabuso.
* **Standard of Proof:** Gayunpaman, ang mga kaso ng karahasan sa tahanan ay karaniwang napagpasyahan batay sa pamantayang ""preponderance of evidence"" [People vs."&amp;" Hernandez, G.R. No. 192440]. Nangangahulugan ito na dapat kumbinsido ang hukuman na mas malamang kaysa hindi na nangyari ang pang-aabuso. Ito ay isang mas mababang pamantayan kumpara sa ""patunay na lampas sa makatwirang pagdududa"" na kinakailangan sa k"&amp;"aramihan ng mga kasong kriminal.
* **Isinasaalang-alang ang Iba Pang Ebidensya:** Kahit na walang pisikal na ebidensya o saksi, maaaring isaalang-alang ng hukuman ang iba pang mga salik upang suportahan ang iyong mga paghahabol. Maaaring kabilang dito ang"&amp;":
* **Mga Rekord na Medikal:** Ang dokumentasyon ng mga pinsalang natamo sa panahon ng pang-aabuso ay maaaring maging matibay na ebidensya. * **Mga Ulat ng Pulis:** Kung iniulat mo ang pang-aabuso sa pulisya, ang ulat ng pulisya ay maaaring iharap sa kort"&amp;"e.
* **Testimonya ng Saksi:** Kahit na hindi nila nasaksihan ang aktwal na pang-aabuso, maaaring makatulong ang mga kaibigan, miyembro ng pamilya, o kapitbahay na maaaring tumestigo tungkol sa pag-uugali ng nang-aabuso sa iyo.
* **Pattern of Behavior:** M"&amp;"aaaring isaalang-alang ng hukuman ang isang kasaysayan ng pagkontrol sa pag-uugali, pagbabanta, o pandiwang pang-aabuso bilang ebidensya ng isang pattern ng karahasan sa tahanan.
* **Mga Kautusan sa Proteksyon:** **Ang Republic Act No. 9262 (Anti-Violence"&amp;" Against Women and their Children Act)** ay nagpapahintulot sa iyo na magpetisyon para sa isang protection order kahit na ang kaso ay hindi pa napagpasyahan. Makakatulong ito na panatilihin kang ligtas habang nagpapatuloy ang mga legal na paglilitis. **Na"&amp;"rito ang ilang karagdagang puntong dapat isaalang-alang:**
* **Legal na Representasyon:** Ang isang abogado na pamilyar sa mga kaso ng karahasan sa tahanan ay maaaring maging napakahalaga sa pangangalap ng ebidensya, epektibong paglalahad ng iyong kaso, a"&amp;"t pag-navigate sa legal na proseso.
* **Support Services:** Ang mga ahensya ng gobyerno at NGO ay madalas na nag-aalok ng mga serbisyo ng suporta sa mga biktima ng karahasan sa tahanan, kabilang ang pagpapayo at legal na tulong. **Tandaan:** Ang pagtanggi"&amp;" sa mga paratang ay isang karaniwang taktika na ginagamit ng mga nang-aabuso. Kinikilala ito ng sistemang legal ng Pilipinas at nagpapahintulot sa iba't ibang anyo ng ebidensya na isaalang-alang. Kung nakaranas ka ng karahasan sa tahanan, may mga mapagkuk"&amp;"unang magagamit upang matulungan kang humingi ng hustisya at proteksyon.")</f>
        <v>Tinutugunan ng batas ng Pilipinas ang mga kaso ng karahasan sa tahanan kung saan itinatanggi ng nang-aabuso ang mga paratang sa pamamagitan ng paglalagay ng bigat ng patunay sa nagrereklamo ngunit isinasaalang-alang din ang iba pang anyo ng ebidensya:
* **Ang Pasan ng Patunay ng Nagrereklamo:** Katulad ng karamihan sa mga kasong kriminal, ang Pilipinas ay sumusunod sa prinsipyo na ang pasanin ng patunay ay nasa nagrereklamo [Mga Panuntunan ng Hukuman, Rule 131, Seksyon 3]. Nangangahulugan ito na ikaw, bilang biktima, ay may responsibilidad na magpakita ng ebidensya na nangyari ang pang-aabuso.
* **Standard of Proof:** Gayunpaman, ang mga kaso ng karahasan sa tahanan ay karaniwang napagpasyahan batay sa pamantayang "preponderance of evidence" [People vs. Hernandez, G.R. No. 192440]. Nangangahulugan ito na dapat kumbinsido ang hukuman na mas malamang kaysa hindi na nangyari ang pang-aabuso. Ito ay isang mas mababang pamantayan kumpara sa "patunay na lampas sa makatwirang pagdududa" na kinakailangan sa karamihan ng mga kasong kriminal.
* **Isinasaalang-alang ang Iba Pang Ebidensya:** Kahit na walang pisikal na ebidensya o saksi, maaaring isaalang-alang ng hukuman ang iba pang mga salik upang suportahan ang iyong mga paghahabol. Maaaring kabilang dito ang:
* **Mga Rekord na Medikal:** Ang dokumentasyon ng mga pinsalang natamo sa panahon ng pang-aabuso ay maaaring maging matibay na ebidensya. * **Mga Ulat ng Pulis:** Kung iniulat mo ang pang-aabuso sa pulisya, ang ulat ng pulisya ay maaaring iharap sa korte.
* **Testimonya ng Saksi:** Kahit na hindi nila nasaksihan ang aktwal na pang-aabuso, maaaring makatulong ang mga kaibigan, miyembro ng pamilya, o kapitbahay na maaaring tumestigo tungkol sa pag-uugali ng nang-aabuso sa iyo.
* **Pattern of Behavior:** Maaaring isaalang-alang ng hukuman ang isang kasaysayan ng pagkontrol sa pag-uugali, pagbabanta, o pandiwang pang-aabuso bilang ebidensya ng isang pattern ng karahasan sa tahanan.
* **Mga Kautusan sa Proteksyon:** **Ang Republic Act No. 9262 (Anti-Violence Against Women and their Children Act)** ay nagpapahintulot sa iyo na magpetisyon para sa isang protection order kahit na ang kaso ay hindi pa napagpasyahan. Makakatulong ito na panatilihin kang ligtas habang nagpapatuloy ang mga legal na paglilitis. **Narito ang ilang karagdagang puntong dapat isaalang-alang:**
* **Legal na Representasyon:** Ang isang abogado na pamilyar sa mga kaso ng karahasan sa tahanan ay maaaring maging napakahalaga sa pangangalap ng ebidensya, epektibong paglalahad ng iyong kaso, at pag-navigate sa legal na proseso.
* **Support Services:** Ang mga ahensya ng gobyerno at NGO ay madalas na nag-aalok ng mga serbisyo ng suporta sa mga biktima ng karahasan sa tahanan, kabilang ang pagpapayo at legal na tulong. **Tandaan:** Ang pagtanggi sa mga paratang ay isang karaniwang taktika na ginagamit ng mga nang-aabuso. Kinikilala ito ng sistemang legal ng Pilipinas at nagpapahintulot sa iba't ibang anyo ng ebidensya na isaalang-alang. Kung nakaranas ka ng karahasan sa tahanan, may mga mapagkukunang magagamit upang matulungan kang humingi ng hustisya at proteksyon.</v>
      </c>
      <c r="F1026" s="2">
        <f t="shared" si="1"/>
        <v>0</v>
      </c>
      <c r="G1026" s="2"/>
      <c r="H1026" s="2"/>
      <c r="I1026" s="2"/>
      <c r="J1026" s="2"/>
      <c r="K1026" s="2"/>
      <c r="L1026" s="2"/>
      <c r="M1026" s="2"/>
      <c r="N1026" s="2"/>
      <c r="O1026" s="2"/>
      <c r="P1026" s="2"/>
      <c r="Q1026" s="2"/>
      <c r="R1026" s="2"/>
      <c r="S1026" s="2"/>
      <c r="T1026" s="2"/>
      <c r="U1026" s="2"/>
      <c r="V1026" s="2"/>
      <c r="W1026" s="2"/>
      <c r="X1026" s="2"/>
      <c r="Y1026" s="2"/>
      <c r="Z1026" s="2"/>
      <c r="AA1026" s="2"/>
    </row>
    <row r="1027">
      <c r="A1027" s="3" t="s">
        <v>2763</v>
      </c>
      <c r="B1027" s="1" t="s">
        <v>3218</v>
      </c>
      <c r="C1027" s="1" t="s">
        <v>3219</v>
      </c>
      <c r="D1027" s="2" t="str">
        <f>IFERROR(__xludf.DUMMYFUNCTION("GOOGLETRANSLATE(B1027, ""en"", ""TL"")"),"Makakakuha pa ba ako ng legal na proteksyon kung nakipagkasundo ako sa aking nang-aabuso ngunit natatakot ako sa karagdagang karahasan?")</f>
        <v>Makakakuha pa ba ako ng legal na proteksyon kung nakipagkasundo ako sa aking nang-aabuso ngunit natatakot ako sa karagdagang karahasan?</v>
      </c>
      <c r="E1027" s="2" t="str">
        <f>IFERROR(__xludf.DUMMYFUNCTION("GOOGLETRANSLATE(C1027, ""en"", ""TL"")"),"Oo, ang batas ng Pilipinas ay maaari pa ring mag-alok sa iyo ng legal na proteksyon kahit na nakipagkasundo ka sa iyong nang-aabuso ngunit natatakot sa karagdagang karahasan. Ganito:
**Republic Act No. 9262 (Anti-Violence Against Women and their Children "&amp;"Act):**
Ang batas na ito ay susi sa pagprotekta sa mga biktima ng karahasan sa tahanan, at **hindi kinakailangang hadlangan ka ng pagkakasundo mula sa paghingi ng legal na proteksyon**. Narito kung bakit:
* **Tumuon sa Kaligtasan:** Ang batas ay inuuna an"&amp;"g kaligtasan ng biktima at kanilang mga anak. Kung mayroon kang tunay na takot sa karahasan sa hinaharap, maaari ka pa ring humingi ng proteksyon.
* **Mga Kautusan sa Proteksyon:** Kahit pagkatapos ng pagkakasundo, maaari kang magpetisyon para sa isang **"&amp;"Temporary Protection Order (TPO)** o isang **Permanent Protection Order (PPO)** sa ilalim ng RA 9262 [Republic Act No. 9262]. Ang mga order na ito ay maaaring:
* Ipagbawal ang nang-aabuso na makipag-ugnayan sa iyo o sa iyong mga anak.
* Paghigpitan sila s"&amp;"a pagpasok sa iyong tahanan o lugar ng trabaho.
* Utos sa kanila na isuko ang anumang mga baril o nakamamatay na armas.
**Katibayan ng Patuloy na Takot:**
Gayunpaman, upang kumbinsihin ang korte na magbigay ng utos ng proteksyon, kakailanganin mong magpak"&amp;"ita ng ebidensya na mayroon kang makatwirang takot sa karahasan sa hinaharap. Maaaring kasama sa ebidensyang ito ang:
* **Kasaysayan ng Karahasan:** Mga nakaraang insidente ng karahasan o pagbabanta na nakadokumento sa mga ulat ng pulisya o mga medikal na"&amp;" rekord.
* **Mga Banta o Pagpipilit:** Katibayan ng mga kamakailang pagbabanta o pagtatangka ng nang-aabuso na kontrolin ka. * **Testimonya ng Saksi:** Mga pahayag mula sa mga kaibigan o pamilya na maaaring patunayan ang iyong takot.
**Naghahanap ng Legal"&amp;" na Tagapayo:**
Ang pagkonsulta sa isang abogadong nakaranas sa mga kaso ng karahasan sa tahanan ay lubos na inirerekomenda. Maaari ka nilang gabayan sa proseso ng pangangalap ng ebidensya, paghahain para sa isang utos ng proteksyon, at pag-unawa sa iyong"&amp;" mga legal na opsyon. **Mahalagang Paalala:**
Ang pakikipagkasundo sa isang nang-aabuso ay maaaring isang kumplikado at posibleng mapanganib na sitwasyon. **Mahalagang tasahin ang iyong kaligtasan nang matapat.** Isaalang-alang ang mga salik na ito:
* **N"&amp;"agpakita ba ng pagsisisi at kahandaang magbago ang nang-aabuso?**
* **Humingi ba sila ng propesyonal na tulong upang matugunan ang kanilang marahas na pag-uugali?**
* **Nararamdaman mo bang talagang ligtas ka sa relasyon?**
Kung ang sagot sa alinman sa mg"&amp;"a ito ay hindi, ang pagbibigay-priyoridad sa iyong kaligtasan at paghanap ng legal na proteksyon ay maaaring ang pinakamahusay na paraan ng pagkilos.
**Tandaan:** May mga mapagkukunang magagamit upang matulungan ka. Pag-isipang makipag-ugnayan sa:
* **Dep"&amp;"artment of Social Welfare and Development (DSWD):** DSWD National Hotline (NCR) - 1386 o DSWD Regional Offices [https://www.dswd.gov.ph/](https://www.dswd. gov.ph/)
* **Philippine National Police (PNP) Women and Children Protection Center (WCPC) hotline:*"&amp;"* 1853
Hindi ka nag-iisa. Huwag mag-atubiling humingi ng tulong kung ikaw ay nasa panganib.")</f>
        <v>Oo, ang batas ng Pilipinas ay maaari pa ring mag-alok sa iyo ng legal na proteksyon kahit na nakipagkasundo ka sa iyong nang-aabuso ngunit natatakot sa karagdagang karahasan. Ganito:
**Republic Act No. 9262 (Anti-Violence Against Women and their Children Act):**
Ang batas na ito ay susi sa pagprotekta sa mga biktima ng karahasan sa tahanan, at **hindi kinakailangang hadlangan ka ng pagkakasundo mula sa paghingi ng legal na proteksyon**. Narito kung bakit:
* **Tumuon sa Kaligtasan:** Ang batas ay inuuna ang kaligtasan ng biktima at kanilang mga anak. Kung mayroon kang tunay na takot sa karahasan sa hinaharap, maaari ka pa ring humingi ng proteksyon.
* **Mga Kautusan sa Proteksyon:** Kahit pagkatapos ng pagkakasundo, maaari kang magpetisyon para sa isang **Temporary Protection Order (TPO)** o isang **Permanent Protection Order (PPO)** sa ilalim ng RA 9262 [Republic Act No. 9262]. Ang mga order na ito ay maaaring:
* Ipagbawal ang nang-aabuso na makipag-ugnayan sa iyo o sa iyong mga anak.
* Paghigpitan sila sa pagpasok sa iyong tahanan o lugar ng trabaho.
* Utos sa kanila na isuko ang anumang mga baril o nakamamatay na armas.
**Katibayan ng Patuloy na Takot:**
Gayunpaman, upang kumbinsihin ang korte na magbigay ng utos ng proteksyon, kakailanganin mong magpakita ng ebidensya na mayroon kang makatwirang takot sa karahasan sa hinaharap. Maaaring kasama sa ebidensyang ito ang:
* **Kasaysayan ng Karahasan:** Mga nakaraang insidente ng karahasan o pagbabanta na nakadokumento sa mga ulat ng pulisya o mga medikal na rekord.
* **Mga Banta o Pagpipilit:** Katibayan ng mga kamakailang pagbabanta o pagtatangka ng nang-aabuso na kontrolin ka. * **Testimonya ng Saksi:** Mga pahayag mula sa mga kaibigan o pamilya na maaaring patunayan ang iyong takot.
**Naghahanap ng Legal na Tagapayo:**
Ang pagkonsulta sa isang abogadong nakaranas sa mga kaso ng karahasan sa tahanan ay lubos na inirerekomenda. Maaari ka nilang gabayan sa proseso ng pangangalap ng ebidensya, paghahain para sa isang utos ng proteksyon, at pag-unawa sa iyong mga legal na opsyon. **Mahalagang Paalala:**
Ang pakikipagkasundo sa isang nang-aabuso ay maaaring isang kumplikado at posibleng mapanganib na sitwasyon. **Mahalagang tasahin ang iyong kaligtasan nang matapat.** Isaalang-alang ang mga salik na ito:
* **Nagpakita ba ng pagsisisi at kahandaang magbago ang nang-aabuso?**
* **Humingi ba sila ng propesyonal na tulong upang matugunan ang kanilang marahas na pag-uugali?**
* **Nararamdaman mo bang talagang ligtas ka sa relasyon?**
Kung ang sagot sa alinman sa mga ito ay hindi, ang pagbibigay-priyoridad sa iyong kaligtasan at paghanap ng legal na proteksyon ay maaaring ang pinakamahusay na paraan ng pagkilos.
**Tandaan:** May mga mapagkukunang magagamit upang matulungan ka. Pag-isipang makipag-ugnayan sa:
* **Department of Social Welfare and Development (DSWD):** DSWD National Hotline (NCR) - 1386 o DSWD Regional Offices [https://www.dswd.gov.ph/](https://www.dswd. gov.ph/)
* **Philippine National Police (PNP) Women and Children Protection Center (WCPC) hotline:** 1853
Hindi ka nag-iisa. Huwag mag-atubiling humingi ng tulong kung ikaw ay nasa panganib.</v>
      </c>
      <c r="F1027" s="2">
        <f t="shared" si="1"/>
        <v>0</v>
      </c>
      <c r="G1027" s="2"/>
      <c r="H1027" s="2"/>
      <c r="I1027" s="2"/>
      <c r="J1027" s="2"/>
      <c r="K1027" s="2"/>
      <c r="L1027" s="2"/>
      <c r="M1027" s="2"/>
      <c r="N1027" s="2"/>
      <c r="O1027" s="2"/>
      <c r="P1027" s="2"/>
      <c r="Q1027" s="2"/>
      <c r="R1027" s="2"/>
      <c r="S1027" s="2"/>
      <c r="T1027" s="2"/>
      <c r="U1027" s="2"/>
      <c r="V1027" s="2"/>
      <c r="W1027" s="2"/>
      <c r="X1027" s="2"/>
      <c r="Y1027" s="2"/>
      <c r="Z1027" s="2"/>
      <c r="AA1027" s="2"/>
    </row>
    <row r="1028">
      <c r="A1028" s="3" t="s">
        <v>2763</v>
      </c>
      <c r="B1028" s="1" t="s">
        <v>3220</v>
      </c>
      <c r="C1028" s="1" t="s">
        <v>3221</v>
      </c>
      <c r="D1028" s="2" t="str">
        <f>IFERROR(__xludf.DUMMYFUNCTION("GOOGLETRANSLATE(B1028, ""en"", ""TL"")"),"Paano tinutugunan ng batas ang mga kaso kung saan ang nang-aabuso ay nagtatangkang manipulahin o kontrolin sa pamamagitan ng pinansyal na paraan?")</f>
        <v>Paano tinutugunan ng batas ang mga kaso kung saan ang nang-aabuso ay nagtatangkang manipulahin o kontrolin sa pamamagitan ng pinansyal na paraan?</v>
      </c>
      <c r="E1028" s="2" t="str">
        <f>IFERROR(__xludf.DUMMYFUNCTION("GOOGLETRANSLATE(C1028, ""en"", ""TL"")"),"Kinikilala ng batas ng Pilipinas ang pang-ekonomiyang pang-aabuso bilang isang uri ng karahasan sa tahanan at nag-aalok ng legal na tulong para sa mga biktima na ang mga nang-aabuso ay sumusubok na manipulahin o kontrolin sila sa pananalapi. Ganito:
**Rep"&amp;"ublic Act No. 9262 (Anti-Violence Against Women and their Children Act):**
Ang batas na ito ay partikular na tumutukoy at tumutugon sa pang-aabuso sa ekonomiya:
* **Kahulugan:** Tinutukoy ng Seksyon 3(a) ng RA 9262 ang pang-aabusong pang-ekonomiya bilang "&amp;"mga kilos na gumagawa o nagtatangkang gawing umaasa sa pananalapi ang isang babae sa kanyang nang-aabuso. Kabilang dito, ngunit hindi limitado sa:
* Pinipigilan ang babae mula sa anumang lehitimong propesyon, negosyo, o aktibidad.
* Pagkontrol sa sariling"&amp;" pera o ari-arian ng babae.
* Tanging kinokontrol ang conjugal o karaniwang pera/mga ari-arian.
**Mga Legal na Pagpipilian:**
Kung ang iyong nang-aabuso ay gumagamit ng pinansiyal na paraan upang kontrolin ka, narito ang ilang legal na opsyon na magagamit"&amp;":
* **Mga Kautusan sa Proteksyon:** Ang RA 9262 ay nagpapahintulot sa iyo na magpetisyon para sa isang utos ng proteksyon na maaaring:
* Ipagbawal ang nang-aabuso na kontrolin ang iyong mga bank account o iba pang mapagkukunang pinansyal.
* Umutusan silan"&amp;"g magbigay ng suportang pinansyal, kung naaangkop (hal., suporta sa bata).
* **Mga Karapatan sa Ari-arian:** May karapatan ka sa iyong sariling hiwalay na ari-arian na nakuha bago o sa panahon ng kasal/relasyon. * **Mga Probisyon ng Family Code:** Ang Fam"&amp;"ily Code [Family Code of the Philippines] ay nagbibigay din ng legal na paraan para sa mga hindi pagkakaunawaan sa ari-arian sa pagitan ng mag-asawa o magkapareha.
**Pagtitipon ng Ebidensya:**
Ang pagbuo ng isang malakas na kaso ay nangangailangan ng kati"&amp;"bayan ng pagkontrol ng pag-uugali ng nang-aabuso. Narito kung ano ang maaaring makatulong:
* **Bank Statements:** Mga talaan na nagpapakita ng nang-aabuso na kinokontrol ang iyong mga account o nililimitahan ang iyong pag-access.
* **Mga Pinagsanib na Dok"&amp;"umentong Pananalapi:** Katibayan ng pagmamay-ari ng magkasanib na nakuhang mga asset.
* **Testimonya ng Saksi:** Mga pahayag mula sa mga indibidwal na maaaring patunayan ang pagkontrol ng pag-uugali ng nang-aabuso tungkol sa pananalapi.
**Naghahanap ng Le"&amp;"gal na Tagapayo:**
Ang isang abogado na dalubhasa sa batas ng pamilya o karahasan sa tahanan ay maaaring magbigay ng napakahalagang patnubay. Matutulungan ka nila:
* Mag-navigate sa legal na proseso ng paghahain para sa mga utos ng proteksyon o paghabol s"&amp;"a mga paghahabol na may kaugnayan sa mga karapatan sa ari-arian.
* Magtipon at magpakita ng ebidensya nang epektibo.
* Unawain ang iyong mga karapatan at legal na opsyon.
**Tandaan:** Ang pang-aabuso sa pananalapi ay maaaring maging isang mahusay na tool "&amp;"para sa kontrol. Kinikilala ito ng sistemang legal ng Pilipinas at nagbibigay ng mga paraan para sa mga biktima na humingi ng proteksyon at kalayaan sa pananalapi.
**Mga Karagdagang Mapagkukunan:**
* Maaari ka ring makipag-ugnayan sa mga ahensya ng gobyer"&amp;"no tulad ng Department of Social Welfare and Development (DSWD) para sa suporta at tulong: DSWD National Hotline (NCR) - 1386 o DSWD Regional Offices [https://www.dswd.gov.ph/ ](https://www.dswd.gov.ph/).
**Disclaimer:** Ang impormasyong ito ay para sa pa"&amp;"ngkalahatang kamalayan at hindi dapat ituring na legal na payo. Laging pinakamahusay na kumunsulta sa isang kwalipikadong abogado para sa mga partikular na legal na usapin.")</f>
        <v>Kinikilala ng batas ng Pilipinas ang pang-ekonomiyang pang-aabuso bilang isang uri ng karahasan sa tahanan at nag-aalok ng legal na tulong para sa mga biktima na ang mga nang-aabuso ay sumusubok na manipulahin o kontrolin sila sa pananalapi. Ganito:
**Republic Act No. 9262 (Anti-Violence Against Women and their Children Act):**
Ang batas na ito ay partikular na tumutukoy at tumutugon sa pang-aabuso sa ekonomiya:
* **Kahulugan:** Tinutukoy ng Seksyon 3(a) ng RA 9262 ang pang-aabusong pang-ekonomiya bilang mga kilos na gumagawa o nagtatangkang gawing umaasa sa pananalapi ang isang babae sa kanyang nang-aabuso. Kabilang dito, ngunit hindi limitado sa:
* Pinipigilan ang babae mula sa anumang lehitimong propesyon, negosyo, o aktibidad.
* Pagkontrol sa sariling pera o ari-arian ng babae.
* Tanging kinokontrol ang conjugal o karaniwang pera/mga ari-arian.
**Mga Legal na Pagpipilian:**
Kung ang iyong nang-aabuso ay gumagamit ng pinansiyal na paraan upang kontrolin ka, narito ang ilang legal na opsyon na magagamit:
* **Mga Kautusan sa Proteksyon:** Ang RA 9262 ay nagpapahintulot sa iyo na magpetisyon para sa isang utos ng proteksyon na maaaring:
* Ipagbawal ang nang-aabuso na kontrolin ang iyong mga bank account o iba pang mapagkukunang pinansyal.
* Umutusan silang magbigay ng suportang pinansyal, kung naaangkop (hal., suporta sa bata).
* **Mga Karapatan sa Ari-arian:** May karapatan ka sa iyong sariling hiwalay na ari-arian na nakuha bago o sa panahon ng kasal/relasyon. * **Mga Probisyon ng Family Code:** Ang Family Code [Family Code of the Philippines] ay nagbibigay din ng legal na paraan para sa mga hindi pagkakaunawaan sa ari-arian sa pagitan ng mag-asawa o magkapareha.
**Pagtitipon ng Ebidensya:**
Ang pagbuo ng isang malakas na kaso ay nangangailangan ng katibayan ng pagkontrol ng pag-uugali ng nang-aabuso. Narito kung ano ang maaaring makatulong:
* **Bank Statements:** Mga talaan na nagpapakita ng nang-aabuso na kinokontrol ang iyong mga account o nililimitahan ang iyong pag-access.
* **Mga Pinagsanib na Dokumentong Pananalapi:** Katibayan ng pagmamay-ari ng magkasanib na nakuhang mga asset.
* **Testimonya ng Saksi:** Mga pahayag mula sa mga indibidwal na maaaring patunayan ang pagkontrol ng pag-uugali ng nang-aabuso tungkol sa pananalapi.
**Naghahanap ng Legal na Tagapayo:**
Ang isang abogado na dalubhasa sa batas ng pamilya o karahasan sa tahanan ay maaaring magbigay ng napakahalagang patnubay. Matutulungan ka nila:
* Mag-navigate sa legal na proseso ng paghahain para sa mga utos ng proteksyon o paghabol sa mga paghahabol na may kaugnayan sa mga karapatan sa ari-arian.
* Magtipon at magpakita ng ebidensya nang epektibo.
* Unawain ang iyong mga karapatan at legal na opsyon.
**Tandaan:** Ang pang-aabuso sa pananalapi ay maaaring maging isang mahusay na tool para sa kontrol. Kinikilala ito ng sistemang legal ng Pilipinas at nagbibigay ng mga paraan para sa mga biktima na humingi ng proteksyon at kalayaan sa pananalapi.
**Mga Karagdagang Mapagkukunan:**
* Maaari ka ring makipag-ugnayan sa mga ahensya ng gobyerno tulad ng Department of Social Welfare and Development (DSWD) para sa suporta at tulong: DSWD National Hotline (NCR) - 1386 o DSWD Regional Offices [https://www.dswd.gov.ph/ ](https://www.dswd.gov.ph/).
**Disclaimer:** Ang impormasyong ito ay para sa pangkalahatang kamalayan at hindi dapat ituring na legal na payo. Laging pinakamahusay na kumunsulta sa isang kwalipikadong abogado para sa mga partikular na legal na usapin.</v>
      </c>
      <c r="F1028" s="2">
        <f t="shared" si="1"/>
        <v>0</v>
      </c>
      <c r="G1028" s="2"/>
      <c r="H1028" s="2"/>
      <c r="I1028" s="2"/>
      <c r="J1028" s="2"/>
      <c r="K1028" s="2"/>
      <c r="L1028" s="2"/>
      <c r="M1028" s="2"/>
      <c r="N1028" s="2"/>
      <c r="O1028" s="2"/>
      <c r="P1028" s="2"/>
      <c r="Q1028" s="2"/>
      <c r="R1028" s="2"/>
      <c r="S1028" s="2"/>
      <c r="T1028" s="2"/>
      <c r="U1028" s="2"/>
      <c r="V1028" s="2"/>
      <c r="W1028" s="2"/>
      <c r="X1028" s="2"/>
      <c r="Y1028" s="2"/>
      <c r="Z1028" s="2"/>
      <c r="AA1028" s="2"/>
    </row>
    <row r="1029">
      <c r="A1029" s="3" t="s">
        <v>2763</v>
      </c>
      <c r="B1029" s="1" t="s">
        <v>3222</v>
      </c>
      <c r="C1029" s="1" t="s">
        <v>3223</v>
      </c>
      <c r="D1029" s="2" t="str">
        <f>IFERROR(__xludf.DUMMYFUNCTION("GOOGLETRANSLATE(B1029, ""en"", ""TL"")"),"Maaari ba akong makakuha ng legal na proteksyon kung ako ay isang imigrante at natatakot akong ma-deport kung mag-uulat ako ng karahasan sa tahanan?")</f>
        <v>Maaari ba akong makakuha ng legal na proteksyon kung ako ay isang imigrante at natatakot akong ma-deport kung mag-uulat ako ng karahasan sa tahanan?</v>
      </c>
      <c r="E1029" s="2" t="str">
        <f>IFERROR(__xludf.DUMMYFUNCTION("GOOGLETRANSLATE(C1029, ""en"", ""TL"")"),"Oo, ang batas ng Pilipinas ay nag-aalok ng ilang legal na proteksyon para sa mga imigrante na natatakot sa pagpapatapon kung mag-uulat sila ng karahasan sa tahanan. Narito ang kailangan mong malaman:
**Tumuon sa Kaligtasan:** Bagama't maaaring maging alal"&amp;"ahanin ang katayuan sa imigrasyon, inuuna ng batas ang kaligtasan ng mga biktima ng karahasan sa tahanan. May mga mapagkukunang magagamit anuman ang katayuan sa imigrasyon.
**Mga Kautusan sa Pagprotekta:** Maaari ka pa ring magpetisyon para sa Temporary P"&amp;"rotection Order (TPO) o Permanent Protection Order (PPO) sa ilalim ng Republic Act No. 9262 (Anti-Violence Against Women and their Children Act) kahit na ikaw ay isang imigrante [Batas Republika Blg. 9262]. Ang mga order na ito ay maaaring:
* Ipagbawal an"&amp;"g nang-aabuso na makipag-ugnayan sa iyo o sa iyong mga anak.
* Paghigpitan sila sa pagpasok sa iyong tahanan o lugar ng trabaho.
* Utos sa kanila na isuko ang anumang mga baril o nakamamatay na armas.
**Pagiging Kumpidensyal:** Ang tagapagpatupad ng batas"&amp;" at mga tagapagbigay ng serbisyong panlipunan ay karaniwang kinakailangan na panatilihin ang pagiging kompidensiyal tungkol sa iyong katayuan sa imigrasyon kapag nag-ulat ka ng karahasan sa tahanan.
**Mga Opsyon sa Immigration:**
Maaaring may mga opsyon s"&amp;"a imigrasyon na magagamit mo depende sa iyong sitwasyon. Narito ang isang pangkalahatang pangkalahatang-ideya:
* **VAWA (Violence Against Women Act):** Kung ang iyong nang-aabuso ay isang U.S. citizen o legal na permanenteng residente (green card holder),"&amp;" maaari kang maging karapat-dapat sa self-petition para sa legal na paninirahan sa Pilipinas sa ilalim ng mga probisyon ng VAWA [ https://www.americanimmigrationcouncil.org/sites/default/files/research/violence_against_women_act_provides_protections_for_n"&amp;"oncitizen_women_and_victims_of_crime.pdf](https://www.americanimmigrationcouncil.org/sites/default/files_women_and_victims_of_crime.pdf](https://www.americanimmigrationcouncil.org/sites/default/files_women_protections/violences tizen_women_and_victims_of_"&amp;"crime.pdf). **Mahalagang Paalala:** Ang mga batas sa imigrasyon ay kumplikado at patuloy na nagbabago. Napakahalagang kumonsulta sa isang abogado ng imigrasyon na dalubhasa sa mga kaso ng karahasan sa tahanan. Maaari nilang tasahin ang iyong partikular na"&amp;" sitwasyon at payuhan ka sa mga potensyal na opsyon sa imigrasyon.
**Narito ang ilang mapagkukunan na makakatulong:**
* **NGOs:** Nag-aalok ang ilang NGO ng suporta at legal na tulong sa mga imigrante na biktima ng karahasan sa tahanan. Maaari kang maghan"&amp;"ap online para sa mga organisasyon sa iyong lugar na dalubhasa sa mga ganitong kaso.
* **US Embassy (kung naaangkop):** Ang US Embassy sa Pilipinas ay maaaring mag-alok ng mga mapagkukunan at suporta sa mga mamamayan ng US na nakakaranas ng karahasan sa t"&amp;"ahanan.
**Tandaan:** Hindi ka nag-iisa. May mga taong makakatulong sa iyo kahit na natatakot kang ma-deport. Mahalagang unahin ang iyong kaligtasan at kapakanan. Huwag mag-atubiling makipag-ugnayan para sa tulong.
**Disclaimer:** Ang impormasyong ito ay p"&amp;"ara sa pangkalahatang kamalayan at hindi dapat ituring na legal na payo. Laging pinakamahusay na kumunsulta sa isang kwalipikadong abogado at isang espesyalista sa imigrasyon para sa mga partikular na legal na usapin at mga opsyon sa imigrasyon.")</f>
        <v>Oo, ang batas ng Pilipinas ay nag-aalok ng ilang legal na proteksyon para sa mga imigrante na natatakot sa pagpapatapon kung mag-uulat sila ng karahasan sa tahanan. Narito ang kailangan mong malaman:
**Tumuon sa Kaligtasan:** Bagama't maaaring maging alalahanin ang katayuan sa imigrasyon, inuuna ng batas ang kaligtasan ng mga biktima ng karahasan sa tahanan. May mga mapagkukunang magagamit anuman ang katayuan sa imigrasyon.
**Mga Kautusan sa Pagprotekta:** Maaari ka pa ring magpetisyon para sa Temporary Protection Order (TPO) o Permanent Protection Order (PPO) sa ilalim ng Republic Act No. 9262 (Anti-Violence Against Women and their Children Act) kahit na ikaw ay isang imigrante [Batas Republika Blg. 9262]. Ang mga order na ito ay maaaring:
* Ipagbawal ang nang-aabuso na makipag-ugnayan sa iyo o sa iyong mga anak.
* Paghigpitan sila sa pagpasok sa iyong tahanan o lugar ng trabaho.
* Utos sa kanila na isuko ang anumang mga baril o nakamamatay na armas.
**Pagiging Kumpidensyal:** Ang tagapagpatupad ng batas at mga tagapagbigay ng serbisyong panlipunan ay karaniwang kinakailangan na panatilihin ang pagiging kompidensiyal tungkol sa iyong katayuan sa imigrasyon kapag nag-ulat ka ng karahasan sa tahanan.
**Mga Opsyon sa Immigration:**
Maaaring may mga opsyon sa imigrasyon na magagamit mo depende sa iyong sitwasyon. Narito ang isang pangkalahatang pangkalahatang-ideya:
* **VAWA (Violence Against Women Act):** Kung ang iyong nang-aabuso ay isang U.S. citizen o legal na permanenteng residente (green card holder), maaari kang maging karapat-dapat sa self-petition para sa legal na paninirahan sa Pilipinas sa ilalim ng mga probisyon ng VAWA [ https://www.americanimmigrationcouncil.org/sites/default/files/research/violence_against_women_act_provides_protections_for_noncitizen_women_and_victims_of_crime.pdf](https://www.americanimmigrationcouncil.org/sites/default/files_women_and_victims_of_crime.pdf](https://www.americanimmigrationcouncil.org/sites/default/files_women_protections/violences tizen_women_and_victims_of_crime.pdf). **Mahalagang Paalala:** Ang mga batas sa imigrasyon ay kumplikado at patuloy na nagbabago. Napakahalagang kumonsulta sa isang abogado ng imigrasyon na dalubhasa sa mga kaso ng karahasan sa tahanan. Maaari nilang tasahin ang iyong partikular na sitwasyon at payuhan ka sa mga potensyal na opsyon sa imigrasyon.
**Narito ang ilang mapagkukunan na makakatulong:**
* **NGOs:** Nag-aalok ang ilang NGO ng suporta at legal na tulong sa mga imigrante na biktima ng karahasan sa tahanan. Maaari kang maghanap online para sa mga organisasyon sa iyong lugar na dalubhasa sa mga ganitong kaso.
* **US Embassy (kung naaangkop):** Ang US Embassy sa Pilipinas ay maaaring mag-alok ng mga mapagkukunan at suporta sa mga mamamayan ng US na nakakaranas ng karahasan sa tahanan.
**Tandaan:** Hindi ka nag-iisa. May mga taong makakatulong sa iyo kahit na natatakot kang ma-deport. Mahalagang unahin ang iyong kaligtasan at kapakanan. Huwag mag-atubiling makipag-ugnayan para sa tulong.
**Disclaimer:** Ang impormasyong ito ay para sa pangkalahatang kamalayan at hindi dapat ituring na legal na payo. Laging pinakamahusay na kumunsulta sa isang kwalipikadong abogado at isang espesyalista sa imigrasyon para sa mga partikular na legal na usapin at mga opsyon sa imigrasyon.</v>
      </c>
      <c r="F1029" s="2">
        <f t="shared" si="1"/>
        <v>0</v>
      </c>
      <c r="G1029" s="2"/>
      <c r="H1029" s="2"/>
      <c r="I1029" s="2"/>
      <c r="J1029" s="2"/>
      <c r="K1029" s="2"/>
      <c r="L1029" s="2"/>
      <c r="M1029" s="2"/>
      <c r="N1029" s="2"/>
      <c r="O1029" s="2"/>
      <c r="P1029" s="2"/>
      <c r="Q1029" s="2"/>
      <c r="R1029" s="2"/>
      <c r="S1029" s="2"/>
      <c r="T1029" s="2"/>
      <c r="U1029" s="2"/>
      <c r="V1029" s="2"/>
      <c r="W1029" s="2"/>
      <c r="X1029" s="2"/>
      <c r="Y1029" s="2"/>
      <c r="Z1029" s="2"/>
      <c r="AA1029" s="2"/>
    </row>
    <row r="1030">
      <c r="A1030" s="3" t="s">
        <v>2763</v>
      </c>
      <c r="B1030" s="1" t="s">
        <v>3224</v>
      </c>
      <c r="C1030" s="1" t="s">
        <v>3225</v>
      </c>
      <c r="D1030" s="2" t="str">
        <f>IFERROR(__xludf.DUMMYFUNCTION("GOOGLETRANSLATE(B1030, ""en"", ""TL"")"),"Paano tinutugunan ng batas ang mga kaso kung saan ang biktima ng karahasan sa tahanan ay kinasuhan din ng krimen sa pagtatanggol sa sarili?")</f>
        <v>Paano tinutugunan ng batas ang mga kaso kung saan ang biktima ng karahasan sa tahanan ay kinasuhan din ng krimen sa pagtatanggol sa sarili?</v>
      </c>
      <c r="E1030" s="2" t="str">
        <f>IFERROR(__xludf.DUMMYFUNCTION("GOOGLETRANSLATE(C1030, ""en"", ""TL"")"),"Kinikilala ng sistemang legal ng Pilipinas ang pagtatanggol sa sarili bilang isang makatwirang pangyayari, na posibleng ilibre ang biktima ng karahasan sa tahanan mula sa pananagutan sa kriminal kung sasaktan nila ang kanilang nang-aabuso. Narito kung paa"&amp;"no nalalapat ang batas:
**Binago ang Kodigo Penal (Artikulo 11):**
Binabalangkas ng artikulong ito ang mga elemento ng pagtatanggol sa sarili na maaaring magamit bilang depensa sa korte:
* **Labag sa Batas na Pagsalakay:** Ang nang-aabuso ay dapat ang una"&amp;"ng aggressor, na nagpasimula ng isang marahas na pag-atake na naglalagay sa iyo sa makatwirang takot sa pinsala.
* ** Makatwirang Pangangailangan ng Means Employed:** Ang iyong tugon sa pagsalakay ay dapat na proporsyonal sa banta. Hindi ka maaaring gumam"&amp;"it ng labis na puwersa.
* **Kakulangan ng Pag-uudyok sa Iyong Bahagi:** Hindi mo maaaring mapukaw ang pag-atake ng nang-aabuso.
**Karahasan sa Tahanan bilang Konteksto:**
Bagama't nananatiling pareho ang mga legal na elemento, mas malamang na isaalang-ala"&amp;"ng ng mga korte ang mga paghahabol sa pagtatanggol sa sarili sa mga sitwasyon ng karahasan sa tahanan. Narito kung bakit:
* **Pattern ng Pang-aabuso:** Maaaring gamitin ang ebidensya ng kasaysayan ng karahasan sa tahanan upang suportahan ang iyong pahayag"&amp;" na kinatakutan mo para sa iyong kaligtasan.
* **Power Imbalance:** Ang power imbalance na likas sa mga relasyon sa karahasan sa tahanan ay maaaring isaalang-alang kapag sinusuri kung ang iyong tugon ay makatwiran.
**Pasan ng Patunay:**
Mahalagang tandaan"&amp;" na ang pasanin ng patunay ay nasa iyo, ang akusado, upang magtatag ng pagtatanggol sa sarili sa pamamagitan ng higit na katibayan. Nangangahulugan ito na kailangan mong kumbinsihin ang hukuman na mas malamang kaysa sa hindi na kumilos ka sa pagtatanggol "&amp;"sa sarili. **Ebidensya para sa Self-Defense:**
Narito kung ano ang maaaring palakasin ang iyong paghahabol sa pagtatanggol sa sarili:
* **Mga Ulat ng Pulis:** Maaaring makatulong ang pag-uulat ng pang-aabuso sa pulisya at pagkuha ng ulat.
* **Mga Rekord n"&amp;"a Medikal:** Ang dokumentasyon ng mga pinsalang natamo sa panahon ng insidente ay maaaring suportahan ang iyong paghahabol ng takot para sa iyong kaligtasan.
* **Testimonya ng Saksi:** Ang mga pahayag mula sa mga indibidwal na nakasaksi ng pang-aabuso o a"&amp;"ng agarang resulta ay maaaring patunayan ang iyong kuwento.
* **Kasaysayan ng Pang-aabuso:** Ang ebidensya ng mga nakaraang insidente ng karahasan o pagbabanta ay maaaring magpakita ng pattern ng pagsalakay.
**Legal na Kinatawan:**
Ang pagkakaroon ng isan"&amp;"g abogado na may karanasan sa mga kaso ng karahasan sa tahanan ay lubos na inirerekomenda. Maaari ka nilang gabayan sa legal na proseso, mangalap ng ebidensya para suportahan ang iyong paghahabol sa pagtatanggol sa sarili, at mabisang iharap ang iyong kas"&amp;"o sa korte.
**Disclaimer:** Ang impormasyong ito ay inilaan para sa pangkalahatang kamalayan at hindi dapat ituring na legal na payo. Malaki ang epekto ng mga partikular na detalye ng iyong sitwasyon kung paano inilalapat ang batas. Ang pagkonsulta sa isa"&amp;"ng kwalipikadong abogado ay mahalaga para sa pag-navigate sa isang kaso sa pagtatanggol sa sarili na nagmumula sa karahasan sa tahanan.")</f>
        <v>Kinikilala ng sistemang legal ng Pilipinas ang pagtatanggol sa sarili bilang isang makatwirang pangyayari, na posibleng ilibre ang biktima ng karahasan sa tahanan mula sa pananagutan sa kriminal kung sasaktan nila ang kanilang nang-aabuso. Narito kung paano nalalapat ang batas:
**Binago ang Kodigo Penal (Artikulo 11):**
Binabalangkas ng artikulong ito ang mga elemento ng pagtatanggol sa sarili na maaaring magamit bilang depensa sa korte:
* **Labag sa Batas na Pagsalakay:** Ang nang-aabuso ay dapat ang unang aggressor, na nagpasimula ng isang marahas na pag-atake na naglalagay sa iyo sa makatwirang takot sa pinsala.
* ** Makatwirang Pangangailangan ng Means Employed:** Ang iyong tugon sa pagsalakay ay dapat na proporsyonal sa banta. Hindi ka maaaring gumamit ng labis na puwersa.
* **Kakulangan ng Pag-uudyok sa Iyong Bahagi:** Hindi mo maaaring mapukaw ang pag-atake ng nang-aabuso.
**Karahasan sa Tahanan bilang Konteksto:**
Bagama't nananatiling pareho ang mga legal na elemento, mas malamang na isaalang-alang ng mga korte ang mga paghahabol sa pagtatanggol sa sarili sa mga sitwasyon ng karahasan sa tahanan. Narito kung bakit:
* **Pattern ng Pang-aabuso:** Maaaring gamitin ang ebidensya ng kasaysayan ng karahasan sa tahanan upang suportahan ang iyong pahayag na kinatakutan mo para sa iyong kaligtasan.
* **Power Imbalance:** Ang power imbalance na likas sa mga relasyon sa karahasan sa tahanan ay maaaring isaalang-alang kapag sinusuri kung ang iyong tugon ay makatwiran.
**Pasan ng Patunay:**
Mahalagang tandaan na ang pasanin ng patunay ay nasa iyo, ang akusado, upang magtatag ng pagtatanggol sa sarili sa pamamagitan ng higit na katibayan. Nangangahulugan ito na kailangan mong kumbinsihin ang hukuman na mas malamang kaysa sa hindi na kumilos ka sa pagtatanggol sa sarili. **Ebidensya para sa Self-Defense:**
Narito kung ano ang maaaring palakasin ang iyong paghahabol sa pagtatanggol sa sarili:
* **Mga Ulat ng Pulis:** Maaaring makatulong ang pag-uulat ng pang-aabuso sa pulisya at pagkuha ng ulat.
* **Mga Rekord na Medikal:** Ang dokumentasyon ng mga pinsalang natamo sa panahon ng insidente ay maaaring suportahan ang iyong paghahabol ng takot para sa iyong kaligtasan.
* **Testimonya ng Saksi:** Ang mga pahayag mula sa mga indibidwal na nakasaksi ng pang-aabuso o ang agarang resulta ay maaaring patunayan ang iyong kuwento.
* **Kasaysayan ng Pang-aabuso:** Ang ebidensya ng mga nakaraang insidente ng karahasan o pagbabanta ay maaaring magpakita ng pattern ng pagsalakay.
**Legal na Kinatawan:**
Ang pagkakaroon ng isang abogado na may karanasan sa mga kaso ng karahasan sa tahanan ay lubos na inirerekomenda. Maaari ka nilang gabayan sa legal na proseso, mangalap ng ebidensya para suportahan ang iyong paghahabol sa pagtatanggol sa sarili, at mabisang iharap ang iyong kaso sa korte.
**Disclaimer:** Ang impormasyong ito ay inilaan para sa pangkalahatang kamalayan at hindi dapat ituring na legal na payo. Malaki ang epekto ng mga partikular na detalye ng iyong sitwasyon kung paano inilalapat ang batas. Ang pagkonsulta sa isang kwalipikadong abogado ay mahalaga para sa pag-navigate sa isang kaso sa pagtatanggol sa sarili na nagmumula sa karahasan sa tahanan.</v>
      </c>
      <c r="F1030" s="2">
        <f t="shared" si="1"/>
        <v>0</v>
      </c>
      <c r="G1030" s="2"/>
      <c r="H1030" s="2"/>
      <c r="I1030" s="2"/>
      <c r="J1030" s="2"/>
      <c r="K1030" s="2"/>
      <c r="L1030" s="2"/>
      <c r="M1030" s="2"/>
      <c r="N1030" s="2"/>
      <c r="O1030" s="2"/>
      <c r="P1030" s="2"/>
      <c r="Q1030" s="2"/>
      <c r="R1030" s="2"/>
      <c r="S1030" s="2"/>
      <c r="T1030" s="2"/>
      <c r="U1030" s="2"/>
      <c r="V1030" s="2"/>
      <c r="W1030" s="2"/>
      <c r="X1030" s="2"/>
      <c r="Y1030" s="2"/>
      <c r="Z1030" s="2"/>
      <c r="AA1030" s="2"/>
    </row>
    <row r="1031">
      <c r="A1031" s="3" t="s">
        <v>2763</v>
      </c>
      <c r="B1031" s="1" t="s">
        <v>3226</v>
      </c>
      <c r="C1031" s="1" t="s">
        <v>3227</v>
      </c>
      <c r="D1031" s="2" t="str">
        <f>IFERROR(__xludf.DUMMYFUNCTION("GOOGLETRANSLATE(B1031, ""en"", ""TL"")"),"Maaari ba akong makakuha ng legal na proteksyon kung ako ay nasa isang malayuan o online na relasyon sa aking nang-aabuso?")</f>
        <v>Maaari ba akong makakuha ng legal na proteksyon kung ako ay nasa isang malayuan o online na relasyon sa aking nang-aabuso?</v>
      </c>
      <c r="E1031" s="2" t="str">
        <f>IFERROR(__xludf.DUMMYFUNCTION("GOOGLETRANSLATE(C1031, ""en"", ""TL"")"),"Kinikilala ng batas ng Pilipinas at nag-aalok ng proteksyon para sa mga biktima ng karahasan sa tahanan, ngunit ang legal na tanawin tungkol sa malayuan o online na mga relasyon ay maaaring medyo kumplikado. Narito ang kailangan mong maunawaan:
**Mga Kasa"&amp;"lukuyang Batas:**
Ang pangunahing batas na tumutugon sa karahasan sa tahanan sa Pilipinas ay ang Republic Act No. 9262 (Anti-Violence Against Women and their Children Act o RA 9262). Karaniwang inilalapat ang batas na ito sa mga sitwasyon kung saan mayroo"&amp;"ng pagsasama o relasyon ng mag-asawa. **Mga Hamon sa Long-Distance Relationship:**
Ang batas ay tradisyonal na nakatuon sa pisikal na kalapitan at ang potensyal para sa pisikal na pinsala. Sa malayuan o online na mga relasyon, ang pagpapatunay ng pisikal "&amp;"na pinsala o ang agarang banta ng pisikal na pinsala ay maaaring maging mas mahirap. **Mga Potensyal na Avenue para sa Proteksyon:**
Gayunpaman, maaaring may mga paraan pa rin para humingi ng proteksyon sa ilalim ng RA 9262, depende sa mga partikular na p"&amp;"angyayari:
* **Stalking:** Kung ang iyong nang-aabuso ay patuloy na hinaharas ka online o sa pamamagitan ng mga elektronikong komunikasyon, ito ay maaaring ituring na stalking sa ilalim ng Seksyon 5 ng RA 9262.
* **Psychological Abuse:** Bagama't ang onli"&amp;"ne na kalikasan ng pang-aabuso ay maaaring maging mahirap na patunayan, ang emosyonal o sikolohikal na pang-aabuso ay maaari ding maging isang anyo ng karahasan sa tahanan sa ilalim ng RA 9262. Ang ebidensya ng online na pagbabanta, pananakot, o pagkontro"&amp;"l sa pag-uugali ay maaaring kaugnay.
**Mga Order sa Proteksyon:**
Kung ang online na pang-aabuso ay isasalin sa isang lehitimong takot para sa iyong kaligtasan, maaari ka pa ring magpetisyon para sa isang utos ng proteksyon sa ilalim ng RA 9262. Ito ay ma"&amp;"aaring makatulong na higpitan ang kakayahan ng nang-aabuso na makipag-ugnayan sa iyo online o sa pamamagitan ng iba pang paraan.
**Nagbabagong Landscape:**
Ang teknolohiya at ang kalikasan ng mga relasyon ay patuloy na umuunlad. Bagama't maaaring hindi pe"&amp;"rpektong tugunan ng kasalukuyang legal na balangkas ang bawat sitwasyon, may mga patuloy na talakayan at potensyal na pagbabago sa pambatasan upang isaalang-alang ang online na pang-aabuso sa loob ng spectrum ng karahasan sa tahanan.
**Narito ang ilang re"&amp;"komendasyon:**
* **Magtipon ng Ebidensya:** Mag-save ng mga screenshot, online na mensahe, o anumang dokumentasyon ng mapang-abusong gawi.
* **Kumonsulta sa Abogado:** Maaaring tasahin ng isang abogadong dalubhasa sa karahasan sa tahanan ang iyong sitwasy"&amp;"on at payuhan ka sa pinakamahusay na paraan ng pagkilos batay sa mga partikular na katotohanan at ang potensyal na applicability ng RA 9262. * **Mag-ulat sa Mga Awtoridad:** Kung ang online na pang-aabuso ay isasalin sa mga tunay na banta o panliligalig, "&amp;"isaalang-alang ang pag-uulat nito sa pulisya o mga may-katuturang awtoridad.
**Tandaan:** Kahit na ang legal na landas ay hindi gaanong malinaw sa mga long-distance na relasyon, ang iyong kaligtasan ay pinakamahalaga. Huwag mag-atubiling humingi ng tulong"&amp;" at tuklasin ang iyong mga opsyon.")</f>
        <v>Kinikilala ng batas ng Pilipinas at nag-aalok ng proteksyon para sa mga biktima ng karahasan sa tahanan, ngunit ang legal na tanawin tungkol sa malayuan o online na mga relasyon ay maaaring medyo kumplikado. Narito ang kailangan mong maunawaan:
**Mga Kasalukuyang Batas:**
Ang pangunahing batas na tumutugon sa karahasan sa tahanan sa Pilipinas ay ang Republic Act No. 9262 (Anti-Violence Against Women and their Children Act o RA 9262). Karaniwang inilalapat ang batas na ito sa mga sitwasyon kung saan mayroong pagsasama o relasyon ng mag-asawa. **Mga Hamon sa Long-Distance Relationship:**
Ang batas ay tradisyonal na nakatuon sa pisikal na kalapitan at ang potensyal para sa pisikal na pinsala. Sa malayuan o online na mga relasyon, ang pagpapatunay ng pisikal na pinsala o ang agarang banta ng pisikal na pinsala ay maaaring maging mas mahirap. **Mga Potensyal na Avenue para sa Proteksyon:**
Gayunpaman, maaaring may mga paraan pa rin para humingi ng proteksyon sa ilalim ng RA 9262, depende sa mga partikular na pangyayari:
* **Stalking:** Kung ang iyong nang-aabuso ay patuloy na hinaharas ka online o sa pamamagitan ng mga elektronikong komunikasyon, ito ay maaaring ituring na stalking sa ilalim ng Seksyon 5 ng RA 9262.
* **Psychological Abuse:** Bagama't ang online na kalikasan ng pang-aabuso ay maaaring maging mahirap na patunayan, ang emosyonal o sikolohikal na pang-aabuso ay maaari ding maging isang anyo ng karahasan sa tahanan sa ilalim ng RA 9262. Ang ebidensya ng online na pagbabanta, pananakot, o pagkontrol sa pag-uugali ay maaaring kaugnay.
**Mga Order sa Proteksyon:**
Kung ang online na pang-aabuso ay isasalin sa isang lehitimong takot para sa iyong kaligtasan, maaari ka pa ring magpetisyon para sa isang utos ng proteksyon sa ilalim ng RA 9262. Ito ay maaaring makatulong na higpitan ang kakayahan ng nang-aabuso na makipag-ugnayan sa iyo online o sa pamamagitan ng iba pang paraan.
**Nagbabagong Landscape:**
Ang teknolohiya at ang kalikasan ng mga relasyon ay patuloy na umuunlad. Bagama't maaaring hindi perpektong tugunan ng kasalukuyang legal na balangkas ang bawat sitwasyon, may mga patuloy na talakayan at potensyal na pagbabago sa pambatasan upang isaalang-alang ang online na pang-aabuso sa loob ng spectrum ng karahasan sa tahanan.
**Narito ang ilang rekomendasyon:**
* **Magtipon ng Ebidensya:** Mag-save ng mga screenshot, online na mensahe, o anumang dokumentasyon ng mapang-abusong gawi.
* **Kumonsulta sa Abogado:** Maaaring tasahin ng isang abogadong dalubhasa sa karahasan sa tahanan ang iyong sitwasyon at payuhan ka sa pinakamahusay na paraan ng pagkilos batay sa mga partikular na katotohanan at ang potensyal na applicability ng RA 9262. * **Mag-ulat sa Mga Awtoridad:** Kung ang online na pang-aabuso ay isasalin sa mga tunay na banta o panliligalig, isaalang-alang ang pag-uulat nito sa pulisya o mga may-katuturang awtoridad.
**Tandaan:** Kahit na ang legal na landas ay hindi gaanong malinaw sa mga long-distance na relasyon, ang iyong kaligtasan ay pinakamahalaga. Huwag mag-atubiling humingi ng tulong at tuklasin ang iyong mga opsyon.</v>
      </c>
      <c r="F1031" s="2">
        <f t="shared" si="1"/>
        <v>0</v>
      </c>
      <c r="G1031" s="2"/>
      <c r="H1031" s="2"/>
      <c r="I1031" s="2"/>
      <c r="J1031" s="2"/>
      <c r="K1031" s="2"/>
      <c r="L1031" s="2"/>
      <c r="M1031" s="2"/>
      <c r="N1031" s="2"/>
      <c r="O1031" s="2"/>
      <c r="P1031" s="2"/>
      <c r="Q1031" s="2"/>
      <c r="R1031" s="2"/>
      <c r="S1031" s="2"/>
      <c r="T1031" s="2"/>
      <c r="U1031" s="2"/>
      <c r="V1031" s="2"/>
      <c r="W1031" s="2"/>
      <c r="X1031" s="2"/>
      <c r="Y1031" s="2"/>
      <c r="Z1031" s="2"/>
      <c r="AA1031" s="2"/>
    </row>
    <row r="1032">
      <c r="A1032" s="3" t="s">
        <v>2763</v>
      </c>
      <c r="B1032" s="1" t="s">
        <v>3228</v>
      </c>
      <c r="C1032" s="1" t="s">
        <v>3229</v>
      </c>
      <c r="D1032" s="2" t="str">
        <f>IFERROR(__xludf.DUMMYFUNCTION("GOOGLETRANSLATE(B1032, ""en"", ""TL"")"),"Paano tinutugunan ng batas ang mga kaso kung saan ang biktima ng karahasan sa tahanan ay may kapansanan?")</f>
        <v>Paano tinutugunan ng batas ang mga kaso kung saan ang biktima ng karahasan sa tahanan ay may kapansanan?</v>
      </c>
      <c r="E1032" s="2" t="str">
        <f>IFERROR(__xludf.DUMMYFUNCTION("GOOGLETRANSLATE(C1032, ""en"", ""TL"")"),"Kinikilala ng batas ng Pilipinas ang kahinaan ng mga may kapansanan na biktima ng karahasan sa tahanan at nag-aalok sa kanila ng proteksyon sa pamamagitan ng iba't ibang umiiral na batas:
**1. Republic Act No. 9262 (Anti-Violence Against Women and their C"&amp;"hildren Act o RA 9262):**
Ang pangunahing batas na ito ay nananatiling naaangkop sa mga kaso ng karahasan sa tahanan na kinasasangkutan ng mga biktimang may mga kapansanan. Ang RA 9262 ay tumutukoy at nagpoprotekta laban sa iba't ibang anyo ng karahasan, "&amp;"kabilang ang pisikal, sekswal, sikolohikal, at pang-ekonomiyang pang-aabuso. **2. Magna Carta for Persons with Disability (Republic Act No. 7502):**
Kinikilala ng batas na ito ang mga karapatan at pribilehiyo ng mga person with disabilities (PWDs) at nag-"&amp;"uutos sa kanilang proteksyon mula sa lahat ng uri ng pagsasamantala, pang-aabuso, pagpapabaya, at karahasan. Inaatasan din nito ang mga ahensya ng gobyerno na magbigay ng mga mekanismo ng pag-uulat na madaling ma-access at mga serbisyo ng suporta para sa "&amp;"mga PWD na nakakaranas ng karahasan sa tahanan.
**3. Mga Pagsasaalang-alang sa Accessibility:**
Ang legal na sistema ay nagsisikap na maging accessible para sa mga PWD na biktima ng karahasan sa tahanan. Narito ang aasahan:
* **Tulong sa Pag-uulat:** Ang "&amp;"mga ahensyang nagpapatupad ng batas at mga tagapagbigay ng serbisyong panlipunan ay dapat na makapagbigay ng tulong sa pag-uulat ng pang-aabuso, na isinasaalang-alang ang mga partikular na pangangailangan ng biktima ng PWD. Maaaring kabilang dito ang mga "&amp;"interpreter ng sign language para sa mga bingi na indibidwal o mga alternatibong format para sa pag-uulat ng mga dokumento para sa mga may kapansanan sa paningin.
* **Accessible Court Proceedings:** Ang mga korte ay dapat gumawa ng mga makatwirang kaluwag"&amp;"an upang matiyak na ang mga PWD ay makakalahok nang epektibo sa mga legal na paglilitis. Maaaring kabilang dito ang pagbibigay ng mga interpreter ng sign language, mga pantulong na kagamitan sa pakikinig, o mga dokumentong Braille.
**4. Potensyal para sa "&amp;"Mga Pinahusay na Parusa:**
Habang ang mga partikular na parusa para sa karahasan sa tahanan ay nakabalangkas sa RA 9262, maaaring mayroong argumento para sa pinahusay na mga parusa sa mga kaso kung saan ang biktima ay may kapansanan. Ito ay maaaring batay"&amp;" sa kahinaan ng biktima at sa potensyal para sa mas mataas na pinsala.
**Mga Hamon at Pagsasaalang-alang:**
Sa kabila ng mga legal na proteksyong ito, may mga hamon pa rin para sa mga biktimang may kapansanan:
* **Mga Hadlang sa Pagiging Magagamit:** Maaa"&amp;"ring hadlangan ng mga pisikal o komunikasyong hadlang ang pag-uulat at pag-access sa mga serbisyo ng suporta.
* **Pag-asa sa Nang-aabuso:** Maaaring umaasa ang ilang PWD sa kanilang nang-aabuso para sa pang-araw-araw na pangangailangan, na nagpapahirap na"&amp;" umalis sa mapang-abusong sitwasyon.
**Narito ang ilang mapagkukunan na makakatulong:**
* **Department of Social Welfare and Development (DSWD):** DSWD National Hotline (NCR) - 1386 o DSWWD Regional Offices [https://www.dswd.gov.ph/](https://www.dswd. gov"&amp;".ph/). Mayroon silang mga programa na partikular na idinisenyo upang tulungan ang mga PWD at maaaring ikonekta ka sa mga mapagkukunan sa iyong lugar.
* **Philippine National Police (PNP) Women and Children Protection Center (WCPC) hotline:** 1853. * **NGO"&amp;"s:** Ilang NGO ang tumutuon sa mga karapatan sa kapansanan at maaaring mag-alok ng suporta at legal na tulong sa mga PWD na nakakaranas ng karahasan sa tahanan.
**Tandaan:** Hindi ka nag-iisa. Ang sistemang legal ng Pilipinas ay nag-aalok ng proteksyon, a"&amp;"t may mga mapagkukunang magagamit upang tulungan ka.")</f>
        <v>Kinikilala ng batas ng Pilipinas ang kahinaan ng mga may kapansanan na biktima ng karahasan sa tahanan at nag-aalok sa kanila ng proteksyon sa pamamagitan ng iba't ibang umiiral na batas:
**1. Republic Act No. 9262 (Anti-Violence Against Women and their Children Act o RA 9262):**
Ang pangunahing batas na ito ay nananatiling naaangkop sa mga kaso ng karahasan sa tahanan na kinasasangkutan ng mga biktimang may mga kapansanan. Ang RA 9262 ay tumutukoy at nagpoprotekta laban sa iba't ibang anyo ng karahasan, kabilang ang pisikal, sekswal, sikolohikal, at pang-ekonomiyang pang-aabuso. **2. Magna Carta for Persons with Disability (Republic Act No. 7502):**
Kinikilala ng batas na ito ang mga karapatan at pribilehiyo ng mga person with disabilities (PWDs) at nag-uutos sa kanilang proteksyon mula sa lahat ng uri ng pagsasamantala, pang-aabuso, pagpapabaya, at karahasan. Inaatasan din nito ang mga ahensya ng gobyerno na magbigay ng mga mekanismo ng pag-uulat na madaling ma-access at mga serbisyo ng suporta para sa mga PWD na nakakaranas ng karahasan sa tahanan.
**3. Mga Pagsasaalang-alang sa Accessibility:**
Ang legal na sistema ay nagsisikap na maging accessible para sa mga PWD na biktima ng karahasan sa tahanan. Narito ang aasahan:
* **Tulong sa Pag-uulat:** Ang mga ahensyang nagpapatupad ng batas at mga tagapagbigay ng serbisyong panlipunan ay dapat na makapagbigay ng tulong sa pag-uulat ng pang-aabuso, na isinasaalang-alang ang mga partikular na pangangailangan ng biktima ng PWD. Maaaring kabilang dito ang mga interpreter ng sign language para sa mga bingi na indibidwal o mga alternatibong format para sa pag-uulat ng mga dokumento para sa mga may kapansanan sa paningin.
* **Accessible Court Proceedings:** Ang mga korte ay dapat gumawa ng mga makatwirang kaluwagan upang matiyak na ang mga PWD ay makakalahok nang epektibo sa mga legal na paglilitis. Maaaring kabilang dito ang pagbibigay ng mga interpreter ng sign language, mga pantulong na kagamitan sa pakikinig, o mga dokumentong Braille.
**4. Potensyal para sa Mga Pinahusay na Parusa:**
Habang ang mga partikular na parusa para sa karahasan sa tahanan ay nakabalangkas sa RA 9262, maaaring mayroong argumento para sa pinahusay na mga parusa sa mga kaso kung saan ang biktima ay may kapansanan. Ito ay maaaring batay sa kahinaan ng biktima at sa potensyal para sa mas mataas na pinsala.
**Mga Hamon at Pagsasaalang-alang:**
Sa kabila ng mga legal na proteksyong ito, may mga hamon pa rin para sa mga biktimang may kapansanan:
* **Mga Hadlang sa Pagiging Magagamit:** Maaaring hadlangan ng mga pisikal o komunikasyong hadlang ang pag-uulat at pag-access sa mga serbisyo ng suporta.
* **Pag-asa sa Nang-aabuso:** Maaaring umaasa ang ilang PWD sa kanilang nang-aabuso para sa pang-araw-araw na pangangailangan, na nagpapahirap na umalis sa mapang-abusong sitwasyon.
**Narito ang ilang mapagkukunan na makakatulong:**
* **Department of Social Welfare and Development (DSWD):** DSWD National Hotline (NCR) - 1386 o DSWWD Regional Offices [https://www.dswd.gov.ph/](https://www.dswd. gov.ph/). Mayroon silang mga programa na partikular na idinisenyo upang tulungan ang mga PWD at maaaring ikonekta ka sa mga mapagkukunan sa iyong lugar.
* **Philippine National Police (PNP) Women and Children Protection Center (WCPC) hotline:** 1853. * **NGOs:** Ilang NGO ang tumutuon sa mga karapatan sa kapansanan at maaaring mag-alok ng suporta at legal na tulong sa mga PWD na nakakaranas ng karahasan sa tahanan.
**Tandaan:** Hindi ka nag-iisa. Ang sistemang legal ng Pilipinas ay nag-aalok ng proteksyon, at may mga mapagkukunang magagamit upang tulungan ka.</v>
      </c>
      <c r="F1032" s="2">
        <f t="shared" si="1"/>
        <v>0</v>
      </c>
      <c r="G1032" s="2"/>
      <c r="H1032" s="2"/>
      <c r="I1032" s="2"/>
      <c r="J1032" s="2"/>
      <c r="K1032" s="2"/>
      <c r="L1032" s="2"/>
      <c r="M1032" s="2"/>
      <c r="N1032" s="2"/>
      <c r="O1032" s="2"/>
      <c r="P1032" s="2"/>
      <c r="Q1032" s="2"/>
      <c r="R1032" s="2"/>
      <c r="S1032" s="2"/>
      <c r="T1032" s="2"/>
      <c r="U1032" s="2"/>
      <c r="V1032" s="2"/>
      <c r="W1032" s="2"/>
      <c r="X1032" s="2"/>
      <c r="Y1032" s="2"/>
      <c r="Z1032" s="2"/>
      <c r="AA1032" s="2"/>
    </row>
    <row r="1033">
      <c r="A1033" s="3" t="s">
        <v>2763</v>
      </c>
      <c r="B1033" s="1" t="s">
        <v>3230</v>
      </c>
      <c r="C1033" s="1" t="s">
        <v>3231</v>
      </c>
      <c r="D1033" s="2" t="str">
        <f>IFERROR(__xludf.DUMMYFUNCTION("GOOGLETRANSLATE(B1033, ""en"", ""TL"")"),"Maaari ba akong makakuha ng legal na proteksyon kung ako ay biktima ng karahasan sa tahanan ngunit natatakot ako sa paglahok ng mga serbisyo sa pangangalaga sa bata?")</f>
        <v>Maaari ba akong makakuha ng legal na proteksyon kung ako ay biktima ng karahasan sa tahanan ngunit natatakot ako sa paglahok ng mga serbisyo sa pangangalaga sa bata?</v>
      </c>
      <c r="E1033" s="2" t="str">
        <f>IFERROR(__xludf.DUMMYFUNCTION("GOOGLETRANSLATE(C1033, ""en"", ""TL"")"),"Ang batas ng Pilipinas ay inuuna ang kaligtasan at kapakanan ng mga bata. Bagama't nauunawaan ang iyong takot sa mga child protective services (CPS), may mga paraan para humingi ng proteksyon mula sa karahasan sa tahanan habang pinapaliit ang panganib ng "&amp;"hindi kinakailangang paglahok ng CPS. Narito ang isang breakdown:
**Karahasan sa Tahanan at Kaligtasan ng Bata:**
Ang karahasan sa tahanan ay maaaring magkaroon ng masamang epekto sa pisikal at emosyonal na kapakanan ng mga bata, kahit na hindi sila direk"&amp;"tang inabuso. Kinikilala ito ng batas at maaaring kasangkot ang CPS upang masuri ang kaligtasan ng mga bata sa tahanan.
**Mga Alternatibong Solusyon:**
Gayunpaman, maaaring may mga paraan upang matugunan ang iyong mga alalahanin at humingi pa rin ng prote"&amp;"ksyon:
* **Tumuon sa Mga Kautusang Pangkaligtasan:** Ang iyong pangunahing layunin ay maaaring itigil ang pang-aabuso at tiyakin ang iyong kaligtasan. Maaari kang magpetisyon para sa Temporary Protection Order (TPO) o Permanent Protection Order (PPO) sa i"&amp;"lalim ng Republic Act No. 9262 (Anti-Violence Against Women and their Children Act o RA 9262) Ang mga kautusang ito ay maaaring:
* Ipagbawal ang nang-aabuso na makipag-ugnayan sa iyo o sa iyong mga anak.
* Paghigpitan sila sa pagpasok sa iyong tahanan.
* "&amp;"**Ipaliwanag ang Iyong Sitwasyon:** Kung nag-aalala ka tungkol sa pagkakasangkot ng CPS, ipaliwanag ang iyong sitwasyon sa abogado o social worker na tumutulong sa iyo. * Maaari mong ipahayag ang iyong pagpayag na magtatag ng isang ligtas na kapaligiran p"&amp;"ara sa iyong mga anak, na posibleng mabawasan ang pangangailangan para sa interbensyon ng CPS.
* Kung may nakalagay na planong pangkaligtasan at ang nang-aabuso ay hindi kasama sa tahanan, maaaring mas malamang na alisin ng CPS ang iyong mga anak.
* **Sup"&amp;"port Services:** Gamitin ang mga available na serbisyo ng suporta na idinisenyo upang tulungan ang mga pamilyang nakakaranas ng karahasan sa tahanan. Maaaring kabilang dito ang:
* Pagpapayo para sa iyo at sa iyong mga anak.
* Ang mga programa sa pagiging "&amp;"magulang ay nakatuon sa paglikha ng isang ligtas at malusog na kapaligiran para sa mga bata.
**Kahalagahan ng Legal na Payo:**
Ang pagkonsulta sa isang abogadong nakaranas sa mga kaso ng karahasan sa tahanan ay napakahalaga. Maaari ka nilang gabayan sa le"&amp;"gal na proseso, magbigay ng payo sa mga estratehiya para mabawasan ang pagkakasangkot ng CPS, at magtaguyod para sa iyong kaligtasan at kapakanan.
**Narito ang ilang mapagkukunan na makakatulong:**
* **Department of Social Welfare and Development (DSWD):*"&amp;"* DSWD National Hotline (NCR) - 1386 o DSWWD Regional Offices [https://www.dswd.gov.ph/](https://www.dswd. gov.ph/). Nag-aalok sila ng mga serbisyo ng suporta para sa mga pamilyang nakakaranas ng karahasan sa tahanan.
* **NGOs:** Maraming NGO ang nagbibig"&amp;"ay ng suporta at legal na tulong sa mga biktima ng karahasan sa tahanan. Maaari kang maghanap online para sa mga organisasyon sa iyong lugar na dalubhasa sa mga ganitong kaso.
**Tandaan:** Ang iyong kaligtasan at ang kaligtasan ng iyong mga anak ay pinaka"&amp;"mahalaga. May mga mapagkukunang magagamit upang matulungan kang mag-navigate sa karahasan sa tahanan at tuklasin ang mga solusyon na nagbibigay-priyoridad sa iyong proteksyon at kapakanan ng iyong mga anak.")</f>
        <v>Ang batas ng Pilipinas ay inuuna ang kaligtasan at kapakanan ng mga bata. Bagama't nauunawaan ang iyong takot sa mga child protective services (CPS), may mga paraan para humingi ng proteksyon mula sa karahasan sa tahanan habang pinapaliit ang panganib ng hindi kinakailangang paglahok ng CPS. Narito ang isang breakdown:
**Karahasan sa Tahanan at Kaligtasan ng Bata:**
Ang karahasan sa tahanan ay maaaring magkaroon ng masamang epekto sa pisikal at emosyonal na kapakanan ng mga bata, kahit na hindi sila direktang inabuso. Kinikilala ito ng batas at maaaring kasangkot ang CPS upang masuri ang kaligtasan ng mga bata sa tahanan.
**Mga Alternatibong Solusyon:**
Gayunpaman, maaaring may mga paraan upang matugunan ang iyong mga alalahanin at humingi pa rin ng proteksyon:
* **Tumuon sa Mga Kautusang Pangkaligtasan:** Ang iyong pangunahing layunin ay maaaring itigil ang pang-aabuso at tiyakin ang iyong kaligtasan. Maaari kang magpetisyon para sa Temporary Protection Order (TPO) o Permanent Protection Order (PPO) sa ilalim ng Republic Act No. 9262 (Anti-Violence Against Women and their Children Act o RA 9262) Ang mga kautusang ito ay maaaring:
* Ipagbawal ang nang-aabuso na makipag-ugnayan sa iyo o sa iyong mga anak.
* Paghigpitan sila sa pagpasok sa iyong tahanan.
* **Ipaliwanag ang Iyong Sitwasyon:** Kung nag-aalala ka tungkol sa pagkakasangkot ng CPS, ipaliwanag ang iyong sitwasyon sa abogado o social worker na tumutulong sa iyo. * Maaari mong ipahayag ang iyong pagpayag na magtatag ng isang ligtas na kapaligiran para sa iyong mga anak, na posibleng mabawasan ang pangangailangan para sa interbensyon ng CPS.
* Kung may nakalagay na planong pangkaligtasan at ang nang-aabuso ay hindi kasama sa tahanan, maaaring mas malamang na alisin ng CPS ang iyong mga anak.
* **Support Services:** Gamitin ang mga available na serbisyo ng suporta na idinisenyo upang tulungan ang mga pamilyang nakakaranas ng karahasan sa tahanan. Maaaring kabilang dito ang:
* Pagpapayo para sa iyo at sa iyong mga anak.
* Ang mga programa sa pagiging magulang ay nakatuon sa paglikha ng isang ligtas at malusog na kapaligiran para sa mga bata.
**Kahalagahan ng Legal na Payo:**
Ang pagkonsulta sa isang abogadong nakaranas sa mga kaso ng karahasan sa tahanan ay napakahalaga. Maaari ka nilang gabayan sa legal na proseso, magbigay ng payo sa mga estratehiya para mabawasan ang pagkakasangkot ng CPS, at magtaguyod para sa iyong kaligtasan at kapakanan.
**Narito ang ilang mapagkukunan na makakatulong:**
* **Department of Social Welfare and Development (DSWD):** DSWD National Hotline (NCR) - 1386 o DSWWD Regional Offices [https://www.dswd.gov.ph/](https://www.dswd. gov.ph/). Nag-aalok sila ng mga serbisyo ng suporta para sa mga pamilyang nakakaranas ng karahasan sa tahanan.
* **NGOs:** Maraming NGO ang nagbibigay ng suporta at legal na tulong sa mga biktima ng karahasan sa tahanan. Maaari kang maghanap online para sa mga organisasyon sa iyong lugar na dalubhasa sa mga ganitong kaso.
**Tandaan:** Ang iyong kaligtasan at ang kaligtasan ng iyong mga anak ay pinakamahalaga. May mga mapagkukunang magagamit upang matulungan kang mag-navigate sa karahasan sa tahanan at tuklasin ang mga solusyon na nagbibigay-priyoridad sa iyong proteksyon at kapakanan ng iyong mga anak.</v>
      </c>
      <c r="F1033" s="2">
        <f t="shared" si="1"/>
        <v>0</v>
      </c>
      <c r="G1033" s="2"/>
      <c r="H1033" s="2"/>
      <c r="I1033" s="2"/>
      <c r="J1033" s="2"/>
      <c r="K1033" s="2"/>
      <c r="L1033" s="2"/>
      <c r="M1033" s="2"/>
      <c r="N1033" s="2"/>
      <c r="O1033" s="2"/>
      <c r="P1033" s="2"/>
      <c r="Q1033" s="2"/>
      <c r="R1033" s="2"/>
      <c r="S1033" s="2"/>
      <c r="T1033" s="2"/>
      <c r="U1033" s="2"/>
      <c r="V1033" s="2"/>
      <c r="W1033" s="2"/>
      <c r="X1033" s="2"/>
      <c r="Y1033" s="2"/>
      <c r="Z1033" s="2"/>
      <c r="AA1033" s="2"/>
    </row>
    <row r="1034">
      <c r="A1034" s="3" t="s">
        <v>2763</v>
      </c>
      <c r="B1034" s="1" t="s">
        <v>3232</v>
      </c>
      <c r="C1034" s="1" t="s">
        <v>3233</v>
      </c>
      <c r="D1034" s="2" t="str">
        <f>IFERROR(__xludf.DUMMYFUNCTION("GOOGLETRANSLATE(B1034, ""en"", ""TL"")"),"Paano tinutugunan ng batas ang mga kaso kung saan ang biktima ng karahasan sa tahanan ay isang senior citizen?")</f>
        <v>Paano tinutugunan ng batas ang mga kaso kung saan ang biktima ng karahasan sa tahanan ay isang senior citizen?</v>
      </c>
      <c r="E1034" s="2" t="str">
        <f>IFERROR(__xludf.DUMMYFUNCTION("GOOGLETRANSLATE(C1034, ""en"", ""TL"")"),"Kinikilala ng batas ng Pilipinas ang kahinaan ng mga senior citizen na nakakaranas ng karahasan sa tahanan at nag-aalok sa kanila ng proteksyon sa pamamagitan ng kumbinasyon ng umiiral na batas:
**1. Republic Act No. 9262 (Anti-Violence Against Women and "&amp;"Their Children Act o RA 9262):**
Habang ang batas na ito ay pangunahing nakatuon sa karahasan laban sa kababaihan at kanilang mga anak, maaari pa rin itong ilapat sa mga kaso kung saan ang isang senior citizen ang biktima. Ang RA 9262 ay tumutukoy at nagp"&amp;"oprotekta laban sa iba't ibang anyo ng karahasan, kabilang ang pisikal, sekswal, sikolohikal, at pang-ekonomiyang pang-aabuso.
**2. Expanded Anti-Trafficking in Persons Act (Republic Act No. 10364):**
Ang batas na ito, bagama't sa pangkalahatan ay nakatuo"&amp;"n sa human trafficking, ay maaari ding may kaugnayan sa ilang mga kaso ng karahasan sa tahanan na kinasasangkutan ng mga senior citizen. Halimbawa, kung ipinagkait ng isang nang-aabuso ang gamot o mga pangangailangan ng isang matanda, maaari itong ituring"&amp;" na isang uri ng sapilitang paggawa o paglilingkod sa ilalim ng ilang partikular na sitwasyon.
**3. The Elderly Abuse Law (House Bill No. 7030 o Anti-Elder Abuse Act):**
Ang iminungkahing panukalang batas na ito, habang hindi pa batas (mula noong Oktubre "&amp;"27, 2023), ay nag-aalok ng isang partikular na legal na balangkas upang tugunan ang pang-aabuso sa nakatatanda. Tinutukoy nito ang pang-aabuso sa nakatatanda, binabalangkas ang iba't ibang anyo ng pang-aabuso (pisikal, sikolohikal, emosyonal, pananalapi, "&amp;"at kapabayaan), at nagtatakda ng mga parusa para sa mga may kasalanan.
**Mga Kasalukuyang Legal na Proteksyon:**
Kahit na walang partikular na batas na nakatuon lamang sa pang-aabuso sa nakatatanda, ang mga senior citizen ay maaari pa ring humingi ng prot"&amp;"eksyon sa ilalim ng umiiral na batas:
* **Mga Kautusan sa Proteksyon:** Katulad ng mga biktima sa ilalim ng RA 9262, ang mga senior citizen ay maaaring magpetisyon para sa Temporary Protection Orders (TPO) o Permanent Protection Orders (PPO) upang paghigp"&amp;"itan ang pakikipag-ugnayan o presensya ng nang-aabuso.
* **Pinataas na mga Parusa:** Ang ilang mga umiiral na batas, tulad ng Binagong Kodigo Penal, ay maaaring isaalang-alang ang edad ng biktima bilang isang nagpapalubha na pangyayari, na posibleng magre"&amp;"sulta sa mas mabibigat na parusa para sa nang-aabuso. **Mga Hamon at Pagsasaalang-alang:**
Sa kabila ng mga legal na proteksyon, ang mga senior citizen na nahaharap sa karahasan sa tahanan ay maaaring makaharap ng mga hamon:
* **Pag-asa sa Pinansyal:** An"&amp;"g ilang mga nakatatanda ay maaaring umaasa sa pananalapi sa kanilang nang-aabuso, na nagpapahirap sa pag-alis sa mapang-abusong sitwasyon.
* **Social Stigma:** Maaaring may social stigma na nauugnay sa pag-uulat ng pang-aabuso sa nakatatanda, na pumipigil"&amp;" sa mga nakatatanda sa paghingi ng tulong.
**Narito ang ilang mapagkukunan na makakatulong:**
* **Department of Social Welfare and Development (DSWD):** DSWD National Hotline (NCR) - 1386 o DSWWD Regional Offices [https://www.dswd.gov.ph/](https://www.dsw"&amp;"d. gov.ph/). Nag-aalok sila ng mga serbisyo ng suporta para sa mga biktima ng pang-aabuso sa matatanda.
* **NGOs:** Maraming NGO ang tumutuon sa mga karapatan ng senior citizen at maaaring magbigay ng suporta at legal na tulong sa mga biktima ng karahasan"&amp;" sa tahanan.
* **Mga Lokal na Konseho ng Barangay:** Ang mga barangay (ang pinakamaliit na yunit ng administratibo sa Pilipinas) ay maaaring maging panimulang punto para sa pag-uulat ng pang-aabuso at paghingi ng tulong.
**Tandaan:** Ang mga senior citize"&amp;"n ay nararapat na mabuhay nang malaya sa karahasan. Huwag mag-atubiling makipag-ugnayan para sa tulong at tuklasin ang iyong mga legal na opsyon. May mga mapagkukunang magagamit upang suportahan ka.")</f>
        <v>Kinikilala ng batas ng Pilipinas ang kahinaan ng mga senior citizen na nakakaranas ng karahasan sa tahanan at nag-aalok sa kanila ng proteksyon sa pamamagitan ng kumbinasyon ng umiiral na batas:
**1. Republic Act No. 9262 (Anti-Violence Against Women and Their Children Act o RA 9262):**
Habang ang batas na ito ay pangunahing nakatuon sa karahasan laban sa kababaihan at kanilang mga anak, maaari pa rin itong ilapat sa mga kaso kung saan ang isang senior citizen ang biktima. Ang RA 9262 ay tumutukoy at nagpoprotekta laban sa iba't ibang anyo ng karahasan, kabilang ang pisikal, sekswal, sikolohikal, at pang-ekonomiyang pang-aabuso.
**2. Expanded Anti-Trafficking in Persons Act (Republic Act No. 10364):**
Ang batas na ito, bagama't sa pangkalahatan ay nakatuon sa human trafficking, ay maaari ding may kaugnayan sa ilang mga kaso ng karahasan sa tahanan na kinasasangkutan ng mga senior citizen. Halimbawa, kung ipinagkait ng isang nang-aabuso ang gamot o mga pangangailangan ng isang matanda, maaari itong ituring na isang uri ng sapilitang paggawa o paglilingkod sa ilalim ng ilang partikular na sitwasyon.
**3. The Elderly Abuse Law (House Bill No. 7030 o Anti-Elder Abuse Act):**
Ang iminungkahing panukalang batas na ito, habang hindi pa batas (mula noong Oktubre 27, 2023), ay nag-aalok ng isang partikular na legal na balangkas upang tugunan ang pang-aabuso sa nakatatanda. Tinutukoy nito ang pang-aabuso sa nakatatanda, binabalangkas ang iba't ibang anyo ng pang-aabuso (pisikal, sikolohikal, emosyonal, pananalapi, at kapabayaan), at nagtatakda ng mga parusa para sa mga may kasalanan.
**Mga Kasalukuyang Legal na Proteksyon:**
Kahit na walang partikular na batas na nakatuon lamang sa pang-aabuso sa nakatatanda, ang mga senior citizen ay maaari pa ring humingi ng proteksyon sa ilalim ng umiiral na batas:
* **Mga Kautusan sa Proteksyon:** Katulad ng mga biktima sa ilalim ng RA 9262, ang mga senior citizen ay maaaring magpetisyon para sa Temporary Protection Orders (TPO) o Permanent Protection Orders (PPO) upang paghigpitan ang pakikipag-ugnayan o presensya ng nang-aabuso.
* **Pinataas na mga Parusa:** Ang ilang mga umiiral na batas, tulad ng Binagong Kodigo Penal, ay maaaring isaalang-alang ang edad ng biktima bilang isang nagpapalubha na pangyayari, na posibleng magresulta sa mas mabibigat na parusa para sa nang-aabuso. **Mga Hamon at Pagsasaalang-alang:**
Sa kabila ng mga legal na proteksyon, ang mga senior citizen na nahaharap sa karahasan sa tahanan ay maaaring makaharap ng mga hamon:
* **Pag-asa sa Pinansyal:** Ang ilang mga nakatatanda ay maaaring umaasa sa pananalapi sa kanilang nang-aabuso, na nagpapahirap sa pag-alis sa mapang-abusong sitwasyon.
* **Social Stigma:** Maaaring may social stigma na nauugnay sa pag-uulat ng pang-aabuso sa nakatatanda, na pumipigil sa mga nakatatanda sa paghingi ng tulong.
**Narito ang ilang mapagkukunan na makakatulong:**
* **Department of Social Welfare and Development (DSWD):** DSWD National Hotline (NCR) - 1386 o DSWWD Regional Offices [https://www.dswd.gov.ph/](https://www.dswd. gov.ph/). Nag-aalok sila ng mga serbisyo ng suporta para sa mga biktima ng pang-aabuso sa matatanda.
* **NGOs:** Maraming NGO ang tumutuon sa mga karapatan ng senior citizen at maaaring magbigay ng suporta at legal na tulong sa mga biktima ng karahasan sa tahanan.
* **Mga Lokal na Konseho ng Barangay:** Ang mga barangay (ang pinakamaliit na yunit ng administratibo sa Pilipinas) ay maaaring maging panimulang punto para sa pag-uulat ng pang-aabuso at paghingi ng tulong.
**Tandaan:** Ang mga senior citizen ay nararapat na mabuhay nang malaya sa karahasan. Huwag mag-atubiling makipag-ugnayan para sa tulong at tuklasin ang iyong mga legal na opsyon. May mga mapagkukunang magagamit upang suportahan ka.</v>
      </c>
      <c r="F1034" s="2">
        <f t="shared" si="1"/>
        <v>0</v>
      </c>
      <c r="G1034" s="2"/>
      <c r="H1034" s="2"/>
      <c r="I1034" s="2"/>
      <c r="J1034" s="2"/>
      <c r="K1034" s="2"/>
      <c r="L1034" s="2"/>
      <c r="M1034" s="2"/>
      <c r="N1034" s="2"/>
      <c r="O1034" s="2"/>
      <c r="P1034" s="2"/>
      <c r="Q1034" s="2"/>
      <c r="R1034" s="2"/>
      <c r="S1034" s="2"/>
      <c r="T1034" s="2"/>
      <c r="U1034" s="2"/>
      <c r="V1034" s="2"/>
      <c r="W1034" s="2"/>
      <c r="X1034" s="2"/>
      <c r="Y1034" s="2"/>
      <c r="Z1034" s="2"/>
      <c r="AA1034" s="2"/>
    </row>
    <row r="1035">
      <c r="A1035" s="3" t="s">
        <v>2763</v>
      </c>
      <c r="B1035" s="1" t="s">
        <v>3234</v>
      </c>
      <c r="C1035" s="1" t="s">
        <v>3235</v>
      </c>
      <c r="D1035" s="2" t="str">
        <f>IFERROR(__xludf.DUMMYFUNCTION("GOOGLETRANSLATE(B1035, ""en"", ""TL"")"),"Maaari ba akong makakuha ng legal na proteksyon kung ako ay nasa isang polyamorous o hindi tradisyonal na relasyon?")</f>
        <v>Maaari ba akong makakuha ng legal na proteksyon kung ako ay nasa isang polyamorous o hindi tradisyonal na relasyon?</v>
      </c>
      <c r="E1035" s="2" t="str">
        <f>IFERROR(__xludf.DUMMYFUNCTION("GOOGLETRANSLATE(C1035, ""en"", ""TL"")"),"Bagama't walang partikular na batas ang Pilipinas na direktang tumutugon sa karahasan sa tahanan sa mga polyamorous o hindi tradisyonal na relasyon, may mga paraan para makakuha ng legal na proteksyon sa ilang partikular na sitwasyon. Narito ang isang bre"&amp;"akdown:
**Kasalukuyang Legal na Landscape:**
Pangunahing nakatuon ang batas ng Pilipinas sa pagprotekta sa tradisyunal na pag-aasawa at pakikipagsosyo sa common-law. Maaari nitong gawing mas mahirap ang pagkuha ng parehong mga legal na proteksyon na magag"&amp;"amit ng mga mag-asawa sa mga kaso ng karahasan sa tahanan.
**Mga Potensyal na Avenue para sa Proteksyon:**
Gayunpaman, mayroon pa ring mga legal na opsyon na maaari mong tuklasin:
* **Mga Pangkalahatang Batas Laban sa Karahasan:** Kahit na walang partikul"&amp;"ar na batas sa karahasan sa tahanan na nalalapat sa iyong sitwasyon, maaari ka pa ring magsampa ng mga kaso laban sa iyong nang-aabuso sa ilalim ng mga pangkalahatang batas laban sa karahasan, pag-atake, o baterya depende sa uri ng pang-aabuso.
* **Mga Ka"&amp;"sunduan sa Pagsasama-sama:** Bagama't hindi legal na nagbubuklod sa Pilipinas, ang paggawa ng kasunduan sa pagsasama-sama sa iyong mga kasosyo ay maaaring magbalangkas ng mga pagsasaayos ng pamumuhay, pananalapi, at maging ang mga potensyal na mekanismo s"&amp;"a paglutas ng hindi pagkakaunawaan. * **Testimonya ng Saksi:** Kung nakikibahagi ka sa tirahan sa iyong mga kasosyo o may iba pang saksi sa pang-aabuso, ang kanilang mga testimonya ay maaaring maging mahalagang ebidensya sa korte.
**Tumuon sa Kaligtasan:*"&amp;"*
Anuman ang mga legal na kumplikado, ang iyong kaligtasan ang pangunahing priyoridad. Narito ang ilang hakbang na maaari mong gawin:
* **Idokumento ang Pang-aabuso:** Panatilihin ang isang talaan ng mga insidente, kabilang ang mga petsa, mga detalye ng p"&amp;"ang-aabuso, at anumang pinsalang natamo. * **Humingi ng Medikal na Atensyon:** Kung nasugatan ka, humingi ng medikal na atensyon at idokumento ang anumang pinsala.
* **Mag-ulat sa Pulis:** Iulat ang pang-aabuso sa pulisya, kahit na hindi ka sigurado tungk"&amp;"ol sa legal na resulta. * **Makipag-ugnayan sa mga NGO:** Nag-aalok ang ilang NGO ng suporta at mapagkukunan sa mga biktima ng karahasan sa tahanan, anuman ang katayuan ng relasyon. Maaari kang maghanap online para sa mga organisasyon sa iyong lugar. **Le"&amp;"gal na Konsultasyon:**
Ang pagkonsulta sa isang abogadong may karanasan sa batas ng pamilya ay lubos na inirerekomenda. Maaari nilang tasahin ang iyong partikular na sitwasyon at payuhan ang pinakamahusay na paraan ng pagkilos, isinasaalang-alang ang kasa"&amp;"lukuyang legal na balangkas at mga potensyal na paraan upang humingi ng proteksyon.
**Naghahanap sa Harap:**
Nakikita ng Pilipinas ang lumalaking talakayan at mga legal na hakbangin tungkol sa mga karapatan ng LGBTQIA+ at pagkilala sa mga hindi tradisyona"&amp;"l na pamilya. Bagama't walang garantiya ng isang mabilis na pagbabago, ang mga pag-unlad na ito ay maaaring magbigay daan para sa hinaharap na mga legal na proteksyon na sumasaklaw sa karahasan sa tahanan sa polyamorous o hindi tradisyonal na mga relasyon"&amp;".
**Tandaan:** Hindi ka nag-iisa. May mga mapagkukunang magagamit upang matulungan ka, kahit na ang legal na landas ay maaaring hindi gaanong malinaw. Unahin ang iyong kaligtasan at humingi ng tulong sa mga pinagkakatiwalaang indibidwal o organisasyon.")</f>
        <v>Bagama't walang partikular na batas ang Pilipinas na direktang tumutugon sa karahasan sa tahanan sa mga polyamorous o hindi tradisyonal na relasyon, may mga paraan para makakuha ng legal na proteksyon sa ilang partikular na sitwasyon. Narito ang isang breakdown:
**Kasalukuyang Legal na Landscape:**
Pangunahing nakatuon ang batas ng Pilipinas sa pagprotekta sa tradisyunal na pag-aasawa at pakikipagsosyo sa common-law. Maaari nitong gawing mas mahirap ang pagkuha ng parehong mga legal na proteksyon na magagamit ng mga mag-asawa sa mga kaso ng karahasan sa tahanan.
**Mga Potensyal na Avenue para sa Proteksyon:**
Gayunpaman, mayroon pa ring mga legal na opsyon na maaari mong tuklasin:
* **Mga Pangkalahatang Batas Laban sa Karahasan:** Kahit na walang partikular na batas sa karahasan sa tahanan na nalalapat sa iyong sitwasyon, maaari ka pa ring magsampa ng mga kaso laban sa iyong nang-aabuso sa ilalim ng mga pangkalahatang batas laban sa karahasan, pag-atake, o baterya depende sa uri ng pang-aabuso.
* **Mga Kasunduan sa Pagsasama-sama:** Bagama't hindi legal na nagbubuklod sa Pilipinas, ang paggawa ng kasunduan sa pagsasama-sama sa iyong mga kasosyo ay maaaring magbalangkas ng mga pagsasaayos ng pamumuhay, pananalapi, at maging ang mga potensyal na mekanismo sa paglutas ng hindi pagkakaunawaan. * **Testimonya ng Saksi:** Kung nakikibahagi ka sa tirahan sa iyong mga kasosyo o may iba pang saksi sa pang-aabuso, ang kanilang mga testimonya ay maaaring maging mahalagang ebidensya sa korte.
**Tumuon sa Kaligtasan:**
Anuman ang mga legal na kumplikado, ang iyong kaligtasan ang pangunahing priyoridad. Narito ang ilang hakbang na maaari mong gawin:
* **Idokumento ang Pang-aabuso:** Panatilihin ang isang talaan ng mga insidente, kabilang ang mga petsa, mga detalye ng pang-aabuso, at anumang pinsalang natamo. * **Humingi ng Medikal na Atensyon:** Kung nasugatan ka, humingi ng medikal na atensyon at idokumento ang anumang pinsala.
* **Mag-ulat sa Pulis:** Iulat ang pang-aabuso sa pulisya, kahit na hindi ka sigurado tungkol sa legal na resulta. * **Makipag-ugnayan sa mga NGO:** Nag-aalok ang ilang NGO ng suporta at mapagkukunan sa mga biktima ng karahasan sa tahanan, anuman ang katayuan ng relasyon. Maaari kang maghanap online para sa mga organisasyon sa iyong lugar. **Legal na Konsultasyon:**
Ang pagkonsulta sa isang abogadong may karanasan sa batas ng pamilya ay lubos na inirerekomenda. Maaari nilang tasahin ang iyong partikular na sitwasyon at payuhan ang pinakamahusay na paraan ng pagkilos, isinasaalang-alang ang kasalukuyang legal na balangkas at mga potensyal na paraan upang humingi ng proteksyon.
**Naghahanap sa Harap:**
Nakikita ng Pilipinas ang lumalaking talakayan at mga legal na hakbangin tungkol sa mga karapatan ng LGBTQIA+ at pagkilala sa mga hindi tradisyonal na pamilya. Bagama't walang garantiya ng isang mabilis na pagbabago, ang mga pag-unlad na ito ay maaaring magbigay daan para sa hinaharap na mga legal na proteksyon na sumasaklaw sa karahasan sa tahanan sa polyamorous o hindi tradisyonal na mga relasyon.
**Tandaan:** Hindi ka nag-iisa. May mga mapagkukunang magagamit upang matulungan ka, kahit na ang legal na landas ay maaaring hindi gaanong malinaw. Unahin ang iyong kaligtasan at humingi ng tulong sa mga pinagkakatiwalaang indibidwal o organisasyon.</v>
      </c>
      <c r="F1035" s="2">
        <f t="shared" si="1"/>
        <v>0</v>
      </c>
      <c r="G1035" s="2"/>
      <c r="H1035" s="2"/>
      <c r="I1035" s="2"/>
      <c r="J1035" s="2"/>
      <c r="K1035" s="2"/>
      <c r="L1035" s="2"/>
      <c r="M1035" s="2"/>
      <c r="N1035" s="2"/>
      <c r="O1035" s="2"/>
      <c r="P1035" s="2"/>
      <c r="Q1035" s="2"/>
      <c r="R1035" s="2"/>
      <c r="S1035" s="2"/>
      <c r="T1035" s="2"/>
      <c r="U1035" s="2"/>
      <c r="V1035" s="2"/>
      <c r="W1035" s="2"/>
      <c r="X1035" s="2"/>
      <c r="Y1035" s="2"/>
      <c r="Z1035" s="2"/>
      <c r="AA1035" s="2"/>
    </row>
    <row r="1036">
      <c r="A1036" s="3" t="s">
        <v>2763</v>
      </c>
      <c r="B1036" s="1" t="s">
        <v>3236</v>
      </c>
      <c r="C1036" s="1" t="s">
        <v>3237</v>
      </c>
      <c r="D1036" s="2" t="str">
        <f>IFERROR(__xludf.DUMMYFUNCTION("GOOGLETRANSLATE(B1036, ""en"", ""TL"")"),"Paano tinutugunan ng batas ang mga kaso kung saan ang biktima ng karahasan sa tahanan ay miyembro ng isang marginalized na komunidad?")</f>
        <v>Paano tinutugunan ng batas ang mga kaso kung saan ang biktima ng karahasan sa tahanan ay miyembro ng isang marginalized na komunidad?</v>
      </c>
      <c r="E1036" s="2" t="str">
        <f>IFERROR(__xludf.DUMMYFUNCTION("GOOGLETRANSLATE(C1036, ""en"", ""TL"")"),"Kinikilala ng legal na sistema ng Pilipinas ang karahasan sa tahanan laban sa mga marginalized na komunidad, ngunit may mga hamon sa pagtugon sa mga ito. Narito ang isang breakdown ng batas at mga limitasyon nito:
**Mga Naaangkop na Batas:**
* **Republic "&amp;"Act No. 9262 (Anti-Violence Against Women and their Children Act o RA 9262):** Ang pangunahing batas na ito ay nananatiling pundasyon para sa pagtugon sa karahasan sa tahanan, pagprotekta sa kababaihan at kanilang mga anak mula sa pisikal, sekswal, sikolo"&amp;"hikal, at ekonomiya pang-aabuso.
* **Ibang Batas:** Depende sa mga partikular na pangyayari, maaaring naaangkop ang ibang mga batas tulad ng Binagong Kodigo Penal (para sa pag-atake, baterya) o ang Expanded Anti-Trafficking in Persons Act (para sa sapilit"&amp;"ang paggawa o paglilingkod).
**Mga Hamon para sa Marginalized Communities:**
Habang umiiral ang mga batas, nahaharap ang mga marginalized na komunidad ng mga karagdagang hadlang:
* **Mga Stereotype at Bias:** Ang pagpapatupad ng batas at mga sistema ng hu"&amp;"disyal ay maaaring magkaroon ng mga walang malay na pagkiling na maaaring makaapekto sa kung gaano kaseryoso ang pagtanggap sa ulat ng biktima. * **Mga Hadlang sa Wika:** Ang limitadong pag-access sa mga interpreter o komunikasyong hindi sensitibo sa kult"&amp;"ura ay maaaring lumikha ng mga kahirapan sa pag-uulat ng pang-aabuso at pag-navigate sa legal na proseso. * **Economic Dependence:** Ang pag-asa sa pananalapi sa nang-aabuso, karaniwan sa ilang marginalized na komunidad, ay maaaring maging mas mahirap par"&amp;"a sa mga biktima na umalis sa mapang-abusong sitwasyon.
* **Takot sa Deportasyon (para sa mga imigrante):** Ang mga biktima ng imigrante ay maaaring matakot sa pagpapatapon kung mag-uulat sila ng pang-aabuso ng isang mamamayan o legal na residente.
**Kaha"&amp;"lagahan ng Cultural Sensitivity:**
Para maging epektibo ang batas, mahalaga ang pagiging sensitibo sa kultura:
* **Pagsasanay:** Ang tagapagpatupad ng batas at mga social worker ay dapat sumailalim sa pagsasanay upang kilalanin ang karahasan sa tahanan sa"&amp;" loob ng iba't ibang konteksto ng kultura at maiwasan ang pagkiling.
* **Accessibility:** Ang mga serbisyo ng suporta at legal na mapagkukunan ay kailangang ma-access sa iba't ibang wika at tumugon sa mga partikular na pangangailangan ng mga marginalized "&amp;"na komunidad.
**Ano ang Magagawa Mo:**
* **Idokumento ang Pang-aabuso:** Panatilihin ang isang talaan ng mga insidente, kabilang ang mga petsa, mga detalye ng pang-aabuso, at anumang pinsalang natamo.
* **Humingi ng Suporta:** Maghanap ng mga NGO o organi"&amp;"sasyong dalubhasa sa karahasan sa tahanan sa loob ng iyong komunidad. Maaari silang magbigay ng suporta at gabay na sensitibo sa kultura. * **Legal na Konsultasyon:** Ang isang abogado na pamilyar sa mga kaso ng karahasan sa tahanan at ang mga hamon na ki"&amp;"nakaharap ng mga marginalized na komunidad ay maaaring maging napakahalaga. **Mga Mapagkukunan:**
* **Mga Ahensya ng Pamahalaan:**
* Department of Social Welfare and Development (DSWD): DSWD National Hotline (NCR) - 1386 o DSWWD Regional Offices [https://"&amp;"www.dswd.gov.ph/](https://www.dswd.gov.ph/ )
* Philippine National Police (PNP) Women and Children Protection Center (WCPC) hotline: 1853
* **NGOs:** Maghanap online para sa mga organisasyon sa iyong lugar na nakatuon sa karahasan sa tahanan at suporta pa"&amp;"ra sa mga marginalized na komunidad.
**Tandaan:** May mga taong nakakaunawa sa mga partikular na hamon na iyong kinakaharap at makakatulong. Huwag mag-atubiling makipag-ugnayan para sa suporta at tuklasin ang iyong mga legal na opsyon. Hindi ka nag-iisa.")</f>
        <v>Kinikilala ng legal na sistema ng Pilipinas ang karahasan sa tahanan laban sa mga marginalized na komunidad, ngunit may mga hamon sa pagtugon sa mga ito. Narito ang isang breakdown ng batas at mga limitasyon nito:
**Mga Naaangkop na Batas:**
* **Republic Act No. 9262 (Anti-Violence Against Women and their Children Act o RA 9262):** Ang pangunahing batas na ito ay nananatiling pundasyon para sa pagtugon sa karahasan sa tahanan, pagprotekta sa kababaihan at kanilang mga anak mula sa pisikal, sekswal, sikolohikal, at ekonomiya pang-aabuso.
* **Ibang Batas:** Depende sa mga partikular na pangyayari, maaaring naaangkop ang ibang mga batas tulad ng Binagong Kodigo Penal (para sa pag-atake, baterya) o ang Expanded Anti-Trafficking in Persons Act (para sa sapilitang paggawa o paglilingkod).
**Mga Hamon para sa Marginalized Communities:**
Habang umiiral ang mga batas, nahaharap ang mga marginalized na komunidad ng mga karagdagang hadlang:
* **Mga Stereotype at Bias:** Ang pagpapatupad ng batas at mga sistema ng hudisyal ay maaaring magkaroon ng mga walang malay na pagkiling na maaaring makaapekto sa kung gaano kaseryoso ang pagtanggap sa ulat ng biktima. * **Mga Hadlang sa Wika:** Ang limitadong pag-access sa mga interpreter o komunikasyong hindi sensitibo sa kultura ay maaaring lumikha ng mga kahirapan sa pag-uulat ng pang-aabuso at pag-navigate sa legal na proseso. * **Economic Dependence:** Ang pag-asa sa pananalapi sa nang-aabuso, karaniwan sa ilang marginalized na komunidad, ay maaaring maging mas mahirap para sa mga biktima na umalis sa mapang-abusong sitwasyon.
* **Takot sa Deportasyon (para sa mga imigrante):** Ang mga biktima ng imigrante ay maaaring matakot sa pagpapatapon kung mag-uulat sila ng pang-aabuso ng isang mamamayan o legal na residente.
**Kahalagahan ng Cultural Sensitivity:**
Para maging epektibo ang batas, mahalaga ang pagiging sensitibo sa kultura:
* **Pagsasanay:** Ang tagapagpatupad ng batas at mga social worker ay dapat sumailalim sa pagsasanay upang kilalanin ang karahasan sa tahanan sa loob ng iba't ibang konteksto ng kultura at maiwasan ang pagkiling.
* **Accessibility:** Ang mga serbisyo ng suporta at legal na mapagkukunan ay kailangang ma-access sa iba't ibang wika at tumugon sa mga partikular na pangangailangan ng mga marginalized na komunidad.
**Ano ang Magagawa Mo:**
* **Idokumento ang Pang-aabuso:** Panatilihin ang isang talaan ng mga insidente, kabilang ang mga petsa, mga detalye ng pang-aabuso, at anumang pinsalang natamo.
* **Humingi ng Suporta:** Maghanap ng mga NGO o organisasyong dalubhasa sa karahasan sa tahanan sa loob ng iyong komunidad. Maaari silang magbigay ng suporta at gabay na sensitibo sa kultura. * **Legal na Konsultasyon:** Ang isang abogado na pamilyar sa mga kaso ng karahasan sa tahanan at ang mga hamon na kinakaharap ng mga marginalized na komunidad ay maaaring maging napakahalaga. **Mga Mapagkukunan:**
* **Mga Ahensya ng Pamahalaan:**
* Department of Social Welfare and Development (DSWD): DSWD National Hotline (NCR) - 1386 o DSWWD Regional Offices [https://www.dswd.gov.ph/](https://www.dswd.gov.ph/ )
* Philippine National Police (PNP) Women and Children Protection Center (WCPC) hotline: 1853
* **NGOs:** Maghanap online para sa mga organisasyon sa iyong lugar na nakatuon sa karahasan sa tahanan at suporta para sa mga marginalized na komunidad.
**Tandaan:** May mga taong nakakaunawa sa mga partikular na hamon na iyong kinakaharap at makakatulong. Huwag mag-atubiling makipag-ugnayan para sa suporta at tuklasin ang iyong mga legal na opsyon. Hindi ka nag-iisa.</v>
      </c>
      <c r="F1036" s="2">
        <f t="shared" si="1"/>
        <v>0</v>
      </c>
      <c r="G1036" s="2"/>
      <c r="H1036" s="2"/>
      <c r="I1036" s="2"/>
      <c r="J1036" s="2"/>
      <c r="K1036" s="2"/>
      <c r="L1036" s="2"/>
      <c r="M1036" s="2"/>
      <c r="N1036" s="2"/>
      <c r="O1036" s="2"/>
      <c r="P1036" s="2"/>
      <c r="Q1036" s="2"/>
      <c r="R1036" s="2"/>
      <c r="S1036" s="2"/>
      <c r="T1036" s="2"/>
      <c r="U1036" s="2"/>
      <c r="V1036" s="2"/>
      <c r="W1036" s="2"/>
      <c r="X1036" s="2"/>
      <c r="Y1036" s="2"/>
      <c r="Z1036" s="2"/>
      <c r="AA1036" s="2"/>
    </row>
    <row r="1037">
      <c r="A1037" s="3" t="s">
        <v>2763</v>
      </c>
      <c r="B1037" s="1" t="s">
        <v>3238</v>
      </c>
      <c r="C1037" s="1" t="s">
        <v>3239</v>
      </c>
      <c r="D1037" s="2" t="str">
        <f>IFERROR(__xludf.DUMMYFUNCTION("GOOGLETRANSLATE(B1037, ""en"", ""TL"")"),"Maaari ba akong makakuha ng legal na proteksyon kung ako ay biktima ng karahasan sa tahanan ngunit walang dokumentasyon o legal na katayuan?")</f>
        <v>Maaari ba akong makakuha ng legal na proteksyon kung ako ay biktima ng karahasan sa tahanan ngunit walang dokumentasyon o legal na katayuan?</v>
      </c>
      <c r="E1037" s="2" t="str">
        <f>IFERROR(__xludf.DUMMYFUNCTION("GOOGLETRANSLATE(C1037, ""en"", ""TL"")"),"Kinikilala ng Pilipinas ang kahinaan ng mga biktima ng karahasan sa tahanan anuman ang katayuan sa imigrasyon, at may mga paraan pa rin upang humingi ng proteksyon kahit na kulang ka sa dokumentasyon. Narito ang isang breakdown ng sitwasyon:
**Mga Hamon p"&amp;"ara sa Mga Walang Dokumentong Biktima:**
* **Takot sa Deportasyon:** Ang pangunahing alalahanin para sa mga hindi dokumentadong biktima ay kadalasan ang takot sa deportasyon kung iuulat nila ang pang-aabuso. * **Limitadong Pag-access sa Mga Mapagkukunan:*"&amp;"* Kung walang wastong dokumentasyon, maaaring maging mas mahirap ang pag-access sa mga serbisyo ng gobyerno o pagkuha ng legal na tulong. **Tumuon sa Kaligtasan:**
Sa kabila ng mga hamon, ang iyong kaligtasan ang pinakamahalaga. Narito ang maaari mong gaw"&amp;"in:
* **Iulat ang Pang-aabuso:** Maaari mo pa ring iulat ang pang-aabuso sa pulisya, kahit na hindi ka dokumentado. Inutusan silang seryosohin ang mga ulat sa karahasan sa tahanan anuman ang katayuan sa imigrasyon. * Maaari kang humiling na makipag-usap s"&amp;"a isang babaeng pulis kung mas komportable ka.
* **Humingi ng Medikal na Atensyon:** Kung nasugatan ka, humingi ng medikal na atensyon at idokumento ang anumang pinsala. Ang mga rekord na ito ay maaaring magsilbing ebidensya.
* **NGOs:** Nag-aalok ang ila"&amp;"ng NGO ng suporta at tulong sa mga biktima ng karahasan sa tahanan, anuman ang katayuan sa imigrasyon. Maaari silang magbigay ng:
* Mga ligtas na kanlungan o kanlungan
* Legal na tulong at payo
* Mga serbisyo sa pagsasalin kung kinakailangan
**Pagiging Ku"&amp;"mpidensyal:**
Ang tagapagpatupad ng batas at mga tagapagbigay ng serbisyong panlipunan ay karaniwang kinakailangan na panatilihin ang pagiging kompidensiyal tungkol sa iyong katayuan sa imigrasyon kapag nag-ulat ka ng karahasan sa tahanan.
**Potensyal na "&amp;"Legal na Opsyon:**
Bagama't maaaring limitado ang mga legal na opsyon dahil sa katayuan ng iyong dokumentasyon, narito ang ilang posibilidad:
* **Mga Kautusan sa Proteksyon:** May mga kaso kung saan ang mga hindi dokumentadong biktima ay nabigyan ng mga u"&amp;"tos ng proteksyon sa ilalim ng Republic Act No. 9262 (Anti-Violence Against Women and their Children Act o RA 9262) Ang mga kautusang ito ay maaaring makatulong sa paghihigpit sa pakikipag-ugnayan o presensya ng nang-aabuso, pagtataguyod ng iyong kaligtas"&amp;"an.
* **Mga Opsyon sa Immigration (Kumunsulta sa Abogado):** Depende sa partikular na sitwasyon at uri ng iyong relasyon sa nang-aabuso, maaaring may mga potensyal na opsyon sa imigrasyon na magagamit sa hinaharap, gaya ng VAWA (Violence Against Women Act"&amp;") kung ang ang nang-aabuso ay isang mamamayan ng US o legal na permanenteng residente [https://www.americanimmigrationcouncil.org/sites/default/files/research/violence_against_women_act_provides_protections_for_noncitizen_women_and_victims_of_crime.pdf](h"&amp;"ttps://www.americanimmigrationcouncil.pdf](https://www.americanimmigrationcouncil/default. /violence_against_women_act_provides_protections_for_noncitizen_women_and_victims_of_crime.pdf). Gayunpaman, ito ay isang masalimuot na larangan ng batas, at ang pa"&amp;"gkonsulta sa isang abugado sa imigrasyon na dalubhasa sa mga kaso ng karahasan sa tahanan ay napakahalaga.
**Paghahanap ng Tulong:**
* **Mga Hotline ng NGO:** Maraming NGO ang may mga hotline na partikular para sa mga biktima ng karahasan sa tahanan. Maaa"&amp;"ri kang maghanap online para sa mga organisasyon sa iyong lugar na nag-aalok ng tulong sa iyong wika. * **US Embassy (kung naaangkop):** Ang US Embassy sa Pilipinas ay maaaring mag-alok ng mga mapagkukunan at suporta sa mga mamamayan ng US na nakakaranas "&amp;"ng karahasan sa tahanan.
**Disclaimer:** Ang impormasyong ito ay para sa pangkalahatang kamalayan at hindi dapat ituring na legal na payo. Malaki ang epekto ng mga partikular na detalye ng iyong sitwasyon sa mga available na opsyon at legal na landas. Ang"&amp;" pagkonsulta sa isang abogadong may karanasan sa mga kaso ng karahasan sa tahanan at batas sa imigrasyon ay mahalaga para sa epektibong pag-navigate sa iyong sitwasyon.
**Tandaan:** Huwag mag-atubiling humingi ng tulong. May mga taong kayang suportahan ka"&amp;" at ipaglaban ang iyong kaligtasan sa kabila ng mga hamon ng kakulangan ng dokumentasyon. Hindi ka nag-iisa.")</f>
        <v>Kinikilala ng Pilipinas ang kahinaan ng mga biktima ng karahasan sa tahanan anuman ang katayuan sa imigrasyon, at may mga paraan pa rin upang humingi ng proteksyon kahit na kulang ka sa dokumentasyon. Narito ang isang breakdown ng sitwasyon:
**Mga Hamon para sa Mga Walang Dokumentong Biktima:**
* **Takot sa Deportasyon:** Ang pangunahing alalahanin para sa mga hindi dokumentadong biktima ay kadalasan ang takot sa deportasyon kung iuulat nila ang pang-aabuso. * **Limitadong Pag-access sa Mga Mapagkukunan:** Kung walang wastong dokumentasyon, maaaring maging mas mahirap ang pag-access sa mga serbisyo ng gobyerno o pagkuha ng legal na tulong. **Tumuon sa Kaligtasan:**
Sa kabila ng mga hamon, ang iyong kaligtasan ang pinakamahalaga. Narito ang maaari mong gawin:
* **Iulat ang Pang-aabuso:** Maaari mo pa ring iulat ang pang-aabuso sa pulisya, kahit na hindi ka dokumentado. Inutusan silang seryosohin ang mga ulat sa karahasan sa tahanan anuman ang katayuan sa imigrasyon. * Maaari kang humiling na makipag-usap sa isang babaeng pulis kung mas komportable ka.
* **Humingi ng Medikal na Atensyon:** Kung nasugatan ka, humingi ng medikal na atensyon at idokumento ang anumang pinsala. Ang mga rekord na ito ay maaaring magsilbing ebidensya.
* **NGOs:** Nag-aalok ang ilang NGO ng suporta at tulong sa mga biktima ng karahasan sa tahanan, anuman ang katayuan sa imigrasyon. Maaari silang magbigay ng:
* Mga ligtas na kanlungan o kanlungan
* Legal na tulong at payo
* Mga serbisyo sa pagsasalin kung kinakailangan
**Pagiging Kumpidensyal:**
Ang tagapagpatupad ng batas at mga tagapagbigay ng serbisyong panlipunan ay karaniwang kinakailangan na panatilihin ang pagiging kompidensiyal tungkol sa iyong katayuan sa imigrasyon kapag nag-ulat ka ng karahasan sa tahanan.
**Potensyal na Legal na Opsyon:**
Bagama't maaaring limitado ang mga legal na opsyon dahil sa katayuan ng iyong dokumentasyon, narito ang ilang posibilidad:
* **Mga Kautusan sa Proteksyon:** May mga kaso kung saan ang mga hindi dokumentadong biktima ay nabigyan ng mga utos ng proteksyon sa ilalim ng Republic Act No. 9262 (Anti-Violence Against Women and their Children Act o RA 9262) Ang mga kautusang ito ay maaaring makatulong sa paghihigpit sa pakikipag-ugnayan o presensya ng nang-aabuso, pagtataguyod ng iyong kaligtasan.
* **Mga Opsyon sa Immigration (Kumunsulta sa Abogado):** Depende sa partikular na sitwasyon at uri ng iyong relasyon sa nang-aabuso, maaaring may mga potensyal na opsyon sa imigrasyon na magagamit sa hinaharap, gaya ng VAWA (Violence Against Women Act) kung ang ang nang-aabuso ay isang mamamayan ng US o legal na permanenteng residente [https://www.americanimmigrationcouncil.org/sites/default/files/research/violence_against_women_act_provides_protections_for_noncitizen_women_and_victims_of_crime.pdf](https://www.americanimmigrationcouncil.pdf](https://www.americanimmigrationcouncil/default. /violence_against_women_act_provides_protections_for_noncitizen_women_and_victims_of_crime.pdf). Gayunpaman, ito ay isang masalimuot na larangan ng batas, at ang pagkonsulta sa isang abugado sa imigrasyon na dalubhasa sa mga kaso ng karahasan sa tahanan ay napakahalaga.
**Paghahanap ng Tulong:**
* **Mga Hotline ng NGO:** Maraming NGO ang may mga hotline na partikular para sa mga biktima ng karahasan sa tahanan. Maaari kang maghanap online para sa mga organisasyon sa iyong lugar na nag-aalok ng tulong sa iyong wika. * **US Embassy (kung naaangkop):** Ang US Embassy sa Pilipinas ay maaaring mag-alok ng mga mapagkukunan at suporta sa mga mamamayan ng US na nakakaranas ng karahasan sa tahanan.
**Disclaimer:** Ang impormasyong ito ay para sa pangkalahatang kamalayan at hindi dapat ituring na legal na payo. Malaki ang epekto ng mga partikular na detalye ng iyong sitwasyon sa mga available na opsyon at legal na landas. Ang pagkonsulta sa isang abogadong may karanasan sa mga kaso ng karahasan sa tahanan at batas sa imigrasyon ay mahalaga para sa epektibong pag-navigate sa iyong sitwasyon.
**Tandaan:** Huwag mag-atubiling humingi ng tulong. May mga taong kayang suportahan ka at ipaglaban ang iyong kaligtasan sa kabila ng mga hamon ng kakulangan ng dokumentasyon. Hindi ka nag-iisa.</v>
      </c>
      <c r="F1037" s="2">
        <f t="shared" si="1"/>
        <v>0</v>
      </c>
      <c r="G1037" s="2"/>
      <c r="H1037" s="2"/>
      <c r="I1037" s="2"/>
      <c r="J1037" s="2"/>
      <c r="K1037" s="2"/>
      <c r="L1037" s="2"/>
      <c r="M1037" s="2"/>
      <c r="N1037" s="2"/>
      <c r="O1037" s="2"/>
      <c r="P1037" s="2"/>
      <c r="Q1037" s="2"/>
      <c r="R1037" s="2"/>
      <c r="S1037" s="2"/>
      <c r="T1037" s="2"/>
      <c r="U1037" s="2"/>
      <c r="V1037" s="2"/>
      <c r="W1037" s="2"/>
      <c r="X1037" s="2"/>
      <c r="Y1037" s="2"/>
      <c r="Z1037" s="2"/>
      <c r="AA1037" s="2"/>
    </row>
    <row r="1038">
      <c r="A1038" s="3" t="s">
        <v>2763</v>
      </c>
      <c r="B1038" s="1" t="s">
        <v>3240</v>
      </c>
      <c r="C1038" s="1" t="s">
        <v>3241</v>
      </c>
      <c r="D1038" s="2" t="str">
        <f>IFERROR(__xludf.DUMMYFUNCTION("GOOGLETRANSLATE(B1038, ""en"", ""TL"")"),"Paano tinutugunan ng batas ang mga kaso kung saan ang biktima ng karahasan sa tahanan ay miyembro ng militar o tagapagpatupad ng batas?")</f>
        <v>Paano tinutugunan ng batas ang mga kaso kung saan ang biktima ng karahasan sa tahanan ay miyembro ng militar o tagapagpatupad ng batas?</v>
      </c>
      <c r="E1038" s="2" t="str">
        <f>IFERROR(__xludf.DUMMYFUNCTION("GOOGLETRANSLATE(C1038, ""en"", ""TL"")"),"Tinutugunan ng legal na sistema ng Pilipinas ang karahasan sa tahanan na kinasasangkutan ng mga tauhan ng militar at mga opisyal ng pagpapatupad ng batas sa pamamagitan ng kumbinasyon ng mga mekanismo ng sibilyan at panloob na pandisiplina. Narito ang isa"&amp;"ng breakdown:
**Mga Legal na Proteksyon ng Sibil:**
* **Republic Act No. 9262 (Anti-Violence Against Women and their Children Act o RA 9262):** Nalalapat ang pangunahing batas na ito sa mga kaso ng karahasan sa tahanan anuman ang propesyon ng biktima. Tin"&amp;"utukoy at pinoprotektahan nito ang iba't ibang anyo ng pang-aabuso, kabilang ang pisikal, sekswal, sikolohikal, at pang-ekonomiyang pang-aabuso. Ang mga biktima ay maaaring magpetisyon para sa mga utos ng proteksyon sa ilalim ng RA 9262 upang paghigpitan "&amp;"ang pakikipag-ugnayan o presensya ng nang-aabuso at itaguyod ang kaligtasan.
* **Pag-uulat sa Nagpapatupad ng Batas:** Ang karahasan sa tahanan ay isang krimen, at maaaring iulat ng mga biktima ang pang-aabuso sa pulisya anuman ang propesyon ng nang-aabus"&amp;"o. Obligado ang tagapagpatupad ng batas na seryosong imbestigahan ang mga ulat ng karahasan sa tahanan.
**Mga Panloob na Panukalang Pandisiplina:**
* **Military:** Ang Armed Forces of the Philippines (AFP) ay may sariling mga alituntunin sa karahasan sa t"&amp;"ahanan at mga pamamaraan sa pagdidisiplina. Maaaring kabilang dito ang mga parusang administratibo, muling pagtatalaga, o kahit na pagtanggal sa serbisyo depende sa kalubhaan ng pagkakasala. Ang mga biktima sa loob ng militar ay maaaring mag-ulat ng pang-"&amp;"aabuso sa pamamagitan ng kanilang chain of command o direkta sa Military Family Advocacy Program (MFAP).
* **Pagpapatupad ng Batas:** Ang Philippine National Police (PNP) ay mayroon ding mga panloob na regulasyon na tumutugon sa karahasan sa tahanan na ki"&amp;"nasasangkutan ng mga opisyal nito. Katulad ng AFP, ang mga regulasyong ito ay maaaring humantong sa mga aksyong pandisiplina, kabilang ang pagsususpinde o pagkatanggal sa trabaho. Ang mga biktima ay maaaring mag-ulat ng pang-aabuso sa kanilang nakatataas "&amp;"o sa pamamagitan ng PNP Women and Children Protection Center (WCPC) hotlines.
**Mga Pagsasaalang-alang at Hamon:**
* **Chain of Command:** Ang pag-uulat ng pang-aabuso sa pamamagitan ng chain of command ay maaaring nakakatakot para sa ilang biktima sa loo"&amp;"b ng militar o tagapagpatupad ng batas.
* **Mga Alalahanin sa Pagkakumpidensyal:** Ang pagbabalanse ng pangangailangan para sa pagiging kumpidensyal sa mga panloob na pagsisiyasat ay maaaring maging isang hamon.
* **Potensyal para sa Pagkiling:** Maaaring"&amp;" may alalahanin tungkol sa pagkiling sa loob ng kaukulang mga institusyon kapag hinahawakan ang mga kaso ng karahasan sa tahanan na kinasasangkutan ng kanilang sariling mga tauhan.
**Mga Rekomendasyon:**
* **I-explore ang Lahat ng Opsyon:** Maaaring isaal"&amp;"ang-alang ng mga biktima ang pag-uulat sa mga awtoridad ng sibilyan kasama ng mga mekanismo ng panloob na pag-uulat.
* **Humingi ng Suporta:** Military Family Advocacy Program (MFAP) at PNP Women and Children Protection Center (WCPC) ay nag-aalok ng mga s"&amp;"erbisyo ng suporta at maaaring gabayan ang mga biktima sa proseso ng pag-uulat.
* **Legal na Konsultasyon:** Ang pagkonsulta sa isang abogadong nakaranas sa mga kaso ng karahasan sa tahanan ay maaaring maging mahalaga, lalo na kung may mga kumplikado o al"&amp;"alahanin tungkol sa mga panloob na pagsisiyasat.
**Tandaan:** Ang karahasan sa tahanan ay isang malubhang krimen, at ang mga biktima ay nararapat na protektahan anuman ang kanilang propesyon. May mga mapagkukunang magagamit upang tumulong, at hindi mo kai"&amp;"langang dumaan dito nang mag-isa.")</f>
        <v>Tinutugunan ng legal na sistema ng Pilipinas ang karahasan sa tahanan na kinasasangkutan ng mga tauhan ng militar at mga opisyal ng pagpapatupad ng batas sa pamamagitan ng kumbinasyon ng mga mekanismo ng sibilyan at panloob na pandisiplina. Narito ang isang breakdown:
**Mga Legal na Proteksyon ng Sibil:**
* **Republic Act No. 9262 (Anti-Violence Against Women and their Children Act o RA 9262):** Nalalapat ang pangunahing batas na ito sa mga kaso ng karahasan sa tahanan anuman ang propesyon ng biktima. Tinutukoy at pinoprotektahan nito ang iba't ibang anyo ng pang-aabuso, kabilang ang pisikal, sekswal, sikolohikal, at pang-ekonomiyang pang-aabuso. Ang mga biktima ay maaaring magpetisyon para sa mga utos ng proteksyon sa ilalim ng RA 9262 upang paghigpitan ang pakikipag-ugnayan o presensya ng nang-aabuso at itaguyod ang kaligtasan.
* **Pag-uulat sa Nagpapatupad ng Batas:** Ang karahasan sa tahanan ay isang krimen, at maaaring iulat ng mga biktima ang pang-aabuso sa pulisya anuman ang propesyon ng nang-aabuso. Obligado ang tagapagpatupad ng batas na seryosong imbestigahan ang mga ulat ng karahasan sa tahanan.
**Mga Panloob na Panukalang Pandisiplina:**
* **Military:** Ang Armed Forces of the Philippines (AFP) ay may sariling mga alituntunin sa karahasan sa tahanan at mga pamamaraan sa pagdidisiplina. Maaaring kabilang dito ang mga parusang administratibo, muling pagtatalaga, o kahit na pagtanggal sa serbisyo depende sa kalubhaan ng pagkakasala. Ang mga biktima sa loob ng militar ay maaaring mag-ulat ng pang-aabuso sa pamamagitan ng kanilang chain of command o direkta sa Military Family Advocacy Program (MFAP).
* **Pagpapatupad ng Batas:** Ang Philippine National Police (PNP) ay mayroon ding mga panloob na regulasyon na tumutugon sa karahasan sa tahanan na kinasasangkutan ng mga opisyal nito. Katulad ng AFP, ang mga regulasyong ito ay maaaring humantong sa mga aksyong pandisiplina, kabilang ang pagsususpinde o pagkatanggal sa trabaho. Ang mga biktima ay maaaring mag-ulat ng pang-aabuso sa kanilang nakatataas o sa pamamagitan ng PNP Women and Children Protection Center (WCPC) hotlines.
**Mga Pagsasaalang-alang at Hamon:**
* **Chain of Command:** Ang pag-uulat ng pang-aabuso sa pamamagitan ng chain of command ay maaaring nakakatakot para sa ilang biktima sa loob ng militar o tagapagpatupad ng batas.
* **Mga Alalahanin sa Pagkakumpidensyal:** Ang pagbabalanse ng pangangailangan para sa pagiging kumpidensyal sa mga panloob na pagsisiyasat ay maaaring maging isang hamon.
* **Potensyal para sa Pagkiling:** Maaaring may alalahanin tungkol sa pagkiling sa loob ng kaukulang mga institusyon kapag hinahawakan ang mga kaso ng karahasan sa tahanan na kinasasangkutan ng kanilang sariling mga tauhan.
**Mga Rekomendasyon:**
* **I-explore ang Lahat ng Opsyon:** Maaaring isaalang-alang ng mga biktima ang pag-uulat sa mga awtoridad ng sibilyan kasama ng mga mekanismo ng panloob na pag-uulat.
* **Humingi ng Suporta:** Military Family Advocacy Program (MFAP) at PNP Women and Children Protection Center (WCPC) ay nag-aalok ng mga serbisyo ng suporta at maaaring gabayan ang mga biktima sa proseso ng pag-uulat.
* **Legal na Konsultasyon:** Ang pagkonsulta sa isang abogadong nakaranas sa mga kaso ng karahasan sa tahanan ay maaaring maging mahalaga, lalo na kung may mga kumplikado o alalahanin tungkol sa mga panloob na pagsisiyasat.
**Tandaan:** Ang karahasan sa tahanan ay isang malubhang krimen, at ang mga biktima ay nararapat na protektahan anuman ang kanilang propesyon. May mga mapagkukunang magagamit upang tumulong, at hindi mo kailangang dumaan dito nang mag-isa.</v>
      </c>
      <c r="F1038" s="2">
        <f t="shared" si="1"/>
        <v>0</v>
      </c>
      <c r="G1038" s="2"/>
      <c r="H1038" s="2"/>
      <c r="I1038" s="2"/>
      <c r="J1038" s="2"/>
      <c r="K1038" s="2"/>
      <c r="L1038" s="2"/>
      <c r="M1038" s="2"/>
      <c r="N1038" s="2"/>
      <c r="O1038" s="2"/>
      <c r="P1038" s="2"/>
      <c r="Q1038" s="2"/>
      <c r="R1038" s="2"/>
      <c r="S1038" s="2"/>
      <c r="T1038" s="2"/>
      <c r="U1038" s="2"/>
      <c r="V1038" s="2"/>
      <c r="W1038" s="2"/>
      <c r="X1038" s="2"/>
      <c r="Y1038" s="2"/>
      <c r="Z1038" s="2"/>
      <c r="AA1038" s="2"/>
    </row>
    <row r="1039">
      <c r="A1039" s="3" t="s">
        <v>2763</v>
      </c>
      <c r="B1039" s="1" t="s">
        <v>3242</v>
      </c>
      <c r="C1039" s="1" t="s">
        <v>3243</v>
      </c>
      <c r="D1039" s="2" t="str">
        <f>IFERROR(__xludf.DUMMYFUNCTION("GOOGLETRANSLATE(B1039, ""en"", ""TL"")"),"Maaari ba akong makakuha ng legal na proteksyon kung ako ay biktima ng karahasan sa tahanan ngunit natatakot akong mawalan ng pangangalaga sa aking mga alagang hayop?")</f>
        <v>Maaari ba akong makakuha ng legal na proteksyon kung ako ay biktima ng karahasan sa tahanan ngunit natatakot akong mawalan ng pangangalaga sa aking mga alagang hayop?</v>
      </c>
      <c r="E1039" s="2" t="str">
        <f>IFERROR(__xludf.DUMMYFUNCTION("GOOGLETRANSLATE(C1039, ""en"", ""TL"")"),"Oo, maaari kang makakuha ng legal na proteksyon kung ikaw ay biktima ng karahasan sa tahanan at pinananatili pa rin ang pangangalaga ng iyong mga alagang hayop. Narito ang ibinibigay ng batas ng Pilipinas:
* **Republic Act No. 9262 o ang Anti-Violence Aga"&amp;"inst Women and their Children Act (RA 9262)** ay nagpoprotekta sa mga biktima ng karahasan sa tahanan, kabilang ang mga kababaihan at kanilang mga anak. Kinikilala din ng batas na ito ang emosyonal at sikolohikal na attachment sa pagitan ng isang tao at n"&amp;"g kanilang mga alagang hayop.
Narito ang ilang nauugnay na probisyon ng RA 9262:
* **Seksyon 3. Kahulugan ng Karahasan sa Tahanan** ay isinasaalang-alang ang pagdudulot ng sikolohikal na pagdurusa o emosyonal na pagkabalisa sa isang tao bilang karahasan s"&amp;"a tahanan.
* **Seksyon 5. Mga Kautusan sa Proteksyon** ay nagpapahintulot sa mga korte na maglabas ng mga utos ng proteksyon na maaaring magdirekta sa nang-aabuso sa:
* umalis sa tirahan na pinagsasaluhan ng mga partido * lumayo sa biktima at sa bata sa l"&amp;"oob ng tinukoy na distansya
* **Seksyon 15. Pag-iingat ng mga Bata** ay nagsasaad na ang mga korte ay dapat isaalang-alang ang kapakanan ng bata bilang isang pangunahing alalahanin sa pagtukoy ng kustodiya. Bagama't hindi tahasang binabanggit ng batas ang"&amp;" mga alagang hayop, maaaring isaalang-alang ng korte ang emosyonal na kapakanan ng bata, na maaaring kabilang ang pag-iingat ng mga alagang hayop sa bahay.
Maipapayo na kumunsulta sa isang abogado na dalubhasa sa RA 9262 upang talakayin ang iyong partikul"&amp;"ar na sitwasyon at tuklasin ang iyong mga legal na opsyon. Matutulungan ka nila na maunawaan ang iyong mga karapatan at kung paano mag-navigate sa proseso ng hukuman upang makakuha ng proteksyon habang tinitiyak ang kapakanan ng iyong sarili at ng iyong m"&amp;"ga alagang hayop.")</f>
        <v>Oo, maaari kang makakuha ng legal na proteksyon kung ikaw ay biktima ng karahasan sa tahanan at pinananatili pa rin ang pangangalaga ng iyong mga alagang hayop. Narito ang ibinibigay ng batas ng Pilipinas:
* **Republic Act No. 9262 o ang Anti-Violence Against Women and their Children Act (RA 9262)** ay nagpoprotekta sa mga biktima ng karahasan sa tahanan, kabilang ang mga kababaihan at kanilang mga anak. Kinikilala din ng batas na ito ang emosyonal at sikolohikal na attachment sa pagitan ng isang tao at ng kanilang mga alagang hayop.
Narito ang ilang nauugnay na probisyon ng RA 9262:
* **Seksyon 3. Kahulugan ng Karahasan sa Tahanan** ay isinasaalang-alang ang pagdudulot ng sikolohikal na pagdurusa o emosyonal na pagkabalisa sa isang tao bilang karahasan sa tahanan.
* **Seksyon 5. Mga Kautusan sa Proteksyon** ay nagpapahintulot sa mga korte na maglabas ng mga utos ng proteksyon na maaaring magdirekta sa nang-aabuso sa:
* umalis sa tirahan na pinagsasaluhan ng mga partido * lumayo sa biktima at sa bata sa loob ng tinukoy na distansya
* **Seksyon 15. Pag-iingat ng mga Bata** ay nagsasaad na ang mga korte ay dapat isaalang-alang ang kapakanan ng bata bilang isang pangunahing alalahanin sa pagtukoy ng kustodiya. Bagama't hindi tahasang binabanggit ng batas ang mga alagang hayop, maaaring isaalang-alang ng korte ang emosyonal na kapakanan ng bata, na maaaring kabilang ang pag-iingat ng mga alagang hayop sa bahay.
Maipapayo na kumunsulta sa isang abogado na dalubhasa sa RA 9262 upang talakayin ang iyong partikular na sitwasyon at tuklasin ang iyong mga legal na opsyon. Matutulungan ka nila na maunawaan ang iyong mga karapatan at kung paano mag-navigate sa proseso ng hukuman upang makakuha ng proteksyon habang tinitiyak ang kapakanan ng iyong sarili at ng iyong mga alagang hayop.</v>
      </c>
      <c r="F1039" s="2">
        <f t="shared" si="1"/>
        <v>0</v>
      </c>
      <c r="G1039" s="2"/>
      <c r="H1039" s="2"/>
      <c r="I1039" s="2"/>
      <c r="J1039" s="2"/>
      <c r="K1039" s="2"/>
      <c r="L1039" s="2"/>
      <c r="M1039" s="2"/>
      <c r="N1039" s="2"/>
      <c r="O1039" s="2"/>
      <c r="P1039" s="2"/>
      <c r="Q1039" s="2"/>
      <c r="R1039" s="2"/>
      <c r="S1039" s="2"/>
      <c r="T1039" s="2"/>
      <c r="U1039" s="2"/>
      <c r="V1039" s="2"/>
      <c r="W1039" s="2"/>
      <c r="X1039" s="2"/>
      <c r="Y1039" s="2"/>
      <c r="Z1039" s="2"/>
      <c r="AA1039" s="2"/>
    </row>
    <row r="1040">
      <c r="A1040" s="3" t="s">
        <v>2763</v>
      </c>
      <c r="B1040" s="1" t="s">
        <v>3244</v>
      </c>
      <c r="C1040" s="1" t="s">
        <v>3245</v>
      </c>
      <c r="D1040" s="2" t="str">
        <f>IFERROR(__xludf.DUMMYFUNCTION("GOOGLETRANSLATE(B1040, ""en"", ""TL"")"),"Paano tinutugunan ng batas ang mga kaso kung saan ang biktima ng karahasan sa tahanan ay buntis o kamakailan lamang nanganak?")</f>
        <v>Paano tinutugunan ng batas ang mga kaso kung saan ang biktima ng karahasan sa tahanan ay buntis o kamakailan lamang nanganak?</v>
      </c>
      <c r="E1040" s="2" t="str">
        <f>IFERROR(__xludf.DUMMYFUNCTION("GOOGLETRANSLATE(C1040, ""en"", ""TL"")"),"Kinikilala ng batas ng Pilipinas ang mas mataas na kahinaan ng mga buntis na kababaihan at mga bagong ina na nakakaranas ng karahasan sa tahanan. Narito ang kailangan mong malaman:
**Proteksyon sa ilalim ng RA 9262:**
* **Reputable Act No. 9262 o ang Anti"&amp;"-Violence Against Women and their Children Act (RA 9262)** ay nag-aalok ng komprehensibong proteksyon para sa mga biktima ng karahasan sa tahanan, kabilang ang mga buntis at bagong ina.
**Mga Kaugnay na Probisyon sa RA 9262:**
* **Seksyon 3. Kahulugan ng "&amp;"Karahasan sa Tahanan:** Isinasaalang-alang na magdulot ng pisikal na pananakit, pagbabanta, o pagmamaltrato sa isang buntis o isang babaeng kapanganakan kamakailan bilang karahasan sa tahanan.
* **Seksyon 5. Mga Kautusan sa Proteksyon:** nagpapahintulot s"&amp;"a mga korte na maglabas ng mga utos ng proteksyon na may mga partikular na probisyon para sa mga buntis na kababaihan at mga bagong ina. Maaaring kabilang sa mga order na ito ang:
* Pagtuturo sa nang-aabuso na umalis sa tirahan.
* Pinipigilan ang nang-aab"&amp;"uso mula sa pakikipag-ugnayan sa biktima o pagdating sa loob ng isang tiyak na distansya.
* Pagbibigay sa biktima ng eksklusibong occupancy sa tirahan.
* **Seksyon 16. Battered Woman Syndrome:** kinikilala ang Battered Woman Syndrome bilang depensa sa mga"&amp;" kaso kung saan sinasaktan o pinapatay ng biktima ang nang-aabuso bilang pagtatanggol sa sarili o pagtatanggol sa iba.
**Mga Karagdagang Pagsasaalang-alang:**
* Bagama't hindi tahasang binabanggit ng RA 9262 ang pag-iingat ng mga hindi pa isinisilang na b"&amp;"ata, inuuna ng korte ang kapakanan ng bata kapag tinutukoy ang mga kaayusan sa pag-iingat (Seksyon 15). Ito ay maaaring bigyang-kahulugan upang isaalang-alang ang kapakanan ng fetus kapag ang isang buntis ay nakaranas ng karahasan sa tahanan.
**Kahalagaha"&amp;"n ng Legal na Tagapayo:**
Ang pagkonsulta sa isang abogado na dalubhasa sa RA 9262 ay napakahalaga. Maaari silang:
* Payuhan ka sa pagkuha ng mga order ng proteksyon na naaayon sa iyong sitwasyon, tinitiyak ang kaligtasan ng iyong sarili at ng iyong hindi"&amp;" pa isinisilang na anak o bagong silang na sanggol.
* Tulungan kang mag-navigate sa legal na proseso upang ma-secure ang mga karapatan sa pag-iingat o pagbisita, isinasaalang-alang ang pinakamahusay na interes ng bata.
Tandaan, ito ay isang pangkalahatang"&amp;" pangkalahatang-ideya lamang. Maaaring kumplikado ang batas ng Pilipinas, kaya ang paghingi ng propesyonal na legal na payo ay mahalaga para sa pinakamatibay na proteksyon sa ilalim ng RA 9262.")</f>
        <v>Kinikilala ng batas ng Pilipinas ang mas mataas na kahinaan ng mga buntis na kababaihan at mga bagong ina na nakakaranas ng karahasan sa tahanan. Narito ang kailangan mong malaman:
**Proteksyon sa ilalim ng RA 9262:**
* **Reputable Act No. 9262 o ang Anti-Violence Against Women and their Children Act (RA 9262)** ay nag-aalok ng komprehensibong proteksyon para sa mga biktima ng karahasan sa tahanan, kabilang ang mga buntis at bagong ina.
**Mga Kaugnay na Probisyon sa RA 9262:**
* **Seksyon 3. Kahulugan ng Karahasan sa Tahanan:** Isinasaalang-alang na magdulot ng pisikal na pananakit, pagbabanta, o pagmamaltrato sa isang buntis o isang babaeng kapanganakan kamakailan bilang karahasan sa tahanan.
* **Seksyon 5. Mga Kautusan sa Proteksyon:** nagpapahintulot sa mga korte na maglabas ng mga utos ng proteksyon na may mga partikular na probisyon para sa mga buntis na kababaihan at mga bagong ina. Maaaring kabilang sa mga order na ito ang:
* Pagtuturo sa nang-aabuso na umalis sa tirahan.
* Pinipigilan ang nang-aabuso mula sa pakikipag-ugnayan sa biktima o pagdating sa loob ng isang tiyak na distansya.
* Pagbibigay sa biktima ng eksklusibong occupancy sa tirahan.
* **Seksyon 16. Battered Woman Syndrome:** kinikilala ang Battered Woman Syndrome bilang depensa sa mga kaso kung saan sinasaktan o pinapatay ng biktima ang nang-aabuso bilang pagtatanggol sa sarili o pagtatanggol sa iba.
**Mga Karagdagang Pagsasaalang-alang:**
* Bagama't hindi tahasang binabanggit ng RA 9262 ang pag-iingat ng mga hindi pa isinisilang na bata, inuuna ng korte ang kapakanan ng bata kapag tinutukoy ang mga kaayusan sa pag-iingat (Seksyon 15). Ito ay maaaring bigyang-kahulugan upang isaalang-alang ang kapakanan ng fetus kapag ang isang buntis ay nakaranas ng karahasan sa tahanan.
**Kahalagahan ng Legal na Tagapayo:**
Ang pagkonsulta sa isang abogado na dalubhasa sa RA 9262 ay napakahalaga. Maaari silang:
* Payuhan ka sa pagkuha ng mga order ng proteksyon na naaayon sa iyong sitwasyon, tinitiyak ang kaligtasan ng iyong sarili at ng iyong hindi pa isinisilang na anak o bagong silang na sanggol.
* Tulungan kang mag-navigate sa legal na proseso upang ma-secure ang mga karapatan sa pag-iingat o pagbisita, isinasaalang-alang ang pinakamahusay na interes ng bata.
Tandaan, ito ay isang pangkalahatang pangkalahatang-ideya lamang. Maaaring kumplikado ang batas ng Pilipinas, kaya ang paghingi ng propesyonal na legal na payo ay mahalaga para sa pinakamatibay na proteksyon sa ilalim ng RA 9262.</v>
      </c>
      <c r="F1040" s="2">
        <f t="shared" si="1"/>
        <v>0</v>
      </c>
      <c r="G1040" s="2"/>
      <c r="H1040" s="2"/>
      <c r="I1040" s="2"/>
      <c r="J1040" s="2"/>
      <c r="K1040" s="2"/>
      <c r="L1040" s="2"/>
      <c r="M1040" s="2"/>
      <c r="N1040" s="2"/>
      <c r="O1040" s="2"/>
      <c r="P1040" s="2"/>
      <c r="Q1040" s="2"/>
      <c r="R1040" s="2"/>
      <c r="S1040" s="2"/>
      <c r="T1040" s="2"/>
      <c r="U1040" s="2"/>
      <c r="V1040" s="2"/>
      <c r="W1040" s="2"/>
      <c r="X1040" s="2"/>
      <c r="Y1040" s="2"/>
      <c r="Z1040" s="2"/>
      <c r="AA1040" s="2"/>
    </row>
    <row r="1041">
      <c r="A1041" s="3" t="s">
        <v>2763</v>
      </c>
      <c r="B1041" s="1" t="s">
        <v>3246</v>
      </c>
      <c r="C1041" s="1" t="s">
        <v>3247</v>
      </c>
      <c r="D1041" s="2" t="str">
        <f>IFERROR(__xludf.DUMMYFUNCTION("GOOGLETRANSLATE(B1041, ""en"", ""TL"")"),"Maaari ba akong makakuha ng legal na proteksyon kung ako ay isang biktima ng karahasan sa tahanan ngunit natatakot na masabi bilang LGBTQ+ kung ako ay mag-ulat?")</f>
        <v>Maaari ba akong makakuha ng legal na proteksyon kung ako ay isang biktima ng karahasan sa tahanan ngunit natatakot na masabi bilang LGBTQ+ kung ako ay mag-ulat?</v>
      </c>
      <c r="E1041" s="2" t="str">
        <f>IFERROR(__xludf.DUMMYFUNCTION("GOOGLETRANSLATE(C1041, ""en"", ""TL"")"),"Sa kasamaang palad, walang kasalukuyang batas sa Pilipinas na tahasang nagpoprotekta sa mga LGBTQ+ na indibidwal mula sa diskriminasyon sa mga sitwasyon ng karahasan sa tahanan. Gayunpaman, may mga paraan upang humingi ng legal na proteksyon na may ilang "&amp;"mga pagsasaalang-alang:
* **Republic Act No. 9262 o ang Anti-Violence Against Women and their Children Act (RA 9262)** ay ang pangunahing batas para sa proteksyon sa karahasan sa tahanan. Bagama't hindi binabanggit ng batas ang oryentasyong sekswal o pagk"&amp;"akakilanlang pangkasarian, nakatutok ito sa mismong pagkilos ng karahasan. Narito kung paano mo maaaring lapitan gamit ang RA 9262:
* **Tumuon sa Pang-aabuso:** Kapag humihingi ng tulong, tumutok sa mga detalye ng karahasan sa tahanan na iyong naranasan. "&amp;"* **Humingi ng Suporta mula sa LGBTQ+ Organizations:** Maraming LGBTQ+ na organisasyon sa Pilipinas ang nag-aalok ng suporta at gabay sa mga biktima ng karahasan sa tahanan sa loob ng kanilang komunidad. Maaaring ikonekta ka ng mga organisasyong ito sa mg"&amp;"a mapagkukunan at posibleng mga abogado na sensitibo sa mga isyu sa LGBTQ+.
**Mga Hamon at Pagsasaalang-alang:**
* **Potensyal para sa Diskriminasyon:** May pagkakataon na maaari kang makaharap sa diskriminasyon mula sa pagpapatupad ng batas o mga serbisy"&amp;"o ng suporta dahil sa iyong oryentasyong sekswal o pagkakakilanlang pangkasarian. * **Mga Lokal na Ordinansa laban sa Diskriminasyon:** Bagama't walang pambansang batas, ilang mga local government unit (LGU) ang nagpasa ng mga ordinansa laban sa diskrimin"&amp;"asyon na maaaring mag-alok ng ilang proteksyon. Narito ang ilang mapagkukunan upang malaman kung ang iyong lugar ay may mga ganitong ordinansa:
* Philippine Commission on Human Rights (CHR) [https://chr.gov.ph/](https://chr.gov.ph/)
* Rainbow Rights Phili"&amp;"ppines [https://www.defendingwomen-defendingrights.org/about/members/rainbow-rights-project-r-rights-inc/](https://www.defendingwomen-defendingrights.org/about/members /rainbow-rights-project-r-rights-inc/)
**Mga Rekomendasyon:**
* **Pagiging Kumpidensyal"&amp;":** Kapag naghahanap ng tulong, unahin ang iyong kaligtasan. Maaari kang humiling ng pagiging kumpidensyal mula sa mga service provider hangga't maaari.
* **Dokumentasyon:** Panatilihin ang isang talaan ng pang-aabuso, kabilang ang mga petsa, mga detalye "&amp;"ng mga insidente, at anumang mga pinsala. * **Support System:** Bumuo ng support system ng mga pinagkakatiwalaang kaibigan, miyembro ng pamilya, o LGBTQ+ na organisasyon na maaaring magsulong para sa iyo.
Tandaan, ito ay isang komplikadong sitwasyon. Haba"&amp;"ng umuunlad pa rin ang mga legal na proteksyon para sa mga LGBTQ+ na indibidwal, may mga available na mapagkukunan. Isaalang-alang ang pakikipag-ugnayan sa isang LGBTQ+ na organisasyon o isang abogado na dalubhasa sa RA 9262 upang talakayin ang iyong part"&amp;"ikular na sitwasyon at tuklasin ang iyong mga opsyon para sa pagkuha ng legal na proteksyon.")</f>
        <v>Sa kasamaang palad, walang kasalukuyang batas sa Pilipinas na tahasang nagpoprotekta sa mga LGBTQ+ na indibidwal mula sa diskriminasyon sa mga sitwasyon ng karahasan sa tahanan. Gayunpaman, may mga paraan upang humingi ng legal na proteksyon na may ilang mga pagsasaalang-alang:
* **Republic Act No. 9262 o ang Anti-Violence Against Women and their Children Act (RA 9262)** ay ang pangunahing batas para sa proteksyon sa karahasan sa tahanan. Bagama't hindi binabanggit ng batas ang oryentasyong sekswal o pagkakakilanlang pangkasarian, nakatutok ito sa mismong pagkilos ng karahasan. Narito kung paano mo maaaring lapitan gamit ang RA 9262:
* **Tumuon sa Pang-aabuso:** Kapag humihingi ng tulong, tumutok sa mga detalye ng karahasan sa tahanan na iyong naranasan. * **Humingi ng Suporta mula sa LGBTQ+ Organizations:** Maraming LGBTQ+ na organisasyon sa Pilipinas ang nag-aalok ng suporta at gabay sa mga biktima ng karahasan sa tahanan sa loob ng kanilang komunidad. Maaaring ikonekta ka ng mga organisasyong ito sa mga mapagkukunan at posibleng mga abogado na sensitibo sa mga isyu sa LGBTQ+.
**Mga Hamon at Pagsasaalang-alang:**
* **Potensyal para sa Diskriminasyon:** May pagkakataon na maaari kang makaharap sa diskriminasyon mula sa pagpapatupad ng batas o mga serbisyo ng suporta dahil sa iyong oryentasyong sekswal o pagkakakilanlang pangkasarian. * **Mga Lokal na Ordinansa laban sa Diskriminasyon:** Bagama't walang pambansang batas, ilang mga local government unit (LGU) ang nagpasa ng mga ordinansa laban sa diskriminasyon na maaaring mag-alok ng ilang proteksyon. Narito ang ilang mapagkukunan upang malaman kung ang iyong lugar ay may mga ganitong ordinansa:
* Philippine Commission on Human Rights (CHR) [https://chr.gov.ph/](https://chr.gov.ph/)
* Rainbow Rights Philippines [https://www.defendingwomen-defendingrights.org/about/members/rainbow-rights-project-r-rights-inc/](https://www.defendingwomen-defendingrights.org/about/members /rainbow-rights-project-r-rights-inc/)
**Mga Rekomendasyon:**
* **Pagiging Kumpidensyal:** Kapag naghahanap ng tulong, unahin ang iyong kaligtasan. Maaari kang humiling ng pagiging kumpidensyal mula sa mga service provider hangga't maaari.
* **Dokumentasyon:** Panatilihin ang isang talaan ng pang-aabuso, kabilang ang mga petsa, mga detalye ng mga insidente, at anumang mga pinsala. * **Support System:** Bumuo ng support system ng mga pinagkakatiwalaang kaibigan, miyembro ng pamilya, o LGBTQ+ na organisasyon na maaaring magsulong para sa iyo.
Tandaan, ito ay isang komplikadong sitwasyon. Habang umuunlad pa rin ang mga legal na proteksyon para sa mga LGBTQ+ na indibidwal, may mga available na mapagkukunan. Isaalang-alang ang pakikipag-ugnayan sa isang LGBTQ+ na organisasyon o isang abogado na dalubhasa sa RA 9262 upang talakayin ang iyong partikular na sitwasyon at tuklasin ang iyong mga opsyon para sa pagkuha ng legal na proteksyon.</v>
      </c>
      <c r="F1041" s="2">
        <f t="shared" si="1"/>
        <v>0</v>
      </c>
      <c r="G1041" s="2"/>
      <c r="H1041" s="2"/>
      <c r="I1041" s="2"/>
      <c r="J1041" s="2"/>
      <c r="K1041" s="2"/>
      <c r="L1041" s="2"/>
      <c r="M1041" s="2"/>
      <c r="N1041" s="2"/>
      <c r="O1041" s="2"/>
      <c r="P1041" s="2"/>
      <c r="Q1041" s="2"/>
      <c r="R1041" s="2"/>
      <c r="S1041" s="2"/>
      <c r="T1041" s="2"/>
      <c r="U1041" s="2"/>
      <c r="V1041" s="2"/>
      <c r="W1041" s="2"/>
      <c r="X1041" s="2"/>
      <c r="Y1041" s="2"/>
      <c r="Z1041" s="2"/>
      <c r="AA1041" s="2"/>
    </row>
    <row r="1042">
      <c r="A1042" s="3" t="s">
        <v>2763</v>
      </c>
      <c r="B1042" s="1" t="s">
        <v>3248</v>
      </c>
      <c r="C1042" s="1" t="s">
        <v>3249</v>
      </c>
      <c r="D1042" s="2" t="str">
        <f>IFERROR(__xludf.DUMMYFUNCTION("GOOGLETRANSLATE(B1042, ""en"", ""TL"")"),"Paano tinutugunan ng batas ang mga kaso kung saan ang biktima ng karahasan sa tahanan ay may kasaysayan ng sakit sa isip o pag-abuso sa sangkap?")</f>
        <v>Paano tinutugunan ng batas ang mga kaso kung saan ang biktima ng karahasan sa tahanan ay may kasaysayan ng sakit sa isip o pag-abuso sa sangkap?</v>
      </c>
      <c r="E1042" s="2" t="str">
        <f>IFERROR(__xludf.DUMMYFUNCTION("GOOGLETRANSLATE(C1042, ""en"", ""TL"")"),"Pinoprotektahan ng batas ng Pilipinas ang mga biktima ng karahasan sa tahanan anuman ang kanilang kasaysayan sa kalusugan ng isip o pag-abuso sa sangkap. Narito ang isang breakdown ng mga nauugnay na legal na aspeto:
**Proteksyon sa ilalim ng RA 9262:**
*"&amp;" **Republic Act No. 9262 o ang Anti-Violence Against Women and their Children Act (RA 9262)** ay ang pundasyong batas na tumutugon sa karahasan sa tahanan. Tinitiyak nito ang proteksyon para sa mga biktima anuman ang sakit sa pag-iisip o background ng pag"&amp;"-abuso sa sangkap.
**Tumuon sa Pang-aabuso:**
* Nakasentro ang RA 9262 sa mismong gawa ng karahasan, hindi sa mental health o substance abuse ng biktima. Kinikilala ng batas ang iba't ibang anyo ng karahasan sa tahanan, kabilang ang:
* Pisikal na pinsala
"&amp;"* Sekswal na karahasan
* Sikolohikal o emosyonal na pang-aabuso
* Pang-aabuso sa ekonomiya
* Mga banta ng mga ganitong gawain
**Pagtugon sa mga Alalahanin:**
* **Mga maling akala tungkol sa Mental Illness:** Hindi maaaring tanggihan ng mga korte ang mga u"&amp;"tos ng proteksyon batay lamang sa diagnosis ng kalusugan ng isip ng biktima. Ang isang kasaysayan ng sakit sa pag-iisip ay hindi nakakabawas sa katotohanan ng karahasan sa tahanan na naranasan. * **Pag-abuso sa Substance at Kredibilidad:** Bagama't ang pa"&amp;"g-abuso sa sangkap ay maaaring magdulot ng mga alalahanin tungkol sa testimonya ng biktima, dapat timbangin nang patas ng mga hukuman ang ebidensya. Ang pagpapatibay ng ebidensya tulad ng mga medikal na rekord o mga account ng saksi ay maaaring palakasin "&amp;"ang iyong kaso.
**Kahalagahan ng Medikal na Dokumentasyon:**
* Kung ang iyong sakit sa isip o pag-abuso sa sangkap ay nauugnay sa karahasan sa tahanan, humingi ng medikal na atensyon at idokumento ang mga pagbisitang ito. Ang dokumentasyong ito ay maaarin"&amp;"g maging mahalagang ebidensya sa korte.
**Mga Pagsasaalang-alang at Karagdagang Mapagkukunan:**
* **Serbisyo ng Suporta:** Maaaring may mga serbisyong panlipunan o mga propesyonal sa kalusugang pangkaisipan na maaaring magbigay ng suporta at mga mapagkuku"&amp;"nang naaayon sa iyong sitwasyon.
* **Legal na Representasyon:** Ang pagkonsulta sa isang abogado na dalubhasa sa RA 9262 ay napakahalaga. Maaari silang:
* Payuhan ka sa pagkuha ng mga order ng proteksyon. * Tumulong na mag-navigate sa legal na proseso hab"&amp;"ang isinasaalang-alang ang background ng iyong kalusugan sa isip o pang-aabuso sa sangkap.
**Tandaan:** * Hindi ka nag-iisa. May mga mapagkukunang magagamit upang tumulong. * Karapat-dapat kang maging ligtas mula sa karahasan sa tahanan.
**Mga Batas sa Pi"&amp;"lipinas:**
* Bagama't walang mga partikular na batas na tumutugon sa mga biktima ng karahasan sa tahanan na may sakit sa isip o pag-abuso sa sangkap, ang mga sumusunod na mapagkukunan ay maaaring magbigay ng karagdagang gabay:
* Department of Health (DOH)"&amp;": [https://doh.gov.ph/](https://doh.gov.ph/)
* Philippine Mental Health Association (PMHA): [https://pmha.org.ph/](https://pmha.org.ph/)
Ang impormasyong ito ay hindi kapalit para sa propesyonal na legal na payo. Para sa partikular na legal na gabay, kumu"&amp;"nsulta sa isang abogado na dalubhasa sa RA 9262.")</f>
        <v>Pinoprotektahan ng batas ng Pilipinas ang mga biktima ng karahasan sa tahanan anuman ang kanilang kasaysayan sa kalusugan ng isip o pag-abuso sa sangkap. Narito ang isang breakdown ng mga nauugnay na legal na aspeto:
**Proteksyon sa ilalim ng RA 9262:**
* **Republic Act No. 9262 o ang Anti-Violence Against Women and their Children Act (RA 9262)** ay ang pundasyong batas na tumutugon sa karahasan sa tahanan. Tinitiyak nito ang proteksyon para sa mga biktima anuman ang sakit sa pag-iisip o background ng pag-abuso sa sangkap.
**Tumuon sa Pang-aabuso:**
* Nakasentro ang RA 9262 sa mismong gawa ng karahasan, hindi sa mental health o substance abuse ng biktima. Kinikilala ng batas ang iba't ibang anyo ng karahasan sa tahanan, kabilang ang:
* Pisikal na pinsala
* Sekswal na karahasan
* Sikolohikal o emosyonal na pang-aabuso
* Pang-aabuso sa ekonomiya
* Mga banta ng mga ganitong gawain
**Pagtugon sa mga Alalahanin:**
* **Mga maling akala tungkol sa Mental Illness:** Hindi maaaring tanggihan ng mga korte ang mga utos ng proteksyon batay lamang sa diagnosis ng kalusugan ng isip ng biktima. Ang isang kasaysayan ng sakit sa pag-iisip ay hindi nakakabawas sa katotohanan ng karahasan sa tahanan na naranasan. * **Pag-abuso sa Substance at Kredibilidad:** Bagama't ang pag-abuso sa sangkap ay maaaring magdulot ng mga alalahanin tungkol sa testimonya ng biktima, dapat timbangin nang patas ng mga hukuman ang ebidensya. Ang pagpapatibay ng ebidensya tulad ng mga medikal na rekord o mga account ng saksi ay maaaring palakasin ang iyong kaso.
**Kahalagahan ng Medikal na Dokumentasyon:**
* Kung ang iyong sakit sa isip o pag-abuso sa sangkap ay nauugnay sa karahasan sa tahanan, humingi ng medikal na atensyon at idokumento ang mga pagbisitang ito. Ang dokumentasyong ito ay maaaring maging mahalagang ebidensya sa korte.
**Mga Pagsasaalang-alang at Karagdagang Mapagkukunan:**
* **Serbisyo ng Suporta:** Maaaring may mga serbisyong panlipunan o mga propesyonal sa kalusugang pangkaisipan na maaaring magbigay ng suporta at mga mapagkukunang naaayon sa iyong sitwasyon.
* **Legal na Representasyon:** Ang pagkonsulta sa isang abogado na dalubhasa sa RA 9262 ay napakahalaga. Maaari silang:
* Payuhan ka sa pagkuha ng mga order ng proteksyon. * Tumulong na mag-navigate sa legal na proseso habang isinasaalang-alang ang background ng iyong kalusugan sa isip o pang-aabuso sa sangkap.
**Tandaan:** * Hindi ka nag-iisa. May mga mapagkukunang magagamit upang tumulong. * Karapat-dapat kang maging ligtas mula sa karahasan sa tahanan.
**Mga Batas sa Pilipinas:**
* Bagama't walang mga partikular na batas na tumutugon sa mga biktima ng karahasan sa tahanan na may sakit sa isip o pag-abuso sa sangkap, ang mga sumusunod na mapagkukunan ay maaaring magbigay ng karagdagang gabay:
* Department of Health (DOH): [https://doh.gov.ph/](https://doh.gov.ph/)
* Philippine Mental Health Association (PMHA): [https://pmha.org.ph/](https://pmha.org.ph/)
Ang impormasyong ito ay hindi kapalit para sa propesyonal na legal na payo. Para sa partikular na legal na gabay, kumunsulta sa isang abogado na dalubhasa sa RA 9262.</v>
      </c>
      <c r="F1042" s="2">
        <f t="shared" si="1"/>
        <v>0</v>
      </c>
      <c r="G1042" s="2"/>
      <c r="H1042" s="2"/>
      <c r="I1042" s="2"/>
      <c r="J1042" s="2"/>
      <c r="K1042" s="2"/>
      <c r="L1042" s="2"/>
      <c r="M1042" s="2"/>
      <c r="N1042" s="2"/>
      <c r="O1042" s="2"/>
      <c r="P1042" s="2"/>
      <c r="Q1042" s="2"/>
      <c r="R1042" s="2"/>
      <c r="S1042" s="2"/>
      <c r="T1042" s="2"/>
      <c r="U1042" s="2"/>
      <c r="V1042" s="2"/>
      <c r="W1042" s="2"/>
      <c r="X1042" s="2"/>
      <c r="Y1042" s="2"/>
      <c r="Z1042" s="2"/>
      <c r="AA1042" s="2"/>
    </row>
    <row r="1043">
      <c r="A1043" s="3" t="s">
        <v>2763</v>
      </c>
      <c r="B1043" s="1" t="s">
        <v>3250</v>
      </c>
      <c r="C1043" s="1" t="s">
        <v>3251</v>
      </c>
      <c r="D1043" s="2" t="str">
        <f>IFERROR(__xludf.DUMMYFUNCTION("GOOGLETRANSLATE(B1043, ""en"", ""TL"")"),"Maaari ba akong makakuha ng legal na proteksyon kung ako ay biktima ng karahasan sa tahanan ngunit may rekord ng kriminal?")</f>
        <v>Maaari ba akong makakuha ng legal na proteksyon kung ako ay biktima ng karahasan sa tahanan ngunit may rekord ng kriminal?</v>
      </c>
      <c r="E1043" s="2" t="str">
        <f>IFERROR(__xludf.DUMMYFUNCTION("GOOGLETRANSLATE(C1043, ""en"", ""TL"")"),"Oo, maaari ka pa ring makakuha ng legal na proteksyon sa ilalim ng batas ng Pilipinas kung ikaw ay biktima ng karahasan sa tahanan at may rekord na kriminal. Narito kung bakit:
* **Pokus ng RA 9262:** Ang pangunahing batas para sa proteksyon sa karahasan "&amp;"sa tahanan, ang Republic Act No. 9262 o ang Anti-Violence Against Women and their Children Act (RA 9262), ay inuuna ang mismong pagkilos ng karahasan. * **Proteksyon Anuman ang Background:** Nag-aalok ang RA 9262 ng proteksyon sa mga biktima anuman ang ka"&amp;"nilang kasaysayan ng krimen. **Mga Pagsasaalang-alang sa isang Kriminal na Rekord:**
* **Potensyal para sa Pagsusuri:** Habang pinoprotektahan ka ng batas, ang iyong kriminal na rekord ay maaaring masuri ng tagapagpatupad ng batas o ng hukuman. * **Kahala"&amp;"gahan ng Ebidensya:** Ang pagkakaroon ng matibay na ebidensya ng karahasan sa tahanan ay mahalaga. Maaaring kabilang sa ebidensyang ito ang:
* Mga rekord ng medikal na nagdodokumento ng mga pinsala
* Mga patotoo ng saksi
* Mga ulat ng pulisya (kung mayroo"&amp;"n man)
* Photographic na ebidensya
**Mga Rekomendasyon:**
* **Humingi ng Legal na Counsel:** Ang pagkonsulta sa isang abogadong may karanasan sa RA 9262 ay mahalaga. Maaari silang:
* Payuhan ka sa pagkuha ng mga utos ng proteksyon na isinasaalang-alang an"&amp;"g iyong kriminal na rekord.
* Tumulong na ipakita ang iyong kaso nang epektibo, na itinatampok ang karahasan sa tahanan at ang ebidensyang mayroon ka.
**Mga Karagdagang Mapagkukunan:**
* **Mga Organisasyon ng Suporta:** Ang mga organisasyong sumusuporta s"&amp;"a mga biktima ng karahasan sa tahanan ay maaaring magbigay ng tulong at adbokasiya, anuman ang iyong background. Mahahanap mo sila sa pamamagitan ng Philippine Commission on Women (PCW): [https://pcw.gov.ph/](https://pcw.gov.ph/)
**Tandaan:**
* Ang pagkak"&amp;"aroon ng isang kriminal na rekord ay hindi tinatanggi ang iyong karapatang maging ligtas mula sa karahasan sa tahanan.
* May mga mapagkukunang magagamit upang matulungan ka.
**Disclaimer:** Ang impormasyong ito ay para sa pangkalahatang kamalayan at hindi"&amp;" dapat ituring na kapalit ng propesyonal na legal na payo. Para sa partikular na legal na patnubay na isinasaalang-alang ang iyong kriminal na rekord, kumunsulta sa isang abogado na dalubhasa sa RA 9262.")</f>
        <v>Oo, maaari ka pa ring makakuha ng legal na proteksyon sa ilalim ng batas ng Pilipinas kung ikaw ay biktima ng karahasan sa tahanan at may rekord na kriminal. Narito kung bakit:
* **Pokus ng RA 9262:** Ang pangunahing batas para sa proteksyon sa karahasan sa tahanan, ang Republic Act No. 9262 o ang Anti-Violence Against Women and their Children Act (RA 9262), ay inuuna ang mismong pagkilos ng karahasan. * **Proteksyon Anuman ang Background:** Nag-aalok ang RA 9262 ng proteksyon sa mga biktima anuman ang kanilang kasaysayan ng krimen. **Mga Pagsasaalang-alang sa isang Kriminal na Rekord:**
* **Potensyal para sa Pagsusuri:** Habang pinoprotektahan ka ng batas, ang iyong kriminal na rekord ay maaaring masuri ng tagapagpatupad ng batas o ng hukuman. * **Kahalagahan ng Ebidensya:** Ang pagkakaroon ng matibay na ebidensya ng karahasan sa tahanan ay mahalaga. Maaaring kabilang sa ebidensyang ito ang:
* Mga rekord ng medikal na nagdodokumento ng mga pinsala
* Mga patotoo ng saksi
* Mga ulat ng pulisya (kung mayroon man)
* Photographic na ebidensya
**Mga Rekomendasyon:**
* **Humingi ng Legal na Counsel:** Ang pagkonsulta sa isang abogadong may karanasan sa RA 9262 ay mahalaga. Maaari silang:
* Payuhan ka sa pagkuha ng mga utos ng proteksyon na isinasaalang-alang ang iyong kriminal na rekord.
* Tumulong na ipakita ang iyong kaso nang epektibo, na itinatampok ang karahasan sa tahanan at ang ebidensyang mayroon ka.
**Mga Karagdagang Mapagkukunan:**
* **Mga Organisasyon ng Suporta:** Ang mga organisasyong sumusuporta sa mga biktima ng karahasan sa tahanan ay maaaring magbigay ng tulong at adbokasiya, anuman ang iyong background. Mahahanap mo sila sa pamamagitan ng Philippine Commission on Women (PCW): [https://pcw.gov.ph/](https://pcw.gov.ph/)
**Tandaan:**
* Ang pagkakaroon ng isang kriminal na rekord ay hindi tinatanggi ang iyong karapatang maging ligtas mula sa karahasan sa tahanan.
* May mga mapagkukunang magagamit upang matulungan ka.
**Disclaimer:** Ang impormasyong ito ay para sa pangkalahatang kamalayan at hindi dapat ituring na kapalit ng propesyonal na legal na payo. Para sa partikular na legal na patnubay na isinasaalang-alang ang iyong kriminal na rekord, kumunsulta sa isang abogado na dalubhasa sa RA 9262.</v>
      </c>
      <c r="F1043" s="2">
        <f t="shared" si="1"/>
        <v>0</v>
      </c>
      <c r="G1043" s="2"/>
      <c r="H1043" s="2"/>
      <c r="I1043" s="2"/>
      <c r="J1043" s="2"/>
      <c r="K1043" s="2"/>
      <c r="L1043" s="2"/>
      <c r="M1043" s="2"/>
      <c r="N1043" s="2"/>
      <c r="O1043" s="2"/>
      <c r="P1043" s="2"/>
      <c r="Q1043" s="2"/>
      <c r="R1043" s="2"/>
      <c r="S1043" s="2"/>
      <c r="T1043" s="2"/>
      <c r="U1043" s="2"/>
      <c r="V1043" s="2"/>
      <c r="W1043" s="2"/>
      <c r="X1043" s="2"/>
      <c r="Y1043" s="2"/>
      <c r="Z1043" s="2"/>
      <c r="AA1043" s="2"/>
    </row>
    <row r="1044">
      <c r="A1044" s="3" t="s">
        <v>2763</v>
      </c>
      <c r="B1044" s="1" t="s">
        <v>3252</v>
      </c>
      <c r="C1044" s="1" t="s">
        <v>3253</v>
      </c>
      <c r="D1044" s="2" t="str">
        <f>IFERROR(__xludf.DUMMYFUNCTION("GOOGLETRANSLATE(B1044, ""en"", ""TL"")"),"Paano tinutugunan ng batas ang mga kaso kung saan ang biktima ng karahasan sa tahanan ay isang menor de edad na ayaw isangkot ang kanilang mga magulang?")</f>
        <v>Paano tinutugunan ng batas ang mga kaso kung saan ang biktima ng karahasan sa tahanan ay isang menor de edad na ayaw isangkot ang kanilang mga magulang?</v>
      </c>
      <c r="E1044" s="2" t="str">
        <f>IFERROR(__xludf.DUMMYFUNCTION("GOOGLETRANSLATE(C1044, ""en"", ""TL"")"),"Kinikilala ng batas ng Pilipinas ang kahinaan ng mga menor de edad na biktima ng karahasan sa tahanan at nag-aalok sa kanila ng proteksyon kahit na nag-aalangan silang isangkot ang kanilang mga magulang. Narito ang isang breakdown ng mga nauugnay na legal"&amp;" na aspeto:
**Proteksyon sa ilalim ng RA 9262:**
* **Republic Act No. 9262 o ang Anti-Violence Against Women and Their Children Act (RA 9262)** ay ang pangunahing batas na tumutugon sa karahasan sa tahanan. Ang seksyon 10 ng RA 9262 ay partikular na binan"&amp;"ggit ang proteksyon para sa mga bata na nakakaranas ng karahasan sa loob ng pamilya.
**Pagtugon sa mga alalahanin ng isang menor de edad:**
Kinikilala ng batas na ang isang menor de edad ay maaaring mag-alinlangan na isangkot ang kanilang mga magulang. Na"&amp;"rito ang ilang mga opsyon:
* **Paghingi ng Tulong sa Iba pang Matanda:** Ang menor de edad ay maaaring lumapit sa iba pang mga pinagkakatiwalaang nasa hustong gulang, tulad ng mga lolo't lola, tiyahin/tiyo, guro, o social worker, upang iulat ang pang-aabu"&amp;"so. * **Mga Kautusan para sa Proteksyon ng Barangay (Mga BPO):** Ang mga menor de edad ay maaaring humingi ng mga Barangay Protection Order (BPO) sa pamamagitan ng kanilang kapitan ng barangay. Maaaring utusan ng mga BPO ang nang-aabuso na umalis sa tirah"&amp;"an o maglagay ng distansya sa pagitan ng nang-aabuso at ng biktima (Seksyon 4 ng RA 9262).
**Tungkulin ng Mga Serbisyong Panlipunan:**
* **Department of Social Welfare and Development (DSWD):** Ang DSWD ay gumaganap ng mahalagang papel sa pagprotekta sa m"&amp;"ga menor de edad na nakakaranas ng karahasan sa tahanan. Maaari silang:
* Magbigay ng mga serbisyo sa pagpapayo at suporta sa menor de edad.
* Maghain ng petisyon para sa utos ng proteksyon sa korte sa ngalan ng menor de edad (Seksyon 15 ng RA 9262).
**Mg"&amp;"a Pagsasaalang-alang at Karagdagang Mapagkukunan:**
* **Mga Kautusan sa Proteksyon na Inisyu ng Korte:** Bagama't maaaring simulan ng isang menor de edad ang proseso para sa isang BPO, ang mga utos ng proteksyon na ibinigay ng korte ay nag-aalok ng mas ko"&amp;"mprehensibo at pangmatagalang mga pananggalang. Ang isang pinagkakatiwalaang nasa hustong gulang o social worker ay maaaring tumulong sa menor de edad sa pag-navigate sa proseso ng hukuman. * **Pagiging Kumpidensyal:** Kapag humihingi ng tulong, ang mga m"&amp;"enor de edad ay maaaring humiling ng pagiging kumpidensyal mula sa mga service provider hangga't maaari.
**Kahalagahan ng Legal na Kinatawan:**
Ang pagkonsulta sa isang abogado na dalubhasa sa RA 9262 ay maaaring maging kapaki-pakinabang. Ang abogado ay m"&amp;"aaaring:
* Payuhan ang menor de edad sa pinakaangkop na paraan ng pagkilos batay sa kanilang partikular na sitwasyon.
* Tumulong sa pag-navigate sa legal na proseso, isinasaalang-alang ang kagustuhan ng menor de edad para sa paglahok ng magulang.
**Tandaa"&amp;"n:** * May mga ligtas at legal na paraan para sa isang menor de edad na humingi ng tulong nang hindi sinasangkot ang kanilang mga magulang kung pipiliin nilang hindi.
* Ang mga menor de edad ay may karapatang maging ligtas mula sa karahasan sa tahanan.
**"&amp;"Mga Batas sa Pilipinas:**
* Narito ang ilang mapagkukunan para sa karagdagang gabay:
* Department of Social Welfare and Development (DSWD): [https://www.dswd.gov.ph/](https://www.dswd.gov.ph/)
* Philippine Commission on Women (PCW): [https://pcw.gov.ph/]("&amp;"https://pcw.gov.ph/)
**Disclaimer:** Ang impormasyong ito ay hindi pamalit para sa propesyonal na legal na payo. Para sa partikular na legal na gabay na isinasaalang-alang ang sitwasyon at mga kagustuhan ng isang menor de edad, kumunsulta sa isang abogado"&amp;" na dalubhasa sa RA 9262.")</f>
        <v>Kinikilala ng batas ng Pilipinas ang kahinaan ng mga menor de edad na biktima ng karahasan sa tahanan at nag-aalok sa kanila ng proteksyon kahit na nag-aalangan silang isangkot ang kanilang mga magulang. Narito ang isang breakdown ng mga nauugnay na legal na aspeto:
**Proteksyon sa ilalim ng RA 9262:**
* **Republic Act No. 9262 o ang Anti-Violence Against Women and Their Children Act (RA 9262)** ay ang pangunahing batas na tumutugon sa karahasan sa tahanan. Ang seksyon 10 ng RA 9262 ay partikular na binanggit ang proteksyon para sa mga bata na nakakaranas ng karahasan sa loob ng pamilya.
**Pagtugon sa mga alalahanin ng isang menor de edad:**
Kinikilala ng batas na ang isang menor de edad ay maaaring mag-alinlangan na isangkot ang kanilang mga magulang. Narito ang ilang mga opsyon:
* **Paghingi ng Tulong sa Iba pang Matanda:** Ang menor de edad ay maaaring lumapit sa iba pang mga pinagkakatiwalaang nasa hustong gulang, tulad ng mga lolo't lola, tiyahin/tiyo, guro, o social worker, upang iulat ang pang-aabuso. * **Mga Kautusan para sa Proteksyon ng Barangay (Mga BPO):** Ang mga menor de edad ay maaaring humingi ng mga Barangay Protection Order (BPO) sa pamamagitan ng kanilang kapitan ng barangay. Maaaring utusan ng mga BPO ang nang-aabuso na umalis sa tirahan o maglagay ng distansya sa pagitan ng nang-aabuso at ng biktima (Seksyon 4 ng RA 9262).
**Tungkulin ng Mga Serbisyong Panlipunan:**
* **Department of Social Welfare and Development (DSWD):** Ang DSWD ay gumaganap ng mahalagang papel sa pagprotekta sa mga menor de edad na nakakaranas ng karahasan sa tahanan. Maaari silang:
* Magbigay ng mga serbisyo sa pagpapayo at suporta sa menor de edad.
* Maghain ng petisyon para sa utos ng proteksyon sa korte sa ngalan ng menor de edad (Seksyon 15 ng RA 9262).
**Mga Pagsasaalang-alang at Karagdagang Mapagkukunan:**
* **Mga Kautusan sa Proteksyon na Inisyu ng Korte:** Bagama't maaaring simulan ng isang menor de edad ang proseso para sa isang BPO, ang mga utos ng proteksyon na ibinigay ng korte ay nag-aalok ng mas komprehensibo at pangmatagalang mga pananggalang. Ang isang pinagkakatiwalaang nasa hustong gulang o social worker ay maaaring tumulong sa menor de edad sa pag-navigate sa proseso ng hukuman. * **Pagiging Kumpidensyal:** Kapag humihingi ng tulong, ang mga menor de edad ay maaaring humiling ng pagiging kumpidensyal mula sa mga service provider hangga't maaari.
**Kahalagahan ng Legal na Kinatawan:**
Ang pagkonsulta sa isang abogado na dalubhasa sa RA 9262 ay maaaring maging kapaki-pakinabang. Ang abogado ay maaaring:
* Payuhan ang menor de edad sa pinakaangkop na paraan ng pagkilos batay sa kanilang partikular na sitwasyon.
* Tumulong sa pag-navigate sa legal na proseso, isinasaalang-alang ang kagustuhan ng menor de edad para sa paglahok ng magulang.
**Tandaan:** * May mga ligtas at legal na paraan para sa isang menor de edad na humingi ng tulong nang hindi sinasangkot ang kanilang mga magulang kung pipiliin nilang hindi.
* Ang mga menor de edad ay may karapatang maging ligtas mula sa karahasan sa tahanan.
**Mga Batas sa Pilipinas:**
* Narito ang ilang mapagkukunan para sa karagdagang gabay:
* Department of Social Welfare and Development (DSWD): [https://www.dswd.gov.ph/](https://www.dswd.gov.ph/)
* Philippine Commission on Women (PCW): [https://pcw.gov.ph/](https://pcw.gov.ph/)
**Disclaimer:** Ang impormasyong ito ay hindi pamalit para sa propesyonal na legal na payo. Para sa partikular na legal na gabay na isinasaalang-alang ang sitwasyon at mga kagustuhan ng isang menor de edad, kumunsulta sa isang abogado na dalubhasa sa RA 9262.</v>
      </c>
      <c r="F1044" s="2">
        <f t="shared" si="1"/>
        <v>0</v>
      </c>
      <c r="G1044" s="2"/>
      <c r="H1044" s="2"/>
      <c r="I1044" s="2"/>
      <c r="J1044" s="2"/>
      <c r="K1044" s="2"/>
      <c r="L1044" s="2"/>
      <c r="M1044" s="2"/>
      <c r="N1044" s="2"/>
      <c r="O1044" s="2"/>
      <c r="P1044" s="2"/>
      <c r="Q1044" s="2"/>
      <c r="R1044" s="2"/>
      <c r="S1044" s="2"/>
      <c r="T1044" s="2"/>
      <c r="U1044" s="2"/>
      <c r="V1044" s="2"/>
      <c r="W1044" s="2"/>
      <c r="X1044" s="2"/>
      <c r="Y1044" s="2"/>
      <c r="Z1044" s="2"/>
      <c r="AA1044" s="2"/>
    </row>
    <row r="1045">
      <c r="A1045" s="3" t="s">
        <v>2763</v>
      </c>
      <c r="B1045" s="1" t="s">
        <v>3254</v>
      </c>
      <c r="C1045" s="1" t="s">
        <v>3255</v>
      </c>
      <c r="D1045" s="2" t="str">
        <f>IFERROR(__xludf.DUMMYFUNCTION("GOOGLETRANSLATE(B1045, ""en"", ""TL"")"),"Maaari ba akong makakuha ng legal na proteksyon kung ako ay biktima ng karahasan sa tahanan ngunit natatakot akong gantihan mula sa malakas na koneksyon o impluwensya ng aking nang-aabuso?")</f>
        <v>Maaari ba akong makakuha ng legal na proteksyon kung ako ay biktima ng karahasan sa tahanan ngunit natatakot akong gantihan mula sa malakas na koneksyon o impluwensya ng aking nang-aabuso?</v>
      </c>
      <c r="E1045" s="2" t="str">
        <f>IFERROR(__xludf.DUMMYFUNCTION("GOOGLETRANSLATE(C1045, ""en"", ""TL"")"),"Nag-aalok ang batas ng Pilipinas ng proteksyon para sa mga biktima ng karahasan sa tahanan anuman ang katayuan sa lipunan o koneksyon ng nang-aabuso. Gayunpaman, ang iyong takot sa paghihiganti ay isang wastong alalahanin. Narito kung paano makakatulong a"&amp;"ng batas at ilang karagdagang hakbang na maaari mong gawin:
**Proteksyon sa ilalim ng RA 9262:**
* **Republic Act No. 9262 o ang Anti-Violence Against Women and their Children Act (RA 9262)** ay ang pundasyong batas na tumutugon sa karahasan sa tahanan. T"&amp;"initiyak nito ang proteksyon para sa mga biktima anuman ang background ng nang-aabuso.
**Mga Pangunahing Tampok ng RA 9262:**
* **Mga Kautusan sa Proteksyon:** Ang RA 9262 ay nagpapahintulot sa mga korte na maglabas ng mga utos ng proteksyon na maaaring m"&amp;"agdirekta sa nang-aabuso sa:
* Umalis sa tirahan na pinagsasaluhan mo.
* Lumayo sa iyo at sa iyong mga anak sa loob ng tinukoy na distansya (Seksyon 5).
* **Pagiging Kumpidensyal:** Maaari kang humiling ng pagiging kompidensiyal kapag humihingi ng tulong "&amp;"mula sa tagapagpatupad ng batas o mga tagapagbigay ng serbisyong panlipunan (Seksyon 27).
**Pagtugon sa Takot sa Paghihiganti:**
* **Mga Kautusan para sa Proteksyon ng Barangay (Mga BPO):** Pag-isipang kumuha muna ng Barangay Protection Order (BPO). Haban"&amp;"g ang mga BPO ay may mas maikling tagal kaysa sa mga utos na ibinigay ng korte, maaari silang mag-alok ng agarang proteksyon at maaaring makuha sa pamamagitan ng iyong kapitan ng barangay nang walang malawak na paglilitis sa korte. (Seksyon 4 ng RA 9262)
"&amp;"* **Ligtas na Pag-uulat:** Kapag nag-uulat ng pang-aabuso, humingi ng istasyon ng pulisya sa labas ng lugar ng impluwensya ng nang-aabuso. * **Dokumentasyon:** Panatilihin ang isang talaan ng pang-aabuso, kabilang ang mga petsa, mga detalye ng mga insiden"&amp;"te, pinsala (kung mayroon), at mga banta na ginawa. **Mga Karagdagang Panukala para sa Kaligtasan:**
* **Support System:** Bumuo ng isang malakas na support system ng mga pinagkakatiwalaang kaibigan, miyembro ng pamilya, o organisasyon na maaaring magsulo"&amp;"ng para sa iyo.
* **Legal Counsel:** Kumonsulta sa isang abogado na dalubhasa sa RA 9262. Maaari silang:
* Payuhan ka sa pinakamabisang paraan ng pagkilos na isinasaalang-alang ang iyong sitwasyon. * Tumulong na mag-navigate sa legal na proseso habang isi"&amp;"nasaalang-alang ang iyong takot sa paghihiganti.
* Ikonekta ka sa mga mapagkukunan upang matiyak ang iyong kaligtasan, tulad ng mga silungan o ligtas na bahay.
**Mahalagang Mapagkukunan:**
* **Philippine Commission on Women (PCW):** [https://pcw.gov.ph/]("&amp;"https://pcw.gov.ph/) ay nag-aalok ng mga serbisyo ng suporta at maaari kang ikonekta sa mga shelter o legal na tulong. * **Department of Social Welfare and Development (DSWD):** [https://www.dswd.gov.ph/](https://www.dswd.gov.ph/) ay nagbibigay ng mga ser"&amp;"bisyong panlipunan at maaaring mag-alok ng pansamantalang mga tirahan.
**Tandaan:** * Hindi ka nag-iisa. * May mga mapagkukunang magagamit upang matulungan ka at matiyak ang iyong kaligtasan.
* Pinoprotektahan ka ng batas mula sa karahasan sa tahanan anum"&amp;"an ang koneksyon ng nang-aabuso.
**Disclaimer:** Ang impormasyong ito ay hindi pamalit para sa propesyonal na legal na payo. Para sa partikular na legal na gabay na isinasaalang-alang ang iyong sitwasyon at takot sa paghihiganti, kumunsulta sa isang aboga"&amp;"do na dalubhasa sa RA 9262.")</f>
        <v>Nag-aalok ang batas ng Pilipinas ng proteksyon para sa mga biktima ng karahasan sa tahanan anuman ang katayuan sa lipunan o koneksyon ng nang-aabuso. Gayunpaman, ang iyong takot sa paghihiganti ay isang wastong alalahanin. Narito kung paano makakatulong ang batas at ilang karagdagang hakbang na maaari mong gawin:
**Proteksyon sa ilalim ng RA 9262:**
* **Republic Act No. 9262 o ang Anti-Violence Against Women and their Children Act (RA 9262)** ay ang pundasyong batas na tumutugon sa karahasan sa tahanan. Tinitiyak nito ang proteksyon para sa mga biktima anuman ang background ng nang-aabuso.
**Mga Pangunahing Tampok ng RA 9262:**
* **Mga Kautusan sa Proteksyon:** Ang RA 9262 ay nagpapahintulot sa mga korte na maglabas ng mga utos ng proteksyon na maaaring magdirekta sa nang-aabuso sa:
* Umalis sa tirahan na pinagsasaluhan mo.
* Lumayo sa iyo at sa iyong mga anak sa loob ng tinukoy na distansya (Seksyon 5).
* **Pagiging Kumpidensyal:** Maaari kang humiling ng pagiging kompidensiyal kapag humihingi ng tulong mula sa tagapagpatupad ng batas o mga tagapagbigay ng serbisyong panlipunan (Seksyon 27).
**Pagtugon sa Takot sa Paghihiganti:**
* **Mga Kautusan para sa Proteksyon ng Barangay (Mga BPO):** Pag-isipang kumuha muna ng Barangay Protection Order (BPO). Habang ang mga BPO ay may mas maikling tagal kaysa sa mga utos na ibinigay ng korte, maaari silang mag-alok ng agarang proteksyon at maaaring makuha sa pamamagitan ng iyong kapitan ng barangay nang walang malawak na paglilitis sa korte. (Seksyon 4 ng RA 9262)
* **Ligtas na Pag-uulat:** Kapag nag-uulat ng pang-aabuso, humingi ng istasyon ng pulisya sa labas ng lugar ng impluwensya ng nang-aabuso. * **Dokumentasyon:** Panatilihin ang isang talaan ng pang-aabuso, kabilang ang mga petsa, mga detalye ng mga insidente, pinsala (kung mayroon), at mga banta na ginawa. **Mga Karagdagang Panukala para sa Kaligtasan:**
* **Support System:** Bumuo ng isang malakas na support system ng mga pinagkakatiwalaang kaibigan, miyembro ng pamilya, o organisasyon na maaaring magsulong para sa iyo.
* **Legal Counsel:** Kumonsulta sa isang abogado na dalubhasa sa RA 9262. Maaari silang:
* Payuhan ka sa pinakamabisang paraan ng pagkilos na isinasaalang-alang ang iyong sitwasyon. * Tumulong na mag-navigate sa legal na proseso habang isinasaalang-alang ang iyong takot sa paghihiganti.
* Ikonekta ka sa mga mapagkukunan upang matiyak ang iyong kaligtasan, tulad ng mga silungan o ligtas na bahay.
**Mahalagang Mapagkukunan:**
* **Philippine Commission on Women (PCW):** [https://pcw.gov.ph/](https://pcw.gov.ph/) ay nag-aalok ng mga serbisyo ng suporta at maaari kang ikonekta sa mga shelter o legal na tulong. * **Department of Social Welfare and Development (DSWD):** [https://www.dswd.gov.ph/](https://www.dswd.gov.ph/) ay nagbibigay ng mga serbisyong panlipunan at maaaring mag-alok ng pansamantalang mga tirahan.
**Tandaan:** * Hindi ka nag-iisa. * May mga mapagkukunang magagamit upang matulungan ka at matiyak ang iyong kaligtasan.
* Pinoprotektahan ka ng batas mula sa karahasan sa tahanan anuman ang koneksyon ng nang-aabuso.
**Disclaimer:** Ang impormasyong ito ay hindi pamalit para sa propesyonal na legal na payo. Para sa partikular na legal na gabay na isinasaalang-alang ang iyong sitwasyon at takot sa paghihiganti, kumunsulta sa isang abogado na dalubhasa sa RA 9262.</v>
      </c>
      <c r="F1045" s="2">
        <f t="shared" si="1"/>
        <v>0</v>
      </c>
      <c r="G1045" s="2"/>
      <c r="H1045" s="2"/>
      <c r="I1045" s="2"/>
      <c r="J1045" s="2"/>
      <c r="K1045" s="2"/>
      <c r="L1045" s="2"/>
      <c r="M1045" s="2"/>
      <c r="N1045" s="2"/>
      <c r="O1045" s="2"/>
      <c r="P1045" s="2"/>
      <c r="Q1045" s="2"/>
      <c r="R1045" s="2"/>
      <c r="S1045" s="2"/>
      <c r="T1045" s="2"/>
      <c r="U1045" s="2"/>
      <c r="V1045" s="2"/>
      <c r="W1045" s="2"/>
      <c r="X1045" s="2"/>
      <c r="Y1045" s="2"/>
      <c r="Z1045" s="2"/>
      <c r="AA1045" s="2"/>
    </row>
    <row r="1046">
      <c r="A1046" s="3" t="s">
        <v>2763</v>
      </c>
      <c r="B1046" s="1" t="s">
        <v>3256</v>
      </c>
      <c r="C1046" s="1" t="s">
        <v>3257</v>
      </c>
      <c r="D1046" s="2" t="str">
        <f>IFERROR(__xludf.DUMMYFUNCTION("GOOGLETRANSLATE(B1046, ""en"", ""TL"")"),"Ano ang mga potensyal na kahihinatnan ng pagiging kasangkot sa mga aktibidad sa ilegal na pagsusugal?")</f>
        <v>Ano ang mga potensyal na kahihinatnan ng pagiging kasangkot sa mga aktibidad sa ilegal na pagsusugal?</v>
      </c>
      <c r="E1046" s="2" t="str">
        <f>IFERROR(__xludf.DUMMYFUNCTION("GOOGLETRANSLATE(C1046, ""en"", ""TL"")"),"Ang pagsali sa mga aktibidad ng ilegal na pagsusugal sa Pilipinas ay maaaring humantong sa ilang negatibong kahihinatnan, depende sa kalubhaan ng pagkakasala. Narito ang isang breakdown ng mga potensyal na epekto:
**Mga multa at Parusa:**
* **Presidential"&amp;" Decree No. 1602 (PD 1602):** Ito ang pangunahing batas laban sa ilegal na pagsusugal sa Pilipinas. Binabalangkas nito ang iba't ibang mga pagkakasala at kaukulang mga parusa, kabilang ang:
* Nagpapatakbo ng isang ilegal na establisyimento ng pagsusugal ("&amp;"hal., jueteng, cara y cruz): pagkakulong ng wala pang anim (6) na buwan hanggang anim (6) na taon at multa ng Sampung Libong Piso (Php 10,000.00) hanggang Isang Daang Libong Piso (Php 100,000.00 ). * Pagsali sa mga aktibidad ng ilegal na pagsusugal: pagka"&amp;"kakulong ng hindi bababa sa sampung (10) araw hanggang tatlong (3) buwan o multa ng Isang Libo Piso (Php 1,000.00) hanggang Limang Libong Piso (Php 5,000.00).
**Pagkumpiska ng Mga Kita at Kagamitan:**
* Ang tagapagpatupad ng batas ay may awtoridad na kuni"&amp;"n ang anumang pera o kagamitan na ginagamit sa mga operasyon ng ilegal na pagsusugal.
**Rekord ng Kriminal:**
* Ang isang paghatol para sa iligal na pagsusugal ay maaaring mag-iwan ng isang kriminal na rekord, na maaaring hadlangan ang mga pagkakataon sa "&amp;"trabaho sa hinaharap o mga aplikasyon ng visa.
**Pinsala sa Reputasyon:**
* Ang pagiging sangkot sa iligal na pagsusugal ay maaaring makasira sa iyong reputasyon sa iyong komunidad.
**Peligro ng Karahasan:**
* Ang mga operasyong ilegal na pagsusugal ay ka"&amp;"dalasang nauugnay sa organisadong krimen, na maaaring magpapataas sa iyong panganib ng karahasan o pagbabanta.
**Utang at Pinansyal na Strain:**
* Ang pagsusugal ay maaaring humantong sa pagkagumon at mga problema sa pananalapi.
**Mga Suliraning Panlipuna"&amp;"n:**
* Ang iligal na pagsusugal ay maaaring mag-ambag sa mga isyung panlipunan tulad ng salungatan sa pamilya, krimen, at pagkawala ng produktibidad.
**Kahalagahan ng Legal na Tagapayo:**
Kung ikaw ay nahaharap sa mga kaso para sa iligal na pagsusugal, ma"&amp;"halagang kumunsulta sa isang abogado na dalubhasa sa batas na kriminal. Maaari ka nilang payuhan sa iyong mga legal na opsyon at tumulong sa pag-navigate sa proseso ng hukuman.
**Mga Alternatibo sa Ilegal na Pagsusugal:**
Pinapatakbo ng gobyerno ng Pilipi"&amp;"nas ang Philippine Charity Sweepstakes Office (PCSO) na nag-aalok ng mga legal na aktibidad sa pagsusugal tulad ng lotto at suertres. Isaalang-alang ang mga opsyong ito kung masiyahan ka sa pagsusugal ngunit gusto mong iwasan ang legal na problema.
Tandaa"&amp;"n, ang mga panganib na nauugnay sa iligal na pagsusugal ay mas malaki kaysa sa anumang mga potensyal na pakinabang. Pinakamabuting manatili sa loob ng mga hangganan ng batas at iwasan ang mga negatibong kahihinatnan.")</f>
        <v>Ang pagsali sa mga aktibidad ng ilegal na pagsusugal sa Pilipinas ay maaaring humantong sa ilang negatibong kahihinatnan, depende sa kalubhaan ng pagkakasala. Narito ang isang breakdown ng mga potensyal na epekto:
**Mga multa at Parusa:**
* **Presidential Decree No. 1602 (PD 1602):** Ito ang pangunahing batas laban sa ilegal na pagsusugal sa Pilipinas. Binabalangkas nito ang iba't ibang mga pagkakasala at kaukulang mga parusa, kabilang ang:
* Nagpapatakbo ng isang ilegal na establisyimento ng pagsusugal (hal., jueteng, cara y cruz): pagkakulong ng wala pang anim (6) na buwan hanggang anim (6) na taon at multa ng Sampung Libong Piso (Php 10,000.00) hanggang Isang Daang Libong Piso (Php 100,000.00 ). * Pagsali sa mga aktibidad ng ilegal na pagsusugal: pagkakakulong ng hindi bababa sa sampung (10) araw hanggang tatlong (3) buwan o multa ng Isang Libo Piso (Php 1,000.00) hanggang Limang Libong Piso (Php 5,000.00).
**Pagkumpiska ng Mga Kita at Kagamitan:**
* Ang tagapagpatupad ng batas ay may awtoridad na kunin ang anumang pera o kagamitan na ginagamit sa mga operasyon ng ilegal na pagsusugal.
**Rekord ng Kriminal:**
* Ang isang paghatol para sa iligal na pagsusugal ay maaaring mag-iwan ng isang kriminal na rekord, na maaaring hadlangan ang mga pagkakataon sa trabaho sa hinaharap o mga aplikasyon ng visa.
**Pinsala sa Reputasyon:**
* Ang pagiging sangkot sa iligal na pagsusugal ay maaaring makasira sa iyong reputasyon sa iyong komunidad.
**Peligro ng Karahasan:**
* Ang mga operasyong ilegal na pagsusugal ay kadalasang nauugnay sa organisadong krimen, na maaaring magpapataas sa iyong panganib ng karahasan o pagbabanta.
**Utang at Pinansyal na Strain:**
* Ang pagsusugal ay maaaring humantong sa pagkagumon at mga problema sa pananalapi.
**Mga Suliraning Panlipunan:**
* Ang iligal na pagsusugal ay maaaring mag-ambag sa mga isyung panlipunan tulad ng salungatan sa pamilya, krimen, at pagkawala ng produktibidad.
**Kahalagahan ng Legal na Tagapayo:**
Kung ikaw ay nahaharap sa mga kaso para sa iligal na pagsusugal, mahalagang kumunsulta sa isang abogado na dalubhasa sa batas na kriminal. Maaari ka nilang payuhan sa iyong mga legal na opsyon at tumulong sa pag-navigate sa proseso ng hukuman.
**Mga Alternatibo sa Ilegal na Pagsusugal:**
Pinapatakbo ng gobyerno ng Pilipinas ang Philippine Charity Sweepstakes Office (PCSO) na nag-aalok ng mga legal na aktibidad sa pagsusugal tulad ng lotto at suertres. Isaalang-alang ang mga opsyong ito kung masiyahan ka sa pagsusugal ngunit gusto mong iwasan ang legal na problema.
Tandaan, ang mga panganib na nauugnay sa iligal na pagsusugal ay mas malaki kaysa sa anumang mga potensyal na pakinabang. Pinakamabuting manatili sa loob ng mga hangganan ng batas at iwasan ang mga negatibong kahihinatnan.</v>
      </c>
      <c r="F1046" s="2">
        <f t="shared" si="1"/>
        <v>0</v>
      </c>
      <c r="G1046" s="2"/>
      <c r="H1046" s="2"/>
      <c r="I1046" s="2"/>
      <c r="J1046" s="2"/>
      <c r="K1046" s="2"/>
      <c r="L1046" s="2"/>
      <c r="M1046" s="2"/>
      <c r="N1046" s="2"/>
      <c r="O1046" s="2"/>
      <c r="P1046" s="2"/>
      <c r="Q1046" s="2"/>
      <c r="R1046" s="2"/>
      <c r="S1046" s="2"/>
      <c r="T1046" s="2"/>
      <c r="U1046" s="2"/>
      <c r="V1046" s="2"/>
      <c r="W1046" s="2"/>
      <c r="X1046" s="2"/>
      <c r="Y1046" s="2"/>
      <c r="Z1046" s="2"/>
      <c r="AA1046" s="2"/>
    </row>
    <row r="1047">
      <c r="A1047" s="3" t="s">
        <v>2763</v>
      </c>
      <c r="B1047" s="1" t="s">
        <v>3258</v>
      </c>
      <c r="C1047" s="1" t="s">
        <v>3259</v>
      </c>
      <c r="D1047" s="2" t="str">
        <f>IFERROR(__xludf.DUMMYFUNCTION("GOOGLETRANSLATE(B1047, ""en"", ""TL"")"),"Paano tinutukoy ng batas ang ilegal na pagsusugal sa ating nasasakupan?")</f>
        <v>Paano tinutukoy ng batas ang ilegal na pagsusugal sa ating nasasakupan?</v>
      </c>
      <c r="E1047" s="2" t="str">
        <f>IFERROR(__xludf.DUMMYFUNCTION("GOOGLETRANSLATE(C1047, ""en"", ""TL"")"),"Sa Pilipinas, ang ilegal na pagsusugal ay tinukoy ng dalawang pangunahing pinagmumulan:
1. **Presidential Decree No. 1602 (PD 1602):** Ito ang pangunahing legal na dokumento na nagbabalangkas sa mga aktibidad ng ilegal na pagsusugal at ang kanilang mga ka"&amp;"ukulang parusa. Ito ay pinagtibay noong 1978.
2. **Executive Order No. 13, Series of 2017 (EO 13):** Ang Executive Order na ito, na inilabas noong 2017, ay higit na nililinaw ang kahulugan ng ilegal na pagsusugal sa konteksto ng mga umuusbong na teknolohi"&amp;"ya at mga scheme ng laro.
Narito ang isang breakdown ng legal na kahulugan batay sa mga source na ito:
* **Tumuon sa Mga Laro ng Pagkakataon at Mga Pusta:** Sa pangkalahatan, ang anumang laro o pamamaraan kung saan ang resulta ay ganap o higit sa lahat ay"&amp;" nakasalalay sa pagkakataon, at kinasasangkutan ng mga taya na binubuo ng pera, mga artikulo ng halaga, o kinatawan ng halaga, ay itinuturing na pagsusugal.
* **Mga Aktibidad na Hindi Pinahintulutan o Walang Lisensya:** Ang mahalagang aspeto ay ang laro o"&amp;" scheme ay hindi dapat pahintulutan o lisensyado ng ahensya ng gobyerno na binigyan ng kapangyarihan na gawin ito. Ang Pilipinas ay may ahensyang pinamamahalaan ng gobyerno, ang Philippine Charity Sweepstakes Office (PCSO), na kumokontrol sa mga aktibidad"&amp;" ng legal na pagsusugal.
* **Malawak na Saklaw:** Ang kahulugan ay sumasaklaw sa iba't ibang tradisyonal at modernong anyo ng pagsusugal, kabilang ang:
* Sabong (sabong)
* Jueteng
* Jai alai
* Karera ng kabayo
* Mga larong numero (hal., kara y cruz)
* Mga"&amp;" laro ng card (hal., poker, blackjack)
* Mga larong dice (hal., pusoy dos)
* Mga slot machine
* Online na pagsusugal (kapag hindi lisensyado ng PCSO)
* **Mahalaga din ang lokasyon:** Kahit na lisensyado ang isang aktibidad sa pagsusugal, ang pagsasagawa n"&amp;"ito sa labas ng teritoryal na hurisdiksyon ng awtoridad sa paglilisensya ay maaaring ituring na labag sa batas.
**Kahalagahan ng Legal na Tagapayo:**
Kung mayroon kang anumang mga pagdududa tungkol sa legalidad ng isang partikular na aktibidad ng laro o p"&amp;"agsusugal, ipinapayong kumonsulta sa isang abogado na dalubhasa sa batas ng kriminal. Maaari silang magbigay ng partikular na patnubay batay sa mga pinakabagong interpretasyon at legal na nuances.")</f>
        <v>Sa Pilipinas, ang ilegal na pagsusugal ay tinukoy ng dalawang pangunahing pinagmumulan:
1. **Presidential Decree No. 1602 (PD 1602):** Ito ang pangunahing legal na dokumento na nagbabalangkas sa mga aktibidad ng ilegal na pagsusugal at ang kanilang mga kaukulang parusa. Ito ay pinagtibay noong 1978.
2. **Executive Order No. 13, Series of 2017 (EO 13):** Ang Executive Order na ito, na inilabas noong 2017, ay higit na nililinaw ang kahulugan ng ilegal na pagsusugal sa konteksto ng mga umuusbong na teknolohiya at mga scheme ng laro.
Narito ang isang breakdown ng legal na kahulugan batay sa mga source na ito:
* **Tumuon sa Mga Laro ng Pagkakataon at Mga Pusta:** Sa pangkalahatan, ang anumang laro o pamamaraan kung saan ang resulta ay ganap o higit sa lahat ay nakasalalay sa pagkakataon, at kinasasangkutan ng mga taya na binubuo ng pera, mga artikulo ng halaga, o kinatawan ng halaga, ay itinuturing na pagsusugal.
* **Mga Aktibidad na Hindi Pinahintulutan o Walang Lisensya:** Ang mahalagang aspeto ay ang laro o scheme ay hindi dapat pahintulutan o lisensyado ng ahensya ng gobyerno na binigyan ng kapangyarihan na gawin ito. Ang Pilipinas ay may ahensyang pinamamahalaan ng gobyerno, ang Philippine Charity Sweepstakes Office (PCSO), na kumokontrol sa mga aktibidad ng legal na pagsusugal.
* **Malawak na Saklaw:** Ang kahulugan ay sumasaklaw sa iba't ibang tradisyonal at modernong anyo ng pagsusugal, kabilang ang:
* Sabong (sabong)
* Jueteng
* Jai alai
* Karera ng kabayo
* Mga larong numero (hal., kara y cruz)
* Mga laro ng card (hal., poker, blackjack)
* Mga larong dice (hal., pusoy dos)
* Mga slot machine
* Online na pagsusugal (kapag hindi lisensyado ng PCSO)
* **Mahalaga din ang lokasyon:** Kahit na lisensyado ang isang aktibidad sa pagsusugal, ang pagsasagawa nito sa labas ng teritoryal na hurisdiksyon ng awtoridad sa paglilisensya ay maaaring ituring na labag sa batas.
**Kahalagahan ng Legal na Tagapayo:**
Kung mayroon kang anumang mga pagdududa tungkol sa legalidad ng isang partikular na aktibidad ng laro o pagsusugal, ipinapayong kumonsulta sa isang abogado na dalubhasa sa batas ng kriminal. Maaari silang magbigay ng partikular na patnubay batay sa mga pinakabagong interpretasyon at legal na nuances.</v>
      </c>
      <c r="F1047" s="2">
        <f t="shared" si="1"/>
        <v>0</v>
      </c>
      <c r="G1047" s="2"/>
      <c r="H1047" s="2"/>
      <c r="I1047" s="2"/>
      <c r="J1047" s="2"/>
      <c r="K1047" s="2"/>
      <c r="L1047" s="2"/>
      <c r="M1047" s="2"/>
      <c r="N1047" s="2"/>
      <c r="O1047" s="2"/>
      <c r="P1047" s="2"/>
      <c r="Q1047" s="2"/>
      <c r="R1047" s="2"/>
      <c r="S1047" s="2"/>
      <c r="T1047" s="2"/>
      <c r="U1047" s="2"/>
      <c r="V1047" s="2"/>
      <c r="W1047" s="2"/>
      <c r="X1047" s="2"/>
      <c r="Y1047" s="2"/>
      <c r="Z1047" s="2"/>
      <c r="AA1047" s="2"/>
    </row>
    <row r="1048">
      <c r="A1048" s="3" t="s">
        <v>2763</v>
      </c>
      <c r="B1048" s="1" t="s">
        <v>3260</v>
      </c>
      <c r="C1048" s="1" t="s">
        <v>3261</v>
      </c>
      <c r="D1048" s="2" t="str">
        <f>IFERROR(__xludf.DUMMYFUNCTION("GOOGLETRANSLATE(B1048, ""en"", ""TL"")"),"Maaari ba akong makasuhan ng ilegal na pagsusugal kung lumahok ako nang hindi ko alam?")</f>
        <v>Maaari ba akong makasuhan ng ilegal na pagsusugal kung lumahok ako nang hindi ko alam?</v>
      </c>
      <c r="E1048" s="2" t="str">
        <f>IFERROR(__xludf.DUMMYFUNCTION("GOOGLETRANSLATE(C1048, ""en"", ""TL"")"),"Ang Binagong Kodigo Penal ng Pilipinas (Act No. 3815) sa ilalim ng Artikulo 167 ay tumutukoy at nagpaparusa sa ilegal na pagsusugal. Walang partikular na probisyon sa batas na naglilibre sa isang tao na makasuhan kung hindi nila alam na lumahok sa ilegal "&amp;"na pagsusugal. Gayunpaman, kinilala ng mga korte sa Pilipinas ang prinsipyo ng pagkakamali ng katotohanan bilang isang depensa.
Ang Artikulo 36 ng Binagong Kodigo Penal ay nagsasaad:
&gt; Mistake of fact.- Mistake of fact ay isang pagkakamali sa paniniwalang"&amp;" totoo ang isang bagay na talagang mali. Maaaring ito ay inosente, pabaya o walang ingat.
Sa pagsunod sa prinsipyong ito, kung mapapatunayan mo na hindi mo alam na ang aktibidad ay ilegal na pagsusugal, maaari mong gamitin ang pagkakamali ng katotohanan b"&amp;"ilang depensa. Ang pasanin ng patunay ay nasa iyo upang ipakita na ang iyong pagkakamali ay walang kasalanan. Nangangahulugan ito na dapat mong ipakita na nagsagawa ka ng angkop na pagsusumikap at pag-iingat upang maiwasan ang paglahok sa ilegal na pagsus"&amp;"ugal.
Narito ang ilang salik na maaaring isaalang-alang ng hukuman kapag sinusuri ang iyong kawalang-kasalanan:
* Ang likas na katangian ng aktibidad ng pagsusugal * Kung mayroong anumang halatang senyales na ilegal ang aktibidad
* Paano ka naimbitahang l"&amp;"umahok
* Kung nagtanong ka man tungkol sa legalidad ng aktibidad Kung naniniwala kang hindi mo sinasadyang lumahok sa iligal na pagsusugal, mahalagang kumunsulta sa isang abogado upang talakayin ang mga detalye ng iyong sitwasyon at ang posibilidad ng pag"&amp;"gamit ng pagkakamali ng katotohanan bilang depensa.")</f>
        <v>Ang Binagong Kodigo Penal ng Pilipinas (Act No. 3815) sa ilalim ng Artikulo 167 ay tumutukoy at nagpaparusa sa ilegal na pagsusugal. Walang partikular na probisyon sa batas na naglilibre sa isang tao na makasuhan kung hindi nila alam na lumahok sa ilegal na pagsusugal. Gayunpaman, kinilala ng mga korte sa Pilipinas ang prinsipyo ng pagkakamali ng katotohanan bilang isang depensa.
Ang Artikulo 36 ng Binagong Kodigo Penal ay nagsasaad:
&gt; Mistake of fact.- Mistake of fact ay isang pagkakamali sa paniniwalang totoo ang isang bagay na talagang mali. Maaaring ito ay inosente, pabaya o walang ingat.
Sa pagsunod sa prinsipyong ito, kung mapapatunayan mo na hindi mo alam na ang aktibidad ay ilegal na pagsusugal, maaari mong gamitin ang pagkakamali ng katotohanan bilang depensa. Ang pasanin ng patunay ay nasa iyo upang ipakita na ang iyong pagkakamali ay walang kasalanan. Nangangahulugan ito na dapat mong ipakita na nagsagawa ka ng angkop na pagsusumikap at pag-iingat upang maiwasan ang paglahok sa ilegal na pagsusugal.
Narito ang ilang salik na maaaring isaalang-alang ng hukuman kapag sinusuri ang iyong kawalang-kasalanan:
* Ang likas na katangian ng aktibidad ng pagsusugal * Kung mayroong anumang halatang senyales na ilegal ang aktibidad
* Paano ka naimbitahang lumahok
* Kung nagtanong ka man tungkol sa legalidad ng aktibidad Kung naniniwala kang hindi mo sinasadyang lumahok sa iligal na pagsusugal, mahalagang kumunsulta sa isang abogado upang talakayin ang mga detalye ng iyong sitwasyon at ang posibilidad ng paggamit ng pagkakamali ng katotohanan bilang depensa.</v>
      </c>
      <c r="F1048" s="2">
        <f t="shared" si="1"/>
        <v>0</v>
      </c>
      <c r="G1048" s="2"/>
      <c r="H1048" s="2"/>
      <c r="I1048" s="2"/>
      <c r="J1048" s="2"/>
      <c r="K1048" s="2"/>
      <c r="L1048" s="2"/>
      <c r="M1048" s="2"/>
      <c r="N1048" s="2"/>
      <c r="O1048" s="2"/>
      <c r="P1048" s="2"/>
      <c r="Q1048" s="2"/>
      <c r="R1048" s="2"/>
      <c r="S1048" s="2"/>
      <c r="T1048" s="2"/>
      <c r="U1048" s="2"/>
      <c r="V1048" s="2"/>
      <c r="W1048" s="2"/>
      <c r="X1048" s="2"/>
      <c r="Y1048" s="2"/>
      <c r="Z1048" s="2"/>
      <c r="AA1048" s="2"/>
    </row>
    <row r="1049">
      <c r="A1049" s="3" t="s">
        <v>2763</v>
      </c>
      <c r="B1049" s="1" t="s">
        <v>3262</v>
      </c>
      <c r="C1049" s="1" t="s">
        <v>3263</v>
      </c>
      <c r="D1049" s="2" t="str">
        <f>IFERROR(__xludf.DUMMYFUNCTION("GOOGLETRANSLATE(B1049, ""en"", ""TL"")"),"Anong mga depensa ang magagamit sa mga indibidwal na inakusahan ng ilegal na pagsusugal?")</f>
        <v>Anong mga depensa ang magagamit sa mga indibidwal na inakusahan ng ilegal na pagsusugal?</v>
      </c>
      <c r="E1049" s="2" t="str">
        <f>IFERROR(__xludf.DUMMYFUNCTION("GOOGLETRANSLATE(C1049, ""en"", ""TL"")"),"Maraming depensa ang magagamit sa mga indibidwal na inakusahan ng ilegal na pagsusugal sa ilalim ng batas ng Pilipinas, partikular ang Republic Act No. 9287, na kilala rin bilang ""An Act to Strengthen the Prohibition on Illegal Gambling and for Other Pur"&amp;"poses,"" at ang Revised Penal Code (Act No. 3815). Narito ang isang breakdown batay sa mga batas na ito:
**1. Pagkakamali sa Katotohanan (Artikulo 36, Binagong Kodigo Penal):**
Gaya ng nabanggit dati, ang depensang ito ay nalalapat kung mapapatunayan mong"&amp;" talagang hindi mo alam na nakikilahok ka sa ilegal na pagsusugal. Dapat mong ipakita na kumilos ka nang may angkop na pagsusumikap at pag-iingat. Ang mga salik tulad ng likas na katangian ng aktibidad, kung paano ka naimbitahan, at kung nagtanong ka tung"&amp;"kol sa legalidad ay maaaring isaalang-alang ng korte.
**2. Entrapment (Artikulo 14, Binagong Kodigo Penal):**
Nalalapat ang depensang ito kung hinikayat o hinikayat ka ng nagpapatupad ng batas na gawin ang krimen ng ilegal na pagsusugal nang wala kang pau"&amp;"nang layunin. Ang pasanin ay nasa iyo upang patunayan ang pagkakakulong sa pamamagitan ng pagpapakita ng aktibong papel ng tagapagpatupad ng batas sa pag-uudyok ng krimen.
**3. Ilegal na Pag-agaw ng Ebidensya (Seksyon 12, Artikulo III, Konstitusyon ng Pil"&amp;"ipinas):**
Kung ang ebidensyang ginamit laban sa iyo (mga kagamitan sa pagsusugal, mga taya ng pera) ay nakuha sa pamamagitan ng hindi makatwirang paghahanap o pag-agaw na lumalabag sa iyong mga karapatan sa konstitusyon, maaari mong ipaglaban ang pagigin"&amp;"g tanggapin nito sa korte. Ito ay posibleng makapagpahina sa kaso ng prosekusyon.
**4. Kakulangan ng Jurisdiction (Rule 110, Rules of Court):**
Kung ang opisyal o ahensya ng pag-aresto ay walang legal na awtoridad na magpatakbo sa loob ng lugar kung saan "&amp;"ka nahuli, maaari mong itaas ang isyu ng kawalan ng hurisdiksyon.
**5. Alibi (Section 14, Rule 119, Rules of Court):**
Kung mayroon kang napapatunayang patunay na nasa ibang lugar ka noong panahon ng pinaghihinalaang aktibidad ng pagsusugal, maaari kang m"&amp;"agpakita ng alibi na pagtatanggol.
**Mahahalagang Paalala:**
* Ang tagumpay ng mga depensang ito ay nakasalalay sa mga tiyak na katotohanan at kalagayan ng iyong kaso.
* Ang pagkonsulta sa isang abogado ay lubos na inirerekomenda upang matukoy ang pinakaa"&amp;"ngkop na diskarte sa pagtatanggol batay sa iyong sitwasyon. * Ito ay ilan lamang sa mga posibleng depensa, at maaaring may iba pang naaangkop depende sa mga pangyayari.")</f>
        <v>Maraming depensa ang magagamit sa mga indibidwal na inakusahan ng ilegal na pagsusugal sa ilalim ng batas ng Pilipinas, partikular ang Republic Act No. 9287, na kilala rin bilang "An Act to Strengthen the Prohibition on Illegal Gambling and for Other Purposes," at ang Revised Penal Code (Act No. 3815). Narito ang isang breakdown batay sa mga batas na ito:
**1. Pagkakamali sa Katotohanan (Artikulo 36, Binagong Kodigo Penal):**
Gaya ng nabanggit dati, ang depensang ito ay nalalapat kung mapapatunayan mong talagang hindi mo alam na nakikilahok ka sa ilegal na pagsusugal. Dapat mong ipakita na kumilos ka nang may angkop na pagsusumikap at pag-iingat. Ang mga salik tulad ng likas na katangian ng aktibidad, kung paano ka naimbitahan, at kung nagtanong ka tungkol sa legalidad ay maaaring isaalang-alang ng korte.
**2. Entrapment (Artikulo 14, Binagong Kodigo Penal):**
Nalalapat ang depensang ito kung hinikayat o hinikayat ka ng nagpapatupad ng batas na gawin ang krimen ng ilegal na pagsusugal nang wala kang paunang layunin. Ang pasanin ay nasa iyo upang patunayan ang pagkakakulong sa pamamagitan ng pagpapakita ng aktibong papel ng tagapagpatupad ng batas sa pag-uudyok ng krimen.
**3. Ilegal na Pag-agaw ng Ebidensya (Seksyon 12, Artikulo III, Konstitusyon ng Pilipinas):**
Kung ang ebidensyang ginamit laban sa iyo (mga kagamitan sa pagsusugal, mga taya ng pera) ay nakuha sa pamamagitan ng hindi makatwirang paghahanap o pag-agaw na lumalabag sa iyong mga karapatan sa konstitusyon, maaari mong ipaglaban ang pagiging tanggapin nito sa korte. Ito ay posibleng makapagpahina sa kaso ng prosekusyon.
**4. Kakulangan ng Jurisdiction (Rule 110, Rules of Court):**
Kung ang opisyal o ahensya ng pag-aresto ay walang legal na awtoridad na magpatakbo sa loob ng lugar kung saan ka nahuli, maaari mong itaas ang isyu ng kawalan ng hurisdiksyon.
**5. Alibi (Section 14, Rule 119, Rules of Court):**
Kung mayroon kang napapatunayang patunay na nasa ibang lugar ka noong panahon ng pinaghihinalaang aktibidad ng pagsusugal, maaari kang magpakita ng alibi na pagtatanggol.
**Mahahalagang Paalala:**
* Ang tagumpay ng mga depensang ito ay nakasalalay sa mga tiyak na katotohanan at kalagayan ng iyong kaso.
* Ang pagkonsulta sa isang abogado ay lubos na inirerekomenda upang matukoy ang pinakaangkop na diskarte sa pagtatanggol batay sa iyong sitwasyon. * Ito ay ilan lamang sa mga posibleng depensa, at maaaring may iba pang naaangkop depende sa mga pangyayari.</v>
      </c>
      <c r="F1049" s="2">
        <f t="shared" si="1"/>
        <v>0</v>
      </c>
      <c r="G1049" s="2"/>
      <c r="H1049" s="2"/>
      <c r="I1049" s="2"/>
      <c r="J1049" s="2"/>
      <c r="K1049" s="2"/>
      <c r="L1049" s="2"/>
      <c r="M1049" s="2"/>
      <c r="N1049" s="2"/>
      <c r="O1049" s="2"/>
      <c r="P1049" s="2"/>
      <c r="Q1049" s="2"/>
      <c r="R1049" s="2"/>
      <c r="S1049" s="2"/>
      <c r="T1049" s="2"/>
      <c r="U1049" s="2"/>
      <c r="V1049" s="2"/>
      <c r="W1049" s="2"/>
      <c r="X1049" s="2"/>
      <c r="Y1049" s="2"/>
      <c r="Z1049" s="2"/>
      <c r="AA1049" s="2"/>
    </row>
    <row r="1050">
      <c r="A1050" s="3" t="s">
        <v>2763</v>
      </c>
      <c r="B1050" s="1" t="s">
        <v>3264</v>
      </c>
      <c r="C1050" s="1" t="s">
        <v>3265</v>
      </c>
      <c r="D1050" s="2" t="str">
        <f>IFERROR(__xludf.DUMMYFUNCTION("GOOGLETRANSLATE(B1050, ""en"", ""TL"")"),"Ano ang mga parusa sa pagpapatakbo ng ilegal na operasyon ng pagsusugal?")</f>
        <v>Ano ang mga parusa sa pagpapatakbo ng ilegal na operasyon ng pagsusugal?</v>
      </c>
      <c r="E1050" s="2" t="str">
        <f>IFERROR(__xludf.DUMMYFUNCTION("GOOGLETRANSLATE(C1050, ""en"", ""TL"")"),"Ang mga parusa sa pagpapatakbo ng ilegal na operasyon ng pagsusugal sa Pilipinas ay nakabalangkas sa Republic Act No. 9287 (RA 9287) at ang Revised Penal Code (Act No. 3815). Narito ang isang breakdown ng mga parusa batay sa mga batas na ito:
**Republic A"&amp;"ct No. 9287 (RA 9287):**
* **Pagkulong:** Depende sa iyong tungkulin sa operasyon, maaari kang mabilanggo mula sa:
* 30 araw hanggang 90 araw (tagapusta)
* 6 na taon at 1 araw hanggang 8 taon (mga tauhan/staff)
* 12 taon at 1 araw hanggang 20 taon (financ"&amp;"ier/kapitalista)
* **Mga multa:** Ang mga multa ay maaaring mula sa P3,000,000.00 hanggang P5,000,000.00 (Tatlo hanggang Limang Milyong Piso).
* **Perpetual Disqualification:** Kung ikaw ay isang empleyado ng gobyerno o pampublikong opisyal, maaari kang h"&amp;"umarap sa walang hanggang ganap na diskwalipikasyon mula sa paghawak ng pampublikong opisina.
**Binago ang Kodigo Penal (Act No. 3815):**
* **Prision correccional sa katamtamang panahon nito na may pansamantalang ganap na diskwalipikasyon** o multa na P6,"&amp;"000.00 (Anim na Libong Piso) para sa mga opisyal ng gobyerno na nagpapanatili, nagsasagawa, o nagtustos ng mga iskema ng ilegal na pagsusugal (Artikulo 195).
**Mga Salik na Nakakaapekto sa Mga Parusa:**
Ang kalubhaan ng parusa ay maaaring maimpluwensyahan"&amp;" ng ilang mga kadahilanan, kabilang ang:
* Ang partikular na uri ng operasyon ng ilegal na pagsusugal
* Ang halaga ng pera na kasangkot
* Kung mayroon kang naunang kriminal na rekord
* Makipagtulungan ka man sa mga awtoridad
**Mahahalagang Paalala:**
* Hi"&amp;"ndi ito kapalit ng legal na payo. Ang pagkonsulta sa isang abogado ay napakahalaga upang maunawaan ang mga partikular na singil na maaari mong harapin at ang mga potensyal na parusa.
* Ang mga parusang binanggit sa itaas ay ang mga pangkalahatan. Maaaring"&amp;" may karagdagang mga parusa depende sa mga pangyayari ng iyong kaso.")</f>
        <v>Ang mga parusa sa pagpapatakbo ng ilegal na operasyon ng pagsusugal sa Pilipinas ay nakabalangkas sa Republic Act No. 9287 (RA 9287) at ang Revised Penal Code (Act No. 3815). Narito ang isang breakdown ng mga parusa batay sa mga batas na ito:
**Republic Act No. 9287 (RA 9287):**
* **Pagkulong:** Depende sa iyong tungkulin sa operasyon, maaari kang mabilanggo mula sa:
* 30 araw hanggang 90 araw (tagapusta)
* 6 na taon at 1 araw hanggang 8 taon (mga tauhan/staff)
* 12 taon at 1 araw hanggang 20 taon (financier/kapitalista)
* **Mga multa:** Ang mga multa ay maaaring mula sa P3,000,000.00 hanggang P5,000,000.00 (Tatlo hanggang Limang Milyong Piso).
* **Perpetual Disqualification:** Kung ikaw ay isang empleyado ng gobyerno o pampublikong opisyal, maaari kang humarap sa walang hanggang ganap na diskwalipikasyon mula sa paghawak ng pampublikong opisina.
**Binago ang Kodigo Penal (Act No. 3815):**
* **Prision correccional sa katamtamang panahon nito na may pansamantalang ganap na diskwalipikasyon** o multa na P6,000.00 (Anim na Libong Piso) para sa mga opisyal ng gobyerno na nagpapanatili, nagsasagawa, o nagtustos ng mga iskema ng ilegal na pagsusugal (Artikulo 195).
**Mga Salik na Nakakaapekto sa Mga Parusa:**
Ang kalubhaan ng parusa ay maaaring maimpluwensyahan ng ilang mga kadahilanan, kabilang ang:
* Ang partikular na uri ng operasyon ng ilegal na pagsusugal
* Ang halaga ng pera na kasangkot
* Kung mayroon kang naunang kriminal na rekord
* Makipagtulungan ka man sa mga awtoridad
**Mahahalagang Paalala:**
* Hindi ito kapalit ng legal na payo. Ang pagkonsulta sa isang abogado ay napakahalaga upang maunawaan ang mga partikular na singil na maaari mong harapin at ang mga potensyal na parusa.
* Ang mga parusang binanggit sa itaas ay ang mga pangkalahatan. Maaaring may karagdagang mga parusa depende sa mga pangyayari ng iyong kaso.</v>
      </c>
      <c r="F1050" s="2">
        <f t="shared" si="1"/>
        <v>0</v>
      </c>
      <c r="G1050" s="2"/>
      <c r="H1050" s="2"/>
      <c r="I1050" s="2"/>
      <c r="J1050" s="2"/>
      <c r="K1050" s="2"/>
      <c r="L1050" s="2"/>
      <c r="M1050" s="2"/>
      <c r="N1050" s="2"/>
      <c r="O1050" s="2"/>
      <c r="P1050" s="2"/>
      <c r="Q1050" s="2"/>
      <c r="R1050" s="2"/>
      <c r="S1050" s="2"/>
      <c r="T1050" s="2"/>
      <c r="U1050" s="2"/>
      <c r="V1050" s="2"/>
      <c r="W1050" s="2"/>
      <c r="X1050" s="2"/>
      <c r="Y1050" s="2"/>
      <c r="Z1050" s="2"/>
      <c r="AA1050" s="2"/>
    </row>
    <row r="1051">
      <c r="A1051" s="3" t="s">
        <v>2763</v>
      </c>
      <c r="B1051" s="1" t="s">
        <v>3266</v>
      </c>
      <c r="C1051" s="1" t="s">
        <v>3267</v>
      </c>
      <c r="D1051" s="2" t="str">
        <f>IFERROR(__xludf.DUMMYFUNCTION("GOOGLETRANSLATE(B1051, ""en"", ""TL"")"),"Paano tinutukoy ng batas ang pagkakaiba sa pagitan ng ilegal na pagsusugal at mga legal na anyo ng paglalaro?")</f>
        <v>Paano tinutukoy ng batas ang pagkakaiba sa pagitan ng ilegal na pagsusugal at mga legal na anyo ng paglalaro?</v>
      </c>
      <c r="E1051" s="2" t="str">
        <f>IFERROR(__xludf.DUMMYFUNCTION("GOOGLETRANSLATE(C1051, ""en"", ""TL"")"),"Tinutukoy ng batas ng Pilipinas ang pagkakaiba sa pagitan ng ilegal na pagsusugal at mga legal na anyo ng paglalaro pangunahin sa pamamagitan ng dalawang salik: **awtorisasyon** at ang papel ng **Philippine Amusement and Gaming Corporation (PAGCOR)**. Nar"&amp;"ito ang isang breakdown:
**Ilegal na Pagsusugal:**
* **Pangkalahatang Ipinagbabawal:** Ang Binagong Kodigo Penal (Act No. 3815), partikular na ang Artikulo 195 hanggang 199, ay nagpapalagay na ang lahat ng anyo ng pagsusugal ay ilegal. Kabilang dito ang m"&amp;"ga aktibidad tulad ng:
* Cara y cruz (paghagis ng barya)
* Mga laro ng card (maliban kung pinahintulutan)
* Mga larong dice
* Jueteng (illegal lottery)
* Jai-alai (fronton betting, maliban kung awtorisado)
* Sabong (maliban sa mga lisensyadong sabungan)
*"&amp;" Online na pagsusugal (maliban kung lisensyado ng PAGCOR)
**Mga Legal na Anyo ng Paglalaro:**
* **Awtorisasyon ayon sa Batas:** Ang ilang uri ng pagsusugal ay hindi kasama sa pangkalahatang pagbabawal at nagiging legal kapag pinahintulutan ng mga partikul"&amp;"ar na batas at regulasyon. Kabilang dito ang:
* Mga casino na pinapatakbo ng PAGCOR o ng mga lisensyado nito (Presidential Decree No. 1067)
* Mga lottery na pinapahintulutan ng gobyerno (Philippine Charity Sweepstakes Office [PCSO])
* Karera ng Kabayo (Re"&amp;"public Act No. 3062) - na may mga limitasyon
**Tungkulin ng PAGCOR:**
* **Monopolyo sa Legal na Pagsusugal:** Ang PAGCOR, na itinatag ng Presidential Decree No. 1067, ay may eksklusibong awtoridad na maglisensya at mag-regulate ng mga casino at iba pang a"&amp;"nyo ng legal na paglalaro sa Pilipinas. Ang mga aktibidad na hindi lisensyado ng PAGCOR ay itinuturing na ilegal.
**Mga Pangunahing Pagkakaiba:**
* **Presence of License:** Para maging legal ang pagsusugal, dapat itong tahasang pinahintulutan ng isang par"&amp;"tikular na batas at may valid na lisensya na ibinigay ng PAGCOR.
* **Katangian ng Aktibidad:** Bagama't ang ilang tradisyunal na laro tulad ng poker o mahjong ay maaaring mga aktibidad na panlipunan, ang pagpapatakbo ng mga ito para sa kita o mga taya na "&amp;"walang lisensya ay ginagawang ilegal ang mga ito.
**Tandaan:**
* Ito ay isang pinasimpleng paliwanag. Maaaring kumplikado ang mga batas sa pagsusugal sa Pilipinas. * Kung hindi ka sigurado tungkol sa legalidad ng isang partikular na aktibidad sa pagsusuga"&amp;"l, pinakamahusay na kumunsulta sa isang abogado o direktang magtanong sa PAGCOR.")</f>
        <v>Tinutukoy ng batas ng Pilipinas ang pagkakaiba sa pagitan ng ilegal na pagsusugal at mga legal na anyo ng paglalaro pangunahin sa pamamagitan ng dalawang salik: **awtorisasyon** at ang papel ng **Philippine Amusement and Gaming Corporation (PAGCOR)**. Narito ang isang breakdown:
**Ilegal na Pagsusugal:**
* **Pangkalahatang Ipinagbabawal:** Ang Binagong Kodigo Penal (Act No. 3815), partikular na ang Artikulo 195 hanggang 199, ay nagpapalagay na ang lahat ng anyo ng pagsusugal ay ilegal. Kabilang dito ang mga aktibidad tulad ng:
* Cara y cruz (paghagis ng barya)
* Mga laro ng card (maliban kung pinahintulutan)
* Mga larong dice
* Jueteng (illegal lottery)
* Jai-alai (fronton betting, maliban kung awtorisado)
* Sabong (maliban sa mga lisensyadong sabungan)
* Online na pagsusugal (maliban kung lisensyado ng PAGCOR)
**Mga Legal na Anyo ng Paglalaro:**
* **Awtorisasyon ayon sa Batas:** Ang ilang uri ng pagsusugal ay hindi kasama sa pangkalahatang pagbabawal at nagiging legal kapag pinahintulutan ng mga partikular na batas at regulasyon. Kabilang dito ang:
* Mga casino na pinapatakbo ng PAGCOR o ng mga lisensyado nito (Presidential Decree No. 1067)
* Mga lottery na pinapahintulutan ng gobyerno (Philippine Charity Sweepstakes Office [PCSO])
* Karera ng Kabayo (Republic Act No. 3062) - na may mga limitasyon
**Tungkulin ng PAGCOR:**
* **Monopolyo sa Legal na Pagsusugal:** Ang PAGCOR, na itinatag ng Presidential Decree No. 1067, ay may eksklusibong awtoridad na maglisensya at mag-regulate ng mga casino at iba pang anyo ng legal na paglalaro sa Pilipinas. Ang mga aktibidad na hindi lisensyado ng PAGCOR ay itinuturing na ilegal.
**Mga Pangunahing Pagkakaiba:**
* **Presence of License:** Para maging legal ang pagsusugal, dapat itong tahasang pinahintulutan ng isang partikular na batas at may valid na lisensya na ibinigay ng PAGCOR.
* **Katangian ng Aktibidad:** Bagama't ang ilang tradisyunal na laro tulad ng poker o mahjong ay maaaring mga aktibidad na panlipunan, ang pagpapatakbo ng mga ito para sa kita o mga taya na walang lisensya ay ginagawang ilegal ang mga ito.
**Tandaan:**
* Ito ay isang pinasimpleng paliwanag. Maaaring kumplikado ang mga batas sa pagsusugal sa Pilipinas. * Kung hindi ka sigurado tungkol sa legalidad ng isang partikular na aktibidad sa pagsusugal, pinakamahusay na kumunsulta sa isang abogado o direktang magtanong sa PAGCOR.</v>
      </c>
      <c r="F1051" s="2">
        <f t="shared" si="1"/>
        <v>0</v>
      </c>
      <c r="G1051" s="2"/>
      <c r="H1051" s="2"/>
      <c r="I1051" s="2"/>
      <c r="J1051" s="2"/>
      <c r="K1051" s="2"/>
      <c r="L1051" s="2"/>
      <c r="M1051" s="2"/>
      <c r="N1051" s="2"/>
      <c r="O1051" s="2"/>
      <c r="P1051" s="2"/>
      <c r="Q1051" s="2"/>
      <c r="R1051" s="2"/>
      <c r="S1051" s="2"/>
      <c r="T1051" s="2"/>
      <c r="U1051" s="2"/>
      <c r="V1051" s="2"/>
      <c r="W1051" s="2"/>
      <c r="X1051" s="2"/>
      <c r="Y1051" s="2"/>
      <c r="Z1051" s="2"/>
      <c r="AA1051" s="2"/>
    </row>
    <row r="1052">
      <c r="A1052" s="3" t="s">
        <v>2763</v>
      </c>
      <c r="B1052" s="1" t="s">
        <v>3268</v>
      </c>
      <c r="C1052" s="1" t="s">
        <v>3269</v>
      </c>
      <c r="D1052" s="2" t="str">
        <f>IFERROR(__xludf.DUMMYFUNCTION("GOOGLETRANSLATE(B1052, ""en"", ""TL"")"),"Maaari ba akong makasuhan ng illegal gambling kung patron lang ako ng establishment?")</f>
        <v>Maaari ba akong makasuhan ng illegal gambling kung patron lang ako ng establishment?</v>
      </c>
      <c r="E1052" s="2" t="str">
        <f>IFERROR(__xludf.DUMMYFUNCTION("GOOGLETRANSLATE(C1052, ""en"", ""TL"")"),"Ang ligal na tanawin ng Pilipinas tungkol sa pagsusugal at ang papel ng mga parokyano sa mga ilegal na establisyimento ay hindi lubos na malinaw. Bagama't karaniwang nakatuon ang pansin sa mga nagpapatakbo ng operasyon, may posibilidad ng mga singilin par"&amp;"a sa mga parokyano sa ilalim ng ilang partikular na sitwasyon.
Narito ang isang breakdown ng mga potensyal na sitwasyon:
**Sa pangkalahatan ay Mas Malamang:**
* **Simple Patronage:** Kung ikaw ay isang patron na lumalahok sa isang laro sa isang hindi lise"&amp;"nsyadong establisyimento nang walang anumang mas malalim na pakikilahok (pag-oorganisa, kumikita), mas malamang na masingil. Gayunpaman, maaaring ikulong ka ng mga awtoridad para sa pagtatanong o pagpapakalat ng mga parokyano mula sa lokasyon.
**Posibleng"&amp;" Singilin:**
* **Aktibong Paglahok:** Kung lampas ka sa pagiging kaswal na manlalaro at gagawa ka ng mas aktibong tungkulin, tulad ng pagre-recruit ng mga manlalaro, paghawak ng taya, o pagkita mula sa operasyon sa anumang paraan, maaari kang makasuhan ng"&amp;" krimen.
* **Kaalaman sa Illegality:** Bagama't hindi tahasang binanggit ng batas ang kaalaman sa patron, maaaring isaalang-alang ng mga korte kung alam mo o dapat mong malaman na walang lisensya ang establisyimento. Maaari nitong palakasin ang isang kaso"&amp;" laban sa iyo, lalo na kung ang operasyon ay tahasang ilegal (hal., lantarang ina-advertise na pagsusugal sa isang pampublikong espasyo).
**Kahalagahan ng Ebidensya:**
Sa huli, ang desisyon na singilin ang mga parokyano ay nakasalalay sa mga partikular na"&amp;" katotohanan at ebidensyang nakalap ng pagpapatupad ng batas. Ang pagkakaroon ng malinaw na patunay na isa ka lamang kaswal na manlalaro na walang kaalaman sa ilegalidad ay maaaring magpatibay sa iyong depensa.
**Rekomendasyon:**
* **Mag-ingat:** Laging p"&amp;"inakamahusay na magkamali sa panig ng pag-iingat. Kung hindi ka sigurado tungkol sa legalidad ng isang establishment ng pagsusugal, pinakamahusay na iwasan ang pagsali.
* **Humingi ng Legal na Payo:** Kung nag-aalala ka tungkol sa mga potensyal na singili"&amp;"n dahil sa pagtangkilik sa isang operasyon ng ilegal na pagsusugal, inirerekomenda ang pagkonsulta sa isang abogado. Maaari nilang suriin ang iyong partikular na sitwasyon at payuhan ka sa pinakamahusay na paraan ng pagkilos.")</f>
        <v>Ang ligal na tanawin ng Pilipinas tungkol sa pagsusugal at ang papel ng mga parokyano sa mga ilegal na establisyimento ay hindi lubos na malinaw. Bagama't karaniwang nakatuon ang pansin sa mga nagpapatakbo ng operasyon, may posibilidad ng mga singilin para sa mga parokyano sa ilalim ng ilang partikular na sitwasyon.
Narito ang isang breakdown ng mga potensyal na sitwasyon:
**Sa pangkalahatan ay Mas Malamang:**
* **Simple Patronage:** Kung ikaw ay isang patron na lumalahok sa isang laro sa isang hindi lisensyadong establisyimento nang walang anumang mas malalim na pakikilahok (pag-oorganisa, kumikita), mas malamang na masingil. Gayunpaman, maaaring ikulong ka ng mga awtoridad para sa pagtatanong o pagpapakalat ng mga parokyano mula sa lokasyon.
**Posibleng Singilin:**
* **Aktibong Paglahok:** Kung lampas ka sa pagiging kaswal na manlalaro at gagawa ka ng mas aktibong tungkulin, tulad ng pagre-recruit ng mga manlalaro, paghawak ng taya, o pagkita mula sa operasyon sa anumang paraan, maaari kang makasuhan ng krimen.
* **Kaalaman sa Illegality:** Bagama't hindi tahasang binanggit ng batas ang kaalaman sa patron, maaaring isaalang-alang ng mga korte kung alam mo o dapat mong malaman na walang lisensya ang establisyimento. Maaari nitong palakasin ang isang kaso laban sa iyo, lalo na kung ang operasyon ay tahasang ilegal (hal., lantarang ina-advertise na pagsusugal sa isang pampublikong espasyo).
**Kahalagahan ng Ebidensya:**
Sa huli, ang desisyon na singilin ang mga parokyano ay nakasalalay sa mga partikular na katotohanan at ebidensyang nakalap ng pagpapatupad ng batas. Ang pagkakaroon ng malinaw na patunay na isa ka lamang kaswal na manlalaro na walang kaalaman sa ilegalidad ay maaaring magpatibay sa iyong depensa.
**Rekomendasyon:**
* **Mag-ingat:** Laging pinakamahusay na magkamali sa panig ng pag-iingat. Kung hindi ka sigurado tungkol sa legalidad ng isang establishment ng pagsusugal, pinakamahusay na iwasan ang pagsali.
* **Humingi ng Legal na Payo:** Kung nag-aalala ka tungkol sa mga potensyal na singilin dahil sa pagtangkilik sa isang operasyon ng ilegal na pagsusugal, inirerekomenda ang pagkonsulta sa isang abogado. Maaari nilang suriin ang iyong partikular na sitwasyon at payuhan ka sa pinakamahusay na paraan ng pagkilos.</v>
      </c>
      <c r="F1052" s="2">
        <f t="shared" si="1"/>
        <v>0</v>
      </c>
      <c r="G1052" s="2"/>
      <c r="H1052" s="2"/>
      <c r="I1052" s="2"/>
      <c r="J1052" s="2"/>
      <c r="K1052" s="2"/>
      <c r="L1052" s="2"/>
      <c r="M1052" s="2"/>
      <c r="N1052" s="2"/>
      <c r="O1052" s="2"/>
      <c r="P1052" s="2"/>
      <c r="Q1052" s="2"/>
      <c r="R1052" s="2"/>
      <c r="S1052" s="2"/>
      <c r="T1052" s="2"/>
      <c r="U1052" s="2"/>
      <c r="V1052" s="2"/>
      <c r="W1052" s="2"/>
      <c r="X1052" s="2"/>
      <c r="Y1052" s="2"/>
      <c r="Z1052" s="2"/>
      <c r="AA1052" s="2"/>
    </row>
    <row r="1053">
      <c r="A1053" s="3" t="s">
        <v>2763</v>
      </c>
      <c r="B1053" s="1" t="s">
        <v>3270</v>
      </c>
      <c r="C1053" s="1" t="s">
        <v>3271</v>
      </c>
      <c r="D1053" s="2" t="str">
        <f>IFERROR(__xludf.DUMMYFUNCTION("GOOGLETRANSLATE(B1053, ""en"", ""TL"")"),"Ano ang dapat kong gawin kung naaresto ako dahil sa ilegal na pagsusugal?")</f>
        <v>Ano ang dapat kong gawin kung naaresto ako dahil sa ilegal na pagsusugal?</v>
      </c>
      <c r="E1053" s="2" t="str">
        <f>IFERROR(__xludf.DUMMYFUNCTION("GOOGLETRANSLATE(C1053, ""en"", ""TL"")"),"Narito ang dapat mong gawin kung naaresto ka dahil sa ilegal na pagsusugal sa Pilipinas:
**Manatiling Kalmado at Magalang:** Huwag labanan ang pag-aresto o pakikipagtalo sa mga opisyal. Mahalagang magtulungan para maiwasang lumaki ang sitwasyon.
**Humilin"&amp;"g ng Abogado:** May karapatan kang maging legal na tagapayo sa ilalim ng Konstitusyon ng Pilipinas. Magalang na humiling na makipag-usap sa isang abogado sa lalong madaling panahon. Sa isip, dapat ay mayroon kang isang abogado na pamilyar sa mga batas sa "&amp;"pagsusugal. **Iwasan ang Paggawa ng mga Pahayag:** Huwag sagutin ang anumang mga tanong na lampas sa pangunahing pagkakakilanlan hanggang sa nakausap mo ang isang abogado. Maaari mong magalang na sabihin na sasagutin mo ang mga tanong kasama ang iyong abo"&amp;"gado na naroroon.
**Tandaan ang Mga Detalye:** Kung maaari, subukang tandaan ang mga detalye tungkol sa sitwasyon tulad ng uri ng aktibidad ng pagsusugal, lokasyon, at mga pangalan ng mga opisyal (kung maaari) Ang impormasyong ito ay maaaring makatulong p"&amp;"ara sa iyong abogado.
**Huwag Pag-usapan ang Kaso sa Iba:** Iwasang pag-usapan ang mga detalye ng iyong pag-aresto sa sinuman maliban sa iyong abogado. Kabilang dito ang mga kapwa detenido o miyembro ng pamilya hangga't hindi ipinapayo ng iyong abogado.
*"&amp;"*Sundin ang Payo ng Iyong Abogado:** Kapag mayroon ka nang abogado, ganap na sundin ang kanilang mga tagubilin. Gagabayan ka nila sa legal na proseso at lalaban para sa iyong pinakamahusay na interes.
**Narito ang ilang karagdagang mapagkukunan na maaarin"&amp;"g makatulong:**
* Nag-aalok ang Public Attorney's Office (PAO) ng libreng legal na tulong sa mga mahihirap na Pilipino. Mahahanap mo ang kanilang impormasyon sa pakikipag-ugnayan sa pamamagitan ng mabilis na paghahanap sa online.
* Philippine Commission o"&amp;"n Human Rights (CHR) - Maaari kang makipag-ugnayan sa CHR kung naniniwala kang nilabag ang iyong mga karapatan sa panahon ng pag-aresto.
**Mahalagang Disclaimer:**
Ang impormasyong ito ay hindi kapalit ng legal na payo. Ang mga partikular na aksyon na dap"&amp;"at mong gawin ay depende sa mga pangyayari ng iyong pag-aresto. Ang pagkonsulta sa isang kwalipikadong abogado sa lalong madaling panahon ay mahalaga upang maprotektahan ang iyong mga karapatan at mabisang mag-navigate sa legal na proseso.")</f>
        <v>Narito ang dapat mong gawin kung naaresto ka dahil sa ilegal na pagsusugal sa Pilipinas:
**Manatiling Kalmado at Magalang:** Huwag labanan ang pag-aresto o pakikipagtalo sa mga opisyal. Mahalagang magtulungan para maiwasang lumaki ang sitwasyon.
**Humiling ng Abogado:** May karapatan kang maging legal na tagapayo sa ilalim ng Konstitusyon ng Pilipinas. Magalang na humiling na makipag-usap sa isang abogado sa lalong madaling panahon. Sa isip, dapat ay mayroon kang isang abogado na pamilyar sa mga batas sa pagsusugal. **Iwasan ang Paggawa ng mga Pahayag:** Huwag sagutin ang anumang mga tanong na lampas sa pangunahing pagkakakilanlan hanggang sa nakausap mo ang isang abogado. Maaari mong magalang na sabihin na sasagutin mo ang mga tanong kasama ang iyong abogado na naroroon.
**Tandaan ang Mga Detalye:** Kung maaari, subukang tandaan ang mga detalye tungkol sa sitwasyon tulad ng uri ng aktibidad ng pagsusugal, lokasyon, at mga pangalan ng mga opisyal (kung maaari) Ang impormasyong ito ay maaaring makatulong para sa iyong abogado.
**Huwag Pag-usapan ang Kaso sa Iba:** Iwasang pag-usapan ang mga detalye ng iyong pag-aresto sa sinuman maliban sa iyong abogado. Kabilang dito ang mga kapwa detenido o miyembro ng pamilya hangga't hindi ipinapayo ng iyong abogado.
**Sundin ang Payo ng Iyong Abogado:** Kapag mayroon ka nang abogado, ganap na sundin ang kanilang mga tagubilin. Gagabayan ka nila sa legal na proseso at lalaban para sa iyong pinakamahusay na interes.
**Narito ang ilang karagdagang mapagkukunan na maaaring makatulong:**
* Nag-aalok ang Public Attorney's Office (PAO) ng libreng legal na tulong sa mga mahihirap na Pilipino. Mahahanap mo ang kanilang impormasyon sa pakikipag-ugnayan sa pamamagitan ng mabilis na paghahanap sa online.
* Philippine Commission on Human Rights (CHR) - Maaari kang makipag-ugnayan sa CHR kung naniniwala kang nilabag ang iyong mga karapatan sa panahon ng pag-aresto.
**Mahalagang Disclaimer:**
Ang impormasyong ito ay hindi kapalit ng legal na payo. Ang mga partikular na aksyon na dapat mong gawin ay depende sa mga pangyayari ng iyong pag-aresto. Ang pagkonsulta sa isang kwalipikadong abogado sa lalong madaling panahon ay mahalaga upang maprotektahan ang iyong mga karapatan at mabisang mag-navigate sa legal na proseso.</v>
      </c>
      <c r="F1053" s="2">
        <f t="shared" si="1"/>
        <v>0</v>
      </c>
      <c r="G1053" s="2"/>
      <c r="H1053" s="2"/>
      <c r="I1053" s="2"/>
      <c r="J1053" s="2"/>
      <c r="K1053" s="2"/>
      <c r="L1053" s="2"/>
      <c r="M1053" s="2"/>
      <c r="N1053" s="2"/>
      <c r="O1053" s="2"/>
      <c r="P1053" s="2"/>
      <c r="Q1053" s="2"/>
      <c r="R1053" s="2"/>
      <c r="S1053" s="2"/>
      <c r="T1053" s="2"/>
      <c r="U1053" s="2"/>
      <c r="V1053" s="2"/>
      <c r="W1053" s="2"/>
      <c r="X1053" s="2"/>
      <c r="Y1053" s="2"/>
      <c r="Z1053" s="2"/>
      <c r="AA1053" s="2"/>
    </row>
    <row r="1054">
      <c r="A1054" s="3" t="s">
        <v>2763</v>
      </c>
      <c r="B1054" s="1" t="s">
        <v>3272</v>
      </c>
      <c r="C1054" s="1" t="s">
        <v>3273</v>
      </c>
      <c r="D1054" s="2" t="str">
        <f>IFERROR(__xludf.DUMMYFUNCTION("GOOGLETRANSLATE(B1054, ""en"", ""TL"")"),"Mayroon bang anumang mga alternatibo sa kriminal na pag-uusig para sa mga singil sa ilegal na pagsusugal?")</f>
        <v>Mayroon bang anumang mga alternatibo sa kriminal na pag-uusig para sa mga singil sa ilegal na pagsusugal?</v>
      </c>
      <c r="E1054" s="2" t="str">
        <f>IFERROR(__xludf.DUMMYFUNCTION("GOOGLETRANSLATE(C1054, ""en"", ""TL"")"),"Sa Pilipinas, ang mga alternatibo sa kriminal na pag-uusig para sa mga singil sa ilegal na pagsusugal ay limitado. Gayunpaman, maaaring mayroong ilang mga posibilidad depende sa mga detalye ng iyong kaso at sa pagpapasya ng mga awtoridad. Narito ang isang"&amp;" breakdown:
**Mga Diversion Program:**
* Nag-aalok ang Department of Justice (DOJ) ng mga diversion program para sa ilang mga pagkakasala. Ang mga programang ito ay nagpapahintulot sa mga indibidwal na sumailalim sa rehabilitasyon o serbisyong pangkomunid"&amp;"ad kapalit ng pagbasura sa kaso. Gayunpaman, ang paglahok sa mga programang ito ay karaniwang nasa pagpapasya ng DOJ at maaaring hindi madaling makuha para sa mga singil sa ilegal na pagsusugal.
**Plea Bargaining:**
* Sa ilang mga kaso, maaari kang makipa"&amp;"g-ayos ng plea bargain sa prosecutor. Ito ay maaaring may kasamang pag-aangking nagkasala sa isang mas mababang pagkakasala kapalit ng mas magaan na sentensiya. Gayunpaman, ang tagausig ay may sukdulang pagpapasya na tanggapin o tanggihan ang isang alok n"&amp;"g plea bargain.
**Pagtutulungan sa mga Awtoridad:**
* Kung mayroon kang kaunting pagkakasangkot sa operasyon ng ilegal na pagsusugal at handang makipagtulungan sa mga awtoridad sa pamamagitan ng pagbibigay ng impormasyon tungkol sa mga organizer ng operas"&amp;"yon o mga pangunahing tauhan, maaari mong bawasan ang mga singil laban sa iyo o kahit na maiwasan ang pag-uusig nang buo. Gayunpaman, ang pamamaraang ito ay nangangailangan ng maingat na pagsasaalang-alang at konsultasyon sa isang abogado upang matiyak an"&amp;"g iyong kaligtasan at mga legal na karapatan. **Mahahalagang Paalala:**
* Ito ay mga potensyal na alternatibo lamang, at ang kanilang kakayahang magamit ay lubos na nakadepende sa mga partikular na kalagayan ng iyong kaso at sa pagpapasya ng mga tagapagpa"&amp;"tupad ng batas at mga tagausig.
* Ang pagkonsulta sa isang abogado ay mahalaga. Maaari nilang tasahin ang iyong sitwasyon, payuhan ka sa pinakaangkop na paraan ng pagkilos, at tuklasin ang anumang potensyal na alternatibo sa pag-uusig sa kriminal na maaar"&amp;"ing magagamit sa iyong partikular na kaso.
**Tandaan:**
* Sineseryoso ng batas ng Pilipinas ang ilegal na pagsusugal. Ang pinakamahusay na paraan upang maiwasan ang mga potensyal na alternatibo sa pag-uusig ay ang ganap na pag-iwas sa mga aktibidad ng ile"&amp;"gal na pagsusugal.")</f>
        <v>Sa Pilipinas, ang mga alternatibo sa kriminal na pag-uusig para sa mga singil sa ilegal na pagsusugal ay limitado. Gayunpaman, maaaring mayroong ilang mga posibilidad depende sa mga detalye ng iyong kaso at sa pagpapasya ng mga awtoridad. Narito ang isang breakdown:
**Mga Diversion Program:**
* Nag-aalok ang Department of Justice (DOJ) ng mga diversion program para sa ilang mga pagkakasala. Ang mga programang ito ay nagpapahintulot sa mga indibidwal na sumailalim sa rehabilitasyon o serbisyong pangkomunidad kapalit ng pagbasura sa kaso. Gayunpaman, ang paglahok sa mga programang ito ay karaniwang nasa pagpapasya ng DOJ at maaaring hindi madaling makuha para sa mga singil sa ilegal na pagsusugal.
**Plea Bargaining:**
* Sa ilang mga kaso, maaari kang makipag-ayos ng plea bargain sa prosecutor. Ito ay maaaring may kasamang pag-aangking nagkasala sa isang mas mababang pagkakasala kapalit ng mas magaan na sentensiya. Gayunpaman, ang tagausig ay may sukdulang pagpapasya na tanggapin o tanggihan ang isang alok ng plea bargain.
**Pagtutulungan sa mga Awtoridad:**
* Kung mayroon kang kaunting pagkakasangkot sa operasyon ng ilegal na pagsusugal at handang makipagtulungan sa mga awtoridad sa pamamagitan ng pagbibigay ng impormasyon tungkol sa mga organizer ng operasyon o mga pangunahing tauhan, maaari mong bawasan ang mga singil laban sa iyo o kahit na maiwasan ang pag-uusig nang buo. Gayunpaman, ang pamamaraang ito ay nangangailangan ng maingat na pagsasaalang-alang at konsultasyon sa isang abogado upang matiyak ang iyong kaligtasan at mga legal na karapatan. **Mahahalagang Paalala:**
* Ito ay mga potensyal na alternatibo lamang, at ang kanilang kakayahang magamit ay lubos na nakadepende sa mga partikular na kalagayan ng iyong kaso at sa pagpapasya ng mga tagapagpatupad ng batas at mga tagausig.
* Ang pagkonsulta sa isang abogado ay mahalaga. Maaari nilang tasahin ang iyong sitwasyon, payuhan ka sa pinakaangkop na paraan ng pagkilos, at tuklasin ang anumang potensyal na alternatibo sa pag-uusig sa kriminal na maaaring magagamit sa iyong partikular na kaso.
**Tandaan:**
* Sineseryoso ng batas ng Pilipinas ang ilegal na pagsusugal. Ang pinakamahusay na paraan upang maiwasan ang mga potensyal na alternatibo sa pag-uusig ay ang ganap na pag-iwas sa mga aktibidad ng ilegal na pagsusugal.</v>
      </c>
      <c r="F1054" s="2">
        <f t="shared" si="1"/>
        <v>0</v>
      </c>
      <c r="G1054" s="2"/>
      <c r="H1054" s="2"/>
      <c r="I1054" s="2"/>
      <c r="J1054" s="2"/>
      <c r="K1054" s="2"/>
      <c r="L1054" s="2"/>
      <c r="M1054" s="2"/>
      <c r="N1054" s="2"/>
      <c r="O1054" s="2"/>
      <c r="P1054" s="2"/>
      <c r="Q1054" s="2"/>
      <c r="R1054" s="2"/>
      <c r="S1054" s="2"/>
      <c r="T1054" s="2"/>
      <c r="U1054" s="2"/>
      <c r="V1054" s="2"/>
      <c r="W1054" s="2"/>
      <c r="X1054" s="2"/>
      <c r="Y1054" s="2"/>
      <c r="Z1054" s="2"/>
      <c r="AA1054" s="2"/>
    </row>
    <row r="1055">
      <c r="A1055" s="3" t="s">
        <v>2763</v>
      </c>
      <c r="B1055" s="1" t="s">
        <v>3274</v>
      </c>
      <c r="C1055" s="1" t="s">
        <v>3275</v>
      </c>
      <c r="D1055" s="2" t="str">
        <f>IFERROR(__xludf.DUMMYFUNCTION("GOOGLETRANSLATE(B1055, ""en"", ""TL"")"),"Paano tinutugunan ng batas ang mga online o digital na anyo ng ilegal na pagsusugal?")</f>
        <v>Paano tinutugunan ng batas ang mga online o digital na anyo ng ilegal na pagsusugal?</v>
      </c>
      <c r="E1055" s="2" t="str">
        <f>IFERROR(__xludf.DUMMYFUNCTION("GOOGLETRANSLATE(C1055, ""en"", ""TL"")"),"Tinutugunan ng batas ng Pilipinas ang mga online o digital na anyo ng ilegal na pagsusugal pangunahin sa pamamagitan ng Republic Act No. 9287 (RA 9287), na kilala rin bilang ""An Act to Strengthen the Prohibition on Illegal Gambling and for Other Purposes"&amp;".""
Narito ang isang breakdown kung paano nalalapat ang batas:
* **Pangkalahatang Pagbabawal:** Pinalawak ng RA 9287 ang saklaw ng mga aktibidad sa ilegal na pagsusugal upang isama ang mga isinasagawa online o digital. Nangangahulugan ito na anumang onlin"&amp;"e na platform, website, o application na nagpapadali sa pagsusugal nang walang lisensya mula sa Philippine Amusement and Gaming Corporation (PAGCOR) ay itinuturing na ilegal.
* **Tumuon sa Mga Operator:** Pangunahing tinatarget ng batas ang mga operator n"&amp;"g mga online na platform ng pagsusugal na ito. Ang mga pagkilos tulad ng pag-set up o pagpapatakbo ng mga naturang platform, o aktibong paglahok sa kanilang operasyon, ay maaaring humantong sa mga parusa tulad ng pagkakulong at mga multa gaya ng nakabalan"&amp;"gkas sa RA 9287.
* **Tungkulin ng PAGCOR:** Hawak ng PAGCOR ang eksklusibong awtoridad na maglisensya at mag-regulate ng online na pagsusugal sa Pilipinas. Tanging ang mga platform na may wastong lisensya ng PAGCOR ang maaaring gumana nang legal. * **Blur"&amp;"red Lines: Offshore Platforms:** Maaaring harapin ng batas ang mga hamon sa mga offshore online na platform ng pagsusugal. Bagama't maaaring hindi tahasang ilegal ang pag-access sa mga platform na ito, nagiging malabo ang linya. Ang pakikisali sa mga tran"&amp;"saksyon o paglalagay ng mga taya sa naturang mga platform ay maaari pa ring ituring na kalahok sa mga aktibidad ng ilegal na pagsusugal.
**Mahahalagang Pagsasaalang-alang:**
* **Mga Platform na Walang Lisensya:** Iwasan ang mga online na platform ng pagsu"&amp;"sugal na walang valid na lisensya ng PAGCOR. * **Mga Potensyal na Legal na Isyu:** Ang pagsali sa mga aktibidad na walang lisensyang online na pagsusugal ay maaari pa ring magresulta sa mga legal na epekto, depende sa mga partikular na pangyayari at mga a"&amp;"ksyon ng mga awtoridad.
* **Kumonsulta sa Abogado:** Kung mayroon kang mga tanong tungkol sa legalidad ng isang partikular na platform ng online na pagsusugal o nahaharap sa mga legal na isyu na nauugnay sa online na pagsusugal, inirerekomenda ang pagkons"&amp;"ulta sa isang abogado. Maaari silang magbigay ng partikular na patnubay batay sa iyong sitwasyon.
**Tandaan:**
Aktibong hindi hinihikayat ng gobyerno ng Pilipinas ang paglahok sa walang lisensyang online na pagsusugal. Pinakamainam na manatili sa mga plat"&amp;"form na may wastong mga lisensya ng PAGCOR o iwasan ang online na pagsusugal upang manatili sa ligtas na bahagi ng batas.")</f>
        <v>Tinutugunan ng batas ng Pilipinas ang mga online o digital na anyo ng ilegal na pagsusugal pangunahin sa pamamagitan ng Republic Act No. 9287 (RA 9287), na kilala rin bilang "An Act to Strengthen the Prohibition on Illegal Gambling and for Other Purposes."
Narito ang isang breakdown kung paano nalalapat ang batas:
* **Pangkalahatang Pagbabawal:** Pinalawak ng RA 9287 ang saklaw ng mga aktibidad sa ilegal na pagsusugal upang isama ang mga isinasagawa online o digital. Nangangahulugan ito na anumang online na platform, website, o application na nagpapadali sa pagsusugal nang walang lisensya mula sa Philippine Amusement and Gaming Corporation (PAGCOR) ay itinuturing na ilegal.
* **Tumuon sa Mga Operator:** Pangunahing tinatarget ng batas ang mga operator ng mga online na platform ng pagsusugal na ito. Ang mga pagkilos tulad ng pag-set up o pagpapatakbo ng mga naturang platform, o aktibong paglahok sa kanilang operasyon, ay maaaring humantong sa mga parusa tulad ng pagkakulong at mga multa gaya ng nakabalangkas sa RA 9287.
* **Tungkulin ng PAGCOR:** Hawak ng PAGCOR ang eksklusibong awtoridad na maglisensya at mag-regulate ng online na pagsusugal sa Pilipinas. Tanging ang mga platform na may wastong lisensya ng PAGCOR ang maaaring gumana nang legal. * **Blurred Lines: Offshore Platforms:** Maaaring harapin ng batas ang mga hamon sa mga offshore online na platform ng pagsusugal. Bagama't maaaring hindi tahasang ilegal ang pag-access sa mga platform na ito, nagiging malabo ang linya. Ang pakikisali sa mga transaksyon o paglalagay ng mga taya sa naturang mga platform ay maaari pa ring ituring na kalahok sa mga aktibidad ng ilegal na pagsusugal.
**Mahahalagang Pagsasaalang-alang:**
* **Mga Platform na Walang Lisensya:** Iwasan ang mga online na platform ng pagsusugal na walang valid na lisensya ng PAGCOR. * **Mga Potensyal na Legal na Isyu:** Ang pagsali sa mga aktibidad na walang lisensyang online na pagsusugal ay maaari pa ring magresulta sa mga legal na epekto, depende sa mga partikular na pangyayari at mga aksyon ng mga awtoridad.
* **Kumonsulta sa Abogado:** Kung mayroon kang mga tanong tungkol sa legalidad ng isang partikular na platform ng online na pagsusugal o nahaharap sa mga legal na isyu na nauugnay sa online na pagsusugal, inirerekomenda ang pagkonsulta sa isang abogado. Maaari silang magbigay ng partikular na patnubay batay sa iyong sitwasyon.
**Tandaan:**
Aktibong hindi hinihikayat ng gobyerno ng Pilipinas ang paglahok sa walang lisensyang online na pagsusugal. Pinakamainam na manatili sa mga platform na may wastong mga lisensya ng PAGCOR o iwasan ang online na pagsusugal upang manatili sa ligtas na bahagi ng batas.</v>
      </c>
      <c r="F1055" s="2">
        <f t="shared" si="1"/>
        <v>0</v>
      </c>
      <c r="G1055" s="2"/>
      <c r="H1055" s="2"/>
      <c r="I1055" s="2"/>
      <c r="J1055" s="2"/>
      <c r="K1055" s="2"/>
      <c r="L1055" s="2"/>
      <c r="M1055" s="2"/>
      <c r="N1055" s="2"/>
      <c r="O1055" s="2"/>
      <c r="P1055" s="2"/>
      <c r="Q1055" s="2"/>
      <c r="R1055" s="2"/>
      <c r="S1055" s="2"/>
      <c r="T1055" s="2"/>
      <c r="U1055" s="2"/>
      <c r="V1055" s="2"/>
      <c r="W1055" s="2"/>
      <c r="X1055" s="2"/>
      <c r="Y1055" s="2"/>
      <c r="Z1055" s="2"/>
      <c r="AA1055" s="2"/>
    </row>
    <row r="1056">
      <c r="A1056" s="3" t="s">
        <v>2763</v>
      </c>
      <c r="B1056" s="1" t="s">
        <v>3276</v>
      </c>
      <c r="C1056" s="1" t="s">
        <v>3277</v>
      </c>
      <c r="D1056" s="2" t="str">
        <f>IFERROR(__xludf.DUMMYFUNCTION("GOOGLETRANSLATE(B1056, ""en"", ""TL"")"),"Maaari ba akong harapin ang mga pederal na singil para sa pagkakasangkot sa mga aktibidad sa ilegal na pagsusugal?")</f>
        <v>Maaari ba akong harapin ang mga pederal na singil para sa pagkakasangkot sa mga aktibidad sa ilegal na pagsusugal?</v>
      </c>
      <c r="E1056" s="2" t="str">
        <f>IFERROR(__xludf.DUMMYFUNCTION("GOOGLETRANSLATE(C1056, ""en"", ""TL"")"),"Sa Pilipinas, ang mga batas sa pagsusugal ay pangunahing ipinapatupad sa isang pambansang antas. Ang mga pederal na singil ay karaniwang tumutukoy sa mga paglabag sa mga pambansang batas. Samakatuwid, **oo, maaari kang humarap sa mga kaso sa ilalim ng pam"&amp;"bansang batas ng Pilipinas (Republic Acts and the Revised Penal Code) para sa pagkakasangkot sa mga aktibidad ng ilegal na pagsusugal.**
Narito ang isang breakdown:
* **Tumuon sa Pambansang Batas:** Ang Pilipinas, hindi tulad ng ilang mga pederal na bansa"&amp;", ay walang hiwalay na pederal at estadong mga legal na sistema. Pinamamahalaan ng mga pambansang batas ang karamihan sa mga aspeto, kabilang ang mga regulasyon sa pagsusugal.
* **Republic Act No. 9287 (RA 9287):** Ito ang pangunahing pambansang batas na "&amp;"nagpapatibay sa pagbabawal sa iligal na pagsusugal. Binabalangkas nito ang iba't ibang mga pagkakasala at kaukulang mga parusa para sa parehong pagtakbo at paglahok sa mga aktibidad ng ilegal na pagsusugal.
* **Binagong Kodigo Penal (Act No. 3815):** Ang "&amp;"pambansang kodigo na ito ay naglalaman din ng mga probisyon na may kaugnayan sa mga paglabag sa ilegal na pagsusugal, partikular na tungkol sa mga nagpapatakbo ng mga operasyong pagsusugal.
**Pagpapatupad ng Lokal na Pamahalaan:**
* Habang pinamamahalaan "&amp;"ng mga pambansang batas ang pagsusugal, ang mga lokal na ahensyang nagpapatupad ng batas ay gumaganap ng papel sa paghuli sa mga indibidwal na sangkot sa mga aktibidad ng ilegal na pagsusugal sa loob ng kanilang mga nasasakupan.
**Mahalagang Paalala:**
Na"&amp;"katuon ang impormasyong ito sa batas ng Pilipinas. Kung nag-aalala ka tungkol sa mga potensyal na singil na nauugnay sa mga aktibidad sa pagsusugal sa ibang bansa, mahalagang kumonsulta sa mga legal na mapagkukunang partikular sa hurisdiksyon na iyon.")</f>
        <v>Sa Pilipinas, ang mga batas sa pagsusugal ay pangunahing ipinapatupad sa isang pambansang antas. Ang mga pederal na singil ay karaniwang tumutukoy sa mga paglabag sa mga pambansang batas. Samakatuwid, **oo, maaari kang humarap sa mga kaso sa ilalim ng pambansang batas ng Pilipinas (Republic Acts and the Revised Penal Code) para sa pagkakasangkot sa mga aktibidad ng ilegal na pagsusugal.**
Narito ang isang breakdown:
* **Tumuon sa Pambansang Batas:** Ang Pilipinas, hindi tulad ng ilang mga pederal na bansa, ay walang hiwalay na pederal at estadong mga legal na sistema. Pinamamahalaan ng mga pambansang batas ang karamihan sa mga aspeto, kabilang ang mga regulasyon sa pagsusugal.
* **Republic Act No. 9287 (RA 9287):** Ito ang pangunahing pambansang batas na nagpapatibay sa pagbabawal sa iligal na pagsusugal. Binabalangkas nito ang iba't ibang mga pagkakasala at kaukulang mga parusa para sa parehong pagtakbo at paglahok sa mga aktibidad ng ilegal na pagsusugal.
* **Binagong Kodigo Penal (Act No. 3815):** Ang pambansang kodigo na ito ay naglalaman din ng mga probisyon na may kaugnayan sa mga paglabag sa ilegal na pagsusugal, partikular na tungkol sa mga nagpapatakbo ng mga operasyong pagsusugal.
**Pagpapatupad ng Lokal na Pamahalaan:**
* Habang pinamamahalaan ng mga pambansang batas ang pagsusugal, ang mga lokal na ahensyang nagpapatupad ng batas ay gumaganap ng papel sa paghuli sa mga indibidwal na sangkot sa mga aktibidad ng ilegal na pagsusugal sa loob ng kanilang mga nasasakupan.
**Mahalagang Paalala:**
Nakatuon ang impormasyong ito sa batas ng Pilipinas. Kung nag-aalala ka tungkol sa mga potensyal na singil na nauugnay sa mga aktibidad sa pagsusugal sa ibang bansa, mahalagang kumonsulta sa mga legal na mapagkukunang partikular sa hurisdiksyon na iyon.</v>
      </c>
      <c r="F1056" s="2">
        <f t="shared" si="1"/>
        <v>0</v>
      </c>
      <c r="G1056" s="2"/>
      <c r="H1056" s="2"/>
      <c r="I1056" s="2"/>
      <c r="J1056" s="2"/>
      <c r="K1056" s="2"/>
      <c r="L1056" s="2"/>
      <c r="M1056" s="2"/>
      <c r="N1056" s="2"/>
      <c r="O1056" s="2"/>
      <c r="P1056" s="2"/>
      <c r="Q1056" s="2"/>
      <c r="R1056" s="2"/>
      <c r="S1056" s="2"/>
      <c r="T1056" s="2"/>
      <c r="U1056" s="2"/>
      <c r="V1056" s="2"/>
      <c r="W1056" s="2"/>
      <c r="X1056" s="2"/>
      <c r="Y1056" s="2"/>
      <c r="Z1056" s="2"/>
      <c r="AA1056" s="2"/>
    </row>
    <row r="1057">
      <c r="A1057" s="3" t="s">
        <v>2763</v>
      </c>
      <c r="B1057" s="1" t="s">
        <v>3278</v>
      </c>
      <c r="C1057" s="1" t="s">
        <v>3279</v>
      </c>
      <c r="D1057" s="2" t="str">
        <f>IFERROR(__xludf.DUMMYFUNCTION("GOOGLETRANSLATE(B1057, ""en"", ""TL"")"),"Paano tinatrato ng batas ang pagkakasangkot sa organisadong krimen sa mga operasyon ng ilegal na pagsusugal?")</f>
        <v>Paano tinatrato ng batas ang pagkakasangkot sa organisadong krimen sa mga operasyon ng ilegal na pagsusugal?</v>
      </c>
      <c r="E1057" s="2" t="str">
        <f>IFERROR(__xludf.DUMMYFUNCTION("GOOGLETRANSLATE(C1057, ""en"", ""TL"")"),"Tinitingnan ng batas ng Pilipinas ang pagkakasangkot ng organisadong krimen sa mga operasyon ng ilegal na pagsusugal na may malaking kaseryosohan. Narito kung paano tinatalakay ng batas ang isyung ito:
**Mataas na Parusa:**
* Ang pagkakasangkot ng organis"&amp;"adong krimen sa mga aktibidad ng ilegal na pagsusugal ay maaaring humantong sa mas mabibigat na parusa kumpara sa mga indibidwal na pagkakasala. Ito ay nagsisilbing deterrent at sumasalamin sa mas malaking banta na dulot ng organisadong krimen. * **Republ"&amp;"ic Act No. 9287 (RA 9287):** Ang batas na ito ay hindi tahasang binanggit ang organisadong krimen ngunit nagbibigay ng mas malawak na parusa para sa malakihan, komersyalisadong operasyon ng ilegal na pagsusugal. Ang mga parusang ito ay malamang na ilapat "&amp;"kapag ang organisadong krimen ay sangkot.
* **Philippine Anti-Organized Crime Law (Republic Act No. 7916):** Ang batas na ito ay partikular na nagta-target sa mga organized crime syndicates. Kung mapapatunayan ng mga awtoridad ang kaugnayan sa pagitan ng "&amp;"operasyon ng ilegal na pagsusugal at isang sindikato, ang mga miyembro ay maaaring maharap sa mga kaso sa ilalim ng RA 7916 bilang karagdagan sa mga paglabag sa pagsusugal. Ang mga singil na ito ay kadalasang may mas matinding parusa. **Tumuon sa Pagkagam"&amp;"bala:**
* Ang pagpapatupad ng batas ay inuuna ang pagkagambala sa pagkakasangkot sa organisadong krimen sa ilegal na pagsusugal. Ito ay maaaring may kasamang:
* Paglusot at pagtatanggal-tanggal na mga operasyon
* Pag-agaw ng mga ari-arian at mapagkukunan "&amp;"na nakuha sa pamamagitan ng mga aktibidad sa ilegal na pagsusugal
* Pag-target sa mga pangunahing numero at pinuno sa loob ng mga sindikato
**Mga Hamon at Kumplikado:**
* Ang pagpapatunay ng pagkakasangkot sa organisadong krimen ay maaaring maging mahirap"&amp;". Ang mga awtoridad ay nangangailangan ng konkretong ebidensya na nag-uugnay sa mga indibidwal o grupo sa isang sindikato at ang kanilang partisipasyon sa operasyon ng ilegal na pagsusugal.
* Maaari ding maging salik ang katiwalian. Ang pagpapatupad ng ba"&amp;"tas ay gumagana upang tugunan ito upang matiyak ang isang malakas na tugon laban sa organisadong krimen sa pagsusugal.
**Sa pangkalahatan, ang batas ng Pilipinas ay naglalayong:**
* Pigilan ang pagkakasangkot ng organisadong krimen sa iligal na pagsusugal"&amp;" sa pamamagitan ng pagtaas ng mga parusa at mga pagsisikap sa pagkagambala.
* Protektahan ang lipunan mula sa mga negatibong epekto ng organisadong krimen, kabilang ang karahasan, katiwalian, at panlipunang destabilisasyon.
**Mahalagang Paalala:**
Ito ay "&amp;"isang pinasimpleng paliwanag. Ang pagsisiyasat at pag-uusig sa organisadong krimen ay nagsasangkot ng mga kumplikadong legal na usapin. Kung mayroon kang impormasyon tungkol sa pagkakasangkot ng organisadong krimen sa iligal na pagsusugal, pinakamahusay n"&amp;"a iulat ito sa mga awtoridad.")</f>
        <v>Tinitingnan ng batas ng Pilipinas ang pagkakasangkot ng organisadong krimen sa mga operasyon ng ilegal na pagsusugal na may malaking kaseryosohan. Narito kung paano tinatalakay ng batas ang isyung ito:
**Mataas na Parusa:**
* Ang pagkakasangkot ng organisadong krimen sa mga aktibidad ng ilegal na pagsusugal ay maaaring humantong sa mas mabibigat na parusa kumpara sa mga indibidwal na pagkakasala. Ito ay nagsisilbing deterrent at sumasalamin sa mas malaking banta na dulot ng organisadong krimen. * **Republic Act No. 9287 (RA 9287):** Ang batas na ito ay hindi tahasang binanggit ang organisadong krimen ngunit nagbibigay ng mas malawak na parusa para sa malakihan, komersyalisadong operasyon ng ilegal na pagsusugal. Ang mga parusang ito ay malamang na ilapat kapag ang organisadong krimen ay sangkot.
* **Philippine Anti-Organized Crime Law (Republic Act No. 7916):** Ang batas na ito ay partikular na nagta-target sa mga organized crime syndicates. Kung mapapatunayan ng mga awtoridad ang kaugnayan sa pagitan ng operasyon ng ilegal na pagsusugal at isang sindikato, ang mga miyembro ay maaaring maharap sa mga kaso sa ilalim ng RA 7916 bilang karagdagan sa mga paglabag sa pagsusugal. Ang mga singil na ito ay kadalasang may mas matinding parusa. **Tumuon sa Pagkagambala:**
* Ang pagpapatupad ng batas ay inuuna ang pagkagambala sa pagkakasangkot sa organisadong krimen sa ilegal na pagsusugal. Ito ay maaaring may kasamang:
* Paglusot at pagtatanggal-tanggal na mga operasyon
* Pag-agaw ng mga ari-arian at mapagkukunan na nakuha sa pamamagitan ng mga aktibidad sa ilegal na pagsusugal
* Pag-target sa mga pangunahing numero at pinuno sa loob ng mga sindikato
**Mga Hamon at Kumplikado:**
* Ang pagpapatunay ng pagkakasangkot sa organisadong krimen ay maaaring maging mahirap. Ang mga awtoridad ay nangangailangan ng konkretong ebidensya na nag-uugnay sa mga indibidwal o grupo sa isang sindikato at ang kanilang partisipasyon sa operasyon ng ilegal na pagsusugal.
* Maaari ding maging salik ang katiwalian. Ang pagpapatupad ng batas ay gumagana upang tugunan ito upang matiyak ang isang malakas na tugon laban sa organisadong krimen sa pagsusugal.
**Sa pangkalahatan, ang batas ng Pilipinas ay naglalayong:**
* Pigilan ang pagkakasangkot ng organisadong krimen sa iligal na pagsusugal sa pamamagitan ng pagtaas ng mga parusa at mga pagsisikap sa pagkagambala.
* Protektahan ang lipunan mula sa mga negatibong epekto ng organisadong krimen, kabilang ang karahasan, katiwalian, at panlipunang destabilisasyon.
**Mahalagang Paalala:**
Ito ay isang pinasimpleng paliwanag. Ang pagsisiyasat at pag-uusig sa organisadong krimen ay nagsasangkot ng mga kumplikadong legal na usapin. Kung mayroon kang impormasyon tungkol sa pagkakasangkot ng organisadong krimen sa iligal na pagsusugal, pinakamahusay na iulat ito sa mga awtoridad.</v>
      </c>
      <c r="F1057" s="2">
        <f t="shared" si="1"/>
        <v>0</v>
      </c>
      <c r="G1057" s="2"/>
      <c r="H1057" s="2"/>
      <c r="I1057" s="2"/>
      <c r="J1057" s="2"/>
      <c r="K1057" s="2"/>
      <c r="L1057" s="2"/>
      <c r="M1057" s="2"/>
      <c r="N1057" s="2"/>
      <c r="O1057" s="2"/>
      <c r="P1057" s="2"/>
      <c r="Q1057" s="2"/>
      <c r="R1057" s="2"/>
      <c r="S1057" s="2"/>
      <c r="T1057" s="2"/>
      <c r="U1057" s="2"/>
      <c r="V1057" s="2"/>
      <c r="W1057" s="2"/>
      <c r="X1057" s="2"/>
      <c r="Y1057" s="2"/>
      <c r="Z1057" s="2"/>
      <c r="AA1057" s="2"/>
    </row>
    <row r="1058">
      <c r="A1058" s="3" t="s">
        <v>2763</v>
      </c>
      <c r="B1058" s="1" t="s">
        <v>3280</v>
      </c>
      <c r="C1058" s="1" t="s">
        <v>3281</v>
      </c>
      <c r="D1058" s="2" t="str">
        <f>IFERROR(__xludf.DUMMYFUNCTION("GOOGLETRANSLATE(B1058, ""en"", ""TL"")"),"Ano ang mga potensyal na kahihinatnan para sa pagpapaupa ng mga panginoong maylupa o mga may-ari ng ari-arian sa mga iligal na establisimyento ng pagsusugal?")</f>
        <v>Ano ang mga potensyal na kahihinatnan para sa pagpapaupa ng mga panginoong maylupa o mga may-ari ng ari-arian sa mga iligal na establisimyento ng pagsusugal?</v>
      </c>
      <c r="E1058" s="2" t="str">
        <f>IFERROR(__xludf.DUMMYFUNCTION("GOOGLETRANSLATE(C1058, ""en"", ""TL"")"),"Hindi tahasang binabalangkas ng batas ng Pilipinas ang mga kahihinatnan para sa mga panginoong maylupa o may-ari ng ari-arian na hindi namamalayang nagpapaupa ng kanilang ari-arian sa mga ilegal na establisyimento ng pagsusugal. Gayunpaman, may mga potens"&amp;"yal na epekto depende sa sitwasyon:
**Sibil na Pananagutan:**
* **Pagpapalayas sa mga Nangungupahan:** Kung matuklasan ng mga awtoridad ang ilegal na aktibidad ng pagsusugal sa ari-arian, ang kasunduan sa pag-upa ay maaaring mawalan ng bisa, at ang nangun"&amp;"gupahan ay maaaring mapatalsik. Bagama't ang may-ari ay hindi direktang sangkot sa pagsusugal, maaaring harapin nila ang abala at potensyal na pinansiyal na pasanin ng pagpapaalis sa nangungupahan at paghahanap ng bagong lessee.
* **Pinsala sa Ari-arian:*"&amp;"* Ang mga aktibidad sa ilegal na pagsusugal ay maaaring humantong minsan sa pinsala sa ari-arian. Maaaring may pananagutan ang landlord para sa mga pagkukumpuni depende sa mga partikular na pangyayari na nakabalangkas sa kasunduan sa pag-upa.
**Potensyal "&amp;"na Pagsingil sa Kriminal (Malamang ngunit Posible):**
* **Aiding and Abetting:** Sa mga bihirang kaso, kung may matibay na ebidensya na alam o dapat na alam ng landlord ang tungkol sa ilegal na aktibidad at inuupahan pa rin niya ang property, maaari silan"&amp;"g makasuhan ng pagtulong at pag-abet sa isang operasyon ng ilegal na pagsusugal. Ang sitwasyong ito ay hindi pangkaraniwan at nangangailangan ng patunay ng kaalaman ng may-ari o sinadyang pagwawalang-bahala sa batas.
**Pagprotekta sa Iyong Sarili bilang i"&amp;"sang Nagpapaupa:**
* **Mga Pagsusuri sa Background sa mga Nangungupahan:** Ang pagsasagawa ng masusing pagsusuri sa background sa mga potensyal na nangungupahan ay maaaring makatulong na matukoy ang anumang mga pulang bandila na maaaring magmungkahi ng pa"&amp;"gkakasangkot sa mga ilegal na aktibidad.
* **I-clear ang Mga Kasunduan sa Pag-upa:** Ang kasunduan sa pag-upa ay dapat na tahasang ipagbawal ang paggamit ng ari-arian para sa anumang ilegal na aktibidad, kabilang ang pagsusugal. * **Mga Regular na Inspeks"&amp;"yon (na may Paunawa):** Habang iginagalang ang privacy ng nangungupahan, ang pagsasagawa ng mga pana-panahong inspeksyon na may wastong abiso ay makakatulong na matukoy ang anumang potensyal na ilegal na aktibidad sa property.
* **Pag-uulat ng Kahina-hina"&amp;"lang Aktibidad:** Kung pinaghihinalaan ng may-ari ng lupa ang ilegal na pagsusugal na nangyayari sa kanilang ari-arian, mahalagang iulat ito kaagad sa mga awtoridad.
**Kahalagahan ng Legal na Payo:**
Kung isa kang may-ari na nag-aalala tungkol sa pagpapau"&amp;"pa sa mga ilegal na establisyimento ng pagsusugal, inirerekomenda ang pagkonsulta sa isang abogado na dalubhasa sa batas ng landlord-tenant. Maaari silang magbigay ng partikular na patnubay batay sa iyong sitwasyon at tumulong sa pagbalangkas ng isang mas"&amp;"using kasunduan sa pag-upa na nagpoprotekta sa iyong mga interes.")</f>
        <v>Hindi tahasang binabalangkas ng batas ng Pilipinas ang mga kahihinatnan para sa mga panginoong maylupa o may-ari ng ari-arian na hindi namamalayang nagpapaupa ng kanilang ari-arian sa mga ilegal na establisyimento ng pagsusugal. Gayunpaman, may mga potensyal na epekto depende sa sitwasyon:
**Sibil na Pananagutan:**
* **Pagpapalayas sa mga Nangungupahan:** Kung matuklasan ng mga awtoridad ang ilegal na aktibidad ng pagsusugal sa ari-arian, ang kasunduan sa pag-upa ay maaaring mawalan ng bisa, at ang nangungupahan ay maaaring mapatalsik. Bagama't ang may-ari ay hindi direktang sangkot sa pagsusugal, maaaring harapin nila ang abala at potensyal na pinansiyal na pasanin ng pagpapaalis sa nangungupahan at paghahanap ng bagong lessee.
* **Pinsala sa Ari-arian:** Ang mga aktibidad sa ilegal na pagsusugal ay maaaring humantong minsan sa pinsala sa ari-arian. Maaaring may pananagutan ang landlord para sa mga pagkukumpuni depende sa mga partikular na pangyayari na nakabalangkas sa kasunduan sa pag-upa.
**Potensyal na Pagsingil sa Kriminal (Malamang ngunit Posible):**
* **Aiding and Abetting:** Sa mga bihirang kaso, kung may matibay na ebidensya na alam o dapat na alam ng landlord ang tungkol sa ilegal na aktibidad at inuupahan pa rin niya ang property, maaari silang makasuhan ng pagtulong at pag-abet sa isang operasyon ng ilegal na pagsusugal. Ang sitwasyong ito ay hindi pangkaraniwan at nangangailangan ng patunay ng kaalaman ng may-ari o sinadyang pagwawalang-bahala sa batas.
**Pagprotekta sa Iyong Sarili bilang isang Nagpapaupa:**
* **Mga Pagsusuri sa Background sa mga Nangungupahan:** Ang pagsasagawa ng masusing pagsusuri sa background sa mga potensyal na nangungupahan ay maaaring makatulong na matukoy ang anumang mga pulang bandila na maaaring magmungkahi ng pagkakasangkot sa mga ilegal na aktibidad.
* **I-clear ang Mga Kasunduan sa Pag-upa:** Ang kasunduan sa pag-upa ay dapat na tahasang ipagbawal ang paggamit ng ari-arian para sa anumang ilegal na aktibidad, kabilang ang pagsusugal. * **Mga Regular na Inspeksyon (na may Paunawa):** Habang iginagalang ang privacy ng nangungupahan, ang pagsasagawa ng mga pana-panahong inspeksyon na may wastong abiso ay makakatulong na matukoy ang anumang potensyal na ilegal na aktibidad sa property.
* **Pag-uulat ng Kahina-hinalang Aktibidad:** Kung pinaghihinalaan ng may-ari ng lupa ang ilegal na pagsusugal na nangyayari sa kanilang ari-arian, mahalagang iulat ito kaagad sa mga awtoridad.
**Kahalagahan ng Legal na Payo:**
Kung isa kang may-ari na nag-aalala tungkol sa pagpapaupa sa mga ilegal na establisyimento ng pagsusugal, inirerekomenda ang pagkonsulta sa isang abogado na dalubhasa sa batas ng landlord-tenant. Maaari silang magbigay ng partikular na patnubay batay sa iyong sitwasyon at tumulong sa pagbalangkas ng isang masusing kasunduan sa pag-upa na nagpoprotekta sa iyong mga interes.</v>
      </c>
      <c r="F1058" s="2">
        <f t="shared" si="1"/>
        <v>0</v>
      </c>
      <c r="G1058" s="2"/>
      <c r="H1058" s="2"/>
      <c r="I1058" s="2"/>
      <c r="J1058" s="2"/>
      <c r="K1058" s="2"/>
      <c r="L1058" s="2"/>
      <c r="M1058" s="2"/>
      <c r="N1058" s="2"/>
      <c r="O1058" s="2"/>
      <c r="P1058" s="2"/>
      <c r="Q1058" s="2"/>
      <c r="R1058" s="2"/>
      <c r="S1058" s="2"/>
      <c r="T1058" s="2"/>
      <c r="U1058" s="2"/>
      <c r="V1058" s="2"/>
      <c r="W1058" s="2"/>
      <c r="X1058" s="2"/>
      <c r="Y1058" s="2"/>
      <c r="Z1058" s="2"/>
      <c r="AA1058" s="2"/>
    </row>
    <row r="1059">
      <c r="A1059" s="3" t="s">
        <v>2763</v>
      </c>
      <c r="B1059" s="1" t="s">
        <v>3282</v>
      </c>
      <c r="C1059" s="1" t="s">
        <v>3283</v>
      </c>
      <c r="D1059" s="2" t="str">
        <f>IFERROR(__xludf.DUMMYFUNCTION("GOOGLETRANSLATE(B1059, ""en"", ""TL"")"),"Paano pinangangasiwaan ng batas ang mga kaso kung saan ang ilegal na pagsusugal ay isinasagawa sa mga pribadong tirahan?")</f>
        <v>Paano pinangangasiwaan ng batas ang mga kaso kung saan ang ilegal na pagsusugal ay isinasagawa sa mga pribadong tirahan?</v>
      </c>
      <c r="E1059" s="2" t="str">
        <f>IFERROR(__xludf.DUMMYFUNCTION("GOOGLETRANSLATE(C1059, ""en"", ""TL"")"),"Ang pagkakaroon ng ilegal na pagsusugal sa isang pribadong tirahan ay nagdaragdag ng patong ng pagiging kumplikado sa pagpapatupad ng batas ng Pilipinas. Narito ang isang breakdown kung paano tinatalakay ng batas ang mga ganitong kaso:
**Proteksyon ng Kon"&amp;"stitusyon:**
* **Karapatan sa Pagkapribado:** Ang Konstitusyon ng Pilipinas (Artikulo III, Seksyon 2) ay ginagarantiyahan ang karapatan ng mga tao na maging ligtas sa kanilang mga tao, bahay, papel, at mga epekto laban sa hindi makatwirang mga paghahanap "&amp;"at pagsamsam. Pinoprotektahan nito ang mga indibidwal mula sa hindi kinakailangang panghihimasok sa kanilang mga tahanan.
* **Mga Warrant sa Paghahanap:** Ang pagpapatupad ng batas ay karaniwang nangangailangan ng wastong search warrant upang makapasok sa"&amp;" isang pribadong tirahan at mangalap ng ebidensya ng ilegal na pagsusugal. Ang pagkuha ng warrant ay nangangailangan ng pagpapakita ng posibleng dahilan sa isang hukom, na kumbinsihin sila na ang isang krimen ay malamang na ginawa sa tirahan.
**Mga Pagbub"&amp;"ukod sa Kinakailangang Warrant:**
* **Plain View Doctrine:** Kung ang mga opisyal ay legal na nakatagpo ng katibayan ng ilegal na pagsusugal nang malinaw sa loob ng tirahan (hal., nakikita ang mga kagamitan sa pagsusugal sa pamamagitan ng isang bukas na p"&amp;"into), maaari nilang makuha ito nang walang warrant.
* **Pahintulot:** Kung pumayag ang may-ari o residente ng bahay sa paghahanap, maaaring pumasok at mangalap ng ebidensya ang tagapagpatupad ng batas. Gayunpaman, ang naturang pahintulot ay dapat na mala"&amp;"ya at kusang-loob na ibigay, nang walang pamimilit.
* **Hot Pursuit:** Kung tinutugis ng mga opisyal ang isang suspek na pinaniniwalaang sangkot sa ilegal na pagsusugal at tumakas sila sa isang pribadong tirahan, maaaring payagan ng doktrina ng hot pursui"&amp;"t ang walang warrant na pagpasok upang mahuli ang suspek at maiwasan ang pagkasira ng ebidensya .
**Mga Hamon at Pagsasaalang-alang:**
* **Pagtitipon ng Ebidensiya:** Ang pagkuha ng warrant at pagsasagawa ng legal na paghahanap ay maaaring magtagal. Sa or"&amp;"as na makakuha ng warrant ang tagapagpatupad ng batas, maaaring tumigil na ang aktibidad ng pagsusugal.
* **Mga Impormante at Undercover na Operasyon:** Maaaring gumamit ang mga awtoridad ng mga informant o undercover na operasyon upang mangalap ng ebiden"&amp;"sya sa loob ng tirahan, na sumusuporta sa pagpapalabas ng search warrant.
**Mga parusa para sa mga residente:**
* Ang mga residenteng makikitang nakikilahok o nagpapatakbo ng ilegal na operasyon ng pagsusugal sa loob ng kanilang pribadong tirahan ay maaar"&amp;"i pa ring harapin ang mga parusa na nakabalangkas sa Republic Act No. 9287 (RA 9287) at ang Revised Penal Code (Act No. 3815), depende sa uri at sukat ng aktibidad.
**Tandaan:** * Ang partikular na aplikasyon ng batas ay nakasalalay sa mga pangyayari ng b"&amp;"awat kaso.
* Kung pinaghihinalaan mo ang ilegal na aktibidad ng pagsusugal na nangyayari sa isang pribadong tirahan, pinakamahusay na iulat ito sa mga awtoridad. * Inirerekomenda ang pagkonsulta sa isang abogado kung nahaharap ka sa mga akusasyon ng pagta"&amp;"kbo o pagsali sa iligal na pagsusugal sa loob ng iyong tirahan. Maaari ka nilang payuhan tungkol sa iyong mga karapatan at potensyal na depensa.")</f>
        <v>Ang pagkakaroon ng ilegal na pagsusugal sa isang pribadong tirahan ay nagdaragdag ng patong ng pagiging kumplikado sa pagpapatupad ng batas ng Pilipinas. Narito ang isang breakdown kung paano tinatalakay ng batas ang mga ganitong kaso:
**Proteksyon ng Konstitusyon:**
* **Karapatan sa Pagkapribado:** Ang Konstitusyon ng Pilipinas (Artikulo III, Seksyon 2) ay ginagarantiyahan ang karapatan ng mga tao na maging ligtas sa kanilang mga tao, bahay, papel, at mga epekto laban sa hindi makatwirang mga paghahanap at pagsamsam. Pinoprotektahan nito ang mga indibidwal mula sa hindi kinakailangang panghihimasok sa kanilang mga tahanan.
* **Mga Warrant sa Paghahanap:** Ang pagpapatupad ng batas ay karaniwang nangangailangan ng wastong search warrant upang makapasok sa isang pribadong tirahan at mangalap ng ebidensya ng ilegal na pagsusugal. Ang pagkuha ng warrant ay nangangailangan ng pagpapakita ng posibleng dahilan sa isang hukom, na kumbinsihin sila na ang isang krimen ay malamang na ginawa sa tirahan.
**Mga Pagbubukod sa Kinakailangang Warrant:**
* **Plain View Doctrine:** Kung ang mga opisyal ay legal na nakatagpo ng katibayan ng ilegal na pagsusugal nang malinaw sa loob ng tirahan (hal., nakikita ang mga kagamitan sa pagsusugal sa pamamagitan ng isang bukas na pinto), maaari nilang makuha ito nang walang warrant.
* **Pahintulot:** Kung pumayag ang may-ari o residente ng bahay sa paghahanap, maaaring pumasok at mangalap ng ebidensya ang tagapagpatupad ng batas. Gayunpaman, ang naturang pahintulot ay dapat na malaya at kusang-loob na ibigay, nang walang pamimilit.
* **Hot Pursuit:** Kung tinutugis ng mga opisyal ang isang suspek na pinaniniwalaang sangkot sa ilegal na pagsusugal at tumakas sila sa isang pribadong tirahan, maaaring payagan ng doktrina ng hot pursuit ang walang warrant na pagpasok upang mahuli ang suspek at maiwasan ang pagkasira ng ebidensya .
**Mga Hamon at Pagsasaalang-alang:**
* **Pagtitipon ng Ebidensiya:** Ang pagkuha ng warrant at pagsasagawa ng legal na paghahanap ay maaaring magtagal. Sa oras na makakuha ng warrant ang tagapagpatupad ng batas, maaaring tumigil na ang aktibidad ng pagsusugal.
* **Mga Impormante at Undercover na Operasyon:** Maaaring gumamit ang mga awtoridad ng mga informant o undercover na operasyon upang mangalap ng ebidensya sa loob ng tirahan, na sumusuporta sa pagpapalabas ng search warrant.
**Mga parusa para sa mga residente:**
* Ang mga residenteng makikitang nakikilahok o nagpapatakbo ng ilegal na operasyon ng pagsusugal sa loob ng kanilang pribadong tirahan ay maaari pa ring harapin ang mga parusa na nakabalangkas sa Republic Act No. 9287 (RA 9287) at ang Revised Penal Code (Act No. 3815), depende sa uri at sukat ng aktibidad.
**Tandaan:** * Ang partikular na aplikasyon ng batas ay nakasalalay sa mga pangyayari ng bawat kaso.
* Kung pinaghihinalaan mo ang ilegal na aktibidad ng pagsusugal na nangyayari sa isang pribadong tirahan, pinakamahusay na iulat ito sa mga awtoridad. * Inirerekomenda ang pagkonsulta sa isang abogado kung nahaharap ka sa mga akusasyon ng pagtakbo o pagsali sa iligal na pagsusugal sa loob ng iyong tirahan. Maaari ka nilang payuhan tungkol sa iyong mga karapatan at potensyal na depensa.</v>
      </c>
      <c r="F1059" s="2">
        <f t="shared" si="1"/>
        <v>0</v>
      </c>
      <c r="G1059" s="2"/>
      <c r="H1059" s="2"/>
      <c r="I1059" s="2"/>
      <c r="J1059" s="2"/>
      <c r="K1059" s="2"/>
      <c r="L1059" s="2"/>
      <c r="M1059" s="2"/>
      <c r="N1059" s="2"/>
      <c r="O1059" s="2"/>
      <c r="P1059" s="2"/>
      <c r="Q1059" s="2"/>
      <c r="R1059" s="2"/>
      <c r="S1059" s="2"/>
      <c r="T1059" s="2"/>
      <c r="U1059" s="2"/>
      <c r="V1059" s="2"/>
      <c r="W1059" s="2"/>
      <c r="X1059" s="2"/>
      <c r="Y1059" s="2"/>
      <c r="Z1059" s="2"/>
      <c r="AA1059" s="2"/>
    </row>
    <row r="1060">
      <c r="A1060" s="3" t="s">
        <v>2763</v>
      </c>
      <c r="B1060" s="1" t="s">
        <v>3284</v>
      </c>
      <c r="C1060" s="1" t="s">
        <v>3285</v>
      </c>
      <c r="D1060" s="2" t="str">
        <f>IFERROR(__xludf.DUMMYFUNCTION("GOOGLETRANSLATE(B1060, ""en"", ""TL"")"),"Maaari ba akong makasuhan ng ilegal na pagsusugal kung ang laro ay walang kasamang pera kundi iba pang mahahalagang bagay?")</f>
        <v>Maaari ba akong makasuhan ng ilegal na pagsusugal kung ang laro ay walang kasamang pera kundi iba pang mahahalagang bagay?</v>
      </c>
      <c r="E1060" s="2" t="str">
        <f>IFERROR(__xludf.DUMMYFUNCTION("GOOGLETRANSLATE(C1060, ""en"", ""TL"")"),"Oo, maaari kang makasuhan ng ilegal na pagsusugal sa Pilipinas kahit na ang laro ay walang kinalaman sa pera kundi iba pang mahahalagang bagay. Narito kung bakit:
* **Tumutok sa Pagsusugal:** Ang batas ng Pilipinas, partikular ang Republic Act No. 9287 (R"&amp;"A 9287), ay nakatuon sa pagkilos ng pagtaya ng isang bagay na may halaga. Nangangahulugan ito na kahit na hindi ka gumagamit ng pera bilang taya, ang pagsusugal ay magiging ilegal kung ikaw o ang ibang mga kalahok ay nanganganib sa isang bagay na mahalaga"&amp;" sa resulta ng isang laro ng pagkakataon o kasanayan.
* **Mga Halimbawa ng Mahalagang Item:** Hindi tinukoy ng batas kung ano ang bumubuo sa ""mahahalagang bagay."" Maaaring kabilang dito ang mga bagay tulad ng:
* Alahas
* Electronics
* Pagkain o inumin
*"&amp;" Sigarilyo
* Mga Serbisyo
* **Court Precedent:** Kinilala ng mga korte sa Pilipinas ang prinsipyong ito. Sa mga kaso kung saan hindi ginamit ang pera, ngunit ang iba pang mahahalagang bagay ay itinaya, kinatigan ng mga korte ang mga kaso ng ilegal na pags"&amp;"usugal.
* **Tumuon sa Layunin:** Ang pangunahing salik ay ang layuning sumugal. Kung ikaw at ang iba ay sumang-ayon na ipagsapalaran ang isang bagay na may halaga sa kinalabasan ng isang laro, itinuturing ng batas na ito ay pagsusugal kahit na ang taya ay"&amp;" pera.
**Mahahalagang Pagsasaalang-alang:**
* **Halaga ng Mga Item:** Bagama't maaaring isaalang-alang ang partikular na halaga ng mga item sa panahon ng paghatol (maaaring humantong sa mas magaan na parusa ang mas mababang halaga), hindi nito tiyak na ma"&amp;"tukoy kung naganap ang pagsusugal. Kahit na ang maliliit na taya ng mahahalagang bagay ay maaaring ituring na ilegal na pagsusugal.
* **Lakas ng Ebidensiya:** Kailangang patunayan ng prosekusyon na talagang nagaganap ang pagsusugal at may naitaya na may h"&amp;"alaga. Ang katangian ng mga bagay at ang paraan ng paggamit ng mga ito ay naging mahalagang ebidensya. **Pagkonsulta sa isang Abogado:**
Kung hindi ka sigurado kung ang isang partikular na aktibidad na kinasasangkutan ng mga taya ng mga hindi pang-pera na"&amp;" mahahalagang bagay ay iligal na pagsusugal, inirerekomenda ang pagkonsulta sa isang abogado. Maaari nilang suriin ang mga partikular na pangyayari at magbigay ng legal na payo sa mga potensyal na panganib na kasangkot.")</f>
        <v>Oo, maaari kang makasuhan ng ilegal na pagsusugal sa Pilipinas kahit na ang laro ay walang kinalaman sa pera kundi iba pang mahahalagang bagay. Narito kung bakit:
* **Tumutok sa Pagsusugal:** Ang batas ng Pilipinas, partikular ang Republic Act No. 9287 (RA 9287), ay nakatuon sa pagkilos ng pagtaya ng isang bagay na may halaga. Nangangahulugan ito na kahit na hindi ka gumagamit ng pera bilang taya, ang pagsusugal ay magiging ilegal kung ikaw o ang ibang mga kalahok ay nanganganib sa isang bagay na mahalaga sa resulta ng isang laro ng pagkakataon o kasanayan.
* **Mga Halimbawa ng Mahalagang Item:** Hindi tinukoy ng batas kung ano ang bumubuo sa "mahahalagang bagay." Maaaring kabilang dito ang mga bagay tulad ng:
* Alahas
* Electronics
* Pagkain o inumin
* Sigarilyo
* Mga Serbisyo
* **Court Precedent:** Kinilala ng mga korte sa Pilipinas ang prinsipyong ito. Sa mga kaso kung saan hindi ginamit ang pera, ngunit ang iba pang mahahalagang bagay ay itinaya, kinatigan ng mga korte ang mga kaso ng ilegal na pagsusugal.
* **Tumuon sa Layunin:** Ang pangunahing salik ay ang layuning sumugal. Kung ikaw at ang iba ay sumang-ayon na ipagsapalaran ang isang bagay na may halaga sa kinalabasan ng isang laro, itinuturing ng batas na ito ay pagsusugal kahit na ang taya ay pera.
**Mahahalagang Pagsasaalang-alang:**
* **Halaga ng Mga Item:** Bagama't maaaring isaalang-alang ang partikular na halaga ng mga item sa panahon ng paghatol (maaaring humantong sa mas magaan na parusa ang mas mababang halaga), hindi nito tiyak na matukoy kung naganap ang pagsusugal. Kahit na ang maliliit na taya ng mahahalagang bagay ay maaaring ituring na ilegal na pagsusugal.
* **Lakas ng Ebidensiya:** Kailangang patunayan ng prosekusyon na talagang nagaganap ang pagsusugal at may naitaya na may halaga. Ang katangian ng mga bagay at ang paraan ng paggamit ng mga ito ay naging mahalagang ebidensya. **Pagkonsulta sa isang Abogado:**
Kung hindi ka sigurado kung ang isang partikular na aktibidad na kinasasangkutan ng mga taya ng mga hindi pang-pera na mahahalagang bagay ay iligal na pagsusugal, inirerekomenda ang pagkonsulta sa isang abogado. Maaari nilang suriin ang mga partikular na pangyayari at magbigay ng legal na payo sa mga potensyal na panganib na kasangkot.</v>
      </c>
      <c r="F1060" s="2">
        <f t="shared" si="1"/>
        <v>0</v>
      </c>
      <c r="G1060" s="2"/>
      <c r="H1060" s="2"/>
      <c r="I1060" s="2"/>
      <c r="J1060" s="2"/>
      <c r="K1060" s="2"/>
      <c r="L1060" s="2"/>
      <c r="M1060" s="2"/>
      <c r="N1060" s="2"/>
      <c r="O1060" s="2"/>
      <c r="P1060" s="2"/>
      <c r="Q1060" s="2"/>
      <c r="R1060" s="2"/>
      <c r="S1060" s="2"/>
      <c r="T1060" s="2"/>
      <c r="U1060" s="2"/>
      <c r="V1060" s="2"/>
      <c r="W1060" s="2"/>
      <c r="X1060" s="2"/>
      <c r="Y1060" s="2"/>
      <c r="Z1060" s="2"/>
      <c r="AA1060" s="2"/>
    </row>
    <row r="1061">
      <c r="A1061" s="3" t="s">
        <v>2763</v>
      </c>
      <c r="B1061" s="1" t="s">
        <v>3286</v>
      </c>
      <c r="C1061" s="1" t="s">
        <v>3287</v>
      </c>
      <c r="D1061" s="2" t="str">
        <f>IFERROR(__xludf.DUMMYFUNCTION("GOOGLETRANSLATE(B1061, ""en"", ""TL"")"),"Paano tinutugunan ng batas ang mga kaso kung saan ang mga aktibidad ng ilegal na pagsusugal ay isinasagawa sa mga linya ng estado?")</f>
        <v>Paano tinutugunan ng batas ang mga kaso kung saan ang mga aktibidad ng ilegal na pagsusugal ay isinasagawa sa mga linya ng estado?</v>
      </c>
      <c r="E1061" s="2" t="str">
        <f>IFERROR(__xludf.DUMMYFUNCTION("GOOGLETRANSLATE(C1061, ""en"", ""TL"")"),"Ang Pilipinas ay tumatakbo bilang isang unitary state, ibig sabihin ay walang hiwalay na estado na may sariling legal na hurisdiksyon. Samakatuwid, ang konsepto ng mga aktibidad sa ilegal na pagsusugal na isinasagawa ""sa mga linya ng estado"" ay hindi di"&amp;"rektang nalalapat sa Pilipinas. Gayunpaman, tinutugunan pa rin ng batas ng Pilipinas ang mga aktibidad ng ilegal na pagsusugal na may kinalaman sa pagtawid sa mga hangganan ng heograpiya sa loob ng bansa. Ganito:
* **Nalalapat ang mga Pambansang Batas:** "&amp;"Ang Republic Act No. 9287 (RA 9287) at ang Revised Penal Code (Act No. 3815) ay mga pambansang batas na namamahala sa mga aktibidad ng ilegal na pagsusugal sa buong Pilipinas. Nangangahulugan ito na ang parehong mga batas at parusa ay nalalapat anuman ang"&amp;" lokasyon sa loob ng bansa.
* **Tumuon sa Jurisdiction:** Ang mga ahensyang nagpapatupad ng batas ay may hurisdiksyon sa loob ng kanilang mga itinalagang lugar. Kung ang operasyon ng ilegal na pagsusugal ay sumasaklaw sa maraming hurisdiksyon, maaaring ma"&amp;"gtulungan ang mga awtoridad mula sa bawat apektadong lugar upang imbestigahan at hulihin ang mga sangkot.
* **Pagiging Kumplikado sa Malalaking Pagpapatakbo:** Ang mga malalaking operasyong ilegal na pagsusugal na kinasasangkutan ng maraming lokasyon ay m"&amp;"aaaring magdulot ng mga hamon sa logistik para sa pagpapatupad ng batas. Gayunpaman, ang mga pambansang ahensyang nagpapatupad ng batas tulad ng Philippine National Police (PNP) ay may awtoridad na imbestigahan at usigin ang mga naturang pagkakasala. Nari"&amp;"to ang isang paghahambing sa isang pederal na sistema upang ilarawan ang pagkakaiba:
* **Federal System (Halimbawa: USA):** Sa isang pederal na sistema, ang bawat estado ay may sariling mga batas sa pagsusugal. Ang iligal na pagsusugal sa mga linya ng est"&amp;"ado ay maaaring may kasamang paglabag sa mga batas ng maraming estado at posibleng mag-trigger ng interbensyon ng pederal sa ilalim ng ilang partikular na sitwasyon.
* **Philippines (Unitary System):** Dahil ang Pilipinas ay isang unitary state, mayroon l"&amp;"amang isang set ng mga pambansang batas na namamahala sa pagsusugal sa buong bansa. Ang focus ay sa partikular na lokasyon sa loob ng Pilipinas kung saan nangyayari ang ilegal na aktibidad, at ang kaukulang mga ahensyang nagpapatupad ng batas ay nagtutulu"&amp;"ngan kung kinakailangan.
**Mahalagang Paalala:**
Bagama't ang konsepto ng ""mga linya ng estado"" ay hindi direktang nalalapat sa Pilipinas para sa mga paglabag sa pagsusugal, tinutugunan pa rin ng batas ang mga ilegal na aktibidad na lumalampas sa mga ha"&amp;"ngganan ng heograpiya sa loob ng bansa. Tinitiyak ng mga pambansang batas at mga nagtutulungang ahensyang nagpapatupad ng batas na ang mga naturang pagkakasala ay iniimbestigahan at iniuusig.")</f>
        <v>Ang Pilipinas ay tumatakbo bilang isang unitary state, ibig sabihin ay walang hiwalay na estado na may sariling legal na hurisdiksyon. Samakatuwid, ang konsepto ng mga aktibidad sa ilegal na pagsusugal na isinasagawa "sa mga linya ng estado" ay hindi direktang nalalapat sa Pilipinas. Gayunpaman, tinutugunan pa rin ng batas ng Pilipinas ang mga aktibidad ng ilegal na pagsusugal na may kinalaman sa pagtawid sa mga hangganan ng heograpiya sa loob ng bansa. Ganito:
* **Nalalapat ang mga Pambansang Batas:** Ang Republic Act No. 9287 (RA 9287) at ang Revised Penal Code (Act No. 3815) ay mga pambansang batas na namamahala sa mga aktibidad ng ilegal na pagsusugal sa buong Pilipinas. Nangangahulugan ito na ang parehong mga batas at parusa ay nalalapat anuman ang lokasyon sa loob ng bansa.
* **Tumuon sa Jurisdiction:** Ang mga ahensyang nagpapatupad ng batas ay may hurisdiksyon sa loob ng kanilang mga itinalagang lugar. Kung ang operasyon ng ilegal na pagsusugal ay sumasaklaw sa maraming hurisdiksyon, maaaring magtulungan ang mga awtoridad mula sa bawat apektadong lugar upang imbestigahan at hulihin ang mga sangkot.
* **Pagiging Kumplikado sa Malalaking Pagpapatakbo:** Ang mga malalaking operasyong ilegal na pagsusugal na kinasasangkutan ng maraming lokasyon ay maaaring magdulot ng mga hamon sa logistik para sa pagpapatupad ng batas. Gayunpaman, ang mga pambansang ahensyang nagpapatupad ng batas tulad ng Philippine National Police (PNP) ay may awtoridad na imbestigahan at usigin ang mga naturang pagkakasala. Narito ang isang paghahambing sa isang pederal na sistema upang ilarawan ang pagkakaiba:
* **Federal System (Halimbawa: USA):** Sa isang pederal na sistema, ang bawat estado ay may sariling mga batas sa pagsusugal. Ang iligal na pagsusugal sa mga linya ng estado ay maaaring may kasamang paglabag sa mga batas ng maraming estado at posibleng mag-trigger ng interbensyon ng pederal sa ilalim ng ilang partikular na sitwasyon.
* **Philippines (Unitary System):** Dahil ang Pilipinas ay isang unitary state, mayroon lamang isang set ng mga pambansang batas na namamahala sa pagsusugal sa buong bansa. Ang focus ay sa partikular na lokasyon sa loob ng Pilipinas kung saan nangyayari ang ilegal na aktibidad, at ang kaukulang mga ahensyang nagpapatupad ng batas ay nagtutulungan kung kinakailangan.
**Mahalagang Paalala:**
Bagama't ang konsepto ng "mga linya ng estado" ay hindi direktang nalalapat sa Pilipinas para sa mga paglabag sa pagsusugal, tinutugunan pa rin ng batas ang mga ilegal na aktibidad na lumalampas sa mga hangganan ng heograpiya sa loob ng bansa. Tinitiyak ng mga pambansang batas at mga nagtutulungang ahensyang nagpapatupad ng batas na ang mga naturang pagkakasala ay iniimbestigahan at iniuusig.</v>
      </c>
      <c r="F1061" s="2">
        <f t="shared" si="1"/>
        <v>0</v>
      </c>
      <c r="G1061" s="2"/>
      <c r="H1061" s="2"/>
      <c r="I1061" s="2"/>
      <c r="J1061" s="2"/>
      <c r="K1061" s="2"/>
      <c r="L1061" s="2"/>
      <c r="M1061" s="2"/>
      <c r="N1061" s="2"/>
      <c r="O1061" s="2"/>
      <c r="P1061" s="2"/>
      <c r="Q1061" s="2"/>
      <c r="R1061" s="2"/>
      <c r="S1061" s="2"/>
      <c r="T1061" s="2"/>
      <c r="U1061" s="2"/>
      <c r="V1061" s="2"/>
      <c r="W1061" s="2"/>
      <c r="X1061" s="2"/>
      <c r="Y1061" s="2"/>
      <c r="Z1061" s="2"/>
      <c r="AA1061" s="2"/>
    </row>
    <row r="1062">
      <c r="A1062" s="3" t="s">
        <v>2763</v>
      </c>
      <c r="B1062" s="1" t="s">
        <v>3288</v>
      </c>
      <c r="C1062" s="1" t="s">
        <v>3289</v>
      </c>
      <c r="D1062" s="2" t="str">
        <f>IFERROR(__xludf.DUMMYFUNCTION("GOOGLETRANSLATE(B1062, ""en"", ""TL"")"),"Maaari ba akong makasuhan ng ilegal na pagsusugal para sa pagsali sa mga pool ng opisina o kaswal na pagtaya?")</f>
        <v>Maaari ba akong makasuhan ng ilegal na pagsusugal para sa pagsali sa mga pool ng opisina o kaswal na pagtaya?</v>
      </c>
      <c r="E1062" s="2" t="str">
        <f>IFERROR(__xludf.DUMMYFUNCTION("GOOGLETRANSLATE(C1062, ""en"", ""TL"")"),"Ang posibilidad na makasuhan ng iligal na pagsusugal para sa pagsali sa mga pool ng opisina o kaswal na pagtaya sa Pilipinas ay masalimuot at nakadepende sa ilang salik. Narito ang isang breakdown ng sitwasyon:
**Pangkalahatang Pagbabawal sa Pagsusugal:**"&amp;"
* Ang batas ng Pilipinas, partikular ang Revised Penal Code (Act No. 3815) sa ilalim ng Article 167, ay nagbabawal sa ilegal na pagsusugal. Gayunpaman, hindi tahasang binabanggit ng batas ang mga pagbubukod para sa mga kaswal na aktibidad tulad ng mga po"&amp;"ol pool.
**Hindi Siguradong Aplikasyon:**
* Ang mga hukuman ay hindi pa tiyak na nagtatag ng isang malinaw na linya sa pagitan ng panlipunang pagsusugal at ilegal na pagsusugal. Ang mga salik tulad ng halagang itinaya, dalas, organisasyon, at motibo ng tu"&amp;"bo ay isinasaalang-alang kapag sinusuri ang mga naturang aktibidad.
**Potensyal na Depensa:**
* **Mga Minimal na Pusta:** Kung ang mga taya sa mga pool ng opisina o kaswal na pagtaya ay minimal at hindi nilayon para sa kita, maaari kang magkaroon ng mas m"&amp;"alakas na depensa laban sa mga singil sa ilegal na pagsusugal.
* **Social na Aktibidad:** Ang focus ay madalas sa mga operasyon ng pagsusugal na isinasagawa para sa kita o may mataas na antas ng organisasyon. Maaaring iba ang pagtingin sa mga puro sosyal "&amp;"na pagtitipon na may maliliit na taya.
* **Pagkakamali ng Katotohanan:** Kung maipapakita mo na talagang naniniwala kang ang aktibidad ay hindi ilegal na pagsusugal, maaari mong gamitin ang pagkakamali ng katotohanan bilang depensa (sumangguni sa nakaraan"&amp;"g paliwanag sa mga depensa).
**Mahahalagang Pagsasaalang-alang:**
* **Hindi Malinaw na Legal na Landscape:** Ang legal na kulay abong lugar na nakapalibot sa mga pool ng opisina at kaswal na pagtaya ay nangangahulugan na palaging may panganib na bigyang-k"&amp;"ahulugan ito ng mga awtoridad bilang ilegal na pagsusugal.
* **Mga Patakaran ng Kumpanya:** Maraming mga kumpanya ang may panloob na mga patakaran na nagbabawal sa mga empleyado na makilahok sa mga aktibidad sa pagsusugal sa loob ng lugar ng trabaho. Maaa"&amp;"ri itong humantong sa aksyong pandisiplina kahit na hindi itinuturing na ilegal na pagsusugal ng batas.
**Mga Rekomendasyon:**
* **Iwasan ang Kalabuan:** Upang maging ligtas, pinakamahusay na iwasan ang pagsali sa mga pool ng opisina o kaswal na pagtaya k"&amp;"ung saan maaaring lumitaw ang mga legal na isyu.
* **Mga Alternatibong Aktibidad:** Isaalang-alang ang mga alternatibong aktibidad sa lipunan na hindi nagsasangkot ng pagsusugal para sa mga pagtitipon sa trabaho o pagbuo ng koponan. * **Kumonsulta sa Abog"&amp;"ado:** Kung hindi ka sigurado tungkol sa legalidad ng isang partikular na aktibidad, ang pagkonsulta sa isang abogadong pamilyar sa mga batas sa pagsusugal ay maaaring magbigay ng partikular na patnubay batay sa mga pangyayari.
**Tandaan:**
Ang pagpapatup"&amp;"ad ng batas ng Pilipinas ay inuuna ang malakihan, komersyalisadong operasyon ng ilegal na pagsusugal. Gayunpaman, palaging pinakamahusay na magkamali sa panig ng pag-iingat upang maiwasan ang mga potensyal na legal na isyu na may kaugnayan sa mga pool ng "&amp;"opisina o kaswal na pagtaya.")</f>
        <v>Ang posibilidad na makasuhan ng iligal na pagsusugal para sa pagsali sa mga pool ng opisina o kaswal na pagtaya sa Pilipinas ay masalimuot at nakadepende sa ilang salik. Narito ang isang breakdown ng sitwasyon:
**Pangkalahatang Pagbabawal sa Pagsusugal:**
* Ang batas ng Pilipinas, partikular ang Revised Penal Code (Act No. 3815) sa ilalim ng Article 167, ay nagbabawal sa ilegal na pagsusugal. Gayunpaman, hindi tahasang binabanggit ng batas ang mga pagbubukod para sa mga kaswal na aktibidad tulad ng mga pool pool.
**Hindi Siguradong Aplikasyon:**
* Ang mga hukuman ay hindi pa tiyak na nagtatag ng isang malinaw na linya sa pagitan ng panlipunang pagsusugal at ilegal na pagsusugal. Ang mga salik tulad ng halagang itinaya, dalas, organisasyon, at motibo ng tubo ay isinasaalang-alang kapag sinusuri ang mga naturang aktibidad.
**Potensyal na Depensa:**
* **Mga Minimal na Pusta:** Kung ang mga taya sa mga pool ng opisina o kaswal na pagtaya ay minimal at hindi nilayon para sa kita, maaari kang magkaroon ng mas malakas na depensa laban sa mga singil sa ilegal na pagsusugal.
* **Social na Aktibidad:** Ang focus ay madalas sa mga operasyon ng pagsusugal na isinasagawa para sa kita o may mataas na antas ng organisasyon. Maaaring iba ang pagtingin sa mga puro sosyal na pagtitipon na may maliliit na taya.
* **Pagkakamali ng Katotohanan:** Kung maipapakita mo na talagang naniniwala kang ang aktibidad ay hindi ilegal na pagsusugal, maaari mong gamitin ang pagkakamali ng katotohanan bilang depensa (sumangguni sa nakaraang paliwanag sa mga depensa).
**Mahahalagang Pagsasaalang-alang:**
* **Hindi Malinaw na Legal na Landscape:** Ang legal na kulay abong lugar na nakapalibot sa mga pool ng opisina at kaswal na pagtaya ay nangangahulugan na palaging may panganib na bigyang-kahulugan ito ng mga awtoridad bilang ilegal na pagsusugal.
* **Mga Patakaran ng Kumpanya:** Maraming mga kumpanya ang may panloob na mga patakaran na nagbabawal sa mga empleyado na makilahok sa mga aktibidad sa pagsusugal sa loob ng lugar ng trabaho. Maaari itong humantong sa aksyong pandisiplina kahit na hindi itinuturing na ilegal na pagsusugal ng batas.
**Mga Rekomendasyon:**
* **Iwasan ang Kalabuan:** Upang maging ligtas, pinakamahusay na iwasan ang pagsali sa mga pool ng opisina o kaswal na pagtaya kung saan maaaring lumitaw ang mga legal na isyu.
* **Mga Alternatibong Aktibidad:** Isaalang-alang ang mga alternatibong aktibidad sa lipunan na hindi nagsasangkot ng pagsusugal para sa mga pagtitipon sa trabaho o pagbuo ng koponan. * **Kumonsulta sa Abogado:** Kung hindi ka sigurado tungkol sa legalidad ng isang partikular na aktibidad, ang pagkonsulta sa isang abogadong pamilyar sa mga batas sa pagsusugal ay maaaring magbigay ng partikular na patnubay batay sa mga pangyayari.
**Tandaan:**
Ang pagpapatupad ng batas ng Pilipinas ay inuuna ang malakihan, komersyalisadong operasyon ng ilegal na pagsusugal. Gayunpaman, palaging pinakamahusay na magkamali sa panig ng pag-iingat upang maiwasan ang mga potensyal na legal na isyu na may kaugnayan sa mga pool ng opisina o kaswal na pagtaya.</v>
      </c>
      <c r="F1062" s="2">
        <f t="shared" si="1"/>
        <v>0</v>
      </c>
      <c r="G1062" s="2"/>
      <c r="H1062" s="2"/>
      <c r="I1062" s="2"/>
      <c r="J1062" s="2"/>
      <c r="K1062" s="2"/>
      <c r="L1062" s="2"/>
      <c r="M1062" s="2"/>
      <c r="N1062" s="2"/>
      <c r="O1062" s="2"/>
      <c r="P1062" s="2"/>
      <c r="Q1062" s="2"/>
      <c r="R1062" s="2"/>
      <c r="S1062" s="2"/>
      <c r="T1062" s="2"/>
      <c r="U1062" s="2"/>
      <c r="V1062" s="2"/>
      <c r="W1062" s="2"/>
      <c r="X1062" s="2"/>
      <c r="Y1062" s="2"/>
      <c r="Z1062" s="2"/>
      <c r="AA1062" s="2"/>
    </row>
    <row r="1063">
      <c r="A1063" s="3" t="s">
        <v>2763</v>
      </c>
      <c r="B1063" s="1" t="s">
        <v>3290</v>
      </c>
      <c r="C1063" s="1" t="s">
        <v>3291</v>
      </c>
      <c r="D1063" s="2" t="str">
        <f>IFERROR(__xludf.DUMMYFUNCTION("GOOGLETRANSLATE(B1063, ""en"", ""TL"")"),"Paano pinangangasiwaan ng batas ang mga kaso kung saan ang aktibidad ng pagsusugal ay nagsasangkot ng mga larong nakabatay sa kasanayan kaysa sa pagkakataon?")</f>
        <v>Paano pinangangasiwaan ng batas ang mga kaso kung saan ang aktibidad ng pagsusugal ay nagsasangkot ng mga larong nakabatay sa kasanayan kaysa sa pagkakataon?</v>
      </c>
      <c r="E1063" s="2" t="str">
        <f>IFERROR(__xludf.DUMMYFUNCTION("GOOGLETRANSLATE(C1063, ""en"", ""TL"")"),"Ang pagkakaiba sa pagitan ng mga laro ng pagkakataon at kasanayan ay gumaganap ng isang papel sa kung paano lumalapit ang batas ng Pilipinas sa mga aktibidad sa pagsusugal. Narito ang isang breakdown kung paano pinangangasiwaan ng batas ang mga larong nak"&amp;"abatay sa kasanayan:
**Pangkalahatang Pagbabawal na may mga Pagbubukod:**
* Ipinapalagay ng Binagong Kodigo Penal (Act No. 3815), partikular sa Artikulo 195 hanggang 199, ang lahat ng anyo ng pagsusugal ay ilegal. * Gayunpaman, kinilala ng mga korte ang i"&amp;"lang mga eksepsiyon para sa mga laro kung saan ang kasanayan ay isang **makabuluhang salik sa pagtukoy** sa kinalabasan. **Mga Salik na Isinasaalang-alang ng Mga Korte:**
* **Predominance ng Skill:** Ang pangunahing salik ay kung ang kasanayan ay gumagana"&amp;"p ng **mas malaking papel kaysa sa pagkakataon** sa pagtukoy ng mananalo. Ang mga laro na lubos na umaasa sa suwerte o mga random na elemento ay mas malamang na makita bilang ilegal na pagsusugal.
* **Propesyonal na Kadalubhasaan:** Ang mga aktibidad na n"&amp;"angangailangan ng mga binuong kasanayan at pagsasanay ay maaaring ituring na hindi kasama sa mga batas sa pagsusugal. Halimbawa, ang mga propesyonal na torneo ng chess ay hindi maituturing na ilegal na pagsusugal.
* **Organization at Profit Motive:** Isin"&amp;"asaalang-alang ng mga korte kung ang aktibidad ay organisado para sa kita o isang simpleng larong panlipunan. Ang mga laro na may mataas na bayad sa pagpasok, mga propesyonal na organisasyon, at makabuluhang motibo ng kita ay mas malamang na ituring na il"&amp;"egal na pagsusugal kahit na may ilang kasanayan.
**Mga Halimbawa ng Potensyal na Legal na Mga Larong Nakabatay sa Kasanayan:**
* **Poker (na may mga limitasyon):** Bagama't may kasamang suwerte, ang poker ay nangangailangan ng madiskarteng pag-iisip at ka"&amp;"sanayan upang patuloy na manalo. Gayunpaman, ang mga larong may mataas na pusta, propesyonal na poker room, o organisadong mga paligsahan ay maaaring humarap sa legal na pagsisiyasat.
* **Mga Tournament ng Chess:** Ang kasanayan at madiskarteng pagpaplano"&amp;" ay pinakamahalaga sa chess. Ang mga organisadong paligsahan sa chess na may bayad sa pagpasok ay karaniwang itinuturing na legal.
* **Mga Kumpetisyon sa Esport:** Ang mga kumpetisyon na ito na kinasasangkutan ng mga propesyonal na manlalaro ay maaaring i"&amp;"turing na legal kung ang focus ay sa kasanayan at organisado sa ilalim ng wastong mga regulasyon. **Mahahalagang Pagsasaalang-alang:**
* **Ang legal na tanawin ay umuunlad:** Habang lumalabas ang mga bagong anyo ng mga larong nakabatay sa kasanayan, maaar"&amp;"ing kailanganin ng mga korte na magbigay ng karagdagang paglilinaw sa kanilang legalidad.
* **Tumuon sa Mga Tukoy:** Ang mga partikular na pangyayari ng bawat kaso ay may mahalagang papel. Ang pagkonsulta sa isang abogado na pamilyar sa mga batas sa pagsu"&amp;"sugal ay inirerekomenda upang masuri ang legalidad ng isang partikular na larong nakabatay sa kasanayan.
* **Mga Alternatibo na may Malinaw na Legalidad:** Kung hindi sigurado tungkol sa legalidad ng isang larong nakabatay sa kasanayan, ang pagpili sa mga"&amp;" aktibidad na may malinaw na legal na awtorisasyon (tulad ng mga larong lisensyado ng PAGCOR) ang pinakaligtas na diskarte.
**Tandaan:**
Ang pasanin ng patunay ay nakasalalay sa indibidwal na nagke-claim ng skill-based na game exemption. Laging pinakamain"&amp;"am na mag-ingat at humingi ng legal na payo kung mayroong anumang kalabuan hinggil sa legalidad ng isang laro, lalo na kung kasangkot ang malalaking taya.")</f>
        <v>Ang pagkakaiba sa pagitan ng mga laro ng pagkakataon at kasanayan ay gumaganap ng isang papel sa kung paano lumalapit ang batas ng Pilipinas sa mga aktibidad sa pagsusugal. Narito ang isang breakdown kung paano pinangangasiwaan ng batas ang mga larong nakabatay sa kasanayan:
**Pangkalahatang Pagbabawal na may mga Pagbubukod:**
* Ipinapalagay ng Binagong Kodigo Penal (Act No. 3815), partikular sa Artikulo 195 hanggang 199, ang lahat ng anyo ng pagsusugal ay ilegal. * Gayunpaman, kinilala ng mga korte ang ilang mga eksepsiyon para sa mga laro kung saan ang kasanayan ay isang **makabuluhang salik sa pagtukoy** sa kinalabasan. **Mga Salik na Isinasaalang-alang ng Mga Korte:**
* **Predominance ng Skill:** Ang pangunahing salik ay kung ang kasanayan ay gumaganap ng **mas malaking papel kaysa sa pagkakataon** sa pagtukoy ng mananalo. Ang mga laro na lubos na umaasa sa suwerte o mga random na elemento ay mas malamang na makita bilang ilegal na pagsusugal.
* **Propesyonal na Kadalubhasaan:** Ang mga aktibidad na nangangailangan ng mga binuong kasanayan at pagsasanay ay maaaring ituring na hindi kasama sa mga batas sa pagsusugal. Halimbawa, ang mga propesyonal na torneo ng chess ay hindi maituturing na ilegal na pagsusugal.
* **Organization at Profit Motive:** Isinasaalang-alang ng mga korte kung ang aktibidad ay organisado para sa kita o isang simpleng larong panlipunan. Ang mga laro na may mataas na bayad sa pagpasok, mga propesyonal na organisasyon, at makabuluhang motibo ng kita ay mas malamang na ituring na ilegal na pagsusugal kahit na may ilang kasanayan.
**Mga Halimbawa ng Potensyal na Legal na Mga Larong Nakabatay sa Kasanayan:**
* **Poker (na may mga limitasyon):** Bagama't may kasamang suwerte, ang poker ay nangangailangan ng madiskarteng pag-iisip at kasanayan upang patuloy na manalo. Gayunpaman, ang mga larong may mataas na pusta, propesyonal na poker room, o organisadong mga paligsahan ay maaaring humarap sa legal na pagsisiyasat.
* **Mga Tournament ng Chess:** Ang kasanayan at madiskarteng pagpaplano ay pinakamahalaga sa chess. Ang mga organisadong paligsahan sa chess na may bayad sa pagpasok ay karaniwang itinuturing na legal.
* **Mga Kumpetisyon sa Esport:** Ang mga kumpetisyon na ito na kinasasangkutan ng mga propesyonal na manlalaro ay maaaring ituring na legal kung ang focus ay sa kasanayan at organisado sa ilalim ng wastong mga regulasyon. **Mahahalagang Pagsasaalang-alang:**
* **Ang legal na tanawin ay umuunlad:** Habang lumalabas ang mga bagong anyo ng mga larong nakabatay sa kasanayan, maaaring kailanganin ng mga korte na magbigay ng karagdagang paglilinaw sa kanilang legalidad.
* **Tumuon sa Mga Tukoy:** Ang mga partikular na pangyayari ng bawat kaso ay may mahalagang papel. Ang pagkonsulta sa isang abogado na pamilyar sa mga batas sa pagsusugal ay inirerekomenda upang masuri ang legalidad ng isang partikular na larong nakabatay sa kasanayan.
* **Mga Alternatibo na may Malinaw na Legalidad:** Kung hindi sigurado tungkol sa legalidad ng isang larong nakabatay sa kasanayan, ang pagpili sa mga aktibidad na may malinaw na legal na awtorisasyon (tulad ng mga larong lisensyado ng PAGCOR) ang pinakaligtas na diskarte.
**Tandaan:**
Ang pasanin ng patunay ay nakasalalay sa indibidwal na nagke-claim ng skill-based na game exemption. Laging pinakamainam na mag-ingat at humingi ng legal na payo kung mayroong anumang kalabuan hinggil sa legalidad ng isang laro, lalo na kung kasangkot ang malalaking taya.</v>
      </c>
      <c r="F1063" s="2">
        <f t="shared" si="1"/>
        <v>0</v>
      </c>
      <c r="G1063" s="2"/>
      <c r="H1063" s="2"/>
      <c r="I1063" s="2"/>
      <c r="J1063" s="2"/>
      <c r="K1063" s="2"/>
      <c r="L1063" s="2"/>
      <c r="M1063" s="2"/>
      <c r="N1063" s="2"/>
      <c r="O1063" s="2"/>
      <c r="P1063" s="2"/>
      <c r="Q1063" s="2"/>
      <c r="R1063" s="2"/>
      <c r="S1063" s="2"/>
      <c r="T1063" s="2"/>
      <c r="U1063" s="2"/>
      <c r="V1063" s="2"/>
      <c r="W1063" s="2"/>
      <c r="X1063" s="2"/>
      <c r="Y1063" s="2"/>
      <c r="Z1063" s="2"/>
      <c r="AA1063" s="2"/>
    </row>
    <row r="1064">
      <c r="A1064" s="3" t="s">
        <v>2763</v>
      </c>
      <c r="B1064" s="1" t="s">
        <v>3292</v>
      </c>
      <c r="C1064" s="1" t="s">
        <v>3293</v>
      </c>
      <c r="D1064" s="2" t="str">
        <f>IFERROR(__xludf.DUMMYFUNCTION("GOOGLETRANSLATE(B1064, ""en"", ""TL"")"),"Maaari ba akong makasuhan ng ilegal na pagsusugal kung ang aktibidad ay nagaganap sa isang hurisdiksyon kung saan ito ay legal sa ibang lugar?")</f>
        <v>Maaari ba akong makasuhan ng ilegal na pagsusugal kung ang aktibidad ay nagaganap sa isang hurisdiksyon kung saan ito ay legal sa ibang lugar?</v>
      </c>
      <c r="E1064" s="2" t="str">
        <f>IFERROR(__xludf.DUMMYFUNCTION("GOOGLETRANSLATE(C1064, ""en"", ""TL"")"),"Hindi, ang pagsali sa aktibidad ng pagsusugal na legal sa ibang lugar **ay hindi awtomatikong pinoprotektahan ka mula sa mga singil sa Pilipinas** kung ito ay itinuturing na ilegal na pagsusugal doon. Narito kung bakit:
* **Sovereignty and National Laws:*"&amp;"* Ang Pilipinas ay may sariling hanay ng mga batas na namamahala sa mga aktibidad sa pagsusugal sa loob ng teritoryo nito. Ang legalidad ng pagsusugal ay nakasalalay sa batas ng Pilipinas, hindi sa mga batas ng ibang hurisdiksyon.
* **Tumuon sa Philippine"&amp;" Jurisdiction:** Kung lalahok ka sa pagsusugal sa loob ng Pilipinas, napapailalim ka sa mga batas ng Pilipinas anuman ang legalidad ng aktibidad na iyon sa ibang bansa.
**Halimbawa:**
* Ang mga online na platform ng pagsusugal na lisensyado at legal sa ib"&amp;"ang bansa ay maaari pa ring ituring na ilegal sa Pilipinas kung wala silang lisensya ng PAGCOR. Ang pagsasagawa ng mga naturang aktibidad sa loob ng Pilipinas ay maaaring humantong sa mga kaso sa ilalim ng Republic Act No. 9287 (RA 9287).
**Mahahalagang P"&amp;"agsasaalang-alang:**
* **Palaging Magsaliksik ng Mga Lokal na Batas:** Bago makilahok sa anumang aktibidad sa pagsusugal, lalo na sa mga online na platform, napakahalagang magsaliksik at maunawaan ang mga lokal na batas ng hurisdiksyon na iyong kinabibila"&amp;"ngan.
* **Stick to Licensed Activities:** Sa Pilipinas, ang pinakaligtas na paraan ay ang lumahok sa mga aktibidad sa pagsusugal na malinaw na lisensyado at kinokontrol ng PAGCOR upang maiwasan ang mga legal na isyu.
**Mga Karagdagang Pagsasaalang-alang:*"&amp;"*
* **Paglalakbay nang May Pag-iingat:** Kung hindi ka sigurado tungkol sa legalidad ng mga aktibidad sa pagsusugal sa isang partikular na hurisdiksyon kung saan ka naglalakbay, pinakamahusay na magkamali sa panig ng pag-iingat at iwasan ang mga ito nang "&amp;"buo.
* **Kumonsulta sa Abogado:** Kung mayroon kang anumang mga tanong o alalahanin tungkol sa legalidad ng mga aktibidad sa pagsusugal sa Pilipinas o sa ibang lugar, inirerekomenda ang pagkonsulta sa isang abogado na pamilyar sa mga batas sa pagsusugal.
"&amp;"**Tandaan:**
Ang mga batas sa pagsusugal ay maaaring mag-iba nang malaki sa bawat bansa. Palaging unahin ang pag-unawa sa mga lokal na regulasyon upang maiwasan ang anumang potensyal na legal na epekto kapag nagsusugal sa labas ng iyong hurisdiksyon sa ta"&amp;"hanan.")</f>
        <v>Hindi, ang pagsali sa aktibidad ng pagsusugal na legal sa ibang lugar **ay hindi awtomatikong pinoprotektahan ka mula sa mga singil sa Pilipinas** kung ito ay itinuturing na ilegal na pagsusugal doon. Narito kung bakit:
* **Sovereignty and National Laws:** Ang Pilipinas ay may sariling hanay ng mga batas na namamahala sa mga aktibidad sa pagsusugal sa loob ng teritoryo nito. Ang legalidad ng pagsusugal ay nakasalalay sa batas ng Pilipinas, hindi sa mga batas ng ibang hurisdiksyon.
* **Tumuon sa Philippine Jurisdiction:** Kung lalahok ka sa pagsusugal sa loob ng Pilipinas, napapailalim ka sa mga batas ng Pilipinas anuman ang legalidad ng aktibidad na iyon sa ibang bansa.
**Halimbawa:**
* Ang mga online na platform ng pagsusugal na lisensyado at legal sa ibang bansa ay maaari pa ring ituring na ilegal sa Pilipinas kung wala silang lisensya ng PAGCOR. Ang pagsasagawa ng mga naturang aktibidad sa loob ng Pilipinas ay maaaring humantong sa mga kaso sa ilalim ng Republic Act No. 9287 (RA 9287).
**Mahahalagang Pagsasaalang-alang:**
* **Palaging Magsaliksik ng Mga Lokal na Batas:** Bago makilahok sa anumang aktibidad sa pagsusugal, lalo na sa mga online na platform, napakahalagang magsaliksik at maunawaan ang mga lokal na batas ng hurisdiksyon na iyong kinabibilangan.
* **Stick to Licensed Activities:** Sa Pilipinas, ang pinakaligtas na paraan ay ang lumahok sa mga aktibidad sa pagsusugal na malinaw na lisensyado at kinokontrol ng PAGCOR upang maiwasan ang mga legal na isyu.
**Mga Karagdagang Pagsasaalang-alang:**
* **Paglalakbay nang May Pag-iingat:** Kung hindi ka sigurado tungkol sa legalidad ng mga aktibidad sa pagsusugal sa isang partikular na hurisdiksyon kung saan ka naglalakbay, pinakamahusay na magkamali sa panig ng pag-iingat at iwasan ang mga ito nang buo.
* **Kumonsulta sa Abogado:** Kung mayroon kang anumang mga tanong o alalahanin tungkol sa legalidad ng mga aktibidad sa pagsusugal sa Pilipinas o sa ibang lugar, inirerekomenda ang pagkonsulta sa isang abogado na pamilyar sa mga batas sa pagsusugal.
**Tandaan:**
Ang mga batas sa pagsusugal ay maaaring mag-iba nang malaki sa bawat bansa. Palaging unahin ang pag-unawa sa mga lokal na regulasyon upang maiwasan ang anumang potensyal na legal na epekto kapag nagsusugal sa labas ng iyong hurisdiksyon sa tahanan.</v>
      </c>
      <c r="F1064" s="2">
        <f t="shared" si="1"/>
        <v>0</v>
      </c>
      <c r="G1064" s="2"/>
      <c r="H1064" s="2"/>
      <c r="I1064" s="2"/>
      <c r="J1064" s="2"/>
      <c r="K1064" s="2"/>
      <c r="L1064" s="2"/>
      <c r="M1064" s="2"/>
      <c r="N1064" s="2"/>
      <c r="O1064" s="2"/>
      <c r="P1064" s="2"/>
      <c r="Q1064" s="2"/>
      <c r="R1064" s="2"/>
      <c r="S1064" s="2"/>
      <c r="T1064" s="2"/>
      <c r="U1064" s="2"/>
      <c r="V1064" s="2"/>
      <c r="W1064" s="2"/>
      <c r="X1064" s="2"/>
      <c r="Y1064" s="2"/>
      <c r="Z1064" s="2"/>
      <c r="AA1064" s="2"/>
    </row>
    <row r="1065">
      <c r="A1065" s="3" t="s">
        <v>2763</v>
      </c>
      <c r="B1065" s="1" t="s">
        <v>3294</v>
      </c>
      <c r="C1065" s="1" t="s">
        <v>3295</v>
      </c>
      <c r="D1065" s="2" t="str">
        <f>IFERROR(__xludf.DUMMYFUNCTION("GOOGLETRANSLATE(B1065, ""en"", ""TL"")"),"Paano tinutugunan ng batas ang mga kaso kung saan ang mga aktibidad ng ilegal na pagsusugal ay isinasagawa sa loob ng mga lupain ng tribo?")</f>
        <v>Paano tinutugunan ng batas ang mga kaso kung saan ang mga aktibidad ng ilegal na pagsusugal ay isinasagawa sa loob ng mga lupain ng tribo?</v>
      </c>
      <c r="E1065" s="2" t="str">
        <f>IFERROR(__xludf.DUMMYFUNCTION("GOOGLETRANSLATE(C1065, ""en"", ""TL"")"),"Ang isyu ng mga aktibidad ng ilegal na pagsusugal sa mga lupain ng tribo sa Pilipinas ay masalimuot at nagsasangkot ng interseksiyon ng ilang legal na pagsasaalang-alang. Narito ang isang breakdown ng mga pangunahing punto:
* **Ancestral Domain and Indige"&amp;"nous Peoples' Rights Act (Republic Act No. 8371):** Kinikilala ng batas na ito ang mga karapatan ng Indigenous Cultural Communities/Indigenous Peoples (ICCs/IPs) sa kanilang ancestral domain. Nagbibigay ito sa kanila ng ilang mga karapatan na pamahalaan a"&amp;"t ayusin ang mga aktibidad sa loob ng mga teritoryong ito.
* **Limited Jurisdiction sa loob ng Ancestral Domains:** Ang batas ay hindi nagbibigay ng kumpletong awtonomiya sa mga ICC/IP. Nananatili pa rin ang hurisdiksyon ng pambansang pamahalaan sa ilang "&amp;"partikular na bagay, kabilang ang **mga gawaing kriminal** tulad ng iligal na pagsusugal.
* **Mga Napagkasunduan na Kasunduan:** Ang mga ICC/Katutubong Pamayanan ay maaaring makipag-ayos ng mga kasunduan sa pambansang pamahalaan tungkol sa pamamahala ng k"&amp;"anilang mga ancestral domain. Ang mga kasunduang ito ay maaaring magbalangkas ng mga partikular na probisyon na may kaugnayan sa mga aktibidad sa pagsusugal sa loob ng kanilang teritoryo.
**Mga Hamon at Pagsasaalang-alang:**
* **Paglilinaw ng Jurisdiction"&amp;":** Maaaring magkaroon ng mga kalabuan hinggil sa lawak ng awtoridad ng ICC/IP na i-regulate ang pagsusugal sa loob ng kanilang mga ancestral domain. Maaari itong humantong sa mga salungatan sa pambansang pagpapatupad ng batas.
* **Paggalang sa Mga Katutu"&amp;"bong Kasanayan:** Ang ilang mga tradisyonal na laro o kasanayan sa loob ng mga komunidad ng ICC/IP ay maaaring may kasamang mga elemento ng pagkakataon o taya. Ang mga ito ay maaaring hindi kinakailangang ituring na iligal na pagsusugal kung mayroon silan"&amp;"g kultural na kahalagahan.
* **Komersyal na Ilegal na Pagsusugal:** Ang pambansang pamahalaan ay may matinding interes sa pagsugpo sa komersyalisadong ilegal na pagsusugal na mga operasyon sa loob ng ancestral domain dahil maaari silang magkaroon ng negat"&amp;"ibong epekto sa lipunan at ekonomiya.
**Potensyal na Paglapit:**
* **Konsultasyon at Kooperasyon:** Ang pambansang pamahalaan at mga ICC/Katutubong Pamayanan ay maaaring magtulungan upang malinaw na tukuyin ang mga katanggap-tanggap na aktibidad sa pagsus"&amp;"ugal sa loob ng ancestral domain at bumuo ng mga estratehiya sa pagpapatupad ng kooperatiba laban sa komersyalisadong ilegal na pagsusugal.
* **Paggalang sa mga Kultural na Kasanayan:** Ang pamahalaan ay dapat maging maingat sa paggalang sa mga tradisyona"&amp;"l na laro at kasanayan na may kahalagahang pangkultura sa loob ng mga komunidad ng ICC/IP. * **Malinaw na Mga Regulasyon:** Ang pagbuo ng malinaw at sensitibong kultural na mga regulasyon tungkol sa mga aktibidad sa pagsusugal sa loob ng mga ancestral dom"&amp;"ain ay maaaring makatulong na matugunan ang mga hamong ito.
**Mahahalagang Pagsasaalang-alang:**
* Ang partikular na legal na balangkas na namamahala sa ilegal na pagsusugal sa loob ng ancestral domain ay maaaring mag-iba depende sa mga napagkasunduang ka"&amp;"sunduan sa pagitan ng ICC/IP at ng pambansang pamahalaan.
* Ito ay isang kumplikadong legal na lugar. Ang pagkonsulta sa isang abogado na pamilyar sa parehong mga batas sa pagsusugal at mga karapatan sa ICC/IP ay inirerekomenda para sa mga partikular na s"&amp;"itwasyon.
**Tandaan:**
Ang isyu ng iligal na pagsusugal sa loob ng mga lupain ng tribo ay isang sensitibong nangangailangan ng balanse sa pagitan ng pagtataguyod ng mga pambansang batas, paggalang sa mga karapatan ng katutubo, at pagprotekta sa mga komuni"&amp;"dad mula sa mga negatibong epekto ng komersyalisadong ilegal na pagsusugal.")</f>
        <v>Ang isyu ng mga aktibidad ng ilegal na pagsusugal sa mga lupain ng tribo sa Pilipinas ay masalimuot at nagsasangkot ng interseksiyon ng ilang legal na pagsasaalang-alang. Narito ang isang breakdown ng mga pangunahing punto:
* **Ancestral Domain and Indigenous Peoples' Rights Act (Republic Act No. 8371):** Kinikilala ng batas na ito ang mga karapatan ng Indigenous Cultural Communities/Indigenous Peoples (ICCs/IPs) sa kanilang ancestral domain. Nagbibigay ito sa kanila ng ilang mga karapatan na pamahalaan at ayusin ang mga aktibidad sa loob ng mga teritoryong ito.
* **Limited Jurisdiction sa loob ng Ancestral Domains:** Ang batas ay hindi nagbibigay ng kumpletong awtonomiya sa mga ICC/IP. Nananatili pa rin ang hurisdiksyon ng pambansang pamahalaan sa ilang partikular na bagay, kabilang ang **mga gawaing kriminal** tulad ng iligal na pagsusugal.
* **Mga Napagkasunduan na Kasunduan:** Ang mga ICC/Katutubong Pamayanan ay maaaring makipag-ayos ng mga kasunduan sa pambansang pamahalaan tungkol sa pamamahala ng kanilang mga ancestral domain. Ang mga kasunduang ito ay maaaring magbalangkas ng mga partikular na probisyon na may kaugnayan sa mga aktibidad sa pagsusugal sa loob ng kanilang teritoryo.
**Mga Hamon at Pagsasaalang-alang:**
* **Paglilinaw ng Jurisdiction:** Maaaring magkaroon ng mga kalabuan hinggil sa lawak ng awtoridad ng ICC/IP na i-regulate ang pagsusugal sa loob ng kanilang mga ancestral domain. Maaari itong humantong sa mga salungatan sa pambansang pagpapatupad ng batas.
* **Paggalang sa Mga Katutubong Kasanayan:** Ang ilang mga tradisyonal na laro o kasanayan sa loob ng mga komunidad ng ICC/IP ay maaaring may kasamang mga elemento ng pagkakataon o taya. Ang mga ito ay maaaring hindi kinakailangang ituring na iligal na pagsusugal kung mayroon silang kultural na kahalagahan.
* **Komersyal na Ilegal na Pagsusugal:** Ang pambansang pamahalaan ay may matinding interes sa pagsugpo sa komersyalisadong ilegal na pagsusugal na mga operasyon sa loob ng ancestral domain dahil maaari silang magkaroon ng negatibong epekto sa lipunan at ekonomiya.
**Potensyal na Paglapit:**
* **Konsultasyon at Kooperasyon:** Ang pambansang pamahalaan at mga ICC/Katutubong Pamayanan ay maaaring magtulungan upang malinaw na tukuyin ang mga katanggap-tanggap na aktibidad sa pagsusugal sa loob ng ancestral domain at bumuo ng mga estratehiya sa pagpapatupad ng kooperatiba laban sa komersyalisadong ilegal na pagsusugal.
* **Paggalang sa mga Kultural na Kasanayan:** Ang pamahalaan ay dapat maging maingat sa paggalang sa mga tradisyonal na laro at kasanayan na may kahalagahang pangkultura sa loob ng mga komunidad ng ICC/IP. * **Malinaw na Mga Regulasyon:** Ang pagbuo ng malinaw at sensitibong kultural na mga regulasyon tungkol sa mga aktibidad sa pagsusugal sa loob ng mga ancestral domain ay maaaring makatulong na matugunan ang mga hamong ito.
**Mahahalagang Pagsasaalang-alang:**
* Ang partikular na legal na balangkas na namamahala sa ilegal na pagsusugal sa loob ng ancestral domain ay maaaring mag-iba depende sa mga napagkasunduang kasunduan sa pagitan ng ICC/IP at ng pambansang pamahalaan.
* Ito ay isang kumplikadong legal na lugar. Ang pagkonsulta sa isang abogado na pamilyar sa parehong mga batas sa pagsusugal at mga karapatan sa ICC/IP ay inirerekomenda para sa mga partikular na sitwasyon.
**Tandaan:**
Ang isyu ng iligal na pagsusugal sa loob ng mga lupain ng tribo ay isang sensitibong nangangailangan ng balanse sa pagitan ng pagtataguyod ng mga pambansang batas, paggalang sa mga karapatan ng katutubo, at pagprotekta sa mga komunidad mula sa mga negatibong epekto ng komersyalisadong ilegal na pagsusugal.</v>
      </c>
      <c r="F1065" s="2">
        <f t="shared" si="1"/>
        <v>0</v>
      </c>
      <c r="G1065" s="2"/>
      <c r="H1065" s="2"/>
      <c r="I1065" s="2"/>
      <c r="J1065" s="2"/>
      <c r="K1065" s="2"/>
      <c r="L1065" s="2"/>
      <c r="M1065" s="2"/>
      <c r="N1065" s="2"/>
      <c r="O1065" s="2"/>
      <c r="P1065" s="2"/>
      <c r="Q1065" s="2"/>
      <c r="R1065" s="2"/>
      <c r="S1065" s="2"/>
      <c r="T1065" s="2"/>
      <c r="U1065" s="2"/>
      <c r="V1065" s="2"/>
      <c r="W1065" s="2"/>
      <c r="X1065" s="2"/>
      <c r="Y1065" s="2"/>
      <c r="Z1065" s="2"/>
      <c r="AA1065" s="2"/>
    </row>
    <row r="1066">
      <c r="A1066" s="3" t="s">
        <v>2763</v>
      </c>
      <c r="B1066" s="1" t="s">
        <v>3296</v>
      </c>
      <c r="C1066" s="1" t="s">
        <v>3297</v>
      </c>
      <c r="D1066" s="2" t="str">
        <f>IFERROR(__xludf.DUMMYFUNCTION("GOOGLETRANSLATE(B1066, ""en"", ""TL"")"),"Maaari ba akong makasuhan ng ilegal na pagsusugal kung ang aktibidad ay hindi tahasang ipinagbabawal ng mga lokal na batas?")</f>
        <v>Maaari ba akong makasuhan ng ilegal na pagsusugal kung ang aktibidad ay hindi tahasang ipinagbabawal ng mga lokal na batas?</v>
      </c>
      <c r="E1066" s="2" t="str">
        <f>IFERROR(__xludf.DUMMYFUNCTION("GOOGLETRANSLATE(C1066, ""en"", ""TL"")"),"Siguro. Ang batas ng Pilipinas sa iligal na pagsusugal ay medyo پیچیده (pichachde, complex). Narito kung bakit:
* **Mga Batas Lokal vs Pambansa:** Ang mga lokal na batas (mga ordinansa) ay hindi maaaring palitan ang mga pambansang batas. Ang mga pambansan"&amp;"g batas tulad ng Republic Act (RA) 9287, ang ""An Act to Inhibit and Penalize Illegal Numbers Games,"" ay nagbabalangkas ng mga partikular na aktibidad ng ilegal na pagsusugal.
* **Mas Malawak na Saklaw:** Ipinagbabawal ng RA 9287 hindi lamang ang mga akt"&amp;"ibidad na nakalista, kundi pati na rin ang mga ""halos kapareho o kapareho"" sa kanila. Nangangahulugan ito na kahit na ang iyong lokal na batas ay hindi nagbanggit ng isang partikular na laro, maaari pa rin itong ituring na ilegal na pagsusugal sa ilalim"&amp;" ng RA 9287 kung ito ay katulad ng mga nakalista.
**Narito ang magagawa mo para makakuha ng mas malinaw na larawan:**
* **Suriin ang RA 9287:** Suriin ang RA 9287 upang makita kung ang iyong aktibidad ay nasa ilalim ng kahulugan nito ng ilegal na pagsusug"&amp;"al ([https://lawlibrary.chanrobles.com/](https://lawlibrary.chanrobles.com/)) .
* **Kumonsulta sa iyong lokal na ordinansa:** Tingnan kung ang iyong lokal na ordinansa ay may anumang mga regulasyon sa pagsusugal.
* **Makipag-usap sa isang abogado:** Ang i"&amp;"sang abogado na dalubhasa sa mga batas sa pagsusugal ay maaaring magbigay sa iyo ng mas tiyak na sagot batay sa mga detalye ng iyong sitwasyon.")</f>
        <v>Siguro. Ang batas ng Pilipinas sa iligal na pagsusugal ay medyo پیچیده (pichachde, complex). Narito kung bakit:
* **Mga Batas Lokal vs Pambansa:** Ang mga lokal na batas (mga ordinansa) ay hindi maaaring palitan ang mga pambansang batas. Ang mga pambansang batas tulad ng Republic Act (RA) 9287, ang "An Act to Inhibit and Penalize Illegal Numbers Games," ay nagbabalangkas ng mga partikular na aktibidad ng ilegal na pagsusugal.
* **Mas Malawak na Saklaw:** Ipinagbabawal ng RA 9287 hindi lamang ang mga aktibidad na nakalista, kundi pati na rin ang mga "halos kapareho o kapareho" sa kanila. Nangangahulugan ito na kahit na ang iyong lokal na batas ay hindi nagbanggit ng isang partikular na laro, maaari pa rin itong ituring na ilegal na pagsusugal sa ilalim ng RA 9287 kung ito ay katulad ng mga nakalista.
**Narito ang magagawa mo para makakuha ng mas malinaw na larawan:**
* **Suriin ang RA 9287:** Suriin ang RA 9287 upang makita kung ang iyong aktibidad ay nasa ilalim ng kahulugan nito ng ilegal na pagsusugal ([https://lawlibrary.chanrobles.com/](https://lawlibrary.chanrobles.com/)) .
* **Kumonsulta sa iyong lokal na ordinansa:** Tingnan kung ang iyong lokal na ordinansa ay may anumang mga regulasyon sa pagsusugal.
* **Makipag-usap sa isang abogado:** Ang isang abogado na dalubhasa sa mga batas sa pagsusugal ay maaaring magbigay sa iyo ng mas tiyak na sagot batay sa mga detalye ng iyong sitwasyon.</v>
      </c>
      <c r="F1066" s="2">
        <f t="shared" si="1"/>
        <v>0</v>
      </c>
      <c r="G1066" s="2"/>
      <c r="H1066" s="2"/>
      <c r="I1066" s="2"/>
      <c r="J1066" s="2"/>
      <c r="K1066" s="2"/>
      <c r="L1066" s="2"/>
      <c r="M1066" s="2"/>
      <c r="N1066" s="2"/>
      <c r="O1066" s="2"/>
      <c r="P1066" s="2"/>
      <c r="Q1066" s="2"/>
      <c r="R1066" s="2"/>
      <c r="S1066" s="2"/>
      <c r="T1066" s="2"/>
      <c r="U1066" s="2"/>
      <c r="V1066" s="2"/>
      <c r="W1066" s="2"/>
      <c r="X1066" s="2"/>
      <c r="Y1066" s="2"/>
      <c r="Z1066" s="2"/>
      <c r="AA1066" s="2"/>
    </row>
    <row r="1067">
      <c r="A1067" s="3" t="s">
        <v>2763</v>
      </c>
      <c r="B1067" s="1" t="s">
        <v>3298</v>
      </c>
      <c r="C1067" s="1" t="s">
        <v>3299</v>
      </c>
      <c r="D1067" s="2" t="str">
        <f>IFERROR(__xludf.DUMMYFUNCTION("GOOGLETRANSLATE(B1067, ""en"", ""TL"")"),"Paano tinutugunan ng batas ang mga kaso kung saan ang mga aktibidad sa pagsusugal ay isinasagawa para sa mga layuning pangkawanggawa?")</f>
        <v>Paano tinutugunan ng batas ang mga kaso kung saan ang mga aktibidad sa pagsusugal ay isinasagawa para sa mga layuning pangkawanggawa?</v>
      </c>
      <c r="E1067" s="2" t="str">
        <f>IFERROR(__xludf.DUMMYFUNCTION("GOOGLETRANSLATE(C1067, ""en"", ""TL"")"),"Pinahihintulutan ng batas ng Pilipinas ang ilang uri ng pagsusugal para sa mga layuning pangkawanggawa, ngunit may mga limitasyon. Narito ang isang breakdown:
* **Government-Run Entities:** Ang Philippine Charity Sweepstakes Office (PCSO) (nilikha ng Repu"&amp;"blic Act No. 1169) at ang Philippine Amusement and Gaming Corporation (PAGCOR) (na itinatag ng Presidential Decree No. 1067) ay may eksklusibong awtoridad upang magsagawa ng mga sweepstakes, lottery, at iba pang anyo ng legal na pagsusugal para sa mga lay"&amp;"unin ng kawanggawa. * **Mga Limitadong Exception:** May mga limitadong exception para sa mga partikular na aktibidad:
* **Mga Karera ng Kabayo:** Ang mga asosasyong sibiko ay maaaring pahintulutan na magsagawa ng mga karera ng kabayo para sa pangangalap n"&amp;"g pondo, ngunit ang mga ito ay mahigpit na kinokontrol (matutunton pabalik sa Acts 4130 at 4240).
* **Sabong:** Ang Presidential Decree No. 449 ay nagpapahintulot sa sabong para sa mga layuning pangkawanggawa sa ilalim ng mga partikular na kondisyon, tula"&amp;"d ng pagkuha ng pahintulot mula sa Tanggapan ng Pangulo at mga limitasyon sa dalas at tagal.
**Mahahalagang Punto:**
* **Mahigpit na Regulasyon:** Kahit para sa mga awtorisadong aktibidad, may mahigpit na regulasyon tungkol sa paglilisensya, pag-uugali, a"&amp;"t paglalaan ng mga nalikom upang matiyak na ang mga layunin ng kawanggawa ay natutugunan.
* **Hindi Isang Kumot na Pahintulot:** Ang mga pagbubukod na ito ay hindi nagbibigay ng pangkalahatang karapatang magsagawa ng anumang aktibidad sa pagsusugal para s"&amp;"a kawanggawa. Napakahalaga na makakuha ng wastong awtorisasyon para sa anumang mga pagbubukod na maaaring malapat.
**Mga Rekomendasyon:**
* **Kumonsulta sa isang Abogado:** Kung hindi ka sigurado kung ang iyong nakaplanong aktibidad ng kawanggawa na pagsu"&amp;"sugal ay napapailalim sa isang pagbubukod, ang pagkonsulta sa isang abogado na dalubhasa sa batas sa pagsusugal ay lubos na ipinapayong.
* **Paglahok ng PCSO o PAGCOR:** Isaalang-alang ang pakikipagsosyo sa PCSO o PAGCOR para sa iyong kawanggawa na kagana"&amp;"pan. Tinitiyak nito ang pagsunod at nagbibigay-daan sa iyo na gamitin ang kanilang kadalubhasaan sa pagsasagawa ng mga aktibidad sa pagsusugal.")</f>
        <v>Pinahihintulutan ng batas ng Pilipinas ang ilang uri ng pagsusugal para sa mga layuning pangkawanggawa, ngunit may mga limitasyon. Narito ang isang breakdown:
* **Government-Run Entities:** Ang Philippine Charity Sweepstakes Office (PCSO) (nilikha ng Republic Act No. 1169) at ang Philippine Amusement and Gaming Corporation (PAGCOR) (na itinatag ng Presidential Decree No. 1067) ay may eksklusibong awtoridad upang magsagawa ng mga sweepstakes, lottery, at iba pang anyo ng legal na pagsusugal para sa mga layunin ng kawanggawa. * **Mga Limitadong Exception:** May mga limitadong exception para sa mga partikular na aktibidad:
* **Mga Karera ng Kabayo:** Ang mga asosasyong sibiko ay maaaring pahintulutan na magsagawa ng mga karera ng kabayo para sa pangangalap ng pondo, ngunit ang mga ito ay mahigpit na kinokontrol (matutunton pabalik sa Acts 4130 at 4240).
* **Sabong:** Ang Presidential Decree No. 449 ay nagpapahintulot sa sabong para sa mga layuning pangkawanggawa sa ilalim ng mga partikular na kondisyon, tulad ng pagkuha ng pahintulot mula sa Tanggapan ng Pangulo at mga limitasyon sa dalas at tagal.
**Mahahalagang Punto:**
* **Mahigpit na Regulasyon:** Kahit para sa mga awtorisadong aktibidad, may mahigpit na regulasyon tungkol sa paglilisensya, pag-uugali, at paglalaan ng mga nalikom upang matiyak na ang mga layunin ng kawanggawa ay natutugunan.
* **Hindi Isang Kumot na Pahintulot:** Ang mga pagbubukod na ito ay hindi nagbibigay ng pangkalahatang karapatang magsagawa ng anumang aktibidad sa pagsusugal para sa kawanggawa. Napakahalaga na makakuha ng wastong awtorisasyon para sa anumang mga pagbubukod na maaaring malapat.
**Mga Rekomendasyon:**
* **Kumonsulta sa isang Abogado:** Kung hindi ka sigurado kung ang iyong nakaplanong aktibidad ng kawanggawa na pagsusugal ay napapailalim sa isang pagbubukod, ang pagkonsulta sa isang abogado na dalubhasa sa batas sa pagsusugal ay lubos na ipinapayong.
* **Paglahok ng PCSO o PAGCOR:** Isaalang-alang ang pakikipagsosyo sa PCSO o PAGCOR para sa iyong kawanggawa na kaganapan. Tinitiyak nito ang pagsunod at nagbibigay-daan sa iyo na gamitin ang kanilang kadalubhasaan sa pagsasagawa ng mga aktibidad sa pagsusugal.</v>
      </c>
      <c r="F1067" s="2">
        <f t="shared" si="1"/>
        <v>0</v>
      </c>
      <c r="G1067" s="2"/>
      <c r="H1067" s="2"/>
      <c r="I1067" s="2"/>
      <c r="J1067" s="2"/>
      <c r="K1067" s="2"/>
      <c r="L1067" s="2"/>
      <c r="M1067" s="2"/>
      <c r="N1067" s="2"/>
      <c r="O1067" s="2"/>
      <c r="P1067" s="2"/>
      <c r="Q1067" s="2"/>
      <c r="R1067" s="2"/>
      <c r="S1067" s="2"/>
      <c r="T1067" s="2"/>
      <c r="U1067" s="2"/>
      <c r="V1067" s="2"/>
      <c r="W1067" s="2"/>
      <c r="X1067" s="2"/>
      <c r="Y1067" s="2"/>
      <c r="Z1067" s="2"/>
      <c r="AA1067" s="2"/>
    </row>
    <row r="1068">
      <c r="A1068" s="3" t="s">
        <v>2763</v>
      </c>
      <c r="B1068" s="1" t="s">
        <v>3300</v>
      </c>
      <c r="C1068" s="1" t="s">
        <v>3301</v>
      </c>
      <c r="D1068" s="2" t="str">
        <f>IFERROR(__xludf.DUMMYFUNCTION("GOOGLETRANSLATE(B1068, ""en"", ""TL"")"),"Maaari ba akong makasuhan ng ilegal na pagsusugal kung pinapadali ko lang ang laro nang hindi nakikilahok?")</f>
        <v>Maaari ba akong makasuhan ng ilegal na pagsusugal kung pinapadali ko lang ang laro nang hindi nakikilahok?</v>
      </c>
      <c r="E1068" s="2" t="str">
        <f>IFERROR(__xludf.DUMMYFUNCTION("GOOGLETRANSLATE(C1068, ""en"", ""TL"")"),"Oo, sa ilalim ng batas ng Pilipinas, maaari kang kasuhan ng ilegal na pagsusugal kahit na hindi ka direktang nakikilahok bilang isang manlalaro. Narito kung bakit:
* **Republic Act 9287 (RA 9287):** Ang batas na ito, na kilala rin bilang ""An Act to Inhib"&amp;"it and Penalize Illegal Numbers Games,"" ay nagpaparusa hindi lamang sa mga tumataya kundi pati na rin sa mga **nagpapadali** ng ilegal na pagsusugal. mga aktibidad.
* **Mga Halimbawa ng Facilitation:** Isinasaalang-alang ng batas ang mga aktibidad tulad "&amp;"ng:
* **Pagbibigay ng venue:** Pagmamay-ari o pag-upa ng lokasyong ginagamit para sa ilegal na pagsusugal.
* **Materyales sa muwebles:** Pagsusuplay ng kagamitan (mga card, dice, atbp.) na ginagamit para sa ilegal na pagsusugal.
* **Pagtanggap ng mga taya"&amp;":** Pagkolekta ng mga taya sa ngalan ng organizer.
* **Pagpapatakbo ng laro:** Pamamahala sa daloy ng aktibidad ng ilegal na pagsusugal.
* **Malawak na Saklaw:** Nalalapat din ang batas sa mga nag-**""bankroll""** o nagtutustos ng mga operasyon ng ilegal "&amp;"na pagsusugal.
**Kahit na hindi ka direktang naglalagay ng taya,** ang pagpapadali sa laro sa anumang paraan ay maaaring humantong sa mga singil sa ilalim ng RA 9287. **Tandaan:**
* Ang mga partikular na parusa para sa iligal na pagsusugal ay nakasalalay "&amp;"sa uri at sukat ng operasyon.
* Mahalagang kumunsulta sa isang abogado kung mayroon kang anumang mga katanungan tungkol sa legalidad ng isang aktibidad sa pagsusugal, lalo na kung isinasaalang-alang mo ang anumang tungkulin sa pagpapadali nito.")</f>
        <v>Oo, sa ilalim ng batas ng Pilipinas, maaari kang kasuhan ng ilegal na pagsusugal kahit na hindi ka direktang nakikilahok bilang isang manlalaro. Narito kung bakit:
* **Republic Act 9287 (RA 9287):** Ang batas na ito, na kilala rin bilang "An Act to Inhibit and Penalize Illegal Numbers Games," ay nagpaparusa hindi lamang sa mga tumataya kundi pati na rin sa mga **nagpapadali** ng ilegal na pagsusugal. mga aktibidad.
* **Mga Halimbawa ng Facilitation:** Isinasaalang-alang ng batas ang mga aktibidad tulad ng:
* **Pagbibigay ng venue:** Pagmamay-ari o pag-upa ng lokasyong ginagamit para sa ilegal na pagsusugal.
* **Materyales sa muwebles:** Pagsusuplay ng kagamitan (mga card, dice, atbp.) na ginagamit para sa ilegal na pagsusugal.
* **Pagtanggap ng mga taya:** Pagkolekta ng mga taya sa ngalan ng organizer.
* **Pagpapatakbo ng laro:** Pamamahala sa daloy ng aktibidad ng ilegal na pagsusugal.
* **Malawak na Saklaw:** Nalalapat din ang batas sa mga nag-**"bankroll"** o nagtutustos ng mga operasyon ng ilegal na pagsusugal.
**Kahit na hindi ka direktang naglalagay ng taya,** ang pagpapadali sa laro sa anumang paraan ay maaaring humantong sa mga singil sa ilalim ng RA 9287. **Tandaan:**
* Ang mga partikular na parusa para sa iligal na pagsusugal ay nakasalalay sa uri at sukat ng operasyon.
* Mahalagang kumunsulta sa isang abogado kung mayroon kang anumang mga katanungan tungkol sa legalidad ng isang aktibidad sa pagsusugal, lalo na kung isinasaalang-alang mo ang anumang tungkulin sa pagpapadali nito.</v>
      </c>
      <c r="F1068" s="2">
        <f t="shared" si="1"/>
        <v>0</v>
      </c>
      <c r="G1068" s="2"/>
      <c r="H1068" s="2"/>
      <c r="I1068" s="2"/>
      <c r="J1068" s="2"/>
      <c r="K1068" s="2"/>
      <c r="L1068" s="2"/>
      <c r="M1068" s="2"/>
      <c r="N1068" s="2"/>
      <c r="O1068" s="2"/>
      <c r="P1068" s="2"/>
      <c r="Q1068" s="2"/>
      <c r="R1068" s="2"/>
      <c r="S1068" s="2"/>
      <c r="T1068" s="2"/>
      <c r="U1068" s="2"/>
      <c r="V1068" s="2"/>
      <c r="W1068" s="2"/>
      <c r="X1068" s="2"/>
      <c r="Y1068" s="2"/>
      <c r="Z1068" s="2"/>
      <c r="AA1068" s="2"/>
    </row>
    <row r="1069">
      <c r="A1069" s="3" t="s">
        <v>2763</v>
      </c>
      <c r="B1069" s="1" t="s">
        <v>3302</v>
      </c>
      <c r="C1069" s="1" t="s">
        <v>3303</v>
      </c>
      <c r="D1069" s="2" t="str">
        <f>IFERROR(__xludf.DUMMYFUNCTION("GOOGLETRANSLATE(B1069, ""en"", ""TL"")"),"Paano pinangangasiwaan ng batas ang mga kaso kung saan ang aktibidad ng ilegal na pagsusugal ay nagsasangkot ng mga cryptocurrencies o iba pang mga digital na pera?")</f>
        <v>Paano pinangangasiwaan ng batas ang mga kaso kung saan ang aktibidad ng ilegal na pagsusugal ay nagsasangkot ng mga cryptocurrencies o iba pang mga digital na pera?</v>
      </c>
      <c r="E1069" s="2" t="str">
        <f>IFERROR(__xludf.DUMMYFUNCTION("GOOGLETRANSLATE(C1069, ""en"", ""TL"")"),"Ang batas ng Pilipinas ay humahabol pa rin sa paggamit ng mga cryptocurrencies at iba pang mga digital na pera sa mga aktibidad ng ilegal na pagsusugal. Narito ang alam natin:
* **Nalalapat ang mga Tradisyunal na Batas:** Ang RA 9287, ang pangunahing bata"&amp;"s sa iligal na pagsusugal, ay hindi tahasang binabanggit ang mga cryptocurrencies. Gayunpaman, nalalapat ang batas sa mga aktibidad na ""halos magkapareho o magkapareho"" sa mga nakalista. Kung ang iyong operasyon sa pagsusugal na nakabatay sa cryptocurre"&amp;"ncy ay gumagana nang katulad ng mga laro ng ilegal na numero o iba pang ipinagbabawal na aktibidad sa ilalim ng RA 9287, maaari ka pa ring singilin.
* **Blurred Lines:** Ang hamon sa mga cryptocurrencies ay ang mga ito ay hindi kinokontrol tulad ng tradis"&amp;"yonal na pera. Maaari nitong gawing mahirap ang pagsubaybay sa mga transaksyon at pagpapatupad ng mga batas sa pagsusugal.
* **Nagbabagong Landscape:** Alam ng mga regulator ng Pilipinas ang agwat na ito at gumagawa sila ng mga paraan upang matugunan ito."&amp;" Ang Bangko Sentral ng Pilipinas (BSP), ang sentral na bangko, ay naglabas ng mga babala tungkol sa mga panganib ng paggamit ng mga cryptocurrencies sa mga ilegal na aktibidad. **Ano ang aasahan:**
* **Pinataas na Pagsusuri:** Asahan ang mas mahigpit na m"&amp;"ga regulasyon at pagsusumikap sa pagpapatupad na may kaugnayan sa paggamit ng cryptocurrency sa hinaharap.
* **Case-by-Case Base:** Sa ngayon, kung paano pinangangasiwaan ng batas ang mga kasong ito ay maaaring matukoy sa bawat kaso, isinasaalang-alang an"&amp;"g partikular na katangian ng aktibidad ng pagsusugal at kung paano ito gumagamit ng cryptocurrency.
**Mga Rekomendasyon:**
* **Iwasan ang Panganib:** Kung hindi ka sigurado tungkol sa legalidad ng aktibidad ng pagsusugal na nakabatay sa cryptocurrency, pi"&amp;"nakamahusay na iwasan ito nang buo.
* **Kumonsulta sa Abogado:** Kung kasali ka sa anumang ganoong aktibidad, lubos na inirerekomenda ang pagkonsulta sa isang abogado na dalubhasa sa parehong batas sa pagsusugal at cryptocurrency.")</f>
        <v>Ang batas ng Pilipinas ay humahabol pa rin sa paggamit ng mga cryptocurrencies at iba pang mga digital na pera sa mga aktibidad ng ilegal na pagsusugal. Narito ang alam natin:
* **Nalalapat ang mga Tradisyunal na Batas:** Ang RA 9287, ang pangunahing batas sa iligal na pagsusugal, ay hindi tahasang binabanggit ang mga cryptocurrencies. Gayunpaman, nalalapat ang batas sa mga aktibidad na "halos magkapareho o magkapareho" sa mga nakalista. Kung ang iyong operasyon sa pagsusugal na nakabatay sa cryptocurrency ay gumagana nang katulad ng mga laro ng ilegal na numero o iba pang ipinagbabawal na aktibidad sa ilalim ng RA 9287, maaari ka pa ring singilin.
* **Blurred Lines:** Ang hamon sa mga cryptocurrencies ay ang mga ito ay hindi kinokontrol tulad ng tradisyonal na pera. Maaari nitong gawing mahirap ang pagsubaybay sa mga transaksyon at pagpapatupad ng mga batas sa pagsusugal.
* **Nagbabagong Landscape:** Alam ng mga regulator ng Pilipinas ang agwat na ito at gumagawa sila ng mga paraan upang matugunan ito. Ang Bangko Sentral ng Pilipinas (BSP), ang sentral na bangko, ay naglabas ng mga babala tungkol sa mga panganib ng paggamit ng mga cryptocurrencies sa mga ilegal na aktibidad. **Ano ang aasahan:**
* **Pinataas na Pagsusuri:** Asahan ang mas mahigpit na mga regulasyon at pagsusumikap sa pagpapatupad na may kaugnayan sa paggamit ng cryptocurrency sa hinaharap.
* **Case-by-Case Base:** Sa ngayon, kung paano pinangangasiwaan ng batas ang mga kasong ito ay maaaring matukoy sa bawat kaso, isinasaalang-alang ang partikular na katangian ng aktibidad ng pagsusugal at kung paano ito gumagamit ng cryptocurrency.
**Mga Rekomendasyon:**
* **Iwasan ang Panganib:** Kung hindi ka sigurado tungkol sa legalidad ng aktibidad ng pagsusugal na nakabatay sa cryptocurrency, pinakamahusay na iwasan ito nang buo.
* **Kumonsulta sa Abogado:** Kung kasali ka sa anumang ganoong aktibidad, lubos na inirerekomenda ang pagkonsulta sa isang abogado na dalubhasa sa parehong batas sa pagsusugal at cryptocurrency.</v>
      </c>
      <c r="F1069" s="2">
        <f t="shared" si="1"/>
        <v>0</v>
      </c>
      <c r="G1069" s="2"/>
      <c r="H1069" s="2"/>
      <c r="I1069" s="2"/>
      <c r="J1069" s="2"/>
      <c r="K1069" s="2"/>
      <c r="L1069" s="2"/>
      <c r="M1069" s="2"/>
      <c r="N1069" s="2"/>
      <c r="O1069" s="2"/>
      <c r="P1069" s="2"/>
      <c r="Q1069" s="2"/>
      <c r="R1069" s="2"/>
      <c r="S1069" s="2"/>
      <c r="T1069" s="2"/>
      <c r="U1069" s="2"/>
      <c r="V1069" s="2"/>
      <c r="W1069" s="2"/>
      <c r="X1069" s="2"/>
      <c r="Y1069" s="2"/>
      <c r="Z1069" s="2"/>
      <c r="AA1069" s="2"/>
    </row>
    <row r="1070">
      <c r="A1070" s="3" t="s">
        <v>2763</v>
      </c>
      <c r="B1070" s="1" t="s">
        <v>3304</v>
      </c>
      <c r="C1070" s="1" t="s">
        <v>3305</v>
      </c>
      <c r="D1070" s="2" t="str">
        <f>IFERROR(__xludf.DUMMYFUNCTION("GOOGLETRANSLATE(B1070, ""en"", ""TL"")"),"Maaari ba akong harapin ang mga kasong sibil mula sa mga kalahok sa mga aktibidad sa ilegal na pagsusugal?")</f>
        <v>Maaari ba akong harapin ang mga kasong sibil mula sa mga kalahok sa mga aktibidad sa ilegal na pagsusugal?</v>
      </c>
      <c r="E1070" s="2" t="str">
        <f>IFERROR(__xludf.DUMMYFUNCTION("GOOGLETRANSLATE(C1070, ""en"", ""TL"")"),"Ang posibilidad ng pagharap sa mga kasong sibil mula sa mga kalahok sa mga aktibidad ng ilegal na pagsusugal sa Pilipinas ay nakasalalay sa partikular na sitwasyon. Narito ang isang breakdown batay sa batas ng Pilipinas:
**Pangkalahatang Panuntunan:** **M"&amp;"alamang** ang mga kalahok sa mga aktibidad ng ilegal na pagsusugal ay maaaring matagumpay na magdemanda sa iyo para sa mga pinsalang sibil sa karamihan ng mga kaso. Narito kung bakit:
* **Ex turpi causa na prinsipyo:** Ang legal na prinsipyong ito ay maha"&amp;"lagang nagsasaad na ""walang dahilan ng pagkilos na nagmumula sa isang ilegal na pagkilos."" Dahil ang pakikilahok sa iligal na pagsusugal ay isang krimen mismo, maaaring mag-alinlangan ang mga korte na magbigay ng anumang mga paghahabol batay sa naturang"&amp;" aktibidad.
* **Mga Hindi Maipapatupad na Kasunduan:** Anumang mga kasunduan o kontrata na nauugnay sa ilegal na pagsusugal ay maaaring ituring na hindi maipapatupad ng mga korte. **Mga Pagbubukod: Maaaring may ilang sitwasyon kung saan maaaring maging po"&amp;"sible ang isang demanda:**
* **Pandaraya o Maling Pagkakatawan:** Kung ikaw, bilang facilitator, ay nasangkot sa mapanlinlang na aktibidad o maling representasyon na nag-udyok sa pakikilahok, maaaring magkaroon ng isang kaso. Halimbawa, kung niloko mo ang"&amp;" laro o maling ipinangako ang mga panalo na hindi natupad.
* **Personal na Pinsala:** Kung ang isang kalahok ay dumanas ng pisikal na pinsala dahil sa iyong kapabayaan o karahasan na nauugnay sa aktibidad ng ilegal na pagsusugal, ang isang kaso ng persona"&amp;"l na pinsala ay maaaring posible.
**Mahahalagang Pagsasaalang-alang:**
* Ang pasanin ng patunay ay nakasalalay sa kalahok upang patunayan ang iyong maling gawain at ang mga resultang pinsala. * Kahit na nagsampa ng kaso, malamang na mababa ang rate ng tag"&amp;"umpay dahil sa mga dahilan na nabanggit kanina.
**Mga Rekomendasyon:**
* **Iwasang Mang-facilitate:** Ang pinakamahusay na paraan upang maiwasan ang anumang mga potensyal na demanda ay ang simpleng hindi pangasiwaan ang mga aktibidad ng ilegal na pagsusug"&amp;"al sa unang lugar.
* **Kumonsulta sa isang Abogado:** Kung nahaharap ka sa isang demanda na may kaugnayan sa ilegal na pagsusugal, ang pagkonsulta sa isang abogado na dalubhasa sa civil litigation ay napakahalaga upang maunawaan ang iyong mga opsyon at po"&amp;"tensyal na depensa.")</f>
        <v>Ang posibilidad ng pagharap sa mga kasong sibil mula sa mga kalahok sa mga aktibidad ng ilegal na pagsusugal sa Pilipinas ay nakasalalay sa partikular na sitwasyon. Narito ang isang breakdown batay sa batas ng Pilipinas:
**Pangkalahatang Panuntunan:** **Malamang** ang mga kalahok sa mga aktibidad ng ilegal na pagsusugal ay maaaring matagumpay na magdemanda sa iyo para sa mga pinsalang sibil sa karamihan ng mga kaso. Narito kung bakit:
* **Ex turpi causa na prinsipyo:** Ang legal na prinsipyong ito ay mahalagang nagsasaad na "walang dahilan ng pagkilos na nagmumula sa isang ilegal na pagkilos." Dahil ang pakikilahok sa iligal na pagsusugal ay isang krimen mismo, maaaring mag-alinlangan ang mga korte na magbigay ng anumang mga paghahabol batay sa naturang aktibidad.
* **Mga Hindi Maipapatupad na Kasunduan:** Anumang mga kasunduan o kontrata na nauugnay sa ilegal na pagsusugal ay maaaring ituring na hindi maipapatupad ng mga korte. **Mga Pagbubukod: Maaaring may ilang sitwasyon kung saan maaaring maging posible ang isang demanda:**
* **Pandaraya o Maling Pagkakatawan:** Kung ikaw, bilang facilitator, ay nasangkot sa mapanlinlang na aktibidad o maling representasyon na nag-udyok sa pakikilahok, maaaring magkaroon ng isang kaso. Halimbawa, kung niloko mo ang laro o maling ipinangako ang mga panalo na hindi natupad.
* **Personal na Pinsala:** Kung ang isang kalahok ay dumanas ng pisikal na pinsala dahil sa iyong kapabayaan o karahasan na nauugnay sa aktibidad ng ilegal na pagsusugal, ang isang kaso ng personal na pinsala ay maaaring posible.
**Mahahalagang Pagsasaalang-alang:**
* Ang pasanin ng patunay ay nakasalalay sa kalahok upang patunayan ang iyong maling gawain at ang mga resultang pinsala. * Kahit na nagsampa ng kaso, malamang na mababa ang rate ng tagumpay dahil sa mga dahilan na nabanggit kanina.
**Mga Rekomendasyon:**
* **Iwasang Mang-facilitate:** Ang pinakamahusay na paraan upang maiwasan ang anumang mga potensyal na demanda ay ang simpleng hindi pangasiwaan ang mga aktibidad ng ilegal na pagsusugal sa unang lugar.
* **Kumonsulta sa isang Abogado:** Kung nahaharap ka sa isang demanda na may kaugnayan sa ilegal na pagsusugal, ang pagkonsulta sa isang abogado na dalubhasa sa civil litigation ay napakahalaga upang maunawaan ang iyong mga opsyon at potensyal na depensa.</v>
      </c>
      <c r="F1070" s="2">
        <f t="shared" si="1"/>
        <v>0</v>
      </c>
      <c r="G1070" s="2"/>
      <c r="H1070" s="2"/>
      <c r="I1070" s="2"/>
      <c r="J1070" s="2"/>
      <c r="K1070" s="2"/>
      <c r="L1070" s="2"/>
      <c r="M1070" s="2"/>
      <c r="N1070" s="2"/>
      <c r="O1070" s="2"/>
      <c r="P1070" s="2"/>
      <c r="Q1070" s="2"/>
      <c r="R1070" s="2"/>
      <c r="S1070" s="2"/>
      <c r="T1070" s="2"/>
      <c r="U1070" s="2"/>
      <c r="V1070" s="2"/>
      <c r="W1070" s="2"/>
      <c r="X1070" s="2"/>
      <c r="Y1070" s="2"/>
      <c r="Z1070" s="2"/>
      <c r="AA1070" s="2"/>
    </row>
    <row r="1071">
      <c r="A1071" s="3" t="s">
        <v>2763</v>
      </c>
      <c r="B1071" s="1" t="s">
        <v>3306</v>
      </c>
      <c r="C1071" s="1" t="s">
        <v>3307</v>
      </c>
      <c r="D1071" s="2" t="str">
        <f>IFERROR(__xludf.DUMMYFUNCTION("GOOGLETRANSLATE(B1071, ""en"", ""TL"")"),"Paano tinutugunan ng batas ang mga kaso kung saan ang ilegal na pagsusugal ay nagsasangkot ng pagtaya sa sports?")</f>
        <v>Paano tinutugunan ng batas ang mga kaso kung saan ang ilegal na pagsusugal ay nagsasangkot ng pagtaya sa sports?</v>
      </c>
      <c r="E1071" s="2" t="str">
        <f>IFERROR(__xludf.DUMMYFUNCTION("GOOGLETRANSLATE(C1071, ""en"", ""TL"")"),"Sa Pilipinas, ang legal na tanawin tungkol sa pagtaya sa sports ay maaaring medyo madilim. Narito ang isang breakdown batay sa mga kasalukuyang batas:
* **Walang Partikular na Batas sa Pagtaya sa Sports:** Hindi tulad ng ilang bansa, ang Pilipinas ay wala"&amp;"ng partikular na batas na tahasang nagbabawal o kumokontrol sa pagtaya sa sports.
* **Tumutok sa Mga Tradisyonal na Aktibidad:** Ang pangunahing batas sa iligal na pagsusugal, RA 9287, ay nagta-target ng mga aktibidad tulad ng jueteng, horse racing bookie"&amp;"s, at katulad na mga larong nakabatay sa numero.
* **Mas malawak na Interpretasyon:** Gayunpaman, ipinagbabawal din ng RA 9287 ang mga aktibidad na ""halos kapareho o kapareho"" sa mga nakalista. Nangangahulugan ito na kung ang iyong operasyon sa pagtaya "&amp;"sa sports ay malapit na kahawig ng mga ilegal na larong ito na nakabatay sa numero, maaari ka pa ring masingil.
**Ang Kasalukuyang Sitwasyon:**
* **Gray Area:** Dahil ang pagtaya sa sports ay hindi tahasang binanggit, ito ay umiiral sa medyo kulay abong l"&amp;"ugar. Ang legalidad ay maaaring depende sa partikular na format at pagpapatakbo ng aktibidad sa pagtaya sa sports.
* **Mas Mahigpit na Regulasyon sa Horizon:** Alam ng gobyerno ng Pilipinas ang lumalaking katanyagan ng pagtaya sa sports at maaaring magpas"&amp;"imula ng mga partikular na regulasyon sa hinaharap. **Ano ang Dapat Isaalang-alang:**
* **Mataas na Panganib:** Ang pagsali sa mga ilegal na operasyon sa pagtaya sa sports ay may malaking panganib na mahuli at maharap sa mga parusa sa ilalim ng RA 9287 o "&amp;"iba pang mga batas sa pagsusugal.
* **Mga Alternatibong Opsyon:** Isaalang-alang ang mga lisensyadong PAGCOR online platform na nag-aalok ng ilang uri ng pagtaya sa sports sa isang regulated na kapaligiran.
**Mga Rekomendasyon:**
* **Iwasan ang Panganib:*"&amp;"* Kung hindi ka sigurado tungkol sa legalidad ng iyong aktibidad sa pagtaya sa sports, pinakamahusay na iwasan ito nang buo.
* **Kumonsulta sa isang Abogado:** Kung isinasaalang-alang mo ang pag-aalok ng pagtaya sa sports, ang pagkonsulta sa isang abogado"&amp;" na dalubhasa sa batas sa pagsusugal ay napakahalaga upang maunawaan ang mga potensyal na panganib at mag-navigate sa legal na lugar na kulay abo.")</f>
        <v>Sa Pilipinas, ang legal na tanawin tungkol sa pagtaya sa sports ay maaaring medyo madilim. Narito ang isang breakdown batay sa mga kasalukuyang batas:
* **Walang Partikular na Batas sa Pagtaya sa Sports:** Hindi tulad ng ilang bansa, ang Pilipinas ay walang partikular na batas na tahasang nagbabawal o kumokontrol sa pagtaya sa sports.
* **Tumutok sa Mga Tradisyonal na Aktibidad:** Ang pangunahing batas sa iligal na pagsusugal, RA 9287, ay nagta-target ng mga aktibidad tulad ng jueteng, horse racing bookies, at katulad na mga larong nakabatay sa numero.
* **Mas malawak na Interpretasyon:** Gayunpaman, ipinagbabawal din ng RA 9287 ang mga aktibidad na "halos kapareho o kapareho" sa mga nakalista. Nangangahulugan ito na kung ang iyong operasyon sa pagtaya sa sports ay malapit na kahawig ng mga ilegal na larong ito na nakabatay sa numero, maaari ka pa ring masingil.
**Ang Kasalukuyang Sitwasyon:**
* **Gray Area:** Dahil ang pagtaya sa sports ay hindi tahasang binanggit, ito ay umiiral sa medyo kulay abong lugar. Ang legalidad ay maaaring depende sa partikular na format at pagpapatakbo ng aktibidad sa pagtaya sa sports.
* **Mas Mahigpit na Regulasyon sa Horizon:** Alam ng gobyerno ng Pilipinas ang lumalaking katanyagan ng pagtaya sa sports at maaaring magpasimula ng mga partikular na regulasyon sa hinaharap. **Ano ang Dapat Isaalang-alang:**
* **Mataas na Panganib:** Ang pagsali sa mga ilegal na operasyon sa pagtaya sa sports ay may malaking panganib na mahuli at maharap sa mga parusa sa ilalim ng RA 9287 o iba pang mga batas sa pagsusugal.
* **Mga Alternatibong Opsyon:** Isaalang-alang ang mga lisensyadong PAGCOR online platform na nag-aalok ng ilang uri ng pagtaya sa sports sa isang regulated na kapaligiran.
**Mga Rekomendasyon:**
* **Iwasan ang Panganib:** Kung hindi ka sigurado tungkol sa legalidad ng iyong aktibidad sa pagtaya sa sports, pinakamahusay na iwasan ito nang buo.
* **Kumonsulta sa isang Abogado:** Kung isinasaalang-alang mo ang pag-aalok ng pagtaya sa sports, ang pagkonsulta sa isang abogado na dalubhasa sa batas sa pagsusugal ay napakahalaga upang maunawaan ang mga potensyal na panganib at mag-navigate sa legal na lugar na kulay abo.</v>
      </c>
      <c r="F1071" s="2">
        <f t="shared" si="1"/>
        <v>0</v>
      </c>
      <c r="G1071" s="2"/>
      <c r="H1071" s="2"/>
      <c r="I1071" s="2"/>
      <c r="J1071" s="2"/>
      <c r="K1071" s="2"/>
      <c r="L1071" s="2"/>
      <c r="M1071" s="2"/>
      <c r="N1071" s="2"/>
      <c r="O1071" s="2"/>
      <c r="P1071" s="2"/>
      <c r="Q1071" s="2"/>
      <c r="R1071" s="2"/>
      <c r="S1071" s="2"/>
      <c r="T1071" s="2"/>
      <c r="U1071" s="2"/>
      <c r="V1071" s="2"/>
      <c r="W1071" s="2"/>
      <c r="X1071" s="2"/>
      <c r="Y1071" s="2"/>
      <c r="Z1071" s="2"/>
      <c r="AA1071" s="2"/>
    </row>
    <row r="1072">
      <c r="A1072" s="3" t="s">
        <v>2763</v>
      </c>
      <c r="B1072" s="1" t="s">
        <v>3308</v>
      </c>
      <c r="C1072" s="1" t="s">
        <v>3309</v>
      </c>
      <c r="D1072" s="2" t="str">
        <f>IFERROR(__xludf.DUMMYFUNCTION("GOOGLETRANSLATE(B1072, ""en"", ""TL"")"),"Maaari ba akong makasuhan ng ilegal na pagsusugal kung ang aktibidad ay nagaganap sa isang pribadong club o organisasyon?")</f>
        <v>Maaari ba akong makasuhan ng ilegal na pagsusugal kung ang aktibidad ay nagaganap sa isang pribadong club o organisasyon?</v>
      </c>
      <c r="E1072" s="2" t="str">
        <f>IFERROR(__xludf.DUMMYFUNCTION("GOOGLETRANSLATE(C1072, ""en"", ""TL"")"),"Ang lokasyon ng aktibidad ng pagsusugal, ito man ay isang pribadong club o organisasyon, **ay hindi awtomatikong pinoprotektahan ka mula sa pagsingil ng ilegal na pagsusugal sa Pilipinas**. Narito kung bakit:
* **Tumutok sa Aktibidad:** Ang batas ng Pilip"&amp;"inas, partikular ang RA 9287, ay nakatuon sa likas na katangian ng mismong aktibidad ng pagsusugal, hindi sa lokasyon. Kung ang aktibidad ay nasa ilalim ng kahulugan ng ilegal na pagsusugal, magiging pangalawa ang lugar.
* **Mga Halimbawa ng Ilegal na Akt"&amp;"ibidad:** Kahit sa loob ng pribadong club, ang mga aktibidad tulad ng:
* Pagpapatakbo ng jueteng o katulad na mga larong nakabatay sa numero
* Pagpapadali sa pagtaya sa sabong o karera ng kabayo (nang walang tamang awtorisasyon)
* Operating casino-style g"&amp;"ames (walang lisensya ng PAGCOR)
* Paggamit ng mga cryptocurrencies para sa mga aktibidad ng ilegal na pagsusugal (depende sa mga detalye)
lahat ay maaaring humantong sa mga kaso sa ilalim ng RA 9287.
**Gayunpaman, may ilang mga nuances na dapat isaalang-"&amp;"alang:**
* **Pribado kumpara sa Publiko:** Maaaring mas maluwag ang batas sa mga aktibidad sa panlipunang pagsusugal sa mga kaibigan o miyembro ng club na may kaunting stake, kumpara sa malakihan, organisadong operasyon.
* **Pagiging Eksklusibo ng Club:**"&amp;" Kung ang club ay tunay na pribado at eksklusibo, na may mahigpit na mga kinakailangan sa pagiging miyembro at walang bukas na access sa publiko, maaaring mas mahirap para sa mga awtoridad na patunayan na ang aktibidad ay naa-access ng sinumang higit sa m"&amp;"ga miyembro.
**Mahalagang Tandaan:**
* Ito ay isang kumplikadong lugar, at ang mga partikular na detalye ng aktibidad at ang operasyon ng club ay tutukuyin ang legal na panganib.
* Kahit na sa mga pribadong club, palaging may pagkakataong mahuli, lalo na "&amp;"kung ang aktibidad ay nagsasangkot ng malaking halaga o nakakaakit ng hindi gustong atensyon.
**Mga Rekomendasyon:**
* **Iwasan ang Mga Ilegal na Aktibidad:** Ang pinakaligtas na paraan ay ang pag-iwas sa anumang aktibidad sa pagsusugal na maaaring iturin"&amp;"g na ilegal sa ilalim ng RA 9287, anuman ang lokasyon.
* **Kumonsulta sa Abogado:** Kung hindi ka sigurado tungkol sa legalidad ng isang aktibidad sa pagsusugal sa loob ng isang pribadong club, ang pagkonsulta sa isang abogado na dalubhasa sa batas sa pag"&amp;"susugal ay lubos na inirerekomenda.")</f>
        <v>Ang lokasyon ng aktibidad ng pagsusugal, ito man ay isang pribadong club o organisasyon, **ay hindi awtomatikong pinoprotektahan ka mula sa pagsingil ng ilegal na pagsusugal sa Pilipinas**. Narito kung bakit:
* **Tumutok sa Aktibidad:** Ang batas ng Pilipinas, partikular ang RA 9287, ay nakatuon sa likas na katangian ng mismong aktibidad ng pagsusugal, hindi sa lokasyon. Kung ang aktibidad ay nasa ilalim ng kahulugan ng ilegal na pagsusugal, magiging pangalawa ang lugar.
* **Mga Halimbawa ng Ilegal na Aktibidad:** Kahit sa loob ng pribadong club, ang mga aktibidad tulad ng:
* Pagpapatakbo ng jueteng o katulad na mga larong nakabatay sa numero
* Pagpapadali sa pagtaya sa sabong o karera ng kabayo (nang walang tamang awtorisasyon)
* Operating casino-style games (walang lisensya ng PAGCOR)
* Paggamit ng mga cryptocurrencies para sa mga aktibidad ng ilegal na pagsusugal (depende sa mga detalye)
lahat ay maaaring humantong sa mga kaso sa ilalim ng RA 9287.
**Gayunpaman, may ilang mga nuances na dapat isaalang-alang:**
* **Pribado kumpara sa Publiko:** Maaaring mas maluwag ang batas sa mga aktibidad sa panlipunang pagsusugal sa mga kaibigan o miyembro ng club na may kaunting stake, kumpara sa malakihan, organisadong operasyon.
* **Pagiging Eksklusibo ng Club:** Kung ang club ay tunay na pribado at eksklusibo, na may mahigpit na mga kinakailangan sa pagiging miyembro at walang bukas na access sa publiko, maaaring mas mahirap para sa mga awtoridad na patunayan na ang aktibidad ay naa-access ng sinumang higit sa mga miyembro.
**Mahalagang Tandaan:**
* Ito ay isang kumplikadong lugar, at ang mga partikular na detalye ng aktibidad at ang operasyon ng club ay tutukuyin ang legal na panganib.
* Kahit na sa mga pribadong club, palaging may pagkakataong mahuli, lalo na kung ang aktibidad ay nagsasangkot ng malaking halaga o nakakaakit ng hindi gustong atensyon.
**Mga Rekomendasyon:**
* **Iwasan ang Mga Ilegal na Aktibidad:** Ang pinakaligtas na paraan ay ang pag-iwas sa anumang aktibidad sa pagsusugal na maaaring ituring na ilegal sa ilalim ng RA 9287, anuman ang lokasyon.
* **Kumonsulta sa Abogado:** Kung hindi ka sigurado tungkol sa legalidad ng isang aktibidad sa pagsusugal sa loob ng isang pribadong club, ang pagkonsulta sa isang abogado na dalubhasa sa batas sa pagsusugal ay lubos na inirerekomenda.</v>
      </c>
      <c r="F1072" s="2">
        <f t="shared" si="1"/>
        <v>0</v>
      </c>
      <c r="G1072" s="2"/>
      <c r="H1072" s="2"/>
      <c r="I1072" s="2"/>
      <c r="J1072" s="2"/>
      <c r="K1072" s="2"/>
      <c r="L1072" s="2"/>
      <c r="M1072" s="2"/>
      <c r="N1072" s="2"/>
      <c r="O1072" s="2"/>
      <c r="P1072" s="2"/>
      <c r="Q1072" s="2"/>
      <c r="R1072" s="2"/>
      <c r="S1072" s="2"/>
      <c r="T1072" s="2"/>
      <c r="U1072" s="2"/>
      <c r="V1072" s="2"/>
      <c r="W1072" s="2"/>
      <c r="X1072" s="2"/>
      <c r="Y1072" s="2"/>
      <c r="Z1072" s="2"/>
      <c r="AA1072" s="2"/>
    </row>
    <row r="1073">
      <c r="A1073" s="3" t="s">
        <v>2763</v>
      </c>
      <c r="B1073" s="1" t="s">
        <v>3310</v>
      </c>
      <c r="C1073" s="1" t="s">
        <v>3311</v>
      </c>
      <c r="D1073" s="2" t="str">
        <f>IFERROR(__xludf.DUMMYFUNCTION("GOOGLETRANSLATE(B1073, ""en"", ""TL"")"),"Paano pinangangasiwaan ng batas ang mga kaso kung saan ang mga aktibidad ng ilegal na pagsusugal ay nagpapanggap bilang mga lehitimong negosyo?")</f>
        <v>Paano pinangangasiwaan ng batas ang mga kaso kung saan ang mga aktibidad ng ilegal na pagsusugal ay nagpapanggap bilang mga lehitimong negosyo?</v>
      </c>
      <c r="E1073" s="2" t="str">
        <f>IFERROR(__xludf.DUMMYFUNCTION("GOOGLETRANSLATE(C1073, ""en"", ""TL"")"),"Matibay ang paninindigan ng batas ng Pilipinas laban sa mga aktibidad ng ilegal na pagsusugal na itinago bilang mga lehitimong negosyo. Narito kung paano pinangangasiwaan ng batas ang mga ganitong kaso:
* **Mga parusa sa ilalim ng RA 9287:** Ang pangunahi"&amp;"ng batas sa iligal na pagsusugal, ang Republic Act No. 9287 (RA 9287), ay nalalapat kahit na ang aktibidad ay nakakubli bilang isang lehitimong negosyo. Ang batas ay nagpaparusa hindi lamang sa mismong pagsusugal kundi pati na rin sa mga **nagpapadali** n"&amp;"ito. Nangangahulugan ito na maaaring singilin ang mga may-ari, operator, at sinumang sadyang sangkot sa pagpapatakbo ng disguised na negosyo.
* **Piercing the Corporate Veil:** Ang legal na konsepto ng ""piercing the corporate veil"" ay nagbibigay-daan sa"&amp;" mga awtoridad na tumingin sa kabila ng harapan ng isang tila lehitimong negosyo. Kung ang ebidensya ay nagpapatunay na ang negosyo ay umiiral lamang upang magsagawa ng iligal na pagsusugal, maaaring panagutin ng batas ang mga indibidwal sa likod nito na "&amp;"personal na mananagot, anuman ang anumang mga proteksyon ng korporasyon.
* **Mga Singil sa Money Laundering:** Ang pagtatago ng mga nalikom sa ilegal na pagsusugal bilang lehitimong kita ng negosyo ay maaari ding humantong sa mga singil sa money launderin"&amp;"g. Ang Anti-Money Laundering Act (AMLA) of the Philippines (Republic Act No. 10365) ay nagsasakriminal sa mga gawa ng pagbabago ng ill-gotten gains sa tila mga lehitimong pondo. **Mga Halimbawa ng Paano Nahuhuli ng Pagpapatupad ng Batas ang Mga Nakatagong"&amp;" Negosyo:**
* **Mga Undercover na Operasyon:** Maaaring gumamit ang mga awtoridad ng mga undercover na ahente upang makalusot at mangalap ng ebidensya ng mga aktibidad sa ilegal na pagsusugal sa loob ng disguised na negosyo.
* **Mga Transaksyon sa Pinansy"&amp;"al:** Ang pagsubaybay sa mga transaksyon sa pananalapi at pagtukoy ng mga hindi pagkakapare-pareho sa pagitan ng dapat na aktibidad ng negosyo at ang daloy ng pera ay maaaring magtaas ng mga pulang bandila.
* **Mga Reklamo at Impormante:** Ang impormasyon"&amp;" mula sa mga concerned citizen o whistleblower ay maaaring maging mahalaga sa pag-alis ng takip na mga operasyon ng ilegal na pagsusugal.
**Mga Rekomendasyon:**
* **Huwag Malinlang:** Kung ang isang pagkakataon sa negosyo ay tila nag-aalok ng madaling per"&amp;"a sa pamamagitan ng mga aktibidad sa pagsusugal, mag-ingat. Ito ay malamang na isang front para sa iligal na pagsusugal at nagdadala ng malalaking legal na panganib.
* **Mag-ulat ng Kahina-hinalang Aktibidad:** Kung pinaghihinalaan mo ang isang negosyo ay"&amp;" maaaring maging front para sa ilegal na pagsusugal, iulat ito sa mga tamang awtoridad.
* **Humingi ng Legal na Payo:** Kung hindi ka sigurado tungkol sa legalidad ng isang modelo ng negosyo na kinasasangkutan ng pagsusugal, kumunsulta sa isang abogado na"&amp;" dalubhasa sa batas sa pagsusugal upang maunawaan ang mga potensyal na panganib at matiyak ang pagsunod sa batas.")</f>
        <v>Matibay ang paninindigan ng batas ng Pilipinas laban sa mga aktibidad ng ilegal na pagsusugal na itinago bilang mga lehitimong negosyo. Narito kung paano pinangangasiwaan ng batas ang mga ganitong kaso:
* **Mga parusa sa ilalim ng RA 9287:** Ang pangunahing batas sa iligal na pagsusugal, ang Republic Act No. 9287 (RA 9287), ay nalalapat kahit na ang aktibidad ay nakakubli bilang isang lehitimong negosyo. Ang batas ay nagpaparusa hindi lamang sa mismong pagsusugal kundi pati na rin sa mga **nagpapadali** nito. Nangangahulugan ito na maaaring singilin ang mga may-ari, operator, at sinumang sadyang sangkot sa pagpapatakbo ng disguised na negosyo.
* **Piercing the Corporate Veil:** Ang legal na konsepto ng "piercing the corporate veil" ay nagbibigay-daan sa mga awtoridad na tumingin sa kabila ng harapan ng isang tila lehitimong negosyo. Kung ang ebidensya ay nagpapatunay na ang negosyo ay umiiral lamang upang magsagawa ng iligal na pagsusugal, maaaring panagutin ng batas ang mga indibidwal sa likod nito na personal na mananagot, anuman ang anumang mga proteksyon ng korporasyon.
* **Mga Singil sa Money Laundering:** Ang pagtatago ng mga nalikom sa ilegal na pagsusugal bilang lehitimong kita ng negosyo ay maaari ding humantong sa mga singil sa money laundering. Ang Anti-Money Laundering Act (AMLA) of the Philippines (Republic Act No. 10365) ay nagsasakriminal sa mga gawa ng pagbabago ng ill-gotten gains sa tila mga lehitimong pondo. **Mga Halimbawa ng Paano Nahuhuli ng Pagpapatupad ng Batas ang Mga Nakatagong Negosyo:**
* **Mga Undercover na Operasyon:** Maaaring gumamit ang mga awtoridad ng mga undercover na ahente upang makalusot at mangalap ng ebidensya ng mga aktibidad sa ilegal na pagsusugal sa loob ng disguised na negosyo.
* **Mga Transaksyon sa Pinansyal:** Ang pagsubaybay sa mga transaksyon sa pananalapi at pagtukoy ng mga hindi pagkakapare-pareho sa pagitan ng dapat na aktibidad ng negosyo at ang daloy ng pera ay maaaring magtaas ng mga pulang bandila.
* **Mga Reklamo at Impormante:** Ang impormasyon mula sa mga concerned citizen o whistleblower ay maaaring maging mahalaga sa pag-alis ng takip na mga operasyon ng ilegal na pagsusugal.
**Mga Rekomendasyon:**
* **Huwag Malinlang:** Kung ang isang pagkakataon sa negosyo ay tila nag-aalok ng madaling pera sa pamamagitan ng mga aktibidad sa pagsusugal, mag-ingat. Ito ay malamang na isang front para sa iligal na pagsusugal at nagdadala ng malalaking legal na panganib.
* **Mag-ulat ng Kahina-hinalang Aktibidad:** Kung pinaghihinalaan mo ang isang negosyo ay maaaring maging front para sa ilegal na pagsusugal, iulat ito sa mga tamang awtoridad.
* **Humingi ng Legal na Payo:** Kung hindi ka sigurado tungkol sa legalidad ng isang modelo ng negosyo na kinasasangkutan ng pagsusugal, kumunsulta sa isang abogado na dalubhasa sa batas sa pagsusugal upang maunawaan ang mga potensyal na panganib at matiyak ang pagsunod sa batas.</v>
      </c>
      <c r="F1073" s="2">
        <f t="shared" si="1"/>
        <v>0</v>
      </c>
      <c r="G1073" s="2"/>
      <c r="H1073" s="2"/>
      <c r="I1073" s="2"/>
      <c r="J1073" s="2"/>
      <c r="K1073" s="2"/>
      <c r="L1073" s="2"/>
      <c r="M1073" s="2"/>
      <c r="N1073" s="2"/>
      <c r="O1073" s="2"/>
      <c r="P1073" s="2"/>
      <c r="Q1073" s="2"/>
      <c r="R1073" s="2"/>
      <c r="S1073" s="2"/>
      <c r="T1073" s="2"/>
      <c r="U1073" s="2"/>
      <c r="V1073" s="2"/>
      <c r="W1073" s="2"/>
      <c r="X1073" s="2"/>
      <c r="Y1073" s="2"/>
      <c r="Z1073" s="2"/>
      <c r="AA1073" s="2"/>
    </row>
    <row r="1074">
      <c r="A1074" s="3" t="s">
        <v>2763</v>
      </c>
      <c r="B1074" s="1" t="s">
        <v>3312</v>
      </c>
      <c r="C1074" s="1" t="s">
        <v>3313</v>
      </c>
      <c r="D1074" s="2" t="str">
        <f>IFERROR(__xludf.DUMMYFUNCTION("GOOGLETRANSLATE(B1074, ""en"", ""TL"")"),"Maaari ba akong makasuhan ng ilegal na pagsusugal kung ang aktibidad ay nagsasangkot ng panlipunang pagsusugal sa mga kaibigan?")</f>
        <v>Maaari ba akong makasuhan ng ilegal na pagsusugal kung ang aktibidad ay nagsasangkot ng panlipunang pagsusugal sa mga kaibigan?</v>
      </c>
      <c r="E1074" s="2" t="str">
        <f>IFERROR(__xludf.DUMMYFUNCTION("GOOGLETRANSLATE(C1074, ""en"", ""TL"")"),"Ang sagot tungkol sa panlipunang pagsusugal sa mga magkakaibigan sa Pilipinas ay medyo hindi gaanong malinaw kumpara sa ibang mga senaryo ng pagsusugal. Narito ang alam natin batay sa batas ng Pilipinas:
* **Ang RA 9287 ay Nakatuon sa Mga Organisadong Akt"&amp;"ibidad:** Ang pangunahing batas sa iligal na pagsusugal, ang Republic Act No. 9287 (RA 9287), ay nagta-target ng mga organisadong operasyon at aktibidad sa pagsusugal na ""halos magkapareho o magkapareho"" sa mga nakalista (jueteng, atbp.) . * **Maaaring "&amp;"Isang Pagbubukod ang Social na Pagsusugal:** Mayroong pangkalahatang pag-unawa na ang panlipunang pagsusugal sa mga kaibigan na may kaunting pusta ay maaaring ituring na isang pagbubukod, na umiiral sa labas ng saklaw ng RA 9287. Gayunpaman, may ilang mga"&amp;" kawalan ng katiyakan at **ito ay hindi isang tiyak na legal na kulay abong lugar**:
* **Kakulangan ng Malinaw na Kahulugan:** Ang batas ay hindi nagbibigay ng malinaw na kahulugan ng ""social na pagsusugal"" o partikular na pamantayan upang maiiba ito sa"&amp;" ilegal na pagsusugal.
* **Mga Salik na Dapat Isaalang-alang:** Habang ang mga stake na kasangkot ay isang makabuluhang salik, iba pang mga elemento tulad ng:
* Dalas ng aktibidad
* Kung mayroong isang kalamangan sa bahay (isang taong kumikita mula sa pag"&amp;"-aayos ng laro)
* Kung ang mga laro ay lumampas sa mapagkaibigang kompetisyon at naging seryosong pinagmumulan ng kita para sa ilang mga kalahok
lahat ay maaaring makaimpluwensya kung paano maaaring tingnan ng mga awtoridad ang aktibidad.
**Narito kung pa"&amp;"ano bawasan ang panganib:**
* **Panatilihin itong Casual:** Panatilihin ang isang tunay na sosyal na kapaligiran na may kaunting mga stake at tumuon sa nakakatuwang aspeto, hindi kumikita.
* **Iwasan ang Mga Pampublikong Lugar:** Isagawa ang aktibidad sa "&amp;"isang pribadong setting upang mabawasan ang pag-akit ng hindi gustong atensyon. * **Huwag Gawin itong Ugali:** Ang paminsan-minsang panlipunang pagsusugal ay mas malamang na magtaas ng mga pulang bandila kumpara sa isang madalas na pangyayari.
**Mahalagan"&amp;"g Disclaimer:**
Ang impormasyong ito ay hindi dapat kunin bilang legal na payo. Ang legalidad ng panlipunang pagsusugal ay maaaring depende sa mga partikular na pangyayari. Para sa isang tiyak na sagot, kumunsulta sa isang abogado na dalubhasa sa batas ng"&amp;" pagsusugal sa Pilipinas. Maa-assess nila ang iyong partikular na sitwasyon at makakapagbigay sila ng mas angkop na gabay.")</f>
        <v>Ang sagot tungkol sa panlipunang pagsusugal sa mga magkakaibigan sa Pilipinas ay medyo hindi gaanong malinaw kumpara sa ibang mga senaryo ng pagsusugal. Narito ang alam natin batay sa batas ng Pilipinas:
* **Ang RA 9287 ay Nakatuon sa Mga Organisadong Aktibidad:** Ang pangunahing batas sa iligal na pagsusugal, ang Republic Act No. 9287 (RA 9287), ay nagta-target ng mga organisadong operasyon at aktibidad sa pagsusugal na "halos magkapareho o magkapareho" sa mga nakalista (jueteng, atbp.) . * **Maaaring Isang Pagbubukod ang Social na Pagsusugal:** Mayroong pangkalahatang pag-unawa na ang panlipunang pagsusugal sa mga kaibigan na may kaunting pusta ay maaaring ituring na isang pagbubukod, na umiiral sa labas ng saklaw ng RA 9287. Gayunpaman, may ilang mga kawalan ng katiyakan at **ito ay hindi isang tiyak na legal na kulay abong lugar**:
* **Kakulangan ng Malinaw na Kahulugan:** Ang batas ay hindi nagbibigay ng malinaw na kahulugan ng "social na pagsusugal" o partikular na pamantayan upang maiiba ito sa ilegal na pagsusugal.
* **Mga Salik na Dapat Isaalang-alang:** Habang ang mga stake na kasangkot ay isang makabuluhang salik, iba pang mga elemento tulad ng:
* Dalas ng aktibidad
* Kung mayroong isang kalamangan sa bahay (isang taong kumikita mula sa pag-aayos ng laro)
* Kung ang mga laro ay lumampas sa mapagkaibigang kompetisyon at naging seryosong pinagmumulan ng kita para sa ilang mga kalahok
lahat ay maaaring makaimpluwensya kung paano maaaring tingnan ng mga awtoridad ang aktibidad.
**Narito kung paano bawasan ang panganib:**
* **Panatilihin itong Casual:** Panatilihin ang isang tunay na sosyal na kapaligiran na may kaunting mga stake at tumuon sa nakakatuwang aspeto, hindi kumikita.
* **Iwasan ang Mga Pampublikong Lugar:** Isagawa ang aktibidad sa isang pribadong setting upang mabawasan ang pag-akit ng hindi gustong atensyon. * **Huwag Gawin itong Ugali:** Ang paminsan-minsang panlipunang pagsusugal ay mas malamang na magtaas ng mga pulang bandila kumpara sa isang madalas na pangyayari.
**Mahalagang Disclaimer:**
Ang impormasyong ito ay hindi dapat kunin bilang legal na payo. Ang legalidad ng panlipunang pagsusugal ay maaaring depende sa mga partikular na pangyayari. Para sa isang tiyak na sagot, kumunsulta sa isang abogado na dalubhasa sa batas ng pagsusugal sa Pilipinas. Maa-assess nila ang iyong partikular na sitwasyon at makakapagbigay sila ng mas angkop na gabay.</v>
      </c>
      <c r="F1074" s="2">
        <f t="shared" si="1"/>
        <v>0</v>
      </c>
      <c r="G1074" s="2"/>
      <c r="H1074" s="2"/>
      <c r="I1074" s="2"/>
      <c r="J1074" s="2"/>
      <c r="K1074" s="2"/>
      <c r="L1074" s="2"/>
      <c r="M1074" s="2"/>
      <c r="N1074" s="2"/>
      <c r="O1074" s="2"/>
      <c r="P1074" s="2"/>
      <c r="Q1074" s="2"/>
      <c r="R1074" s="2"/>
      <c r="S1074" s="2"/>
      <c r="T1074" s="2"/>
      <c r="U1074" s="2"/>
      <c r="V1074" s="2"/>
      <c r="W1074" s="2"/>
      <c r="X1074" s="2"/>
      <c r="Y1074" s="2"/>
      <c r="Z1074" s="2"/>
      <c r="AA1074" s="2"/>
    </row>
    <row r="1075">
      <c r="A1075" s="3" t="s">
        <v>2763</v>
      </c>
      <c r="B1075" s="1" t="s">
        <v>3314</v>
      </c>
      <c r="C1075" s="1" t="s">
        <v>3315</v>
      </c>
      <c r="D1075" s="2" t="str">
        <f>IFERROR(__xludf.DUMMYFUNCTION("GOOGLETRANSLATE(B1075, ""en"", ""TL"")"),"Paano tinutugunan ng batas ang mga kaso kung saan ang mga aktibidad ng ilegal na pagsusugal ay isinasagawa sa mga internasyonal na tubig o sa mga internasyonal na teritoryo?")</f>
        <v>Paano tinutugunan ng batas ang mga kaso kung saan ang mga aktibidad ng ilegal na pagsusugal ay isinasagawa sa mga internasyonal na tubig o sa mga internasyonal na teritoryo?</v>
      </c>
      <c r="E1075" s="2" t="str">
        <f>IFERROR(__xludf.DUMMYFUNCTION("GOOGLETRANSLATE(C1075, ""en"", ""TL"")"),"Ang batas ng Pilipinas ay may limitadong abot pagdating sa mga aktibidad sa ilegal na pagsusugal na isinasagawa sa labas ng teritoryo nito. Narito ang isang breakdown:
* **Mga Limitasyon sa Hurisdiksiyon:** Pangunahing nalalapat ang batas ng Pilipinas sa "&amp;"mga aktibidad na nangyayari sa loob ng teritoryo ng Pilipinas, kabilang ang mga teritoryal na katubigan nito (karaniwang umaabot ng 12 nautical miles mula sa baybayin).
* **International Law:** Walang pangkalahatang kinikilalang internasyonal na batas na "&amp;"partikular na tumutugon sa ilegal na pagsusugal. Gayunpaman, ang ilang mga internasyonal na kasunduan ay maaaring umiiral sa pagitan ng Pilipinas at iba pang mga bansa tungkol sa pakikipagtulungan sa mga usaping kriminal. **So, ano ang mangyayari sa mga k"&amp;"asong ito?**
* **Depende sa Lokasyon:** Kung ang aktibidad ng ilegal na pagsusugal ay nangyari sa isang barko na nakarehistro sa ibang bansa o sa mga internasyonal na tubig, ang mga batas ng estado ng bandila (bansa kung saan nakarehistro ang barko) o mga"&amp;" internasyonal na kasunduan ay maaaring gumanap.
* **Mga Hamon sa Pagpapatupad:** Kahit na pinaghihinalaan ng mga awtoridad ng Pilipinas ang ilegal na pagsusugal sa isang banyagang barko o sa mga internasyonal na karagatan, ang pagsisiyasat at pag-uusig s"&amp;"a pagkakasala ay maaaring maging napakahirap dahil sa mga limitasyon sa hurisdiksyon at ang pangangailangan para sa internasyonal na kooperasyon.
**Paano ang pagsusugal sa mga internasyonal na teritoryo?**
* **Katulad ng International Waters:** Nalalapat "&amp;"ang parehong prinsipyo. Ang mga batas ng teritoryo kung saan nagaganap ang pagsusugal ay magkakaroon ng hurisdiksyon. Maaaring may mga partikular na regulasyon sa ilang internasyonal na teritoryo tungkol sa mga aktibidad sa pagsusugal.
**Mahalagang Tandaa"&amp;"n:**
* **Ang Batas ng Pilipinas ay Hindi Nalalapat:** Ang pagsali sa mga aktibidad ng ilegal na pagsusugal sa ilalim ng batas ng Pilipinas (tulad ng RA 9287) ay hindi magsasanggalang sa iyo mula sa mga legal na kahihinatnan kung mahuhuling ginagawa mo ito"&amp;" sa labas ng teritoryo ng Pilipinas.
* **Risk of Foreign Laws:** Maaari ka pa ring maaresto at prosekusyon sa ilalim ng mga batas ng bansa kung saan nangyayari ang ilegal na aktibidad ng pagsusugal. Maaaring mas matindi pa ang mga parusa kaysa sa Pilipina"&amp;"s.
**Mga Rekomendasyon:**
* **Iwasan ang Panganib:** Ang pinakaligtas na paraan ay ang pag-iwas lamang sa ganap na paglahok sa mga aktibidad ng ilegal na pagsusugal, anuman ang lokasyon. * **Alamin ang Mga Batas:** Kung isinasaalang-alang mo ang pagsusuga"&amp;"l sa ibang bansa o teritoryo, saliksikin ang kanilang mga partikular na batas at regulasyon tungkol sa pagsusugal upang maiwasan ang anumang legal na problema.")</f>
        <v>Ang batas ng Pilipinas ay may limitadong abot pagdating sa mga aktibidad sa ilegal na pagsusugal na isinasagawa sa labas ng teritoryo nito. Narito ang isang breakdown:
* **Mga Limitasyon sa Hurisdiksiyon:** Pangunahing nalalapat ang batas ng Pilipinas sa mga aktibidad na nangyayari sa loob ng teritoryo ng Pilipinas, kabilang ang mga teritoryal na katubigan nito (karaniwang umaabot ng 12 nautical miles mula sa baybayin).
* **International Law:** Walang pangkalahatang kinikilalang internasyonal na batas na partikular na tumutugon sa ilegal na pagsusugal. Gayunpaman, ang ilang mga internasyonal na kasunduan ay maaaring umiiral sa pagitan ng Pilipinas at iba pang mga bansa tungkol sa pakikipagtulungan sa mga usaping kriminal. **So, ano ang mangyayari sa mga kasong ito?**
* **Depende sa Lokasyon:** Kung ang aktibidad ng ilegal na pagsusugal ay nangyari sa isang barko na nakarehistro sa ibang bansa o sa mga internasyonal na tubig, ang mga batas ng estado ng bandila (bansa kung saan nakarehistro ang barko) o mga internasyonal na kasunduan ay maaaring gumanap.
* **Mga Hamon sa Pagpapatupad:** Kahit na pinaghihinalaan ng mga awtoridad ng Pilipinas ang ilegal na pagsusugal sa isang banyagang barko o sa mga internasyonal na karagatan, ang pagsisiyasat at pag-uusig sa pagkakasala ay maaaring maging napakahirap dahil sa mga limitasyon sa hurisdiksyon at ang pangangailangan para sa internasyonal na kooperasyon.
**Paano ang pagsusugal sa mga internasyonal na teritoryo?**
* **Katulad ng International Waters:** Nalalapat ang parehong prinsipyo. Ang mga batas ng teritoryo kung saan nagaganap ang pagsusugal ay magkakaroon ng hurisdiksyon. Maaaring may mga partikular na regulasyon sa ilang internasyonal na teritoryo tungkol sa mga aktibidad sa pagsusugal.
**Mahalagang Tandaan:**
* **Ang Batas ng Pilipinas ay Hindi Nalalapat:** Ang pagsali sa mga aktibidad ng ilegal na pagsusugal sa ilalim ng batas ng Pilipinas (tulad ng RA 9287) ay hindi magsasanggalang sa iyo mula sa mga legal na kahihinatnan kung mahuhuling ginagawa mo ito sa labas ng teritoryo ng Pilipinas.
* **Risk of Foreign Laws:** Maaari ka pa ring maaresto at prosekusyon sa ilalim ng mga batas ng bansa kung saan nangyayari ang ilegal na aktibidad ng pagsusugal. Maaaring mas matindi pa ang mga parusa kaysa sa Pilipinas.
**Mga Rekomendasyon:**
* **Iwasan ang Panganib:** Ang pinakaligtas na paraan ay ang pag-iwas lamang sa ganap na paglahok sa mga aktibidad ng ilegal na pagsusugal, anuman ang lokasyon. * **Alamin ang Mga Batas:** Kung isinasaalang-alang mo ang pagsusugal sa ibang bansa o teritoryo, saliksikin ang kanilang mga partikular na batas at regulasyon tungkol sa pagsusugal upang maiwasan ang anumang legal na problema.</v>
      </c>
      <c r="F1075" s="2">
        <f t="shared" si="1"/>
        <v>0</v>
      </c>
      <c r="G1075" s="2"/>
      <c r="H1075" s="2"/>
      <c r="I1075" s="2"/>
      <c r="J1075" s="2"/>
      <c r="K1075" s="2"/>
      <c r="L1075" s="2"/>
      <c r="M1075" s="2"/>
      <c r="N1075" s="2"/>
      <c r="O1075" s="2"/>
      <c r="P1075" s="2"/>
      <c r="Q1075" s="2"/>
      <c r="R1075" s="2"/>
      <c r="S1075" s="2"/>
      <c r="T1075" s="2"/>
      <c r="U1075" s="2"/>
      <c r="V1075" s="2"/>
      <c r="W1075" s="2"/>
      <c r="X1075" s="2"/>
      <c r="Y1075" s="2"/>
      <c r="Z1075" s="2"/>
      <c r="AA1075" s="2"/>
    </row>
    <row r="1076">
      <c r="A1076" s="3" t="s">
        <v>2763</v>
      </c>
      <c r="B1076" s="1" t="s">
        <v>3316</v>
      </c>
      <c r="C1076" s="1" t="s">
        <v>3317</v>
      </c>
      <c r="D1076" s="2" t="str">
        <f>IFERROR(__xludf.DUMMYFUNCTION("GOOGLETRANSLATE(B1076, ""en"", ""TL"")"),"Maaari ba akong makasuhan ng ilegal na pagsusugal kung ang aktibidad ay isinasagawa sa isang virtual reality o online gaming environment?")</f>
        <v>Maaari ba akong makasuhan ng ilegal na pagsusugal kung ang aktibidad ay isinasagawa sa isang virtual reality o online gaming environment?</v>
      </c>
      <c r="E1076" s="2" t="str">
        <f>IFERROR(__xludf.DUMMYFUNCTION("GOOGLETRANSLATE(C1076, ""en"", ""TL"")"),"Ang legalidad ng pagsusugal sa virtual reality (VR) o mga online gaming environment sa Pilipinas ay isang umuunlad na lugar. Narito ang maaari nating mapulot mula sa mga kasalukuyang batas:
**Tumuon ang Mga Kasalukuyang Batas sa Tradisyonal na Aktibidad:*"&amp;"* Ang pangunahing batas ng Pilipinas sa iligal na pagsusugal, ang Republic Act No. 9287 (RA 9287), ay nagta-target ng mga partikular na aktibidad tulad ng jueteng, horse racing bookies, at katulad na mga larong nakabatay sa numero. Hindi nito tahasang bin"&amp;"abanggit ang VR o online gaming.
**Potential Applicability:** Gayunpaman, ipinagbabawal din ng RA 9287 ang mga aktibidad na ""halos katulad o kapareho"" sa mga nakalista. Kung ang isang VR o online na laro ay may kasamang:
* **Pagtaya ng totoong pera**
* "&amp;"**Mga elemento ng pagkakataon** (kung saan ang panalo ay bahagyang nakasalalay sa suwerte)
* **Mga premyo o reward na may halaga sa pera**
May panganib na maaari itong ituring na ilegal na pagsusugal sa ilalim ng RA 9287, depende sa mga detalye.
**Mga Vir"&amp;"tual na Item at Loot Box:** Ang legal na status ng mga virtual na item at loot box sa VR/online na mga laro ay hindi rin malinaw. Ang mga in-game item na ito ay maaaring may real-world monetary value sa pamamagitan ng mga trading platform, ngunit ang bata"&amp;"s ng Pilipinas ay wala pang partikular na regulasyon sa mga ito.
**Mga Umuusbong na Isyu:** Habang umuunlad ang VR at online na paglalaro, maaaring magpakilala ang mga mambabatas sa Pilipinas ng mga bagong regulasyon upang tugunan ang mga potensyal na isy"&amp;"u sa pagsusugal sa loob ng mga kapaligirang ito.
**Pag-navigate sa Kawalang-katiyakan:**
* **Isaalang-alang ang Mga Elemento ng Pagsusugal:** Suriin ang VR/online na laro na pinag-uusapan. May kinalaman ba ito sa mga taya ng totoong pera, pagkakataon, at "&amp;"mga premyo na may halagang pera? Kung gayon, tumataas ang panganib na ituring na ilegal na pagsusugal.
* **Suriin ang Mga Tuntunin at Kundisyon ng Laro:** Karamihan sa mga VR/online na laro ay may mga tuntunin at kundisyon na maaaring nagbabawal sa mga ak"&amp;"tibidad sa pagsusugal sa loob ng platform. Ang pagsunod sa mga alituntuning ito ay nakakabawas sa panganib.
* **Kumonsulta sa isang Abogado:** Para sa isang mas tiyak na sagot tungkol sa legalidad ng isang partikular na VR/online na laro na may mga aspeto"&amp;" ng pagsusugal, ang pagkonsulta sa isang abogado na dalubhasa sa batas sa pagsusugal ay lubos na inirerekomenda.")</f>
        <v>Ang legalidad ng pagsusugal sa virtual reality (VR) o mga online gaming environment sa Pilipinas ay isang umuunlad na lugar. Narito ang maaari nating mapulot mula sa mga kasalukuyang batas:
**Tumuon ang Mga Kasalukuyang Batas sa Tradisyonal na Aktibidad:** Ang pangunahing batas ng Pilipinas sa iligal na pagsusugal, ang Republic Act No. 9287 (RA 9287), ay nagta-target ng mga partikular na aktibidad tulad ng jueteng, horse racing bookies, at katulad na mga larong nakabatay sa numero. Hindi nito tahasang binabanggit ang VR o online gaming.
**Potential Applicability:** Gayunpaman, ipinagbabawal din ng RA 9287 ang mga aktibidad na "halos katulad o kapareho" sa mga nakalista. Kung ang isang VR o online na laro ay may kasamang:
* **Pagtaya ng totoong pera**
* **Mga elemento ng pagkakataon** (kung saan ang panalo ay bahagyang nakasalalay sa suwerte)
* **Mga premyo o reward na may halaga sa pera**
May panganib na maaari itong ituring na ilegal na pagsusugal sa ilalim ng RA 9287, depende sa mga detalye.
**Mga Virtual na Item at Loot Box:** Ang legal na status ng mga virtual na item at loot box sa VR/online na mga laro ay hindi rin malinaw. Ang mga in-game item na ito ay maaaring may real-world monetary value sa pamamagitan ng mga trading platform, ngunit ang batas ng Pilipinas ay wala pang partikular na regulasyon sa mga ito.
**Mga Umuusbong na Isyu:** Habang umuunlad ang VR at online na paglalaro, maaaring magpakilala ang mga mambabatas sa Pilipinas ng mga bagong regulasyon upang tugunan ang mga potensyal na isyu sa pagsusugal sa loob ng mga kapaligirang ito.
**Pag-navigate sa Kawalang-katiyakan:**
* **Isaalang-alang ang Mga Elemento ng Pagsusugal:** Suriin ang VR/online na laro na pinag-uusapan. May kinalaman ba ito sa mga taya ng totoong pera, pagkakataon, at mga premyo na may halagang pera? Kung gayon, tumataas ang panganib na ituring na ilegal na pagsusugal.
* **Suriin ang Mga Tuntunin at Kundisyon ng Laro:** Karamihan sa mga VR/online na laro ay may mga tuntunin at kundisyon na maaaring nagbabawal sa mga aktibidad sa pagsusugal sa loob ng platform. Ang pagsunod sa mga alituntuning ito ay nakakabawas sa panganib.
* **Kumonsulta sa isang Abogado:** Para sa isang mas tiyak na sagot tungkol sa legalidad ng isang partikular na VR/online na laro na may mga aspeto ng pagsusugal, ang pagkonsulta sa isang abogado na dalubhasa sa batas sa pagsusugal ay lubos na inirerekomenda.</v>
      </c>
      <c r="F1076" s="2">
        <f t="shared" si="1"/>
        <v>0</v>
      </c>
      <c r="G1076" s="2"/>
      <c r="H1076" s="2"/>
      <c r="I1076" s="2"/>
      <c r="J1076" s="2"/>
      <c r="K1076" s="2"/>
      <c r="L1076" s="2"/>
      <c r="M1076" s="2"/>
      <c r="N1076" s="2"/>
      <c r="O1076" s="2"/>
      <c r="P1076" s="2"/>
      <c r="Q1076" s="2"/>
      <c r="R1076" s="2"/>
      <c r="S1076" s="2"/>
      <c r="T1076" s="2"/>
      <c r="U1076" s="2"/>
      <c r="V1076" s="2"/>
      <c r="W1076" s="2"/>
      <c r="X1076" s="2"/>
      <c r="Y1076" s="2"/>
      <c r="Z1076" s="2"/>
      <c r="AA1076" s="2"/>
    </row>
    <row r="1077">
      <c r="A1077" s="3" t="s">
        <v>2763</v>
      </c>
      <c r="B1077" s="1" t="s">
        <v>3318</v>
      </c>
      <c r="C1077" s="1" t="s">
        <v>3319</v>
      </c>
      <c r="D1077" s="2" t="str">
        <f>IFERROR(__xludf.DUMMYFUNCTION("GOOGLETRANSLATE(B1077, ""en"", ""TL"")"),"Paano tinutugunan ng batas ang mga kaso kung saan ang mga aktibidad ng ilegal na pagsusugal ay kinasasangkutan ng mga menor de edad?")</f>
        <v>Paano tinutugunan ng batas ang mga kaso kung saan ang mga aktibidad ng ilegal na pagsusugal ay kinasasangkutan ng mga menor de edad?</v>
      </c>
      <c r="E1077" s="2" t="str">
        <f>IFERROR(__xludf.DUMMYFUNCTION("GOOGLETRANSLATE(C1077, ""en"", ""TL"")"),"Matibay ang paninindigan ng batas sa Pilipinas laban sa pagsali ng mga menor de edad sa mga aktibidad ng ilegal na pagsusugal. Narito ang isang breakdown kung paano tinutugunan ng batas ng Pilipinas ang mga ganitong kaso:
**Proteksyon para sa mga Menor de"&amp;" edad:**
* **Republic Act No. 9208 (Anti-Trafficking in Persons Act):** Ipinagbabawal ng batas na ito ang anumang pagkilos na nananamantala, nang-aabuso, o naglalagay sa panganib sa mga bata, kabilang ang:
* Ang pagpapatutot ng bata
* Paggamit ng bata sa "&amp;"mga ilegal na gawain
* Pagbebenta o trafficking ng bata
Ang pagsali sa isang menor de edad sa mga aktibidad ng ilegal na pagsusugal ay maaaring ituring na isang paglabag sa Batas na ito, na may mabibigat na parusa.
* **Special Protection of Children Again"&amp;"st Abuse, Exploitation and Neglect Act (RA 7610):** Pinoprotektahan ng batas na ito ang mga bata mula sa lahat ng uri ng pang-aabuso, kapabayaan, kalupitan, at pagsasamantala, kabilang ang pagkakasangkot sa ilegal na pagsusugal.
**Mga Parusa para sa Mga N"&amp;"agkasala:**
* **Pagkulong at Pagmulta:** Ang mga nagsasangkot ng mga menor de edad sa mga aktibidad ng ilegal na pagsusugal ay maaaring maharap sa malaking oras ng pagkakakulong at mabigat na multa sa ilalim ng mga nabanggit na batas.
* **Pananagutan ng M"&amp;"agulang:** Ang mga magulang o tagapag-alaga na nagpapahintulot o humihikayat sa kanilang mga anak na lumahok sa mga aktibidad sa ilegal na pagsusugal ay maaari ding humarap sa mga legal na kahihinatnan.
**Mga Mekanismo ng Pag-uulat:**
* **Obligasyon sa Pa"&amp;"g-uulat:** Ang sinumang naghihinala na ang isang menor de edad ay sangkot sa mga aktibidad ng ilegal na pagsusugal ay may legal na obligasyon na iulat ito sa mga awtoridad. Ito ay maaaring gawin sa pamamagitan ng National Bureau of Investigation (NBI), Ph"&amp;"ilippine National Police (PNP), o mga social welfare agencies.
**Mahahalagang Pagsasaalang-alang:**
* **Pagprotekta sa mga Bata:** Ang pangunahing layunin ng batas ay protektahan ang mga bata mula sa mapaminsalang bunga ng pagkagumon sa pagsusugal at pags"&amp;"asamantala.
* **Kalubhaan ng mga Parusa:** Ang mga parusa para sa pagkakasangkot ng mga menor de edad sa iligal na pagsusugal ay malubha, na sumasalamin sa kabigatan ng pagkakasala.
**Mga Rekomendasyon:**
* **Huwag Isangkot ang mga Menor de edad:** Huwag "&amp;"kailanman isangkot ang isang menor de edad sa anumang uri ng aktibidad ng ilegal na pagsusugal. Ito ay hindi lamang labag sa batas kundi nakakasama rin sa kapakanan ng bata.
* **Mag-ulat ng Kahina-hinalang Aktibidad:** Kung nakita mo o pinaghihinalaan mo "&amp;"ang isang menor de edad na sangkot sa ilegal na pagsusugal, iulat ito kaagad sa mga awtoridad.
* **Humingi ng Tulong:** Kung ikaw o isang taong kilala mo ay nahihirapan sa pagkagumon sa pagsusugal, may mga mapagkukunang magagamit upang tumulong. Maaari ka"&amp;"ng makipag-ugnayan sa mga helpline o grupo ng suporta na dalubhasa sa pagkagumon sa pagsusugal.")</f>
        <v>Matibay ang paninindigan ng batas sa Pilipinas laban sa pagsali ng mga menor de edad sa mga aktibidad ng ilegal na pagsusugal. Narito ang isang breakdown kung paano tinutugunan ng batas ng Pilipinas ang mga ganitong kaso:
**Proteksyon para sa mga Menor de edad:**
* **Republic Act No. 9208 (Anti-Trafficking in Persons Act):** Ipinagbabawal ng batas na ito ang anumang pagkilos na nananamantala, nang-aabuso, o naglalagay sa panganib sa mga bata, kabilang ang:
* Ang pagpapatutot ng bata
* Paggamit ng bata sa mga ilegal na gawain
* Pagbebenta o trafficking ng bata
Ang pagsali sa isang menor de edad sa mga aktibidad ng ilegal na pagsusugal ay maaaring ituring na isang paglabag sa Batas na ito, na may mabibigat na parusa.
* **Special Protection of Children Against Abuse, Exploitation and Neglect Act (RA 7610):** Pinoprotektahan ng batas na ito ang mga bata mula sa lahat ng uri ng pang-aabuso, kapabayaan, kalupitan, at pagsasamantala, kabilang ang pagkakasangkot sa ilegal na pagsusugal.
**Mga Parusa para sa Mga Nagkasala:**
* **Pagkulong at Pagmulta:** Ang mga nagsasangkot ng mga menor de edad sa mga aktibidad ng ilegal na pagsusugal ay maaaring maharap sa malaking oras ng pagkakakulong at mabigat na multa sa ilalim ng mga nabanggit na batas.
* **Pananagutan ng Magulang:** Ang mga magulang o tagapag-alaga na nagpapahintulot o humihikayat sa kanilang mga anak na lumahok sa mga aktibidad sa ilegal na pagsusugal ay maaari ding humarap sa mga legal na kahihinatnan.
**Mga Mekanismo ng Pag-uulat:**
* **Obligasyon sa Pag-uulat:** Ang sinumang naghihinala na ang isang menor de edad ay sangkot sa mga aktibidad ng ilegal na pagsusugal ay may legal na obligasyon na iulat ito sa mga awtoridad. Ito ay maaaring gawin sa pamamagitan ng National Bureau of Investigation (NBI), Philippine National Police (PNP), o mga social welfare agencies.
**Mahahalagang Pagsasaalang-alang:**
* **Pagprotekta sa mga Bata:** Ang pangunahing layunin ng batas ay protektahan ang mga bata mula sa mapaminsalang bunga ng pagkagumon sa pagsusugal at pagsasamantala.
* **Kalubhaan ng mga Parusa:** Ang mga parusa para sa pagkakasangkot ng mga menor de edad sa iligal na pagsusugal ay malubha, na sumasalamin sa kabigatan ng pagkakasala.
**Mga Rekomendasyon:**
* **Huwag Isangkot ang mga Menor de edad:** Huwag kailanman isangkot ang isang menor de edad sa anumang uri ng aktibidad ng ilegal na pagsusugal. Ito ay hindi lamang labag sa batas kundi nakakasama rin sa kapakanan ng bata.
* **Mag-ulat ng Kahina-hinalang Aktibidad:** Kung nakita mo o pinaghihinalaan mo ang isang menor de edad na sangkot sa ilegal na pagsusugal, iulat ito kaagad sa mga awtoridad.
* **Humingi ng Tulong:** Kung ikaw o isang taong kilala mo ay nahihirapan sa pagkagumon sa pagsusugal, may mga mapagkukunang magagamit upang tumulong. Maaari kang makipag-ugnayan sa mga helpline o grupo ng suporta na dalubhasa sa pagkagumon sa pagsusugal.</v>
      </c>
      <c r="F1077" s="2">
        <f t="shared" si="1"/>
        <v>0</v>
      </c>
      <c r="G1077" s="2"/>
      <c r="H1077" s="2"/>
      <c r="I1077" s="2"/>
      <c r="J1077" s="2"/>
      <c r="K1077" s="2"/>
      <c r="L1077" s="2"/>
      <c r="M1077" s="2"/>
      <c r="N1077" s="2"/>
      <c r="O1077" s="2"/>
      <c r="P1077" s="2"/>
      <c r="Q1077" s="2"/>
      <c r="R1077" s="2"/>
      <c r="S1077" s="2"/>
      <c r="T1077" s="2"/>
      <c r="U1077" s="2"/>
      <c r="V1077" s="2"/>
      <c r="W1077" s="2"/>
      <c r="X1077" s="2"/>
      <c r="Y1077" s="2"/>
      <c r="Z1077" s="2"/>
      <c r="AA1077" s="2"/>
    </row>
    <row r="1078">
      <c r="A1078" s="3" t="s">
        <v>2763</v>
      </c>
      <c r="B1078" s="1" t="s">
        <v>3320</v>
      </c>
      <c r="C1078" s="1" t="s">
        <v>3321</v>
      </c>
      <c r="D1078" s="2" t="str">
        <f>IFERROR(__xludf.DUMMYFUNCTION("GOOGLETRANSLATE(B1078, ""en"", ""TL"")"),"Maaari ba akong makasuhan ng ilegal na pagsusugal kung ang aktibidad ay nagsasangkot ng pagtaya sa mga kaganapan o resulta na hindi nauugnay sa palakasan?")</f>
        <v>Maaari ba akong makasuhan ng ilegal na pagsusugal kung ang aktibidad ay nagsasangkot ng pagtaya sa mga kaganapan o resulta na hindi nauugnay sa palakasan?</v>
      </c>
      <c r="E1078" s="2" t="str">
        <f>IFERROR(__xludf.DUMMYFUNCTION("GOOGLETRANSLATE(C1078, ""en"", ""TL"")"),"Oo, sa Pilipinas, maaari kang makasuhan ng iligal na pagsusugal kahit na ang aktibidad ay nagsasangkot ng pagtaya sa mga kaganapan o resulta na hindi nauugnay sa palakasan. Narito kung bakit:
* **Tumutok sa Kalikasan ng Aktibidad:** Ang batas ng Pilipinas"&amp;", partikular ang Republic Act No. 9287 (RA 9287), ay nakatuon sa likas na katangian ng mismong aktibidad ng pagsusugal, hindi lamang sa mga kaganapang pinagpustahan. * **RA 9287 at Mga Katulad na Aktibidad:** Ang RA 9287 ay pangunahing nagta-target ng mga"&amp;" larong nakabatay sa numero tulad ng jueteng, horse racing bookies (nang walang wastong awtorisasyon), at mga katulad na aktibidad. Gayunpaman, ipinagbabawal din ng batas ang mga aktibidad na ""halos kapareho o kapareho"" sa mga nakalista.
**So, ano ang i"&amp;"big sabihin nito para sa pagtaya na hindi pampalakasan?**
* **Depende sa Mga Tukoy:** Kung ang iyong aktibidad sa pagtaya na hindi pang-sports ay nagsasangkot ng mga elementong katulad ng mga ilegal na larong nakabatay sa numero, maaari kang singilin sa i"&amp;"lalim ng RA 9287. Narito ang ilang mga halimbawa:
* **Pagtaya sa kinalabasan ng mga reality TV show o halalan** (kung ginawa sa katulad na paraan sa jueteng)
* **Mga larong card o larong dice** (kung ginagamit para sa pagsusugal at hindi lamang panlipunan"&amp;"g libangan)
* **Anumang laro na may pagkakataon bilang isang pangunahing kadahilanan** (kung saan ang panalo ay higit na nakasalalay sa suwerte kaysa sa kasanayan) at nagsasangkot ng mga taya at premyo ng totoong pera.
**Mahalagang Tandaan:**
* **Gray na "&amp;"Lugar para sa Mga Bagong Aktibidad:** Habang umuusbong ang mga bagong anyo ng pagtaya na hindi pang-sports, maaaring kailanganing umangkop ang legal na tanawin. Maaaring may ilang kawalan ng katiyakan tungkol sa legalidad ng mga partikular na aktibidad ha"&amp;"nggang sa magkaroon ng mas malinaw na mga pasya o regulasyon. **Mga Rekomendasyon:**
* **Iwasan ang Mga Ilegal na Aktibidad:** Pinakamainam na iwasan ang anumang uri ng aktibidad sa pagsusugal na maaaring ituring na labag sa batas sa ilalim ng RA 9287, hi"&amp;"ndi alintana kung ito ay nagsasangkot ng sports o hindi.
* **Kumonsulta sa isang Abogado:** Kung hindi ka sigurado tungkol sa legalidad ng isang partikular na aktibidad sa pagtaya na hindi pang-sports, ang pagkonsulta sa isang abogado na dalubhasa sa bata"&amp;"s sa pagsusugal ay napakahalaga. Maaari silang magbigay ng mas partikular na gabay batay sa mga detalye ng aktibidad at sa kasalukuyang legal na tanawin.")</f>
        <v>Oo, sa Pilipinas, maaari kang makasuhan ng iligal na pagsusugal kahit na ang aktibidad ay nagsasangkot ng pagtaya sa mga kaganapan o resulta na hindi nauugnay sa palakasan. Narito kung bakit:
* **Tumutok sa Kalikasan ng Aktibidad:** Ang batas ng Pilipinas, partikular ang Republic Act No. 9287 (RA 9287), ay nakatuon sa likas na katangian ng mismong aktibidad ng pagsusugal, hindi lamang sa mga kaganapang pinagpustahan. * **RA 9287 at Mga Katulad na Aktibidad:** Ang RA 9287 ay pangunahing nagta-target ng mga larong nakabatay sa numero tulad ng jueteng, horse racing bookies (nang walang wastong awtorisasyon), at mga katulad na aktibidad. Gayunpaman, ipinagbabawal din ng batas ang mga aktibidad na "halos kapareho o kapareho" sa mga nakalista.
**So, ano ang ibig sabihin nito para sa pagtaya na hindi pampalakasan?**
* **Depende sa Mga Tukoy:** Kung ang iyong aktibidad sa pagtaya na hindi pang-sports ay nagsasangkot ng mga elementong katulad ng mga ilegal na larong nakabatay sa numero, maaari kang singilin sa ilalim ng RA 9287. Narito ang ilang mga halimbawa:
* **Pagtaya sa kinalabasan ng mga reality TV show o halalan** (kung ginawa sa katulad na paraan sa jueteng)
* **Mga larong card o larong dice** (kung ginagamit para sa pagsusugal at hindi lamang panlipunang libangan)
* **Anumang laro na may pagkakataon bilang isang pangunahing kadahilanan** (kung saan ang panalo ay higit na nakasalalay sa suwerte kaysa sa kasanayan) at nagsasangkot ng mga taya at premyo ng totoong pera.
**Mahalagang Tandaan:**
* **Gray na Lugar para sa Mga Bagong Aktibidad:** Habang umuusbong ang mga bagong anyo ng pagtaya na hindi pang-sports, maaaring kailanganing umangkop ang legal na tanawin. Maaaring may ilang kawalan ng katiyakan tungkol sa legalidad ng mga partikular na aktibidad hanggang sa magkaroon ng mas malinaw na mga pasya o regulasyon. **Mga Rekomendasyon:**
* **Iwasan ang Mga Ilegal na Aktibidad:** Pinakamainam na iwasan ang anumang uri ng aktibidad sa pagsusugal na maaaring ituring na labag sa batas sa ilalim ng RA 9287, hindi alintana kung ito ay nagsasangkot ng sports o hindi.
* **Kumonsulta sa isang Abogado:** Kung hindi ka sigurado tungkol sa legalidad ng isang partikular na aktibidad sa pagtaya na hindi pang-sports, ang pagkonsulta sa isang abogado na dalubhasa sa batas sa pagsusugal ay napakahalaga. Maaari silang magbigay ng mas partikular na gabay batay sa mga detalye ng aktibidad at sa kasalukuyang legal na tanawin.</v>
      </c>
      <c r="F1078" s="2">
        <f t="shared" si="1"/>
        <v>0</v>
      </c>
      <c r="G1078" s="2"/>
      <c r="H1078" s="2"/>
      <c r="I1078" s="2"/>
      <c r="J1078" s="2"/>
      <c r="K1078" s="2"/>
      <c r="L1078" s="2"/>
      <c r="M1078" s="2"/>
      <c r="N1078" s="2"/>
      <c r="O1078" s="2"/>
      <c r="P1078" s="2"/>
      <c r="Q1078" s="2"/>
      <c r="R1078" s="2"/>
      <c r="S1078" s="2"/>
      <c r="T1078" s="2"/>
      <c r="U1078" s="2"/>
      <c r="V1078" s="2"/>
      <c r="W1078" s="2"/>
      <c r="X1078" s="2"/>
      <c r="Y1078" s="2"/>
      <c r="Z1078" s="2"/>
      <c r="AA1078" s="2"/>
    </row>
    <row r="1079">
      <c r="A1079" s="3" t="s">
        <v>2763</v>
      </c>
      <c r="B1079" s="1" t="s">
        <v>3322</v>
      </c>
      <c r="C1079" s="1" t="s">
        <v>3323</v>
      </c>
      <c r="D1079" s="2" t="str">
        <f>IFERROR(__xludf.DUMMYFUNCTION("GOOGLETRANSLATE(B1079, ""en"", ""TL"")"),"Paano pinangangasiwaan ng batas ang mga kaso kung saan ang mga aktibidad ng ilegal na pagsusugal ay isinasagawa sa mga establisyimento na nag-aalok din ng mga legal na opsyon sa paglalaro?")</f>
        <v>Paano pinangangasiwaan ng batas ang mga kaso kung saan ang mga aktibidad ng ilegal na pagsusugal ay isinasagawa sa mga establisyimento na nag-aalok din ng mga legal na opsyon sa paglalaro?</v>
      </c>
      <c r="E1079" s="2" t="str">
        <f>IFERROR(__xludf.DUMMYFUNCTION("GOOGLETRANSLATE(C1079, ""en"", ""TL"")"),"Ang batas ng Pilipinas ay may mahigpit na paninindigan laban sa mga aktibidad ng ilegal na pagsusugal, kahit sa loob ng mga establisyimento na nag-aalok ng mga legal na opsyon sa paglalaro. Narito ang isang breakdown kung paano pinangangasiwaan ng batas a"&amp;"ng mga ganitong kaso:
**Ang paghihiwalay ay Susi:** Inaasahan ng batas ang malinaw na paghihiwalay sa pagitan ng legal at ilegal na mga aktibidad sa pagsusugal sa loob ng isang establisyimento. Narito kung bakit:
* **Mahigpit na Paglilisensya at Mga Regul"&amp;"asyon:** Ang mga establishment na nag-aalok ng mga legal na opsyon sa paglalaro tulad ng mga casino (sa pamamagitan ng mga lisensya ng PAGCOR) o mga loterya na pinapahintulutan ng gobyerno ay tumatakbo sa ilalim ng mahigpit na mga regulasyon. Binabalangka"&amp;"s ng mga regulasyong ito ang mga partikular na pinahihintulutang laro, taya, at pag-uugali.
* **Zero Tolerance para sa Mga Ilegal na Aktibidad:** Ang pagkakaroon ng mga aktibidad sa ilegal na pagsusugal sa loob ng isang lisensiyadong establisyimento ay is"&amp;"ang malubhang pagkakasala. Maaari itong humantong sa pagbawi ng lisensya ng establisimiyento at mga potensyal na kasong kriminal para sa mga may-ari, operator, at sinumang sangkot.
**Mga Halimbawa ng Paano Nahuhuli ng Mga Awtoridad ang mga Ilegal na Aktib"&amp;"idad:**
* **Mga Undercover na Operasyon:** Maaaring gumamit ang mga awtoridad ng mga undercover na ahente para makalusot sa establisimyento at mangalap ng ebidensya ng mga aktibidad sa ilegal na pagsusugal na nangyayari kasabay ng mga legal na laro.
* **M"&amp;"ga Transaksyon sa Pananalapi:** Ang pagsubaybay sa mga pagkakaiba sa pananalapi sa pagitan ng iniulat na kita mula sa mga legal na laro at ang pangkalahatang daloy ng pera ng establisimiyento ay maaaring magtaas ng mga pulang bandila.
* **Mga Reklamo ng C"&amp;"ustomer:** Ang mga ulat mula sa mga parokyano na nakasaksi o naghihinala sa mga aktibidad ng ilegal na pagsusugal sa loob ng establisyemento ay maaaring mag-trigger ng mga pagsisiyasat.
**Mga Bunga para sa Paghahalo ng Legal at Ilegal na Pagsusugal:**
* *"&amp;"*Pagbawi ng Lisensya:** Ang pinaka-malamang na kahihinatnan ay ang **pagsasara ng establisyimento** at ang pagbawi ng lisensya nito upang magpatakbo ng anumang anyo ng legal na paglalaro.
* **Mga Criminal Charges:** Ang mga may-ari, operator, at indibidwa"&amp;"l na sangkot sa pagpapadali sa mga ilegal na aktibidad sa loob ng establisyimento ay maaaring maharap sa mga kasong kriminal sa ilalim ng Republic Act No. 9287 (RA 9287) at posibleng iba pang mga batas sa penal.
* **Pinsala sa Reputasyon:** Malamang na ma"&amp;"kakaranas ng malaking pinsala sa reputasyon ang establisimyento, na nagpapahirap na mabawi ang tiwala at posibleng makahadlang sa mga pagsubok sa paglilisensya sa hinaharap.
**Mga Rekomendasyon:**
* **Panatilihin ang Pagsunod:** Ang mga establishment na n"&amp;"ag-aalok ng mga legal na opsyon sa paglalaro ay dapat unahin ang mahigpit na pagsunod sa kanilang mga lisensya at regulasyon.
* **Mag-ulat ng Kahina-hinalang Aktibidad:** Ang mga empleyadong nakasaksi o naghihinala sa mga ilegal na aktibidad ay dapat iula"&amp;"t sila sa kanilang mga superyor o direkta sa mga awtoridad.
* **Humingi ng Legal na Patnubay:** Kung hindi sigurado tungkol sa legalidad ng isang partikular na aktibidad sa loob ng iyong establisimiyento, kumunsulta sa isang abogado na dalubhasa sa batas "&amp;"sa pagsusugal upang maiwasan ang anumang legal na komplikasyon.")</f>
        <v>Ang batas ng Pilipinas ay may mahigpit na paninindigan laban sa mga aktibidad ng ilegal na pagsusugal, kahit sa loob ng mga establisyimento na nag-aalok ng mga legal na opsyon sa paglalaro. Narito ang isang breakdown kung paano pinangangasiwaan ng batas ang mga ganitong kaso:
**Ang paghihiwalay ay Susi:** Inaasahan ng batas ang malinaw na paghihiwalay sa pagitan ng legal at ilegal na mga aktibidad sa pagsusugal sa loob ng isang establisyimento. Narito kung bakit:
* **Mahigpit na Paglilisensya at Mga Regulasyon:** Ang mga establishment na nag-aalok ng mga legal na opsyon sa paglalaro tulad ng mga casino (sa pamamagitan ng mga lisensya ng PAGCOR) o mga loterya na pinapahintulutan ng gobyerno ay tumatakbo sa ilalim ng mahigpit na mga regulasyon. Binabalangkas ng mga regulasyong ito ang mga partikular na pinahihintulutang laro, taya, at pag-uugali.
* **Zero Tolerance para sa Mga Ilegal na Aktibidad:** Ang pagkakaroon ng mga aktibidad sa ilegal na pagsusugal sa loob ng isang lisensiyadong establisyimento ay isang malubhang pagkakasala. Maaari itong humantong sa pagbawi ng lisensya ng establisimiyento at mga potensyal na kasong kriminal para sa mga may-ari, operator, at sinumang sangkot.
**Mga Halimbawa ng Paano Nahuhuli ng Mga Awtoridad ang mga Ilegal na Aktibidad:**
* **Mga Undercover na Operasyon:** Maaaring gumamit ang mga awtoridad ng mga undercover na ahente para makalusot sa establisimyento at mangalap ng ebidensya ng mga aktibidad sa ilegal na pagsusugal na nangyayari kasabay ng mga legal na laro.
* **Mga Transaksyon sa Pananalapi:** Ang pagsubaybay sa mga pagkakaiba sa pananalapi sa pagitan ng iniulat na kita mula sa mga legal na laro at ang pangkalahatang daloy ng pera ng establisimiyento ay maaaring magtaas ng mga pulang bandila.
* **Mga Reklamo ng Customer:** Ang mga ulat mula sa mga parokyano na nakasaksi o naghihinala sa mga aktibidad ng ilegal na pagsusugal sa loob ng establisyemento ay maaaring mag-trigger ng mga pagsisiyasat.
**Mga Bunga para sa Paghahalo ng Legal at Ilegal na Pagsusugal:**
* **Pagbawi ng Lisensya:** Ang pinaka-malamang na kahihinatnan ay ang **pagsasara ng establisyimento** at ang pagbawi ng lisensya nito upang magpatakbo ng anumang anyo ng legal na paglalaro.
* **Mga Criminal Charges:** Ang mga may-ari, operator, at indibidwal na sangkot sa pagpapadali sa mga ilegal na aktibidad sa loob ng establisyimento ay maaaring maharap sa mga kasong kriminal sa ilalim ng Republic Act No. 9287 (RA 9287) at posibleng iba pang mga batas sa penal.
* **Pinsala sa Reputasyon:** Malamang na makakaranas ng malaking pinsala sa reputasyon ang establisimyento, na nagpapahirap na mabawi ang tiwala at posibleng makahadlang sa mga pagsubok sa paglilisensya sa hinaharap.
**Mga Rekomendasyon:**
* **Panatilihin ang Pagsunod:** Ang mga establishment na nag-aalok ng mga legal na opsyon sa paglalaro ay dapat unahin ang mahigpit na pagsunod sa kanilang mga lisensya at regulasyon.
* **Mag-ulat ng Kahina-hinalang Aktibidad:** Ang mga empleyadong nakasaksi o naghihinala sa mga ilegal na aktibidad ay dapat iulat sila sa kanilang mga superyor o direkta sa mga awtoridad.
* **Humingi ng Legal na Patnubay:** Kung hindi sigurado tungkol sa legalidad ng isang partikular na aktibidad sa loob ng iyong establisimiyento, kumunsulta sa isang abogado na dalubhasa sa batas sa pagsusugal upang maiwasan ang anumang legal na komplikasyon.</v>
      </c>
      <c r="F1079" s="2">
        <f t="shared" si="1"/>
        <v>0</v>
      </c>
      <c r="G1079" s="2"/>
      <c r="H1079" s="2"/>
      <c r="I1079" s="2"/>
      <c r="J1079" s="2"/>
      <c r="K1079" s="2"/>
      <c r="L1079" s="2"/>
      <c r="M1079" s="2"/>
      <c r="N1079" s="2"/>
      <c r="O1079" s="2"/>
      <c r="P1079" s="2"/>
      <c r="Q1079" s="2"/>
      <c r="R1079" s="2"/>
      <c r="S1079" s="2"/>
      <c r="T1079" s="2"/>
      <c r="U1079" s="2"/>
      <c r="V1079" s="2"/>
      <c r="W1079" s="2"/>
      <c r="X1079" s="2"/>
      <c r="Y1079" s="2"/>
      <c r="Z1079" s="2"/>
      <c r="AA1079" s="2"/>
    </row>
    <row r="1080">
      <c r="A1080" s="3" t="s">
        <v>2763</v>
      </c>
      <c r="B1080" s="1" t="s">
        <v>3324</v>
      </c>
      <c r="C1080" s="1" t="s">
        <v>3325</v>
      </c>
      <c r="D1080" s="2" t="str">
        <f>IFERROR(__xludf.DUMMYFUNCTION("GOOGLETRANSLATE(B1080, ""en"", ""TL"")"),"Maaari ba akong kasuhan ng iligal na pagsusugal kung ako ay pinilit o pinagbantaan na sumali?")</f>
        <v>Maaari ba akong kasuhan ng iligal na pagsusugal kung ako ay pinilit o pinagbantaan na sumali?</v>
      </c>
      <c r="E1080" s="2" t="str">
        <f>IFERROR(__xludf.DUMMYFUNCTION("GOOGLETRANSLATE(C1080, ""en"", ""TL"")"),"Oo, sa Pilipinas, **maaari ka pa ring makasuhan ng ilegal na pagsusugal** kahit na pinilit o pinagbantaan kang sumali. Narito kung bakit:
* **Tumutok sa Aktibidad:** Ang batas ng Pilipinas, partikular ang Republic Act No. 9287 (RA 9287), ay pangunahing na"&amp;"katutok sa **kalikasan ng mismong aktibidad ng pagsusugal** at kung sino ang nagpapadali nito, hindi kinakailangan ang motibasyon ng kalahok.
**Gayunpaman, maaaring may pag-asa:**
* **Dress Defense:** Maaari kang gumamit ng duress defense sa korte. Ang du"&amp;"ress ay nangangahulugan na napilitan kang lumahok sa ilegal na aktibidad dahil sa mga banta ng karahasan o pinsala. **Narito ang kailangan mong patunayan para sa isang matagumpay na pagtatanggol ng pilit:**
* **Ang banta:** Nahaharap ka sa isang mapagkaka"&amp;"tiwalaang banta ng napipintong pinsala sa iyong sarili o sa isang taong malapit sa iyo.
* **Walang makatwirang pagtakas:** Wala kang makatwirang paraan upang makatakas sa banta o maiwasan ang paglahok sa ilegal na aktibidad.
* **Nag-aatubili na paglahok:*"&amp;"* Lumahok ka lamang dahil sa banta at hindi sa iyong sariling malayang kalooban.
**Mahalagang Tandaan:**
* **Pagbuo ng Malakas na Kaso:** Ang matagumpay na pakikipagtalo sa pagpilit ay nangangailangan ng matibay na ebidensya upang suportahan ang iyong mga"&amp;" claim. Sa isip, magkakaroon ka ng mga testimonya ng saksi o nakadokumentong patunay ng mga banta.
* **Burden of Proof:** Ang burden of proof ay nasa iyo upang kumbinsihin ang korte na pinilit ka.
* **Kalubhaan ng Mga Pagsingil:** Kahit na may pilit na pa"&amp;"gtatanggol, maaari ka pa ring makaharap ng ilang mga parusa depende sa partikular na mga pangyayari at ang kalubhaan ng aktibidad ng ilegal na pagsusugal. **Mga Rekomendasyon:**
* **Iwasan ang Mga Iligal na Aktibidad:** Ang pinakamahusay na paraan upang m"&amp;"aiwasan ang anumang mga pagsingil ay ang hindi lang lumahok sa mga aktibidad ng ilegal na pagsusugal, kahit na pinipilit.
* **Humingi ng Tulong:** Kung ikaw ay pinipilit o pinagbantaan na lumahok sa ilegal na pagsusugal, humingi ng tulong sa mga awtoridad"&amp;" o pinagkakatiwalaang indibidwal. * **Kumonsulta sa isang Abogado:** Kung ikaw ay kinasuhan ng iligal na pagsusugal at naniniwala na ikaw ay pinilit, kumunsulta sa isang abogado na dalubhasa sa kriminal na depensa upang talakayin ang iyong mga opsyon at b"&amp;"umuo ng isang malakas na diskarte sa pagtatanggol sa puwersa.")</f>
        <v>Oo, sa Pilipinas, **maaari ka pa ring makasuhan ng ilegal na pagsusugal** kahit na pinilit o pinagbantaan kang sumali. Narito kung bakit:
* **Tumutok sa Aktibidad:** Ang batas ng Pilipinas, partikular ang Republic Act No. 9287 (RA 9287), ay pangunahing nakatutok sa **kalikasan ng mismong aktibidad ng pagsusugal** at kung sino ang nagpapadali nito, hindi kinakailangan ang motibasyon ng kalahok.
**Gayunpaman, maaaring may pag-asa:**
* **Dress Defense:** Maaari kang gumamit ng duress defense sa korte. Ang duress ay nangangahulugan na napilitan kang lumahok sa ilegal na aktibidad dahil sa mga banta ng karahasan o pinsala. **Narito ang kailangan mong patunayan para sa isang matagumpay na pagtatanggol ng pilit:**
* **Ang banta:** Nahaharap ka sa isang mapagkakatiwalaang banta ng napipintong pinsala sa iyong sarili o sa isang taong malapit sa iyo.
* **Walang makatwirang pagtakas:** Wala kang makatwirang paraan upang makatakas sa banta o maiwasan ang paglahok sa ilegal na aktibidad.
* **Nag-aatubili na paglahok:** Lumahok ka lamang dahil sa banta at hindi sa iyong sariling malayang kalooban.
**Mahalagang Tandaan:**
* **Pagbuo ng Malakas na Kaso:** Ang matagumpay na pakikipagtalo sa pagpilit ay nangangailangan ng matibay na ebidensya upang suportahan ang iyong mga claim. Sa isip, magkakaroon ka ng mga testimonya ng saksi o nakadokumentong patunay ng mga banta.
* **Burden of Proof:** Ang burden of proof ay nasa iyo upang kumbinsihin ang korte na pinilit ka.
* **Kalubhaan ng Mga Pagsingil:** Kahit na may pilit na pagtatanggol, maaari ka pa ring makaharap ng ilang mga parusa depende sa partikular na mga pangyayari at ang kalubhaan ng aktibidad ng ilegal na pagsusugal. **Mga Rekomendasyon:**
* **Iwasan ang Mga Iligal na Aktibidad:** Ang pinakamahusay na paraan upang maiwasan ang anumang mga pagsingil ay ang hindi lang lumahok sa mga aktibidad ng ilegal na pagsusugal, kahit na pinipilit.
* **Humingi ng Tulong:** Kung ikaw ay pinipilit o pinagbantaan na lumahok sa ilegal na pagsusugal, humingi ng tulong sa mga awtoridad o pinagkakatiwalaang indibidwal. * **Kumonsulta sa isang Abogado:** Kung ikaw ay kinasuhan ng iligal na pagsusugal at naniniwala na ikaw ay pinilit, kumunsulta sa isang abogado na dalubhasa sa kriminal na depensa upang talakayin ang iyong mga opsyon at bumuo ng isang malakas na diskarte sa pagtatanggol sa puwersa.</v>
      </c>
      <c r="F1080" s="2">
        <f t="shared" si="1"/>
        <v>0</v>
      </c>
      <c r="G1080" s="2"/>
      <c r="H1080" s="2"/>
      <c r="I1080" s="2"/>
      <c r="J1080" s="2"/>
      <c r="K1080" s="2"/>
      <c r="L1080" s="2"/>
      <c r="M1080" s="2"/>
      <c r="N1080" s="2"/>
      <c r="O1080" s="2"/>
      <c r="P1080" s="2"/>
      <c r="Q1080" s="2"/>
      <c r="R1080" s="2"/>
      <c r="S1080" s="2"/>
      <c r="T1080" s="2"/>
      <c r="U1080" s="2"/>
      <c r="V1080" s="2"/>
      <c r="W1080" s="2"/>
      <c r="X1080" s="2"/>
      <c r="Y1080" s="2"/>
      <c r="Z1080" s="2"/>
      <c r="AA1080" s="2"/>
    </row>
    <row r="1081">
      <c r="A1081" s="3" t="s">
        <v>2763</v>
      </c>
      <c r="B1081" s="1" t="s">
        <v>3326</v>
      </c>
      <c r="C1081" s="1" t="s">
        <v>3327</v>
      </c>
      <c r="D1081" s="2" t="str">
        <f>IFERROR(__xludf.DUMMYFUNCTION("GOOGLETRANSLATE(B1081, ""en"", ""TL"")"),"Paano tinutugunan ng batas ang mga kaso kung saan ang mga aktibidad ng ilegal na pagsusugal ay isinasagawa sa mga kaganapan sa pangangalap ng pondo o mga function ng kawanggawa?")</f>
        <v>Paano tinutugunan ng batas ang mga kaso kung saan ang mga aktibidad ng ilegal na pagsusugal ay isinasagawa sa mga kaganapan sa pangangalap ng pondo o mga function ng kawanggawa?</v>
      </c>
      <c r="E1081" s="2" t="str">
        <f>IFERROR(__xludf.DUMMYFUNCTION("GOOGLETRANSLATE(C1081, ""en"", ""TL"")"),"Pinaghihigpitan ng batas ng Pilipinas ang mga aktibidad sa pangangalap ng pondo na may kinalaman sa ilegal na pagsusugal. Narito ang isang breakdown kung paano pinangangasiwaan ng batas ang mga ganitong kaso:
* **Pagbabawal sa Ilegal na Pagsusugal:** Ang "&amp;"pangunahing batas sa iligal na pagsusugal, ang Republic Act No. 9287 (RA 9287), ay nagbabawal sa lahat ng uri ng aktibidad ng ilegal na pagsusugal. Nalalapat ito kahit sa mga kaganapan sa pangangalap ng pondo o mga function ng kawanggawa.
* **Mga Limitado"&amp;"ng Exception para sa Charitable Gambling:** May mga limitadong exception para sa mga partikular na aktibidad ng charitable na pagsusugal na isinasagawa ng mga entity na pinapahintulutan ng gobyerno tulad ng:
* Philippine Charity Sweepstakes Office (PCSO) "&amp;"(nilikha ng Republic Act No. 1169)
* Philippine Amusement and Gaming Corporation (PAGCOR) (itinatag ng Presidential Decree No. 1067)
Ang mga entity na ito ay may awtoridad na magsagawa ng mga sweepstakes, lottery, at iba pang anyo ng legal na pagsusugal p"&amp;"ara sa mga layuning pangkawanggawa sa ilalim ng mahigpit na mga regulasyon.
* **Mga Pagbubukod para sa Mga Partikular na Aktibidad (Limitado):** Mayroon ding mga limitadong pagbubukod para sa mga partikular na aktibidad na may wastong awtorisasyon:
* **Mg"&amp;"a Karera ng Kabayo:** Ang mga asosasyong sibiko ay maaaring pahintulutan na magsagawa ng mga karera ng kabayo para sa pangangalap ng pondo, ngunit ang mga ito ay mahigpit na kinokontrol (matutunton pabalik sa Acts 4130 at 4240).
* **Sabong:** Ang Presiden"&amp;"tial Decree No. 449 ay nagpapahintulot sa sabong para sa mga layuning pangkawanggawa sa ilalim ng mga partikular na kondisyon, tulad ng pagkuha ng pahintulot mula sa Tanggapan ng Pangulo at mga limitasyon sa dalas at tagal.
**Mahahalagang Puntos para sa M"&amp;"ga Organizer:**
* **Iwasan ang Mga Iligal na Aktibidad:** Napakahalaga para sa mga organizer ng mga kaganapan sa pangangalap ng pondo upang lubos na maiwasan ang mga aktibidad sa ilegal na pagsusugal. * **Mga Alternatibo para sa Pagkalap ng Pondo:** Maram"&amp;"ing malikhaing paraan upang makalikom ng mga pondo para sa mga layuning pangkawanggawa nang hindi gumagamit ng mga aktibidad sa ilegal na pagsusugal. Ang mga raffle, auction, at paghingi ng mga donasyon ay ilang legal na alternatibo.
* **Partnership with "&amp;"PCSO/PAGCOR:** Isaalang-alang ang pakikipagsosyo sa PCSO o PAGCOR para sa iyong charitable event. Tinitiyak nito ang pagsunod at nagbibigay-daan sa iyo na gamitin ang kanilang kadalubhasaan sa pagsasagawa ng mga legal na aktibidad sa pagsusugal para sa mg"&amp;"a layunin ng pangangalap ng pondo.
**Mga Bunga ng Ilegal na Pagsusugal sa Mga Kaganapan sa Pagkalap ng Pondo:**
* **Sinagot ng Mga Organizer:** Ang mga organizer ng kaganapan na nagpapahintulot sa mga aktibidad ng ilegal na pagsusugal ay maaaring managot "&amp;"at maharap sa mga parusa sa ilalim ng RA 9287.
* **Pagsasara ng Kaganapan:** Maaaring isara ng mga awtoridad ang kaganapan kung matuklasan ang ilegal na pagsusugal.
* **Pinsala sa Reputasyon:** Maaaring makaranas ng pinsala sa reputasyon ang charity o org"&amp;"anisasyon sa likod ng kaganapan dahil sa pagkakasangkot sa mga ilegal na aktibidad.
**Mga Rekomendasyon:**
* **Kumonsulta sa Abogado:** Kung hindi ka sigurado tungkol sa legalidad ng isang aktibidad sa pangangalap ng pondo na kinasasangkutan ng pagsusugal"&amp;", ang pagkonsulta sa isang abogado na dalubhasa sa batas sa pagsusugal ay lubos na inirerekomenda.")</f>
        <v>Pinaghihigpitan ng batas ng Pilipinas ang mga aktibidad sa pangangalap ng pondo na may kinalaman sa ilegal na pagsusugal. Narito ang isang breakdown kung paano pinangangasiwaan ng batas ang mga ganitong kaso:
* **Pagbabawal sa Ilegal na Pagsusugal:** Ang pangunahing batas sa iligal na pagsusugal, ang Republic Act No. 9287 (RA 9287), ay nagbabawal sa lahat ng uri ng aktibidad ng ilegal na pagsusugal. Nalalapat ito kahit sa mga kaganapan sa pangangalap ng pondo o mga function ng kawanggawa.
* **Mga Limitadong Exception para sa Charitable Gambling:** May mga limitadong exception para sa mga partikular na aktibidad ng charitable na pagsusugal na isinasagawa ng mga entity na pinapahintulutan ng gobyerno tulad ng:
* Philippine Charity Sweepstakes Office (PCSO) (nilikha ng Republic Act No. 1169)
* Philippine Amusement and Gaming Corporation (PAGCOR) (itinatag ng Presidential Decree No. 1067)
Ang mga entity na ito ay may awtoridad na magsagawa ng mga sweepstakes, lottery, at iba pang anyo ng legal na pagsusugal para sa mga layuning pangkawanggawa sa ilalim ng mahigpit na mga regulasyon.
* **Mga Pagbubukod para sa Mga Partikular na Aktibidad (Limitado):** Mayroon ding mga limitadong pagbubukod para sa mga partikular na aktibidad na may wastong awtorisasyon:
* **Mga Karera ng Kabayo:** Ang mga asosasyong sibiko ay maaaring pahintulutan na magsagawa ng mga karera ng kabayo para sa pangangalap ng pondo, ngunit ang mga ito ay mahigpit na kinokontrol (matutunton pabalik sa Acts 4130 at 4240).
* **Sabong:** Ang Presidential Decree No. 449 ay nagpapahintulot sa sabong para sa mga layuning pangkawanggawa sa ilalim ng mga partikular na kondisyon, tulad ng pagkuha ng pahintulot mula sa Tanggapan ng Pangulo at mga limitasyon sa dalas at tagal.
**Mahahalagang Puntos para sa Mga Organizer:**
* **Iwasan ang Mga Iligal na Aktibidad:** Napakahalaga para sa mga organizer ng mga kaganapan sa pangangalap ng pondo upang lubos na maiwasan ang mga aktibidad sa ilegal na pagsusugal. * **Mga Alternatibo para sa Pagkalap ng Pondo:** Maraming malikhaing paraan upang makalikom ng mga pondo para sa mga layuning pangkawanggawa nang hindi gumagamit ng mga aktibidad sa ilegal na pagsusugal. Ang mga raffle, auction, at paghingi ng mga donasyon ay ilang legal na alternatibo.
* **Partnership with PCSO/PAGCOR:** Isaalang-alang ang pakikipagsosyo sa PCSO o PAGCOR para sa iyong charitable event. Tinitiyak nito ang pagsunod at nagbibigay-daan sa iyo na gamitin ang kanilang kadalubhasaan sa pagsasagawa ng mga legal na aktibidad sa pagsusugal para sa mga layunin ng pangangalap ng pondo.
**Mga Bunga ng Ilegal na Pagsusugal sa Mga Kaganapan sa Pagkalap ng Pondo:**
* **Sinagot ng Mga Organizer:** Ang mga organizer ng kaganapan na nagpapahintulot sa mga aktibidad ng ilegal na pagsusugal ay maaaring managot at maharap sa mga parusa sa ilalim ng RA 9287.
* **Pagsasara ng Kaganapan:** Maaaring isara ng mga awtoridad ang kaganapan kung matuklasan ang ilegal na pagsusugal.
* **Pinsala sa Reputasyon:** Maaaring makaranas ng pinsala sa reputasyon ang charity o organisasyon sa likod ng kaganapan dahil sa pagkakasangkot sa mga ilegal na aktibidad.
**Mga Rekomendasyon:**
* **Kumonsulta sa Abogado:** Kung hindi ka sigurado tungkol sa legalidad ng isang aktibidad sa pangangalap ng pondo na kinasasangkutan ng pagsusugal, ang pagkonsulta sa isang abogado na dalubhasa sa batas sa pagsusugal ay lubos na inirerekomenda.</v>
      </c>
      <c r="F1081" s="2">
        <f t="shared" si="1"/>
        <v>0</v>
      </c>
      <c r="G1081" s="2"/>
      <c r="H1081" s="2"/>
      <c r="I1081" s="2"/>
      <c r="J1081" s="2"/>
      <c r="K1081" s="2"/>
      <c r="L1081" s="2"/>
      <c r="M1081" s="2"/>
      <c r="N1081" s="2"/>
      <c r="O1081" s="2"/>
      <c r="P1081" s="2"/>
      <c r="Q1081" s="2"/>
      <c r="R1081" s="2"/>
      <c r="S1081" s="2"/>
      <c r="T1081" s="2"/>
      <c r="U1081" s="2"/>
      <c r="V1081" s="2"/>
      <c r="W1081" s="2"/>
      <c r="X1081" s="2"/>
      <c r="Y1081" s="2"/>
      <c r="Z1081" s="2"/>
      <c r="AA1081" s="2"/>
    </row>
    <row r="1082">
      <c r="A1082" s="3" t="s">
        <v>2763</v>
      </c>
      <c r="B1082" s="1" t="s">
        <v>3328</v>
      </c>
      <c r="C1082" s="1" t="s">
        <v>3329</v>
      </c>
      <c r="D1082" s="2" t="str">
        <f>IFERROR(__xludf.DUMMYFUNCTION("GOOGLETRANSLATE(B1082, ""en"", ""TL"")"),"Maaari ba akong kasuhan ng ilegal na pagsusugal kung kumikilos ako sa ilalim ng paniniwalang legal ang aktibidad?")</f>
        <v>Maaari ba akong kasuhan ng ilegal na pagsusugal kung kumikilos ako sa ilalim ng paniniwalang legal ang aktibidad?</v>
      </c>
      <c r="E1082" s="2" t="str">
        <f>IFERROR(__xludf.DUMMYFUNCTION("GOOGLETRANSLATE(C1082, ""en"", ""TL"")"),"Sa Pilipinas, sa pangkalahatan, ang kamangmangan sa batas **ay hindi nagdadahilan sa iyo** na makasuhan ng ilegal na pagsusugal. Narito kung bakit:
* **Strict Liability Offense:** Republic Act No. 9287 (RA 9287), ang pangunahing batas sa iligal na pagsusu"&amp;"gal, ay itinuturing na isang strict liability offense sa ilang interpretasyon. Nangangahulugan ito na **ang intensyon o kaalaman sa maling gawain ay hindi palaging isang kinakailangang elemento** para masingil. * **Tumuon sa Aktibidad:** Nakatuon ang bata"&amp;"s sa likas na katangian ng mismong aktibidad ng pagsusugal at kung sino ang nagpapadali nito. Kung lumahok ka o nag-facilitate sa isang aktibidad na nasa ilalim ng kahulugan ng ilegal na pagsusugal sa RA 9287, maaari kang kasuhan anuman ang iyong paniniwa"&amp;"la sa legalidad nito.
**Gayunpaman, maaaring may ilang puwang para sa pagpapagaan:**
* **Mga Pangangatwiran sa Depensa:** Bagama't hindi kumpletong depensa ang kamangmangan, maaaring ipangatuwiran ng iyong abogado ang pagpapagaan batay sa iyong paniniwala"&amp;"ng may magandang loob na legal ang aktibidad. Maaari silang magpakita ng ebidensya upang suportahan ang iyong claim, tulad ng:
* Pang-unawa ng publiko sa aktibidad
* Kakulangan ng malinaw na babala o signage
* Pag-asa sa impormasyon mula sa isang tila map"&amp;"agkakatiwalaang pinagmulan (bagaman ang maling pagtitiwala ay maaaring hindi gaanong timbang)
* **Pagpapasya ng Korte:** Sa huli, ang hukom o hukuman ay may ilang pagpapasya sa paghatol. Kung maipapakita ng iyong abogado ang iyong magandang paniniwala, ma"&amp;"aari itong humantong sa mas magaan na sentensiya o kahit na pagbabasura ng mga kaso. **Mahalagang Tandaan:**
* **Burden of Proof:** Ang burden of proof ay nasa iyo (o sa iyong abogado) para kumbinsihin ang korte ng iyong magandang paniniwala.
* **Lakas ng"&amp;" Argumento:** Ang tagumpay ng diskarteng ito ay depende sa mga partikular na pangyayari at sa lakas ng iyong ebidensya.
**Mga Rekomendasyon:**
* **Huwag Makilahok sa Mga Nagdududa na Aktibidad:** Kung hindi ka sigurado tungkol sa legalidad ng isang aktibi"&amp;"dad sa pagsusugal, pinakamahusay na iwasan ang ganap na paglahok.
* **Kumonsulta sa isang Abogado:** Kung ikaw ay kinasuhan ng iligal na pagsusugal at naniniwala kang kumikilos sa ilalim ng isang mabuting paniniwala ng legalidad, kumunsulta sa isang aboga"&amp;"do na dalubhasa sa criminal defense upang talakayin ang iyong mga opsyon at bumuo ng isang malakas na diskarte sa pagtatanggol.")</f>
        <v>Sa Pilipinas, sa pangkalahatan, ang kamangmangan sa batas **ay hindi nagdadahilan sa iyo** na makasuhan ng ilegal na pagsusugal. Narito kung bakit:
* **Strict Liability Offense:** Republic Act No. 9287 (RA 9287), ang pangunahing batas sa iligal na pagsusugal, ay itinuturing na isang strict liability offense sa ilang interpretasyon. Nangangahulugan ito na **ang intensyon o kaalaman sa maling gawain ay hindi palaging isang kinakailangang elemento** para masingil. * **Tumuon sa Aktibidad:** Nakatuon ang batas sa likas na katangian ng mismong aktibidad ng pagsusugal at kung sino ang nagpapadali nito. Kung lumahok ka o nag-facilitate sa isang aktibidad na nasa ilalim ng kahulugan ng ilegal na pagsusugal sa RA 9287, maaari kang kasuhan anuman ang iyong paniniwala sa legalidad nito.
**Gayunpaman, maaaring may ilang puwang para sa pagpapagaan:**
* **Mga Pangangatwiran sa Depensa:** Bagama't hindi kumpletong depensa ang kamangmangan, maaaring ipangatuwiran ng iyong abogado ang pagpapagaan batay sa iyong paniniwalang may magandang loob na legal ang aktibidad. Maaari silang magpakita ng ebidensya upang suportahan ang iyong claim, tulad ng:
* Pang-unawa ng publiko sa aktibidad
* Kakulangan ng malinaw na babala o signage
* Pag-asa sa impormasyon mula sa isang tila mapagkakatiwalaang pinagmulan (bagaman ang maling pagtitiwala ay maaaring hindi gaanong timbang)
* **Pagpapasya ng Korte:** Sa huli, ang hukom o hukuman ay may ilang pagpapasya sa paghatol. Kung maipapakita ng iyong abogado ang iyong magandang paniniwala, maaari itong humantong sa mas magaan na sentensiya o kahit na pagbabasura ng mga kaso. **Mahalagang Tandaan:**
* **Burden of Proof:** Ang burden of proof ay nasa iyo (o sa iyong abogado) para kumbinsihin ang korte ng iyong magandang paniniwala.
* **Lakas ng Argumento:** Ang tagumpay ng diskarteng ito ay depende sa mga partikular na pangyayari at sa lakas ng iyong ebidensya.
**Mga Rekomendasyon:**
* **Huwag Makilahok sa Mga Nagdududa na Aktibidad:** Kung hindi ka sigurado tungkol sa legalidad ng isang aktibidad sa pagsusugal, pinakamahusay na iwasan ang ganap na paglahok.
* **Kumonsulta sa isang Abogado:** Kung ikaw ay kinasuhan ng iligal na pagsusugal at naniniwala kang kumikilos sa ilalim ng isang mabuting paniniwala ng legalidad, kumunsulta sa isang abogado na dalubhasa sa criminal defense upang talakayin ang iyong mga opsyon at bumuo ng isang malakas na diskarte sa pagtatanggol.</v>
      </c>
      <c r="F1082" s="2">
        <f t="shared" si="1"/>
        <v>0</v>
      </c>
      <c r="G1082" s="2"/>
      <c r="H1082" s="2"/>
      <c r="I1082" s="2"/>
      <c r="J1082" s="2"/>
      <c r="K1082" s="2"/>
      <c r="L1082" s="2"/>
      <c r="M1082" s="2"/>
      <c r="N1082" s="2"/>
      <c r="O1082" s="2"/>
      <c r="P1082" s="2"/>
      <c r="Q1082" s="2"/>
      <c r="R1082" s="2"/>
      <c r="S1082" s="2"/>
      <c r="T1082" s="2"/>
      <c r="U1082" s="2"/>
      <c r="V1082" s="2"/>
      <c r="W1082" s="2"/>
      <c r="X1082" s="2"/>
      <c r="Y1082" s="2"/>
      <c r="Z1082" s="2"/>
      <c r="AA1082" s="2"/>
    </row>
    <row r="1083">
      <c r="A1083" s="3" t="s">
        <v>2763</v>
      </c>
      <c r="B1083" s="1" t="s">
        <v>3330</v>
      </c>
      <c r="C1083" s="1" t="s">
        <v>3331</v>
      </c>
      <c r="D1083" s="2" t="str">
        <f>IFERROR(__xludf.DUMMYFUNCTION("GOOGLETRANSLATE(B1083, ""en"", ""TL"")"),"Paano pinangangasiwaan ng batas ang mga kaso kung saan ang mga aktibidad ng ilegal na pagsusugal ay isinasagawa sa pamamagitan ng mga online platform na naka-host sa mga banyagang bansa?")</f>
        <v>Paano pinangangasiwaan ng batas ang mga kaso kung saan ang mga aktibidad ng ilegal na pagsusugal ay isinasagawa sa pamamagitan ng mga online platform na naka-host sa mga banyagang bansa?</v>
      </c>
      <c r="E1083" s="2" t="str">
        <f>IFERROR(__xludf.DUMMYFUNCTION("GOOGLETRANSLATE(C1083, ""en"", ""TL"")"),"Ang legal na tanawin ay nagiging mas nakakalito kapag ang mga aktibidad ng ilegal na pagsusugal ay nagsasangkot ng mga online na platform na naka-host sa mga banyagang bansa. Narito ang isang breakdown ng kung paano lumalapit ang batas ng Pilipinas sa mga"&amp;" ganitong kaso:
* **Limitadong Abot:** Pangunahing nalalapat ang batas ng Pilipinas sa mga aktibidad na nangyayari sa loob ng teritoryo ng Pilipinas, kabilang ang mga teritoryong karagatan nito. Maaaring maging mahirap na ipatupad ang mga batas ng Pilipin"&amp;"as sa mga aktibidad sa pagsusugal na naka-host sa mga dayuhang server.
* **Tumuon sa Mga Gumagamit ng Pilipinas:** Maaaring i-target ng batas ang mga mamamayang Pilipino o residente na lumalahok sa mga aktibidad na ito sa ilegal na online na pagsusugal, a"&amp;"numan ang lokasyon ng server.
**Mga Hamon sa Pagpapatupad ng Batas ng Pilipinas:**
* **Mga Isyu sa Hurisdiksiyon:** Maaaring walang direktang hurisdiksyon ang mga awtoridad sa Pilipinas sa mga platform ng online na pagsusugal na nakabase sa ibang bansa.
*"&amp;" **International Cooperation:** Ang pagsisiyasat at pag-uusig sa mga kasong ito ay malamang na nangangailangan ng pakikipagtulungan sa dayuhang bansa kung saan matatagpuan ang mga server. Ang pagiging epektibo ay nakasalalay sa mga umiiral na kasunduan o "&amp;"kasunduan sa pagitan ng Pilipinas at ng bansang iyon.
* **Mga Kahirapan sa Pagkuha ng Ebidensya:** Ang pagkuha ng ebidensya mula sa mga dayuhang server ay maaaring maging isang kumplikado at mahabang proseso.
**Ano ang magagawa ng mga awtoridad ng Pilipin"&amp;"as?**
* **Blocking Access:** Maaaring subukan ng mga awtoridad ng Pilipinas na harangan ang access sa mga dayuhang online na platform ng pagsusugal sa loob ng Pilipinas sa pamamagitan ng mga internet service provider (ISP).
* **Pagta-target ng Mga Transak"&amp;"syon sa Pinansyal:** Ang pagsubaybay at potensyal na pagharang sa mga transaksyong pinansyal sa pagitan ng mga Pilipinong gumagamit at ng mga platform na ito ay isa pang diskarte.
* **Mga Kampanya sa Pampublikong Kamalayan:** Ang pagpapataas ng kamalayan "&amp;"ng publiko tungkol sa mga panganib ng ilegal na online na pagsusugal ay mahalaga para sa pag-iwas.
**Mahahalagang Pagsasaalang-alang:**
* **Risk of Prosecution:** Kahit na ang mga server ay dayuhan, ang mga Pilipinong user na nakikilahok sa mga aktibidad "&amp;"ng ilegal na online na pagsusugal ay nanganganib pa rin sa pag-uusig sa ilalim ng mga batas ng Pilipinas tulad ng RA 9287.
* **Mga Banyagang Batas:** Ang user ay maaari ding sumailalim sa mga legal na kahihinatnan batay sa mga batas ng bansa kung saan nak"&amp;"a-host ang online na platform.
**Mga Rekomendasyon:**
* **Iwasan ang Mga Ilegal na Aktibidad:** Ang pinakaligtas na paraan ay ang pag-iwas sa mga ilegal na aktibidad sa online na pagsusugal, anuman ang lokasyon ng server.
* **Gumamit ng Mga Legal na Platf"&amp;"orm:** Kung gusto mong magsugal online, gumamit ng mga platform na lisensyado at kinokontrol ng mga awtoridad ng Pilipinas (tulad ng PAGCOR) upang matiyak ang legalidad at kaligtasan.
* **Mag-ulat ng Mga Kahina-hinalang Platform:** Kung makatagpo ka ng mg"&amp;"a kahina-hinalang online na platform ng pagsusugal, iulat ang mga ito sa mga awtoridad upang makatulong na pigilan ang kanilang pag-abot.")</f>
        <v>Ang legal na tanawin ay nagiging mas nakakalito kapag ang mga aktibidad ng ilegal na pagsusugal ay nagsasangkot ng mga online na platform na naka-host sa mga banyagang bansa. Narito ang isang breakdown ng kung paano lumalapit ang batas ng Pilipinas sa mga ganitong kaso:
* **Limitadong Abot:** Pangunahing nalalapat ang batas ng Pilipinas sa mga aktibidad na nangyayari sa loob ng teritoryo ng Pilipinas, kabilang ang mga teritoryong karagatan nito. Maaaring maging mahirap na ipatupad ang mga batas ng Pilipinas sa mga aktibidad sa pagsusugal na naka-host sa mga dayuhang server.
* **Tumuon sa Mga Gumagamit ng Pilipinas:** Maaaring i-target ng batas ang mga mamamayang Pilipino o residente na lumalahok sa mga aktibidad na ito sa ilegal na online na pagsusugal, anuman ang lokasyon ng server.
**Mga Hamon sa Pagpapatupad ng Batas ng Pilipinas:**
* **Mga Isyu sa Hurisdiksiyon:** Maaaring walang direktang hurisdiksyon ang mga awtoridad sa Pilipinas sa mga platform ng online na pagsusugal na nakabase sa ibang bansa.
* **International Cooperation:** Ang pagsisiyasat at pag-uusig sa mga kasong ito ay malamang na nangangailangan ng pakikipagtulungan sa dayuhang bansa kung saan matatagpuan ang mga server. Ang pagiging epektibo ay nakasalalay sa mga umiiral na kasunduan o kasunduan sa pagitan ng Pilipinas at ng bansang iyon.
* **Mga Kahirapan sa Pagkuha ng Ebidensya:** Ang pagkuha ng ebidensya mula sa mga dayuhang server ay maaaring maging isang kumplikado at mahabang proseso.
**Ano ang magagawa ng mga awtoridad ng Pilipinas?**
* **Blocking Access:** Maaaring subukan ng mga awtoridad ng Pilipinas na harangan ang access sa mga dayuhang online na platform ng pagsusugal sa loob ng Pilipinas sa pamamagitan ng mga internet service provider (ISP).
* **Pagta-target ng Mga Transaksyon sa Pinansyal:** Ang pagsubaybay at potensyal na pagharang sa mga transaksyong pinansyal sa pagitan ng mga Pilipinong gumagamit at ng mga platform na ito ay isa pang diskarte.
* **Mga Kampanya sa Pampublikong Kamalayan:** Ang pagpapataas ng kamalayan ng publiko tungkol sa mga panganib ng ilegal na online na pagsusugal ay mahalaga para sa pag-iwas.
**Mahahalagang Pagsasaalang-alang:**
* **Risk of Prosecution:** Kahit na ang mga server ay dayuhan, ang mga Pilipinong user na nakikilahok sa mga aktibidad ng ilegal na online na pagsusugal ay nanganganib pa rin sa pag-uusig sa ilalim ng mga batas ng Pilipinas tulad ng RA 9287.
* **Mga Banyagang Batas:** Ang user ay maaari ding sumailalim sa mga legal na kahihinatnan batay sa mga batas ng bansa kung saan naka-host ang online na platform.
**Mga Rekomendasyon:**
* **Iwasan ang Mga Ilegal na Aktibidad:** Ang pinakaligtas na paraan ay ang pag-iwas sa mga ilegal na aktibidad sa online na pagsusugal, anuman ang lokasyon ng server.
* **Gumamit ng Mga Legal na Platform:** Kung gusto mong magsugal online, gumamit ng mga platform na lisensyado at kinokontrol ng mga awtoridad ng Pilipinas (tulad ng PAGCOR) upang matiyak ang legalidad at kaligtasan.
* **Mag-ulat ng Mga Kahina-hinalang Platform:** Kung makatagpo ka ng mga kahina-hinalang online na platform ng pagsusugal, iulat ang mga ito sa mga awtoridad upang makatulong na pigilan ang kanilang pag-abot.</v>
      </c>
      <c r="F1083" s="2">
        <f t="shared" si="1"/>
        <v>0</v>
      </c>
      <c r="G1083" s="2"/>
      <c r="H1083" s="2"/>
      <c r="I1083" s="2"/>
      <c r="J1083" s="2"/>
      <c r="K1083" s="2"/>
      <c r="L1083" s="2"/>
      <c r="M1083" s="2"/>
      <c r="N1083" s="2"/>
      <c r="O1083" s="2"/>
      <c r="P1083" s="2"/>
      <c r="Q1083" s="2"/>
      <c r="R1083" s="2"/>
      <c r="S1083" s="2"/>
      <c r="T1083" s="2"/>
      <c r="U1083" s="2"/>
      <c r="V1083" s="2"/>
      <c r="W1083" s="2"/>
      <c r="X1083" s="2"/>
      <c r="Y1083" s="2"/>
      <c r="Z1083" s="2"/>
      <c r="AA1083" s="2"/>
    </row>
    <row r="1084">
      <c r="A1084" s="3" t="s">
        <v>2763</v>
      </c>
      <c r="B1084" s="1" t="s">
        <v>3332</v>
      </c>
      <c r="C1084" s="1" t="s">
        <v>3333</v>
      </c>
      <c r="D1084" s="2" t="str">
        <f>IFERROR(__xludf.DUMMYFUNCTION("GOOGLETRANSLATE(B1084, ""en"", ""TL"")"),"Maaari ba akong harapin ang civil forfeiture ng mga ari-arian o ari-arian kung sangkot sa mga aktibidad sa ilegal na pagsusugal?")</f>
        <v>Maaari ba akong harapin ang civil forfeiture ng mga ari-arian o ari-arian kung sangkot sa mga aktibidad sa ilegal na pagsusugal?</v>
      </c>
      <c r="E1084" s="2" t="str">
        <f>IFERROR(__xludf.DUMMYFUNCTION("GOOGLETRANSLATE(C1084, ""en"", ""TL"")"),"Sa Pilipinas, ang legal na tanawin tungkol sa civil forfeiture para sa mga aktibidad ng ilegal na pagsusugal ay **hindi ganap na malinaw**. Narito kung bakit:
* **Tumutok sa Mga Pagsingil sa Kriminal:** Ang pangunahing batas ng Pilipinas sa iligal na pags"&amp;"usugal, ang Republic Act No. 9287 (RA 9287), ay pangunahing nakatuon sa **mga parusang kriminal** para sa mga sangkot sa pag-oorganisa o pagpapadali sa mga naturang aktibidad. * **Umiral ang Mga Batas sa Pag-iwas sa Sibil:** Ang Pilipinas ay may mga batas"&amp;" sa sibil na forfeiture na nagpapahintulot sa mga awtoridad na agawin ang mga ari-arian na nakuha sa pamamagitan ng mga ilegal na aktibidad. Gayunpaman, ang partikular na aplikasyon sa iligal na pagsusugal ay tila hindi gaanong itinatag kumpara sa traffic"&amp;"king ng droga o iba pang malubhang krimen.
**Mga Kawalang-katiyakan at Pagsasaalang-alang:**
* **Limited Precedents:** Maaaring may mga limitadong legal na precedent tungkol sa civil forfeiture partikular para sa mga paglabag sa ilegal na pagsusugal sa Pi"&amp;"lipinas. Maaaring mag-alok ng ilang insight ang kasalukuyang batas ng kaso, ngunit nananatiling hindi malinaw ang buong saklaw.
* **Prinsipyo ng Proporsyonalidad:** Ang batas ng Pilipinas sa pangkalahatan ay itinataguyod ang prinsipyo ng proporsyonalidad "&amp;"sa mga parusa. Ang civil forfeiture ng mga ari-arian ay dapat na proporsyonal sa kalubhaan ng pagkakasala. Para sa maliliit na kaso ng pagsusugal, ang pag-agaw ng mga asset ay maaaring ituring na labis. **Mga Rekomendasyon:**
* **Kumonsulta sa isang Aboga"&amp;"do:** Kung nahaharap ka sa mga kaso para sa iligal na pagsusugal at nababahala tungkol sa potensyal na sibil na forfeiture, ang pagkonsulta sa isang abogado na dalubhasa sa criminal defense ay napakahalaga. Maaari nilang suriin ang iyong partikular na sit"&amp;"wasyon at payuhan ka tungkol sa posibilidad ng pag-alis ng civil asset batay sa kasalukuyang mga legal na interpretasyon.
* **Tumuon sa Pag-iwas sa Mga Singilin:** Ang pinakamahusay na paraan upang maiwasan ang civil forfeiture ay ang pag-iwas lamang sa l"&amp;"ahat ng pagkakasangkot sa mga aktibidad sa ilegal na pagsusugal.
**Mga Karagdagang Punto:**
* **Mga Singil sa Money Laundering:** Kung ang iyong pagkakasangkot sa iligal na pagsusugal ay nagreresulta sa mga singil sa money laundering, ang civil forfeiture"&amp;" ng mga ari-arian na nakuha sa pamamagitan ng mga ilegal na aktibidad na iyon ay nagiging mas malamang. Ang Anti-Money Laundering Act (AMLA) of the Philippines (Republic Act No. 10365) ay nagpapatibay sa kakayahan ng gobyerno na agawin ang mga ari-arian n"&amp;"a nauugnay sa money laundering.
* **Pakikipagtulungan sa mga Awtoridad:** Ang pakikipagtulungan sa mga awtoridad sa panahon ng mga pagsisiyasat ay maaaring makitang mabuti at potensyal na mabawasan ang panganib ng sibil na forfeiture, bagama't hindi ito i"&amp;"sang garantisadong resulta.")</f>
        <v>Sa Pilipinas, ang legal na tanawin tungkol sa civil forfeiture para sa mga aktibidad ng ilegal na pagsusugal ay **hindi ganap na malinaw**. Narito kung bakit:
* **Tumutok sa Mga Pagsingil sa Kriminal:** Ang pangunahing batas ng Pilipinas sa iligal na pagsusugal, ang Republic Act No. 9287 (RA 9287), ay pangunahing nakatuon sa **mga parusang kriminal** para sa mga sangkot sa pag-oorganisa o pagpapadali sa mga naturang aktibidad. * **Umiral ang Mga Batas sa Pag-iwas sa Sibil:** Ang Pilipinas ay may mga batas sa sibil na forfeiture na nagpapahintulot sa mga awtoridad na agawin ang mga ari-arian na nakuha sa pamamagitan ng mga ilegal na aktibidad. Gayunpaman, ang partikular na aplikasyon sa iligal na pagsusugal ay tila hindi gaanong itinatag kumpara sa trafficking ng droga o iba pang malubhang krimen.
**Mga Kawalang-katiyakan at Pagsasaalang-alang:**
* **Limited Precedents:** Maaaring may mga limitadong legal na precedent tungkol sa civil forfeiture partikular para sa mga paglabag sa ilegal na pagsusugal sa Pilipinas. Maaaring mag-alok ng ilang insight ang kasalukuyang batas ng kaso, ngunit nananatiling hindi malinaw ang buong saklaw.
* **Prinsipyo ng Proporsyonalidad:** Ang batas ng Pilipinas sa pangkalahatan ay itinataguyod ang prinsipyo ng proporsyonalidad sa mga parusa. Ang civil forfeiture ng mga ari-arian ay dapat na proporsyonal sa kalubhaan ng pagkakasala. Para sa maliliit na kaso ng pagsusugal, ang pag-agaw ng mga asset ay maaaring ituring na labis. **Mga Rekomendasyon:**
* **Kumonsulta sa isang Abogado:** Kung nahaharap ka sa mga kaso para sa iligal na pagsusugal at nababahala tungkol sa potensyal na sibil na forfeiture, ang pagkonsulta sa isang abogado na dalubhasa sa criminal defense ay napakahalaga. Maaari nilang suriin ang iyong partikular na sitwasyon at payuhan ka tungkol sa posibilidad ng pag-alis ng civil asset batay sa kasalukuyang mga legal na interpretasyon.
* **Tumuon sa Pag-iwas sa Mga Singilin:** Ang pinakamahusay na paraan upang maiwasan ang civil forfeiture ay ang pag-iwas lamang sa lahat ng pagkakasangkot sa mga aktibidad sa ilegal na pagsusugal.
**Mga Karagdagang Punto:**
* **Mga Singil sa Money Laundering:** Kung ang iyong pagkakasangkot sa iligal na pagsusugal ay nagreresulta sa mga singil sa money laundering, ang civil forfeiture ng mga ari-arian na nakuha sa pamamagitan ng mga ilegal na aktibidad na iyon ay nagiging mas malamang. Ang Anti-Money Laundering Act (AMLA) of the Philippines (Republic Act No. 10365) ay nagpapatibay sa kakayahan ng gobyerno na agawin ang mga ari-arian na nauugnay sa money laundering.
* **Pakikipagtulungan sa mga Awtoridad:** Ang pakikipagtulungan sa mga awtoridad sa panahon ng mga pagsisiyasat ay maaaring makitang mabuti at potensyal na mabawasan ang panganib ng sibil na forfeiture, bagama't hindi ito isang garantisadong resulta.</v>
      </c>
      <c r="F1084" s="2">
        <f t="shared" si="1"/>
        <v>0</v>
      </c>
      <c r="G1084" s="2"/>
      <c r="H1084" s="2"/>
      <c r="I1084" s="2"/>
      <c r="J1084" s="2"/>
      <c r="K1084" s="2"/>
      <c r="L1084" s="2"/>
      <c r="M1084" s="2"/>
      <c r="N1084" s="2"/>
      <c r="O1084" s="2"/>
      <c r="P1084" s="2"/>
      <c r="Q1084" s="2"/>
      <c r="R1084" s="2"/>
      <c r="S1084" s="2"/>
      <c r="T1084" s="2"/>
      <c r="U1084" s="2"/>
      <c r="V1084" s="2"/>
      <c r="W1084" s="2"/>
      <c r="X1084" s="2"/>
      <c r="Y1084" s="2"/>
      <c r="Z1084" s="2"/>
      <c r="AA1084" s="2"/>
    </row>
    <row r="1085">
      <c r="A1085" s="3" t="s">
        <v>2763</v>
      </c>
      <c r="B1085" s="1" t="s">
        <v>3334</v>
      </c>
      <c r="C1085" s="1" t="s">
        <v>3335</v>
      </c>
      <c r="D1085" s="2" t="str">
        <f>IFERROR(__xludf.DUMMYFUNCTION("GOOGLETRANSLATE(B1085, ""en"", ""TL"")"),"Paano tinutugunan ng batas ang mga kaso kung saan ang mga aktibidad ng ilegal na pagsusugal ay isinasagawa sa pansamantala o pop-up na mga establisyimento?")</f>
        <v>Paano tinutugunan ng batas ang mga kaso kung saan ang mga aktibidad ng ilegal na pagsusugal ay isinasagawa sa pansamantala o pop-up na mga establisyimento?</v>
      </c>
      <c r="E1085" s="2" t="str">
        <f>IFERROR(__xludf.DUMMYFUNCTION("GOOGLETRANSLATE(C1085, ""en"", ""TL"")"),"Tinatrato ng batas ng Pilipinas ang iligal na pagsusugal na isinasagawa sa mga pansamantala o pop-up na establisyimento sa parehong paraan tulad ng anumang operasyon ng ilegal na pagsusugal. Ang Revised Penal Code (RPC) [Philippine Revised Penal Code], pa"&amp;"rtikular sa Artikulo 149, ay tumutukoy at nagpaparusa sa ilegal na pagsusugal:
&gt; ""Ang sinumang tao na nakikibahagi sa negosyo ng pagsusugal nang walang lisensya ay dapat parusahan...""
Ang artikulo ay walang pagkakaiba sa pagitan ng permanenteng at pansa"&amp;"mantalang mga establisimyento ng pagsusugal. Ang pangunahing kadahilanan ay ang kawalan ng wastong lisensya.
Narito kung paano maaaring ilapat ang batas sa mga ganitong kaso:
* **Pagpapatupad ng batas:** May kapangyarihan ang mga awtoridad na salakayin an"&amp;"g mga pansamantalang operasyon ng pagsusugal na ito at hulihin ang mga sangkot. Ang mga ebidensyang nakolekta sa panahon ng raid ay maaaring gamitin sa pagsasampa ng mga kaso.
* **Mga Parusa:** Ang mga napatunayang nagkasala sa ilegal na pagsusugal ay nah"&amp;"aharap sa mga parusa mula sa pagkakulong hanggang sa mga multa, depende sa uri at sukat ng operasyon (Artikulo 149, RPC).
**Bukod pa rito, maaaring naaangkop ang ibang mga batas:**
* Mga ordinansa ng lokal na pamahalaan: Maraming mga lungsod at munisipali"&amp;"dad ang may mga ordinansa na partikular na nagbabawal sa pagsusugal sa loob ng kanilang mga nasasakupan. Ang mga ordinansang ito ay maaaring magpataw ng mga karagdagang parusa sa itaas ng mga nakabalangkas sa RPC.
* Mga permit sa negosyo: Ang pagpapatakbo"&amp;" ng isang negosyo, kahit na pansamantala, ay kadalasang nangangailangan ng mga permit. Ang pagkabigong makakuha ng mga kinakailangang permit ay maaaring magresulta sa magkahiwalay na mga singil.
**Mahalagang tandaan na:**
* Ang tugon na ito ay nagbibigay "&amp;"ng pangkalahatang pangkalahatang-ideya. Maaaring mag-iba-iba ang mga partikular na batas at ang kanilang pagpapatupad depende sa lokasyon.
Kung mayroon kang mga alalahanin tungkol sa mga aktibidad ng ilegal na pagsusugal sa iyong lugar, maaari mong:
* Isu"&amp;"mbong sila sa Philippine National Police (PNP).
* Makipag-ugnayan sa mga awtoridad ng iyong lokal na pamahalaan.")</f>
        <v>Tinatrato ng batas ng Pilipinas ang iligal na pagsusugal na isinasagawa sa mga pansamantala o pop-up na establisyimento sa parehong paraan tulad ng anumang operasyon ng ilegal na pagsusugal. Ang Revised Penal Code (RPC) [Philippine Revised Penal Code], partikular sa Artikulo 149, ay tumutukoy at nagpaparusa sa ilegal na pagsusugal:
&gt; "Ang sinumang tao na nakikibahagi sa negosyo ng pagsusugal nang walang lisensya ay dapat parusahan..."
Ang artikulo ay walang pagkakaiba sa pagitan ng permanenteng at pansamantalang mga establisimyento ng pagsusugal. Ang pangunahing kadahilanan ay ang kawalan ng wastong lisensya.
Narito kung paano maaaring ilapat ang batas sa mga ganitong kaso:
* **Pagpapatupad ng batas:** May kapangyarihan ang mga awtoridad na salakayin ang mga pansamantalang operasyon ng pagsusugal na ito at hulihin ang mga sangkot. Ang mga ebidensyang nakolekta sa panahon ng raid ay maaaring gamitin sa pagsasampa ng mga kaso.
* **Mga Parusa:** Ang mga napatunayang nagkasala sa ilegal na pagsusugal ay nahaharap sa mga parusa mula sa pagkakulong hanggang sa mga multa, depende sa uri at sukat ng operasyon (Artikulo 149, RPC).
**Bukod pa rito, maaaring naaangkop ang ibang mga batas:**
* Mga ordinansa ng lokal na pamahalaan: Maraming mga lungsod at munisipalidad ang may mga ordinansa na partikular na nagbabawal sa pagsusugal sa loob ng kanilang mga nasasakupan. Ang mga ordinansang ito ay maaaring magpataw ng mga karagdagang parusa sa itaas ng mga nakabalangkas sa RPC.
* Mga permit sa negosyo: Ang pagpapatakbo ng isang negosyo, kahit na pansamantala, ay kadalasang nangangailangan ng mga permit. Ang pagkabigong makakuha ng mga kinakailangang permit ay maaaring magresulta sa magkahiwalay na mga singil.
**Mahalagang tandaan na:**
* Ang tugon na ito ay nagbibigay ng pangkalahatang pangkalahatang-ideya. Maaaring mag-iba-iba ang mga partikular na batas at ang kanilang pagpapatupad depende sa lokasyon.
Kung mayroon kang mga alalahanin tungkol sa mga aktibidad ng ilegal na pagsusugal sa iyong lugar, maaari mong:
* Isumbong sila sa Philippine National Police (PNP).
* Makipag-ugnayan sa mga awtoridad ng iyong lokal na pamahalaan.</v>
      </c>
      <c r="F1085" s="2">
        <f t="shared" si="1"/>
        <v>0</v>
      </c>
      <c r="G1085" s="2"/>
      <c r="H1085" s="2"/>
      <c r="I1085" s="2"/>
      <c r="J1085" s="2"/>
      <c r="K1085" s="2"/>
      <c r="L1085" s="2"/>
      <c r="M1085" s="2"/>
      <c r="N1085" s="2"/>
      <c r="O1085" s="2"/>
      <c r="P1085" s="2"/>
      <c r="Q1085" s="2"/>
      <c r="R1085" s="2"/>
      <c r="S1085" s="2"/>
      <c r="T1085" s="2"/>
      <c r="U1085" s="2"/>
      <c r="V1085" s="2"/>
      <c r="W1085" s="2"/>
      <c r="X1085" s="2"/>
      <c r="Y1085" s="2"/>
      <c r="Z1085" s="2"/>
      <c r="AA1085" s="2"/>
    </row>
    <row r="1086">
      <c r="A1086" s="3" t="s">
        <v>2763</v>
      </c>
      <c r="B1086" s="1" t="s">
        <v>3336</v>
      </c>
      <c r="C1086" s="1" t="s">
        <v>3337</v>
      </c>
      <c r="D1086" s="2" t="str">
        <f>IFERROR(__xludf.DUMMYFUNCTION("GOOGLETRANSLATE(B1086, ""en"", ""TL"")"),"Maaari ba akong kasuhan ng ilegal na pagsusugal kung naakusahan ako batay lamang sa circumstantial evidence?")</f>
        <v>Maaari ba akong kasuhan ng ilegal na pagsusugal kung naakusahan ako batay lamang sa circumstantial evidence?</v>
      </c>
      <c r="E1086" s="2" t="str">
        <f>IFERROR(__xludf.DUMMYFUNCTION("GOOGLETRANSLATE(C1086, ""en"", ""TL"")"),"Sa ilalim ng batas ng Pilipinas, maaaring gamitin ang circumstantial evidence para mahatulan ang isang tao sa isang krimen, kabilang ang ilegal na pagsusugal. Nakasaad ito sa Article 244 ng Revised Penal Code (RPC) [Philippine Revised Penal Code, Article "&amp;"244], na nagsasaad:
&gt; ""Ang circumstantial na ebidensya ay sapat para sa paghatol kung:
&gt;
&gt; 1. May pagsang-ayon ang lahat ng mga pangyayaring napatunayan;
&gt; 2. Ang mga katotohanang itinatag ng ebidensya ay naaayon sa pagkakasala ng akusado, at hindi naaay"&amp;"on sa anumang iba pang makatwirang konklusyon;
&gt; 3. Ang mga pangyayari ay napatunayang nagbunga, na isinasaalang-alang sa kabuuan, ng isang moral na paniniwala sa isipan ng hukuman na ang akusado ay nagkasala nang walang makatwirang pagdududa.""
Gayunpama"&amp;"n, ang parehong artikulo ay nagbibigay-diin na ang ebidensya ay dapat sapat na malakas upang kumbinsihin ang hukuman nang walang makatwirang pagdududa. Narito ang ibig sabihin nito para sa iyong sitwasyon:
* **Maaaring gumamit ng circumstantial evidence:*"&amp;"* Ang katotohanan na hindi ka pa nahuling direktang nagsusugal ay hindi awtomatikong nag-aalis ng posibilidad ng mga singilin. Ang pagpapatupad ng batas ay maaaring bumuo ng isang kaso batay sa circumstantial evidence, tulad ng:
* Malaking halaga ng pera "&amp;"o mga kagamitan sa pagsusugal na natagpuan sa iyong pag-aari.
* Saksihan ang mga patotoo tungkol sa iyong pagkakasangkot sa mga aktibidad sa pagsusugal.
* Mga elektronikong rekord na nagli-link sa iyo sa mga online na site ng pagsusugal (kung naaangkop).
"&amp;"* **Ang lakas ng ebidensya ay mahalaga:** Ang hukuman ay maingat na susuriin ang ebidensya na ipinakita. Maaaring hindi sapat ang isang mahinang kaso batay sa circumstantial evidence para masiguro ang isang paghatol.
**Narito ang hindi mo matiyak batay sa"&amp;" impormasyong ibinigay:**
* **Ang mga partikular na detalye ng iyong kaso:** Nang hindi nalalaman ang eksaktong katangian ng circumstantial na ebidensya, imposibleng sabihin nang tiyak kung ang mga singil ay isampa o kung gaano katibay ang kaso.
**Rekomen"&amp;"dasyon:**
* Kung inakusahan ka ng ilegal na pagsusugal, mahalagang kumunsulta sa isang abogado na dalubhasa sa depensang kriminal. Maaari nilang suriin ang mga partikular na detalye ng iyong kaso at payuhan ka sa pinakamahusay na paraan ng pagkilos.")</f>
        <v>Sa ilalim ng batas ng Pilipinas, maaaring gamitin ang circumstantial evidence para mahatulan ang isang tao sa isang krimen, kabilang ang ilegal na pagsusugal. Nakasaad ito sa Article 244 ng Revised Penal Code (RPC) [Philippine Revised Penal Code, Article 244], na nagsasaad:
&gt; "Ang circumstantial na ebidensya ay sapat para sa paghatol kung:
&gt;
&gt; 1. May pagsang-ayon ang lahat ng mga pangyayaring napatunayan;
&gt; 2. Ang mga katotohanang itinatag ng ebidensya ay naaayon sa pagkakasala ng akusado, at hindi naaayon sa anumang iba pang makatwirang konklusyon;
&gt; 3. Ang mga pangyayari ay napatunayang nagbunga, na isinasaalang-alang sa kabuuan, ng isang moral na paniniwala sa isipan ng hukuman na ang akusado ay nagkasala nang walang makatwirang pagdududa."
Gayunpaman, ang parehong artikulo ay nagbibigay-diin na ang ebidensya ay dapat sapat na malakas upang kumbinsihin ang hukuman nang walang makatwirang pagdududa. Narito ang ibig sabihin nito para sa iyong sitwasyon:
* **Maaaring gumamit ng circumstantial evidence:** Ang katotohanan na hindi ka pa nahuling direktang nagsusugal ay hindi awtomatikong nag-aalis ng posibilidad ng mga singilin. Ang pagpapatupad ng batas ay maaaring bumuo ng isang kaso batay sa circumstantial evidence, tulad ng:
* Malaking halaga ng pera o mga kagamitan sa pagsusugal na natagpuan sa iyong pag-aari.
* Saksihan ang mga patotoo tungkol sa iyong pagkakasangkot sa mga aktibidad sa pagsusugal.
* Mga elektronikong rekord na nagli-link sa iyo sa mga online na site ng pagsusugal (kung naaangkop).
* **Ang lakas ng ebidensya ay mahalaga:** Ang hukuman ay maingat na susuriin ang ebidensya na ipinakita. Maaaring hindi sapat ang isang mahinang kaso batay sa circumstantial evidence para masiguro ang isang paghatol.
**Narito ang hindi mo matiyak batay sa impormasyong ibinigay:**
* **Ang mga partikular na detalye ng iyong kaso:** Nang hindi nalalaman ang eksaktong katangian ng circumstantial na ebidensya, imposibleng sabihin nang tiyak kung ang mga singil ay isampa o kung gaano katibay ang kaso.
**Rekomendasyon:**
* Kung inakusahan ka ng ilegal na pagsusugal, mahalagang kumunsulta sa isang abogado na dalubhasa sa depensang kriminal. Maaari nilang suriin ang mga partikular na detalye ng iyong kaso at payuhan ka sa pinakamahusay na paraan ng pagkilos.</v>
      </c>
      <c r="F1086" s="2">
        <f t="shared" si="1"/>
        <v>0</v>
      </c>
      <c r="G1086" s="2"/>
      <c r="H1086" s="2"/>
      <c r="I1086" s="2"/>
      <c r="J1086" s="2"/>
      <c r="K1086" s="2"/>
      <c r="L1086" s="2"/>
      <c r="M1086" s="2"/>
      <c r="N1086" s="2"/>
      <c r="O1086" s="2"/>
      <c r="P1086" s="2"/>
      <c r="Q1086" s="2"/>
      <c r="R1086" s="2"/>
      <c r="S1086" s="2"/>
      <c r="T1086" s="2"/>
      <c r="U1086" s="2"/>
      <c r="V1086" s="2"/>
      <c r="W1086" s="2"/>
      <c r="X1086" s="2"/>
      <c r="Y1086" s="2"/>
      <c r="Z1086" s="2"/>
      <c r="AA1086" s="2"/>
    </row>
    <row r="1087">
      <c r="A1087" s="3" t="s">
        <v>2763</v>
      </c>
      <c r="B1087" s="1" t="s">
        <v>3338</v>
      </c>
      <c r="C1087" s="1" t="s">
        <v>3339</v>
      </c>
      <c r="D1087" s="2" t="str">
        <f>IFERROR(__xludf.DUMMYFUNCTION("GOOGLETRANSLATE(B1087, ""en"", ""TL"")"),"Paano pinangangasiwaan ng batas ang mga kaso kung saan ang mga aktibidad ng ilegal na pagsusugal ay isinasagawa sa pamamagitan ng mga mobile application o social media platform?")</f>
        <v>Paano pinangangasiwaan ng batas ang mga kaso kung saan ang mga aktibidad ng ilegal na pagsusugal ay isinasagawa sa pamamagitan ng mga mobile application o social media platform?</v>
      </c>
      <c r="E1087" s="2" t="str">
        <f>IFERROR(__xludf.DUMMYFUNCTION("GOOGLETRANSLATE(C1087, ""en"", ""TL"")"),"Sa Pilipinas, tinutugunan ng batas ang mga kaso kung saan ang mga aktibidad ng ilegal na pagsusugal ay isinasagawa sa pamamagitan ng mga mobile application o social media platform. Ang pangunahing legal na balangkas para sa pagtugon sa mga naturang aktibi"&amp;"dad ay kinabibilangan ng Republic Act No. 9287, na nag-amyendahan sa ilang mga probisyon ng Presidential Decree No. 1602, at iba pang nauugnay na batas na may kaugnayan sa online na pagsusugal.
Narito ang mga pangunahing punto na dapat isaalang-alang:
1. "&amp;"**Batas Republika Blg. 9287:**
- Ang Republic Act No. 9287 ay nagtaas ng mga parusa para sa mga laro ng ilegal na numero, kabilang ang mga isinasagawa sa pamamagitan ng iba't ibang paraan, kabilang ang mga mobile application o social media platform. Ang b"&amp;"atas ay nagpapataw ng mas mataas na multa at mga parusa sa parehong mga operator at kalahok na sangkot sa naturang mga ilegal na aktibidad.
2. **Dekreto ng Pangulo Blg. 1602:**
- Ang Presidential Decree No. 1602 ay unang nagbigay ng mga parusa para sa mga"&amp;" aktibidad ng ilegal na pagsusugal, kabilang ang hindi awtorisadong mga laro sa pagtaya. Ang kautusang ito ay binago sa kalaunan ng Republic Act No. 9287 upang tugunan ang pagbabago ng tanawin ng mga larong ilegal na numero.
3. **Mga Batas sa Online na Pa"&amp;"gsusugal:**
- Habang ang Republic Act No. 9287 ay hindi partikular na binanggit ang online na pagsusugal, ang iba pang mga batas at regulasyon, tulad ng mga nauugnay sa mga lisensya at operasyon ng online na pagsusugal, ay maaaring mag-aplay. Ang Philippi"&amp;"ne Amusement and Gaming Corporation (PAGCOR) ay kumokontrol at nangangasiwa sa mga aktibidad sa online na pagsusugal, at ang pagpapatakbo nang walang kinakailangang mga lisensya ay maaaring ituring na ilegal.
4. **Mga Batas sa Anti-Cybercrime:**
- Kasama "&amp;"sa Cybercrime Prevention Act of 2012 (Republic Act No. 10175) ang mga probisyon na nauugnay sa mga cybercrime, na maaaring sumasaklaw sa mga aktibidad ng ilegal na pagsusugal na isinasagawa online. Nilalayon ng batas na tugunan ang mga pagkakasala na gina"&amp;"wa gamit ang mga teknolohiya ng impormasyon at komunikasyon, kabilang ang mga kinasasangkutan ng mga social media platform o mga mobile application.
5. **Koordinasyon sa mga Awtoridad:**
- Ang mga ahensyang nagpapatupad ng batas, tulad ng National Bureau "&amp;"of Investigation (NBI) Cybercrime Division at Philippine National Police (PNP) Anti-Cybercrime Group, ay maaaring gumawa ng aksyon laban sa mga aktibidad ng ilegal na pagsusugal na isinasagawa sa pamamagitan ng mga mobile application o social media platfo"&amp;"rm. Kabilang dito ang pagsasagawa ng mga pagsisiyasat at pagsasagawa ng mga legal na hakbang laban sa mga nagkasala.
6. **Regulasyon ng PAGCOR:**
- Ang PAGCOR ay ang regulatory body na responsable para sa pangangasiwa at pag-regulate ng mga aktibidad sa p"&amp;"aglalaro at pagsusugal sa Pilipinas. Ang mga operator ng online na pagsusugal ay kinakailangang kumuha ng mga kinakailangang lisensya at sumunod sa mga regulasyon ng PAGCOR.
Ang mga indibidwal na kasangkot o nangangasiwa sa mga aktibidad ng ilegal na pags"&amp;"usugal sa pamamagitan ng mga mobile application o mga platform ng social media ay maaaring maharap sa mga legal na kahihinatnan, kabilang ang mga multa at pagkakulong. Mahalagang sumunod sa mga nauugnay na batas at regulasyon, mag-ulat ng mga ilegal na ak"&amp;"tibidad sa mga awtoridad, at humingi ng legal na payo kung kinakailangan.
Habang maaaring umunlad ang mga batas at regulasyon, ang pagkonsulta sa mga legal na propesyonal na pamilyar sa mga batas sa pagsusugal at cybercrime sa Pilipinas ay maaaring magbig"&amp;"ay ng updated at partikular na patnubay batay sa mga pangyayari.")</f>
        <v>Sa Pilipinas, tinutugunan ng batas ang mga kaso kung saan ang mga aktibidad ng ilegal na pagsusugal ay isinasagawa sa pamamagitan ng mga mobile application o social media platform. Ang pangunahing legal na balangkas para sa pagtugon sa mga naturang aktibidad ay kinabibilangan ng Republic Act No. 9287, na nag-amyendahan sa ilang mga probisyon ng Presidential Decree No. 1602, at iba pang nauugnay na batas na may kaugnayan sa online na pagsusugal.
Narito ang mga pangunahing punto na dapat isaalang-alang:
1. **Batas Republika Blg. 9287:**
- Ang Republic Act No. 9287 ay nagtaas ng mga parusa para sa mga laro ng ilegal na numero, kabilang ang mga isinasagawa sa pamamagitan ng iba't ibang paraan, kabilang ang mga mobile application o social media platform. Ang batas ay nagpapataw ng mas mataas na multa at mga parusa sa parehong mga operator at kalahok na sangkot sa naturang mga ilegal na aktibidad.
2. **Dekreto ng Pangulo Blg. 1602:**
- Ang Presidential Decree No. 1602 ay unang nagbigay ng mga parusa para sa mga aktibidad ng ilegal na pagsusugal, kabilang ang hindi awtorisadong mga laro sa pagtaya. Ang kautusang ito ay binago sa kalaunan ng Republic Act No. 9287 upang tugunan ang pagbabago ng tanawin ng mga larong ilegal na numero.
3. **Mga Batas sa Online na Pagsusugal:**
- Habang ang Republic Act No. 9287 ay hindi partikular na binanggit ang online na pagsusugal, ang iba pang mga batas at regulasyon, tulad ng mga nauugnay sa mga lisensya at operasyon ng online na pagsusugal, ay maaaring mag-aplay. Ang Philippine Amusement and Gaming Corporation (PAGCOR) ay kumokontrol at nangangasiwa sa mga aktibidad sa online na pagsusugal, at ang pagpapatakbo nang walang kinakailangang mga lisensya ay maaaring ituring na ilegal.
4. **Mga Batas sa Anti-Cybercrime:**
- Kasama sa Cybercrime Prevention Act of 2012 (Republic Act No. 10175) ang mga probisyon na nauugnay sa mga cybercrime, na maaaring sumasaklaw sa mga aktibidad ng ilegal na pagsusugal na isinasagawa online. Nilalayon ng batas na tugunan ang mga pagkakasala na ginawa gamit ang mga teknolohiya ng impormasyon at komunikasyon, kabilang ang mga kinasasangkutan ng mga social media platform o mga mobile application.
5. **Koordinasyon sa mga Awtoridad:**
- Ang mga ahensyang nagpapatupad ng batas, tulad ng National Bureau of Investigation (NBI) Cybercrime Division at Philippine National Police (PNP) Anti-Cybercrime Group, ay maaaring gumawa ng aksyon laban sa mga aktibidad ng ilegal na pagsusugal na isinasagawa sa pamamagitan ng mga mobile application o social media platform. Kabilang dito ang pagsasagawa ng mga pagsisiyasat at pagsasagawa ng mga legal na hakbang laban sa mga nagkasala.
6. **Regulasyon ng PAGCOR:**
- Ang PAGCOR ay ang regulatory body na responsable para sa pangangasiwa at pag-regulate ng mga aktibidad sa paglalaro at pagsusugal sa Pilipinas. Ang mga operator ng online na pagsusugal ay kinakailangang kumuha ng mga kinakailangang lisensya at sumunod sa mga regulasyon ng PAGCOR.
Ang mga indibidwal na kasangkot o nangangasiwa sa mga aktibidad ng ilegal na pagsusugal sa pamamagitan ng mga mobile application o mga platform ng social media ay maaaring maharap sa mga legal na kahihinatnan, kabilang ang mga multa at pagkakulong. Mahalagang sumunod sa mga nauugnay na batas at regulasyon, mag-ulat ng mga ilegal na aktibidad sa mga awtoridad, at humingi ng legal na payo kung kinakailangan.
Habang maaaring umunlad ang mga batas at regulasyon, ang pagkonsulta sa mga legal na propesyonal na pamilyar sa mga batas sa pagsusugal at cybercrime sa Pilipinas ay maaaring magbigay ng updated at partikular na patnubay batay sa mga pangyayari.</v>
      </c>
      <c r="F1087" s="2">
        <f t="shared" si="1"/>
        <v>0</v>
      </c>
      <c r="G1087" s="2"/>
      <c r="H1087" s="2"/>
      <c r="I1087" s="2"/>
      <c r="J1087" s="2"/>
      <c r="K1087" s="2"/>
      <c r="L1087" s="2"/>
      <c r="M1087" s="2"/>
      <c r="N1087" s="2"/>
      <c r="O1087" s="2"/>
      <c r="P1087" s="2"/>
      <c r="Q1087" s="2"/>
      <c r="R1087" s="2"/>
      <c r="S1087" s="2"/>
      <c r="T1087" s="2"/>
      <c r="U1087" s="2"/>
      <c r="V1087" s="2"/>
      <c r="W1087" s="2"/>
      <c r="X1087" s="2"/>
      <c r="Y1087" s="2"/>
      <c r="Z1087" s="2"/>
      <c r="AA1087" s="2"/>
    </row>
    <row r="1088">
      <c r="A1088" s="3" t="s">
        <v>2763</v>
      </c>
      <c r="B1088" s="1" t="s">
        <v>3340</v>
      </c>
      <c r="C1088" s="1" t="s">
        <v>3341</v>
      </c>
      <c r="D1088" s="2" t="str">
        <f>IFERROR(__xludf.DUMMYFUNCTION("GOOGLETRANSLATE(B1088, ""en"", ""TL"")"),"Maaari ba akong makasuhan ng illegal gambling kung empleyado lang ako ng establishment?")</f>
        <v>Maaari ba akong makasuhan ng illegal gambling kung empleyado lang ako ng establishment?</v>
      </c>
      <c r="E1088" s="2" t="str">
        <f>IFERROR(__xludf.DUMMYFUNCTION("GOOGLETRANSLATE(C1088, ""en"", ""TL"")"),"Kung ikaw, bilang isang empleyado ng isang establisyimento, ay maaaring makasuhan ng ilegal na pagsusugal ay depende sa iyong partikular na tungkulin, mga responsibilidad, at antas ng pagkakasangkot sa mga aktibidad ng ilegal na pagsusugal. Sa pangkalahat"&amp;"an, ang mga empleyado na gumaganap lamang ng kanilang mga tungkulin sa trabaho nang walang direktang pakikilahok sa pagpaplano o pagpapatupad ng iligal na pagsusugal ay maaaring mas malamang na mahaharap sa mga kasong kriminal kumpara sa mga aktibong luma"&amp;"hok o nagpapadali sa ilegal na pagsusugal.
Narito ang ilang pangunahing pagsasaalang-alang:
1. **Direktang Paglahok:**
- Kung ang iyong trabaho ay nagsasangkot ng aktibong pakikilahok sa o pagpapadali sa mga aktibidad ng ilegal na pagsusugal, maaari kang "&amp;"nasa panganib na makaharap sa mga singil na may kaugnayan sa ilegal na pagsusugal. Maaaring kabilang dito ang mga tungkulin gaya ng pamamahala o pagpapatakbo ng mga talahanayan ng pagsusugal, pagkolekta ng mga taya, o direktang pagpapadali sa mga operasyo"&amp;"n ng pagsusugal.
2. **Kaalaman at Kamalayan:**
- Kung alam mo ang mga aktibidad ng ilegal na pagsusugal na nagaganap sa loob ng establisyimento ngunit hindi aktibong lumahok o nag-uulat nito, maaari ka pa ring humarap sa mga legal na kahihinatnan. Ang hin"&amp;"di pag-uulat ng mga ilegal na aktibidad ay maaaring ituring na isang anyo ng pakikipagsabwatan o pagtulong at pag-abet.
3. **Ordinaryong Trabaho:**
- Kung ang iyong trabaho ay nagsasangkot ng mga nakagawiang at ordinaryong gawain sa pagtatrabaho sa loob n"&amp;"g establisyimento, tulad ng mga tungkuling administratibo o janitorial, at hindi ka direktang kasangkot sa mga operasyon ng pagsusugal, ang posibilidad na maharap sa mga singil ay maaaring mas mababa.
4. **Mga Legal na Obligasyon:**
- Ang mga empleyado ay"&amp;" may legal na obligasyon na mag-ulat ng mga ilegal na aktibidad sa loob ng kanilang lugar ng trabaho. Ang pagkabigong mag-ulat ng iligal na pagsusugal ay maaaring humantong sa mga legal na kahihinatnan, kahit na walang direktang paglahok.
5. **Pananagutan"&amp;" ng Korporat:**
- Maaaring harapin ng mga employer at may-ari ng negosyo ang higit na legal na pagsisiyasat at pananagutan para sa mga aktibidad ng ilegal na pagsusugal na isinasagawa sa loob ng kanilang mga establisyimento. Gayunpaman, ang mga empleyadon"&amp;"g napatunayang aktibong kasangkot ay maaari pa ring masingil.
Mahalagang tandaan na maaaring mag-iba ang mga legal na interpretasyon, at mahalaga ang mga partikular na kalagayan ng bawat kaso. Kung makikita mo ang iyong sarili sa isang sitwasyon kung saan"&amp;" nagaganap ang mga ilegal na aktibidad sa pagsusugal sa loob ng iyong lugar ng trabaho, ipinapayong:
- Iulat ang mga aktibidad sa mga awtoridad na nagpapatupad ng batas.
- Humingi ng legal na payo upang maunawaan ang iyong mga karapatan at responsibilidad"&amp;".
- Makipagtulungan sa anumang pagsisiyasat na isinagawa ng mga kaugnay na awtoridad.
Ang pagkonsulta sa mga legal na propesyonal na dalubhasa sa mga batas sa pagsusugal sa Pilipinas ay maaaring magbigay ng gabay batay sa mga partikular na detalye ng iyon"&amp;"g sitwasyon. Ang pag-unawa at pagsunod sa batas ay mahalaga upang maiwasan ang mga legal na kahihinatnan na nauugnay sa mga aktibidad ng ilegal na pagsusugal.")</f>
        <v>Kung ikaw, bilang isang empleyado ng isang establisyimento, ay maaaring makasuhan ng ilegal na pagsusugal ay depende sa iyong partikular na tungkulin, mga responsibilidad, at antas ng pagkakasangkot sa mga aktibidad ng ilegal na pagsusugal. Sa pangkalahatan, ang mga empleyado na gumaganap lamang ng kanilang mga tungkulin sa trabaho nang walang direktang pakikilahok sa pagpaplano o pagpapatupad ng iligal na pagsusugal ay maaaring mas malamang na mahaharap sa mga kasong kriminal kumpara sa mga aktibong lumahok o nagpapadali sa ilegal na pagsusugal.
Narito ang ilang pangunahing pagsasaalang-alang:
1. **Direktang Paglahok:**
- Kung ang iyong trabaho ay nagsasangkot ng aktibong pakikilahok sa o pagpapadali sa mga aktibidad ng ilegal na pagsusugal, maaari kang nasa panganib na makaharap sa mga singil na may kaugnayan sa ilegal na pagsusugal. Maaaring kabilang dito ang mga tungkulin gaya ng pamamahala o pagpapatakbo ng mga talahanayan ng pagsusugal, pagkolekta ng mga taya, o direktang pagpapadali sa mga operasyon ng pagsusugal.
2. **Kaalaman at Kamalayan:**
- Kung alam mo ang mga aktibidad ng ilegal na pagsusugal na nagaganap sa loob ng establisyimento ngunit hindi aktibong lumahok o nag-uulat nito, maaari ka pa ring humarap sa mga legal na kahihinatnan. Ang hindi pag-uulat ng mga ilegal na aktibidad ay maaaring ituring na isang anyo ng pakikipagsabwatan o pagtulong at pag-abet.
3. **Ordinaryong Trabaho:**
- Kung ang iyong trabaho ay nagsasangkot ng mga nakagawiang at ordinaryong gawain sa pagtatrabaho sa loob ng establisyimento, tulad ng mga tungkuling administratibo o janitorial, at hindi ka direktang kasangkot sa mga operasyon ng pagsusugal, ang posibilidad na maharap sa mga singil ay maaaring mas mababa.
4. **Mga Legal na Obligasyon:**
- Ang mga empleyado ay may legal na obligasyon na mag-ulat ng mga ilegal na aktibidad sa loob ng kanilang lugar ng trabaho. Ang pagkabigong mag-ulat ng iligal na pagsusugal ay maaaring humantong sa mga legal na kahihinatnan, kahit na walang direktang paglahok.
5. **Pananagutan ng Korporat:**
- Maaaring harapin ng mga employer at may-ari ng negosyo ang higit na legal na pagsisiyasat at pananagutan para sa mga aktibidad ng ilegal na pagsusugal na isinasagawa sa loob ng kanilang mga establisyimento. Gayunpaman, ang mga empleyadong napatunayang aktibong kasangkot ay maaari pa ring masingil.
Mahalagang tandaan na maaaring mag-iba ang mga legal na interpretasyon, at mahalaga ang mga partikular na kalagayan ng bawat kaso. Kung makikita mo ang iyong sarili sa isang sitwasyon kung saan nagaganap ang mga ilegal na aktibidad sa pagsusugal sa loob ng iyong lugar ng trabaho, ipinapayong:
- Iulat ang mga aktibidad sa mga awtoridad na nagpapatupad ng batas.
- Humingi ng legal na payo upang maunawaan ang iyong mga karapatan at responsibilidad.
- Makipagtulungan sa anumang pagsisiyasat na isinagawa ng mga kaugnay na awtoridad.
Ang pagkonsulta sa mga legal na propesyonal na dalubhasa sa mga batas sa pagsusugal sa Pilipinas ay maaaring magbigay ng gabay batay sa mga partikular na detalye ng iyong sitwasyon. Ang pag-unawa at pagsunod sa batas ay mahalaga upang maiwasan ang mga legal na kahihinatnan na nauugnay sa mga aktibidad ng ilegal na pagsusugal.</v>
      </c>
      <c r="F1088" s="2">
        <f t="shared" si="1"/>
        <v>0</v>
      </c>
      <c r="G1088" s="2"/>
      <c r="H1088" s="2"/>
      <c r="I1088" s="2"/>
      <c r="J1088" s="2"/>
      <c r="K1088" s="2"/>
      <c r="L1088" s="2"/>
      <c r="M1088" s="2"/>
      <c r="N1088" s="2"/>
      <c r="O1088" s="2"/>
      <c r="P1088" s="2"/>
      <c r="Q1088" s="2"/>
      <c r="R1088" s="2"/>
      <c r="S1088" s="2"/>
      <c r="T1088" s="2"/>
      <c r="U1088" s="2"/>
      <c r="V1088" s="2"/>
      <c r="W1088" s="2"/>
      <c r="X1088" s="2"/>
      <c r="Y1088" s="2"/>
      <c r="Z1088" s="2"/>
      <c r="AA1088" s="2"/>
    </row>
    <row r="1089">
      <c r="A1089" s="3" t="s">
        <v>2763</v>
      </c>
      <c r="B1089" s="1" t="s">
        <v>3342</v>
      </c>
      <c r="C1089" s="1" t="s">
        <v>3343</v>
      </c>
      <c r="D1089" s="2" t="str">
        <f>IFERROR(__xludf.DUMMYFUNCTION("GOOGLETRANSLATE(B1089, ""en"", ""TL"")"),"Paano tinutugunan ng batas ang mga kaso kung saan ang mga aktibidad ng ilegal na pagsusugal ay isinasagawa sa pamamagitan ng hindi lisensyado o underground na mga casino?")</f>
        <v>Paano tinutugunan ng batas ang mga kaso kung saan ang mga aktibidad ng ilegal na pagsusugal ay isinasagawa sa pamamagitan ng hindi lisensyado o underground na mga casino?</v>
      </c>
      <c r="E1089" s="2" t="str">
        <f>IFERROR(__xludf.DUMMYFUNCTION("GOOGLETRANSLATE(C1089, ""en"", ""TL"")"),"Sa Pilipinas, tinutugunan ng batas ang mga kaso kung saan ang mga aktibidad ng ilegal na pagsusugal ay isinasagawa sa pamamagitan ng mga hindi lisensyado o underground na mga casino pangunahin sa pamamagitan ng Republic Act No. 9287. Ang batas na ito, na "&amp;"kilala rin bilang ""An Act Increasing the Penalties for Illegal Numbers Games, Amending Certain Provisions of Presidential Decree No. 1602, at para sa Iba Pang Mga Layunin,"" amyendahan ang ilang mga probisyon ng Presidential Decree No. 1602, na tumatalak"&amp;"ay sa mga parusa para sa mga aktibidad sa ilegal na pagsusugal.
Ang mga pangunahing puntong dapat isaalang-alang tungkol sa mga aktibidad ng ilegal na pagsusugal na isinasagawa sa pamamagitan ng mga hindi lisensyado o underground na mga casino ay kinabibi"&amp;"langan ng:
1. **Dekreto ng Pangulo Blg. 1602:**
- Ang utos na ito ay unang nagbigay ng mga parusa para sa iba't ibang uri ng ilegal na pagsusugal, kabilang ang mga hindi awtorisadong laro sa pagtaya gaya ng jueteng at masiao. Ito ay kalaunan ay inamyenda "&amp;"sa pamamagitan ng Republic Act No. 9287 upang taasan ang mga parusa para sa mga laro ng ilegal na numero.
2. **Batas Republika Blg. 9287:**
- Ang Republic Act No. 9287 ay nagtaas ng mga parusa para sa mga laro ng ilegal na numero, kabilang ang mga isinasa"&amp;"gawa sa pamamagitan ng hindi lisensyado o underground na mga casino. Ang batas ay nagpapataw ng mas mataas na multa at parusa sa parehong mga operator at kalahok na nakikibahagi sa mga naturang ilegal na aktibidad.
3. **Pagbabawal sa Hindi Awtorisadong Pa"&amp;"gsusugal:**
- Ipinagbabawal ng legal na balangkas sa Pilipinas ang mga hindi awtorisadong aktibidad sa pagsusugal. Ang mga hindi lisensyado o underground na casino ay nabibilang sa kategoryang ito, dahil gumagana ang mga ito nang walang kinakailangang mga"&amp;" permit o lisensya mula sa mga nauugnay na awtoridad sa regulasyon.
4. **Philippine Amusement and Gaming Corporation (PAGCOR):**
- Ang PAGCOR ay ang regulatory body na responsable para sa pangangasiwa at pag-regulate ng mga aktibidad sa paglalaro at pagsu"&amp;"sugal sa Pilipinas. Ang mga lisensyadong casino at gaming establishment ay napapailalim sa mga regulasyon ng PAGCOR. Ang mga operasyong walang lisensya ay itinuturing na ilegal.
5. **Pagpapatupad ng Mga Ahensyang Nagpapatupad ng Batas:**
- Ang mga ahensya"&amp;"ng nagpapatupad ng batas, gaya ng National Bureau of Investigation (NBI) at Philippine National Police (PNP) Anti-Cybercrime Group, ay maaaring kumilos laban sa mga operasyon ng ilegal na pagsusugal. Nagsasagawa ng mga pagsalakay at pagsisiyasat, ang mga "&amp;"ahensyang ito ay nagtatrabaho upang ipatupad ang mga batas laban sa hindi awtorisadong pagsusugal.
6. **Mga Parusa para sa mga Lumalabag:**
- Ang mga indibidwal na mahuling nakikisali o nagpapatakbo ng mga aktibidad ng ilegal na pagsusugal, kabilang ang m"&amp;"ga nasa hindi lisensyado o underground na mga casino, ay maaaring maharap sa matinding parusa. Maaaring kabilang sa mga parusang ito ang pagkakulong at mga multa, gaya ng tinukoy sa ilalim ng Republic Act No. 9287.
Mahalagang tandaan na ang mga batas at r"&amp;"egulasyon ay napapailalim sa pagbabago, at maaaring mag-iba ang mga kasanayan sa pagpapatupad. Kung mayroon kang mga alalahanin o impormasyon tungkol sa mga aktibidad ng ilegal na pagsusugal, ipinapayong iulat ang mga ito sa mga kaukulang ahensyang nagpap"&amp;"atupad ng batas, tulad ng National Bureau of Investigation o Philippine National Police.
Ang pagsali o pagsuporta sa mga aktibidad ng ilegal na pagsusugal ay maaaring magresulta sa mga legal na kahihinatnan, at ang mga indibidwal ay dapat magkaroon ng kam"&amp;"alayan at sumunod sa mga naaangkop na batas at regulasyon.")</f>
        <v>Sa Pilipinas, tinutugunan ng batas ang mga kaso kung saan ang mga aktibidad ng ilegal na pagsusugal ay isinasagawa sa pamamagitan ng mga hindi lisensyado o underground na mga casino pangunahin sa pamamagitan ng Republic Act No. 9287. Ang batas na ito, na kilala rin bilang "An Act Increasing the Penalties for Illegal Numbers Games, Amending Certain Provisions of Presidential Decree No. 1602, at para sa Iba Pang Mga Layunin," amyendahan ang ilang mga probisyon ng Presidential Decree No. 1602, na tumatalakay sa mga parusa para sa mga aktibidad sa ilegal na pagsusugal.
Ang mga pangunahing puntong dapat isaalang-alang tungkol sa mga aktibidad ng ilegal na pagsusugal na isinasagawa sa pamamagitan ng mga hindi lisensyado o underground na mga casino ay kinabibilangan ng:
1. **Dekreto ng Pangulo Blg. 1602:**
- Ang utos na ito ay unang nagbigay ng mga parusa para sa iba't ibang uri ng ilegal na pagsusugal, kabilang ang mga hindi awtorisadong laro sa pagtaya gaya ng jueteng at masiao. Ito ay kalaunan ay inamyenda sa pamamagitan ng Republic Act No. 9287 upang taasan ang mga parusa para sa mga laro ng ilegal na numero.
2. **Batas Republika Blg. 9287:**
- Ang Republic Act No. 9287 ay nagtaas ng mga parusa para sa mga laro ng ilegal na numero, kabilang ang mga isinasagawa sa pamamagitan ng hindi lisensyado o underground na mga casino. Ang batas ay nagpapataw ng mas mataas na multa at parusa sa parehong mga operator at kalahok na nakikibahagi sa mga naturang ilegal na aktibidad.
3. **Pagbabawal sa Hindi Awtorisadong Pagsusugal:**
- Ipinagbabawal ng legal na balangkas sa Pilipinas ang mga hindi awtorisadong aktibidad sa pagsusugal. Ang mga hindi lisensyado o underground na casino ay nabibilang sa kategoryang ito, dahil gumagana ang mga ito nang walang kinakailangang mga permit o lisensya mula sa mga nauugnay na awtoridad sa regulasyon.
4. **Philippine Amusement and Gaming Corporation (PAGCOR):**
- Ang PAGCOR ay ang regulatory body na responsable para sa pangangasiwa at pag-regulate ng mga aktibidad sa paglalaro at pagsusugal sa Pilipinas. Ang mga lisensyadong casino at gaming establishment ay napapailalim sa mga regulasyon ng PAGCOR. Ang mga operasyong walang lisensya ay itinuturing na ilegal.
5. **Pagpapatupad ng Mga Ahensyang Nagpapatupad ng Batas:**
- Ang mga ahensyang nagpapatupad ng batas, gaya ng National Bureau of Investigation (NBI) at Philippine National Police (PNP) Anti-Cybercrime Group, ay maaaring kumilos laban sa mga operasyon ng ilegal na pagsusugal. Nagsasagawa ng mga pagsalakay at pagsisiyasat, ang mga ahensyang ito ay nagtatrabaho upang ipatupad ang mga batas laban sa hindi awtorisadong pagsusugal.
6. **Mga Parusa para sa mga Lumalabag:**
- Ang mga indibidwal na mahuling nakikisali o nagpapatakbo ng mga aktibidad ng ilegal na pagsusugal, kabilang ang mga nasa hindi lisensyado o underground na mga casino, ay maaaring maharap sa matinding parusa. Maaaring kabilang sa mga parusang ito ang pagkakulong at mga multa, gaya ng tinukoy sa ilalim ng Republic Act No. 9287.
Mahalagang tandaan na ang mga batas at regulasyon ay napapailalim sa pagbabago, at maaaring mag-iba ang mga kasanayan sa pagpapatupad. Kung mayroon kang mga alalahanin o impormasyon tungkol sa mga aktibidad ng ilegal na pagsusugal, ipinapayong iulat ang mga ito sa mga kaukulang ahensyang nagpapatupad ng batas, tulad ng National Bureau of Investigation o Philippine National Police.
Ang pagsali o pagsuporta sa mga aktibidad ng ilegal na pagsusugal ay maaaring magresulta sa mga legal na kahihinatnan, at ang mga indibidwal ay dapat magkaroon ng kamalayan at sumunod sa mga naaangkop na batas at regulasyon.</v>
      </c>
      <c r="F1089" s="2">
        <f t="shared" si="1"/>
        <v>0</v>
      </c>
      <c r="G1089" s="2"/>
      <c r="H1089" s="2"/>
      <c r="I1089" s="2"/>
      <c r="J1089" s="2"/>
      <c r="K1089" s="2"/>
      <c r="L1089" s="2"/>
      <c r="M1089" s="2"/>
      <c r="N1089" s="2"/>
      <c r="O1089" s="2"/>
      <c r="P1089" s="2"/>
      <c r="Q1089" s="2"/>
      <c r="R1089" s="2"/>
      <c r="S1089" s="2"/>
      <c r="T1089" s="2"/>
      <c r="U1089" s="2"/>
      <c r="V1089" s="2"/>
      <c r="W1089" s="2"/>
      <c r="X1089" s="2"/>
      <c r="Y1089" s="2"/>
      <c r="Z1089" s="2"/>
      <c r="AA1089" s="2"/>
    </row>
    <row r="1090">
      <c r="A1090" s="3" t="s">
        <v>2763</v>
      </c>
      <c r="B1090" s="1" t="s">
        <v>3344</v>
      </c>
      <c r="C1090" s="1" t="s">
        <v>3345</v>
      </c>
      <c r="D1090" s="2" t="str">
        <f>IFERROR(__xludf.DUMMYFUNCTION("GOOGLETRANSLATE(B1090, ""en"", ""TL"")"),"Maaari ba akong makasuhan ng iligal na pagsusugal kung ang aktibidad ay nagsasangkot ng pagtaya sa mga hindi tradisyonal na kaganapan tulad ng mga halalan o reality TV show?")</f>
        <v>Maaari ba akong makasuhan ng iligal na pagsusugal kung ang aktibidad ay nagsasangkot ng pagtaya sa mga hindi tradisyonal na kaganapan tulad ng mga halalan o reality TV show?</v>
      </c>
      <c r="E1090" s="2" t="str">
        <f>IFERROR(__xludf.DUMMYFUNCTION("GOOGLETRANSLATE(C1090, ""en"", ""TL"")"),"Sa Pilipinas, ang legalidad ng mga aktibidad sa pagsusugal, kabilang ang pagtaya sa mga hindi tradisyunal na kaganapan tulad ng mga halalan o reality TV show, ay pangunahing pinamamahalaan ng mga kasalukuyang batas sa pagsusugal. Ang pangunahing batas na "&amp;"may kaugnayan sa iligal na pagsusugal ay ang Republic Act No. 9287, na nag-amyenda sa ilang mga probisyon ng Presidential Decree No. 1602.
Narito ang mga pangunahing punto na dapat isaalang-alang:
1. **Dekreto ng Pangulo Blg. 1602:**
- Ang Presidential De"&amp;"cree No. 1602 ay nagsasakriminal sa mga aktibidad ng ilegal na pagsusugal, at kabilang dito ang mga probisyon na may kaugnayan sa hindi awtorisadong pagtaya, tulad ng jueteng at masiao. Ang mga paglabag sa atas na ito ay napapailalim sa mga parusa para sa"&amp;" parehong mga operator at kalahok.
2. **Batas Republika Blg. 9287:**
- Ang Republic Act No. 9287 ay nagtaas ng mga parusa para sa mga laro ng ilegal na numero, na nag-amyenda sa ilang mga probisyon ng Presidential Decree No. 1602. Pinagtitibay nito ang pa"&amp;"gbabawal sa mga aktibidad na hindi awtorisado sa pagsusugal at nagpapataw ng mas mataas na multa at parusa sa mga lalabag.
3. **Pagtaya sa Mga Hindi Tradisyonal na Kaganapan:**
- Bagama't maaaring hindi tahasang binanggit ng mga partikular na batas ang pa"&amp;"gtaya sa mga hindi tradisyunal na kaganapan tulad ng mga halalan o palabas sa reality TV, ang mas malawak na pagbabawal sa mga aktibidad sa hindi awtorisadong pagsusugal ay maaaring sumaklaw sa mga naturang taya.
4. **Regulatory Framework:**
- Ang regulas"&amp;"yon ng mga aktibidad sa pagsusugal ay napapailalim sa pambansa at lokal na mga batas. Ang ilang uri ng pagsusugal ay kinokontrol at pinahihintulutan, gaya ng mga ginagawa ng mga lisensyadong casino o awtorisadong entity. Ang pagtaya sa mga hindi tradisyon"&amp;"al na kaganapan sa labas ng mga regulated na channel ay maaaring ituring na ilegal.
5. **Pagtaya sa Halalan:**
- Ang pagtaya sa mga resulta ng halalan ay maaaring sumailalim sa mga partikular na probisyon ng mga batas sa halalan, at ang pagsali sa mga nat"&amp;"urang aktibidad ay maaaring may legal na implikasyon. Kasama sa Omnibus Election Code (Batas Pambansa Blg. 881) ang mga probisyon na may kaugnayan sa mga ipinagbabawal na gawain, at ang pagsusugal na nauugnay sa halalan ay maaaring mapailalim sa mga pagba"&amp;"bawal na ito.
Mahalagang tandaan na ang mga batas at regulasyon ay maaaring umunlad, at ang mga partikular na kaso ay maaaring sumailalim sa interpretasyon ng mga legal na awtoridad. Kung hindi ka sigurado tungkol sa legalidad ng isang partikular na aktib"&amp;"idad sa pagsusugal o taya, ipinapayong humingi ng legal na payo mula sa mga propesyonal na may kaalaman tungkol sa mga batas sa pagsusugal sa Pilipinas.
Ang pagsali sa mga aktibidad na hindi awtorisado o iligal na pagsusugal ay maaaring magresulta sa mga "&amp;"legal na kahihinatnan, at ang mga indibidwal ay dapat magkaroon ng kamalayan at sumunod sa mga nauugnay na batas at regulasyon.")</f>
        <v>Sa Pilipinas, ang legalidad ng mga aktibidad sa pagsusugal, kabilang ang pagtaya sa mga hindi tradisyunal na kaganapan tulad ng mga halalan o reality TV show, ay pangunahing pinamamahalaan ng mga kasalukuyang batas sa pagsusugal. Ang pangunahing batas na may kaugnayan sa iligal na pagsusugal ay ang Republic Act No. 9287, na nag-amyenda sa ilang mga probisyon ng Presidential Decree No. 1602.
Narito ang mga pangunahing punto na dapat isaalang-alang:
1. **Dekreto ng Pangulo Blg. 1602:**
- Ang Presidential Decree No. 1602 ay nagsasakriminal sa mga aktibidad ng ilegal na pagsusugal, at kabilang dito ang mga probisyon na may kaugnayan sa hindi awtorisadong pagtaya, tulad ng jueteng at masiao. Ang mga paglabag sa atas na ito ay napapailalim sa mga parusa para sa parehong mga operator at kalahok.
2. **Batas Republika Blg. 9287:**
- Ang Republic Act No. 9287 ay nagtaas ng mga parusa para sa mga laro ng ilegal na numero, na nag-amyenda sa ilang mga probisyon ng Presidential Decree No. 1602. Pinagtitibay nito ang pagbabawal sa mga aktibidad na hindi awtorisado sa pagsusugal at nagpapataw ng mas mataas na multa at parusa sa mga lalabag.
3. **Pagtaya sa Mga Hindi Tradisyonal na Kaganapan:**
- Bagama't maaaring hindi tahasang binanggit ng mga partikular na batas ang pagtaya sa mga hindi tradisyunal na kaganapan tulad ng mga halalan o palabas sa reality TV, ang mas malawak na pagbabawal sa mga aktibidad sa hindi awtorisadong pagsusugal ay maaaring sumaklaw sa mga naturang taya.
4. **Regulatory Framework:**
- Ang regulasyon ng mga aktibidad sa pagsusugal ay napapailalim sa pambansa at lokal na mga batas. Ang ilang uri ng pagsusugal ay kinokontrol at pinahihintulutan, gaya ng mga ginagawa ng mga lisensyadong casino o awtorisadong entity. Ang pagtaya sa mga hindi tradisyonal na kaganapan sa labas ng mga regulated na channel ay maaaring ituring na ilegal.
5. **Pagtaya sa Halalan:**
- Ang pagtaya sa mga resulta ng halalan ay maaaring sumailalim sa mga partikular na probisyon ng mga batas sa halalan, at ang pagsali sa mga naturang aktibidad ay maaaring may legal na implikasyon. Kasama sa Omnibus Election Code (Batas Pambansa Blg. 881) ang mga probisyon na may kaugnayan sa mga ipinagbabawal na gawain, at ang pagsusugal na nauugnay sa halalan ay maaaring mapailalim sa mga pagbabawal na ito.
Mahalagang tandaan na ang mga batas at regulasyon ay maaaring umunlad, at ang mga partikular na kaso ay maaaring sumailalim sa interpretasyon ng mga legal na awtoridad. Kung hindi ka sigurado tungkol sa legalidad ng isang partikular na aktibidad sa pagsusugal o taya, ipinapayong humingi ng legal na payo mula sa mga propesyonal na may kaalaman tungkol sa mga batas sa pagsusugal sa Pilipinas.
Ang pagsali sa mga aktibidad na hindi awtorisado o iligal na pagsusugal ay maaaring magresulta sa mga legal na kahihinatnan, at ang mga indibidwal ay dapat magkaroon ng kamalayan at sumunod sa mga nauugnay na batas at regulasyon.</v>
      </c>
      <c r="F1090" s="2">
        <f t="shared" si="1"/>
        <v>0</v>
      </c>
      <c r="G1090" s="2"/>
      <c r="H1090" s="2"/>
      <c r="I1090" s="2"/>
      <c r="J1090" s="2"/>
      <c r="K1090" s="2"/>
      <c r="L1090" s="2"/>
      <c r="M1090" s="2"/>
      <c r="N1090" s="2"/>
      <c r="O1090" s="2"/>
      <c r="P1090" s="2"/>
      <c r="Q1090" s="2"/>
      <c r="R1090" s="2"/>
      <c r="S1090" s="2"/>
      <c r="T1090" s="2"/>
      <c r="U1090" s="2"/>
      <c r="V1090" s="2"/>
      <c r="W1090" s="2"/>
      <c r="X1090" s="2"/>
      <c r="Y1090" s="2"/>
      <c r="Z1090" s="2"/>
      <c r="AA1090" s="2"/>
    </row>
    <row r="1091">
      <c r="A1091" s="3" t="s">
        <v>2763</v>
      </c>
      <c r="B1091" s="1" t="s">
        <v>3346</v>
      </c>
      <c r="C1091" s="1" t="s">
        <v>3347</v>
      </c>
      <c r="D1091" s="2" t="str">
        <f>IFERROR(__xludf.DUMMYFUNCTION("GOOGLETRANSLATE(B1091, ""en"", ""TL"")"),"Paano pinangangasiwaan ng batas ang mga kaso kung saan ang mga aktibidad ng ilegal na pagsusugal ay isinasagawa bilang bahagi ng mga seremonyang panrelihiyon o pangkultura?")</f>
        <v>Paano pinangangasiwaan ng batas ang mga kaso kung saan ang mga aktibidad ng ilegal na pagsusugal ay isinasagawa bilang bahagi ng mga seremonyang panrelihiyon o pangkultura?</v>
      </c>
      <c r="E1091" s="2" t="str">
        <f>IFERROR(__xludf.DUMMYFUNCTION("GOOGLETRANSLATE(C1091, ""en"", ""TL"")"),"Sa Pilipinas, karaniwang ipinagbabawal ng batas ang mga aktibidad sa ilegal na pagsusugal anuman ang konteksto, kabilang ang mga seremonyang panrelihiyon o kultural. Gayunpaman, mahalagang tandaan na may ilang mga exemption at pagsasaalang-alang para sa m"&amp;"ga tradisyonal o kultural na kasanayan. Ang legal na balangkas na nakapalibot sa pagsusugal ay pangunahing pinamamahalaan ng Republic Act No. 9287, na kilala rin bilang ""An Act Increasing the Penalties for Illegal Numbers Games, Amending Certain Provisio"&amp;"ns of Presidential Decree No. 1602, and for Other Purposes.""
Narito ang mga pangunahing punto na dapat isaalang-alang:
1. **Dekreto ng Pangulo Blg. 1602:**
- Ang Presidential Decree No. 1602 ay nagbibigay ng mga parusa para sa mga aktibidad sa ilegal na "&amp;"pagsusugal. Ginagawa nitong kriminal ang mga hindi awtorisadong operasyon ng pagsusugal, tulad ng jueteng at masiao, at nagpapataw ng mga parusa sa parehong mga operator at kalahok.
2. **Batas Republika Blg. 9287:**
- Ang Republic Act No. 9287 ay nag-amye"&amp;"ndahan ng ilang mga probisyon ng Presidential Decree No. 1602 upang dagdagan ang mga parusa para sa mga laro ng ilegal na numero. Pinagtitibay nito ang pagbabawal ng mga hindi awtorisadong aktibidad sa pagsusugal at nagtatakda ng mas mataas na multa at pa"&amp;"rusa para sa mga lalabag.
3. **Mga Exemption para sa Tradisyunal na Laro:**
- Bagama't karaniwang ipinagbabawal ng batas ang iligal na pagsusugal, maaaring mayroong kultural o tradisyonal na mga laro na hindi kasama sa pagbabawal na ito. Maaaring payagan "&amp;"ang mga tradisyonal na laro na itinuturing na bahagi ng mga kultural na kasanayan at hindi nauugnay sa mga ipinagbabawal na aktibidad.
4. **Mga Lokal na Ordenansa:**
- Ang ilang mga local government units (LGUs) ay maaaring may mga ordinansang nagre-regul"&amp;"ate o nagbubukod sa mga partikular na tradisyunal o kultural na gawi na kinasasangkutan ng mga laro ng pagkakataon. Ang mga lokal na awtoridad ay maaaring magbigay ng mga permit o exemption batay sa kultural o historikal na kahalagahan.
5. **Mga Relihiyos"&amp;"ong Kasanayan:**
- Ang batas ay hindi tahasang nagbibigay ng mga pagbubukod para sa mga aktibidad sa pagsusugal na isinagawa bilang bahagi ng mga relihiyosong seremonya. Gayunpaman, ang mga gawaing panrelihiyon ay karaniwang protektado sa ilalim ng Konsti"&amp;"tusyon, at anumang legal na pagsasaalang-alang ay kailangang balansehin ang karapatan sa kalayaan sa relihiyon sa pagbabawal ng ilegal na pagsusugal.
Mahalagang kumunsulta sa mga legal na propesyonal o lokal na awtoridad upang maunawaan ang mga partikular"&amp;" na regulasyon at mga pagbubukod na maaaring naaangkop sa mga kultural o relihiyosong kasanayan na kinasasangkutan ng mga laro ng pagkakataon. Ang pagiging sensitibo sa lokal na kultura, kahalagahan sa kasaysayan, at mga tradisyon ng komunidad ay maaaring"&amp;" makaimpluwensya kung paano binibigyang-kahulugan at ipinapatupad ang batas sa mga partikular na kaso.
Sa pangkalahatan, bagama't maaaring may ilang pagsasaalang-alang para sa mga kultural na kasanayan, ang pagsali sa mga aktibidad ng ilegal na pagsusugal"&amp;" ay nananatiling napapailalim sa mga legal na parusa, at ang mga indibidwal ay dapat sumunod sa mga naaangkop na batas at regulasyon.")</f>
        <v>Sa Pilipinas, karaniwang ipinagbabawal ng batas ang mga aktibidad sa ilegal na pagsusugal anuman ang konteksto, kabilang ang mga seremonyang panrelihiyon o kultural. Gayunpaman, mahalagang tandaan na may ilang mga exemption at pagsasaalang-alang para sa mga tradisyonal o kultural na kasanayan. Ang legal na balangkas na nakapalibot sa pagsusugal ay pangunahing pinamamahalaan ng Republic Act No. 9287, na kilala rin bilang "An Act Increasing the Penalties for Illegal Numbers Games, Amending Certain Provisions of Presidential Decree No. 1602, and for Other Purposes."
Narito ang mga pangunahing punto na dapat isaalang-alang:
1. **Dekreto ng Pangulo Blg. 1602:**
- Ang Presidential Decree No. 1602 ay nagbibigay ng mga parusa para sa mga aktibidad sa ilegal na pagsusugal. Ginagawa nitong kriminal ang mga hindi awtorisadong operasyon ng pagsusugal, tulad ng jueteng at masiao, at nagpapataw ng mga parusa sa parehong mga operator at kalahok.
2. **Batas Republika Blg. 9287:**
- Ang Republic Act No. 9287 ay nag-amyendahan ng ilang mga probisyon ng Presidential Decree No. 1602 upang dagdagan ang mga parusa para sa mga laro ng ilegal na numero. Pinagtitibay nito ang pagbabawal ng mga hindi awtorisadong aktibidad sa pagsusugal at nagtatakda ng mas mataas na multa at parusa para sa mga lalabag.
3. **Mga Exemption para sa Tradisyunal na Laro:**
- Bagama't karaniwang ipinagbabawal ng batas ang iligal na pagsusugal, maaaring mayroong kultural o tradisyonal na mga laro na hindi kasama sa pagbabawal na ito. Maaaring payagan ang mga tradisyonal na laro na itinuturing na bahagi ng mga kultural na kasanayan at hindi nauugnay sa mga ipinagbabawal na aktibidad.
4. **Mga Lokal na Ordenansa:**
- Ang ilang mga local government units (LGUs) ay maaaring may mga ordinansang nagre-regulate o nagbubukod sa mga partikular na tradisyunal o kultural na gawi na kinasasangkutan ng mga laro ng pagkakataon. Ang mga lokal na awtoridad ay maaaring magbigay ng mga permit o exemption batay sa kultural o historikal na kahalagahan.
5. **Mga Relihiyosong Kasanayan:**
- Ang batas ay hindi tahasang nagbibigay ng mga pagbubukod para sa mga aktibidad sa pagsusugal na isinagawa bilang bahagi ng mga relihiyosong seremonya. Gayunpaman, ang mga gawaing panrelihiyon ay karaniwang protektado sa ilalim ng Konstitusyon, at anumang legal na pagsasaalang-alang ay kailangang balansehin ang karapatan sa kalayaan sa relihiyon sa pagbabawal ng ilegal na pagsusugal.
Mahalagang kumunsulta sa mga legal na propesyonal o lokal na awtoridad upang maunawaan ang mga partikular na regulasyon at mga pagbubukod na maaaring naaangkop sa mga kultural o relihiyosong kasanayan na kinasasangkutan ng mga laro ng pagkakataon. Ang pagiging sensitibo sa lokal na kultura, kahalagahan sa kasaysayan, at mga tradisyon ng komunidad ay maaaring makaimpluwensya kung paano binibigyang-kahulugan at ipinapatupad ang batas sa mga partikular na kaso.
Sa pangkalahatan, bagama't maaaring may ilang pagsasaalang-alang para sa mga kultural na kasanayan, ang pagsali sa mga aktibidad ng ilegal na pagsusugal ay nananatiling napapailalim sa mga legal na parusa, at ang mga indibidwal ay dapat sumunod sa mga naaangkop na batas at regulasyon.</v>
      </c>
      <c r="F1091" s="2">
        <f t="shared" si="1"/>
        <v>0</v>
      </c>
      <c r="G1091" s="2"/>
      <c r="H1091" s="2"/>
      <c r="I1091" s="2"/>
      <c r="J1091" s="2"/>
      <c r="K1091" s="2"/>
      <c r="L1091" s="2"/>
      <c r="M1091" s="2"/>
      <c r="N1091" s="2"/>
      <c r="O1091" s="2"/>
      <c r="P1091" s="2"/>
      <c r="Q1091" s="2"/>
      <c r="R1091" s="2"/>
      <c r="S1091" s="2"/>
      <c r="T1091" s="2"/>
      <c r="U1091" s="2"/>
      <c r="V1091" s="2"/>
      <c r="W1091" s="2"/>
      <c r="X1091" s="2"/>
      <c r="Y1091" s="2"/>
      <c r="Z1091" s="2"/>
      <c r="AA1091" s="2"/>
    </row>
    <row r="1092">
      <c r="A1092" s="3" t="s">
        <v>2763</v>
      </c>
      <c r="B1092" s="1" t="s">
        <v>3348</v>
      </c>
      <c r="C1092" s="1" t="s">
        <v>3349</v>
      </c>
      <c r="D1092" s="2" t="str">
        <f>IFERROR(__xludf.DUMMYFUNCTION("GOOGLETRANSLATE(B1092, ""en"", ""TL"")"),"Maaari ba akong makasuhan ng ilegal na pagsusugal kung ang aktibidad ay isinasagawa sa isang lokasyon kung saan pinahihintulutan ang pagsusugal ngunit walang wastong paglilisensya?")</f>
        <v>Maaari ba akong makasuhan ng ilegal na pagsusugal kung ang aktibidad ay isinasagawa sa isang lokasyon kung saan pinahihintulutan ang pagsusugal ngunit walang wastong paglilisensya?</v>
      </c>
      <c r="E1092" s="2" t="str">
        <f>IFERROR(__xludf.DUMMYFUNCTION("GOOGLETRANSLATE(C1092, ""en"", ""TL"")"),"Sa maraming hurisdiksyon, kabilang ang Pilipinas, ang pagsali sa mga aktibidad sa pagsusugal nang walang wastong paglilisensya o awtorisasyon ay karaniwang itinuturing na ilegal, hindi alintana kung ang lokasyon ay karaniwang pinahihintulutan ang pagsusug"&amp;"al. Ang mga kinakailangan sa paglilisensya ay madalas na inilalagay upang pangasiwaan at pangasiwaan ang industriya ng pagsusugal, tinitiyak ang pagiging patas, proteksyon ng consumer, at pagpigil sa mga ilegal na aktibidad.
Sa Pilipinas, binago ng Rep"&amp;"ublic Act No. 9287 ang Presidential Decree No. 1602 at tumatalakay sa ilegal na pagsusugal. Mahalagang tandaan na ang pagsali sa mga aktibidad sa pagsusugal nang walang kinakailangang lisensya o awtorisasyon ay maaaring humantong sa mga legal na kahihinat"&amp;"nan.
Upang maiwasan ang mga potensyal na legal na isyu, mahalagang sumunod sa mga partikular na kinakailangan sa paglilisensya at regulasyon sa hurisdiksyon kung saan ka nakikibahagi sa mga aktibidad sa pagsusugal. Kung mayroon kang mga alalahanin o ta"&amp;"nong tungkol sa legalidad ng isang partikular na aktibidad ng pagsusugal sa isang partikular na lokasyon, ipinapayong kumunsulta sa mga legal na propesyonal na pamilyar sa mga lokal na batas at regulasyon sa pagsusugal. Maaaring mag-iba ang mga batas, at "&amp;"ang legal na payo na partikular sa hurisdiksyon na pinag-uusapan ay mahalaga.")</f>
        <v>Sa maraming hurisdiksyon, kabilang ang Pilipinas, ang pagsali sa mga aktibidad sa pagsusugal nang walang wastong paglilisensya o awtorisasyon ay karaniwang itinuturing na ilegal, hindi alintana kung ang lokasyon ay karaniwang pinahihintulutan ang pagsusugal. Ang mga kinakailangan sa paglilisensya ay madalas na inilalagay upang pangasiwaan at pangasiwaan ang industriya ng pagsusugal, tinitiyak ang pagiging patas, proteksyon ng consumer, at pagpigil sa mga ilegal na aktibidad.
Sa Pilipinas, binago ng Republic Act No. 9287 ang Presidential Decree No. 1602 at tumatalakay sa ilegal na pagsusugal. Mahalagang tandaan na ang pagsali sa mga aktibidad sa pagsusugal nang walang kinakailangang lisensya o awtorisasyon ay maaaring humantong sa mga legal na kahihinatnan.
Upang maiwasan ang mga potensyal na legal na isyu, mahalagang sumunod sa mga partikular na kinakailangan sa paglilisensya at regulasyon sa hurisdiksyon kung saan ka nakikibahagi sa mga aktibidad sa pagsusugal. Kung mayroon kang mga alalahanin o tanong tungkol sa legalidad ng isang partikular na aktibidad ng pagsusugal sa isang partikular na lokasyon, ipinapayong kumunsulta sa mga legal na propesyonal na pamilyar sa mga lokal na batas at regulasyon sa pagsusugal. Maaaring mag-iba ang mga batas, at ang legal na payo na partikular sa hurisdiksyon na pinag-uusapan ay mahalaga.</v>
      </c>
      <c r="F1092" s="2">
        <f t="shared" si="1"/>
        <v>0</v>
      </c>
      <c r="G1092" s="2"/>
      <c r="H1092" s="2"/>
      <c r="I1092" s="2"/>
      <c r="J1092" s="2"/>
      <c r="K1092" s="2"/>
      <c r="L1092" s="2"/>
      <c r="M1092" s="2"/>
      <c r="N1092" s="2"/>
      <c r="O1092" s="2"/>
      <c r="P1092" s="2"/>
      <c r="Q1092" s="2"/>
      <c r="R1092" s="2"/>
      <c r="S1092" s="2"/>
      <c r="T1092" s="2"/>
      <c r="U1092" s="2"/>
      <c r="V1092" s="2"/>
      <c r="W1092" s="2"/>
      <c r="X1092" s="2"/>
      <c r="Y1092" s="2"/>
      <c r="Z1092" s="2"/>
      <c r="AA1092" s="2"/>
    </row>
    <row r="1093">
      <c r="A1093" s="3" t="s">
        <v>2763</v>
      </c>
      <c r="B1093" s="1" t="s">
        <v>3350</v>
      </c>
      <c r="C1093" s="1" t="s">
        <v>3351</v>
      </c>
      <c r="D1093" s="2" t="str">
        <f>IFERROR(__xludf.DUMMYFUNCTION("GOOGLETRANSLATE(B1093, ""en"", ""TL"")"),"Paano tinutugunan ng batas ang mga kaso kung saan ang mga aktibidad ng ilegal na pagsusugal ay isinasagawa sa pamamagitan ng teknolohiyang cryptocurrency o blockchain?")</f>
        <v>Paano tinutugunan ng batas ang mga kaso kung saan ang mga aktibidad ng ilegal na pagsusugal ay isinasagawa sa pamamagitan ng teknolohiyang cryptocurrency o blockchain?</v>
      </c>
      <c r="E1093" s="2" t="str">
        <f>IFERROR(__xludf.DUMMYFUNCTION("GOOGLETRANSLATE(C1093, ""en"", ""TL"")"),"Sa aking huling pag-update ng kaalaman noong Enero 2022, ang regulasyon ng cryptocurrency at blockchain technology sa Pilipinas ay umuunlad. Ang bansa ay gumawa ng mga hakbang upang ayusin ang mga digital asset, kabilang ang mga cryptocurrencies, sa pamam"&amp;"agitan ng Bangko Sentral ng Pilipinas (BSP) o ang Bangko Sentral ng Pilipinas.
Bagama't ang pangunahing pokus ay sa pagsasaayos ng paggamit ng mga cryptocurrencies bilang isang anyo ng currency o medium of exchange, maaaring mag-iba ang mga partikular "&amp;"na regulasyon hinggil sa paggamit ng cryptocurrency sa konteksto ng ilegal na pagsusugal.
Kung ang mga aktibidad ng ilegal na pagsusugal ay isinasagawa sa pamamagitan ng teknolohiyang cryptocurrency o blockchain, malamang na malalapat ang mga umiiral n"&amp;"a batas sa pagsusugal, at ang paggamit ng mga teknolohiyang ito ay maaaring ituring na karagdagang salik sa pagsisiyasat at pag-uusig sa mga naturang aktibidad. Malamang na iangkop ng mga ahensyang nagpapatupad ng batas at mga regulatory body ang kanilang"&amp;" mga diskarte upang matugunan ang mga umuusbong na teknolohiya.
Para sa pinaka-tumpak at napapanahon na impormasyon, inirerekumenda na suriin ang pinakabagong mga pag-unlad sa mga batas ng Pilipinas na may kaugnayan sa cryptocurrency, blockchain, at il"&amp;"egal na pagsusugal. Ang pagkonsulta sa mga legal na propesyonal na may kadalubhasaan sa parehong mga batas sa pagsusugal at cryptocurrency sa Pilipinas ay magbibigay ng mas partikular na gabay na naaayon sa kasalukuyang legal na tanawin.")</f>
        <v>Sa aking huling pag-update ng kaalaman noong Enero 2022, ang regulasyon ng cryptocurrency at blockchain technology sa Pilipinas ay umuunlad. Ang bansa ay gumawa ng mga hakbang upang ayusin ang mga digital asset, kabilang ang mga cryptocurrencies, sa pamamagitan ng Bangko Sentral ng Pilipinas (BSP) o ang Bangko Sentral ng Pilipinas.
Bagama't ang pangunahing pokus ay sa pagsasaayos ng paggamit ng mga cryptocurrencies bilang isang anyo ng currency o medium of exchange, maaaring mag-iba ang mga partikular na regulasyon hinggil sa paggamit ng cryptocurrency sa konteksto ng ilegal na pagsusugal.
Kung ang mga aktibidad ng ilegal na pagsusugal ay isinasagawa sa pamamagitan ng teknolohiyang cryptocurrency o blockchain, malamang na malalapat ang mga umiiral na batas sa pagsusugal, at ang paggamit ng mga teknolohiyang ito ay maaaring ituring na karagdagang salik sa pagsisiyasat at pag-uusig sa mga naturang aktibidad. Malamang na iangkop ng mga ahensyang nagpapatupad ng batas at mga regulatory body ang kanilang mga diskarte upang matugunan ang mga umuusbong na teknolohiya.
Para sa pinaka-tumpak at napapanahon na impormasyon, inirerekumenda na suriin ang pinakabagong mga pag-unlad sa mga batas ng Pilipinas na may kaugnayan sa cryptocurrency, blockchain, at ilegal na pagsusugal. Ang pagkonsulta sa mga legal na propesyonal na may kadalubhasaan sa parehong mga batas sa pagsusugal at cryptocurrency sa Pilipinas ay magbibigay ng mas partikular na gabay na naaayon sa kasalukuyang legal na tanawin.</v>
      </c>
      <c r="F1093" s="2">
        <f t="shared" si="1"/>
        <v>0</v>
      </c>
      <c r="G1093" s="2"/>
      <c r="H1093" s="2"/>
      <c r="I1093" s="2"/>
      <c r="J1093" s="2"/>
      <c r="K1093" s="2"/>
      <c r="L1093" s="2"/>
      <c r="M1093" s="2"/>
      <c r="N1093" s="2"/>
      <c r="O1093" s="2"/>
      <c r="P1093" s="2"/>
      <c r="Q1093" s="2"/>
      <c r="R1093" s="2"/>
      <c r="S1093" s="2"/>
      <c r="T1093" s="2"/>
      <c r="U1093" s="2"/>
      <c r="V1093" s="2"/>
      <c r="W1093" s="2"/>
      <c r="X1093" s="2"/>
      <c r="Y1093" s="2"/>
      <c r="Z1093" s="2"/>
      <c r="AA1093" s="2"/>
    </row>
    <row r="1094">
      <c r="A1094" s="3" t="s">
        <v>2763</v>
      </c>
      <c r="B1094" s="1" t="s">
        <v>3352</v>
      </c>
      <c r="C1094" s="1" t="s">
        <v>3353</v>
      </c>
      <c r="D1094" s="2" t="str">
        <f>IFERROR(__xludf.DUMMYFUNCTION("GOOGLETRANSLATE(B1094, ""en"", ""TL"")"),"Maaari ba akong makasuhan ng ilegal na pagsusugal kung ang aktibidad ay isinasagawa sa isang hurisdiksyon kung saan ang ilang uri ng pagsusugal ay legal ngunit ang iba ay hindi?")</f>
        <v>Maaari ba akong makasuhan ng ilegal na pagsusugal kung ang aktibidad ay isinasagawa sa isang hurisdiksyon kung saan ang ilang uri ng pagsusugal ay legal ngunit ang iba ay hindi?</v>
      </c>
      <c r="E1094" s="2" t="str">
        <f>IFERROR(__xludf.DUMMYFUNCTION("GOOGLETRANSLATE(C1094, ""en"", ""TL"")"),"Ang legal na katayuan ng pagsusugal ay maaaring mag-iba mula sa hurisdiksyon sa hurisdiksyon. Kung nakikilahok ka sa mga aktibidad sa pagsusugal sa isang hurisdiksyon kung saan legal ang ilang uri ng pagsusugal ngunit ang iba ay hindi, maaari kang humarap"&amp;" sa mga legal na kahihinatnan kung gagawa ka ng mga aktibidad na tahasang ipinagbabawal.
Mahalagang magkaroon ng kamalayan at sumunod sa mga partikular na batas sa pagsusugal ng hurisdiksyon kung saan ka lumalahok. Kahit na ang ilang uri ng pagsusugal "&amp;"ay legal, ang pagsali sa mga ipinagbabawal na aktibidad ay maaaring humantong sa mga singil ng ilegal na pagsusugal. Ang mga hurisdiksyon ay maaaring may kumplikado at partikular na mga regulasyon tungkol sa iba't ibang uri ng pagsusugal, at ang paglabag "&amp;"sa mga regulasyong ito ay maaaring magresulta sa mga legal na kahihinatnan.
Upang matiyak ang tumpak at napapanahon na impormasyon, ipinapayong kumunsulta sa mga legal na propesyonal o awtoridad sa partikular na hurisdiksyon kung saan mo pinaplanong su"&amp;"mali sa mga aktibidad sa pagsusugal. Bukod pa rito, maaaring magbago ang mga batas sa paglipas ng panahon, kaya ang pananatiling may kaalaman tungkol sa anumang mga update o pag-amyenda sa mga nauugnay na batas ay napakahalaga.")</f>
        <v>Ang legal na katayuan ng pagsusugal ay maaaring mag-iba mula sa hurisdiksyon sa hurisdiksyon. Kung nakikilahok ka sa mga aktibidad sa pagsusugal sa isang hurisdiksyon kung saan legal ang ilang uri ng pagsusugal ngunit ang iba ay hindi, maaari kang humarap sa mga legal na kahihinatnan kung gagawa ka ng mga aktibidad na tahasang ipinagbabawal.
Mahalagang magkaroon ng kamalayan at sumunod sa mga partikular na batas sa pagsusugal ng hurisdiksyon kung saan ka lumalahok. Kahit na ang ilang uri ng pagsusugal ay legal, ang pagsali sa mga ipinagbabawal na aktibidad ay maaaring humantong sa mga singil ng ilegal na pagsusugal. Ang mga hurisdiksyon ay maaaring may kumplikado at partikular na mga regulasyon tungkol sa iba't ibang uri ng pagsusugal, at ang paglabag sa mga regulasyong ito ay maaaring magresulta sa mga legal na kahihinatnan.
Upang matiyak ang tumpak at napapanahon na impormasyon, ipinapayong kumunsulta sa mga legal na propesyonal o awtoridad sa partikular na hurisdiksyon kung saan mo pinaplanong sumali sa mga aktibidad sa pagsusugal. Bukod pa rito, maaaring magbago ang mga batas sa paglipas ng panahon, kaya ang pananatiling may kaalaman tungkol sa anumang mga update o pag-amyenda sa mga nauugnay na batas ay napakahalaga.</v>
      </c>
      <c r="F1094" s="2">
        <f t="shared" si="1"/>
        <v>0</v>
      </c>
      <c r="G1094" s="2"/>
      <c r="H1094" s="2"/>
      <c r="I1094" s="2"/>
      <c r="J1094" s="2"/>
      <c r="K1094" s="2"/>
      <c r="L1094" s="2"/>
      <c r="M1094" s="2"/>
      <c r="N1094" s="2"/>
      <c r="O1094" s="2"/>
      <c r="P1094" s="2"/>
      <c r="Q1094" s="2"/>
      <c r="R1094" s="2"/>
      <c r="S1094" s="2"/>
      <c r="T1094" s="2"/>
      <c r="U1094" s="2"/>
      <c r="V1094" s="2"/>
      <c r="W1094" s="2"/>
      <c r="X1094" s="2"/>
      <c r="Y1094" s="2"/>
      <c r="Z1094" s="2"/>
      <c r="AA1094" s="2"/>
    </row>
    <row r="1095">
      <c r="A1095" s="3" t="s">
        <v>2763</v>
      </c>
      <c r="B1095" s="1" t="s">
        <v>3354</v>
      </c>
      <c r="C1095" s="1" t="s">
        <v>3355</v>
      </c>
      <c r="D1095" s="2" t="str">
        <f>IFERROR(__xludf.DUMMYFUNCTION("GOOGLETRANSLATE(B1095, ""en"", ""TL"")"),"Paano pinangangasiwaan ng batas ang mga kaso kung saan ang mga aktibidad ng ilegal na pagsusugal ay nagsasangkot ng pagtaya sa mga virtual o simulate na kaganapan?")</f>
        <v>Paano pinangangasiwaan ng batas ang mga kaso kung saan ang mga aktibidad ng ilegal na pagsusugal ay nagsasangkot ng pagtaya sa mga virtual o simulate na kaganapan?</v>
      </c>
      <c r="E1095" s="2" t="str">
        <f>IFERROR(__xludf.DUMMYFUNCTION("GOOGLETRANSLATE(C1095, ""en"", ""TL"")"),"Sa aking huling pag-update ng kaalaman noong Enero 2022, pangunahing tinutugunan ng mga batas sa Pilipinas ang pagsusugal sa pamamagitan ng Republic Act No. 9287, na nag-amyenda sa Presidential Decree No. 1602. Ang batas ay nag-kriminal ng mga aktibidad s"&amp;"a ilegal na pagsusugal, ngunit maaaring hindi ito partikular na binanggit ang virtual o simulate na mga kaganapan dahil ang mga teknolohiyang ito ay maaaring umunlad sa paglipas ng panahon.
Para sa higit pang na-update at detalyadong impormasyon sa leg"&amp;"al na paninindigan patungkol sa virtual o simulate na mga kaganapan sa pagsusugal, inirerekumenda na suriin ang pinakabagong mga pagbabago sa mga kasalukuyang batas o anumang bagong batas na maaaring pinagtibay mula noong huli kong pag-update. Bukod pa ri"&amp;"to, ang pagkonsulta sa mga legal na propesyonal na pamilyar sa kasalukuyang legal na tanawin sa Pilipinas ay magbibigay ng mas tumpak at napapanahon na impormasyon.")</f>
        <v>Sa aking huling pag-update ng kaalaman noong Enero 2022, pangunahing tinutugunan ng mga batas sa Pilipinas ang pagsusugal sa pamamagitan ng Republic Act No. 9287, na nag-amyenda sa Presidential Decree No. 1602. Ang batas ay nag-kriminal ng mga aktibidad sa ilegal na pagsusugal, ngunit maaaring hindi ito partikular na binanggit ang virtual o simulate na mga kaganapan dahil ang mga teknolohiyang ito ay maaaring umunlad sa paglipas ng panahon.
Para sa higit pang na-update at detalyadong impormasyon sa legal na paninindigan patungkol sa virtual o simulate na mga kaganapan sa pagsusugal, inirerekumenda na suriin ang pinakabagong mga pagbabago sa mga kasalukuyang batas o anumang bagong batas na maaaring pinagtibay mula noong huli kong pag-update. Bukod pa rito, ang pagkonsulta sa mga legal na propesyonal na pamilyar sa kasalukuyang legal na tanawin sa Pilipinas ay magbibigay ng mas tumpak at napapanahon na impormasyon.</v>
      </c>
      <c r="F1095" s="2">
        <f t="shared" si="1"/>
        <v>0</v>
      </c>
      <c r="G1095" s="2"/>
      <c r="H1095" s="2"/>
      <c r="I1095" s="2"/>
      <c r="J1095" s="2"/>
      <c r="K1095" s="2"/>
      <c r="L1095" s="2"/>
      <c r="M1095" s="2"/>
      <c r="N1095" s="2"/>
      <c r="O1095" s="2"/>
      <c r="P1095" s="2"/>
      <c r="Q1095" s="2"/>
      <c r="R1095" s="2"/>
      <c r="S1095" s="2"/>
      <c r="T1095" s="2"/>
      <c r="U1095" s="2"/>
      <c r="V1095" s="2"/>
      <c r="W1095" s="2"/>
      <c r="X1095" s="2"/>
      <c r="Y1095" s="2"/>
      <c r="Z1095" s="2"/>
      <c r="AA1095" s="2"/>
    </row>
    <row r="1096">
      <c r="A1096" s="1" t="s">
        <v>3356</v>
      </c>
      <c r="B1096" s="1" t="s">
        <v>3357</v>
      </c>
      <c r="C1096" s="1" t="s">
        <v>3358</v>
      </c>
      <c r="D1096" s="2" t="str">
        <f>IFERROR(__xludf.DUMMYFUNCTION("GOOGLETRANSLATE(B1096, ""en"", ""TL"")"),"Anong legal na paraan ang mayroon ako kung pinaghihinalaan ko ang katiwalian sa loob ng aking negosyo o organisasyon?")</f>
        <v>Anong legal na paraan ang mayroon ako kung pinaghihinalaan ko ang katiwalian sa loob ng aking negosyo o organisasyon?</v>
      </c>
      <c r="E1096" s="2" t="str">
        <f>IFERROR(__xludf.DUMMYFUNCTION("GOOGLETRANSLATE(C1096, ""en"", ""TL"")"),"Kung pinaghihinalaan mo ang katiwalian sa loob ng iyong negosyo o organisasyon, ang pagkuha ng naaangkop na legal na paraan ay mahalaga. Narito ang mga hakbang na maaari mong isaalang-alang upang matugunan at maiulat ang katiwalian:
### Panloob na Pag-uul"&amp;"at:
1. **Patakaran sa Whistleblower:**
- Suriin kung ang iyong organisasyon ay may ipinatupad na patakaran sa whistleblower. Ang mga proteksyon ng whistleblower ay maaaring nakabalangkas sa mga patakaran ng kumpanya, at ang mga pamamaraan sa pag-uulat ay "&amp;"maaaring naitatag na.
2. **Mag-ulat sa Mga Panloob na Channel:**
- Gumamit ng mga panloob na channel sa pag-uulat, tulad ng isang itinalagang whistleblower hotline o sistema ng pag-uulat, upang iulat ang iyong mga alalahanin sa naaangkop na departamento o"&amp;" indibidwal sa loob ng organisasyon.
3. **Idokumento ang Iyong Mga Alalahanin:**
- Panatilihin ang mga detalyadong tala ng iyong mga alalahanin, kabilang ang mga petsa, mga indibidwal na kasangkot, at mga partikular na pagkakataon ng pinaghihinalaang kati"&amp;"walian. Idokumento ang anumang ebidensya o impormasyong mayroon ka.
4. **Panatilihin ang Pagkakumpidensyal:**
- Kung nag-aalala ka tungkol sa potensyal na paghihiganti, tiyaking kumpidensyal na pinangangasiwaan ang iyong ulat hangga't maaari. Sundin ang i"&amp;"tinatag na mga pamamaraan para sa pag-uulat nang hindi kinakailangang ibunyag ang iyong pagkakakilanlan.
### Panlabas na Pag-uulat:
5. **Mga Ahensya ng Pamahalaan:**
- Sa maraming hurisdiksyon, may mga ahensya ng gobyerno na responsable sa pag-iimbestiga "&amp;"at pagtugon sa katiwalian. Iulat ang iyong mga alalahanin sa kinauukulang ahensya, gaya ng komisyon laban sa katiwalian o ombudsman.
6. **Maghain ng Reklamo sa Pagpapatupad ng Batas:**
- Kung ang katiwalian ay nagsasangkot ng mga kriminal na aktibidad, is"&amp;"aalang-alang ang paghahain ng reklamo sa mga ahensyang nagpapatupad ng batas. Ibigay sa kanila ang kinakailangang impormasyon at ebidensya upang suportahan ang isang pagsisiyasat.
7. **Legal na Tagapayo:**
- Kumonsulta sa isang abogado na dalubhasa sa pro"&amp;"teksyon ng whistleblower o batas sa pagtatrabaho. Maaari silang magbigay ng payo sa mga legal na proteksyon na magagamit mo at gagabay sa iyo sa pinakamahusay na paraan ng pagkilos.
### Mga Panukala sa Proteksyon:
8. **Mga Batas sa Proteksyon ng Whistlebl"&amp;"ower:**
- Maging pamilyar sa mga batas sa proteksyon ng whistleblower sa iyong nasasakupan. Ang mga batas na ito ay idinisenyo upang protektahan ang mga indibidwal na nag-uulat ng maling pag-uugali mula sa paghihiganti.
9. **Anonymous na Pag-uulat:**
- Ku"&amp;"ng maaari, gumamit ng mga mekanismo na nagbibigay-daan para sa hindi kilalang pag-uulat. Maaaring payagan ka ng ilang sistema ng pag-uulat na magsumite ng impormasyon nang hindi inilalantad ang iyong pagkakakilanlan.
10. **Non-Governmental Organizations ("&amp;"NGOs):**
- Iulat ang iyong mga alalahanin sa mga nauugnay na NGO o grupo ng adbokasiya na nagtatrabaho sa mga hakbangin laban sa katiwalian. Maaari silang magbigay ng suporta at karagdagang mga channel para sa pag-uulat.
### Mga Legal na Pagkilos:
11. **M"&amp;"ga Legal na Remedya para sa Paghihiganti:**
- Kung nahaharap ka sa paghihiganti para sa pag-uulat ng katiwalian, tuklasin ang mga legal na remedyo na magagamit mo. Ang mga batas sa proteksyon ng whistleblower ay maaaring magbigay ng mga paraan para huming"&amp;"i ng lunas.
12. **Pribadong Legal na Aksyon:**
- Kumonsulta sa isang abogado upang tuklasin ang posibilidad ng pribadong legal na aksyon laban sa mga sangkot sa katiwalian, lalo na kung nagresulta ito sa pinansiyal na pinsala sa organisasyon.
### Propesyo"&amp;"nal na Etika:
13. **Mag-ulat sa Mga Propesyonal na Katawan:**
- Kung naaangkop, iulat ang katiwalian sa mga nauugnay na propesyonal na katawan o asosasyon na nangangasiwa sa mga pamantayang etikal sa loob ng iyong industriya.
Tandaan, ang mga partikular n"&amp;"a hakbang na gagawin mo ay maaaring nakadepende sa mga batas at regulasyon ng iyong hurisdiksyon, pati na rin sa mga patakaran at pamamaraan ng iyong organisasyon. Ang pagkonsulta sa mga legal na propesyonal at pag-unawa sa mga proteksyong magagamit sa mg"&amp;"a whistleblower ay napakahalaga kapag tinutugunan ang pinaghihinalaang katiwalian. Palaging unahin ang iyong kaligtasan at sundin ang mga legal na channel kapag nag-uulat ng mga seryosong alalahanin.")</f>
        <v>Kung pinaghihinalaan mo ang katiwalian sa loob ng iyong negosyo o organisasyon, ang pagkuha ng naaangkop na legal na paraan ay mahalaga. Narito ang mga hakbang na maaari mong isaalang-alang upang matugunan at maiulat ang katiwalian:
### Panloob na Pag-uulat:
1. **Patakaran sa Whistleblower:**
- Suriin kung ang iyong organisasyon ay may ipinatupad na patakaran sa whistleblower. Ang mga proteksyon ng whistleblower ay maaaring nakabalangkas sa mga patakaran ng kumpanya, at ang mga pamamaraan sa pag-uulat ay maaaring naitatag na.
2. **Mag-ulat sa Mga Panloob na Channel:**
- Gumamit ng mga panloob na channel sa pag-uulat, tulad ng isang itinalagang whistleblower hotline o sistema ng pag-uulat, upang iulat ang iyong mga alalahanin sa naaangkop na departamento o indibidwal sa loob ng organisasyon.
3. **Idokumento ang Iyong Mga Alalahanin:**
- Panatilihin ang mga detalyadong tala ng iyong mga alalahanin, kabilang ang mga petsa, mga indibidwal na kasangkot, at mga partikular na pagkakataon ng pinaghihinalaang katiwalian. Idokumento ang anumang ebidensya o impormasyong mayroon ka.
4. **Panatilihin ang Pagkakumpidensyal:**
- Kung nag-aalala ka tungkol sa potensyal na paghihiganti, tiyaking kumpidensyal na pinangangasiwaan ang iyong ulat hangga't maaari. Sundin ang itinatag na mga pamamaraan para sa pag-uulat nang hindi kinakailangang ibunyag ang iyong pagkakakilanlan.
### Panlabas na Pag-uulat:
5. **Mga Ahensya ng Pamahalaan:**
- Sa maraming hurisdiksyon, may mga ahensya ng gobyerno na responsable sa pag-iimbestiga at pagtugon sa katiwalian. Iulat ang iyong mga alalahanin sa kinauukulang ahensya, gaya ng komisyon laban sa katiwalian o ombudsman.
6. **Maghain ng Reklamo sa Pagpapatupad ng Batas:**
- Kung ang katiwalian ay nagsasangkot ng mga kriminal na aktibidad, isaalang-alang ang paghahain ng reklamo sa mga ahensyang nagpapatupad ng batas. Ibigay sa kanila ang kinakailangang impormasyon at ebidensya upang suportahan ang isang pagsisiyasat.
7. **Legal na Tagapayo:**
- Kumonsulta sa isang abogado na dalubhasa sa proteksyon ng whistleblower o batas sa pagtatrabaho. Maaari silang magbigay ng payo sa mga legal na proteksyon na magagamit mo at gagabay sa iyo sa pinakamahusay na paraan ng pagkilos.
### Mga Panukala sa Proteksyon:
8. **Mga Batas sa Proteksyon ng Whistleblower:**
- Maging pamilyar sa mga batas sa proteksyon ng whistleblower sa iyong nasasakupan. Ang mga batas na ito ay idinisenyo upang protektahan ang mga indibidwal na nag-uulat ng maling pag-uugali mula sa paghihiganti.
9. **Anonymous na Pag-uulat:**
- Kung maaari, gumamit ng mga mekanismo na nagbibigay-daan para sa hindi kilalang pag-uulat. Maaaring payagan ka ng ilang sistema ng pag-uulat na magsumite ng impormasyon nang hindi inilalantad ang iyong pagkakakilanlan.
10. **Non-Governmental Organizations (NGOs):**
- Iulat ang iyong mga alalahanin sa mga nauugnay na NGO o grupo ng adbokasiya na nagtatrabaho sa mga hakbangin laban sa katiwalian. Maaari silang magbigay ng suporta at karagdagang mga channel para sa pag-uulat.
### Mga Legal na Pagkilos:
11. **Mga Legal na Remedya para sa Paghihiganti:**
- Kung nahaharap ka sa paghihiganti para sa pag-uulat ng katiwalian, tuklasin ang mga legal na remedyo na magagamit mo. Ang mga batas sa proteksyon ng whistleblower ay maaaring magbigay ng mga paraan para humingi ng lunas.
12. **Pribadong Legal na Aksyon:**
- Kumonsulta sa isang abogado upang tuklasin ang posibilidad ng pribadong legal na aksyon laban sa mga sangkot sa katiwalian, lalo na kung nagresulta ito sa pinansiyal na pinsala sa organisasyon.
### Propesyonal na Etika:
13. **Mag-ulat sa Mga Propesyonal na Katawan:**
- Kung naaangkop, iulat ang katiwalian sa mga nauugnay na propesyonal na katawan o asosasyon na nangangasiwa sa mga pamantayang etikal sa loob ng iyong industriya.
Tandaan, ang mga partikular na hakbang na gagawin mo ay maaaring nakadepende sa mga batas at regulasyon ng iyong hurisdiksyon, pati na rin sa mga patakaran at pamamaraan ng iyong organisasyon. Ang pagkonsulta sa mga legal na propesyonal at pag-unawa sa mga proteksyong magagamit sa mga whistleblower ay napakahalaga kapag tinutugunan ang pinaghihinalaang katiwalian. Palaging unahin ang iyong kaligtasan at sundin ang mga legal na channel kapag nag-uulat ng mga seryosong alalahanin.</v>
      </c>
      <c r="F1096" s="2">
        <f t="shared" si="1"/>
        <v>0</v>
      </c>
      <c r="G1096" s="2"/>
      <c r="H1096" s="2"/>
      <c r="I1096" s="2"/>
      <c r="J1096" s="2"/>
      <c r="K1096" s="2"/>
      <c r="L1096" s="2"/>
      <c r="M1096" s="2"/>
      <c r="N1096" s="2"/>
      <c r="O1096" s="2"/>
      <c r="P1096" s="2"/>
      <c r="Q1096" s="2"/>
      <c r="R1096" s="2"/>
      <c r="S1096" s="2"/>
      <c r="T1096" s="2"/>
      <c r="U1096" s="2"/>
      <c r="V1096" s="2"/>
      <c r="W1096" s="2"/>
      <c r="X1096" s="2"/>
      <c r="Y1096" s="2"/>
      <c r="Z1096" s="2"/>
      <c r="AA1096" s="2"/>
    </row>
    <row r="1097">
      <c r="A1097" s="1" t="s">
        <v>3356</v>
      </c>
      <c r="B1097" s="1" t="s">
        <v>3359</v>
      </c>
      <c r="C1097" s="1" t="s">
        <v>3360</v>
      </c>
      <c r="D1097" s="2" t="str">
        <f>IFERROR(__xludf.DUMMYFUNCTION("GOOGLETRANSLATE(B1097, ""en"", ""TL"")"),"Maaari mo bang ipaliwanag ang mga legal na implikasyon ng pagsasagawa ng mga katiwalian sa loob ng isang negosyo?")</f>
        <v>Maaari mo bang ipaliwanag ang mga legal na implikasyon ng pagsasagawa ng mga katiwalian sa loob ng isang negosyo?</v>
      </c>
      <c r="E1097" s="2" t="str">
        <f>IFERROR(__xludf.DUMMYFUNCTION("GOOGLETRANSLATE(C1097, ""en"", ""TL"")"),"Ang pagsasagawa ng mga tiwaling gawi sa loob ng isang negosyo ay maaaring magkaroon ng matinding legal na kahihinatnan para sa kumpanya at sa mga indibidwal na kasangkot. Narito ang isang breakdown ng mga potensyal na implikasyon:
**Mga Legal na Parusa pa"&amp;"ra sa Mga Negosyo:**
* **Mga multa:** Maaaring magpataw ng malalaking multa ang mga regulatory body sa mga kumpanyang napatunayang nagkasala ng mga paglabag sa katiwalian. Maaaring mag-iba ang halaga depende sa kalubhaan ng pagkakasala at sa mga partikula"&amp;"r na batas na nilabag. * **Debarment:** Ang mga negosyong sangkot sa katiwalian ay maaaring hadlangan sa paglahok sa mga kontrata o tender ng gobyerno sa hinaharap. Ito ay maaaring makabuluhang limitahan ang kanilang mga pagkakataon sa negosyo at potensya"&amp;"l na paglago.
* **Mga Pagsingil sa Kriminal:** Sa ilang mga kaso, depende sa uri ng katiwalian, ang kumpanya o mga kinatawan nito ay maaaring humarap sa mga kasong kriminal. Ito ay maaaring humantong sa pagkakulong para sa mga direktang sangkot.
**Pinsala"&amp;" sa Reputasyon:**
* **Pampublikong Pagsusuri:** Ang mga iskandalo sa katiwalian ay maaaring humantong sa matinding pagsisiyasat ng publiko at negatibong saklaw ng media. Maaari nitong masira ang reputasyon ng kumpanya at masira ang tiwala ng consumer, na "&amp;"posibleng humantong sa mga boycott. * **Pagkawala ng Negosyo:** Maaaring piliin ng mga customer at partner na iwasang makipagnegosyo sa isang kumpanyang may bahid ng katiwalian. Maaari itong humantong sa mga nawawalang benta at kontrata, na nakakaapekto s"&amp;"a ilalim ng linya ng kumpanya.
* **Hirap Makaakit ng Talento:** Maaaring mag-alinlangan ang nangungunang talento na magtrabaho para sa isang kumpanyang may reputasyon para sa mga hindi etikal na kagawian, na humahadlang sa mga pagsusumikap sa recruitment."&amp;" **Iba pang mga kahihinatnan:**
* **Civil Lawsuits:** Ang mga kumpanyang sangkot sa katiwalian ay maaaring humarap sa mga kasong sibil mula sa mga partidong sinaktan ng kanilang mga aksyon, na humahantong sa karagdagang pagkalugi sa pananalapi.
* **Mga Re"&amp;"medial na Panukala:** Maaaring hilingin ng mga awtoridad sa kumpanya na magpatupad ng mga hakbang sa pagwawasto tulad ng pagbabago ng pamamahala, pagpapatakbo ng muling pagsasaayos, o pagpapabuti ng mga programa sa pagsunod upang maiwasan ang maling pag-u"&amp;"ugali sa hinaharap.
* **Mga Kahirapan sa Internasyonal na Negosyo:** Ang pagsasagawa ng mga tiwaling gawi ay maaaring magpahirap sa pagpapatakbo sa ilang partikular na bansang may mas mahigpit na mga regulasyon laban sa katiwalian.
**Epekto sa mga Investo"&amp;"r at Shareholder:**
* **Pagkawala ng Kumpiyansa sa Mamumuhunan:** Ang mga iskandalo sa katiwalian ay maaaring humantong sa pagbaba ng kumpiyansa ng mamumuhunan, na magdulot ng pagbaba sa presyo ng stock ng kumpanya.
* **Mga Paghahabla ng Shareholder:** Ma"&amp;"aaring magsampa ng kaso ang mga shareholder laban sa kumpanya para sa mga pagkalugi sa pananalapi na dulot ng katiwalian.
**Mga Indibidwal na Legal na Implikasyon:**
* **Mga multa at Pagkakulong:** Ang mga indibidwal na direktang sangkot sa mga tiwaling a"&amp;"ktibidad ay maaaring maharap sa malalaking multa o kahit na pagkakulong, depende sa kalubhaan ng pagkakasala.
* **Pagkawala ng Mga Propesyonal na Lisensya:** Ang mga propesyonal na sangkot sa katiwalian ay maaaring mawalan ng kanilang mga lisensya upang m"&amp;"agsanay sa kani-kanilang larangan.
* **Hirap Maghanap ng Trabaho sa Hinaharap:** Ang isang kriminal na rekord o reputasyon para sa katiwalian ay maaaring magpahirap sa paghahanap ng trabaho sa hinaharap.
**Kahalagahan ng Mga Programa sa Pagsunod:**
* **Bi"&amp;"nabawasan ang Panganib:** Ang pagpapatupad ng isang malakas na programa sa pagsunod sa laban sa katiwalian ay makabuluhang binabawasan ang panganib ng mga tiwaling gawi na nagaganap sa loob ng isang negosyo.
* **Pinoprotektahan ang Reputasyon:** Ang ipina"&amp;"kitang pangako sa mga etikal na kasanayan ay nakakatulong na mapanatili ang isang positibong reputasyon at nagpapatibay ng tiwala sa mga stakeholder.
* **Pinababawasan ang Mga Legal na Panganib:** Ang isang matatag na programa sa pagsunod ay maaaring maba"&amp;"wasan ang mga legal na kahihinatnan at potensyal na multa sa kaso ng mga paratang ng katiwalian.
**Tandaan:**
Ang mga legal na implikasyon ng katiwalian ay makabuluhan at napakalawak. Ang mga negosyo at indibidwal na kasangkot ay nahaharap sa malubhang ka"&amp;"hihinatnan. Sa pamamagitan ng pagbibigay-priyoridad sa mga etikal na kasanayan at pagpapatupad ng matibay na mga programa sa pagsunod, maiiwasan ng mga negosyo ang mga panganib na ito at gumana nang may integridad.")</f>
        <v>Ang pagsasagawa ng mga tiwaling gawi sa loob ng isang negosyo ay maaaring magkaroon ng matinding legal na kahihinatnan para sa kumpanya at sa mga indibidwal na kasangkot. Narito ang isang breakdown ng mga potensyal na implikasyon:
**Mga Legal na Parusa para sa Mga Negosyo:**
* **Mga multa:** Maaaring magpataw ng malalaking multa ang mga regulatory body sa mga kumpanyang napatunayang nagkasala ng mga paglabag sa katiwalian. Maaaring mag-iba ang halaga depende sa kalubhaan ng pagkakasala at sa mga partikular na batas na nilabag. * **Debarment:** Ang mga negosyong sangkot sa katiwalian ay maaaring hadlangan sa paglahok sa mga kontrata o tender ng gobyerno sa hinaharap. Ito ay maaaring makabuluhang limitahan ang kanilang mga pagkakataon sa negosyo at potensyal na paglago.
* **Mga Pagsingil sa Kriminal:** Sa ilang mga kaso, depende sa uri ng katiwalian, ang kumpanya o mga kinatawan nito ay maaaring humarap sa mga kasong kriminal. Ito ay maaaring humantong sa pagkakulong para sa mga direktang sangkot.
**Pinsala sa Reputasyon:**
* **Pampublikong Pagsusuri:** Ang mga iskandalo sa katiwalian ay maaaring humantong sa matinding pagsisiyasat ng publiko at negatibong saklaw ng media. Maaari nitong masira ang reputasyon ng kumpanya at masira ang tiwala ng consumer, na posibleng humantong sa mga boycott. * **Pagkawala ng Negosyo:** Maaaring piliin ng mga customer at partner na iwasang makipagnegosyo sa isang kumpanyang may bahid ng katiwalian. Maaari itong humantong sa mga nawawalang benta at kontrata, na nakakaapekto sa ilalim ng linya ng kumpanya.
* **Hirap Makaakit ng Talento:** Maaaring mag-alinlangan ang nangungunang talento na magtrabaho para sa isang kumpanyang may reputasyon para sa mga hindi etikal na kagawian, na humahadlang sa mga pagsusumikap sa recruitment. **Iba pang mga kahihinatnan:**
* **Civil Lawsuits:** Ang mga kumpanyang sangkot sa katiwalian ay maaaring humarap sa mga kasong sibil mula sa mga partidong sinaktan ng kanilang mga aksyon, na humahantong sa karagdagang pagkalugi sa pananalapi.
* **Mga Remedial na Panukala:** Maaaring hilingin ng mga awtoridad sa kumpanya na magpatupad ng mga hakbang sa pagwawasto tulad ng pagbabago ng pamamahala, pagpapatakbo ng muling pagsasaayos, o pagpapabuti ng mga programa sa pagsunod upang maiwasan ang maling pag-uugali sa hinaharap.
* **Mga Kahirapan sa Internasyonal na Negosyo:** Ang pagsasagawa ng mga tiwaling gawi ay maaaring magpahirap sa pagpapatakbo sa ilang partikular na bansang may mas mahigpit na mga regulasyon laban sa katiwalian.
**Epekto sa mga Investor at Shareholder:**
* **Pagkawala ng Kumpiyansa sa Mamumuhunan:** Ang mga iskandalo sa katiwalian ay maaaring humantong sa pagbaba ng kumpiyansa ng mamumuhunan, na magdulot ng pagbaba sa presyo ng stock ng kumpanya.
* **Mga Paghahabla ng Shareholder:** Maaaring magsampa ng kaso ang mga shareholder laban sa kumpanya para sa mga pagkalugi sa pananalapi na dulot ng katiwalian.
**Mga Indibidwal na Legal na Implikasyon:**
* **Mga multa at Pagkakulong:** Ang mga indibidwal na direktang sangkot sa mga tiwaling aktibidad ay maaaring maharap sa malalaking multa o kahit na pagkakulong, depende sa kalubhaan ng pagkakasala.
* **Pagkawala ng Mga Propesyonal na Lisensya:** Ang mga propesyonal na sangkot sa katiwalian ay maaaring mawalan ng kanilang mga lisensya upang magsanay sa kani-kanilang larangan.
* **Hirap Maghanap ng Trabaho sa Hinaharap:** Ang isang kriminal na rekord o reputasyon para sa katiwalian ay maaaring magpahirap sa paghahanap ng trabaho sa hinaharap.
**Kahalagahan ng Mga Programa sa Pagsunod:**
* **Binabawasan ang Panganib:** Ang pagpapatupad ng isang malakas na programa sa pagsunod sa laban sa katiwalian ay makabuluhang binabawasan ang panganib ng mga tiwaling gawi na nagaganap sa loob ng isang negosyo.
* **Pinoprotektahan ang Reputasyon:** Ang ipinakitang pangako sa mga etikal na kasanayan ay nakakatulong na mapanatili ang isang positibong reputasyon at nagpapatibay ng tiwala sa mga stakeholder.
* **Pinababawasan ang Mga Legal na Panganib:** Ang isang matatag na programa sa pagsunod ay maaaring mabawasan ang mga legal na kahihinatnan at potensyal na multa sa kaso ng mga paratang ng katiwalian.
**Tandaan:**
Ang mga legal na implikasyon ng katiwalian ay makabuluhan at napakalawak. Ang mga negosyo at indibidwal na kasangkot ay nahaharap sa malubhang kahihinatnan. Sa pamamagitan ng pagbibigay-priyoridad sa mga etikal na kasanayan at pagpapatupad ng matibay na mga programa sa pagsunod, maiiwasan ng mga negosyo ang mga panganib na ito at gumana nang may integridad.</v>
      </c>
      <c r="F1097" s="2">
        <f t="shared" si="1"/>
        <v>0</v>
      </c>
      <c r="G1097" s="2"/>
      <c r="H1097" s="2"/>
      <c r="I1097" s="2"/>
      <c r="J1097" s="2"/>
      <c r="K1097" s="2"/>
      <c r="L1097" s="2"/>
      <c r="M1097" s="2"/>
      <c r="N1097" s="2"/>
      <c r="O1097" s="2"/>
      <c r="P1097" s="2"/>
      <c r="Q1097" s="2"/>
      <c r="R1097" s="2"/>
      <c r="S1097" s="2"/>
      <c r="T1097" s="2"/>
      <c r="U1097" s="2"/>
      <c r="V1097" s="2"/>
      <c r="W1097" s="2"/>
      <c r="X1097" s="2"/>
      <c r="Y1097" s="2"/>
      <c r="Z1097" s="2"/>
      <c r="AA1097" s="2"/>
    </row>
    <row r="1098">
      <c r="A1098" s="1" t="s">
        <v>3356</v>
      </c>
      <c r="B1098" s="1" t="s">
        <v>3361</v>
      </c>
      <c r="C1098" s="1" t="s">
        <v>3362</v>
      </c>
      <c r="D1098" s="2" t="str">
        <f>IFERROR(__xludf.DUMMYFUNCTION("GOOGLETRANSLATE(B1098, ""en"", ""TL"")"),"Paano ko mapoprotektahan ang aking sarili nang legal kung matuklasan ko ang mga kaso ng katiwalian sa aking lugar ng trabaho?")</f>
        <v>Paano ko mapoprotektahan ang aking sarili nang legal kung matuklasan ko ang mga kaso ng katiwalian sa aking lugar ng trabaho?</v>
      </c>
      <c r="E1098" s="2" t="str">
        <f>IFERROR(__xludf.DUMMYFUNCTION("GOOGLETRANSLATE(C1098, ""en"", ""TL"")"),"Narito ang isang breakdown ng mga hakbang na maaari mong gawin upang protektahan ang iyong sarili nang legal kung matuklasan mo ang katiwalian sa iyong lugar ng trabaho:
**Magtipon ng Ebidensya (Ligtas):**
* **Idokumento ang Lahat:** Maingat na idokumento"&amp;" ang mga detalye ng tiwaling aktibidad, kabilang ang mga petsa, oras, pangalan ng mga taong sangkot, at mga partikular na aksyong ginawa. Gumamit ng mga pisikal na tala o mga digital na file na nakaimbak sa labas ng mga sistema ng kumpanya kung maaari.
* "&amp;"**Kolektahin ang Mga Pansuportang Materyales:** Kung available, magtipon ng mga email, invoice, recording (mag-ingat sa mga batas sa pahintulot ng lokal na pag-record), o iba pang mga dokumento na nagpapatunay sa katiwalian.
**Piliin ang Iyong Channel sa "&amp;"Pag-uulat:**
* **Internal na Pag-uulat:** Maraming kumpanya ang may mga panloob na hotline o mekanismo ng pag-uulat para sa mga empleyado na mag-ulat ng maling gawain. Pag-isipang gamitin ang mga ito nang hindi nagpapakilala kung maaari, na sumusunod sa m"&amp;"ga alituntunin ng kumpanya.
* **Mga Superbisor o Opisyal ng Pagsunod:** Kung nagtitiwala ka sa isang superbisor o opisyal sa pagsunod ng kumpanya at kumportable ka sa panloob na pag-uulat, direktang iulat ang insidente. Maging handa na magbigay ng mga det"&amp;"alye at ebidensya na iyong nakalap.
**Isaalang-alang ang Panlabas na Pag-uulat:**
Depende sa kalubhaan at uri ng katiwalian, maaaring kailanganin ang panlabas na pag-uulat:
* **Mga Ahensya ng Gobyerno:** Ang Pilipinas ay may mga ahensya tulad ng Office of"&amp;" the Ombudsman o Commission on Audit na nag-iimbestiga sa katiwalian. * **Securities and Exchange Commission (SEC):** Kung ang katiwalian ay nagsasangkot ng mga pampublikong kumpanya o mga paglabag sa securities, isaalang-alang ang pag-uulat nito sa SEC.
"&amp;"**Humingi ng Legal na Payo:**
Ang pagkonsulta sa isang abogado na dalubhasa sa batas sa trabaho at mga usapin laban sa katiwalian ay napakahalaga. Ang isang abogado ay maaaring:
* **Magbigay ng payo sa pinakaangkop na channel sa pag-uulat** batay sa parti"&amp;"kular na sitwasyon at ang iyong antas ng kaginhawaan sa panloob na pag-uulat.
* **Mag-navigate sa legalidad ng whistleblowing** at tiyaking nauunawaan mo ang iyong mga karapatan sa ilalim ng Whistleblower' Protection Act (RA 6713).
* **Maghanda ng matibay"&amp;" na kaso:** Maaaring tumulong ang iyong abogado sa pag-aayos ng ebidensya at pagpapakita ng iyong ulat nang epektibo.
**Pagprotekta sa Iyong Sarili:**
* **Panatilihin ang Pagiging Kumpidensyal:** Ibahagi lamang ang impormasyon tungkol sa katiwalian sa mga"&amp;" talagang kailangang malaman. * **Isaalang-alang ang Iyong Kaligtasan:** Kung natatakot ka sa paghihiganti, unahin ang iyong kaligtasan. Humingi ng payo mula sa iyong abogado tungkol sa maingat na paraan ng pag-uulat.
**Pag-unawa sa Whistleblower' Protect"&amp;"ion Act:**
* **Alamin ang Iyong Mga Karapatan:** Pinoprotektahan ng Batas ang mga whistleblower na nag-uulat ng katiwalian nang may mabuting loob mula sa paghihiganti ng kanilang mga amo. Kabilang dito ang pagwawakas, pagbabawas ng posisyon, panliligalig,"&amp;" o anumang uri ng diskriminasyon.
* **Mga Limitasyon:** Habang umiiral ang Batas, ang pagtiyak sa buong pagpapatupad nito ay maaaring maging mahirap. * **Burden of Proof:** Ang whistleblower ay kadalasang nagdadala ng pasanin na patunayan ang katiwalian a"&amp;"t ang paghihiganti na kanilang hinarap sa pag-uulat nito.
**Mga Karagdagang Tip:**
* **Huwag Mag-imbestiga Mag-isa:** Kung maaari, isama ang isang pinagkakatiwalaang kasamahan sa proseso ng pag-uulat para sa suporta at potensyal na pagpapatibay.
* **Panat"&amp;"ilihin ang Mga Kopya:** Panatilihin ang mga kopya ng lahat ng dokumentasyon at mga ulat na iyong isusumite, kung sakaling mawala ang mga orihinal.
* **Document Retaliation:** Kung nakakaranas ka ng retaliation pagkatapos mag-ulat, panatilihin ang isang de"&amp;"talyadong talaan ng mga kaganapan, kabilang ang mga petsa, saksi, at mga partikular na aksyon na ginawa laban sa iyo.
**Tandaan:**
* May karapatan kang tumanggi na lumahok sa mga tiwaling aktibidad at iulat ang mga ito kung nasaksihan mo ang mga ito.
* An"&amp;"g pag-uulat ng katiwalian ay maaaring maging isang nakakatakot na gawain, ngunit may mga legal na proteksyon na magagamit at mga mapagkukunan upang matulungan kang mag-navigate sa proseso. * Ang pagkonsulta sa isang abogado na dalubhasa sa batas sa pagtat"&amp;"rabaho at laban sa katiwalian ay napakahalaga para sa pagprotekta sa iyong sarili at pagtiyak ng isang matagumpay na resulta.
Sa pamamagitan ng pagsasagawa ng mga hakbang na ito, maaari mong pataasin ang iyong mga pagkakataon ng isang matagumpay na ulat h"&amp;"abang pinapaliit ang panganib ng paghihiganti.")</f>
        <v>Narito ang isang breakdown ng mga hakbang na maaari mong gawin upang protektahan ang iyong sarili nang legal kung matuklasan mo ang katiwalian sa iyong lugar ng trabaho:
**Magtipon ng Ebidensya (Ligtas):**
* **Idokumento ang Lahat:** Maingat na idokumento ang mga detalye ng tiwaling aktibidad, kabilang ang mga petsa, oras, pangalan ng mga taong sangkot, at mga partikular na aksyong ginawa. Gumamit ng mga pisikal na tala o mga digital na file na nakaimbak sa labas ng mga sistema ng kumpanya kung maaari.
* **Kolektahin ang Mga Pansuportang Materyales:** Kung available, magtipon ng mga email, invoice, recording (mag-ingat sa mga batas sa pahintulot ng lokal na pag-record), o iba pang mga dokumento na nagpapatunay sa katiwalian.
**Piliin ang Iyong Channel sa Pag-uulat:**
* **Internal na Pag-uulat:** Maraming kumpanya ang may mga panloob na hotline o mekanismo ng pag-uulat para sa mga empleyado na mag-ulat ng maling gawain. Pag-isipang gamitin ang mga ito nang hindi nagpapakilala kung maaari, na sumusunod sa mga alituntunin ng kumpanya.
* **Mga Superbisor o Opisyal ng Pagsunod:** Kung nagtitiwala ka sa isang superbisor o opisyal sa pagsunod ng kumpanya at kumportable ka sa panloob na pag-uulat, direktang iulat ang insidente. Maging handa na magbigay ng mga detalye at ebidensya na iyong nakalap.
**Isaalang-alang ang Panlabas na Pag-uulat:**
Depende sa kalubhaan at uri ng katiwalian, maaaring kailanganin ang panlabas na pag-uulat:
* **Mga Ahensya ng Gobyerno:** Ang Pilipinas ay may mga ahensya tulad ng Office of the Ombudsman o Commission on Audit na nag-iimbestiga sa katiwalian. * **Securities and Exchange Commission (SEC):** Kung ang katiwalian ay nagsasangkot ng mga pampublikong kumpanya o mga paglabag sa securities, isaalang-alang ang pag-uulat nito sa SEC.
**Humingi ng Legal na Payo:**
Ang pagkonsulta sa isang abogado na dalubhasa sa batas sa trabaho at mga usapin laban sa katiwalian ay napakahalaga. Ang isang abogado ay maaaring:
* **Magbigay ng payo sa pinakaangkop na channel sa pag-uulat** batay sa partikular na sitwasyon at ang iyong antas ng kaginhawaan sa panloob na pag-uulat.
* **Mag-navigate sa legalidad ng whistleblowing** at tiyaking nauunawaan mo ang iyong mga karapatan sa ilalim ng Whistleblower' Protection Act (RA 6713).
* **Maghanda ng matibay na kaso:** Maaaring tumulong ang iyong abogado sa pag-aayos ng ebidensya at pagpapakita ng iyong ulat nang epektibo.
**Pagprotekta sa Iyong Sarili:**
* **Panatilihin ang Pagiging Kumpidensyal:** Ibahagi lamang ang impormasyon tungkol sa katiwalian sa mga talagang kailangang malaman. * **Isaalang-alang ang Iyong Kaligtasan:** Kung natatakot ka sa paghihiganti, unahin ang iyong kaligtasan. Humingi ng payo mula sa iyong abogado tungkol sa maingat na paraan ng pag-uulat.
**Pag-unawa sa Whistleblower' Protection Act:**
* **Alamin ang Iyong Mga Karapatan:** Pinoprotektahan ng Batas ang mga whistleblower na nag-uulat ng katiwalian nang may mabuting loob mula sa paghihiganti ng kanilang mga amo. Kabilang dito ang pagwawakas, pagbabawas ng posisyon, panliligalig, o anumang uri ng diskriminasyon.
* **Mga Limitasyon:** Habang umiiral ang Batas, ang pagtiyak sa buong pagpapatupad nito ay maaaring maging mahirap. * **Burden of Proof:** Ang whistleblower ay kadalasang nagdadala ng pasanin na patunayan ang katiwalian at ang paghihiganti na kanilang hinarap sa pag-uulat nito.
**Mga Karagdagang Tip:**
* **Huwag Mag-imbestiga Mag-isa:** Kung maaari, isama ang isang pinagkakatiwalaang kasamahan sa proseso ng pag-uulat para sa suporta at potensyal na pagpapatibay.
* **Panatilihin ang Mga Kopya:** Panatilihin ang mga kopya ng lahat ng dokumentasyon at mga ulat na iyong isusumite, kung sakaling mawala ang mga orihinal.
* **Document Retaliation:** Kung nakakaranas ka ng retaliation pagkatapos mag-ulat, panatilihin ang isang detalyadong talaan ng mga kaganapan, kabilang ang mga petsa, saksi, at mga partikular na aksyon na ginawa laban sa iyo.
**Tandaan:**
* May karapatan kang tumanggi na lumahok sa mga tiwaling aktibidad at iulat ang mga ito kung nasaksihan mo ang mga ito.
* Ang pag-uulat ng katiwalian ay maaaring maging isang nakakatakot na gawain, ngunit may mga legal na proteksyon na magagamit at mga mapagkukunan upang matulungan kang mag-navigate sa proseso. * Ang pagkonsulta sa isang abogado na dalubhasa sa batas sa pagtatrabaho at laban sa katiwalian ay napakahalaga para sa pagprotekta sa iyong sarili at pagtiyak ng isang matagumpay na resulta.
Sa pamamagitan ng pagsasagawa ng mga hakbang na ito, maaari mong pataasin ang iyong mga pagkakataon ng isang matagumpay na ulat habang pinapaliit ang panganib ng paghihiganti.</v>
      </c>
      <c r="F1098" s="2">
        <f t="shared" si="1"/>
        <v>0</v>
      </c>
      <c r="G1098" s="2"/>
      <c r="H1098" s="2"/>
      <c r="I1098" s="2"/>
      <c r="J1098" s="2"/>
      <c r="K1098" s="2"/>
      <c r="L1098" s="2"/>
      <c r="M1098" s="2"/>
      <c r="N1098" s="2"/>
      <c r="O1098" s="2"/>
      <c r="P1098" s="2"/>
      <c r="Q1098" s="2"/>
      <c r="R1098" s="2"/>
      <c r="S1098" s="2"/>
      <c r="T1098" s="2"/>
      <c r="U1098" s="2"/>
      <c r="V1098" s="2"/>
      <c r="W1098" s="2"/>
      <c r="X1098" s="2"/>
      <c r="Y1098" s="2"/>
      <c r="Z1098" s="2"/>
      <c r="AA1098" s="2"/>
    </row>
    <row r="1099">
      <c r="A1099" s="1" t="s">
        <v>3356</v>
      </c>
      <c r="B1099" s="1" t="s">
        <v>3363</v>
      </c>
      <c r="C1099" s="1" t="s">
        <v>3364</v>
      </c>
      <c r="D1099" s="2" t="str">
        <f>IFERROR(__xludf.DUMMYFUNCTION("GOOGLETRANSLATE(B1099, ""en"", ""TL"")"),"Ano ang mga potensyal na kahihinatnan para sa isang negosyo na napatunayang nagkasala ng pagsasagawa ng mga tiwaling aktibidad?")</f>
        <v>Ano ang mga potensyal na kahihinatnan para sa isang negosyo na napatunayang nagkasala ng pagsasagawa ng mga tiwaling aktibidad?</v>
      </c>
      <c r="E1099" s="2" t="str">
        <f>IFERROR(__xludf.DUMMYFUNCTION("GOOGLETRANSLATE(C1099, ""en"", ""TL"")"),"Ang mga kahihinatnan para sa isang negosyong napatunayang nagkasala ng pagsasagawa ng mga tiwaling aktibidad sa Pilipinas ay maaaring maging malubha at malayong maabot. Narito ang isang breakdown ng ilang potensyal na epekto:
**Mga Legal na Parusa:**
* **"&amp;"Mga multa:** Ang mga regulatory body ay maaaring magpataw ng malalaking multa sa mga negosyong nahatulan ng mga paglabag sa katiwalian. Ang halaga ay maaaring mag-iba depende sa kalubhaan ng pagkakasala at sa mga probisyon na nilabag.
* **Debarment:** Ang"&amp;" mga kumpanyang sangkot sa katiwalian ay maaaring hadlangan sa paglahok sa mga kontrata o tender ng gobyerno sa hinaharap. Ito ay maaaring makabuluhang limitahan ang kanilang mga pagkakataon sa negosyo.
* **Mga Pagsingil sa Kriminal:** Sa ilang mga kaso, "&amp;"depende sa uri ng katiwalian, ang kumpanya o mga kinatawan nito ay maaaring humarap sa mga kasong kriminal, na posibleng humantong sa pagkakulong.
**Pinsala sa Reputasyon:**
* **Pampublikong Pagsusuri:** Ang mga iskandalo sa katiwalian ay maaaring humanto"&amp;"ng sa matinding pagsisiyasat ng publiko at negatibong saklaw ng media. Maaari nitong masira ang reputasyon ng kumpanya at masira ang tiwala ng consumer.
* **Pagkawala ng Negosyo:** Maaaring piliin ng mga customer at partner na iwasang makipagnegosyo sa is"&amp;"ang kumpanyang may bahid ng katiwalian. Ito ay maaaring humantong sa pagkawala ng mga benta at kontrata.
* **Hirap Makaakit ng Talento:** Maaaring mag-alinlangan ang nangungunang talento na magtrabaho para sa isang kumpanyang may reputasyon para sa mga hi"&amp;"ndi etikal na kasanayan.
**Iba pang mga kahihinatnan:**
* **Civil Lawsuits:** Ang mga kumpanyang sangkot sa katiwalian ay maaaring humarap sa mga kasong sibil mula sa mga partidong sinaktan ng kanilang mga aksyon.
* **Mga Remedial na Panukala:** Maaaring "&amp;"hilingin ng mga awtoridad sa kumpanya na magpatupad ng mga hakbang sa pagwawasto tulad ng pagbabago ng pamamahala, pagpapatakbo ng muling pagsasaayos, o pagpapabuti ng mga programa sa pagsunod.
* **Mga Kahirapan sa Internasyonal na Negosyo:** Ang pagsasag"&amp;"awa ng mga tiwaling gawi ay maaaring magpahirap sa pagpapatakbo sa ilang partikular na bansang may mas mahigpit na mga regulasyon laban sa katiwalian.
**Epekto sa mga Investor at Shareholder:**
* **Pagkawala ng Kumpiyansa sa Mamumuhunan:** Ang mga iskanda"&amp;"lo sa katiwalian ay maaaring humantong sa pagbaba ng kumpiyansa ng mamumuhunan, na magdulot ng pagbaba sa presyo ng stock ng kumpanya.
* **Mga Paghahabla ng Shareholder:** Maaaring magsampa ng kaso ang mga shareholder laban sa kumpanya para sa mga pagkalu"&amp;"gi sa pananalapi na dulot ng katiwalian.
**Tandaan:**
Ang mga kahihinatnan ng katiwalian para sa isang negosyo ay maaaring mapangwasak. Napakahalagang bigyang-priyoridad ang mga etikal na kasanayan at ipatupad ang malakas na mga programa sa pagsunod laban"&amp;" sa katiwalian upang maiwasan ang mga ganitong sitwasyon.
**Dagdag pa:**
* Ang kalubhaan ng mga kahihinatnan ay maaaring maimpluwensyahan ng mga salik tulad ng lawak ng pakikipagtulungan sa mga awtoridad sa panahon ng mga pagsisiyasat at ang mga pagsisika"&amp;"p na ginawa upang maitama ang sitwasyon.
* Ang pagkonsulta sa isang abogado na dalubhasa sa batas ng negosyo at mga usapin laban sa katiwalian ay maaaring makatulong sa mga negosyo na mag-navigate sa mga potensyal na legal na kahihinatnan at bumuo ng mga "&amp;"diskarte upang mabawasan ang mga panganib.
Sa pamamagitan ng pag-unawa sa mga potensyal na epekto, ang mga negosyo ay maaaring gumawa ng matalinong mga desisyon at unahin ang pagbuo ng isang kultura ng integridad at etikal na pag-uugali.")</f>
        <v>Ang mga kahihinatnan para sa isang negosyong napatunayang nagkasala ng pagsasagawa ng mga tiwaling aktibidad sa Pilipinas ay maaaring maging malubha at malayong maabot. Narito ang isang breakdown ng ilang potensyal na epekto:
**Mga Legal na Parusa:**
* **Mga multa:** Ang mga regulatory body ay maaaring magpataw ng malalaking multa sa mga negosyong nahatulan ng mga paglabag sa katiwalian. Ang halaga ay maaaring mag-iba depende sa kalubhaan ng pagkakasala at sa mga probisyon na nilabag.
* **Debarment:** Ang mga kumpanyang sangkot sa katiwalian ay maaaring hadlangan sa paglahok sa mga kontrata o tender ng gobyerno sa hinaharap. Ito ay maaaring makabuluhang limitahan ang kanilang mga pagkakataon sa negosyo.
* **Mga Pagsingil sa Kriminal:** Sa ilang mga kaso, depende sa uri ng katiwalian, ang kumpanya o mga kinatawan nito ay maaaring humarap sa mga kasong kriminal, na posibleng humantong sa pagkakulong.
**Pinsala sa Reputasyon:**
* **Pampublikong Pagsusuri:** Ang mga iskandalo sa katiwalian ay maaaring humantong sa matinding pagsisiyasat ng publiko at negatibong saklaw ng media. Maaari nitong masira ang reputasyon ng kumpanya at masira ang tiwala ng consumer.
* **Pagkawala ng Negosyo:** Maaaring piliin ng mga customer at partner na iwasang makipagnegosyo sa isang kumpanyang may bahid ng katiwalian. Ito ay maaaring humantong sa pagkawala ng mga benta at kontrata.
* **Hirap Makaakit ng Talento:** Maaaring mag-alinlangan ang nangungunang talento na magtrabaho para sa isang kumpanyang may reputasyon para sa mga hindi etikal na kasanayan.
**Iba pang mga kahihinatnan:**
* **Civil Lawsuits:** Ang mga kumpanyang sangkot sa katiwalian ay maaaring humarap sa mga kasong sibil mula sa mga partidong sinaktan ng kanilang mga aksyon.
* **Mga Remedial na Panukala:** Maaaring hilingin ng mga awtoridad sa kumpanya na magpatupad ng mga hakbang sa pagwawasto tulad ng pagbabago ng pamamahala, pagpapatakbo ng muling pagsasaayos, o pagpapabuti ng mga programa sa pagsunod.
* **Mga Kahirapan sa Internasyonal na Negosyo:** Ang pagsasagawa ng mga tiwaling gawi ay maaaring magpahirap sa pagpapatakbo sa ilang partikular na bansang may mas mahigpit na mga regulasyon laban sa katiwalian.
**Epekto sa mga Investor at Shareholder:**
* **Pagkawala ng Kumpiyansa sa Mamumuhunan:** Ang mga iskandalo sa katiwalian ay maaaring humantong sa pagbaba ng kumpiyansa ng mamumuhunan, na magdulot ng pagbaba sa presyo ng stock ng kumpanya.
* **Mga Paghahabla ng Shareholder:** Maaaring magsampa ng kaso ang mga shareholder laban sa kumpanya para sa mga pagkalugi sa pananalapi na dulot ng katiwalian.
**Tandaan:**
Ang mga kahihinatnan ng katiwalian para sa isang negosyo ay maaaring mapangwasak. Napakahalagang bigyang-priyoridad ang mga etikal na kasanayan at ipatupad ang malakas na mga programa sa pagsunod laban sa katiwalian upang maiwasan ang mga ganitong sitwasyon.
**Dagdag pa:**
* Ang kalubhaan ng mga kahihinatnan ay maaaring maimpluwensyahan ng mga salik tulad ng lawak ng pakikipagtulungan sa mga awtoridad sa panahon ng mga pagsisiyasat at ang mga pagsisikap na ginawa upang maitama ang sitwasyon.
* Ang pagkonsulta sa isang abogado na dalubhasa sa batas ng negosyo at mga usapin laban sa katiwalian ay maaaring makatulong sa mga negosyo na mag-navigate sa mga potensyal na legal na kahihinatnan at bumuo ng mga diskarte upang mabawasan ang mga panganib.
Sa pamamagitan ng pag-unawa sa mga potensyal na epekto, ang mga negosyo ay maaaring gumawa ng matalinong mga desisyon at unahin ang pagbuo ng isang kultura ng integridad at etikal na pag-uugali.</v>
      </c>
      <c r="F1099" s="2">
        <f t="shared" si="1"/>
        <v>0</v>
      </c>
      <c r="G1099" s="2"/>
      <c r="H1099" s="2"/>
      <c r="I1099" s="2"/>
      <c r="J1099" s="2"/>
      <c r="K1099" s="2"/>
      <c r="L1099" s="2"/>
      <c r="M1099" s="2"/>
      <c r="N1099" s="2"/>
      <c r="O1099" s="2"/>
      <c r="P1099" s="2"/>
      <c r="Q1099" s="2"/>
      <c r="R1099" s="2"/>
      <c r="S1099" s="2"/>
      <c r="T1099" s="2"/>
      <c r="U1099" s="2"/>
      <c r="V1099" s="2"/>
      <c r="W1099" s="2"/>
      <c r="X1099" s="2"/>
      <c r="Y1099" s="2"/>
      <c r="Z1099" s="2"/>
      <c r="AA1099" s="2"/>
    </row>
    <row r="1100">
      <c r="A1100" s="1" t="s">
        <v>3356</v>
      </c>
      <c r="B1100" s="1" t="s">
        <v>3365</v>
      </c>
      <c r="C1100" s="1" t="s">
        <v>3366</v>
      </c>
      <c r="D1100" s="2" t="str">
        <f>IFERROR(__xludf.DUMMYFUNCTION("GOOGLETRANSLATE(B1100, ""en"", ""TL"")"),"Mayroon bang mga partikular na batas o regulasyon na namamahala sa katiwalian sa sektor ng negosyo?")</f>
        <v>Mayroon bang mga partikular na batas o regulasyon na namamahala sa katiwalian sa sektor ng negosyo?</v>
      </c>
      <c r="E1100" s="2" t="str">
        <f>IFERROR(__xludf.DUMMYFUNCTION("GOOGLETRANSLATE(C1100, ""en"", ""TL"")"),"Oo, may ilang mahahalagang batas at regulasyon na namamahala sa katiwalian sa sektor ng negosyo sa Pilipinas. Narito ang isang breakdown ng ilan sa mga pinakamahalaga:
**Mga Pambansang Batas:**
* **Anti-Graft and Corrupt Practices Act (RA 3019):** Ito ang"&amp;" pundasyong batas laban sa katiwalian sa Pilipinas. Binabalangkas nito ang mga ipinagbabawal na gawain para sa mga pampublikong opisyal, kabilang ang:
* Paghingi o pagtanggap ng suhol
* Hindi tapat na pagkuha ng kayamanan
* Paggamit ng pampublikong opisin"&amp;"a para sa pribadong pakinabang
* Pananagutan din ng batas ang mga korporasyon kung nakipagsabwatan sila sa mga pampublikong opisyal o nagsisilbing dummies para sa mga tiwaling aktibidad.
* **Revised Penal Code (RPC):** Ang code na ito ay naglalaman ng iba"&amp;"'t ibang probisyon na tumutugon sa panunuhol at iba pang mga paglabag sa katiwalian. Maaaring ilapat ang mga ito sa parehong mga pampublikong opisyal at pribadong indibidwal na sangkot sa mga katiwalian sa loob ng sektor ng negosyo.
**Mga Internasyonal na"&amp;" Kasunduan:**
* **Ang Pilipinas ay lumagda sa ilang pandaigdigang kombensiyon laban sa katiwalian:** * **The United Nations Convention against Corruption (UNCAC):** Ang kumbensyong ito ay nagtatatag ng mga internasyonal na pamantayan para sa pagpigil at p"&amp;"aglaban sa katiwalian. Inaatasan nito ang mga miyembrong estado na gawing kriminal ang panunuhol, magpatupad ng mga hakbang sa pag-iwas, at makipagtulungan sa mga pagsisiyasat at pagbawi ng asset.
* **Ang OECD Convention on Combating Bribery of Foreign Pu"&amp;"blic Officials in International Business Transactions:** Nakatuon ang convention na ito sa panunuhol ng mga dayuhang opisyal ng mga kumpanyang naka-headquarter sa mga bansang miyembro.
Ang mga kasunduang ito ay naglalagay ng panggigipit sa Pilipinas na pa"&amp;"natilihin ang isang matibay na legal na balangkas laban sa katiwalian sa sektor ng negosyo.
**Higit pa sa Mga Legal na Kinakailangan:**
* **Mga Panuntunan ng Securities and Exchange Commission (SEC):** Ang SEC ay may mga regulasyon sa mga kinakailangan sa"&amp;" pagsisiwalat para sa mga pampublikong kumpanya. Makakatulong ang mga ito na maiwasan ang katiwalian sa pamamagitan ng pagtiyak ng transparency sa pag-uulat sa pananalapi at mga pakikitungo sa negosyo.
**Tandaan:** Ito ang ilan sa mga pangunahing batas at"&amp;" regulasyon, ngunit maaaring may mga karagdagang regulasyon o issuance na partikular sa industriya mula sa mga ahensya ng gobyerno na nalalapat sa iyong partikular na sektor ng negosyo. Ang pagkonsulta sa isang abogado na dalubhasa sa corporate compliance"&amp;" at anti-corruption na mga usapin ay makakatiyak na alam ng iyong negosyo ang lahat ng nauugnay na legal na kinakailangan.")</f>
        <v>Oo, may ilang mahahalagang batas at regulasyon na namamahala sa katiwalian sa sektor ng negosyo sa Pilipinas. Narito ang isang breakdown ng ilan sa mga pinakamahalaga:
**Mga Pambansang Batas:**
* **Anti-Graft and Corrupt Practices Act (RA 3019):** Ito ang pundasyong batas laban sa katiwalian sa Pilipinas. Binabalangkas nito ang mga ipinagbabawal na gawain para sa mga pampublikong opisyal, kabilang ang:
* Paghingi o pagtanggap ng suhol
* Hindi tapat na pagkuha ng kayamanan
* Paggamit ng pampublikong opisina para sa pribadong pakinabang
* Pananagutan din ng batas ang mga korporasyon kung nakipagsabwatan sila sa mga pampublikong opisyal o nagsisilbing dummies para sa mga tiwaling aktibidad.
* **Revised Penal Code (RPC):** Ang code na ito ay naglalaman ng iba't ibang probisyon na tumutugon sa panunuhol at iba pang mga paglabag sa katiwalian. Maaaring ilapat ang mga ito sa parehong mga pampublikong opisyal at pribadong indibidwal na sangkot sa mga katiwalian sa loob ng sektor ng negosyo.
**Mga Internasyonal na Kasunduan:**
* **Ang Pilipinas ay lumagda sa ilang pandaigdigang kombensiyon laban sa katiwalian:** * **The United Nations Convention against Corruption (UNCAC):** Ang kumbensyong ito ay nagtatatag ng mga internasyonal na pamantayan para sa pagpigil at paglaban sa katiwalian. Inaatasan nito ang mga miyembrong estado na gawing kriminal ang panunuhol, magpatupad ng mga hakbang sa pag-iwas, at makipagtulungan sa mga pagsisiyasat at pagbawi ng asset.
* **Ang OECD Convention on Combating Bribery of Foreign Public Officials in International Business Transactions:** Nakatuon ang convention na ito sa panunuhol ng mga dayuhang opisyal ng mga kumpanyang naka-headquarter sa mga bansang miyembro.
Ang mga kasunduang ito ay naglalagay ng panggigipit sa Pilipinas na panatilihin ang isang matibay na legal na balangkas laban sa katiwalian sa sektor ng negosyo.
**Higit pa sa Mga Legal na Kinakailangan:**
* **Mga Panuntunan ng Securities and Exchange Commission (SEC):** Ang SEC ay may mga regulasyon sa mga kinakailangan sa pagsisiwalat para sa mga pampublikong kumpanya. Makakatulong ang mga ito na maiwasan ang katiwalian sa pamamagitan ng pagtiyak ng transparency sa pag-uulat sa pananalapi at mga pakikitungo sa negosyo.
**Tandaan:** Ito ang ilan sa mga pangunahing batas at regulasyon, ngunit maaaring may mga karagdagang regulasyon o issuance na partikular sa industriya mula sa mga ahensya ng gobyerno na nalalapat sa iyong partikular na sektor ng negosyo. Ang pagkonsulta sa isang abogado na dalubhasa sa corporate compliance at anti-corruption na mga usapin ay makakatiyak na alam ng iyong negosyo ang lahat ng nauugnay na legal na kinakailangan.</v>
      </c>
      <c r="F1100" s="2">
        <f t="shared" si="1"/>
        <v>0</v>
      </c>
      <c r="G1100" s="2"/>
      <c r="H1100" s="2"/>
      <c r="I1100" s="2"/>
      <c r="J1100" s="2"/>
      <c r="K1100" s="2"/>
      <c r="L1100" s="2"/>
      <c r="M1100" s="2"/>
      <c r="N1100" s="2"/>
      <c r="O1100" s="2"/>
      <c r="P1100" s="2"/>
      <c r="Q1100" s="2"/>
      <c r="R1100" s="2"/>
      <c r="S1100" s="2"/>
      <c r="T1100" s="2"/>
      <c r="U1100" s="2"/>
      <c r="V1100" s="2"/>
      <c r="W1100" s="2"/>
      <c r="X1100" s="2"/>
      <c r="Y1100" s="2"/>
      <c r="Z1100" s="2"/>
      <c r="AA1100" s="2"/>
    </row>
    <row r="1101">
      <c r="A1101" s="1" t="s">
        <v>3356</v>
      </c>
      <c r="B1101" s="1" t="s">
        <v>3367</v>
      </c>
      <c r="C1101" s="1" t="s">
        <v>3368</v>
      </c>
      <c r="D1101" s="2" t="str">
        <f>IFERROR(__xludf.DUMMYFUNCTION("GOOGLETRANSLATE(B1101, ""en"", ""TL"")"),"Paano ko matitiyak na ang aking mga kasanayan sa negosyo ay sumusunod sa mga batas at regulasyon laban sa katiwalian?")</f>
        <v>Paano ko matitiyak na ang aking mga kasanayan sa negosyo ay sumusunod sa mga batas at regulasyon laban sa katiwalian?</v>
      </c>
      <c r="E1101" s="2" t="str">
        <f>IFERROR(__xludf.DUMMYFUNCTION("GOOGLETRANSLATE(C1101, ""en"", ""TL"")"),"Narito ang ilang mahahalagang hakbang na maaari mong gawin upang matiyak na ang iyong mga kasanayan sa negosyo ay sumusunod sa mga batas at regulasyon laban sa katiwalian sa Pilipinas:
**Bumuo ng Comprehensive Anti-Corruption Compliance Program:**
* **Cod"&amp;"e of Conduct:** Magtatag ng malinaw at mahusay na pakikipag-usap na Code of Conduct na nagbabalangkas sa pangako ng iyong kumpanya sa mga etikal na kasanayan at pagbabawal sa anumang uri ng katiwalian, kabilang ang panunuhol, mga pagbabayad sa pagpapadali"&amp;", at mga salungatan ng interes. * **Mga Programa sa Pagsasanay at Awareness:** Magbigay ng regular na pagsasanay para sa mga empleyado sa lahat ng antas sa mga batas laban sa katiwalian, Kodigo ng Pag-uugali ng iyong kumpanya, at kung paano tukuyin at iul"&amp;"at ang mga pulang bandila ng katiwalian. * **Due Diligence:** Magpatupad ng isang mahusay na proseso ng due diligence para sa pagpili ng mga kasosyo sa negosyo, vendor, at third-party na ahente. Maaaring kabilang dito ang mga pagsusuri sa background, pag-"&amp;"verify ng mga rekord sa pananalapi, at pagtatasa ng kanilang mga kasanayan laban sa katiwalian.
* **Mga Panloob na Kontrol:** Magtatag ng malakas na mga panloob na kontrol sa mga transaksyong pinansyal, proseso ng pagkuha, at pag-iingat ng rekord. Kabilan"&amp;"g dito ang paghihiwalay ng mga tungkulin, regular na pag-audit, at malinaw na pamamaraan ng pag-apruba para sa mga kontrata at pagbabayad.
* **Mekanismo ng Whistleblowing:** Mag-set up ng isang kumpidensyal at secure na whistleblowing hotline o sistema ng"&amp;" pag-uulat kung saan maaaring mag-ulat ang mga empleyado ng pinaghihinalaang katiwalian nang walang takot sa paghihiganti. **Patuloy na Pagsubaybay at Pagpapabuti:**
* **Mga Regular na Pagtatasa sa Panganib:** Pana-panahong tasahin ang mga panganib sa kat"&amp;"iwalian ng iyong kumpanya batay sa iyong industriya, lokasyong heograpiko, at mga aktibidad ng negosyo. Iangkop ang iyong programa sa pagsunod nang naaayon.
* **Pamamahala ng Pamamahala:** Tiyakin na ang senior management ay nagpapakita ng isang matibay n"&amp;"a pangako sa pagsunod laban sa katiwalian sa pamamagitan ng aktibong pagtataguyod ng etikal na pag-uugali at pagpapanagot sa mga empleyado para sa mga paglabag sa Code of Conduct.
* **Mga Pana-panahong Pag-audit:** Magsagawa ng mga regular na panloob na p"&amp;"ag-audit o makipag-ugnayan sa mga panlabas na auditor upang suriin ang iyong programa sa pagsunod at tukuyin ang mga potensyal na kahinaan.
**Mga Karagdagang Pagsasaalang-alang:**
* **Pagsunod sa International Standards:** Pamilyar ang iyong sarili sa mga"&amp;" internasyonal na kombensiyon laban sa katiwalian tulad ng UNCAC at OECD Anti-Bribery Convention, kahit na hindi direktang ipinag-uutos ng batas ng Pilipinas. * **Mga Regulasyon na Partikular sa Industriya:** Maaaring may mga karagdagang regulasyon laban "&amp;"sa katiwalian ang ilang partikular na industriya na kailangan mong sundin. Magsaliksik at sumunod sa anumang partikular na pangangailangan para sa iyong sektor.
* **Humingi ng Legal na Payo:** Kumonsulta sa isang abogado na dalubhasa sa pagsunod sa korpor"&amp;"asyon at mga usapin laban sa katiwalian. Maaari silang magpayo tungkol sa mga legal na kinakailangan, pinakamahuhusay na kagawian, at kung paano iaangkop ang iyong programa sa iyong mga partikular na pangangailangan sa negosyo.
**Mga Benepisyo ng Isang Ma"&amp;"lakas na Programa sa Pagsunod:**
* **Binabawasan ang Panganib ng Korapsyon:** Ang isang mahusay na dinisenyong programa sa pagsunod ay makabuluhang binabawasan ang panganib ng katiwalian na nagaganap sa loob ng iyong negosyo.
* **Pinoprotektahan ang Iyong"&amp;" Reputasyon:** Ang isang matibay na pangako sa mga etikal na kasanayan ay nagpapatibay ng tiwala sa mga stakeholder at nakakatulong na maiwasan ang pinsala sa reputasyon mula sa mga iskandalo sa katiwalian.
* **Pinababawasan ang Mga Legal na Panganib:** A"&amp;"ng isang matatag na programa sa pagsunod ay maaaring mabawasan ang mga legal na kahihinatnan at potensyal na multa sa kaso ng mga paratang ng katiwalian.
* **Gumagawa ng Kultura ng Integridad:** Sa pamamagitan ng pagbibigay-priyoridad sa etika at transpar"&amp;"ency, pinapaunlad mo ang isang positibong kapaligiran sa trabaho kung saan nararamdaman ng mga empleyado ang kapangyarihang mag-ulat ng maling gawain.
Sa pamamagitan ng pagpapatupad ng mga hakbang na ito, maaari mong makabuluhang taasan ang iyong mga pagk"&amp;"akataong magpatakbo ng negosyong walang katiwalian at ipakita ang iyong pangako sa etikal at responsableng mga kasanayan sa negosyo.")</f>
        <v>Narito ang ilang mahahalagang hakbang na maaari mong gawin upang matiyak na ang iyong mga kasanayan sa negosyo ay sumusunod sa mga batas at regulasyon laban sa katiwalian sa Pilipinas:
**Bumuo ng Comprehensive Anti-Corruption Compliance Program:**
* **Code of Conduct:** Magtatag ng malinaw at mahusay na pakikipag-usap na Code of Conduct na nagbabalangkas sa pangako ng iyong kumpanya sa mga etikal na kasanayan at pagbabawal sa anumang uri ng katiwalian, kabilang ang panunuhol, mga pagbabayad sa pagpapadali, at mga salungatan ng interes. * **Mga Programa sa Pagsasanay at Awareness:** Magbigay ng regular na pagsasanay para sa mga empleyado sa lahat ng antas sa mga batas laban sa katiwalian, Kodigo ng Pag-uugali ng iyong kumpanya, at kung paano tukuyin at iulat ang mga pulang bandila ng katiwalian. * **Due Diligence:** Magpatupad ng isang mahusay na proseso ng due diligence para sa pagpili ng mga kasosyo sa negosyo, vendor, at third-party na ahente. Maaaring kabilang dito ang mga pagsusuri sa background, pag-verify ng mga rekord sa pananalapi, at pagtatasa ng kanilang mga kasanayan laban sa katiwalian.
* **Mga Panloob na Kontrol:** Magtatag ng malakas na mga panloob na kontrol sa mga transaksyong pinansyal, proseso ng pagkuha, at pag-iingat ng rekord. Kabilang dito ang paghihiwalay ng mga tungkulin, regular na pag-audit, at malinaw na pamamaraan ng pag-apruba para sa mga kontrata at pagbabayad.
* **Mekanismo ng Whistleblowing:** Mag-set up ng isang kumpidensyal at secure na whistleblowing hotline o sistema ng pag-uulat kung saan maaaring mag-ulat ang mga empleyado ng pinaghihinalaang katiwalian nang walang takot sa paghihiganti. **Patuloy na Pagsubaybay at Pagpapabuti:**
* **Mga Regular na Pagtatasa sa Panganib:** Pana-panahong tasahin ang mga panganib sa katiwalian ng iyong kumpanya batay sa iyong industriya, lokasyong heograpiko, at mga aktibidad ng negosyo. Iangkop ang iyong programa sa pagsunod nang naaayon.
* **Pamamahala ng Pamamahala:** Tiyakin na ang senior management ay nagpapakita ng isang matibay na pangako sa pagsunod laban sa katiwalian sa pamamagitan ng aktibong pagtataguyod ng etikal na pag-uugali at pagpapanagot sa mga empleyado para sa mga paglabag sa Code of Conduct.
* **Mga Pana-panahong Pag-audit:** Magsagawa ng mga regular na panloob na pag-audit o makipag-ugnayan sa mga panlabas na auditor upang suriin ang iyong programa sa pagsunod at tukuyin ang mga potensyal na kahinaan.
**Mga Karagdagang Pagsasaalang-alang:**
* **Pagsunod sa International Standards:** Pamilyar ang iyong sarili sa mga internasyonal na kombensiyon laban sa katiwalian tulad ng UNCAC at OECD Anti-Bribery Convention, kahit na hindi direktang ipinag-uutos ng batas ng Pilipinas. * **Mga Regulasyon na Partikular sa Industriya:** Maaaring may mga karagdagang regulasyon laban sa katiwalian ang ilang partikular na industriya na kailangan mong sundin. Magsaliksik at sumunod sa anumang partikular na pangangailangan para sa iyong sektor.
* **Humingi ng Legal na Payo:** Kumonsulta sa isang abogado na dalubhasa sa pagsunod sa korporasyon at mga usapin laban sa katiwalian. Maaari silang magpayo tungkol sa mga legal na kinakailangan, pinakamahuhusay na kagawian, at kung paano iaangkop ang iyong programa sa iyong mga partikular na pangangailangan sa negosyo.
**Mga Benepisyo ng Isang Malakas na Programa sa Pagsunod:**
* **Binabawasan ang Panganib ng Korapsyon:** Ang isang mahusay na dinisenyong programa sa pagsunod ay makabuluhang binabawasan ang panganib ng katiwalian na nagaganap sa loob ng iyong negosyo.
* **Pinoprotektahan ang Iyong Reputasyon:** Ang isang matibay na pangako sa mga etikal na kasanayan ay nagpapatibay ng tiwala sa mga stakeholder at nakakatulong na maiwasan ang pinsala sa reputasyon mula sa mga iskandalo sa katiwalian.
* **Pinababawasan ang Mga Legal na Panganib:** Ang isang matatag na programa sa pagsunod ay maaaring mabawasan ang mga legal na kahihinatnan at potensyal na multa sa kaso ng mga paratang ng katiwalian.
* **Gumagawa ng Kultura ng Integridad:** Sa pamamagitan ng pagbibigay-priyoridad sa etika at transparency, pinapaunlad mo ang isang positibong kapaligiran sa trabaho kung saan nararamdaman ng mga empleyado ang kapangyarihang mag-ulat ng maling gawain.
Sa pamamagitan ng pagpapatupad ng mga hakbang na ito, maaari mong makabuluhang taasan ang iyong mga pagkakataong magpatakbo ng negosyong walang katiwalian at ipakita ang iyong pangako sa etikal at responsableng mga kasanayan sa negosyo.</v>
      </c>
      <c r="F1101" s="2">
        <f t="shared" si="1"/>
        <v>0</v>
      </c>
      <c r="G1101" s="2"/>
      <c r="H1101" s="2"/>
      <c r="I1101" s="2"/>
      <c r="J1101" s="2"/>
      <c r="K1101" s="2"/>
      <c r="L1101" s="2"/>
      <c r="M1101" s="2"/>
      <c r="N1101" s="2"/>
      <c r="O1101" s="2"/>
      <c r="P1101" s="2"/>
      <c r="Q1101" s="2"/>
      <c r="R1101" s="2"/>
      <c r="S1101" s="2"/>
      <c r="T1101" s="2"/>
      <c r="U1101" s="2"/>
      <c r="V1101" s="2"/>
      <c r="W1101" s="2"/>
      <c r="X1101" s="2"/>
      <c r="Y1101" s="2"/>
      <c r="Z1101" s="2"/>
      <c r="AA1101" s="2"/>
    </row>
    <row r="1102">
      <c r="A1102" s="1" t="s">
        <v>3356</v>
      </c>
      <c r="B1102" s="1" t="s">
        <v>3369</v>
      </c>
      <c r="C1102" s="1" t="s">
        <v>3370</v>
      </c>
      <c r="D1102" s="2" t="str">
        <f>IFERROR(__xludf.DUMMYFUNCTION("GOOGLETRANSLATE(B1102, ""en"", ""TL"")"),"Anong mga hakbang ang dapat kong gawin kung pinaghihinalaan ko na ang isang kakumpitensya ay nakikibahagi sa mga tiwaling gawi upang makakuha ng isang mapagkumpitensyang kalamangan?")</f>
        <v>Anong mga hakbang ang dapat kong gawin kung pinaghihinalaan ko na ang isang kakumpitensya ay nakikibahagi sa mga tiwaling gawi upang makakuha ng isang mapagkumpitensyang kalamangan?</v>
      </c>
      <c r="E1102" s="2" t="str">
        <f>IFERROR(__xludf.DUMMYFUNCTION("GOOGLETRANSLATE(C1102, ""en"", ""TL"")"),"Narito kung ano ang maaari mong gawin kung pinaghihinalaan mo ang isang katunggali ay nagsasagawa ng mga tiwaling gawi:
**Magtipon ng Impormasyon:**
* **Idokumento ang Iyong Mga Alalahanin:** Magtala ng mga partikular na detalye na nagpapataas ng hinala, "&amp;"kabilang ang mga petsa, kaganapan, at anumang ebidensya na maaaring mayroon ka (hal., hindi pangkaraniwang mga parangal sa kontrata, mga pampublikong pahayag ng mga opisyal na nagpapahiwatig ng paboritismo).
* **Imbistigahan ang Pampublikong Magagamit na "&amp;"Impormasyon:** Maghanap ng mga artikulo ng balita, mga tala ng gobyerno, o mga ulat ng NGO na nagbabanggit sa iyong katunggali at potensyal na katiwalian. Maaari ding mag-alok ng mga insight ang mga publication sa industriya o research firm.
**Tumuon sa M"&amp;"ga Legal at Etikal na Pagkilos:**
* **Mag-ulat sa Mga Awtoridad:** Kung mayroon kang matibay na ebidensya ng katiwalian na kinasasangkutan ng mga opisyal ng gobyerno (panunuhol, pandaraya), iulat ito sa mga may-katuturang awtoridad tulad ng Office of the "&amp;"Ombudsman o Commission on Audit. * **Mag-ulat sa Mga Asosasyon ng Industriya:** Ang ilang mga industriya ay may mga propesyonal na asosasyon na may mga alituntunin sa etika. Kung nilalabag ng iyong kakumpitensya ang mga code na ito, iulat ang mga ito sa a"&amp;"sosasyon.
**Iwasan ang Mga Hindi Etikal na Kontra-Gawi:**
* **Huwag Makisali sa Paghihiganti ng Korapsyon:** Ang pagtugon gamit ang sarili mong mga tiwaling gawi ay nagpapahina lamang sa iyong posisyon at nagdudulot ng problema sa legal para sa iyong kump"&amp;"anya.
* **Panatilihin ang Malinis na Reputasyon:** Tumutok sa pagbuo ng iyong negosyo sa pamamagitan ng mga etikal na kasanayan at pag-aalok ng mga mahusay na produkto o serbisyo.
**Isaalang-alang ang Mga Hindi Direktang Pagkilos:**
* **Publicly Advocate "&amp;"for Transparency:** Magsalita tungkol sa kahalagahan ng patas na kompetisyon at mga etikal na kasanayan sa negosyo sa loob ng iyong industriya. * **I-highlight ang Iyong Sariling Mga Kasanayan sa Etika:** I-promote ang iyong pangako sa pagsunod at transpa"&amp;"rency upang ibahin ang iyong sarili mula sa kakumpitensya. **Humingi ng Legal na Payo:**
* **Kumonsulta sa isang Abogado:** Ang isang abogado na dalubhasa sa batas ng negosyo at laban sa katiwalian ay maaaring magpayo sa pinakamahusay na paraan ng pagkilo"&amp;"s batay sa partikular na sitwasyon at ang ebidensyang makukuha. Matutulungan ka rin nila na mag-navigate sa mga legal na kumplikado at maiwasan ang hindi sinasadyang ilagay ang iyong sarili sa panganib.
**Mahahalagang Pagsasaalang-alang:**
* **Lakas ng Eb"&amp;"idensya:** Ang pagkakaroon ng konkretong ebidensya ay nagpapatibay sa iyong kaso at ginagawang mas kapani-paniwala ang mga akusasyon. Gayunpaman, tumuon sa pangangalap ng impormasyon sa legal at etikal na paraan.
* **Mga Potensyal na Repercussion:** Ang p"&amp;"ag-uulat ng isang katunggali ay maaaring humantong sa paghihiganti o mga legal na labanan. Matutulungan ka ng isang abogado na masuri ang mga panganib na ito.
* **Tumuon sa Iyong Negosyo:** Bagama't nakakadismaya ang hindi etikal na kumpetisyon, huwag hay"&amp;"aang makagambala ito sa pagpapatakbo ng iyong sariling negosyo nang epektibo.
**Tandaan:**
* Ang hindi patas na kumpetisyon ay maaaring makapinsala, ngunit tumuon sa mga etikal na solusyon. * Ang pag-uulat ng pinaghihinalaang katiwalian sa mga naaangkop n"&amp;"a awtoridad ay ang pinakaresponsableng paraan ng pagkilos. * Ang pagkonsulta sa isang abugado ay napakahalaga para ma-navigate ang mga legalidad at protektahan ang iyong negosyo.
Sa pamamagitan ng pagsunod sa mga hakbang na ito, maaari mong tugunan ang iy"&amp;"ong mga alalahanin tungkol sa mga potensyal na tiwaling gawi ng isang kakumpitensya habang pinapanatili ang sarili mong mga etikal na gawi sa negosyo.")</f>
        <v>Narito kung ano ang maaari mong gawin kung pinaghihinalaan mo ang isang katunggali ay nagsasagawa ng mga tiwaling gawi:
**Magtipon ng Impormasyon:**
* **Idokumento ang Iyong Mga Alalahanin:** Magtala ng mga partikular na detalye na nagpapataas ng hinala, kabilang ang mga petsa, kaganapan, at anumang ebidensya na maaaring mayroon ka (hal., hindi pangkaraniwang mga parangal sa kontrata, mga pampublikong pahayag ng mga opisyal na nagpapahiwatig ng paboritismo).
* **Imbistigahan ang Pampublikong Magagamit na Impormasyon:** Maghanap ng mga artikulo ng balita, mga tala ng gobyerno, o mga ulat ng NGO na nagbabanggit sa iyong katunggali at potensyal na katiwalian. Maaari ding mag-alok ng mga insight ang mga publication sa industriya o research firm.
**Tumuon sa Mga Legal at Etikal na Pagkilos:**
* **Mag-ulat sa Mga Awtoridad:** Kung mayroon kang matibay na ebidensya ng katiwalian na kinasasangkutan ng mga opisyal ng gobyerno (panunuhol, pandaraya), iulat ito sa mga may-katuturang awtoridad tulad ng Office of the Ombudsman o Commission on Audit. * **Mag-ulat sa Mga Asosasyon ng Industriya:** Ang ilang mga industriya ay may mga propesyonal na asosasyon na may mga alituntunin sa etika. Kung nilalabag ng iyong kakumpitensya ang mga code na ito, iulat ang mga ito sa asosasyon.
**Iwasan ang Mga Hindi Etikal na Kontra-Gawi:**
* **Huwag Makisali sa Paghihiganti ng Korapsyon:** Ang pagtugon gamit ang sarili mong mga tiwaling gawi ay nagpapahina lamang sa iyong posisyon at nagdudulot ng problema sa legal para sa iyong kumpanya.
* **Panatilihin ang Malinis na Reputasyon:** Tumutok sa pagbuo ng iyong negosyo sa pamamagitan ng mga etikal na kasanayan at pag-aalok ng mga mahusay na produkto o serbisyo.
**Isaalang-alang ang Mga Hindi Direktang Pagkilos:**
* **Publicly Advocate for Transparency:** Magsalita tungkol sa kahalagahan ng patas na kompetisyon at mga etikal na kasanayan sa negosyo sa loob ng iyong industriya. * **I-highlight ang Iyong Sariling Mga Kasanayan sa Etika:** I-promote ang iyong pangako sa pagsunod at transparency upang ibahin ang iyong sarili mula sa kakumpitensya. **Humingi ng Legal na Payo:**
* **Kumonsulta sa isang Abogado:** Ang isang abogado na dalubhasa sa batas ng negosyo at laban sa katiwalian ay maaaring magpayo sa pinakamahusay na paraan ng pagkilos batay sa partikular na sitwasyon at ang ebidensyang makukuha. Matutulungan ka rin nila na mag-navigate sa mga legal na kumplikado at maiwasan ang hindi sinasadyang ilagay ang iyong sarili sa panganib.
**Mahahalagang Pagsasaalang-alang:**
* **Lakas ng Ebidensya:** Ang pagkakaroon ng konkretong ebidensya ay nagpapatibay sa iyong kaso at ginagawang mas kapani-paniwala ang mga akusasyon. Gayunpaman, tumuon sa pangangalap ng impormasyon sa legal at etikal na paraan.
* **Mga Potensyal na Repercussion:** Ang pag-uulat ng isang katunggali ay maaaring humantong sa paghihiganti o mga legal na labanan. Matutulungan ka ng isang abogado na masuri ang mga panganib na ito.
* **Tumuon sa Iyong Negosyo:** Bagama't nakakadismaya ang hindi etikal na kumpetisyon, huwag hayaang makagambala ito sa pagpapatakbo ng iyong sariling negosyo nang epektibo.
**Tandaan:**
* Ang hindi patas na kumpetisyon ay maaaring makapinsala, ngunit tumuon sa mga etikal na solusyon. * Ang pag-uulat ng pinaghihinalaang katiwalian sa mga naaangkop na awtoridad ay ang pinakaresponsableng paraan ng pagkilos. * Ang pagkonsulta sa isang abugado ay napakahalaga para ma-navigate ang mga legalidad at protektahan ang iyong negosyo.
Sa pamamagitan ng pagsunod sa mga hakbang na ito, maaari mong tugunan ang iyong mga alalahanin tungkol sa mga potensyal na tiwaling gawi ng isang kakumpitensya habang pinapanatili ang sarili mong mga etikal na gawi sa negosyo.</v>
      </c>
      <c r="F1102" s="2">
        <f t="shared" si="1"/>
        <v>0</v>
      </c>
      <c r="G1102" s="2"/>
      <c r="H1102" s="2"/>
      <c r="I1102" s="2"/>
      <c r="J1102" s="2"/>
      <c r="K1102" s="2"/>
      <c r="L1102" s="2"/>
      <c r="M1102" s="2"/>
      <c r="N1102" s="2"/>
      <c r="O1102" s="2"/>
      <c r="P1102" s="2"/>
      <c r="Q1102" s="2"/>
      <c r="R1102" s="2"/>
      <c r="S1102" s="2"/>
      <c r="T1102" s="2"/>
      <c r="U1102" s="2"/>
      <c r="V1102" s="2"/>
      <c r="W1102" s="2"/>
      <c r="X1102" s="2"/>
      <c r="Y1102" s="2"/>
      <c r="Z1102" s="2"/>
      <c r="AA1102" s="2"/>
    </row>
    <row r="1103">
      <c r="A1103" s="1" t="s">
        <v>3356</v>
      </c>
      <c r="B1103" s="1" t="s">
        <v>3371</v>
      </c>
      <c r="C1103" s="1" t="s">
        <v>3372</v>
      </c>
      <c r="D1103" s="2" t="str">
        <f>IFERROR(__xludf.DUMMYFUNCTION("GOOGLETRANSLATE(B1103, ""en"", ""TL"")"),"Paano ko maiuulat ang mga pagkakataon ng katiwalian sa loob ng aking negosyo habang pinoprotektahan ang aking sarili mula sa paghihiganti?")</f>
        <v>Paano ko maiuulat ang mga pagkakataon ng katiwalian sa loob ng aking negosyo habang pinoprotektahan ang aking sarili mula sa paghihiganti?</v>
      </c>
      <c r="E1103" s="2" t="str">
        <f>IFERROR(__xludf.DUMMYFUNCTION("GOOGLETRANSLATE(C1103, ""en"", ""TL"")"),"Narito ang isang roadmap na dapat isaalang-alang kapag nag-uulat ng katiwalian sa loob ng iyong negosyo habang pinoprotektahan ang iyong sarili mula sa paghihiganti:
**Magtipon ng Ebidensya (Ligtas):**
* **Idokumento ang Lahat:** Maingat na idokumento ang"&amp;" mga detalye ng tiwaling aktibidad, kabilang ang mga petsa, oras, pangalan ng mga taong sangkot, at anumang partikular na pagkilos na ginawa. Gumamit ng mga pisikal na tala o mga digital na file na nakaimbak sa labas ng mga sistema ng kumpanya kung maaari"&amp;".
* **Kolektahin ang Mga Pansuportang Materyales:** Kung available, magtipon ng mga email, invoice, recording (mag-ingat sa mga batas sa pahintulot ng lokal na pag-record), o iba pang mga dokumento na nagpapatunay sa katiwalian. **Piliin ang Iyong Channel"&amp;" sa Pag-uulat:**
* **Internal na Pag-uulat:** Maraming kumpanya ang may mga panloob na hotline o mekanismo ng pag-uulat para sa mga empleyado na mag-ulat ng maling gawain. Kung ang iyong kumpanya ay may ganitong sistema, isaalang-alang ang paggamit nito n"&amp;"ang hindi nagpapakilala kung maaari. * **Mga Superbisor o Opisyal ng Pagsunod:** Kung pinagkakatiwalaan mo ang isang superbisor o opisyal ng pagsunod ng kumpanya, direktang iulat ang insidente. Maging handa na magbigay ng mga detalye at ebidensya na iyong"&amp;" nakalap.
**Isaalang-alang ang Panlabas na Pag-uulat:**
Depende sa kalubhaan at uri ng katiwalian, maaaring kailanganin ang panlabas na pag-uulat:
* **Mga Ahensya ng Gobyerno:** Ang Pilipinas ay may mga ahensya tulad ng Office of the Ombudsman o Commissio"&amp;"n on Audit na nag-iimbestiga sa katiwalian. * **Securities and Exchange Commission (SEC):** Kung ang katiwalian ay nagsasangkot ng mga pampublikong kumpanya o mga paglabag sa securities, isaalang-alang ang pag-uulat nito sa SEC.
**Humingi ng Legal na Payo"&amp;":**
Ang pagkonsulta sa isang abogado na dalubhasa sa batas sa trabaho at mga usapin laban sa katiwalian ay napakahalaga. Ang isang abogado ay maaaring:
* **Magbigay ng payo sa pinakaangkop na channel sa pag-uulat** batay sa partikular na sitwasyon at ang "&amp;"iyong antas ng kaginhawaan sa panloob na pag-uulat.
* **Tumulong sa pag-navigate sa mga legalidad ng whistleblowing** at unawain ang iyong mga karapatan sa ilalim ng Whistleblower' Protection Act.
* **Maghanda ng matibay na kaso:** Maaaring tumulong ang i"&amp;"yong abogado sa pag-aayos ng ebidensya at pagpapakita ng iyong ulat nang epektibo.
**Pagprotekta sa Iyong Sarili:**
* **Panatilihin ang Pagiging Kumpidensyal:** Ibahagi lamang ang impormasyon tungkol sa katiwalian sa mga talagang kailangang malaman. * **I"&amp;"saalang-alang ang Iyong Kaligtasan:** Kung natatakot ka sa paghihiganti, unahin ang iyong kaligtasan. Humingi ng payo mula sa iyong abogado tungkol sa maingat na paraan ng pag-uulat.
**Pag-unawa sa Whistleblower' Protection Act:**
* **Alamin ang Iyong Mga"&amp;" Karapatan:** Pinoprotektahan ng Batas ang mga whistleblower na nag-uulat ng katiwalian nang may mabuting loob mula sa paghihiganti ng kanilang mga amo. Kabilang dito ang pagwawakas, pagbabawas ng posisyon, panliligalig, o anumang uri ng diskriminasyon.
*"&amp;" **Mga Limitasyon:** Habang umiiral ang Batas, ang pagtiyak sa buong pagpapatupad nito ay maaaring maging mahirap. * **Burden of Proof:** Ang whistleblower ay kadalasang nagdadala ng pasanin na patunayan ang katiwalian at ang paghihiganti na kanilang hina"&amp;"rap sa pag-uulat nito.
**Mga Karagdagang Tip:**
* **Huwag Mag-imbestiga Mag-isa:** Kung maaari, isama ang isang pinagkakatiwalaang kasamahan sa proseso ng pag-uulat para sa suporta at potensyal na pagpapatibay.
* **Panatilihin ang Mga Kopya:** Panatilihin"&amp;" ang mga kopya ng lahat ng dokumentasyon at mga ulat na iyong isusumite, kung sakaling mawala ang mga orihinal.
* **Document Retaliation:** Kung nakakaranas ka ng retaliation pagkatapos mag-ulat, panatilihin ang isang detalyadong talaan ng mga kaganapan, "&amp;"kabilang ang mga petsa, saksi, at mga partikular na aksyon na ginawa laban sa iyo.
**Tandaan:**
* May karapatan kang tumanggi na lumahok sa mga tiwaling aktibidad at iulat ang mga ito kung nasaksihan mo ang mga ito.
* Ang pag-uulat ng katiwalian ay maaari"&amp;"ng maging isang nakakatakot na gawain, ngunit may mga legal na proteksyon na magagamit at mga mapagkukunan upang matulungan kang mag-navigate sa proseso. * Ang pagkonsulta sa isang abogado na dalubhasa sa batas sa pagtatrabaho at laban sa katiwalian ay na"&amp;"pakahalaga para sa pagprotekta sa iyong sarili at pagtiyak ng isang matagumpay na resulta.
Sa pamamagitan ng pagsasagawa ng mga hakbang na ito, maaari mong pataasin ang iyong mga pagkakataon ng isang matagumpay na ulat habang pinapaliit ang panganib ng pa"&amp;"ghihiganti.")</f>
        <v>Narito ang isang roadmap na dapat isaalang-alang kapag nag-uulat ng katiwalian sa loob ng iyong negosyo habang pinoprotektahan ang iyong sarili mula sa paghihiganti:
**Magtipon ng Ebidensya (Ligtas):**
* **Idokumento ang Lahat:** Maingat na idokumento ang mga detalye ng tiwaling aktibidad, kabilang ang mga petsa, oras, pangalan ng mga taong sangkot, at anumang partikular na pagkilos na ginawa. Gumamit ng mga pisikal na tala o mga digital na file na nakaimbak sa labas ng mga sistema ng kumpanya kung maaari.
* **Kolektahin ang Mga Pansuportang Materyales:** Kung available, magtipon ng mga email, invoice, recording (mag-ingat sa mga batas sa pahintulot ng lokal na pag-record), o iba pang mga dokumento na nagpapatunay sa katiwalian. **Piliin ang Iyong Channel sa Pag-uulat:**
* **Internal na Pag-uulat:** Maraming kumpanya ang may mga panloob na hotline o mekanismo ng pag-uulat para sa mga empleyado na mag-ulat ng maling gawain. Kung ang iyong kumpanya ay may ganitong sistema, isaalang-alang ang paggamit nito nang hindi nagpapakilala kung maaari. * **Mga Superbisor o Opisyal ng Pagsunod:** Kung pinagkakatiwalaan mo ang isang superbisor o opisyal ng pagsunod ng kumpanya, direktang iulat ang insidente. Maging handa na magbigay ng mga detalye at ebidensya na iyong nakalap.
**Isaalang-alang ang Panlabas na Pag-uulat:**
Depende sa kalubhaan at uri ng katiwalian, maaaring kailanganin ang panlabas na pag-uulat:
* **Mga Ahensya ng Gobyerno:** Ang Pilipinas ay may mga ahensya tulad ng Office of the Ombudsman o Commission on Audit na nag-iimbestiga sa katiwalian. * **Securities and Exchange Commission (SEC):** Kung ang katiwalian ay nagsasangkot ng mga pampublikong kumpanya o mga paglabag sa securities, isaalang-alang ang pag-uulat nito sa SEC.
**Humingi ng Legal na Payo:**
Ang pagkonsulta sa isang abogado na dalubhasa sa batas sa trabaho at mga usapin laban sa katiwalian ay napakahalaga. Ang isang abogado ay maaaring:
* **Magbigay ng payo sa pinakaangkop na channel sa pag-uulat** batay sa partikular na sitwasyon at ang iyong antas ng kaginhawaan sa panloob na pag-uulat.
* **Tumulong sa pag-navigate sa mga legalidad ng whistleblowing** at unawain ang iyong mga karapatan sa ilalim ng Whistleblower' Protection Act.
* **Maghanda ng matibay na kaso:** Maaaring tumulong ang iyong abogado sa pag-aayos ng ebidensya at pagpapakita ng iyong ulat nang epektibo.
**Pagprotekta sa Iyong Sarili:**
* **Panatilihin ang Pagiging Kumpidensyal:** Ibahagi lamang ang impormasyon tungkol sa katiwalian sa mga talagang kailangang malaman. * **Isaalang-alang ang Iyong Kaligtasan:** Kung natatakot ka sa paghihiganti, unahin ang iyong kaligtasan. Humingi ng payo mula sa iyong abogado tungkol sa maingat na paraan ng pag-uulat.
**Pag-unawa sa Whistleblower' Protection Act:**
* **Alamin ang Iyong Mga Karapatan:** Pinoprotektahan ng Batas ang mga whistleblower na nag-uulat ng katiwalian nang may mabuting loob mula sa paghihiganti ng kanilang mga amo. Kabilang dito ang pagwawakas, pagbabawas ng posisyon, panliligalig, o anumang uri ng diskriminasyon.
* **Mga Limitasyon:** Habang umiiral ang Batas, ang pagtiyak sa buong pagpapatupad nito ay maaaring maging mahirap. * **Burden of Proof:** Ang whistleblower ay kadalasang nagdadala ng pasanin na patunayan ang katiwalian at ang paghihiganti na kanilang hinarap sa pag-uulat nito.
**Mga Karagdagang Tip:**
* **Huwag Mag-imbestiga Mag-isa:** Kung maaari, isama ang isang pinagkakatiwalaang kasamahan sa proseso ng pag-uulat para sa suporta at potensyal na pagpapatibay.
* **Panatilihin ang Mga Kopya:** Panatilihin ang mga kopya ng lahat ng dokumentasyon at mga ulat na iyong isusumite, kung sakaling mawala ang mga orihinal.
* **Document Retaliation:** Kung nakakaranas ka ng retaliation pagkatapos mag-ulat, panatilihin ang isang detalyadong talaan ng mga kaganapan, kabilang ang mga petsa, saksi, at mga partikular na aksyon na ginawa laban sa iyo.
**Tandaan:**
* May karapatan kang tumanggi na lumahok sa mga tiwaling aktibidad at iulat ang mga ito kung nasaksihan mo ang mga ito.
* Ang pag-uulat ng katiwalian ay maaaring maging isang nakakatakot na gawain, ngunit may mga legal na proteksyon na magagamit at mga mapagkukunan upang matulungan kang mag-navigate sa proseso. * Ang pagkonsulta sa isang abogado na dalubhasa sa batas sa pagtatrabaho at laban sa katiwalian ay napakahalaga para sa pagprotekta sa iyong sarili at pagtiyak ng isang matagumpay na resulta.
Sa pamamagitan ng pagsasagawa ng mga hakbang na ito, maaari mong pataasin ang iyong mga pagkakataon ng isang matagumpay na ulat habang pinapaliit ang panganib ng paghihiganti.</v>
      </c>
      <c r="F1103" s="2">
        <f t="shared" si="1"/>
        <v>0</v>
      </c>
      <c r="G1103" s="2"/>
      <c r="H1103" s="2"/>
      <c r="I1103" s="2"/>
      <c r="J1103" s="2"/>
      <c r="K1103" s="2"/>
      <c r="L1103" s="2"/>
      <c r="M1103" s="2"/>
      <c r="N1103" s="2"/>
      <c r="O1103" s="2"/>
      <c r="P1103" s="2"/>
      <c r="Q1103" s="2"/>
      <c r="R1103" s="2"/>
      <c r="S1103" s="2"/>
      <c r="T1103" s="2"/>
      <c r="U1103" s="2"/>
      <c r="V1103" s="2"/>
      <c r="W1103" s="2"/>
      <c r="X1103" s="2"/>
      <c r="Y1103" s="2"/>
      <c r="Z1103" s="2"/>
      <c r="AA1103" s="2"/>
    </row>
    <row r="1104">
      <c r="A1104" s="1" t="s">
        <v>3356</v>
      </c>
      <c r="B1104" s="1" t="s">
        <v>3373</v>
      </c>
      <c r="C1104" s="1" t="s">
        <v>3374</v>
      </c>
      <c r="D1104" s="2" t="str">
        <f>IFERROR(__xludf.DUMMYFUNCTION("GOOGLETRANSLATE(B1104, ""en"", ""TL"")"),"Mayroon bang anumang mga proteksyon sa whistleblower para sa mga empleyadong nag-uulat ng katiwalian sa loob ng kanilang kumpanya?")</f>
        <v>Mayroon bang anumang mga proteksyon sa whistleblower para sa mga empleyadong nag-uulat ng katiwalian sa loob ng kanilang kumpanya?</v>
      </c>
      <c r="E1104" s="2" t="str">
        <f>IFERROR(__xludf.DUMMYFUNCTION("GOOGLETRANSLATE(C1104, ""en"", ""TL"")"),"Oo, ang Pilipinas ay may batas na inilalagay upang protektahan ang mga whistleblower na nag-uulat ng katiwalian sa loob ng kanilang mga kumpanya: **Ang Republic Act No. 6713, na kilala rin bilang Whistleblowers' Protection Act of 2001.**
Narito ang isang "&amp;"breakdown ng mga pangunahing aspeto ng Batas na ito:
**Mga Inaalok na Proteksyon:**
* **Pagbabawal sa Paghihiganti:** Ang mga employer ay mahigpit na ipinagbabawal na gumanti sa mga empleyadong nag-uulat ng katiwalian nang may mabuting hangarin. Kabilang "&amp;"dito ang mga aksyon tulad ng pagwawakas, pagbabawas ng posisyon, panliligalig, o anumang uri ng diskriminasyon.
* **Pagiging Kumpidensyal:** Pinoprotektahan ng Batas ang pagkakakilanlan ng mga whistleblower. Ang kanilang hindi pagkakilala ay dapat panatil"&amp;"ihin sa buong proseso ng pagsisiyasat, maliban kung ang whistleblower ay nagwawaksi ng pagiging kumpidensyal.
* **Seguridad:** Ang Batas ay nagbibigay ng seguridad ng mga whistleblower at kanilang mga pamilya mula sa mga potensyal na banta o pinsala bilan"&amp;"g resulta ng kanilang pag-uulat.
**Sino ang Tinuturing na Whistleblower?**
Tinutukoy ng Batas ang isang whistleblower bilang alinman:
* **Empleyado:** Kabilang dito ang mga empleyado ng publiko at pribadong sektor.
* **Opisyal:** Ito ay maaaring sumaklaw "&amp;"sa mga indibidwal na may mga tungkulin sa pangangasiwa o pamamahala.
* **Sinumang tao na may direkta o personal na kaalaman** ng isang paglabag sa anumang batas, tuntunin, o regulasyon na may kaugnayan sa katiwalian, kabilang ang pag-iwas sa buwis, graft "&amp;"at corrupt na mga gawi, o pag-abuso sa awtoridad.
**Ano ang Maaaring Iulat?**
Pinoprotektahan ng Batas ang mga whistleblower na nag-uulat ng malawak na hanay ng mga tiwaling aktibidad, kabilang ang:
* Panunuhol
* Panloloko
* Paglustay
* Mga graft at corru"&amp;"pt na gawi
* Pang-aabuso sa awtoridad
* Paglabag sa mga batas o regulasyon
**Paano Mag-ulat ng Korapsyon:**
Ang Batas ay nagpapahintulot sa mga whistleblower na mag-ulat ng katiwalian sa pamamagitan ng iba't ibang mga channel:
* **Internal na Pag-uulat:**"&amp;" Maaaring mag-ulat ang mga empleyado sa mga itinalagang hotline sa loob ng kanilang kumpanya o sa kanilang mga superbisor o opisyal ng pagsunod.
* **Palabas na Pag-uulat:** Ang Batas ay nagpapahintulot sa pag-uulat sa iba't ibang ahensya ng gobyerno tulad"&amp;" ng Opisina ng Ombudsman, Commission on Audit, o Securities and Exchange Commission (SEC) depende sa uri ng katiwalian.
**Kahalagahan ng Legal na Payo:**
Habang ang Batas ay nag-aalok ng mga proteksyon, ang pagkonsulta sa isang abogado na dalubhasa sa bat"&amp;"as sa trabaho at mga usapin laban sa katiwalian ay napakahalaga. Ang isang abogado ay maaaring magpayo sa:
* **Ang pinakaangkop na channel para sa pag-uulat** batay sa partikular na sitwasyon at sa mga potensyal na panganib na kasangkot.
* **Pag-unawa sa "&amp;"iyong mga karapatan** bilang isang whistleblower at ang mga magagamit na legal na proteksyon.
* **Pagbuo ng isang matibay na kaso:** Maaaring tulungan ka ng isang abogado na mangalap at magpakita ng ebidensya upang suportahan ang iyong mga akusasyon.
**Mg"&amp;"a Hamon at Pagsasaalang-alang:**
* **Pagpapatupad ng Mga Proteksyon:** Habang umiiral ang Batas, ang pagtiyak sa buong pagpapatupad nito ay maaaring maging mahirap. * **Fear of Retaliation:** Sa kabila ng mga legal na proteksyon, maaaring mag-atubiling ma"&amp;"g-ulat ang ilang empleyado dahil sa takot sa paghihiganti.
* **Burden of Proof:** Ang whistleblower ay kadalasang nagdadala ng pasanin na patunayan ang katiwalian at ang paghihiganti na kanilang hinarap sa pag-uulat nito.
**Konklusyon:**
Ang Whistleblower"&amp;"s' Protection Act ay isang makabuluhang hakbang patungo sa paghikayat sa mga empleyado na mag-ulat ng katiwalian sa loob ng kanilang mga kumpanya. Gayunpaman, mahalagang magkaroon ng kamalayan sa mga hamon at humingi ng legal na patnubay kapag isinasaalan"&amp;"g-alang ang whistleblowing. Sa pamamagitan ng pag-unawa sa iyong mga karapatan at pagkuha ng mga kinakailangang pag-iingat, maaari kang makatulong na ilantad ang katiwalian habang pinoprotektahan ang iyong sarili.")</f>
        <v>Oo, ang Pilipinas ay may batas na inilalagay upang protektahan ang mga whistleblower na nag-uulat ng katiwalian sa loob ng kanilang mga kumpanya: **Ang Republic Act No. 6713, na kilala rin bilang Whistleblowers' Protection Act of 2001.**
Narito ang isang breakdown ng mga pangunahing aspeto ng Batas na ito:
**Mga Inaalok na Proteksyon:**
* **Pagbabawal sa Paghihiganti:** Ang mga employer ay mahigpit na ipinagbabawal na gumanti sa mga empleyadong nag-uulat ng katiwalian nang may mabuting hangarin. Kabilang dito ang mga aksyon tulad ng pagwawakas, pagbabawas ng posisyon, panliligalig, o anumang uri ng diskriminasyon.
* **Pagiging Kumpidensyal:** Pinoprotektahan ng Batas ang pagkakakilanlan ng mga whistleblower. Ang kanilang hindi pagkakilala ay dapat panatilihin sa buong proseso ng pagsisiyasat, maliban kung ang whistleblower ay nagwawaksi ng pagiging kumpidensyal.
* **Seguridad:** Ang Batas ay nagbibigay ng seguridad ng mga whistleblower at kanilang mga pamilya mula sa mga potensyal na banta o pinsala bilang resulta ng kanilang pag-uulat.
**Sino ang Tinuturing na Whistleblower?**
Tinutukoy ng Batas ang isang whistleblower bilang alinman:
* **Empleyado:** Kabilang dito ang mga empleyado ng publiko at pribadong sektor.
* **Opisyal:** Ito ay maaaring sumaklaw sa mga indibidwal na may mga tungkulin sa pangangasiwa o pamamahala.
* **Sinumang tao na may direkta o personal na kaalaman** ng isang paglabag sa anumang batas, tuntunin, o regulasyon na may kaugnayan sa katiwalian, kabilang ang pag-iwas sa buwis, graft at corrupt na mga gawi, o pag-abuso sa awtoridad.
**Ano ang Maaaring Iulat?**
Pinoprotektahan ng Batas ang mga whistleblower na nag-uulat ng malawak na hanay ng mga tiwaling aktibidad, kabilang ang:
* Panunuhol
* Panloloko
* Paglustay
* Mga graft at corrupt na gawi
* Pang-aabuso sa awtoridad
* Paglabag sa mga batas o regulasyon
**Paano Mag-ulat ng Korapsyon:**
Ang Batas ay nagpapahintulot sa mga whistleblower na mag-ulat ng katiwalian sa pamamagitan ng iba't ibang mga channel:
* **Internal na Pag-uulat:** Maaaring mag-ulat ang mga empleyado sa mga itinalagang hotline sa loob ng kanilang kumpanya o sa kanilang mga superbisor o opisyal ng pagsunod.
* **Palabas na Pag-uulat:** Ang Batas ay nagpapahintulot sa pag-uulat sa iba't ibang ahensya ng gobyerno tulad ng Opisina ng Ombudsman, Commission on Audit, o Securities and Exchange Commission (SEC) depende sa uri ng katiwalian.
**Kahalagahan ng Legal na Payo:**
Habang ang Batas ay nag-aalok ng mga proteksyon, ang pagkonsulta sa isang abogado na dalubhasa sa batas sa trabaho at mga usapin laban sa katiwalian ay napakahalaga. Ang isang abogado ay maaaring magpayo sa:
* **Ang pinakaangkop na channel para sa pag-uulat** batay sa partikular na sitwasyon at sa mga potensyal na panganib na kasangkot.
* **Pag-unawa sa iyong mga karapatan** bilang isang whistleblower at ang mga magagamit na legal na proteksyon.
* **Pagbuo ng isang matibay na kaso:** Maaaring tulungan ka ng isang abogado na mangalap at magpakita ng ebidensya upang suportahan ang iyong mga akusasyon.
**Mga Hamon at Pagsasaalang-alang:**
* **Pagpapatupad ng Mga Proteksyon:** Habang umiiral ang Batas, ang pagtiyak sa buong pagpapatupad nito ay maaaring maging mahirap. * **Fear of Retaliation:** Sa kabila ng mga legal na proteksyon, maaaring mag-atubiling mag-ulat ang ilang empleyado dahil sa takot sa paghihiganti.
* **Burden of Proof:** Ang whistleblower ay kadalasang nagdadala ng pasanin na patunayan ang katiwalian at ang paghihiganti na kanilang hinarap sa pag-uulat nito.
**Konklusyon:**
Ang Whistleblowers' Protection Act ay isang makabuluhang hakbang patungo sa paghikayat sa mga empleyado na mag-ulat ng katiwalian sa loob ng kanilang mga kumpanya. Gayunpaman, mahalagang magkaroon ng kamalayan sa mga hamon at humingi ng legal na patnubay kapag isinasaalang-alang ang whistleblowing. Sa pamamagitan ng pag-unawa sa iyong mga karapatan at pagkuha ng mga kinakailangang pag-iingat, maaari kang makatulong na ilantad ang katiwalian habang pinoprotektahan ang iyong sarili.</v>
      </c>
      <c r="F1104" s="2">
        <f t="shared" si="1"/>
        <v>0</v>
      </c>
      <c r="G1104" s="2"/>
      <c r="H1104" s="2"/>
      <c r="I1104" s="2"/>
      <c r="J1104" s="2"/>
      <c r="K1104" s="2"/>
      <c r="L1104" s="2"/>
      <c r="M1104" s="2"/>
      <c r="N1104" s="2"/>
      <c r="O1104" s="2"/>
      <c r="P1104" s="2"/>
      <c r="Q1104" s="2"/>
      <c r="R1104" s="2"/>
      <c r="S1104" s="2"/>
      <c r="T1104" s="2"/>
      <c r="U1104" s="2"/>
      <c r="V1104" s="2"/>
      <c r="W1104" s="2"/>
      <c r="X1104" s="2"/>
      <c r="Y1104" s="2"/>
      <c r="Z1104" s="2"/>
      <c r="AA1104" s="2"/>
    </row>
    <row r="1105">
      <c r="A1105" s="1" t="s">
        <v>3356</v>
      </c>
      <c r="B1105" s="1" t="s">
        <v>3375</v>
      </c>
      <c r="C1105" s="1" t="s">
        <v>3376</v>
      </c>
      <c r="D1105" s="2" t="str">
        <f>IFERROR(__xludf.DUMMYFUNCTION("GOOGLETRANSLATE(B1105, ""en"", ""TL"")"),"Maaari ka bang magpayo sa pinakamahusay na paraan ng aksyon kung ako ay hinilingan na lumahok sa mga tiwaling aktibidad ng aking employer?")</f>
        <v>Maaari ka bang magpayo sa pinakamahusay na paraan ng aksyon kung ako ay hinilingan na lumahok sa mga tiwaling aktibidad ng aking employer?</v>
      </c>
      <c r="E1105" s="2" t="str">
        <f>IFERROR(__xludf.DUMMYFUNCTION("GOOGLETRANSLATE(C1105, ""en"", ""TL"")"),"Ang paghiling na lumahok sa mga tiwaling aktibidad ng iyong employer ay isang seryosong sitwasyon. Narito ang isang inirerekomendang paraan ng pagkilos upang protektahan ang iyong sarili at posibleng ilantad ang maling gawain:
**Pagtanggi at Dokumentasyon"&amp;":**
* **Malinaw na Tanggihan:** Mahigpit at malinaw na tumanggi na lumahok sa anumang aktibidad na pinaniniwalaan mong tiwali. * **Idokumento ang Lahat:** Kung maaari, idokumento ang kahilingan sa pamamagitan ng pagsulat (email, text message) o subukang m"&amp;"ag-record ng pag-uusap (nang may pag-iingat at pagsunod sa mga lokal na batas sa pahintulot sa pag-record). Ang dokumentasyong ito ay maaaring maging mahalagang ebidensya sa ibang pagkakataon.
**Internal na Pag-uulat:**
* **Mga Hotline ng Kumpanya:** Mara"&amp;"ming kumpanya ang may mga panloob na hotline o mekanismo ng pag-uulat para sa mga empleyado na mag-ulat ng pinaghihinalaang maling gawain. Kung ang iyong kumpanya ay may ganoong sistema, isaalang-alang ang paggamit nito upang iulat ang insidente nang hind"&amp;"i nagpapakilala o kumpidensyal, ayon sa pinapayagan ng system.
* **Mga Superbisor o Opisyal ng Pagsunod:** Kung kumportable ka, iulat ang insidente sa isang superbisor na pinagkakatiwalaan mo o sa opisyal ng pagsunod ng kumpanya. Ipaliwanag nang detalyado"&amp;" ang sitwasyon at magbigay ng anumang dokumentasyong mayroon ka.
**Panlabas na Pag-uulat:**
* **Mga Ahensya ng Gobyerno:** Ang Pilipinas ay may iba't ibang ahensya na responsable sa pag-iimbestiga sa katiwalian, gaya ng Office of the Ombudsman o Commissio"&amp;"n on Audit. Maaari kang magsampa ng reklamo sa mga ahensyang ito. * **Securities and Exchange Commission (SEC):** Kung ang katiwalian ay nagsasangkot ng mga pampublikong kumpanya o mga paglabag sa securities, maaari mong isaalang-alang ang pag-uulat nito "&amp;"sa SEC.
**Naghahanap ng Legal na Payo:**
* **Kumonsulta sa isang Abogado:** Ang pagkonsulta sa isang abogado na dalubhasa sa batas sa trabaho at mga usapin laban sa katiwalian ay napakahalaga. Maaaring payuhan ka ng isang abogado tungkol sa iyong mga lega"&amp;"l na karapatan, ang pinakamahusay na paraan ng pagkilos para sa pag-uulat ng insidente, at mga potensyal na legal na proteksyon na magagamit sa mga whistleblower.
**Pagprotekta sa Iyong Sarili:**
* **Panatilihin ang Mga Tala:** Panatilihin ang isang detal"&amp;"yadong talaan ng mga kaganapan, kabilang ang mga petsa, oras, at mga pangalan ng sinumang kasangkot sa kahilingan o anumang potensyal na saksi.
* **Isaalang-alang ang Iyong Kaligtasan:** Kung natatakot ka sa paghihiganti mula sa iyong employer, unahin ang"&amp;" iyong kaligtasan. Humingi ng payo mula sa iyong abogado kung paano magpatuloy habang pinapaliit ang mga panganib sa iyong sarili.
**Ang Pilipinas ay may Whistleblower' Protection Act:**
Pinoprotektahan ng Batas na ito ang mga empleyadong nag-uulat ng kat"&amp;"iwalian nang may mabuting loob mula sa paghihiganti ng kanilang mga amo. Gayunpaman, mahalagang maunawaan ang mga partikular na probisyon ng Batas at humingi ng legal na payo upang matiyak na sinusunod mo ang mga wastong channel para sa pag-uulat.
**Tanda"&amp;"an:**
* May karapatan kang tumanggi na lumahok sa mga tiwaling aktibidad.
* Ang pag-uulat ng katiwalian ay maaaring maging isang nakakatakot na gawain, ngunit may mga legal na proteksyon na magagamit para sa mga whistleblower. * Ang pagkonsulta sa isang a"&amp;"bogado na dalubhasa sa batas sa pagtatrabaho at laban sa katiwalian ay napakahalaga para sa pag-navigate sa sitwasyong ito.
Sa pamamagitan ng pagsunod sa mga hakbang na ito, maaari mong protektahan ang iyong sarili at posibleng makatulong na ilantad at ma"&amp;"iwasan ang katiwalian sa loob ng iyong lugar ng trabaho.")</f>
        <v>Ang paghiling na lumahok sa mga tiwaling aktibidad ng iyong employer ay isang seryosong sitwasyon. Narito ang isang inirerekomendang paraan ng pagkilos upang protektahan ang iyong sarili at posibleng ilantad ang maling gawain:
**Pagtanggi at Dokumentasyon:**
* **Malinaw na Tanggihan:** Mahigpit at malinaw na tumanggi na lumahok sa anumang aktibidad na pinaniniwalaan mong tiwali. * **Idokumento ang Lahat:** Kung maaari, idokumento ang kahilingan sa pamamagitan ng pagsulat (email, text message) o subukang mag-record ng pag-uusap (nang may pag-iingat at pagsunod sa mga lokal na batas sa pahintulot sa pag-record). Ang dokumentasyong ito ay maaaring maging mahalagang ebidensya sa ibang pagkakataon.
**Internal na Pag-uulat:**
* **Mga Hotline ng Kumpanya:** Maraming kumpanya ang may mga panloob na hotline o mekanismo ng pag-uulat para sa mga empleyado na mag-ulat ng pinaghihinalaang maling gawain. Kung ang iyong kumpanya ay may ganoong sistema, isaalang-alang ang paggamit nito upang iulat ang insidente nang hindi nagpapakilala o kumpidensyal, ayon sa pinapayagan ng system.
* **Mga Superbisor o Opisyal ng Pagsunod:** Kung kumportable ka, iulat ang insidente sa isang superbisor na pinagkakatiwalaan mo o sa opisyal ng pagsunod ng kumpanya. Ipaliwanag nang detalyado ang sitwasyon at magbigay ng anumang dokumentasyong mayroon ka.
**Panlabas na Pag-uulat:**
* **Mga Ahensya ng Gobyerno:** Ang Pilipinas ay may iba't ibang ahensya na responsable sa pag-iimbestiga sa katiwalian, gaya ng Office of the Ombudsman o Commission on Audit. Maaari kang magsampa ng reklamo sa mga ahensyang ito. * **Securities and Exchange Commission (SEC):** Kung ang katiwalian ay nagsasangkot ng mga pampublikong kumpanya o mga paglabag sa securities, maaari mong isaalang-alang ang pag-uulat nito sa SEC.
**Naghahanap ng Legal na Payo:**
* **Kumonsulta sa isang Abogado:** Ang pagkonsulta sa isang abogado na dalubhasa sa batas sa trabaho at mga usapin laban sa katiwalian ay napakahalaga. Maaaring payuhan ka ng isang abogado tungkol sa iyong mga legal na karapatan, ang pinakamahusay na paraan ng pagkilos para sa pag-uulat ng insidente, at mga potensyal na legal na proteksyon na magagamit sa mga whistleblower.
**Pagprotekta sa Iyong Sarili:**
* **Panatilihin ang Mga Tala:** Panatilihin ang isang detalyadong talaan ng mga kaganapan, kabilang ang mga petsa, oras, at mga pangalan ng sinumang kasangkot sa kahilingan o anumang potensyal na saksi.
* **Isaalang-alang ang Iyong Kaligtasan:** Kung natatakot ka sa paghihiganti mula sa iyong employer, unahin ang iyong kaligtasan. Humingi ng payo mula sa iyong abogado kung paano magpatuloy habang pinapaliit ang mga panganib sa iyong sarili.
**Ang Pilipinas ay may Whistleblower' Protection Act:**
Pinoprotektahan ng Batas na ito ang mga empleyadong nag-uulat ng katiwalian nang may mabuting loob mula sa paghihiganti ng kanilang mga amo. Gayunpaman, mahalagang maunawaan ang mga partikular na probisyon ng Batas at humingi ng legal na payo upang matiyak na sinusunod mo ang mga wastong channel para sa pag-uulat.
**Tandaan:**
* May karapatan kang tumanggi na lumahok sa mga tiwaling aktibidad.
* Ang pag-uulat ng katiwalian ay maaaring maging isang nakakatakot na gawain, ngunit may mga legal na proteksyon na magagamit para sa mga whistleblower. * Ang pagkonsulta sa isang abogado na dalubhasa sa batas sa pagtatrabaho at laban sa katiwalian ay napakahalaga para sa pag-navigate sa sitwasyong ito.
Sa pamamagitan ng pagsunod sa mga hakbang na ito, maaari mong protektahan ang iyong sarili at posibleng makatulong na ilantad at maiwasan ang katiwalian sa loob ng iyong lugar ng trabaho.</v>
      </c>
      <c r="F1105" s="2">
        <f t="shared" si="1"/>
        <v>0</v>
      </c>
      <c r="G1105" s="2"/>
      <c r="H1105" s="2"/>
      <c r="I1105" s="2"/>
      <c r="J1105" s="2"/>
      <c r="K1105" s="2"/>
      <c r="L1105" s="2"/>
      <c r="M1105" s="2"/>
      <c r="N1105" s="2"/>
      <c r="O1105" s="2"/>
      <c r="P1105" s="2"/>
      <c r="Q1105" s="2"/>
      <c r="R1105" s="2"/>
      <c r="S1105" s="2"/>
      <c r="T1105" s="2"/>
      <c r="U1105" s="2"/>
      <c r="V1105" s="2"/>
      <c r="W1105" s="2"/>
      <c r="X1105" s="2"/>
      <c r="Y1105" s="2"/>
      <c r="Z1105" s="2"/>
      <c r="AA1105" s="2"/>
    </row>
    <row r="1106">
      <c r="A1106" s="1" t="s">
        <v>3356</v>
      </c>
      <c r="B1106" s="1" t="s">
        <v>3377</v>
      </c>
      <c r="C1106" s="1" t="s">
        <v>3378</v>
      </c>
      <c r="D1106" s="2" t="str">
        <f>IFERROR(__xludf.DUMMYFUNCTION("GOOGLETRANSLATE(B1106, ""en"", ""TL"")"),"Anong mga legal na obligasyon ang mayroon ang mga negosyo para maiwasan ang katiwalian sa kanilang mga operasyon?")</f>
        <v>Anong mga legal na obligasyon ang mayroon ang mga negosyo para maiwasan ang katiwalian sa kanilang mga operasyon?</v>
      </c>
      <c r="E1106" s="2" t="str">
        <f>IFERROR(__xludf.DUMMYFUNCTION("GOOGLETRANSLATE(C1106, ""en"", ""TL"")"),"Ang mga negosyo sa Pilipinas ay may mga legal na obligasyon at malakas na insentibo upang maiwasan ang katiwalian sa kanilang mga operasyon. Narito ang isang breakdown ng mga pangunahing aspeto:
**Mga Pambansang Batas:**
* **Anti-Graft and Corrupt Practic"&amp;"es Act (RA 3019):** Ipinagbabawal ng batas na ito ang mga pampublikong opisyal na makisali sa mga katiwalian at pananagutan ang mga korporasyon kung sila ay nakipagsabwatan sa mga opisyal o nagsisilbing dummies para sa mga tiwaling aktibidad.
* **Revised "&amp;"Penal Code (RPC):** Ang ilang partikular na probisyon ng RPC ay tumutugon sa panunuhol at iba pang mga paglabag sa katiwalian na maaaring ilapat sa mga negosyo at kanilang mga empleyado.
**Mga Internasyonal na Kasunduan:**
* **Ang Pilipinas ay lumagda sa "&amp;"ilang internasyonal na kombensiyon** tulad ng United Nations Convention against Corruption (UNCAC) at ang OECD Convention on Combating Bribery of Foreign Public Officials in International Business Transactions. Ang mga kasunduang ito ay nagtatatag ng mga "&amp;"internasyonal na pamantayan para sa pagpigil at paglaban sa katiwalian, kadalasang nangangailangan ng:
* **Kriminalisasyon ng Panunuhol:** Dapat gawing kriminal ng mga miyembrong estado ang panunuhol ng parehong lokal at dayuhang pampublikong opisyal.
* *"&amp;"*Preventive Measures:** Pagpapatupad ng mga hakbang laban sa katiwalian tulad ng transparency sa pampublikong pagkuha, pagsisiwalat sa pananalapi para sa mga pampublikong opisyal, at mga kampanya sa pampublikong kamalayan.
* **International Cooperation:**"&amp;" Pinapadali ang pakikipagtulungan sa pagitan ng mga miyembrong estado sa mga pagsisiyasat, extradition ng mga takas, at pagbawi ng mga ninakaw na asset.
**Ang pagsunod sa mga kasunduang ito ay nagpapatibay sa pangako ng Pilipinas sa paglaban sa katiwalian"&amp;".**
**Higit pa sa Mga Legal na Kinakailangan:**
* **Pinsala sa Reputasyon:** Ang mga iskandalo sa katiwalian ay maaaring makapinsala nang husto sa reputasyon ng isang kumpanya, na humahantong sa pagkawala ng negosyo, paglipad ng mamumuhunan, at pagsisiyas"&amp;"at ng publiko.
* **Mga Parusa sa Pananalapi:** Maaaring magpataw ng malalaking multa ang mga regulatory body sa mga negosyong napatunayang nagkasala ng mga paglabag sa katiwalian.
* **Debarment:** Ang mga kumpanyang sangkot sa katiwalian ay maaaring hadla"&amp;"ngan sa paglahok sa mga kontrata o tender ng gobyerno sa hinaharap.
**Pagpapaunlad ng Kultura ng Integridad:**
* **Pagpapatupad ng Programa sa Pagsunod laban sa Korupsyon:** Ang isang mahusay na idinisenyong programa sa pagsunod ay nagpapakita ng pangako "&amp;"sa mga etikal na kasanayan sa negosyo at may kasamang mga elemento tulad ng:
* **Code of Conduct:** Isang malinaw na code na nagbabalangkas sa etikal na mga inaasahan para sa mga empleyado at nagbabalangkas ng mga kahihinatnan para sa katiwalian.
* **Mga "&amp;"Programa sa Pagsasanay at Awareness:** Pagtuturo sa mga empleyado sa pagtukoy at pagpigil sa katiwalian.
* **Due Diligence:** Wastong pagsusuri ng mga kasosyo sa negosyo at mga vendor upang mabawasan ang mga panganib sa katiwalian.
* **Mga Panloob na Kont"&amp;"rol:** Pagpapatupad ng malalakas na kontrol sa pananalapi at panloob na pag-audit upang matukoy ang potensyal na maling gawain.
* **Mekanismo ng Whistleblowing:** Nagbibigay ng ligtas at kumpidensyal na channel para sa mga empleyado na mag-ulat ng pinaghi"&amp;"hinalaang katiwalian.
**Mga Benepisyo ng Proactive Approach:**
* **Binabawasan ang Panganib:** Ang isang komprehensibong programa laban sa katiwalian ay makabuluhang binabawasan ang panganib ng katiwalian na nagaganap sa loob ng negosyo.
* **Bumuo ng Tiwa"&amp;"la:** Nagpapakita ng pangako sa mga etikal na kasanayan, na nagpapatibay ng tiwala sa mga stakeholder at mga regulatory body.
* **Pinababawasan ang Mga Legal na Panganib:** Ang isang malakas na programa sa pagsunod ay maaaring makatulong na mabawasan ang "&amp;"mga legal na kahihinatnan sa kaso ng mga paratang ng katiwalian.
**Konklusyon:**
Ang mga negosyo sa Pilipinas ay may legal at etikal na obligasyon upang maiwasan ang katiwalian. Ang pagpapatupad ng matatag na mga programa sa pagsunod sa laban sa katiwalia"&amp;"n ay tumutulong sa mga negosyo na gumana nang may etika, mapanatili ang isang positibong reputasyon, at maiwasan ang magastos na legal na kahihinatnan.")</f>
        <v>Ang mga negosyo sa Pilipinas ay may mga legal na obligasyon at malakas na insentibo upang maiwasan ang katiwalian sa kanilang mga operasyon. Narito ang isang breakdown ng mga pangunahing aspeto:
**Mga Pambansang Batas:**
* **Anti-Graft and Corrupt Practices Act (RA 3019):** Ipinagbabawal ng batas na ito ang mga pampublikong opisyal na makisali sa mga katiwalian at pananagutan ang mga korporasyon kung sila ay nakipagsabwatan sa mga opisyal o nagsisilbing dummies para sa mga tiwaling aktibidad.
* **Revised Penal Code (RPC):** Ang ilang partikular na probisyon ng RPC ay tumutugon sa panunuhol at iba pang mga paglabag sa katiwalian na maaaring ilapat sa mga negosyo at kanilang mga empleyado.
**Mga Internasyonal na Kasunduan:**
* **Ang Pilipinas ay lumagda sa ilang internasyonal na kombensiyon** tulad ng United Nations Convention against Corruption (UNCAC) at ang OECD Convention on Combating Bribery of Foreign Public Officials in International Business Transactions. Ang mga kasunduang ito ay nagtatatag ng mga internasyonal na pamantayan para sa pagpigil at paglaban sa katiwalian, kadalasang nangangailangan ng:
* **Kriminalisasyon ng Panunuhol:** Dapat gawing kriminal ng mga miyembrong estado ang panunuhol ng parehong lokal at dayuhang pampublikong opisyal.
* **Preventive Measures:** Pagpapatupad ng mga hakbang laban sa katiwalian tulad ng transparency sa pampublikong pagkuha, pagsisiwalat sa pananalapi para sa mga pampublikong opisyal, at mga kampanya sa pampublikong kamalayan.
* **International Cooperation:** Pinapadali ang pakikipagtulungan sa pagitan ng mga miyembrong estado sa mga pagsisiyasat, extradition ng mga takas, at pagbawi ng mga ninakaw na asset.
**Ang pagsunod sa mga kasunduang ito ay nagpapatibay sa pangako ng Pilipinas sa paglaban sa katiwalian.**
**Higit pa sa Mga Legal na Kinakailangan:**
* **Pinsala sa Reputasyon:** Ang mga iskandalo sa katiwalian ay maaaring makapinsala nang husto sa reputasyon ng isang kumpanya, na humahantong sa pagkawala ng negosyo, paglipad ng mamumuhunan, at pagsisiyasat ng publiko.
* **Mga Parusa sa Pananalapi:** Maaaring magpataw ng malalaking multa ang mga regulatory body sa mga negosyong napatunayang nagkasala ng mga paglabag sa katiwalian.
* **Debarment:** Ang mga kumpanyang sangkot sa katiwalian ay maaaring hadlangan sa paglahok sa mga kontrata o tender ng gobyerno sa hinaharap.
**Pagpapaunlad ng Kultura ng Integridad:**
* **Pagpapatupad ng Programa sa Pagsunod laban sa Korupsyon:** Ang isang mahusay na idinisenyong programa sa pagsunod ay nagpapakita ng pangako sa mga etikal na kasanayan sa negosyo at may kasamang mga elemento tulad ng:
* **Code of Conduct:** Isang malinaw na code na nagbabalangkas sa etikal na mga inaasahan para sa mga empleyado at nagbabalangkas ng mga kahihinatnan para sa katiwalian.
* **Mga Programa sa Pagsasanay at Awareness:** Pagtuturo sa mga empleyado sa pagtukoy at pagpigil sa katiwalian.
* **Due Diligence:** Wastong pagsusuri ng mga kasosyo sa negosyo at mga vendor upang mabawasan ang mga panganib sa katiwalian.
* **Mga Panloob na Kontrol:** Pagpapatupad ng malalakas na kontrol sa pananalapi at panloob na pag-audit upang matukoy ang potensyal na maling gawain.
* **Mekanismo ng Whistleblowing:** Nagbibigay ng ligtas at kumpidensyal na channel para sa mga empleyado na mag-ulat ng pinaghihinalaang katiwalian.
**Mga Benepisyo ng Proactive Approach:**
* **Binabawasan ang Panganib:** Ang isang komprehensibong programa laban sa katiwalian ay makabuluhang binabawasan ang panganib ng katiwalian na nagaganap sa loob ng negosyo.
* **Bumuo ng Tiwala:** Nagpapakita ng pangako sa mga etikal na kasanayan, na nagpapatibay ng tiwala sa mga stakeholder at mga regulatory body.
* **Pinababawasan ang Mga Legal na Panganib:** Ang isang malakas na programa sa pagsunod ay maaaring makatulong na mabawasan ang mga legal na kahihinatnan sa kaso ng mga paratang ng katiwalian.
**Konklusyon:**
Ang mga negosyo sa Pilipinas ay may legal at etikal na obligasyon upang maiwasan ang katiwalian. Ang pagpapatupad ng matatag na mga programa sa pagsunod sa laban sa katiwalian ay tumutulong sa mga negosyo na gumana nang may etika, mapanatili ang isang positibong reputasyon, at maiwasan ang magastos na legal na kahihinatnan.</v>
      </c>
      <c r="F1106" s="2">
        <f t="shared" si="1"/>
        <v>0</v>
      </c>
      <c r="G1106" s="2"/>
      <c r="H1106" s="2"/>
      <c r="I1106" s="2"/>
      <c r="J1106" s="2"/>
      <c r="K1106" s="2"/>
      <c r="L1106" s="2"/>
      <c r="M1106" s="2"/>
      <c r="N1106" s="2"/>
      <c r="O1106" s="2"/>
      <c r="P1106" s="2"/>
      <c r="Q1106" s="2"/>
      <c r="R1106" s="2"/>
      <c r="S1106" s="2"/>
      <c r="T1106" s="2"/>
      <c r="U1106" s="2"/>
      <c r="V1106" s="2"/>
      <c r="W1106" s="2"/>
      <c r="X1106" s="2"/>
      <c r="Y1106" s="2"/>
      <c r="Z1106" s="2"/>
      <c r="AA1106" s="2"/>
    </row>
    <row r="1107">
      <c r="A1107" s="1" t="s">
        <v>3356</v>
      </c>
      <c r="B1107" s="1" t="s">
        <v>3379</v>
      </c>
      <c r="C1107" s="1" t="s">
        <v>3380</v>
      </c>
      <c r="D1107" s="2" t="str">
        <f>IFERROR(__xludf.DUMMYFUNCTION("GOOGLETRANSLATE(B1107, ""en"", ""TL"")"),"Paano ko matutukoy ang mga pulang bandila o mga babalang palatandaan ng katiwalian sa loob ng aking negosyo?")</f>
        <v>Paano ko matutukoy ang mga pulang bandila o mga babalang palatandaan ng katiwalian sa loob ng aking negosyo?</v>
      </c>
      <c r="E1107" s="2" t="str">
        <f>IFERROR(__xludf.DUMMYFUNCTION("GOOGLETRANSLATE(C1107, ""en"", ""TL"")"),"Ang pagkilala sa mga pulang bandila ng katiwalian sa loob ng iyong negosyo ay napakahalaga para maiwasan o mabawasan ang mga nakakapinsalang epekto nito. Narito ang isang breakdown ng ilang pangunahing lugar na dapat bantayan:
**Mga Pulang Watawat sa Pagk"&amp;"uha at Mga Kontrata:**
* **Hindi Kinakailangang Lihim:** Ang hindi pangkaraniwang lihim na nakapalibot sa proseso ng pag-bid, pagpili ng mga vendor, o mga tuntunin ng kontrata ay maaaring magpahiwatig ng mga pagtatangka na paboran ang ilang partikular na "&amp;"partido.
* **Hindi Kwalipikadong Vendor:** Ang pagbibigay ng mga kontrata sa mga vendor na kulang sa mga kinakailangang kwalipikasyon o karanasan ay maaaring magmungkahi ng paboritismo o kickback.
* **Napapataas na Mga Presyo:** Ang mga presyong mas mataa"&amp;"s kaysa sa halaga ng pamilihan para sa mga produkto o serbisyo ay maaaring maging tanda ng panunuhol o mapanlinlang na mga gawi.
* **Malabo o Hindi Kumpletong Kontrata:** Maaaring gamitin ang mga kontratang may hindi malinaw na termino, nawawalang mga det"&amp;"alye, o butas para itago ang mga tiwaling aktibidad.
**Mga Pulang Bandila sa Mga Transaksyon sa Pinansyal:**
* **Hindi Maipaliwanag na Daloy ng Pera:** Ang malalaking halaga ng hindi maipaliwanag na pera na pumapasok o lumabas sa negosyo ay maaaring magin"&amp;"g tanda ng money laundering o mga suhol.
* **Mga Kahina-hinalang Invoice:** Ang mga invoice na may mataas na singil, nawawalang mga detalye, o mga pagbabayad sa mga fictitious na kumpanya ay maaaring magpahiwatig ng mga pagtatangka na ilihis ang mga pondo"&amp;" nang ilegal.
* **Mga Off-the-Books na Transaksyon:** Ang mga transaksyong pinansyal na hindi naitala sa opisyal na sistema ng accounting ng kumpanya ay isang pangunahing pulang bandila.
* **Labis na Mga Gastusin sa Paglalakbay at Libangan:** Ang mga hind"&amp;"i karaniwang mataas o hindi magandang dokumentado na mga gastos para sa paglalakbay at libangan ay maaaring isang senyales ng mga suhol o kickback na itinago bilang mga lehitimong aktibidad sa negosyo.
**Mga Pulang Watawat sa Mga Panloob na Kontrol at Pam"&amp;"amaraan:**
* **Mahinang Panloob na Kontrol:** Ang kakulangan ng sapat na mga panloob na kontrol tulad ng paghihiwalay ng mga tungkulin, wastong pag-apruba, at sorpresang pag-audit ay maaaring lumikha ng mga pagkakataon para sa katiwalian.
* **Mga Conflict"&amp;"s of Interest:** Ang mga empleyadong may personal na stake sa isang transaksyon sa negosyo sa kumpanya ay maaaring madaling masangkot sa mga tiwaling gawi.
* **Kakulangan ng Transparency:** Ang kultura ng pagiging lihim o paglaban sa mga pagtatanong tungk"&amp;"ol sa mga desisyon sa negosyo o mga rekord sa pananalapi ay maaaring maging tanda ng babala.
* **Mga Regalo at Pagtanggap ng Bisita:** Ang labis o hindi pangkaraniwang mga regalo o marangyang mabuting pakikitungo na iniaalok sa mga empleyado, kasosyo sa n"&amp;"egosyo, o opisyal ng gobyerno ay maaaring mga pagtatangka ng panunuhol.
**Mga Pulang Watawat sa Gawi ng Empleyado:**
* **Biglaang Pagbabago sa Estilo ng Pamumuhay:** Ang mga empleyadong nakakaranas ng hindi maipaliwanag na pagtaas sa kayamanan o pamantaya"&amp;"n ng pamumuhay ay maaaring makinabang mula sa katiwalian.
* **Hindi Maipaliwanag na Pagliban:** Ang mga madalas na pagkawala sa mga oras ng trabaho, lalo na sa oras ng mga negosasyon sa kontrata o pag-apruba ng proyekto, ay maaaring maging kahina-hinala.
"&amp;"* **Takot sa Pag-uulat:** Isang kultura kung saan ang mga empleyado ay natatakot na mag-ulat ng pinaghihinalaang katiwalian dahil sa takot sa paghihiganti ay isang pangunahing pulang bandila.
**Kahalagahan ng Kultura ng Speak-Up:**
* **Mga Mekanismo ng Wh"&amp;"istleblowing:** Ang pagpapatupad ng isang kumpidensyal at secure na mekanismo ng whistleblowing ay nagbibigay-daan sa mga empleyado na mag-ulat ng pinaghihinalaang katiwalian nang walang takot sa paghihiganti.
* **Open Communication:** Ang paglikha ng isa"&amp;"ng kultura kung saan hinihikayat ang bukas na komunikasyon at etikal na pag-uugali ay nakakatulong sa pagpigil sa katiwalian.
**Tandaan:**
Ang isang solong pulang bandila ay maaaring hindi kinakailangang magpahiwatig ng katiwalian. Gayunpaman, ang pagkaka"&amp;"roon ng maraming pulang bandila, partikular sa iba't ibang bahagi ng iyong negosyo, ay nangangailangan ng karagdagang pagsisiyasat. Sa pamamagitan ng pagiging mapagbantay at pagsasagawa ng mga proactive na hakbang upang matugunan ang mga babalang ito, maa"&amp;"ari mong makabuluhang bawasan ang panganib ng katiwalian na mag-ugat sa loob ng iyong negosyo.")</f>
        <v>Ang pagkilala sa mga pulang bandila ng katiwalian sa loob ng iyong negosyo ay napakahalaga para maiwasan o mabawasan ang mga nakakapinsalang epekto nito. Narito ang isang breakdown ng ilang pangunahing lugar na dapat bantayan:
**Mga Pulang Watawat sa Pagkuha at Mga Kontrata:**
* **Hindi Kinakailangang Lihim:** Ang hindi pangkaraniwang lihim na nakapalibot sa proseso ng pag-bid, pagpili ng mga vendor, o mga tuntunin ng kontrata ay maaaring magpahiwatig ng mga pagtatangka na paboran ang ilang partikular na partido.
* **Hindi Kwalipikadong Vendor:** Ang pagbibigay ng mga kontrata sa mga vendor na kulang sa mga kinakailangang kwalipikasyon o karanasan ay maaaring magmungkahi ng paboritismo o kickback.
* **Napapataas na Mga Presyo:** Ang mga presyong mas mataas kaysa sa halaga ng pamilihan para sa mga produkto o serbisyo ay maaaring maging tanda ng panunuhol o mapanlinlang na mga gawi.
* **Malabo o Hindi Kumpletong Kontrata:** Maaaring gamitin ang mga kontratang may hindi malinaw na termino, nawawalang mga detalye, o butas para itago ang mga tiwaling aktibidad.
**Mga Pulang Bandila sa Mga Transaksyon sa Pinansyal:**
* **Hindi Maipaliwanag na Daloy ng Pera:** Ang malalaking halaga ng hindi maipaliwanag na pera na pumapasok o lumabas sa negosyo ay maaaring maging tanda ng money laundering o mga suhol.
* **Mga Kahina-hinalang Invoice:** Ang mga invoice na may mataas na singil, nawawalang mga detalye, o mga pagbabayad sa mga fictitious na kumpanya ay maaaring magpahiwatig ng mga pagtatangka na ilihis ang mga pondo nang ilegal.
* **Mga Off-the-Books na Transaksyon:** Ang mga transaksyong pinansyal na hindi naitala sa opisyal na sistema ng accounting ng kumpanya ay isang pangunahing pulang bandila.
* **Labis na Mga Gastusin sa Paglalakbay at Libangan:** Ang mga hindi karaniwang mataas o hindi magandang dokumentado na mga gastos para sa paglalakbay at libangan ay maaaring isang senyales ng mga suhol o kickback na itinago bilang mga lehitimong aktibidad sa negosyo.
**Mga Pulang Watawat sa Mga Panloob na Kontrol at Pamamaraan:**
* **Mahinang Panloob na Kontrol:** Ang kakulangan ng sapat na mga panloob na kontrol tulad ng paghihiwalay ng mga tungkulin, wastong pag-apruba, at sorpresang pag-audit ay maaaring lumikha ng mga pagkakataon para sa katiwalian.
* **Mga Conflicts of Interest:** Ang mga empleyadong may personal na stake sa isang transaksyon sa negosyo sa kumpanya ay maaaring madaling masangkot sa mga tiwaling gawi.
* **Kakulangan ng Transparency:** Ang kultura ng pagiging lihim o paglaban sa mga pagtatanong tungkol sa mga desisyon sa negosyo o mga rekord sa pananalapi ay maaaring maging tanda ng babala.
* **Mga Regalo at Pagtanggap ng Bisita:** Ang labis o hindi pangkaraniwang mga regalo o marangyang mabuting pakikitungo na iniaalok sa mga empleyado, kasosyo sa negosyo, o opisyal ng gobyerno ay maaaring mga pagtatangka ng panunuhol.
**Mga Pulang Watawat sa Gawi ng Empleyado:**
* **Biglaang Pagbabago sa Estilo ng Pamumuhay:** Ang mga empleyadong nakakaranas ng hindi maipaliwanag na pagtaas sa kayamanan o pamantayan ng pamumuhay ay maaaring makinabang mula sa katiwalian.
* **Hindi Maipaliwanag na Pagliban:** Ang mga madalas na pagkawala sa mga oras ng trabaho, lalo na sa oras ng mga negosasyon sa kontrata o pag-apruba ng proyekto, ay maaaring maging kahina-hinala.
* **Takot sa Pag-uulat:** Isang kultura kung saan ang mga empleyado ay natatakot na mag-ulat ng pinaghihinalaang katiwalian dahil sa takot sa paghihiganti ay isang pangunahing pulang bandila.
**Kahalagahan ng Kultura ng Speak-Up:**
* **Mga Mekanismo ng Whistleblowing:** Ang pagpapatupad ng isang kumpidensyal at secure na mekanismo ng whistleblowing ay nagbibigay-daan sa mga empleyado na mag-ulat ng pinaghihinalaang katiwalian nang walang takot sa paghihiganti.
* **Open Communication:** Ang paglikha ng isang kultura kung saan hinihikayat ang bukas na komunikasyon at etikal na pag-uugali ay nakakatulong sa pagpigil sa katiwalian.
**Tandaan:**
Ang isang solong pulang bandila ay maaaring hindi kinakailangang magpahiwatig ng katiwalian. Gayunpaman, ang pagkakaroon ng maraming pulang bandila, partikular sa iba't ibang bahagi ng iyong negosyo, ay nangangailangan ng karagdagang pagsisiyasat. Sa pamamagitan ng pagiging mapagbantay at pagsasagawa ng mga proactive na hakbang upang matugunan ang mga babalang ito, maaari mong makabuluhang bawasan ang panganib ng katiwalian na mag-ugat sa loob ng iyong negosyo.</v>
      </c>
      <c r="F1107" s="2">
        <f t="shared" si="1"/>
        <v>0</v>
      </c>
      <c r="G1107" s="2"/>
      <c r="H1107" s="2"/>
      <c r="I1107" s="2"/>
      <c r="J1107" s="2"/>
      <c r="K1107" s="2"/>
      <c r="L1107" s="2"/>
      <c r="M1107" s="2"/>
      <c r="N1107" s="2"/>
      <c r="O1107" s="2"/>
      <c r="P1107" s="2"/>
      <c r="Q1107" s="2"/>
      <c r="R1107" s="2"/>
      <c r="S1107" s="2"/>
      <c r="T1107" s="2"/>
      <c r="U1107" s="2"/>
      <c r="V1107" s="2"/>
      <c r="W1107" s="2"/>
      <c r="X1107" s="2"/>
      <c r="Y1107" s="2"/>
      <c r="Z1107" s="2"/>
      <c r="AA1107" s="2"/>
    </row>
    <row r="1108">
      <c r="A1108" s="1" t="s">
        <v>3356</v>
      </c>
      <c r="B1108" s="1" t="s">
        <v>3381</v>
      </c>
      <c r="C1108" s="1" t="s">
        <v>3382</v>
      </c>
      <c r="D1108" s="2" t="str">
        <f>IFERROR(__xludf.DUMMYFUNCTION("GOOGLETRANSLATE(B1108, ""en"", ""TL"")"),"Anong katibayan ang kailangan upang ituloy ang legal na aksyon laban sa mga indibidwal o entidad na sangkot sa mga tiwaling aktibidad?")</f>
        <v>Anong katibayan ang kailangan upang ituloy ang legal na aksyon laban sa mga indibidwal o entidad na sangkot sa mga tiwaling aktibidad?</v>
      </c>
      <c r="E1108" s="2" t="str">
        <f>IFERROR(__xludf.DUMMYFUNCTION("GOOGLETRANSLATE(C1108, ""en"", ""TL"")"),"Ang uri ng ebidensiya na kailangan upang ituloy ang legal na aksyon laban sa mga indibidwal o entidad na sangkot sa mga gawaing tiwaling sa Pilipinas ay mag-iiba depende sa partikular na katangian ng pagkakasala sa katiwalian. Gayunpaman, narito ang isang"&amp;" breakdown ng ilang pangunahing kategorya ng ebidensya na maaaring makatulong:
**Direktang Ebidensya:**
* **Testimonya ng Saksi:** Ang mga pahayag mula sa mga indibidwal na direktang nakasaksi sa tiwaling gawaing nagaganap ay maaaring maging napakalakas n"&amp;"a ebidensya. Maaaring kabilang dito ang mga empleyado, kasosyo sa negosyo, o kahit na mga bystanders. * **Mga Dokumento:** Ang mga kontrata, invoice, bank statement, email, at iba pang mga dokumento ay maaaring magbigay ng papel na trail na nag-uugnay sa "&amp;"akusado sa katiwalian. Ang mga dokumentong ito ay maaaring magpakita ng mga hindi pangkaraniwang pagbabayad, napalaki na mga invoice, o komunikasyong nauugnay sa tiwaling kasunduan.
* **Mga Pag-record ng Audio o Video:** Ang mga pag-record ng mga pag-uusa"&amp;"p kung saan tinalakay o pinlano ang tiwaling gawa ay maaaring maging napakalakas na ebidensya. Gayunpaman, ang legalidad ng pag-record ng mga pag-uusap nang walang pahintulot ay maaaring maging kumplikado, kaya ang pagkonsulta sa isang abogado ay mahalaga"&amp;" sa mga ganitong sitwasyon.
**Circumstantial Ebidensya:**
* **Mga Talaang Pananalapi:** Ang mga hindi maipaliwanag na daloy ng pera, biglaang pag-iipon ng kayamanan, o kahina-hinalang mga transaksyon sa pananalapi ay maaaring hindi direktang tumuturo sa k"&amp;"atiwalian. * **Mga Pagkakaiba sa Estilo ng Pamumuhay:** Ang isang makabuluhang pagtaas sa antas ng pamumuhay ng isang indibidwal na hindi maipaliwanag ng lehitimong kita ay maaaring magtaas ng mga pulang bandila.
* **Pag-alis ng Asset:** Kung maipakikita "&amp;"ng mga awtoridad na nakuha ang mga asset sa pamamagitan ng mga tiwaling paraan, maaari nilang makuha ang mga asset na iyon, kahit na hindi maitatag ang direktang link sa partikular na tiwaling pagkilos.
**Mga Karagdagang Pagsasaalang-alang:**
* **Lakas ng"&amp;" Ebidensya:** Kung mas maraming ebidensya ang makukuha at mas malakas ito, mas malaki ang pagkakataon ng matagumpay na pag-uusig. Ang kumbinasyon ng iba't ibang uri ng ebidensya ay kadalasang mas mapanghikayat kaysa umasa lamang sa isang uri.
* **Pagtangg"&amp;"ap ng Ebidensya:** Ang ebidensya na nakuhang ilegal ay maaaring hindi tanggapin sa korte. Ang pagkonsulta sa isang abogado ay nagsisiguro na ang ebidensya ay nakolekta at iniharap sa paraang sumusunod sa mga legal na kinakailangan.
**Pinagmulan ng Ebidens"&amp;"ya:**
* **Mga Panloob na Pagsisiyasat:** Kung natuklasan ang katiwalian sa loob ng isang kumpanya, makakatulong ang isang panloob na pagsisiyasat na mangalap ng ebidensya tulad ng mga pahayag ng saksi, dokumento, at recording.
* **Pagpapatupad ng Batas:**"&amp;" Ang mga awtoridad ay maaaring magsagawa ng mga pagsisiyasat, mangalap ng ebidensya, at potensyal na gumamit ng mga tool tulad ng pagsubaybay o mga search warrant upang makakuha ng may-katuturang impormasyon.
* **Whistleblower:** Ang mga empleyado o iba p"&amp;"a na may mismong kaalaman sa katiwalian ay maaaring magbigay ng impormasyon at ebidensya. Ang Pilipinas ay mayroong Whistleblowers' Protection Act na nagpoprotekta sa mga nag-uulat ng katiwalian nang may mabuting hangarin.
**Mga Hamon sa Pagtitipon ng Ebi"&amp;"densya:**
* **Pagiging Kumplikado ng Mga Iskema ng Korupsyon:** Maaaring maitago nang mabuti ang katiwalian, at maaaring maging hamon ang pangangalap ng ebidensya. * **Pananakot sa Saksi:** Maaaring matakot ang mga saksi na lumapit dahil sa takot sa paghi"&amp;"higanti. * **Pag-access sa Impormasyon:** Ang pagkuha ng mga mahahalagang dokumento o mga rekord sa pananalapi, lalo na kung hawak ng akusado na partido o matatagpuan sa ibang bansa, ay maaaring maging mahirap.
**Kahalagahan ng Legal na Dalubhasa:**
Nanga"&amp;"ngailangan ng legal na kadalubhasaan ang pag-navigate sa mga kumplikado ng pangongolekta at pagtanggap ng ebidensya. Ang isang abogado na dalubhasa sa mga usapin laban sa katiwalian ay maaaring magpayo sa mga pinakamabisang estratehiya para sa pangangalap"&amp;" ng ebidensya, pagtiyak ng pagsunod sa mga legal na pamamaraan, at pagbuo ng isang malakas na kaso para sa pag-uusig.
Sa pamamagitan ng pag-unawa sa mga uri ng katibayan na kailangan at sa mga potensyal na hamon na kasangkot, ang mga indibidwal at awtorid"&amp;"ad ay maaaring maging mas mahusay na kagamitan upang ituloy ang legal na aksyon laban sa mga sangkot sa mga tiwaling aktibidad.")</f>
        <v>Ang uri ng ebidensiya na kailangan upang ituloy ang legal na aksyon laban sa mga indibidwal o entidad na sangkot sa mga gawaing tiwaling sa Pilipinas ay mag-iiba depende sa partikular na katangian ng pagkakasala sa katiwalian. Gayunpaman, narito ang isang breakdown ng ilang pangunahing kategorya ng ebidensya na maaaring makatulong:
**Direktang Ebidensya:**
* **Testimonya ng Saksi:** Ang mga pahayag mula sa mga indibidwal na direktang nakasaksi sa tiwaling gawaing nagaganap ay maaaring maging napakalakas na ebidensya. Maaaring kabilang dito ang mga empleyado, kasosyo sa negosyo, o kahit na mga bystanders. * **Mga Dokumento:** Ang mga kontrata, invoice, bank statement, email, at iba pang mga dokumento ay maaaring magbigay ng papel na trail na nag-uugnay sa akusado sa katiwalian. Ang mga dokumentong ito ay maaaring magpakita ng mga hindi pangkaraniwang pagbabayad, napalaki na mga invoice, o komunikasyong nauugnay sa tiwaling kasunduan.
* **Mga Pag-record ng Audio o Video:** Ang mga pag-record ng mga pag-uusap kung saan tinalakay o pinlano ang tiwaling gawa ay maaaring maging napakalakas na ebidensya. Gayunpaman, ang legalidad ng pag-record ng mga pag-uusap nang walang pahintulot ay maaaring maging kumplikado, kaya ang pagkonsulta sa isang abogado ay mahalaga sa mga ganitong sitwasyon.
**Circumstantial Ebidensya:**
* **Mga Talaang Pananalapi:** Ang mga hindi maipaliwanag na daloy ng pera, biglaang pag-iipon ng kayamanan, o kahina-hinalang mga transaksyon sa pananalapi ay maaaring hindi direktang tumuturo sa katiwalian. * **Mga Pagkakaiba sa Estilo ng Pamumuhay:** Ang isang makabuluhang pagtaas sa antas ng pamumuhay ng isang indibidwal na hindi maipaliwanag ng lehitimong kita ay maaaring magtaas ng mga pulang bandila.
* **Pag-alis ng Asset:** Kung maipakikita ng mga awtoridad na nakuha ang mga asset sa pamamagitan ng mga tiwaling paraan, maaari nilang makuha ang mga asset na iyon, kahit na hindi maitatag ang direktang link sa partikular na tiwaling pagkilos.
**Mga Karagdagang Pagsasaalang-alang:**
* **Lakas ng Ebidensya:** Kung mas maraming ebidensya ang makukuha at mas malakas ito, mas malaki ang pagkakataon ng matagumpay na pag-uusig. Ang kumbinasyon ng iba't ibang uri ng ebidensya ay kadalasang mas mapanghikayat kaysa umasa lamang sa isang uri.
* **Pagtanggap ng Ebidensya:** Ang ebidensya na nakuhang ilegal ay maaaring hindi tanggapin sa korte. Ang pagkonsulta sa isang abogado ay nagsisiguro na ang ebidensya ay nakolekta at iniharap sa paraang sumusunod sa mga legal na kinakailangan.
**Pinagmulan ng Ebidensya:**
* **Mga Panloob na Pagsisiyasat:** Kung natuklasan ang katiwalian sa loob ng isang kumpanya, makakatulong ang isang panloob na pagsisiyasat na mangalap ng ebidensya tulad ng mga pahayag ng saksi, dokumento, at recording.
* **Pagpapatupad ng Batas:** Ang mga awtoridad ay maaaring magsagawa ng mga pagsisiyasat, mangalap ng ebidensya, at potensyal na gumamit ng mga tool tulad ng pagsubaybay o mga search warrant upang makakuha ng may-katuturang impormasyon.
* **Whistleblower:** Ang mga empleyado o iba pa na may mismong kaalaman sa katiwalian ay maaaring magbigay ng impormasyon at ebidensya. Ang Pilipinas ay mayroong Whistleblowers' Protection Act na nagpoprotekta sa mga nag-uulat ng katiwalian nang may mabuting hangarin.
**Mga Hamon sa Pagtitipon ng Ebidensya:**
* **Pagiging Kumplikado ng Mga Iskema ng Korupsyon:** Maaaring maitago nang mabuti ang katiwalian, at maaaring maging hamon ang pangangalap ng ebidensya. * **Pananakot sa Saksi:** Maaaring matakot ang mga saksi na lumapit dahil sa takot sa paghihiganti. * **Pag-access sa Impormasyon:** Ang pagkuha ng mga mahahalagang dokumento o mga rekord sa pananalapi, lalo na kung hawak ng akusado na partido o matatagpuan sa ibang bansa, ay maaaring maging mahirap.
**Kahalagahan ng Legal na Dalubhasa:**
Nangangailangan ng legal na kadalubhasaan ang pag-navigate sa mga kumplikado ng pangongolekta at pagtanggap ng ebidensya. Ang isang abogado na dalubhasa sa mga usapin laban sa katiwalian ay maaaring magpayo sa mga pinakamabisang estratehiya para sa pangangalap ng ebidensya, pagtiyak ng pagsunod sa mga legal na pamamaraan, at pagbuo ng isang malakas na kaso para sa pag-uusig.
Sa pamamagitan ng pag-unawa sa mga uri ng katibayan na kailangan at sa mga potensyal na hamon na kasangkot, ang mga indibidwal at awtoridad ay maaaring maging mas mahusay na kagamitan upang ituloy ang legal na aksyon laban sa mga sangkot sa mga tiwaling aktibidad.</v>
      </c>
      <c r="F1108" s="2">
        <f t="shared" si="1"/>
        <v>0</v>
      </c>
      <c r="G1108" s="2"/>
      <c r="H1108" s="2"/>
      <c r="I1108" s="2"/>
      <c r="J1108" s="2"/>
      <c r="K1108" s="2"/>
      <c r="L1108" s="2"/>
      <c r="M1108" s="2"/>
      <c r="N1108" s="2"/>
      <c r="O1108" s="2"/>
      <c r="P1108" s="2"/>
      <c r="Q1108" s="2"/>
      <c r="R1108" s="2"/>
      <c r="S1108" s="2"/>
      <c r="T1108" s="2"/>
      <c r="U1108" s="2"/>
      <c r="V1108" s="2"/>
      <c r="W1108" s="2"/>
      <c r="X1108" s="2"/>
      <c r="Y1108" s="2"/>
      <c r="Z1108" s="2"/>
      <c r="AA1108" s="2"/>
    </row>
    <row r="1109">
      <c r="A1109" s="1" t="s">
        <v>3356</v>
      </c>
      <c r="B1109" s="1" t="s">
        <v>3383</v>
      </c>
      <c r="C1109" s="1" t="s">
        <v>3384</v>
      </c>
      <c r="D1109" s="2" t="str">
        <f>IFERROR(__xludf.DUMMYFUNCTION("GOOGLETRANSLATE(B1109, ""en"", ""TL"")"),"Mayroon bang anumang legal na depensa na magagamit para sa mga indibidwal na inakusahan ng pakikilahok sa mga tiwaling gawi sa loob ng isang negosyo?")</f>
        <v>Mayroon bang anumang legal na depensa na magagamit para sa mga indibidwal na inakusahan ng pakikilahok sa mga tiwaling gawi sa loob ng isang negosyo?</v>
      </c>
      <c r="E1109" s="2" t="str">
        <f>IFERROR(__xludf.DUMMYFUNCTION("GOOGLETRANSLATE(C1109, ""en"", ""TL"")"),"Oo, mayroong ilang legal na depensa na magagamit para sa mga indibidwal na inakusahan ng pakikilahok sa mga tiwaling gawi sa loob ng isang negosyo sa Pilipinas. Gayunpaman, ang tagumpay ng mga depensang ito ay lubos na nakadepende sa mga partikular na kal"&amp;"agayan ng kaso. Narito ang isang breakdown ng ilang potensyal na depensa:
**Kakulangan ng Kaalaman o Layunin:**
* **Hindi Sinasadyang Paglahok:** Maaaring magtaltalan ang isang indibidwal na hindi nila alam ang tiwaling katangian ng aktibidad. Ito ay maaa"&amp;"ring dahil sa kakulangan ng impormasyon, naliligaw ng mga nakatataas, o may limitadong papel sa pangkalahatang pamamaraan. Gayunpaman, ang pasanin ng patunay ay nakasalalay sa akusado upang ipakita ang isang tunay na kakulangan ng kaalaman.
* **Sumusunod "&amp;"sa Mga Utos:** Maaaring sabihin ng isang empleyado na sinusunod lang nila ang mga utos mula sa isang superyor at walang awtoridad na tumanggi sa pakikilahok sa tiwaling aktibidad. Gayunpaman, ang depensang ito sa pangkalahatan ay mahina at hindi magtataga"&amp;"l kung malinaw na ilegal ang utos.
**Mali ng Katotohanan:**
* **Hindi Pagkakaunawaan:** Maaaring magtaltalan ang akusado na gumawa sila ng tunay na pagkakamali tungkol sa mga katotohanang nakapaligid sa sitwasyon, na humahantong sa kanila na maniwala na a"&amp;"ng kanilang mga aksyon ay ayon sa batas. Upang maging matagumpay ang pagtatanggol na ito, ang pagkakamali ay dapat na makatwiran at batay sa isang taos-pusong paniniwala.
**Pagkulong:**
* **Police Inducement:** Ang pagtatanggol na ito ay bihirang matagump"&amp;"ay sa mga kaso ng katiwalian. Nalalapat ito kung ang mga opisyal ng pagpapatupad ng batas ay pinilit o hinikayat ang indibidwal na gumawa ng krimen na hindi sana nilalahukan. Ang pasanin ng patunay para sa entrapment ay nasa akusado.
**Mga Teknikal na Dep"&amp;"ensa:**
* **Mga Paglabag sa Pamamaraan:** Kung nilabag ng mga awtoridad na nagpapatupad ng batas ang mga karapatan ng akusado sa panahon ng pagsisiyasat o pag-aresto, maaaring makipagtalo ang depensa para sa ebidensiya na hindi kasama sa kaso. Ito ay posi"&amp;"bleng makapagpahina sa kaso ng prosekusyon.
* **Statute of Limitations:** Ang mga singil sa katiwalian ay karaniwang may limitasyon sa oras para sa pag-uusig. Kung ang di-umano'y pagkakasala ay nangyari sa labas ng legal na takdang panahon, ang kaso ay ma"&amp;"aaring ma-dismiss.
**Pagtutulungan at Plea Bargains:**
* **Pakikipagtulungan sa mga Awtoridad:** Maaaring piliin ng isang indibidwal na makipagtulungan sa pagpapatupad ng batas sa pamamagitan ng pagbibigay ng makatotohanang impormasyon tungkol sa katiwali"&amp;"an at potensyal na pagkilala sa iba pang kasangkot na partido. Ang pagtutulungang ito ay maaaring humantong sa kaluwagan sa pagsentensiya o kahit na pagbaba ng mga singil.
* **Plea Bargain:** Ang akusado ay maaaring makipag-ayos ng plea bargain sa proseku"&amp;"syon, na umamin na nagkasala sa mas mababang kaso kapalit ng pinababang sentensiya.
**Kahalagahan ng Legal na Kinatawan:**
Ang mga partikular na legal na depensa na magagamit at ang kanilang potensyal na bisa ay depende sa mga detalye ng kaso. Ang pagkons"&amp;"ulta sa isang abogado na dalubhasa sa batas kriminal at mga usapin laban sa katiwalian ay napakahalaga. Maaaring suriin ng isang abogado ang ebidensya, magpayo sa pinakaangkop na diskarte sa pagtatanggol, at kumatawan sa mga akusado sa buong proseso ng ba"&amp;"tas. **Tandaan:**
* Ito ay ilan lamang sa mga potensyal na depensa, at ang kanilang tagumpay ay nakasalalay sa mga partikular na pangyayari.
* Ang pasanin ng patunay ay karaniwang nakasalalay sa pag-uusig upang ipakita ang pagkakasala ng akusado nang wala"&amp;"ng makatwirang pagdududa.
* Ang pagkonsulta sa isang abogado ay lubos na inirerekomenda para sa mga indibidwal na nahaharap sa mga kaso ng katiwalian.")</f>
        <v>Oo, mayroong ilang legal na depensa na magagamit para sa mga indibidwal na inakusahan ng pakikilahok sa mga tiwaling gawi sa loob ng isang negosyo sa Pilipinas. Gayunpaman, ang tagumpay ng mga depensang ito ay lubos na nakadepende sa mga partikular na kalagayan ng kaso. Narito ang isang breakdown ng ilang potensyal na depensa:
**Kakulangan ng Kaalaman o Layunin:**
* **Hindi Sinasadyang Paglahok:** Maaaring magtaltalan ang isang indibidwal na hindi nila alam ang tiwaling katangian ng aktibidad. Ito ay maaaring dahil sa kakulangan ng impormasyon, naliligaw ng mga nakatataas, o may limitadong papel sa pangkalahatang pamamaraan. Gayunpaman, ang pasanin ng patunay ay nakasalalay sa akusado upang ipakita ang isang tunay na kakulangan ng kaalaman.
* **Sumusunod sa Mga Utos:** Maaaring sabihin ng isang empleyado na sinusunod lang nila ang mga utos mula sa isang superyor at walang awtoridad na tumanggi sa pakikilahok sa tiwaling aktibidad. Gayunpaman, ang depensang ito sa pangkalahatan ay mahina at hindi magtatagal kung malinaw na ilegal ang utos.
**Mali ng Katotohanan:**
* **Hindi Pagkakaunawaan:** Maaaring magtaltalan ang akusado na gumawa sila ng tunay na pagkakamali tungkol sa mga katotohanang nakapaligid sa sitwasyon, na humahantong sa kanila na maniwala na ang kanilang mga aksyon ay ayon sa batas. Upang maging matagumpay ang pagtatanggol na ito, ang pagkakamali ay dapat na makatwiran at batay sa isang taos-pusong paniniwala.
**Pagkulong:**
* **Police Inducement:** Ang pagtatanggol na ito ay bihirang matagumpay sa mga kaso ng katiwalian. Nalalapat ito kung ang mga opisyal ng pagpapatupad ng batas ay pinilit o hinikayat ang indibidwal na gumawa ng krimen na hindi sana nilalahukan. Ang pasanin ng patunay para sa entrapment ay nasa akusado.
**Mga Teknikal na Depensa:**
* **Mga Paglabag sa Pamamaraan:** Kung nilabag ng mga awtoridad na nagpapatupad ng batas ang mga karapatan ng akusado sa panahon ng pagsisiyasat o pag-aresto, maaaring makipagtalo ang depensa para sa ebidensiya na hindi kasama sa kaso. Ito ay posibleng makapagpahina sa kaso ng prosekusyon.
* **Statute of Limitations:** Ang mga singil sa katiwalian ay karaniwang may limitasyon sa oras para sa pag-uusig. Kung ang di-umano'y pagkakasala ay nangyari sa labas ng legal na takdang panahon, ang kaso ay maaaring ma-dismiss.
**Pagtutulungan at Plea Bargains:**
* **Pakikipagtulungan sa mga Awtoridad:** Maaaring piliin ng isang indibidwal na makipagtulungan sa pagpapatupad ng batas sa pamamagitan ng pagbibigay ng makatotohanang impormasyon tungkol sa katiwalian at potensyal na pagkilala sa iba pang kasangkot na partido. Ang pagtutulungang ito ay maaaring humantong sa kaluwagan sa pagsentensiya o kahit na pagbaba ng mga singil.
* **Plea Bargain:** Ang akusado ay maaaring makipag-ayos ng plea bargain sa prosekusyon, na umamin na nagkasala sa mas mababang kaso kapalit ng pinababang sentensiya.
**Kahalagahan ng Legal na Kinatawan:**
Ang mga partikular na legal na depensa na magagamit at ang kanilang potensyal na bisa ay depende sa mga detalye ng kaso. Ang pagkonsulta sa isang abogado na dalubhasa sa batas kriminal at mga usapin laban sa katiwalian ay napakahalaga. Maaaring suriin ng isang abogado ang ebidensya, magpayo sa pinakaangkop na diskarte sa pagtatanggol, at kumatawan sa mga akusado sa buong proseso ng batas. **Tandaan:**
* Ito ay ilan lamang sa mga potensyal na depensa, at ang kanilang tagumpay ay nakasalalay sa mga partikular na pangyayari.
* Ang pasanin ng patunay ay karaniwang nakasalalay sa pag-uusig upang ipakita ang pagkakasala ng akusado nang walang makatwirang pagdududa.
* Ang pagkonsulta sa isang abogado ay lubos na inirerekomenda para sa mga indibidwal na nahaharap sa mga kaso ng katiwalian.</v>
      </c>
      <c r="F1109" s="2">
        <f t="shared" si="1"/>
        <v>0</v>
      </c>
      <c r="G1109" s="2"/>
      <c r="H1109" s="2"/>
      <c r="I1109" s="2"/>
      <c r="J1109" s="2"/>
      <c r="K1109" s="2"/>
      <c r="L1109" s="2"/>
      <c r="M1109" s="2"/>
      <c r="N1109" s="2"/>
      <c r="O1109" s="2"/>
      <c r="P1109" s="2"/>
      <c r="Q1109" s="2"/>
      <c r="R1109" s="2"/>
      <c r="S1109" s="2"/>
      <c r="T1109" s="2"/>
      <c r="U1109" s="2"/>
      <c r="V1109" s="2"/>
      <c r="W1109" s="2"/>
      <c r="X1109" s="2"/>
      <c r="Y1109" s="2"/>
      <c r="Z1109" s="2"/>
      <c r="AA1109" s="2"/>
    </row>
    <row r="1110">
      <c r="A1110" s="1" t="s">
        <v>3356</v>
      </c>
      <c r="B1110" s="1" t="s">
        <v>3385</v>
      </c>
      <c r="C1110" s="1" t="s">
        <v>3386</v>
      </c>
      <c r="D1110" s="2" t="str">
        <f>IFERROR(__xludf.DUMMYFUNCTION("GOOGLETRANSLATE(B1110, ""en"", ""TL"")"),"Maaari mo bang ipaliwanag ang konsepto ng pananagutan ng korporasyon para sa mga pagkakasala sa katiwalian?")</f>
        <v>Maaari mo bang ipaliwanag ang konsepto ng pananagutan ng korporasyon para sa mga pagkakasala sa katiwalian?</v>
      </c>
      <c r="E1110" s="2" t="str">
        <f>IFERROR(__xludf.DUMMYFUNCTION("GOOGLETRANSLATE(C1110, ""en"", ""TL"")"),"Ang pananagutan ng korporasyon para sa mga pagkakasala sa katiwalian ay tumutukoy sa legal na konsepto na nagpapanagot sa isang entidad ng negosyo para sa mga tiwaling aksyon na ginawa ng mga empleyado, ahente, o kinatawan nito na kumikilos sa ngalan ng k"&amp;"umpanya. Nangangahulugan ito na ang korporasyon mismo ay maaaring harapin ang mga legal na kahihinatnan para sa katiwalian, kahit na ang mga indibidwal na empleyado ay direktang sangkot.
Mayroong dalawang pangunahing paraan na maaaring lumitaw ang pananag"&amp;"utan ng korporasyon para sa katiwalian:
1. **Direktang Aksyon ng Korporasyon:** Kung ang kumpanya mismo, sa pamamagitan ng pamamahala nito o mga katawan sa paggawa ng desisyon, ay pinahihintulutan, kinukunsinti, o nakikinabang mula sa mga tiwaling aktibid"&amp;"ad, maaari itong direktang managot. Maaaring kabilang dito ang mga sitwasyon kung saan:
* Inaprubahan ng pamamahala ang mga suhol na babayaran upang matiyak ang mga kontrata.
* Ang kumpanya ay may kultura na nagbubulag-bulagan sa mga tiwaling gawain.
* An"&amp;"g kumpanya ay nagpapatupad ng mga patakaran o pamamaraan na nagpapadali sa katiwalian.
2. **Mga Aksyon ng mga Empleyado o Ahente:** Ang isang korporasyon ay maaari ding managot para sa mga tiwaling aksyon ng mga empleyado o ahente nito, kung ang mga pagki"&amp;"los na iyon ay ginawa:
* **Sa Saklaw ng Pagtatrabaho:** Ang tiwaling gawa ng empleyado ay dapat na ginawa habang ginagawa nila ang kanilang mga tungkulin sa trabaho o kumikilos sa ngalan ng kumpanya.
* **Para sa Benepisyo ng Korporasyon:** Dapat ay may ma"&amp;"ipakikitang benepisyo sa kumpanya, kahit na hindi direkta o pangmatagalan, mula sa mga tiwaling aksyon ng empleyado. **Bakit Mahalaga ang Corporate Liability?**
Ang mga may hawak na korporasyon na mananagot para sa katiwalian ay nagsisilbi sa ilang layuni"&amp;"n:
* **Pagpigil:** Ang banta ng mga legal na kahihinatnan ay maaaring humadlang sa mga kumpanya na makisali o magparaya sa mga tiwaling gawi.
* **Pag-promote ng Etikal na Negosyo:** Ang pananagutan ng korporasyon ay naghihikayat sa mga kumpanya na magpatu"&amp;"pad ng malakas na mga programa sa pagsunod laban sa katiwalian at mga etikal na kasanayan sa negosyo.
* **Accountability:** Tinitiyak nito na hindi lamang ang mga indibidwal na empleyado kundi pati na rin ang mga kumpanyang nakikinabang sa katiwalian ang "&amp;"may pananagutan.
* **Pagbawi ng mga Pinsala:** Sa ilang mga kaso, ang mga korporasyong napatunayang nagkasala ng katiwalian ay maaaring utusan na magbayad ng mga multa, mag-disgorge ng mga ill-gotten gains, o magbayad sa mga partidong napinsala ng katiwal"&amp;"ian.
**Mga Hamon ng Corporate Liability:**
* **Pagtusok sa Corporate Veil:** Sa ilang hurisdiksyon, ang pagpapatunay ng pananagutan ng korporasyon ay maaaring maging mahirap. Maaaring kailanganin ng mga tagausig na ipakita na ang tiwaling pagkilos ay hind"&amp;"i isang nakahiwalay na insidente ngunit sumasalamin sa kultura ng kumpanya o kaalaman ng pamamahala.
* **International Complexity:** Sa mga negosyong tumatakbo sa kabila ng mga hangganan, ang pagtukoy kung aling mga batas ng hurisdiksyon ang nalalapat sa "&amp;"isang kaso ng katiwalian at ang pagpapatupad ng mga parusa ay maaaring maging kumplikado.
**Ang Pilipinas at Pananagutan ng Kumpanya:**
Ang Pilipinas ay may ilang mga batas na tumutugon sa pananagutan ng korporasyon para sa mga pagkakasala sa katiwalian. "&amp;"Kabilang dito ang:
* **Anti-Graft and Corrupt Practices Act (RA 3019):** Maaaring panagutin ng batas na ito ang mga korporasyon kung nakipagsabwatan sila sa mga pampublikong opisyal upang gumawa ng katiwalian o kumilos bilang mga dummies para sa mga katiw"&amp;"alian.
* **Revised Penal Code (RPC):** Ang ilang partikular na probisyon ng RPC ay maaaring ilapat sa mga korporasyong sangkot sa panunuhol o iba pang mga paglabag sa katiwalian.
**Konklusyon:**
Ang pananagutan ng korporasyon para sa mga pagkakasala sa ka"&amp;"tiwalian ay gumaganap ng isang mahalagang papel sa paglaban sa katiwalian sa negosyo. Sa pamamagitan ng pagpapanagot sa mga kumpanya, pagtataguyod ng mga etikal na kasanayan, at pagpigil sa hinaharap na maling gawain, ang pananagutan ng korporasyon ay nak"&amp;"akatulong na lumikha ng isang mas transparent at patas na kapaligiran sa negosyo.")</f>
        <v>Ang pananagutan ng korporasyon para sa mga pagkakasala sa katiwalian ay tumutukoy sa legal na konsepto na nagpapanagot sa isang entidad ng negosyo para sa mga tiwaling aksyon na ginawa ng mga empleyado, ahente, o kinatawan nito na kumikilos sa ngalan ng kumpanya. Nangangahulugan ito na ang korporasyon mismo ay maaaring harapin ang mga legal na kahihinatnan para sa katiwalian, kahit na ang mga indibidwal na empleyado ay direktang sangkot.
Mayroong dalawang pangunahing paraan na maaaring lumitaw ang pananagutan ng korporasyon para sa katiwalian:
1. **Direktang Aksyon ng Korporasyon:** Kung ang kumpanya mismo, sa pamamagitan ng pamamahala nito o mga katawan sa paggawa ng desisyon, ay pinahihintulutan, kinukunsinti, o nakikinabang mula sa mga tiwaling aktibidad, maaari itong direktang managot. Maaaring kabilang dito ang mga sitwasyon kung saan:
* Inaprubahan ng pamamahala ang mga suhol na babayaran upang matiyak ang mga kontrata.
* Ang kumpanya ay may kultura na nagbubulag-bulagan sa mga tiwaling gawain.
* Ang kumpanya ay nagpapatupad ng mga patakaran o pamamaraan na nagpapadali sa katiwalian.
2. **Mga Aksyon ng mga Empleyado o Ahente:** Ang isang korporasyon ay maaari ding managot para sa mga tiwaling aksyon ng mga empleyado o ahente nito, kung ang mga pagkilos na iyon ay ginawa:
* **Sa Saklaw ng Pagtatrabaho:** Ang tiwaling gawa ng empleyado ay dapat na ginawa habang ginagawa nila ang kanilang mga tungkulin sa trabaho o kumikilos sa ngalan ng kumpanya.
* **Para sa Benepisyo ng Korporasyon:** Dapat ay may maipakikitang benepisyo sa kumpanya, kahit na hindi direkta o pangmatagalan, mula sa mga tiwaling aksyon ng empleyado. **Bakit Mahalaga ang Corporate Liability?**
Ang mga may hawak na korporasyon na mananagot para sa katiwalian ay nagsisilbi sa ilang layunin:
* **Pagpigil:** Ang banta ng mga legal na kahihinatnan ay maaaring humadlang sa mga kumpanya na makisali o magparaya sa mga tiwaling gawi.
* **Pag-promote ng Etikal na Negosyo:** Ang pananagutan ng korporasyon ay naghihikayat sa mga kumpanya na magpatupad ng malakas na mga programa sa pagsunod laban sa katiwalian at mga etikal na kasanayan sa negosyo.
* **Accountability:** Tinitiyak nito na hindi lamang ang mga indibidwal na empleyado kundi pati na rin ang mga kumpanyang nakikinabang sa katiwalian ang may pananagutan.
* **Pagbawi ng mga Pinsala:** Sa ilang mga kaso, ang mga korporasyong napatunayang nagkasala ng katiwalian ay maaaring utusan na magbayad ng mga multa, mag-disgorge ng mga ill-gotten gains, o magbayad sa mga partidong napinsala ng katiwalian.
**Mga Hamon ng Corporate Liability:**
* **Pagtusok sa Corporate Veil:** Sa ilang hurisdiksyon, ang pagpapatunay ng pananagutan ng korporasyon ay maaaring maging mahirap. Maaaring kailanganin ng mga tagausig na ipakita na ang tiwaling pagkilos ay hindi isang nakahiwalay na insidente ngunit sumasalamin sa kultura ng kumpanya o kaalaman ng pamamahala.
* **International Complexity:** Sa mga negosyong tumatakbo sa kabila ng mga hangganan, ang pagtukoy kung aling mga batas ng hurisdiksyon ang nalalapat sa isang kaso ng katiwalian at ang pagpapatupad ng mga parusa ay maaaring maging kumplikado.
**Ang Pilipinas at Pananagutan ng Kumpanya:**
Ang Pilipinas ay may ilang mga batas na tumutugon sa pananagutan ng korporasyon para sa mga pagkakasala sa katiwalian. Kabilang dito ang:
* **Anti-Graft and Corrupt Practices Act (RA 3019):** Maaaring panagutin ng batas na ito ang mga korporasyon kung nakipagsabwatan sila sa mga pampublikong opisyal upang gumawa ng katiwalian o kumilos bilang mga dummies para sa mga katiwalian.
* **Revised Penal Code (RPC):** Ang ilang partikular na probisyon ng RPC ay maaaring ilapat sa mga korporasyong sangkot sa panunuhol o iba pang mga paglabag sa katiwalian.
**Konklusyon:**
Ang pananagutan ng korporasyon para sa mga pagkakasala sa katiwalian ay gumaganap ng isang mahalagang papel sa paglaban sa katiwalian sa negosyo. Sa pamamagitan ng pagpapanagot sa mga kumpanya, pagtataguyod ng mga etikal na kasanayan, at pagpigil sa hinaharap na maling gawain, ang pananagutan ng korporasyon ay nakakatulong na lumikha ng isang mas transparent at patas na kapaligiran sa negosyo.</v>
      </c>
      <c r="F1110" s="2">
        <f t="shared" si="1"/>
        <v>0</v>
      </c>
      <c r="G1110" s="2"/>
      <c r="H1110" s="2"/>
      <c r="I1110" s="2"/>
      <c r="J1110" s="2"/>
      <c r="K1110" s="2"/>
      <c r="L1110" s="2"/>
      <c r="M1110" s="2"/>
      <c r="N1110" s="2"/>
      <c r="O1110" s="2"/>
      <c r="P1110" s="2"/>
      <c r="Q1110" s="2"/>
      <c r="R1110" s="2"/>
      <c r="S1110" s="2"/>
      <c r="T1110" s="2"/>
      <c r="U1110" s="2"/>
      <c r="V1110" s="2"/>
      <c r="W1110" s="2"/>
      <c r="X1110" s="2"/>
      <c r="Y1110" s="2"/>
      <c r="Z1110" s="2"/>
      <c r="AA1110" s="2"/>
    </row>
    <row r="1111">
      <c r="A1111" s="1" t="s">
        <v>3356</v>
      </c>
      <c r="B1111" s="1" t="s">
        <v>3387</v>
      </c>
      <c r="C1111" s="1" t="s">
        <v>3388</v>
      </c>
      <c r="D1111" s="2" t="str">
        <f>IFERROR(__xludf.DUMMYFUNCTION("GOOGLETRANSLATE(B1111, ""en"", ""TL"")"),"Anong papel ang ginagampanan ng mga panloob na pagsisiyasat sa pagtugon sa mga paratang ng katiwalian sa loob ng isang negosyo?")</f>
        <v>Anong papel ang ginagampanan ng mga panloob na pagsisiyasat sa pagtugon sa mga paratang ng katiwalian sa loob ng isang negosyo?</v>
      </c>
      <c r="E1111" s="2" t="str">
        <f>IFERROR(__xludf.DUMMYFUNCTION("GOOGLETRANSLATE(C1111, ""en"", ""TL"")"),"Ang mga panloob na pagsisiyasat ay may mahalagang papel sa pagtugon sa mga paratang ng katiwalian sa loob ng isang negosyo. Narito ang isang breakdown ng kanilang mga pangunahing function at benepisyo:
**Pagbubunyag ng Katotohanan:**
* **Fact-Finding:** A"&amp;"ng mga panloob na pagsisiyasat ay naglalayong mangalap ng ebidensya, makapanayam ng mga saksi, at magsuri ng mga dokumento upang matukoy kung mayroong anumang katotohanan sa mga paratang ng katiwalian. * **Pagkilala sa mga Nagkasala:** Kung matuklasan ang"&amp;" katiwalian, makakatulong ang imbestigasyon na matukoy ang mga indibidwal na sangkot at ang lawak ng kanilang maling gawain.
**Pagprotekta sa Kumpanya:**
* **Pagbabawas ng Pinsala:** Ang isang mabilis at masusing panloob na pagsisiyasat ay maaaring makatu"&amp;"long sa pagpigil sa pinsalang dulot ng katiwalian. Sa pamamagitan ng pagtukoy at pagtugon kaagad sa isyu, maaaring mabawasan ng kumpanya ang pinsala sa reputasyon at mga potensyal na legal na kahihinatnan.
* **Pag-iingat ng Ebidensya:** Ang mga panloob na"&amp;" pagsisiyasat ay maaaring makatulong sa pag-secure at pagpapanatili ng ebidensya na maaaring maging mahalaga para sa kasunod na mga aksyong pandisiplina, legal na paglilitis, o pag-uulat sa sarili sa mga awtoridad.
**Pag-promote ng Transparency at Account"&amp;"ability:**
* **Pagpapakita ng Pangako:** Ang pagsasagawa ng wastong panloob na pagsisiyasat ay nagpapakita ng pangako ng kumpanya sa mga etikal na kasanayan sa negosyo at isang pagpayag na panagutin ang mga gumagawa ng mali. Makakatulong ito na muling buu"&amp;"in ang tiwala sa mga stakeholder at mga regulatory body.
* **Pag-iwas sa Korapsyon sa Hinaharap:** Ang mga natuklasan ng isang panloob na pagsisiyasat ay maaaring gamitin upang matukoy ang mga kahinaan sa programa ng pagsunod at mga panloob na kontrol ng "&amp;"kumpanya. Nagbibigay-daan ito sa pagpapatupad ng mga hakbang sa pagwawasto upang maiwasang mangyari muli ang mga katulad na insidente.
**Mga Benepisyo ng Isang Mahusay na Pagsasagawa ng Panloob na Pagsisiyasat:**
* **Nabawasang Legal na Panganib:** Ang is"&amp;"ang mahusay na dokumentadong panloob na pagsisiyasat ay maaaring makatulong sa mga negosasyon sa mga ahensyang nagpapatupad ng batas at posibleng humantong sa mas maluwag na mga parusa. Ipinapakita rin nito ang mga pagsisikap ng kumpanya na tugunan ang is"&amp;"yu sa loob.
* **Mas malakas na Depensa:** Ang mga natuklasan mula sa pagsisiyasat ay maaaring gamitin upang ipagtanggol ang kumpanya laban sa mga potensyal na demanda mula sa mga shareholder, stakeholder, o kahit na mga kakumpitensya na sinaktan ng katiwa"&amp;"lian.
* **Pinahusay na Pagsunod:** Sa pamamagitan ng pagtukoy ng mga kahinaan sa mga kontrol, maaaring ipaalam ng pagsisiyasat ang pagbuo ng isang mas matatag na programa sa pagsunod laban sa katiwalian sa pangkalahatan.
**Mahahalagang Pagsasaalang-alang:"&amp;"**
* **Katumpakan at Kasarinlan:** Para sa kredibilidad, ang pagsisiyasat ay dapat isagawa ng isang layunin at independiyenteng partido, alinman sa mga panloob na imbestigador na walang salungatan ng interes o mga panlabas na imbestigador na partikular na"&amp;" kinuha para sa kaso.
* **Pagiging Kumpidensyal:** Ang pagpapanatili ng pagiging kompidensiyal sa panahon ng pagsisiyasat ay napakahalaga upang maprotektahan ang mga karapatan ng mga sangkot at hikayatin ang mga saksi na magbigay ng impormasyon.
* **Mga L"&amp;"egal na Pagsasaalang-alang:** Ang pagkonsulta sa legal na tagapayo sa buong proseso ng pagsisiyasat ay mahalaga upang matiyak ang pagsunod sa mga nauugnay na batas at regulasyon, at upang maprotektahan ang mga legal na pribilehiyo ng kumpanya.
**Ang mga p"&amp;"anloob na pagsisiyasat ay hindi isang kapalit para sa paglahok ng pagpapatupad ng batas sa mga seryosong kaso ng katiwalian.** Gayunpaman, ang mga ito ay isang mahalagang tool para sa mga negosyo upang tugunan ang mga paratang ng katiwalian sa loob, isulo"&amp;"ng ang pananagutan, at mabawasan ang potensyal na pinsalang legal at reputasyon.")</f>
        <v>Ang mga panloob na pagsisiyasat ay may mahalagang papel sa pagtugon sa mga paratang ng katiwalian sa loob ng isang negosyo. Narito ang isang breakdown ng kanilang mga pangunahing function at benepisyo:
**Pagbubunyag ng Katotohanan:**
* **Fact-Finding:** Ang mga panloob na pagsisiyasat ay naglalayong mangalap ng ebidensya, makapanayam ng mga saksi, at magsuri ng mga dokumento upang matukoy kung mayroong anumang katotohanan sa mga paratang ng katiwalian. * **Pagkilala sa mga Nagkasala:** Kung matuklasan ang katiwalian, makakatulong ang imbestigasyon na matukoy ang mga indibidwal na sangkot at ang lawak ng kanilang maling gawain.
**Pagprotekta sa Kumpanya:**
* **Pagbabawas ng Pinsala:** Ang isang mabilis at masusing panloob na pagsisiyasat ay maaaring makatulong sa pagpigil sa pinsalang dulot ng katiwalian. Sa pamamagitan ng pagtukoy at pagtugon kaagad sa isyu, maaaring mabawasan ng kumpanya ang pinsala sa reputasyon at mga potensyal na legal na kahihinatnan.
* **Pag-iingat ng Ebidensya:** Ang mga panloob na pagsisiyasat ay maaaring makatulong sa pag-secure at pagpapanatili ng ebidensya na maaaring maging mahalaga para sa kasunod na mga aksyong pandisiplina, legal na paglilitis, o pag-uulat sa sarili sa mga awtoridad.
**Pag-promote ng Transparency at Accountability:**
* **Pagpapakita ng Pangako:** Ang pagsasagawa ng wastong panloob na pagsisiyasat ay nagpapakita ng pangako ng kumpanya sa mga etikal na kasanayan sa negosyo at isang pagpayag na panagutin ang mga gumagawa ng mali. Makakatulong ito na muling buuin ang tiwala sa mga stakeholder at mga regulatory body.
* **Pag-iwas sa Korapsyon sa Hinaharap:** Ang mga natuklasan ng isang panloob na pagsisiyasat ay maaaring gamitin upang matukoy ang mga kahinaan sa programa ng pagsunod at mga panloob na kontrol ng kumpanya. Nagbibigay-daan ito sa pagpapatupad ng mga hakbang sa pagwawasto upang maiwasang mangyari muli ang mga katulad na insidente.
**Mga Benepisyo ng Isang Mahusay na Pagsasagawa ng Panloob na Pagsisiyasat:**
* **Nabawasang Legal na Panganib:** Ang isang mahusay na dokumentadong panloob na pagsisiyasat ay maaaring makatulong sa mga negosasyon sa mga ahensyang nagpapatupad ng batas at posibleng humantong sa mas maluwag na mga parusa. Ipinapakita rin nito ang mga pagsisikap ng kumpanya na tugunan ang isyu sa loob.
* **Mas malakas na Depensa:** Ang mga natuklasan mula sa pagsisiyasat ay maaaring gamitin upang ipagtanggol ang kumpanya laban sa mga potensyal na demanda mula sa mga shareholder, stakeholder, o kahit na mga kakumpitensya na sinaktan ng katiwalian.
* **Pinahusay na Pagsunod:** Sa pamamagitan ng pagtukoy ng mga kahinaan sa mga kontrol, maaaring ipaalam ng pagsisiyasat ang pagbuo ng isang mas matatag na programa sa pagsunod laban sa katiwalian sa pangkalahatan.
**Mahahalagang Pagsasaalang-alang:**
* **Katumpakan at Kasarinlan:** Para sa kredibilidad, ang pagsisiyasat ay dapat isagawa ng isang layunin at independiyenteng partido, alinman sa mga panloob na imbestigador na walang salungatan ng interes o mga panlabas na imbestigador na partikular na kinuha para sa kaso.
* **Pagiging Kumpidensyal:** Ang pagpapanatili ng pagiging kompidensiyal sa panahon ng pagsisiyasat ay napakahalaga upang maprotektahan ang mga karapatan ng mga sangkot at hikayatin ang mga saksi na magbigay ng impormasyon.
* **Mga Legal na Pagsasaalang-alang:** Ang pagkonsulta sa legal na tagapayo sa buong proseso ng pagsisiyasat ay mahalaga upang matiyak ang pagsunod sa mga nauugnay na batas at regulasyon, at upang maprotektahan ang mga legal na pribilehiyo ng kumpanya.
**Ang mga panloob na pagsisiyasat ay hindi isang kapalit para sa paglahok ng pagpapatupad ng batas sa mga seryosong kaso ng katiwalian.** Gayunpaman, ang mga ito ay isang mahalagang tool para sa mga negosyo upang tugunan ang mga paratang ng katiwalian sa loob, isulong ang pananagutan, at mabawasan ang potensyal na pinsalang legal at reputasyon.</v>
      </c>
      <c r="F1111" s="2">
        <f t="shared" si="1"/>
        <v>0</v>
      </c>
      <c r="G1111" s="2"/>
      <c r="H1111" s="2"/>
      <c r="I1111" s="2"/>
      <c r="J1111" s="2"/>
      <c r="K1111" s="2"/>
      <c r="L1111" s="2"/>
      <c r="M1111" s="2"/>
      <c r="N1111" s="2"/>
      <c r="O1111" s="2"/>
      <c r="P1111" s="2"/>
      <c r="Q1111" s="2"/>
      <c r="R1111" s="2"/>
      <c r="S1111" s="2"/>
      <c r="T1111" s="2"/>
      <c r="U1111" s="2"/>
      <c r="V1111" s="2"/>
      <c r="W1111" s="2"/>
      <c r="X1111" s="2"/>
      <c r="Y1111" s="2"/>
      <c r="Z1111" s="2"/>
      <c r="AA1111" s="2"/>
    </row>
    <row r="1112">
      <c r="A1112" s="1" t="s">
        <v>3356</v>
      </c>
      <c r="B1112" s="1" t="s">
        <v>3389</v>
      </c>
      <c r="C1112" s="1" t="s">
        <v>3390</v>
      </c>
      <c r="D1112" s="2" t="str">
        <f>IFERROR(__xludf.DUMMYFUNCTION("GOOGLETRANSLATE(B1112, ""en"", ""TL"")"),"Paano ko matitiyak na ang aking mga kasosyo sa negosyo at mga vendor ay hindi nakikibahagi sa mga tiwaling aktibidad?")</f>
        <v>Paano ko matitiyak na ang aking mga kasosyo sa negosyo at mga vendor ay hindi nakikibahagi sa mga tiwaling aktibidad?</v>
      </c>
      <c r="E1112" s="2" t="str">
        <f>IFERROR(__xludf.DUMMYFUNCTION("GOOGLETRANSLATE(C1112, ""en"", ""TL"")"),"Ang pagliit sa panganib ng katiwalian sa mga kasosyo sa negosyo at mga vendor ay nangangailangan ng isang maagap na diskarte. Narito ang ilang mga diskarte na maaari mong ipatupad:
**Due Diligence:**
* **Mga Pagsusuri sa Background:** Magsagawa ng masusin"&amp;"g pagsusuri sa background sa mga potensyal na kasosyo sa negosyo at vendor. Maaaring kabilang dito ang pagsasaliksik sa kanilang kasaysayan ng pagsunod sa mga batas laban sa katiwalian, pagsuri sa mga nakaraang paratang ng maling pag-uugali, at pag-verify"&amp;" ng mga istruktura ng pagmamay-ari. * **Pagsusuri sa Pinansyal:** Suriin ang mga rekord ng pananalapi upang matukoy ang anumang mga red flag tulad ng mga hindi maipaliwanag na daloy ng pera, hindi pangkaraniwang mga transaksyon, o mga pagkakaiba na maaari"&amp;"ng magpahiwatig ng money laundering o panunuhol.
* **Pagsusuri ng Kontrata:** Masusing suriin ang mga kontrata upang matiyak ang malinaw na pananalita, kawalan ng mga sugnay na labis na pumapabor sa isang partido, at pagsunod sa mga pinakamahusay na kagaw"&amp;"ian laban sa katiwalian.
**Pagbuo ng Tiwala at Transparency:**
* **Code of Conduct:** Magtatag ng malinaw at mahusay na komunikasyon na code of conduct na nagbabalangkas sa pangako ng iyong kumpanya sa mga etikal na kasanayan sa negosyo at mga inaasahan t"&amp;"ungkol sa pagsunod laban sa katiwalian mula sa mga kasosyo at vendor.
* **Patakaran sa Anti-Corruption ng Third-Party:** Magpatupad ng patakarang nangangailangan ng mga potensyal na kasosyo at vendor na ipakita ang kanilang sariling mga hakbang sa pagsuno"&amp;"d laban sa katiwalian bago pumasok sa mga kasunduan sa negosyo.
* **Open Communication:** Panatilihin ang bukas na mga channel ng komunikasyon sa iyong mga kasosyo at vendor. Hikayatin silang magpahayag ng anumang mga alalahanin tungkol sa mga potensyal n"&amp;"a tiwaling gawi na maaari nilang maranasan sa panahon ng relasyon sa negosyo.
**Mga Pulang Watawat at Pamamahala sa Panganib:**
* **Kilalanin ang Mga Palatandaan ng Babala:** Sanayin ang iyong mga empleyado na kilalanin ang mga pulang bandila na maaaring "&amp;"magpahiwatig ng katiwalian, tulad ng mga kahilingan para sa mga pagbabayad sa pagpapadali, labis na mga regalo o mabuting pakikitungo, o pag-aatubili na magbigay ng malinaw na dokumentasyon.
* **Pagtatasa ng Panganib:** Magsagawa ng pagtatasa ng panganib "&amp;"upang matukoy ang mga bahagi ng iyong mga negosyong pakikitungo na pinaka-madaling kapitan sa katiwalian. Ituon ang iyong angkop na pagsusumikap at pagsubaybay sa mga lugar na ito na may mataas na peligro.
* **Mekanismo ng Whistleblowing:** Magtatag ng me"&amp;"kanismo ng whistleblowing na nagbibigay-daan sa mga empleyado, kasosyo, o vendor na mag-ulat ng pinaghihinalaang katiwalian nang kumpidensyal at walang takot sa paghihiganti.
**Pagmamanman ng Third-Party:**
* **Mga Pana-panahong Pag-audit:** Isaalang-alan"&amp;"g ang pagsasagawa ng mga pana-panahong pag-audit ng iyong mga kasosyo at vendor, lalo na para sa mga transaksyong may mataas na peligro. Maaaring kabilang dito ang mga pagbisita sa site o mga independiyenteng pagsusuri ng kanilang mga rekord sa pananalapi"&amp;" at mga pamamaraan sa pagsunod.
* **Mga Serbisyo sa Pagmamanman ng Third-Party:** Nag-aalok ang mga dalubhasang kumpanya ng mga serbisyo sa pagsubaybay ng third-party upang masuri ang mga panganib na laban sa katiwalian ng mga potensyal na kasosyo sa nego"&amp;"syo at mga vendor.
**Mga Karagdagang Pagsasaalang-alang:**
* **Mga Lokal na Regulasyon:** Magkaroon ng kamalayan sa mga batas at regulasyon laban sa katiwalian sa mga bansa kung saan nagpapatakbo ang iyong mga kasosyo sa negosyo at mga vendor. Iangkop ang"&amp;" iyong angkop na pagsisikap at mga hakbang sa pagsunod nang naaayon.
* **Mga Pamantayan sa Industriya:** Ang ilang partikular na industriya ay maaaring nakapagtatag ng pinakamahuhusay na kagawian para sa pagsusuri ng mga kasosyo at pagpigil sa katiwalian."&amp;" Maging pamilyar sa mga pamantayang ito at isaalang-alang ang pagsasama ng mga ito sa sarili mong proseso.
**Tandaan:**
* Ang pagpapatupad ng mga hakbang na ito ay hindi ginagarantiyahan ang kumpletong proteksyon mula sa katiwalian, ngunit makabuluhang bi"&amp;"nabawasan nito ang panganib at ipinapakita ang iyong pangako sa mga etikal na kasanayan sa negosyo. * Ang paghingi ng propesyonal na payo mula sa mga abugado na dalubhasa sa pagsunod sa laban sa katiwalian ay maaaring higit pang palakasin ang iyong diskar"&amp;"te at magbigay ng gabay sa pag-navigate sa mga kumplikadong legal at regulatory frameworks.
Sa pamamagitan ng pagbibigay-priyoridad sa nararapat na pagsusumikap, pagbuo ng tiwala, at pagtatatag ng matatag na mga diskarte sa pamamahala ng peligro, maaari k"&amp;"ang lumikha ng isang mas secure at etikal na kapaligiran ng negosyo para sa iyong kumpanya at mga kasosyo nito.")</f>
        <v>Ang pagliit sa panganib ng katiwalian sa mga kasosyo sa negosyo at mga vendor ay nangangailangan ng isang maagap na diskarte. Narito ang ilang mga diskarte na maaari mong ipatupad:
**Due Diligence:**
* **Mga Pagsusuri sa Background:** Magsagawa ng masusing pagsusuri sa background sa mga potensyal na kasosyo sa negosyo at vendor. Maaaring kabilang dito ang pagsasaliksik sa kanilang kasaysayan ng pagsunod sa mga batas laban sa katiwalian, pagsuri sa mga nakaraang paratang ng maling pag-uugali, at pag-verify ng mga istruktura ng pagmamay-ari. * **Pagsusuri sa Pinansyal:** Suriin ang mga rekord ng pananalapi upang matukoy ang anumang mga red flag tulad ng mga hindi maipaliwanag na daloy ng pera, hindi pangkaraniwang mga transaksyon, o mga pagkakaiba na maaaring magpahiwatig ng money laundering o panunuhol.
* **Pagsusuri ng Kontrata:** Masusing suriin ang mga kontrata upang matiyak ang malinaw na pananalita, kawalan ng mga sugnay na labis na pumapabor sa isang partido, at pagsunod sa mga pinakamahusay na kagawian laban sa katiwalian.
**Pagbuo ng Tiwala at Transparency:**
* **Code of Conduct:** Magtatag ng malinaw at mahusay na komunikasyon na code of conduct na nagbabalangkas sa pangako ng iyong kumpanya sa mga etikal na kasanayan sa negosyo at mga inaasahan tungkol sa pagsunod laban sa katiwalian mula sa mga kasosyo at vendor.
* **Patakaran sa Anti-Corruption ng Third-Party:** Magpatupad ng patakarang nangangailangan ng mga potensyal na kasosyo at vendor na ipakita ang kanilang sariling mga hakbang sa pagsunod laban sa katiwalian bago pumasok sa mga kasunduan sa negosyo.
* **Open Communication:** Panatilihin ang bukas na mga channel ng komunikasyon sa iyong mga kasosyo at vendor. Hikayatin silang magpahayag ng anumang mga alalahanin tungkol sa mga potensyal na tiwaling gawi na maaari nilang maranasan sa panahon ng relasyon sa negosyo.
**Mga Pulang Watawat at Pamamahala sa Panganib:**
* **Kilalanin ang Mga Palatandaan ng Babala:** Sanayin ang iyong mga empleyado na kilalanin ang mga pulang bandila na maaaring magpahiwatig ng katiwalian, tulad ng mga kahilingan para sa mga pagbabayad sa pagpapadali, labis na mga regalo o mabuting pakikitungo, o pag-aatubili na magbigay ng malinaw na dokumentasyon.
* **Pagtatasa ng Panganib:** Magsagawa ng pagtatasa ng panganib upang matukoy ang mga bahagi ng iyong mga negosyong pakikitungo na pinaka-madaling kapitan sa katiwalian. Ituon ang iyong angkop na pagsusumikap at pagsubaybay sa mga lugar na ito na may mataas na peligro.
* **Mekanismo ng Whistleblowing:** Magtatag ng mekanismo ng whistleblowing na nagbibigay-daan sa mga empleyado, kasosyo, o vendor na mag-ulat ng pinaghihinalaang katiwalian nang kumpidensyal at walang takot sa paghihiganti.
**Pagmamanman ng Third-Party:**
* **Mga Pana-panahong Pag-audit:** Isaalang-alang ang pagsasagawa ng mga pana-panahong pag-audit ng iyong mga kasosyo at vendor, lalo na para sa mga transaksyong may mataas na peligro. Maaaring kabilang dito ang mga pagbisita sa site o mga independiyenteng pagsusuri ng kanilang mga rekord sa pananalapi at mga pamamaraan sa pagsunod.
* **Mga Serbisyo sa Pagmamanman ng Third-Party:** Nag-aalok ang mga dalubhasang kumpanya ng mga serbisyo sa pagsubaybay ng third-party upang masuri ang mga panganib na laban sa katiwalian ng mga potensyal na kasosyo sa negosyo at mga vendor.
**Mga Karagdagang Pagsasaalang-alang:**
* **Mga Lokal na Regulasyon:** Magkaroon ng kamalayan sa mga batas at regulasyon laban sa katiwalian sa mga bansa kung saan nagpapatakbo ang iyong mga kasosyo sa negosyo at mga vendor. Iangkop ang iyong angkop na pagsisikap at mga hakbang sa pagsunod nang naaayon.
* **Mga Pamantayan sa Industriya:** Ang ilang partikular na industriya ay maaaring nakapagtatag ng pinakamahuhusay na kagawian para sa pagsusuri ng mga kasosyo at pagpigil sa katiwalian. Maging pamilyar sa mga pamantayang ito at isaalang-alang ang pagsasama ng mga ito sa sarili mong proseso.
**Tandaan:**
* Ang pagpapatupad ng mga hakbang na ito ay hindi ginagarantiyahan ang kumpletong proteksyon mula sa katiwalian, ngunit makabuluhang binabawasan nito ang panganib at ipinapakita ang iyong pangako sa mga etikal na kasanayan sa negosyo. * Ang paghingi ng propesyonal na payo mula sa mga abugado na dalubhasa sa pagsunod sa laban sa katiwalian ay maaaring higit pang palakasin ang iyong diskarte at magbigay ng gabay sa pag-navigate sa mga kumplikadong legal at regulatory frameworks.
Sa pamamagitan ng pagbibigay-priyoridad sa nararapat na pagsusumikap, pagbuo ng tiwala, at pagtatatag ng matatag na mga diskarte sa pamamahala ng peligro, maaari kang lumikha ng isang mas secure at etikal na kapaligiran ng negosyo para sa iyong kumpanya at mga kasosyo nito.</v>
      </c>
      <c r="F1112" s="2">
        <f t="shared" si="1"/>
        <v>0</v>
      </c>
      <c r="G1112" s="2"/>
      <c r="H1112" s="2"/>
      <c r="I1112" s="2"/>
      <c r="J1112" s="2"/>
      <c r="K1112" s="2"/>
      <c r="L1112" s="2"/>
      <c r="M1112" s="2"/>
      <c r="N1112" s="2"/>
      <c r="O1112" s="2"/>
      <c r="P1112" s="2"/>
      <c r="Q1112" s="2"/>
      <c r="R1112" s="2"/>
      <c r="S1112" s="2"/>
      <c r="T1112" s="2"/>
      <c r="U1112" s="2"/>
      <c r="V1112" s="2"/>
      <c r="W1112" s="2"/>
      <c r="X1112" s="2"/>
      <c r="Y1112" s="2"/>
      <c r="Z1112" s="2"/>
      <c r="AA1112" s="2"/>
    </row>
    <row r="1113">
      <c r="A1113" s="1" t="s">
        <v>3356</v>
      </c>
      <c r="B1113" s="1" t="s">
        <v>3391</v>
      </c>
      <c r="C1113" s="1" t="s">
        <v>3392</v>
      </c>
      <c r="D1113" s="2" t="str">
        <f>IFERROR(__xludf.DUMMYFUNCTION("GOOGLETRANSLATE(B1113, ""en"", ""TL"")"),"Ano ang mga potensyal na pananagutang sibil para sa mga negosyong napatunayang nagkasala ng katiwalian?")</f>
        <v>Ano ang mga potensyal na pananagutang sibil para sa mga negosyong napatunayang nagkasala ng katiwalian?</v>
      </c>
      <c r="E1113" s="2" t="str">
        <f>IFERROR(__xludf.DUMMYFUNCTION("GOOGLETRANSLATE(C1113, ""en"", ""TL"")"),"Sa Pilipinas, ang mga negosyong napatunayang nagkasala ng katiwalian ay maaaring humarap sa iba't ibang pananagutan sibil, depende sa partikular na katangian ng mga katiwalian at mga partidong sangkot. Narito ang isang breakdown ng mga pangunahing posibil"&amp;"idad:
**Mga Parusa sa Pananalapi:**
* **Mga multa:** Ang mga ahensya ng gobyerno, tulad ng Securities and Exchange Commission (SEC) o Department of Justice (DOJ), ay maaaring magpataw ng malalaking multa sa mga kumpanyang napatunayang nagkasala ng mga pag"&amp;"labag sa katiwalian. Ang halaga ng multa ay depende sa kalubhaan ng pagkakasala at sa mga kaugnay na batas na nilabag.
* **Disgorgement of Ill-gotten Gains:** Maaaring utusan ng mga korte ang mga kumpanya na alisin ang anumang mga kita o benepisyong nakuh"&amp;"a sa pamamagitan ng mga tiwaling gawi. Ito ay naglalayong alisin ang pinansiyal na insentibo para sa katiwalian at ibalik ang ill-gotten gains sa nararapat na partido.
* **Pagwawakas ng Kontrata:** Kung matuklasan ang katiwalian sa yugto ng bidding o pagg"&amp;"awad ng isang kontrata ng gobyerno, maaaring ideklarang walang bisa ang kontrata. Maaari itong humantong sa pagkawala ng kumpanya sa mga potensyal na benepisyo ng kontrata at pagharap sa mga potensyal na legal na hamon mula sa ahensya ng gobyerno.
* **Mga"&amp;" Pinsala:** Sa ilang mga kaso, ang mga demanda na isinampa ng mga shareholder, stakeholder, o kahit na mga kakumpitensya na nakaranas ng mga pagkalugi dahil sa katiwalian ng kumpanya ay maaaring magresulta sa mga pinsalang iniutos ng hukuman na iginawad s"&amp;"a mga nagsasakdal.
**Pinsala sa Reputasyon:**
* **Pampublikong Pagsusuri:** Ang mga iskandalo sa katiwalian ay maaaring humantong sa makabuluhang negatibong publisidad, na nakakasira sa reputasyon at brand image ng kumpanya. Maaari itong makaapekto sa tiw"&amp;"ala ng customer, kumpiyansa ng mamumuhunan, at mga pagkakataon sa negosyo sa hinaharap.
* **Pagkawala ng Negosyo:** Ang isang nasirang reputasyon dahil sa katiwalian ay maaaring humantong sa pagbaba sa mga benta at bahagi ng merkado. Maaaring piliin ng mg"&amp;"a customer na makipagnegosyo sa mga kakumpitensya na may mas mahusay na etikal na reputasyon.
**Iba pang Potensyal na Bunga:**
* **Debarment:** Ang mga kumpanyang sangkot sa mga iskandalo sa katiwalian ay maaaring ma-debar sa paglahok sa hinaharap na mga "&amp;"bid o tender ng gobyerno para sa isang partikular na panahon. Ito ay maaaring makabuluhang hadlangan ang kakayahan ng kumpanya na i-secure ang hinaharap na negosyo.
* **Pagkawala ng Mga Lisensya:** Sa malalang kaso, maaaring bawiin o suspindihin ng mga re"&amp;"gulatory body ang mga lisensya sa pagpapatakbo ng kumpanya, na posibleng pilitin itong huminto sa mga operasyon.
**Mga Salik sa Pagbabawas:**
* **Pag-uulat sa Sarili at Pakikipagtulungan:** Ang mga kumpanyang boluntaryong nagbubunyag ng katiwalian at naki"&amp;"kipagtulungan sa mga awtoridad sa panahon ng mga pagsisiyasat ay maaaring makatanggap ng mas maluwag na pagtrato kumpara sa mga nahuling nagtatago ng maling gawain.
* **Mga Programa sa Pagsunod:** Ang pagkakaroon ng matatag na programa sa pagsunod laban s"&amp;"a katiwalian na may malinaw na mga patakaran, pagsasanay para sa mga empleyado, at mekanismo ng whistleblowing ay maaaring magpakita ng pangako sa mga etikal na kasanayan sa negosyo at posibleng humantong sa mga pinababang parusa.
**Kahalagahan ng Legal n"&amp;"a Payo:**
Ang mga partikular na pananagutang sibil na kinakaharap ng isang negosyo sa isang kaso ng katiwalian ay depende sa mga partikular na pangyayari. Ang pagkonsulta sa isang abogado na dalubhasa sa batas ng negosyo at mga usapin laban sa katiwalian "&amp;"ay maaaring magbigay ng mas tumpak na pagtatasa ng mga potensyal na kahihinatnan at maaaring magabayan ang kumpanya sa legal na proseso.")</f>
        <v>Sa Pilipinas, ang mga negosyong napatunayang nagkasala ng katiwalian ay maaaring humarap sa iba't ibang pananagutan sibil, depende sa partikular na katangian ng mga katiwalian at mga partidong sangkot. Narito ang isang breakdown ng mga pangunahing posibilidad:
**Mga Parusa sa Pananalapi:**
* **Mga multa:** Ang mga ahensya ng gobyerno, tulad ng Securities and Exchange Commission (SEC) o Department of Justice (DOJ), ay maaaring magpataw ng malalaking multa sa mga kumpanyang napatunayang nagkasala ng mga paglabag sa katiwalian. Ang halaga ng multa ay depende sa kalubhaan ng pagkakasala at sa mga kaugnay na batas na nilabag.
* **Disgorgement of Ill-gotten Gains:** Maaaring utusan ng mga korte ang mga kumpanya na alisin ang anumang mga kita o benepisyong nakuha sa pamamagitan ng mga tiwaling gawi. Ito ay naglalayong alisin ang pinansiyal na insentibo para sa katiwalian at ibalik ang ill-gotten gains sa nararapat na partido.
* **Pagwawakas ng Kontrata:** Kung matuklasan ang katiwalian sa yugto ng bidding o paggawad ng isang kontrata ng gobyerno, maaaring ideklarang walang bisa ang kontrata. Maaari itong humantong sa pagkawala ng kumpanya sa mga potensyal na benepisyo ng kontrata at pagharap sa mga potensyal na legal na hamon mula sa ahensya ng gobyerno.
* **Mga Pinsala:** Sa ilang mga kaso, ang mga demanda na isinampa ng mga shareholder, stakeholder, o kahit na mga kakumpitensya na nakaranas ng mga pagkalugi dahil sa katiwalian ng kumpanya ay maaaring magresulta sa mga pinsalang iniutos ng hukuman na iginawad sa mga nagsasakdal.
**Pinsala sa Reputasyon:**
* **Pampublikong Pagsusuri:** Ang mga iskandalo sa katiwalian ay maaaring humantong sa makabuluhang negatibong publisidad, na nakakasira sa reputasyon at brand image ng kumpanya. Maaari itong makaapekto sa tiwala ng customer, kumpiyansa ng mamumuhunan, at mga pagkakataon sa negosyo sa hinaharap.
* **Pagkawala ng Negosyo:** Ang isang nasirang reputasyon dahil sa katiwalian ay maaaring humantong sa pagbaba sa mga benta at bahagi ng merkado. Maaaring piliin ng mga customer na makipagnegosyo sa mga kakumpitensya na may mas mahusay na etikal na reputasyon.
**Iba pang Potensyal na Bunga:**
* **Debarment:** Ang mga kumpanyang sangkot sa mga iskandalo sa katiwalian ay maaaring ma-debar sa paglahok sa hinaharap na mga bid o tender ng gobyerno para sa isang partikular na panahon. Ito ay maaaring makabuluhang hadlangan ang kakayahan ng kumpanya na i-secure ang hinaharap na negosyo.
* **Pagkawala ng Mga Lisensya:** Sa malalang kaso, maaaring bawiin o suspindihin ng mga regulatory body ang mga lisensya sa pagpapatakbo ng kumpanya, na posibleng pilitin itong huminto sa mga operasyon.
**Mga Salik sa Pagbabawas:**
* **Pag-uulat sa Sarili at Pakikipagtulungan:** Ang mga kumpanyang boluntaryong nagbubunyag ng katiwalian at nakikipagtulungan sa mga awtoridad sa panahon ng mga pagsisiyasat ay maaaring makatanggap ng mas maluwag na pagtrato kumpara sa mga nahuling nagtatago ng maling gawain.
* **Mga Programa sa Pagsunod:** Ang pagkakaroon ng matatag na programa sa pagsunod laban sa katiwalian na may malinaw na mga patakaran, pagsasanay para sa mga empleyado, at mekanismo ng whistleblowing ay maaaring magpakita ng pangako sa mga etikal na kasanayan sa negosyo at posibleng humantong sa mga pinababang parusa.
**Kahalagahan ng Legal na Payo:**
Ang mga partikular na pananagutang sibil na kinakaharap ng isang negosyo sa isang kaso ng katiwalian ay depende sa mga partikular na pangyayari. Ang pagkonsulta sa isang abogado na dalubhasa sa batas ng negosyo at mga usapin laban sa katiwalian ay maaaring magbigay ng mas tumpak na pagtatasa ng mga potensyal na kahihinatnan at maaaring magabayan ang kumpanya sa legal na proseso.</v>
      </c>
      <c r="F1113" s="2">
        <f t="shared" si="1"/>
        <v>0</v>
      </c>
      <c r="G1113" s="2"/>
      <c r="H1113" s="2"/>
      <c r="I1113" s="2"/>
      <c r="J1113" s="2"/>
      <c r="K1113" s="2"/>
      <c r="L1113" s="2"/>
      <c r="M1113" s="2"/>
      <c r="N1113" s="2"/>
      <c r="O1113" s="2"/>
      <c r="P1113" s="2"/>
      <c r="Q1113" s="2"/>
      <c r="R1113" s="2"/>
      <c r="S1113" s="2"/>
      <c r="T1113" s="2"/>
      <c r="U1113" s="2"/>
      <c r="V1113" s="2"/>
      <c r="W1113" s="2"/>
      <c r="X1113" s="2"/>
      <c r="Y1113" s="2"/>
      <c r="Z1113" s="2"/>
      <c r="AA1113" s="2"/>
    </row>
    <row r="1114">
      <c r="A1114" s="1" t="s">
        <v>3356</v>
      </c>
      <c r="B1114" s="1" t="s">
        <v>3393</v>
      </c>
      <c r="C1114" s="1" t="s">
        <v>3394</v>
      </c>
      <c r="D1114" s="2" t="str">
        <f>IFERROR(__xludf.DUMMYFUNCTION("GOOGLETRANSLATE(B1114, ""en"", ""TL"")"),"Maaari mo bang ipaliwanag ang proseso ng pagbawi ng mga pinsalang dulot ng katiwalian sa loob ng isang negosyo?")</f>
        <v>Maaari mo bang ipaliwanag ang proseso ng pagbawi ng mga pinsalang dulot ng katiwalian sa loob ng isang negosyo?</v>
      </c>
      <c r="E1114" s="2" t="str">
        <f>IFERROR(__xludf.DUMMYFUNCTION("GOOGLETRANSLATE(C1114, ""en"", ""TL"")"),"Ang pagbawi sa mga pinsalang dulot ng katiwalian sa loob ng isang negosyo sa Pilipinas ay maaaring isang mahirap na proseso, ngunit may ilang mga potensyal na paraan:
**1. Legal na Aksyon:**
* **Mga Paghahabla ng Shareholder:** Maaaring magsampa ng mga ka"&amp;"so ang mga shareholder na maaaring magpakita na ang pamamahala ng kumpanya ay nasangkot sa mga katiwaliang gawain na nagdulot sa kanila ng mga pagkalugi sa pananalapi ay maaaring makapagsampa ng mga kaso sa ilalim ng Philippine Securities Regulation Code."&amp;" Ito ay maaaring may mga paghahabol para sa paglabag sa tungkulin ng katiwala o kapabayaan na pamamahala. * **Civil Lawsuits:** Ang mga stakeholder na nakaranas ng pinsala dahil sa katiwalian ng kumpanya (hal., mga empleyadong natanggal sa trabaho dahil s"&amp;"a mga corrupt na gawi) ay maaaring magsampa ng mga sibil na kaso para mabawi ang mga pinsala. Ang mga tiyak na batayan para sa demanda ay depende sa uri ng pinsalang dinanas.
* **Securities and Exchange Commission (SEC):** Maaaring magsampa ng reklamo ang"&amp;" mga shareholder sa SEC kung naniniwala sila na ang pamamahala ay nagsasagawa ng mga tiwaling gawi na lumalabag sa mga batas ng securities. Maaaring mag-imbestiga ang SEC at posibleng magsagawa ng aksyong pagpapatupad laban sa kumpanya.
**Mga Hamon ng Lit"&amp;"igation:**
* **Burden of Proof:** Ang burden of proof ay nakasalalay sa nagsasakdal (shareholder o stakeholder) upang ipakita ang katiwalian ng kumpanya, ang link sa kanilang mga pinsala, at ang lawak ng mga pinsalang iyon. Ito ay maaaring maging mahirap."&amp;"
* **Oras at Gastos:** Ang mga legal na paglilitis ay maaaring mahaba at magastos, na nangangailangan ng makabuluhang mapagkukunan.
* **Corporate Veil:** Sa ilang pagkakataon, maaaring kailanganin ang pagbutas sa corporate veil upang personal na managot a"&amp;"ng mga indibidwal na shareholder o manager para sa mga pinsala. Gayunpaman, ito rin ay isang kumplikadong legal na proseso.
**2. Alternatibong Dispute Resolution (ADR):**
* **Mediation o Arbitration:** Sa ilang mga kaso, ang pamamagitan o arbitration ay m"&amp;"aaaring isang alternatibo sa paglilitis. Ang mga opsyong ito ay maaaring maging mas mabilis at mas mura, na nag-aalok ng pagkakataong makipagkasundo sa kumpanya sa labas ng korte.
**Mga Salik na Nakakaapekto sa Tagumpay:**
* **Lakas ng Ebidensya:** Ang ta"&amp;"gumpay ng anumang legal na aksyon o proseso ng ADR ay lubos na nakadepende sa lakas ng ebidensya na nagpapakita ng katiwalian at ang koneksyon nito sa mga inaangkin na pinsala. * **Kadalubhasaan:** Ang pagkonsulta sa mga abogado na dalubhasa sa batas ng k"&amp;"orporasyon at mga usapin laban sa katiwalian ay maaaring makabuluhang mapabuti ang mga pagkakataon ng isang matagumpay na resulta.
**3. Tungkulin ng Whistleblower:**
* **Pag-uulat ng Korapsyon:** Ang Pilipinas ay mayroong Whistleblowers' Protection Act na"&amp;" nagpoprotekta sa mga empleyado at iba pang nag-uulat ng katiwalian nang may mabuting hangarin. Ang mga whistleblower na naglalantad ng katiwalian ay maaaring gumanap ng mahalagang papel sa pagpapanagot sa mga kumpanya at pagpapadali sa pagbawi ng mga pin"&amp;"sala.
**4. Mga Ahensya ng Pamahalaan:**
* **Pagpapatupad ng Batas:** Depende sa uri ng katiwalian, ang pag-uulat ng insidente sa mga ahensyang nagpapatupad ng batas tulad ng National Bureau of Investigation (NBI) ay maaaring humantong sa isang kriminal na"&amp;" pagsisiyasat at potensyal na disgorgement ng ill-gotten gains ng kumpanya.
**Mga Hamon at Pagsasaalang-alang:**
* **Pagiging kumplikado:** Ang proseso ng pagbawi ng mga pinsala ay maaaring maging kumplikado at nangangailangan ng maingat na pagsusuri ng m"&amp;"ga partikular na pangyayari. Ang legal na payo ay lubos na inirerekomenda.
* **Time Frame:** Depende sa napiling landas (litigation vs. ADR), ang pagbawi ng mga pinsala ay maaaring tumagal ng mahabang panahon.
**Tandaan:**
* Ang pagbawi ng mga pinsala mul"&amp;"a sa katiwalian ay hindi garantisado, ngunit iba't ibang legal at alternatibong estratehiya ang maaaring isagawa.
* Ang pangangalap ng ebidensya at paghahanap ng legal na kadalubhasaan ay mahalaga para sa isang matagumpay na resulta.
* Ang mga whistleblow"&amp;"er ay may mahalagang papel sa paglalantad ng katiwalian at pagpapadali sa pagbawi ng mga pinsala.
Sa pamamagitan ng pag-unawa sa mga paraan na ito at sa mga kaugnay na hamon, ang mga indibidwal at stakeholder ay makakagawa ng matalinong mga desisyon tungk"&amp;"ol sa pagpupursige sa pagbawi sa mga kaso ng katiwalian sa loob ng isang negosyo.")</f>
        <v>Ang pagbawi sa mga pinsalang dulot ng katiwalian sa loob ng isang negosyo sa Pilipinas ay maaaring isang mahirap na proseso, ngunit may ilang mga potensyal na paraan:
**1. Legal na Aksyon:**
* **Mga Paghahabla ng Shareholder:** Maaaring magsampa ng mga kaso ang mga shareholder na maaaring magpakita na ang pamamahala ng kumpanya ay nasangkot sa mga katiwaliang gawain na nagdulot sa kanila ng mga pagkalugi sa pananalapi ay maaaring makapagsampa ng mga kaso sa ilalim ng Philippine Securities Regulation Code. Ito ay maaaring may mga paghahabol para sa paglabag sa tungkulin ng katiwala o kapabayaan na pamamahala. * **Civil Lawsuits:** Ang mga stakeholder na nakaranas ng pinsala dahil sa katiwalian ng kumpanya (hal., mga empleyadong natanggal sa trabaho dahil sa mga corrupt na gawi) ay maaaring magsampa ng mga sibil na kaso para mabawi ang mga pinsala. Ang mga tiyak na batayan para sa demanda ay depende sa uri ng pinsalang dinanas.
* **Securities and Exchange Commission (SEC):** Maaaring magsampa ng reklamo ang mga shareholder sa SEC kung naniniwala sila na ang pamamahala ay nagsasagawa ng mga tiwaling gawi na lumalabag sa mga batas ng securities. Maaaring mag-imbestiga ang SEC at posibleng magsagawa ng aksyong pagpapatupad laban sa kumpanya.
**Mga Hamon ng Litigation:**
* **Burden of Proof:** Ang burden of proof ay nakasalalay sa nagsasakdal (shareholder o stakeholder) upang ipakita ang katiwalian ng kumpanya, ang link sa kanilang mga pinsala, at ang lawak ng mga pinsalang iyon. Ito ay maaaring maging mahirap.
* **Oras at Gastos:** Ang mga legal na paglilitis ay maaaring mahaba at magastos, na nangangailangan ng makabuluhang mapagkukunan.
* **Corporate Veil:** Sa ilang pagkakataon, maaaring kailanganin ang pagbutas sa corporate veil upang personal na managot ang mga indibidwal na shareholder o manager para sa mga pinsala. Gayunpaman, ito rin ay isang kumplikadong legal na proseso.
**2. Alternatibong Dispute Resolution (ADR):**
* **Mediation o Arbitration:** Sa ilang mga kaso, ang pamamagitan o arbitration ay maaaring isang alternatibo sa paglilitis. Ang mga opsyong ito ay maaaring maging mas mabilis at mas mura, na nag-aalok ng pagkakataong makipagkasundo sa kumpanya sa labas ng korte.
**Mga Salik na Nakakaapekto sa Tagumpay:**
* **Lakas ng Ebidensya:** Ang tagumpay ng anumang legal na aksyon o proseso ng ADR ay lubos na nakadepende sa lakas ng ebidensya na nagpapakita ng katiwalian at ang koneksyon nito sa mga inaangkin na pinsala. * **Kadalubhasaan:** Ang pagkonsulta sa mga abogado na dalubhasa sa batas ng korporasyon at mga usapin laban sa katiwalian ay maaaring makabuluhang mapabuti ang mga pagkakataon ng isang matagumpay na resulta.
**3. Tungkulin ng Whistleblower:**
* **Pag-uulat ng Korapsyon:** Ang Pilipinas ay mayroong Whistleblowers' Protection Act na nagpoprotekta sa mga empleyado at iba pang nag-uulat ng katiwalian nang may mabuting hangarin. Ang mga whistleblower na naglalantad ng katiwalian ay maaaring gumanap ng mahalagang papel sa pagpapanagot sa mga kumpanya at pagpapadali sa pagbawi ng mga pinsala.
**4. Mga Ahensya ng Pamahalaan:**
* **Pagpapatupad ng Batas:** Depende sa uri ng katiwalian, ang pag-uulat ng insidente sa mga ahensyang nagpapatupad ng batas tulad ng National Bureau of Investigation (NBI) ay maaaring humantong sa isang kriminal na pagsisiyasat at potensyal na disgorgement ng ill-gotten gains ng kumpanya.
**Mga Hamon at Pagsasaalang-alang:**
* **Pagiging kumplikado:** Ang proseso ng pagbawi ng mga pinsala ay maaaring maging kumplikado at nangangailangan ng maingat na pagsusuri ng mga partikular na pangyayari. Ang legal na payo ay lubos na inirerekomenda.
* **Time Frame:** Depende sa napiling landas (litigation vs. ADR), ang pagbawi ng mga pinsala ay maaaring tumagal ng mahabang panahon.
**Tandaan:**
* Ang pagbawi ng mga pinsala mula sa katiwalian ay hindi garantisado, ngunit iba't ibang legal at alternatibong estratehiya ang maaaring isagawa.
* Ang pangangalap ng ebidensya at paghahanap ng legal na kadalubhasaan ay mahalaga para sa isang matagumpay na resulta.
* Ang mga whistleblower ay may mahalagang papel sa paglalantad ng katiwalian at pagpapadali sa pagbawi ng mga pinsala.
Sa pamamagitan ng pag-unawa sa mga paraan na ito at sa mga kaugnay na hamon, ang mga indibidwal at stakeholder ay makakagawa ng matalinong mga desisyon tungkol sa pagpupursige sa pagbawi sa mga kaso ng katiwalian sa loob ng isang negosyo.</v>
      </c>
      <c r="F1114" s="2">
        <f t="shared" si="1"/>
        <v>0</v>
      </c>
      <c r="G1114" s="2"/>
      <c r="H1114" s="2"/>
      <c r="I1114" s="2"/>
      <c r="J1114" s="2"/>
      <c r="K1114" s="2"/>
      <c r="L1114" s="2"/>
      <c r="M1114" s="2"/>
      <c r="N1114" s="2"/>
      <c r="O1114" s="2"/>
      <c r="P1114" s="2"/>
      <c r="Q1114" s="2"/>
      <c r="R1114" s="2"/>
      <c r="S1114" s="2"/>
      <c r="T1114" s="2"/>
      <c r="U1114" s="2"/>
      <c r="V1114" s="2"/>
      <c r="W1114" s="2"/>
      <c r="X1114" s="2"/>
      <c r="Y1114" s="2"/>
      <c r="Z1114" s="2"/>
      <c r="AA1114" s="2"/>
    </row>
    <row r="1115">
      <c r="A1115" s="1" t="s">
        <v>3356</v>
      </c>
      <c r="B1115" s="1" t="s">
        <v>3395</v>
      </c>
      <c r="C1115" s="1" t="s">
        <v>3396</v>
      </c>
      <c r="D1115" s="2" t="str">
        <f>IFERROR(__xludf.DUMMYFUNCTION("GOOGLETRANSLATE(B1115, ""en"", ""TL"")"),"Paano nakakaapekto ang katiwalian sa loob ng isang negosyo sa mga shareholder at stakeholder nito mula sa legal na pananaw?")</f>
        <v>Paano nakakaapekto ang katiwalian sa loob ng isang negosyo sa mga shareholder at stakeholder nito mula sa legal na pananaw?</v>
      </c>
      <c r="E1115" s="2" t="str">
        <f>IFERROR(__xludf.DUMMYFUNCTION("GOOGLETRANSLATE(C1115, ""en"", ""TL"")"),"Ang katiwalian sa loob ng isang negosyo ay maaaring magkaroon ng malaking negatibong kahihinatnan para sa parehong mga shareholder at stakeholder mula sa isang legal na pananaw sa Pilipinas. Narito ang isang breakdown ng mga potensyal na epekto:
**Mga Sha"&amp;"reholder:**
* **Mga Pagkalugi sa Pinansyal:** Ang katiwalian ay maaaring humantong sa mga pagkalugi sa pananalapi para sa mga shareholder sa maraming paraan. * Inilihis na mga mapagkukunan: Ang mga pondong inilaan para sa mga lehitimong aktibidad ng negos"&amp;"yo ay maaaring maling gamitin para sa mga panunuhol o iba pang mga tiwaling gawi.
* Mga multa sa regulasyon: Maaaring maharap ang kumpanya ng mabigat na multa at parusa mula sa mga ahensya ng gobyerno para sa mga paglabag sa katiwalian.
* Pagkawala ng mga"&amp;" pagkakataon sa negosyo: Ang nasirang reputasyon dahil sa katiwalian ay maaaring humantong sa mga nawalang kontrata at pagbaba ng kakayahang kumita.
* Mga Paghahabla: Maaaring magsampa ng mga kaso ang mga shareholder laban sa kumpanya para sa maling pamam"&amp;"ahala o paglabag sa tungkulin ng fiduciary kung ang katiwalian ay nauugnay sa mga desisyon na ginawa ng pamamahala.
* **Pagbawas ng Halaga ng Shareholder:** Ang mga pagkalugi sa pananalapi at pinsala sa reputasyon na nauugnay sa katiwalian ay maaaring hum"&amp;"antong sa pagbaba sa presyo ng pagbabahagi ng kumpanya, na nakakaapekto sa yaman ng shareholder.
* **Limitadong Impormasyon at Transparency:** Ang katiwalian ay madalas na umuunlad sa isang kapaligirang lihim. Maaaring nahihirapan ang mga shareholder na m"&amp;"akakuha ng tumpak na impormasyon tungkol sa kalusugan ng pananalapi at mga operasyon ng kumpanya dahil sa kakulangan ng transparency. **Mga stakeholder:**
* **Mga Empleyado:** Ang mga tiwaling gawi ay maaaring negatibong makaapekto sa mga empleyado sa iba"&amp;"'t ibang paraan.
* Hindi Makatarungang Mga Kasanayan sa Paggawa: Ang katiwalian ay maaaring humantong sa paboritismo sa pagkuha at pag-promote, na lumilikha ng isang hindi patas na kapaligiran sa trabaho.
* Mga Alalahanin sa Kaligtasan: Maaaring makomprom"&amp;"iso ang mga pamantayan sa kaligtasan, na naglalagay sa mga empleyado sa panganib.
* Kakulangan ng Seguridad sa Trabaho: Ang kawalang-tatag na nauugnay sa katiwalian ay maaaring humantong sa pagkawala ng trabaho o pagbaba ng pamumuhunan sa pagsasanay at pa"&amp;"g-unlad ng empleyado.
* **Mga Customer:** Maaaring makapinsala sa mga customer ang katiwalian.
* Mas Mataas na Presyo: Maaaring humantong ang katiwalian sa pagtaas ng presyo ng mga produkto at serbisyo bilang resulta ng mga suhol o hindi mahusay na paglal"&amp;"aan ng mapagkukunan.
* Mga Produkto/Serbisyo na Mababang Kalidad: Ang pagtuon sa mga panandaliang kita sa pamamagitan ng mga tiwaling gawi ay maaaring humantong sa pagbaba sa kalidad ng produkto o mga pamantayan ng serbisyo.
* Limitadong Pagpipilian: Maaa"&amp;"ring pigilan ng katiwalian ang kumpetisyon, na humahantong sa mas kaunting mga pagpipilian at potensyal na mas mababang kalidad ng mga produkto o serbisyo para sa mga customer.
* **Pampubliko:** Ang katiwalian sa loob ng mga negosyo ay sumisira sa tiwala "&amp;"ng publiko sa pribadong sektor at humahadlang sa pag-unlad ng ekonomiya. * Nawalang Kita sa Buwis: Ang katiwalian ay maaaring humantong sa pag-iwas sa buwis, na binabawasan ang kita ng gobyerno na kailangan para sa mga pampublikong serbisyo.
* Pinipigilan"&amp;" ang Pamumuhunan: Ang isang reputasyon para sa katiwalian ay maaaring makapagpahina ng loob sa dayuhan at lokal na pamumuhunan, na humahadlang sa paglago ng ekonomiya. **Mga Legal na Pagkilos:**
* **Securities Regulation Code:** Maaaring magsagawa ng lega"&amp;"l na aksyon ang mga shareholder sa ilalim ng Philippine Securities Regulation Code kung maipapakita nila na ang pamamahala ng kumpanya ay nagsasagawa ng mga katiwaliang gawain na nagdulot sa kanila ng mga pagkalugi sa pananalapi.
* **Civil Lawsuits:** Ang"&amp;" mga stakeholder na dumaranas ng pinsala dahil sa katiwalian ng kumpanya ay maaaring magsampa ng mga sibil na kaso upang mabawi ang mga pinsala.
**Kahalagahan ng Proteksyon sa Whistleblower:**
* **Pag-uulat ng Korapsyon:** Ang Pilipinas ay mayroong Whistl"&amp;"eblowers' Protection Act na naghihikayat sa mga empleyado at iba pa na mag-ulat ng katiwalian nang walang takot sa paghihiganti. Nagbibigay-daan ito sa mga stakeholder na ilantad ang maling gawain at posibleng panagutin ang mga kumpanya.
**Sa pangkalahata"&amp;"n, ang katiwalian sa loob ng isang negosyo ay isang kumplikadong isyu na may malalayong legal at pinansyal na kahihinatnan para sa parehong mga shareholder at stakeholder. Napakahalaga ng matatag na pamamahala ng korporasyon, transparency, at matatag na m"&amp;"ga programa sa pagsunod laban sa katiwalian upang mabawasan ang mga panganib na ito at magsulong ng mga etikal na kasanayan sa negosyo.**")</f>
        <v>Ang katiwalian sa loob ng isang negosyo ay maaaring magkaroon ng malaking negatibong kahihinatnan para sa parehong mga shareholder at stakeholder mula sa isang legal na pananaw sa Pilipinas. Narito ang isang breakdown ng mga potensyal na epekto:
**Mga Shareholder:**
* **Mga Pagkalugi sa Pinansyal:** Ang katiwalian ay maaaring humantong sa mga pagkalugi sa pananalapi para sa mga shareholder sa maraming paraan. * Inilihis na mga mapagkukunan: Ang mga pondong inilaan para sa mga lehitimong aktibidad ng negosyo ay maaaring maling gamitin para sa mga panunuhol o iba pang mga tiwaling gawi.
* Mga multa sa regulasyon: Maaaring maharap ang kumpanya ng mabigat na multa at parusa mula sa mga ahensya ng gobyerno para sa mga paglabag sa katiwalian.
* Pagkawala ng mga pagkakataon sa negosyo: Ang nasirang reputasyon dahil sa katiwalian ay maaaring humantong sa mga nawalang kontrata at pagbaba ng kakayahang kumita.
* Mga Paghahabla: Maaaring magsampa ng mga kaso ang mga shareholder laban sa kumpanya para sa maling pamamahala o paglabag sa tungkulin ng fiduciary kung ang katiwalian ay nauugnay sa mga desisyon na ginawa ng pamamahala.
* **Pagbawas ng Halaga ng Shareholder:** Ang mga pagkalugi sa pananalapi at pinsala sa reputasyon na nauugnay sa katiwalian ay maaaring humantong sa pagbaba sa presyo ng pagbabahagi ng kumpanya, na nakakaapekto sa yaman ng shareholder.
* **Limitadong Impormasyon at Transparency:** Ang katiwalian ay madalas na umuunlad sa isang kapaligirang lihim. Maaaring nahihirapan ang mga shareholder na makakuha ng tumpak na impormasyon tungkol sa kalusugan ng pananalapi at mga operasyon ng kumpanya dahil sa kakulangan ng transparency. **Mga stakeholder:**
* **Mga Empleyado:** Ang mga tiwaling gawi ay maaaring negatibong makaapekto sa mga empleyado sa iba't ibang paraan.
* Hindi Makatarungang Mga Kasanayan sa Paggawa: Ang katiwalian ay maaaring humantong sa paboritismo sa pagkuha at pag-promote, na lumilikha ng isang hindi patas na kapaligiran sa trabaho.
* Mga Alalahanin sa Kaligtasan: Maaaring makompromiso ang mga pamantayan sa kaligtasan, na naglalagay sa mga empleyado sa panganib.
* Kakulangan ng Seguridad sa Trabaho: Ang kawalang-tatag na nauugnay sa katiwalian ay maaaring humantong sa pagkawala ng trabaho o pagbaba ng pamumuhunan sa pagsasanay at pag-unlad ng empleyado.
* **Mga Customer:** Maaaring makapinsala sa mga customer ang katiwalian.
* Mas Mataas na Presyo: Maaaring humantong ang katiwalian sa pagtaas ng presyo ng mga produkto at serbisyo bilang resulta ng mga suhol o hindi mahusay na paglalaan ng mapagkukunan.
* Mga Produkto/Serbisyo na Mababang Kalidad: Ang pagtuon sa mga panandaliang kita sa pamamagitan ng mga tiwaling gawi ay maaaring humantong sa pagbaba sa kalidad ng produkto o mga pamantayan ng serbisyo.
* Limitadong Pagpipilian: Maaaring pigilan ng katiwalian ang kumpetisyon, na humahantong sa mas kaunting mga pagpipilian at potensyal na mas mababang kalidad ng mga produkto o serbisyo para sa mga customer.
* **Pampubliko:** Ang katiwalian sa loob ng mga negosyo ay sumisira sa tiwala ng publiko sa pribadong sektor at humahadlang sa pag-unlad ng ekonomiya. * Nawalang Kita sa Buwis: Ang katiwalian ay maaaring humantong sa pag-iwas sa buwis, na binabawasan ang kita ng gobyerno na kailangan para sa mga pampublikong serbisyo.
* Pinipigilan ang Pamumuhunan: Ang isang reputasyon para sa katiwalian ay maaaring makapagpahina ng loob sa dayuhan at lokal na pamumuhunan, na humahadlang sa paglago ng ekonomiya. **Mga Legal na Pagkilos:**
* **Securities Regulation Code:** Maaaring magsagawa ng legal na aksyon ang mga shareholder sa ilalim ng Philippine Securities Regulation Code kung maipapakita nila na ang pamamahala ng kumpanya ay nagsasagawa ng mga katiwaliang gawain na nagdulot sa kanila ng mga pagkalugi sa pananalapi.
* **Civil Lawsuits:** Ang mga stakeholder na dumaranas ng pinsala dahil sa katiwalian ng kumpanya ay maaaring magsampa ng mga sibil na kaso upang mabawi ang mga pinsala.
**Kahalagahan ng Proteksyon sa Whistleblower:**
* **Pag-uulat ng Korapsyon:** Ang Pilipinas ay mayroong Whistleblowers' Protection Act na naghihikayat sa mga empleyado at iba pa na mag-ulat ng katiwalian nang walang takot sa paghihiganti. Nagbibigay-daan ito sa mga stakeholder na ilantad ang maling gawain at posibleng panagutin ang mga kumpanya.
**Sa pangkalahatan, ang katiwalian sa loob ng isang negosyo ay isang kumplikadong isyu na may malalayong legal at pinansyal na kahihinatnan para sa parehong mga shareholder at stakeholder. Napakahalaga ng matatag na pamamahala ng korporasyon, transparency, at matatag na mga programa sa pagsunod laban sa katiwalian upang mabawasan ang mga panganib na ito at magsulong ng mga etikal na kasanayan sa negosyo.**</v>
      </c>
      <c r="F1115" s="2">
        <f t="shared" si="1"/>
        <v>0</v>
      </c>
      <c r="G1115" s="2"/>
      <c r="H1115" s="2"/>
      <c r="I1115" s="2"/>
      <c r="J1115" s="2"/>
      <c r="K1115" s="2"/>
      <c r="L1115" s="2"/>
      <c r="M1115" s="2"/>
      <c r="N1115" s="2"/>
      <c r="O1115" s="2"/>
      <c r="P1115" s="2"/>
      <c r="Q1115" s="2"/>
      <c r="R1115" s="2"/>
      <c r="S1115" s="2"/>
      <c r="T1115" s="2"/>
      <c r="U1115" s="2"/>
      <c r="V1115" s="2"/>
      <c r="W1115" s="2"/>
      <c r="X1115" s="2"/>
      <c r="Y1115" s="2"/>
      <c r="Z1115" s="2"/>
      <c r="AA1115" s="2"/>
    </row>
    <row r="1116">
      <c r="A1116" s="1" t="s">
        <v>3356</v>
      </c>
      <c r="B1116" s="1" t="s">
        <v>3397</v>
      </c>
      <c r="C1116" s="1" t="s">
        <v>3398</v>
      </c>
      <c r="D1116" s="2" t="str">
        <f>IFERROR(__xludf.DUMMYFUNCTION("GOOGLETRANSLATE(B1116, ""en"", ""TL"")"),"Mayroon bang anumang mga internasyonal na batas o kasunduan na tumutugon sa katiwalian sa mga pakikitungo sa negosyo?")</f>
        <v>Mayroon bang anumang mga internasyonal na batas o kasunduan na tumutugon sa katiwalian sa mga pakikitungo sa negosyo?</v>
      </c>
      <c r="E1116" s="2" t="str">
        <f>IFERROR(__xludf.DUMMYFUNCTION("GOOGLETRANSLATE(C1116, ""en"", ""TL"")"),"Oo, ang Pilipinas ay lumagda sa ilang mga internasyonal na kombensiyon at kasunduan na tumutugon sa katiwalian sa mga negosyo. Narito ang ilang pangunahing halimbawa:
* **United Nations Convention against Corruption (UNCAC):** Ito ang pinakakomprehensibon"&amp;"g internasyonal na kasunduan na tumutugon sa katiwalian. Niratipikahan ng Pilipinas ang UNCAC noong 2003. Binabalangkas ng kumbensyon ang isang balangkas para sa pagpigil, pagtuklas, at pag-uusig sa katiwalian, pagtataguyod ng internasyonal na kooperasyon"&amp;", at pagbawi ng mga ninakaw na ari-arian.
* **Organization for Economic Co-operation and Development (OECD) Convention on Combating Bribery of Foreign Public Officials in International Business Transactions:** Ang convention na ito, na kilala rin bilang O"&amp;"ECD Anti-Bribery Convention, ay nakatuon sa panunuhol ng mga dayuhang opisyal ng publiko sa internasyonal na mga transaksyon sa negosyo. Ang Pilipinas ay naging isang non-adhering member noong 2013 at isang ganap na miyembro noong 2018. * **Association of"&amp;" Southeast Asian Nations (ASEAN) Convention on Counter Corruption (ACC):** Ang rehiyonal na convention na ito ay nakatuon sa pagtutulungan ng mga miyembrong estado ng ASEAN sa pagpigil at paglaban sa katiwalian. Ang Pilipinas ay isang founding member ng A"&amp;"SEAN at niratipikahan ang ACC.
**Paano Gumagana ang Mga Kasunduang Ito:**
Ang mga internasyonal na kasunduang ito ay nagtatatag ng mga karaniwang pamantayan at inaasahan para sa mga miyembrong estado na labanan ang katiwalian. Madalas nilang kasama ang:
*"&amp;" **Kriminalisasyon ng Panunuhol:** Ang mga miyembrong estado ay obligadong gawing kriminal ang panunuhol ng parehong lokal at dayuhang pampublikong opisyal.
* **Preventive Measures:** Hinihikayat ng mga kasunduan ang mga miyembrong estado na magpatupad ng"&amp;" mga hakbang laban sa katiwalian tulad ng transparency sa pampublikong pagkuha, pagsisiwalat sa pananalapi para sa mga pampublikong opisyal, at mga kampanya sa kamalayan sa publiko.
* **International Cooperation:** Ang mga kasunduan ay nagpapadali sa koop"&amp;"erasyon sa pagitan ng mga miyembrong estado sa mga pagsisiyasat, extradition ng mga takas, at pagbawi ng mga ninakaw na asset.
**Epekto sa Mga Negosyo sa Pilipinas:**
Ang mga internasyonal na kasunduang ito ay maaaring makaapekto sa mga negosyo sa Pilipin"&amp;"as sa ilang paraan:
* **Pinataas na Pagsusuri:** Maaaring harapin ng mga kumpanyang nakikibahagi sa mga internasyonal na transaksyon sa negosyo ang mas malaking pagsisiyasat mula sa mga dayuhang kasosyo at awtoridad upang matiyak na sumusunod sila sa mga "&amp;"batas laban sa panunuhol.
* **Level Playing Field:** Ang mga kasunduan ay nagtataguyod ng mas mataas na antas ng paglalaro sa pamamagitan ng pag-aatas sa lahat ng estadong miyembro na magpatupad ng mga hakbang upang labanan ang katiwalian. Maaari itong ma"&amp;"kinabang sa mga kumpanyang nagpapatakbo sa buong mundo sa pamamagitan ng pagliit ng panganib na makatagpo ng hindi patas na kompetisyon dahil sa mga tiwaling gawi.
* **Mga Kinakailangan sa Pagsunod:** Maaaring kailanganin ng mga kumpanya na iakma ang kani"&amp;"lang mga panloob na programa sa pagsunod upang matugunan ang mga pamantayan laban sa katiwalian na nakabalangkas sa mga internasyonal na kasunduang ito.
**Paghahanap ng Higit pang Impormasyon:**
* **United Nations Office on Drugs and Crime (UNODC):** [htt"&amp;"ps://www.unodc.org/](https://www.unodc.org/) (UNCAC information)
* **OECD:** [https://www.oecd.org/corruption/oecdantibriberyconvention.htm](https://www.oecd.org/corruption/oecdantibriberyconvention.htm) (impormasyon ng OECD Anti-Bribery Convention)
* **A"&amp;"SEAN:** ​​[https://www.state.gov/statements-of-interest-requests-for-proposals-and-notice-of-funding-opportunity/strengthening-anti-corruption-efforts-of- asean-and-asean-member-states/](https://www.state.gov/statements-of-interest-requests-for-proposals-"&amp;"and-notice-of-funding-opportunity/strengthening-anti-corruption- pagsisikap-ng-asean-at-asean-member-states/) (ASEAN Convention on Counter Corruption information)
Sa pamamagitan ng pagsunod sa mga internasyonal na kasunduang ito at pagpapatupad ng matatag"&amp;" na mga programa sa pagsunod laban sa katiwalian, ang Pilipinas at ang mga negosyo nito ay maaaring mag-ambag sa isang mas malinaw at etikal na kapaligiran sa negosyo.")</f>
        <v>Oo, ang Pilipinas ay lumagda sa ilang mga internasyonal na kombensiyon at kasunduan na tumutugon sa katiwalian sa mga negosyo. Narito ang ilang pangunahing halimbawa:
* **United Nations Convention against Corruption (UNCAC):** Ito ang pinakakomprehensibong internasyonal na kasunduan na tumutugon sa katiwalian. Niratipikahan ng Pilipinas ang UNCAC noong 2003. Binabalangkas ng kumbensyon ang isang balangkas para sa pagpigil, pagtuklas, at pag-uusig sa katiwalian, pagtataguyod ng internasyonal na kooperasyon, at pagbawi ng mga ninakaw na ari-arian.
* **Organization for Economic Co-operation and Development (OECD) Convention on Combating Bribery of Foreign Public Officials in International Business Transactions:** Ang convention na ito, na kilala rin bilang OECD Anti-Bribery Convention, ay nakatuon sa panunuhol ng mga dayuhang opisyal ng publiko sa internasyonal na mga transaksyon sa negosyo. Ang Pilipinas ay naging isang non-adhering member noong 2013 at isang ganap na miyembro noong 2018. * **Association of Southeast Asian Nations (ASEAN) Convention on Counter Corruption (ACC):** Ang rehiyonal na convention na ito ay nakatuon sa pagtutulungan ng mga miyembrong estado ng ASEAN sa pagpigil at paglaban sa katiwalian. Ang Pilipinas ay isang founding member ng ASEAN at niratipikahan ang ACC.
**Paano Gumagana ang Mga Kasunduang Ito:**
Ang mga internasyonal na kasunduang ito ay nagtatatag ng mga karaniwang pamantayan at inaasahan para sa mga miyembrong estado na labanan ang katiwalian. Madalas nilang kasama ang:
* **Kriminalisasyon ng Panunuhol:** Ang mga miyembrong estado ay obligadong gawing kriminal ang panunuhol ng parehong lokal at dayuhang pampublikong opisyal.
* **Preventive Measures:** Hinihikayat ng mga kasunduan ang mga miyembrong estado na magpatupad ng mga hakbang laban sa katiwalian tulad ng transparency sa pampublikong pagkuha, pagsisiwalat sa pananalapi para sa mga pampublikong opisyal, at mga kampanya sa kamalayan sa publiko.
* **International Cooperation:** Ang mga kasunduan ay nagpapadali sa kooperasyon sa pagitan ng mga miyembrong estado sa mga pagsisiyasat, extradition ng mga takas, at pagbawi ng mga ninakaw na asset.
**Epekto sa Mga Negosyo sa Pilipinas:**
Ang mga internasyonal na kasunduang ito ay maaaring makaapekto sa mga negosyo sa Pilipinas sa ilang paraan:
* **Pinataas na Pagsusuri:** Maaaring harapin ng mga kumpanyang nakikibahagi sa mga internasyonal na transaksyon sa negosyo ang mas malaking pagsisiyasat mula sa mga dayuhang kasosyo at awtoridad upang matiyak na sumusunod sila sa mga batas laban sa panunuhol.
* **Level Playing Field:** Ang mga kasunduan ay nagtataguyod ng mas mataas na antas ng paglalaro sa pamamagitan ng pag-aatas sa lahat ng estadong miyembro na magpatupad ng mga hakbang upang labanan ang katiwalian. Maaari itong makinabang sa mga kumpanyang nagpapatakbo sa buong mundo sa pamamagitan ng pagliit ng panganib na makatagpo ng hindi patas na kompetisyon dahil sa mga tiwaling gawi.
* **Mga Kinakailangan sa Pagsunod:** Maaaring kailanganin ng mga kumpanya na iakma ang kanilang mga panloob na programa sa pagsunod upang matugunan ang mga pamantayan laban sa katiwalian na nakabalangkas sa mga internasyonal na kasunduang ito.
**Paghahanap ng Higit pang Impormasyon:**
* **United Nations Office on Drugs and Crime (UNODC):** [https://www.unodc.org/](https://www.unodc.org/) (UNCAC information)
* **OECD:** [https://www.oecd.org/corruption/oecdantibriberyconvention.htm](https://www.oecd.org/corruption/oecdantibriberyconvention.htm) (impormasyon ng OECD Anti-Bribery Convention)
* **ASEAN:** ​​[https://www.state.gov/statements-of-interest-requests-for-proposals-and-notice-of-funding-opportunity/strengthening-anti-corruption-efforts-of- asean-and-asean-member-states/](https://www.state.gov/statements-of-interest-requests-for-proposals-and-notice-of-funding-opportunity/strengthening-anti-corruption- pagsisikap-ng-asean-at-asean-member-states/) (ASEAN Convention on Counter Corruption information)
Sa pamamagitan ng pagsunod sa mga internasyonal na kasunduang ito at pagpapatupad ng matatag na mga programa sa pagsunod laban sa katiwalian, ang Pilipinas at ang mga negosyo nito ay maaaring mag-ambag sa isang mas malinaw at etikal na kapaligiran sa negosyo.</v>
      </c>
      <c r="F1116" s="2">
        <f t="shared" si="1"/>
        <v>0</v>
      </c>
      <c r="G1116" s="2"/>
      <c r="H1116" s="2"/>
      <c r="I1116" s="2"/>
      <c r="J1116" s="2"/>
      <c r="K1116" s="2"/>
      <c r="L1116" s="2"/>
      <c r="M1116" s="2"/>
      <c r="N1116" s="2"/>
      <c r="O1116" s="2"/>
      <c r="P1116" s="2"/>
      <c r="Q1116" s="2"/>
      <c r="R1116" s="2"/>
      <c r="S1116" s="2"/>
      <c r="T1116" s="2"/>
      <c r="U1116" s="2"/>
      <c r="V1116" s="2"/>
      <c r="W1116" s="2"/>
      <c r="X1116" s="2"/>
      <c r="Y1116" s="2"/>
      <c r="Z1116" s="2"/>
      <c r="AA1116" s="2"/>
    </row>
    <row r="1117">
      <c r="A1117" s="1" t="s">
        <v>3356</v>
      </c>
      <c r="B1117" s="1" t="s">
        <v>3399</v>
      </c>
      <c r="C1117" s="1" t="s">
        <v>3400</v>
      </c>
      <c r="D1117" s="2" t="str">
        <f>IFERROR(__xludf.DUMMYFUNCTION("GOOGLETRANSLATE(B1117, ""en"", ""TL"")"),"Maaari bang personal na managot ang mga indibidwal para sa mga paglabag sa katiwalian na ginawa sa loob ng negosyong pagmamay-ari o pinamamahalaan nila?")</f>
        <v>Maaari bang personal na managot ang mga indibidwal para sa mga paglabag sa katiwalian na ginawa sa loob ng negosyong pagmamay-ari o pinamamahalaan nila?</v>
      </c>
      <c r="E1117" s="2" t="str">
        <f>IFERROR(__xludf.DUMMYFUNCTION("GOOGLETRANSLATE(C1117, ""en"", ""TL"")"),"Oo, sa Pilipinas, ang mga indibidwal ay maaaring personal na managot para sa mga pagkakasala sa katiwalian na ginawa sa loob ng isang negosyo na pagmamay-ari o pinamamahalaan nila, depende sa partikular na mga pangyayari at kanilang papel sa maling gawain"&amp;". Narito ang isang breakdown ng mga pangunahing salik:
**Legal na Balangkas:**
* **Anti-Graft and Corrupt Practices Act (RA 3019):** Ito ang pangunahing batas na tumutugon sa katiwalian na kinasasangkutan ng mga pampublikong opisyal. Gayunpaman, ang Seksy"&amp;"on 3(g) ng RA 3019 ay maaari ding ilapat sa mga pribadong indibidwal na:
* **Makipagsabwatan sa isang pampublikong opisyal** para gumawa ng graft o corrupt practice.
* **Mag-alok, magbigay, o mangako ng suhol** sa isang pampublikong opisyal.
* **Kumilos b"&amp;"ilang **dummy** o **ahente** ng isang pampublikong opisyal** sa mga tiwaling gawi.
* **Revised Penal Code (RPC):** Sinasaklaw din ng RPC ang iba't ibang krimen na may kaugnayan sa panunuhol at katiwalian. Ang mga artikulo 210 hanggang 214 ng RPC ay nagbab"&amp;"alangkas ng mga partikular na pagkakasala tulad ng panunuhol, direktang panunuhol, at hindi direktang panunuhol. Maaaring ilapat ang mga probisyong ito sa mga pampublikong opisyal at pribadong indibidwal na direktang lumahok sa mga tiwaling aktibidad na i"&amp;"to.
**Antas ng Paglahok:**
Ang antas ng pagkakasangkot ng isang indibidwal sa katiwalian sa loob ng kanilang negosyo ay makabuluhang makakaimpluwensya sa kanilang potensyal na pananagutan. Narito ang ilang mga senaryo:
* **Direktang Paglahok:** Kung ang i"&amp;"sang may-ari o tagapamahala ay direktang nag-aalok ng mga suhol, lumahok sa mga mapanlinlang na pakana, o sadyang pinahihintulutan ang mga tiwaling gawi, maaari silang humarap sa mga personal na kasong kriminal. * **Pagbubulag-bulagan:** Bagama't hindi di"&amp;"rektang kasangkot, ang mga may-ari o tagapamahala na sadyang binabalewala ang mga pulang bandila o nabigong ipatupad ang mga sapat na kontrol upang maiwasan ang katiwalian sa loob ng kanilang negosyo ay maaaring panagutin para sa kapabayaan o pagkonsensya"&amp;" sa pagkakasala.
**Kahalagahan ng Layunin:**
* **Alam o Walang ingat:** Upang personal na managot, kailangang itatag ng mga tagausig na ang indibidwal ay kumilos nang may kaalaman o kawalang-ingat tungkol sa katiwalian. Ang simpleng pagiging may-ari o tag"&amp;"apamahala ay hindi awtomatikong isinasalin sa pananagutan.
**Hiwalay na Legal na Entidad:**
* **Limited Liability Companies (LLCs):** Sa teorya, ang isang korporasyon ay itinuturing na isang hiwalay na legal na entity mula sa mga may-ari nito (mga shareho"&amp;"lder) at mga tagapamahala. Nangangahulugan ito na ang korporasyon mismo ay maaaring managot para sa pagkakasala sa katiwalian, ngunit maaaring maprotektahan ang mga personal na ari-arian ng mga may-ari. Gayunpaman, ang pagbutas sa corporate veil ay posibl"&amp;"e sa ilang mga kaso kung matutuklasan ng korte na ginamit ng mga may-ari ang korporasyon para sa mga ilegal na layunin.
**Mga Salik sa Pagbabawas:**
* **Malakas na Mga Programa sa Pagsunod:** Ang pagkakaroon ng matatag na programa sa pagsunod laban sa kat"&amp;"iwalian na may malinaw na mga patakaran, pagsasanay para sa mga empleyado, at mekanismo ng whistleblowing ay maaaring magpakita ng pagsisikap na pigilan ang katiwalian at potensyal na bawasan ang kalubhaan ng mga parusa para sa may-ari o manager.
**Kahala"&amp;"gahan ng Legal na Payo:**
Ang partikular na mga pangyayari ng bawat kaso ay tutukuyin ang potensyal para sa personal na pananagutan. Kung nag-aalala ka tungkol sa potensyal na katiwalian sa loob ng iyong negosyo o nahaharap sa mga paratang ng pagkakasangk"&amp;"ot, ang pagkonsulta sa isang abogado na dalubhasa sa mga batas laban sa katiwalian ng Pilipinas ay napakahalaga. Maaari nilang suriin ang partikular na sitwasyon, tasahin ang iyong potensyal na legal na pagkakalantad, at payuhan ang pinakamahusay na paraa"&amp;"n ng pagkilos.")</f>
        <v>Oo, sa Pilipinas, ang mga indibidwal ay maaaring personal na managot para sa mga pagkakasala sa katiwalian na ginawa sa loob ng isang negosyo na pagmamay-ari o pinamamahalaan nila, depende sa partikular na mga pangyayari at kanilang papel sa maling gawain. Narito ang isang breakdown ng mga pangunahing salik:
**Legal na Balangkas:**
* **Anti-Graft and Corrupt Practices Act (RA 3019):** Ito ang pangunahing batas na tumutugon sa katiwalian na kinasasangkutan ng mga pampublikong opisyal. Gayunpaman, ang Seksyon 3(g) ng RA 3019 ay maaari ding ilapat sa mga pribadong indibidwal na:
* **Makipagsabwatan sa isang pampublikong opisyal** para gumawa ng graft o corrupt practice.
* **Mag-alok, magbigay, o mangako ng suhol** sa isang pampublikong opisyal.
* **Kumilos bilang **dummy** o **ahente** ng isang pampublikong opisyal** sa mga tiwaling gawi.
* **Revised Penal Code (RPC):** Sinasaklaw din ng RPC ang iba't ibang krimen na may kaugnayan sa panunuhol at katiwalian. Ang mga artikulo 210 hanggang 214 ng RPC ay nagbabalangkas ng mga partikular na pagkakasala tulad ng panunuhol, direktang panunuhol, at hindi direktang panunuhol. Maaaring ilapat ang mga probisyong ito sa mga pampublikong opisyal at pribadong indibidwal na direktang lumahok sa mga tiwaling aktibidad na ito.
**Antas ng Paglahok:**
Ang antas ng pagkakasangkot ng isang indibidwal sa katiwalian sa loob ng kanilang negosyo ay makabuluhang makakaimpluwensya sa kanilang potensyal na pananagutan. Narito ang ilang mga senaryo:
* **Direktang Paglahok:** Kung ang isang may-ari o tagapamahala ay direktang nag-aalok ng mga suhol, lumahok sa mga mapanlinlang na pakana, o sadyang pinahihintulutan ang mga tiwaling gawi, maaari silang humarap sa mga personal na kasong kriminal. * **Pagbubulag-bulagan:** Bagama't hindi direktang kasangkot, ang mga may-ari o tagapamahala na sadyang binabalewala ang mga pulang bandila o nabigong ipatupad ang mga sapat na kontrol upang maiwasan ang katiwalian sa loob ng kanilang negosyo ay maaaring panagutin para sa kapabayaan o pagkonsensya sa pagkakasala.
**Kahalagahan ng Layunin:**
* **Alam o Walang ingat:** Upang personal na managot, kailangang itatag ng mga tagausig na ang indibidwal ay kumilos nang may kaalaman o kawalang-ingat tungkol sa katiwalian. Ang simpleng pagiging may-ari o tagapamahala ay hindi awtomatikong isinasalin sa pananagutan.
**Hiwalay na Legal na Entidad:**
* **Limited Liability Companies (LLCs):** Sa teorya, ang isang korporasyon ay itinuturing na isang hiwalay na legal na entity mula sa mga may-ari nito (mga shareholder) at mga tagapamahala. Nangangahulugan ito na ang korporasyon mismo ay maaaring managot para sa pagkakasala sa katiwalian, ngunit maaaring maprotektahan ang mga personal na ari-arian ng mga may-ari. Gayunpaman, ang pagbutas sa corporate veil ay posible sa ilang mga kaso kung matutuklasan ng korte na ginamit ng mga may-ari ang korporasyon para sa mga ilegal na layunin.
**Mga Salik sa Pagbabawas:**
* **Malakas na Mga Programa sa Pagsunod:** Ang pagkakaroon ng matatag na programa sa pagsunod laban sa katiwalian na may malinaw na mga patakaran, pagsasanay para sa mga empleyado, at mekanismo ng whistleblowing ay maaaring magpakita ng pagsisikap na pigilan ang katiwalian at potensyal na bawasan ang kalubhaan ng mga parusa para sa may-ari o manager.
**Kahalagahan ng Legal na Payo:**
Ang partikular na mga pangyayari ng bawat kaso ay tutukuyin ang potensyal para sa personal na pananagutan. Kung nag-aalala ka tungkol sa potensyal na katiwalian sa loob ng iyong negosyo o nahaharap sa mga paratang ng pagkakasangkot, ang pagkonsulta sa isang abogado na dalubhasa sa mga batas laban sa katiwalian ng Pilipinas ay napakahalaga. Maaari nilang suriin ang partikular na sitwasyon, tasahin ang iyong potensyal na legal na pagkakalantad, at payuhan ang pinakamahusay na paraan ng pagkilos.</v>
      </c>
      <c r="F1117" s="2">
        <f t="shared" si="1"/>
        <v>0</v>
      </c>
      <c r="G1117" s="2"/>
      <c r="H1117" s="2"/>
      <c r="I1117" s="2"/>
      <c r="J1117" s="2"/>
      <c r="K1117" s="2"/>
      <c r="L1117" s="2"/>
      <c r="M1117" s="2"/>
      <c r="N1117" s="2"/>
      <c r="O1117" s="2"/>
      <c r="P1117" s="2"/>
      <c r="Q1117" s="2"/>
      <c r="R1117" s="2"/>
      <c r="S1117" s="2"/>
      <c r="T1117" s="2"/>
      <c r="U1117" s="2"/>
      <c r="V1117" s="2"/>
      <c r="W1117" s="2"/>
      <c r="X1117" s="2"/>
      <c r="Y1117" s="2"/>
      <c r="Z1117" s="2"/>
      <c r="AA1117" s="2"/>
    </row>
    <row r="1118">
      <c r="A1118" s="1" t="s">
        <v>3356</v>
      </c>
      <c r="B1118" s="1" t="s">
        <v>3401</v>
      </c>
      <c r="C1118" s="1" t="s">
        <v>3402</v>
      </c>
      <c r="D1118" s="2" t="str">
        <f>IFERROR(__xludf.DUMMYFUNCTION("GOOGLETRANSLATE(B1118, ""en"", ""TL"")"),"Paano makatutulong ang mga proseso ng due diligence na maiwasan ang katiwalian sa mga transaksyon sa negosyo?")</f>
        <v>Paano makatutulong ang mga proseso ng due diligence na maiwasan ang katiwalian sa mga transaksyon sa negosyo?</v>
      </c>
      <c r="E1118" s="2" t="str">
        <f>IFERROR(__xludf.DUMMYFUNCTION("GOOGLETRANSLATE(C1118, ""en"", ""TL"")"),"Ang mga proseso ng due diligence ay may mahalagang papel sa pagpigil sa katiwalian sa loob ng mga transaksyon sa negosyo sa pamamagitan ng pagkilos bilang isang proactive na mekanismo ng screening. Ganito:
**Pagkilala sa Mga Pulang Watawat:**
* **Mga Pags"&amp;"usuri sa Background:** Ang masusing pagsusuri sa background sa mga potensyal na kasosyo sa negosyo, vendor, at mga ahente ng third-party ay maaaring makakita ng mga pulang bandila na maaaring magpahiwatig ng mas mataas na panganib ng katiwalian. Maaaring "&amp;"kabilang dito ang pagsuri para sa mga nakaraang alegasyon ng katiwalian, istruktura ng pagmamay-ari, at mga koneksyon sa mga politically exposed persons (PEPs).
* **Pagsusuri sa Pananalapi:** Ang pagsisiyasat sa mga rekord ng pananalapi ay maaaring magbun"&amp;"yag ng mga hindi pangkaraniwang transaksyon, hindi pagkakapare-pareho, o hindi maipaliwanag na mga daloy ng pera na maaaring maiugnay sa mga aktibidad sa panunuhol o money laundering.
* **Pagsusuri ng Kontrata:** Ang masusing pagsusuri ng mga kontrata ay "&amp;"maaaring matukoy ang mga sugnay na tila labis na pabor sa isang partido o naglalaman ng mga butas na maaaring pagsamantalahan para sa mga tiwaling layunin.
**Pagbabawas ng mga Panganib:**
* **Negotiation Leverage:** Ang impormasyong nakalap sa pamamagitan"&amp;" ng due diligence ay maaaring gamitin upang makipag-ayos sa mga kontrata na mas transparent at hindi gaanong madaling kapitan sa pagmamanipula. * **Mga Pulang Bandila bilang Mga Deal Breaker:** Ang pagtukoy sa mga pulang bandila ay maaaring magsilbing tan"&amp;"da ng babala, na posibleng humahantong sa desisyon na lumayo sa isang transaksyon sa negosyo kung ang panganib sa katiwalian ay tila masyadong mataas.
* **Mga Istratehiya sa Pamamahala ng Panganib:** Batay sa mga natuklasan ng angkop na pagsusumikap, ang "&amp;"mga kumpanya ay maaaring magpatupad ng mga partikular na diskarte sa pamamahala ng peligro upang mabawasan ang potensyal na katiwalian. Maaaring kabilang dito ang pag-aatas ng karagdagang mga hakbang sa transparency mula sa kabilang partido o pagsasagawa "&amp;"ng mga pana-panahong pag-audit.
**Pag-promote ng Transparency:**
* **Mga Kinakailangan sa Pagbubunyag:** Ang mga matibay na proseso ng angkop na pagsusumikap ay kadalasang kinabibilangan ng pag-aatas sa mga potensyal na kasosyo sa negosyo na ibunyag ang m"&amp;"ga istruktura ng pagmamay-ari, impormasyon sa pananalapi, at anumang potensyal na salungatan ng interes. Ang transparency na ito ay nakakatulong sa pagbuo ng tiwala at binabawasan ang mga pagkakataon para sa mga nakatagong tiwaling gawi.
* **Kultura ng Pa"&amp;"gsunod:** Sa pamamagitan ng pagbibigay-priyoridad sa nararapat na pagsusumikap, ang mga kumpanya ay nagpapakita ng pangako sa mga etikal na kasanayan sa negosyo at isang kultura ng pagsunod sa mga batas laban sa katiwalian. Hinihikayat nito ang mga empley"&amp;"ado na kumilos nang may integridad at iulat ang anumang pinaghihinalaang maling gawain.
**Mga Halimbawa ng Due Diligence sa Pagkilos:**
* **Pagkilala sa Mga Kumpanya ng Shell:** Ang angkop na pagsusumikap ay maaaring makatulong sa pagtuklas ng mga kumpany"&amp;"a ng shell na ginagamit sa pag-funnel ng mga suhol o pagkukubli sa mga tunay na benepisyaryo ng isang transaksyon sa negosyo.
* **Pag-iwas sa Mga Pagbabayad sa Facilitation:** Sa pamamagitan ng pag-unawa sa kapaligiran ng lokal na negosyo at pagtatatag ng"&amp;" malinaw na mga patakaran laban sa mga pagbabayad sa pagpapadali, ang angkop na pagsusumikap ay maaaring makatulong na maiwasan ang mga kumpanya na mahuli sa mga tila maliliit ngunit ilegal na mga kasanayang ito.
**Mga Limitasyon ng Due Diligence:**
* **H"&amp;"indi Foolproof:** Hindi maalis ng angkop na pagsisikap ang lahat ng panganib ng katiwalian. Ang mga sopistikadong scheme ay maaari pa ring makalusot sa mga bitak.
* **Gastos at Mga Mapagkukunan:** Ang pagsasagawa ng masusing angkop na pagsusumikap ay maaa"&amp;"ring magtagal at masinsinang mapagkukunan, lalo na para sa mga kumplikadong transaksyon.
* **Pag-asa sa Ibinigay na Impormasyon:** Ang angkop na pagsusumikap ay kadalasang nililimitahan ng impormasyong ibinigay ng kabilang partido. Ang pag-verify sa katum"&amp;"pakan ng impormasyong ito ay maaaring maging mahirap. **Sa pangkalahatan, ang mga proseso ng due diligence ay isang mahalagang linya ng depensa laban sa katiwalian sa mga transaksyon sa negosyo. Sa pamamagitan ng aktibong pagsisiyasat sa mga potensyal na "&amp;"kasosyo sa negosyo at pagtukoy ng mga red flag, ang mga kumpanya ay maaaring makabuluhang bawasan ang kanilang pagkakalantad sa mga tiwaling gawi at pagyamanin ang isang mas etikal na kapaligiran sa negosyo.**")</f>
        <v>Ang mga proseso ng due diligence ay may mahalagang papel sa pagpigil sa katiwalian sa loob ng mga transaksyon sa negosyo sa pamamagitan ng pagkilos bilang isang proactive na mekanismo ng screening. Ganito:
**Pagkilala sa Mga Pulang Watawat:**
* **Mga Pagsusuri sa Background:** Ang masusing pagsusuri sa background sa mga potensyal na kasosyo sa negosyo, vendor, at mga ahente ng third-party ay maaaring makakita ng mga pulang bandila na maaaring magpahiwatig ng mas mataas na panganib ng katiwalian. Maaaring kabilang dito ang pagsuri para sa mga nakaraang alegasyon ng katiwalian, istruktura ng pagmamay-ari, at mga koneksyon sa mga politically exposed persons (PEPs).
* **Pagsusuri sa Pananalapi:** Ang pagsisiyasat sa mga rekord ng pananalapi ay maaaring magbunyag ng mga hindi pangkaraniwang transaksyon, hindi pagkakapare-pareho, o hindi maipaliwanag na mga daloy ng pera na maaaring maiugnay sa mga aktibidad sa panunuhol o money laundering.
* **Pagsusuri ng Kontrata:** Ang masusing pagsusuri ng mga kontrata ay maaaring matukoy ang mga sugnay na tila labis na pabor sa isang partido o naglalaman ng mga butas na maaaring pagsamantalahan para sa mga tiwaling layunin.
**Pagbabawas ng mga Panganib:**
* **Negotiation Leverage:** Ang impormasyong nakalap sa pamamagitan ng due diligence ay maaaring gamitin upang makipag-ayos sa mga kontrata na mas transparent at hindi gaanong madaling kapitan sa pagmamanipula. * **Mga Pulang Bandila bilang Mga Deal Breaker:** Ang pagtukoy sa mga pulang bandila ay maaaring magsilbing tanda ng babala, na posibleng humahantong sa desisyon na lumayo sa isang transaksyon sa negosyo kung ang panganib sa katiwalian ay tila masyadong mataas.
* **Mga Istratehiya sa Pamamahala ng Panganib:** Batay sa mga natuklasan ng angkop na pagsusumikap, ang mga kumpanya ay maaaring magpatupad ng mga partikular na diskarte sa pamamahala ng peligro upang mabawasan ang potensyal na katiwalian. Maaaring kabilang dito ang pag-aatas ng karagdagang mga hakbang sa transparency mula sa kabilang partido o pagsasagawa ng mga pana-panahong pag-audit.
**Pag-promote ng Transparency:**
* **Mga Kinakailangan sa Pagbubunyag:** Ang mga matibay na proseso ng angkop na pagsusumikap ay kadalasang kinabibilangan ng pag-aatas sa mga potensyal na kasosyo sa negosyo na ibunyag ang mga istruktura ng pagmamay-ari, impormasyon sa pananalapi, at anumang potensyal na salungatan ng interes. Ang transparency na ito ay nakakatulong sa pagbuo ng tiwala at binabawasan ang mga pagkakataon para sa mga nakatagong tiwaling gawi.
* **Kultura ng Pagsunod:** Sa pamamagitan ng pagbibigay-priyoridad sa nararapat na pagsusumikap, ang mga kumpanya ay nagpapakita ng pangako sa mga etikal na kasanayan sa negosyo at isang kultura ng pagsunod sa mga batas laban sa katiwalian. Hinihikayat nito ang mga empleyado na kumilos nang may integridad at iulat ang anumang pinaghihinalaang maling gawain.
**Mga Halimbawa ng Due Diligence sa Pagkilos:**
* **Pagkilala sa Mga Kumpanya ng Shell:** Ang angkop na pagsusumikap ay maaaring makatulong sa pagtuklas ng mga kumpanya ng shell na ginagamit sa pag-funnel ng mga suhol o pagkukubli sa mga tunay na benepisyaryo ng isang transaksyon sa negosyo.
* **Pag-iwas sa Mga Pagbabayad sa Facilitation:** Sa pamamagitan ng pag-unawa sa kapaligiran ng lokal na negosyo at pagtatatag ng malinaw na mga patakaran laban sa mga pagbabayad sa pagpapadali, ang angkop na pagsusumikap ay maaaring makatulong na maiwasan ang mga kumpanya na mahuli sa mga tila maliliit ngunit ilegal na mga kasanayang ito.
**Mga Limitasyon ng Due Diligence:**
* **Hindi Foolproof:** Hindi maalis ng angkop na pagsisikap ang lahat ng panganib ng katiwalian. Ang mga sopistikadong scheme ay maaari pa ring makalusot sa mga bitak.
* **Gastos at Mga Mapagkukunan:** Ang pagsasagawa ng masusing angkop na pagsusumikap ay maaaring magtagal at masinsinang mapagkukunan, lalo na para sa mga kumplikadong transaksyon.
* **Pag-asa sa Ibinigay na Impormasyon:** Ang angkop na pagsusumikap ay kadalasang nililimitahan ng impormasyong ibinigay ng kabilang partido. Ang pag-verify sa katumpakan ng impormasyong ito ay maaaring maging mahirap. **Sa pangkalahatan, ang mga proseso ng due diligence ay isang mahalagang linya ng depensa laban sa katiwalian sa mga transaksyon sa negosyo. Sa pamamagitan ng aktibong pagsisiyasat sa mga potensyal na kasosyo sa negosyo at pagtukoy ng mga red flag, ang mga kumpanya ay maaaring makabuluhang bawasan ang kanilang pagkakalantad sa mga tiwaling gawi at pagyamanin ang isang mas etikal na kapaligiran sa negosyo.**</v>
      </c>
      <c r="F1118" s="2">
        <f t="shared" si="1"/>
        <v>0</v>
      </c>
      <c r="G1118" s="2"/>
      <c r="H1118" s="2"/>
      <c r="I1118" s="2"/>
      <c r="J1118" s="2"/>
      <c r="K1118" s="2"/>
      <c r="L1118" s="2"/>
      <c r="M1118" s="2"/>
      <c r="N1118" s="2"/>
      <c r="O1118" s="2"/>
      <c r="P1118" s="2"/>
      <c r="Q1118" s="2"/>
      <c r="R1118" s="2"/>
      <c r="S1118" s="2"/>
      <c r="T1118" s="2"/>
      <c r="U1118" s="2"/>
      <c r="V1118" s="2"/>
      <c r="W1118" s="2"/>
      <c r="X1118" s="2"/>
      <c r="Y1118" s="2"/>
      <c r="Z1118" s="2"/>
      <c r="AA1118" s="2"/>
    </row>
    <row r="1119">
      <c r="A1119" s="1" t="s">
        <v>3356</v>
      </c>
      <c r="B1119" s="1" t="s">
        <v>3403</v>
      </c>
      <c r="C1119" s="1" t="s">
        <v>3404</v>
      </c>
      <c r="D1119" s="2" t="str">
        <f>IFERROR(__xludf.DUMMYFUNCTION("GOOGLETRANSLATE(B1119, ""en"", ""TL"")"),"Anong mga legal na proteksyon ang magagamit para sa mga empleyadong tumatangging lumahok sa mga tiwaling aktibidad sa loob ng kanilang lugar ng trabaho?")</f>
        <v>Anong mga legal na proteksyon ang magagamit para sa mga empleyadong tumatangging lumahok sa mga tiwaling aktibidad sa loob ng kanilang lugar ng trabaho?</v>
      </c>
      <c r="E1119" s="2" t="str">
        <f>IFERROR(__xludf.DUMMYFUNCTION("GOOGLETRANSLATE(C1119, ""en"", ""TL"")"),"Ang Pilipinas ay may ilang legal na proteksyon na magagamit para sa mga empleyadong tumatangging lumahok sa mga tiwaling aktibidad sa loob ng kanilang lugar ng trabaho. Narito ang isang breakdown ng mga pangunahing probisyon at pagsasaalang-alang:
**Whist"&amp;"leblower's Protection Act (Republic Act No. 6713):**
Ang batas na ito ang pangunahing batas na nangangalaga sa mga whistleblower sa Pilipinas. Nag-aalok ito ng proteksyon sa mga empleyado ng publiko at pribadong sektor na nag-uulat ng mga paglabag sa mga "&amp;"batas, kabilang ang mga batas laban sa katiwalian, ng kanilang mga amo o superyor.
**Mga Inaalok na Proteksyon:**
* **Pagbabawal sa Paghihiganti:** Ang mga tagapag-empleyo ay ipinagbabawal na gumanti sa mga empleyado na gumagawa ng mga pagsisiwalat nang m"&amp;"ay mabuting loob sa ilalim ng batas. Maaaring kabilang sa mga aksyong gantimpala ang pagwawakas, pagbabawas ng posisyon, panliligalig, o anumang iba pang negatibong aksyon na ginawa laban sa empleyado dahil sa ulat ng whistleblowing.
* **Kumpidensyal:** P"&amp;"inoprotektahan ng batas ang pagiging kumpidensyal ng pagkakakilanlan ng whistleblower hangga't maaari. Hinihikayat nito ang mga empleyado na mag-ulat ng maling gawain nang walang takot sa paghihiganti.
* **Access to Remedies:** Ang mga empleyadong dumaran"&amp;"as ng paghihiganti para sa whistleblowing ay maaaring magsampa ng reklamo sa Office of the Ombudsman o sa Department of Labor and Employment (DOLE). Maaaring imbestigahan ng mga ahensyang ito ang reklamo at mag-utos ng mga naaangkop na remedyo, kabilang a"&amp;"ng muling pagbabalik at back pay.
**Mga Limitasyon at Pagsasaalang-alang:**
* **Pag-uulat ng Mabuting Pananampalataya:** Nalalapat ang mga proteksyon sa mga pagsisiwalat na ginawa nang may mabuting loob. Ang mga nakakahamak o maling ulat ay hindi kwalipik"&amp;"ado para sa proteksyon.
* **Burden of Proof:** Ang burden of proof ay kadalasang nauukol sa empleyado upang ipakita na ang negatibong aksyon na ginawa laban sa kanila ay dahil sa whistleblowing. Ito ay maaaring maging mahirap.
* **Limitadong Saklaw:** Bag"&amp;"ama't ang aksyon ay nag-aalok ng proteksyon, maaaring hindi ito palya. Maaaring humarap pa rin ang mga empleyado sa mga hamon sa pagpapatunay ng paghihiganti o pagkuha ng mga kumpletong remedyo.
**Mga Alternatibong Proteksyon:**
* **Patakaran sa Anti-Corr"&amp;"uption:** Kung ang iyong kumpanya ay may mahusay na nabalangkas na patakaran laban sa katiwalian, maaaring mayroon itong mga panloob na mekanismo sa pag-uulat na nag-aalok ng ilang proteksyon sa mga empleyadong nag-uulat ng maling gawain.
* **Labor Code:*"&amp;"* Ang Philippine Labor Code ay nagbibigay ng mga pangkalahatang proteksyon laban sa iligal na pagpapaalis at iba pang hindi patas na gawain sa paggawa. Maaari itong mag-alok ng ilang paraan kung ang isang empleyado ay tinanggal dahil sa pagtanggi na lumah"&amp;"ok sa katiwalian.
**Mga Rekomendasyon:**
* **Magtipon ng Ebidensya:** Kung hihilingin kang lumahok sa mga tiwaling aktibidad, idokumento ang insidente sa abot ng iyong makakaya. Maaaring kabilang dito ang mga email, recording (kung legal sa iyong hurisdik"&amp;"syon), o mga testimonya ng saksi.
* **Internal na Pag-uulat:** Kung ang iyong kumpanya ay may whistleblowing hotline o internal na mekanismo ng pag-uulat, pag-isipang gamitin muna ang mga channel na iyon upang iulat ang katiwalian.
* **Humingi ng Panlabas"&amp;" na Tulong:** Kung hindi ka kumportable sa paggamit ng mga panloob na channel o takot sa paghihiganti, isaalang-alang ang pag-uulat ng katiwalian sa Tanggapan ng Ombudsman, Securities and Exchange Commission (SEC) para sa mga pampublikong nakalistang kump"&amp;"anya, o iba pang nauugnay na ahensya.
* **Kumonsulta sa Abogado:** Ang pagkonsulta sa isang abogado na dalubhasa sa batas sa paggawa o laban sa katiwalian ay maaaring magbigay ng mas tiyak na patnubay sa iyong mga karapatan at ang pinakamahusay na paraan "&amp;"ng pagkilos sa iyong sitwasyon.
**Tandaan:**
* Habang umiiral ang mga legal na proteksyon, ang whistleblowing ay maaaring maging isang mapanganib na pagsisikap. Maingat na timbangin ang mga potensyal na benepisyo at panganib bago mag-ulat ng katiwalian.
*"&amp;" Ang pangangalap ng ebidensya at paghingi ng legal na payo ay maaaring palakasin ang iyong posisyon at mapataas ang mga pagkakataon ng isang matagumpay na resulta.
**Ang Pilipinas ay aktibong nagtatrabaho upang pahusayin ang kanyang mga pagsusumikap laban"&amp;" sa katiwalian, at ang mga whistleblower ay gumaganap ng isang mahalagang papel sa paglalantad ng katiwalian.** Sa pamamagitan ng pag-unawa sa mga magagamit na proteksyon at pagsasagawa ng mga naaangkop na hakbang, ang mga empleyado ay maaaring makatulong"&amp;" sa pagsulong ng transparency at etikal na mga gawi sa negosyo sa loob ng kanilang mga lugar ng trabaho.")</f>
        <v>Ang Pilipinas ay may ilang legal na proteksyon na magagamit para sa mga empleyadong tumatangging lumahok sa mga tiwaling aktibidad sa loob ng kanilang lugar ng trabaho. Narito ang isang breakdown ng mga pangunahing probisyon at pagsasaalang-alang:
**Whistleblower's Protection Act (Republic Act No. 6713):**
Ang batas na ito ang pangunahing batas na nangangalaga sa mga whistleblower sa Pilipinas. Nag-aalok ito ng proteksyon sa mga empleyado ng publiko at pribadong sektor na nag-uulat ng mga paglabag sa mga batas, kabilang ang mga batas laban sa katiwalian, ng kanilang mga amo o superyor.
**Mga Inaalok na Proteksyon:**
* **Pagbabawal sa Paghihiganti:** Ang mga tagapag-empleyo ay ipinagbabawal na gumanti sa mga empleyado na gumagawa ng mga pagsisiwalat nang may mabuting loob sa ilalim ng batas. Maaaring kabilang sa mga aksyong gantimpala ang pagwawakas, pagbabawas ng posisyon, panliligalig, o anumang iba pang negatibong aksyon na ginawa laban sa empleyado dahil sa ulat ng whistleblowing.
* **Kumpidensyal:** Pinoprotektahan ng batas ang pagiging kumpidensyal ng pagkakakilanlan ng whistleblower hangga't maaari. Hinihikayat nito ang mga empleyado na mag-ulat ng maling gawain nang walang takot sa paghihiganti.
* **Access to Remedies:** Ang mga empleyadong dumaranas ng paghihiganti para sa whistleblowing ay maaaring magsampa ng reklamo sa Office of the Ombudsman o sa Department of Labor and Employment (DOLE). Maaaring imbestigahan ng mga ahensyang ito ang reklamo at mag-utos ng mga naaangkop na remedyo, kabilang ang muling pagbabalik at back pay.
**Mga Limitasyon at Pagsasaalang-alang:**
* **Pag-uulat ng Mabuting Pananampalataya:** Nalalapat ang mga proteksyon sa mga pagsisiwalat na ginawa nang may mabuting loob. Ang mga nakakahamak o maling ulat ay hindi kwalipikado para sa proteksyon.
* **Burden of Proof:** Ang burden of proof ay kadalasang nauukol sa empleyado upang ipakita na ang negatibong aksyon na ginawa laban sa kanila ay dahil sa whistleblowing. Ito ay maaaring maging mahirap.
* **Limitadong Saklaw:** Bagama't ang aksyon ay nag-aalok ng proteksyon, maaaring hindi ito palya. Maaaring humarap pa rin ang mga empleyado sa mga hamon sa pagpapatunay ng paghihiganti o pagkuha ng mga kumpletong remedyo.
**Mga Alternatibong Proteksyon:**
* **Patakaran sa Anti-Corruption:** Kung ang iyong kumpanya ay may mahusay na nabalangkas na patakaran laban sa katiwalian, maaaring mayroon itong mga panloob na mekanismo sa pag-uulat na nag-aalok ng ilang proteksyon sa mga empleyadong nag-uulat ng maling gawain.
* **Labor Code:** Ang Philippine Labor Code ay nagbibigay ng mga pangkalahatang proteksyon laban sa iligal na pagpapaalis at iba pang hindi patas na gawain sa paggawa. Maaari itong mag-alok ng ilang paraan kung ang isang empleyado ay tinanggal dahil sa pagtanggi na lumahok sa katiwalian.
**Mga Rekomendasyon:**
* **Magtipon ng Ebidensya:** Kung hihilingin kang lumahok sa mga tiwaling aktibidad, idokumento ang insidente sa abot ng iyong makakaya. Maaaring kabilang dito ang mga email, recording (kung legal sa iyong hurisdiksyon), o mga testimonya ng saksi.
* **Internal na Pag-uulat:** Kung ang iyong kumpanya ay may whistleblowing hotline o internal na mekanismo ng pag-uulat, pag-isipang gamitin muna ang mga channel na iyon upang iulat ang katiwalian.
* **Humingi ng Panlabas na Tulong:** Kung hindi ka kumportable sa paggamit ng mga panloob na channel o takot sa paghihiganti, isaalang-alang ang pag-uulat ng katiwalian sa Tanggapan ng Ombudsman, Securities and Exchange Commission (SEC) para sa mga pampublikong nakalistang kumpanya, o iba pang nauugnay na ahensya.
* **Kumonsulta sa Abogado:** Ang pagkonsulta sa isang abogado na dalubhasa sa batas sa paggawa o laban sa katiwalian ay maaaring magbigay ng mas tiyak na patnubay sa iyong mga karapatan at ang pinakamahusay na paraan ng pagkilos sa iyong sitwasyon.
**Tandaan:**
* Habang umiiral ang mga legal na proteksyon, ang whistleblowing ay maaaring maging isang mapanganib na pagsisikap. Maingat na timbangin ang mga potensyal na benepisyo at panganib bago mag-ulat ng katiwalian.
* Ang pangangalap ng ebidensya at paghingi ng legal na payo ay maaaring palakasin ang iyong posisyon at mapataas ang mga pagkakataon ng isang matagumpay na resulta.
**Ang Pilipinas ay aktibong nagtatrabaho upang pahusayin ang kanyang mga pagsusumikap laban sa katiwalian, at ang mga whistleblower ay gumaganap ng isang mahalagang papel sa paglalantad ng katiwalian.** Sa pamamagitan ng pag-unawa sa mga magagamit na proteksyon at pagsasagawa ng mga naaangkop na hakbang, ang mga empleyado ay maaaring makatulong sa pagsulong ng transparency at etikal na mga gawi sa negosyo sa loob ng kanilang mga lugar ng trabaho.</v>
      </c>
      <c r="F1119" s="2">
        <f t="shared" si="1"/>
        <v>0</v>
      </c>
      <c r="G1119" s="2"/>
      <c r="H1119" s="2"/>
      <c r="I1119" s="2"/>
      <c r="J1119" s="2"/>
      <c r="K1119" s="2"/>
      <c r="L1119" s="2"/>
      <c r="M1119" s="2"/>
      <c r="N1119" s="2"/>
      <c r="O1119" s="2"/>
      <c r="P1119" s="2"/>
      <c r="Q1119" s="2"/>
      <c r="R1119" s="2"/>
      <c r="S1119" s="2"/>
      <c r="T1119" s="2"/>
      <c r="U1119" s="2"/>
      <c r="V1119" s="2"/>
      <c r="W1119" s="2"/>
      <c r="X1119" s="2"/>
      <c r="Y1119" s="2"/>
      <c r="Z1119" s="2"/>
      <c r="AA1119" s="2"/>
    </row>
    <row r="1120">
      <c r="A1120" s="1" t="s">
        <v>3356</v>
      </c>
      <c r="B1120" s="1" t="s">
        <v>3405</v>
      </c>
      <c r="C1120" s="1" t="s">
        <v>3406</v>
      </c>
      <c r="D1120" s="2" t="str">
        <f>IFERROR(__xludf.DUMMYFUNCTION("GOOGLETRANSLATE(B1120, ""en"", ""TL"")"),"Maaari ka bang magpayo sa mga implikasyon ng panunuhol bilang isang paraan upang matiyak ang mga kontrata o deal sa negosyo?")</f>
        <v>Maaari ka bang magpayo sa mga implikasyon ng panunuhol bilang isang paraan upang matiyak ang mga kontrata o deal sa negosyo?</v>
      </c>
      <c r="E1120" s="2" t="str">
        <f>IFERROR(__xludf.DUMMYFUNCTION("GOOGLETRANSLATE(C1120, ""en"", ""TL"")"),"Ang panunuhol upang makakuha ng mga kontrata o deal sa negosyo sa Pilipinas ay may malaking legal, pinansyal, at reputasyon na mga panganib. Narito ang isang breakdown ng mga potensyal na kahihinatnan:
**Mga Legal na Repercussion:**
* **Mga Pagsingil sa K"&amp;"riminal:** Parehong maaring humarap sa mga kasong kriminal ang nagbibigay at tumatanggap ng suhol sa ilalim ng Anti-Graft and Corrupt Practices Act (RA 3019). Ang mga singil na ito ay maaaring humantong sa pagkakulong at mabigat na multa.
* **Foreign Corr"&amp;"upt Practices Act (FCPA):** Kung ang panunuhol ay nagsasangkot ng mga kumpanya o indibidwal mula sa United States, maaaring sila ay mapasailalim sa pag-uusig sa ilalim ng US Foreign Corrupt Practices Act (FCPA). Ang FCPA ay may extraterritorial na abot at"&amp;" maaaring ipatupad laban sa mga dayuhang kumpanya at indibidwal na nanunuhol sa mga opisyal o kumpanya ng US na naghahanap ng negosyo sa US.
**Mga Parusa sa Pananalapi:**
* **Mga multa:** Ang mga kumpanyang napatunayang nagkasala ng panunuhol ay maaaring "&amp;"maharap sa malalaking multa mula sa mga awtoridad ng Pilipinas. * **Pagwawakas ng Kontrata:** Kung matuklasan ang panunuhol, ang kontrata sa negosyo o deal na nakuha sa pamamagitan ng mga tiwaling gawi ay maaaring ideklarang walang bisa, na humahantong sa"&amp;" pagkawala ng kita at mga potensyal na legal na hamon.
* **Debarment:** Ang mga kumpanyang sangkot sa mga iskandalo ng panunuhol ay maaaring pag-alisan sa paglahok sa hinaharap na mga bid o tender ng gobyerno, na humahadlang sa kanilang kakayahang makakuh"&amp;"a ng mga pagkakataon sa negosyo sa hinaharap.
**Pinsala sa Reputasyon:**
* **Negatibong Publisidad:** Ang mga paratang ng panunuhol ay maaaring humantong sa nakakapinsalang saklaw ng media at pagsisiyasat ng publiko. Maaari nitong masira ang reputasyon ng"&amp;" kumpanya at masira ang tiwala ng customer.
* **Pagkawala ng Negosyo:** Ang negatibong publisidad at isang nasirang reputasyon ay maaaring humantong sa pagbaba ng mga benta at pagkawala ng kumpiyansa ng customer. * **Hirap Makaakit ng Talento:** Maaaring "&amp;"mag-alinlangan ang nangungunang talento na magtrabaho para sa isang kumpanyang may reputasyon para sa mga hindi etikal na kasanayan sa negosyo.
**Mga Alternatibong Istratehiya para sa Pag-secure ng Mga Deal sa Negosyo:**
* **Tumuon sa Mga Etikal na Kasana"&amp;"yan:** Ang pagbuo ng isang malakas na reputasyon para sa etikal na pag-uugali at patas na mga kasanayan sa negosyo ay maaaring makabuluhang mapahusay ang competitive edge ng isang kumpanya sa katagalan.
* **Mga Programa sa Pagsunod:** Ang pagpapatupad ng "&amp;"isang matatag na programa sa pagsunod laban sa katiwalian na may malinaw na mga patakaran, pagsasanay para sa mga empleyado, at isang mekanismo ng whistleblowing ay nagpapakita ng isang pangako sa mga etikal na kasanayan sa negosyo.
* **Competitive Advant"&amp;"age:** Tumutok sa pagbuo ng competitive advantage batay sa mga salik tulad ng kalidad ng produkto, kahusayan sa serbisyo, at mapagkumpitensyang pagpepresyo. Tinatanggal nito ang pangangailangang gumamit ng panunuhol upang matiyak ang negosyo.
**Tandaan:**"&amp;"
* **Ang katiwalian ay isang seryosong krimen sa Pilipinas.** * **May malaking legal, pinansyal, at reputasyon na panganib na nauugnay sa panunuhol.**
* **Ang pagbuo ng isang reputasyon para sa mga etikal na kasanayan sa negosyo ay isang mas napapanatilin"&amp;"g at kapaki-pakinabang na diskarte sa pangmatagalang tagumpay.**")</f>
        <v>Ang panunuhol upang makakuha ng mga kontrata o deal sa negosyo sa Pilipinas ay may malaking legal, pinansyal, at reputasyon na mga panganib. Narito ang isang breakdown ng mga potensyal na kahihinatnan:
**Mga Legal na Repercussion:**
* **Mga Pagsingil sa Kriminal:** Parehong maaring humarap sa mga kasong kriminal ang nagbibigay at tumatanggap ng suhol sa ilalim ng Anti-Graft and Corrupt Practices Act (RA 3019). Ang mga singil na ito ay maaaring humantong sa pagkakulong at mabigat na multa.
* **Foreign Corrupt Practices Act (FCPA):** Kung ang panunuhol ay nagsasangkot ng mga kumpanya o indibidwal mula sa United States, maaaring sila ay mapasailalim sa pag-uusig sa ilalim ng US Foreign Corrupt Practices Act (FCPA). Ang FCPA ay may extraterritorial na abot at maaaring ipatupad laban sa mga dayuhang kumpanya at indibidwal na nanunuhol sa mga opisyal o kumpanya ng US na naghahanap ng negosyo sa US.
**Mga Parusa sa Pananalapi:**
* **Mga multa:** Ang mga kumpanyang napatunayang nagkasala ng panunuhol ay maaaring maharap sa malalaking multa mula sa mga awtoridad ng Pilipinas. * **Pagwawakas ng Kontrata:** Kung matuklasan ang panunuhol, ang kontrata sa negosyo o deal na nakuha sa pamamagitan ng mga tiwaling gawi ay maaaring ideklarang walang bisa, na humahantong sa pagkawala ng kita at mga potensyal na legal na hamon.
* **Debarment:** Ang mga kumpanyang sangkot sa mga iskandalo ng panunuhol ay maaaring pag-alisan sa paglahok sa hinaharap na mga bid o tender ng gobyerno, na humahadlang sa kanilang kakayahang makakuha ng mga pagkakataon sa negosyo sa hinaharap.
**Pinsala sa Reputasyon:**
* **Negatibong Publisidad:** Ang mga paratang ng panunuhol ay maaaring humantong sa nakakapinsalang saklaw ng media at pagsisiyasat ng publiko. Maaari nitong masira ang reputasyon ng kumpanya at masira ang tiwala ng customer.
* **Pagkawala ng Negosyo:** Ang negatibong publisidad at isang nasirang reputasyon ay maaaring humantong sa pagbaba ng mga benta at pagkawala ng kumpiyansa ng customer. * **Hirap Makaakit ng Talento:** Maaaring mag-alinlangan ang nangungunang talento na magtrabaho para sa isang kumpanyang may reputasyon para sa mga hindi etikal na kasanayan sa negosyo.
**Mga Alternatibong Istratehiya para sa Pag-secure ng Mga Deal sa Negosyo:**
* **Tumuon sa Mga Etikal na Kasanayan:** Ang pagbuo ng isang malakas na reputasyon para sa etikal na pag-uugali at patas na mga kasanayan sa negosyo ay maaaring makabuluhang mapahusay ang competitive edge ng isang kumpanya sa katagalan.
* **Mga Programa sa Pagsunod:** Ang pagpapatupad ng isang matatag na programa sa pagsunod laban sa katiwalian na may malinaw na mga patakaran, pagsasanay para sa mga empleyado, at isang mekanismo ng whistleblowing ay nagpapakita ng isang pangako sa mga etikal na kasanayan sa negosyo.
* **Competitive Advantage:** Tumutok sa pagbuo ng competitive advantage batay sa mga salik tulad ng kalidad ng produkto, kahusayan sa serbisyo, at mapagkumpitensyang pagpepresyo. Tinatanggal nito ang pangangailangang gumamit ng panunuhol upang matiyak ang negosyo.
**Tandaan:**
* **Ang katiwalian ay isang seryosong krimen sa Pilipinas.** * **May malaking legal, pinansyal, at reputasyon na panganib na nauugnay sa panunuhol.**
* **Ang pagbuo ng isang reputasyon para sa mga etikal na kasanayan sa negosyo ay isang mas napapanatiling at kapaki-pakinabang na diskarte sa pangmatagalang tagumpay.**</v>
      </c>
      <c r="F1120" s="2">
        <f t="shared" si="1"/>
        <v>0</v>
      </c>
      <c r="G1120" s="2"/>
      <c r="H1120" s="2"/>
      <c r="I1120" s="2"/>
      <c r="J1120" s="2"/>
      <c r="K1120" s="2"/>
      <c r="L1120" s="2"/>
      <c r="M1120" s="2"/>
      <c r="N1120" s="2"/>
      <c r="O1120" s="2"/>
      <c r="P1120" s="2"/>
      <c r="Q1120" s="2"/>
      <c r="R1120" s="2"/>
      <c r="S1120" s="2"/>
      <c r="T1120" s="2"/>
      <c r="U1120" s="2"/>
      <c r="V1120" s="2"/>
      <c r="W1120" s="2"/>
      <c r="X1120" s="2"/>
      <c r="Y1120" s="2"/>
      <c r="Z1120" s="2"/>
      <c r="AA1120" s="2"/>
    </row>
    <row r="1121">
      <c r="A1121" s="1" t="s">
        <v>3356</v>
      </c>
      <c r="B1121" s="1" t="s">
        <v>3407</v>
      </c>
      <c r="C1121" s="1" t="s">
        <v>3408</v>
      </c>
      <c r="D1121" s="2" t="str">
        <f>IFERROR(__xludf.DUMMYFUNCTION("GOOGLETRANSLATE(B1121, ""en"", ""TL"")"),"Anong mga legal na paraan ang magagamit para sa mga indibidwal na dumanas ng mga pagkalugi sa pananalapi dahil sa mga tiwaling gawi sa loob ng isang negosyo?")</f>
        <v>Anong mga legal na paraan ang magagamit para sa mga indibidwal na dumanas ng mga pagkalugi sa pananalapi dahil sa mga tiwaling gawi sa loob ng isang negosyo?</v>
      </c>
      <c r="E1121" s="2" t="str">
        <f>IFERROR(__xludf.DUMMYFUNCTION("GOOGLETRANSLATE(C1121, ""en"", ""TL"")"),"Ang mga indibidwal na nakaranas ng mga pagkalugi sa pananalapi dahil sa mga katiwalian sa loob ng isang negosyo sa Pilipinas ay may ilang mga legal na paraan na magagamit nila, depende sa partikular na katangian ng katiwalian:
**Mga Paghahabla Sibil:**
* "&amp;"**Paglabag sa Kontrata:** Kung ang isang negosyo ay pumasok sa isang kontrata sa indibidwal at pagkatapos ay nasangkot sa mga tiwaling gawi na pumigil sa kanila sa pagtupad sa kontrata, ang isang demanda para sa paglabag sa kontrata ay maaaring isang opsy"&amp;"on. Ito ay maaaring humantong sa pagbawi ng mga pagkalugi sa pananalapi na natamo dahil sa paglabag.
* **Pandaraya o Panlilinlang:** Kung ang negosyo ay nasangkot sa mapanlinlang na misrepresentasyon o pagtatago ng mga materyal na katotohanan na naging sa"&amp;"nhi ng pagkalugi ng indibidwal sa pananalapi, ang isang demanda para sa pandaraya o panlilinlang ay maaaring ituloy. Maaari rin itong humantong sa pagbawi ng mga pagkalugi at potensyal na mga pinsalang parusa.
* **Hindi Makatarungang Pagpapayaman:** Kung "&amp;"ang negosyo ay kumita sa pananalapi sa pamamagitan ng mga tiwaling gawi sa kapinsalaan ng indibidwal, maaaring magsampa ng demanda para sa hindi makatarungang pagpapayaman. Ito ay naglalayong mabawi ang ill-gotten gains mula sa negosyo.
**Pag-uulat sa Mga"&amp;" Awtoridad:**
* **Securities and Exchange Commission (SEC):** Kung ang katiwalian ay nagsasangkot ng isang pampublikong nakalistang kumpanya, ang paghahain ng reklamo sa SEC ay maaaring isang opsyon. Maaaring imbestigahan ng SEC ang mga potensyal na pagla"&amp;"bag sa mga batas ng securities at gumawa ng naaangkop na aksyon laban sa kumpanya.
* **Opisina ng Ombudsman:** Para sa katiwalian na kinasasangkutan ng mga pampublikong opisyal o ahensya ng gobyerno, ang paghahain ng reklamo sa Opisina ng Ombudsman ay maa"&amp;"aring isang angkop na hakbang ng aksyon. Iniimbestigahan ng Ombudsman ang mga reklamo ng malfeasance at misconduct sa pampublikong opisina.
* **Mga Ahensya sa Pagpapatupad ng Batas:** Depende sa uri ng mga tiwaling gawi, ang pag-uulat ng insidente sa mga "&amp;"ahensyang nagpapatupad ng batas tulad ng National Bureau of Investigation (NBI) ay maaaring humantong sa isang kriminal na imbestigasyon at potensyal na pag-uusig sa mga indibidwal na sangkot.
**Mga Hamon at Pagsasaalang-alang:**
* **Pagtitipon ng Ebidens"&amp;"ya:** Ang pagbuo ng isang matibay na kaso ay nangangailangan ng pangangalap ng ebidensya upang suportahan ang mga claim ng pagkalugi sa pananalapi at ang pinagbabatayan ng mga tiwaling gawi. Maaaring kabilang dito ang mga kontrata, mga rekord sa pananalap"&amp;"i, mga testimonya ng saksi, o anumang iba pang nauugnay na dokumentasyon.
* **Mga Legal na Gastos:** Maaaring magastos ang paghahain ng mga kaso, at madalas na inirerekomenda ang legal na representasyon. Maingat na timbangin ang mga potensyal na gastos la"&amp;"ban sa mga inaasahang benepisyo ng legal na aksyon.
* **Pangako sa Oras:** Maaaring mahaba ang mga legal na paglilitis, kaya maging handa para sa pangako sa oras na kasangkot sa paghabol ng isang legal na kaso.
**Alternatibong Paglutas ng Dispute (ADR):**"&amp;"
* **Mediation o Arbitration:** Sa ilang mga kaso, ang pamamagitan o arbitration ay maaaring isang alternatibo sa paglilitis. Ang mga opsyong ito ay maaaring maging mas mabilis at mas mura, na nag-aalok ng pagkakataong makipagkasundo sa negosyo sa labas n"&amp;"g korte.
**Naghahanap ng Legal na Payo:**
Lubos na ipinapayong kumunsulta sa isang abogado na dalubhasa sa batas ng negosyo at laban sa katiwalian upang suriin ang mga partikular na kalagayan ng iyong kaso. Maaari silang magpayo sa pinakaangkop na legal n"&amp;"a paraan upang ituloy, tasahin ang potensyal para sa tagumpay, at gabayan ka sa legal na proseso.
**Tandaan:** * Ang pag-uulat ng katiwalian ay maaaring isang mahirap na proseso, ngunit ito ay mahalaga para sa pagsulong ng transparency at pananagutan sa l"&amp;"oob ng mga negosyo.
* Ang gobyerno ng Pilipinas ay may iba't ibang ahensya na nakatuon sa pag-iimbestiga at pagtugon sa katiwalian. Ang pag-uulat ng mga kasanayang ito ay maaaring mag-ambag sa isang mas patas na kapaligiran ng negosyo para sa lahat.")</f>
        <v>Ang mga indibidwal na nakaranas ng mga pagkalugi sa pananalapi dahil sa mga katiwalian sa loob ng isang negosyo sa Pilipinas ay may ilang mga legal na paraan na magagamit nila, depende sa partikular na katangian ng katiwalian:
**Mga Paghahabla Sibil:**
* **Paglabag sa Kontrata:** Kung ang isang negosyo ay pumasok sa isang kontrata sa indibidwal at pagkatapos ay nasangkot sa mga tiwaling gawi na pumigil sa kanila sa pagtupad sa kontrata, ang isang demanda para sa paglabag sa kontrata ay maaaring isang opsyon. Ito ay maaaring humantong sa pagbawi ng mga pagkalugi sa pananalapi na natamo dahil sa paglabag.
* **Pandaraya o Panlilinlang:** Kung ang negosyo ay nasangkot sa mapanlinlang na misrepresentasyon o pagtatago ng mga materyal na katotohanan na naging sanhi ng pagkalugi ng indibidwal sa pananalapi, ang isang demanda para sa pandaraya o panlilinlang ay maaaring ituloy. Maaari rin itong humantong sa pagbawi ng mga pagkalugi at potensyal na mga pinsalang parusa.
* **Hindi Makatarungang Pagpapayaman:** Kung ang negosyo ay kumita sa pananalapi sa pamamagitan ng mga tiwaling gawi sa kapinsalaan ng indibidwal, maaaring magsampa ng demanda para sa hindi makatarungang pagpapayaman. Ito ay naglalayong mabawi ang ill-gotten gains mula sa negosyo.
**Pag-uulat sa Mga Awtoridad:**
* **Securities and Exchange Commission (SEC):** Kung ang katiwalian ay nagsasangkot ng isang pampublikong nakalistang kumpanya, ang paghahain ng reklamo sa SEC ay maaaring isang opsyon. Maaaring imbestigahan ng SEC ang mga potensyal na paglabag sa mga batas ng securities at gumawa ng naaangkop na aksyon laban sa kumpanya.
* **Opisina ng Ombudsman:** Para sa katiwalian na kinasasangkutan ng mga pampublikong opisyal o ahensya ng gobyerno, ang paghahain ng reklamo sa Opisina ng Ombudsman ay maaaring isang angkop na hakbang ng aksyon. Iniimbestigahan ng Ombudsman ang mga reklamo ng malfeasance at misconduct sa pampublikong opisina.
* **Mga Ahensya sa Pagpapatupad ng Batas:** Depende sa uri ng mga tiwaling gawi, ang pag-uulat ng insidente sa mga ahensyang nagpapatupad ng batas tulad ng National Bureau of Investigation (NBI) ay maaaring humantong sa isang kriminal na imbestigasyon at potensyal na pag-uusig sa mga indibidwal na sangkot.
**Mga Hamon at Pagsasaalang-alang:**
* **Pagtitipon ng Ebidensya:** Ang pagbuo ng isang matibay na kaso ay nangangailangan ng pangangalap ng ebidensya upang suportahan ang mga claim ng pagkalugi sa pananalapi at ang pinagbabatayan ng mga tiwaling gawi. Maaaring kabilang dito ang mga kontrata, mga rekord sa pananalapi, mga testimonya ng saksi, o anumang iba pang nauugnay na dokumentasyon.
* **Mga Legal na Gastos:** Maaaring magastos ang paghahain ng mga kaso, at madalas na inirerekomenda ang legal na representasyon. Maingat na timbangin ang mga potensyal na gastos laban sa mga inaasahang benepisyo ng legal na aksyon.
* **Pangako sa Oras:** Maaaring mahaba ang mga legal na paglilitis, kaya maging handa para sa pangako sa oras na kasangkot sa paghabol ng isang legal na kaso.
**Alternatibong Paglutas ng Dispute (ADR):**
* **Mediation o Arbitration:** Sa ilang mga kaso, ang pamamagitan o arbitration ay maaaring isang alternatibo sa paglilitis. Ang mga opsyong ito ay maaaring maging mas mabilis at mas mura, na nag-aalok ng pagkakataong makipagkasundo sa negosyo sa labas ng korte.
**Naghahanap ng Legal na Payo:**
Lubos na ipinapayong kumunsulta sa isang abogado na dalubhasa sa batas ng negosyo at laban sa katiwalian upang suriin ang mga partikular na kalagayan ng iyong kaso. Maaari silang magpayo sa pinakaangkop na legal na paraan upang ituloy, tasahin ang potensyal para sa tagumpay, at gabayan ka sa legal na proseso.
**Tandaan:** * Ang pag-uulat ng katiwalian ay maaaring isang mahirap na proseso, ngunit ito ay mahalaga para sa pagsulong ng transparency at pananagutan sa loob ng mga negosyo.
* Ang gobyerno ng Pilipinas ay may iba't ibang ahensya na nakatuon sa pag-iimbestiga at pagtugon sa katiwalian. Ang pag-uulat ng mga kasanayang ito ay maaaring mag-ambag sa isang mas patas na kapaligiran ng negosyo para sa lahat.</v>
      </c>
      <c r="F1121" s="2">
        <f t="shared" si="1"/>
        <v>0</v>
      </c>
      <c r="G1121" s="2"/>
      <c r="H1121" s="2"/>
      <c r="I1121" s="2"/>
      <c r="J1121" s="2"/>
      <c r="K1121" s="2"/>
      <c r="L1121" s="2"/>
      <c r="M1121" s="2"/>
      <c r="N1121" s="2"/>
      <c r="O1121" s="2"/>
      <c r="P1121" s="2"/>
      <c r="Q1121" s="2"/>
      <c r="R1121" s="2"/>
      <c r="S1121" s="2"/>
      <c r="T1121" s="2"/>
      <c r="U1121" s="2"/>
      <c r="V1121" s="2"/>
      <c r="W1121" s="2"/>
      <c r="X1121" s="2"/>
      <c r="Y1121" s="2"/>
      <c r="Z1121" s="2"/>
      <c r="AA1121" s="2"/>
    </row>
    <row r="1122">
      <c r="A1122" s="1" t="s">
        <v>3356</v>
      </c>
      <c r="B1122" s="1" t="s">
        <v>3409</v>
      </c>
      <c r="C1122" s="1" t="s">
        <v>3410</v>
      </c>
      <c r="D1122" s="2" t="str">
        <f>IFERROR(__xludf.DUMMYFUNCTION("GOOGLETRANSLATE(B1122, ""en"", ""TL"")"),"Paano ko matitiyak na sumusunod ang aking negosyo sa mga batas laban sa money laundering upang maiwasan ang mga aktibidad na nauugnay sa katiwalian?")</f>
        <v>Paano ko matitiyak na sumusunod ang aking negosyo sa mga batas laban sa money laundering upang maiwasan ang mga aktibidad na nauugnay sa katiwalian?</v>
      </c>
      <c r="E1122" s="2" t="str">
        <f>IFERROR(__xludf.DUMMYFUNCTION("GOOGLETRANSLATE(C1122, ""en"", ""TL"")"),"Narito kung paano matitiyak ng iyong negosyo sa Pilipinas ang pagsunod sa mga batas laban sa money laundering (AML) at maiwasan ang mga aktibidad na nauugnay sa katiwalian:
**Pag-unawa sa Mga Regulasyon ng AML:**
* **Republic Act No. 10164 (Anti-Money Lau"&amp;"ndering Act o AMLA):** Sanayin ang iyong sarili sa pangunahing batas ng Philippine AML, AMLA, at sa mga tuntunin at regulasyon sa pagpapatupad nito na inisyu ng Anti-Money Laundering Council (AMLC). Ang mga regulasyong ito ay nagbabalangkas ng mga partiku"&amp;"lar na kinakailangan para sa mga sakop na tao, kabilang ang customer due diligence (CDD), kahina-hinalang pag-uulat ng transaksyon (STR), at pag-iingat ng rekord.
* **Mga Regulasyon na Partikular sa Industriya:** Ang ilang partikular na industriya, tulad "&amp;"ng mga bangko at institusyong pinansyal, ay maaaring magkaroon ng karagdagang mga kinakailangan sa pagsunod sa AML mula sa kani-kanilang mga regulator (hal., Bangko Sentral ng Pilipinas o BSP para sa mga institusyong pinansyal). **Pagpapatupad ng Mga Pang"&amp;"unahing Panukala:**
* **Customer Due Diligence (CDD):** Magsagawa ng masusing CDD sa lahat ng bago at umiiral nang mga customer. Kabilang dito ang pag-verify ng kanilang pagkakakilanlan at istraktura ng kapaki-pakinabang na pagmamay-ari, pag-unawa sa kali"&amp;"kasan at layunin ng kanilang relasyon sa negosyo sa iyong kumpanya, at pagtatasa ng kanilang mga panganib sa money laundering.
* **Know Your Customer (KYC):** Bilang bahagi ng CDD, ipatupad ang isang mahusay na proseso ng KYC upang maunawaan ang pagkakaki"&amp;"lanlan at background ng iyong mga customer. Makakatulong ito na matukoy ang mga potensyal na pulang bandila na nauugnay sa mga aktibidad sa katiwalian o money laundering.
* **Suspicious Transaction Reporting (STR):** Magtatag ng mga malinaw na pamamaraan "&amp;"para sa pagtukoy at pag-uulat ng mga kahina-hinalang transaksyon sa AMLC. Sanayin ang mga empleyado na tukuyin ang mga pulang bandila tulad ng malalaking transaksyon sa pera, hindi pangkaraniwang pattern ng aktibidad, o mga transaksyong hindi naaayon sa m"&amp;"ga profile ng customer.
**Pagpapalakas ng Mga Internal na Kontrol:**
* **Paghihiwalay ng mga Tungkulin:** Paghiwalayin ang mga kritikal na gawain tulad ng pag-iingat ng rekord, pagproseso ng transaksyon, at pagsubaybay sa pagsunod upang mabawasan ang pang"&amp;"anib ng panloob na sabwatan para sa mga layunin ng money laundering.
* **Pagmamanman ng Transaksyon:** Magpatupad ng isang epektibong sistema ng pagsubaybay sa transaksyon upang matukoy ang mga kahina-hinalang pattern ng aktibidad na maaaring maiugnay sa "&amp;"katiwalian o money laundering.
* **Panloob na Pag-audit:** Magsagawa ng mga pana-panahong panloob na pag-audit upang masuri ang pagiging epektibo ng iyong programa sa pagsunod sa AML at tukuyin ang anumang mga kahinaan na nangangailangan ng pagpapabuti.
*"&amp;"*Pagsasanay at Kamalayan ng Empleyado:**
* **Regular na Pagsasanay:** Magbigay ng regular na pagsasanay para sa lahat ng empleyado, partikular sa mga kasangkot sa onboarding ng customer, pagproseso ng transaksyon, at mga function ng pagsunod. Dapat saklaw"&amp;"in ng pagsasanay ang mga regulasyon ng AML, pagkilala sa pulang bandila, at mga pamamaraan sa pag-uulat.
* **Kultura ng Pagsunod:** Paunlarin ang kultura ng pagsunod sa loob ng iyong kumpanya kung saan nauunawaan ng mga empleyado ang kahalagahan ng mga re"&amp;"gulasyon ng AML at kumportable silang mag-ulat ng kahina-hinalang aktibidad nang walang takot sa paghihiganti.
**Mga Karagdagang Pagsasaalang-alang:**
* **Mga Relasyon ng Third-Party:** Magsagawa ng angkop na pagsusumikap sa mga potensyal na kasosyo sa ne"&amp;"gosyo at vendor upang maunawaan ang kanilang mga kagawian sa pagsunod sa AML at mabawasan ang panganib ng pagkakaugnay sa mga aktibidad sa money laundering.
* **Risk-Based Approach:** Iangkop ang iyong programa sa pagsunod sa AML sa iyong partikular na ak"&amp;"tibidad sa negosyo at profile sa peligro. Ang mga negosyong may mataas na peligro ay maaaring mangailangan ng mas mahigpit na kontrol kumpara sa mga negosyong mababa ang panganib.
* **Pananatiling Na-update:** Maaaring mag-evolve ang mga regulasyon ng AML"&amp;" at red flag sa paglipas ng panahon. Manatiling updated sa mga pinakabagong development at iakma ang iyong programa nang naaayon.
**Mga Benepisyo ng Malakas na Pagsunod sa AML:**
Sa pamamagitan ng pagpapatupad ng mga hakbang na ito, ang iyong negosyo ay m"&amp;"aaaring:
* **Bawasan ang panganib ng money laundering at mga nauugnay na aktibidad ng katiwalian.**
* **Iwasan ang mabigat na multa at parusa para sa hindi pagsunod sa mga regulasyon ng AML.**
* **Protektahan ang iyong reputasyon at imahe ng brand.**
* **"&amp;"Ipakita ang iyong pangako sa etikal at malinaw na mga kasanayan sa negosyo.**
**Mga Mapagkukunan:**
* **Anti-Money Laundering Council (AMLC) Philippines:** [http://www.amlc.gov.ph/](http://www.amlc.gov.ph/) * **Bangko Sentral ng Pilipinas (BSP):** [https:"&amp;"//www.bsp.gov.ph/](https://www.bsp.gov.ph/)
Sa pamamagitan ng pagsunod sa mga alituntuning ito at paghingi ng karagdagang patnubay mula sa legal o mga propesyonal sa pagsunod kung kinakailangan, masisiguro mong gumagana ang iyong negosyo sa Pilipinas sa l"&amp;"oob ng legal na balangkas at aktibong nilalabanan ang katiwalian sa pamamagitan ng matibay na mga hakbang sa pagsunod sa AML.")</f>
        <v>Narito kung paano matitiyak ng iyong negosyo sa Pilipinas ang pagsunod sa mga batas laban sa money laundering (AML) at maiwasan ang mga aktibidad na nauugnay sa katiwalian:
**Pag-unawa sa Mga Regulasyon ng AML:**
* **Republic Act No. 10164 (Anti-Money Laundering Act o AMLA):** Sanayin ang iyong sarili sa pangunahing batas ng Philippine AML, AMLA, at sa mga tuntunin at regulasyon sa pagpapatupad nito na inisyu ng Anti-Money Laundering Council (AMLC). Ang mga regulasyong ito ay nagbabalangkas ng mga partikular na kinakailangan para sa mga sakop na tao, kabilang ang customer due diligence (CDD), kahina-hinalang pag-uulat ng transaksyon (STR), at pag-iingat ng rekord.
* **Mga Regulasyon na Partikular sa Industriya:** Ang ilang partikular na industriya, tulad ng mga bangko at institusyong pinansyal, ay maaaring magkaroon ng karagdagang mga kinakailangan sa pagsunod sa AML mula sa kani-kanilang mga regulator (hal., Bangko Sentral ng Pilipinas o BSP para sa mga institusyong pinansyal). **Pagpapatupad ng Mga Pangunahing Panukala:**
* **Customer Due Diligence (CDD):** Magsagawa ng masusing CDD sa lahat ng bago at umiiral nang mga customer. Kabilang dito ang pag-verify ng kanilang pagkakakilanlan at istraktura ng kapaki-pakinabang na pagmamay-ari, pag-unawa sa kalikasan at layunin ng kanilang relasyon sa negosyo sa iyong kumpanya, at pagtatasa ng kanilang mga panganib sa money laundering.
* **Know Your Customer (KYC):** Bilang bahagi ng CDD, ipatupad ang isang mahusay na proseso ng KYC upang maunawaan ang pagkakakilanlan at background ng iyong mga customer. Makakatulong ito na matukoy ang mga potensyal na pulang bandila na nauugnay sa mga aktibidad sa katiwalian o money laundering.
* **Suspicious Transaction Reporting (STR):** Magtatag ng mga malinaw na pamamaraan para sa pagtukoy at pag-uulat ng mga kahina-hinalang transaksyon sa AMLC. Sanayin ang mga empleyado na tukuyin ang mga pulang bandila tulad ng malalaking transaksyon sa pera, hindi pangkaraniwang pattern ng aktibidad, o mga transaksyong hindi naaayon sa mga profile ng customer.
**Pagpapalakas ng Mga Internal na Kontrol:**
* **Paghihiwalay ng mga Tungkulin:** Paghiwalayin ang mga kritikal na gawain tulad ng pag-iingat ng rekord, pagproseso ng transaksyon, at pagsubaybay sa pagsunod upang mabawasan ang panganib ng panloob na sabwatan para sa mga layunin ng money laundering.
* **Pagmamanman ng Transaksyon:** Magpatupad ng isang epektibong sistema ng pagsubaybay sa transaksyon upang matukoy ang mga kahina-hinalang pattern ng aktibidad na maaaring maiugnay sa katiwalian o money laundering.
* **Panloob na Pag-audit:** Magsagawa ng mga pana-panahong panloob na pag-audit upang masuri ang pagiging epektibo ng iyong programa sa pagsunod sa AML at tukuyin ang anumang mga kahinaan na nangangailangan ng pagpapabuti.
**Pagsasanay at Kamalayan ng Empleyado:**
* **Regular na Pagsasanay:** Magbigay ng regular na pagsasanay para sa lahat ng empleyado, partikular sa mga kasangkot sa onboarding ng customer, pagproseso ng transaksyon, at mga function ng pagsunod. Dapat saklawin ng pagsasanay ang mga regulasyon ng AML, pagkilala sa pulang bandila, at mga pamamaraan sa pag-uulat.
* **Kultura ng Pagsunod:** Paunlarin ang kultura ng pagsunod sa loob ng iyong kumpanya kung saan nauunawaan ng mga empleyado ang kahalagahan ng mga regulasyon ng AML at kumportable silang mag-ulat ng kahina-hinalang aktibidad nang walang takot sa paghihiganti.
**Mga Karagdagang Pagsasaalang-alang:**
* **Mga Relasyon ng Third-Party:** Magsagawa ng angkop na pagsusumikap sa mga potensyal na kasosyo sa negosyo at vendor upang maunawaan ang kanilang mga kagawian sa pagsunod sa AML at mabawasan ang panganib ng pagkakaugnay sa mga aktibidad sa money laundering.
* **Risk-Based Approach:** Iangkop ang iyong programa sa pagsunod sa AML sa iyong partikular na aktibidad sa negosyo at profile sa peligro. Ang mga negosyong may mataas na peligro ay maaaring mangailangan ng mas mahigpit na kontrol kumpara sa mga negosyong mababa ang panganib.
* **Pananatiling Na-update:** Maaaring mag-evolve ang mga regulasyon ng AML at red flag sa paglipas ng panahon. Manatiling updated sa mga pinakabagong development at iakma ang iyong programa nang naaayon.
**Mga Benepisyo ng Malakas na Pagsunod sa AML:**
Sa pamamagitan ng pagpapatupad ng mga hakbang na ito, ang iyong negosyo ay maaaring:
* **Bawasan ang panganib ng money laundering at mga nauugnay na aktibidad ng katiwalian.**
* **Iwasan ang mabigat na multa at parusa para sa hindi pagsunod sa mga regulasyon ng AML.**
* **Protektahan ang iyong reputasyon at imahe ng brand.**
* **Ipakita ang iyong pangako sa etikal at malinaw na mga kasanayan sa negosyo.**
**Mga Mapagkukunan:**
* **Anti-Money Laundering Council (AMLC) Philippines:** [http://www.amlc.gov.ph/](http://www.amlc.gov.ph/) * **Bangko Sentral ng Pilipinas (BSP):** [https://www.bsp.gov.ph/](https://www.bsp.gov.ph/)
Sa pamamagitan ng pagsunod sa mga alituntuning ito at paghingi ng karagdagang patnubay mula sa legal o mga propesyonal sa pagsunod kung kinakailangan, masisiguro mong gumagana ang iyong negosyo sa Pilipinas sa loob ng legal na balangkas at aktibong nilalabanan ang katiwalian sa pamamagitan ng matibay na mga hakbang sa pagsunod sa AML.</v>
      </c>
      <c r="F1122" s="2">
        <f t="shared" si="1"/>
        <v>0</v>
      </c>
      <c r="G1122" s="2"/>
      <c r="H1122" s="2"/>
      <c r="I1122" s="2"/>
      <c r="J1122" s="2"/>
      <c r="K1122" s="2"/>
      <c r="L1122" s="2"/>
      <c r="M1122" s="2"/>
      <c r="N1122" s="2"/>
      <c r="O1122" s="2"/>
      <c r="P1122" s="2"/>
      <c r="Q1122" s="2"/>
      <c r="R1122" s="2"/>
      <c r="S1122" s="2"/>
      <c r="T1122" s="2"/>
      <c r="U1122" s="2"/>
      <c r="V1122" s="2"/>
      <c r="W1122" s="2"/>
      <c r="X1122" s="2"/>
      <c r="Y1122" s="2"/>
      <c r="Z1122" s="2"/>
      <c r="AA1122" s="2"/>
    </row>
    <row r="1123">
      <c r="A1123" s="1" t="s">
        <v>3356</v>
      </c>
      <c r="B1123" s="1" t="s">
        <v>3411</v>
      </c>
      <c r="C1123" s="1" t="s">
        <v>3412</v>
      </c>
      <c r="D1123" s="2" t="str">
        <f>IFERROR(__xludf.DUMMYFUNCTION("GOOGLETRANSLATE(B1123, ""en"", ""TL"")"),"Maaari ka bang magbigay ng gabay sa pagbuo at pagpapatupad ng isang epektibong programa sa pagsunod laban sa katiwalian para sa aking negosyo?")</f>
        <v>Maaari ka bang magbigay ng gabay sa pagbuo at pagpapatupad ng isang epektibong programa sa pagsunod laban sa katiwalian para sa aking negosyo?</v>
      </c>
      <c r="E1123" s="2" t="str">
        <f>IFERROR(__xludf.DUMMYFUNCTION("GOOGLETRANSLATE(C1123, ""en"", ""TL"")"),"## Pagbuo at Pagpapatupad ng Epektibong Programa sa Pagsunod laban sa Korupsyon sa Pilipinas
Ang isang epektibong programa sa pagsunod sa laban sa katiwalian ay tumutulong sa iyong negosyo sa Pilipinas na mabawasan ang mga panganib sa katiwalian, itaguyod"&amp;" ang etikal na pag-uugali, at magpakita ng pangako sa mabuting pamamahala ng korporasyon. Narito ang isang roadmap upang gabayan ka sa proseso:
**1. Magtatag ng Pangako sa Pamumuno:**
* **Pagbili ng Pamamahala:** I-secure ang malakas na pangako mula sa se"&amp;"nior management na unahin ang mga hakbang laban sa katiwalian. Ito ang nagtatakda ng tono para sa buong organisasyon at binibigyang-diin ang kahalagahan ng etikal na pag-uugali.
* **Patakaran sa Anti-Corruption:** Bumuo ng malinaw at komprehensibong patak"&amp;"aran laban sa katiwalian na nagbabalangkas sa paninindigan ng kumpanya sa panunuhol, mga pagbabayad sa pagpapadali, at iba pang mga katiwalian. Ang patakarang ito ay dapat ma-access ng lahat ng empleyado.
**2. Magsagawa ng Pagtatasa ng Panganib:**
* **Kil"&amp;"alanin ang Mga Kahinaan:** Magsagawa ng masusing pagtatasa ng panganib upang matukoy ang mga bahagi ng iyong negosyo na pinaka-madaling kapitan sa katiwalian. Isaalang-alang ang mga salik tulad ng mga kasanayan sa industriya, mga heyograpikong lokasyon, a"&amp;"t mga uri ng mga transaksyon. * **Priyoridad ang Mga Panganib:** Unahin ang mga natukoy na panganib batay sa kanilang posibilidad na mangyari at potensyal na epekto sa negosyo. Ituon ang mga mapagkukunan sa pagpapagaan ng mga lugar na may mataas na peligr"&amp;"o.
**3. Ipatupad ang Mga Panloob na Kontrol:**
* **Paghihiwalay ng mga Tungkulin:** Paghiwalayin ang mga kritikal na gawain tulad ng pagkuha, pag-apruba, at pag-iingat ng rekord upang mabawasan ang panganib ng mga indibidwal na nagsasamantala sa mga salun"&amp;"gatan ng interes para sa personal na pakinabang.
* **Mga Kontrol sa Anti-Corruption:** Magpatupad ng mga partikular na kontrol upang matugunan ang mga natukoy na panganib sa katiwalian. Maaaring kabilang dito ang mga paghihigpit sa pagbibigay ng regalo, a"&amp;"ngkop na pagsusumikap sa mga third-party na kasosyo, at wastong pag-iingat ng rekord ng pananalapi.
* **Mekanismo ng Whistleblowing:** Magtatag ng isang secure at kumpidensyal na mekanismo ng whistleblowing para sa mga empleyado na mag-ulat ng pinaghihina"&amp;"laang katiwalian nang walang takot sa paghihiganti. Ito ay mahalaga para sa pag-alis ng mga potensyal na maling gawain.
**4. Pagsasanay at Kamalayan:**
* **Pagsasanay laban sa Korupsyon:** Magbigay ng komprehensibong pagsasanay laban sa katiwalian para sa"&amp;" lahat ng empleyado sa lahat ng antas. Dapat saklawin ng pagsasanay ang patakaran ng kumpanya laban sa katiwalian, pagkilala sa mga pulang bandila, at wastong pamamaraan ng pag-uulat.
* **Regular na Pagsasanay:** Magsagawa ng regular na refresher na pagsa"&amp;"sanay upang matiyak na ang mga empleyado ay mananatiling may kaalaman tungkol sa kanilang mga obligasyon at panatilihin ang paksa ng anti-korapsyon sa unahan ng kanilang isipan.
**5. Pagsubaybay at Pagpapatupad:**
* **Mga Pana-panahong Pagsusuri:** Magsag"&amp;"awa ng mga pana-panahong pagsusuri ng iyong programa laban sa katiwalian upang masuri ang pagiging epektibo nito at matukoy ang mga lugar para sa pagpapabuti. Nakakatulong ito na matiyak na nananatiling may kaugnayan ang programa at umaangkop sa nagbabago"&amp;"ng mga pangyayari.
* **Pagkilos sa Pagdidisiplina:** Magtatag ng malinaw at mahusay na naisapubliko na mga pamamaraan sa pagdidisiplina para sa mga paglabag sa patakaran laban sa katiwalian. Ang pare-parehong pagpapatupad ay nagpapakita ng kaseryosohan ng"&amp;" programa.
**6. Patuloy na Pagpapabuti:**
* **Mga Mekanismo ng Feedback:** Magpatupad ng mga mekanismo para mangalap ng feedback mula sa mga empleyado sa pagiging epektibo ng programang laban sa katiwalian. Nagbibigay-daan ito sa iyo na tukuyin ang mga lu"&amp;"gar para sa pagpapabuti at tugunan ang mga alalahanin.
* **Patuloy na Pag-aaral:** Manatiling updated sa mga umuunlad na batas laban sa katiwalian at pinakamahuhusay na kagawian. Tinitiyak nito na ang iyong programa ay nananatiling sumusunod at umaangkop "&amp;"sa pagbabago ng mga kapaligiran sa regulasyon.
**Mga Karagdagang Pagsasaalang-alang:**
* **Third-Party Due Diligence:** Magsagawa ng masusing due diligence sa mga potensyal na kasosyo sa negosyo at vendor. Nakakatulong ito na mabawasan ang panganib ng pag"&amp;"kakaugnay sa mga tiwaling gawi.
* **Kultura ng Integridad:** Itaguyod ang isang kultura ng integridad sa loob ng iyong kumpanya, kung saan ang etikal na pag-uugali ay pinahahalagahan at ginagantimpalaan. Higit pa ito sa mga nakasulat na patakaran at nanga"&amp;"ngailangan ng patuloy na pagsisikap na isulong ang etikal na pag-uugali.
**Mga Mapagkukunan:**
* **Securities and Exchange Commission (SEC) Philippines:** [https://www.sec.gov.ph/](https://www.sec.gov.ph/) * **Philippine Anti-Corruption Commission (PACC):"&amp;"** [https://pacc.gov.ph/](https://pacc.gov.ph/)
* **International Chamber of Commerce (ICC):** [https://iccwbo.org/global-insights/integrity-and-good-governance/anti-corruption/](https://iccwbo.org/global- insights/integrity-and-good-governance/anti-corru"&amp;"ption/)
**Sa pamamagitan ng pagsunod sa mga hakbang na ito at patuloy na pagpipino sa iyong programa, maaari kang lumikha ng isang matatag na balangkas sa pagsunod laban sa katiwalian na nagpoprotekta sa iyong negosyo, nagpo-promote ng mga etikal na kasan"&amp;"ayan, at nagtataguyod ng kultura ng transparency sa loob ng iyong kumpanya sa Pilipinas.**")</f>
        <v>## Pagbuo at Pagpapatupad ng Epektibong Programa sa Pagsunod laban sa Korupsyon sa Pilipinas
Ang isang epektibong programa sa pagsunod sa laban sa katiwalian ay tumutulong sa iyong negosyo sa Pilipinas na mabawasan ang mga panganib sa katiwalian, itaguyod ang etikal na pag-uugali, at magpakita ng pangako sa mabuting pamamahala ng korporasyon. Narito ang isang roadmap upang gabayan ka sa proseso:
**1. Magtatag ng Pangako sa Pamumuno:**
* **Pagbili ng Pamamahala:** I-secure ang malakas na pangako mula sa senior management na unahin ang mga hakbang laban sa katiwalian. Ito ang nagtatakda ng tono para sa buong organisasyon at binibigyang-diin ang kahalagahan ng etikal na pag-uugali.
* **Patakaran sa Anti-Corruption:** Bumuo ng malinaw at komprehensibong patakaran laban sa katiwalian na nagbabalangkas sa paninindigan ng kumpanya sa panunuhol, mga pagbabayad sa pagpapadali, at iba pang mga katiwalian. Ang patakarang ito ay dapat ma-access ng lahat ng empleyado.
**2. Magsagawa ng Pagtatasa ng Panganib:**
* **Kilalanin ang Mga Kahinaan:** Magsagawa ng masusing pagtatasa ng panganib upang matukoy ang mga bahagi ng iyong negosyo na pinaka-madaling kapitan sa katiwalian. Isaalang-alang ang mga salik tulad ng mga kasanayan sa industriya, mga heyograpikong lokasyon, at mga uri ng mga transaksyon. * **Priyoridad ang Mga Panganib:** Unahin ang mga natukoy na panganib batay sa kanilang posibilidad na mangyari at potensyal na epekto sa negosyo. Ituon ang mga mapagkukunan sa pagpapagaan ng mga lugar na may mataas na peligro.
**3. Ipatupad ang Mga Panloob na Kontrol:**
* **Paghihiwalay ng mga Tungkulin:** Paghiwalayin ang mga kritikal na gawain tulad ng pagkuha, pag-apruba, at pag-iingat ng rekord upang mabawasan ang panganib ng mga indibidwal na nagsasamantala sa mga salungatan ng interes para sa personal na pakinabang.
* **Mga Kontrol sa Anti-Corruption:** Magpatupad ng mga partikular na kontrol upang matugunan ang mga natukoy na panganib sa katiwalian. Maaaring kabilang dito ang mga paghihigpit sa pagbibigay ng regalo, angkop na pagsusumikap sa mga third-party na kasosyo, at wastong pag-iingat ng rekord ng pananalapi.
* **Mekanismo ng Whistleblowing:** Magtatag ng isang secure at kumpidensyal na mekanismo ng whistleblowing para sa mga empleyado na mag-ulat ng pinaghihinalaang katiwalian nang walang takot sa paghihiganti. Ito ay mahalaga para sa pag-alis ng mga potensyal na maling gawain.
**4. Pagsasanay at Kamalayan:**
* **Pagsasanay laban sa Korupsyon:** Magbigay ng komprehensibong pagsasanay laban sa katiwalian para sa lahat ng empleyado sa lahat ng antas. Dapat saklawin ng pagsasanay ang patakaran ng kumpanya laban sa katiwalian, pagkilala sa mga pulang bandila, at wastong pamamaraan ng pag-uulat.
* **Regular na Pagsasanay:** Magsagawa ng regular na refresher na pagsasanay upang matiyak na ang mga empleyado ay mananatiling may kaalaman tungkol sa kanilang mga obligasyon at panatilihin ang paksa ng anti-korapsyon sa unahan ng kanilang isipan.
**5. Pagsubaybay at Pagpapatupad:**
* **Mga Pana-panahong Pagsusuri:** Magsagawa ng mga pana-panahong pagsusuri ng iyong programa laban sa katiwalian upang masuri ang pagiging epektibo nito at matukoy ang mga lugar para sa pagpapabuti. Nakakatulong ito na matiyak na nananatiling may kaugnayan ang programa at umaangkop sa nagbabagong mga pangyayari.
* **Pagkilos sa Pagdidisiplina:** Magtatag ng malinaw at mahusay na naisapubliko na mga pamamaraan sa pagdidisiplina para sa mga paglabag sa patakaran laban sa katiwalian. Ang pare-parehong pagpapatupad ay nagpapakita ng kaseryosohan ng programa.
**6. Patuloy na Pagpapabuti:**
* **Mga Mekanismo ng Feedback:** Magpatupad ng mga mekanismo para mangalap ng feedback mula sa mga empleyado sa pagiging epektibo ng programang laban sa katiwalian. Nagbibigay-daan ito sa iyo na tukuyin ang mga lugar para sa pagpapabuti at tugunan ang mga alalahanin.
* **Patuloy na Pag-aaral:** Manatiling updated sa mga umuunlad na batas laban sa katiwalian at pinakamahuhusay na kagawian. Tinitiyak nito na ang iyong programa ay nananatiling sumusunod at umaangkop sa pagbabago ng mga kapaligiran sa regulasyon.
**Mga Karagdagang Pagsasaalang-alang:**
* **Third-Party Due Diligence:** Magsagawa ng masusing due diligence sa mga potensyal na kasosyo sa negosyo at vendor. Nakakatulong ito na mabawasan ang panganib ng pagkakaugnay sa mga tiwaling gawi.
* **Kultura ng Integridad:** Itaguyod ang isang kultura ng integridad sa loob ng iyong kumpanya, kung saan ang etikal na pag-uugali ay pinahahalagahan at ginagantimpalaan. Higit pa ito sa mga nakasulat na patakaran at nangangailangan ng patuloy na pagsisikap na isulong ang etikal na pag-uugali.
**Mga Mapagkukunan:**
* **Securities and Exchange Commission (SEC) Philippines:** [https://www.sec.gov.ph/](https://www.sec.gov.ph/) * **Philippine Anti-Corruption Commission (PACC):** [https://pacc.gov.ph/](https://pacc.gov.ph/)
* **International Chamber of Commerce (ICC):** [https://iccwbo.org/global-insights/integrity-and-good-governance/anti-corruption/](https://iccwbo.org/global- insights/integrity-and-good-governance/anti-corruption/)
**Sa pamamagitan ng pagsunod sa mga hakbang na ito at patuloy na pagpipino sa iyong programa, maaari kang lumikha ng isang matatag na balangkas sa pagsunod laban sa katiwalian na nagpoprotekta sa iyong negosyo, nagpo-promote ng mga etikal na kasanayan, at nagtataguyod ng kultura ng transparency sa loob ng iyong kumpanya sa Pilipinas.**</v>
      </c>
      <c r="F1123" s="2">
        <f t="shared" si="1"/>
        <v>0</v>
      </c>
      <c r="G1123" s="2"/>
      <c r="H1123" s="2"/>
      <c r="I1123" s="2"/>
      <c r="J1123" s="2"/>
      <c r="K1123" s="2"/>
      <c r="L1123" s="2"/>
      <c r="M1123" s="2"/>
      <c r="N1123" s="2"/>
      <c r="O1123" s="2"/>
      <c r="P1123" s="2"/>
      <c r="Q1123" s="2"/>
      <c r="R1123" s="2"/>
      <c r="S1123" s="2"/>
      <c r="T1123" s="2"/>
      <c r="U1123" s="2"/>
      <c r="V1123" s="2"/>
      <c r="W1123" s="2"/>
      <c r="X1123" s="2"/>
      <c r="Y1123" s="2"/>
      <c r="Z1123" s="2"/>
      <c r="AA1123" s="2"/>
    </row>
    <row r="1124">
      <c r="A1124" s="1" t="s">
        <v>3356</v>
      </c>
      <c r="B1124" s="1" t="s">
        <v>3413</v>
      </c>
      <c r="C1124" s="1" t="s">
        <v>3414</v>
      </c>
      <c r="D1124" s="2" t="str">
        <f>IFERROR(__xludf.DUMMYFUNCTION("GOOGLETRANSLATE(B1124, ""en"", ""TL"")"),"Ano ang papel na ginagampanan ng mga ahensya ng regulasyon sa pag-iimbestiga at pag-uusig ng mga kaso ng katiwalian sa loob ng sektor ng negosyo?")</f>
        <v>Ano ang papel na ginagampanan ng mga ahensya ng regulasyon sa pag-iimbestiga at pag-uusig ng mga kaso ng katiwalian sa loob ng sektor ng negosyo?</v>
      </c>
      <c r="E1124" s="2" t="str">
        <f>IFERROR(__xludf.DUMMYFUNCTION("GOOGLETRANSLATE(C1124, ""en"", ""TL"")"),"Ang mga ahensya ng regulasyon sa Pilipinas ay may mahalagang papel sa pag-iimbestiga at pag-uusig ng mga kaso ng katiwalian sa loob ng sektor ng negosyo. Narito ang isang breakdown ng kanilang mga pangunahing function:
**Pagsisiyasat:**
* **Pagsasagawa ng"&amp;" Mga Pagtatanong at Pag-audit:** Ang mga ahensya ng regulasyon ay may awtoridad na magsagawa ng mga pagsisiyasat, pagtatanong, at pag-audit ng mga negosyo sa loob ng kanilang nasasakupan. Maaaring kabilang sa mga pagsisiyasat na ito ang pagrepaso sa mga r"&amp;"ekord ng pananalapi, pakikipanayam sa mga empleyado, at pangangalap ng ebidensya ng potensyal na katiwalian.
* **Pakikipagtulungan sa Ibang Ahensya:** Ang mga ahensya ng regulasyon ay madalas na nakikipagtulungan sa iba pang mga investigative body, tulad "&amp;"ng Office of the Ombudsman o National Bureau of Investigation (NBI), upang magbahagi ng impormasyon at mga mapagkukunan para sa isang mas komprehensibong imbestigasyon.
* **Sumusunod sa Nararapat na Proseso:** Habang nagsasagawa ng mga pagsisiyasat, ang m"&amp;"ga ahensya ng regulasyon ay obligado na itaguyod ang mga karapatan sa angkop na proseso ng mga negosyong nasa ilalim ng imbestigasyon. Kabilang dito ang pagbibigay sa kanila ng pagkakataong tumugon sa mga paratang at iharap ang kanilang kaso.
**Mga Admini"&amp;"stratibong Pagkilos:**
* **Pagpapataw ng mga multa at Parusa:** Kung ang isang negosyo ay napatunayang nasangkot sa mga tiwaling gawi, ang mga ahensya ng regulasyon ay maaaring magpataw ng iba't ibang administratibong parusa, kabilang ang mga multa, pagsu"&amp;"suspinde ng lisensya, o pagbawi.
* **Mga Pagwawasto:** Maaaring hilingin ng mga ahensya ng regulasyon ang mga negosyo na magpatupad ng mga hakbang sa pagwawasto upang matugunan ang mga natukoy na kahinaan sa kanilang mga panloob na kontrol o mga programa "&amp;"sa pagsunod. Nakakatulong ito na maiwasan ang mga hinaharap na pagkakataon ng katiwalian.
**Pagsisimula ng Mga Legal na Pamamaraan:**
* **Pagtitipon ng Ebidensya para sa Pag-uusig:** Habang ang mga ahensya ng regulasyon ay hindi maaaring direktang mag-usi"&amp;"g ng mga kaso ng katiwalian, gumaganap sila ng mahalagang papel sa pangangalap ng ebidensya at pagbuo ng mga matitinding kaso para sa pag-uusig ng ibang mga entity tulad ng Office of the Ombudsman o Department of Justice (DOJ) .
* **Referral sa Mga Tagaus"&amp;"ig:** Kung ang isang pagsisiyasat ay matuklasan ang sapat na katibayan ng kriminal na maling gawain, karaniwang ire-refer ng regulatory agency ang kaso sa naaangkop na prosecutorial body para sa karagdagang aksyon.
**Mga Halimbawa ng Regulatory Agencies:*"&amp;"*
* **Securities and Exchange Commission (SEC):** Nangangasiwa sa mga kumpanyang nakalista sa publiko at nag-iimbestiga ng mga potensyal na iregularidad sa pananalapi, kabilang ang mga may kinalaman sa panunuhol o pandaraya sa accounting.
* **Bangko Sentr"&amp;"al ng Pilipinas (BSP):** Kinokontrol ang sektor ng pananalapi at sinisiyasat ang mga potensyal na aktibidad sa money laundering na maaaring maiugnay sa katiwalian.
* **Mga Regulator na Partikular sa Industriya:** Ilang ahensya ang nangangasiwa sa mga part"&amp;"ikular na industriya, gaya ng Philippine Competition Commission (PCC) o Energy Regulatory Commission (ERC). Maaari nilang imbestigahan ang katiwalian sa loob ng kani-kanilang sektor.
**Kahalagahan ng Mga Ulat ng Whistleblower:**
* **Pinagmulan ng Impormas"&amp;"yon:** Ang mga ahensya ng regulasyon ay lubos na umaasa sa impormasyong nakalap sa pamamagitan ng mga ulat ng whistleblower upang magsimula ng mga pagsisiyasat at tumuklas ng mga potensyal na katiwalian sa loob ng mga negosyo. Nag-aalok sila ng mga mekani"&amp;"smo ng proteksyon para sa mga whistleblower upang hikayatin ang pag-uulat.
**Mga Limitasyon:**
* **Tumuon sa Mga Aksyon sa Administratibo:** Ang mga ahensya ng regulasyon ay pangunahing nagpapatupad ng kanilang sariling mga regulasyon at nagpapataw ng mga"&amp;" parusang administratibo. Maaaring wala silang awtoridad na direktang mag-usig ng mga kriminal na pagkakasala.
* **Resource Constraints:** Ang ilang ahensya ng regulasyon ay maaaring humarap sa mga limitasyon sa mapagkukunan na maaaring hadlangan ang sakl"&amp;"aw at lalim ng kanilang mga pagsisiyasat.
**Sa pangkalahatan, ang mga ahensya ng regulasyon ay kumikilos bilang isang mahalagang unang linya ng depensa sa paglaban sa katiwalian sa loob ng sektor ng negosyo sa Pilipinas.** Sa pamamagitan ng pagsasagawa ng"&amp;" mga pagsisiyasat, pagpataw ng mga parusa, at pakikipagtulungan sa iba pang mga entity, malaki ang kanilang kontribusyon sa pagpapaunlad ng isang mas malinaw at etikal na kapaligiran ng negosyo .")</f>
        <v>Ang mga ahensya ng regulasyon sa Pilipinas ay may mahalagang papel sa pag-iimbestiga at pag-uusig ng mga kaso ng katiwalian sa loob ng sektor ng negosyo. Narito ang isang breakdown ng kanilang mga pangunahing function:
**Pagsisiyasat:**
* **Pagsasagawa ng Mga Pagtatanong at Pag-audit:** Ang mga ahensya ng regulasyon ay may awtoridad na magsagawa ng mga pagsisiyasat, pagtatanong, at pag-audit ng mga negosyo sa loob ng kanilang nasasakupan. Maaaring kabilang sa mga pagsisiyasat na ito ang pagrepaso sa mga rekord ng pananalapi, pakikipanayam sa mga empleyado, at pangangalap ng ebidensya ng potensyal na katiwalian.
* **Pakikipagtulungan sa Ibang Ahensya:** Ang mga ahensya ng regulasyon ay madalas na nakikipagtulungan sa iba pang mga investigative body, tulad ng Office of the Ombudsman o National Bureau of Investigation (NBI), upang magbahagi ng impormasyon at mga mapagkukunan para sa isang mas komprehensibong imbestigasyon.
* **Sumusunod sa Nararapat na Proseso:** Habang nagsasagawa ng mga pagsisiyasat, ang mga ahensya ng regulasyon ay obligado na itaguyod ang mga karapatan sa angkop na proseso ng mga negosyong nasa ilalim ng imbestigasyon. Kabilang dito ang pagbibigay sa kanila ng pagkakataong tumugon sa mga paratang at iharap ang kanilang kaso.
**Mga Administratibong Pagkilos:**
* **Pagpapataw ng mga multa at Parusa:** Kung ang isang negosyo ay napatunayang nasangkot sa mga tiwaling gawi, ang mga ahensya ng regulasyon ay maaaring magpataw ng iba't ibang administratibong parusa, kabilang ang mga multa, pagsususpinde ng lisensya, o pagbawi.
* **Mga Pagwawasto:** Maaaring hilingin ng mga ahensya ng regulasyon ang mga negosyo na magpatupad ng mga hakbang sa pagwawasto upang matugunan ang mga natukoy na kahinaan sa kanilang mga panloob na kontrol o mga programa sa pagsunod. Nakakatulong ito na maiwasan ang mga hinaharap na pagkakataon ng katiwalian.
**Pagsisimula ng Mga Legal na Pamamaraan:**
* **Pagtitipon ng Ebidensya para sa Pag-uusig:** Habang ang mga ahensya ng regulasyon ay hindi maaaring direktang mag-usig ng mga kaso ng katiwalian, gumaganap sila ng mahalagang papel sa pangangalap ng ebidensya at pagbuo ng mga matitinding kaso para sa pag-uusig ng ibang mga entity tulad ng Office of the Ombudsman o Department of Justice (DOJ) .
* **Referral sa Mga Tagausig:** Kung ang isang pagsisiyasat ay matuklasan ang sapat na katibayan ng kriminal na maling gawain, karaniwang ire-refer ng regulatory agency ang kaso sa naaangkop na prosecutorial body para sa karagdagang aksyon.
**Mga Halimbawa ng Regulatory Agencies:**
* **Securities and Exchange Commission (SEC):** Nangangasiwa sa mga kumpanyang nakalista sa publiko at nag-iimbestiga ng mga potensyal na iregularidad sa pananalapi, kabilang ang mga may kinalaman sa panunuhol o pandaraya sa accounting.
* **Bangko Sentral ng Pilipinas (BSP):** Kinokontrol ang sektor ng pananalapi at sinisiyasat ang mga potensyal na aktibidad sa money laundering na maaaring maiugnay sa katiwalian.
* **Mga Regulator na Partikular sa Industriya:** Ilang ahensya ang nangangasiwa sa mga partikular na industriya, gaya ng Philippine Competition Commission (PCC) o Energy Regulatory Commission (ERC). Maaari nilang imbestigahan ang katiwalian sa loob ng kani-kanilang sektor.
**Kahalagahan ng Mga Ulat ng Whistleblower:**
* **Pinagmulan ng Impormasyon:** Ang mga ahensya ng regulasyon ay lubos na umaasa sa impormasyong nakalap sa pamamagitan ng mga ulat ng whistleblower upang magsimula ng mga pagsisiyasat at tumuklas ng mga potensyal na katiwalian sa loob ng mga negosyo. Nag-aalok sila ng mga mekanismo ng proteksyon para sa mga whistleblower upang hikayatin ang pag-uulat.
**Mga Limitasyon:**
* **Tumuon sa Mga Aksyon sa Administratibo:** Ang mga ahensya ng regulasyon ay pangunahing nagpapatupad ng kanilang sariling mga regulasyon at nagpapataw ng mga parusang administratibo. Maaaring wala silang awtoridad na direktang mag-usig ng mga kriminal na pagkakasala.
* **Resource Constraints:** Ang ilang ahensya ng regulasyon ay maaaring humarap sa mga limitasyon sa mapagkukunan na maaaring hadlangan ang saklaw at lalim ng kanilang mga pagsisiyasat.
**Sa pangkalahatan, ang mga ahensya ng regulasyon ay kumikilos bilang isang mahalagang unang linya ng depensa sa paglaban sa katiwalian sa loob ng sektor ng negosyo sa Pilipinas.** Sa pamamagitan ng pagsasagawa ng mga pagsisiyasat, pagpataw ng mga parusa, at pakikipagtulungan sa iba pang mga entity, malaki ang kanilang kontribusyon sa pagpapaunlad ng isang mas malinaw at etikal na kapaligiran ng negosyo .</v>
      </c>
      <c r="F1124" s="2">
        <f t="shared" si="1"/>
        <v>0</v>
      </c>
      <c r="G1124" s="2"/>
      <c r="H1124" s="2"/>
      <c r="I1124" s="2"/>
      <c r="J1124" s="2"/>
      <c r="K1124" s="2"/>
      <c r="L1124" s="2"/>
      <c r="M1124" s="2"/>
      <c r="N1124" s="2"/>
      <c r="O1124" s="2"/>
      <c r="P1124" s="2"/>
      <c r="Q1124" s="2"/>
      <c r="R1124" s="2"/>
      <c r="S1124" s="2"/>
      <c r="T1124" s="2"/>
      <c r="U1124" s="2"/>
      <c r="V1124" s="2"/>
      <c r="W1124" s="2"/>
      <c r="X1124" s="2"/>
      <c r="Y1124" s="2"/>
      <c r="Z1124" s="2"/>
      <c r="AA1124" s="2"/>
    </row>
    <row r="1125">
      <c r="A1125" s="1" t="s">
        <v>3356</v>
      </c>
      <c r="B1125" s="1" t="s">
        <v>3415</v>
      </c>
      <c r="C1125" s="1" t="s">
        <v>3416</v>
      </c>
      <c r="D1125" s="2" t="str">
        <f>IFERROR(__xludf.DUMMYFUNCTION("GOOGLETRANSLATE(B1125, ""en"", ""TL"")"),"Paano karaniwang gumagana ang plea bargain at settlements sa mga kaso na kinasasangkutan ng mga paratang ng katiwalian sa loob ng isang negosyo?")</f>
        <v>Paano karaniwang gumagana ang plea bargain at settlements sa mga kaso na kinasasangkutan ng mga paratang ng katiwalian sa loob ng isang negosyo?</v>
      </c>
      <c r="E1125" s="2" t="str">
        <f>IFERROR(__xludf.DUMMYFUNCTION("GOOGLETRANSLATE(C1125, ""en"", ""TL"")"),"Ang Pilipinas ay may medyo limitadong aplikasyon ng plea bargain sa mga kaso ng katiwalian, partikular ang mga may kinalaman sa mga negosyo. Narito ang isang breakdown ng kung ano ang maaari mong asahan:
**Limitadong Paggamit ng Plea Bargain:**
* **Tumuon"&amp;" sa Paglilitis:** Ang sistemang legal ng Pilipinas sa pangkalahatan ay inuuna ang buong proseso ng paglilitis para sa mga kaso ng katiwalian. Nagbibigay-daan ito para sa isang masusing pagsisiyasat, paglalahad ng ebidensya, at isang tiyak na desisyon.
* *"&amp;"*Pampublikong Interes:** Ang mga kaso ng katiwalian ay madalas na nakikita bilang mga krimen laban sa publiko, at may matinding diin sa pagpapanagot sa lahat ng partido sa pamamagitan ng pampublikong paglilitis.
**Mga Potensyal na Sitwasyon para sa Mga Se"&amp;"ttlement:**
Bagama't hindi karaniwan ang plea bargain, maaaring may mga sitwasyon kung saan naabot ang mga pakikipag-ayos sa pagitan ng mga tagausig at mga negosyong inakusahan ng katiwalian:
* **Pagtutulungan at Pagbabalik:** Kung ang isang negosyo ay ga"&amp;"nap na nakipagtulungan sa pagsisiyasat, nagbibigay ng ebidensya laban sa ibang mga partidong kasangkot, at nag-aalok na magbayad para sa mga pinsalang naidulot, maaaring makipag-ayos ang isang kasunduan upang maiwasan ang isang mahabang paglilitis.
* **Ad"&amp;"ministrative Resolution:** Sa ilang mga kaso, ang kaso ay maaaring malutas sa pamamagitan ng isang administratibong proseso sa isang ahensya ng gobyerno, na nagreresulta sa mga multa o iba pang mga parusa sa halip na mga kriminal na singil.
**Mga Pagsasaa"&amp;"lang-alang para sa Mga Negosyo:**
* **Mga Benepisyo ng Pakikipagtulungan:** Ang pakikipagtulungan sa mga awtoridad at pag-aalok ng buong pagsisiwalat ay maaaring potensyal na humantong sa isang mas maluwag na resulta kumpara sa isang pinagtatalunang pagsu"&amp;"bok na may potensyal na paghatol.
* **Limitadong Paghuhusga:** Ang mga tagausig ay may limitadong paghuhusga sa pag-aalok ng plea bargain, lalo na sa mataas na profile na mga kaso ng katiwalian. Ang panggigipit ng publiko ay madalas na nagtutulak para sa "&amp;"isang buong pagsubok upang matiyak ang pananagutan.
* **Pinsala sa Reputasyon:** Kahit na maabot ang isang kasunduan, ang negatibong publisidad na nauugnay sa mga paratang ng katiwalian ay maaari pa ring makapinsala sa reputasyon ng negosyo.
**Mga Alterna"&amp;"tibo sa Plea Bargains:**
* **Malakas na Mga Programa sa Pagsunod:** Ang pagkakaroon ng matatag na programa sa pagsunod laban sa katiwalian na may malinaw na mga patakaran, pagsasanay para sa mga empleyado, at mekanismo ng whistleblowing ay maaaring magpak"&amp;"ita ng pangako sa mga etikal na kasanayan at potensyal na mabawasan ang mga parusa sa kaso ng maling pag-uugali.
* **Mga Panloob na Pagsisiyasat:** Ang pagsasagawa ng masusing panloob na pagsisiyasat ay maaaring makatulong na matukoy ang maling gawain sa "&amp;"loob ng kumpanya at magpakita ng isang proactive na diskarte sa pagtugon sa katiwalian.
**Tandaan:**
* Ang pagkonsulta sa isang abogado na dalubhasa sa mga batas laban sa katiwalian ng Pilipinas ay napakahalaga para sa pag-navigate sa anumang posibleng ka"&amp;"so ng katiwalian na kinasasangkutan ng iyong negosyo. Maaari silang magpayo sa pinakamahusay na paraan ng pagkilos, isinasaalang-alang ang mga partikular na pangyayari at potensyal para sa mga pakikipag-ayos.
* Bagama't ang plea bargain ay maaaring isang "&amp;"posibilidad sa ilang limitadong sitwasyon, ang pagtuon sa pag-iwas sa pamamagitan ng malakas na pagsunod sa mga programa at etikal na mga kasanayan sa negosyo ay isang mas epektibong diskarte upang maiwasan ang mga paratang sa katiwalian.")</f>
        <v>Ang Pilipinas ay may medyo limitadong aplikasyon ng plea bargain sa mga kaso ng katiwalian, partikular ang mga may kinalaman sa mga negosyo. Narito ang isang breakdown ng kung ano ang maaari mong asahan:
**Limitadong Paggamit ng Plea Bargain:**
* **Tumuon sa Paglilitis:** Ang sistemang legal ng Pilipinas sa pangkalahatan ay inuuna ang buong proseso ng paglilitis para sa mga kaso ng katiwalian. Nagbibigay-daan ito para sa isang masusing pagsisiyasat, paglalahad ng ebidensya, at isang tiyak na desisyon.
* **Pampublikong Interes:** Ang mga kaso ng katiwalian ay madalas na nakikita bilang mga krimen laban sa publiko, at may matinding diin sa pagpapanagot sa lahat ng partido sa pamamagitan ng pampublikong paglilitis.
**Mga Potensyal na Sitwasyon para sa Mga Settlement:**
Bagama't hindi karaniwan ang plea bargain, maaaring may mga sitwasyon kung saan naabot ang mga pakikipag-ayos sa pagitan ng mga tagausig at mga negosyong inakusahan ng katiwalian:
* **Pagtutulungan at Pagbabalik:** Kung ang isang negosyo ay ganap na nakipagtulungan sa pagsisiyasat, nagbibigay ng ebidensya laban sa ibang mga partidong kasangkot, at nag-aalok na magbayad para sa mga pinsalang naidulot, maaaring makipag-ayos ang isang kasunduan upang maiwasan ang isang mahabang paglilitis.
* **Administrative Resolution:** Sa ilang mga kaso, ang kaso ay maaaring malutas sa pamamagitan ng isang administratibong proseso sa isang ahensya ng gobyerno, na nagreresulta sa mga multa o iba pang mga parusa sa halip na mga kriminal na singil.
**Mga Pagsasaalang-alang para sa Mga Negosyo:**
* **Mga Benepisyo ng Pakikipagtulungan:** Ang pakikipagtulungan sa mga awtoridad at pag-aalok ng buong pagsisiwalat ay maaaring potensyal na humantong sa isang mas maluwag na resulta kumpara sa isang pinagtatalunang pagsubok na may potensyal na paghatol.
* **Limitadong Paghuhusga:** Ang mga tagausig ay may limitadong paghuhusga sa pag-aalok ng plea bargain, lalo na sa mataas na profile na mga kaso ng katiwalian. Ang panggigipit ng publiko ay madalas na nagtutulak para sa isang buong pagsubok upang matiyak ang pananagutan.
* **Pinsala sa Reputasyon:** Kahit na maabot ang isang kasunduan, ang negatibong publisidad na nauugnay sa mga paratang ng katiwalian ay maaari pa ring makapinsala sa reputasyon ng negosyo.
**Mga Alternatibo sa Plea Bargains:**
* **Malakas na Mga Programa sa Pagsunod:** Ang pagkakaroon ng matatag na programa sa pagsunod laban sa katiwalian na may malinaw na mga patakaran, pagsasanay para sa mga empleyado, at mekanismo ng whistleblowing ay maaaring magpakita ng pangako sa mga etikal na kasanayan at potensyal na mabawasan ang mga parusa sa kaso ng maling pag-uugali.
* **Mga Panloob na Pagsisiyasat:** Ang pagsasagawa ng masusing panloob na pagsisiyasat ay maaaring makatulong na matukoy ang maling gawain sa loob ng kumpanya at magpakita ng isang proactive na diskarte sa pagtugon sa katiwalian.
**Tandaan:**
* Ang pagkonsulta sa isang abogado na dalubhasa sa mga batas laban sa katiwalian ng Pilipinas ay napakahalaga para sa pag-navigate sa anumang posibleng kaso ng katiwalian na kinasasangkutan ng iyong negosyo. Maaari silang magpayo sa pinakamahusay na paraan ng pagkilos, isinasaalang-alang ang mga partikular na pangyayari at potensyal para sa mga pakikipag-ayos.
* Bagama't ang plea bargain ay maaaring isang posibilidad sa ilang limitadong sitwasyon, ang pagtuon sa pag-iwas sa pamamagitan ng malakas na pagsunod sa mga programa at etikal na mga kasanayan sa negosyo ay isang mas epektibong diskarte upang maiwasan ang mga paratang sa katiwalian.</v>
      </c>
      <c r="F1125" s="2">
        <f t="shared" si="1"/>
        <v>0</v>
      </c>
      <c r="G1125" s="2"/>
      <c r="H1125" s="2"/>
      <c r="I1125" s="2"/>
      <c r="J1125" s="2"/>
      <c r="K1125" s="2"/>
      <c r="L1125" s="2"/>
      <c r="M1125" s="2"/>
      <c r="N1125" s="2"/>
      <c r="O1125" s="2"/>
      <c r="P1125" s="2"/>
      <c r="Q1125" s="2"/>
      <c r="R1125" s="2"/>
      <c r="S1125" s="2"/>
      <c r="T1125" s="2"/>
      <c r="U1125" s="2"/>
      <c r="V1125" s="2"/>
      <c r="W1125" s="2"/>
      <c r="X1125" s="2"/>
      <c r="Y1125" s="2"/>
      <c r="Z1125" s="2"/>
      <c r="AA1125" s="2"/>
    </row>
    <row r="1126">
      <c r="A1126" s="1" t="s">
        <v>3356</v>
      </c>
      <c r="B1126" s="1" t="s">
        <v>3417</v>
      </c>
      <c r="C1126" s="1" t="s">
        <v>3418</v>
      </c>
      <c r="D1126" s="2" t="str">
        <f>IFERROR(__xludf.DUMMYFUNCTION("GOOGLETRANSLATE(B1126, ""en"", ""TL"")"),"Ano ang batas ng mga limitasyon para sa pagdadala ng legal na aksyon laban sa mga indibidwal o negosyong sangkot sa mga tiwaling aktibidad?")</f>
        <v>Ano ang batas ng mga limitasyon para sa pagdadala ng legal na aksyon laban sa mga indibidwal o negosyong sangkot sa mga tiwaling aktibidad?</v>
      </c>
      <c r="E1126" s="2" t="str">
        <f>IFERROR(__xludf.DUMMYFUNCTION("GOOGLETRANSLATE(C1126, ""en"", ""TL"")"),"Ang batas ng mga limitasyon para sa pagdadala ng legal na aksyon laban sa mga indibidwal o negosyong sangkot sa mga tiwaling aktibidad sa Pilipinas ay nakasalalay sa partikular na pagkakasala:
* **Mga krimen sa ilalim ng Revised Penal Code (RPC):** Ito an"&amp;"g pangunahing criminal code ng Pilipinas. Itinatakda ng Artikulo 90 ng RPC ang pangkalahatang panahon ng pagrereseta para sa karamihan ng mga kriminal na pagkakasala sa **15 taon** mula sa petsa na ginawa ang krimen.
* **Mga krimen sa ilalim ng Republic A"&amp;"ct No. 3019 (Anti-Graft and Corrupt Practices Act o RA 3019):** Ang batas na ito ay partikular na tumutugon sa katiwalian na kinasasangkutan ng mga pampublikong opisyal. Section 11 of RA 3019, as amyended by Batas Pambansa Blg. 195, ay nagsasaad na ang pa"&amp;"nahon ng reseta para sa mga pagkakasala sa ilalim ng batas na ito ay **15 taon din**.
* **Mga Exception at Extension:** Mayroong ilang mga exception at sitwasyon kung saan maaaring pahabain ang panahon ng reseta. Halimbawa, ang pagpapatakbo ng panahon ng "&amp;"reseta ay maaaring masuspinde kung ang akusado ay isang takas mula sa hustisya. Binabalangkas ng Artikulo 91 ng RPC ang mga pagbubukod na ito.
**Pagtukoy sa Naaangkop na Batas:**
Ang partikular na batas ng mga limitasyon na naaangkop sa isang kaso ng kati"&amp;"walian ay nakasalalay sa uri ng pagkakasala. Narito ang isang pangkalahatang breakdown:
* **Mga Opisyal ng Pampubliko:** Kung ang katiwalian ay kinasasangkutan ng isang pampublikong opisyal, parehong maaaring ilapat ang RPC at RA 3019. Ang mga tagausig ay"&amp;" malamang na maghahabol ng mga kaso sa ilalim ng batas na may mas malupit na parusa.
* **Mga Pribadong Indibidwal/Negosyo:** Kung ang katiwalian ay kinasasangkutan ng mga pribadong indibidwal o negosyong hindi itinuturing na mga pampublikong opisyal, ang "&amp;"nauugnay na batas ay malamang na ang RPC. **Pagtuklas at Pag-file:**
Mahalagang tandaan na ang batas ng mga limitasyon ay nagsimulang tumakbo mula sa araw na matuklasan ang krimen ng nasaktang partido, ng mga awtoridad, o ng kanilang mga ahente (Artikulo "&amp;"91 ng RPC). Nangangahulugan ito na kahit na naganap ang krimen 15 taon na ang nakakaraan, kung kamakailan lamang ito natuklasan, maaaring may panahon pa para magsampa ng legal na aksyon.
**Pagkonsulta sa isang Abogado:**
Para sa isang tiyak na sagot sa ba"&amp;"tas ng mga limitasyon na naaangkop sa isang partikular na kaso ng katiwalian, lubos na ipinapayong kumunsulta sa isang abogadong dalubhasa sa mga batas laban sa katiwalian ng Pilipinas. Maaari nilang suriin ang mga partikular na katotohanan at pangyayari "&amp;"at matukoy ang nauugnay na batas at anumang potensyal na pagpapalawig sa panahon ng paghaharap.")</f>
        <v>Ang batas ng mga limitasyon para sa pagdadala ng legal na aksyon laban sa mga indibidwal o negosyong sangkot sa mga tiwaling aktibidad sa Pilipinas ay nakasalalay sa partikular na pagkakasala:
* **Mga krimen sa ilalim ng Revised Penal Code (RPC):** Ito ang pangunahing criminal code ng Pilipinas. Itinatakda ng Artikulo 90 ng RPC ang pangkalahatang panahon ng pagrereseta para sa karamihan ng mga kriminal na pagkakasala sa **15 taon** mula sa petsa na ginawa ang krimen.
* **Mga krimen sa ilalim ng Republic Act No. 3019 (Anti-Graft and Corrupt Practices Act o RA 3019):** Ang batas na ito ay partikular na tumutugon sa katiwalian na kinasasangkutan ng mga pampublikong opisyal. Section 11 of RA 3019, as amyended by Batas Pambansa Blg. 195, ay nagsasaad na ang panahon ng reseta para sa mga pagkakasala sa ilalim ng batas na ito ay **15 taon din**.
* **Mga Exception at Extension:** Mayroong ilang mga exception at sitwasyon kung saan maaaring pahabain ang panahon ng reseta. Halimbawa, ang pagpapatakbo ng panahon ng reseta ay maaaring masuspinde kung ang akusado ay isang takas mula sa hustisya. Binabalangkas ng Artikulo 91 ng RPC ang mga pagbubukod na ito.
**Pagtukoy sa Naaangkop na Batas:**
Ang partikular na batas ng mga limitasyon na naaangkop sa isang kaso ng katiwalian ay nakasalalay sa uri ng pagkakasala. Narito ang isang pangkalahatang breakdown:
* **Mga Opisyal ng Pampubliko:** Kung ang katiwalian ay kinasasangkutan ng isang pampublikong opisyal, parehong maaaring ilapat ang RPC at RA 3019. Ang mga tagausig ay malamang na maghahabol ng mga kaso sa ilalim ng batas na may mas malupit na parusa.
* **Mga Pribadong Indibidwal/Negosyo:** Kung ang katiwalian ay kinasasangkutan ng mga pribadong indibidwal o negosyong hindi itinuturing na mga pampublikong opisyal, ang nauugnay na batas ay malamang na ang RPC. **Pagtuklas at Pag-file:**
Mahalagang tandaan na ang batas ng mga limitasyon ay nagsimulang tumakbo mula sa araw na matuklasan ang krimen ng nasaktang partido, ng mga awtoridad, o ng kanilang mga ahente (Artikulo 91 ng RPC). Nangangahulugan ito na kahit na naganap ang krimen 15 taon na ang nakakaraan, kung kamakailan lamang ito natuklasan, maaaring may panahon pa para magsampa ng legal na aksyon.
**Pagkonsulta sa isang Abogado:**
Para sa isang tiyak na sagot sa batas ng mga limitasyon na naaangkop sa isang partikular na kaso ng katiwalian, lubos na ipinapayong kumunsulta sa isang abogadong dalubhasa sa mga batas laban sa katiwalian ng Pilipinas. Maaari nilang suriin ang mga partikular na katotohanan at pangyayari at matukoy ang nauugnay na batas at anumang potensyal na pagpapalawig sa panahon ng paghaharap.</v>
      </c>
      <c r="F1126" s="2">
        <f t="shared" si="1"/>
        <v>0</v>
      </c>
      <c r="G1126" s="2"/>
      <c r="H1126" s="2"/>
      <c r="I1126" s="2"/>
      <c r="J1126" s="2"/>
      <c r="K1126" s="2"/>
      <c r="L1126" s="2"/>
      <c r="M1126" s="2"/>
      <c r="N1126" s="2"/>
      <c r="O1126" s="2"/>
      <c r="P1126" s="2"/>
      <c r="Q1126" s="2"/>
      <c r="R1126" s="2"/>
      <c r="S1126" s="2"/>
      <c r="T1126" s="2"/>
      <c r="U1126" s="2"/>
      <c r="V1126" s="2"/>
      <c r="W1126" s="2"/>
      <c r="X1126" s="2"/>
      <c r="Y1126" s="2"/>
      <c r="Z1126" s="2"/>
      <c r="AA1126" s="2"/>
    </row>
    <row r="1127">
      <c r="A1127" s="1" t="s">
        <v>3356</v>
      </c>
      <c r="B1127" s="1" t="s">
        <v>3419</v>
      </c>
      <c r="C1127" s="1" t="s">
        <v>3420</v>
      </c>
      <c r="D1127" s="2" t="str">
        <f>IFERROR(__xludf.DUMMYFUNCTION("GOOGLETRANSLATE(B1127, ""en"", ""TL"")"),"Maaari mo bang ipaliwanag ang konsepto ng ""facilitation payments"" at ang kanilang legalidad sa konteksto ng katiwalian sa loob ng mga negosyo?")</f>
        <v>Maaari mo bang ipaliwanag ang konsepto ng "facilitation payments" at ang kanilang legalidad sa konteksto ng katiwalian sa loob ng mga negosyo?</v>
      </c>
      <c r="E1127" s="2" t="str">
        <f>IFERROR(__xludf.DUMMYFUNCTION("GOOGLETRANSLATE(C1127, ""en"", ""TL"")"),"Sa Pilipinas, ang mga pagbabayad sa pagpapadali ay itinuturing na isang uri ng katiwalian at ilegal. Narito ang isang breakdown ng konsepto at ang mga legal na implikasyon nito:
**Ano ang Facilitation Payments?**
Ang mga pagbabayad ng facilitation ay mali"&amp;"it, hindi opisyal na mga pagbabayad o mga benepisyo na inaalok upang mapabilis ang isang nakagawiang o legal na aksyon ng isang pampublikong opisyal. Ang mga pagbabayad na ito ay madalas na nakikita bilang isang ""pagbabayad ng grasa"" upang maiwasan ang "&amp;"mga pagkaantala o mga hadlang sa burukrasya.
**Mga Halimbawa ng Facilitation Payments sa Pilipinas:**
* Isang may-ari ng negosyo na nag-aalok ng cash na regalo sa isang inspektor ng gusali upang makaligtaan ang mga maliliit na paglabag sa code.
* Isang ku"&amp;"mpanya na nagbabayad sa isang opisyal ng customs upang mapabilis ang clearance ng mga imported na kalakal.
* Pagbibigay tip sa isang klerk ng gobyerno upang mas mabilis na maproseso ang aplikasyon ng business permit.
**Bakit Ilegal ang Facilitation Paymen"&amp;"ts?**
Ang Pilipinas ay may mahigpit na batas laban sa katiwalian, pangunahin ang Republic Act No. 3019 (Anti-Graft and Corrupt Practices Act o RA 3019). Ang batas na ito ay nagbabawal sa mga pampublikong opisyal sa paghingi o pagtanggap ng mga regalo o pa"&amp;"buya bilang kapalit ng kanilang mga tungkulin. Kahit na tila maliit ang pagbabayad sa pagpapadali at ang pagkilos na pinapabilis ay nakagawian, lumilikha ito ng kapaligiran kung saan maaaring umunlad ang katiwalian. Sinisira nito ang tiwala sa mga institu"&amp;"syon at lumilikha ng hindi pantay na larangan ng paglalaro para sa mga negosyo.
**Mga Legal na Repercussion:**
Parehong ang nagbibigay at tumatanggap ng bayad sa pagpapadali ay maaaring harapin ang mga legal na kahihinatnan:
* **Mga Pampublikong Opisyal:*"&amp;"* Ang mga pampublikong opisyal na tumatanggap ng mga pagbabayad sa pagpapadali ay maaaring sumailalim sa mga kasong kriminal, mga parusang pang-administratibo, at pagtanggal sa serbisyo.
* **Mga Negosyo:** Ang mga kumpanyang kasangkot sa pag-aalok ng mga "&amp;"pagbabayad sa pagpapadali ay maaaring maharap sa mga multa, pinsala sa reputasyon, at kahirapan sa pagkuha ng mga kontrata ng gobyerno sa hinaharap.
**Mga Alternatibo sa Mga Pagbabayad sa Facilitation:**
Palaging may mga legal at etikal na alternatibo sa "&amp;"mga pagbabayad sa pagpapadali:
* **Mga Wastong Pamamaraan:** Dapat sundin ng mga negosyo ang mga itinakdang pamamaraan at takdang panahon para sa pagkuha ng mga permit, lisensya, o clearance mula sa mga ahensya ng gobyerno.
* **Humingi ng Paglilinaw:** Ku"&amp;"ng mayroong anumang kalituhan tungkol sa mga regulasyon o pamamaraan, humingi ng paglilinaw mula sa kinauukulang ahensya ng gobyerno sa pamamagitan ng mga opisyal na channel.
* **Mag-ulat ng Mga Pang-aabuso:** Kung ang isang pampublikong opisyal ay humihi"&amp;"ngi ng bayad sa pagpapadali, iulat ang insidente sa mga kaukulang awtoridad, tulad ng Opisina ng Ombudsman.
**Tandaan:**
* May mga zero-tolerance na patakaran tungo sa mga pagbabayad sa pagpapadali sa Pilipinas. * Ang pagbuo ng kultura ng integridad at et"&amp;"ikal na mga gawi sa negosyo ay mahalaga para sa mga negosyong tumatakbo sa Pilipinas.
* Sa pamamagitan ng pagsunod sa batas at itinatag na mga pamamaraan, maiiwasan ng mga negosyo ang mga panganib at legal na kahihinatnan na nauugnay sa mga pagbabayad sa "&amp;"pagpapadali.")</f>
        <v>Sa Pilipinas, ang mga pagbabayad sa pagpapadali ay itinuturing na isang uri ng katiwalian at ilegal. Narito ang isang breakdown ng konsepto at ang mga legal na implikasyon nito:
**Ano ang Facilitation Payments?**
Ang mga pagbabayad ng facilitation ay maliit, hindi opisyal na mga pagbabayad o mga benepisyo na inaalok upang mapabilis ang isang nakagawiang o legal na aksyon ng isang pampublikong opisyal. Ang mga pagbabayad na ito ay madalas na nakikita bilang isang "pagbabayad ng grasa" upang maiwasan ang mga pagkaantala o mga hadlang sa burukrasya.
**Mga Halimbawa ng Facilitation Payments sa Pilipinas:**
* Isang may-ari ng negosyo na nag-aalok ng cash na regalo sa isang inspektor ng gusali upang makaligtaan ang mga maliliit na paglabag sa code.
* Isang kumpanya na nagbabayad sa isang opisyal ng customs upang mapabilis ang clearance ng mga imported na kalakal.
* Pagbibigay tip sa isang klerk ng gobyerno upang mas mabilis na maproseso ang aplikasyon ng business permit.
**Bakit Ilegal ang Facilitation Payments?**
Ang Pilipinas ay may mahigpit na batas laban sa katiwalian, pangunahin ang Republic Act No. 3019 (Anti-Graft and Corrupt Practices Act o RA 3019). Ang batas na ito ay nagbabawal sa mga pampublikong opisyal sa paghingi o pagtanggap ng mga regalo o pabuya bilang kapalit ng kanilang mga tungkulin. Kahit na tila maliit ang pagbabayad sa pagpapadali at ang pagkilos na pinapabilis ay nakagawian, lumilikha ito ng kapaligiran kung saan maaaring umunlad ang katiwalian. Sinisira nito ang tiwala sa mga institusyon at lumilikha ng hindi pantay na larangan ng paglalaro para sa mga negosyo.
**Mga Legal na Repercussion:**
Parehong ang nagbibigay at tumatanggap ng bayad sa pagpapadali ay maaaring harapin ang mga legal na kahihinatnan:
* **Mga Pampublikong Opisyal:** Ang mga pampublikong opisyal na tumatanggap ng mga pagbabayad sa pagpapadali ay maaaring sumailalim sa mga kasong kriminal, mga parusang pang-administratibo, at pagtanggal sa serbisyo.
* **Mga Negosyo:** Ang mga kumpanyang kasangkot sa pag-aalok ng mga pagbabayad sa pagpapadali ay maaaring maharap sa mga multa, pinsala sa reputasyon, at kahirapan sa pagkuha ng mga kontrata ng gobyerno sa hinaharap.
**Mga Alternatibo sa Mga Pagbabayad sa Facilitation:**
Palaging may mga legal at etikal na alternatibo sa mga pagbabayad sa pagpapadali:
* **Mga Wastong Pamamaraan:** Dapat sundin ng mga negosyo ang mga itinakdang pamamaraan at takdang panahon para sa pagkuha ng mga permit, lisensya, o clearance mula sa mga ahensya ng gobyerno.
* **Humingi ng Paglilinaw:** Kung mayroong anumang kalituhan tungkol sa mga regulasyon o pamamaraan, humingi ng paglilinaw mula sa kinauukulang ahensya ng gobyerno sa pamamagitan ng mga opisyal na channel.
* **Mag-ulat ng Mga Pang-aabuso:** Kung ang isang pampublikong opisyal ay humihingi ng bayad sa pagpapadali, iulat ang insidente sa mga kaukulang awtoridad, tulad ng Opisina ng Ombudsman.
**Tandaan:**
* May mga zero-tolerance na patakaran tungo sa mga pagbabayad sa pagpapadali sa Pilipinas. * Ang pagbuo ng kultura ng integridad at etikal na mga gawi sa negosyo ay mahalaga para sa mga negosyong tumatakbo sa Pilipinas.
* Sa pamamagitan ng pagsunod sa batas at itinatag na mga pamamaraan, maiiwasan ng mga negosyo ang mga panganib at legal na kahihinatnan na nauugnay sa mga pagbabayad sa pagpapadali.</v>
      </c>
      <c r="F1127" s="2">
        <f t="shared" si="1"/>
        <v>0</v>
      </c>
      <c r="G1127" s="2"/>
      <c r="H1127" s="2"/>
      <c r="I1127" s="2"/>
      <c r="J1127" s="2"/>
      <c r="K1127" s="2"/>
      <c r="L1127" s="2"/>
      <c r="M1127" s="2"/>
      <c r="N1127" s="2"/>
      <c r="O1127" s="2"/>
      <c r="P1127" s="2"/>
      <c r="Q1127" s="2"/>
      <c r="R1127" s="2"/>
      <c r="S1127" s="2"/>
      <c r="T1127" s="2"/>
      <c r="U1127" s="2"/>
      <c r="V1127" s="2"/>
      <c r="W1127" s="2"/>
      <c r="X1127" s="2"/>
      <c r="Y1127" s="2"/>
      <c r="Z1127" s="2"/>
      <c r="AA1127" s="2"/>
    </row>
    <row r="1128">
      <c r="A1128" s="1" t="s">
        <v>3356</v>
      </c>
      <c r="B1128" s="1" t="s">
        <v>3421</v>
      </c>
      <c r="C1128" s="1" t="s">
        <v>3422</v>
      </c>
      <c r="D1128" s="2" t="str">
        <f>IFERROR(__xludf.DUMMYFUNCTION("GOOGLETRANSLATE(B1128, ""en"", ""TL"")"),"Paano ako makakapag-navigate sa mga salungatan ng interes sa loob ng aking negosyo upang matiyak ang transparency at integridad?")</f>
        <v>Paano ako makakapag-navigate sa mga salungatan ng interes sa loob ng aking negosyo upang matiyak ang transparency at integridad?</v>
      </c>
      <c r="E1128" s="2" t="str">
        <f>IFERROR(__xludf.DUMMYFUNCTION("GOOGLETRANSLATE(C1128, ""en"", ""TL"")"),"Ang pag-navigate sa mga salungatan ng interes sa loob ng iyong negosyo ay nangangailangan ng multi-pronged na diskarte na nagbibigay-priyoridad sa transparency, integridad, at pagbabawas ng panganib. Narito kung paano mo ito makakamit:
**1. Magtatag ng Ma"&amp;"linaw na Mga Patakaran at Pamamaraan:**
* **Tukuyin ang Mga Salungatan ng Interes:** Bumuo ng isang malinaw at komprehensibong kahulugan ng kung ano ang bumubuo ng isang salungatan ng interes sa loob ng iyong kumpanya. Ang kahulugan na ito ay dapat sumakl"&amp;"aw sa mga sitwasyon kung saan ang mga personal na interes ng mga empleyado o pamamahala ay maaaring potensyal na sumalungat sa mga interes ng kumpanya. Magsama ng mga halimbawa upang magbigay ng kalinawan.
* **Patakaran sa Pagbubunyag:** Magpatupad ng isa"&amp;"ng mandatoryong patakaran sa pagsisiwalat na nangangailangan ng mga empleyado at pangunahing tauhan na ibunyag ang anumang potensyal na salungatan ng interes. Balangkas ang mga pamamaraan ng pagsisiwalat at kung kanino dapat iulat ang mga salungatan (supe"&amp;"rbisor, opisyal ng pagsunod, atbp.).
* **Pamamahala ng Mga Salungatan:** Magtatag ng isang malinaw na proseso para sa pamamahala ng mga isiniwalat na salungatan ng interes. Maaaring kabilang dito ang pagtanggi sa mga proseso ng paggawa ng desisyon, pag-al"&amp;"is ng magkasalungat na interes, o iba pang naaangkop na hakbang upang mabawasan ang panganib. **2. Pagyamanin ang Kultura ng Bukas na Komunikasyon:**
* **Hikayatin ang Pagbubunyag:** Lumikha ng isang kapaligiran kung saan kumportable ang mga empleyado na "&amp;"ibunyag ang mga potensyal na salungatan ng interes nang walang takot sa paghihiganti. Ito ay maaaring may kinalaman sa mga hindi kilalang mekanismo sa pag-uulat o mga tagapamahala ng pagsasanay upang maging madaling lapitan at kumpidensyal.
* **Mga Channe"&amp;"l ng Komunikasyon:** Magbigay ng malinaw at naa-access na mga channel para sa mga empleyado upang magpahayag ng mga alalahanin o mag-ulat ng mga pinaghihinalaang salungatan. Ito ay maaaring isang hotline, online portal, o itinalagang opisyal ng etika.
**3"&amp;". Magpatupad ng Malakas na Internal Controls:**
* **Paghihiwalay ng mga Tungkulin:** Paghiwalayin ang mga kritikal na gawain tulad ng pagkuha, pag-apruba, at pag-iingat ng rekord upang mabawasan ang posibilidad ng mga indibidwal na nagsasamantala sa mga s"&amp;"alungatan ng interes para sa personal na pakinabang.
* **Mga Proseso ng Pagsusuri:** Magtatag ng mga proseso ng pagsusuri para sa mga pangunahing desisyon upang matiyak ang pagiging objectivity at mabawasan ang panganib ng mga salungatan na nakakaimpluwen"&amp;"sya sa mga resulta nang hindi patas.
* **Pagsubaybay at Pag-audit:** Magsagawa ng mga pana-panahong pagsusuri ng mga potensyal na salungatan ng interes at ipatupad ang mga regular na pag-audit upang matukoy at matugunan ang anumang mga kahinaan sa pagkont"&amp;"rol.
**4. Mga Programa sa Pagsasanay at Kamalayan:**
* **Regular na Pagsasanay:** Magbigay ng regular na pagsasanay para sa mga empleyado sa lahat ng antas sa pagkakakilanlan ng salungatan ng interes, mga pamamaraan sa pagsisiwalat, at mga patakaran ng ku"&amp;"mpanya. Tinutulungan nito ang mga empleyado na maunawaan ang kanilang mga obligasyon at makilala ang mga potensyal na salungatan sa kanilang mga tungkulin.
* **Kaalaman sa Pamamahala:** Ang pamamahala ay dapat partikular na magkaroon ng kamalayan sa kanil"&amp;"ang tumaas na pagkamaramdamin sa mga salungatan ng interes at ang kahalagahan ng pagtataguyod ng mga pamantayang etikal.
**5. Transparency at Pananagutan:**
* **Pagsisiwalat ng Mga Salungatan:** Isaalang-alang ang pagsisiwalat sa publiko ng mga salungatan"&amp;" ng interes na kinasasangkutan ng nakatataas na pamamahala o yaong maaaring makabuluhang makaapekto sa kumpanya. Nagpapakita ito ng transparency at pananagutan sa mga stakeholder.
* **Mga Pagkilos na Pandisiplina:** Magkaroon ng malinaw na mga pamamaraan "&amp;"sa pagdidisiplina para sa mga paglabag sa mga patakaran sa salungatan ng interes. Pinatitibay nito ang kabigatan ng isyu at pinipigilan ang maling pag-uugali.
**Mga Karagdagang Pagsasaalang-alang:**
* **Mga Relasyon ng Third-Party:** Magsagawa ng angkop n"&amp;"a pagsusumikap sa mga potensyal na kasosyo sa negosyo at vendor upang maunawaan ang kanilang background at mga potensyal na salungatan ng interes. Magpatupad ng mga contractual clause tungkol sa etikal na pag-uugali at pag-iwas sa salungatan ng interes.
*"&amp;" **Mga Regalo at Libangan:** Magtatag ng malinaw na mga patakaran tungkol sa mga regalo at entertainment na inaalok o natanggap ng mga empleyado mula sa mga kasama sa negosyo. Nakakatulong ito na maiwasan ang pang-unawa ng hindi nararapat na impluwensya.
"&amp;"Sa pamamagitan ng pagpapatupad ng mga hakbang na ito, mabisa mong ma-navigate ang mga salungatan ng interes at bumuo ng mas matibay na pundasyon ng tiwala at etikal na pag-uugali sa loob ng iyong negosyo. Tandaan, ang isang maagap na diskarte ay mahalaga "&amp;"sa pagpapaunlad ng isang kultura ng transparency at pagpapagaan ng mga panganib na nauugnay sa mga salungatan ng interes.")</f>
        <v>Ang pag-navigate sa mga salungatan ng interes sa loob ng iyong negosyo ay nangangailangan ng multi-pronged na diskarte na nagbibigay-priyoridad sa transparency, integridad, at pagbabawas ng panganib. Narito kung paano mo ito makakamit:
**1. Magtatag ng Malinaw na Mga Patakaran at Pamamaraan:**
* **Tukuyin ang Mga Salungatan ng Interes:** Bumuo ng isang malinaw at komprehensibong kahulugan ng kung ano ang bumubuo ng isang salungatan ng interes sa loob ng iyong kumpanya. Ang kahulugan na ito ay dapat sumaklaw sa mga sitwasyon kung saan ang mga personal na interes ng mga empleyado o pamamahala ay maaaring potensyal na sumalungat sa mga interes ng kumpanya. Magsama ng mga halimbawa upang magbigay ng kalinawan.
* **Patakaran sa Pagbubunyag:** Magpatupad ng isang mandatoryong patakaran sa pagsisiwalat na nangangailangan ng mga empleyado at pangunahing tauhan na ibunyag ang anumang potensyal na salungatan ng interes. Balangkas ang mga pamamaraan ng pagsisiwalat at kung kanino dapat iulat ang mga salungatan (superbisor, opisyal ng pagsunod, atbp.).
* **Pamamahala ng Mga Salungatan:** Magtatag ng isang malinaw na proseso para sa pamamahala ng mga isiniwalat na salungatan ng interes. Maaaring kabilang dito ang pagtanggi sa mga proseso ng paggawa ng desisyon, pag-alis ng magkasalungat na interes, o iba pang naaangkop na hakbang upang mabawasan ang panganib. **2. Pagyamanin ang Kultura ng Bukas na Komunikasyon:**
* **Hikayatin ang Pagbubunyag:** Lumikha ng isang kapaligiran kung saan kumportable ang mga empleyado na ibunyag ang mga potensyal na salungatan ng interes nang walang takot sa paghihiganti. Ito ay maaaring may kinalaman sa mga hindi kilalang mekanismo sa pag-uulat o mga tagapamahala ng pagsasanay upang maging madaling lapitan at kumpidensyal.
* **Mga Channel ng Komunikasyon:** Magbigay ng malinaw at naa-access na mga channel para sa mga empleyado upang magpahayag ng mga alalahanin o mag-ulat ng mga pinaghihinalaang salungatan. Ito ay maaaring isang hotline, online portal, o itinalagang opisyal ng etika.
**3. Magpatupad ng Malakas na Internal Controls:**
* **Paghihiwalay ng mga Tungkulin:** Paghiwalayin ang mga kritikal na gawain tulad ng pagkuha, pag-apruba, at pag-iingat ng rekord upang mabawasan ang posibilidad ng mga indibidwal na nagsasamantala sa mga salungatan ng interes para sa personal na pakinabang.
* **Mga Proseso ng Pagsusuri:** Magtatag ng mga proseso ng pagsusuri para sa mga pangunahing desisyon upang matiyak ang pagiging objectivity at mabawasan ang panganib ng mga salungatan na nakakaimpluwensya sa mga resulta nang hindi patas.
* **Pagsubaybay at Pag-audit:** Magsagawa ng mga pana-panahong pagsusuri ng mga potensyal na salungatan ng interes at ipatupad ang mga regular na pag-audit upang matukoy at matugunan ang anumang mga kahinaan sa pagkontrol.
**4. Mga Programa sa Pagsasanay at Kamalayan:**
* **Regular na Pagsasanay:** Magbigay ng regular na pagsasanay para sa mga empleyado sa lahat ng antas sa pagkakakilanlan ng salungatan ng interes, mga pamamaraan sa pagsisiwalat, at mga patakaran ng kumpanya. Tinutulungan nito ang mga empleyado na maunawaan ang kanilang mga obligasyon at makilala ang mga potensyal na salungatan sa kanilang mga tungkulin.
* **Kaalaman sa Pamamahala:** Ang pamamahala ay dapat partikular na magkaroon ng kamalayan sa kanilang tumaas na pagkamaramdamin sa mga salungatan ng interes at ang kahalagahan ng pagtataguyod ng mga pamantayang etikal.
**5. Transparency at Pananagutan:**
* **Pagsisiwalat ng Mga Salungatan:** Isaalang-alang ang pagsisiwalat sa publiko ng mga salungatan ng interes na kinasasangkutan ng nakatataas na pamamahala o yaong maaaring makabuluhang makaapekto sa kumpanya. Nagpapakita ito ng transparency at pananagutan sa mga stakeholder.
* **Mga Pagkilos na Pandisiplina:** Magkaroon ng malinaw na mga pamamaraan sa pagdidisiplina para sa mga paglabag sa mga patakaran sa salungatan ng interes. Pinatitibay nito ang kabigatan ng isyu at pinipigilan ang maling pag-uugali.
**Mga Karagdagang Pagsasaalang-alang:**
* **Mga Relasyon ng Third-Party:** Magsagawa ng angkop na pagsusumikap sa mga potensyal na kasosyo sa negosyo at vendor upang maunawaan ang kanilang background at mga potensyal na salungatan ng interes. Magpatupad ng mga contractual clause tungkol sa etikal na pag-uugali at pag-iwas sa salungatan ng interes.
* **Mga Regalo at Libangan:** Magtatag ng malinaw na mga patakaran tungkol sa mga regalo at entertainment na inaalok o natanggap ng mga empleyado mula sa mga kasama sa negosyo. Nakakatulong ito na maiwasan ang pang-unawa ng hindi nararapat na impluwensya.
Sa pamamagitan ng pagpapatupad ng mga hakbang na ito, mabisa mong ma-navigate ang mga salungatan ng interes at bumuo ng mas matibay na pundasyon ng tiwala at etikal na pag-uugali sa loob ng iyong negosyo. Tandaan, ang isang maagap na diskarte ay mahalaga sa pagpapaunlad ng isang kultura ng transparency at pagpapagaan ng mga panganib na nauugnay sa mga salungatan ng interes.</v>
      </c>
      <c r="F1128" s="2">
        <f t="shared" si="1"/>
        <v>0</v>
      </c>
      <c r="G1128" s="2"/>
      <c r="H1128" s="2"/>
      <c r="I1128" s="2"/>
      <c r="J1128" s="2"/>
      <c r="K1128" s="2"/>
      <c r="L1128" s="2"/>
      <c r="M1128" s="2"/>
      <c r="N1128" s="2"/>
      <c r="O1128" s="2"/>
      <c r="P1128" s="2"/>
      <c r="Q1128" s="2"/>
      <c r="R1128" s="2"/>
      <c r="S1128" s="2"/>
      <c r="T1128" s="2"/>
      <c r="U1128" s="2"/>
      <c r="V1128" s="2"/>
      <c r="W1128" s="2"/>
      <c r="X1128" s="2"/>
      <c r="Y1128" s="2"/>
      <c r="Z1128" s="2"/>
      <c r="AA1128" s="2"/>
    </row>
    <row r="1129">
      <c r="A1129" s="1" t="s">
        <v>3356</v>
      </c>
      <c r="B1129" s="1" t="s">
        <v>3423</v>
      </c>
      <c r="C1129" s="1" t="s">
        <v>3424</v>
      </c>
      <c r="D1129" s="2" t="str">
        <f>IFERROR(__xludf.DUMMYFUNCTION("GOOGLETRANSLATE(B1129, ""en"", ""TL"")"),"Mayroon bang anumang mga regulasyon o alituntunin na partikular sa industriya tungkol sa katiwalian na kailangang sundin ng aking negosyo?")</f>
        <v>Mayroon bang anumang mga regulasyon o alituntunin na partikular sa industriya tungkol sa katiwalian na kailangang sundin ng aking negosyo?</v>
      </c>
      <c r="E1129" s="2" t="str">
        <f>IFERROR(__xludf.DUMMYFUNCTION("GOOGLETRANSLATE(C1129, ""en"", ""TL"")"),"Oo, may posibilidad na ang iyong negosyo ay kailangang sumunod sa mga regulasyon o alituntunin na partikular sa industriya tungkol sa katiwalian sa Pilipinas. Narito kung bakit:
**Lampas sa Mga Pangkalahatang Batas:**
Bagama't ang Pilipinas ay may mga pan"&amp;"gkalahatang batas laban sa katiwalian tulad ng Republic Act No. 3019 (Anti-Graft and Corrupt Practices Act o RA 3019), ang ilang ahensya ng gobyerno ay naglalabas ng mga regulasyon o alituntuning partikular sa industriya na tumutugon sa mga panganib sa ka"&amp;"tiwalian. Maaaring mas detalyado at partikular ang mga regulasyong ito kaysa sa mga pangkalahatang batas. **Mga Halimbawa ng Mga Regulasyon na Partikular sa Industriya:**
* **Securities and Exchange Commission (SEC):** Ang SEC ay namamahala sa mga kumpany"&amp;"ang nakalista sa publiko at naglabas ng mga circular na tumutugon sa mga kasanayan sa mahusay na corporate governance. Makakatulong ang mga kasanayang ito na mabawasan ang mga panganib sa katiwalian. * **Bangko Sentral ng Pilipinas (BSP):** Ang BSP, ang b"&amp;"angko sentral ng Pilipinas, ay naglalabas ng mga regulasyon para sa sektor ng pananalapi na maaaring tumugon sa anti-money laundering (AML) at kontra sa financing of terrorism (CFT), na maaaring mag-overlap sa mga pagsisikap laban sa katiwalian.
* **Profe"&amp;"ssional Regulation Commissions (PRCs):** Ang mga PRC na nangangasiwa sa iba't ibang propesyon (hal., mga inhinyero, doktor, abogado) ay maaaring may mga etikal na code na hindi direktang tumutugon sa mga panganib sa katiwalian sa loob ng kani-kanilang mga"&amp;" sektor.
**Paghahanap ng Mga Regulasyon na Partikular sa Industriya:**
Narito kung paano mo mahahanap ang mga regulasyon o alituntunin na partikular sa industriya:
* **Mga Website ng Ahensya ng Pamahalaan:** Bisitahin ang website ng ahensya ng gobyerno na"&amp;" kumokontrol sa iyong industriya. Maaaring mayroon silang nakalaang seksyon para sa mga panuntunan at regulasyon. * **Mga Asosasyon sa Industriya:** Ang mga asosasyon ng industriya ay madalas na nagpapaalam sa kanilang mga miyembro tungkol sa mga nauugnay"&amp;" na regulasyon at pinakamahuhusay na kagawian. Maaaring makapagbigay sila ng gabay sa mga hakbang laban sa katiwalian na partikular sa iyong sektor.
* **Kumonsulta sa isang Abogado:** Ang isang abogado na dalubhasa sa corporate governance o sa iyong parti"&amp;"kular na industriya ay maaaring magbigay ng pinakatumpak at napapanahong impormasyon sa mga nauugnay na regulasyon laban sa katiwalian at pinakamahusay na kasanayan.
**Tandaan:**
* Kahit na walang mga regulasyon laban sa katiwalian na partikular sa indust"&amp;"riya, palaging magandang kasanayan na magpatupad ng isang malakas na programa sa pagsunod laban sa katiwalian upang mabawasan ang mga panganib at magsulong ng etikal na paggawi sa loob ng iyong negosyo.
**Narito ang ilang mapagkukunan upang makapagsimula "&amp;"ka:**
* **Securities and Exchange Commission (SEC) Philippines:** [https://www.sec.gov.ph/](https://www.sec.gov.ph/)
* **Bangko Sentral ng Pilipinas (BSP):** [https://www.bsp.gov.ph/](https://www.bsp.gov.ph/)
* **Professional Regulation Commissions (PRCs)"&amp;":** [https://www.prc.gov.ph/](https://www.prc.gov.ph/)")</f>
        <v>Oo, may posibilidad na ang iyong negosyo ay kailangang sumunod sa mga regulasyon o alituntunin na partikular sa industriya tungkol sa katiwalian sa Pilipinas. Narito kung bakit:
**Lampas sa Mga Pangkalahatang Batas:**
Bagama't ang Pilipinas ay may mga pangkalahatang batas laban sa katiwalian tulad ng Republic Act No. 3019 (Anti-Graft and Corrupt Practices Act o RA 3019), ang ilang ahensya ng gobyerno ay naglalabas ng mga regulasyon o alituntuning partikular sa industriya na tumutugon sa mga panganib sa katiwalian. Maaaring mas detalyado at partikular ang mga regulasyong ito kaysa sa mga pangkalahatang batas. **Mga Halimbawa ng Mga Regulasyon na Partikular sa Industriya:**
* **Securities and Exchange Commission (SEC):** Ang SEC ay namamahala sa mga kumpanyang nakalista sa publiko at naglabas ng mga circular na tumutugon sa mga kasanayan sa mahusay na corporate governance. Makakatulong ang mga kasanayang ito na mabawasan ang mga panganib sa katiwalian. * **Bangko Sentral ng Pilipinas (BSP):** Ang BSP, ang bangko sentral ng Pilipinas, ay naglalabas ng mga regulasyon para sa sektor ng pananalapi na maaaring tumugon sa anti-money laundering (AML) at kontra sa financing of terrorism (CFT), na maaaring mag-overlap sa mga pagsisikap laban sa katiwalian.
* **Professional Regulation Commissions (PRCs):** Ang mga PRC na nangangasiwa sa iba't ibang propesyon (hal., mga inhinyero, doktor, abogado) ay maaaring may mga etikal na code na hindi direktang tumutugon sa mga panganib sa katiwalian sa loob ng kani-kanilang mga sektor.
**Paghahanap ng Mga Regulasyon na Partikular sa Industriya:**
Narito kung paano mo mahahanap ang mga regulasyon o alituntunin na partikular sa industriya:
* **Mga Website ng Ahensya ng Pamahalaan:** Bisitahin ang website ng ahensya ng gobyerno na kumokontrol sa iyong industriya. Maaaring mayroon silang nakalaang seksyon para sa mga panuntunan at regulasyon. * **Mga Asosasyon sa Industriya:** Ang mga asosasyon ng industriya ay madalas na nagpapaalam sa kanilang mga miyembro tungkol sa mga nauugnay na regulasyon at pinakamahuhusay na kagawian. Maaaring makapagbigay sila ng gabay sa mga hakbang laban sa katiwalian na partikular sa iyong sektor.
* **Kumonsulta sa isang Abogado:** Ang isang abogado na dalubhasa sa corporate governance o sa iyong partikular na industriya ay maaaring magbigay ng pinakatumpak at napapanahong impormasyon sa mga nauugnay na regulasyon laban sa katiwalian at pinakamahusay na kasanayan.
**Tandaan:**
* Kahit na walang mga regulasyon laban sa katiwalian na partikular sa industriya, palaging magandang kasanayan na magpatupad ng isang malakas na programa sa pagsunod laban sa katiwalian upang mabawasan ang mga panganib at magsulong ng etikal na paggawi sa loob ng iyong negosyo.
**Narito ang ilang mapagkukunan upang makapagsimula ka:**
* **Securities and Exchange Commission (SEC) Philippines:** [https://www.sec.gov.ph/](https://www.sec.gov.ph/)
* **Bangko Sentral ng Pilipinas (BSP):** [https://www.bsp.gov.ph/](https://www.bsp.gov.ph/)
* **Professional Regulation Commissions (PRCs):** [https://www.prc.gov.ph/](https://www.prc.gov.ph/)</v>
      </c>
      <c r="F1129" s="2">
        <f t="shared" si="1"/>
        <v>0</v>
      </c>
      <c r="G1129" s="2"/>
      <c r="H1129" s="2"/>
      <c r="I1129" s="2"/>
      <c r="J1129" s="2"/>
      <c r="K1129" s="2"/>
      <c r="L1129" s="2"/>
      <c r="M1129" s="2"/>
      <c r="N1129" s="2"/>
      <c r="O1129" s="2"/>
      <c r="P1129" s="2"/>
      <c r="Q1129" s="2"/>
      <c r="R1129" s="2"/>
      <c r="S1129" s="2"/>
      <c r="T1129" s="2"/>
      <c r="U1129" s="2"/>
      <c r="V1129" s="2"/>
      <c r="W1129" s="2"/>
      <c r="X1129" s="2"/>
      <c r="Y1129" s="2"/>
      <c r="Z1129" s="2"/>
      <c r="AA1129" s="2"/>
    </row>
    <row r="1130">
      <c r="A1130" s="1" t="s">
        <v>3356</v>
      </c>
      <c r="B1130" s="1" t="s">
        <v>3425</v>
      </c>
      <c r="C1130" s="1" t="s">
        <v>3426</v>
      </c>
      <c r="D1130" s="2" t="str">
        <f>IFERROR(__xludf.DUMMYFUNCTION("GOOGLETRANSLATE(B1130, ""en"", ""TL"")"),"Maaari ka bang magpayo tungkol sa potensyal na epekto ng mga paratang ng katiwalian sa reputasyon at brand image ng isang negosyo?")</f>
        <v>Maaari ka bang magpayo tungkol sa potensyal na epekto ng mga paratang ng katiwalian sa reputasyon at brand image ng isang negosyo?</v>
      </c>
      <c r="E1130" s="2" t="str">
        <f>IFERROR(__xludf.DUMMYFUNCTION("GOOGLETRANSLATE(C1130, ""en"", ""TL"")"),"Ang mga paratang sa katiwalian ay maaaring magkaroon ng mapangwasak na epekto sa reputasyon at brand image ng isang negosyo sa Pilipinas. Narito ang isang breakdown ng mga potensyal na kahihinatnan:
**Pinsala sa Public Trust:**
* **Negative Media Coverage"&amp;":** Ang mga paratang ng katiwalian ay kadalasang nakakaakit ng negatibong atensyon ng media, na maaaring makasira sa tiwala ng publiko sa kumpanya. Ang nakaka-sensasyon na pag-uulat ay maaaring lumikha ng pang-unawa ng pagkakasala, kahit na ang mga parata"&amp;"ng ay hindi pa napatunayan.
* **Pagkawala ng Kumpiyansa ng Customer:** Maaaring mag-alinlangan ang mga mamimili na makipagnegosyo sa isang kumpanyang nahaharap sa mga paratang ng katiwalian. Maaari itong humantong sa pagbaba sa mga benta at bahagi ng merk"&amp;"ado.
* **Pagbaba ng Moral ng Empleyado:** Maaaring mahiya o madismaya ang mga empleyado kung ang kanilang kumpanya ay nasasangkot sa iskandalo ng katiwalian. Maaari itong makaapekto sa moral, pagiging produktibo, at katapatan ng empleyado.
**Mga Pinansyal"&amp;" na Repercussion:**
* **Mga multa at Parusa:** Kung napatunayang nagkasala ng katiwalian, maaaring maharap ang mga negosyo ng mabigat na multa at parusa mula sa mga awtoridad ng gobyerno.
* **Mga Isyu sa Kontraktwal:** Maaaring wakasan ang mga kasalukuyan"&amp;"g kontrata sa negosyo kung ang mga paratang ng katiwalian ay lumalabag sa mga tuntunin sa kontrata. Ang mga potensyal na bagong kontrata ay maaaring mahirap ding i-secure.
* **Paglipad ng Mamumuhunan:** Maaaring takutin ng mga paratang ng katiwalian ang m"&amp;"ga mamumuhunan, na nagpapahirap sa kumpanya na makalikom ng puhunan at humahadlang sa mga prospect ng paglago.
** Pangmatagalang Pinsala:**
* **Brand Tarnish:** Kahit na ang mga paratang ay napatunayang hindi totoo, ang negatibong publisidad ay maaaring m"&amp;"ag-iwan ng pangmatagalang mantsa sa imahe ng tatak ng kumpanya. Ang muling pagtatayo ng tiwala ay maaaring maging isang mahaba at mahirap na proseso.
* **Hirap Makaakit ng Talento:** Maaaring mag-alinlangan ang nangungunang talento na magtrabaho sa isang "&amp;"kumpanyang may reputasyon sa katiwalian. Maaaring hadlangan nito ang kakayahan ng kumpanya na akitin at panatilihin ang mga bihasang empleyado.
* **Pagbubukod mula sa Mga Oportunidad:** Ang mga kumpanyang sangkot sa mga iskandalo sa katiwalian ay maaaring"&amp;" hindi isama sa paglahok sa mga bid o tender ng gobyerno, na naglilimita sa pag-access sa merkado.
**Mga Potensyal na Istratehiya sa Pagbabawas:**
* **Mabilis at Transparent na Tugon:** Ang pagtugon sa mga paratang sa pamamagitan ng pampublikong pahayag n"&amp;"a nagpapakita ng pangako sa transparency at pananagutan ay maaaring mabawasan ang pinsala. * **Pakikipagtulungan sa Mga Awtoridad:** Ang ganap na pakikipagtulungan sa anumang pagsisiyasat ay maaaring magpakita ng pagpayag na tugunan ang isyu at posibleng "&amp;"humantong sa mas mabilis na paglutas.
* **Pagpapatupad ng Mga Reporma:** Ang pagsasagawa ng mga kongkretong hakbang upang palakasin ang mga programa sa pagsunod sa laban sa katiwalian at mga panloob na kontrol ay nagpapakita ng pangako sa pagpigil sa mga "&amp;"isyu sa hinaharap.
* **Diskarte sa Komunikasyon sa Krisis:** Ang isang mahusay na ginawang plano sa komunikasyon sa krisis ay maaaring makatulong na pamahalaan ang negatibong publisidad at muling buuin ang tiwala ng publiko sa paglipas ng panahon.
**Kahal"&amp;"agahan ng Mga Proaktibong Panukala:**
Ang pinakamahusay na paraan upang pamahalaan ang mga panganib sa reputasyon ng mga paratang sa katiwalian ay upang maiwasan ang mga ito na mangyari sa unang lugar. Narito ang maaari mong gawin:
* **Malakas na Programa"&amp;" sa Pagsunod laban sa Korupsyon:** Magpatupad ng isang matatag na programa sa pagsunod laban sa katiwalian na may malinaw na mga patakaran, pagsasanay para sa mga empleyado, at isang kultura ng etikal na pag-uugali.
* **Third-Party Due Diligence:** Magsag"&amp;"awa ng masusing due diligence sa mga potensyal na kasosyo sa negosyo at mga supplier upang mabawasan ang panganib ng pagkakaugnay sa mga tiwaling gawi.
* **Proteksyon sa Whistleblower:** Magtatag ng isang ligtas at kumpidensyal na sistema para sa mga empl"&amp;"eyado na mag-ulat ng pinaghihinalaang katiwalian nang walang takot sa paghihiganti.
Sa pamamagitan ng pagsasagawa ng proactive na diskarte sa pagpigil sa katiwalian, mapangalagaan ng mga negosyo ang kanilang reputasyon at imahe ng tatak, na tinitiyak ang "&amp;"pangmatagalang tagumpay.")</f>
        <v>Ang mga paratang sa katiwalian ay maaaring magkaroon ng mapangwasak na epekto sa reputasyon at brand image ng isang negosyo sa Pilipinas. Narito ang isang breakdown ng mga potensyal na kahihinatnan:
**Pinsala sa Public Trust:**
* **Negative Media Coverage:** Ang mga paratang ng katiwalian ay kadalasang nakakaakit ng negatibong atensyon ng media, na maaaring makasira sa tiwala ng publiko sa kumpanya. Ang nakaka-sensasyon na pag-uulat ay maaaring lumikha ng pang-unawa ng pagkakasala, kahit na ang mga paratang ay hindi pa napatunayan.
* **Pagkawala ng Kumpiyansa ng Customer:** Maaaring mag-alinlangan ang mga mamimili na makipagnegosyo sa isang kumpanyang nahaharap sa mga paratang ng katiwalian. Maaari itong humantong sa pagbaba sa mga benta at bahagi ng merkado.
* **Pagbaba ng Moral ng Empleyado:** Maaaring mahiya o madismaya ang mga empleyado kung ang kanilang kumpanya ay nasasangkot sa iskandalo ng katiwalian. Maaari itong makaapekto sa moral, pagiging produktibo, at katapatan ng empleyado.
**Mga Pinansyal na Repercussion:**
* **Mga multa at Parusa:** Kung napatunayang nagkasala ng katiwalian, maaaring maharap ang mga negosyo ng mabigat na multa at parusa mula sa mga awtoridad ng gobyerno.
* **Mga Isyu sa Kontraktwal:** Maaaring wakasan ang mga kasalukuyang kontrata sa negosyo kung ang mga paratang ng katiwalian ay lumalabag sa mga tuntunin sa kontrata. Ang mga potensyal na bagong kontrata ay maaaring mahirap ding i-secure.
* **Paglipad ng Mamumuhunan:** Maaaring takutin ng mga paratang ng katiwalian ang mga mamumuhunan, na nagpapahirap sa kumpanya na makalikom ng puhunan at humahadlang sa mga prospect ng paglago.
** Pangmatagalang Pinsala:**
* **Brand Tarnish:** Kahit na ang mga paratang ay napatunayang hindi totoo, ang negatibong publisidad ay maaaring mag-iwan ng pangmatagalang mantsa sa imahe ng tatak ng kumpanya. Ang muling pagtatayo ng tiwala ay maaaring maging isang mahaba at mahirap na proseso.
* **Hirap Makaakit ng Talento:** Maaaring mag-alinlangan ang nangungunang talento na magtrabaho sa isang kumpanyang may reputasyon sa katiwalian. Maaaring hadlangan nito ang kakayahan ng kumpanya na akitin at panatilihin ang mga bihasang empleyado.
* **Pagbubukod mula sa Mga Oportunidad:** Ang mga kumpanyang sangkot sa mga iskandalo sa katiwalian ay maaaring hindi isama sa paglahok sa mga bid o tender ng gobyerno, na naglilimita sa pag-access sa merkado.
**Mga Potensyal na Istratehiya sa Pagbabawas:**
* **Mabilis at Transparent na Tugon:** Ang pagtugon sa mga paratang sa pamamagitan ng pampublikong pahayag na nagpapakita ng pangako sa transparency at pananagutan ay maaaring mabawasan ang pinsala. * **Pakikipagtulungan sa Mga Awtoridad:** Ang ganap na pakikipagtulungan sa anumang pagsisiyasat ay maaaring magpakita ng pagpayag na tugunan ang isyu at posibleng humantong sa mas mabilis na paglutas.
* **Pagpapatupad ng Mga Reporma:** Ang pagsasagawa ng mga kongkretong hakbang upang palakasin ang mga programa sa pagsunod sa laban sa katiwalian at mga panloob na kontrol ay nagpapakita ng pangako sa pagpigil sa mga isyu sa hinaharap.
* **Diskarte sa Komunikasyon sa Krisis:** Ang isang mahusay na ginawang plano sa komunikasyon sa krisis ay maaaring makatulong na pamahalaan ang negatibong publisidad at muling buuin ang tiwala ng publiko sa paglipas ng panahon.
**Kahalagahan ng Mga Proaktibong Panukala:**
Ang pinakamahusay na paraan upang pamahalaan ang mga panganib sa reputasyon ng mga paratang sa katiwalian ay upang maiwasan ang mga ito na mangyari sa unang lugar. Narito ang maaari mong gawin:
* **Malakas na Programa sa Pagsunod laban sa Korupsyon:** Magpatupad ng isang matatag na programa sa pagsunod laban sa katiwalian na may malinaw na mga patakaran, pagsasanay para sa mga empleyado, at isang kultura ng etikal na pag-uugali.
* **Third-Party Due Diligence:** Magsagawa ng masusing due diligence sa mga potensyal na kasosyo sa negosyo at mga supplier upang mabawasan ang panganib ng pagkakaugnay sa mga tiwaling gawi.
* **Proteksyon sa Whistleblower:** Magtatag ng isang ligtas at kumpidensyal na sistema para sa mga empleyado na mag-ulat ng pinaghihinalaang katiwalian nang walang takot sa paghihiganti.
Sa pamamagitan ng pagsasagawa ng proactive na diskarte sa pagpigil sa katiwalian, mapangalagaan ng mga negosyo ang kanilang reputasyon at imahe ng tatak, na tinitiyak ang pangmatagalang tagumpay.</v>
      </c>
      <c r="F1130" s="2">
        <f t="shared" si="1"/>
        <v>0</v>
      </c>
      <c r="G1130" s="2"/>
      <c r="H1130" s="2"/>
      <c r="I1130" s="2"/>
      <c r="J1130" s="2"/>
      <c r="K1130" s="2"/>
      <c r="L1130" s="2"/>
      <c r="M1130" s="2"/>
      <c r="N1130" s="2"/>
      <c r="O1130" s="2"/>
      <c r="P1130" s="2"/>
      <c r="Q1130" s="2"/>
      <c r="R1130" s="2"/>
      <c r="S1130" s="2"/>
      <c r="T1130" s="2"/>
      <c r="U1130" s="2"/>
      <c r="V1130" s="2"/>
      <c r="W1130" s="2"/>
      <c r="X1130" s="2"/>
      <c r="Y1130" s="2"/>
      <c r="Z1130" s="2"/>
      <c r="AA1130" s="2"/>
    </row>
    <row r="1131">
      <c r="A1131" s="1" t="s">
        <v>3356</v>
      </c>
      <c r="B1131" s="1" t="s">
        <v>3427</v>
      </c>
      <c r="C1131" s="1" t="s">
        <v>3428</v>
      </c>
      <c r="D1131" s="2" t="str">
        <f>IFERROR(__xludf.DUMMYFUNCTION("GOOGLETRANSLATE(B1131, ""en"", ""TL"")"),"Anong mga legal na proteksyon ang umiiral para sa mga whistleblower na nag-uulat ng katiwalian sa loob ng kanilang negosyo sa mga panlabas na awtoridad?")</f>
        <v>Anong mga legal na proteksyon ang umiiral para sa mga whistleblower na nag-uulat ng katiwalian sa loob ng kanilang negosyo sa mga panlabas na awtoridad?</v>
      </c>
      <c r="E1131" s="2" t="str">
        <f>IFERROR(__xludf.DUMMYFUNCTION("GOOGLETRANSLATE(C1131, ""en"", ""TL"")"),"May mga legal na proteksyon ang Pilipinas para sa mga whistleblower na nag-uulat ng katiwalian sa loob ng kanilang negosyo sa mga panlabas na awtoridad. Narito ang isang breakdown ng mga pangunahing mekanismo:
* **The Witness Protection, Security and Bene"&amp;"fit Act (Republic Act No. 6981):** Pinoprotektahan ng pangunahing batas na ito ang mga whistleblower na nag-uulat ng iba't ibang krimen, kabilang ang mga paglabag sa katiwalian sa ilalim ng RA 3019 (Anti-Graft and Corrupt Practices Act). Nag-aalok ito ng "&amp;"mga hakbang sa proteksyon tulad ng:
* Mga kaayusan sa seguridad, kabilang ang relokasyon kung kinakailangan.
* Tulong pinansyal.
* Pagiging kumpidensyal ng pagkakakilanlan (sa loob ng mga legal na limitasyon).
* Legal na tulong.
* **The Rules of the Depar"&amp;"tment of Justice (DOJ) on Witness Protection:** Itong DOJ issuance ay nagbibigay ng mga detalyadong alituntunin para sa pagpapatupad ng Witness Protection Program. Binabalangkas nito ang proseso ng aplikasyon, pamantayan sa pagiging karapat-dapat, at mga "&amp;"uri ng proteksyong inaalok.
* **Mga Panuntunan ng Securities and Exchange Commission (SEC):** Hinihikayat ng SEC ang whistleblowing sa mga pampublikong nakalistang kumpanya. Nag-aalok sila ng mga proteksyon sa pagiging kumpidensyal at mga potensyal na gan"&amp;"timpala para sa mga whistleblower na nag-uulat ng mga paglabag sa mga batas sa seguridad, na kung minsan ay maaaring may kinalaman sa pag-alis ng korapsyon.
**Mahahalagang Pagsasaalang-alang:**
* **Kwalipikado para sa Proteksyon:** Upang maging karapat-da"&amp;"pat para sa ganap na proteksyon sa ilalim ng RA 6981, ang impormasyong iniulat ay dapat na may mabuting loob at may kinalaman sa isang krimen, pagkakasala, o iregularidad ng pambansang kahalagahan o ng isang seryosong kalikasan.
* **Mga Limitasyon sa Pagi"&amp;"ging Kompidensyal:** Bagama't isang karapatan ang pagiging kompidensyal, maaaring may mga sitwasyon kung saan ang utos ng hukuman ay nagpipilit na ibunyag ang pagkakakilanlan ng isang whistleblower.
**Mga Karagdagang Proteksyon:**
* **Mga Probisyon sa Ant"&amp;"i-Retaliation:** Ang mga batas sa paggawa ng Pilipinas at ilang batas laban sa katiwalian (tulad ng RA 3019) ay nagbabawal sa pagganti laban sa mga empleyadong nag-uulat ng katiwalian nang may mabuting hangarin. Pinipigilan nito ang mga employer na gumawa"&amp;" ng mga aksyong parusa laban sa mga whistleblower.
**Paano Mag-ulat ng Korapsyon:**
Ang mga whistleblower ay maaaring mag-ulat ng katiwalian sa iba't ibang panlabas na awtoridad depende sa uri ng pagkakasala:
* **Opisina ng Ombudsman:** Hinahawakan ang mg"&amp;"a reklamo laban sa mga pampublikong opisyal.
* **Commission on Audit (COA):** Iniimbestigahan ang mga iregularidad sa paggasta ng pamahalaan.
* **Securities and Exchange Commission (SEC):** Pinangangasiwaan ang mga kumpanyang nakalista sa publiko.
* **Phi"&amp;"lippine National Police (PNP):** Iniimbestigahan ang mga kriminal na pagkakasala.
**Naghihikayat sa Pag-uulat ng Whistleblower:**
Ang mga negosyo ay maaaring lumikha ng isang mas sumusuportang kapaligiran para sa whistleblowing sa pamamagitan ng:
* **Pagb"&amp;"uo ng Malinaw na Patakaran sa Whistleblower:** Ang patakarang ito ay dapat magbalangkas ng proseso ng pag-uulat, mga hakbang sa pagiging kumpidensyal, at mga mekanismo ng proteksyon na magagamit sa mga whistleblower.
* **Pagbibigay ng Maramihang Mga Chann"&amp;"el sa Pag-uulat:** Nag-aalok ng iba't ibang paraan ng pag-uulat, kabilang ang isang hotline, online portal, o itinalagang tauhan, upang gawing naa-access at maginhawa ang pag-uulat para sa mga empleyado.
* **Pag-promote ng Kultura ng Integridad:** Pagyama"&amp;"nin ang isang kultura sa lugar ng trabaho na pinahahalagahan ang etikal na pag-uugali at hinihikayat ang mga empleyado na magsalita tungkol sa maling gawain nang walang takot sa paghihiganti.
Sa pamamagitan ng pag-unawa sa mga legal na proteksyon na magag"&amp;"amit at paglikha ng isang sumusuportang kapaligiran, maaaring hikayatin ng mga negosyo ang whistleblowing at bigyang kapangyarihan ang mga empleyado na gumanap ng mahalagang papel sa paglaban sa katiwalian.
**Disclaimer:** Ang impormasyong ito ay para sa "&amp;"pangkalahatang gabay lamang at hindi bumubuo ng legal na payo. Maipapayo na kumunsulta sa isang abogado na dalubhasa sa mga batas sa proteksyon ng whistleblower para sa mga partikular na katanungan.")</f>
        <v>May mga legal na proteksyon ang Pilipinas para sa mga whistleblower na nag-uulat ng katiwalian sa loob ng kanilang negosyo sa mga panlabas na awtoridad. Narito ang isang breakdown ng mga pangunahing mekanismo:
* **The Witness Protection, Security and Benefit Act (Republic Act No. 6981):** Pinoprotektahan ng pangunahing batas na ito ang mga whistleblower na nag-uulat ng iba't ibang krimen, kabilang ang mga paglabag sa katiwalian sa ilalim ng RA 3019 (Anti-Graft and Corrupt Practices Act). Nag-aalok ito ng mga hakbang sa proteksyon tulad ng:
* Mga kaayusan sa seguridad, kabilang ang relokasyon kung kinakailangan.
* Tulong pinansyal.
* Pagiging kumpidensyal ng pagkakakilanlan (sa loob ng mga legal na limitasyon).
* Legal na tulong.
* **The Rules of the Department of Justice (DOJ) on Witness Protection:** Itong DOJ issuance ay nagbibigay ng mga detalyadong alituntunin para sa pagpapatupad ng Witness Protection Program. Binabalangkas nito ang proseso ng aplikasyon, pamantayan sa pagiging karapat-dapat, at mga uri ng proteksyong inaalok.
* **Mga Panuntunan ng Securities and Exchange Commission (SEC):** Hinihikayat ng SEC ang whistleblowing sa mga pampublikong nakalistang kumpanya. Nag-aalok sila ng mga proteksyon sa pagiging kumpidensyal at mga potensyal na gantimpala para sa mga whistleblower na nag-uulat ng mga paglabag sa mga batas sa seguridad, na kung minsan ay maaaring may kinalaman sa pag-alis ng korapsyon.
**Mahahalagang Pagsasaalang-alang:**
* **Kwalipikado para sa Proteksyon:** Upang maging karapat-dapat para sa ganap na proteksyon sa ilalim ng RA 6981, ang impormasyong iniulat ay dapat na may mabuting loob at may kinalaman sa isang krimen, pagkakasala, o iregularidad ng pambansang kahalagahan o ng isang seryosong kalikasan.
* **Mga Limitasyon sa Pagiging Kompidensyal:** Bagama't isang karapatan ang pagiging kompidensyal, maaaring may mga sitwasyon kung saan ang utos ng hukuman ay nagpipilit na ibunyag ang pagkakakilanlan ng isang whistleblower.
**Mga Karagdagang Proteksyon:**
* **Mga Probisyon sa Anti-Retaliation:** Ang mga batas sa paggawa ng Pilipinas at ilang batas laban sa katiwalian (tulad ng RA 3019) ay nagbabawal sa pagganti laban sa mga empleyadong nag-uulat ng katiwalian nang may mabuting hangarin. Pinipigilan nito ang mga employer na gumawa ng mga aksyong parusa laban sa mga whistleblower.
**Paano Mag-ulat ng Korapsyon:**
Ang mga whistleblower ay maaaring mag-ulat ng katiwalian sa iba't ibang panlabas na awtoridad depende sa uri ng pagkakasala:
* **Opisina ng Ombudsman:** Hinahawakan ang mga reklamo laban sa mga pampublikong opisyal.
* **Commission on Audit (COA):** Iniimbestigahan ang mga iregularidad sa paggasta ng pamahalaan.
* **Securities and Exchange Commission (SEC):** Pinangangasiwaan ang mga kumpanyang nakalista sa publiko.
* **Philippine National Police (PNP):** Iniimbestigahan ang mga kriminal na pagkakasala.
**Naghihikayat sa Pag-uulat ng Whistleblower:**
Ang mga negosyo ay maaaring lumikha ng isang mas sumusuportang kapaligiran para sa whistleblowing sa pamamagitan ng:
* **Pagbuo ng Malinaw na Patakaran sa Whistleblower:** Ang patakarang ito ay dapat magbalangkas ng proseso ng pag-uulat, mga hakbang sa pagiging kumpidensyal, at mga mekanismo ng proteksyon na magagamit sa mga whistleblower.
* **Pagbibigay ng Maramihang Mga Channel sa Pag-uulat:** Nag-aalok ng iba't ibang paraan ng pag-uulat, kabilang ang isang hotline, online portal, o itinalagang tauhan, upang gawing naa-access at maginhawa ang pag-uulat para sa mga empleyado.
* **Pag-promote ng Kultura ng Integridad:** Pagyamanin ang isang kultura sa lugar ng trabaho na pinahahalagahan ang etikal na pag-uugali at hinihikayat ang mga empleyado na magsalita tungkol sa maling gawain nang walang takot sa paghihiganti.
Sa pamamagitan ng pag-unawa sa mga legal na proteksyon na magagamit at paglikha ng isang sumusuportang kapaligiran, maaaring hikayatin ng mga negosyo ang whistleblowing at bigyang kapangyarihan ang mga empleyado na gumanap ng mahalagang papel sa paglaban sa katiwalian.
**Disclaimer:** Ang impormasyong ito ay para sa pangkalahatang gabay lamang at hindi bumubuo ng legal na payo. Maipapayo na kumunsulta sa isang abogado na dalubhasa sa mga batas sa proteksyon ng whistleblower para sa mga partikular na katanungan.</v>
      </c>
      <c r="F1131" s="2">
        <f t="shared" si="1"/>
        <v>0</v>
      </c>
      <c r="G1131" s="2"/>
      <c r="H1131" s="2"/>
      <c r="I1131" s="2"/>
      <c r="J1131" s="2"/>
      <c r="K1131" s="2"/>
      <c r="L1131" s="2"/>
      <c r="M1131" s="2"/>
      <c r="N1131" s="2"/>
      <c r="O1131" s="2"/>
      <c r="P1131" s="2"/>
      <c r="Q1131" s="2"/>
      <c r="R1131" s="2"/>
      <c r="S1131" s="2"/>
      <c r="T1131" s="2"/>
      <c r="U1131" s="2"/>
      <c r="V1131" s="2"/>
      <c r="W1131" s="2"/>
      <c r="X1131" s="2"/>
      <c r="Y1131" s="2"/>
      <c r="Z1131" s="2"/>
      <c r="AA1131" s="2"/>
    </row>
    <row r="1132">
      <c r="A1132" s="1" t="s">
        <v>3356</v>
      </c>
      <c r="B1132" s="1" t="s">
        <v>3429</v>
      </c>
      <c r="C1132" s="1" t="s">
        <v>3430</v>
      </c>
      <c r="D1132" s="2" t="str">
        <f>IFERROR(__xludf.DUMMYFUNCTION("GOOGLETRANSLATE(B1132, ""en"", ""TL"")"),"Paano ako magsasagawa ng epektibong panloob na pag-audit upang matukoy at maiwasan ang mga pagkakataon ng katiwalian sa loob ng aking negosyo?")</f>
        <v>Paano ako magsasagawa ng epektibong panloob na pag-audit upang matukoy at maiwasan ang mga pagkakataon ng katiwalian sa loob ng aking negosyo?</v>
      </c>
      <c r="E1132" s="2" t="str">
        <f>IFERROR(__xludf.DUMMYFUNCTION("GOOGLETRANSLATE(C1132, ""en"", ""TL"")"),"Narito kung paano ka makakapagsagawa ng epektibong mga panloob na pag-audit upang matukoy at maiwasan ang mga kaso ng katiwalian sa loob ng iyong negosyo sa Pilipinas:
**Pagpaplano at Paghahanda:**
* **Pagtatasa ng Panganib:** Magsagawa ng masusing pagtat"&amp;"asa ng panganib upang matukoy ang mga bahagi ng iyong negosyo na pinaka-mahina sa katiwalian. Isaalang-alang ang mga salik tulad ng mga kasanayan sa industriya, mga heyograpikong lokasyon, at mga uri ng mga transaksyon. * **Saklaw at Layunin ng Pag-audit:"&amp;"** Tukuyin ang partikular na saklaw ng iyong panloob na pag-audit na nakatuon sa mga panganib sa katiwalian. Malinaw na binabalangkas ang mga layunin, tulad ng pagsusuri sa pagiging epektibo ng mga panloob na kontrol o pagtukoy ng mga potensyal na pulang "&amp;"bandila.
* **Independence and Expertise:** Tiyaking ang iyong internal audit team ay independyente mula sa mga lugar na ino-audit at nagtataglay ng kinakailangang kadalubhasaan sa mga hakbang laban sa katiwalian at mga regulasyon ng Pilipinas (tulad ng RA"&amp;" 3019). Isaalang-alang ang paggamit ng isang halo ng mga panloob at panlabas na auditor para sa isang mas komprehensibong pagsusuri.
**Pagsasagawa ng Internal Audit:**
* **Pagsubok sa Mga Panloob na Kontrol:** Suriin ang pagiging epektibo ng mga panloob n"&amp;"a kontrol na idinisenyo upang maiwasan ang katiwalian, tulad ng paghihiwalay ng mga tungkulin, wastong awtorisasyon para sa mga transaksyon, at matatag na pag-iingat ng talaan. Tukuyin ang anumang mga kahinaan na maaaring pagsamantalahan para sa mga tiwal"&amp;"ing aktibidad.
* **Data Analytics:** Gamitin ang mga tool sa analytics ng data upang suriin ang mga transaksyong pinansyal, tukuyin ang mga anomalya, at tuklasin ang mga hindi pangkaraniwang pattern na maaaring magpahiwatig ng katiwalian. Maaaring kabilan"&amp;"g dito ang mga hindi maipaliwanag na pagbabayad, napalaki na mga invoice, o mga transaksyon sa mga kasosyong may mataas na panganib.
* **Surprise Audits:** Magsagawa ng mga hindi ipinaalam na pag-audit upang mahuli ang mga potensyal na tiwaling aktibidad "&amp;"sa pag-usad at hadlangan ang mga empleyado na makisali sa mga ganitong gawain.
* **Mga Panayam sa Empleyado:** Magsagawa ng mga kumpidensyal na panayam sa mga empleyado sa iba't ibang antas upang mangalap ng impormasyon tungkol sa potensyal na katiwalian "&amp;"sa loob ng kumpanya. Hikayatin silang iulat ang anumang mga pulang bandila na kanilang naobserbahan.
**Pag-uulat at Pagsubaybay:**
* **Detalyadong Ulat sa Mga Natuklasan:** Maghanda ng isang detalyadong ulat na nagbabalangkas sa mga natuklasan sa pag-audi"&amp;"t, natukoy na mga kahinaan sa mga kontrol, at anumang potensyal na pagkakataon ng katiwalian. * **Tugon ng Pamamahala:** Ipakita ang ulat ng pag-audit sa nakatataas na pamamahala at kumuha ng pormal na tugon na nagbabalangkas sa kanilang plano upang matug"&amp;"unan ang mga natukoy na kahinaan at potensyal na kaso ng katiwalian. Ito ay nagpapakita ng isang pangako sa pagtugon sa mga isyu.
* **Remediation at Pagsubaybay:** Magpatupad ng mga pagwawasto batay sa mga natuklasan sa pag-audit. Maaaring kabilang dito a"&amp;"ng pagpapalakas ng mga panloob na kontrol, mga aksyong pandisiplina, o pagrerebisa ng mga patakaran at pamamaraan. Subaybayan ang bisa ng mga pagkilos na ito sa pamamagitan ng patuloy na pagsubaybay.
**Mga Karagdagang Pagsasaalang-alang:**
* **Programa sa"&amp;" Pagsunod sa Anti-Corruption:** Tiyaking ang iyong kumpanya ay may isang mahusay na tinukoy na programa sa pagsunod laban sa katiwalian sa lugar. Dapat itong magsama ng malinaw na mga patakaran, pagsasanay para sa mga empleyado, at isang kumpidensyal na m"&amp;"ekanismo sa pag-uulat para sa pinaghihinalaang katiwalian.
* **Proteksyon sa Whistleblower:** Magtatag ng isang matatag na programa sa proteksyon ng whistleblower na naghihikayat sa mga empleyado na mag-ulat ng katiwalian nang walang takot sa paghihiganti"&amp;". Ito ay mahalaga para sa pag-alis ng mga potensyal na maling gawain.
* **Patuloy na Pagpapabuti:** Ang mga panloob na pag-audit ay dapat na isagawa nang regular, hindi bilang isang beses na ehersisyo. Nagbibigay-daan ito sa patuloy na pagsubaybay sa mga "&amp;"panganib sa katiwalian at sa bisa ng mga hakbang laban sa katiwalian.
Sa pamamagitan ng pagpapatupad ng mga hakbang na ito, maaari kang magsagawa ng mga epektibong panloob na pag-audit na hindi lamang nakakakita ng mga potensyal na katiwalian sa loob ng i"&amp;"yong negosyo ngunit nagpapalakas din sa pangkalahatang programa ng pagsunod sa laban sa katiwalian ng iyong kumpanya. Tandaan, ang isang maagap at komprehensibong diskarte ay mahalaga sa pagpapaunlad ng isang kultura ng integridad at pag-iwas sa mga panga"&amp;"nib sa katiwalian.")</f>
        <v>Narito kung paano ka makakapagsagawa ng epektibong mga panloob na pag-audit upang matukoy at maiwasan ang mga kaso ng katiwalian sa loob ng iyong negosyo sa Pilipinas:
**Pagpaplano at Paghahanda:**
* **Pagtatasa ng Panganib:** Magsagawa ng masusing pagtatasa ng panganib upang matukoy ang mga bahagi ng iyong negosyo na pinaka-mahina sa katiwalian. Isaalang-alang ang mga salik tulad ng mga kasanayan sa industriya, mga heyograpikong lokasyon, at mga uri ng mga transaksyon. * **Saklaw at Layunin ng Pag-audit:** Tukuyin ang partikular na saklaw ng iyong panloob na pag-audit na nakatuon sa mga panganib sa katiwalian. Malinaw na binabalangkas ang mga layunin, tulad ng pagsusuri sa pagiging epektibo ng mga panloob na kontrol o pagtukoy ng mga potensyal na pulang bandila.
* **Independence and Expertise:** Tiyaking ang iyong internal audit team ay independyente mula sa mga lugar na ino-audit at nagtataglay ng kinakailangang kadalubhasaan sa mga hakbang laban sa katiwalian at mga regulasyon ng Pilipinas (tulad ng RA 3019). Isaalang-alang ang paggamit ng isang halo ng mga panloob at panlabas na auditor para sa isang mas komprehensibong pagsusuri.
**Pagsasagawa ng Internal Audit:**
* **Pagsubok sa Mga Panloob na Kontrol:** Suriin ang pagiging epektibo ng mga panloob na kontrol na idinisenyo upang maiwasan ang katiwalian, tulad ng paghihiwalay ng mga tungkulin, wastong awtorisasyon para sa mga transaksyon, at matatag na pag-iingat ng talaan. Tukuyin ang anumang mga kahinaan na maaaring pagsamantalahan para sa mga tiwaling aktibidad.
* **Data Analytics:** Gamitin ang mga tool sa analytics ng data upang suriin ang mga transaksyong pinansyal, tukuyin ang mga anomalya, at tuklasin ang mga hindi pangkaraniwang pattern na maaaring magpahiwatig ng katiwalian. Maaaring kabilang dito ang mga hindi maipaliwanag na pagbabayad, napalaki na mga invoice, o mga transaksyon sa mga kasosyong may mataas na panganib.
* **Surprise Audits:** Magsagawa ng mga hindi ipinaalam na pag-audit upang mahuli ang mga potensyal na tiwaling aktibidad sa pag-usad at hadlangan ang mga empleyado na makisali sa mga ganitong gawain.
* **Mga Panayam sa Empleyado:** Magsagawa ng mga kumpidensyal na panayam sa mga empleyado sa iba't ibang antas upang mangalap ng impormasyon tungkol sa potensyal na katiwalian sa loob ng kumpanya. Hikayatin silang iulat ang anumang mga pulang bandila na kanilang naobserbahan.
**Pag-uulat at Pagsubaybay:**
* **Detalyadong Ulat sa Mga Natuklasan:** Maghanda ng isang detalyadong ulat na nagbabalangkas sa mga natuklasan sa pag-audit, natukoy na mga kahinaan sa mga kontrol, at anumang potensyal na pagkakataon ng katiwalian. * **Tugon ng Pamamahala:** Ipakita ang ulat ng pag-audit sa nakatataas na pamamahala at kumuha ng pormal na tugon na nagbabalangkas sa kanilang plano upang matugunan ang mga natukoy na kahinaan at potensyal na kaso ng katiwalian. Ito ay nagpapakita ng isang pangako sa pagtugon sa mga isyu.
* **Remediation at Pagsubaybay:** Magpatupad ng mga pagwawasto batay sa mga natuklasan sa pag-audit. Maaaring kabilang dito ang pagpapalakas ng mga panloob na kontrol, mga aksyong pandisiplina, o pagrerebisa ng mga patakaran at pamamaraan. Subaybayan ang bisa ng mga pagkilos na ito sa pamamagitan ng patuloy na pagsubaybay.
**Mga Karagdagang Pagsasaalang-alang:**
* **Programa sa Pagsunod sa Anti-Corruption:** Tiyaking ang iyong kumpanya ay may isang mahusay na tinukoy na programa sa pagsunod laban sa katiwalian sa lugar. Dapat itong magsama ng malinaw na mga patakaran, pagsasanay para sa mga empleyado, at isang kumpidensyal na mekanismo sa pag-uulat para sa pinaghihinalaang katiwalian.
* **Proteksyon sa Whistleblower:** Magtatag ng isang matatag na programa sa proteksyon ng whistleblower na naghihikayat sa mga empleyado na mag-ulat ng katiwalian nang walang takot sa paghihiganti. Ito ay mahalaga para sa pag-alis ng mga potensyal na maling gawain.
* **Patuloy na Pagpapabuti:** Ang mga panloob na pag-audit ay dapat na isagawa nang regular, hindi bilang isang beses na ehersisyo. Nagbibigay-daan ito sa patuloy na pagsubaybay sa mga panganib sa katiwalian at sa bisa ng mga hakbang laban sa katiwalian.
Sa pamamagitan ng pagpapatupad ng mga hakbang na ito, maaari kang magsagawa ng mga epektibong panloob na pag-audit na hindi lamang nakakakita ng mga potensyal na katiwalian sa loob ng iyong negosyo ngunit nagpapalakas din sa pangkalahatang programa ng pagsunod sa laban sa katiwalian ng iyong kumpanya. Tandaan, ang isang maagap at komprehensibong diskarte ay mahalaga sa pagpapaunlad ng isang kultura ng integridad at pag-iwas sa mga panganib sa katiwalian.</v>
      </c>
      <c r="F1132" s="2">
        <f t="shared" si="1"/>
        <v>0</v>
      </c>
      <c r="G1132" s="2"/>
      <c r="H1132" s="2"/>
      <c r="I1132" s="2"/>
      <c r="J1132" s="2"/>
      <c r="K1132" s="2"/>
      <c r="L1132" s="2"/>
      <c r="M1132" s="2"/>
      <c r="N1132" s="2"/>
      <c r="O1132" s="2"/>
      <c r="P1132" s="2"/>
      <c r="Q1132" s="2"/>
      <c r="R1132" s="2"/>
      <c r="S1132" s="2"/>
      <c r="T1132" s="2"/>
      <c r="U1132" s="2"/>
      <c r="V1132" s="2"/>
      <c r="W1132" s="2"/>
      <c r="X1132" s="2"/>
      <c r="Y1132" s="2"/>
      <c r="Z1132" s="2"/>
      <c r="AA1132" s="2"/>
    </row>
    <row r="1133">
      <c r="A1133" s="1" t="s">
        <v>3356</v>
      </c>
      <c r="B1133" s="1" t="s">
        <v>3431</v>
      </c>
      <c r="C1133" s="1" t="s">
        <v>3432</v>
      </c>
      <c r="D1133" s="2" t="str">
        <f>IFERROR(__xludf.DUMMYFUNCTION("GOOGLETRANSLATE(B1133, ""en"", ""TL"")"),"Ano ang papel na ginagampanan ng media at pampublikong pananaw sa pagtugon at paglaban sa katiwalian sa loob ng mga negosyo?")</f>
        <v>Ano ang papel na ginagampanan ng media at pampublikong pananaw sa pagtugon at paglaban sa katiwalian sa loob ng mga negosyo?</v>
      </c>
      <c r="E1133" s="2" t="str">
        <f>IFERROR(__xludf.DUMMYFUNCTION("GOOGLETRANSLATE(C1133, ""en"", ""TL"")"),"Ang media at pananaw ng publiko ay may mahalagang papel sa pagtugon at paglaban sa katiwalian sa loob ng mga negosyo sa Pilipinas. Narito ang isang breakdown ng kanilang impluwensya:
**Ang Media bilang Watchdog:**
* **Investigative Journalism:** Maaaring "&amp;"ilantad ng mga investigative journalist ang mga tiwaling gawi sa loob ng mga negosyo, na nagdadala sa kanila sa atensyon ng publiko at pinapanagot ang mga kumpanya. Maaari nitong ipilit ang mga negosyo na baguhin ang kanilang mga gawi at hadlangan ang kat"&amp;"iwalian sa hinaharap.
* **Pagtaas ng Kamalayan ng Publiko:** Ang mga ulat ng media tungkol sa katiwalian ay maaaring turuan ang publiko tungkol sa mga negatibong kahihinatnan ng mga gawaing ito. Ito ay maaaring magsulong ng isang kultura ng hindi pagpapar"&amp;"aan sa katiwalian at mahikayat ang mga tao na magsalita kung naghihinala sila ng maling gawain.
* **Pagsusuri sa Mga Pagsisikap ng Pamahalaan:** Maaaring suriin ng media ang mga pagsisikap ng pamahalaan na labanan ang katiwalian, tinitiyak ang wastong pag"&amp;"papatupad ng mga batas laban sa katiwalian at pananagutan ang mga awtoridad sa hindi pagkilos.
**Ang Kapangyarihan ng Pampublikong Pang-unawa:**
* **Pamamahala ng Reputasyon:** Ang negatibong media coverage tungkol sa katiwalian ay maaaring makapinsala na"&amp;"ng husto sa reputasyon ng isang kumpanya, na humahantong sa pagkawala ng tiwala ng consumer, mga potensyal na boycott, at kahirapan sa pag-akit ng mga mamumuhunan. Nagbibigay ito ng insentibo sa mga negosyo na unahin ang etikal na pag-uugali.
* **Public P"&amp;"ressure:** Ang galit ng publiko sa katiwalian ay maaaring humantong sa mga panawagan para sa reporma mula sa mga organisasyon ng civil society at mga kilusang mamamayan. Ang presyur na ito ay maaaring makaimpluwensya sa mga patakaran ng gobyerno at mga ka"&amp;"sanayan sa negosyo.
* **Pagpapalakas ng mga Whistleblower:** Ang kamalayan ng publiko tungkol sa katiwalian ay maaaring magbigay ng kapangyarihan sa mga empleyado na magsalita tungkol sa maling gawain sa loob ng kanilang mga kumpanya. Ang pag-alam na sinu"&amp;"suportahan ng publiko ang mga whistleblower ay maaaring mahikayat silang mag-ulat ng katiwalian.
**Mga Hamon at Limitasyon:**
* **Media Freedom:** Maaaring limitahan ng mga banta sa kalayaan ng media sa Pilipinas ang investigative journalism at kritikal n"&amp;"a pag-uulat sa katiwalian.
* **Pinili na Pag-uulat:** Maaaring maimpluwensyahan ng mga interes sa pulitika o pang-ekonomiya ang coverage ng media, na posibleng natatanaw ang katiwalian sa ilang partikular na sektor.
* **Pampublikong Kawalang-interes:** Sa"&amp;" ilang mga kaso, ang publiko ay maaaring maging desensitized sa katiwalian o maisip na ito ay hindi maiiwasan. Ito ay humahadlang sa panggigipit ng publiko para sa reporma.
**Pagpapahusay sa Epekto:**
* **Pagsuporta sa Investigative Journalism:** Ang mga "&amp;"inisyatiba ng civil society na sumusuporta sa investigative journalism ay maaaring maging mahalaga sa paglalantad ng katiwalian.
* **Pag-promote ng Media Literacy:** Ang pagtuturo sa publiko sa media literacy ay nakakatulong sa kanila na makilala ang mapa"&amp;"gkakatiwalaang impormasyon at panagutin ang mga media outlet para sa walang pinapanigan na pag-uulat. * **Pakikipag-ugnayan sa Publiko:** Ang mga negosyong nakikipag-ugnayan sa bukas na komunikasyon at nagpapakita ng pangako sa laban sa katiwalian ay maaa"&amp;"ring muling buuin ang tiwala ng publiko.
Sa pamamagitan ng pagtutulungan, ang media at ang publiko ay maaaring lumikha ng isang malakas na puwersa laban sa katiwalian sa loob ng mga negosyo sa Pilipinas. Ang tumaas na transparency, pampublikong kamalayan,"&amp;" at presyon para sa pananagutan ay maaaring humimok ng mga etikal na kasanayan sa negosyo at isang mas makatarungang lipunan.")</f>
        <v>Ang media at pananaw ng publiko ay may mahalagang papel sa pagtugon at paglaban sa katiwalian sa loob ng mga negosyo sa Pilipinas. Narito ang isang breakdown ng kanilang impluwensya:
**Ang Media bilang Watchdog:**
* **Investigative Journalism:** Maaaring ilantad ng mga investigative journalist ang mga tiwaling gawi sa loob ng mga negosyo, na nagdadala sa kanila sa atensyon ng publiko at pinapanagot ang mga kumpanya. Maaari nitong ipilit ang mga negosyo na baguhin ang kanilang mga gawi at hadlangan ang katiwalian sa hinaharap.
* **Pagtaas ng Kamalayan ng Publiko:** Ang mga ulat ng media tungkol sa katiwalian ay maaaring turuan ang publiko tungkol sa mga negatibong kahihinatnan ng mga gawaing ito. Ito ay maaaring magsulong ng isang kultura ng hindi pagpaparaan sa katiwalian at mahikayat ang mga tao na magsalita kung naghihinala sila ng maling gawain.
* **Pagsusuri sa Mga Pagsisikap ng Pamahalaan:** Maaaring suriin ng media ang mga pagsisikap ng pamahalaan na labanan ang katiwalian, tinitiyak ang wastong pagpapatupad ng mga batas laban sa katiwalian at pananagutan ang mga awtoridad sa hindi pagkilos.
**Ang Kapangyarihan ng Pampublikong Pang-unawa:**
* **Pamamahala ng Reputasyon:** Ang negatibong media coverage tungkol sa katiwalian ay maaaring makapinsala nang husto sa reputasyon ng isang kumpanya, na humahantong sa pagkawala ng tiwala ng consumer, mga potensyal na boycott, at kahirapan sa pag-akit ng mga mamumuhunan. Nagbibigay ito ng insentibo sa mga negosyo na unahin ang etikal na pag-uugali.
* **Public Pressure:** Ang galit ng publiko sa katiwalian ay maaaring humantong sa mga panawagan para sa reporma mula sa mga organisasyon ng civil society at mga kilusang mamamayan. Ang presyur na ito ay maaaring makaimpluwensya sa mga patakaran ng gobyerno at mga kasanayan sa negosyo.
* **Pagpapalakas ng mga Whistleblower:** Ang kamalayan ng publiko tungkol sa katiwalian ay maaaring magbigay ng kapangyarihan sa mga empleyado na magsalita tungkol sa maling gawain sa loob ng kanilang mga kumpanya. Ang pag-alam na sinusuportahan ng publiko ang mga whistleblower ay maaaring mahikayat silang mag-ulat ng katiwalian.
**Mga Hamon at Limitasyon:**
* **Media Freedom:** Maaaring limitahan ng mga banta sa kalayaan ng media sa Pilipinas ang investigative journalism at kritikal na pag-uulat sa katiwalian.
* **Pinili na Pag-uulat:** Maaaring maimpluwensyahan ng mga interes sa pulitika o pang-ekonomiya ang coverage ng media, na posibleng natatanaw ang katiwalian sa ilang partikular na sektor.
* **Pampublikong Kawalang-interes:** Sa ilang mga kaso, ang publiko ay maaaring maging desensitized sa katiwalian o maisip na ito ay hindi maiiwasan. Ito ay humahadlang sa panggigipit ng publiko para sa reporma.
**Pagpapahusay sa Epekto:**
* **Pagsuporta sa Investigative Journalism:** Ang mga inisyatiba ng civil society na sumusuporta sa investigative journalism ay maaaring maging mahalaga sa paglalantad ng katiwalian.
* **Pag-promote ng Media Literacy:** Ang pagtuturo sa publiko sa media literacy ay nakakatulong sa kanila na makilala ang mapagkakatiwalaang impormasyon at panagutin ang mga media outlet para sa walang pinapanigan na pag-uulat. * **Pakikipag-ugnayan sa Publiko:** Ang mga negosyong nakikipag-ugnayan sa bukas na komunikasyon at nagpapakita ng pangako sa laban sa katiwalian ay maaaring muling buuin ang tiwala ng publiko.
Sa pamamagitan ng pagtutulungan, ang media at ang publiko ay maaaring lumikha ng isang malakas na puwersa laban sa katiwalian sa loob ng mga negosyo sa Pilipinas. Ang tumaas na transparency, pampublikong kamalayan, at presyon para sa pananagutan ay maaaring humimok ng mga etikal na kasanayan sa negosyo at isang mas makatarungang lipunan.</v>
      </c>
      <c r="F1133" s="2">
        <f t="shared" si="1"/>
        <v>0</v>
      </c>
      <c r="G1133" s="2"/>
      <c r="H1133" s="2"/>
      <c r="I1133" s="2"/>
      <c r="J1133" s="2"/>
      <c r="K1133" s="2"/>
      <c r="L1133" s="2"/>
      <c r="M1133" s="2"/>
      <c r="N1133" s="2"/>
      <c r="O1133" s="2"/>
      <c r="P1133" s="2"/>
      <c r="Q1133" s="2"/>
      <c r="R1133" s="2"/>
      <c r="S1133" s="2"/>
      <c r="T1133" s="2"/>
      <c r="U1133" s="2"/>
      <c r="V1133" s="2"/>
      <c r="W1133" s="2"/>
      <c r="X1133" s="2"/>
      <c r="Y1133" s="2"/>
      <c r="Z1133" s="2"/>
      <c r="AA1133" s="2"/>
    </row>
    <row r="1134">
      <c r="A1134" s="1" t="s">
        <v>3356</v>
      </c>
      <c r="B1134" s="1" t="s">
        <v>3433</v>
      </c>
      <c r="C1134" s="1" t="s">
        <v>3434</v>
      </c>
      <c r="D1134" s="2" t="str">
        <f>IFERROR(__xludf.DUMMYFUNCTION("GOOGLETRANSLATE(B1134, ""en"", ""TL"")"),"Maaari mo bang ipaliwanag ang extraterritorial na abot ng mga batas laban sa katiwalian at kung paano maaaring ilapat ang mga ito sa mga internasyonal na operasyon ng aking negosyo?")</f>
        <v>Maaari mo bang ipaliwanag ang extraterritorial na abot ng mga batas laban sa katiwalian at kung paano maaaring ilapat ang mga ito sa mga internasyonal na operasyon ng aking negosyo?</v>
      </c>
      <c r="E1134" s="2" t="str">
        <f>IFERROR(__xludf.DUMMYFUNCTION("GOOGLETRANSLATE(C1134, ""en"", ""TL"")"),"Ang extraterritorial na abot ng mga batas laban sa katiwalian sa Pilipinas ay karaniwang itinuturing na limitado. Narito ang isang breakdown ng kung ano ang ibig sabihin nito para sa iyong mga operasyon sa internasyonal na negosyo:
**Limitadong Abot ng mg"&amp;"a Batas ng Pilipinas:**
* **Tumutok sa Mga Domestic Acts:** Ang mga batas laban sa katiwalian ng Pilipinas, tulad ng Republic Act No. 3019 (Anti-Graft and Corrupt Practices Act o RA 3019), ay pangunahing nakatuon sa mga gawaing katiwalian na ginawa sa loo"&amp;"b ng Pilipinas. * **Public Officials Primarily Targeted:** Ang RA 3019 ay pangunahing nalalapat sa mga pampublikong opisyal at empleyado. Walang tahasang probisyon na tumutugon sa panunuhol ng mga dayuhang pampublikong opisyal ng mga kumpanya ng Pilipinas"&amp;" o ng kanilang mga ahente sa ibang bansa.
**Mga Pagbubukod at Pagsasaalang-alang:**
* **Artikulo 2(4) ng Revised Penal Code (RPC):** Ang probisyong ito ay nagpapahintulot sa pag-uusig sa isang pampublikong opisyal ng Pilipinas na tumatanggap ng suhol sa i"&amp;"bang bansa. Gayunpaman, walang kaukulang probisyon para sa pag-uusig sa mga nanunuhol sa isang opisyal ng Pilipinas habang nasa ibang bansa.
* **Mga Internasyonal na Kasunduan:** Ang Pilipinas ay lumagda sa mga internasyonal na kombensiyon tulad ng OECD C"&amp;"onvention on Combating Bribery of Foreign Public Officials in International Business Transactions. Hinihikayat ng mga kombensyong ito ang pakikipagtulungan sa pagitan ng mga miyembrong bansa sa pag-iimbestiga at pag-uusig sa dayuhang panunuhol. Gayunpaman"&amp;", pangunahing umaasa ang pagpapatupad sa mga batas ng bansa kung saan nangyari ang panunuhol.
**Mga Implikasyon para sa Iyong Negosyo:**
* **Tumuon sa Mga Batas ng Host Country:** Kapag nagpapatakbo sa internasyonal, ang iyong negosyo ay dapat na pangunah"&amp;"ing sumunod sa mga batas laban sa katiwalian ng mga bansang iyong pinapatakbo. Ang mga batas na ito ay maaaring may mas mahigpit na extraterritorial na pag-abot at maaaring mailapat sa panunuhol ng mga dayuhang pampublikong opisyal .
* **Panatilihin ang i"&amp;"sang Matatag na Programa sa Pagsunod:** Magpatupad ng isang malakas na programa sa pagsunod laban sa katiwalian sa iyong buong organisasyon, anuman ang lokasyon. Dapat itong magsama ng malinaw na mga patakaran, pagsasanay para sa mga empleyado, at mga pam"&amp;"amaraan ng angkop na pagsisikap para sa mga kasosyong third-party.
* **Humingi ng Legal na Payo:** Ang pagkonsulta sa mga abogado na dalubhasa sa internasyonal na batas laban sa katiwalian ay mahalaga. Maaari silang magpayo sa partikular na legal na tanaw"&amp;"in sa mga bansang pinapatakbo mo at tumulong na matiyak na sumusunod ang iyong negosyo sa mga nauugnay na regulasyon.
**Mahalagang Disclaimer:** Ang impormasyong ito ay para sa pangkalahatang gabay lamang at hindi bumubuo ng legal na payo. Maipapayo na ku"&amp;"munsulta sa isang kwalipikadong abogado para sa mga partikular na tanong tungkol sa mga internasyonal na operasyon ng iyong negosyo at kung paano sila maaaring maapektuhan ng mga batas laban sa katiwalian.")</f>
        <v>Ang extraterritorial na abot ng mga batas laban sa katiwalian sa Pilipinas ay karaniwang itinuturing na limitado. Narito ang isang breakdown ng kung ano ang ibig sabihin nito para sa iyong mga operasyon sa internasyonal na negosyo:
**Limitadong Abot ng mga Batas ng Pilipinas:**
* **Tumutok sa Mga Domestic Acts:** Ang mga batas laban sa katiwalian ng Pilipinas, tulad ng Republic Act No. 3019 (Anti-Graft and Corrupt Practices Act o RA 3019), ay pangunahing nakatuon sa mga gawaing katiwalian na ginawa sa loob ng Pilipinas. * **Public Officials Primarily Targeted:** Ang RA 3019 ay pangunahing nalalapat sa mga pampublikong opisyal at empleyado. Walang tahasang probisyon na tumutugon sa panunuhol ng mga dayuhang pampublikong opisyal ng mga kumpanya ng Pilipinas o ng kanilang mga ahente sa ibang bansa.
**Mga Pagbubukod at Pagsasaalang-alang:**
* **Artikulo 2(4) ng Revised Penal Code (RPC):** Ang probisyong ito ay nagpapahintulot sa pag-uusig sa isang pampublikong opisyal ng Pilipinas na tumatanggap ng suhol sa ibang bansa. Gayunpaman, walang kaukulang probisyon para sa pag-uusig sa mga nanunuhol sa isang opisyal ng Pilipinas habang nasa ibang bansa.
* **Mga Internasyonal na Kasunduan:** Ang Pilipinas ay lumagda sa mga internasyonal na kombensiyon tulad ng OECD Convention on Combating Bribery of Foreign Public Officials in International Business Transactions. Hinihikayat ng mga kombensyong ito ang pakikipagtulungan sa pagitan ng mga miyembrong bansa sa pag-iimbestiga at pag-uusig sa dayuhang panunuhol. Gayunpaman, pangunahing umaasa ang pagpapatupad sa mga batas ng bansa kung saan nangyari ang panunuhol.
**Mga Implikasyon para sa Iyong Negosyo:**
* **Tumuon sa Mga Batas ng Host Country:** Kapag nagpapatakbo sa internasyonal, ang iyong negosyo ay dapat na pangunahing sumunod sa mga batas laban sa katiwalian ng mga bansang iyong pinapatakbo. Ang mga batas na ito ay maaaring may mas mahigpit na extraterritorial na pag-abot at maaaring mailapat sa panunuhol ng mga dayuhang pampublikong opisyal .
* **Panatilihin ang isang Matatag na Programa sa Pagsunod:** Magpatupad ng isang malakas na programa sa pagsunod laban sa katiwalian sa iyong buong organisasyon, anuman ang lokasyon. Dapat itong magsama ng malinaw na mga patakaran, pagsasanay para sa mga empleyado, at mga pamamaraan ng angkop na pagsisikap para sa mga kasosyong third-party.
* **Humingi ng Legal na Payo:** Ang pagkonsulta sa mga abogado na dalubhasa sa internasyonal na batas laban sa katiwalian ay mahalaga. Maaari silang magpayo sa partikular na legal na tanawin sa mga bansang pinapatakbo mo at tumulong na matiyak na sumusunod ang iyong negosyo sa mga nauugnay na regulasyon.
**Mahalagang Disclaimer:** Ang impormasyong ito ay para sa pangkalahatang gabay lamang at hindi bumubuo ng legal na payo. Maipapayo na kumunsulta sa isang kwalipikadong abogado para sa mga partikular na tanong tungkol sa mga internasyonal na operasyon ng iyong negosyo at kung paano sila maaaring maapektuhan ng mga batas laban sa katiwalian.</v>
      </c>
      <c r="F1134" s="2">
        <f t="shared" si="1"/>
        <v>0</v>
      </c>
      <c r="G1134" s="2"/>
      <c r="H1134" s="2"/>
      <c r="I1134" s="2"/>
      <c r="J1134" s="2"/>
      <c r="K1134" s="2"/>
      <c r="L1134" s="2"/>
      <c r="M1134" s="2"/>
      <c r="N1134" s="2"/>
      <c r="O1134" s="2"/>
      <c r="P1134" s="2"/>
      <c r="Q1134" s="2"/>
      <c r="R1134" s="2"/>
      <c r="S1134" s="2"/>
      <c r="T1134" s="2"/>
      <c r="U1134" s="2"/>
      <c r="V1134" s="2"/>
      <c r="W1134" s="2"/>
      <c r="X1134" s="2"/>
      <c r="Y1134" s="2"/>
      <c r="Z1134" s="2"/>
      <c r="AA1134" s="2"/>
    </row>
    <row r="1135">
      <c r="A1135" s="1" t="s">
        <v>3356</v>
      </c>
      <c r="B1135" s="1" t="s">
        <v>3435</v>
      </c>
      <c r="C1135" s="1" t="s">
        <v>3436</v>
      </c>
      <c r="D1135" s="2" t="str">
        <f>IFERROR(__xludf.DUMMYFUNCTION("GOOGLETRANSLATE(B1135, ""en"", ""TL"")"),"Ano ang mga limitasyon ng legal na pagpapatupad sa paglaban sa katiwalian sa loob ng sektor ng negosyo?")</f>
        <v>Ano ang mga limitasyon ng legal na pagpapatupad sa paglaban sa katiwalian sa loob ng sektor ng negosyo?</v>
      </c>
      <c r="E1135" s="2" t="str">
        <f>IFERROR(__xludf.DUMMYFUNCTION("GOOGLETRANSLATE(C1135, ""en"", ""TL"")"),"Habang ang mga legal na balangkas ay may mahalagang papel sa paglaban sa katiwalian, ang legal na pagpapatupad sa Pilipinas ay nahaharap sa ilang mga limitasyon:
**Resource Constraint:**
* **Limited Manpower:** Ang mga ahensyang nagpapatupad ng batas tula"&amp;"d ng Office of the Ombudsman ay maaaring kulang sa tauhan, na humahadlang sa kanilang kakayahang mag-imbestiga ng mga kumplikadong kaso ng katiwalian nang lubusan.
* **Hindi Sapat na Pagpopondo:** Maaaring paghigpitan ng mga limitadong badyet ang mga mapa"&amp;"gkukunan para sa forensic na pagsisiyasat, mga programa sa proteksyon ng saksi, at pagsasanay para sa mga imbestigador at tagausig.
**Mga Hamon sa Pamamaraan:**
* **Mahabang Proseso ng Korte:** Maaaring mabagal ang sistema ng hustisya sa Pilipinas, kung s"&amp;"aan ang mga kaso ng katiwalian ay tumatagal ng maraming taon bago malutas. Naaantala nito ang mga parusa at pinipigilan ang mga potensyal na whistleblower.
* **Mga Kahirapan sa Teknikal:** Ang pangangalap at pagsusuri ng kumplikadong data sa pananalapi at"&amp;" elektronikong ebidensya ay maaaring maging mahirap, na nangangailangan ng mga espesyal na kasanayan at teknolohiya.
**Panghihimasok sa Pulitika:**
* **Perceived Selective Justice:** Ang pang-unawa ng publiko sa kawalan ng katarungan sa mga pag-uusig ay m"&amp;"aaaring masira ang tiwala sa legal na sistema. Ang mga pagsisiyasat at pag-uusig ay maaaring ituring na may motibasyon sa pulitika, na nakakasira ng loob sa pag-uulat ng katiwalian.
* **Impluwensiya ng Makapangyarihang mga Indibidwal:** Maaaring magkaroon"&amp;" ng impluwensya ang mga makapangyarihang indibidwal o negosyong sangkot sa katiwalian upang hadlangan ang mga pagsisiyasat o pag-uusig, na humahadlang sa pananagutan.
**Iba pang mga Hamon:**
* **Pagiging Kumplikado ng Mga Scheme ng Korupsyon:** Ang katiwa"&amp;"lian ay maaaring magsama ng masalimuot na network ng mga indibidwal at negosyo, na nagpapahirap sa pagtukoy sa lahat ng mga may kasalanan at pagsubaybay sa daloy ng mga ipinagbabawal na pondo.
* **Cross-Border Corruption:** Ang mga kaso ng katiwalian ay k"&amp;"adalasang kinasasangkutan ng mga dayuhang kumpanya o indibidwal, na nangangailangan ng kumplikadong internasyonal na kooperasyon para sa epektibong pagsisiyasat at pag-uusig.
* **Public Kawalang-interes:** Ang pagpapaubaya ng lipunan sa katiwalian ay maaa"&amp;"ring hadlangan ang mga pagsisikap na labanan ito. Ang pagbuo ng kamalayan ng publiko at paghikayat ng isang kultura ng integridad ay mahalaga.
**Ang Pasulong:**
Sa kabila ng mga limitasyong ito, may mga patuloy na pagsisikap na palakasin ang legal na pagp"&amp;"apatupad sa Pilipinas:
* **Pagpapalakas ng mga Ahensyang Laban sa Korupsyon:** Pagbuo ng kapasidad sa loob ng mga ahensya tulad ng Opisina ng Ombudsman sa pamamagitan ng pagtaas ng pagpopondo, pagsasanay, at pagsulong sa teknolohiya.
* **Pag-promote ng In"&amp;"ter-Agency Cooperation:** Pagpapahusay ng pakikipagtulungan sa pagitan ng iba't ibang ahensya ng gobyerno na kasangkot sa mga pagsisikap laban sa katiwalian.
* **Proteksyon sa Whistleblower:** Pagpapalakas ng mga programa sa proteksyon ng whistleblower up"&amp;"ang hikayatin ang higit pang mga indibidwal na mag-ulat ng katiwalian nang walang takot sa paghihiganti.
* **Public Education and Awareness:** Pagtaas ng kamalayan ng publiko tungkol sa mga negatibong kahihinatnan ng katiwalian at paghikayat ng kultura ng"&amp;" mga etikal na kasanayan sa negosyo.
Sa pamamagitan ng pagtugon sa mga limitasyong ito at patuloy na pagpapabuti ng mga mekanismo ng pagpapatupad, ang Pilipinas ay makakalikha ng mas matibay na legal na balangkas para sa paglaban sa katiwalian sa loob ng "&amp;"sektor ng negosyo.")</f>
        <v>Habang ang mga legal na balangkas ay may mahalagang papel sa paglaban sa katiwalian, ang legal na pagpapatupad sa Pilipinas ay nahaharap sa ilang mga limitasyon:
**Resource Constraint:**
* **Limited Manpower:** Ang mga ahensyang nagpapatupad ng batas tulad ng Office of the Ombudsman ay maaaring kulang sa tauhan, na humahadlang sa kanilang kakayahang mag-imbestiga ng mga kumplikadong kaso ng katiwalian nang lubusan.
* **Hindi Sapat na Pagpopondo:** Maaaring paghigpitan ng mga limitadong badyet ang mga mapagkukunan para sa forensic na pagsisiyasat, mga programa sa proteksyon ng saksi, at pagsasanay para sa mga imbestigador at tagausig.
**Mga Hamon sa Pamamaraan:**
* **Mahabang Proseso ng Korte:** Maaaring mabagal ang sistema ng hustisya sa Pilipinas, kung saan ang mga kaso ng katiwalian ay tumatagal ng maraming taon bago malutas. Naaantala nito ang mga parusa at pinipigilan ang mga potensyal na whistleblower.
* **Mga Kahirapan sa Teknikal:** Ang pangangalap at pagsusuri ng kumplikadong data sa pananalapi at elektronikong ebidensya ay maaaring maging mahirap, na nangangailangan ng mga espesyal na kasanayan at teknolohiya.
**Panghihimasok sa Pulitika:**
* **Perceived Selective Justice:** Ang pang-unawa ng publiko sa kawalan ng katarungan sa mga pag-uusig ay maaaring masira ang tiwala sa legal na sistema. Ang mga pagsisiyasat at pag-uusig ay maaaring ituring na may motibasyon sa pulitika, na nakakasira ng loob sa pag-uulat ng katiwalian.
* **Impluwensiya ng Makapangyarihang mga Indibidwal:** Maaaring magkaroon ng impluwensya ang mga makapangyarihang indibidwal o negosyong sangkot sa katiwalian upang hadlangan ang mga pagsisiyasat o pag-uusig, na humahadlang sa pananagutan.
**Iba pang mga Hamon:**
* **Pagiging Kumplikado ng Mga Scheme ng Korupsyon:** Ang katiwalian ay maaaring magsama ng masalimuot na network ng mga indibidwal at negosyo, na nagpapahirap sa pagtukoy sa lahat ng mga may kasalanan at pagsubaybay sa daloy ng mga ipinagbabawal na pondo.
* **Cross-Border Corruption:** Ang mga kaso ng katiwalian ay kadalasang kinasasangkutan ng mga dayuhang kumpanya o indibidwal, na nangangailangan ng kumplikadong internasyonal na kooperasyon para sa epektibong pagsisiyasat at pag-uusig.
* **Public Kawalang-interes:** Ang pagpapaubaya ng lipunan sa katiwalian ay maaaring hadlangan ang mga pagsisikap na labanan ito. Ang pagbuo ng kamalayan ng publiko at paghikayat ng isang kultura ng integridad ay mahalaga.
**Ang Pasulong:**
Sa kabila ng mga limitasyong ito, may mga patuloy na pagsisikap na palakasin ang legal na pagpapatupad sa Pilipinas:
* **Pagpapalakas ng mga Ahensyang Laban sa Korupsyon:** Pagbuo ng kapasidad sa loob ng mga ahensya tulad ng Opisina ng Ombudsman sa pamamagitan ng pagtaas ng pagpopondo, pagsasanay, at pagsulong sa teknolohiya.
* **Pag-promote ng Inter-Agency Cooperation:** Pagpapahusay ng pakikipagtulungan sa pagitan ng iba't ibang ahensya ng gobyerno na kasangkot sa mga pagsisikap laban sa katiwalian.
* **Proteksyon sa Whistleblower:** Pagpapalakas ng mga programa sa proteksyon ng whistleblower upang hikayatin ang higit pang mga indibidwal na mag-ulat ng katiwalian nang walang takot sa paghihiganti.
* **Public Education and Awareness:** Pagtaas ng kamalayan ng publiko tungkol sa mga negatibong kahihinatnan ng katiwalian at paghikayat ng kultura ng mga etikal na kasanayan sa negosyo.
Sa pamamagitan ng pagtugon sa mga limitasyong ito at patuloy na pagpapabuti ng mga mekanismo ng pagpapatupad, ang Pilipinas ay makakalikha ng mas matibay na legal na balangkas para sa paglaban sa katiwalian sa loob ng sektor ng negosyo.</v>
      </c>
      <c r="F1135" s="2">
        <f t="shared" si="1"/>
        <v>0</v>
      </c>
      <c r="G1135" s="2"/>
      <c r="H1135" s="2"/>
      <c r="I1135" s="2"/>
      <c r="J1135" s="2"/>
      <c r="K1135" s="2"/>
      <c r="L1135" s="2"/>
      <c r="M1135" s="2"/>
      <c r="N1135" s="2"/>
      <c r="O1135" s="2"/>
      <c r="P1135" s="2"/>
      <c r="Q1135" s="2"/>
      <c r="R1135" s="2"/>
      <c r="S1135" s="2"/>
      <c r="T1135" s="2"/>
      <c r="U1135" s="2"/>
      <c r="V1135" s="2"/>
      <c r="W1135" s="2"/>
      <c r="X1135" s="2"/>
      <c r="Y1135" s="2"/>
      <c r="Z1135" s="2"/>
      <c r="AA1135" s="2"/>
    </row>
    <row r="1136">
      <c r="A1136" s="1" t="s">
        <v>3356</v>
      </c>
      <c r="B1136" s="1" t="s">
        <v>3437</v>
      </c>
      <c r="C1136" s="1" t="s">
        <v>3438</v>
      </c>
      <c r="D1136" s="2" t="str">
        <f>IFERROR(__xludf.DUMMYFUNCTION("GOOGLETRANSLATE(B1136, ""en"", ""TL"")"),"Maaari ka bang magbigay ng mga halimbawa ng matagumpay na mga legal na estratehiya na ginamit upang usigin ang mga kaso ng katiwalian sa loob ng mga negosyo?")</f>
        <v>Maaari ka bang magbigay ng mga halimbawa ng matagumpay na mga legal na estratehiya na ginamit upang usigin ang mga kaso ng katiwalian sa loob ng mga negosyo?</v>
      </c>
      <c r="E1136" s="2" t="str">
        <f>IFERROR(__xludf.DUMMYFUNCTION("GOOGLETRANSLATE(C1136, ""en"", ""TL"")"),"Dahil sa mga alalahanin sa privacy at sa patuloy na katangian ng ilang legal na paglilitis, mahirap magbigay ng mga partikular na detalye tungkol sa matagumpay na pag-uusig sa Pilipinas. Gayunpaman, maaari akong mag-alok ng ilang pangkalahatang halimbawa "&amp;"ng mga legal na diskarte na ginagamit sa pag-uusig ng katiwalian sa loob ng mga negosyo:
**1. Paggamit ng Whistleblower Testimony:**
* Ang mga whistleblower na nag-uulat ng katiwalian sa loob ng kanilang mga kumpanya ay maaaring maging mahahalagang saksi "&amp;"sa mga legal na kaso. Ang kanilang mismong mga salaysay ng mga tiwaling gawain ay maaaring magbigay ng matibay na ebidensya. * Ang Pilipinas ay may Witness Protection Program na nagpoprotekta sa mga whistleblower mula sa paghihiganti. Ito ay naghihikayat "&amp;"sa kanila na magbigay ng impormasyon.
**2. Sumusunod sa Paper Trail:**
* Ang mga pagsisiyasat laban sa katiwalian ay kadalasang nagsasangkot ng masusing pagsusuri sa mga rekord ng pananalapi, email, at iba pang mga dokumento. * Ang mga hindi maipaliwanag "&amp;"na pagbabayad, napalaki na mga invoice, o hindi pangkaraniwang mga transaksyon sa mga kasosyo na may mataas na peligro ay maaaring maging mga red flag at humantong sa pag-alis ng mga tiwaling aktibidad.
**3. Pakikipagtulungan sa pagitan ng mga Ahensya:**
"&amp;"* Ang mga kumplikadong kaso ng katiwalian ay maaaring may kinalaman sa maraming ahensya ng gobyerno, tulad ng Office of the Ombudsman, Securities and Exchange Commission (SEC), at Philippine National Police (PNP). * Ang epektibong pakikipagtulungan at pag"&amp;"babahagi ng impormasyon sa pagitan ng mga ahensyang ito ay maaaring palakasin ang mga pag-uusig.
**4. Paggamit ng Internasyonal na Mga Mekanismo ng Kooperasyon:**
* Ang mga kaso ng katiwalian ay maaaring may kinalaman sa mga dayuhang kumpanya o indibidwal"&amp;". Maaaring gamitin ng Pilipinas ang mga mekanismo ng internasyonal na pagtutulungan tulad ng Mutual Legal Assistance Treaties (MLATs) upang mangalap ng ebidensya mula sa ibang mga bansa.
**5. Paggamit ng Plea Bargain Agreements:**
* Sa ilang mga kaso, ang"&amp;" mga tagausig ay maaaring mag-alok ng plea bargain sa mga kalahok sa mababang antas sa isang pamamaraan ng katiwalian kapalit ng kanilang pakikipagtulungan at patotoo laban sa mga indibidwal na mas mataas ang ranggo. Makakatulong ito sa paglutas ng mga ku"&amp;"mplikadong network ng katiwalian.
**6. Civil Litigation Kasama ng Criminal Charges:**
* Bilang karagdagan sa kriminal na pag-uusig, ang mga negosyong sangkot sa katiwalian ay maaaring humarap sa mga kasong sibil mula sa mga entity na kanilang sinaktan. * "&amp;"Maaaring kabilang dito ang mga ahensya ng gobyerno na naghahanap ng pagbawi ng mga ninakaw na pondo o mga pribadong kumpanya na nalugi dahil sa mga katiwalian.
**Mahahalagang Paalala:**
* Ang mga ito ay mga pangkalahatang halimbawa lamang, at ang mga part"&amp;"ikular na estratehiyang ginamit ay mag-iiba-iba depende sa mga katotohanan at kalagayan ng bawat kaso.
* Ang mga kaso ng katiwalian ay maaaring kumplikado at mahaba. Ang matagumpay na pag-uusig ay nangangailangan ng matibay na ebidensya at isang mahusay n"&amp;"a pinag-ugnay na pagsisikap mula sa mga ahensyang nagpapatupad ng batas.")</f>
        <v>Dahil sa mga alalahanin sa privacy at sa patuloy na katangian ng ilang legal na paglilitis, mahirap magbigay ng mga partikular na detalye tungkol sa matagumpay na pag-uusig sa Pilipinas. Gayunpaman, maaari akong mag-alok ng ilang pangkalahatang halimbawa ng mga legal na diskarte na ginagamit sa pag-uusig ng katiwalian sa loob ng mga negosyo:
**1. Paggamit ng Whistleblower Testimony:**
* Ang mga whistleblower na nag-uulat ng katiwalian sa loob ng kanilang mga kumpanya ay maaaring maging mahahalagang saksi sa mga legal na kaso. Ang kanilang mismong mga salaysay ng mga tiwaling gawain ay maaaring magbigay ng matibay na ebidensya. * Ang Pilipinas ay may Witness Protection Program na nagpoprotekta sa mga whistleblower mula sa paghihiganti. Ito ay naghihikayat sa kanila na magbigay ng impormasyon.
**2. Sumusunod sa Paper Trail:**
* Ang mga pagsisiyasat laban sa katiwalian ay kadalasang nagsasangkot ng masusing pagsusuri sa mga rekord ng pananalapi, email, at iba pang mga dokumento. * Ang mga hindi maipaliwanag na pagbabayad, napalaki na mga invoice, o hindi pangkaraniwang mga transaksyon sa mga kasosyo na may mataas na peligro ay maaaring maging mga red flag at humantong sa pag-alis ng mga tiwaling aktibidad.
**3. Pakikipagtulungan sa pagitan ng mga Ahensya:**
* Ang mga kumplikadong kaso ng katiwalian ay maaaring may kinalaman sa maraming ahensya ng gobyerno, tulad ng Office of the Ombudsman, Securities and Exchange Commission (SEC), at Philippine National Police (PNP). * Ang epektibong pakikipagtulungan at pagbabahagi ng impormasyon sa pagitan ng mga ahensyang ito ay maaaring palakasin ang mga pag-uusig.
**4. Paggamit ng Internasyonal na Mga Mekanismo ng Kooperasyon:**
* Ang mga kaso ng katiwalian ay maaaring may kinalaman sa mga dayuhang kumpanya o indibidwal. Maaaring gamitin ng Pilipinas ang mga mekanismo ng internasyonal na pagtutulungan tulad ng Mutual Legal Assistance Treaties (MLATs) upang mangalap ng ebidensya mula sa ibang mga bansa.
**5. Paggamit ng Plea Bargain Agreements:**
* Sa ilang mga kaso, ang mga tagausig ay maaaring mag-alok ng plea bargain sa mga kalahok sa mababang antas sa isang pamamaraan ng katiwalian kapalit ng kanilang pakikipagtulungan at patotoo laban sa mga indibidwal na mas mataas ang ranggo. Makakatulong ito sa paglutas ng mga kumplikadong network ng katiwalian.
**6. Civil Litigation Kasama ng Criminal Charges:**
* Bilang karagdagan sa kriminal na pag-uusig, ang mga negosyong sangkot sa katiwalian ay maaaring humarap sa mga kasong sibil mula sa mga entity na kanilang sinaktan. * Maaaring kabilang dito ang mga ahensya ng gobyerno na naghahanap ng pagbawi ng mga ninakaw na pondo o mga pribadong kumpanya na nalugi dahil sa mga katiwalian.
**Mahahalagang Paalala:**
* Ang mga ito ay mga pangkalahatang halimbawa lamang, at ang mga partikular na estratehiyang ginamit ay mag-iiba-iba depende sa mga katotohanan at kalagayan ng bawat kaso.
* Ang mga kaso ng katiwalian ay maaaring kumplikado at mahaba. Ang matagumpay na pag-uusig ay nangangailangan ng matibay na ebidensya at isang mahusay na pinag-ugnay na pagsisikap mula sa mga ahensyang nagpapatupad ng batas.</v>
      </c>
      <c r="F1136" s="2">
        <f t="shared" si="1"/>
        <v>0</v>
      </c>
      <c r="G1136" s="2"/>
      <c r="H1136" s="2"/>
      <c r="I1136" s="2"/>
      <c r="J1136" s="2"/>
      <c r="K1136" s="2"/>
      <c r="L1136" s="2"/>
      <c r="M1136" s="2"/>
      <c r="N1136" s="2"/>
      <c r="O1136" s="2"/>
      <c r="P1136" s="2"/>
      <c r="Q1136" s="2"/>
      <c r="R1136" s="2"/>
      <c r="S1136" s="2"/>
      <c r="T1136" s="2"/>
      <c r="U1136" s="2"/>
      <c r="V1136" s="2"/>
      <c r="W1136" s="2"/>
      <c r="X1136" s="2"/>
      <c r="Y1136" s="2"/>
      <c r="Z1136" s="2"/>
      <c r="AA1136" s="2"/>
    </row>
    <row r="1137">
      <c r="A1137" s="1" t="s">
        <v>3356</v>
      </c>
      <c r="B1137" s="1" t="s">
        <v>3439</v>
      </c>
      <c r="C1137" s="1" t="s">
        <v>3440</v>
      </c>
      <c r="D1137" s="2" t="str">
        <f>IFERROR(__xludf.DUMMYFUNCTION("GOOGLETRANSLATE(B1137, ""en"", ""TL"")"),"Paano ko maa-assess ang pagiging epektibo ng mga pagsusumikap sa pagsunod sa laban sa katiwalian ng aking negosyo?")</f>
        <v>Paano ko maa-assess ang pagiging epektibo ng mga pagsusumikap sa pagsunod sa laban sa katiwalian ng aking negosyo?</v>
      </c>
      <c r="E1137" s="2" t="str">
        <f>IFERROR(__xludf.DUMMYFUNCTION("GOOGLETRANSLATE(C1137, ""en"", ""TL"")"),"Ang pagtatasa sa pagiging epektibo ng mga pagsusumikap sa pagsunod sa laban sa katiwalian ng iyong negosyo sa Pilipinas ay nangangailangan ng isang multi-pronged na diskarte. Narito ang isang balangkas upang makapagsimula ka:
**1. Suriin ang Disenyo at Pa"&amp;"gpapatupad ng Programa:**
* **Pagsusuri ng Patakaran:** Suriin ang iyong mga patakaran at pamamaraan laban sa katiwalian upang matiyak na malinaw, komprehensibo, at napapanahon ang mga ito sa mga batas ng Pilipinas tulad ng RA 3019 (Anti-Graft and Corrupt"&amp;" Practices Act). * **Pagiging Mabisa sa Pagsasanay:** Tayahin ang pagiging epektibo ng iyong mga programa sa pagsasanay laban sa katiwalian. Naiintindihan ba ng mga empleyado ang mga patakaran, pulang bandila ng katiwalian, at wastong mekanismo ng pag-uul"&amp;"at? * **Mga Panloob na Kontrol:** Suriin ang lakas ng iyong mga panloob na kontrol sa mga transaksyon sa pananalapi, pagkuha, at iba pang mga lugar na madaling maapektuhan ng katiwalian. Mayroon bang naaangkop na checks and balances sa lugar?
**2. Subayba"&amp;"yan ang Pamamahala sa Panganib:**
* **Pagsusuri sa Panganib:** Regular na suriin ang iyong mga pagtatasa ng panganib sa katiwalian. Nagbago ba ang mga panganib na nauugnay sa iyong industriya, mga heyograpikong lokasyon, at mga kasosyo sa negosyo? * **Pag"&amp;"-uulat ng Insidente:** Suriin ang dami at katangian ng mga naiulat na insidente ng katiwalian sa loob ng iyong kumpanya. Mayroon bang anumang mga uso o lugar ng pag-aalala? * **Third-Party Due Diligence:** Suriin ang iyong mga pamamaraan sa nararapat na p"&amp;"agsusumikap para sa mga ahente at kasosyo ng third-party. Sapat pa ba ang mga ito sa pag-iwas sa mga panganib sa katiwalian?
**3. Magsagawa ng mga Panloob na Pag-audit at Pagsisiyasat:**
* **Mga Independiyenteng Pag-audit:** Isaalang-alang ang mga pana-pa"&amp;"nahong independiyenteng pag-audit ng iyong programa sa pagsunod laban sa katiwalian. Nagbibigay ito ng layunin na pagtatasa ng pagiging epektibo nito.
* **Mga Pamamaraan sa Pag-iimbestiga:** Subukan ang pagiging epektibo ng iyong mga pamamaraan para sa pa"&amp;"gsisiyasat ng pinaghihinalaang katiwalian. Sila ba ay patas, transparent, at napapanahon?
**4. Sukatin ang Pagdama ng Empleyado:**
* **Survey ng Empleyado:** Magsagawa ng mga hindi kilalang survey ng empleyado upang masukat ang kanilang pananaw sa pangako"&amp;" ng kumpanya sa laban sa katiwalian at ang bisa ng programa sa pagsunod. Maaari itong magbunyag ng mga lugar para sa pagpapabuti.
* **Speak-Up Culture:** Tayahin kung ang iyong kumpanya ay nagtataguyod ng isang kultura kung saan ang mga empleyado ay kumpo"&amp;"rtable na magsalita tungkol sa potensyal na katiwalian nang walang takot sa paghihiganti. **5. Pag-benchmark at Panlabas na Pagsusuri:**
* **Mga Pamantayan sa Industriya:** Ikumpara ang iyong programa laban sa katiwalian laban sa mga pinakamahuhusay na ka"&amp;"gawian sa industriya at mga nauugnay na internasyonal na balangkas tulad ng OECD Convention on Combating Bribery.
* **Mga Panlabas na Lupon sa Pagsusuri:** Isaalang-alang ang pagtatatag ng isang panlabas na lupon ng pagsusuri na binubuo ng mga independiye"&amp;"nteng eksperto upang pana-panahong masuri ang iyong mga pagsisikap laban sa katiwalian.
**Tandaan:** * Walang iisang sukatan upang masuri ang pagiging epektibo. Ito ay isang tuluy-tuloy na proseso na nangangailangan ng patuloy na pagsusuri at pagpapabuti."&amp;"
* Ang isang mahusay na dinisenyo na programa na hindi maganda ang pagpapatupad ay hindi magiging epektibo. Tumutok sa parehong disenyo at pare-parehong pagpapatupad.
* Humingi ng legal na payo mula sa mga abogadong dalubhasa sa mga batas laban sa katiwal"&amp;"ian ng Pilipinas upang matiyak na ang iyong programa ay naaayon sa mga legal na kinakailangan.
Sa pamamagitan ng pagpapatupad ng balangkas na ito at pagkuha ng isang proactive na diskarte, maaari kang makakuha ng mahahalagang insight sa pagiging epektibo "&amp;"ng iyong mga pagsusumikap sa pagsunod laban sa katiwalian, na nagbibigay-daan sa iyong patuloy na palakasin ang iyong programa at lumikha ng isang kultura ng integridad sa loob ng iyong negosyo.")</f>
        <v>Ang pagtatasa sa pagiging epektibo ng mga pagsusumikap sa pagsunod sa laban sa katiwalian ng iyong negosyo sa Pilipinas ay nangangailangan ng isang multi-pronged na diskarte. Narito ang isang balangkas upang makapagsimula ka:
**1. Suriin ang Disenyo at Pagpapatupad ng Programa:**
* **Pagsusuri ng Patakaran:** Suriin ang iyong mga patakaran at pamamaraan laban sa katiwalian upang matiyak na malinaw, komprehensibo, at napapanahon ang mga ito sa mga batas ng Pilipinas tulad ng RA 3019 (Anti-Graft and Corrupt Practices Act). * **Pagiging Mabisa sa Pagsasanay:** Tayahin ang pagiging epektibo ng iyong mga programa sa pagsasanay laban sa katiwalian. Naiintindihan ba ng mga empleyado ang mga patakaran, pulang bandila ng katiwalian, at wastong mekanismo ng pag-uulat? * **Mga Panloob na Kontrol:** Suriin ang lakas ng iyong mga panloob na kontrol sa mga transaksyon sa pananalapi, pagkuha, at iba pang mga lugar na madaling maapektuhan ng katiwalian. Mayroon bang naaangkop na checks and balances sa lugar?
**2. Subaybayan ang Pamamahala sa Panganib:**
* **Pagsusuri sa Panganib:** Regular na suriin ang iyong mga pagtatasa ng panganib sa katiwalian. Nagbago ba ang mga panganib na nauugnay sa iyong industriya, mga heyograpikong lokasyon, at mga kasosyo sa negosyo? * **Pag-uulat ng Insidente:** Suriin ang dami at katangian ng mga naiulat na insidente ng katiwalian sa loob ng iyong kumpanya. Mayroon bang anumang mga uso o lugar ng pag-aalala? * **Third-Party Due Diligence:** Suriin ang iyong mga pamamaraan sa nararapat na pagsusumikap para sa mga ahente at kasosyo ng third-party. Sapat pa ba ang mga ito sa pag-iwas sa mga panganib sa katiwalian?
**3. Magsagawa ng mga Panloob na Pag-audit at Pagsisiyasat:**
* **Mga Independiyenteng Pag-audit:** Isaalang-alang ang mga pana-panahong independiyenteng pag-audit ng iyong programa sa pagsunod laban sa katiwalian. Nagbibigay ito ng layunin na pagtatasa ng pagiging epektibo nito.
* **Mga Pamamaraan sa Pag-iimbestiga:** Subukan ang pagiging epektibo ng iyong mga pamamaraan para sa pagsisiyasat ng pinaghihinalaang katiwalian. Sila ba ay patas, transparent, at napapanahon?
**4. Sukatin ang Pagdama ng Empleyado:**
* **Survey ng Empleyado:** Magsagawa ng mga hindi kilalang survey ng empleyado upang masukat ang kanilang pananaw sa pangako ng kumpanya sa laban sa katiwalian at ang bisa ng programa sa pagsunod. Maaari itong magbunyag ng mga lugar para sa pagpapabuti.
* **Speak-Up Culture:** Tayahin kung ang iyong kumpanya ay nagtataguyod ng isang kultura kung saan ang mga empleyado ay kumportable na magsalita tungkol sa potensyal na katiwalian nang walang takot sa paghihiganti. **5. Pag-benchmark at Panlabas na Pagsusuri:**
* **Mga Pamantayan sa Industriya:** Ikumpara ang iyong programa laban sa katiwalian laban sa mga pinakamahuhusay na kagawian sa industriya at mga nauugnay na internasyonal na balangkas tulad ng OECD Convention on Combating Bribery.
* **Mga Panlabas na Lupon sa Pagsusuri:** Isaalang-alang ang pagtatatag ng isang panlabas na lupon ng pagsusuri na binubuo ng mga independiyenteng eksperto upang pana-panahong masuri ang iyong mga pagsisikap laban sa katiwalian.
**Tandaan:** * Walang iisang sukatan upang masuri ang pagiging epektibo. Ito ay isang tuluy-tuloy na proseso na nangangailangan ng patuloy na pagsusuri at pagpapabuti.
* Ang isang mahusay na dinisenyo na programa na hindi maganda ang pagpapatupad ay hindi magiging epektibo. Tumutok sa parehong disenyo at pare-parehong pagpapatupad.
* Humingi ng legal na payo mula sa mga abogadong dalubhasa sa mga batas laban sa katiwalian ng Pilipinas upang matiyak na ang iyong programa ay naaayon sa mga legal na kinakailangan.
Sa pamamagitan ng pagpapatupad ng balangkas na ito at pagkuha ng isang proactive na diskarte, maaari kang makakuha ng mahahalagang insight sa pagiging epektibo ng iyong mga pagsusumikap sa pagsunod laban sa katiwalian, na nagbibigay-daan sa iyong patuloy na palakasin ang iyong programa at lumikha ng isang kultura ng integridad sa loob ng iyong negosyo.</v>
      </c>
      <c r="F1137" s="2">
        <f t="shared" si="1"/>
        <v>0</v>
      </c>
      <c r="G1137" s="2"/>
      <c r="H1137" s="2"/>
      <c r="I1137" s="2"/>
      <c r="J1137" s="2"/>
      <c r="K1137" s="2"/>
      <c r="L1137" s="2"/>
      <c r="M1137" s="2"/>
      <c r="N1137" s="2"/>
      <c r="O1137" s="2"/>
      <c r="P1137" s="2"/>
      <c r="Q1137" s="2"/>
      <c r="R1137" s="2"/>
      <c r="S1137" s="2"/>
      <c r="T1137" s="2"/>
      <c r="U1137" s="2"/>
      <c r="V1137" s="2"/>
      <c r="W1137" s="2"/>
      <c r="X1137" s="2"/>
      <c r="Y1137" s="2"/>
      <c r="Z1137" s="2"/>
      <c r="AA1137" s="2"/>
    </row>
    <row r="1138">
      <c r="A1138" s="1" t="s">
        <v>3356</v>
      </c>
      <c r="B1138" s="1" t="s">
        <v>3441</v>
      </c>
      <c r="C1138" s="1" t="s">
        <v>3442</v>
      </c>
      <c r="D1138" s="2" t="str">
        <f>IFERROR(__xludf.DUMMYFUNCTION("GOOGLETRANSLATE(B1138, ""en"", ""TL"")"),"Anong mga hakbang ang maaari kong gawin upang mabawasan ang panganib ng katiwalian kapag nakikibahagi sa mga joint venture o pakikipagsosyo sa ibang mga negosyo?")</f>
        <v>Anong mga hakbang ang maaari kong gawin upang mabawasan ang panganib ng katiwalian kapag nakikibahagi sa mga joint venture o pakikipagsosyo sa ibang mga negosyo?</v>
      </c>
      <c r="E1138" s="2" t="str">
        <f>IFERROR(__xludf.DUMMYFUNCTION("GOOGLETRANSLATE(C1138, ""en"", ""TL"")"),"Narito ang ilang hakbang na maaari mong gawin upang mabawasan ang panganib ng katiwalian kapag nakikibahagi sa mga joint venture o pakikipagsosyo sa ibang mga negosyo sa Pilipinas:
**Pre-Partnership Due Diligence:**
* **Suriin ang Mga Potensyal na Kasosyo"&amp;":** Magsagawa ng masusing pagsasaalang-alang sa mga potensyal na kasosyo. Siyasatin ang kanilang background, reputasyon sa loob ng industriya, at anumang kasaysayan ng mga paratang sa katiwalian. Suriin kung nasangkot sila sa mga legal na hindi pagkakauna"&amp;"waan o pagsisiyasat.
* **Suriin ang Mga Istraktura ng Pagmamay-ari:** Tuklasin ang mga tunay na kapaki-pakinabang na may-ari ng kumpanyang kasosyo mo. Ang mga kumplikadong istruktura ng pagmamay-ari ay maaaring maging pulang bandila para sa potensyal na k"&amp;"atiwalian.
* **Mga Programa sa Pagsunod:** Tayahin kung ang iyong potensyal na kasosyo ay may matatag na programa sa pagsunod laban sa katiwalian. Ito ay nagpapakita ng kanilang pangako sa etikal na mga kasanayan sa negosyo.
**Paggawa ng Watertight Joint "&amp;"Venture Agreement:**
* **Mga Anti-Corruption Clause:** Isama ang malinaw at partikular na anti-corruption clause sa joint venture agreement. Dapat ipagbawal ng mga sugnay na ito ang panunuhol, pangingikil, at iba pang mga tiwaling gawain ng parehong parti"&amp;"do at ng kanilang mga kinatawan. * **Mga Pamamaraan sa Pagsunod:** Balangkas ang mga malinaw na pamamaraan para sa pag-uulat ng pinaghihinalaang katiwalian sa loob ng joint venture. Maaaring kabilang dito ang pagtatatag ng isang kumpidensyal na hotline sa"&amp;" pag-uulat o mekanismo ng whistleblower.
* **Mga Mekanismo ng Paglutas ng Di-pagkakasundo:** Isama ang malinaw na mga mekanismo sa pagresolba ng hindi pagkakaunawaan sa kasunduan. Tinitiyak nito ang isang patas at malinaw na proseso para sa pagtugon sa an"&amp;"umang mga paratang ng katiwalian sa loob ng joint venture.
**Patuloy na Pagsubaybay at Mga Kontrol:**
* **Mga Panloob na Kontrol:** Magpatupad ng malakas na mga panloob na kontrol sa loob ng joint venture upang subaybayan ang mga transaksyong pinansyal at"&amp;" maiwasan ang mga hindi wastong pagbabayad. Maaaring kabilang dito ang paghihiwalay ng mga tungkulin, regular na pag-audit, at mga kontrol sa mga proseso ng pagkuha.
* **Pagbabahagi ng Impormasyon:** Magtatag ng malinaw na mga channel para sa komunikasyon"&amp;" at pagbabahagi ng impormasyon sa pagitan ng iyong kumpanya at ng iyong kasosyo. Nagbibigay-daan ito para sa maagang pagtuklas ng anumang potensyal na panganib sa katiwalian.
* **Mga Pana-panahong Pagsusuri:** Magsagawa ng mga pana-panahong pagsusuri ng p"&amp;"rograma sa pagsunod sa laban sa katiwalian at mga panloob na kontrol ng joint venture. Tinitiyak nito na mananatiling epektibo ang mga ito sa liwanag ng pagbabago ng mga pangyayari.
**Mga Karagdagang Pagsasaalang-alang:**
* **Mga Ahente ng Third-Party:** "&amp;"Kung plano mong gumamit ng mga ahente ng third-party (mga consultant, distributor) sa Pilipinas, magsagawa rin ng angkop na pagsusumikap sa kanila at tiyaking mayroon silang mga patakaran laban sa katiwalian.
* **Cultural Awareness:** Maging maingat sa mg"&amp;"a kultural na kaugalian tungkol sa pagbibigay ng regalo at entertainment sa Pilipinas. Bagama't ang isang tanda ng pagpapahalaga ay maaaring kaugalian, iwasan ang labis na paggasta o mga regalo na maaaring ituring bilang mga suhol (sumangguni sa nakaraang"&amp;" talakayan sa RA 3019 at PD 46).
* **Humingi ng Legal na Payo:** Sa buong proseso, kumunsulta sa isang abogado na dalubhasa sa mga batas laban sa katiwalian at joint venture ng Pilipinas. Maaari silang magpayo sa mga partikular na legal na kinakailangan a"&amp;"t tumulong sa pag-draft ng isang kasunduan.
Sa pamamagitan ng pagpapatupad ng mga hakbang na ito, maaari mong makabuluhang bawasan ang panganib ng katiwalian kapag nakikibahagi sa mga joint venture o pakikipagsosyo sa ibang mga negosyo sa Pilipinas. Tanda"&amp;"an, ang isang onsa ng pag-iwas ay nagkakahalaga ng kalahating kilong lunas.")</f>
        <v>Narito ang ilang hakbang na maaari mong gawin upang mabawasan ang panganib ng katiwalian kapag nakikibahagi sa mga joint venture o pakikipagsosyo sa ibang mga negosyo sa Pilipinas:
**Pre-Partnership Due Diligence:**
* **Suriin ang Mga Potensyal na Kasosyo:** Magsagawa ng masusing pagsasaalang-alang sa mga potensyal na kasosyo. Siyasatin ang kanilang background, reputasyon sa loob ng industriya, at anumang kasaysayan ng mga paratang sa katiwalian. Suriin kung nasangkot sila sa mga legal na hindi pagkakaunawaan o pagsisiyasat.
* **Suriin ang Mga Istraktura ng Pagmamay-ari:** Tuklasin ang mga tunay na kapaki-pakinabang na may-ari ng kumpanyang kasosyo mo. Ang mga kumplikadong istruktura ng pagmamay-ari ay maaaring maging pulang bandila para sa potensyal na katiwalian.
* **Mga Programa sa Pagsunod:** Tayahin kung ang iyong potensyal na kasosyo ay may matatag na programa sa pagsunod laban sa katiwalian. Ito ay nagpapakita ng kanilang pangako sa etikal na mga kasanayan sa negosyo.
**Paggawa ng Watertight Joint Venture Agreement:**
* **Mga Anti-Corruption Clause:** Isama ang malinaw at partikular na anti-corruption clause sa joint venture agreement. Dapat ipagbawal ng mga sugnay na ito ang panunuhol, pangingikil, at iba pang mga tiwaling gawain ng parehong partido at ng kanilang mga kinatawan. * **Mga Pamamaraan sa Pagsunod:** Balangkas ang mga malinaw na pamamaraan para sa pag-uulat ng pinaghihinalaang katiwalian sa loob ng joint venture. Maaaring kabilang dito ang pagtatatag ng isang kumpidensyal na hotline sa pag-uulat o mekanismo ng whistleblower.
* **Mga Mekanismo ng Paglutas ng Di-pagkakasundo:** Isama ang malinaw na mga mekanismo sa pagresolba ng hindi pagkakaunawaan sa kasunduan. Tinitiyak nito ang isang patas at malinaw na proseso para sa pagtugon sa anumang mga paratang ng katiwalian sa loob ng joint venture.
**Patuloy na Pagsubaybay at Mga Kontrol:**
* **Mga Panloob na Kontrol:** Magpatupad ng malakas na mga panloob na kontrol sa loob ng joint venture upang subaybayan ang mga transaksyong pinansyal at maiwasan ang mga hindi wastong pagbabayad. Maaaring kabilang dito ang paghihiwalay ng mga tungkulin, regular na pag-audit, at mga kontrol sa mga proseso ng pagkuha.
* **Pagbabahagi ng Impormasyon:** Magtatag ng malinaw na mga channel para sa komunikasyon at pagbabahagi ng impormasyon sa pagitan ng iyong kumpanya at ng iyong kasosyo. Nagbibigay-daan ito para sa maagang pagtuklas ng anumang potensyal na panganib sa katiwalian.
* **Mga Pana-panahong Pagsusuri:** Magsagawa ng mga pana-panahong pagsusuri ng programa sa pagsunod sa laban sa katiwalian at mga panloob na kontrol ng joint venture. Tinitiyak nito na mananatiling epektibo ang mga ito sa liwanag ng pagbabago ng mga pangyayari.
**Mga Karagdagang Pagsasaalang-alang:**
* **Mga Ahente ng Third-Party:** Kung plano mong gumamit ng mga ahente ng third-party (mga consultant, distributor) sa Pilipinas, magsagawa rin ng angkop na pagsusumikap sa kanila at tiyaking mayroon silang mga patakaran laban sa katiwalian.
* **Cultural Awareness:** Maging maingat sa mga kultural na kaugalian tungkol sa pagbibigay ng regalo at entertainment sa Pilipinas. Bagama't ang isang tanda ng pagpapahalaga ay maaaring kaugalian, iwasan ang labis na paggasta o mga regalo na maaaring ituring bilang mga suhol (sumangguni sa nakaraang talakayan sa RA 3019 at PD 46).
* **Humingi ng Legal na Payo:** Sa buong proseso, kumunsulta sa isang abogado na dalubhasa sa mga batas laban sa katiwalian at joint venture ng Pilipinas. Maaari silang magpayo sa mga partikular na legal na kinakailangan at tumulong sa pag-draft ng isang kasunduan.
Sa pamamagitan ng pagpapatupad ng mga hakbang na ito, maaari mong makabuluhang bawasan ang panganib ng katiwalian kapag nakikibahagi sa mga joint venture o pakikipagsosyo sa ibang mga negosyo sa Pilipinas. Tandaan, ang isang onsa ng pag-iwas ay nagkakahalaga ng kalahating kilong lunas.</v>
      </c>
      <c r="F1138" s="2">
        <f t="shared" si="1"/>
        <v>0</v>
      </c>
      <c r="G1138" s="2"/>
      <c r="H1138" s="2"/>
      <c r="I1138" s="2"/>
      <c r="J1138" s="2"/>
      <c r="K1138" s="2"/>
      <c r="L1138" s="2"/>
      <c r="M1138" s="2"/>
      <c r="N1138" s="2"/>
      <c r="O1138" s="2"/>
      <c r="P1138" s="2"/>
      <c r="Q1138" s="2"/>
      <c r="R1138" s="2"/>
      <c r="S1138" s="2"/>
      <c r="T1138" s="2"/>
      <c r="U1138" s="2"/>
      <c r="V1138" s="2"/>
      <c r="W1138" s="2"/>
      <c r="X1138" s="2"/>
      <c r="Y1138" s="2"/>
      <c r="Z1138" s="2"/>
      <c r="AA1138" s="2"/>
    </row>
    <row r="1139">
      <c r="A1139" s="1" t="s">
        <v>3356</v>
      </c>
      <c r="B1139" s="1" t="s">
        <v>3443</v>
      </c>
      <c r="C1139" s="1" t="s">
        <v>3444</v>
      </c>
      <c r="D1139" s="2" t="str">
        <f>IFERROR(__xludf.DUMMYFUNCTION("GOOGLETRANSLATE(B1139, ""en"", ""TL"")"),"Maaari ka bang magpayo sa mga legal na implikasyon ng pag-aalok o pagtanggap ng mga regalo at entertainment sa konteksto ng negosyo upang maiwasan ang mga tiwaling gawi?")</f>
        <v>Maaari ka bang magpayo sa mga legal na implikasyon ng pag-aalok o pagtanggap ng mga regalo at entertainment sa konteksto ng negosyo upang maiwasan ang mga tiwaling gawi?</v>
      </c>
      <c r="E1139" s="2" t="str">
        <f>IFERROR(__xludf.DUMMYFUNCTION("GOOGLETRANSLATE(C1139, ""en"", ""TL"")"),"Ang pag-aalok o pagtanggap ng mga regalo at entertainment sa konteksto ng negosyo sa Pilipinas ay isang maselang lugar na may potensyal na legal na implikasyon. Narito ang isang breakdown batay sa Philippine RAs (Republic Acts):
**Mga Probisyon laban sa P"&amp;"agbibigay ng Regalo:**
* **RA 3019 (Anti-Graft and Corrupt Practices Act):** Ang batas na ito ay nagbabawal sa mga pampublikong opisyal at empleyado sa paghingi o pagtanggap ng mga regalo kaugnay ng kanilang mga opisyal na tungkulin. Bagama't pangunahin i"&amp;"tong nalalapat sa mga opisyal ng gobyerno, nagtatakda ito ng pamarisan para sa etikal na pag-uugali sa pribadong sektor.
* **PD 46 (Presidential Decree No. 46): **Ang kautusang ito ay nagbabawal sa mga pampublikong opisyal na tumanggap ng mga regalo sa an"&amp;"umang okasyon, kabilang ang Pasko, kapag ibinigay ""sa kadahilanan ng pampublikong opisyal o posisyon ng empleyado."" Itinatampok nito ang kahalagahan ng pag-iwas sa mga regalo na maaaring ituring na nakakaimpluwensya sa mga desisyon. **Mga Pagbubukod at "&amp;"Pagsasaalang-alang:**
* **Mga Regalo ng ""Maliit o Hindi Mahalagang Halaga"":** Parehong pinapayagan ng RA 3019 at PD 46 ang mga pagbubukod para sa mga hindi hinihinging regalo na ""maliit o hindi gaanong halaga"" sa ilalim ng ilang partikular na sitwasyo"&amp;"n. Gayunpaman, ang eksaktong limitasyon ng halaga ay hindi malinaw at nakadepende sa mga salik tulad ng suweldo ng tatanggap at ang dalas ng pagbibigay. * **Intent Matters:** Ang Entscheidungsfreiheit (kalayaan sa paggawa ng desisyon) ay isang prinsipyo s"&amp;"a batas ng Pilipinas. Kung ang isang regalo ay inaalok nang walang inaasahan na maimpluwensyahan ang isang desisyon o makatanggap ng isang pabor bilang kapalit, maaaring hindi ito gaanong problema. Gayunpaman, maaaring mahirap patunayan ang layunin.
**Pag"&amp;"-navigate sa Gray Area:**
Upang mabawasan ang mga legal na panganib at maiwasan ang mga tiwaling gawi, pinakamahusay na mag-ingat kapag nag-aalok o tumatanggap ng mga regalo at entertainment:
* **Bumuo ng Malinaw na Patakaran:** Lumikha ng patakaran ng ku"&amp;"mpanya na nagbabalangkas ng mga katanggap-tanggap na kasanayan sa negosyo tungkol sa mga regalo at entertainment. Dapat itong magtakda ng malinaw na mga limitasyon sa halaga, dalas, at mga pangyayari para sa pagbibigay ng regalo.
* **Tumuon sa Pagbuo ng R"&amp;"elasyon:** Tumutok sa pagbuo ng mga tunay na relasyon sa negosyo sa pamamagitan ng mga propesyonal na pakikipag-ugnayan at mabuting pakikitungo sa loob ng mga makatwirang limitasyon. Ang marangyang libangan o mga regalo ay maaaring magtaas ng mga pulang b"&amp;"andila. * **Transparency at Documentation:** Panatilihin ang malinaw na mga talaan ng anumang mga regalo o entertainment na ipinagpalit, kabilang ang halaga, layunin, at mga partidong kasangkot. Nakakatulong ang transparency na ipakita ang kawalan ng tiwa"&amp;"ling layunin.
* **Humingi ng Legal na Payo:** Para sa mga transaksyon o sitwasyong may mataas na halaga na kinasasangkutan ng mga opisyal ng gobyerno, kumunsulta sa isang abogadong dalubhasa sa mga batas laban sa katiwalian upang matiyak ang pagsunod.
**T"&amp;"andaan:** * Laging mas mabuting magkamali sa panig ng pag-iingat. * Ang pagbuo ng tiwala at etikal na mga relasyon sa negosyo ay mas napapanatiling sa katagalan kaysa umasa sa mga regalo o marangyang libangan.")</f>
        <v>Ang pag-aalok o pagtanggap ng mga regalo at entertainment sa konteksto ng negosyo sa Pilipinas ay isang maselang lugar na may potensyal na legal na implikasyon. Narito ang isang breakdown batay sa Philippine RAs (Republic Acts):
**Mga Probisyon laban sa Pagbibigay ng Regalo:**
* **RA 3019 (Anti-Graft and Corrupt Practices Act):** Ang batas na ito ay nagbabawal sa mga pampublikong opisyal at empleyado sa paghingi o pagtanggap ng mga regalo kaugnay ng kanilang mga opisyal na tungkulin. Bagama't pangunahin itong nalalapat sa mga opisyal ng gobyerno, nagtatakda ito ng pamarisan para sa etikal na pag-uugali sa pribadong sektor.
* **PD 46 (Presidential Decree No. 46): **Ang kautusang ito ay nagbabawal sa mga pampublikong opisyal na tumanggap ng mga regalo sa anumang okasyon, kabilang ang Pasko, kapag ibinigay "sa kadahilanan ng pampublikong opisyal o posisyon ng empleyado." Itinatampok nito ang kahalagahan ng pag-iwas sa mga regalo na maaaring ituring na nakakaimpluwensya sa mga desisyon. **Mga Pagbubukod at Pagsasaalang-alang:**
* **Mga Regalo ng "Maliit o Hindi Mahalagang Halaga":** Parehong pinapayagan ng RA 3019 at PD 46 ang mga pagbubukod para sa mga hindi hinihinging regalo na "maliit o hindi gaanong halaga" sa ilalim ng ilang partikular na sitwasyon. Gayunpaman, ang eksaktong limitasyon ng halaga ay hindi malinaw at nakadepende sa mga salik tulad ng suweldo ng tatanggap at ang dalas ng pagbibigay. * **Intent Matters:** Ang Entscheidungsfreiheit (kalayaan sa paggawa ng desisyon) ay isang prinsipyo sa batas ng Pilipinas. Kung ang isang regalo ay inaalok nang walang inaasahan na maimpluwensyahan ang isang desisyon o makatanggap ng isang pabor bilang kapalit, maaaring hindi ito gaanong problema. Gayunpaman, maaaring mahirap patunayan ang layunin.
**Pag-navigate sa Gray Area:**
Upang mabawasan ang mga legal na panganib at maiwasan ang mga tiwaling gawi, pinakamahusay na mag-ingat kapag nag-aalok o tumatanggap ng mga regalo at entertainment:
* **Bumuo ng Malinaw na Patakaran:** Lumikha ng patakaran ng kumpanya na nagbabalangkas ng mga katanggap-tanggap na kasanayan sa negosyo tungkol sa mga regalo at entertainment. Dapat itong magtakda ng malinaw na mga limitasyon sa halaga, dalas, at mga pangyayari para sa pagbibigay ng regalo.
* **Tumuon sa Pagbuo ng Relasyon:** Tumutok sa pagbuo ng mga tunay na relasyon sa negosyo sa pamamagitan ng mga propesyonal na pakikipag-ugnayan at mabuting pakikitungo sa loob ng mga makatwirang limitasyon. Ang marangyang libangan o mga regalo ay maaaring magtaas ng mga pulang bandila. * **Transparency at Documentation:** Panatilihin ang malinaw na mga talaan ng anumang mga regalo o entertainment na ipinagpalit, kabilang ang halaga, layunin, at mga partidong kasangkot. Nakakatulong ang transparency na ipakita ang kawalan ng tiwaling layunin.
* **Humingi ng Legal na Payo:** Para sa mga transaksyon o sitwasyong may mataas na halaga na kinasasangkutan ng mga opisyal ng gobyerno, kumunsulta sa isang abogadong dalubhasa sa mga batas laban sa katiwalian upang matiyak ang pagsunod.
**Tandaan:** * Laging mas mabuting magkamali sa panig ng pag-iingat. * Ang pagbuo ng tiwala at etikal na mga relasyon sa negosyo ay mas napapanatiling sa katagalan kaysa umasa sa mga regalo o marangyang libangan.</v>
      </c>
      <c r="F1139" s="2">
        <f t="shared" si="1"/>
        <v>0</v>
      </c>
      <c r="G1139" s="2"/>
      <c r="H1139" s="2"/>
      <c r="I1139" s="2"/>
      <c r="J1139" s="2"/>
      <c r="K1139" s="2"/>
      <c r="L1139" s="2"/>
      <c r="M1139" s="2"/>
      <c r="N1139" s="2"/>
      <c r="O1139" s="2"/>
      <c r="P1139" s="2"/>
      <c r="Q1139" s="2"/>
      <c r="R1139" s="2"/>
      <c r="S1139" s="2"/>
      <c r="T1139" s="2"/>
      <c r="U1139" s="2"/>
      <c r="V1139" s="2"/>
      <c r="W1139" s="2"/>
      <c r="X1139" s="2"/>
      <c r="Y1139" s="2"/>
      <c r="Z1139" s="2"/>
      <c r="AA1139" s="2"/>
    </row>
    <row r="1140">
      <c r="A1140" s="1" t="s">
        <v>3356</v>
      </c>
      <c r="B1140" s="1" t="s">
        <v>3445</v>
      </c>
      <c r="C1140" s="1" t="s">
        <v>3446</v>
      </c>
      <c r="D1140" s="2" t="str">
        <f>IFERROR(__xludf.DUMMYFUNCTION("GOOGLETRANSLATE(B1140, ""en"", ""TL"")"),"Paano nakakatulong ang mga patakaran sa salungatan ng interes sa pagpigil sa katiwalian sa loob ng mga negosyo, at ano ang mga pinakamahusay na kagawian para sa pagpapatupad ng mga ito?")</f>
        <v>Paano nakakatulong ang mga patakaran sa salungatan ng interes sa pagpigil sa katiwalian sa loob ng mga negosyo, at ano ang mga pinakamahusay na kagawian para sa pagpapatupad ng mga ito?</v>
      </c>
      <c r="E1140" s="2" t="str">
        <f>IFERROR(__xludf.DUMMYFUNCTION("GOOGLETRANSLATE(C1140, ""en"", ""TL"")"),"Bagama't ang mga Philippine RA (Republic Acts) at ang Konstitusyon ay hindi tahasang nag-uutos ng mga patakaran sa salungatan ng interes, ang mga patakarang ito ay maaaring maging makapangyarihang kasangkapan upang maiwasan ang katiwalian sa loob ng mga n"&amp;"egosyo. Narito kung paano sila nag-aambag:
**Pag-iwas sa Maling Impluwensiya:**
* **Pagkilala sa Mga Panganib:** Ang isang mahusay na tinukoy na patakaran sa mga salungatan ng interes ay nagbabalangkas ng mga sitwasyon kung saan ang mga personal na intere"&amp;"s ng isang empleyado ay maaaring sumalungat sa kanilang mga propesyonal na tungkulin. Tinutulungan nito ang mga empleyado na matukoy at maiwasan ang mga sitwasyon kung saan maaaring makompromiso ang kanilang paghatol. * **Mga Kinakailangan sa Pagbubunyag:"&amp;"** Ang patakaran ay dapat mag-atas ng pagsisiwalat ng mga potensyal na salungatan, na nagpapahintulot sa mga kumpanya na magsagawa ng naaangkop na mga pagkilos na nagpapagaan, tulad ng pagtanggi sa paggawa ng desisyon o mga pagbabago sa pagtatalaga. Binab"&amp;"awasan nito ang mga pagkakataon para sa mga empleyado na gamitin ang kanilang mga posisyon para sa personal na pakinabang.
**Pag-promote ng Transparency at Accountability**
* **Malinaw na Pamantayan:** Ang isang malinaw at komprehensibong patakaran ay nag"&amp;"tatakda ng mga inaasahan para sa etikal na pag-uugali at hindi hinihikayat ang mga empleyado na gumawa ng mga aktibidad na maaaring humantong sa katiwalian. Ang transparency na ito ay nagtataguyod ng kultura ng pananagutan sa loob ng organisasyon.
* **Pam"&amp;"publikong Pagtitiwala:** Ang malalakas na patakaran sa salungatan ng interes ay nagpapakita ng pangako ng isang kumpanya sa mga etikal na kasanayan, pagpapahusay ng tiwala ng publiko at potensyal na umaakit ng mga mamumuhunan na nagpapahalaga sa mabuting "&amp;"pamamahala.
**Pinakamahuhusay na Kasanayan para sa Pagpapatupad:**
* **Iniayon sa Negosyo:** Ang patakaran ay dapat na iayon sa partikular na industriya, laki, at profile ng panganib ng negosyo. Maaaring hindi epektibo ang isang one-size-fits-all na diska"&amp;"rte.
* **Malinaw na Kahulugan:** Dapat malinaw na tukuyin ng patakaran ang mga salungatan ng interes at magbigay ng mga partikular na halimbawa upang maiwasan ang kalabuan. * **Mga Pamamaraan sa Pagbubunyag:** Ang patakaran ay dapat magtatag ng malinaw at"&amp;" madaling paraan para sa mga empleyado upang ibunyag ang mga potensyal na salungatan. Dapat itong magsama ng isang kumpidensyal na mekanismo upang hikayatin ang bukas na pag-uulat.
* **Pangako ng Pamamahala:** Dapat magpakita ng matibay na pangako ang sen"&amp;"ior management sa patakaran sa pamamagitan ng pagsunod sa mga probisyon nito at pagpapatupad ng mga ito nang patas. * **Pana-panahong Pagsusuri at Mga Update:** Dapat na pana-panahong suriin at i-update ang patakaran upang ipakita ang mga pagbabago sa mga"&amp;" pagpapatakbo ng negosyo o mga legal na kinakailangan.
**Pag-align sa RA 3019 (Anti-Graft and Corrupt Practices Act):**
Bagama't hindi direktang ipinag-uutos ng batas, ang mga patakaran sa salungatan ng interes ay maaaring umakma sa RA 3019 sa pamamagitan"&amp;" ng pagpigil sa mga sitwasyong maaaring humantong sa mga paglabag tulad ng pagtanggap ng mga regalo o hindi wastong paggamit ng posisyon.
**Tandaan:** Ang isang epektibong patakaran sa salungatan ng interes ay isang piraso lamang ng palaisipan. Dapat iton"&amp;"g isama sa iba pang mga hakbang laban sa katiwalian tulad ng mga programa sa pagsasanay, malakas na panloob na kontrol, at isang kultura ng etikal na pag-uugali.
**Mga Karagdagang Mapagkukunan:**
* **Securities and Exchange Commission (SEC) Philippines:**"&amp;" [https://www.sec.gov.ph/](https://www.sec.gov.ph/) (Hinihikayat ng SEC ang magandang corporate governance practices na maaaring magsama ng mga patakaran sa salungatan ng interes)")</f>
        <v>Bagama't ang mga Philippine RA (Republic Acts) at ang Konstitusyon ay hindi tahasang nag-uutos ng mga patakaran sa salungatan ng interes, ang mga patakarang ito ay maaaring maging makapangyarihang kasangkapan upang maiwasan ang katiwalian sa loob ng mga negosyo. Narito kung paano sila nag-aambag:
**Pag-iwas sa Maling Impluwensiya:**
* **Pagkilala sa Mga Panganib:** Ang isang mahusay na tinukoy na patakaran sa mga salungatan ng interes ay nagbabalangkas ng mga sitwasyon kung saan ang mga personal na interes ng isang empleyado ay maaaring sumalungat sa kanilang mga propesyonal na tungkulin. Tinutulungan nito ang mga empleyado na matukoy at maiwasan ang mga sitwasyon kung saan maaaring makompromiso ang kanilang paghatol. * **Mga Kinakailangan sa Pagbubunyag:** Ang patakaran ay dapat mag-atas ng pagsisiwalat ng mga potensyal na salungatan, na nagpapahintulot sa mga kumpanya na magsagawa ng naaangkop na mga pagkilos na nagpapagaan, tulad ng pagtanggi sa paggawa ng desisyon o mga pagbabago sa pagtatalaga. Binabawasan nito ang mga pagkakataon para sa mga empleyado na gamitin ang kanilang mga posisyon para sa personal na pakinabang.
**Pag-promote ng Transparency at Accountability**
* **Malinaw na Pamantayan:** Ang isang malinaw at komprehensibong patakaran ay nagtatakda ng mga inaasahan para sa etikal na pag-uugali at hindi hinihikayat ang mga empleyado na gumawa ng mga aktibidad na maaaring humantong sa katiwalian. Ang transparency na ito ay nagtataguyod ng kultura ng pananagutan sa loob ng organisasyon.
* **Pampublikong Pagtitiwala:** Ang malalakas na patakaran sa salungatan ng interes ay nagpapakita ng pangako ng isang kumpanya sa mga etikal na kasanayan, pagpapahusay ng tiwala ng publiko at potensyal na umaakit ng mga mamumuhunan na nagpapahalaga sa mabuting pamamahala.
**Pinakamahuhusay na Kasanayan para sa Pagpapatupad:**
* **Iniayon sa Negosyo:** Ang patakaran ay dapat na iayon sa partikular na industriya, laki, at profile ng panganib ng negosyo. Maaaring hindi epektibo ang isang one-size-fits-all na diskarte.
* **Malinaw na Kahulugan:** Dapat malinaw na tukuyin ng patakaran ang mga salungatan ng interes at magbigay ng mga partikular na halimbawa upang maiwasan ang kalabuan. * **Mga Pamamaraan sa Pagbubunyag:** Ang patakaran ay dapat magtatag ng malinaw at madaling paraan para sa mga empleyado upang ibunyag ang mga potensyal na salungatan. Dapat itong magsama ng isang kumpidensyal na mekanismo upang hikayatin ang bukas na pag-uulat.
* **Pangako ng Pamamahala:** Dapat magpakita ng matibay na pangako ang senior management sa patakaran sa pamamagitan ng pagsunod sa mga probisyon nito at pagpapatupad ng mga ito nang patas. * **Pana-panahong Pagsusuri at Mga Update:** Dapat na pana-panahong suriin at i-update ang patakaran upang ipakita ang mga pagbabago sa mga pagpapatakbo ng negosyo o mga legal na kinakailangan.
**Pag-align sa RA 3019 (Anti-Graft and Corrupt Practices Act):**
Bagama't hindi direktang ipinag-uutos ng batas, ang mga patakaran sa salungatan ng interes ay maaaring umakma sa RA 3019 sa pamamagitan ng pagpigil sa mga sitwasyong maaaring humantong sa mga paglabag tulad ng pagtanggap ng mga regalo o hindi wastong paggamit ng posisyon.
**Tandaan:** Ang isang epektibong patakaran sa salungatan ng interes ay isang piraso lamang ng palaisipan. Dapat itong isama sa iba pang mga hakbang laban sa katiwalian tulad ng mga programa sa pagsasanay, malakas na panloob na kontrol, at isang kultura ng etikal na pag-uugali.
**Mga Karagdagang Mapagkukunan:**
* **Securities and Exchange Commission (SEC) Philippines:** [https://www.sec.gov.ph/](https://www.sec.gov.ph/) (Hinihikayat ng SEC ang magandang corporate governance practices na maaaring magsama ng mga patakaran sa salungatan ng interes)</v>
      </c>
      <c r="F1140" s="2">
        <f t="shared" si="1"/>
        <v>0</v>
      </c>
      <c r="G1140" s="2"/>
      <c r="H1140" s="2"/>
      <c r="I1140" s="2"/>
      <c r="J1140" s="2"/>
      <c r="K1140" s="2"/>
      <c r="L1140" s="2"/>
      <c r="M1140" s="2"/>
      <c r="N1140" s="2"/>
      <c r="O1140" s="2"/>
      <c r="P1140" s="2"/>
      <c r="Q1140" s="2"/>
      <c r="R1140" s="2"/>
      <c r="S1140" s="2"/>
      <c r="T1140" s="2"/>
      <c r="U1140" s="2"/>
      <c r="V1140" s="2"/>
      <c r="W1140" s="2"/>
      <c r="X1140" s="2"/>
      <c r="Y1140" s="2"/>
      <c r="Z1140" s="2"/>
      <c r="AA1140" s="2"/>
    </row>
    <row r="1141">
      <c r="A1141" s="1" t="s">
        <v>3356</v>
      </c>
      <c r="B1141" s="1" t="s">
        <v>3447</v>
      </c>
      <c r="C1141" s="1" t="s">
        <v>3448</v>
      </c>
      <c r="D1141" s="2" t="str">
        <f>IFERROR(__xludf.DUMMYFUNCTION("GOOGLETRANSLATE(B1141, ""en"", ""TL"")"),"Maaari mo bang ipaliwanag ang konsepto ng corporate social responsibility sa konteksto ng paglaban sa katiwalian sa loob ng mga negosyo?")</f>
        <v>Maaari mo bang ipaliwanag ang konsepto ng corporate social responsibility sa konteksto ng paglaban sa katiwalian sa loob ng mga negosyo?</v>
      </c>
      <c r="E1141" s="2" t="str">
        <f>IFERROR(__xludf.DUMMYFUNCTION("GOOGLETRANSLATE(C1141, ""en"", ""TL"")"),"Sa Pilipinas, ang Corporate Social Responsibility (CSR) ay maaaring maging isang makapangyarihang kasangkapan upang labanan ang katiwalian sa loob ng mga negosyo. Ganito:
**Transparency at Pananagutan:**
* **Mga Kasanayan sa Pagbubunyag:** Ang malalakas n"&amp;"a inisyatiba ng CSR ay nagtataguyod ng transparency sa pamamagitan ng paghikayat sa mga kumpanya na ibunyag ang kanilang mga patakaran, pamamaraan, at sukatan ng pagganap laban sa katiwalian. Ang pagiging bukas na ito ay nagpapahintulot sa mga stakeholder"&amp;" na panagutin ang mga kumpanya.
* **Proteksyon sa Whistleblower:** Kasama sa mga epektibong programa ng CSR ang mahusay na mekanismo ng proteksyon ng whistleblower. Nagbibigay ito ng kapangyarihan sa mga empleyado na mag-ulat ng pinaghihinalaang katiwalia"&amp;"n nang walang takot sa paghihiganti, na nagtataguyod ng kapaligiran ng pananagutan.
**Etikal na Pag-uugali sa Negosyo:**
* **Pagpipilian ng Supplier:** Hinihikayat ng mga prinsipyo ng CSR ang mga kumpanya na magsagawa ng masusing angkop na pagsusumikap sa"&amp;" mga potensyal na supplier at kasosyo sa negosyo, na pinipili ang mga may malakas na kasanayan laban sa katiwalian. Binabawasan nito ang panganib na masangkot sa mga tiwaling gawain.
* **Pakikipag-ugnayan sa Stakeholder:** Ang pakikipag-ugnayan sa mga sta"&amp;"keholder tulad ng mga komunidad at NGO ay nagbibigay-daan sa mga kumpanya na mas maunawaan ang mga panganib sa katiwalian at bumuo ng mga estratehiya upang mabawasan ang mga ito. Ang pagtutulungang diskarte na ito ay nagpapatibay sa mga etikal na kasanaya"&amp;"n sa negosyo.
**Tumuon sa Pangmatagalang Sustainability:**
* **Pamumuhunan sa Komunidad:** Kapag namumuhunan ang mga kumpanya sa kanilang mga komunidad sa pamamagitan ng mga etikal na inisyatiba ng CSR tulad ng mga proyekto sa edukasyon at imprastraktura,"&amp;" pinalalakas nito ang tiwala at binabawasan ang insentibo para sa paggamit sa katiwalian. * **Sustainable Business Practices:** Sa pamamagitan ng pagtutok sa environmental at social responsibility kasama ng mga pagsusumikap laban sa katiwalian, ang mga ku"&amp;"mpanya ay lumikha ng isang mas napapanatiling modelo ng negosyo, na binabawasan ang panganib na masangkot sa mga tiwaling gawi upang makakuha ng panandaliang mga pakinabang.
**Mga Hamon at Limitasyon:**
* **Greenwashing:** Ang ilang kumpanya ay maaaring g"&amp;"umawa ng ""greenwashing"" – nagpo-promote ng facade ng CSR nang walang tunay na pangako. Pinapahina nito ang bisa ng CSR sa paglaban sa katiwalian.
* **Kakulangan sa Mga Mekanismo ng Pagpapatupad:** Bagama't walang iisang batas na nag-uutos ng CSR sa Pili"&amp;"pinas, hinihikayat ito ng ilang regulasyon. Gayunpaman, ang kakulangan ng malakas na mekanismo ng pagpapatupad ay maaaring limitahan ang pagiging epektibo nito sa ilang mga kaso.
**Ang Konteksto ng Pilipinas:**
Bagama't hindi sapilitan, ang CSR ay lalong "&amp;"nakikita bilang magandang kasanayan sa negosyo sa Pilipinas. Hinihikayat ng Securities and Exchange Commission (SEC) ang mga kumpanyang nakalista sa publiko na gamitin at isama ang mga prinsipyo ng CSR sa kanilang mga operasyon sa negosyo. **Sa pangkalaha"&amp;"tan, ang isang mahusay na idinisenyo at ipinatupad na programang CSR, na sinamahan ng matatag na pagsusumikap sa pagsunod laban sa katiwalian, ay maaaring makabuluhang bawasan ang mga panganib sa katiwalian sa loob ng mga negosyo sa Pilipinas.**")</f>
        <v>Sa Pilipinas, ang Corporate Social Responsibility (CSR) ay maaaring maging isang makapangyarihang kasangkapan upang labanan ang katiwalian sa loob ng mga negosyo. Ganito:
**Transparency at Pananagutan:**
* **Mga Kasanayan sa Pagbubunyag:** Ang malalakas na inisyatiba ng CSR ay nagtataguyod ng transparency sa pamamagitan ng paghikayat sa mga kumpanya na ibunyag ang kanilang mga patakaran, pamamaraan, at sukatan ng pagganap laban sa katiwalian. Ang pagiging bukas na ito ay nagpapahintulot sa mga stakeholder na panagutin ang mga kumpanya.
* **Proteksyon sa Whistleblower:** Kasama sa mga epektibong programa ng CSR ang mahusay na mekanismo ng proteksyon ng whistleblower. Nagbibigay ito ng kapangyarihan sa mga empleyado na mag-ulat ng pinaghihinalaang katiwalian nang walang takot sa paghihiganti, na nagtataguyod ng kapaligiran ng pananagutan.
**Etikal na Pag-uugali sa Negosyo:**
* **Pagpipilian ng Supplier:** Hinihikayat ng mga prinsipyo ng CSR ang mga kumpanya na magsagawa ng masusing angkop na pagsusumikap sa mga potensyal na supplier at kasosyo sa negosyo, na pinipili ang mga may malakas na kasanayan laban sa katiwalian. Binabawasan nito ang panganib na masangkot sa mga tiwaling gawain.
* **Pakikipag-ugnayan sa Stakeholder:** Ang pakikipag-ugnayan sa mga stakeholder tulad ng mga komunidad at NGO ay nagbibigay-daan sa mga kumpanya na mas maunawaan ang mga panganib sa katiwalian at bumuo ng mga estratehiya upang mabawasan ang mga ito. Ang pagtutulungang diskarte na ito ay nagpapatibay sa mga etikal na kasanayan sa negosyo.
**Tumuon sa Pangmatagalang Sustainability:**
* **Pamumuhunan sa Komunidad:** Kapag namumuhunan ang mga kumpanya sa kanilang mga komunidad sa pamamagitan ng mga etikal na inisyatiba ng CSR tulad ng mga proyekto sa edukasyon at imprastraktura, pinalalakas nito ang tiwala at binabawasan ang insentibo para sa paggamit sa katiwalian. * **Sustainable Business Practices:** Sa pamamagitan ng pagtutok sa environmental at social responsibility kasama ng mga pagsusumikap laban sa katiwalian, ang mga kumpanya ay lumikha ng isang mas napapanatiling modelo ng negosyo, na binabawasan ang panganib na masangkot sa mga tiwaling gawi upang makakuha ng panandaliang mga pakinabang.
**Mga Hamon at Limitasyon:**
* **Greenwashing:** Ang ilang kumpanya ay maaaring gumawa ng "greenwashing" – nagpo-promote ng facade ng CSR nang walang tunay na pangako. Pinapahina nito ang bisa ng CSR sa paglaban sa katiwalian.
* **Kakulangan sa Mga Mekanismo ng Pagpapatupad:** Bagama't walang iisang batas na nag-uutos ng CSR sa Pilipinas, hinihikayat ito ng ilang regulasyon. Gayunpaman, ang kakulangan ng malakas na mekanismo ng pagpapatupad ay maaaring limitahan ang pagiging epektibo nito sa ilang mga kaso.
**Ang Konteksto ng Pilipinas:**
Bagama't hindi sapilitan, ang CSR ay lalong nakikita bilang magandang kasanayan sa negosyo sa Pilipinas. Hinihikayat ng Securities and Exchange Commission (SEC) ang mga kumpanyang nakalista sa publiko na gamitin at isama ang mga prinsipyo ng CSR sa kanilang mga operasyon sa negosyo. **Sa pangkalahatan, ang isang mahusay na idinisenyo at ipinatupad na programang CSR, na sinamahan ng matatag na pagsusumikap sa pagsunod laban sa katiwalian, ay maaaring makabuluhang bawasan ang mga panganib sa katiwalian sa loob ng mga negosyo sa Pilipinas.**</v>
      </c>
      <c r="F1141" s="2">
        <f t="shared" si="1"/>
        <v>0</v>
      </c>
      <c r="G1141" s="2"/>
      <c r="H1141" s="2"/>
      <c r="I1141" s="2"/>
      <c r="J1141" s="2"/>
      <c r="K1141" s="2"/>
      <c r="L1141" s="2"/>
      <c r="M1141" s="2"/>
      <c r="N1141" s="2"/>
      <c r="O1141" s="2"/>
      <c r="P1141" s="2"/>
      <c r="Q1141" s="2"/>
      <c r="R1141" s="2"/>
      <c r="S1141" s="2"/>
      <c r="T1141" s="2"/>
      <c r="U1141" s="2"/>
      <c r="V1141" s="2"/>
      <c r="W1141" s="2"/>
      <c r="X1141" s="2"/>
      <c r="Y1141" s="2"/>
      <c r="Z1141" s="2"/>
      <c r="AA1141" s="2"/>
    </row>
    <row r="1142">
      <c r="A1142" s="1" t="s">
        <v>3356</v>
      </c>
      <c r="B1142" s="1" t="s">
        <v>3449</v>
      </c>
      <c r="C1142" s="1" t="s">
        <v>3450</v>
      </c>
      <c r="D1142" s="2" t="str">
        <f>IFERROR(__xludf.DUMMYFUNCTION("GOOGLETRANSLATE(B1142, ""en"", ""TL"")"),"Anong papel ang ginagampanan ng mga propesyonal na asosasyon at mga grupo ng industriya sa pagtataguyod ng mga etikal na kasanayan sa negosyo at pagpigil sa katiwalian?")</f>
        <v>Anong papel ang ginagampanan ng mga propesyonal na asosasyon at mga grupo ng industriya sa pagtataguyod ng mga etikal na kasanayan sa negosyo at pagpigil sa katiwalian?</v>
      </c>
      <c r="E1142" s="2" t="str">
        <f>IFERROR(__xludf.DUMMYFUNCTION("GOOGLETRANSLATE(C1142, ""en"", ""TL"")"),"Ang mga propesyonal na asosasyon at grupo ng industriya sa Pilipinas ay maaaring magkaroon ng malaking papel sa pagtataguyod ng mga etikal na kasanayan sa negosyo at pagpigil sa katiwalian sa pamamagitan ng ilang pangunahing mekanismo:
**1. Pagbuo ng Mga "&amp;"Kodigo ng Pag-uugali at Pamantayan:**
* **Mga Patnubay na Partikular sa Industriya:** Ang mga asosasyong ito ay maaaring magtatag ng mga code ng pag-uugali na partikular sa industriya na lampas sa baseline na itinakda ng mga batas ng Pilipinas tulad ng RA"&amp;" 3019. Ang mga code na ito ay maaaring magbigay ng mas malinaw na etikal na mga alituntunin para sa mga partikular na kasanayan sa negosyo sa loob ng industriya.
* **Mga Programa sa Sertipikasyon:** Maaaring mag-alok ang ilang asosasyon ng mga programa sa"&amp;" sertipikasyon na kumikilala sa mga kumpanyang sumusunod sa kanilang mga pamantayan laban sa katiwalian. Maaari itong magbigay ng insentibo sa etikal na pag-uugali at magsulong ng kultura ng pagsunod.
**2. Adbokasiya at Edukasyon:**
* **Pagsasanay at Mga "&amp;"Workshop:** Ang mga asosasyon ay maaaring magsagawa ng mga programa sa pagsasanay at workshop para sa mga miyembro tungkol sa mga pinakamahusay na kasanayan laban sa katiwalian, na tumutulong sa kanila na maunawaan ang mga batas ng Pilipinas (RA 3019) at "&amp;"mag-navigate sa mga kumplikadong sitwasyon.
* **Mga Kampanya para sa Pampublikong Kamalayan:** Maaari silang maglunsad ng mga kampanya ng kamalayan sa publiko upang itaas ang kamalayan tungkol sa mga negatibong kahihinatnan ng katiwalian at ang kahalagaha"&amp;"n ng etikal na pag-uugali.
* **Lobbying for Stronger Laws:** Ang mga grupo ng industriya ay maaaring mag-lobby para sa mga reporma at magtataguyod para sa pagpapalakas ng batas laban sa katiwalian sa Pilipinas.
**3. Pagpapaunlad ng Komunidad ng Integridad"&amp;":**
* **Pagbabahagi ng Impormasyon:** Ang mga asosasyon ay maaaring lumikha ng mga platform para sa mga miyembro upang magbahagi ng impormasyon tungkol sa mga potensyal na panganib sa katiwalian sa loob ng industriya at talakayin ang mga pinakamahusay na "&amp;"kagawian para sa pagpapagaan sa mga ito. * **Mga Panukalang Pandisiplina:** Ang ilang mga asosasyon ay maaaring magkaroon ng mga pamamaraan sa pagdidisiplina para sa mga miyembro na lumalabag sa kanilang mga etikal na code, na nagsusulong ng pananagutan s"&amp;"a loob ng industriya.
**Mga Hamon at Limitasyon:**
* **Kapangyarihan sa Pagpapatupad:** Ang mga propesyonal na asosasyon at grupo ng industriya ay karaniwang walang legal na awtoridad na ipatupad ang kanilang mga code ng pag-uugali. Gayunpaman, maaari pa "&amp;"rin silang magkaroon ng malaking impluwensya sa pamamagitan ng peer pressure at pinsala sa reputasyon.
* **Pagkuha ng Panganib:** May panganib na ang ilang asosasyon ay maaaring labis na maimpluwensyahan ng makapangyarihang mga miyembro na mas inuuna ang "&amp;"kita kaysa sa mga etikal na kasanayan.
**Sa pangkalahatan, ang mga propesyonal na asosasyon at grupo ng industriya ay maaaring maging mahalagang kasosyo sa paglaban sa katiwalian sa Pilipinas sa pamamagitan ng pagtataguyod ng etikal na pag-uugali, pagtutu"&amp;"ro sa mga miyembro, at pagtataguyod para sa mas matibay na legal na mga balangkas.** v")</f>
        <v>Ang mga propesyonal na asosasyon at grupo ng industriya sa Pilipinas ay maaaring magkaroon ng malaking papel sa pagtataguyod ng mga etikal na kasanayan sa negosyo at pagpigil sa katiwalian sa pamamagitan ng ilang pangunahing mekanismo:
**1. Pagbuo ng Mga Kodigo ng Pag-uugali at Pamantayan:**
* **Mga Patnubay na Partikular sa Industriya:** Ang mga asosasyong ito ay maaaring magtatag ng mga code ng pag-uugali na partikular sa industriya na lampas sa baseline na itinakda ng mga batas ng Pilipinas tulad ng RA 3019. Ang mga code na ito ay maaaring magbigay ng mas malinaw na etikal na mga alituntunin para sa mga partikular na kasanayan sa negosyo sa loob ng industriya.
* **Mga Programa sa Sertipikasyon:** Maaaring mag-alok ang ilang asosasyon ng mga programa sa sertipikasyon na kumikilala sa mga kumpanyang sumusunod sa kanilang mga pamantayan laban sa katiwalian. Maaari itong magbigay ng insentibo sa etikal na pag-uugali at magsulong ng kultura ng pagsunod.
**2. Adbokasiya at Edukasyon:**
* **Pagsasanay at Mga Workshop:** Ang mga asosasyon ay maaaring magsagawa ng mga programa sa pagsasanay at workshop para sa mga miyembro tungkol sa mga pinakamahusay na kasanayan laban sa katiwalian, na tumutulong sa kanila na maunawaan ang mga batas ng Pilipinas (RA 3019) at mag-navigate sa mga kumplikadong sitwasyon.
* **Mga Kampanya para sa Pampublikong Kamalayan:** Maaari silang maglunsad ng mga kampanya ng kamalayan sa publiko upang itaas ang kamalayan tungkol sa mga negatibong kahihinatnan ng katiwalian at ang kahalagahan ng etikal na pag-uugali.
* **Lobbying for Stronger Laws:** Ang mga grupo ng industriya ay maaaring mag-lobby para sa mga reporma at magtataguyod para sa pagpapalakas ng batas laban sa katiwalian sa Pilipinas.
**3. Pagpapaunlad ng Komunidad ng Integridad:**
* **Pagbabahagi ng Impormasyon:** Ang mga asosasyon ay maaaring lumikha ng mga platform para sa mga miyembro upang magbahagi ng impormasyon tungkol sa mga potensyal na panganib sa katiwalian sa loob ng industriya at talakayin ang mga pinakamahusay na kagawian para sa pagpapagaan sa mga ito. * **Mga Panukalang Pandisiplina:** Ang ilang mga asosasyon ay maaaring magkaroon ng mga pamamaraan sa pagdidisiplina para sa mga miyembro na lumalabag sa kanilang mga etikal na code, na nagsusulong ng pananagutan sa loob ng industriya.
**Mga Hamon at Limitasyon:**
* **Kapangyarihan sa Pagpapatupad:** Ang mga propesyonal na asosasyon at grupo ng industriya ay karaniwang walang legal na awtoridad na ipatupad ang kanilang mga code ng pag-uugali. Gayunpaman, maaari pa rin silang magkaroon ng malaking impluwensya sa pamamagitan ng peer pressure at pinsala sa reputasyon.
* **Pagkuha ng Panganib:** May panganib na ang ilang asosasyon ay maaaring labis na maimpluwensyahan ng makapangyarihang mga miyembro na mas inuuna ang kita kaysa sa mga etikal na kasanayan.
**Sa pangkalahatan, ang mga propesyonal na asosasyon at grupo ng industriya ay maaaring maging mahalagang kasosyo sa paglaban sa katiwalian sa Pilipinas sa pamamagitan ng pagtataguyod ng etikal na pag-uugali, pagtuturo sa mga miyembro, at pagtataguyod para sa mas matibay na legal na mga balangkas.** v</v>
      </c>
      <c r="F1142" s="2">
        <f t="shared" si="1"/>
        <v>0</v>
      </c>
      <c r="G1142" s="2"/>
      <c r="H1142" s="2"/>
      <c r="I1142" s="2"/>
      <c r="J1142" s="2"/>
      <c r="K1142" s="2"/>
      <c r="L1142" s="2"/>
      <c r="M1142" s="2"/>
      <c r="N1142" s="2"/>
      <c r="O1142" s="2"/>
      <c r="P1142" s="2"/>
      <c r="Q1142" s="2"/>
      <c r="R1142" s="2"/>
      <c r="S1142" s="2"/>
      <c r="T1142" s="2"/>
      <c r="U1142" s="2"/>
      <c r="V1142" s="2"/>
      <c r="W1142" s="2"/>
      <c r="X1142" s="2"/>
      <c r="Y1142" s="2"/>
      <c r="Z1142" s="2"/>
      <c r="AA1142" s="2"/>
    </row>
    <row r="1143">
      <c r="A1143" s="1" t="s">
        <v>3356</v>
      </c>
      <c r="B1143" s="1" t="s">
        <v>3451</v>
      </c>
      <c r="C1143" s="1" t="s">
        <v>3452</v>
      </c>
      <c r="D1143" s="2" t="str">
        <f>IFERROR(__xludf.DUMMYFUNCTION("GOOGLETRANSLATE(B1143, ""en"", ""TL"")"),"Maaari ka bang magbigay ng gabay sa pag-navigate sa mga kumplikado ng mga internasyonal na transaksyon sa negosyo habang tinitiyak ang pagsunod sa mga batas laban sa katiwalian?")</f>
        <v>Maaari ka bang magbigay ng gabay sa pag-navigate sa mga kumplikado ng mga internasyonal na transaksyon sa negosyo habang tinitiyak ang pagsunod sa mga batas laban sa katiwalian?</v>
      </c>
      <c r="E1143" s="2" t="str">
        <f>IFERROR(__xludf.DUMMYFUNCTION("GOOGLETRANSLATE(C1143, ""en"", ""TL"")"),"Narito ang ilang gabay sa pag-navigate sa mga internasyonal na transaksyon sa negosyo habang sumusunod sa mga batas laban sa katiwalian, na nakatuon sa mga regulasyon ng Pilipinas ngunit kinikilala ang mga internasyonal na pagsasaalang-alang:
**1. Proacti"&amp;"ve Due Diligence:**
* **Mga Kasosyo sa Negosyo:** Magsagawa ng masusing angkop na pagsusumikap sa mga potensyal na kasosyo sa negosyo, kabilang ang mga pagsusuri sa background, reputasyon sa loob ng industriya, at anumang kasaysayan ng mga paratang ng kat"&amp;"iwalian. * **Mga Ahente ng Third-Party:** Mag-imbestiga sa anumang mga ahente ng third-party (mga consultant, distributor) na plano mong gamitin, na tinitiyak na mayroon silang mga patakaran laban sa katiwalian.
* **Market Research:** Magsaliksik tungkol "&amp;"sa anti-corruption environment sa mga bansang pinaplano mong makipagnegosyo. Ang US Department of State ay nag-publish ng mga ulat tungkol sa mga panganib sa katiwalian ayon sa bansa [https://www.transparency.org/en/cpi/2022](https://www.transparency.org/"&amp;"en/cpi/2022). **2. Magpatupad ng Matatag na Programa sa Pagsunod laban sa Korupsyon:**
* **Code of Conduct:** Bumuo ng malinaw at komprehensibong Code of Conduct na nagbabalangkas ng ipinagbabawal na pag-uugali na may kaugnayan sa panunuhol at katiwalian."&amp;" Dapat itong isalin sa mga nauugnay na wika para sa lahat ng empleyado.
* **Mga Programa sa Pagsasanay:** Magbigay ng regular na pagsasanay para sa mga empleyado sa mga patakaran at pamamaraan laban sa katiwalian, na nagbibigay-diin sa mga pulang bandila "&amp;"at wastong mekanismo ng pag-uulat.
* **Mga Panloob na Kontrol:** Magpatupad ng mga panloob na kontrol upang subaybayan ang mga transaksyong pinansyal, regalo, at mabuting pakikitungo na inaalok o natanggap. * **Mekanismo ng Pag-uulat:** Magtatag ng isang "&amp;"kumpidensyal at secure na sistema ng pag-uulat para sa mga empleyado na mag-ulat ng pinaghihinalaang katiwalian nang walang takot sa paghihiganti.
**3. Panindigan ang Transparency:**
* **Panatilihin ang Tumpak na Mga Tala:** Panatilihin ang masusing mga t"&amp;"alaan ng lahat ng mga transaksyon sa negosyo, kabilang ang mga katwiran para sa mga pagbabayad na ginawa sa mga ikatlong partido.
* **Malinaw na Komunikasyon:** Tiyaking may malinaw na mga channel ng komunikasyon sa pagitan ng mga empleyado at pamamahala "&amp;"upang mapadali ang pag-uulat ng mga alalahanin. **4. Humingi ng Legal na Payo:**
* **Kumonsulta sa mga Abogado:** Para sa mga kumplikadong transaksyon, lalo na sa mga hurisdiksyon na may mataas na peligro, kumunsulta sa mga kwalipikadong abogado na may ka"&amp;"dalubhasaan sa mga batas laban sa katiwalian sa Pilipinas at sa nauugnay na dayuhang bansa. Maaari silang magpayo sa mga partikular na legal na kinakailangan at mga potensyal na panganib.
**5. Manatiling Alam:**
* **Updates on Philippine Laws:** Manatilin"&amp;"g updated sa mga pagbabago sa Philippine anti-corruption laws, tulad ng RA 3019, at mga nauugnay na issuance mula sa mga ahensya ng gobyerno tulad ng Office of the Ombudsman. * **Mga Internasyonal na Pag-unlad:** Panatilihing alinsunod sa mga pag-unlad sa"&amp;" internasyonal na mga balangkas laban sa katiwalian, gaya ng OECD Convention on Combating Bribery of Foreign Public Officials in International Business Transactions.
**Tandaan:** * Ito ay pangkalahatang patnubay, at ang mga partikular na legal na kinakail"&amp;"angan ay maaaring mag-iba depende sa transaksyon at hurisdiksyon. * Ang isang malakas na programa sa pagsunod laban sa katiwalian ay nagpapakita ng pangako ng iyong kumpanya sa mga etikal na kasanayan sa negosyo at maaaring potensyal na pagaanin ang mga p"&amp;"arusa sa kaso ng mga hindi inaasahang paglabag.")</f>
        <v>Narito ang ilang gabay sa pag-navigate sa mga internasyonal na transaksyon sa negosyo habang sumusunod sa mga batas laban sa katiwalian, na nakatuon sa mga regulasyon ng Pilipinas ngunit kinikilala ang mga internasyonal na pagsasaalang-alang:
**1. Proactive Due Diligence:**
* **Mga Kasosyo sa Negosyo:** Magsagawa ng masusing angkop na pagsusumikap sa mga potensyal na kasosyo sa negosyo, kabilang ang mga pagsusuri sa background, reputasyon sa loob ng industriya, at anumang kasaysayan ng mga paratang ng katiwalian. * **Mga Ahente ng Third-Party:** Mag-imbestiga sa anumang mga ahente ng third-party (mga consultant, distributor) na plano mong gamitin, na tinitiyak na mayroon silang mga patakaran laban sa katiwalian.
* **Market Research:** Magsaliksik tungkol sa anti-corruption environment sa mga bansang pinaplano mong makipagnegosyo. Ang US Department of State ay nag-publish ng mga ulat tungkol sa mga panganib sa katiwalian ayon sa bansa [https://www.transparency.org/en/cpi/2022](https://www.transparency.org/en/cpi/2022). **2. Magpatupad ng Matatag na Programa sa Pagsunod laban sa Korupsyon:**
* **Code of Conduct:** Bumuo ng malinaw at komprehensibong Code of Conduct na nagbabalangkas ng ipinagbabawal na pag-uugali na may kaugnayan sa panunuhol at katiwalian. Dapat itong isalin sa mga nauugnay na wika para sa lahat ng empleyado.
* **Mga Programa sa Pagsasanay:** Magbigay ng regular na pagsasanay para sa mga empleyado sa mga patakaran at pamamaraan laban sa katiwalian, na nagbibigay-diin sa mga pulang bandila at wastong mekanismo ng pag-uulat.
* **Mga Panloob na Kontrol:** Magpatupad ng mga panloob na kontrol upang subaybayan ang mga transaksyong pinansyal, regalo, at mabuting pakikitungo na inaalok o natanggap. * **Mekanismo ng Pag-uulat:** Magtatag ng isang kumpidensyal at secure na sistema ng pag-uulat para sa mga empleyado na mag-ulat ng pinaghihinalaang katiwalian nang walang takot sa paghihiganti.
**3. Panindigan ang Transparency:**
* **Panatilihin ang Tumpak na Mga Tala:** Panatilihin ang masusing mga talaan ng lahat ng mga transaksyon sa negosyo, kabilang ang mga katwiran para sa mga pagbabayad na ginawa sa mga ikatlong partido.
* **Malinaw na Komunikasyon:** Tiyaking may malinaw na mga channel ng komunikasyon sa pagitan ng mga empleyado at pamamahala upang mapadali ang pag-uulat ng mga alalahanin. **4. Humingi ng Legal na Payo:**
* **Kumonsulta sa mga Abogado:** Para sa mga kumplikadong transaksyon, lalo na sa mga hurisdiksyon na may mataas na peligro, kumunsulta sa mga kwalipikadong abogado na may kadalubhasaan sa mga batas laban sa katiwalian sa Pilipinas at sa nauugnay na dayuhang bansa. Maaari silang magpayo sa mga partikular na legal na kinakailangan at mga potensyal na panganib.
**5. Manatiling Alam:**
* **Updates on Philippine Laws:** Manatiling updated sa mga pagbabago sa Philippine anti-corruption laws, tulad ng RA 3019, at mga nauugnay na issuance mula sa mga ahensya ng gobyerno tulad ng Office of the Ombudsman. * **Mga Internasyonal na Pag-unlad:** Panatilihing alinsunod sa mga pag-unlad sa internasyonal na mga balangkas laban sa katiwalian, gaya ng OECD Convention on Combating Bribery of Foreign Public Officials in International Business Transactions.
**Tandaan:** * Ito ay pangkalahatang patnubay, at ang mga partikular na legal na kinakailangan ay maaaring mag-iba depende sa transaksyon at hurisdiksyon. * Ang isang malakas na programa sa pagsunod laban sa katiwalian ay nagpapakita ng pangako ng iyong kumpanya sa mga etikal na kasanayan sa negosyo at maaaring potensyal na pagaanin ang mga parusa sa kaso ng mga hindi inaasahang paglabag.</v>
      </c>
      <c r="F1143" s="2">
        <f t="shared" si="1"/>
        <v>0</v>
      </c>
      <c r="G1143" s="2"/>
      <c r="H1143" s="2"/>
      <c r="I1143" s="2"/>
      <c r="J1143" s="2"/>
      <c r="K1143" s="2"/>
      <c r="L1143" s="2"/>
      <c r="M1143" s="2"/>
      <c r="N1143" s="2"/>
      <c r="O1143" s="2"/>
      <c r="P1143" s="2"/>
      <c r="Q1143" s="2"/>
      <c r="R1143" s="2"/>
      <c r="S1143" s="2"/>
      <c r="T1143" s="2"/>
      <c r="U1143" s="2"/>
      <c r="V1143" s="2"/>
      <c r="W1143" s="2"/>
      <c r="X1143" s="2"/>
      <c r="Y1143" s="2"/>
      <c r="Z1143" s="2"/>
      <c r="AA1143" s="2"/>
    </row>
    <row r="1144">
      <c r="A1144" s="1" t="s">
        <v>3356</v>
      </c>
      <c r="B1144" s="1" t="s">
        <v>3453</v>
      </c>
      <c r="C1144" s="1" t="s">
        <v>3454</v>
      </c>
      <c r="D1144" s="2" t="str">
        <f>IFERROR(__xludf.DUMMYFUNCTION("GOOGLETRANSLATE(B1144, ""en"", ""TL"")"),"Paano naiiba ang mga legal na balangkas sa pagitan ng mga hurisdiksyon tungkol sa pag-uusig ng katiwalian sa loob ng mga negosyo, at anong mga hamon ang ipinakita nito?")</f>
        <v>Paano naiiba ang mga legal na balangkas sa pagitan ng mga hurisdiksyon tungkol sa pag-uusig ng katiwalian sa loob ng mga negosyo, at anong mga hamon ang ipinakita nito?</v>
      </c>
      <c r="E1144" s="2" t="str">
        <f>IFERROR(__xludf.DUMMYFUNCTION("GOOGLETRANSLATE(C1144, ""en"", ""TL"")"),"Ang pag-uusig ng katiwalian sa loob ng mga negosyo ay malaki ang pagkakaiba-iba sa pagitan ng mga hurisdiksyon dahil sa ilang mga kadahilanan:
**Pokus ng Mga Batas Laban sa Korupsyon:**
* **Criminal vs. Civil:** Ang ilang mga bansa, tulad ng Pilipinas, ay"&amp;" pangunahing nakatuon sa pag-uusig sa krimen sa ilalim ng Anti-Graft and Corrupt Practices Act (RA 3019). Ang iba, tulad ng US, ay may pinaghalong batas ng kriminal (Foreign Corrupt Practices Act - FCPA) at mga parusang sibil na ipinapatupad ng mga ahensy"&amp;"a tulad ng Securities and Exchange Commission (SEC).
* **Pampubliko kumpara sa Pribadong Sektor:** Ang ilang hurisdiksyon ay may pagkakaiba sa pagitan ng katiwalian na kinasasangkutan ng mga pampublikong opisyal (panunuhol) at katiwalian sa pribadong sekt"&amp;"or (komersyal na panunuhol). Sinasaklaw ng Pilipinas ang dalawa sa ilalim ng RA 3019, habang pangunahing pinupuntirya ng US FCPA ang panunuhol sa mga dayuhang opisyal.
**Panagutang Pangkumpanya:**
* **Direkta kumpara sa Di-Direkta:** Ang ilang mga bansa a"&amp;"y may direktang pananagutan sa mga kumpanya para sa katiwaliang ginawa ng kanilang mga empleyado o ahente (vicarious liability). Ang Pilipinas ay umaasa dito sa ilalim ng RA 3019. Ang iba ay nangangailangan ng patunay ng kaalaman ng isang kumpanya o sadya"&amp;"ng pagkabulag (intent) para sa pag-uusig, tulad ng US sa ilalim ng FCPA.
* **Mga Programa sa Pagsunod:** Itinuturing ng ilang hurisdiksyon ang programa ng pagsunod sa laban sa katiwalian ng kumpanya bilang isang salik na nagpapagaan sa panahon ng pag-uusi"&amp;"g. Ang Pilipinas ay walang tiyak na probisyon, ngunit ang mga pagsisikap na maiwasan ang katiwalian ay makikitang positibo. Ang US, sa ilalim ng FCPA, ay nag-aalok ng mga insentibo para sa matatag na mga programa sa pagsunod.
**Mga Hamon ng Mga Pagkakaiba"&amp;" sa Jurisdictional:**
* **Hindi pantay na Playing Field:** Ang mga kumpanyang tumatakbo sa maraming hurisdiksyon ay nahaharap sa hindi pantay na larangan ng paglalaro. Maaaring mas mataas ang mga gastos sa pagsunod dahil sa pangangailangang umangkop sa ib"&amp;"a't ibang legal na balangkas.
* **Mga Kahirapan sa Cross-Border Investigation:** Ang mga pagkakaiba sa mga legal na pamamaraan at antas ng pakikipagtulungan sa pagitan ng mga bansa ay maaaring magpalubha sa mga pagsisiyasat at pag-uusig na kinasasangkutan"&amp;" ng maraming hurisdiksyon.
* **Mga Hamon sa Pagpapatupad:** Ang iba't ibang antas ng mahigpit na pagpapatupad sa mga hurisdiksyon ay maaaring lumikha ng isang pananaw na ang ilang mga bansa ay ""mga kanlungan ng katiwalian.""
**Ang Pilipinas sa Konteksto:"&amp;"**
Ang Pilipinas ay may matibay na legal na balangkas laban sa katiwalian, kabilang ang RA 3019. Gayunpaman, nananatili ang mga hamon, tulad ng backlog sa mga kaso sa korte at potensyal para sa impluwensyang pampulitika. **Mahalagang Paalala:** Ito ay isa"&amp;"ng pinasimple na pangkalahatang-ideya, at ang mga partikular na batas at ang kanilang mga interpretasyon ay maaaring maging kumplikado.")</f>
        <v>Ang pag-uusig ng katiwalian sa loob ng mga negosyo ay malaki ang pagkakaiba-iba sa pagitan ng mga hurisdiksyon dahil sa ilang mga kadahilanan:
**Pokus ng Mga Batas Laban sa Korupsyon:**
* **Criminal vs. Civil:** Ang ilang mga bansa, tulad ng Pilipinas, ay pangunahing nakatuon sa pag-uusig sa krimen sa ilalim ng Anti-Graft and Corrupt Practices Act (RA 3019). Ang iba, tulad ng US, ay may pinaghalong batas ng kriminal (Foreign Corrupt Practices Act - FCPA) at mga parusang sibil na ipinapatupad ng mga ahensya tulad ng Securities and Exchange Commission (SEC).
* **Pampubliko kumpara sa Pribadong Sektor:** Ang ilang hurisdiksyon ay may pagkakaiba sa pagitan ng katiwalian na kinasasangkutan ng mga pampublikong opisyal (panunuhol) at katiwalian sa pribadong sektor (komersyal na panunuhol). Sinasaklaw ng Pilipinas ang dalawa sa ilalim ng RA 3019, habang pangunahing pinupuntirya ng US FCPA ang panunuhol sa mga dayuhang opisyal.
**Panagutang Pangkumpanya:**
* **Direkta kumpara sa Di-Direkta:** Ang ilang mga bansa ay may direktang pananagutan sa mga kumpanya para sa katiwaliang ginawa ng kanilang mga empleyado o ahente (vicarious liability). Ang Pilipinas ay umaasa dito sa ilalim ng RA 3019. Ang iba ay nangangailangan ng patunay ng kaalaman ng isang kumpanya o sadyang pagkabulag (intent) para sa pag-uusig, tulad ng US sa ilalim ng FCPA.
* **Mga Programa sa Pagsunod:** Itinuturing ng ilang hurisdiksyon ang programa ng pagsunod sa laban sa katiwalian ng kumpanya bilang isang salik na nagpapagaan sa panahon ng pag-uusig. Ang Pilipinas ay walang tiyak na probisyon, ngunit ang mga pagsisikap na maiwasan ang katiwalian ay makikitang positibo. Ang US, sa ilalim ng FCPA, ay nag-aalok ng mga insentibo para sa matatag na mga programa sa pagsunod.
**Mga Hamon ng Mga Pagkakaiba sa Jurisdictional:**
* **Hindi pantay na Playing Field:** Ang mga kumpanyang tumatakbo sa maraming hurisdiksyon ay nahaharap sa hindi pantay na larangan ng paglalaro. Maaaring mas mataas ang mga gastos sa pagsunod dahil sa pangangailangang umangkop sa iba't ibang legal na balangkas.
* **Mga Kahirapan sa Cross-Border Investigation:** Ang mga pagkakaiba sa mga legal na pamamaraan at antas ng pakikipagtulungan sa pagitan ng mga bansa ay maaaring magpalubha sa mga pagsisiyasat at pag-uusig na kinasasangkutan ng maraming hurisdiksyon.
* **Mga Hamon sa Pagpapatupad:** Ang iba't ibang antas ng mahigpit na pagpapatupad sa mga hurisdiksyon ay maaaring lumikha ng isang pananaw na ang ilang mga bansa ay "mga kanlungan ng katiwalian."
**Ang Pilipinas sa Konteksto:**
Ang Pilipinas ay may matibay na legal na balangkas laban sa katiwalian, kabilang ang RA 3019. Gayunpaman, nananatili ang mga hamon, tulad ng backlog sa mga kaso sa korte at potensyal para sa impluwensyang pampulitika. **Mahalagang Paalala:** Ito ay isang pinasimple na pangkalahatang-ideya, at ang mga partikular na batas at ang kanilang mga interpretasyon ay maaaring maging kumplikado.</v>
      </c>
      <c r="F1144" s="2">
        <f t="shared" si="1"/>
        <v>0</v>
      </c>
      <c r="G1144" s="2"/>
      <c r="H1144" s="2"/>
      <c r="I1144" s="2"/>
      <c r="J1144" s="2"/>
      <c r="K1144" s="2"/>
      <c r="L1144" s="2"/>
      <c r="M1144" s="2"/>
      <c r="N1144" s="2"/>
      <c r="O1144" s="2"/>
      <c r="P1144" s="2"/>
      <c r="Q1144" s="2"/>
      <c r="R1144" s="2"/>
      <c r="S1144" s="2"/>
      <c r="T1144" s="2"/>
      <c r="U1144" s="2"/>
      <c r="V1144" s="2"/>
      <c r="W1144" s="2"/>
      <c r="X1144" s="2"/>
      <c r="Y1144" s="2"/>
      <c r="Z1144" s="2"/>
      <c r="AA1144" s="2"/>
    </row>
    <row r="1145">
      <c r="A1145" s="1" t="s">
        <v>3356</v>
      </c>
      <c r="B1145" s="1" t="s">
        <v>3455</v>
      </c>
      <c r="C1145" s="1" t="s">
        <v>3456</v>
      </c>
      <c r="D1145" s="2" t="str">
        <f>IFERROR(__xludf.DUMMYFUNCTION("GOOGLETRANSLATE(B1145, ""en"", ""TL"")"),"Maaari ka bang magpayo sa pagtatatag ng whistleblower hotline o mekanismo ng pag-uulat sa loob ng aking negosyo upang mapadali ang pag-uulat ng katiwalian?")</f>
        <v>Maaari ka bang magpayo sa pagtatatag ng whistleblower hotline o mekanismo ng pag-uulat sa loob ng aking negosyo upang mapadali ang pag-uulat ng katiwalian?</v>
      </c>
      <c r="E1145" s="2" t="str">
        <f>IFERROR(__xludf.DUMMYFUNCTION("GOOGLETRANSLATE(C1145, ""en"", ""TL"")"),"## Pagtatatag ng Whistleblower Hotline sa Iyong Negosyo sa Pilipinas (Batay sa Batas ng Pilipinas)
Bagama't walang iisang batas na nag-uutos sa mga whistleblowing hotline sa Pilipinas, narito kung paano ka makakapagtatag ng isa sa loob ng iyong negosyo up"&amp;"ang sumunod sa kasalukuyang batas laban sa katiwalian at pinakamahuhusay na kagawian:
**Legal na Balangkas:**
* **Republic Act No. 6713 (An Act Establishing a Witness Protection, Security and Benefits Program, and Providing for Other Purposes):** Hinihika"&amp;"yat ng batas na ito ang whistleblowing sa pamamagitan ng pagbibigay ng proteksyon at mga benepisyo sa mga indibidwal na nag-uulat ng katiwalian. Ang iyong programa sa whistleblower ay dapat na idinisenyo upang sumunod sa mga probisyon nito tungkol sa pagi"&amp;"ging kumpidensyal at proteksyon ng pagkakakilanlan ng whistleblower. * **Republic Act No. 3019 (Anti-Gift Graft and Corrupt Practices Act):** Tinutukoy at pinaparusahan ng batas na ito ang iba't ibang mga katiwalian. Ang isang mahusay na idinisenyong prog"&amp;"rama ng whistleblower ay maaaring makatulong na hadlangan ang gayong mga kagawian sa loob ng iyong kumpanya. **Pagdidisenyo ng Iyong Whistleblower Program:**
* **Pagiging Kumpidensyal:** Ginagarantiyahan ang pagiging anonymity ng whistleblower sa buong pr"&amp;"oseso ng pag-uulat. * **Accessibility:** Magbigay ng maraming channel sa pag-uulat, kabilang ang isang toll-free hotline, online portal, o secure na mailbox para sa mga nakasulat na ulat. * **Malinaw na Pamamaraan:** Magtatag ng malinaw at mahusay na tinu"&amp;"koy na mga pamamaraan para sa pag-uulat ng pinaghihinalaang maling gawain. Dapat kasama dito ang:
* Paano mag-ulat (mga channel, format)
* Anong mga uri ng paglabag ang maaaring iulat (iayon sa RA 3019)
* Ano ang mangyayari pagkatapos maisumite ang isang "&amp;"ulat (proseso ng pagsisiyasat, feedback)
* **Anti-Retaliation Policy:** Ipagbawal ang paghihiganti laban sa mga empleyadong nag-uulat ng katiwalian nang may mabuting loob. * **Pagsasanay:** Sanayin ang mga empleyado sa programa ng whistleblower, ang kahal"&amp;"agahan nito, at kung paano ito magagamit nang epektibo.
* **Independent Investigation:** Tiyakin ang isang patas at walang kinikilingan na proseso ng pagsisiyasat para sa mga iniulat na insidente. Pag-isipang isangkot ang isang third-party na imbestigador"&amp;" para sa mga sensitibong kaso.
**Mga Karagdagang Pagsasaalang-alang:**
* **Pag-iingat ng Rekord:** Panatilihin ang mga detalyadong tala ng mga ulat ng whistleblower habang pinoprotektahan ang mga pagkakakilanlan ng whistleblower. * **Komunikasyon:** Regul"&amp;"ar na ipaalam sa mga empleyado ang pagkakaroon at kahalagahan ng programa ng whistleblower.
* **Patuloy na Pagpapahusay:** Pana-panahong suriin at pagbutihin ang iyong programa sa whistleblower batay sa paggamit at pinakamahuhusay na kagawian.
**Mga Mapag"&amp;"kukunan:**
* **Opisina ng Ombudsman:** [https://en.wikipedia.org/wiki/Ombudsman_of_the_Philippines](https://en.wikipedia.org/wiki/Ombudsman_of_the_Philippines) * **Transparency International - Philippines:** [https://www.transparency.org/en/countries/phil"&amp;"ippines](https://www.transparency.org/en/countries/philippines)
Sa pamamagitan ng pagtatatag ng whistleblower program na sumusunod sa mga legal na prinsipyo at pinakamahuhusay na kagawian na ito, maaari kang lumikha ng mas etikal at transparent na kapalig"&amp;"iran sa trabaho sa loob ng iyong negosyo. Mahalagang kumunsulta sa isang abogado na dalubhasa sa batas sa paggawa o laban sa katiwalian upang matiyak na ang iyong programa ay ganap na sumusunod sa batas ng Pilipinas.")</f>
        <v>## Pagtatatag ng Whistleblower Hotline sa Iyong Negosyo sa Pilipinas (Batay sa Batas ng Pilipinas)
Bagama't walang iisang batas na nag-uutos sa mga whistleblowing hotline sa Pilipinas, narito kung paano ka makakapagtatag ng isa sa loob ng iyong negosyo upang sumunod sa kasalukuyang batas laban sa katiwalian at pinakamahuhusay na kagawian:
**Legal na Balangkas:**
* **Republic Act No. 6713 (An Act Establishing a Witness Protection, Security and Benefits Program, and Providing for Other Purposes):** Hinihikayat ng batas na ito ang whistleblowing sa pamamagitan ng pagbibigay ng proteksyon at mga benepisyo sa mga indibidwal na nag-uulat ng katiwalian. Ang iyong programa sa whistleblower ay dapat na idinisenyo upang sumunod sa mga probisyon nito tungkol sa pagiging kumpidensyal at proteksyon ng pagkakakilanlan ng whistleblower. * **Republic Act No. 3019 (Anti-Gift Graft and Corrupt Practices Act):** Tinutukoy at pinaparusahan ng batas na ito ang iba't ibang mga katiwalian. Ang isang mahusay na idinisenyong programa ng whistleblower ay maaaring makatulong na hadlangan ang gayong mga kagawian sa loob ng iyong kumpanya. **Pagdidisenyo ng Iyong Whistleblower Program:**
* **Pagiging Kumpidensyal:** Ginagarantiyahan ang pagiging anonymity ng whistleblower sa buong proseso ng pag-uulat. * **Accessibility:** Magbigay ng maraming channel sa pag-uulat, kabilang ang isang toll-free hotline, online portal, o secure na mailbox para sa mga nakasulat na ulat. * **Malinaw na Pamamaraan:** Magtatag ng malinaw at mahusay na tinukoy na mga pamamaraan para sa pag-uulat ng pinaghihinalaang maling gawain. Dapat kasama dito ang:
* Paano mag-ulat (mga channel, format)
* Anong mga uri ng paglabag ang maaaring iulat (iayon sa RA 3019)
* Ano ang mangyayari pagkatapos maisumite ang isang ulat (proseso ng pagsisiyasat, feedback)
* **Anti-Retaliation Policy:** Ipagbawal ang paghihiganti laban sa mga empleyadong nag-uulat ng katiwalian nang may mabuting loob. * **Pagsasanay:** Sanayin ang mga empleyado sa programa ng whistleblower, ang kahalagahan nito, at kung paano ito magagamit nang epektibo.
* **Independent Investigation:** Tiyakin ang isang patas at walang kinikilingan na proseso ng pagsisiyasat para sa mga iniulat na insidente. Pag-isipang isangkot ang isang third-party na imbestigador para sa mga sensitibong kaso.
**Mga Karagdagang Pagsasaalang-alang:**
* **Pag-iingat ng Rekord:** Panatilihin ang mga detalyadong tala ng mga ulat ng whistleblower habang pinoprotektahan ang mga pagkakakilanlan ng whistleblower. * **Komunikasyon:** Regular na ipaalam sa mga empleyado ang pagkakaroon at kahalagahan ng programa ng whistleblower.
* **Patuloy na Pagpapahusay:** Pana-panahong suriin at pagbutihin ang iyong programa sa whistleblower batay sa paggamit at pinakamahuhusay na kagawian.
**Mga Mapagkukunan:**
* **Opisina ng Ombudsman:** [https://en.wikipedia.org/wiki/Ombudsman_of_the_Philippines](https://en.wikipedia.org/wiki/Ombudsman_of_the_Philippines) * **Transparency International - Philippines:** [https://www.transparency.org/en/countries/philippines](https://www.transparency.org/en/countries/philippines)
Sa pamamagitan ng pagtatatag ng whistleblower program na sumusunod sa mga legal na prinsipyo at pinakamahuhusay na kagawian na ito, maaari kang lumikha ng mas etikal at transparent na kapaligiran sa trabaho sa loob ng iyong negosyo. Mahalagang kumunsulta sa isang abogado na dalubhasa sa batas sa paggawa o laban sa katiwalian upang matiyak na ang iyong programa ay ganap na sumusunod sa batas ng Pilipinas.</v>
      </c>
      <c r="F1145" s="2">
        <f t="shared" si="1"/>
        <v>0</v>
      </c>
      <c r="G1145" s="2"/>
      <c r="H1145" s="2"/>
      <c r="I1145" s="2"/>
      <c r="J1145" s="2"/>
      <c r="K1145" s="2"/>
      <c r="L1145" s="2"/>
      <c r="M1145" s="2"/>
      <c r="N1145" s="2"/>
      <c r="O1145" s="2"/>
      <c r="P1145" s="2"/>
      <c r="Q1145" s="2"/>
      <c r="R1145" s="2"/>
      <c r="S1145" s="2"/>
      <c r="T1145" s="2"/>
      <c r="U1145" s="2"/>
      <c r="V1145" s="2"/>
      <c r="W1145" s="2"/>
      <c r="X1145" s="2"/>
      <c r="Y1145" s="2"/>
      <c r="Z1145" s="2"/>
      <c r="AA1145" s="2"/>
    </row>
    <row r="1146">
      <c r="A1146" s="1" t="s">
        <v>3356</v>
      </c>
      <c r="B1146" s="1" t="s">
        <v>3457</v>
      </c>
      <c r="C1146" s="1" t="s">
        <v>3458</v>
      </c>
      <c r="D1146" s="2" t="str">
        <f>IFERROR(__xludf.DUMMYFUNCTION("GOOGLETRANSLATE(B1146, ""en"", ""TL"")"),"Anong mga legal na aksyon ang maaaring gawin ng mga indibidwal kung pinaghihinalaan nila ang pampulitikang katiwalian sa loob ng kanilang lokal na pamahalaan?")</f>
        <v>Anong mga legal na aksyon ang maaaring gawin ng mga indibidwal kung pinaghihinalaan nila ang pampulitikang katiwalian sa loob ng kanilang lokal na pamahalaan?</v>
      </c>
      <c r="E1146" s="2" t="str">
        <f>IFERROR(__xludf.DUMMYFUNCTION("GOOGLETRANSLATE(C1146, ""en"", ""TL"")"),"Narito ang ilang legal na aksyon na maaaring gawin ng mga indibidwal sa Pilipinas kung pinaghihinalaan nila ang pampulitikang katiwalian sa loob ng kanilang lokal na pamahalaan:
**Pag-uulat ng Korapsyon:**
* **Maghain ng reklamo sa Opisina ng Ombudsman:**"&amp;" Ang independiyenteng katawan na ito ay may awtoridad na mag-imbestiga at mag-usig ng mga kaso ng katiwalian na kinasasangkutan ng mga pampublikong opisyal (kabilang ang mga opisyal ng lokal na pamahalaan). Maaari kang magsampa ng reklamo online gamit ang"&amp;" mga opsyon sa anonymity [https://en.wikipedia.org/wiki/Ombudsman_of_the_Philippines](https://en.wikipedia.org/wiki/Ombudsman_of_the_Philippines) o tumawag sa kanilang hotline (1-800-1- GO-OMB [1-800-1-46-62]).
* **Mag-ulat sa Commission on Audit (COA):**"&amp;" Kung ang pinaghihinalaang katiwalian ay may kinalaman sa maling paggamit ng pampublikong pondo, maaari mo itong iulat sa COA. Maaari nilang i-audit ang lokal na pamahalaan at tukuyin ang mga iregularidad, na maaaring gamitin bilang ebidensya ng Ombudsman"&amp;".
* **Mag-ulat sa Mga Espesyal na Hotline:** Ang ilang mga yunit ng lokal na pamahalaan o ahensya ay maaaring may mga hotline laban sa katiwalian. Suriin ang kanilang mga website para sa mga detalye.
**Mga Sumusuportang Imbestigasyon:**
* **Magtipon ng Eb"&amp;"idensya (sa loob ng mga legal na hangganan):** Kung maaari, mangolekta ng dokumentadong patunay ng pinaghihinalaang katiwalian, gaya ng:
* Mga pampublikong dokumento (mga kontrata, badyet, permit) na may mga iregularidad.
* Magsaksi ng mga patotoo (maging"&amp;" maingat sa paglalagay ng iyong sarili sa panganib).
* **Makipagtulungan sa Mga Imbestigador:** Kung makipag-ugnayan ng Ombudsman o iba pang ahensya ng pagsisiyasat, maging tapat at ibigay ang lahat ng may-katuturang impormasyon na mayroon ka.
**Pag-promo"&amp;"te ng Transparency at Accountability:**
* **Demand Transparency:** Humiling ng mga kopya ng mga pampublikong dokumento na nauugnay sa mga proyekto at badyet ng lokal na pamahalaan. * **Makipag-ugnayan sa mga Civil Society Organizations (CSOs):** Makipagtu"&amp;"lungan sa mga NGO o grupo na nakatuon sa mabuting pamamahala at laban sa katiwalian upang itaas ang kamalayan at presyon para sa aksyon.
* **Use Right to Information (FOI) Requests (Executive Order No. 2):** Kung naaangkop, maghain ng mga kahilingan sa FO"&amp;"I para ma-access ang impormasyon ng gobyerno at panagutin ang mga awtoridad.
**Mahahalagang Pagsasaalang-alang:**
* **Tumuon sa Mga Partikular na Halimbawa:** Ang pagbibigay ng konkretong ebidensya ng maling gawain ay magpapatibay sa iyong kaso.
* **Humin"&amp;"gi ng Legal na Payo:** Maaaring payuhan ka ng isang abogadong may karanasan sa anti-corruption law sa pinakamahusay na paraan ng pagkilos at matiyak na protektado ang iyong mga karapatan.
* **Isaalang-alang ang Proteksyon ng Saksi:** Kung natatakot kang g"&amp;"antihan para sa pag-uulat, tandaan na nag-aalok ang Whistleblower Protection Program (Republic Act No. 6713) ng mga pananggalang.
**Mga Karagdagang Opsyon:**
* **Makilahok sa mga Pampublikong Pagdinig:** Kung ang lokal na pamahalaan ay nagdaraos ng mga pa"&amp;"mpublikong pagdinig tungkol sa mga proyekto o badyet, dumalo at ipahayag ang iyong mga alalahanin.
* **Vote Wisely:** Pananagutan ang mga halal na opisyal sa pamamagitan ng paglahok sa mga halalan at pagboto para sa mga kandidatong may malinis na track re"&amp;"cord at pangako sa mabuting pamamahala.
Tandaan, ang pagharap sa korapsyon sa pulitika ay nangangailangan ng sama-samang pagkilos. Sa pamamagitan ng pag-uulat ng pinaghihinalaang maling gawain, pagtataguyod ng transparency, at pakikipag-ugnayan sa mga nau"&amp;"ugnay na institusyon, makakatulong ang mga mamamayan na lumikha ng isang mas may pananagutan na lokal na pamahalaan.")</f>
        <v>Narito ang ilang legal na aksyon na maaaring gawin ng mga indibidwal sa Pilipinas kung pinaghihinalaan nila ang pampulitikang katiwalian sa loob ng kanilang lokal na pamahalaan:
**Pag-uulat ng Korapsyon:**
* **Maghain ng reklamo sa Opisina ng Ombudsman:** Ang independiyenteng katawan na ito ay may awtoridad na mag-imbestiga at mag-usig ng mga kaso ng katiwalian na kinasasangkutan ng mga pampublikong opisyal (kabilang ang mga opisyal ng lokal na pamahalaan). Maaari kang magsampa ng reklamo online gamit ang mga opsyon sa anonymity [https://en.wikipedia.org/wiki/Ombudsman_of_the_Philippines](https://en.wikipedia.org/wiki/Ombudsman_of_the_Philippines) o tumawag sa kanilang hotline (1-800-1- GO-OMB [1-800-1-46-62]).
* **Mag-ulat sa Commission on Audit (COA):** Kung ang pinaghihinalaang katiwalian ay may kinalaman sa maling paggamit ng pampublikong pondo, maaari mo itong iulat sa COA. Maaari nilang i-audit ang lokal na pamahalaan at tukuyin ang mga iregularidad, na maaaring gamitin bilang ebidensya ng Ombudsman.
* **Mag-ulat sa Mga Espesyal na Hotline:** Ang ilang mga yunit ng lokal na pamahalaan o ahensya ay maaaring may mga hotline laban sa katiwalian. Suriin ang kanilang mga website para sa mga detalye.
**Mga Sumusuportang Imbestigasyon:**
* **Magtipon ng Ebidensya (sa loob ng mga legal na hangganan):** Kung maaari, mangolekta ng dokumentadong patunay ng pinaghihinalaang katiwalian, gaya ng:
* Mga pampublikong dokumento (mga kontrata, badyet, permit) na may mga iregularidad.
* Magsaksi ng mga patotoo (maging maingat sa paglalagay ng iyong sarili sa panganib).
* **Makipagtulungan sa Mga Imbestigador:** Kung makipag-ugnayan ng Ombudsman o iba pang ahensya ng pagsisiyasat, maging tapat at ibigay ang lahat ng may-katuturang impormasyon na mayroon ka.
**Pag-promote ng Transparency at Accountability:**
* **Demand Transparency:** Humiling ng mga kopya ng mga pampublikong dokumento na nauugnay sa mga proyekto at badyet ng lokal na pamahalaan. * **Makipag-ugnayan sa mga Civil Society Organizations (CSOs):** Makipagtulungan sa mga NGO o grupo na nakatuon sa mabuting pamamahala at laban sa katiwalian upang itaas ang kamalayan at presyon para sa aksyon.
* **Use Right to Information (FOI) Requests (Executive Order No. 2):** Kung naaangkop, maghain ng mga kahilingan sa FOI para ma-access ang impormasyon ng gobyerno at panagutin ang mga awtoridad.
**Mahahalagang Pagsasaalang-alang:**
* **Tumuon sa Mga Partikular na Halimbawa:** Ang pagbibigay ng konkretong ebidensya ng maling gawain ay magpapatibay sa iyong kaso.
* **Humingi ng Legal na Payo:** Maaaring payuhan ka ng isang abogadong may karanasan sa anti-corruption law sa pinakamahusay na paraan ng pagkilos at matiyak na protektado ang iyong mga karapatan.
* **Isaalang-alang ang Proteksyon ng Saksi:** Kung natatakot kang gantihan para sa pag-uulat, tandaan na nag-aalok ang Whistleblower Protection Program (Republic Act No. 6713) ng mga pananggalang.
**Mga Karagdagang Opsyon:**
* **Makilahok sa mga Pampublikong Pagdinig:** Kung ang lokal na pamahalaan ay nagdaraos ng mga pampublikong pagdinig tungkol sa mga proyekto o badyet, dumalo at ipahayag ang iyong mga alalahanin.
* **Vote Wisely:** Pananagutan ang mga halal na opisyal sa pamamagitan ng paglahok sa mga halalan at pagboto para sa mga kandidatong may malinis na track record at pangako sa mabuting pamamahala.
Tandaan, ang pagharap sa korapsyon sa pulitika ay nangangailangan ng sama-samang pagkilos. Sa pamamagitan ng pag-uulat ng pinaghihinalaang maling gawain, pagtataguyod ng transparency, at pakikipag-ugnayan sa mga nauugnay na institusyon, makakatulong ang mga mamamayan na lumikha ng isang mas may pananagutan na lokal na pamahalaan.</v>
      </c>
      <c r="F1146" s="2">
        <f t="shared" si="1"/>
        <v>0</v>
      </c>
      <c r="G1146" s="2"/>
      <c r="H1146" s="2"/>
      <c r="I1146" s="2"/>
      <c r="J1146" s="2"/>
      <c r="K1146" s="2"/>
      <c r="L1146" s="2"/>
      <c r="M1146" s="2"/>
      <c r="N1146" s="2"/>
      <c r="O1146" s="2"/>
      <c r="P1146" s="2"/>
      <c r="Q1146" s="2"/>
      <c r="R1146" s="2"/>
      <c r="S1146" s="2"/>
      <c r="T1146" s="2"/>
      <c r="U1146" s="2"/>
      <c r="V1146" s="2"/>
      <c r="W1146" s="2"/>
      <c r="X1146" s="2"/>
      <c r="Y1146" s="2"/>
      <c r="Z1146" s="2"/>
      <c r="AA1146" s="2"/>
    </row>
    <row r="1147">
      <c r="A1147" s="1" t="s">
        <v>3356</v>
      </c>
      <c r="B1147" s="1" t="s">
        <v>3459</v>
      </c>
      <c r="C1147" s="1" t="s">
        <v>3460</v>
      </c>
      <c r="D1147" s="2" t="str">
        <f>IFERROR(__xludf.DUMMYFUNCTION("GOOGLETRANSLATE(B1147, ""en"", ""TL"")"),"Paano mapapanagot ng mga mamamayan ang mga halal na opisyal para sa mga paratang ng katiwalian sa pulitika?")</f>
        <v>Paano mapapanagot ng mga mamamayan ang mga halal na opisyal para sa mga paratang ng katiwalian sa pulitika?</v>
      </c>
      <c r="E1147" s="2" t="str">
        <f>IFERROR(__xludf.DUMMYFUNCTION("GOOGLETRANSLATE(C1147, ""en"", ""TL"")"),"Ang mga mamamayan ay gumaganap ng isang mahalagang papel sa pagpapanagot sa mga halal na opisyal para sa mga paratang ng pampulitikang katiwalian. Narito ang ilang paraan kung saan ang mga mamamayan ay maaaring aktibong mag-ambag sa pananagutan:
1. **Pag-"&amp;"uulat sa Mga Ahensyang Anti-Korupsyon:**
- Maaaring iulat ng mga mamamayan ang mga paratang ng katiwalian sa pulitika sa mga ahensyang laban sa katiwalian, tulad ng Opisina ng Ombudsman sa Pilipinas. Ang mga ahensyang ito ay may pananagutan sa pag-iimbest"&amp;"iga at pag-uusig sa mga opisyal ng gobyerno na sangkot sa mga katiwalian.
2. **Paghahain ng mga Reklamo sa Commission on Elections (COMELEC):**
- Kung ang sinasabing katiwalian ay may kaugnayan sa mga paglabag sa halalan, ang mga mamamayan ay maaaring mag"&amp;"sampa ng mga reklamo sa Commission on Elections (COMELEC). Ang COMELEC ay may awtoridad na mag-imbestiga at gumawa ng kaukulang aksyon laban sa mga indibidwal na lumalabag sa mga batas sa halalan.
3. **Pagsali sa Mga Programa sa Proteksyon ng Whistleblowe"&amp;"r:**
- Ang mga whistleblower na may mapagkakatiwalaang impormasyon tungkol sa katiwalian ay maaaring gumamit ng mga programa sa proteksyon ng whistleblower. Ang pag-uulat sa pamamagitan ng mga opisyal na channel at paggamit ng mga legal na proteksyon ay m"&amp;"aaaring maprotektahan ang mga whistleblower mula sa paghihiganti.
4. **Paglahok sa Civil Society Initiatives:**
- Maaaring sumali o sumuporta ang mga mamamayan sa mga organisasyon ng civil society na nakatuon sa pagtataguyod ng transparency, accountabilit"&amp;"y, at good governance. Ang mga organisasyong ito ay madalas na nagsisikap na ilantad ang katiwalian, nagtataguyod para sa mga legal na reporma, at nakikipag-ugnayan sa publiko upang itaas ang kamalayan.
5. **Paghahain ng Mga Paghahabla sa Pampublikong Int"&amp;"eres:**
- Maaaring tuklasin ng mga mamamayan ang opsyon na magsampa ng mga demanda para sa interes ng publiko na mapaghamong mga aksyon na sinasabing tiwali. Ang mga legal na aksyon, tulad ng paghahain ng writ of mandamus o paghahain ng mga reklamo sa mga"&amp;" tamang tribunal, ay maaaring humingi ng mga remedyo at pananagutan.
6. **Paggamit ng Social Media at Public Advocacy:**
- Ang social media at pampublikong adbokasiya ay maaaring maging makapangyarihang mga tool para sa pagpapataas ng kamalayan tungkol sa"&amp;" mga paratang ng pampulitikang katiwalian. Maaaring gamitin ng mga mamamayan ang mga platform na ito upang ipalaganap ang impormasyon, pakilusin ang opinyon ng publiko, at ipilit ang mga opisyal na tugunan ang mga paratang.
7. **Pagboto at Pagsuporta sa m"&amp;"ga Reporma:**
- Sa panahon ng halalan, ang mga mamamayan ay maaaring gumawa ng matalinong mga pagpipilian sa pamamagitan ng pagboto para sa mga kandidato na may pangako sa transparency at pananagutan. Bukod pa rito, ang pagsuporta sa mga reporma sa elekto"&amp;"ral at pamamahala na nagpapahusay sa mga mekanismo ng pananagutan ay maaaring mag-ambag sa sistematikong pagbabago.
8. **Nakikipag-ugnayan sa Lokal na Media:**
- Ang pakikipag-ugnayan sa mga lokal na media outlet at mga investigative journalist ay maaarin"&amp;"g makatulong sa pagbibigay pansin sa mga paratang ng katiwalian. Ang media ay gumaganap ng isang mahalagang papel sa pagpapaalam sa publiko at paglalagay ng presyon sa mga awtoridad na tugunan ang mga isyu sa katiwalian.
9. **Paglahok sa Mga Pampublikong "&amp;"Konsultasyon:**
- Ang mga mamamayan ay maaaring aktibong lumahok sa mga pampublikong konsultasyon at mga pulong sa bulwagan ng bayan upang ipahayag ang mga alalahanin tungkol sa katiwalian. Ang pakikibahagi sa demokratikong proseso at pagpapaalam sa mga o"&amp;"pisyal ng pampublikong damdamin ay maaaring makaimpluwensya sa paggawa ng desisyon.
Mahalaga para sa mga mamamayan na maging mahusay ang kaalaman, nakatuon, at maagap sa pagpapanagot sa mga halal na opisyal. Sa pamamagitan ng pakikilahok sa iba't ibang mg"&amp;"a channel at paggamit ng mga legal na mekanismo, ang mga mamamayan ay maaaring mag-ambag sa pagpapaunlad ng kultura ng pananagutan at integridad sa pamamahala.")</f>
        <v>Ang mga mamamayan ay gumaganap ng isang mahalagang papel sa pagpapanagot sa mga halal na opisyal para sa mga paratang ng pampulitikang katiwalian. Narito ang ilang paraan kung saan ang mga mamamayan ay maaaring aktibong mag-ambag sa pananagutan:
1. **Pag-uulat sa Mga Ahensyang Anti-Korupsyon:**
- Maaaring iulat ng mga mamamayan ang mga paratang ng katiwalian sa pulitika sa mga ahensyang laban sa katiwalian, tulad ng Opisina ng Ombudsman sa Pilipinas. Ang mga ahensyang ito ay may pananagutan sa pag-iimbestiga at pag-uusig sa mga opisyal ng gobyerno na sangkot sa mga katiwalian.
2. **Paghahain ng mga Reklamo sa Commission on Elections (COMELEC):**
- Kung ang sinasabing katiwalian ay may kaugnayan sa mga paglabag sa halalan, ang mga mamamayan ay maaaring magsampa ng mga reklamo sa Commission on Elections (COMELEC). Ang COMELEC ay may awtoridad na mag-imbestiga at gumawa ng kaukulang aksyon laban sa mga indibidwal na lumalabag sa mga batas sa halalan.
3. **Pagsali sa Mga Programa sa Proteksyon ng Whistleblower:**
- Ang mga whistleblower na may mapagkakatiwalaang impormasyon tungkol sa katiwalian ay maaaring gumamit ng mga programa sa proteksyon ng whistleblower. Ang pag-uulat sa pamamagitan ng mga opisyal na channel at paggamit ng mga legal na proteksyon ay maaaring maprotektahan ang mga whistleblower mula sa paghihiganti.
4. **Paglahok sa Civil Society Initiatives:**
- Maaaring sumali o sumuporta ang mga mamamayan sa mga organisasyon ng civil society na nakatuon sa pagtataguyod ng transparency, accountability, at good governance. Ang mga organisasyong ito ay madalas na nagsisikap na ilantad ang katiwalian, nagtataguyod para sa mga legal na reporma, at nakikipag-ugnayan sa publiko upang itaas ang kamalayan.
5. **Paghahain ng Mga Paghahabla sa Pampublikong Interes:**
- Maaaring tuklasin ng mga mamamayan ang opsyon na magsampa ng mga demanda para sa interes ng publiko na mapaghamong mga aksyon na sinasabing tiwali. Ang mga legal na aksyon, tulad ng paghahain ng writ of mandamus o paghahain ng mga reklamo sa mga tamang tribunal, ay maaaring humingi ng mga remedyo at pananagutan.
6. **Paggamit ng Social Media at Public Advocacy:**
- Ang social media at pampublikong adbokasiya ay maaaring maging makapangyarihang mga tool para sa pagpapataas ng kamalayan tungkol sa mga paratang ng pampulitikang katiwalian. Maaaring gamitin ng mga mamamayan ang mga platform na ito upang ipalaganap ang impormasyon, pakilusin ang opinyon ng publiko, at ipilit ang mga opisyal na tugunan ang mga paratang.
7. **Pagboto at Pagsuporta sa mga Reporma:**
- Sa panahon ng halalan, ang mga mamamayan ay maaaring gumawa ng matalinong mga pagpipilian sa pamamagitan ng pagboto para sa mga kandidato na may pangako sa transparency at pananagutan. Bukod pa rito, ang pagsuporta sa mga reporma sa elektoral at pamamahala na nagpapahusay sa mga mekanismo ng pananagutan ay maaaring mag-ambag sa sistematikong pagbabago.
8. **Nakikipag-ugnayan sa Lokal na Media:**
- Ang pakikipag-ugnayan sa mga lokal na media outlet at mga investigative journalist ay maaaring makatulong sa pagbibigay pansin sa mga paratang ng katiwalian. Ang media ay gumaganap ng isang mahalagang papel sa pagpapaalam sa publiko at paglalagay ng presyon sa mga awtoridad na tugunan ang mga isyu sa katiwalian.
9. **Paglahok sa Mga Pampublikong Konsultasyon:**
- Ang mga mamamayan ay maaaring aktibong lumahok sa mga pampublikong konsultasyon at mga pulong sa bulwagan ng bayan upang ipahayag ang mga alalahanin tungkol sa katiwalian. Ang pakikibahagi sa demokratikong proseso at pagpapaalam sa mga opisyal ng pampublikong damdamin ay maaaring makaimpluwensya sa paggawa ng desisyon.
Mahalaga para sa mga mamamayan na maging mahusay ang kaalaman, nakatuon, at maagap sa pagpapanagot sa mga halal na opisyal. Sa pamamagitan ng pakikilahok sa iba't ibang mga channel at paggamit ng mga legal na mekanismo, ang mga mamamayan ay maaaring mag-ambag sa pagpapaunlad ng kultura ng pananagutan at integridad sa pamamahala.</v>
      </c>
      <c r="F1147" s="2">
        <f t="shared" si="1"/>
        <v>0</v>
      </c>
      <c r="G1147" s="2"/>
      <c r="H1147" s="2"/>
      <c r="I1147" s="2"/>
      <c r="J1147" s="2"/>
      <c r="K1147" s="2"/>
      <c r="L1147" s="2"/>
      <c r="M1147" s="2"/>
      <c r="N1147" s="2"/>
      <c r="O1147" s="2"/>
      <c r="P1147" s="2"/>
      <c r="Q1147" s="2"/>
      <c r="R1147" s="2"/>
      <c r="S1147" s="2"/>
      <c r="T1147" s="2"/>
      <c r="U1147" s="2"/>
      <c r="V1147" s="2"/>
      <c r="W1147" s="2"/>
      <c r="X1147" s="2"/>
      <c r="Y1147" s="2"/>
      <c r="Z1147" s="2"/>
      <c r="AA1147" s="2"/>
    </row>
    <row r="1148">
      <c r="A1148" s="1" t="s">
        <v>3356</v>
      </c>
      <c r="B1148" s="1" t="s">
        <v>3461</v>
      </c>
      <c r="C1148" s="1" t="s">
        <v>3462</v>
      </c>
      <c r="D1148" s="2" t="str">
        <f>IFERROR(__xludf.DUMMYFUNCTION("GOOGLETRANSLATE(B1148, ""en"", ""TL"")"),"Mayroon bang mga partikular na batas o regulasyon na tumutugon sa pampulitikang katiwalian sa lokal, estado, o pederal na antas?")</f>
        <v>Mayroon bang mga partikular na batas o regulasyon na tumutugon sa pampulitikang katiwalian sa lokal, estado, o pederal na antas?</v>
      </c>
      <c r="E1148" s="2" t="str">
        <f>IFERROR(__xludf.DUMMYFUNCTION("GOOGLETRANSLATE(C1148, ""en"", ""TL"")"),"Sa Pilipinas, ang legal na balangkas para sa pagtugon sa pampulitikang katiwalian ay sumasaklaw sa mga batas at regulasyon sa iba't ibang antas—lokal, estado (tumutukoy sa pambansang antas sa konteksto ng Pilipinas), at pederal (tumutukoy sa pambansang an"&amp;"tas). Narito ang mga pangunahing batas at regulasyon na tumutugon sa pampulitikang katiwalian:
1. **Anti-Graft and Corrupt Practices Act (Republic Act No. 3019):**
- Nalalapat ang batas na ito sa pambansang antas at nagtatatag ng mga pagkakasala at parusa"&amp;" para sa mga katiwaliang gawain na ginawa ng mga pampublikong opisyal. Sinasaklaw nito ang mga gawain tulad ng panunuhol, graft, at mga tiwaling transaksyon. Ang mga paglabag ay maaaring magresulta sa kriminal at administratibong pananagutan.
2. **Code of"&amp;" Conduct and Ethical Standards for Public Officials and Employees (Republic Act No. 6713):**
- Ang RA 6713 ay nagtatakda ng mga pamantayang etikal para sa mga pampublikong opisyal at empleyado, na nagtataguyod ng transparency, pananagutan, at integridad s"&amp;"a pampublikong serbisyo. Ang mga paglabag sa code na ito ay maaaring humantong sa administratibo at sibil na pananagutan.
3. **Ombudsman Act of 1989 (Republic Act No. 6770):**
- Itinatag ng Ombudsman Act ang Opisina ng Ombudsman, isang independiyenteng ka"&amp;"tawan na may katungkulan sa pag-iimbestiga at pag-uusig sa mga opisyal ng gobyerno para sa mga gawain ng katiwalian, kabilang ang mga nasa pambansa at lokal na antas.
4. **Kodigo ng Lokal na Pamahalaan ng 1991 (Republic Act No. 7160):**
- Sa lokal na anta"&amp;"s, ang Kodigo ng Lokal na Pamahalaan ay nagbibigay ng mga patnubay para sa pag-uugali at pamantayan ng etikal ng mga opisyal ng lokal na pamahalaan. Binabalangkas nito ang mga responsibilidad ng mga lokal na opisyal at nagtatatag ng mga mekanismo para sa "&amp;"pagtugon sa maling pag-uugali.
5. **Mga Batas na may kaugnayan sa Eleksyon:**
- Ang iba't ibang batas na nauugnay sa halalan ay tumutugon sa mga tiwaling gawi sa konteksto ng halalan. Kabilang dito ang Omnibus Election Code, na sumasaklaw sa mga paglabag "&amp;"na may kaugnayan sa campaign finance, panunuhol, at iba pang katiwalian na may kaugnayan sa halalan.
6. **Mga Batas sa Proteksyon ng Whistleblower:**
- Bagama't hindi partikular sa katiwalian, ang mga batas tulad ng RA 6713 at RA 3019 ay nagbibigay ng pro"&amp;"teksyon para sa mga whistleblower na naglalantad ng mga katiwalian. Ang mga proteksyong ito ay naaangkop sa lahat ng antas ng pamahalaan.
Mahalagang tandaan na ang Pilipinas ay walang pederal na sistema, at ang terminong ""pederal"" ay hindi ginagamit upa"&amp;"ng ilarawan ang pambansang antas ng pamahalaan. Sa halip, ang pambansang antas ay madalas na tinutukoy bilang ang ""pambansa"" o ""estado"" na antas sa konteksto ng Pilipinas.
Ang bisa ng mga batas na ito ay nakasalalay sa wastong pagpapatupad at pagpapat"&amp;"upad ng mga ito. Bukod pa rito, ang mga mamamayan at organisasyong nababahala tungkol sa pampulitikang katiwalian ay dapat magkaroon ng kamalayan at makipag-ugnayan sa mga nauugnay na legal na mekanismo, tulad ng paghahain ng mga reklamo sa Ombudsman o Co"&amp;"mmission on Elections (COMELEC), upang matugunan ang mga paratang ng katiwalian sa iba't ibang antas ng pamahalaan.")</f>
        <v>Sa Pilipinas, ang legal na balangkas para sa pagtugon sa pampulitikang katiwalian ay sumasaklaw sa mga batas at regulasyon sa iba't ibang antas—lokal, estado (tumutukoy sa pambansang antas sa konteksto ng Pilipinas), at pederal (tumutukoy sa pambansang antas). Narito ang mga pangunahing batas at regulasyon na tumutugon sa pampulitikang katiwalian:
1. **Anti-Graft and Corrupt Practices Act (Republic Act No. 3019):**
- Nalalapat ang batas na ito sa pambansang antas at nagtatatag ng mga pagkakasala at parusa para sa mga katiwaliang gawain na ginawa ng mga pampublikong opisyal. Sinasaklaw nito ang mga gawain tulad ng panunuhol, graft, at mga tiwaling transaksyon. Ang mga paglabag ay maaaring magresulta sa kriminal at administratibong pananagutan.
2. **Code of Conduct and Ethical Standards for Public Officials and Employees (Republic Act No. 6713):**
- Ang RA 6713 ay nagtatakda ng mga pamantayang etikal para sa mga pampublikong opisyal at empleyado, na nagtataguyod ng transparency, pananagutan, at integridad sa pampublikong serbisyo. Ang mga paglabag sa code na ito ay maaaring humantong sa administratibo at sibil na pananagutan.
3. **Ombudsman Act of 1989 (Republic Act No. 6770):**
- Itinatag ng Ombudsman Act ang Opisina ng Ombudsman, isang independiyenteng katawan na may katungkulan sa pag-iimbestiga at pag-uusig sa mga opisyal ng gobyerno para sa mga gawain ng katiwalian, kabilang ang mga nasa pambansa at lokal na antas.
4. **Kodigo ng Lokal na Pamahalaan ng 1991 (Republic Act No. 7160):**
- Sa lokal na antas, ang Kodigo ng Lokal na Pamahalaan ay nagbibigay ng mga patnubay para sa pag-uugali at pamantayan ng etikal ng mga opisyal ng lokal na pamahalaan. Binabalangkas nito ang mga responsibilidad ng mga lokal na opisyal at nagtatatag ng mga mekanismo para sa pagtugon sa maling pag-uugali.
5. **Mga Batas na may kaugnayan sa Eleksyon:**
- Ang iba't ibang batas na nauugnay sa halalan ay tumutugon sa mga tiwaling gawi sa konteksto ng halalan. Kabilang dito ang Omnibus Election Code, na sumasaklaw sa mga paglabag na may kaugnayan sa campaign finance, panunuhol, at iba pang katiwalian na may kaugnayan sa halalan.
6. **Mga Batas sa Proteksyon ng Whistleblower:**
- Bagama't hindi partikular sa katiwalian, ang mga batas tulad ng RA 6713 at RA 3019 ay nagbibigay ng proteksyon para sa mga whistleblower na naglalantad ng mga katiwalian. Ang mga proteksyong ito ay naaangkop sa lahat ng antas ng pamahalaan.
Mahalagang tandaan na ang Pilipinas ay walang pederal na sistema, at ang terminong "pederal" ay hindi ginagamit upang ilarawan ang pambansang antas ng pamahalaan. Sa halip, ang pambansang antas ay madalas na tinutukoy bilang ang "pambansa" o "estado" na antas sa konteksto ng Pilipinas.
Ang bisa ng mga batas na ito ay nakasalalay sa wastong pagpapatupad at pagpapatupad ng mga ito. Bukod pa rito, ang mga mamamayan at organisasyong nababahala tungkol sa pampulitikang katiwalian ay dapat magkaroon ng kamalayan at makipag-ugnayan sa mga nauugnay na legal na mekanismo, tulad ng paghahain ng mga reklamo sa Ombudsman o Commission on Elections (COMELEC), upang matugunan ang mga paratang ng katiwalian sa iba't ibang antas ng pamahalaan.</v>
      </c>
      <c r="F1148" s="2">
        <f t="shared" si="1"/>
        <v>0</v>
      </c>
      <c r="G1148" s="2"/>
      <c r="H1148" s="2"/>
      <c r="I1148" s="2"/>
      <c r="J1148" s="2"/>
      <c r="K1148" s="2"/>
      <c r="L1148" s="2"/>
      <c r="M1148" s="2"/>
      <c r="N1148" s="2"/>
      <c r="O1148" s="2"/>
      <c r="P1148" s="2"/>
      <c r="Q1148" s="2"/>
      <c r="R1148" s="2"/>
      <c r="S1148" s="2"/>
      <c r="T1148" s="2"/>
      <c r="U1148" s="2"/>
      <c r="V1148" s="2"/>
      <c r="W1148" s="2"/>
      <c r="X1148" s="2"/>
      <c r="Y1148" s="2"/>
      <c r="Z1148" s="2"/>
      <c r="AA1148" s="2"/>
    </row>
    <row r="1149">
      <c r="A1149" s="1" t="s">
        <v>3356</v>
      </c>
      <c r="B1149" s="1" t="s">
        <v>3463</v>
      </c>
      <c r="C1149" s="1" t="s">
        <v>3464</v>
      </c>
      <c r="D1149" s="2" t="str">
        <f>IFERROR(__xludf.DUMMYFUNCTION("GOOGLETRANSLATE(B1149, ""en"", ""TL"")"),"Maaari mo bang ipaliwanag ang mga legal na kahulugan ng panunuhol, pangingikil, at iba pang anyo ng pampulitikang katiwalian?")</f>
        <v>Maaari mo bang ipaliwanag ang mga legal na kahulugan ng panunuhol, pangingikil, at iba pang anyo ng pampulitikang katiwalian?</v>
      </c>
      <c r="E1149" s="2" t="str">
        <f>IFERROR(__xludf.DUMMYFUNCTION("GOOGLETRANSLATE(C1149, ""en"", ""TL"")"),"Narito ang isang breakdown ng mga legal na kahulugan ng bribery, extortion, at iba pang anyo ng political corruption sa Pilipinas batay sa Revised Penal Code at Republic Act No. 3019 (Anti-Gift Graft and Corrupt Practices Act):
**Panunuhol (Artikulo 211 n"&amp;"g Binagong Kodigo Penal):**
* **Direktang Panunuhol:** Isang pampublikong opisyal na tumatanggap ng alok o pangako o tumatanggap ng regalo o regalo, nang mag-isa o sa pamamagitan ng iba, na may layuning:
*Paggawa ng krimen.
* Pagsasagawa ng isang kilos na"&amp;" hindi krimen ngunit hindi makatarungan.
* Pag-iwas sa paggawa ng isang bagay na opisyal niyang tungkuling gawin.
* **Di-tuwirang Panunuhol:** Isang pampublikong opisyal na tumatanggap ng regalong inaalok sa kanya dahil sa kanyang opisina. * **Kwalipikado"&amp;"ng Panunuhol:** Isang pampublikong opisyal na pinagkatiwalaan ng tagapagpatupad ng batas na umiiwas sa pag-aresto o pag-uusig sa isang nagkasala (na nakagawa ng malubhang krimen) bilang pagsasaalang-alang sa anumang alok, pangako, regalo o regalo.
* **Kor"&amp;"upsyon ng isang Pampublikong Opisyal:** Ang krimen na ginawa ng pribadong tao na dapat gumawa ng mga alok o pangako o nagbigay ng mga regalo o regalo sa mga pampublikong opisyal, tulad ng inilarawan sa itaas. **Pangingikil (Artikulo 294 ng Binagong Kodigo"&amp;" Penal):**
* **Pagbabanta na magdulot ng labag sa batas na pinsala:** Kabilang dito ang mga banta ng karahasan, pinsala sa reputasyon, o iba pang anyo ng pananakot upang pilitin ang isang tao na magbigay ng pera, ari-arian, o magsagawa ng dokumento.
* **P"&amp;"ublic Officer:** Kung ang krimen ay ginawa ng isang pampublikong opisyal o empleyado, mas matindi ang parusa. **Iba pang Mga Uri ng Political Corruption:**
* **Malversation of Public Funds or Property (Artikulo 212 ng Binagong Kodigo Penal):** Isang pampu"&amp;"blikong opisyal na maling paggamit, inililihis, o pinahihintulutan ang ibang tao na maling gamitin ang pampublikong pondo o ari-arian na ipinagkatiwala sa kanya.
* **Nepotism (Seksyon 2(c) ng Republic Act No. 3019):** Isang pampublikong opisyal na naghira"&amp;"ng ng kamag-anak (hanggang sa ikatlong antas ng consanguinity o affinity) sa isang posisyon sa ahensya ng gobyerno kung saan siya ay may impluwensya.
* **Graft and Corrupt Practices (Republic Act No. 3019):** Tinutukoy at pinaparusahan ng batas na ito ang"&amp;" mas malawak na hanay ng mga katiwalian ng mga pampublikong opisyal, kabilang ang:
* Paghingi o pagtanggap ng mga regalo kapalit ng paborableng aksyon.
* Nagiging sanhi ng hindi nararapat na pinsala sa sinumang partido sa pamamagitan ng maliwanag na pagta"&amp;"tangi, maliwanag na masamang pananampalataya, o labis na hindi mapapatawad na kapabayaan.
* Pagpasok sa isang kontrata sa isang ahensya ng gobyerno na alam na ang partidong nagkontrata ay may kaugnayan sa kanya sa loob ng ikatlong antas ng consanguinity o"&amp;" affinity.
**Mahahalagang Pagsasaalang-alang:**
* Ito ay ilan lamang sa mga pinakakaraniwang anyo ng pampulitikang katiwalian. * Ang mga partikular na legal na kahulugan at mga parusa ay maaaring mag-iba depende sa mga pangyayari ng kaso. * Para sa mas de"&amp;"talyadong impormasyon, inirerekumenda na direktang kumonsulta sa Binagong Kodigo Penal at Republic Act No. 3019.
Sa pamamagitan ng pag-unawa sa mga legal na kahulugan na ito, ang mga mamamayan at mga opisyal ng pamahalaan ay mas mabibigyang kaalaman tungk"&amp;"ol sa kung ano ang bumubuo sa katiwalian at ang mga potensyal na kahihinatnan ng pagsasagawa ng mga naturang aktibidad.")</f>
        <v>Narito ang isang breakdown ng mga legal na kahulugan ng bribery, extortion, at iba pang anyo ng political corruption sa Pilipinas batay sa Revised Penal Code at Republic Act No. 3019 (Anti-Gift Graft and Corrupt Practices Act):
**Panunuhol (Artikulo 211 ng Binagong Kodigo Penal):**
* **Direktang Panunuhol:** Isang pampublikong opisyal na tumatanggap ng alok o pangako o tumatanggap ng regalo o regalo, nang mag-isa o sa pamamagitan ng iba, na may layuning:
*Paggawa ng krimen.
* Pagsasagawa ng isang kilos na hindi krimen ngunit hindi makatarungan.
* Pag-iwas sa paggawa ng isang bagay na opisyal niyang tungkuling gawin.
* **Di-tuwirang Panunuhol:** Isang pampublikong opisyal na tumatanggap ng regalong inaalok sa kanya dahil sa kanyang opisina. * **Kwalipikadong Panunuhol:** Isang pampublikong opisyal na pinagkatiwalaan ng tagapagpatupad ng batas na umiiwas sa pag-aresto o pag-uusig sa isang nagkasala (na nakagawa ng malubhang krimen) bilang pagsasaalang-alang sa anumang alok, pangako, regalo o regalo.
* **Korupsyon ng isang Pampublikong Opisyal:** Ang krimen na ginawa ng pribadong tao na dapat gumawa ng mga alok o pangako o nagbigay ng mga regalo o regalo sa mga pampublikong opisyal, tulad ng inilarawan sa itaas. **Pangingikil (Artikulo 294 ng Binagong Kodigo Penal):**
* **Pagbabanta na magdulot ng labag sa batas na pinsala:** Kabilang dito ang mga banta ng karahasan, pinsala sa reputasyon, o iba pang anyo ng pananakot upang pilitin ang isang tao na magbigay ng pera, ari-arian, o magsagawa ng dokumento.
* **Public Officer:** Kung ang krimen ay ginawa ng isang pampublikong opisyal o empleyado, mas matindi ang parusa. **Iba pang Mga Uri ng Political Corruption:**
* **Malversation of Public Funds or Property (Artikulo 212 ng Binagong Kodigo Penal):** Isang pampublikong opisyal na maling paggamit, inililihis, o pinahihintulutan ang ibang tao na maling gamitin ang pampublikong pondo o ari-arian na ipinagkatiwala sa kanya.
* **Nepotism (Seksyon 2(c) ng Republic Act No. 3019):** Isang pampublikong opisyal na naghirang ng kamag-anak (hanggang sa ikatlong antas ng consanguinity o affinity) sa isang posisyon sa ahensya ng gobyerno kung saan siya ay may impluwensya.
* **Graft and Corrupt Practices (Republic Act No. 3019):** Tinutukoy at pinaparusahan ng batas na ito ang mas malawak na hanay ng mga katiwalian ng mga pampublikong opisyal, kabilang ang:
* Paghingi o pagtanggap ng mga regalo kapalit ng paborableng aksyon.
* Nagiging sanhi ng hindi nararapat na pinsala sa sinumang partido sa pamamagitan ng maliwanag na pagtatangi, maliwanag na masamang pananampalataya, o labis na hindi mapapatawad na kapabayaan.
* Pagpasok sa isang kontrata sa isang ahensya ng gobyerno na alam na ang partidong nagkontrata ay may kaugnayan sa kanya sa loob ng ikatlong antas ng consanguinity o affinity.
**Mahahalagang Pagsasaalang-alang:**
* Ito ay ilan lamang sa mga pinakakaraniwang anyo ng pampulitikang katiwalian. * Ang mga partikular na legal na kahulugan at mga parusa ay maaaring mag-iba depende sa mga pangyayari ng kaso. * Para sa mas detalyadong impormasyon, inirerekumenda na direktang kumonsulta sa Binagong Kodigo Penal at Republic Act No. 3019.
Sa pamamagitan ng pag-unawa sa mga legal na kahulugan na ito, ang mga mamamayan at mga opisyal ng pamahalaan ay mas mabibigyang kaalaman tungkol sa kung ano ang bumubuo sa katiwalian at ang mga potensyal na kahihinatnan ng pagsasagawa ng mga naturang aktibidad.</v>
      </c>
      <c r="F1149" s="2">
        <f t="shared" si="1"/>
        <v>0</v>
      </c>
      <c r="G1149" s="2"/>
      <c r="H1149" s="2"/>
      <c r="I1149" s="2"/>
      <c r="J1149" s="2"/>
      <c r="K1149" s="2"/>
      <c r="L1149" s="2"/>
      <c r="M1149" s="2"/>
      <c r="N1149" s="2"/>
      <c r="O1149" s="2"/>
      <c r="P1149" s="2"/>
      <c r="Q1149" s="2"/>
      <c r="R1149" s="2"/>
      <c r="S1149" s="2"/>
      <c r="T1149" s="2"/>
      <c r="U1149" s="2"/>
      <c r="V1149" s="2"/>
      <c r="W1149" s="2"/>
      <c r="X1149" s="2"/>
      <c r="Y1149" s="2"/>
      <c r="Z1149" s="2"/>
      <c r="AA1149" s="2"/>
    </row>
    <row r="1150">
      <c r="A1150" s="1" t="s">
        <v>3356</v>
      </c>
      <c r="B1150" s="1" t="s">
        <v>3465</v>
      </c>
      <c r="C1150" s="1" t="s">
        <v>3466</v>
      </c>
      <c r="D1150" s="2" t="str">
        <f>IFERROR(__xludf.DUMMYFUNCTION("GOOGLETRANSLATE(B1150, ""en"", ""TL"")"),"Ano ang papel na ginagampanan ng mga ahensya ng pagsisiyasat at tagapagpatupad ng batas sa pag-uusig sa mga kaso ng pampulitikang katiwalian?")</f>
        <v>Ano ang papel na ginagampanan ng mga ahensya ng pagsisiyasat at tagapagpatupad ng batas sa pag-uusig sa mga kaso ng pampulitikang katiwalian?</v>
      </c>
      <c r="E1150" s="2" t="str">
        <f>IFERROR(__xludf.DUMMYFUNCTION("GOOGLETRANSLATE(C1150, ""en"", ""TL"")"),"Ang mga ahensya ng imbestigasyon at tagapagpatupad ng batas ay may mahalagang papel sa pag-uusig sa mga kaso ng pampulitikang katiwalian sa Pilipinas. Narito ang isang breakdown ng kanilang mga function:
**Mga Ahensya sa Pag-iimbestiga:**
* **Opisina ng O"&amp;"mbudsman:** Ang independiyenteng katawan na ito (nilikha ng Republic Act No. 6770) ay may awtoridad na mag-imbestiga at mag-usig ng mga kaso ng katiwalian na kinasasangkutan ng mga pampublikong opisyal. Nagsasagawa sila ng mga pagtatanong, pangangalap ng "&amp;"ebidensya, at nagsampa ng mga kaso sa Sandiganbayan (anti-graft court).
* **Commission on Audit (COA):** Sinusuri ang mga ahensya ng gobyerno at tinutukoy ang mga iregularidad o potensyal na maling paggamit ng pampublikong pondo. Ang mga ulat ng COA ay ma"&amp;"aaring maging mahalagang ebidensya sa mga kaso ng katiwalian na hinahabol ng Ombudsman o iba pang ahensya.
* **National Bureau of Investigation (NBI):** Ang investigative arm na ito ng Department of Justice (DOJ) ay maaaring tawagan para tumulong sa panga"&amp;"ngalap ng ebidensya para sa mga komplikadong kaso ng katiwalian, lalo na ang mga may kinalaman sa mga krimen sa pananalapi.
**Pagpapatupad ng Batas:**
* **Philippine National Police (PNP):** Bagama't hindi direktang sangkot sa pag-uusig, ang PNP ay maaari"&amp;"ng atasan ng:
* Pagpapatupad ng mga search warrant para sa pangongolekta ng ebidensya na pinahintulutan ng mga korte.
* Paghuli sa mga indibidwal na may warrant of arrest na inisyu ng mga korte sa mga kaso ng katiwalian.
**Pagtutulungan at Koordinasyon:**"&amp;"
* Kadalasang nagtutulungan ang mga ahensyang ito sa pag-iimbestiga sa katiwalian. Ang Ombudsman ay maaaring humiling ng tulong mula sa NBI para sa mga pinansyal na imbestigasyon, habang ang PNP ay maaaring kasangkot sa pangangalap ng pisikal na ebidensya"&amp;". * Ang Department of Justice (DOJ) ay gumaganap ng isang mahalagang papel sa pag-uugnay sa mga pagsisikap na ito at maaaring magbigay ng legal na payo o mapagkukunan sa panahon ng mga pagsisiyasat.
**Mga Limitasyon at Hamon:**
* **Kakulangan ng Mga Mapag"&amp;"kukunan:** Ang mga ahensya ng pagsisiyasat ay maaaring maharap sa mga limitasyon dahil sa hindi sapat na lakas-tao o mga hadlang sa badyet.
* **Political Pressure:** Sa ilang mga kaso, ang impluwensyang pampulitika ay maaaring hadlangan ang masusing pagsi"&amp;"siyasat o pag-uusig sa mga matataas na opisyal.
**Kahalagahan ng Investigative Agencies at Law Enforcement:**
* Ang kanilang trabaho ay mahalaga para sa pangangalap ng ebidensya, pagbuo ng matitinding kaso, at pagpapanagot sa mga tiwaling opisyal.
* Sa pa"&amp;"mamagitan ng masigasig na pagsasagawa ng mga pagsisiyasat, pinipigilan nila ang hinaharap na katiwalian at itinataguyod ang transparency sa gobyerno.")</f>
        <v>Ang mga ahensya ng imbestigasyon at tagapagpatupad ng batas ay may mahalagang papel sa pag-uusig sa mga kaso ng pampulitikang katiwalian sa Pilipinas. Narito ang isang breakdown ng kanilang mga function:
**Mga Ahensya sa Pag-iimbestiga:**
* **Opisina ng Ombudsman:** Ang independiyenteng katawan na ito (nilikha ng Republic Act No. 6770) ay may awtoridad na mag-imbestiga at mag-usig ng mga kaso ng katiwalian na kinasasangkutan ng mga pampublikong opisyal. Nagsasagawa sila ng mga pagtatanong, pangangalap ng ebidensya, at nagsampa ng mga kaso sa Sandiganbayan (anti-graft court).
* **Commission on Audit (COA):** Sinusuri ang mga ahensya ng gobyerno at tinutukoy ang mga iregularidad o potensyal na maling paggamit ng pampublikong pondo. Ang mga ulat ng COA ay maaaring maging mahalagang ebidensya sa mga kaso ng katiwalian na hinahabol ng Ombudsman o iba pang ahensya.
* **National Bureau of Investigation (NBI):** Ang investigative arm na ito ng Department of Justice (DOJ) ay maaaring tawagan para tumulong sa pangangalap ng ebidensya para sa mga komplikadong kaso ng katiwalian, lalo na ang mga may kinalaman sa mga krimen sa pananalapi.
**Pagpapatupad ng Batas:**
* **Philippine National Police (PNP):** Bagama't hindi direktang sangkot sa pag-uusig, ang PNP ay maaaring atasan ng:
* Pagpapatupad ng mga search warrant para sa pangongolekta ng ebidensya na pinahintulutan ng mga korte.
* Paghuli sa mga indibidwal na may warrant of arrest na inisyu ng mga korte sa mga kaso ng katiwalian.
**Pagtutulungan at Koordinasyon:**
* Kadalasang nagtutulungan ang mga ahensyang ito sa pag-iimbestiga sa katiwalian. Ang Ombudsman ay maaaring humiling ng tulong mula sa NBI para sa mga pinansyal na imbestigasyon, habang ang PNP ay maaaring kasangkot sa pangangalap ng pisikal na ebidensya. * Ang Department of Justice (DOJ) ay gumaganap ng isang mahalagang papel sa pag-uugnay sa mga pagsisikap na ito at maaaring magbigay ng legal na payo o mapagkukunan sa panahon ng mga pagsisiyasat.
**Mga Limitasyon at Hamon:**
* **Kakulangan ng Mga Mapagkukunan:** Ang mga ahensya ng pagsisiyasat ay maaaring maharap sa mga limitasyon dahil sa hindi sapat na lakas-tao o mga hadlang sa badyet.
* **Political Pressure:** Sa ilang mga kaso, ang impluwensyang pampulitika ay maaaring hadlangan ang masusing pagsisiyasat o pag-uusig sa mga matataas na opisyal.
**Kahalagahan ng Investigative Agencies at Law Enforcement:**
* Ang kanilang trabaho ay mahalaga para sa pangangalap ng ebidensya, pagbuo ng matitinding kaso, at pagpapanagot sa mga tiwaling opisyal.
* Sa pamamagitan ng masigasig na pagsasagawa ng mga pagsisiyasat, pinipigilan nila ang hinaharap na katiwalian at itinataguyod ang transparency sa gobyerno.</v>
      </c>
      <c r="F1150" s="2">
        <f t="shared" si="1"/>
        <v>0</v>
      </c>
      <c r="G1150" s="2"/>
      <c r="H1150" s="2"/>
      <c r="I1150" s="2"/>
      <c r="J1150" s="2"/>
      <c r="K1150" s="2"/>
      <c r="L1150" s="2"/>
      <c r="M1150" s="2"/>
      <c r="N1150" s="2"/>
      <c r="O1150" s="2"/>
      <c r="P1150" s="2"/>
      <c r="Q1150" s="2"/>
      <c r="R1150" s="2"/>
      <c r="S1150" s="2"/>
      <c r="T1150" s="2"/>
      <c r="U1150" s="2"/>
      <c r="V1150" s="2"/>
      <c r="W1150" s="2"/>
      <c r="X1150" s="2"/>
      <c r="Y1150" s="2"/>
      <c r="Z1150" s="2"/>
      <c r="AA1150" s="2"/>
    </row>
    <row r="1151">
      <c r="A1151" s="1" t="s">
        <v>3356</v>
      </c>
      <c r="B1151" s="1" t="s">
        <v>3467</v>
      </c>
      <c r="C1151" s="1" t="s">
        <v>3468</v>
      </c>
      <c r="D1151" s="2" t="str">
        <f>IFERROR(__xludf.DUMMYFUNCTION("GOOGLETRANSLATE(B1151, ""en"", ""TL"")"),"Paano mapoprotektahan ng mga indibidwal ang kanilang sarili sa legal na paraan kung sila ay sumasaksi o hihilingin na lumahok sa mga tiwaling aktibidad sa pulitika?")</f>
        <v>Paano mapoprotektahan ng mga indibidwal ang kanilang sarili sa legal na paraan kung sila ay sumasaksi o hihilingin na lumahok sa mga tiwaling aktibidad sa pulitika?</v>
      </c>
      <c r="E1151" s="2" t="str">
        <f>IFERROR(__xludf.DUMMYFUNCTION("GOOGLETRANSLATE(C1151, ""en"", ""TL"")"),"Narito kung paano mapoprotektahan ng mga indibidwal sa Pilipinas ang kanilang sarili nang legal kung sila ay nakasaksi o hihilingin na lumahok sa mga tiwaling aktibidad sa pulitika:
**Pagtanggi at Dokumentasyon:**
* **Tumangging Makilahok:** May karapatan"&amp;" kang tumanggi na lumahok sa anumang tiwaling aktibidad. * **Idokumento ang Lahat:** Kung maaari, idokumento ang mga detalye ng sitwasyon. Maaaring kabilang dito ang:
* Mga petsa, oras, at lokasyon ng insidente.
* Mga pangalan at titulo ng mga kasangkot ("&amp;"kung kilala).
* Mga tala sa kung ano ang nasaksihan o hiniling (maging tiyak hangga't maaari nang hindi inilalagay ang iyong sarili sa panganib).
**Mga Channel sa Pag-uulat:**
* **Tanggapan ng Ombudsman:**
* Maghain ng reklamo sa Ombudsman online [https:/"&amp;"/en.wikipedia.org/wiki/Ombudsman_of_the_Philippines](https://en.wikipedia.org/wiki/Ombudsman_of_the_Philippines) na may mga opsyon sa anonymity. * Tawagan ang kanilang hotline (1-800-1-GO-OMB [1-800-1-46-62]) at humiling ng anonymity.
* **Mga Espesyal na "&amp;"Hotline:** * Ang mga ahensya ng gobyerno ay maaaring magkaroon ng mga hotline laban sa katiwalian na may mga opsyon sa anonymity. Tingnan ang website ng nauugnay na ahensya para sa mga detalye. * **Mga Third-Party na Organisasyon:** * Ang ilang NGO o medi"&amp;"a outlet ay maaaring tumanggap ng hindi kilalang mga ulat ng katiwalian. Magsaliksik sa mga kagalang-galang na organisasyon na may kasaysayan ng pagprotekta sa mga whistleblower.
**Mga Proteksyon sa Whistleblower:**
* **Republic Act No. 6713:** Pinoprotek"&amp;"tahan ng batas na ito ang mga whistleblower na nag-uulat ng katiwalian sa pamamagitan ng pag-aalok ng:
* Mga hakbang sa seguridad upang protektahan ang iyong pagkakakilanlan at kaligtasan.
* Legal na tulong sa panahon ng mga pagsisiyasat at paglilitis sa "&amp;"korte.
* Tulong sa pananalapi at mga benepisyo sa ilang mga kaso.
**Naghahanap ng Legal na Payo:**
* **Kumonsulta sa isang Abogado:** Ang isang abogado na dalubhasa sa proteksyon ng whistleblower ay maaaring magpayo sa iyo sa pinakamahusay na paraan ng pa"&amp;"gkilos para sa iyong partikular na sitwasyon. Matutulungan ka nila na mag-navigate sa legalidad ng pag-uulat at tiyaking matatanggap mo ang naaangkop na proteksyon sa ilalim ng batas.
**Mga Karagdagang Pagsasaalang-alang:**
* **Panatilihin ang Anonymity:*"&amp;"* Kung maaari, iwasang ibunyag ang iyong pagkakakilanlan sa mga sangkot sa tiwaling aktibidad.
* **Maging Maingat sa Komunikasyon:** Huwag pag-usapan ang sitwasyon sa mga taong maaaring magbunyag ng iyong pagkakakilanlan. * **Magtipon ng Ebidensya:** Kung"&amp;" ligtas na gawin ito, subukang mangalap ng dokumentadong patunay ng tiwaling aktibidad (sa loob ng legal na mga hangganan) upang palakasin ang iyong ulat.
**Mahalagang Tandaan:**
* Ang pag-uulat ng katiwalian ay maaaring mapanganib, ngunit ang Whistleblow"&amp;"er Protection Program ay nag-aalok ng makabuluhang mga pananggalang. * Timbangin ang mga potensyal na panganib laban sa kahalagahan ng paglalantad ng katiwalian. * Humingi ng legal na patnubay upang maunawaan ang iyong mga karapatan at magagamit na mga le"&amp;"gal na proteksyon.")</f>
        <v>Narito kung paano mapoprotektahan ng mga indibidwal sa Pilipinas ang kanilang sarili nang legal kung sila ay nakasaksi o hihilingin na lumahok sa mga tiwaling aktibidad sa pulitika:
**Pagtanggi at Dokumentasyon:**
* **Tumangging Makilahok:** May karapatan kang tumanggi na lumahok sa anumang tiwaling aktibidad. * **Idokumento ang Lahat:** Kung maaari, idokumento ang mga detalye ng sitwasyon. Maaaring kabilang dito ang:
* Mga petsa, oras, at lokasyon ng insidente.
* Mga pangalan at titulo ng mga kasangkot (kung kilala).
* Mga tala sa kung ano ang nasaksihan o hiniling (maging tiyak hangga't maaari nang hindi inilalagay ang iyong sarili sa panganib).
**Mga Channel sa Pag-uulat:**
* **Tanggapan ng Ombudsman:**
* Maghain ng reklamo sa Ombudsman online [https://en.wikipedia.org/wiki/Ombudsman_of_the_Philippines](https://en.wikipedia.org/wiki/Ombudsman_of_the_Philippines) na may mga opsyon sa anonymity. * Tawagan ang kanilang hotline (1-800-1-GO-OMB [1-800-1-46-62]) at humiling ng anonymity.
* **Mga Espesyal na Hotline:** * Ang mga ahensya ng gobyerno ay maaaring magkaroon ng mga hotline laban sa katiwalian na may mga opsyon sa anonymity. Tingnan ang website ng nauugnay na ahensya para sa mga detalye. * **Mga Third-Party na Organisasyon:** * Ang ilang NGO o media outlet ay maaaring tumanggap ng hindi kilalang mga ulat ng katiwalian. Magsaliksik sa mga kagalang-galang na organisasyon na may kasaysayan ng pagprotekta sa mga whistleblower.
**Mga Proteksyon sa Whistleblower:**
* **Republic Act No. 6713:** Pinoprotektahan ng batas na ito ang mga whistleblower na nag-uulat ng katiwalian sa pamamagitan ng pag-aalok ng:
* Mga hakbang sa seguridad upang protektahan ang iyong pagkakakilanlan at kaligtasan.
* Legal na tulong sa panahon ng mga pagsisiyasat at paglilitis sa korte.
* Tulong sa pananalapi at mga benepisyo sa ilang mga kaso.
**Naghahanap ng Legal na Payo:**
* **Kumonsulta sa isang Abogado:** Ang isang abogado na dalubhasa sa proteksyon ng whistleblower ay maaaring magpayo sa iyo sa pinakamahusay na paraan ng pagkilos para sa iyong partikular na sitwasyon. Matutulungan ka nila na mag-navigate sa legalidad ng pag-uulat at tiyaking matatanggap mo ang naaangkop na proteksyon sa ilalim ng batas.
**Mga Karagdagang Pagsasaalang-alang:**
* **Panatilihin ang Anonymity:** Kung maaari, iwasang ibunyag ang iyong pagkakakilanlan sa mga sangkot sa tiwaling aktibidad.
* **Maging Maingat sa Komunikasyon:** Huwag pag-usapan ang sitwasyon sa mga taong maaaring magbunyag ng iyong pagkakakilanlan. * **Magtipon ng Ebidensya:** Kung ligtas na gawin ito, subukang mangalap ng dokumentadong patunay ng tiwaling aktibidad (sa loob ng legal na mga hangganan) upang palakasin ang iyong ulat.
**Mahalagang Tandaan:**
* Ang pag-uulat ng katiwalian ay maaaring mapanganib, ngunit ang Whistleblower Protection Program ay nag-aalok ng makabuluhang mga pananggalang. * Timbangin ang mga potensyal na panganib laban sa kahalagahan ng paglalantad ng katiwalian. * Humingi ng legal na patnubay upang maunawaan ang iyong mga karapatan at magagamit na mga legal na proteksyon.</v>
      </c>
      <c r="F1151" s="2">
        <f t="shared" si="1"/>
        <v>0</v>
      </c>
      <c r="G1151" s="2"/>
      <c r="H1151" s="2"/>
      <c r="I1151" s="2"/>
      <c r="J1151" s="2"/>
      <c r="K1151" s="2"/>
      <c r="L1151" s="2"/>
      <c r="M1151" s="2"/>
      <c r="N1151" s="2"/>
      <c r="O1151" s="2"/>
      <c r="P1151" s="2"/>
      <c r="Q1151" s="2"/>
      <c r="R1151" s="2"/>
      <c r="S1151" s="2"/>
      <c r="T1151" s="2"/>
      <c r="U1151" s="2"/>
      <c r="V1151" s="2"/>
      <c r="W1151" s="2"/>
      <c r="X1151" s="2"/>
      <c r="Y1151" s="2"/>
      <c r="Z1151" s="2"/>
      <c r="AA1151" s="2"/>
    </row>
    <row r="1152">
      <c r="A1152" s="1" t="s">
        <v>3356</v>
      </c>
      <c r="B1152" s="1" t="s">
        <v>3469</v>
      </c>
      <c r="C1152" s="1" t="s">
        <v>3470</v>
      </c>
      <c r="D1152" s="2" t="str">
        <f>IFERROR(__xludf.DUMMYFUNCTION("GOOGLETRANSLATE(B1152, ""en"", ""TL"")"),"Maaari bang magsampa ng mga kasong sibil ang mga mamamayan laban sa mga pulitiko o mga opisyal ng gobyerno na inakusahan ng sangkot sa mga katiwalian?")</f>
        <v>Maaari bang magsampa ng mga kasong sibil ang mga mamamayan laban sa mga pulitiko o mga opisyal ng gobyerno na inakusahan ng sangkot sa mga katiwalian?</v>
      </c>
      <c r="E1152" s="2" t="str">
        <f>IFERROR(__xludf.DUMMYFUNCTION("GOOGLETRANSLATE(C1152, ""en"", ""TL"")"),"Oo, ang mga mamamayan sa Pilipinas ay maaaring magsampa ng mga kasong sibil laban sa mga pulitiko o mga opisyal ng gobyerno na inakusahan ng nasangkot sa mga katiwalian. Kasama sa legal na balangkas para sa mga naturang kaso ang iba't ibang batas at prins"&amp;"ipyo na naglalayong isulong ang pananagutan at maiwasan ang katiwalian. Narito ang ilang mahahalagang punto:
1. **Republic Act No. 3019 (Anti-Graft and Corrupt Practices Act):**
- Ang batas na ito ay tumutukoy at nagpaparusa sa mga katiwaliang gawain na g"&amp;"inawa ng mga pampublikong opisyal. Ang Seksyon 4 ng RA 3019 ay nagtatadhana ng pananagutan sibil, na nagpapahintulot sa sinumang tao na nakaranas ng anumang pinsala bilang resulta ng tiwaling pagkilos na maghain ng sibil na aksyon para sa pagbawi ng mga p"&amp;"insala.
2. **Republic Act No. 6713 (Code of Conduct and Ethical Standards for Public Officials and Employees):**
- Ang RA 6713 ay nagtatatag ng Code of Conduct para sa mga pampublikong opisyal at empleyado, na nagbabalangkas ng mga pamantayan at prinsipyo"&amp;" ng etika. Ang mga paglabag sa code na ito ay maaaring humantong sa administratibo at sibil na pananagutan. Ang mga indibidwal na maaaring magpakita na sila ay dumanas ng mga pinsala dahil sa paglabag ng isang pampublikong opisyal sa mga pamantayang etika"&amp;"l ay maaaring magsampa ng mga kasong sibil para sa pagbawi ng mga pinsala.
3. **Mga Pag-aangkin laban sa Mga Pampublikong Opisyal:**
- Ang mga mamamayan ay maaaring magsampa ng mga kasong sibil batay sa mga paghahabol ng tort, tulad ng kapabayaan, pag-abu"&amp;"so sa awtoridad, o paglabag sa mga karapatan sa konstitusyon, laban sa mga pampublikong opisyal na inakusahan ng mga katiwalian. Ang mga demanda na ito ay humihingi ng kabayaran para sa mga pinsalang bunga ng mga maling aksyon ng mga opisyal ng gobyerno.
"&amp;"4. **Mga Pagkilos sa Qui Tam:**
- Ang Qui tam actions, na kilala rin bilang whistleblower lawsuits, ay nagpapahintulot sa mga pribadong indibidwal na magsampa ng mga kaso sa ngalan ng pamahalaan laban sa mga sangkot sa pandaraya o katiwalian. Kung matagum"&amp;"pay, ang whistleblower ay maaaring may karapatan sa isang bahagi ng mga nabawi na pinsala.
5. **Mga Paghahabla sa Class Action:**
- Sa ilang partikular na kaso kung saan maraming indibidwal ang naapektuhan ng parehong mga tiwaling gawi, maaaring tuklasin "&amp;"ng mga mamamayan ang posibilidad na magsampa ng mga kaso ng class action. Nagbibigay-daan ito sa isang grupo ng mga nagsasakdal na sama-samang humingi ng mga legal na remedyo.
Mahalaga para sa mga indibidwal na isinasaalang-alang ang mga sibil na demanda "&amp;"na kumunsulta sa mga legal na propesyonal upang masuri ang posibilidad ng kanilang kaso, mangalap ng ebidensya, at mag-navigate sa legal na proseso. Ang mga kasong sibil ay maaaring umakma sa mga paglilitis sa kriminal o mga aksyong administratibo, na nag"&amp;"bibigay ng paraan para sa mga mamamayan na humingi ng kabayaran para sa mga pinsala na nagreresulta mula sa mga tiwaling gawain. Bukod pa rito, ang tagumpay ng naturang mga demanda ay nakasalalay sa lakas ng ebidensya at pagsunod sa mga legal na pamamaraa"&amp;"n.")</f>
        <v>Oo, ang mga mamamayan sa Pilipinas ay maaaring magsampa ng mga kasong sibil laban sa mga pulitiko o mga opisyal ng gobyerno na inakusahan ng nasangkot sa mga katiwalian. Kasama sa legal na balangkas para sa mga naturang kaso ang iba't ibang batas at prinsipyo na naglalayong isulong ang pananagutan at maiwasan ang katiwalian. Narito ang ilang mahahalagang punto:
1. **Republic Act No. 3019 (Anti-Graft and Corrupt Practices Act):**
- Ang batas na ito ay tumutukoy at nagpaparusa sa mga katiwaliang gawain na ginawa ng mga pampublikong opisyal. Ang Seksyon 4 ng RA 3019 ay nagtatadhana ng pananagutan sibil, na nagpapahintulot sa sinumang tao na nakaranas ng anumang pinsala bilang resulta ng tiwaling pagkilos na maghain ng sibil na aksyon para sa pagbawi ng mga pinsala.
2. **Republic Act No. 6713 (Code of Conduct and Ethical Standards for Public Officials and Employees):**
- Ang RA 6713 ay nagtatatag ng Code of Conduct para sa mga pampublikong opisyal at empleyado, na nagbabalangkas ng mga pamantayan at prinsipyo ng etika. Ang mga paglabag sa code na ito ay maaaring humantong sa administratibo at sibil na pananagutan. Ang mga indibidwal na maaaring magpakita na sila ay dumanas ng mga pinsala dahil sa paglabag ng isang pampublikong opisyal sa mga pamantayang etikal ay maaaring magsampa ng mga kasong sibil para sa pagbawi ng mga pinsala.
3. **Mga Pag-aangkin laban sa Mga Pampublikong Opisyal:**
- Ang mga mamamayan ay maaaring magsampa ng mga kasong sibil batay sa mga paghahabol ng tort, tulad ng kapabayaan, pag-abuso sa awtoridad, o paglabag sa mga karapatan sa konstitusyon, laban sa mga pampublikong opisyal na inakusahan ng mga katiwalian. Ang mga demanda na ito ay humihingi ng kabayaran para sa mga pinsalang bunga ng mga maling aksyon ng mga opisyal ng gobyerno.
4. **Mga Pagkilos sa Qui Tam:**
- Ang Qui tam actions, na kilala rin bilang whistleblower lawsuits, ay nagpapahintulot sa mga pribadong indibidwal na magsampa ng mga kaso sa ngalan ng pamahalaan laban sa mga sangkot sa pandaraya o katiwalian. Kung matagumpay, ang whistleblower ay maaaring may karapatan sa isang bahagi ng mga nabawi na pinsala.
5. **Mga Paghahabla sa Class Action:**
- Sa ilang partikular na kaso kung saan maraming indibidwal ang naapektuhan ng parehong mga tiwaling gawi, maaaring tuklasin ng mga mamamayan ang posibilidad na magsampa ng mga kaso ng class action. Nagbibigay-daan ito sa isang grupo ng mga nagsasakdal na sama-samang humingi ng mga legal na remedyo.
Mahalaga para sa mga indibidwal na isinasaalang-alang ang mga sibil na demanda na kumunsulta sa mga legal na propesyonal upang masuri ang posibilidad ng kanilang kaso, mangalap ng ebidensya, at mag-navigate sa legal na proseso. Ang mga kasong sibil ay maaaring umakma sa mga paglilitis sa kriminal o mga aksyong administratibo, na nagbibigay ng paraan para sa mga mamamayan na humingi ng kabayaran para sa mga pinsala na nagreresulta mula sa mga tiwaling gawain. Bukod pa rito, ang tagumpay ng naturang mga demanda ay nakasalalay sa lakas ng ebidensya at pagsunod sa mga legal na pamamaraan.</v>
      </c>
      <c r="F1152" s="2">
        <f t="shared" si="1"/>
        <v>0</v>
      </c>
      <c r="G1152" s="2"/>
      <c r="H1152" s="2"/>
      <c r="I1152" s="2"/>
      <c r="J1152" s="2"/>
      <c r="K1152" s="2"/>
      <c r="L1152" s="2"/>
      <c r="M1152" s="2"/>
      <c r="N1152" s="2"/>
      <c r="O1152" s="2"/>
      <c r="P1152" s="2"/>
      <c r="Q1152" s="2"/>
      <c r="R1152" s="2"/>
      <c r="S1152" s="2"/>
      <c r="T1152" s="2"/>
      <c r="U1152" s="2"/>
      <c r="V1152" s="2"/>
      <c r="W1152" s="2"/>
      <c r="X1152" s="2"/>
      <c r="Y1152" s="2"/>
      <c r="Z1152" s="2"/>
      <c r="AA1152" s="2"/>
    </row>
    <row r="1153">
      <c r="A1153" s="1" t="s">
        <v>3356</v>
      </c>
      <c r="B1153" s="1" t="s">
        <v>3471</v>
      </c>
      <c r="C1153" s="1" t="s">
        <v>3472</v>
      </c>
      <c r="D1153" s="2" t="str">
        <f>IFERROR(__xludf.DUMMYFUNCTION("GOOGLETRANSLATE(B1153, ""en"", ""TL"")"),"Anong legal na paraan ang mayroon ang mga mamamayan kung naniniwala sila na ang kanilang boto ay naiimpluwensyahan ng pampulitikang katiwalian?")</f>
        <v>Anong legal na paraan ang mayroon ang mga mamamayan kung naniniwala sila na ang kanilang boto ay naiimpluwensyahan ng pampulitikang katiwalian?</v>
      </c>
      <c r="E1153" s="2" t="str">
        <f>IFERROR(__xludf.DUMMYFUNCTION("GOOGLETRANSLATE(C1153, ""en"", ""TL"")"),"Kung naniniwala ang mga mamamayan na ang kanilang mga boto ay naimpluwensyahan ng pampulitikang katiwalian, maaari silang magkaroon ng legal na paraan upang matugunan ang sitwasyon. Ang mga pangunahing legal na paraan para sa mga mamamayang nababahala tun"&amp;"gkol sa integridad ng proseso ng elektoral ay kinabibilangan ng:
1. **Mga Paligsahan sa Halalan:**
- Ang mga mamamayan ay maaaring maghain ng mga paligsahan sa halalan sa mga tamang tribunal upang hamunin ang mga resulta ng isang halalan. Ang mga paligsah"&amp;"an sa halalan ay karaniwang nagsasangkot ng mga paratang ng mga iregularidad, pandaraya, o katiwalian na maaaring nakaapekto sa kinalabasan. Ang mga electoral tribunal, tulad ng Presidential Electoral Tribunal (PET) para sa mga pambansang posisyon o lokal"&amp;" na canvassing board para sa mga lokal na posisyon, ay may awtoridad na mag-imbestiga at humatol sa mga hindi pagkakaunawaan sa halalan.
2. **Mga Petisyon para sa Annulment o Deklarasyon ng Nullity:**
- Sa ilang mga kaso, ang mga mamamayan ay maaaring hum"&amp;"ingi ng pagpapawalang-bisa o pagdeklara ng walang bisa ng isang halalan kung maaari silang magbigay ng malaking ebidensya ng katiwalian o mga iregularidad na makabuluhang nakaapekto sa mga resulta. Ang legal na aksyong ito ay karaniwang batay sa mga parti"&amp;"kular na batayan na nakabalangkas sa mga batas sa halalan.
3. **Mga Reklamo sa Commission on Elections (COMELEC):**
- Ang COMELEC ay ang katawan na responsable sa pangangasiwa at pangangasiwa ng mga halalan sa Pilipinas. Maaaring magsampa ng reklamo ang m"&amp;"ga mamamayan sa COMELEC, na nagbibigay ng ebidensya ng mga iregularidad, katiwalian, o paglabag sa mga batas sa halalan. Ang COMELEC ay may awtoridad na mag-imbestiga at gumawa ng kaukulang aksyon.
4. **Mga Batas Laban sa Korupsyon:**
- Ang mga paratang n"&amp;"g katiwalian sa proseso ng elektoral ay maaari ding tugunan sa ilalim ng mga batas laban sa katiwalian, gaya ng Anti-Graft and Corrupt Practices Act (Republic Act No. 3019). Ang mga indibidwal na napatunayang nagkasala ng mga katiwalian na may kaugnayan s"&amp;"a halalan ay maaaring maharap sa mga kasong kriminal at parusa.
5. **Mga Reklamo sa Ombudsman:**
- Ang mga mamamayan ay maaaring magsampa ng mga reklamo sa Opisina ng Ombudsman, isang independiyenteng katawan na may katungkulan sa pag-iimbestiga at pag-uu"&amp;"sig sa mga opisyal ng gobyerno para sa mga gawain ng katiwalian, kabilang ang mga nauugnay sa halalan.
Napakahalaga para sa mga mamamayan na naniniwala na ang kanilang mga boto ay naimpluwensyahan ng pampulitikang katiwalian na mangalap ng ebidensya at hu"&amp;"mingi kaagad ng legal na payo. Ang mga partikular na legal na proseso at remedyo ay maaaring mag-iba depende sa uri ng mga paratang at sa antas ng halalan (pambansa o lokal). Ang mga legal na propesyonal ay maaaring magbigay ng patnubay sa mga naaangkop n"&amp;"a legal na aksyon at ang mga pamamaraan na dapat sundin upang matugunan ang mga alalahanin tungkol sa integridad ng elektoral.")</f>
        <v>Kung naniniwala ang mga mamamayan na ang kanilang mga boto ay naimpluwensyahan ng pampulitikang katiwalian, maaari silang magkaroon ng legal na paraan upang matugunan ang sitwasyon. Ang mga pangunahing legal na paraan para sa mga mamamayang nababahala tungkol sa integridad ng proseso ng elektoral ay kinabibilangan ng:
1. **Mga Paligsahan sa Halalan:**
- Ang mga mamamayan ay maaaring maghain ng mga paligsahan sa halalan sa mga tamang tribunal upang hamunin ang mga resulta ng isang halalan. Ang mga paligsahan sa halalan ay karaniwang nagsasangkot ng mga paratang ng mga iregularidad, pandaraya, o katiwalian na maaaring nakaapekto sa kinalabasan. Ang mga electoral tribunal, tulad ng Presidential Electoral Tribunal (PET) para sa mga pambansang posisyon o lokal na canvassing board para sa mga lokal na posisyon, ay may awtoridad na mag-imbestiga at humatol sa mga hindi pagkakaunawaan sa halalan.
2. **Mga Petisyon para sa Annulment o Deklarasyon ng Nullity:**
- Sa ilang mga kaso, ang mga mamamayan ay maaaring humingi ng pagpapawalang-bisa o pagdeklara ng walang bisa ng isang halalan kung maaari silang magbigay ng malaking ebidensya ng katiwalian o mga iregularidad na makabuluhang nakaapekto sa mga resulta. Ang legal na aksyong ito ay karaniwang batay sa mga partikular na batayan na nakabalangkas sa mga batas sa halalan.
3. **Mga Reklamo sa Commission on Elections (COMELEC):**
- Ang COMELEC ay ang katawan na responsable sa pangangasiwa at pangangasiwa ng mga halalan sa Pilipinas. Maaaring magsampa ng reklamo ang mga mamamayan sa COMELEC, na nagbibigay ng ebidensya ng mga iregularidad, katiwalian, o paglabag sa mga batas sa halalan. Ang COMELEC ay may awtoridad na mag-imbestiga at gumawa ng kaukulang aksyon.
4. **Mga Batas Laban sa Korupsyon:**
- Ang mga paratang ng katiwalian sa proseso ng elektoral ay maaari ding tugunan sa ilalim ng mga batas laban sa katiwalian, gaya ng Anti-Graft and Corrupt Practices Act (Republic Act No. 3019). Ang mga indibidwal na napatunayang nagkasala ng mga katiwalian na may kaugnayan sa halalan ay maaaring maharap sa mga kasong kriminal at parusa.
5. **Mga Reklamo sa Ombudsman:**
- Ang mga mamamayan ay maaaring magsampa ng mga reklamo sa Opisina ng Ombudsman, isang independiyenteng katawan na may katungkulan sa pag-iimbestiga at pag-uusig sa mga opisyal ng gobyerno para sa mga gawain ng katiwalian, kabilang ang mga nauugnay sa halalan.
Napakahalaga para sa mga mamamayan na naniniwala na ang kanilang mga boto ay naimpluwensyahan ng pampulitikang katiwalian na mangalap ng ebidensya at humingi kaagad ng legal na payo. Ang mga partikular na legal na proseso at remedyo ay maaaring mag-iba depende sa uri ng mga paratang at sa antas ng halalan (pambansa o lokal). Ang mga legal na propesyonal ay maaaring magbigay ng patnubay sa mga naaangkop na legal na aksyon at ang mga pamamaraan na dapat sundin upang matugunan ang mga alalahanin tungkol sa integridad ng elektoral.</v>
      </c>
      <c r="F1153" s="2">
        <f t="shared" si="1"/>
        <v>0</v>
      </c>
      <c r="G1153" s="2"/>
      <c r="H1153" s="2"/>
      <c r="I1153" s="2"/>
      <c r="J1153" s="2"/>
      <c r="K1153" s="2"/>
      <c r="L1153" s="2"/>
      <c r="M1153" s="2"/>
      <c r="N1153" s="2"/>
      <c r="O1153" s="2"/>
      <c r="P1153" s="2"/>
      <c r="Q1153" s="2"/>
      <c r="R1153" s="2"/>
      <c r="S1153" s="2"/>
      <c r="T1153" s="2"/>
      <c r="U1153" s="2"/>
      <c r="V1153" s="2"/>
      <c r="W1153" s="2"/>
      <c r="X1153" s="2"/>
      <c r="Y1153" s="2"/>
      <c r="Z1153" s="2"/>
      <c r="AA1153" s="2"/>
    </row>
    <row r="1154">
      <c r="A1154" s="1" t="s">
        <v>3356</v>
      </c>
      <c r="B1154" s="1" t="s">
        <v>3473</v>
      </c>
      <c r="C1154" s="1" t="s">
        <v>3474</v>
      </c>
      <c r="D1154" s="2" t="str">
        <f>IFERROR(__xludf.DUMMYFUNCTION("GOOGLETRANSLATE(B1154, ""en"", ""TL"")"),"Mayroon bang mga proteksyon sa whistleblower para sa mga indibidwal na nag-uulat ng mga pagkakataon ng pampulitikang katiwalian?")</f>
        <v>Mayroon bang mga proteksyon sa whistleblower para sa mga indibidwal na nag-uulat ng mga pagkakataon ng pampulitikang katiwalian?</v>
      </c>
      <c r="E1154" s="2" t="str">
        <f>IFERROR(__xludf.DUMMYFUNCTION("GOOGLETRANSLATE(C1154, ""en"", ""TL"")"),"Oo, ang Pilipinas ay may mga batas sa proteksyon ng whistleblower na naglalayong hikayatin ang mga indibidwal na mag-ulat ng mga pagkakataon ng katiwalian at malfeasance nang walang takot sa paghihiganti. Ang isang pangunahing instrumento sa pambatasan na"&amp;" nagbibigay ng proteksyon sa whistleblower ay ang Republic Act No. 6713, na kilala rin bilang ""Code of Conduct and Ethical Standards for Public Officials and Employees."" Habang ang pangunahing pokus ng RA 6713 ay sa pag-uugali ng mga pampublikong opisya"&amp;"l, kabilang dito ang mga probisyon na nagpoprotekta sa mga whistleblower.
Narito ang mga pangunahing punto tungkol sa mga proteksyon ng whistleblower sa Pilipinas:
1. **Proteksyon Laban sa Paghihiganti:**
- Ang Seksyon 4 ng RA 6713 ay tahasang nagbibigay "&amp;"ng proteksyon para sa mga empleyado ng gobyerno na nagbubunyag ng impormasyon sa mga ilegal na aktibidad, kabilang ang katiwalian. Ang mga whistleblower ay protektado mula sa anumang paraan ng paghihiganti o paghihiganti ng kanilang mga superyor o kasamah"&amp;"an.
2. **Pagiging Kumpidensyal ng Pagkakakilanlan:**
- Kinikilala ng batas ang kahalagahan ng pagpapanatili ng pagiging kompidensiyal ng pagkakakilanlan ng whistleblower. Ipinagbabawal nito ang pagsisiwalat ng pagkakakilanlan ng whistleblower nang walang "&amp;"pahintulot nila, maliban kung iniutos ng korte o sa panahon ng imbestigasyon.
3. **Access to Disciplinary Action:**
- Ang mga whistleblower na nagbubunyag ng impormasyon nang may mabuting hangarin ay protektado kahit na ang isiniwalat na impormasyon ay lu"&amp;"mabas na hindi tama. Kinikilala ng batas ang kahalagahan ng paghikayat sa mga indibidwal na mag-ulat nang walang takot sa mga hindi nararapat na aksyong pandisiplina.
4. **Kriminal na Pananagutan para sa Paghihiganti:**
- Sinumang pampublikong opisyal o e"&amp;"mpleyado na napatunayang nagkasala ng paglabag sa mga probisyon ng RA 6713, kabilang ang paghihiganti laban sa isang whistleblower, ay maaaring maharap sa kriminal na pananagutan.
5. **Mga Batas sa Anti-Graft and Corruption:**
- Bilang karagdagan sa RA 67"&amp;"13, tinutugunan din ng Republic Act No. 3019 (Anti-Graft and Corrupt Practices Act) ang mga katiwalian, at ang mga whistleblower na nagbibigay ng impormasyon na may kaugnayan sa mga gawaing tiwaling ay karaniwang pinoprotektahan.
Mahalagang tandaan na hab"&amp;"ang may mga legal na proteksyon para sa mga whistleblower, ang bisa ng mga proteksyong ito ay maaaring depende sa iba't ibang salik, kabilang ang wastong pagpapatupad at pagpapatupad ng mga batas. Ang mga indibidwal na isinasaalang-alang ang pagsipol sa p"&amp;"ampulitikang katiwalian ay dapat ding magkaroon ng kamalayan sa mga partikular na pamamaraan at mga channel na itinatag ng mga nauugnay na ahensya para sa pag-uulat ng naturang impormasyon. Ang paghingi ng legal na payo bago gumawa ng anumang hakbang ay i"&amp;"pinapayong matiyak ang wastong proteksyon at pagsunod sa batas.")</f>
        <v>Oo, ang Pilipinas ay may mga batas sa proteksyon ng whistleblower na naglalayong hikayatin ang mga indibidwal na mag-ulat ng mga pagkakataon ng katiwalian at malfeasance nang walang takot sa paghihiganti. Ang isang pangunahing instrumento sa pambatasan na nagbibigay ng proteksyon sa whistleblower ay ang Republic Act No. 6713, na kilala rin bilang "Code of Conduct and Ethical Standards for Public Officials and Employees." Habang ang pangunahing pokus ng RA 6713 ay sa pag-uugali ng mga pampublikong opisyal, kabilang dito ang mga probisyon na nagpoprotekta sa mga whistleblower.
Narito ang mga pangunahing punto tungkol sa mga proteksyon ng whistleblower sa Pilipinas:
1. **Proteksyon Laban sa Paghihiganti:**
- Ang Seksyon 4 ng RA 6713 ay tahasang nagbibigay ng proteksyon para sa mga empleyado ng gobyerno na nagbubunyag ng impormasyon sa mga ilegal na aktibidad, kabilang ang katiwalian. Ang mga whistleblower ay protektado mula sa anumang paraan ng paghihiganti o paghihiganti ng kanilang mga superyor o kasamahan.
2. **Pagiging Kumpidensyal ng Pagkakakilanlan:**
- Kinikilala ng batas ang kahalagahan ng pagpapanatili ng pagiging kompidensiyal ng pagkakakilanlan ng whistleblower. Ipinagbabawal nito ang pagsisiwalat ng pagkakakilanlan ng whistleblower nang walang pahintulot nila, maliban kung iniutos ng korte o sa panahon ng imbestigasyon.
3. **Access to Disciplinary Action:**
- Ang mga whistleblower na nagbubunyag ng impormasyon nang may mabuting hangarin ay protektado kahit na ang isiniwalat na impormasyon ay lumabas na hindi tama. Kinikilala ng batas ang kahalagahan ng paghikayat sa mga indibidwal na mag-ulat nang walang takot sa mga hindi nararapat na aksyong pandisiplina.
4. **Kriminal na Pananagutan para sa Paghihiganti:**
- Sinumang pampublikong opisyal o empleyado na napatunayang nagkasala ng paglabag sa mga probisyon ng RA 6713, kabilang ang paghihiganti laban sa isang whistleblower, ay maaaring maharap sa kriminal na pananagutan.
5. **Mga Batas sa Anti-Graft and Corruption:**
- Bilang karagdagan sa RA 6713, tinutugunan din ng Republic Act No. 3019 (Anti-Graft and Corrupt Practices Act) ang mga katiwalian, at ang mga whistleblower na nagbibigay ng impormasyon na may kaugnayan sa mga gawaing tiwaling ay karaniwang pinoprotektahan.
Mahalagang tandaan na habang may mga legal na proteksyon para sa mga whistleblower, ang bisa ng mga proteksyong ito ay maaaring depende sa iba't ibang salik, kabilang ang wastong pagpapatupad at pagpapatupad ng mga batas. Ang mga indibidwal na isinasaalang-alang ang pagsipol sa pampulitikang katiwalian ay dapat ding magkaroon ng kamalayan sa mga partikular na pamamaraan at mga channel na itinatag ng mga nauugnay na ahensya para sa pag-uulat ng naturang impormasyon. Ang paghingi ng legal na payo bago gumawa ng anumang hakbang ay ipinapayong matiyak ang wastong proteksyon at pagsunod sa batas.</v>
      </c>
      <c r="F1154" s="2">
        <f t="shared" si="1"/>
        <v>0</v>
      </c>
      <c r="G1154" s="2"/>
      <c r="H1154" s="2"/>
      <c r="I1154" s="2"/>
      <c r="J1154" s="2"/>
      <c r="K1154" s="2"/>
      <c r="L1154" s="2"/>
      <c r="M1154" s="2"/>
      <c r="N1154" s="2"/>
      <c r="O1154" s="2"/>
      <c r="P1154" s="2"/>
      <c r="Q1154" s="2"/>
      <c r="R1154" s="2"/>
      <c r="S1154" s="2"/>
      <c r="T1154" s="2"/>
      <c r="U1154" s="2"/>
      <c r="V1154" s="2"/>
      <c r="W1154" s="2"/>
      <c r="X1154" s="2"/>
      <c r="Y1154" s="2"/>
      <c r="Z1154" s="2"/>
      <c r="AA1154" s="2"/>
    </row>
    <row r="1155">
      <c r="A1155" s="1" t="s">
        <v>3356</v>
      </c>
      <c r="B1155" s="1" t="s">
        <v>3475</v>
      </c>
      <c r="C1155" s="1" t="s">
        <v>3476</v>
      </c>
      <c r="D1155" s="2" t="str">
        <f>IFERROR(__xludf.DUMMYFUNCTION("GOOGLETRANSLATE(B1155, ""en"", ""TL"")"),"Paano maiuulat ng mga indibidwal ang mga pinaghihinalaang kaso ng korapsyon sa pulitika habang pinapanatili ang kanilang hindi pagkakilala at proteksyon mula sa paghihiganti?")</f>
        <v>Paano maiuulat ng mga indibidwal ang mga pinaghihinalaang kaso ng korapsyon sa pulitika habang pinapanatili ang kanilang hindi pagkakilala at proteksyon mula sa paghihiganti?</v>
      </c>
      <c r="E1155" s="2" t="str">
        <f>IFERROR(__xludf.DUMMYFUNCTION("GOOGLETRANSLATE(C1155, ""en"", ""TL"")"),"Narito ang ilang paraan para makapag-ulat ang mga indibidwal sa Pilipinas ng pinaghihinalaang korapsyon sa pulitika habang pinapanatili ang hindi pagkakilala at proteksyon mula sa paghihiganti:
**Pag-uulat ng Mga Channel na may Mga Opsyon sa Anonymity:**
"&amp;"* **Opisina ng Ombudsman:** * Ang website ng Ombudsman [https://en.wikipedia.org/wiki/Ombudsman_of_the_Philippines](https://en.wikipedia.org/wiki/Ombudsman_of_the_Philippines) ay nag-aalok ng online na pag-uulat na may opsyon upang magsumite ng mga reklam"&amp;"o nang hindi nagpapakilala. * Maaari mo ring tawagan ang kanilang hotline (1-800-1-GO-OMB [1-800-1-46-62]) at humiling ng anonymity. * **Mga Espesyal na Hotline:** * Ang mga ahensya ng gobyerno ay maaaring magkaroon ng mga hotline laban sa katiwalian na m"&amp;"ay mga opsyon sa anonymity. Tingnan ang website ng nauugnay na ahensya para sa mga detalye. * **Mga Third-Party na Organisasyon:** * Ang ilang NGO o media outlet ay maaaring tumanggap ng hindi kilalang mga ulat ng katiwalian. Magsaliksik sa mga kagalang-g"&amp;"alang na organisasyon na may kasaysayan ng pagprotekta sa mga whistleblower.
**Pagpapanatili ng Anonymity Habang Nag-uulat:**
* **Iwasang magsama ng personal na nakakapagpakilalang impormasyon:** Kapag nagsusumite ng mga online na reklamo, huwag isama ang"&amp;" iyong pangalan, address, o mga detalye sa pakikipag-ugnayan.
* **Gumamit ng secure na koneksyon:** Kung nag-a-access sa mga website ng pag-uulat, tiyakin ang isang secure na koneksyon sa internet upang mabawasan ang panganib na may sumusubaybay sa iyong "&amp;"aktibidad.
* **Maging maingat sa pakikipag-usap:** Iwasang talakayin ang ulat sa mga taong maaaring magbunyag ng iyong pagkakakilanlan.
**Proteksyon mula sa Paghihiganti:**
* **Whistleblower Protection Program:** Ang Republic Act No. 6713 ay nag-aalok ng "&amp;"proteksyon at mga benepisyo sa mga whistleblower na nag-uulat ng katiwalian. * **Maingat na Magdokumento ng Ebidensya:** Magtipon at magpanatili ng dokumentadong patunay ng di-umano'y katiwalian (sa loob ng legal na mga hangganan) upang palakasin ang iyon"&amp;"g ulat at protektahan ang iyong sarili sa kaso ng mga pagtatangka sa pagganti.
* **Kumonsulta sa isang Abogado:** Ang isang abogado na dalubhasa sa proteksyon ng whistleblower ay maaaring magpayo sa iyo sa pinakamahusay na paraan ng pagkilos para sa iyong"&amp;" partikular na sitwasyon.
**Mahahalagang Pagsasaalang-alang:**
* **Ang mga hindi nagpapakilalang ulat ay maaaring mangailangan ng mas matibay na ebidensya:** Dahil hindi ka direktang makapanayam ng mga investigator, ang pagbibigay ng detalyado at napapatu"&amp;"nayang ebidensya ay napakahalaga. * **Maaaring magkaroon ng mga kahihinatnan ang mga maling akusasyon:** Tiyaking nakabatay ang iyong ulat sa mabuting loob at iwasang gumawa ng mga hindi napapatunayang paghahabol.
**Tandaan:** Bagama't maaaring mag-alok n"&amp;"g ilang proteksyon ang anonymity, hindi ito palya. Isaalang-alang ang mga potensyal na panganib at timbangin ang mga ito laban sa kahalagahan ng pag-uulat ng katiwalian.")</f>
        <v>Narito ang ilang paraan para makapag-ulat ang mga indibidwal sa Pilipinas ng pinaghihinalaang korapsyon sa pulitika habang pinapanatili ang hindi pagkakilala at proteksyon mula sa paghihiganti:
**Pag-uulat ng Mga Channel na may Mga Opsyon sa Anonymity:**
* **Opisina ng Ombudsman:** * Ang website ng Ombudsman [https://en.wikipedia.org/wiki/Ombudsman_of_the_Philippines](https://en.wikipedia.org/wiki/Ombudsman_of_the_Philippines) ay nag-aalok ng online na pag-uulat na may opsyon upang magsumite ng mga reklamo nang hindi nagpapakilala. * Maaari mo ring tawagan ang kanilang hotline (1-800-1-GO-OMB [1-800-1-46-62]) at humiling ng anonymity. * **Mga Espesyal na Hotline:** * Ang mga ahensya ng gobyerno ay maaaring magkaroon ng mga hotline laban sa katiwalian na may mga opsyon sa anonymity. Tingnan ang website ng nauugnay na ahensya para sa mga detalye. * **Mga Third-Party na Organisasyon:** * Ang ilang NGO o media outlet ay maaaring tumanggap ng hindi kilalang mga ulat ng katiwalian. Magsaliksik sa mga kagalang-galang na organisasyon na may kasaysayan ng pagprotekta sa mga whistleblower.
**Pagpapanatili ng Anonymity Habang Nag-uulat:**
* **Iwasang magsama ng personal na nakakapagpakilalang impormasyon:** Kapag nagsusumite ng mga online na reklamo, huwag isama ang iyong pangalan, address, o mga detalye sa pakikipag-ugnayan.
* **Gumamit ng secure na koneksyon:** Kung nag-a-access sa mga website ng pag-uulat, tiyakin ang isang secure na koneksyon sa internet upang mabawasan ang panganib na may sumusubaybay sa iyong aktibidad.
* **Maging maingat sa pakikipag-usap:** Iwasang talakayin ang ulat sa mga taong maaaring magbunyag ng iyong pagkakakilanlan.
**Proteksyon mula sa Paghihiganti:**
* **Whistleblower Protection Program:** Ang Republic Act No. 6713 ay nag-aalok ng proteksyon at mga benepisyo sa mga whistleblower na nag-uulat ng katiwalian. * **Maingat na Magdokumento ng Ebidensya:** Magtipon at magpanatili ng dokumentadong patunay ng di-umano'y katiwalian (sa loob ng legal na mga hangganan) upang palakasin ang iyong ulat at protektahan ang iyong sarili sa kaso ng mga pagtatangka sa pagganti.
* **Kumonsulta sa isang Abogado:** Ang isang abogado na dalubhasa sa proteksyon ng whistleblower ay maaaring magpayo sa iyo sa pinakamahusay na paraan ng pagkilos para sa iyong partikular na sitwasyon.
**Mahahalagang Pagsasaalang-alang:**
* **Ang mga hindi nagpapakilalang ulat ay maaaring mangailangan ng mas matibay na ebidensya:** Dahil hindi ka direktang makapanayam ng mga investigator, ang pagbibigay ng detalyado at napapatunayang ebidensya ay napakahalaga. * **Maaaring magkaroon ng mga kahihinatnan ang mga maling akusasyon:** Tiyaking nakabatay ang iyong ulat sa mabuting loob at iwasang gumawa ng mga hindi napapatunayang paghahabol.
**Tandaan:** Bagama't maaaring mag-alok ng ilang proteksyon ang anonymity, hindi ito palya. Isaalang-alang ang mga potensyal na panganib at timbangin ang mga ito laban sa kahalagahan ng pag-uulat ng katiwalian.</v>
      </c>
      <c r="F1155" s="2">
        <f t="shared" si="1"/>
        <v>0</v>
      </c>
      <c r="G1155" s="2"/>
      <c r="H1155" s="2"/>
      <c r="I1155" s="2"/>
      <c r="J1155" s="2"/>
      <c r="K1155" s="2"/>
      <c r="L1155" s="2"/>
      <c r="M1155" s="2"/>
      <c r="N1155" s="2"/>
      <c r="O1155" s="2"/>
      <c r="P1155" s="2"/>
      <c r="Q1155" s="2"/>
      <c r="R1155" s="2"/>
      <c r="S1155" s="2"/>
      <c r="T1155" s="2"/>
      <c r="U1155" s="2"/>
      <c r="V1155" s="2"/>
      <c r="W1155" s="2"/>
      <c r="X1155" s="2"/>
      <c r="Y1155" s="2"/>
      <c r="Z1155" s="2"/>
      <c r="AA1155" s="2"/>
    </row>
    <row r="1156">
      <c r="A1156" s="1" t="s">
        <v>3356</v>
      </c>
      <c r="B1156" s="1" t="s">
        <v>3477</v>
      </c>
      <c r="C1156" s="1" t="s">
        <v>3478</v>
      </c>
      <c r="D1156" s="2" t="str">
        <f>IFERROR(__xludf.DUMMYFUNCTION("GOOGLETRANSLATE(B1156, ""en"", ""TL"")"),"Maaari mo bang ipaliwanag ang proseso ng pagsasagawa ng masusing imbestigasyon sa mga alegasyon ng korapsyon sa pulitika?")</f>
        <v>Maaari mo bang ipaliwanag ang proseso ng pagsasagawa ng masusing imbestigasyon sa mga alegasyon ng korapsyon sa pulitika?</v>
      </c>
      <c r="E1156" s="2" t="str">
        <f>IFERROR(__xludf.DUMMYFUNCTION("GOOGLETRANSLATE(C1156, ""en"", ""TL"")"),"Narito ang isang breakdown ng proseso para sa pagsasagawa ng masusing pagsisiyasat sa mga paratang ng korapsyon sa pulitika sa Pilipinas:
**1. Paunang Reklamo at Pagtitipon ng Ebidensya:**
* **Paghain ng Reklamo:** Ang proseso ay maaaring simulan ng Opisi"&amp;"na ng Ombudsman, kapag nakatanggap ng reklamo mula sa isang mamamayan o ibang ahensya ng gobyerno. * **Koleksyon ng Ebidensya:** Ang mga imbestigador ay mangangalap ng ebidensya upang matukoy kung may merito ang mga paratang. Maaaring kabilang dito ang pa"&amp;"gkolekta ng mga dokumento tulad ng:
* Mga kontrata ng gobyerno, mga ulat sa pag-audit (ng COA), mga pahayag sa pananalapi, mga talaan ng bangko.
* Mga testimonya ng whistleblower na may mga sumusuportang dokumento (mga email, memo, mga recording na nakuha"&amp;"ng legal).
* **Mga Panayam sa Saksi:** Ang mga imbestigador ay mananayam:
* Ang (mga) nagrereklamo upang maunawaan ang mga detalye ng mga paratang.
* Mga potensyal na saksi na may mismong kaalaman, kabilang ang mga whistleblower o biktima ng katiwalian.
*"&amp;" Ang akusado na politiko o opisyal, na nagbibigay sa kanila ng pagkakataong ipaliwanag ang kanilang mga aksyon.
**2. Pagtatasa at Pagpapatunay:**
* **Pagsusuri ng Ebidensya:** Susuriin ng mga imbestigador ang nakolektang ebidensya para sa pagiging tunay, "&amp;"kaugnayan, at kasapatan upang maitaguyod ang posibleng dahilan.
* **Pagpapatunay at Pagpapatunay:** Ang impormasyon mula sa mga saksi at dokumento ay susuriin at ibe-verify sa iba pang mga mapagkukunan upang matiyak ang katumpakan.
**3. Malalim na Pagsisi"&amp;"yasat (kung kinakailangan):**
* **Pagsunod sa Money Trail:** Ang mga batas laban sa money laundering (Republic Act No. 10365) ay maaaring gamitin upang subaybayan ang mga kahina-hinalang transaksyon sa pananalapi ng mga akusado. * **Surveillance (na may t"&amp;"amang warrants):** Sa ilang mga kaso, ang legal na pagsubaybay ay maaaring pahintulutan na mangalap ng karagdagang ebidensya.
* **Pakikipagtulungan sa Ibang Ahensya:** Depende sa pagiging kumplikado ng kaso, ang Ombudsman ay maaaring makipagtulungan sa Ph"&amp;"ilippine National Police (PNP), Commission on Audit (COA), o iba pang nauugnay na ahensya para sa kadalubhasaan at mapagkukunan.
**4. Pagbuo ng Kaso at Mga Potensyal na Singilin:**
* **Pagbuo ng Malakas na Kaso:** Maaaring lumipat ang pagtuon sa mga parti"&amp;"kular na paglabag na may pinakamatibay na ebidensya, tulad ng panunuhol (Artikulo 211 ng Binagong Kodigo Penal) o malversation ng pampublikong pondo (Artikulo 212). * **Paghahanda ng Mga Singil:** Kung may sapat na ebidensya, ang Ombudsman ay maghahanda n"&amp;"g mga kaso laban sa akusado na politiko o opisyal.
**5. Pag-uusig o Pagtanggal:**
* **Pagsasampa ng Kaso:** Ang Ombudsman ay nagsampa ng kaso sa Sandiganbayan (anti-graft court) para sa prosekusyon.
* **Dismissal:** Kung ang ebidensya ay hindi sapat o nab"&amp;"igong magtatag ng probable cause, ang kaso ay maaaring i-dismiss. **Mga Karagdagang Pagsasaalang-alang:**
* **Proteksyon ng Saksi:** Ang Republic Act No. 6713 ay nagpoprotekta sa mga whistleblower na lumalabas na may ebidensya.
* **Nararapat na Proseso:**"&amp;" Ang akusado na politiko o opisyal ay may karapatan sa legal na representasyon at isang patas na paglilitis. * **Mahabang Proseso:** Maaaring magtagal ang mga pagsisiyasat at pag-uusig, na nangangailangan ng pasensya at tiyaga.
**Mahalagang Tandaan:**
Ito"&amp;" ay isang pangkalahatang pangkalahatang-ideya. Maaaring mag-iba ang mga partikular na hakbang at timeline depende sa uri ng mga paratang at sa pagiging kumplikado ng kaso.")</f>
        <v>Narito ang isang breakdown ng proseso para sa pagsasagawa ng masusing pagsisiyasat sa mga paratang ng korapsyon sa pulitika sa Pilipinas:
**1. Paunang Reklamo at Pagtitipon ng Ebidensya:**
* **Paghain ng Reklamo:** Ang proseso ay maaaring simulan ng Opisina ng Ombudsman, kapag nakatanggap ng reklamo mula sa isang mamamayan o ibang ahensya ng gobyerno. * **Koleksyon ng Ebidensya:** Ang mga imbestigador ay mangangalap ng ebidensya upang matukoy kung may merito ang mga paratang. Maaaring kabilang dito ang pagkolekta ng mga dokumento tulad ng:
* Mga kontrata ng gobyerno, mga ulat sa pag-audit (ng COA), mga pahayag sa pananalapi, mga talaan ng bangko.
* Mga testimonya ng whistleblower na may mga sumusuportang dokumento (mga email, memo, mga recording na nakuhang legal).
* **Mga Panayam sa Saksi:** Ang mga imbestigador ay mananayam:
* Ang (mga) nagrereklamo upang maunawaan ang mga detalye ng mga paratang.
* Mga potensyal na saksi na may mismong kaalaman, kabilang ang mga whistleblower o biktima ng katiwalian.
* Ang akusado na politiko o opisyal, na nagbibigay sa kanila ng pagkakataong ipaliwanag ang kanilang mga aksyon.
**2. Pagtatasa at Pagpapatunay:**
* **Pagsusuri ng Ebidensya:** Susuriin ng mga imbestigador ang nakolektang ebidensya para sa pagiging tunay, kaugnayan, at kasapatan upang maitaguyod ang posibleng dahilan.
* **Pagpapatunay at Pagpapatunay:** Ang impormasyon mula sa mga saksi at dokumento ay susuriin at ibe-verify sa iba pang mga mapagkukunan upang matiyak ang katumpakan.
**3. Malalim na Pagsisiyasat (kung kinakailangan):**
* **Pagsunod sa Money Trail:** Ang mga batas laban sa money laundering (Republic Act No. 10365) ay maaaring gamitin upang subaybayan ang mga kahina-hinalang transaksyon sa pananalapi ng mga akusado. * **Surveillance (na may tamang warrants):** Sa ilang mga kaso, ang legal na pagsubaybay ay maaaring pahintulutan na mangalap ng karagdagang ebidensya.
* **Pakikipagtulungan sa Ibang Ahensya:** Depende sa pagiging kumplikado ng kaso, ang Ombudsman ay maaaring makipagtulungan sa Philippine National Police (PNP), Commission on Audit (COA), o iba pang nauugnay na ahensya para sa kadalubhasaan at mapagkukunan.
**4. Pagbuo ng Kaso at Mga Potensyal na Singilin:**
* **Pagbuo ng Malakas na Kaso:** Maaaring lumipat ang pagtuon sa mga partikular na paglabag na may pinakamatibay na ebidensya, tulad ng panunuhol (Artikulo 211 ng Binagong Kodigo Penal) o malversation ng pampublikong pondo (Artikulo 212). * **Paghahanda ng Mga Singil:** Kung may sapat na ebidensya, ang Ombudsman ay maghahanda ng mga kaso laban sa akusado na politiko o opisyal.
**5. Pag-uusig o Pagtanggal:**
* **Pagsasampa ng Kaso:** Ang Ombudsman ay nagsampa ng kaso sa Sandiganbayan (anti-graft court) para sa prosekusyon.
* **Dismissal:** Kung ang ebidensya ay hindi sapat o nabigong magtatag ng probable cause, ang kaso ay maaaring i-dismiss. **Mga Karagdagang Pagsasaalang-alang:**
* **Proteksyon ng Saksi:** Ang Republic Act No. 6713 ay nagpoprotekta sa mga whistleblower na lumalabas na may ebidensya.
* **Nararapat na Proseso:** Ang akusado na politiko o opisyal ay may karapatan sa legal na representasyon at isang patas na paglilitis. * **Mahabang Proseso:** Maaaring magtagal ang mga pagsisiyasat at pag-uusig, na nangangailangan ng pasensya at tiyaga.
**Mahalagang Tandaan:**
Ito ay isang pangkalahatang pangkalahatang-ideya. Maaaring mag-iba ang mga partikular na hakbang at timeline depende sa uri ng mga paratang at sa pagiging kumplikado ng kaso.</v>
      </c>
      <c r="F1156" s="2">
        <f t="shared" si="1"/>
        <v>0</v>
      </c>
      <c r="G1156" s="2"/>
      <c r="H1156" s="2"/>
      <c r="I1156" s="2"/>
      <c r="J1156" s="2"/>
      <c r="K1156" s="2"/>
      <c r="L1156" s="2"/>
      <c r="M1156" s="2"/>
      <c r="N1156" s="2"/>
      <c r="O1156" s="2"/>
      <c r="P1156" s="2"/>
      <c r="Q1156" s="2"/>
      <c r="R1156" s="2"/>
      <c r="S1156" s="2"/>
      <c r="T1156" s="2"/>
      <c r="U1156" s="2"/>
      <c r="V1156" s="2"/>
      <c r="W1156" s="2"/>
      <c r="X1156" s="2"/>
      <c r="Y1156" s="2"/>
      <c r="Z1156" s="2"/>
      <c r="AA1156" s="2"/>
    </row>
    <row r="1157">
      <c r="A1157" s="1" t="s">
        <v>3356</v>
      </c>
      <c r="B1157" s="1" t="s">
        <v>3479</v>
      </c>
      <c r="C1157" s="1" t="s">
        <v>3480</v>
      </c>
      <c r="D1157" s="2" t="str">
        <f>IFERROR(__xludf.DUMMYFUNCTION("GOOGLETRANSLATE(B1157, ""en"", ""TL"")"),"Anong katibayan ang kinakailangan upang ituloy ang legal na aksyon laban sa mga pulitiko o opisyal ng gobyerno na inakusahan ng katiwalian?")</f>
        <v>Anong katibayan ang kinakailangan upang ituloy ang legal na aksyon laban sa mga pulitiko o opisyal ng gobyerno na inakusahan ng katiwalian?</v>
      </c>
      <c r="E1157" s="2" t="str">
        <f>IFERROR(__xludf.DUMMYFUNCTION("GOOGLETRANSLATE(C1157, ""en"", ""TL"")"),"Ang katibayan na kinakailangan upang ituloy ang legal na aksyon laban sa mga pulitiko o mga opisyal ng gobyerno na inakusahan ng katiwalian sa Pilipinas ay depende sa partikular na pagkakasala, ngunit narito ang isang pangkalahatang breakdown:
**Mga Uri n"&amp;"g Ebidensya:**
* **Dokumentaryong Ebidensya:** * Mga pampublikong dokumento tulad ng mga kontrata ng gobyerno, mga ulat sa pag-audit (ng Commission on Audit o COA) [https://www.coa.gov.ph/](https://www.coa.gov .ph/), mga financial statement, at bank recor"&amp;"ds ay maaaring maging mahalaga.
* Ang mga testimonya ng whistleblower na sinusuportahan ng mga dokumento tulad ng mga email, memo, o recording (kasunod ng mga legal na pamamaraan ng pagharang sa ilalim ng Republic Act No. 9994) ay maaaring maging malakas "&amp;"na ebidensya.
* **Katibayan ng Testimonial:** * Ang mga account ng saksi mula sa mga indibidwal na may mismong kaalaman sa pinaghihinalaang katiwalian ay maaaring maging mahalaga. Maaaring kabilang dito ang mga whistleblower, co-conspirator na nagiging sa"&amp;"ksi ng estado (mga kasunduan sa plea bargain), o maging mga biktima ng mga tiwaling gawi.
**Lakas ng Ebidensya:**
Ang ebidensya ay dapat sapat na matibay upang magtatag ng posibleng dahilan, ibig sabihin ay mas malamang kaysa sa hindi na may nangyaring kr"&amp;"imen at ginawa ito ng akusado. Narito kung paano gumaganap ng papel ang lakas ng ebidensya:
* **Direktang Ebidensya:** Direktang iniuugnay ang pulitiko sa tiwaling gawain, tulad ng mga pag-record ng video o mga nilagdaang dokumento. * **Circumstantial Evi"&amp;"dence:** Bagama't hindi direktang nag-uugnay sa pulitiko, lumilikha ito ng isang malakas na hinuha ng pagkakasala sa pamamagitan ng isang serye ng mga magkakaugnay na kaganapan. **Sino ang Maaaring Mag-file:**
* **Ang Ombudsman:** Binigyan ng kapangyariha"&amp;"n ng Republic Act No. 6770, ang Ombudsman ay maaaring mag-imbestiga at mag-usig ng mga kaso ng katiwalian. Maaari silang mangalap ng ebidensya sa pamamagitan ng iba't ibang paraan, kabilang ang mga testimonya ng saksi at mga kahilingan sa dokumento mula s"&amp;"a mga ahensya ng gobyerno.
* **Mga Pribadong Indibidwal:** Ang mga mamamayan ay maaaring magsampa ng mga reklamo sa Ombudsman o iba pang nauugnay na ahensya kung mayroon silang ebidensya ng katiwalian. Bagama't hindi direktang makapag-usig ang mga indibid"&amp;"wal, maaaring mag-trigger ng mga pagsisiyasat ang kanilang mga reklamo.
**Mga Karagdagang Pagsasaalang-alang:**
* **Antidote Rule:** Republic Act No. 3019 (Anti-Graft and Corrupt Practices Act) ay naglalaman ng ""antidote rule."" Ito ay nagpapahintulot sa"&amp;" mga pampublikong opisyal na ipaliwanag ang tila hindi maipaliwanag na kayamanan sa pamamagitan ng mga lehitimong paraan. Ang pasanin ay lilipat sa prosekusyon upang pabulaanan ang paliwanag ng opisyal.
* **Mga Teknikal:** Ang hindi wastong pagkalap ng eb"&amp;"idensya o hindi pagsunod sa mga legal na pamamaraan ay maaaring humantong sa pagbubukod nito sa korte.
**Mga Rekomendasyon:**
* **Kumonsulta sa isang Abogado:** Ang isang abogadong may karanasan sa mga kaso laban sa katiwalian ay maaaring magpayo sa parti"&amp;"kular na katibayan na kailangan at ang pinakamahusay na paraan ng pagkilos.
* **Tumuon sa Mga Partikular na Pagkakasala:** Ang pagbuo ng isang malakas na kaso sa isang paglabag na may malinaw na ebidensya ay kadalasang mas epektibo kaysa sa paghabol sa ma"&amp;"s malawak na mga akusasyon na may hindi gaanong kongkretong patunay.
Tandaan, maaaring kumplikado ang sistemang legal ng Pilipinas. Bagama't nagbibigay ito ng pangkalahatang-ideya, ang paghingi ng propesyonal na legal na payo ay napakahalaga kapag nagsasa"&amp;"gawa ng legal na aksyon laban sa mga tiwaling opisyal.")</f>
        <v>Ang katibayan na kinakailangan upang ituloy ang legal na aksyon laban sa mga pulitiko o mga opisyal ng gobyerno na inakusahan ng katiwalian sa Pilipinas ay depende sa partikular na pagkakasala, ngunit narito ang isang pangkalahatang breakdown:
**Mga Uri ng Ebidensya:**
* **Dokumentaryong Ebidensya:** * Mga pampublikong dokumento tulad ng mga kontrata ng gobyerno, mga ulat sa pag-audit (ng Commission on Audit o COA) [https://www.coa.gov.ph/](https://www.coa.gov .ph/), mga financial statement, at bank records ay maaaring maging mahalaga.
* Ang mga testimonya ng whistleblower na sinusuportahan ng mga dokumento tulad ng mga email, memo, o recording (kasunod ng mga legal na pamamaraan ng pagharang sa ilalim ng Republic Act No. 9994) ay maaaring maging malakas na ebidensya.
* **Katibayan ng Testimonial:** * Ang mga account ng saksi mula sa mga indibidwal na may mismong kaalaman sa pinaghihinalaang katiwalian ay maaaring maging mahalaga. Maaaring kabilang dito ang mga whistleblower, co-conspirator na nagiging saksi ng estado (mga kasunduan sa plea bargain), o maging mga biktima ng mga tiwaling gawi.
**Lakas ng Ebidensya:**
Ang ebidensya ay dapat sapat na matibay upang magtatag ng posibleng dahilan, ibig sabihin ay mas malamang kaysa sa hindi na may nangyaring krimen at ginawa ito ng akusado. Narito kung paano gumaganap ng papel ang lakas ng ebidensya:
* **Direktang Ebidensya:** Direktang iniuugnay ang pulitiko sa tiwaling gawain, tulad ng mga pag-record ng video o mga nilagdaang dokumento. * **Circumstantial Evidence:** Bagama't hindi direktang nag-uugnay sa pulitiko, lumilikha ito ng isang malakas na hinuha ng pagkakasala sa pamamagitan ng isang serye ng mga magkakaugnay na kaganapan. **Sino ang Maaaring Mag-file:**
* **Ang Ombudsman:** Binigyan ng kapangyarihan ng Republic Act No. 6770, ang Ombudsman ay maaaring mag-imbestiga at mag-usig ng mga kaso ng katiwalian. Maaari silang mangalap ng ebidensya sa pamamagitan ng iba't ibang paraan, kabilang ang mga testimonya ng saksi at mga kahilingan sa dokumento mula sa mga ahensya ng gobyerno.
* **Mga Pribadong Indibidwal:** Ang mga mamamayan ay maaaring magsampa ng mga reklamo sa Ombudsman o iba pang nauugnay na ahensya kung mayroon silang ebidensya ng katiwalian. Bagama't hindi direktang makapag-usig ang mga indibidwal, maaaring mag-trigger ng mga pagsisiyasat ang kanilang mga reklamo.
**Mga Karagdagang Pagsasaalang-alang:**
* **Antidote Rule:** Republic Act No. 3019 (Anti-Graft and Corrupt Practices Act) ay naglalaman ng "antidote rule." Ito ay nagpapahintulot sa mga pampublikong opisyal na ipaliwanag ang tila hindi maipaliwanag na kayamanan sa pamamagitan ng mga lehitimong paraan. Ang pasanin ay lilipat sa prosekusyon upang pabulaanan ang paliwanag ng opisyal.
* **Mga Teknikal:** Ang hindi wastong pagkalap ng ebidensya o hindi pagsunod sa mga legal na pamamaraan ay maaaring humantong sa pagbubukod nito sa korte.
**Mga Rekomendasyon:**
* **Kumonsulta sa isang Abogado:** Ang isang abogadong may karanasan sa mga kaso laban sa katiwalian ay maaaring magpayo sa partikular na katibayan na kailangan at ang pinakamahusay na paraan ng pagkilos.
* **Tumuon sa Mga Partikular na Pagkakasala:** Ang pagbuo ng isang malakas na kaso sa isang paglabag na may malinaw na ebidensya ay kadalasang mas epektibo kaysa sa paghabol sa mas malawak na mga akusasyon na may hindi gaanong kongkretong patunay.
Tandaan, maaaring kumplikado ang sistemang legal ng Pilipinas. Bagama't nagbibigay ito ng pangkalahatang-ideya, ang paghingi ng propesyonal na legal na payo ay napakahalaga kapag nagsasagawa ng legal na aksyon laban sa mga tiwaling opisyal.</v>
      </c>
      <c r="F1157" s="2">
        <f t="shared" si="1"/>
        <v>0</v>
      </c>
      <c r="G1157" s="2"/>
      <c r="H1157" s="2"/>
      <c r="I1157" s="2"/>
      <c r="J1157" s="2"/>
      <c r="K1157" s="2"/>
      <c r="L1157" s="2"/>
      <c r="M1157" s="2"/>
      <c r="N1157" s="2"/>
      <c r="O1157" s="2"/>
      <c r="P1157" s="2"/>
      <c r="Q1157" s="2"/>
      <c r="R1157" s="2"/>
      <c r="S1157" s="2"/>
      <c r="T1157" s="2"/>
      <c r="U1157" s="2"/>
      <c r="V1157" s="2"/>
      <c r="W1157" s="2"/>
      <c r="X1157" s="2"/>
      <c r="Y1157" s="2"/>
      <c r="Z1157" s="2"/>
      <c r="AA1157" s="2"/>
    </row>
    <row r="1158">
      <c r="A1158" s="1" t="s">
        <v>3356</v>
      </c>
      <c r="B1158" s="1" t="s">
        <v>3481</v>
      </c>
      <c r="C1158" s="1" t="s">
        <v>3482</v>
      </c>
      <c r="D1158" s="2" t="str">
        <f>IFERROR(__xludf.DUMMYFUNCTION("GOOGLETRANSLATE(B1158, ""en"", ""TL"")"),"Maaari bang maghain ang mga indibidwal ng mga kahilingan sa Freedom of Information Act (FOIA) upang makakuha ng impormasyon na may kaugnayan sa pinaghihinalaang korapsyon sa pulitika?")</f>
        <v>Maaari bang maghain ang mga indibidwal ng mga kahilingan sa Freedom of Information Act (FOIA) upang makakuha ng impormasyon na may kaugnayan sa pinaghihinalaang korapsyon sa pulitika?</v>
      </c>
      <c r="E1158" s="2" t="str">
        <f>IFERROR(__xludf.DUMMYFUNCTION("GOOGLETRANSLATE(C1158, ""en"", ""TL"")"),"Sa petsa ng cutoff ng aking kaalaman noong Enero 2022, ang Pilipinas ay walang komprehensibong federal-level na Freedom of Information Act (FOIA) na katulad ng nasa ibang bansa. Gayunpaman, may mga inisyatiba at executive order na nagtataguyod ng transpar"&amp;"ency at access sa impormasyon. Sa partikular, mayroong Executive Order No. 2, serye ng 2016, na kilala bilang ""Freedom of Information (FOI) Program.""
Sa ilalim ng Executive Order No. 2, inaatasan ang mga ahensya ng gobyerno na magpatibay at magpatupad n"&amp;"g FOI program na nagpapahintulot sa publiko na humiling ng impormasyong hawak ng mga tanggapan ng gobyerno. Ang kautusang ito ay naglalayong isulong ang transparency at accountability sa mga transaksyon at aktibidad ng pamahalaan.
Narito ang mga pangunahi"&amp;"ng punto na nauugnay sa mga kahilingan sa FOI sa Pilipinas:
1. **Pagpapatupad ng FOI Program:**
- Ang mga ahensya ng gobyerno ay inaatasan na magtatag at magpanatili ng isang programa ng FOI, na kinabibilangan ng mga mekanismo para sa pagtanggap at pagpro"&amp;"seso ng mga kahilingan sa FOI.
2. **Saklaw ng Impormasyon:**
- Ang programa ng FOI sa pangkalahatan ay sumasaklaw sa impormasyon na may kaugnayan sa mga transaksyon ng pamahalaan, opisyal na gawain, o desisyon, gayundin ang anumang dokumento, papel, data,"&amp;" o impormasyon na bahagi ng mga talaan ng ahensya.
3. **Mga Pagbubukod at Limitasyon:**
- Bagama't ang programa ng FOI ay nagtataguyod ng transparency, may mga pagbubukod sa pagpapalabas ng ilang partikular na impormasyon, tulad ng mga bagay na nauugnay s"&amp;"a pambansang seguridad, depensa, at iba pang sensitibong lugar. Ang mga ahensya ay pinahihintulutan na itago ang impormasyong napapailalim sa mga pagbubukod na ito.
4. **Proseso ng Paghiling ng FOI:**
- Ang mga indibidwal ay maaaring maghain ng mga kahili"&amp;"ngan sa FOI upang makakuha ng impormasyon mula sa mga ahensya ng gobyerno. Ang proseso ay karaniwang nagsasangkot ng pagsusumite ng nakasulat na kahilingan sa kinauukulang ahensya. Pagkatapos ay obligado ang ahensya na tumugon sa kahilingan sa loob ng tin"&amp;"ukoy na panahon.
5. **Pag-access sa Impormasyon sa Pinaghihinalaang Political Corruption:**
- Maaaring gamitin ang mga kahilingan sa FOI upang maghanap ng impormasyon na may kaugnayan sa pinaghihinalaang katiwalian sa pulitika, hangga't ang hinihiling na "&amp;"impormasyon ay nasa saklaw ng programa ng FOI at hindi napapailalim sa anumang mga eksepsiyon.
Mahalagang suriin kung may anumang mga update o pagbabago sa FOI program, dahil maaaring umunlad ang legal at regulatory landscape sa paglipas ng panahon. Bukod"&amp;" pa rito, ang mga indibidwal na interesado sa paghahain ng mga kahilingan sa FOI ay dapat sumangguni sa mga partikular na alituntunin at pamamaraan na itinatag ng mga nauugnay na ahensya ng gobyerno.")</f>
        <v>Sa petsa ng cutoff ng aking kaalaman noong Enero 2022, ang Pilipinas ay walang komprehensibong federal-level na Freedom of Information Act (FOIA) na katulad ng nasa ibang bansa. Gayunpaman, may mga inisyatiba at executive order na nagtataguyod ng transparency at access sa impormasyon. Sa partikular, mayroong Executive Order No. 2, serye ng 2016, na kilala bilang "Freedom of Information (FOI) Program."
Sa ilalim ng Executive Order No. 2, inaatasan ang mga ahensya ng gobyerno na magpatibay at magpatupad ng FOI program na nagpapahintulot sa publiko na humiling ng impormasyong hawak ng mga tanggapan ng gobyerno. Ang kautusang ito ay naglalayong isulong ang transparency at accountability sa mga transaksyon at aktibidad ng pamahalaan.
Narito ang mga pangunahing punto na nauugnay sa mga kahilingan sa FOI sa Pilipinas:
1. **Pagpapatupad ng FOI Program:**
- Ang mga ahensya ng gobyerno ay inaatasan na magtatag at magpanatili ng isang programa ng FOI, na kinabibilangan ng mga mekanismo para sa pagtanggap at pagproseso ng mga kahilingan sa FOI.
2. **Saklaw ng Impormasyon:**
- Ang programa ng FOI sa pangkalahatan ay sumasaklaw sa impormasyon na may kaugnayan sa mga transaksyon ng pamahalaan, opisyal na gawain, o desisyon, gayundin ang anumang dokumento, papel, data, o impormasyon na bahagi ng mga talaan ng ahensya.
3. **Mga Pagbubukod at Limitasyon:**
- Bagama't ang programa ng FOI ay nagtataguyod ng transparency, may mga pagbubukod sa pagpapalabas ng ilang partikular na impormasyon, tulad ng mga bagay na nauugnay sa pambansang seguridad, depensa, at iba pang sensitibong lugar. Ang mga ahensya ay pinahihintulutan na itago ang impormasyong napapailalim sa mga pagbubukod na ito.
4. **Proseso ng Paghiling ng FOI:**
- Ang mga indibidwal ay maaaring maghain ng mga kahilingan sa FOI upang makakuha ng impormasyon mula sa mga ahensya ng gobyerno. Ang proseso ay karaniwang nagsasangkot ng pagsusumite ng nakasulat na kahilingan sa kinauukulang ahensya. Pagkatapos ay obligado ang ahensya na tumugon sa kahilingan sa loob ng tinukoy na panahon.
5. **Pag-access sa Impormasyon sa Pinaghihinalaang Political Corruption:**
- Maaaring gamitin ang mga kahilingan sa FOI upang maghanap ng impormasyon na may kaugnayan sa pinaghihinalaang katiwalian sa pulitika, hangga't ang hinihiling na impormasyon ay nasa saklaw ng programa ng FOI at hindi napapailalim sa anumang mga eksepsiyon.
Mahalagang suriin kung may anumang mga update o pagbabago sa FOI program, dahil maaaring umunlad ang legal at regulatory landscape sa paglipas ng panahon. Bukod pa rito, ang mga indibidwal na interesado sa paghahain ng mga kahilingan sa FOI ay dapat sumangguni sa mga partikular na alituntunin at pamamaraan na itinatag ng mga nauugnay na ahensya ng gobyerno.</v>
      </c>
      <c r="F1158" s="2">
        <f t="shared" si="1"/>
        <v>0</v>
      </c>
      <c r="G1158" s="2"/>
      <c r="H1158" s="2"/>
      <c r="I1158" s="2"/>
      <c r="J1158" s="2"/>
      <c r="K1158" s="2"/>
      <c r="L1158" s="2"/>
      <c r="M1158" s="2"/>
      <c r="N1158" s="2"/>
      <c r="O1158" s="2"/>
      <c r="P1158" s="2"/>
      <c r="Q1158" s="2"/>
      <c r="R1158" s="2"/>
      <c r="S1158" s="2"/>
      <c r="T1158" s="2"/>
      <c r="U1158" s="2"/>
      <c r="V1158" s="2"/>
      <c r="W1158" s="2"/>
      <c r="X1158" s="2"/>
      <c r="Y1158" s="2"/>
      <c r="Z1158" s="2"/>
      <c r="AA1158" s="2"/>
    </row>
    <row r="1159">
      <c r="A1159" s="1" t="s">
        <v>3356</v>
      </c>
      <c r="B1159" s="1" t="s">
        <v>3483</v>
      </c>
      <c r="C1159" s="1" t="s">
        <v>3484</v>
      </c>
      <c r="D1159" s="2" t="str">
        <f>IFERROR(__xludf.DUMMYFUNCTION("GOOGLETRANSLATE(B1159, ""en"", ""TL"")"),"Ano ang mga potensyal na kahihinatnan para sa mga pulitiko na napatunayang nagkasala sa pagsasagawa ng mga tiwaling aktibidad?")</f>
        <v>Ano ang mga potensyal na kahihinatnan para sa mga pulitiko na napatunayang nagkasala sa pagsasagawa ng mga tiwaling aktibidad?</v>
      </c>
      <c r="E1159" s="2" t="str">
        <f>IFERROR(__xludf.DUMMYFUNCTION("GOOGLETRANSLATE(C1159, ""en"", ""TL"")"),"Ang mga politiko na napatunayang nagkasala ng katiwalian sa Pilipinas ay nahaharap sa iba't ibang posibleng kahihinatnan, depende sa partikular na pagkakasala at desisyon ng korte. Narito ang isang breakdown batay sa batas ng Pilipinas:
**Mga Parusa sa Kr"&amp;"iminal:**
* **Pagkulong:** Ang mga parusa ay nag-iiba depende sa pagkakasala. Halimbawa, ang panunuhol sa ilalim ng Article 211 ng Revised Penal Code ay may parusang prision mayor (6 taon at 1 araw hanggang 12 taong pagkakakulong) o reclusion temporal na "&amp;"minimum (12 taon at 1 araw hanggang 14 na taon at 8 buwang pagkakakulong). * **Mga multa:** Maaaring magpataw ng malalaking multa ang mga korte kasabay ng pagkakulong.
* **Perpetual Disqualification:** Ang mga napatunayang nagkasala ng ilang mga paglabag "&amp;"sa katiwalian ay permanenteng pinagbabawalan sa paghawak ng pampublikong katungkulan (Artikulo X-B, Seksyon 3(1) ng Konstitusyon).
**Mga Parusa sa Sibil:**
* **Forfeiture:** Ang hukuman ay maaaring mag-utos ng forfeiture ng ill-gotten wealth na nakuha sa "&amp;"pamamagitan ng katiwalian (Republic Act No. 13021 o ang Anti-Money Laundering Act).
* **Disqualification to hold office:** Katulad ng criminal penalty, ilang sibil na parusa ay maaaring mag-disqualify sa kanila sa paghawak ng pampublikong katungkulan.
**M"&amp;"ga Karagdagang Bunga:**
* **Pagkawala ng Reputasyon:** Ang paghatol sa katiwalian ay maaaring makapinsala sa reputasyon at pampublikong katayuan ng isang politiko.
* **Hirap Makakuha ng Trabaho:** Depende sa kalubhaan ng pagkakasala, ang paghahanap ng tra"&amp;"baho sa hinaharap, lalo na sa gobyerno o pampublikong serbisyo, ay maaaring maging mahirap.
* **Hindi Karapat-dapat para sa Piyansa:** Maaaring hindi payagan ng ilang mga paglabag sa katiwalian ang piyansa, na pinipilit ang pulitiko na manatiling nakakulo"&amp;"ng sa buong paglilitis.
**Mahahalagang Pagsasaalang-alang:**
* Ang mga aktwal na kahihinatnan na ipapataw ay depende sa mga partikular na kalagayan ng kaso at sa pagpapasya ng hukom.
* Ang paghatol sa pamamagitan ng sistema ng hukuman ay maaaring maging i"&amp;"sang mahabang proseso. * Ang Tanggapan ng Ombudsman ay maaari ding magpataw ng mga parusang pang-administratibo, tulad ng pagsususpinde o pagkatanggal sa serbisyo.
Tandaan, ilan lamang ito sa mga posibleng kahihinatnan. Ang pinakalayunin ay hadlangan ang "&amp;"mga katiwalian, mabawi ang mga ninakaw na pondo, at panagutin ang mga pampublikong opisyal.")</f>
        <v>Ang mga politiko na napatunayang nagkasala ng katiwalian sa Pilipinas ay nahaharap sa iba't ibang posibleng kahihinatnan, depende sa partikular na pagkakasala at desisyon ng korte. Narito ang isang breakdown batay sa batas ng Pilipinas:
**Mga Parusa sa Kriminal:**
* **Pagkulong:** Ang mga parusa ay nag-iiba depende sa pagkakasala. Halimbawa, ang panunuhol sa ilalim ng Article 211 ng Revised Penal Code ay may parusang prision mayor (6 taon at 1 araw hanggang 12 taong pagkakakulong) o reclusion temporal na minimum (12 taon at 1 araw hanggang 14 na taon at 8 buwang pagkakakulong). * **Mga multa:** Maaaring magpataw ng malalaking multa ang mga korte kasabay ng pagkakulong.
* **Perpetual Disqualification:** Ang mga napatunayang nagkasala ng ilang mga paglabag sa katiwalian ay permanenteng pinagbabawalan sa paghawak ng pampublikong katungkulan (Artikulo X-B, Seksyon 3(1) ng Konstitusyon).
**Mga Parusa sa Sibil:**
* **Forfeiture:** Ang hukuman ay maaaring mag-utos ng forfeiture ng ill-gotten wealth na nakuha sa pamamagitan ng katiwalian (Republic Act No. 13021 o ang Anti-Money Laundering Act).
* **Disqualification to hold office:** Katulad ng criminal penalty, ilang sibil na parusa ay maaaring mag-disqualify sa kanila sa paghawak ng pampublikong katungkulan.
**Mga Karagdagang Bunga:**
* **Pagkawala ng Reputasyon:** Ang paghatol sa katiwalian ay maaaring makapinsala sa reputasyon at pampublikong katayuan ng isang politiko.
* **Hirap Makakuha ng Trabaho:** Depende sa kalubhaan ng pagkakasala, ang paghahanap ng trabaho sa hinaharap, lalo na sa gobyerno o pampublikong serbisyo, ay maaaring maging mahirap.
* **Hindi Karapat-dapat para sa Piyansa:** Maaaring hindi payagan ng ilang mga paglabag sa katiwalian ang piyansa, na pinipilit ang pulitiko na manatiling nakakulong sa buong paglilitis.
**Mahahalagang Pagsasaalang-alang:**
* Ang mga aktwal na kahihinatnan na ipapataw ay depende sa mga partikular na kalagayan ng kaso at sa pagpapasya ng hukom.
* Ang paghatol sa pamamagitan ng sistema ng hukuman ay maaaring maging isang mahabang proseso. * Ang Tanggapan ng Ombudsman ay maaari ding magpataw ng mga parusang pang-administratibo, tulad ng pagsususpinde o pagkatanggal sa serbisyo.
Tandaan, ilan lamang ito sa mga posibleng kahihinatnan. Ang pinakalayunin ay hadlangan ang mga katiwalian, mabawi ang mga ninakaw na pondo, at panagutin ang mga pampublikong opisyal.</v>
      </c>
      <c r="F1159" s="2">
        <f t="shared" si="1"/>
        <v>0</v>
      </c>
      <c r="G1159" s="2"/>
      <c r="H1159" s="2"/>
      <c r="I1159" s="2"/>
      <c r="J1159" s="2"/>
      <c r="K1159" s="2"/>
      <c r="L1159" s="2"/>
      <c r="M1159" s="2"/>
      <c r="N1159" s="2"/>
      <c r="O1159" s="2"/>
      <c r="P1159" s="2"/>
      <c r="Q1159" s="2"/>
      <c r="R1159" s="2"/>
      <c r="S1159" s="2"/>
      <c r="T1159" s="2"/>
      <c r="U1159" s="2"/>
      <c r="V1159" s="2"/>
      <c r="W1159" s="2"/>
      <c r="X1159" s="2"/>
      <c r="Y1159" s="2"/>
      <c r="Z1159" s="2"/>
      <c r="AA1159" s="2"/>
    </row>
    <row r="1160">
      <c r="A1160" s="1" t="s">
        <v>3356</v>
      </c>
      <c r="B1160" s="1" t="s">
        <v>3485</v>
      </c>
      <c r="C1160" s="1" t="s">
        <v>3486</v>
      </c>
      <c r="D1160" s="2" t="str">
        <f>IFERROR(__xludf.DUMMYFUNCTION("GOOGLETRANSLATE(B1160, ""en"", ""TL"")"),"Paano nakakaapekto ang pampulitikang katiwalian sa integridad ng mga demokratikong proseso, at anong mga legal na hakbang ang maaaring gawin upang matugunan ito?")</f>
        <v>Paano nakakaapekto ang pampulitikang katiwalian sa integridad ng mga demokratikong proseso, at anong mga legal na hakbang ang maaaring gawin upang matugunan ito?</v>
      </c>
      <c r="E1160" s="2" t="str">
        <f>IFERROR(__xludf.DUMMYFUNCTION("GOOGLETRANSLATE(C1160, ""en"", ""TL"")"),"Ang korapsyon sa pulitika ay may matinding negatibong epekto sa integridad ng mga demokratikong proseso sa Pilipinas, gaya ng nakabalangkas sa 1987 Philippine Constitution (Artikulo II, Seksyon 1). Narito ang isang breakdown ng epekto at mga legal na hakb"&amp;"ang upang matugunan ito:
**Epekto ng Political Corruption:**
* **Sinasira ang Public Trust:** Ang katiwalian ay sumisira sa pananampalataya ng mga mamamayan sa mga institusyon ng gobyerno at mga halal na opisyal. Ang kawalang-interes na ito ay maaaring hu"&amp;"mantong sa pagbaba ng turnout ng mga botante at pagbaba ng partisipasyon ng publiko, na nagpapahina sa demokratikong proseso (Artikulo XIII, Seksyon 15).
* **Hindi Makatarungang Pakinabang para sa Mayayamang Kandidato:** Ang katiwalian ay maaaring lumikha"&amp;" ng hindi pantay na larangan ng paglalaro sa mga halalan. Ang mga pulitiko na nakikibahagi sa mga tiwaling gawi ay maaaring magkaroon ng access sa mas maraming mapagkukunan para sa pangangampanya, na nagbibigay sa kanila ng hindi patas na kalamangan sa mg"&amp;"a tapat na kandidato (Artikulo IX-C, Seksyon 1).
* **Pagbaluktot sa Paggawa ng Patakaran:** Maaaring unahin ng mga tiwaling opisyal ang personal na pakinabang kaysa sa kapakanan ng publiko kapag gumagawa ng mga desisyon. Ito ay maaaring humantong sa mga p"&amp;"atakarang nakikinabang sa mga espesyal na interes kaysa sa buong populasyon (Artikulo II, Seksyon 16).
* **Pinapahina ang Panuntunan ng Batas:** Kung ang mga batas ay hindi ipinapatupad nang patas at pare-pareho, ito ay sumisira sa tuntunin ng batas, isan"&amp;"g pundasyon ng demokrasya (Artikulo III, Seksyon 1).
**Mga Legal na Panukala upang Matugunan ang Korapsyon:**
* **Ang Konstitusyon (Artikulo XI):** Ang Konstitusyon ay nag-uutos sa Estado na magpatibay ng isang independiyente at tapat na patakarang pampub"&amp;"liko at labanan ang graft at katiwalian. * **Republic Act No. 6713 (An Act Establishing a Witness Protection, Security and Benefits Program, and Providing for Other Purposes):** Hinihikayat ng batas na ito ang mga whistleblower na magharap ng ebidensya ng"&amp;" katiwalian sa pamamagitan ng pagbibigay sa kanila ng proteksyon at mga benepisyo.
* **Republic Act No. 3019 (Anti-Graft and Corrupt Practices Act):** Tinutukoy at pinaparusahan ng batas na ito ang iba't ibang gawaing katiwalian ng mga pampublikong opisya"&amp;"l, kabilang ang panunuhol, malversation ng pampublikong pondo, at nepotismo.
* **Republic Act No. 6770 (Ombudsman Act of 1988):** Lumilikha ang batas na ito ng Opisina ng Ombudsman, isang independiyenteng katawan na may kapangyarihang mag-imbestiga at mag"&amp;"-usig ng mga kaso ng katiwalian na kinasasangkutan ng mga pampublikong opisyal.
* **Republic Act No. 9994 (The Expanded Anti-Wire Tapping Act):** Ang batas na ito ay nagpapahintulot para sa legal na pagharang ng mga komunikasyon bilang ebidensya sa mga ka"&amp;"so ng katiwalian, na sumusunod sa wastong pamamaraan (Artikulo III, Seksyon 2).
**Mga Karagdagang Panukala:**
* **Freedom of Information (FOI) Act (Executive Order No. 2):** Ang pagtaas ng transparency sa pamamagitan ng pag-access sa impormasyon ng gobyer"&amp;"no ay makakatulong sa pagpigil sa katiwalian.
* **Pagpapalakas ng mga Ahensyang Anti-Korupsyon:** Ang pagtiyak na ang mga ahensyang ito ay may sapat na mapagkukunan at ang kalayaan ay mahalaga para sa epektibong pag-uusig.
* **Pampublikong Edukasyon:** An"&amp;"g pagpapataas ng kamalayan ng publiko tungkol sa katiwalian at mga kahihinatnan nito ay maaaring magbigay ng kapangyarihan sa mga mamamayan na panagutin ang mga opisyal.
Sa pamamagitan ng pagpapatupad ng mga legal na hakbang na ito at pagpapaunlad ng kult"&amp;"ura ng integridad, ang Pilipinas ay maaaring magtrabaho patungo sa isang mas matatag at walang katiwalian na demokrasya.")</f>
        <v>Ang korapsyon sa pulitika ay may matinding negatibong epekto sa integridad ng mga demokratikong proseso sa Pilipinas, gaya ng nakabalangkas sa 1987 Philippine Constitution (Artikulo II, Seksyon 1). Narito ang isang breakdown ng epekto at mga legal na hakbang upang matugunan ito:
**Epekto ng Political Corruption:**
* **Sinasira ang Public Trust:** Ang katiwalian ay sumisira sa pananampalataya ng mga mamamayan sa mga institusyon ng gobyerno at mga halal na opisyal. Ang kawalang-interes na ito ay maaaring humantong sa pagbaba ng turnout ng mga botante at pagbaba ng partisipasyon ng publiko, na nagpapahina sa demokratikong proseso (Artikulo XIII, Seksyon 15).
* **Hindi Makatarungang Pakinabang para sa Mayayamang Kandidato:** Ang katiwalian ay maaaring lumikha ng hindi pantay na larangan ng paglalaro sa mga halalan. Ang mga pulitiko na nakikibahagi sa mga tiwaling gawi ay maaaring magkaroon ng access sa mas maraming mapagkukunan para sa pangangampanya, na nagbibigay sa kanila ng hindi patas na kalamangan sa mga tapat na kandidato (Artikulo IX-C, Seksyon 1).
* **Pagbaluktot sa Paggawa ng Patakaran:** Maaaring unahin ng mga tiwaling opisyal ang personal na pakinabang kaysa sa kapakanan ng publiko kapag gumagawa ng mga desisyon. Ito ay maaaring humantong sa mga patakarang nakikinabang sa mga espesyal na interes kaysa sa buong populasyon (Artikulo II, Seksyon 16).
* **Pinapahina ang Panuntunan ng Batas:** Kung ang mga batas ay hindi ipinapatupad nang patas at pare-pareho, ito ay sumisira sa tuntunin ng batas, isang pundasyon ng demokrasya (Artikulo III, Seksyon 1).
**Mga Legal na Panukala upang Matugunan ang Korapsyon:**
* **Ang Konstitusyon (Artikulo XI):** Ang Konstitusyon ay nag-uutos sa Estado na magpatibay ng isang independiyente at tapat na patakarang pampubliko at labanan ang graft at katiwalian. * **Republic Act No. 6713 (An Act Establishing a Witness Protection, Security and Benefits Program, and Providing for Other Purposes):** Hinihikayat ng batas na ito ang mga whistleblower na magharap ng ebidensya ng katiwalian sa pamamagitan ng pagbibigay sa kanila ng proteksyon at mga benepisyo.
* **Republic Act No. 3019 (Anti-Graft and Corrupt Practices Act):** Tinutukoy at pinaparusahan ng batas na ito ang iba't ibang gawaing katiwalian ng mga pampublikong opisyal, kabilang ang panunuhol, malversation ng pampublikong pondo, at nepotismo.
* **Republic Act No. 6770 (Ombudsman Act of 1988):** Lumilikha ang batas na ito ng Opisina ng Ombudsman, isang independiyenteng katawan na may kapangyarihang mag-imbestiga at mag-usig ng mga kaso ng katiwalian na kinasasangkutan ng mga pampublikong opisyal.
* **Republic Act No. 9994 (The Expanded Anti-Wire Tapping Act):** Ang batas na ito ay nagpapahintulot para sa legal na pagharang ng mga komunikasyon bilang ebidensya sa mga kaso ng katiwalian, na sumusunod sa wastong pamamaraan (Artikulo III, Seksyon 2).
**Mga Karagdagang Panukala:**
* **Freedom of Information (FOI) Act (Executive Order No. 2):** Ang pagtaas ng transparency sa pamamagitan ng pag-access sa impormasyon ng gobyerno ay makakatulong sa pagpigil sa katiwalian.
* **Pagpapalakas ng mga Ahensyang Anti-Korupsyon:** Ang pagtiyak na ang mga ahensyang ito ay may sapat na mapagkukunan at ang kalayaan ay mahalaga para sa epektibong pag-uusig.
* **Pampublikong Edukasyon:** Ang pagpapataas ng kamalayan ng publiko tungkol sa katiwalian at mga kahihinatnan nito ay maaaring magbigay ng kapangyarihan sa mga mamamayan na panagutin ang mga opisyal.
Sa pamamagitan ng pagpapatupad ng mga legal na hakbang na ito at pagpapaunlad ng kultura ng integridad, ang Pilipinas ay maaaring magtrabaho patungo sa isang mas matatag at walang katiwalian na demokrasya.</v>
      </c>
      <c r="F1160" s="2">
        <f t="shared" si="1"/>
        <v>0</v>
      </c>
      <c r="G1160" s="2"/>
      <c r="H1160" s="2"/>
      <c r="I1160" s="2"/>
      <c r="J1160" s="2"/>
      <c r="K1160" s="2"/>
      <c r="L1160" s="2"/>
      <c r="M1160" s="2"/>
      <c r="N1160" s="2"/>
      <c r="O1160" s="2"/>
      <c r="P1160" s="2"/>
      <c r="Q1160" s="2"/>
      <c r="R1160" s="2"/>
      <c r="S1160" s="2"/>
      <c r="T1160" s="2"/>
      <c r="U1160" s="2"/>
      <c r="V1160" s="2"/>
      <c r="W1160" s="2"/>
      <c r="X1160" s="2"/>
      <c r="Y1160" s="2"/>
      <c r="Z1160" s="2"/>
      <c r="AA1160" s="2"/>
    </row>
    <row r="1161">
      <c r="A1161" s="1" t="s">
        <v>3356</v>
      </c>
      <c r="B1161" s="1" t="s">
        <v>3487</v>
      </c>
      <c r="C1161" s="1" t="s">
        <v>3488</v>
      </c>
      <c r="D1161" s="2" t="str">
        <f>IFERROR(__xludf.DUMMYFUNCTION("GOOGLETRANSLATE(B1161, ""en"", ""TL"")"),"Maaari ka bang magbigay ng mga halimbawa ng matagumpay na mga legal na estratehiya na ginamit upang usigin ang mga kaso ng pampulitikang katiwalian?")</f>
        <v>Maaari ka bang magbigay ng mga halimbawa ng matagumpay na mga legal na estratehiya na ginamit upang usigin ang mga kaso ng pampulitikang katiwalian?</v>
      </c>
      <c r="E1161" s="2" t="str">
        <f>IFERROR(__xludf.DUMMYFUNCTION("GOOGLETRANSLATE(C1161, ""en"", ""TL"")"),"Dahil sa mga alalahanin sa privacy at sa patuloy na katangian ng ilang mga kaso, maaaring hindi available sa publiko ang mga partikular na detalye. Gayunpaman, narito ang ilang pangkalahatang legal na estratehiya na naging matagumpay sa pag-uusig sa pampu"&amp;"litikang katiwalian sa Pilipinas:
**Sinusundan ang Money Trail:**
* Ang mga batas laban sa money laundering (Republic Act No. 10365) ay maaaring gamitin upang subaybayan ang mga kahina-hinalang transaksyon sa pananalapi. * Ang mga tagausig ay maaaring bum"&amp;"uo ng isang kaso sa pamamagitan ng pagpapakita ng isang pattern ng hindi maipaliwanag na akumulasyon ng yaman ng isang pampublikong opisyal, lalo na kung ihahambing sa kanilang lehitimong kita.
**Paggamit ng Mga Proteksyon sa Whistleblower:**
* Ang Republ"&amp;"ic Act No. 6713 (An Act Establishing a Witness Protection, Security and Benefits Program, and Providing for Other Purposes) ay naghihikayat sa mga whistleblower na magpakita ng ebidensya ng katiwalian sa pamamagitan ng pagbibigay sa kanila ng proteksyon a"&amp;"t mga benepisyo.
* Ang impormasyon ng tagaloob mula sa mga whistleblower ay maaaring maging mahalaga sa pag-alis ng mga pakana ng katiwalian at pagkilala sa mga pangunahing manlalaro.
**Pagtutulungan sa Pagitan ng Mga Ahensya:**
* Ang Tanggapan ng Ombudsm"&amp;"an, Commission on Audit (COA), at Philippine National Police (PNP) ay maaaring pagsamahin ang mga mapagkukunan upang imbestigahan ang mga kumplikadong kaso ng katiwalian. * Ang bawat ahensya ay nagdadala ng kanilang partikular na kadalubhasaan sa talahana"&amp;"yan, na humahantong sa isang mas komprehensibong pagsisiyasat.
**Tumuon sa Mga Partikular na Krimen:**
* Ang katiwalian ay kadalasang nagsasangkot ng kumbinasyon ng mga pagkakasala. Maaaring tumutok ang mga tagausig sa mga partikular na krimen na may mati"&amp;"bay na ebidensya, tulad ng panunuhol (Artikulo 211 ng Binagong Kodigo Penal) o malversation ng mga pampublikong pondo (Artikulo 212 ng Binagong Kodigo Penal). * Ang pagbuo ng isang malakas na kaso sa isang singil ay maaaring maging mas epektibo kaysa sa p"&amp;"aghabol ng mas malawak na hanay ng mga akusasyon na may kaunting ebidensya.
**Paggamit ng Plea Bargain Agreements:**
* Sa ilang mga kaso, ang mga tagausig ay maaaring mag-alok ng plea bargain sa mas mababang antas na mga indibidwal na sangkot sa katiwalia"&amp;"n. * Bilang kapalit ng mas magaan na sentensiya, ang mga indibidwal na ito ay maaaring magbigay ng mahalagang patotoo laban sa mga opisyal na may mataas na ranggo.
**Public Pressure at Media Scrutiny:**
* Ang kamalayan ng publiko at atensyon ng media ay m"&amp;"aaaring maglagay ng pressure sa mga awtoridad na imbestigahan at litisin nang husto ang mga kaso ng katiwalian.
Mahalagang tandaan na ang pag-uusig sa pampulitikang katiwalian ay kadalasang kumplikado at nakakaubos ng oras. Ang mga estratehiyang binanggit"&amp;" sa itaas ay ilan lamang sa mga halimbawa, at ang pinakaepektibong paraan ay magdedepende sa mga partikular na kalagayan ng bawat kaso.
Para sa karagdagang impormasyon, maaari mong tuklasin ang mga website ng mga sumusunod na ahensya:
* Tanggapan ng Ombud"&amp;"sman: [https://en.wikipedia.org/wiki/Ombudsman_of_the_Philippines](https://en.wikipedia.org/wiki/Ombudsman_of_the_Philippines)
* Commission on Audit: [https://www.coa.gov.ph/](https://www.coa.gov.ph/)")</f>
        <v>Dahil sa mga alalahanin sa privacy at sa patuloy na katangian ng ilang mga kaso, maaaring hindi available sa publiko ang mga partikular na detalye. Gayunpaman, narito ang ilang pangkalahatang legal na estratehiya na naging matagumpay sa pag-uusig sa pampulitikang katiwalian sa Pilipinas:
**Sinusundan ang Money Trail:**
* Ang mga batas laban sa money laundering (Republic Act No. 10365) ay maaaring gamitin upang subaybayan ang mga kahina-hinalang transaksyon sa pananalapi. * Ang mga tagausig ay maaaring bumuo ng isang kaso sa pamamagitan ng pagpapakita ng isang pattern ng hindi maipaliwanag na akumulasyon ng yaman ng isang pampublikong opisyal, lalo na kung ihahambing sa kanilang lehitimong kita.
**Paggamit ng Mga Proteksyon sa Whistleblower:**
* Ang Republic Act No. 6713 (An Act Establishing a Witness Protection, Security and Benefits Program, and Providing for Other Purposes) ay naghihikayat sa mga whistleblower na magpakita ng ebidensya ng katiwalian sa pamamagitan ng pagbibigay sa kanila ng proteksyon at mga benepisyo.
* Ang impormasyon ng tagaloob mula sa mga whistleblower ay maaaring maging mahalaga sa pag-alis ng mga pakana ng katiwalian at pagkilala sa mga pangunahing manlalaro.
**Pagtutulungan sa Pagitan ng Mga Ahensya:**
* Ang Tanggapan ng Ombudsman, Commission on Audit (COA), at Philippine National Police (PNP) ay maaaring pagsamahin ang mga mapagkukunan upang imbestigahan ang mga kumplikadong kaso ng katiwalian. * Ang bawat ahensya ay nagdadala ng kanilang partikular na kadalubhasaan sa talahanayan, na humahantong sa isang mas komprehensibong pagsisiyasat.
**Tumuon sa Mga Partikular na Krimen:**
* Ang katiwalian ay kadalasang nagsasangkot ng kumbinasyon ng mga pagkakasala. Maaaring tumutok ang mga tagausig sa mga partikular na krimen na may matibay na ebidensya, tulad ng panunuhol (Artikulo 211 ng Binagong Kodigo Penal) o malversation ng mga pampublikong pondo (Artikulo 212 ng Binagong Kodigo Penal). * Ang pagbuo ng isang malakas na kaso sa isang singil ay maaaring maging mas epektibo kaysa sa paghabol ng mas malawak na hanay ng mga akusasyon na may kaunting ebidensya.
**Paggamit ng Plea Bargain Agreements:**
* Sa ilang mga kaso, ang mga tagausig ay maaaring mag-alok ng plea bargain sa mas mababang antas na mga indibidwal na sangkot sa katiwalian. * Bilang kapalit ng mas magaan na sentensiya, ang mga indibidwal na ito ay maaaring magbigay ng mahalagang patotoo laban sa mga opisyal na may mataas na ranggo.
**Public Pressure at Media Scrutiny:**
* Ang kamalayan ng publiko at atensyon ng media ay maaaring maglagay ng pressure sa mga awtoridad na imbestigahan at litisin nang husto ang mga kaso ng katiwalian.
Mahalagang tandaan na ang pag-uusig sa pampulitikang katiwalian ay kadalasang kumplikado at nakakaubos ng oras. Ang mga estratehiyang binanggit sa itaas ay ilan lamang sa mga halimbawa, at ang pinakaepektibong paraan ay magdedepende sa mga partikular na kalagayan ng bawat kaso.
Para sa karagdagang impormasyon, maaari mong tuklasin ang mga website ng mga sumusunod na ahensya:
* Tanggapan ng Ombudsman: [https://en.wikipedia.org/wiki/Ombudsman_of_the_Philippines](https://en.wikipedia.org/wiki/Ombudsman_of_the_Philippines)
* Commission on Audit: [https://www.coa.gov.ph/](https://www.coa.gov.ph/)</v>
      </c>
      <c r="F1161" s="2">
        <f t="shared" si="1"/>
        <v>0</v>
      </c>
      <c r="G1161" s="2"/>
      <c r="H1161" s="2"/>
      <c r="I1161" s="2"/>
      <c r="J1161" s="2"/>
      <c r="K1161" s="2"/>
      <c r="L1161" s="2"/>
      <c r="M1161" s="2"/>
      <c r="N1161" s="2"/>
      <c r="O1161" s="2"/>
      <c r="P1161" s="2"/>
      <c r="Q1161" s="2"/>
      <c r="R1161" s="2"/>
      <c r="S1161" s="2"/>
      <c r="T1161" s="2"/>
      <c r="U1161" s="2"/>
      <c r="V1161" s="2"/>
      <c r="W1161" s="2"/>
      <c r="X1161" s="2"/>
      <c r="Y1161" s="2"/>
      <c r="Z1161" s="2"/>
      <c r="AA1161" s="2"/>
    </row>
    <row r="1162">
      <c r="A1162" s="1" t="s">
        <v>3356</v>
      </c>
      <c r="B1162" s="1" t="s">
        <v>3489</v>
      </c>
      <c r="C1162" s="1" t="s">
        <v>3490</v>
      </c>
      <c r="D1162" s="2" t="str">
        <f>IFERROR(__xludf.DUMMYFUNCTION("GOOGLETRANSLATE(B1162, ""en"", ""TL"")"),"Mayroon bang anumang mga limitasyon sa mga uri ng pampulitikang mga donasyon o mga kontribusyon na itinuturing na legal laban sa corrupt?")</f>
        <v>Mayroon bang anumang mga limitasyon sa mga uri ng pampulitikang mga donasyon o mga kontribusyon na itinuturing na legal laban sa corrupt?</v>
      </c>
      <c r="E1162" s="2" t="str">
        <f>IFERROR(__xludf.DUMMYFUNCTION("GOOGLETRANSLATE(C1162, ""en"", ""TL"")"),"Sa Pilipinas, may mga legal na probisyon na kumokontrol sa mga pampulitikang donasyon at kontribusyon upang matiyak ang transparency at maiwasan ang mga katiwalian. Ang ilang mahahalagang punto tungkol sa mga donasyon at kontribusyon sa pulitika ay kinabi"&amp;"bilangan ng:
1. **Mga Batas at Regulasyon:**
- Ang Omnibus Election Code at Republic Act No. 7166 ay namamahala sa pananalapi ng kampanya at mga kontribusyong pampulitika sa panahon ng halalan. Bukod pa rito, ang Commission on Elections (COMELEC) ay nagla"&amp;"labas ng mga tuntunin at regulasyon para ipatupad at ipatupad ang mga batas na ito.
2. **Pinagmulan ng Mga Kontribusyon:**
- Ang mga kontribusyon sa mga partidong pampulitika at mga kandidato ay karaniwang pinapayagan, ngunit may mga paghihigpit sa mga pi"&amp;"nagmumulan ng mga kontribusyong ito. Ang mga kontribusyon ay dapat magmula sa mga indibidwal, mamamayang Pilipino, at entity na hindi ipinagbabawal ng batas.
3. **Mga Limitasyon sa Mga Kontribusyon:**
- May mga limitasyon sa halaga na maaaring i-ambag ng "&amp;"mga indibidwal at entity sa mga partido o kandidato sa pulitika. Ang mga limitasyong ito ay itinakda ng batas at maaaring mag-iba depende sa posisyong hinahanap. Ang paglampas sa mga limitasyong ito ay maaaring humantong sa mga legal na kahihinatnan.
4. *"&amp;"*Mga Ipinagbabawal na Kontribusyon:**
- Ang ilang partikular na indibidwal at entity ay ipinagbabawal na gumawa ng mga kontribusyong pampulitika. Kabilang dito ang mga dayuhang entity, mga kontratista ng gobyerno, at mga pampublikong opisyal na mga kandid"&amp;"ato. Ang pagtanggap ng mga kontribusyon mula sa mga ipinagbabawal na mapagkukunan ay maaaring magresulta sa mga legal na kahihinatnan.
5. **Mga Kinakailangan sa Pagbubunyag:**
- Ang mga partido at kandidato sa pulitika ay kinakailangang ibunyag ang kanila"&amp;"ng mga kontribusyon at paggasta sa panahon ng kampanya. Ang transparency na ito ay inilaan upang maiwasan ang katiwalian at matiyak na ang publiko ay alam ang tungkol sa mga pinagmumulan ng pagpopondo ng mga kampanyang pampulitika.
6. **Korupsyon at Panun"&amp;"uhol:**
- Mahigpit na ipinagbabawal ang pag-aalok o pagtanggap ng mga suhol, kickback, o iba pang mga tiwaling gawain na may kaugnayan sa mga pampulitikang donasyon. Ang mga naturang aktibidad ay maaaring sumailalim sa mga kasong kriminal sa ilalim ng mga"&amp;" batas laban sa katiwalian.
Mahalaga para sa mga partidong pampulitika, kandidato, at kontribyutor na malaman at sumunod sa mga legal na probisyon na ito upang maiwasan ang mga legal na komplikasyon. Ang Commission on Elections (COMELEC) ay gumaganap ng i"&amp;"sang mahalagang papel sa pangangasiwa at pag-regulate ng mga aktibidad sa pananalapi ng kampanya upang matiyak ang pagiging patas at transparency sa proseso ng elektoral. Ang mga paglabag sa mga batas sa pananalapi ng kampanya ay maaaring magresulta sa mg"&amp;"a parusa, kabilang ang mga multa at diskwalipikasyon sa pagtakbo para sa pampublikong opisina. Ang mga indibidwal at entity na kasangkot sa mga kontribusyong pampulitika ay dapat humingi ng legal na payo upang matiyak ang pagsunod sa mga naaangkop na bata"&amp;"s at regulasyon.")</f>
        <v>Sa Pilipinas, may mga legal na probisyon na kumokontrol sa mga pampulitikang donasyon at kontribusyon upang matiyak ang transparency at maiwasan ang mga katiwalian. Ang ilang mahahalagang punto tungkol sa mga donasyon at kontribusyon sa pulitika ay kinabibilangan ng:
1. **Mga Batas at Regulasyon:**
- Ang Omnibus Election Code at Republic Act No. 7166 ay namamahala sa pananalapi ng kampanya at mga kontribusyong pampulitika sa panahon ng halalan. Bukod pa rito, ang Commission on Elections (COMELEC) ay naglalabas ng mga tuntunin at regulasyon para ipatupad at ipatupad ang mga batas na ito.
2. **Pinagmulan ng Mga Kontribusyon:**
- Ang mga kontribusyon sa mga partidong pampulitika at mga kandidato ay karaniwang pinapayagan, ngunit may mga paghihigpit sa mga pinagmumulan ng mga kontribusyong ito. Ang mga kontribusyon ay dapat magmula sa mga indibidwal, mamamayang Pilipino, at entity na hindi ipinagbabawal ng batas.
3. **Mga Limitasyon sa Mga Kontribusyon:**
- May mga limitasyon sa halaga na maaaring i-ambag ng mga indibidwal at entity sa mga partido o kandidato sa pulitika. Ang mga limitasyong ito ay itinakda ng batas at maaaring mag-iba depende sa posisyong hinahanap. Ang paglampas sa mga limitasyong ito ay maaaring humantong sa mga legal na kahihinatnan.
4. **Mga Ipinagbabawal na Kontribusyon:**
- Ang ilang partikular na indibidwal at entity ay ipinagbabawal na gumawa ng mga kontribusyong pampulitika. Kabilang dito ang mga dayuhang entity, mga kontratista ng gobyerno, at mga pampublikong opisyal na mga kandidato. Ang pagtanggap ng mga kontribusyon mula sa mga ipinagbabawal na mapagkukunan ay maaaring magresulta sa mga legal na kahihinatnan.
5. **Mga Kinakailangan sa Pagbubunyag:**
- Ang mga partido at kandidato sa pulitika ay kinakailangang ibunyag ang kanilang mga kontribusyon at paggasta sa panahon ng kampanya. Ang transparency na ito ay inilaan upang maiwasan ang katiwalian at matiyak na ang publiko ay alam ang tungkol sa mga pinagmumulan ng pagpopondo ng mga kampanyang pampulitika.
6. **Korupsyon at Panunuhol:**
- Mahigpit na ipinagbabawal ang pag-aalok o pagtanggap ng mga suhol, kickback, o iba pang mga tiwaling gawain na may kaugnayan sa mga pampulitikang donasyon. Ang mga naturang aktibidad ay maaaring sumailalim sa mga kasong kriminal sa ilalim ng mga batas laban sa katiwalian.
Mahalaga para sa mga partidong pampulitika, kandidato, at kontribyutor na malaman at sumunod sa mga legal na probisyon na ito upang maiwasan ang mga legal na komplikasyon. Ang Commission on Elections (COMELEC) ay gumaganap ng isang mahalagang papel sa pangangasiwa at pag-regulate ng mga aktibidad sa pananalapi ng kampanya upang matiyak ang pagiging patas at transparency sa proseso ng elektoral. Ang mga paglabag sa mga batas sa pananalapi ng kampanya ay maaaring magresulta sa mga parusa, kabilang ang mga multa at diskwalipikasyon sa pagtakbo para sa pampublikong opisina. Ang mga indibidwal at entity na kasangkot sa mga kontribusyong pampulitika ay dapat humingi ng legal na payo upang matiyak ang pagsunod sa mga naaangkop na batas at regulasyon.</v>
      </c>
      <c r="F1162" s="2">
        <f t="shared" si="1"/>
        <v>0</v>
      </c>
      <c r="G1162" s="2"/>
      <c r="H1162" s="2"/>
      <c r="I1162" s="2"/>
      <c r="J1162" s="2"/>
      <c r="K1162" s="2"/>
      <c r="L1162" s="2"/>
      <c r="M1162" s="2"/>
      <c r="N1162" s="2"/>
      <c r="O1162" s="2"/>
      <c r="P1162" s="2"/>
      <c r="Q1162" s="2"/>
      <c r="R1162" s="2"/>
      <c r="S1162" s="2"/>
      <c r="T1162" s="2"/>
      <c r="U1162" s="2"/>
      <c r="V1162" s="2"/>
      <c r="W1162" s="2"/>
      <c r="X1162" s="2"/>
      <c r="Y1162" s="2"/>
      <c r="Z1162" s="2"/>
      <c r="AA1162" s="2"/>
    </row>
    <row r="1163">
      <c r="A1163" s="1" t="s">
        <v>3356</v>
      </c>
      <c r="B1163" s="1" t="s">
        <v>3491</v>
      </c>
      <c r="C1163" s="1" t="s">
        <v>3492</v>
      </c>
      <c r="D1163" s="2" t="str">
        <f>IFERROR(__xludf.DUMMYFUNCTION("GOOGLETRANSLATE(B1163, ""en"", ""TL"")"),"Maaari bang magdemanda ang mga indibidwal sa mga partido o organisasyong pampulitika na sangkot sa mga kaso ng korapsyon sa pulitika?")</f>
        <v>Maaari bang magdemanda ang mga indibidwal sa mga partido o organisasyong pampulitika na sangkot sa mga kaso ng korapsyon sa pulitika?</v>
      </c>
      <c r="E1163" s="2" t="str">
        <f>IFERROR(__xludf.DUMMYFUNCTION("GOOGLETRANSLATE(C1163, ""en"", ""TL"")"),"Ang mga indibidwal ay maaaring magkaroon ng mga legal na paraan upang ituloy laban sa mga partidong pampulitika o mga organisasyong sangkot sa mga kaso ng pampulitikang katiwalian. Narito ang ilang potensyal na aksyon o legal na mekanismo:
1. **Mga Paghah"&amp;"abla Sibil:**
- Maaaring magsampa ng mga kasong sibil ang mga indibidwal laban sa mga partidong pampulitika o organisasyong sangkot sa katiwalian. Maaari silang humingi ng mga pinsala o iba pang mga remedyo para sa anumang pinsala o pagkalugi na natamo bi"&amp;"lang resulta ng mga tiwaling gawain.
2. **Mga Batas Anti-Graft at Korupsyon:**
- Ang Pilipinas ay may mga batas laban sa graft at katiwalian na maaaring gamitin upang panagutin ang mga indibidwal at entidad. Ang Republic Act No. 3019, na kilala rin bilang"&amp;" Anti-Graft and Corrupt Practices Act, ay ginagawang kriminal ang mga katiwalian ng mga pampublikong opisyal, kabilang ang mga nasa loob ng mga partidong pulitikal. Ang mga pribadong indibidwal na nakipagsabwatan sa mga pampublikong opisyal sa mga tiwalin"&amp;"g aktibidad ay maaari ding managot.
3. **Mga Batas sa Halalan:**
- Ang mga paglabag sa mga batas sa halalan, tulad ng mga nauugnay sa pagpopondo sa kampanya o pandaraya sa elektoral, ay maaaring magbigay ng mga batayan para sa legal na aksyon laban sa mga"&amp;" partidong pampulitika. Ang Omnibus Election Code at iba pang nauugnay na mga batas ay namamahala sa mga paglabag na may kaugnayan sa halalan.
4. **Mga Batas sa Proteksyon ng Whistleblower:**
- Ang mga whistleblower na naglalantad ng katiwalian sa loob ng"&amp;" mga partido o organisasyong pampulitika ay maaaring protektahan sa ilalim ng mga batas tulad ng Republic Act No. 6713 (Code of Conduct and Ethical Standards for Public Officials and Employees). Ang mga batas sa proteksyon ng whistleblower ay karaniwang p"&amp;"inoprotektahan ang mga indibidwal mula sa paghihiganti para sa pag-uulat ng mga tiwaling gawi.
5. **People's Initiative o Referendum:**
- Sa ilang mga kaso, maaaring may karapatan ang mga mamamayan na magpasimula ng mga legal na proseso sa pamamagitan ng "&amp;"people's initiative o referendum. Nagbibigay-daan ito sa mga botante na magmungkahi at gumawa ng mga batas o pagbabago nang direkta, na lumalampas sa proseso ng pambatasan.
Mahalagang tandaan na ang tagumpay ng mga legal na aksyon ay nakasalalay sa iba't "&amp;"ibang salik, kabilang ang pagkakaroon ng ebidensya, ang mga partikular na legal na probisyon na naaangkop sa kaso, at ang proseso ng hudikatura. Ang mga indibidwal na naghahangad na gumawa ng legal na aksyon laban sa mga partidong pampulitika o mga organi"&amp;"sasyong sangkot sa katiwalian ay dapat kumunsulta sa mga legal na propesyonal upang masuri ang posibilidad ng kanilang kaso at matukoy ang pinakaangkop na mga legal na mekanismo na dapat ituloy.")</f>
        <v>Ang mga indibidwal ay maaaring magkaroon ng mga legal na paraan upang ituloy laban sa mga partidong pampulitika o mga organisasyong sangkot sa mga kaso ng pampulitikang katiwalian. Narito ang ilang potensyal na aksyon o legal na mekanismo:
1. **Mga Paghahabla Sibil:**
- Maaaring magsampa ng mga kasong sibil ang mga indibidwal laban sa mga partidong pampulitika o organisasyong sangkot sa katiwalian. Maaari silang humingi ng mga pinsala o iba pang mga remedyo para sa anumang pinsala o pagkalugi na natamo bilang resulta ng mga tiwaling gawain.
2. **Mga Batas Anti-Graft at Korupsyon:**
- Ang Pilipinas ay may mga batas laban sa graft at katiwalian na maaaring gamitin upang panagutin ang mga indibidwal at entidad. Ang Republic Act No. 3019, na kilala rin bilang Anti-Graft and Corrupt Practices Act, ay ginagawang kriminal ang mga katiwalian ng mga pampublikong opisyal, kabilang ang mga nasa loob ng mga partidong pulitikal. Ang mga pribadong indibidwal na nakipagsabwatan sa mga pampublikong opisyal sa mga tiwaling aktibidad ay maaari ding managot.
3. **Mga Batas sa Halalan:**
- Ang mga paglabag sa mga batas sa halalan, tulad ng mga nauugnay sa pagpopondo sa kampanya o pandaraya sa elektoral, ay maaaring magbigay ng mga batayan para sa legal na aksyon laban sa mga partidong pampulitika. Ang Omnibus Election Code at iba pang nauugnay na mga batas ay namamahala sa mga paglabag na may kaugnayan sa halalan.
4. **Mga Batas sa Proteksyon ng Whistleblower:**
- Ang mga whistleblower na naglalantad ng katiwalian sa loob ng mga partido o organisasyong pampulitika ay maaaring protektahan sa ilalim ng mga batas tulad ng Republic Act No. 6713 (Code of Conduct and Ethical Standards for Public Officials and Employees). Ang mga batas sa proteksyon ng whistleblower ay karaniwang pinoprotektahan ang mga indibidwal mula sa paghihiganti para sa pag-uulat ng mga tiwaling gawi.
5. **People's Initiative o Referendum:**
- Sa ilang mga kaso, maaaring may karapatan ang mga mamamayan na magpasimula ng mga legal na proseso sa pamamagitan ng people's initiative o referendum. Nagbibigay-daan ito sa mga botante na magmungkahi at gumawa ng mga batas o pagbabago nang direkta, na lumalampas sa proseso ng pambatasan.
Mahalagang tandaan na ang tagumpay ng mga legal na aksyon ay nakasalalay sa iba't ibang salik, kabilang ang pagkakaroon ng ebidensya, ang mga partikular na legal na probisyon na naaangkop sa kaso, at ang proseso ng hudikatura. Ang mga indibidwal na naghahangad na gumawa ng legal na aksyon laban sa mga partidong pampulitika o mga organisasyong sangkot sa katiwalian ay dapat kumunsulta sa mga legal na propesyonal upang masuri ang posibilidad ng kanilang kaso at matukoy ang pinakaangkop na mga legal na mekanismo na dapat ituloy.</v>
      </c>
      <c r="F1163" s="2">
        <f t="shared" si="1"/>
        <v>0</v>
      </c>
      <c r="G1163" s="2"/>
      <c r="H1163" s="2"/>
      <c r="I1163" s="2"/>
      <c r="J1163" s="2"/>
      <c r="K1163" s="2"/>
      <c r="L1163" s="2"/>
      <c r="M1163" s="2"/>
      <c r="N1163" s="2"/>
      <c r="O1163" s="2"/>
      <c r="P1163" s="2"/>
      <c r="Q1163" s="2"/>
      <c r="R1163" s="2"/>
      <c r="S1163" s="2"/>
      <c r="T1163" s="2"/>
      <c r="U1163" s="2"/>
      <c r="V1163" s="2"/>
      <c r="W1163" s="2"/>
      <c r="X1163" s="2"/>
      <c r="Y1163" s="2"/>
      <c r="Z1163" s="2"/>
      <c r="AA1163" s="2"/>
    </row>
    <row r="1164">
      <c r="A1164" s="1" t="s">
        <v>3356</v>
      </c>
      <c r="B1164" s="1" t="s">
        <v>3493</v>
      </c>
      <c r="C1164" s="1" t="s">
        <v>3494</v>
      </c>
      <c r="D1164" s="2" t="str">
        <f>IFERROR(__xludf.DUMMYFUNCTION("GOOGLETRANSLATE(B1164, ""en"", ""TL"")"),"Anong mga legal na proteksyon ang umiiral para sa mga mamamahayag o whistleblower na naglalantad ng mga pagkakataon ng pampulitikang katiwalian?")</f>
        <v>Anong mga legal na proteksyon ang umiiral para sa mga mamamahayag o whistleblower na naglalantad ng mga pagkakataon ng pampulitikang katiwalian?</v>
      </c>
      <c r="E1164" s="2" t="str">
        <f>IFERROR(__xludf.DUMMYFUNCTION("GOOGLETRANSLATE(C1164, ""en"", ""TL"")"),"Sa Pilipinas, ang mga legal na proteksyon para sa mga mamamahayag at whistleblower na naglalantad ng mga pagkakataon ng korapsyon sa pulitika ay nakabalangkas sa iba't ibang batas. Ang ilang pangunahing legal na probisyon ay kinabibilangan ng:
1. **Kalaya"&amp;"an sa Pamamahayag:**
- Ang Artikulo III, Seksyon 4 ng 1987 Konstitusyon ng Pilipinas ay ginagarantiyahan ang kalayaan sa pagsasalita, pagpapahayag, at ng pamamahayag. Ang probisyon ng konstitusyon na ito ay nagsisilbing isang pangunahing proteksyon para s"&amp;"a mga mamamahayag upang mag-ulat tungkol sa mga usapin ng pampublikong interes, kabilang ang pampulitikang katiwalian.
2. **Republic Act No. 53 (Seditious Libel Law):**
- Habang ang batas na ito ay pinawalang-bisa, ang pagpapawalang-bisa nito ay nangangah"&amp;"ulugan ng isang hakbang patungo sa proteksyon ng malayang pananalita at kalayaan sa pamamahayag. Ang pag-alis ng mga batas na nagsasakriminal sa libel ay nag-ambag sa isang mas kanais-nais na kapaligiran para sa mga mamamahayag na mag-ulat ng katiwalian n"&amp;"ang walang takot sa mga legal na epekto.
3. **Republic Act No. 6713 (Code of Conduct and Ethical Standards for Public Officials and Employees):**
- Ang batas na ito ay nagtatatag ng mga pamantayang etikal para sa mga pampublikong opisyal at empleyado. Hin"&amp;"ihikayat nito ang pag-uulat ng maling gawain at pinoprotektahan ang mga whistleblower mula sa paghihiganti. Isinasaad ng Seksyon 4 ng RA 6713 ang karapatan ng mga empleyado ng gobyerno na protektahan laban sa mga gawa ng paghihiganti kapag nagbubunyag ng "&amp;"mga gawaing katiwalian.
4. **Republic Act No. 10173 (Data Privacy Act of 2012):**
- Bagama't pangunahing nakatuon sa privacy ng data, naglalaman din ang batas na ito ng mga probisyon na nagpoprotekta sa mga indibidwal na nag-uulat ng mga labag sa batas na"&amp;" aktibidad, kabilang ang katiwalian. Ang mga whistleblower na nagbubunyag ng impormasyon tungkol sa mga tiwaling gawi ay karaniwang protektado mula sa anumang anyo ng paghihiganti.
5. **Batas sa Proteksyon, Seguridad at Benepisyo ng Saksi (Republic Act No"&amp;". 6981):**
- Ang batas na ito ay nagbibigay ng proteksyon sa mga testigo, kabilang ang mga whistleblower, na tumestigo o nagbibigay ng impormasyon sa mga pagsisiyasat, partikular na laban sa mga sangkot sa mga tiwaling aktibidad. Kabilang dito ang mga hak"&amp;"bang upang matiyak ang kaligtasan at seguridad ng mga saksi.
Mahalagang tandaan na habang umiiral ang mga legal na probisyon na ito, maaaring mag-iba ang aktwal na pagpapatupad at pagiging epektibo ng mga proteksyong ito. Ang mga mamamahayag at whistleblo"&amp;"wer ay maaari pa ring humarap sa mga hamon, at ang adbokasiya para sa proteksyon ng kalayaan sa pamamahayag at mga karapatan ng mga whistleblower ay patuloy na mahalaga sa pagtataguyod ng transparency at pananagutan sa Pilipinas.")</f>
        <v>Sa Pilipinas, ang mga legal na proteksyon para sa mga mamamahayag at whistleblower na naglalantad ng mga pagkakataon ng korapsyon sa pulitika ay nakabalangkas sa iba't ibang batas. Ang ilang pangunahing legal na probisyon ay kinabibilangan ng:
1. **Kalayaan sa Pamamahayag:**
- Ang Artikulo III, Seksyon 4 ng 1987 Konstitusyon ng Pilipinas ay ginagarantiyahan ang kalayaan sa pagsasalita, pagpapahayag, at ng pamamahayag. Ang probisyon ng konstitusyon na ito ay nagsisilbing isang pangunahing proteksyon para sa mga mamamahayag upang mag-ulat tungkol sa mga usapin ng pampublikong interes, kabilang ang pampulitikang katiwalian.
2. **Republic Act No. 53 (Seditious Libel Law):**
- Habang ang batas na ito ay pinawalang-bisa, ang pagpapawalang-bisa nito ay nangangahulugan ng isang hakbang patungo sa proteksyon ng malayang pananalita at kalayaan sa pamamahayag. Ang pag-alis ng mga batas na nagsasakriminal sa libel ay nag-ambag sa isang mas kanais-nais na kapaligiran para sa mga mamamahayag na mag-ulat ng katiwalian nang walang takot sa mga legal na epekto.
3. **Republic Act No. 6713 (Code of Conduct and Ethical Standards for Public Officials and Employees):**
- Ang batas na ito ay nagtatatag ng mga pamantayang etikal para sa mga pampublikong opisyal at empleyado. Hinihikayat nito ang pag-uulat ng maling gawain at pinoprotektahan ang mga whistleblower mula sa paghihiganti. Isinasaad ng Seksyon 4 ng RA 6713 ang karapatan ng mga empleyado ng gobyerno na protektahan laban sa mga gawa ng paghihiganti kapag nagbubunyag ng mga gawaing katiwalian.
4. **Republic Act No. 10173 (Data Privacy Act of 2012):**
- Bagama't pangunahing nakatuon sa privacy ng data, naglalaman din ang batas na ito ng mga probisyon na nagpoprotekta sa mga indibidwal na nag-uulat ng mga labag sa batas na aktibidad, kabilang ang katiwalian. Ang mga whistleblower na nagbubunyag ng impormasyon tungkol sa mga tiwaling gawi ay karaniwang protektado mula sa anumang anyo ng paghihiganti.
5. **Batas sa Proteksyon, Seguridad at Benepisyo ng Saksi (Republic Act No. 6981):**
- Ang batas na ito ay nagbibigay ng proteksyon sa mga testigo, kabilang ang mga whistleblower, na tumestigo o nagbibigay ng impormasyon sa mga pagsisiyasat, partikular na laban sa mga sangkot sa mga tiwaling aktibidad. Kabilang dito ang mga hakbang upang matiyak ang kaligtasan at seguridad ng mga saksi.
Mahalagang tandaan na habang umiiral ang mga legal na probisyon na ito, maaaring mag-iba ang aktwal na pagpapatupad at pagiging epektibo ng mga proteksyong ito. Ang mga mamamahayag at whistleblower ay maaari pa ring humarap sa mga hamon, at ang adbokasiya para sa proteksyon ng kalayaan sa pamamahayag at mga karapatan ng mga whistleblower ay patuloy na mahalaga sa pagtataguyod ng transparency at pananagutan sa Pilipinas.</v>
      </c>
      <c r="F1164" s="2">
        <f t="shared" si="1"/>
        <v>0</v>
      </c>
      <c r="G1164" s="2"/>
      <c r="H1164" s="2"/>
      <c r="I1164" s="2"/>
      <c r="J1164" s="2"/>
      <c r="K1164" s="2"/>
      <c r="L1164" s="2"/>
      <c r="M1164" s="2"/>
      <c r="N1164" s="2"/>
      <c r="O1164" s="2"/>
      <c r="P1164" s="2"/>
      <c r="Q1164" s="2"/>
      <c r="R1164" s="2"/>
      <c r="S1164" s="2"/>
      <c r="T1164" s="2"/>
      <c r="U1164" s="2"/>
      <c r="V1164" s="2"/>
      <c r="W1164" s="2"/>
      <c r="X1164" s="2"/>
      <c r="Y1164" s="2"/>
      <c r="Z1164" s="2"/>
      <c r="AA1164" s="2"/>
    </row>
    <row r="1165">
      <c r="A1165" s="1" t="s">
        <v>3356</v>
      </c>
      <c r="B1165" s="1" t="s">
        <v>3495</v>
      </c>
      <c r="C1165" s="1" t="s">
        <v>3496</v>
      </c>
      <c r="D1165" s="2" t="str">
        <f>IFERROR(__xludf.DUMMYFUNCTION("GOOGLETRANSLATE(B1165, ""en"", ""TL"")"),"Maaari bang magsampa ng mga reklamo ang mga indibidwal sa mga komisyon sa etika o mga katawan ng regulasyon upang imbestigahan ang mga paratang ng katiwalian sa pulitika?")</f>
        <v>Maaari bang magsampa ng mga reklamo ang mga indibidwal sa mga komisyon sa etika o mga katawan ng regulasyon upang imbestigahan ang mga paratang ng katiwalian sa pulitika?</v>
      </c>
      <c r="E1165" s="2" t="str">
        <f>IFERROR(__xludf.DUMMYFUNCTION("GOOGLETRANSLATE(C1165, ""en"", ""TL"")"),"Oo, ang mga indibidwal ay kadalasang maaaring magsampa ng mga reklamo sa mga komisyon sa etika o mga katawan ng regulasyon upang imbestigahan ang mga paratang ng katiwalian sa pulitika. Maraming mga bansa ang nagtatag ng mga espesyal na entity na responsa"&amp;"ble para sa pangangasiwa sa etikal na pag-uugali, pagsisiyasat ng mga reklamo, at pagsasagawa ng naaangkop na aksyon laban sa mga pampublikong opisyal na sangkot sa mga katiwalian. Ang mga partikular na pangalan at istruktura ng mga katawan na ito ay maaa"&amp;"ring mag-iba ayon sa hurisdiksyon, ngunit ang mga ito sa pangkalahatan ay nagsisilbing mga mekanismo para sa pagtataguyod ng transparency at pananagutan sa pamahalaan. Ang ilang mga pangunahing pagsasaalang-alang ay kinabibilangan ng:
1. **Mga Komisyon sa"&amp;" Etika:**
- Ang mga komisyon sa etika ay mga independiyenteng katawan na may katungkulan sa pagtataguyod ng etikal na pag-uugali at integridad sa pamahalaan. Madalas silang may awtoridad na tumanggap at mag-imbestiga ng mga reklamo na may kaugnayan sa mga"&amp;" paglabag sa etika, kabilang ang pampulitikang katiwalian.
2. **Mga Ahensyang Anti-Korupsyon:**
- Sa ilang bansa, may pananagutan ang mga dalubhasang ahensya laban sa katiwalian sa pagsisiyasat at pagtugon sa katiwalian, kabilang ang mga paratang na kinas"&amp;"asangkutan ng mga pulitiko o opisyal ng gobyerno. Ang mga ahensyang ito ay maaaring may nakalaang mga yunit na nakatuon sa etika at integridad.
3. **Mga Opisina ng Ombudsman:**
- Ang mga tanggapan ng Ombudsman, tulad ng Opisina ng Ombudsman sa Pilipinas, "&amp;"ay may mahalagang papel sa pagtanggap at pagsisiyasat ng mga reklamo laban sa mga pampublikong opisyal. Sila ang may tungkuling tugunan ang mga karaingan na may kaugnayan sa mga opisyal na gawain o pagkukulang, kabilang ang katiwalian.
4. **Mga Pamamaraan"&amp;" sa Pagrereklamo:**
- Ang bawat komisyon sa etika o regulatory body ay karaniwang nagtatag ng mga pamamaraan para sa paghahain ng mga reklamo. Maaaring kasama sa mga pamamaraang ito ang mga partikular na form o format para sa pagsusumite ng mga reklamo, m"&amp;"ga alituntunin para sa pagbibigay ng ebidensya, at impormasyon sa mga uri ng mga paratang na maaari nilang imbestigahan.
5. **Pagiging Kumpidensyal at Proteksyon ng mga Whistleblower:**
- Maraming hurisdiksyon ang inuuna ang proteksyon ng mga whistleblowe"&amp;"r na naghahatid ng impormasyon tungkol sa katiwalian. Ang mga pamamaraan ng reklamo ay kadalasang kinabibilangan ng mga hakbang upang matiyak ang pagiging kumpidensyal ng mga nagrereklamo at protektahan sila mula sa paghihiganti.
6. **Proseso ng Pagsisiya"&amp;"sat:**
- Kapag naihain na ang isang reklamo, ang komisyon ng etika o katawan ng regulasyon ay magpapasimula ng pagsisiyasat. Ang prosesong ito ay maaaring may kasamang pangangalap ng ebidensya, pakikipanayam sa mga saksi, at pagtatasa sa katotohanan ng mg"&amp;"a paratang.
7. **Mga Rekomendasyon at Pagkilos:**
- Kasunod ng pagsisiyasat, ang ethics commission o regulatory body ay maaaring gumawa ng mga rekomendasyon o gumawa ng mga aksyon batay sa kanilang mga natuklasan. Maaaring kabilang dito ang pagre-refer ng"&amp;" mga kaso para sa pag-uusig, pagrekomenda ng mga hakbang sa pagdidisiplina, o pagmumungkahi ng mga pagbabago sa patakaran upang maiwasan ang katiwalian sa hinaharap.
8. **Pampublikong Pag-uulat:**
- Sa ilang mga kaso, ang mga komisyon sa etika ay maaaring"&amp;" maglabas ng mga pampublikong ulat sa kanilang mga pagsisiyasat, na nag-aambag sa transparency at pampublikong kamalayan. Ang antas ng detalyeng ibinunyag sa naturang mga ulat ay maaaring mag-iba depende sa legal at privacy na mga pagsasaalang-alang.
Maha"&amp;"laga para sa mga indibidwal na nagsampa ng mga reklamo na maging pamilyar sa mga partikular na pamamaraan at kinakailangan ng may-katuturang komisyon sa etika o katawan ng regulasyon sa kanilang nasasakupan. Ang pagkonsulta sa mga legal na propesyonal o o"&amp;"rganisasyon ng adbokasiya na dalubhasa sa mga pagsusumikap laban sa katiwalian ay maaaring magbigay ng gabay sa pinakamabisa at naaangkop na mga hakbang na dapat gawin sa pagtugon sa mga paratang ng pampulitikang katiwalian.")</f>
        <v>Oo, ang mga indibidwal ay kadalasang maaaring magsampa ng mga reklamo sa mga komisyon sa etika o mga katawan ng regulasyon upang imbestigahan ang mga paratang ng katiwalian sa pulitika. Maraming mga bansa ang nagtatag ng mga espesyal na entity na responsable para sa pangangasiwa sa etikal na pag-uugali, pagsisiyasat ng mga reklamo, at pagsasagawa ng naaangkop na aksyon laban sa mga pampublikong opisyal na sangkot sa mga katiwalian. Ang mga partikular na pangalan at istruktura ng mga katawan na ito ay maaaring mag-iba ayon sa hurisdiksyon, ngunit ang mga ito sa pangkalahatan ay nagsisilbing mga mekanismo para sa pagtataguyod ng transparency at pananagutan sa pamahalaan. Ang ilang mga pangunahing pagsasaalang-alang ay kinabibilangan ng:
1. **Mga Komisyon sa Etika:**
- Ang mga komisyon sa etika ay mga independiyenteng katawan na may katungkulan sa pagtataguyod ng etikal na pag-uugali at integridad sa pamahalaan. Madalas silang may awtoridad na tumanggap at mag-imbestiga ng mga reklamo na may kaugnayan sa mga paglabag sa etika, kabilang ang pampulitikang katiwalian.
2. **Mga Ahensyang Anti-Korupsyon:**
- Sa ilang bansa, may pananagutan ang mga dalubhasang ahensya laban sa katiwalian sa pagsisiyasat at pagtugon sa katiwalian, kabilang ang mga paratang na kinasasangkutan ng mga pulitiko o opisyal ng gobyerno. Ang mga ahensyang ito ay maaaring may nakalaang mga yunit na nakatuon sa etika at integridad.
3. **Mga Opisina ng Ombudsman:**
- Ang mga tanggapan ng Ombudsman, tulad ng Opisina ng Ombudsman sa Pilipinas, ay may mahalagang papel sa pagtanggap at pagsisiyasat ng mga reklamo laban sa mga pampublikong opisyal. Sila ang may tungkuling tugunan ang mga karaingan na may kaugnayan sa mga opisyal na gawain o pagkukulang, kabilang ang katiwalian.
4. **Mga Pamamaraan sa Pagrereklamo:**
- Ang bawat komisyon sa etika o regulatory body ay karaniwang nagtatag ng mga pamamaraan para sa paghahain ng mga reklamo. Maaaring kasama sa mga pamamaraang ito ang mga partikular na form o format para sa pagsusumite ng mga reklamo, mga alituntunin para sa pagbibigay ng ebidensya, at impormasyon sa mga uri ng mga paratang na maaari nilang imbestigahan.
5. **Pagiging Kumpidensyal at Proteksyon ng mga Whistleblower:**
- Maraming hurisdiksyon ang inuuna ang proteksyon ng mga whistleblower na naghahatid ng impormasyon tungkol sa katiwalian. Ang mga pamamaraan ng reklamo ay kadalasang kinabibilangan ng mga hakbang upang matiyak ang pagiging kumpidensyal ng mga nagrereklamo at protektahan sila mula sa paghihiganti.
6. **Proseso ng Pagsisiyasat:**
- Kapag naihain na ang isang reklamo, ang komisyon ng etika o katawan ng regulasyon ay magpapasimula ng pagsisiyasat. Ang prosesong ito ay maaaring may kasamang pangangalap ng ebidensya, pakikipanayam sa mga saksi, at pagtatasa sa katotohanan ng mga paratang.
7. **Mga Rekomendasyon at Pagkilos:**
- Kasunod ng pagsisiyasat, ang ethics commission o regulatory body ay maaaring gumawa ng mga rekomendasyon o gumawa ng mga aksyon batay sa kanilang mga natuklasan. Maaaring kabilang dito ang pagre-refer ng mga kaso para sa pag-uusig, pagrekomenda ng mga hakbang sa pagdidisiplina, o pagmumungkahi ng mga pagbabago sa patakaran upang maiwasan ang katiwalian sa hinaharap.
8. **Pampublikong Pag-uulat:**
- Sa ilang mga kaso, ang mga komisyon sa etika ay maaaring maglabas ng mga pampublikong ulat sa kanilang mga pagsisiyasat, na nag-aambag sa transparency at pampublikong kamalayan. Ang antas ng detalyeng ibinunyag sa naturang mga ulat ay maaaring mag-iba depende sa legal at privacy na mga pagsasaalang-alang.
Mahalaga para sa mga indibidwal na nagsampa ng mga reklamo na maging pamilyar sa mga partikular na pamamaraan at kinakailangan ng may-katuturang komisyon sa etika o katawan ng regulasyon sa kanilang nasasakupan. Ang pagkonsulta sa mga legal na propesyonal o organisasyon ng adbokasiya na dalubhasa sa mga pagsusumikap laban sa katiwalian ay maaaring magbigay ng gabay sa pinakamabisa at naaangkop na mga hakbang na dapat gawin sa pagtugon sa mga paratang ng pampulitikang katiwalian.</v>
      </c>
      <c r="F1165" s="2">
        <f t="shared" si="1"/>
        <v>0</v>
      </c>
      <c r="G1165" s="2"/>
      <c r="H1165" s="2"/>
      <c r="I1165" s="2"/>
      <c r="J1165" s="2"/>
      <c r="K1165" s="2"/>
      <c r="L1165" s="2"/>
      <c r="M1165" s="2"/>
      <c r="N1165" s="2"/>
      <c r="O1165" s="2"/>
      <c r="P1165" s="2"/>
      <c r="Q1165" s="2"/>
      <c r="R1165" s="2"/>
      <c r="S1165" s="2"/>
      <c r="T1165" s="2"/>
      <c r="U1165" s="2"/>
      <c r="V1165" s="2"/>
      <c r="W1165" s="2"/>
      <c r="X1165" s="2"/>
      <c r="Y1165" s="2"/>
      <c r="Z1165" s="2"/>
      <c r="AA1165" s="2"/>
    </row>
    <row r="1166">
      <c r="A1166" s="1" t="s">
        <v>3356</v>
      </c>
      <c r="B1166" s="1" t="s">
        <v>3497</v>
      </c>
      <c r="C1166" s="1" t="s">
        <v>3498</v>
      </c>
      <c r="D1166" s="2" t="str">
        <f>IFERROR(__xludf.DUMMYFUNCTION("GOOGLETRANSLATE(B1166, ""en"", ""TL"")"),"Paano nalalapat ang mga batas sa salungatan ng interes sa mga pulitiko at opisyal ng gobyerno, at paano ito ipinapatupad?")</f>
        <v>Paano nalalapat ang mga batas sa salungatan ng interes sa mga pulitiko at opisyal ng gobyerno, at paano ito ipinapatupad?</v>
      </c>
      <c r="E1166" s="2" t="str">
        <f>IFERROR(__xludf.DUMMYFUNCTION("GOOGLETRANSLATE(C1166, ""en"", ""TL"")"),"Sa Pilipinas, ang mga salungatan ng interes para sa mga pulitiko at opisyal ng gobyerno ay pangunahing tinutugunan ng dalawang pangunahing bahagi ng batas:
**1. Republic Act No. 6713 (The Code of Conduct and Ethical Standards for Public Officials and Empl"&amp;"oyees):**
Tinutukoy ng batas na ito ang salungatan ng interes bilang isang sitwasyon kung saan ang isang pampublikong opisyal o empleyado ay may pinansiyal o personal na interes na **tutol o apektado ng tapat na pagganap ng opisyal na tungkulin**. Maaarin"&amp;"g kabilang dito ang:
* Ang pagiging miyembro ng lupon, opisyal, o malaking stockholder ng isang pribadong korporasyon na may mga pakikitungo sa ahensya ng gobyerno.
* Pagmamay-ari o pagkakaroon ng malaking interes sa isang negosyo na maaaring makinabang s"&amp;"a mga desisyon ng gobyerno na ginawa ng opisyal.
* Ang pagkakaroon ng malalapit na kamag-anak (hanggang sa mga unang pinsan) na nagtatrabaho sa isang posisyon na maaaring maapektuhan nang malaki sa mga aksyon ng opisyal.
**Paano ito ipinapatupad:**
* **Pa"&amp;"gsisiwalat at Pagbabawas:** Kinakailangang ibunyag ng mga opisyal ang kanilang mga interes sa pananalapi at posibleng alisin ang kanilang mga sarili sa mga pag-aari na lumikha ng salungatan ng interes sa loob ng tinukoy na takdang panahon (karaniwan ay 30"&amp;"-60 araw).
* **Mga Sanction:** Ang kabiguang sumunod sa mga kinakailangan sa pagsisiwalat o pagsali sa mga gawaing bumubuo ng salungatan ng interes ay maaaring humantong sa mga parusang pang-administratibo, kabilang ang pagsususpinde o pagtanggal sa serbi"&amp;"syo.
**2. Local Government Code (Seksyon 46):**
Partikular na nalalapat ang batas na ito sa mga opisyal ng lokal na pamahalaan at umaalingawngaw ang mga katulad na prinsipyo gaya ng RA 6713. Ipinagbabawal nito ang mga opisyal na pumasok sa mga kontrata sa"&amp;" gobyerno o anumang subdivision kung saan sila ay may conflict of interest.
**Mga Mekanismo ng Pagpapatupad:**
* **Ombudsman:** Ang Opisina ng Ombudsman ay ang pangunahing ahensya na responsable sa pag-iimbestiga at pag-uusig ng mga paglabag sa RA 6713. A"&amp;"ng mga indibidwal ay maaaring magsampa ng mga reklamo sa Ombudsman kung pinaghihinalaan nilang may salungatan ng interes.
* **Civil Society Organizations (CSOs):** CSOs can play a crucial role in monitoring actions government and expose potential conflict"&amp;"s of interest.
* **Media:** Maaaring matuklasan ng investigative journalism ang mga salungatan ng interes at dalhin ang mga ito sa atensyon ng publiko.
**Mga Limitasyon:**
* **Self-Regulation:** Ang pagpapatupad ng mga batas na ito ay lubos na umaasa sa m"&amp;"ga opisyal na nag-uulat sa sarili ng mga salungatan ng interes. * **Mga Loopholes at Weaknesses:** Maaaring hindi saklaw ng mga batas ang lahat ng potensyal na sitwasyon, at maaaring umiral ang ilang butas.
* **Burden of Proof:** Ang pasanin ng pagpapatun"&amp;"ay ng isang salungatan ng interes ay kadalasang nauukol sa nagrereklamo, na maaaring maging mahirap.
**Konklusyon:**
Bagama't ang Pilipinas ay may mga legal na balangkas na inilalagay upang tugunan ang mga salungatan ng interes, ang epektibong pagpapatupa"&amp;"d at isang malakas na kultura ng etikal na pag-uugali ay mahalaga upang tunay na matiyak na ang mga pampublikong opisyal ay inuuna ang kapakanan ng publiko kaysa sa personal na pakinabang.")</f>
        <v>Sa Pilipinas, ang mga salungatan ng interes para sa mga pulitiko at opisyal ng gobyerno ay pangunahing tinutugunan ng dalawang pangunahing bahagi ng batas:
**1. Republic Act No. 6713 (The Code of Conduct and Ethical Standards for Public Officials and Employees):**
Tinutukoy ng batas na ito ang salungatan ng interes bilang isang sitwasyon kung saan ang isang pampublikong opisyal o empleyado ay may pinansiyal o personal na interes na **tutol o apektado ng tapat na pagganap ng opisyal na tungkulin**. Maaaring kabilang dito ang:
* Ang pagiging miyembro ng lupon, opisyal, o malaking stockholder ng isang pribadong korporasyon na may mga pakikitungo sa ahensya ng gobyerno.
* Pagmamay-ari o pagkakaroon ng malaking interes sa isang negosyo na maaaring makinabang sa mga desisyon ng gobyerno na ginawa ng opisyal.
* Ang pagkakaroon ng malalapit na kamag-anak (hanggang sa mga unang pinsan) na nagtatrabaho sa isang posisyon na maaaring maapektuhan nang malaki sa mga aksyon ng opisyal.
**Paano ito ipinapatupad:**
* **Pagsisiwalat at Pagbabawas:** Kinakailangang ibunyag ng mga opisyal ang kanilang mga interes sa pananalapi at posibleng alisin ang kanilang mga sarili sa mga pag-aari na lumikha ng salungatan ng interes sa loob ng tinukoy na takdang panahon (karaniwan ay 30-60 araw).
* **Mga Sanction:** Ang kabiguang sumunod sa mga kinakailangan sa pagsisiwalat o pagsali sa mga gawaing bumubuo ng salungatan ng interes ay maaaring humantong sa mga parusang pang-administratibo, kabilang ang pagsususpinde o pagtanggal sa serbisyo.
**2. Local Government Code (Seksyon 46):**
Partikular na nalalapat ang batas na ito sa mga opisyal ng lokal na pamahalaan at umaalingawngaw ang mga katulad na prinsipyo gaya ng RA 6713. Ipinagbabawal nito ang mga opisyal na pumasok sa mga kontrata sa gobyerno o anumang subdivision kung saan sila ay may conflict of interest.
**Mga Mekanismo ng Pagpapatupad:**
* **Ombudsman:** Ang Opisina ng Ombudsman ay ang pangunahing ahensya na responsable sa pag-iimbestiga at pag-uusig ng mga paglabag sa RA 6713. Ang mga indibidwal ay maaaring magsampa ng mga reklamo sa Ombudsman kung pinaghihinalaan nilang may salungatan ng interes.
* **Civil Society Organizations (CSOs):** CSOs can play a crucial role in monitoring actions government and expose potential conflicts of interest.
* **Media:** Maaaring matuklasan ng investigative journalism ang mga salungatan ng interes at dalhin ang mga ito sa atensyon ng publiko.
**Mga Limitasyon:**
* **Self-Regulation:** Ang pagpapatupad ng mga batas na ito ay lubos na umaasa sa mga opisyal na nag-uulat sa sarili ng mga salungatan ng interes. * **Mga Loopholes at Weaknesses:** Maaaring hindi saklaw ng mga batas ang lahat ng potensyal na sitwasyon, at maaaring umiral ang ilang butas.
* **Burden of Proof:** Ang pasanin ng pagpapatunay ng isang salungatan ng interes ay kadalasang nauukol sa nagrereklamo, na maaaring maging mahirap.
**Konklusyon:**
Bagama't ang Pilipinas ay may mga legal na balangkas na inilalagay upang tugunan ang mga salungatan ng interes, ang epektibong pagpapatupad at isang malakas na kultura ng etikal na pag-uugali ay mahalaga upang tunay na matiyak na ang mga pampublikong opisyal ay inuuna ang kapakanan ng publiko kaysa sa personal na pakinabang.</v>
      </c>
      <c r="F1166" s="2">
        <f t="shared" si="1"/>
        <v>0</v>
      </c>
      <c r="G1166" s="2"/>
      <c r="H1166" s="2"/>
      <c r="I1166" s="2"/>
      <c r="J1166" s="2"/>
      <c r="K1166" s="2"/>
      <c r="L1166" s="2"/>
      <c r="M1166" s="2"/>
      <c r="N1166" s="2"/>
      <c r="O1166" s="2"/>
      <c r="P1166" s="2"/>
      <c r="Q1166" s="2"/>
      <c r="R1166" s="2"/>
      <c r="S1166" s="2"/>
      <c r="T1166" s="2"/>
      <c r="U1166" s="2"/>
      <c r="V1166" s="2"/>
      <c r="W1166" s="2"/>
      <c r="X1166" s="2"/>
      <c r="Y1166" s="2"/>
      <c r="Z1166" s="2"/>
      <c r="AA1166" s="2"/>
    </row>
    <row r="1167">
      <c r="A1167" s="1" t="s">
        <v>3356</v>
      </c>
      <c r="B1167" s="1" t="s">
        <v>3499</v>
      </c>
      <c r="C1167" s="1" t="s">
        <v>3500</v>
      </c>
      <c r="D1167" s="2" t="str">
        <f>IFERROR(__xludf.DUMMYFUNCTION("GOOGLETRANSLATE(B1167, ""en"", ""TL"")"),"Maaari bang magsampa ng kaso ang mga indibidwal laban sa mga kumpanya o organisasyong nagsasagawa ng mga tiwaling gawi upang maimpluwensyahan ang mga pampulitikang desisyon?")</f>
        <v>Maaari bang magsampa ng kaso ang mga indibidwal laban sa mga kumpanya o organisasyong nagsasagawa ng mga tiwaling gawi upang maimpluwensyahan ang mga pampulitikang desisyon?</v>
      </c>
      <c r="E1167" s="2" t="str">
        <f>IFERROR(__xludf.DUMMYFUNCTION("GOOGLETRANSLATE(C1167, ""en"", ""TL"")"),"Sa Pilipinas, **limitado** ang kakayahan ng mga indibidwal na direktang magdemanda sa mga kumpanya o organisasyon para sa mga tiwaling gawi na nakakaimpluwensya sa mga pampulitikang desisyon, ngunit may mga alternatibong paraan upang ituloy ang pananaguta"&amp;"n. Narito ang isang breakdown:
**Mga Hamon sa Direktang Paghahabla:**
* **Di-tuwirang Dahilan:** Maaaring mahirap patunayan ang direktang sanhi sa pagitan ng tiwaling pagkilos ng isang kumpanya at isang partikular na pampulitikang desisyon. * **Standing:*"&amp;"* Maaaring kailanganin ng isang indibidwal na magpakita ng isang partikular na personal na pinsala na nagreresulta mula sa katiwalian upang magkaroon ng legal na katayuan upang magdemanda.
**Mga Alternatibong Pamamaraan:**
* **Securities and Exchange Comm"&amp;"ission (SEC):** Maaaring magsampa ng mga reklamo ang mga indibidwal sa SEC kung ang mga tiwaling gawi ay kinasasangkutan ng mga pampublikong nakalistang kumpanya na nagmamanipula sa stock market upang maimpluwensyahan ang mga pampulitikang desisyon.
* **O"&amp;"pisina ng Ombudsman:** Ang Opisina ng Ombudsman ay may hurisdiksyon sa pag-iimbestiga at pag-uusig sa mga pampublikong opisyal na sangkot sa katiwalian. Ang mga indibidwal ay maaaring magsampa ng mga reklamo sa Ombudsman kung pinaghihinalaan nila ang isan"&amp;"g kumpanya ay nanunuhol sa mga opisyal ng gobyerno upang maimpluwensyahan ang isang desisyon.
* **Sandiganbayan:** Ang Sandiganbayan ay isang espesyal na anti-graft court na humahawak ng mga kaso laban sa mga opisyal ng gobyerno na inakusahan ng katiwalia"&amp;"n. Ang mga indibidwal ay maaaring magsumite ng ebidensya ng pagkakasangkot ng isang kumpanya sa mga tiwaling opisyal sa Sandiganbayan.
* **Public Pressure and Advocacy:** Ang pagpapataas ng kamalayan ng publiko sa pamamagitan ng mga kampanya at protesta s"&amp;"a media ay maaaring magbigay ng pressure sa mga kumpanya at opisyal ng gobyerno na tugunan ang katiwalian.
**Potensyal na Legal na Opsyon (Limitado):**
* **Mga Paghahabla sa Sibil (Sa ilalim ng Mga Partikular na Kalagayan):** Sa ilang limitadong mga kaso,"&amp;" ang mga indibidwal ay maaaring magsampa ng mga kaso ng sibil laban sa mga kumpanya para sa pandaraya o paglabag sa tungkulin ng fiduciary kung ang mga tiwaling gawi ay nagdulot sa kanila ng pinsalang pinansyal. Mangangailangan ito ng matibay na legal na "&amp;"kaso na may malinaw na ebidensya.
**Mahahalagang Pagsasaalang-alang:**
* **Legal na Dalubhasa:** Ang pag-navigate sa mga legal na opsyon na may kaugnayan sa corporate corruption ay kumplikado. Ang pagkonsulta sa isang abogadong nakaranas sa mga ganitong k"&amp;"aso ay napakahalaga.
* **Mga Gastos at Pasan:** Kahit na mayroong mga legal na paraan, ang paghahabol sa mga demanda ay maaaring mahaba, magastos, at may hindi tiyak na mga resulta.
**Konklusyon:**
Bagama't maaaring maging mahirap ang direktang pagdemanda"&amp;" sa mga kumpanya para sa pag-impluwensya sa mga pampulitikang desisyon sa pamamagitan ng katiwalian, maraming alternatibong opsyon ang maaaring tuklasin upang makamit ang pananagutan. Kabilang dito ang paghahain ng mga reklamo sa mga kaugnay na ahensya ng"&amp;" gobyerno, pagpapataas ng kamalayan sa publiko, o paghabol sa mga partikular na kaso ng sibil sa ilalim ng limitadong mga pangyayari. Ang pagkonsulta sa isang abogado ay makakatulong sa iyo na matukoy ang pinakaangkop na diskarte para sa iyong sitwasyon.")</f>
        <v>Sa Pilipinas, **limitado** ang kakayahan ng mga indibidwal na direktang magdemanda sa mga kumpanya o organisasyon para sa mga tiwaling gawi na nakakaimpluwensya sa mga pampulitikang desisyon, ngunit may mga alternatibong paraan upang ituloy ang pananagutan. Narito ang isang breakdown:
**Mga Hamon sa Direktang Paghahabla:**
* **Di-tuwirang Dahilan:** Maaaring mahirap patunayan ang direktang sanhi sa pagitan ng tiwaling pagkilos ng isang kumpanya at isang partikular na pampulitikang desisyon. * **Standing:** Maaaring kailanganin ng isang indibidwal na magpakita ng isang partikular na personal na pinsala na nagreresulta mula sa katiwalian upang magkaroon ng legal na katayuan upang magdemanda.
**Mga Alternatibong Pamamaraan:**
* **Securities and Exchange Commission (SEC):** Maaaring magsampa ng mga reklamo ang mga indibidwal sa SEC kung ang mga tiwaling gawi ay kinasasangkutan ng mga pampublikong nakalistang kumpanya na nagmamanipula sa stock market upang maimpluwensyahan ang mga pampulitikang desisyon.
* **Opisina ng Ombudsman:** Ang Opisina ng Ombudsman ay may hurisdiksyon sa pag-iimbestiga at pag-uusig sa mga pampublikong opisyal na sangkot sa katiwalian. Ang mga indibidwal ay maaaring magsampa ng mga reklamo sa Ombudsman kung pinaghihinalaan nila ang isang kumpanya ay nanunuhol sa mga opisyal ng gobyerno upang maimpluwensyahan ang isang desisyon.
* **Sandiganbayan:** Ang Sandiganbayan ay isang espesyal na anti-graft court na humahawak ng mga kaso laban sa mga opisyal ng gobyerno na inakusahan ng katiwalian. Ang mga indibidwal ay maaaring magsumite ng ebidensya ng pagkakasangkot ng isang kumpanya sa mga tiwaling opisyal sa Sandiganbayan.
* **Public Pressure and Advocacy:** Ang pagpapataas ng kamalayan ng publiko sa pamamagitan ng mga kampanya at protesta sa media ay maaaring magbigay ng pressure sa mga kumpanya at opisyal ng gobyerno na tugunan ang katiwalian.
**Potensyal na Legal na Opsyon (Limitado):**
* **Mga Paghahabla sa Sibil (Sa ilalim ng Mga Partikular na Kalagayan):** Sa ilang limitadong mga kaso, ang mga indibidwal ay maaaring magsampa ng mga kaso ng sibil laban sa mga kumpanya para sa pandaraya o paglabag sa tungkulin ng fiduciary kung ang mga tiwaling gawi ay nagdulot sa kanila ng pinsalang pinansyal. Mangangailangan ito ng matibay na legal na kaso na may malinaw na ebidensya.
**Mahahalagang Pagsasaalang-alang:**
* **Legal na Dalubhasa:** Ang pag-navigate sa mga legal na opsyon na may kaugnayan sa corporate corruption ay kumplikado. Ang pagkonsulta sa isang abogadong nakaranas sa mga ganitong kaso ay napakahalaga.
* **Mga Gastos at Pasan:** Kahit na mayroong mga legal na paraan, ang paghahabol sa mga demanda ay maaaring mahaba, magastos, at may hindi tiyak na mga resulta.
**Konklusyon:**
Bagama't maaaring maging mahirap ang direktang pagdemanda sa mga kumpanya para sa pag-impluwensya sa mga pampulitikang desisyon sa pamamagitan ng katiwalian, maraming alternatibong opsyon ang maaaring tuklasin upang makamit ang pananagutan. Kabilang dito ang paghahain ng mga reklamo sa mga kaugnay na ahensya ng gobyerno, pagpapataas ng kamalayan sa publiko, o paghabol sa mga partikular na kaso ng sibil sa ilalim ng limitadong mga pangyayari. Ang pagkonsulta sa isang abogado ay makakatulong sa iyo na matukoy ang pinakaangkop na diskarte para sa iyong sitwasyon.</v>
      </c>
      <c r="F1167" s="2">
        <f t="shared" si="1"/>
        <v>0</v>
      </c>
      <c r="G1167" s="2"/>
      <c r="H1167" s="2"/>
      <c r="I1167" s="2"/>
      <c r="J1167" s="2"/>
      <c r="K1167" s="2"/>
      <c r="L1167" s="2"/>
      <c r="M1167" s="2"/>
      <c r="N1167" s="2"/>
      <c r="O1167" s="2"/>
      <c r="P1167" s="2"/>
      <c r="Q1167" s="2"/>
      <c r="R1167" s="2"/>
      <c r="S1167" s="2"/>
      <c r="T1167" s="2"/>
      <c r="U1167" s="2"/>
      <c r="V1167" s="2"/>
      <c r="W1167" s="2"/>
      <c r="X1167" s="2"/>
      <c r="Y1167" s="2"/>
      <c r="Z1167" s="2"/>
      <c r="AA1167" s="2"/>
    </row>
    <row r="1168">
      <c r="A1168" s="1" t="s">
        <v>3356</v>
      </c>
      <c r="B1168" s="1" t="s">
        <v>3501</v>
      </c>
      <c r="C1168" s="1" t="s">
        <v>3502</v>
      </c>
      <c r="D1168" s="2" t="str">
        <f>IFERROR(__xludf.DUMMYFUNCTION("GOOGLETRANSLATE(B1168, ""en"", ""TL"")"),"Ano ang papel na ginagampanan ng mga grand juries sa pag-iimbestiga at pagsasampa ng mga pulitiko o opisyal ng gobyerno para sa korapsyon sa pulitika?")</f>
        <v>Ano ang papel na ginagampanan ng mga grand juries sa pag-iimbestiga at pagsasampa ng mga pulitiko o opisyal ng gobyerno para sa korapsyon sa pulitika?</v>
      </c>
      <c r="E1168" s="2" t="str">
        <f>IFERROR(__xludf.DUMMYFUNCTION("GOOGLETRANSLATE(C1168, ""en"", ""TL"")"),"Sa aking huling pag-update ng kaalaman noong Enero 2022, ang mga grand juries ay hindi karaniwang ginagamit sa Pilipinas para sa pag-iimbestiga at pagsasampa ng mga pulitiko o opisyal ng gobyerno para sa pampulitikang katiwalian. Ang sistema ng grand jury"&amp;" ay isang legal na tampok na mas karaniwang nauugnay sa legal na sistema ng Estados Unidos.
Sa Pilipinas, ang mga pagsisiyasat at akusasyon para sa pampulitikang katiwalian ay karaniwang sumusunod sa ibang proseso. Ang ilang pangunahing katangian ng siste"&amp;"mang legal ng Pilipinas sa kontekstong ito ay kinabibilangan ng:
1. **Pagsisiyasat ng Ombudsman:**
- Ang Opisina ng Ombudsman sa Pilipinas ay may mahalagang papel sa pag-iimbestiga at pag-uusig sa mga kaso ng katiwalian na kinasasangkutan ng mga opisyal n"&amp;"g gobyerno. Ang Ombudsman ay isang independiyenteng katawan ng konstitusyon na may katungkulan sa pagtugon at pagtugon sa mga hinaing na may kaugnayan sa mga opisyal na gawain o pagtanggal.
2. **Sandiganbayan:**
- Ang Sandiganbayan ay isang special appell"&amp;"ate collegial court sa Pilipinas na may hurisdiksyon sa mga kaso na kinasasangkutan ng mga pampublikong opisyal na inakusahan ng graft and corruption, bukod sa iba pang mga paglabag. Kadalasang isinasampa sa Sandiganbayan ang mga kasong may kinalaman sa p"&amp;"olitical corruption.
3. **Mga Reklamo at Impormasyon:**
- Karaniwang nagsisimula ang proseso sa paghahain ng reklamo o impormasyong nagpaparatang ng katiwalian laban sa isang opisyal ng gobyerno. Ang Ombudsman ay nagsasagawa ng imbestigasyon upang matukoy"&amp;" ang merito ng reklamo.
4. **Paunang Pagsisiyasat:**
- Sa panahon ng paunang pagsisiyasat, ang Ombudsman ay nangangalap ng ebidensya, nag-interbyu ng mga saksi, at tinatasa ang posibilidad ng kaso. Kung may sapat na ebidensya, maaaring magsampa ng pormal "&amp;"na kaso ang Ombudsman.
5. **Pagsubok sa Sandiganbayan:**
- Ang mga kasong isinampa sa Sandiganbayan ay sumasailalim sa paglilitis. Dinidinig ng korte ang ebidensyang ipinakita ng parehong prosekusyon at depensa. Kung mapatunayang guilty ang akusado, maaar"&amp;"ing magpataw ng parusa ang Sandiganbayan, kabilang ang pagkakulong at multa.
Mahalagang tandaan na ang mga legal na proseso at institusyon ay maaaring umunlad, at ang mga bagong pag-unlad ay maaaring mangyari pagkatapos ng aking huling pag-update. Kung na"&amp;"gkaroon ng mga pagbabago o reporma sa legal na sistema mula noon, ipinapayong kumonsulta sa mga pinakabagong legal na pinagmumulan o humingi ng patnubay mula sa mga legal na propesyonal na pamilyar sa kasalukuyang legal na tanawin sa Pilipinas.
Bagama't h"&amp;"indi katangian ng sistemang legal ng Pilipinas ang mga engrande na hurado, ang mga tungkulin sa pag-iimbestiga at pag-uusig na isinasagawa ng mga institusyon tulad ng Ombudsman at Sandiganbayan ay napakahalaga sa pagtugon sa mga kaso ng katiwalian na kina"&amp;"sasangkutan ng mga pulitiko o opisyal ng gobyerno.")</f>
        <v>Sa aking huling pag-update ng kaalaman noong Enero 2022, ang mga grand juries ay hindi karaniwang ginagamit sa Pilipinas para sa pag-iimbestiga at pagsasampa ng mga pulitiko o opisyal ng gobyerno para sa pampulitikang katiwalian. Ang sistema ng grand jury ay isang legal na tampok na mas karaniwang nauugnay sa legal na sistema ng Estados Unidos.
Sa Pilipinas, ang mga pagsisiyasat at akusasyon para sa pampulitikang katiwalian ay karaniwang sumusunod sa ibang proseso. Ang ilang pangunahing katangian ng sistemang legal ng Pilipinas sa kontekstong ito ay kinabibilangan ng:
1. **Pagsisiyasat ng Ombudsman:**
- Ang Opisina ng Ombudsman sa Pilipinas ay may mahalagang papel sa pag-iimbestiga at pag-uusig sa mga kaso ng katiwalian na kinasasangkutan ng mga opisyal ng gobyerno. Ang Ombudsman ay isang independiyenteng katawan ng konstitusyon na may katungkulan sa pagtugon at pagtugon sa mga hinaing na may kaugnayan sa mga opisyal na gawain o pagtanggal.
2. **Sandiganbayan:**
- Ang Sandiganbayan ay isang special appellate collegial court sa Pilipinas na may hurisdiksyon sa mga kaso na kinasasangkutan ng mga pampublikong opisyal na inakusahan ng graft and corruption, bukod sa iba pang mga paglabag. Kadalasang isinasampa sa Sandiganbayan ang mga kasong may kinalaman sa political corruption.
3. **Mga Reklamo at Impormasyon:**
- Karaniwang nagsisimula ang proseso sa paghahain ng reklamo o impormasyong nagpaparatang ng katiwalian laban sa isang opisyal ng gobyerno. Ang Ombudsman ay nagsasagawa ng imbestigasyon upang matukoy ang merito ng reklamo.
4. **Paunang Pagsisiyasat:**
- Sa panahon ng paunang pagsisiyasat, ang Ombudsman ay nangangalap ng ebidensya, nag-interbyu ng mga saksi, at tinatasa ang posibilidad ng kaso. Kung may sapat na ebidensya, maaaring magsampa ng pormal na kaso ang Ombudsman.
5. **Pagsubok sa Sandiganbayan:**
- Ang mga kasong isinampa sa Sandiganbayan ay sumasailalim sa paglilitis. Dinidinig ng korte ang ebidensyang ipinakita ng parehong prosekusyon at depensa. Kung mapatunayang guilty ang akusado, maaaring magpataw ng parusa ang Sandiganbayan, kabilang ang pagkakulong at multa.
Mahalagang tandaan na ang mga legal na proseso at institusyon ay maaaring umunlad, at ang mga bagong pag-unlad ay maaaring mangyari pagkatapos ng aking huling pag-update. Kung nagkaroon ng mga pagbabago o reporma sa legal na sistema mula noon, ipinapayong kumonsulta sa mga pinakabagong legal na pinagmumulan o humingi ng patnubay mula sa mga legal na propesyonal na pamilyar sa kasalukuyang legal na tanawin sa Pilipinas.
Bagama't hindi katangian ng sistemang legal ng Pilipinas ang mga engrande na hurado, ang mga tungkulin sa pag-iimbestiga at pag-uusig na isinasagawa ng mga institusyon tulad ng Ombudsman at Sandiganbayan ay napakahalaga sa pagtugon sa mga kaso ng katiwalian na kinasasangkutan ng mga pulitiko o opisyal ng gobyerno.</v>
      </c>
      <c r="F1168" s="2">
        <f t="shared" si="1"/>
        <v>0</v>
      </c>
      <c r="G1168" s="2"/>
      <c r="H1168" s="2"/>
      <c r="I1168" s="2"/>
      <c r="J1168" s="2"/>
      <c r="K1168" s="2"/>
      <c r="L1168" s="2"/>
      <c r="M1168" s="2"/>
      <c r="N1168" s="2"/>
      <c r="O1168" s="2"/>
      <c r="P1168" s="2"/>
      <c r="Q1168" s="2"/>
      <c r="R1168" s="2"/>
      <c r="S1168" s="2"/>
      <c r="T1168" s="2"/>
      <c r="U1168" s="2"/>
      <c r="V1168" s="2"/>
      <c r="W1168" s="2"/>
      <c r="X1168" s="2"/>
      <c r="Y1168" s="2"/>
      <c r="Z1168" s="2"/>
      <c r="AA1168" s="2"/>
    </row>
    <row r="1169">
      <c r="A1169" s="1" t="s">
        <v>3356</v>
      </c>
      <c r="B1169" s="1" t="s">
        <v>3503</v>
      </c>
      <c r="C1169" s="1" t="s">
        <v>3504</v>
      </c>
      <c r="D1169" s="2" t="str">
        <f>IFERROR(__xludf.DUMMYFUNCTION("GOOGLETRANSLATE(B1169, ""en"", ""TL"")"),"Maaari bang hamunin ng mga indibidwal ang mga resulta ng halalan kung may ebidensya ng malawakang pampulitikang katiwalian?")</f>
        <v>Maaari bang hamunin ng mga indibidwal ang mga resulta ng halalan kung may ebidensya ng malawakang pampulitikang katiwalian?</v>
      </c>
      <c r="E1169" s="2" t="str">
        <f>IFERROR(__xludf.DUMMYFUNCTION("GOOGLETRANSLATE(C1169, ""en"", ""TL"")"),"Oo, maaaring hamunin ng mga indibidwal ang mga resulta ng halalan kung may ebidensya ng malawakang pampulitikang katiwalian. Ang mga partikular na pamamaraan at mekanismo para sa mga mapanghamong resulta ng halalan ay nag-iiba-iba ayon sa bansa, at ang mg"&amp;"a ito ay karaniwang pinamamahalaan ng mga batas sa halalan, mga electoral code, at mga probisyon ng konstitusyon. Sa maraming demokrasya, may mga legal na paraan para sa pakikipaglaban sa mga resulta ng halalan batay sa iba't ibang batayan, kabilang ang k"&amp;"atiwalian. Narito ang mga karaniwang hakbang na maaaring gawin ng mga indibidwal:
1. **Mga Petisyon sa Halalan:**
- Sa maraming bansa, ang mga indibidwal ay maaaring maghain ng mga petisyon sa halalan upang hamunin ang mga resulta ng isang halalan. Ang mg"&amp;"a petisyon sa halalan ay mga pormal na legal na dokumento na nagbabalangkas sa mga batayan para sa pagsalungat sa halalan, kabilang ang mga alegasyon ng katiwalian. Ang mga petisyon na ito ay kadalasang isinusumite sa mga dalubhasang tribunal ng elektoral"&amp;" o korte.
2. **Mga Batayan para sa Mga Petisyon sa Halalan:**
- Ang mga petisyon sa halalan ay maaaring batay sa iba't ibang batayan, tulad ng pandaraya, panunuhol, pananakot, o anumang iba pang iregularidad na maaaring nakaapekto sa resulta ng halalan. K"&amp;"ung may ebidensya ng malawakang korapsyon sa pulitika, ito ay maaaring maging isang makabuluhang batayan para sa paghahain ng petisyon sa halalan.
3. **Pasan ng Patunay:**
- Ang mga indibidwal na humahamon sa mga resulta ng halalan ay karaniwang nagdadala"&amp;" ng pasanin ng patunay. Nangangahulugan ito na dapat silang magbigay ng sapat na ebidensya upang suportahan ang kanilang mga pag-aangkin ng katiwalian at ipakita kung paano ito nakaapekto sa integridad ng proseso ng elektoral.
4. **Legal na Kinatawan:**
-"&amp;" Ang mga indibidwal na humahamon sa mga resulta ng halalan ay madalas na naghahanap ng legal na representasyon upang gabayan sila sa mga kumplikadong legal na pamamaraan na kasangkot sa paghahain at pagtatalo ng mga petisyon sa halalan. Ang mga legal na p"&amp;"ropesyonal ay maaaring tumulong na mangalap ng ebidensya, bumuo ng isang kaso, at magpakita ng mga argumento sa harap ng naaangkop na mga legal na forum.
5. **Mga Limitasyon sa Oras para sa Pag-file:**
- Ang mga batas sa halalan ay karaniwang nagtatakda n"&amp;"g mga tiyak na limitasyon sa oras para sa paghahain ng mga petisyon sa halalan. Mahalaga para sa mga indibidwal na magkaroon ng kamalayan at sumunod sa mga deadline na ito upang matiyak na ang kanilang mga hamon ay isinasaalang-alang.
6. **Mga Pagsisiyasa"&amp;"t at Pagdinig:**
- Maaaring magsagawa ng mga pagsisiyasat at pagdinig ang mga tribunal ng halalan o mga korte upang masuri ang ebidensyang ipinakita sa petisyon sa halalan. Ang prosesong ito ay maaaring may kasamang pagsusuri sa mga saksi, pagsusuri ng mg"&amp;"a dokumento, at pagsasaalang-alang sa mga legal na argumento mula sa magkabilang panig.
7. **Mga Legal na remedyo:**
- Kung ang tribunal ng halalan o hukuman ay nakakita ng merito sa petisyon sa halalan at natukoy na ang katiwalian o iba pang mga iregular"&amp;"idad ay nakaapekto sa mga resulta, maaari itong magbigay ng mga legal na remedyo. Maaaring kabilang sa mga remedyo ang pag-order ng muling pagbilang, pagpapawalang-bisa sa mga partikular na resulta ng halalan, o kahit na pag-order ng bagong halalan.
8. **"&amp;"Proseso ng Apela:**
- Ang mga desisyon ng mga tribunal sa halalan o mga hukuman ay maaaring sumailalim sa isang proseso ng mga apela, na nagpapahintulot sa mga partidong hindi nasisiyahan sa kinalabasan na humingi ng pagsusuri ng isang mas mataas na hukum"&amp;"an.
Mahalagang tandaan na ang mga detalye ng mga hamon sa halalan ay malawak na nag-iiba, at ang mga indibidwal na nag-iisip ng mga naturang hamon ay dapat na maingat na suriin ang mga batas at regulasyon sa halalan sa kanilang nasasakupan. Ang pagkonsult"&amp;"a sa mga legal na propesyonal na dalubhasa sa batas ng halalan ay maaaring magbigay ng mahalagang patnubay sa mga naaangkop na hakbang na dapat gawin batay sa ebidensya ng pampulitikang katiwalian.")</f>
        <v>Oo, maaaring hamunin ng mga indibidwal ang mga resulta ng halalan kung may ebidensya ng malawakang pampulitikang katiwalian. Ang mga partikular na pamamaraan at mekanismo para sa mga mapanghamong resulta ng halalan ay nag-iiba-iba ayon sa bansa, at ang mga ito ay karaniwang pinamamahalaan ng mga batas sa halalan, mga electoral code, at mga probisyon ng konstitusyon. Sa maraming demokrasya, may mga legal na paraan para sa pakikipaglaban sa mga resulta ng halalan batay sa iba't ibang batayan, kabilang ang katiwalian. Narito ang mga karaniwang hakbang na maaaring gawin ng mga indibidwal:
1. **Mga Petisyon sa Halalan:**
- Sa maraming bansa, ang mga indibidwal ay maaaring maghain ng mga petisyon sa halalan upang hamunin ang mga resulta ng isang halalan. Ang mga petisyon sa halalan ay mga pormal na legal na dokumento na nagbabalangkas sa mga batayan para sa pagsalungat sa halalan, kabilang ang mga alegasyon ng katiwalian. Ang mga petisyon na ito ay kadalasang isinusumite sa mga dalubhasang tribunal ng elektoral o korte.
2. **Mga Batayan para sa Mga Petisyon sa Halalan:**
- Ang mga petisyon sa halalan ay maaaring batay sa iba't ibang batayan, tulad ng pandaraya, panunuhol, pananakot, o anumang iba pang iregularidad na maaaring nakaapekto sa resulta ng halalan. Kung may ebidensya ng malawakang korapsyon sa pulitika, ito ay maaaring maging isang makabuluhang batayan para sa paghahain ng petisyon sa halalan.
3. **Pasan ng Patunay:**
- Ang mga indibidwal na humahamon sa mga resulta ng halalan ay karaniwang nagdadala ng pasanin ng patunay. Nangangahulugan ito na dapat silang magbigay ng sapat na ebidensya upang suportahan ang kanilang mga pag-aangkin ng katiwalian at ipakita kung paano ito nakaapekto sa integridad ng proseso ng elektoral.
4. **Legal na Kinatawan:**
- Ang mga indibidwal na humahamon sa mga resulta ng halalan ay madalas na naghahanap ng legal na representasyon upang gabayan sila sa mga kumplikadong legal na pamamaraan na kasangkot sa paghahain at pagtatalo ng mga petisyon sa halalan. Ang mga legal na propesyonal ay maaaring tumulong na mangalap ng ebidensya, bumuo ng isang kaso, at magpakita ng mga argumento sa harap ng naaangkop na mga legal na forum.
5. **Mga Limitasyon sa Oras para sa Pag-file:**
- Ang mga batas sa halalan ay karaniwang nagtatakda ng mga tiyak na limitasyon sa oras para sa paghahain ng mga petisyon sa halalan. Mahalaga para sa mga indibidwal na magkaroon ng kamalayan at sumunod sa mga deadline na ito upang matiyak na ang kanilang mga hamon ay isinasaalang-alang.
6. **Mga Pagsisiyasat at Pagdinig:**
- Maaaring magsagawa ng mga pagsisiyasat at pagdinig ang mga tribunal ng halalan o mga korte upang masuri ang ebidensyang ipinakita sa petisyon sa halalan. Ang prosesong ito ay maaaring may kasamang pagsusuri sa mga saksi, pagsusuri ng mga dokumento, at pagsasaalang-alang sa mga legal na argumento mula sa magkabilang panig.
7. **Mga Legal na remedyo:**
- Kung ang tribunal ng halalan o hukuman ay nakakita ng merito sa petisyon sa halalan at natukoy na ang katiwalian o iba pang mga iregularidad ay nakaapekto sa mga resulta, maaari itong magbigay ng mga legal na remedyo. Maaaring kabilang sa mga remedyo ang pag-order ng muling pagbilang, pagpapawalang-bisa sa mga partikular na resulta ng halalan, o kahit na pag-order ng bagong halalan.
8. **Proseso ng Apela:**
- Ang mga desisyon ng mga tribunal sa halalan o mga hukuman ay maaaring sumailalim sa isang proseso ng mga apela, na nagpapahintulot sa mga partidong hindi nasisiyahan sa kinalabasan na humingi ng pagsusuri ng isang mas mataas na hukuman.
Mahalagang tandaan na ang mga detalye ng mga hamon sa halalan ay malawak na nag-iiba, at ang mga indibidwal na nag-iisip ng mga naturang hamon ay dapat na maingat na suriin ang mga batas at regulasyon sa halalan sa kanilang nasasakupan. Ang pagkonsulta sa mga legal na propesyonal na dalubhasa sa batas ng halalan ay maaaring magbigay ng mahalagang patnubay sa mga naaangkop na hakbang na dapat gawin batay sa ebidensya ng pampulitikang katiwalian.</v>
      </c>
      <c r="F1169" s="2">
        <f t="shared" si="1"/>
        <v>0</v>
      </c>
      <c r="G1169" s="2"/>
      <c r="H1169" s="2"/>
      <c r="I1169" s="2"/>
      <c r="J1169" s="2"/>
      <c r="K1169" s="2"/>
      <c r="L1169" s="2"/>
      <c r="M1169" s="2"/>
      <c r="N1169" s="2"/>
      <c r="O1169" s="2"/>
      <c r="P1169" s="2"/>
      <c r="Q1169" s="2"/>
      <c r="R1169" s="2"/>
      <c r="S1169" s="2"/>
      <c r="T1169" s="2"/>
      <c r="U1169" s="2"/>
      <c r="V1169" s="2"/>
      <c r="W1169" s="2"/>
      <c r="X1169" s="2"/>
      <c r="Y1169" s="2"/>
      <c r="Z1169" s="2"/>
      <c r="AA1169" s="2"/>
    </row>
    <row r="1170">
      <c r="A1170" s="1" t="s">
        <v>3356</v>
      </c>
      <c r="B1170" s="1" t="s">
        <v>3505</v>
      </c>
      <c r="C1170" s="1" t="s">
        <v>3506</v>
      </c>
      <c r="D1170" s="2" t="str">
        <f>IFERROR(__xludf.DUMMYFUNCTION("GOOGLETRANSLATE(B1170, ""en"", ""TL"")"),"Paano nakakaapekto ang pampulitikang katiwalian sa tiwala ng publiko sa mga institusyon ng gobyerno, at anong mga legal na hakbang ang maaaring gawin upang maibalik ang tiwala?")</f>
        <v>Paano nakakaapekto ang pampulitikang katiwalian sa tiwala ng publiko sa mga institusyon ng gobyerno, at anong mga legal na hakbang ang maaaring gawin upang maibalik ang tiwala?</v>
      </c>
      <c r="E1170" s="2" t="str">
        <f>IFERROR(__xludf.DUMMYFUNCTION("GOOGLETRANSLATE(C1170, ""en"", ""TL"")"),"Ang korapsyon sa pulitika ay may malubha at nakakasira na epekto sa pagtitiwala ng publiko sa mga institusyon ng gobyerno. Narito ang isang breakdown ng mga kahihinatnan at potensyal na legal na mga hakbang upang muling buuin ang tiwala:
**Epekto ng Polit"&amp;"ical Corruption sa Public Trust:**
* **Erosion of Legitimacy:** Kapag naramdaman ng mga mamamayan na ang mga opisyal ng gobyerno ay naglalagay ng kanilang mga bulsa o nag-aabuso sa kapangyarihan para sa personal na pakinabang, kinukuwestiyon nila ang pagi"&amp;"ging lehitimo ng buong sistema. Ito ay maaaring humantong sa pangungutya, kawalang-interes, at pagbaba ng pakikilahok sa buhay sibiko.
* **Pinapahina ang Paghahatid ng Serbisyo:** Ang katiwalian ay kadalasang naglilihis ng mga mapagkukunan mula sa mahahal"&amp;"agang serbisyong pampubliko tulad ng pangangalagang pangkalusugan, edukasyon, at imprastraktura. Ito ay nag-iiwan sa mga mamamayan na nakakaramdam ng pagpapabaya at pagkadismaya, na lalong nakakasira ng tiwala.
* **Paglabag sa Kontratang Panlipunan:** Ipi"&amp;"nagkatiwala ng mga mamamayan ang kanilang mga kinatawan ng kapangyarihan kapalit ng mabuting pamamahala at proteksyon ng kapakanan ng publiko. Sinira ng katiwalian ang kontratang ito sa lipunan, na nagpapaunlad ng pakiramdam ng pagkakanulo at pagkadismaya"&amp;".
* **Public Cynicism and Apathy:** Kapag tila laganap ang katiwalian, maaaring maniwala ang mga mamamayan na walang mababago. Ito ay maaaring humantong sa pagbaba ng turnout ng mga botante at kawalan ng pakikisangkot sa prosesong pampulitika, na nagpapah"&amp;"ina sa demokrasya.
**Mga Legal na Panukala upang Ibalik ang Tiwala:**
* **Pagpapalakas ng mga Batas Laban sa Korupsyon:** Ang pagsasara ng mga butas sa mga regulasyon sa pananalapi ng kampanya, pagpapatibay ng mas mahigpit na mga alituntunin sa kontrahan "&amp;"ng interes, at pagpapataas ng transparency sa mga proseso ng pagkuha ng gobyerno ay mga mahahalagang hakbang. * **Epektibong Pagpapatupad ng Batas:** Ang pagkakaroon ng malalakas na ahensyang laban sa katiwalian na may sapat na mapagkukunan at kalayaan up"&amp;"ang imbestigahan at usigin ang mga kaso ng katiwalian, anuman ang kaugnayan sa pulitika ng tao, ay mahalaga. * **Proteksyon sa Whistleblower:** Ang pagsasabatas at pagtataguyod ng mga batas na nagpoprotekta sa mga whistleblower na nag-uulat ng katiwalian "&amp;"sa loob ng mga ahensya ng gobyerno ay nagpapadala ng mensahe na ang maling gawain ay mabubunyag. * **Transparency at Pampublikong Pagsisiwalat:** Ang paggawa ng mga proseso ng paggawa ng desisyon ng pamahalaan na mas transparent, ang pagsisiwalat sa publi"&amp;"ko ng mga pananalapi ng kampanya, at ang pagtiyak ng madaling pag-access sa pampublikong impormasyon ay makakatulong sa muling pagbuo ng tiwala.
* **Independent Judiciary:** Ang isang malakas at independiyenteng hudikatura na nagtataguyod ng tuntunin ng b"&amp;"atas at naghahatid ng walang kinikilingan na hustisya ay mahalaga para sa pagpapanagot sa mga tiwaling opisyal.
**Mga Karagdagang Pagsasaalang-alang:**
* **Public Education and Awareness:** Ang pagtuturo sa mga mamamayan tungkol sa kanilang mga karapatan,"&amp;" kung paano matukoy ang katiwalian, at ang mga mekanismo para sa pag-uulat nito ay nagbibigay ng kapangyarihan sa kanila na lumahok sa paglaban sa katiwalian.
* **Pakikipag-ugnayan sa Lipunang Sibil:** Ang pagsuporta at pagpapalakas sa mga organisasyon ng"&amp;" lipunang sibil na nagtataguyod para sa transparency at mabuting pamamahala ay napakahalaga para sa pagpapanagot sa pamahalaan.
* **Media Freedom:** Ang isang malaya at independiyenteng pamamahayag na maaaring mag-imbestiga at mag-ulat ng mga kaso ng kati"&amp;"walian ay may mahalagang papel sa paglalantad ng maling gawain at pagpapanagot sa mga nasa kapangyarihan. **Konklusyon:**
Ang paglaban sa pampulitikang katiwalian ay nangangailangan ng multi-pronged na diskarte na pinagsasama ang matibay na legal na balan"&amp;"gkas, epektibong pagpapatupad, at isang pangako sa transparency at pananagutan. Sa pamamagitan ng pagpapatupad ng mga hakbang na ito at pagpapaunlad ng kultura ng integridad sa loob ng mga institusyon ng gobyerno, unti-unting maibabalik ang tiwala ng publ"&amp;"iko.")</f>
        <v>Ang korapsyon sa pulitika ay may malubha at nakakasira na epekto sa pagtitiwala ng publiko sa mga institusyon ng gobyerno. Narito ang isang breakdown ng mga kahihinatnan at potensyal na legal na mga hakbang upang muling buuin ang tiwala:
**Epekto ng Political Corruption sa Public Trust:**
* **Erosion of Legitimacy:** Kapag naramdaman ng mga mamamayan na ang mga opisyal ng gobyerno ay naglalagay ng kanilang mga bulsa o nag-aabuso sa kapangyarihan para sa personal na pakinabang, kinukuwestiyon nila ang pagiging lehitimo ng buong sistema. Ito ay maaaring humantong sa pangungutya, kawalang-interes, at pagbaba ng pakikilahok sa buhay sibiko.
* **Pinapahina ang Paghahatid ng Serbisyo:** Ang katiwalian ay kadalasang naglilihis ng mga mapagkukunan mula sa mahahalagang serbisyong pampubliko tulad ng pangangalagang pangkalusugan, edukasyon, at imprastraktura. Ito ay nag-iiwan sa mga mamamayan na nakakaramdam ng pagpapabaya at pagkadismaya, na lalong nakakasira ng tiwala.
* **Paglabag sa Kontratang Panlipunan:** Ipinagkatiwala ng mga mamamayan ang kanilang mga kinatawan ng kapangyarihan kapalit ng mabuting pamamahala at proteksyon ng kapakanan ng publiko. Sinira ng katiwalian ang kontratang ito sa lipunan, na nagpapaunlad ng pakiramdam ng pagkakanulo at pagkadismaya.
* **Public Cynicism and Apathy:** Kapag tila laganap ang katiwalian, maaaring maniwala ang mga mamamayan na walang mababago. Ito ay maaaring humantong sa pagbaba ng turnout ng mga botante at kawalan ng pakikisangkot sa prosesong pampulitika, na nagpapahina sa demokrasya.
**Mga Legal na Panukala upang Ibalik ang Tiwala:**
* **Pagpapalakas ng mga Batas Laban sa Korupsyon:** Ang pagsasara ng mga butas sa mga regulasyon sa pananalapi ng kampanya, pagpapatibay ng mas mahigpit na mga alituntunin sa kontrahan ng interes, at pagpapataas ng transparency sa mga proseso ng pagkuha ng gobyerno ay mga mahahalagang hakbang. * **Epektibong Pagpapatupad ng Batas:** Ang pagkakaroon ng malalakas na ahensyang laban sa katiwalian na may sapat na mapagkukunan at kalayaan upang imbestigahan at usigin ang mga kaso ng katiwalian, anuman ang kaugnayan sa pulitika ng tao, ay mahalaga. * **Proteksyon sa Whistleblower:** Ang pagsasabatas at pagtataguyod ng mga batas na nagpoprotekta sa mga whistleblower na nag-uulat ng katiwalian sa loob ng mga ahensya ng gobyerno ay nagpapadala ng mensahe na ang maling gawain ay mabubunyag. * **Transparency at Pampublikong Pagsisiwalat:** Ang paggawa ng mga proseso ng paggawa ng desisyon ng pamahalaan na mas transparent, ang pagsisiwalat sa publiko ng mga pananalapi ng kampanya, at ang pagtiyak ng madaling pag-access sa pampublikong impormasyon ay makakatulong sa muling pagbuo ng tiwala.
* **Independent Judiciary:** Ang isang malakas at independiyenteng hudikatura na nagtataguyod ng tuntunin ng batas at naghahatid ng walang kinikilingan na hustisya ay mahalaga para sa pagpapanagot sa mga tiwaling opisyal.
**Mga Karagdagang Pagsasaalang-alang:**
* **Public Education and Awareness:** Ang pagtuturo sa mga mamamayan tungkol sa kanilang mga karapatan, kung paano matukoy ang katiwalian, at ang mga mekanismo para sa pag-uulat nito ay nagbibigay ng kapangyarihan sa kanila na lumahok sa paglaban sa katiwalian.
* **Pakikipag-ugnayan sa Lipunang Sibil:** Ang pagsuporta at pagpapalakas sa mga organisasyon ng lipunang sibil na nagtataguyod para sa transparency at mabuting pamamahala ay napakahalaga para sa pagpapanagot sa pamahalaan.
* **Media Freedom:** Ang isang malaya at independiyenteng pamamahayag na maaaring mag-imbestiga at mag-ulat ng mga kaso ng katiwalian ay may mahalagang papel sa paglalantad ng maling gawain at pagpapanagot sa mga nasa kapangyarihan. **Konklusyon:**
Ang paglaban sa pampulitikang katiwalian ay nangangailangan ng multi-pronged na diskarte na pinagsasama ang matibay na legal na balangkas, epektibong pagpapatupad, at isang pangako sa transparency at pananagutan. Sa pamamagitan ng pagpapatupad ng mga hakbang na ito at pagpapaunlad ng kultura ng integridad sa loob ng mga institusyon ng gobyerno, unti-unting maibabalik ang tiwala ng publiko.</v>
      </c>
      <c r="F1170" s="2">
        <f t="shared" si="1"/>
        <v>0</v>
      </c>
      <c r="G1170" s="2"/>
      <c r="H1170" s="2"/>
      <c r="I1170" s="2"/>
      <c r="J1170" s="2"/>
      <c r="K1170" s="2"/>
      <c r="L1170" s="2"/>
      <c r="M1170" s="2"/>
      <c r="N1170" s="2"/>
      <c r="O1170" s="2"/>
      <c r="P1170" s="2"/>
      <c r="Q1170" s="2"/>
      <c r="R1170" s="2"/>
      <c r="S1170" s="2"/>
      <c r="T1170" s="2"/>
      <c r="U1170" s="2"/>
      <c r="V1170" s="2"/>
      <c r="W1170" s="2"/>
      <c r="X1170" s="2"/>
      <c r="Y1170" s="2"/>
      <c r="Z1170" s="2"/>
      <c r="AA1170" s="2"/>
    </row>
    <row r="1171">
      <c r="A1171" s="1" t="s">
        <v>3356</v>
      </c>
      <c r="B1171" s="1" t="s">
        <v>3507</v>
      </c>
      <c r="C1171" s="1" t="s">
        <v>3508</v>
      </c>
      <c r="D1171" s="2" t="str">
        <f>IFERROR(__xludf.DUMMYFUNCTION("GOOGLETRANSLATE(B1171, ""en"", ""TL"")"),"Maaari bang humiling ang mga indibidwal ng mga pagsisiyasat sa mga pinaghihinalaang pagkakataon ng katiwalian sa pulitika sa pamamagitan ng kanilang mga kinatawan o inihalal na opisyal?")</f>
        <v>Maaari bang humiling ang mga indibidwal ng mga pagsisiyasat sa mga pinaghihinalaang pagkakataon ng katiwalian sa pulitika sa pamamagitan ng kanilang mga kinatawan o inihalal na opisyal?</v>
      </c>
      <c r="E1171" s="2" t="str">
        <f>IFERROR(__xludf.DUMMYFUNCTION("GOOGLETRANSLATE(C1171, ""en"", ""TL"")"),"Oo, ang mga indibidwal ay maaaring humiling ng mga pagsisiyasat sa mga pinaghihinalaang pagkakataon ng pampulitikang katiwalian sa pamamagitan ng kanilang mga kinatawan o inihalal na opisyal. Sa maraming demokratikong sistema, ang mga mamamayan ay may kar"&amp;"apatang ipahayag ang kanilang mga alalahanin at humingi ng aksyon laban sa katiwalian. Narito kung paano karaniwang maaaring simulan ng mga indibidwal ang mga naturang kahilingan:
1. **Makipag-ugnayan sa mga Nahalal na Kinatawan:**
- Maaaring makipag-ugna"&amp;"yan ang mga indibidwal sa kanilang mga inihalal na kinatawan, tulad ng mga miyembro ng sangay ng lehislatura (Mga Senador o Kongresista), at ipaalam sa kanila ang tungkol sa mga pinaghihinalaang pagkakataon ng katiwalian sa pulitika. Magagawa ito sa pamam"&amp;"agitan ng mga liham, email, tawag sa telepono, o personal na pagpupulong.
2. **Paghain ng Mga Reklamo sa Mga Ahensya ng Pangangasiwa:**
- Sa ilang mga bansa, may mga ahensya ng pangangasiwa o mga katawan na responsable para sa pagsisiyasat ng mga paratang"&amp;" ng katiwalian. Ang mga indibidwal ay maaaring magsampa ng mga pormal na reklamo sa mga ahensyang ito, na nagbibigay ng mga detalye at ebidensya ng pinaghihinalaang katiwalian. Kabilang sa mga halimbawa ng naturang mga ahensya ang mga komisyon laban sa ka"&amp;"tiwalian o mga tanggapan ng ombudsman.
3. **Pakikipag-ugnayan sa mga Opisyal ng Lokal na Pamahalaan:**
- Kung ang pinaghihinalaang katiwalian ay nagsasangkot ng mga opisyal ng lokal na pamahalaan, ang mga indibidwal ay maaaring makipag-ugnayan sa mga kina"&amp;"tawan ng lokal na pamahalaan o mga opisyal upang ipahayag ang kanilang mga alalahanin. Maaaring may mga mekanismo ang mga local government unit para sa pagsisiyasat at pagtugon sa mga alegasyon ng katiwalian.
4. **Paggamit ng Mga Batas sa Proteksyon ng Wh"&amp;"istleblower:**
- Ang ilang mga bansa ay may mga batas sa proteksyon ng whistleblower na nagpoprotekta sa mga indibidwal na nagbibigay ng impormasyon tungkol sa katiwalian. Ang mga batas na ito ay maaaring magbigay ng legal na proteksyon sa mga whistleblow"&amp;"er at hikayatin silang mag-ulat ng katiwalian nang walang takot sa paghihiganti.
5. **Pagpetisyon para sa Mga Pagsisiyasat:**
- Maaaring mag-organisa at magsumite ang mga indibidwal ng mga petisyon sa kanilang mga inihalal na kinatawan o may-katuturang aw"&amp;"toridad, na humihiling ng mga pagsisiyasat sa mga pinaghihinalaang pagkakataon ng katiwalian sa pulitika. Maaaring ipakita ng mga petisyon ang suporta ng komunidad para sa transparency at pananagutan.
6. **Nakikipag-ugnayan sa mga Samahang Sibil na Lipuna"&amp;"n:**
- Ang mga organisasyon ng lipunang sibil, kabilang ang mga grupong laban sa katiwalian, ay maaaring tumulong sa mga indibidwal sa pag-navigate sa proseso ng pag-uulat ng katiwalian. Ang mga organisasyong ito ay maaaring magbigay ng gabay, mapagkukuna"&amp;"n, at suporta para sa mga indibidwal na naghahanap ng mga pagsisiyasat.
7. **Pampubliko na Nagpapahayag ng Mga Alalahanin:**
- Maaaring magtaas ng kamalayan ang mga indibidwal tungkol sa pinaghihinalaang katiwalian sa pamamagitan ng mga pampublikong chann"&amp;"el, gaya ng mga media outlet o social media. Ang pagbibigay pansin sa isyu ay maaaring mag-udyok sa mga halal na opisyal o awtoridad na kumilos.
8. **Dadalo sa mga Pampublikong Pagpupulong:**
- Ang mga pampublikong pagdinig, mga pulong sa bulwagan ng baya"&amp;"n, o mga sesyon ng komite ay maaaring magbigay ng mga pagkakataon para sa mga indibidwal na direktang ipahayag ang kanilang mga alalahanin sa mga inihalal na kinatawan. Ang ilang mga lehislatibong katawan ay nagpapahintulot sa pakikilahok ng publiko sa mg"&amp;"a naturang kaganapan.
Mahalagang tandaan na ang mga partikular na mekanismo para sa pag-uulat ng katiwalian at pagsisimula ng mga pagsisiyasat ay maaaring mag-iba sa bawat bansa at maging sa loob ng iba't ibang rehiyon o lokal na hurisdiksyon. Bukod pa ri"&amp;"to, ang bisa ng mga channel na ito ay maaaring depende sa legal at institusyonal na balangkas na inilagay.
Ang mga indibidwal na naglalayong mag-ulat ng katiwalian ay dapat maging pamilyar sa mga kaugnay na batas, pamamaraan, at ahensya sa kanilang nasasa"&amp;"kupan. Ang pagkonsulta sa mga legal na propesyonal o organisasyon ng adbokasiya na dalubhasa sa mga pagsusumikap laban sa katiwalian ay maaaring magbigay ng karagdagang gabay sa pinakamahusay na paraan ng pagkilos.")</f>
        <v>Oo, ang mga indibidwal ay maaaring humiling ng mga pagsisiyasat sa mga pinaghihinalaang pagkakataon ng pampulitikang katiwalian sa pamamagitan ng kanilang mga kinatawan o inihalal na opisyal. Sa maraming demokratikong sistema, ang mga mamamayan ay may karapatang ipahayag ang kanilang mga alalahanin at humingi ng aksyon laban sa katiwalian. Narito kung paano karaniwang maaaring simulan ng mga indibidwal ang mga naturang kahilingan:
1. **Makipag-ugnayan sa mga Nahalal na Kinatawan:**
- Maaaring makipag-ugnayan ang mga indibidwal sa kanilang mga inihalal na kinatawan, tulad ng mga miyembro ng sangay ng lehislatura (Mga Senador o Kongresista), at ipaalam sa kanila ang tungkol sa mga pinaghihinalaang pagkakataon ng katiwalian sa pulitika. Magagawa ito sa pamamagitan ng mga liham, email, tawag sa telepono, o personal na pagpupulong.
2. **Paghain ng Mga Reklamo sa Mga Ahensya ng Pangangasiwa:**
- Sa ilang mga bansa, may mga ahensya ng pangangasiwa o mga katawan na responsable para sa pagsisiyasat ng mga paratang ng katiwalian. Ang mga indibidwal ay maaaring magsampa ng mga pormal na reklamo sa mga ahensyang ito, na nagbibigay ng mga detalye at ebidensya ng pinaghihinalaang katiwalian. Kabilang sa mga halimbawa ng naturang mga ahensya ang mga komisyon laban sa katiwalian o mga tanggapan ng ombudsman.
3. **Pakikipag-ugnayan sa mga Opisyal ng Lokal na Pamahalaan:**
- Kung ang pinaghihinalaang katiwalian ay nagsasangkot ng mga opisyal ng lokal na pamahalaan, ang mga indibidwal ay maaaring makipag-ugnayan sa mga kinatawan ng lokal na pamahalaan o mga opisyal upang ipahayag ang kanilang mga alalahanin. Maaaring may mga mekanismo ang mga local government unit para sa pagsisiyasat at pagtugon sa mga alegasyon ng katiwalian.
4. **Paggamit ng Mga Batas sa Proteksyon ng Whistleblower:**
- Ang ilang mga bansa ay may mga batas sa proteksyon ng whistleblower na nagpoprotekta sa mga indibidwal na nagbibigay ng impormasyon tungkol sa katiwalian. Ang mga batas na ito ay maaaring magbigay ng legal na proteksyon sa mga whistleblower at hikayatin silang mag-ulat ng katiwalian nang walang takot sa paghihiganti.
5. **Pagpetisyon para sa Mga Pagsisiyasat:**
- Maaaring mag-organisa at magsumite ang mga indibidwal ng mga petisyon sa kanilang mga inihalal na kinatawan o may-katuturang awtoridad, na humihiling ng mga pagsisiyasat sa mga pinaghihinalaang pagkakataon ng katiwalian sa pulitika. Maaaring ipakita ng mga petisyon ang suporta ng komunidad para sa transparency at pananagutan.
6. **Nakikipag-ugnayan sa mga Samahang Sibil na Lipunan:**
- Ang mga organisasyon ng lipunang sibil, kabilang ang mga grupong laban sa katiwalian, ay maaaring tumulong sa mga indibidwal sa pag-navigate sa proseso ng pag-uulat ng katiwalian. Ang mga organisasyong ito ay maaaring magbigay ng gabay, mapagkukunan, at suporta para sa mga indibidwal na naghahanap ng mga pagsisiyasat.
7. **Pampubliko na Nagpapahayag ng Mga Alalahanin:**
- Maaaring magtaas ng kamalayan ang mga indibidwal tungkol sa pinaghihinalaang katiwalian sa pamamagitan ng mga pampublikong channel, gaya ng mga media outlet o social media. Ang pagbibigay pansin sa isyu ay maaaring mag-udyok sa mga halal na opisyal o awtoridad na kumilos.
8. **Dadalo sa mga Pampublikong Pagpupulong:**
- Ang mga pampublikong pagdinig, mga pulong sa bulwagan ng bayan, o mga sesyon ng komite ay maaaring magbigay ng mga pagkakataon para sa mga indibidwal na direktang ipahayag ang kanilang mga alalahanin sa mga inihalal na kinatawan. Ang ilang mga lehislatibong katawan ay nagpapahintulot sa pakikilahok ng publiko sa mga naturang kaganapan.
Mahalagang tandaan na ang mga partikular na mekanismo para sa pag-uulat ng katiwalian at pagsisimula ng mga pagsisiyasat ay maaaring mag-iba sa bawat bansa at maging sa loob ng iba't ibang rehiyon o lokal na hurisdiksyon. Bukod pa rito, ang bisa ng mga channel na ito ay maaaring depende sa legal at institusyonal na balangkas na inilagay.
Ang mga indibidwal na naglalayong mag-ulat ng katiwalian ay dapat maging pamilyar sa mga kaugnay na batas, pamamaraan, at ahensya sa kanilang nasasakupan. Ang pagkonsulta sa mga legal na propesyonal o organisasyon ng adbokasiya na dalubhasa sa mga pagsusumikap laban sa katiwalian ay maaaring magbigay ng karagdagang gabay sa pinakamahusay na paraan ng pagkilos.</v>
      </c>
      <c r="F1171" s="2">
        <f t="shared" si="1"/>
        <v>0</v>
      </c>
      <c r="G1171" s="2"/>
      <c r="H1171" s="2"/>
      <c r="I1171" s="2"/>
      <c r="J1171" s="2"/>
      <c r="K1171" s="2"/>
      <c r="L1171" s="2"/>
      <c r="M1171" s="2"/>
      <c r="N1171" s="2"/>
      <c r="O1171" s="2"/>
      <c r="P1171" s="2"/>
      <c r="Q1171" s="2"/>
      <c r="R1171" s="2"/>
      <c r="S1171" s="2"/>
      <c r="T1171" s="2"/>
      <c r="U1171" s="2"/>
      <c r="V1171" s="2"/>
      <c r="W1171" s="2"/>
      <c r="X1171" s="2"/>
      <c r="Y1171" s="2"/>
      <c r="Z1171" s="2"/>
      <c r="AA1171" s="2"/>
    </row>
    <row r="1172">
      <c r="A1172" s="1" t="s">
        <v>3356</v>
      </c>
      <c r="B1172" s="1" t="s">
        <v>3509</v>
      </c>
      <c r="C1172" s="1" t="s">
        <v>3510</v>
      </c>
      <c r="D1172" s="2" t="str">
        <f>IFERROR(__xludf.DUMMYFUNCTION("GOOGLETRANSLATE(B1172, ""en"", ""TL"")"),"Ano ang mga legal na implikasyon ng paggamit ng pampublikong pondo para sa personal o pampulitika na pakinabang ng mga opisyal ng gobyerno?")</f>
        <v>Ano ang mga legal na implikasyon ng paggamit ng pampublikong pondo para sa personal o pampulitika na pakinabang ng mga opisyal ng gobyerno?</v>
      </c>
      <c r="E1172" s="2" t="str">
        <f>IFERROR(__xludf.DUMMYFUNCTION("GOOGLETRANSLATE(C1172, ""en"", ""TL"")"),"Ang paggamit ng mga pampublikong pondo para sa personal o pampulitika na pakinabang ng mga opisyal ng gobyerno ay isang seryosong pagkakasala na may makabuluhang legal na epekto sa Pilipinas. Narito ang isang breakdown ng mga potensyal na kahihinatnan:
**"&amp;"Mga Pagsingil sa Kriminal:**
* **Malversation of Public Funds (Artikulo 217 ng Binagong Kodigo Penal):** Ang batas na ito ay nagpaparusa sa mga pampublikong opisyal na maling gumagamit, nagko-convert, o naglilihis ng mga pampublikong pondo para sa persona"&amp;"l na paggamit o benepisyo. Ang mga parusa ay maaaring mula sa pagkakulong hanggang sa permanenteng diskwalipikasyon sa paghawak ng pampublikong katungkulan.
* **Plunder (Republic Act No. 7659):** Nalalapat ang batas na ito sa mga opisyal ng gobyerno na na"&amp;"gkakamal ng hindi maipaliwanag na yaman na higit na lumampas sa kanilang lehitimong kita. Ito ay may kaparusahan na habambuhay na pagkakulong at pag-alis ng ill-gotten wealth.
**Sibil na Singil:**
* **Pagbawi ng Ill-gotten Wealth:** Ang gobyerno ay maaari"&amp;"ng magsampa ng kasong sibil upang mabawi ang anumang pampublikong pondo na nagamit ng mga tiwaling opisyal.
* **Disqualification mula sa Public Office:** Ang paghatol sa ilalim ng mga batas na ito ay maaaring humantong sa permanenteng diskwalipikasyon sa "&amp;"paghawak ng anumang posisyon sa gobyerno.
**Mga Sanction na Pang-administratibo:**
* **Pagtanggal sa Serbisyo:** Ang mga ahensya ng gobyerno ay may awtoridad na tanggalin ang mga empleyadong napatunayang nagkasala sa mga pagkakasala sa katiwalian.
* **Bla"&amp;"cklisting:** Maaaring ma-blacklist ang mga indibidwal na nahatulan ng katiwalian mula sa trabaho o mga kontrata sa gobyerno sa hinaharap.
**Mga Karagdagang Bunga:**
* **Pinsala sa Reputasyon:** Ang mahuli sa isang iskandalo sa katiwalian ay maaaring makap"&amp;"insala sa reputasyon at karera ng opisyal.
* **Public Outcry and Loss of Trust:** Ang mga kaso ng katiwalian ay maaaring masira ang tiwala ng publiko sa mga institusyon ng gobyerno, na humahantong sa kaguluhan sa lipunan at mga panawagan para sa reporma.
"&amp;"**Kahalagahan ng Proteksyon sa Whistleblower:**
* **Republic Act No. 6713 (The Code of Conduct and Ethical Standards for Public Officials and Employees):** Hinihikayat ng batas na ito ang whistleblowing sa pamamagitan ng pagprotekta sa mga empleyado ng go"&amp;"byerno na nag-uulat ng katiwalian sa loob ng kanilang mga ahensya.
**Konklusyon:**
Ang Pilipinas ay may mahigpit na batas at mekanismo na inilalagay upang hadlangan at parusahan ang maling paggamit ng mga pondo ng publiko. Ang mga opisyal na nakikibahagi "&amp;"sa mga naturang aktibidad ay nahaharap sa malubhang legal na kahihinatnan, parehong kriminal at administratibo, kasama ng malaking pinsala sa reputasyon at pagkawala ng tiwala ng publiko.")</f>
        <v>Ang paggamit ng mga pampublikong pondo para sa personal o pampulitika na pakinabang ng mga opisyal ng gobyerno ay isang seryosong pagkakasala na may makabuluhang legal na epekto sa Pilipinas. Narito ang isang breakdown ng mga potensyal na kahihinatnan:
**Mga Pagsingil sa Kriminal:**
* **Malversation of Public Funds (Artikulo 217 ng Binagong Kodigo Penal):** Ang batas na ito ay nagpaparusa sa mga pampublikong opisyal na maling gumagamit, nagko-convert, o naglilihis ng mga pampublikong pondo para sa personal na paggamit o benepisyo. Ang mga parusa ay maaaring mula sa pagkakulong hanggang sa permanenteng diskwalipikasyon sa paghawak ng pampublikong katungkulan.
* **Plunder (Republic Act No. 7659):** Nalalapat ang batas na ito sa mga opisyal ng gobyerno na nagkakamal ng hindi maipaliwanag na yaman na higit na lumampas sa kanilang lehitimong kita. Ito ay may kaparusahan na habambuhay na pagkakulong at pag-alis ng ill-gotten wealth.
**Sibil na Singil:**
* **Pagbawi ng Ill-gotten Wealth:** Ang gobyerno ay maaaring magsampa ng kasong sibil upang mabawi ang anumang pampublikong pondo na nagamit ng mga tiwaling opisyal.
* **Disqualification mula sa Public Office:** Ang paghatol sa ilalim ng mga batas na ito ay maaaring humantong sa permanenteng diskwalipikasyon sa paghawak ng anumang posisyon sa gobyerno.
**Mga Sanction na Pang-administratibo:**
* **Pagtanggal sa Serbisyo:** Ang mga ahensya ng gobyerno ay may awtoridad na tanggalin ang mga empleyadong napatunayang nagkasala sa mga pagkakasala sa katiwalian.
* **Blacklisting:** Maaaring ma-blacklist ang mga indibidwal na nahatulan ng katiwalian mula sa trabaho o mga kontrata sa gobyerno sa hinaharap.
**Mga Karagdagang Bunga:**
* **Pinsala sa Reputasyon:** Ang mahuli sa isang iskandalo sa katiwalian ay maaaring makapinsala sa reputasyon at karera ng opisyal.
* **Public Outcry and Loss of Trust:** Ang mga kaso ng katiwalian ay maaaring masira ang tiwala ng publiko sa mga institusyon ng gobyerno, na humahantong sa kaguluhan sa lipunan at mga panawagan para sa reporma.
**Kahalagahan ng Proteksyon sa Whistleblower:**
* **Republic Act No. 6713 (The Code of Conduct and Ethical Standards for Public Officials and Employees):** Hinihikayat ng batas na ito ang whistleblowing sa pamamagitan ng pagprotekta sa mga empleyado ng gobyerno na nag-uulat ng katiwalian sa loob ng kanilang mga ahensya.
**Konklusyon:**
Ang Pilipinas ay may mahigpit na batas at mekanismo na inilalagay upang hadlangan at parusahan ang maling paggamit ng mga pondo ng publiko. Ang mga opisyal na nakikibahagi sa mga naturang aktibidad ay nahaharap sa malubhang legal na kahihinatnan, parehong kriminal at administratibo, kasama ng malaking pinsala sa reputasyon at pagkawala ng tiwala ng publiko.</v>
      </c>
      <c r="F1172" s="2">
        <f t="shared" si="1"/>
        <v>0</v>
      </c>
      <c r="G1172" s="2"/>
      <c r="H1172" s="2"/>
      <c r="I1172" s="2"/>
      <c r="J1172" s="2"/>
      <c r="K1172" s="2"/>
      <c r="L1172" s="2"/>
      <c r="M1172" s="2"/>
      <c r="N1172" s="2"/>
      <c r="O1172" s="2"/>
      <c r="P1172" s="2"/>
      <c r="Q1172" s="2"/>
      <c r="R1172" s="2"/>
      <c r="S1172" s="2"/>
      <c r="T1172" s="2"/>
      <c r="U1172" s="2"/>
      <c r="V1172" s="2"/>
      <c r="W1172" s="2"/>
      <c r="X1172" s="2"/>
      <c r="Y1172" s="2"/>
      <c r="Z1172" s="2"/>
      <c r="AA1172" s="2"/>
    </row>
    <row r="1173">
      <c r="A1173" s="1" t="s">
        <v>3356</v>
      </c>
      <c r="B1173" s="1" t="s">
        <v>3511</v>
      </c>
      <c r="C1173" s="1" t="s">
        <v>3512</v>
      </c>
      <c r="D1173" s="2" t="str">
        <f>IFERROR(__xludf.DUMMYFUNCTION("GOOGLETRANSLATE(B1173, ""en"", ""TL"")"),"Paano kinokontrol ng mga batas sa pananalapi ng kampanya ang mga kontribusyon at paggasta sa pulitika upang maiwasan ang katiwalian?")</f>
        <v>Paano kinokontrol ng mga batas sa pananalapi ng kampanya ang mga kontribusyon at paggasta sa pulitika upang maiwasan ang katiwalian?</v>
      </c>
      <c r="E1173" s="2" t="str">
        <f>IFERROR(__xludf.DUMMYFUNCTION("GOOGLETRANSLATE(C1173, ""en"", ""TL"")"),"Sa aking huling pag-update ng kaalaman noong Enero 2022, kinokontrol ng mga batas sa pananalapi ng kampanya sa Pilipinas ang mga kontribusyon at paggasta sa pulitika upang maiwasan ang katiwalian. Mahalagang tandaan na maaaring umunlad ang mga batas at re"&amp;"gulasyon, at inirerekomendang tingnan ang pinakabagong mga legal na mapagkukunan para sa anumang mga update. Narito ang mga pangkalahatang prinsipyo at hakbang na karaniwang kasama sa mga batas sa pananalapi ng kampanya upang maiwasan ang katiwalian:
1. *"&amp;"*Mga Limitasyon sa Kontribusyon:**
- Ang mga batas sa pananalapi ng kampanya ay kadalasang nagpapataw ng mga limitasyon sa halaga ng pera na maaaring i-ambag ng mga indibidwal, korporasyon, o organisasyon sa mga kandidato o partido sa pulitika. Ang mga li"&amp;"mitasyong ito ay naglalayong pigilan ang hindi nararapat na impluwensya at bawasan ang panganib ng katiwalian na nauugnay sa malalaking kontribusyon.
2. **Mga Kinakailangan sa Pagbubunyag:**
- Ang transparency ay isang mahalagang bahagi ng regulasyon sa p"&amp;"ananalapi ng kampanya. Karaniwang inaatasan ng mga batas ang mga kandidato, partidong pampulitika, at kontribyutor na magbunyag ng detalyadong impormasyon tungkol sa mga kontribusyon sa kampanya, kabilang ang mga pangalan ng mga donor at ang mga halagang "&amp;"iniambag. Ang impormasyong ito ay ginawang magagamit sa publiko upang matiyak ang pananagutan.
3. **Pagbabawal sa Mga Anonymous na Kontribusyon:**
- Maraming hurisdiksyon ang nagbabawal sa mga hindi kilalang kontribusyon sa mga kampanyang pampulitika. Nak"&amp;"akatulong ang panukalang ito na maiwasan ang potensyal na katiwalian sa pamamagitan ng pagtiyak na ang mga pinagmumulan ng mga pondo ng kampanya ay kilala at maaaring masuri.
4. **Mga Mekanismo ng Pampublikong Pagpopondo:**
- Ang ilang mga batas sa panana"&amp;"lapi ng kampanya ay nagbibigay ng mga mekanismo para sa pampublikong pagpopondo ng mga kampanyang pampulitika. Layunin ng pampublikong financing na bawasan ang pag-asa sa mga pribadong kontribusyon, na pinapaliit ang panganib ng katiwalian na nauugnay sa "&amp;"hindi nararapat na impluwensya mula sa mayayamang donor.
5. **Mga Paghihigpit sa Corporate at Foreign Contributions:**
- Madalas na pinaghihigpitan ng mga batas ang mga kontribusyon mula sa mga korporasyon at dayuhang entity upang maiwasan ang hindi narar"&amp;"apat na impluwensya ng mga di-indibidwal na entity sa mga prosesong pampulitika. Ang mga paghihigpit na ito ay nakakatulong na mapanatili ang integridad ng sistema ng elektoral.
6. **Mga Limitasyon sa Self-Financing ng Kandidato:**
- Upang pigilan ang mga"&amp;" kandidato na magkaroon ng hindi patas na kalamangan sa pamamagitan ng labis na pagpopondo sa sarili, ang mga batas sa pananalapi ng kampanya ay maaaring magpataw ng mga limitasyon sa halagang maiaambag ng mga kandidato sa kanilang sariling mga kampanya.
"&amp;"7. **Mga Independiyenteng Regulasyon sa Paggasta:**
- Maaaring i-regulate ng mga batas ang mga independiyenteng paggasta na ginawa ng mga indibidwal o grupo na hindi direktang kaanib sa isang kandidato o partidong pampulitika. Ang mga regulasyong ito ay n"&amp;"aglalayong pigilan ang pag-iwas sa mga limitasyon ng kontribusyon at pahusayin ang transparency.
8. **Regulation of Political Action Committees (PACs):**
- Ang mga batas ay kadalasang namamahala sa mga aktibidad ng mga Political Action Committee, na mga o"&amp;"rganisasyon na nangongolekta at namamahagi ng mga kontribusyon upang suportahan o salungatin ang mga kandidato sa pulitika. Maaaring kabilang sa mga regulasyon ang mga limitasyon sa kontribusyon at mga kinakailangan sa pagsisiwalat para sa mga PAC.
9. **M"&amp;"ga Mekanismo at Parusa sa Pagpapatupad:**
- Kabilang sa mga epektibong batas sa pananalapi ng kampanya ang mga mekanismo ng pagpapatupad at mga parusa para sa mga paglabag. Maaaring kabilang dito ang mga multa, parusa, o iba pang legal na kahihinatnan par"&amp;"a sa mga kandidato, contributor, o entity na makikitang lumalabag sa mga regulasyon sa pananalapi ng kampanya.
10. **Pagsubaybay at Pangangasiwa:**
- Ang mga katawan ng regulasyon ay karaniwang itinalaga upang subaybayan at pangasiwaan ang pagsunod sa mga"&amp;" batas sa pananalapi ng kampanya. Ang mga katawan na ito ay maaaring magsagawa ng mga pag-audit, pagsisiyasat, at pagsusuri upang matiyak ang pagsunod sa mga regulasyon at alisan ng takip ang mga potensyal na paglabag.
11. **Mga Pag-audit Pagkatapos ng Ha"&amp;"lalan:**
- Ang ilang mga hurisdiksyon ay nagsasagawa ng mga pag-audit pagkatapos ng halalan upang suriin ang mga ulat sa pananalapi ng kampanya at i-verify ang pagsunod sa mga limitasyon sa kontribusyon at mga kinakailangan sa pagsisiwalat pagkatapos ng h"&amp;"alalan.
Mahalaga para sa mga hakbang na ito na maipatupad at maipatupad nang epektibo upang makamit ang mga nilalayon na layunin ng pagpigil sa katiwalian at pagtataguyod ng transparency sa pampulitikang pagpopondo. Ang mga indibidwal at entity na kasangk"&amp;"ot sa mga kampanyang pampulitika ay dapat magkaroon ng kamalayan at sumunod sa mga batas sa pananalapi ng kampanya upang itaguyod ang integridad ng proseso ng elektoral.")</f>
        <v>Sa aking huling pag-update ng kaalaman noong Enero 2022, kinokontrol ng mga batas sa pananalapi ng kampanya sa Pilipinas ang mga kontribusyon at paggasta sa pulitika upang maiwasan ang katiwalian. Mahalagang tandaan na maaaring umunlad ang mga batas at regulasyon, at inirerekomendang tingnan ang pinakabagong mga legal na mapagkukunan para sa anumang mga update. Narito ang mga pangkalahatang prinsipyo at hakbang na karaniwang kasama sa mga batas sa pananalapi ng kampanya upang maiwasan ang katiwalian:
1. **Mga Limitasyon sa Kontribusyon:**
- Ang mga batas sa pananalapi ng kampanya ay kadalasang nagpapataw ng mga limitasyon sa halaga ng pera na maaaring i-ambag ng mga indibidwal, korporasyon, o organisasyon sa mga kandidato o partido sa pulitika. Ang mga limitasyong ito ay naglalayong pigilan ang hindi nararapat na impluwensya at bawasan ang panganib ng katiwalian na nauugnay sa malalaking kontribusyon.
2. **Mga Kinakailangan sa Pagbubunyag:**
- Ang transparency ay isang mahalagang bahagi ng regulasyon sa pananalapi ng kampanya. Karaniwang inaatasan ng mga batas ang mga kandidato, partidong pampulitika, at kontribyutor na magbunyag ng detalyadong impormasyon tungkol sa mga kontribusyon sa kampanya, kabilang ang mga pangalan ng mga donor at ang mga halagang iniambag. Ang impormasyong ito ay ginawang magagamit sa publiko upang matiyak ang pananagutan.
3. **Pagbabawal sa Mga Anonymous na Kontribusyon:**
- Maraming hurisdiksyon ang nagbabawal sa mga hindi kilalang kontribusyon sa mga kampanyang pampulitika. Nakakatulong ang panukalang ito na maiwasan ang potensyal na katiwalian sa pamamagitan ng pagtiyak na ang mga pinagmumulan ng mga pondo ng kampanya ay kilala at maaaring masuri.
4. **Mga Mekanismo ng Pampublikong Pagpopondo:**
- Ang ilang mga batas sa pananalapi ng kampanya ay nagbibigay ng mga mekanismo para sa pampublikong pagpopondo ng mga kampanyang pampulitika. Layunin ng pampublikong financing na bawasan ang pag-asa sa mga pribadong kontribusyon, na pinapaliit ang panganib ng katiwalian na nauugnay sa hindi nararapat na impluwensya mula sa mayayamang donor.
5. **Mga Paghihigpit sa Corporate at Foreign Contributions:**
- Madalas na pinaghihigpitan ng mga batas ang mga kontribusyon mula sa mga korporasyon at dayuhang entity upang maiwasan ang hindi nararapat na impluwensya ng mga di-indibidwal na entity sa mga prosesong pampulitika. Ang mga paghihigpit na ito ay nakakatulong na mapanatili ang integridad ng sistema ng elektoral.
6. **Mga Limitasyon sa Self-Financing ng Kandidato:**
- Upang pigilan ang mga kandidato na magkaroon ng hindi patas na kalamangan sa pamamagitan ng labis na pagpopondo sa sarili, ang mga batas sa pananalapi ng kampanya ay maaaring magpataw ng mga limitasyon sa halagang maiaambag ng mga kandidato sa kanilang sariling mga kampanya.
7. **Mga Independiyenteng Regulasyon sa Paggasta:**
- Maaaring i-regulate ng mga batas ang mga independiyenteng paggasta na ginawa ng mga indibidwal o grupo na hindi direktang kaanib sa isang kandidato o partidong pampulitika. Ang mga regulasyong ito ay naglalayong pigilan ang pag-iwas sa mga limitasyon ng kontribusyon at pahusayin ang transparency.
8. **Regulation of Political Action Committees (PACs):**
- Ang mga batas ay kadalasang namamahala sa mga aktibidad ng mga Political Action Committee, na mga organisasyon na nangongolekta at namamahagi ng mga kontribusyon upang suportahan o salungatin ang mga kandidato sa pulitika. Maaaring kabilang sa mga regulasyon ang mga limitasyon sa kontribusyon at mga kinakailangan sa pagsisiwalat para sa mga PAC.
9. **Mga Mekanismo at Parusa sa Pagpapatupad:**
- Kabilang sa mga epektibong batas sa pananalapi ng kampanya ang mga mekanismo ng pagpapatupad at mga parusa para sa mga paglabag. Maaaring kabilang dito ang mga multa, parusa, o iba pang legal na kahihinatnan para sa mga kandidato, contributor, o entity na makikitang lumalabag sa mga regulasyon sa pananalapi ng kampanya.
10. **Pagsubaybay at Pangangasiwa:**
- Ang mga katawan ng regulasyon ay karaniwang itinalaga upang subaybayan at pangasiwaan ang pagsunod sa mga batas sa pananalapi ng kampanya. Ang mga katawan na ito ay maaaring magsagawa ng mga pag-audit, pagsisiyasat, at pagsusuri upang matiyak ang pagsunod sa mga regulasyon at alisan ng takip ang mga potensyal na paglabag.
11. **Mga Pag-audit Pagkatapos ng Halalan:**
- Ang ilang mga hurisdiksyon ay nagsasagawa ng mga pag-audit pagkatapos ng halalan upang suriin ang mga ulat sa pananalapi ng kampanya at i-verify ang pagsunod sa mga limitasyon sa kontribusyon at mga kinakailangan sa pagsisiwalat pagkatapos ng halalan.
Mahalaga para sa mga hakbang na ito na maipatupad at maipatupad nang epektibo upang makamit ang mga nilalayon na layunin ng pagpigil sa katiwalian at pagtataguyod ng transparency sa pampulitikang pagpopondo. Ang mga indibidwal at entity na kasangkot sa mga kampanyang pampulitika ay dapat magkaroon ng kamalayan at sumunod sa mga batas sa pananalapi ng kampanya upang itaguyod ang integridad ng proseso ng elektoral.</v>
      </c>
      <c r="F1173" s="2">
        <f t="shared" si="1"/>
        <v>0</v>
      </c>
      <c r="G1173" s="2"/>
      <c r="H1173" s="2"/>
      <c r="I1173" s="2"/>
      <c r="J1173" s="2"/>
      <c r="K1173" s="2"/>
      <c r="L1173" s="2"/>
      <c r="M1173" s="2"/>
      <c r="N1173" s="2"/>
      <c r="O1173" s="2"/>
      <c r="P1173" s="2"/>
      <c r="Q1173" s="2"/>
      <c r="R1173" s="2"/>
      <c r="S1173" s="2"/>
      <c r="T1173" s="2"/>
      <c r="U1173" s="2"/>
      <c r="V1173" s="2"/>
      <c r="W1173" s="2"/>
      <c r="X1173" s="2"/>
      <c r="Y1173" s="2"/>
      <c r="Z1173" s="2"/>
      <c r="AA1173" s="2"/>
    </row>
    <row r="1174">
      <c r="A1174" s="1" t="s">
        <v>3356</v>
      </c>
      <c r="B1174" s="1" t="s">
        <v>3513</v>
      </c>
      <c r="C1174" s="1" t="s">
        <v>3514</v>
      </c>
      <c r="D1174" s="2" t="str">
        <f>IFERROR(__xludf.DUMMYFUNCTION("GOOGLETRANSLATE(B1174, ""en"", ""TL"")"),"Maaari bang gumawa ng legal na aksyon ang mga indibidwal laban sa mga media outlet o mga indibidwal na nagkakalat ng maling impormasyon tungkol sa pampulitikang katiwalian?")</f>
        <v>Maaari bang gumawa ng legal na aksyon ang mga indibidwal laban sa mga media outlet o mga indibidwal na nagkakalat ng maling impormasyon tungkol sa pampulitikang katiwalian?</v>
      </c>
      <c r="E1174" s="2" t="str">
        <f>IFERROR(__xludf.DUMMYFUNCTION("GOOGLETRANSLATE(C1174, ""en"", ""TL"")"),"Sa Pilipinas, ang mga indibidwal ay may mga legal na paraan upang kumilos laban sa mga media outlet o mga indibidwal na nagkakalat ng maling impormasyon tungkol sa pampulitikang katiwalian. Maaaring may kaugnayan ang ilang batas at legal na prinsipyo sa p"&amp;"agtugon sa maling impormasyon, paninirang-puri, at mga kaugnay na pagkakasala. Narito ang ilang mga pagsasaalang-alang:
1. **Mga Batas sa Libel at Paninirang-puri:**
- Ang mga indibidwal na naniniwalang sila ay siniraan ng maling impormasyon ay maaaring m"&amp;"agsampa ng reklamong libelo laban sa mga responsableng partido. Ang mga batas ng libelo sa Pilipinas ay ginagawang kriminal ang paglalathala ng mga maling pahayag na nakakasira sa reputasyon ng isang tao.
2. **Cybercrime Prevention Act of 2012 (Republic A"&amp;"ct No. 10175):**
- Kasama sa Cybercrime Prevention Act ang mga probisyon na nauugnay sa online na libelo at cyber defamation. Kung ang maling impormasyon ay kumakalat sa pamamagitan ng mga online na platform, maaaring gamitin ng mga indibidwal ang batas n"&amp;"a ito upang tugunan ang isyu.
3. **Maling Balita at Iba Pang Katulad na Pagkakasala:**
- May mga legal na probisyon na maaaring gamitin kapag nagkalat ng maling impormasyon, lalo na kung ito ay nauugnay sa pampulitikang katiwalian. Ang Binagong Kodigo Pen"&amp;"al, halimbawa, ay kinabibilangan ng mga pagkakasala na may kaugnayan sa maling balita at iba pang mga gawain na maaaring makagambala sa kaayusan ng publiko.
4. **Karapatan sa Privacy:**
- May karapatan din ang mga indibidwal sa pagkapribado, at ang maling"&amp;" impormasyon na lumalabag sa kanilang privacy ay maaaring sumailalim sa legal na aksyon. Ang Data Privacy Act of 2012 (Republic Act No. 10173) ay nagpoprotekta sa mga indibidwal mula sa hindi awtorisadong pagproseso ng personal na impormasyon.
5. **Mga Pa"&amp;"gkilos Sibil para sa Mga Pinsala:**
- Bilang karagdagan sa mga kasong kriminal, ang mga indibidwal na sinaktan ng maling impormasyon ay maaaring magsampa ng mga aksyong sibil para sa mga pinsala. Ito ay nagpapahintulot sa kanila na humingi ng kabayaran pa"&amp;"ra sa pinsalang dulot ng kanilang reputasyon.
6. **Mga Propesyonal na Kodigo ng Etika:**
- Ang mga mamamahayag at media practitioner ay inaasahang sumunod sa mga propesyonal na code ng etika. Kung ang maling impormasyon ay ipinakalat ng mga media outlet, "&amp;"ang mga indibidwal ay maaaring maghain ng mga reklamo sa mga kinauukulang organisasyon ng media o mga regulatory body, na naghahanap ng mga aksyong pagwawasto.
7. **Ombudsman Act (Republic Act No. 6770):**
- Ang Ombudsman ay may awtoridad na mag-imbestiga"&amp;" at mag-usig ng mga gawain ng katiwalian ng mga pampublikong opisyal. Ang mga indibidwal ay maaaring magsampa ng mga reklamo sa Tanggapan ng Ombudsman kung naniniwala sila na ang maling impormasyon ay kumakalat bilang bahagi ng isang tiwaling gawain.
8. *"&amp;"*Mga Pagkakasala sa Halalan:**
- Kung nagkalat ang maling impormasyon sa konteksto ng isang halalan, maaaring tuklasin ng mga indibidwal ang mga legal na aksyon sa ilalim ng mga batas sa halalan. Ang Omnibus Election Code ay naglalaman ng mga probisyon na"&amp;" tumutugon sa mga paglabag sa halalan, kabilang ang maling impormasyon na maaaring makaapekto sa proseso ng elektoral.
Mahalagang tandaan na ang mga legal na aksyon ay dapat isagawa alinsunod sa mga kasalukuyang batas at pamamaraan. Ang pagkonsulta sa mga"&amp;" legal na propesyonal at awtoridad ay ipinapayong matukoy ang pinakaangkop na kurso ng aksyon batay sa mga partikular na pangyayari at legal na konteksto. Bukod pa rito, maaaring mag-evolve ang legal na tanawin, kaya mahalagang suriin ang anumang mga upda"&amp;"te o pagbabago sa mga nauugnay na batas.")</f>
        <v>Sa Pilipinas, ang mga indibidwal ay may mga legal na paraan upang kumilos laban sa mga media outlet o mga indibidwal na nagkakalat ng maling impormasyon tungkol sa pampulitikang katiwalian. Maaaring may kaugnayan ang ilang batas at legal na prinsipyo sa pagtugon sa maling impormasyon, paninirang-puri, at mga kaugnay na pagkakasala. Narito ang ilang mga pagsasaalang-alang:
1. **Mga Batas sa Libel at Paninirang-puri:**
- Ang mga indibidwal na naniniwalang sila ay siniraan ng maling impormasyon ay maaaring magsampa ng reklamong libelo laban sa mga responsableng partido. Ang mga batas ng libelo sa Pilipinas ay ginagawang kriminal ang paglalathala ng mga maling pahayag na nakakasira sa reputasyon ng isang tao.
2. **Cybercrime Prevention Act of 2012 (Republic Act No. 10175):**
- Kasama sa Cybercrime Prevention Act ang mga probisyon na nauugnay sa online na libelo at cyber defamation. Kung ang maling impormasyon ay kumakalat sa pamamagitan ng mga online na platform, maaaring gamitin ng mga indibidwal ang batas na ito upang tugunan ang isyu.
3. **Maling Balita at Iba Pang Katulad na Pagkakasala:**
- May mga legal na probisyon na maaaring gamitin kapag nagkalat ng maling impormasyon, lalo na kung ito ay nauugnay sa pampulitikang katiwalian. Ang Binagong Kodigo Penal, halimbawa, ay kinabibilangan ng mga pagkakasala na may kaugnayan sa maling balita at iba pang mga gawain na maaaring makagambala sa kaayusan ng publiko.
4. **Karapatan sa Privacy:**
- May karapatan din ang mga indibidwal sa pagkapribado, at ang maling impormasyon na lumalabag sa kanilang privacy ay maaaring sumailalim sa legal na aksyon. Ang Data Privacy Act of 2012 (Republic Act No. 10173) ay nagpoprotekta sa mga indibidwal mula sa hindi awtorisadong pagproseso ng personal na impormasyon.
5. **Mga Pagkilos Sibil para sa Mga Pinsala:**
- Bilang karagdagan sa mga kasong kriminal, ang mga indibidwal na sinaktan ng maling impormasyon ay maaaring magsampa ng mga aksyong sibil para sa mga pinsala. Ito ay nagpapahintulot sa kanila na humingi ng kabayaran para sa pinsalang dulot ng kanilang reputasyon.
6. **Mga Propesyonal na Kodigo ng Etika:**
- Ang mga mamamahayag at media practitioner ay inaasahang sumunod sa mga propesyonal na code ng etika. Kung ang maling impormasyon ay ipinakalat ng mga media outlet, ang mga indibidwal ay maaaring maghain ng mga reklamo sa mga kinauukulang organisasyon ng media o mga regulatory body, na naghahanap ng mga aksyong pagwawasto.
7. **Ombudsman Act (Republic Act No. 6770):**
- Ang Ombudsman ay may awtoridad na mag-imbestiga at mag-usig ng mga gawain ng katiwalian ng mga pampublikong opisyal. Ang mga indibidwal ay maaaring magsampa ng mga reklamo sa Tanggapan ng Ombudsman kung naniniwala sila na ang maling impormasyon ay kumakalat bilang bahagi ng isang tiwaling gawain.
8. **Mga Pagkakasala sa Halalan:**
- Kung nagkalat ang maling impormasyon sa konteksto ng isang halalan, maaaring tuklasin ng mga indibidwal ang mga legal na aksyon sa ilalim ng mga batas sa halalan. Ang Omnibus Election Code ay naglalaman ng mga probisyon na tumutugon sa mga paglabag sa halalan, kabilang ang maling impormasyon na maaaring makaapekto sa proseso ng elektoral.
Mahalagang tandaan na ang mga legal na aksyon ay dapat isagawa alinsunod sa mga kasalukuyang batas at pamamaraan. Ang pagkonsulta sa mga legal na propesyonal at awtoridad ay ipinapayong matukoy ang pinakaangkop na kurso ng aksyon batay sa mga partikular na pangyayari at legal na konteksto. Bukod pa rito, maaaring mag-evolve ang legal na tanawin, kaya mahalagang suriin ang anumang mga update o pagbabago sa mga nauugnay na batas.</v>
      </c>
      <c r="F1174" s="2">
        <f t="shared" si="1"/>
        <v>0</v>
      </c>
      <c r="G1174" s="2"/>
      <c r="H1174" s="2"/>
      <c r="I1174" s="2"/>
      <c r="J1174" s="2"/>
      <c r="K1174" s="2"/>
      <c r="L1174" s="2"/>
      <c r="M1174" s="2"/>
      <c r="N1174" s="2"/>
      <c r="O1174" s="2"/>
      <c r="P1174" s="2"/>
      <c r="Q1174" s="2"/>
      <c r="R1174" s="2"/>
      <c r="S1174" s="2"/>
      <c r="T1174" s="2"/>
      <c r="U1174" s="2"/>
      <c r="V1174" s="2"/>
      <c r="W1174" s="2"/>
      <c r="X1174" s="2"/>
      <c r="Y1174" s="2"/>
      <c r="Z1174" s="2"/>
      <c r="AA1174" s="2"/>
    </row>
    <row r="1175">
      <c r="A1175" s="1" t="s">
        <v>3356</v>
      </c>
      <c r="B1175" s="1" t="s">
        <v>3515</v>
      </c>
      <c r="C1175" s="1" t="s">
        <v>3516</v>
      </c>
      <c r="D1175" s="2" t="str">
        <f>IFERROR(__xludf.DUMMYFUNCTION("GOOGLETRANSLATE(B1175, ""en"", ""TL"")"),"Paano magsusulong ang mga indibidwal para sa mga repormang pambatasan upang palakasin ang mga hakbang laban sa katiwalian sa gobyerno?")</f>
        <v>Paano magsusulong ang mga indibidwal para sa mga repormang pambatasan upang palakasin ang mga hakbang laban sa katiwalian sa gobyerno?</v>
      </c>
      <c r="E1175" s="2" t="str">
        <f>IFERROR(__xludf.DUMMYFUNCTION("GOOGLETRANSLATE(C1175, ""en"", ""TL"")"),"Narito ang ilang paraan na maaaring isulong ng mga indibidwal ang mga repormang pambatas para palakasin ang mga hakbang laban sa katiwalian sa gobyerno:
**Pagtaas ng Kamalayan at Pampublikong Suporta:**
* **Ituro ang Iyong Sarili at ang Iba:** Maging pami"&amp;"lyar sa mga umiiral na batas laban sa katiwalian at tukuyin ang mga lugar kung saan mapapalakas ang mga ito. Ibahagi ang impormasyong ito sa iba sa pamamagitan ng social media, mga forum ng komunidad, o mga workshop na pang-edukasyon.
* **Magsaayos ng Mga"&amp;" Pampublikong Kaganapan:** Magdaos ng mga rally, protesta, o pampublikong talakayan upang imulat ang kamalayan tungkol sa isyu ng katiwalian at makakuha ng suporta ng publiko para sa reporma. * **Makipag-ugnayan sa Media:** Makipag-ugnayan sa mga lokal na"&amp;" media outlet at ibahagi ang iyong pananaw sa pangangailangan para sa pagbabago sa pambatasan. Makakatulong ito sa pagbuo ng mga pampublikong talakayan at maglagay ng presyon sa mga gumagawa ng patakaran.
**Lobbying at Advocacy:**
* **Kilalanin ang Mga Pa"&amp;"ngunahing Desisyon:** Magsaliksik at tukuyin ang mga mambabatas na may hawak ng kapangyarihan sa mga komite na nakikitungo sa mga hakbang laban sa katiwalian. Maaaring mga miyembro ito ng mga nauugnay na komite o mga lider ng partido. * **Mag-draft ng Pan"&amp;"ukala sa Patakaran:** Magbalangkas ng mga partikular na reporma sa pambatasan na iyong itinataguyod. Maaaring kabilang dito ang pinataas na mga hakbang sa transparency, mas mahigpit na mga regulasyon sa pananalapi ng kampanya, o pinahusay na proteksyon ng"&amp;" whistleblower.
* **Makipagpulong sa mga Mambabatas:** Mag-iskedyul ng mga pagpupulong kasama ang iyong mga kinatawan o senador upang ipakita ang iyong panukala sa patakaran at ipaliwanag ang kahalagahan nito. Halina't handa sa data, pananaliksik, at mga "&amp;"personal na kwento upang ilarawan ang epekto ng katiwalian.
* **Mobilize Supporters:** Hikayatin ang mga kaibigan, pamilya, at miyembro ng komunidad na makipag-ugnayan sa kanilang mga mambabatas at ipahayag ang kanilang suporta para sa mga iminungkahing r"&amp;"eporma. Maipapakita nito ang pangangailangan ng publiko para sa pagbabago.
**Pagbuo ng Mga Koalisyon at Kolaborasyon:**
* **Partner with NGOs:** Anti-corruption advocacy group at NGOs ay maaaring may mga kasalukuyang network at mapagkukunan na maaaring ma"&amp;"gpalakas ng iyong boses. Makipagtulungan sa kanila upang mag-strategize at mag-coordinate ng mga pagsisikap.
* **Kumonekta sa Mga Negosyo:** Ang mga negosyo ay maaari ding maapektuhan ng katiwalian. Makipagtulungan sa mga asosasyon ng negosyo o chamber of"&amp;" commerce na maaaring interesado sa pagsuporta sa mga reporma na lumikha ng mas patas at mas malinaw na kapaligiran ng negosyo.
**Paggamit ng Teknolohiya at Mga Online na Platform:**
* **Magsimula ng Online na Petisyon:** Lumikha ng online na petisyon na "&amp;"nagbabalangkas sa iyong mga hinihingi para sa repormang pambatas at ibahagi ito sa pamamagitan ng social media at mga kampanya sa email. Maaari itong maging isang mabilis at epektibong paraan upang mangalap ng mga lagda at magpakita ng suporta sa publiko."&amp;"
* **Gamitin ang Social Media:** Gumamit ng mga platform ng social media upang itaas ang kamalayan, magbahagi ng impormasyon tungkol sa mga kaso ng katiwalian, at i-promote ang iyong mga pagsusumikap sa adbokasiya. Hikayatin ang iba na magbahagi at gumami"&amp;"t ng mga nauugnay na hashtag.
**Pananatiling Alam at Pakikipag-ugnayan:**
* **Sundin ang Kaugnay na Batas:** Subaybayan ang mga panukalang pambatas na may kaugnayan sa anti-korapsyon at manatiling may kaalaman tungkol sa kanilang pag-unlad.
* **Subaybayan"&amp;" ang Pananalapi ng Kampanya:** Magsaliksik ng mga kontribusyon sa pananalapi ng kampanya at potensyal na salungatan ng interes sa mga mambabatas na maaaring bumoto sa mga naturang reporma.
* **Panagutin ang Mga Opisyal:** Subaybayan ang mga rekord ng pagb"&amp;"oto ng iyong mga halal na opisyal sa mga hakbang laban sa katiwalian. Kung hindi nila sinusuportahan ang mga nauugnay na reporma, ipaalam ang iyong pagkabigo at panagutin sila sa pamamagitan ng iyong boto sa susunod na halalan.
**Tandaan:**
* **Ang Epekti"&amp;"bong Adbokasiya ay Nangangailangan ng Pagtitiyaga:** Ang pagbabago sa lehislatibo ay maaaring maging isang mabagal na proseso. Maging handa para sa mga pag-urong at manatiling matiyaga sa iyong mga pagsisikap.
* **Tumuon sa Mga Solusyon, Hindi Lamang Pagp"&amp;"una:** Bagama't mahalaga ang pagbibigay-diin sa problema ng katiwalian, tumuon sa pagmumungkahi ng mga konkretong solusyon at reporma. Nagpapakita ito ng isang nakabubuo na diskarte.
* **Manatiling Positibo at Motivated:** Palibutan ang iyong sarili ng mg"&amp;"a taong katulad ng pag-iisip na katulad mo sa hilig sa paglaban sa katiwalian. Ang pagdiriwang ng maliliit na tagumpay ay maaaring makatulong na mapanatili ang motibasyon sa buong paglalakbay ng adbokasiya.
Sa pamamagitan ng pagsunod sa mga hakbang na ito"&amp;" at pagsali sa mga aktibidad na ito, ang mga indibidwal ay maaaring gumanap ng mahalagang papel sa pagtataguyod para sa mga repormang pambatas upang palakasin ang mga hakbang laban sa katiwalian sa gobyerno.")</f>
        <v>Narito ang ilang paraan na maaaring isulong ng mga indibidwal ang mga repormang pambatas para palakasin ang mga hakbang laban sa katiwalian sa gobyerno:
**Pagtaas ng Kamalayan at Pampublikong Suporta:**
* **Ituro ang Iyong Sarili at ang Iba:** Maging pamilyar sa mga umiiral na batas laban sa katiwalian at tukuyin ang mga lugar kung saan mapapalakas ang mga ito. Ibahagi ang impormasyong ito sa iba sa pamamagitan ng social media, mga forum ng komunidad, o mga workshop na pang-edukasyon.
* **Magsaayos ng Mga Pampublikong Kaganapan:** Magdaos ng mga rally, protesta, o pampublikong talakayan upang imulat ang kamalayan tungkol sa isyu ng katiwalian at makakuha ng suporta ng publiko para sa reporma. * **Makipag-ugnayan sa Media:** Makipag-ugnayan sa mga lokal na media outlet at ibahagi ang iyong pananaw sa pangangailangan para sa pagbabago sa pambatasan. Makakatulong ito sa pagbuo ng mga pampublikong talakayan at maglagay ng presyon sa mga gumagawa ng patakaran.
**Lobbying at Advocacy:**
* **Kilalanin ang Mga Pangunahing Desisyon:** Magsaliksik at tukuyin ang mga mambabatas na may hawak ng kapangyarihan sa mga komite na nakikitungo sa mga hakbang laban sa katiwalian. Maaaring mga miyembro ito ng mga nauugnay na komite o mga lider ng partido. * **Mag-draft ng Panukala sa Patakaran:** Magbalangkas ng mga partikular na reporma sa pambatasan na iyong itinataguyod. Maaaring kabilang dito ang pinataas na mga hakbang sa transparency, mas mahigpit na mga regulasyon sa pananalapi ng kampanya, o pinahusay na proteksyon ng whistleblower.
* **Makipagpulong sa mga Mambabatas:** Mag-iskedyul ng mga pagpupulong kasama ang iyong mga kinatawan o senador upang ipakita ang iyong panukala sa patakaran at ipaliwanag ang kahalagahan nito. Halina't handa sa data, pananaliksik, at mga personal na kwento upang ilarawan ang epekto ng katiwalian.
* **Mobilize Supporters:** Hikayatin ang mga kaibigan, pamilya, at miyembro ng komunidad na makipag-ugnayan sa kanilang mga mambabatas at ipahayag ang kanilang suporta para sa mga iminungkahing reporma. Maipapakita nito ang pangangailangan ng publiko para sa pagbabago.
**Pagbuo ng Mga Koalisyon at Kolaborasyon:**
* **Partner with NGOs:** Anti-corruption advocacy group at NGOs ay maaaring may mga kasalukuyang network at mapagkukunan na maaaring magpalakas ng iyong boses. Makipagtulungan sa kanila upang mag-strategize at mag-coordinate ng mga pagsisikap.
* **Kumonekta sa Mga Negosyo:** Ang mga negosyo ay maaari ding maapektuhan ng katiwalian. Makipagtulungan sa mga asosasyon ng negosyo o chamber of commerce na maaaring interesado sa pagsuporta sa mga reporma na lumikha ng mas patas at mas malinaw na kapaligiran ng negosyo.
**Paggamit ng Teknolohiya at Mga Online na Platform:**
* **Magsimula ng Online na Petisyon:** Lumikha ng online na petisyon na nagbabalangkas sa iyong mga hinihingi para sa repormang pambatas at ibahagi ito sa pamamagitan ng social media at mga kampanya sa email. Maaari itong maging isang mabilis at epektibong paraan upang mangalap ng mga lagda at magpakita ng suporta sa publiko.
* **Gamitin ang Social Media:** Gumamit ng mga platform ng social media upang itaas ang kamalayan, magbahagi ng impormasyon tungkol sa mga kaso ng katiwalian, at i-promote ang iyong mga pagsusumikap sa adbokasiya. Hikayatin ang iba na magbahagi at gumamit ng mga nauugnay na hashtag.
**Pananatiling Alam at Pakikipag-ugnayan:**
* **Sundin ang Kaugnay na Batas:** Subaybayan ang mga panukalang pambatas na may kaugnayan sa anti-korapsyon at manatiling may kaalaman tungkol sa kanilang pag-unlad.
* **Subaybayan ang Pananalapi ng Kampanya:** Magsaliksik ng mga kontribusyon sa pananalapi ng kampanya at potensyal na salungatan ng interes sa mga mambabatas na maaaring bumoto sa mga naturang reporma.
* **Panagutin ang Mga Opisyal:** Subaybayan ang mga rekord ng pagboto ng iyong mga halal na opisyal sa mga hakbang laban sa katiwalian. Kung hindi nila sinusuportahan ang mga nauugnay na reporma, ipaalam ang iyong pagkabigo at panagutin sila sa pamamagitan ng iyong boto sa susunod na halalan.
**Tandaan:**
* **Ang Epektibong Adbokasiya ay Nangangailangan ng Pagtitiyaga:** Ang pagbabago sa lehislatibo ay maaaring maging isang mabagal na proseso. Maging handa para sa mga pag-urong at manatiling matiyaga sa iyong mga pagsisikap.
* **Tumuon sa Mga Solusyon, Hindi Lamang Pagpuna:** Bagama't mahalaga ang pagbibigay-diin sa problema ng katiwalian, tumuon sa pagmumungkahi ng mga konkretong solusyon at reporma. Nagpapakita ito ng isang nakabubuo na diskarte.
* **Manatiling Positibo at Motivated:** Palibutan ang iyong sarili ng mga taong katulad ng pag-iisip na katulad mo sa hilig sa paglaban sa katiwalian. Ang pagdiriwang ng maliliit na tagumpay ay maaaring makatulong na mapanatili ang motibasyon sa buong paglalakbay ng adbokasiya.
Sa pamamagitan ng pagsunod sa mga hakbang na ito at pagsali sa mga aktibidad na ito, ang mga indibidwal ay maaaring gumanap ng mahalagang papel sa pagtataguyod para sa mga repormang pambatas upang palakasin ang mga hakbang laban sa katiwalian sa gobyerno.</v>
      </c>
      <c r="F1175" s="2">
        <f t="shared" si="1"/>
        <v>0</v>
      </c>
      <c r="G1175" s="2"/>
      <c r="H1175" s="2"/>
      <c r="I1175" s="2"/>
      <c r="J1175" s="2"/>
      <c r="K1175" s="2"/>
      <c r="L1175" s="2"/>
      <c r="M1175" s="2"/>
      <c r="N1175" s="2"/>
      <c r="O1175" s="2"/>
      <c r="P1175" s="2"/>
      <c r="Q1175" s="2"/>
      <c r="R1175" s="2"/>
      <c r="S1175" s="2"/>
      <c r="T1175" s="2"/>
      <c r="U1175" s="2"/>
      <c r="V1175" s="2"/>
      <c r="W1175" s="2"/>
      <c r="X1175" s="2"/>
      <c r="Y1175" s="2"/>
      <c r="Z1175" s="2"/>
      <c r="AA1175" s="2"/>
    </row>
    <row r="1176">
      <c r="A1176" s="1" t="s">
        <v>3356</v>
      </c>
      <c r="B1176" s="1" t="s">
        <v>3517</v>
      </c>
      <c r="C1176" s="1" t="s">
        <v>3518</v>
      </c>
      <c r="D1176" s="2" t="str">
        <f>IFERROR(__xludf.DUMMYFUNCTION("GOOGLETRANSLATE(B1176, ""en"", ""TL"")"),"Maaari bang idemanda ng mga indibidwal ang mga ahensya o departamento ng gobyerno dahil sa hindi pag-iwas o pagtugon sa mga pagkakataon ng korapsyon sa pulitika?")</f>
        <v>Maaari bang idemanda ng mga indibidwal ang mga ahensya o departamento ng gobyerno dahil sa hindi pag-iwas o pagtugon sa mga pagkakataon ng korapsyon sa pulitika?</v>
      </c>
      <c r="E1176" s="2" t="str">
        <f>IFERROR(__xludf.DUMMYFUNCTION("GOOGLETRANSLATE(C1176, ""en"", ""TL"")"),"Ang kakayahan ng mga indibidwal na maghabla sa mga ahensya ng gobyerno dahil sa hindi pag-iwas o pagtugon sa pampulitikang katiwalian ay nakasalalay sa ilang salik, kabilang ang mga partikular na batas ng bansa at ang likas na katangian ng demanda. Narito"&amp;" ang isang breakdown ng mga posibilidad:
**Mga Hamon sa Paghahabla sa mga Ahensya ng Gobyerno:**
* **Sovereign Immunity:** Sa maraming bansa, tinatamasa ng gobyerno ang isang antas ng sovereign immunity, na pinoprotektahan ito mula sa mga demanda maliban "&amp;"sa ilalim ng mga partikular na pagkakataon. Pinoprotektahan ng doktrinang ito ang gobyerno mula sa walang kabuluhang mga kaso at pinapayagan itong gumana nang epektibo.
**Mga Potensyal na Avenue (Limitado):**
* **Mga Tukoy na Batas na Nagbibigay ng Karapa"&amp;"tan na Magdemanda:** Maaaring may mga batas ang ilang bansa na nagpapahintulot sa mga demanda laban sa pamahalaan para sa kapabayaan o hindi pagkilos sa ilang partikular na sitwasyon. Maaaring nauugnay ang mga batas na ito sa mga partikular na lugar tulad"&amp;" ng proteksyon sa kapaligiran o kaligtasan ng publiko. Gayunpaman, ang mga naturang batas ay hindi angkop sa pangkalahatan sa pampulitikang katiwalian.
* **Mga Paglabag sa Mga Karapatan sa Konstitusyon:** Kung ang kabiguan ng isang ahensya ng gobyerno na "&amp;"tugunan ang katiwalian ay nagpapakitang lumalabag sa mga karapatan sa konstitusyon ng isang indibidwal (hal., karapatan sa ari-arian, angkop na proseso), maaaring may mga batayan para sa isang demanda. Gayunpaman, maaaring mahirap patunayan ang gayong mal"&amp;"inaw na paglabag.
**Mga Alternatibong Pamamaraan:**
* **Public Interest Litigation (PIL):** Sa ilang hurisdiksyon, ang mga indibidwal o organisasyon ay maaaring maghain ng Public Interest Litigation (PIL) upang pilitin ang pamahalaan na kumilos sa mga isy"&amp;"u tulad ng katiwalian. Ang mga paghahabla ng PIL ay maaaring magpataas ng kamalayan at maglagay ng presyon sa mga awtoridad na kumilos.
* **Mga Kahilingan sa Kalayaan sa Impormasyon:** Maaaring gamitin ng mga indibidwal ang mga batas sa Freedom of Informa"&amp;"tion (FOI) upang humiling ng access sa mga dokumento ng pamahalaan na may kaugnayan sa mga pagsisiyasat sa katiwalian o mga pagsisikap sa pagpigil. Makakatulong ito na ilantad ang maling gawain at panagutin ang mga ahensya para sa hindi pagkilos.
* **Lobb"&amp;"ying at Advocacy:** Maaaring mag-lobby ang mga mamamayan para sa mas malakas na batas laban sa katiwalian at mas mahigpit na mekanismo sa pagpapatupad. Maaari itong maglagay ng pressure sa gobyerno na tugunan ang isyu nang mas epektibo.
**Mahahalagang Pag"&amp;"sasaalang-alang:**
* **Legal na Dalubhasa:** Ang pag-navigate sa mga demanda laban sa mga ahensya ng gobyerno ay kumplikado at nangangailangan ng espesyal na kaalaman sa batas. Ang pagkonsulta sa isang abogado na may karanasan sa mga ganitong kaso ay maha"&amp;"laga.
* **Mga Gastos at Pasan:** Kahit na mayroong mga legal na paraan, ang paghahabol sa mga demanda laban sa mga ahensya ng gobyerno ay maaaring mahaba, magastos, at magkaroon ng hindi tiyak na mga resulta.
**Konklusyon:**
Bagama't maaaring mahirap ang "&amp;"direktang pagdemanda sa mga ahensya ng gobyerno dahil sa hindi pag-iwas sa katiwalian, maaaring maging epektibo ang mga alternatibong pamamaraan sa paggigiit sa kanila na kumilos. Maaaring kabilang dito ang mga demanda sa PIL, mga kahilingan sa FOI, o adb"&amp;"okasiya para sa pagbabago sa pambatasan.")</f>
        <v>Ang kakayahan ng mga indibidwal na maghabla sa mga ahensya ng gobyerno dahil sa hindi pag-iwas o pagtugon sa pampulitikang katiwalian ay nakasalalay sa ilang salik, kabilang ang mga partikular na batas ng bansa at ang likas na katangian ng demanda. Narito ang isang breakdown ng mga posibilidad:
**Mga Hamon sa Paghahabla sa mga Ahensya ng Gobyerno:**
* **Sovereign Immunity:** Sa maraming bansa, tinatamasa ng gobyerno ang isang antas ng sovereign immunity, na pinoprotektahan ito mula sa mga demanda maliban sa ilalim ng mga partikular na pagkakataon. Pinoprotektahan ng doktrinang ito ang gobyerno mula sa walang kabuluhang mga kaso at pinapayagan itong gumana nang epektibo.
**Mga Potensyal na Avenue (Limitado):**
* **Mga Tukoy na Batas na Nagbibigay ng Karapatan na Magdemanda:** Maaaring may mga batas ang ilang bansa na nagpapahintulot sa mga demanda laban sa pamahalaan para sa kapabayaan o hindi pagkilos sa ilang partikular na sitwasyon. Maaaring nauugnay ang mga batas na ito sa mga partikular na lugar tulad ng proteksyon sa kapaligiran o kaligtasan ng publiko. Gayunpaman, ang mga naturang batas ay hindi angkop sa pangkalahatan sa pampulitikang katiwalian.
* **Mga Paglabag sa Mga Karapatan sa Konstitusyon:** Kung ang kabiguan ng isang ahensya ng gobyerno na tugunan ang katiwalian ay nagpapakitang lumalabag sa mga karapatan sa konstitusyon ng isang indibidwal (hal., karapatan sa ari-arian, angkop na proseso), maaaring may mga batayan para sa isang demanda. Gayunpaman, maaaring mahirap patunayan ang gayong malinaw na paglabag.
**Mga Alternatibong Pamamaraan:**
* **Public Interest Litigation (PIL):** Sa ilang hurisdiksyon, ang mga indibidwal o organisasyon ay maaaring maghain ng Public Interest Litigation (PIL) upang pilitin ang pamahalaan na kumilos sa mga isyu tulad ng katiwalian. Ang mga paghahabla ng PIL ay maaaring magpataas ng kamalayan at maglagay ng presyon sa mga awtoridad na kumilos.
* **Mga Kahilingan sa Kalayaan sa Impormasyon:** Maaaring gamitin ng mga indibidwal ang mga batas sa Freedom of Information (FOI) upang humiling ng access sa mga dokumento ng pamahalaan na may kaugnayan sa mga pagsisiyasat sa katiwalian o mga pagsisikap sa pagpigil. Makakatulong ito na ilantad ang maling gawain at panagutin ang mga ahensya para sa hindi pagkilos.
* **Lobbying at Advocacy:** Maaaring mag-lobby ang mga mamamayan para sa mas malakas na batas laban sa katiwalian at mas mahigpit na mekanismo sa pagpapatupad. Maaari itong maglagay ng pressure sa gobyerno na tugunan ang isyu nang mas epektibo.
**Mahahalagang Pagsasaalang-alang:**
* **Legal na Dalubhasa:** Ang pag-navigate sa mga demanda laban sa mga ahensya ng gobyerno ay kumplikado at nangangailangan ng espesyal na kaalaman sa batas. Ang pagkonsulta sa isang abogado na may karanasan sa mga ganitong kaso ay mahalaga.
* **Mga Gastos at Pasan:** Kahit na mayroong mga legal na paraan, ang paghahabol sa mga demanda laban sa mga ahensya ng gobyerno ay maaaring mahaba, magastos, at magkaroon ng hindi tiyak na mga resulta.
**Konklusyon:**
Bagama't maaaring mahirap ang direktang pagdemanda sa mga ahensya ng gobyerno dahil sa hindi pag-iwas sa katiwalian, maaaring maging epektibo ang mga alternatibong pamamaraan sa paggigiit sa kanila na kumilos. Maaaring kabilang dito ang mga demanda sa PIL, mga kahilingan sa FOI, o adbokasiya para sa pagbabago sa pambatasan.</v>
      </c>
      <c r="F1176" s="2">
        <f t="shared" si="1"/>
        <v>0</v>
      </c>
      <c r="G1176" s="2"/>
      <c r="H1176" s="2"/>
      <c r="I1176" s="2"/>
      <c r="J1176" s="2"/>
      <c r="K1176" s="2"/>
      <c r="L1176" s="2"/>
      <c r="M1176" s="2"/>
      <c r="N1176" s="2"/>
      <c r="O1176" s="2"/>
      <c r="P1176" s="2"/>
      <c r="Q1176" s="2"/>
      <c r="R1176" s="2"/>
      <c r="S1176" s="2"/>
      <c r="T1176" s="2"/>
      <c r="U1176" s="2"/>
      <c r="V1176" s="2"/>
      <c r="W1176" s="2"/>
      <c r="X1176" s="2"/>
      <c r="Y1176" s="2"/>
      <c r="Z1176" s="2"/>
      <c r="AA1176" s="2"/>
    </row>
    <row r="1177">
      <c r="A1177" s="1" t="s">
        <v>3356</v>
      </c>
      <c r="B1177" s="1" t="s">
        <v>3519</v>
      </c>
      <c r="C1177" s="1" t="s">
        <v>3520</v>
      </c>
      <c r="D1177" s="2" t="str">
        <f>IFERROR(__xludf.DUMMYFUNCTION("GOOGLETRANSLATE(B1177, ""en"", ""TL"")"),"Ano ang papel na ginagampanan ng plea bargain at mga kasunduan sa immunity sa pag-uusig sa mga kaso ng pampulitikang katiwalian?")</f>
        <v>Ano ang papel na ginagampanan ng plea bargain at mga kasunduan sa immunity sa pag-uusig sa mga kaso ng pampulitikang katiwalian?</v>
      </c>
      <c r="E1177" s="2" t="str">
        <f>IFERROR(__xludf.DUMMYFUNCTION("GOOGLETRANSLATE(C1177, ""en"", ""TL"")"),"Ang mga plea bargain at mga kasunduan sa immunity ay maaaring maging makapangyarihang mga kasangkapan sa pag-uusig ng mga kaso ng pampulitikang katiwalian, ngunit may mga potensyal na disbentaha rin ang mga ito. Narito ang isang breakdown ng kanilang mga "&amp;"tungkulin at ang mga pagsasaalang-alang na kasangkot:
**Plea Bargains:**
* **Mga Benepisyo:**
* **Mas mabilis na Resolution:** Sa pamamagitan ng pag-aangking nagkasala sa mas mababang singil, maiiwasan ng mga nasasakdal ang mahahaba at mamahaling pagsubok"&amp;". Nagbibigay-daan ito sa mga tagausig na mas mabilis na lutasin ang mga kaso at pinalalaya ang mga mapagkukunan para sa karagdagang pagsisiyasat.
* **Pagtutulungan:** Ang plea bargains ay maaaring magbigay ng insentibo sa mga nasasakdal na makipagtulungan"&amp;" sa mga tagausig sa pamamagitan ng pagbibigay ng impormasyon tungkol sa mas mataas na antas na mga opisyal na sangkot sa iskema ng katiwalian. Ito ay maaaring humantong sa pag-alis ng mas malawak na web ng katiwalian at pagpapababa ng mas makapangyarihang"&amp;" mga numero.
* **Pagkumpisal at Ebidensya:** Ang isang guilty plea ay maaaring magbigay ng pampublikong pag-amin ng maling gawain, na maaaring makapinsala sa reputasyon at karera ng nasasakdal. Dagdag pa rito, maaaring may kinalaman sa plea bargain ang na"&amp;"sasakdal sa pagsuko ng ebidensya na nagpapatibay sa kaso ng prosekusyon laban sa kanilang sarili o sa iba.
* **Mga Kakulangan:**
* **Pagpapalubag-loob para sa Mga Makapangyarihang Indibidwal:** Ipinagtatalo ng mga kritiko na ang plea bargain ay maaaring h"&amp;"umantong minsan sa mas magaan na mga sentensiya para sa mga high-profile na nasasakdal, na makikita bilang isang sampal sa pulso at nabigong maghatid ng tunay na hustisya. * **Public Perception of Corruption:** Maaaring mawalan ng tiwala ang publiko sa si"&amp;"stema ng hustisya kung mapapansin nila na ang mga tiwaling opisyal ay nakakalusot sa maluwag na mga parusa sa pamamagitan ng plea bargain.
**Mga Kasunduan sa Imyunidad:**
* **Mga Benepisyo:**
* **Pagbubunyag ng mga Mastermind:** Ang kaligtasan mula sa pag"&amp;"-uusig ay maaaring ialok sa mga kalahok sa mababang antas sa isang tiwaling pamamaraan kapalit ng kanilang buong kooperasyon. Makakatulong ito sa mga tagausig na maabot ang mas mataas na antas na mga indibidwal na nag-orkestra sa katiwalian.
* **Pagkuha n"&amp;"g Ebidensya:** Ang mga kasunduan sa kaligtasan sa sakit ay maaaring magbigay ng insentibo sa mga testigo na magbigay ng mahalagang patotoo at ebidensya na kung hindi man ay hindi magagamit, lalo na kung sila ay kasangkot din sa maling gawain.
* **Mga Kaku"&amp;"langan:**
* **Public Outrage:** Maaaring magalit ang publiko kung ang mga indibidwal na lumahok sa katiwalian ay makakatanggap ng immunity, lalo na kung hindi sila nahaharap sa anumang kahihinatnan para sa kanilang mga aksyon.
* **Pagprotekta sa Mga Pangu"&amp;"nahing Manlalaro:** Ang mga kritiko ay nangangatuwiran na ang mga kasunduan sa kaligtasan sa sakit kung minsan ay maaaring maprotektahan ang pinakamahahalagang numero sa likod ng katiwalian mula sa pananagutan.
**Pangkalahatang Pagsasaalang-alang:**
* **P"&amp;"agbabalanse ng Katarungan at Kahusayan:** Dapat maingat na timbangin ng mga tagausig ang mga benepisyo ng mga plea bargain at mga kasunduan sa immunity laban sa potensyal para sa pagpapaubaya at pagkagalit ng publiko.
* **Transparency sa Negotiations:** A"&amp;"ng transparency sa proseso ng negosasyon at ang katwiran sa likod ng plea bargain at mga kasunduan sa immunity ay makakatulong na matugunan ang mga pampublikong alalahanin tungkol sa pagiging patas.
* **Kalubhaan ng Korupsyon:** Ang kalubhaan ng kaso ng k"&amp;"atiwalian ay dapat ding isaalang-alang. Ang mga plea bargain at mga kasunduan sa immunity ay maaaring maging mas makatwiran sa mga kumplikadong kaso na kinasasangkutan ng isang web ng katiwalian o kapag ang pagtuklas ng mga mataas na antas na numero ay ma"&amp;"halaga.
**Konklusyon:**
Ang mga plea bargain at mga kasunduan sa immunity ay maaaring maging mahalagang mga tool para sa pagbuwag sa pulitikal na katiwalian, ngunit dapat itong gamitin sa estratehikong paraan at may maingat na pagsasaalang-alang para sa k"&amp;"anilang mga potensyal na downside.")</f>
        <v>Ang mga plea bargain at mga kasunduan sa immunity ay maaaring maging makapangyarihang mga kasangkapan sa pag-uusig ng mga kaso ng pampulitikang katiwalian, ngunit may mga potensyal na disbentaha rin ang mga ito. Narito ang isang breakdown ng kanilang mga tungkulin at ang mga pagsasaalang-alang na kasangkot:
**Plea Bargains:**
* **Mga Benepisyo:**
* **Mas mabilis na Resolution:** Sa pamamagitan ng pag-aangking nagkasala sa mas mababang singil, maiiwasan ng mga nasasakdal ang mahahaba at mamahaling pagsubok. Nagbibigay-daan ito sa mga tagausig na mas mabilis na lutasin ang mga kaso at pinalalaya ang mga mapagkukunan para sa karagdagang pagsisiyasat.
* **Pagtutulungan:** Ang plea bargains ay maaaring magbigay ng insentibo sa mga nasasakdal na makipagtulungan sa mga tagausig sa pamamagitan ng pagbibigay ng impormasyon tungkol sa mas mataas na antas na mga opisyal na sangkot sa iskema ng katiwalian. Ito ay maaaring humantong sa pag-alis ng mas malawak na web ng katiwalian at pagpapababa ng mas makapangyarihang mga numero.
* **Pagkumpisal at Ebidensya:** Ang isang guilty plea ay maaaring magbigay ng pampublikong pag-amin ng maling gawain, na maaaring makapinsala sa reputasyon at karera ng nasasakdal. Dagdag pa rito, maaaring may kinalaman sa plea bargain ang nasasakdal sa pagsuko ng ebidensya na nagpapatibay sa kaso ng prosekusyon laban sa kanilang sarili o sa iba.
* **Mga Kakulangan:**
* **Pagpapalubag-loob para sa Mga Makapangyarihang Indibidwal:** Ipinagtatalo ng mga kritiko na ang plea bargain ay maaaring humantong minsan sa mas magaan na mga sentensiya para sa mga high-profile na nasasakdal, na makikita bilang isang sampal sa pulso at nabigong maghatid ng tunay na hustisya. * **Public Perception of Corruption:** Maaaring mawalan ng tiwala ang publiko sa sistema ng hustisya kung mapapansin nila na ang mga tiwaling opisyal ay nakakalusot sa maluwag na mga parusa sa pamamagitan ng plea bargain.
**Mga Kasunduan sa Imyunidad:**
* **Mga Benepisyo:**
* **Pagbubunyag ng mga Mastermind:** Ang kaligtasan mula sa pag-uusig ay maaaring ialok sa mga kalahok sa mababang antas sa isang tiwaling pamamaraan kapalit ng kanilang buong kooperasyon. Makakatulong ito sa mga tagausig na maabot ang mas mataas na antas na mga indibidwal na nag-orkestra sa katiwalian.
* **Pagkuha ng Ebidensya:** Ang mga kasunduan sa kaligtasan sa sakit ay maaaring magbigay ng insentibo sa mga testigo na magbigay ng mahalagang patotoo at ebidensya na kung hindi man ay hindi magagamit, lalo na kung sila ay kasangkot din sa maling gawain.
* **Mga Kakulangan:**
* **Public Outrage:** Maaaring magalit ang publiko kung ang mga indibidwal na lumahok sa katiwalian ay makakatanggap ng immunity, lalo na kung hindi sila nahaharap sa anumang kahihinatnan para sa kanilang mga aksyon.
* **Pagprotekta sa Mga Pangunahing Manlalaro:** Ang mga kritiko ay nangangatuwiran na ang mga kasunduan sa kaligtasan sa sakit kung minsan ay maaaring maprotektahan ang pinakamahahalagang numero sa likod ng katiwalian mula sa pananagutan.
**Pangkalahatang Pagsasaalang-alang:**
* **Pagbabalanse ng Katarungan at Kahusayan:** Dapat maingat na timbangin ng mga tagausig ang mga benepisyo ng mga plea bargain at mga kasunduan sa immunity laban sa potensyal para sa pagpapaubaya at pagkagalit ng publiko.
* **Transparency sa Negotiations:** Ang transparency sa proseso ng negosasyon at ang katwiran sa likod ng plea bargain at mga kasunduan sa immunity ay makakatulong na matugunan ang mga pampublikong alalahanin tungkol sa pagiging patas.
* **Kalubhaan ng Korupsyon:** Ang kalubhaan ng kaso ng katiwalian ay dapat ding isaalang-alang. Ang mga plea bargain at mga kasunduan sa immunity ay maaaring maging mas makatwiran sa mga kumplikadong kaso na kinasasangkutan ng isang web ng katiwalian o kapag ang pagtuklas ng mga mataas na antas na numero ay mahalaga.
**Konklusyon:**
Ang mga plea bargain at mga kasunduan sa immunity ay maaaring maging mahalagang mga tool para sa pagbuwag sa pulitikal na katiwalian, ngunit dapat itong gamitin sa estratehikong paraan at may maingat na pagsasaalang-alang para sa kanilang mga potensyal na downside.</v>
      </c>
      <c r="F1177" s="2">
        <f t="shared" si="1"/>
        <v>0</v>
      </c>
      <c r="G1177" s="2"/>
      <c r="H1177" s="2"/>
      <c r="I1177" s="2"/>
      <c r="J1177" s="2"/>
      <c r="K1177" s="2"/>
      <c r="L1177" s="2"/>
      <c r="M1177" s="2"/>
      <c r="N1177" s="2"/>
      <c r="O1177" s="2"/>
      <c r="P1177" s="2"/>
      <c r="Q1177" s="2"/>
      <c r="R1177" s="2"/>
      <c r="S1177" s="2"/>
      <c r="T1177" s="2"/>
      <c r="U1177" s="2"/>
      <c r="V1177" s="2"/>
      <c r="W1177" s="2"/>
      <c r="X1177" s="2"/>
      <c r="Y1177" s="2"/>
      <c r="Z1177" s="2"/>
      <c r="AA1177" s="2"/>
    </row>
    <row r="1178">
      <c r="A1178" s="1" t="s">
        <v>3356</v>
      </c>
      <c r="B1178" s="1" t="s">
        <v>3521</v>
      </c>
      <c r="C1178" s="1" t="s">
        <v>3522</v>
      </c>
      <c r="D1178" s="2" t="str">
        <f>IFERROR(__xludf.DUMMYFUNCTION("GOOGLETRANSLATE(B1178, ""en"", ""TL"")"),"Maaari bang magsampa ng kaso ang mga indibidwal laban sa mga dayuhang entity o pamahalaan na sangkot sa mga tiwaling aktibidad na nakakaapekto sa lokal na pulitika?")</f>
        <v>Maaari bang magsampa ng kaso ang mga indibidwal laban sa mga dayuhang entity o pamahalaan na sangkot sa mga tiwaling aktibidad na nakakaapekto sa lokal na pulitika?</v>
      </c>
      <c r="E1178" s="2" t="str">
        <f>IFERROR(__xludf.DUMMYFUNCTION("GOOGLETRANSLATE(C1178, ""en"", ""TL"")"),"Ang kakayahan ng mga indibidwal na magdemanda ng mga dayuhang entidad o pamahalaan para sa mga tiwaling aktibidad na nakakaapekto sa lokal na pulitika ay masalimuot at nakadepende sa ilang salik. Narito ang isang breakdown:
**Karaniwang Mahirap:**
* **Sov"&amp;"ereign Immunity:** Ang mga dayuhang pamahalaan ay nagtatamasa ng sovereign immunity, na nagpapahirap sa kanila na direktang idemanda sa karamihan ng mga bansa. Kinikilala ng prinsipyong ito ang kalayaan ng isang bansa at pinipigilan ang ibang mga bansa na"&amp;" makialam sa kanilang mga panloob na gawain.
**Mga Potensyal na Avenue (Limitado):**
* **Alien Tort Claims Act (ATCA) sa US:** Ang batas ng US na ito ay nagpapahintulot sa mga demanda laban sa mga dayuhang entity para sa ilang partikular na paglabag sa ka"&amp;"rapatang pantao, tortyur, o extrajudicial killings, kahit na nangyari ang mga ito sa labas ng US. Gayunpaman, isa itong kumplikadong batas na may mga limitasyon at nangangailangan ng pagpapatunay ng isang partikular na koneksyon sa US.
* **International L"&amp;"aw:** Maaaring panagutin ng mga internasyonal na hukuman tulad ng International Criminal Court (ICC) ang mga indibidwal para sa mga krimen laban sa sangkatauhan, mga krimen sa digmaan, at genocide. Gayunpaman, ang mga korte na ito ay may limitadong hurisd"&amp;"iksyon at hindi karaniwang humahawak sa araw-araw na mga kaso ng katiwalian.
* **Mga Batas sa Panloob na Tumutugon sa Dayuhang Katiwalian:** Ang ilang mga bansa ay may mga batas na nagta-target sa dayuhang panunuhol sa kanilang mga opisyal. Maaaring payag"&amp;"an ng mga batas na ito ang mga indibidwal na sinaktan ng naturang katiwalian na gumawa ng legal na aksyon, ngunit ang mga partikular na probisyon at limitasyon ay nag-iiba ayon sa bansa.
**Mga Alternatibong Pamamaraan:**
* **Lobbying for Legislation:** An"&amp;"g mga indibidwal at grupo ng adbokasiya ay maaaring mag-lobby para sa mas mahigpit na mga batas laban sa katiwalian at mga mekanismo ng pagpapatupad sa kanilang sariling mga bansa. Makakatulong ito sa pagpigil sa mga dayuhang tiwaling aktibidad at panagut"&amp;"in ang mga lokal na aktor sa pakikipagtulungan sa mga dayuhang entity.
* **Public Pressure:** Ang pagpapataas ng kamalayan ng publiko sa pamamagitan ng mga kampanya at protesta sa media ay maaaring maglagay ng panggigipit sa mga dayuhang pamahalaan at mga"&amp;" lokal na opisyal upang tugunan ang katiwalian.
**Mahahalagang Pagsasaalang-alang:**
* **Legal na Dalubhasa:** Ang pag-navigate sa mga demanda laban sa mga dayuhang entity ay kumplikado at nangangailangan ng espesyal na kadalubhasaan sa batas sa internasy"&amp;"onal na batas. * **Mga Gastos at Hamon:** Kahit na mayroong mga legal na paraan, ang paghahabol sa mga demanda laban sa mga dayuhang entity ay maaaring mahaba, magastos, at magkaroon ng hindi tiyak na mga resulta.
**Konklusyon:**
Bagama't sa pangkalahatan"&amp;" ay mahirap ang direktang pagdemanda sa mga dayuhang pamahalaan para sa mga tiwaling aktibidad, maaaring tuklasin ang ibang mga paraan upang matugunan ang isyu. Maaaring may kinalaman ang mga ito ng legal na aksyon laban sa mga partikular na indibidwal na"&amp;" kasangkot, pag-lobby para sa mga pagbabago sa pambatasan, o pagpapataas ng kamalayan sa publiko.")</f>
        <v>Ang kakayahan ng mga indibidwal na magdemanda ng mga dayuhang entidad o pamahalaan para sa mga tiwaling aktibidad na nakakaapekto sa lokal na pulitika ay masalimuot at nakadepende sa ilang salik. Narito ang isang breakdown:
**Karaniwang Mahirap:**
* **Sovereign Immunity:** Ang mga dayuhang pamahalaan ay nagtatamasa ng sovereign immunity, na nagpapahirap sa kanila na direktang idemanda sa karamihan ng mga bansa. Kinikilala ng prinsipyong ito ang kalayaan ng isang bansa at pinipigilan ang ibang mga bansa na makialam sa kanilang mga panloob na gawain.
**Mga Potensyal na Avenue (Limitado):**
* **Alien Tort Claims Act (ATCA) sa US:** Ang batas ng US na ito ay nagpapahintulot sa mga demanda laban sa mga dayuhang entity para sa ilang partikular na paglabag sa karapatang pantao, tortyur, o extrajudicial killings, kahit na nangyari ang mga ito sa labas ng US. Gayunpaman, isa itong kumplikadong batas na may mga limitasyon at nangangailangan ng pagpapatunay ng isang partikular na koneksyon sa US.
* **International Law:** Maaaring panagutin ng mga internasyonal na hukuman tulad ng International Criminal Court (ICC) ang mga indibidwal para sa mga krimen laban sa sangkatauhan, mga krimen sa digmaan, at genocide. Gayunpaman, ang mga korte na ito ay may limitadong hurisdiksyon at hindi karaniwang humahawak sa araw-araw na mga kaso ng katiwalian.
* **Mga Batas sa Panloob na Tumutugon sa Dayuhang Katiwalian:** Ang ilang mga bansa ay may mga batas na nagta-target sa dayuhang panunuhol sa kanilang mga opisyal. Maaaring payagan ng mga batas na ito ang mga indibidwal na sinaktan ng naturang katiwalian na gumawa ng legal na aksyon, ngunit ang mga partikular na probisyon at limitasyon ay nag-iiba ayon sa bansa.
**Mga Alternatibong Pamamaraan:**
* **Lobbying for Legislation:** Ang mga indibidwal at grupo ng adbokasiya ay maaaring mag-lobby para sa mas mahigpit na mga batas laban sa katiwalian at mga mekanismo ng pagpapatupad sa kanilang sariling mga bansa. Makakatulong ito sa pagpigil sa mga dayuhang tiwaling aktibidad at panagutin ang mga lokal na aktor sa pakikipagtulungan sa mga dayuhang entity.
* **Public Pressure:** Ang pagpapataas ng kamalayan ng publiko sa pamamagitan ng mga kampanya at protesta sa media ay maaaring maglagay ng panggigipit sa mga dayuhang pamahalaan at mga lokal na opisyal upang tugunan ang katiwalian.
**Mahahalagang Pagsasaalang-alang:**
* **Legal na Dalubhasa:** Ang pag-navigate sa mga demanda laban sa mga dayuhang entity ay kumplikado at nangangailangan ng espesyal na kadalubhasaan sa batas sa internasyonal na batas. * **Mga Gastos at Hamon:** Kahit na mayroong mga legal na paraan, ang paghahabol sa mga demanda laban sa mga dayuhang entity ay maaaring mahaba, magastos, at magkaroon ng hindi tiyak na mga resulta.
**Konklusyon:**
Bagama't sa pangkalahatan ay mahirap ang direktang pagdemanda sa mga dayuhang pamahalaan para sa mga tiwaling aktibidad, maaaring tuklasin ang ibang mga paraan upang matugunan ang isyu. Maaaring may kinalaman ang mga ito ng legal na aksyon laban sa mga partikular na indibidwal na kasangkot, pag-lobby para sa mga pagbabago sa pambatasan, o pagpapataas ng kamalayan sa publiko.</v>
      </c>
      <c r="F1178" s="2">
        <f t="shared" si="1"/>
        <v>0</v>
      </c>
      <c r="G1178" s="2"/>
      <c r="H1178" s="2"/>
      <c r="I1178" s="2"/>
      <c r="J1178" s="2"/>
      <c r="K1178" s="2"/>
      <c r="L1178" s="2"/>
      <c r="M1178" s="2"/>
      <c r="N1178" s="2"/>
      <c r="O1178" s="2"/>
      <c r="P1178" s="2"/>
      <c r="Q1178" s="2"/>
      <c r="R1178" s="2"/>
      <c r="S1178" s="2"/>
      <c r="T1178" s="2"/>
      <c r="U1178" s="2"/>
      <c r="V1178" s="2"/>
      <c r="W1178" s="2"/>
      <c r="X1178" s="2"/>
      <c r="Y1178" s="2"/>
      <c r="Z1178" s="2"/>
      <c r="AA1178" s="2"/>
    </row>
    <row r="1179">
      <c r="A1179" s="1" t="s">
        <v>3356</v>
      </c>
      <c r="B1179" s="1" t="s">
        <v>3523</v>
      </c>
      <c r="C1179" s="1" t="s">
        <v>3524</v>
      </c>
      <c r="D1179" s="2" t="str">
        <f>IFERROR(__xludf.DUMMYFUNCTION("GOOGLETRANSLATE(B1179, ""en"", ""TL"")"),"Paano nakakatulong ang lobbying disclosure laws na maiwasan ang hindi nararapat na impluwensya at katiwalian sa pampulitikang pagdedesisyon?")</f>
        <v>Paano nakakatulong ang lobbying disclosure laws na maiwasan ang hindi nararapat na impluwensya at katiwalian sa pampulitikang pagdedesisyon?</v>
      </c>
      <c r="E1179" s="2" t="str">
        <f>IFERROR(__xludf.DUMMYFUNCTION("GOOGLETRANSLATE(C1179, ""en"", ""TL"")"),"Noong Enero 2022, ang Pilipinas ay walang mga partikular na pederal na batas na namamahala sa pagsisiwalat ng lobbying sa pambansang antas. Gayunpaman, mahalagang tandaan na ang lobbying at mga nauugnay na aktibidad ay maaaring kontrolin sa pamamagitan ng"&amp;" iba't ibang batas, tulad ng Anti-Graft and Corrupt Practices Act (Republic Act No. 3019), Code of Conduct and Ethical Standards for Public Officials and Employees (Republic Act No. 6713), at iba pang mga batas laban sa katiwalian.
Kung may mga pagpapaunl"&amp;"ad o bagong batas na pinagtibay mula noong huli kong pag-update, inirerekomenda kong suriin ang pinakabago at awtoritatibong legal na pinagmumulan para sa pinakabagong impormasyon sa mga batas sa pagbubunyag ng lobbying sa Pilipinas.
Iyon nga lang, makaka"&amp;"pagbigay ako ng pangkalahatang pananaw sa kung paano makakatulong ang mga lobbying law sa pagsisiwalat, kapag epektibong ipinatupad, na maiwasan ang hindi nararapat na impluwensya at katiwalian sa pampulitikang paggawa ng desisyon batay sa mga internasyon"&amp;"al na pinakamahusay na kagawian:
1. **Transparency at Pananagutan:**
- Ang mga batas sa pagbubunyag ng lobbying ay nangangailangan ng mga indibidwal o entity na nakikibahagi sa mga aktibidad ng lobbying na ibunyag sa publiko ang kanilang mga pagsisikap. A"&amp;"ng transparency na ito ay nagbibigay-daan sa publiko na maunawaan kung sino ang nagtatangkang impluwensyahan ang mga desisyon ng gobyerno at hanggang saan.
2. **Pagkilala sa Mga Potensyal na Salungatan ng Interes:**
- Ang mga pagsisiwalat sa ilalim ng mga"&amp;" batas sa lobbying ay maaaring makatulong na matukoy ang mga potensyal na salungatan ng interes sa pagitan ng mga tagalobi, pampublikong opisyal, at mga gumagawa ng desisyon. Ang transparency na ito ay nagbibigay-daan para sa pagsusuri ng mga relasyon na "&amp;"maaaring ikompromiso ang integridad ng pampulitika na paggawa ng desisyon.
3. **Pagsubaybay at Pangangasiwa:**
- Ang mga batas sa pagbubunyag ng lobbying ay karaniwang nagtatatag ng mga mekanismo para sa pagsubaybay at pangangasiwa. Maaaring ipatupad ng m"&amp;"ga regulatory body o ahensya ng gobyerno ang pagsunod, imbestigahan ang mga potensyal na paglabag, at gumawa ng mga pagwawasto kung kinakailangan.
4. **Pinahusay na Public Trust:**
- Sa pamamagitan ng pagbibigay ng impormasyon tungkol sa mga aktibidad sa "&amp;"lobbying, nakakatulong ang mga batas sa pagsisiwalat sa pagbuo ng tiwala ng publiko sa prosesong pampulitika. Kapag alam ng mga mamamayan kung sino ang nakakaimpluwensya sa mga gumagawa ng desisyon, mas masusuri nila ang pagiging lehitimo ng mga impluwens"&amp;"yang iyon at mapapanagot ang mga pampublikong opisyal.
5. **Pag-iwas sa Nakatagong Impluwensiya:**
- Ang mga kinakailangan sa pagsisiwalat ay pumipigil sa mga nakatago o hindi isiniwalat na mga aktibidad sa lobby na maaaring humantong sa hindi nararapat n"&amp;"a impluwensya. Sa pamamagitan ng pagbibigay-liwanag sa mga aktibidad na ito, ang mga batas sa paglalahad ng lobbying ay nakakatulong na mapanatili ang pagiging bukas at pagiging patas ng proseso ng paggawa ng desisyon.
6. **Regulating Financial Contributi"&amp;"ons:**
- Kasama sa ilang mga batas sa pagbubunyag ng lobbying ang mga probisyon na nauugnay sa mga kontribusyong pinansyal na ginawa ng mga tagalobi o grupo ng interes. Ang pag-regulate ng mga naturang kontribusyon ay nakakatulong na maiwasan ang paggamit"&amp;" ng mga insentibo sa pananalapi upang makakuha ng mga paborableng desisyon.
7. **Mga Debate sa Patakaran na May Kaalaman:**
- Ang pagsisiwalat ng mga aktibidad sa lobbying ay nagbibigay-daan sa mga gumagawa ng patakaran, media, at publiko na magkaroon ng "&amp;"higit na kaalaman sa iba't ibang pananaw at interes na kasangkot sa mga debate sa patakaran. Ito ay maaaring humantong sa mas balanse at mahusay na kaalaman sa paggawa ng desisyon.
Napakahalaga na iangkop ang anumang pagsusuri sa partikular na legal na ko"&amp;"nteksto ng Pilipinas at upang kumonsulta sa mga pinakabagong legal na mapagkukunan para sa pinakatumpak at napapanahong impormasyon sa mga batas sa pagbubunyag ng lobbying sa bansa.")</f>
        <v>Noong Enero 2022, ang Pilipinas ay walang mga partikular na pederal na batas na namamahala sa pagsisiwalat ng lobbying sa pambansang antas. Gayunpaman, mahalagang tandaan na ang lobbying at mga nauugnay na aktibidad ay maaaring kontrolin sa pamamagitan ng iba't ibang batas, tulad ng Anti-Graft and Corrupt Practices Act (Republic Act No. 3019), Code of Conduct and Ethical Standards for Public Officials and Employees (Republic Act No. 6713), at iba pang mga batas laban sa katiwalian.
Kung may mga pagpapaunlad o bagong batas na pinagtibay mula noong huli kong pag-update, inirerekomenda kong suriin ang pinakabago at awtoritatibong legal na pinagmumulan para sa pinakabagong impormasyon sa mga batas sa pagbubunyag ng lobbying sa Pilipinas.
Iyon nga lang, makakapagbigay ako ng pangkalahatang pananaw sa kung paano makakatulong ang mga lobbying law sa pagsisiwalat, kapag epektibong ipinatupad, na maiwasan ang hindi nararapat na impluwensya at katiwalian sa pampulitikang paggawa ng desisyon batay sa mga internasyonal na pinakamahusay na kagawian:
1. **Transparency at Pananagutan:**
- Ang mga batas sa pagbubunyag ng lobbying ay nangangailangan ng mga indibidwal o entity na nakikibahagi sa mga aktibidad ng lobbying na ibunyag sa publiko ang kanilang mga pagsisikap. Ang transparency na ito ay nagbibigay-daan sa publiko na maunawaan kung sino ang nagtatangkang impluwensyahan ang mga desisyon ng gobyerno at hanggang saan.
2. **Pagkilala sa Mga Potensyal na Salungatan ng Interes:**
- Ang mga pagsisiwalat sa ilalim ng mga batas sa lobbying ay maaaring makatulong na matukoy ang mga potensyal na salungatan ng interes sa pagitan ng mga tagalobi, pampublikong opisyal, at mga gumagawa ng desisyon. Ang transparency na ito ay nagbibigay-daan para sa pagsusuri ng mga relasyon na maaaring ikompromiso ang integridad ng pampulitika na paggawa ng desisyon.
3. **Pagsubaybay at Pangangasiwa:**
- Ang mga batas sa pagbubunyag ng lobbying ay karaniwang nagtatatag ng mga mekanismo para sa pagsubaybay at pangangasiwa. Maaaring ipatupad ng mga regulatory body o ahensya ng gobyerno ang pagsunod, imbestigahan ang mga potensyal na paglabag, at gumawa ng mga pagwawasto kung kinakailangan.
4. **Pinahusay na Public Trust:**
- Sa pamamagitan ng pagbibigay ng impormasyon tungkol sa mga aktibidad sa lobbying, nakakatulong ang mga batas sa pagsisiwalat sa pagbuo ng tiwala ng publiko sa prosesong pampulitika. Kapag alam ng mga mamamayan kung sino ang nakakaimpluwensya sa mga gumagawa ng desisyon, mas masusuri nila ang pagiging lehitimo ng mga impluwensyang iyon at mapapanagot ang mga pampublikong opisyal.
5. **Pag-iwas sa Nakatagong Impluwensiya:**
- Ang mga kinakailangan sa pagsisiwalat ay pumipigil sa mga nakatago o hindi isiniwalat na mga aktibidad sa lobby na maaaring humantong sa hindi nararapat na impluwensya. Sa pamamagitan ng pagbibigay-liwanag sa mga aktibidad na ito, ang mga batas sa paglalahad ng lobbying ay nakakatulong na mapanatili ang pagiging bukas at pagiging patas ng proseso ng paggawa ng desisyon.
6. **Regulating Financial Contributions:**
- Kasama sa ilang mga batas sa pagbubunyag ng lobbying ang mga probisyon na nauugnay sa mga kontribusyong pinansyal na ginawa ng mga tagalobi o grupo ng interes. Ang pag-regulate ng mga naturang kontribusyon ay nakakatulong na maiwasan ang paggamit ng mga insentibo sa pananalapi upang makakuha ng mga paborableng desisyon.
7. **Mga Debate sa Patakaran na May Kaalaman:**
- Ang pagsisiwalat ng mga aktibidad sa lobbying ay nagbibigay-daan sa mga gumagawa ng patakaran, media, at publiko na magkaroon ng higit na kaalaman sa iba't ibang pananaw at interes na kasangkot sa mga debate sa patakaran. Ito ay maaaring humantong sa mas balanse at mahusay na kaalaman sa paggawa ng desisyon.
Napakahalaga na iangkop ang anumang pagsusuri sa partikular na legal na konteksto ng Pilipinas at upang kumonsulta sa mga pinakabagong legal na mapagkukunan para sa pinakatumpak at napapanahong impormasyon sa mga batas sa pagbubunyag ng lobbying sa bansa.</v>
      </c>
      <c r="F1179" s="2">
        <f t="shared" si="1"/>
        <v>0</v>
      </c>
      <c r="G1179" s="2"/>
      <c r="H1179" s="2"/>
      <c r="I1179" s="2"/>
      <c r="J1179" s="2"/>
      <c r="K1179" s="2"/>
      <c r="L1179" s="2"/>
      <c r="M1179" s="2"/>
      <c r="N1179" s="2"/>
      <c r="O1179" s="2"/>
      <c r="P1179" s="2"/>
      <c r="Q1179" s="2"/>
      <c r="R1179" s="2"/>
      <c r="S1179" s="2"/>
      <c r="T1179" s="2"/>
      <c r="U1179" s="2"/>
      <c r="V1179" s="2"/>
      <c r="W1179" s="2"/>
      <c r="X1179" s="2"/>
      <c r="Y1179" s="2"/>
      <c r="Z1179" s="2"/>
      <c r="AA1179" s="2"/>
    </row>
    <row r="1180">
      <c r="A1180" s="1" t="s">
        <v>3356</v>
      </c>
      <c r="B1180" s="1" t="s">
        <v>3525</v>
      </c>
      <c r="C1180" s="1" t="s">
        <v>3526</v>
      </c>
      <c r="D1180" s="2" t="str">
        <f>IFERROR(__xludf.DUMMYFUNCTION("GOOGLETRANSLATE(B1180, ""en"", ""TL"")"),"Maaari bang magsampa ng kaso ang mga indibidwal laban sa mga political action committee (PAC) o mga espesyal na grupo ng interes na nakikibahagi sa mga tiwaling gawi?")</f>
        <v>Maaari bang magsampa ng kaso ang mga indibidwal laban sa mga political action committee (PAC) o mga espesyal na grupo ng interes na nakikibahagi sa mga tiwaling gawi?</v>
      </c>
      <c r="E1180" s="2" t="str">
        <f>IFERROR(__xludf.DUMMYFUNCTION("GOOGLETRANSLATE(C1180, ""en"", ""TL"")"),"Oo, ang mga indibidwal ay maaaring magsampa ng mga kaso laban sa mga political action committee (PAC) o mga espesyal na grupo ng interes na nakikibahagi sa mga tiwaling gawi. Maaaring kabilang sa mga legal na paraan para sa mga naturang kaso ang iba't iba"&amp;"ng batas at regulasyon na namamahala sa pananalapi ng kampanya, mga aktibidad sa pulitika, at katiwalian. Sa Pilipinas, maaaring isaalang-alang ng mga indibidwal ang mga sumusunod na opsyon:
1. **Mga Paglabag sa Mga Batas sa Pananalapi ng Kampanya:**
- An"&amp;"g mga batas na namamahala sa pananalapi ng kampanya, tulad ng Omnibus Election Code, ay kumokontrol sa mga kontribusyon at paggasta sa panahon ng halalan. Kung ang isang PAC o grupo ng espesyal na interes ay napatunayang sangkot sa mga katiwalian na may k"&amp;"augnayan sa pananalapi ng kampanya, ang mga indibidwal ay maaaring magsampa ng mga reklamo sa Commission on Elections (COMELEC).
2. **Anti-Graft and Corrupt Practices Act:**
- Ang Anti-Graft and Corrupt Practices Act (Republic Act No. 3019) ay tumutugon s"&amp;"a katiwalian sa gobyerno at kasama ang mga probisyon na maaaring naaangkop sa mga indibidwal o grupo na nakikibahagi sa mga katiwalian, kabilang ang mga nauugnay sa mga PAC o mga grupo ng espesyal na interes.
3. **Proteksyon sa Whistleblower:**
- Ang Whis"&amp;"tleblower Protection Act (Republic Act No. 10660) ay nagbibigay ng proteksyon sa mga indibidwal na naglalantad ng katiwalian o ilegal na aktibidad. Ang mga whistleblower ay maaaring mag-ulat ng mga tiwaling gawi na nauugnay sa mga PAC o mga grupo ng espes"&amp;"yal na interes, at maaari silang protektahan mula sa paghihiganti sa ilalim ng batas na ito.
4. **Mga Batas sa Proteksyon ng Consumer:**
- Depende sa uri ng mga tiwaling gawi at epekto nito sa mga indibidwal, maaaring may kaugnayan ang mga batas sa protek"&amp;"syon ng consumer. Kung ang mga indibidwal ay nasaktan o nalinlang ng mga mapanlinlang na gawi ng mga PAC o mga espesyal na grupo ng interes, maaari nilang tuklasin ang mga legal na remedyo sa ilalim ng mga batas sa proteksyon ng consumer.
5. **Paglabag sa"&amp;" mga Batas sa Halalan:**
- Bukod sa mga batas sa pananalapi ng kampanya, ang ibang mga batas na nauugnay sa halalan, tulad ng Fair Elections Act, ay maaaring may mga probisyon na tumutugon sa mga katiwalian sa panahon ng halalan. Ang mga indibidwal ay maa"&amp;"aring magsampa ng mga reklamo sa may-katuturang mga awtoridad sa halalan kung may ebidensya ng mga paglabag ng mga PAC o mga grupo ng espesyal na interes.
6. **Pagsusuri ng Hudisyal ng Mga Aksyon sa Administratibo:**
- Maaaring tuklasin ng mga indibidwal "&amp;"ang paghingi ng judicial review ng mga aksyong administratibo sa pamamagitan ng pagsasampa ng mga kaso sa mga korte, partikular sa Korte Suprema, upang hamunin ang mga desisyon o aksyon ng mga regulatory body gaya ng COMELEC.
Mahalaga para sa mga indibidw"&amp;"al na isinasaalang-alang ang legal na aksyon laban sa mga PAC o mga espesyal na grupo ng interes na kumunsulta sa mga legal na propesyonal upang matukoy ang pinakaangkop na mga legal na paraan at estratehiya. Ang tagumpay ng naturang mga demanda ay nakasa"&amp;"lalay sa mga partikular na kalagayan ng kaso, ang ebidensyang ipinakita, at ang mga naaangkop na batas at regulasyon. Makakatulong ang legal na payo sa mga indibidwal na mag-navigate sa mga kumplikado ng legal na sistema at matiyak na maayos na natutuguna"&amp;"n ang kanilang mga claim.")</f>
        <v>Oo, ang mga indibidwal ay maaaring magsampa ng mga kaso laban sa mga political action committee (PAC) o mga espesyal na grupo ng interes na nakikibahagi sa mga tiwaling gawi. Maaaring kabilang sa mga legal na paraan para sa mga naturang kaso ang iba't ibang batas at regulasyon na namamahala sa pananalapi ng kampanya, mga aktibidad sa pulitika, at katiwalian. Sa Pilipinas, maaaring isaalang-alang ng mga indibidwal ang mga sumusunod na opsyon:
1. **Mga Paglabag sa Mga Batas sa Pananalapi ng Kampanya:**
- Ang mga batas na namamahala sa pananalapi ng kampanya, tulad ng Omnibus Election Code, ay kumokontrol sa mga kontribusyon at paggasta sa panahon ng halalan. Kung ang isang PAC o grupo ng espesyal na interes ay napatunayang sangkot sa mga katiwalian na may kaugnayan sa pananalapi ng kampanya, ang mga indibidwal ay maaaring magsampa ng mga reklamo sa Commission on Elections (COMELEC).
2. **Anti-Graft and Corrupt Practices Act:**
- Ang Anti-Graft and Corrupt Practices Act (Republic Act No. 3019) ay tumutugon sa katiwalian sa gobyerno at kasama ang mga probisyon na maaaring naaangkop sa mga indibidwal o grupo na nakikibahagi sa mga katiwalian, kabilang ang mga nauugnay sa mga PAC o mga grupo ng espesyal na interes.
3. **Proteksyon sa Whistleblower:**
- Ang Whistleblower Protection Act (Republic Act No. 10660) ay nagbibigay ng proteksyon sa mga indibidwal na naglalantad ng katiwalian o ilegal na aktibidad. Ang mga whistleblower ay maaaring mag-ulat ng mga tiwaling gawi na nauugnay sa mga PAC o mga grupo ng espesyal na interes, at maaari silang protektahan mula sa paghihiganti sa ilalim ng batas na ito.
4. **Mga Batas sa Proteksyon ng Consumer:**
- Depende sa uri ng mga tiwaling gawi at epekto nito sa mga indibidwal, maaaring may kaugnayan ang mga batas sa proteksyon ng consumer. Kung ang mga indibidwal ay nasaktan o nalinlang ng mga mapanlinlang na gawi ng mga PAC o mga espesyal na grupo ng interes, maaari nilang tuklasin ang mga legal na remedyo sa ilalim ng mga batas sa proteksyon ng consumer.
5. **Paglabag sa mga Batas sa Halalan:**
- Bukod sa mga batas sa pananalapi ng kampanya, ang ibang mga batas na nauugnay sa halalan, tulad ng Fair Elections Act, ay maaaring may mga probisyon na tumutugon sa mga katiwalian sa panahon ng halalan. Ang mga indibidwal ay maaaring magsampa ng mga reklamo sa may-katuturang mga awtoridad sa halalan kung may ebidensya ng mga paglabag ng mga PAC o mga grupo ng espesyal na interes.
6. **Pagsusuri ng Hudisyal ng Mga Aksyon sa Administratibo:**
- Maaaring tuklasin ng mga indibidwal ang paghingi ng judicial review ng mga aksyong administratibo sa pamamagitan ng pagsasampa ng mga kaso sa mga korte, partikular sa Korte Suprema, upang hamunin ang mga desisyon o aksyon ng mga regulatory body gaya ng COMELEC.
Mahalaga para sa mga indibidwal na isinasaalang-alang ang legal na aksyon laban sa mga PAC o mga espesyal na grupo ng interes na kumunsulta sa mga legal na propesyonal upang matukoy ang pinakaangkop na mga legal na paraan at estratehiya. Ang tagumpay ng naturang mga demanda ay nakasalalay sa mga partikular na kalagayan ng kaso, ang ebidensyang ipinakita, at ang mga naaangkop na batas at regulasyon. Makakatulong ang legal na payo sa mga indibidwal na mag-navigate sa mga kumplikado ng legal na sistema at matiyak na maayos na natutugunan ang kanilang mga claim.</v>
      </c>
      <c r="F1180" s="2">
        <f t="shared" si="1"/>
        <v>0</v>
      </c>
      <c r="G1180" s="2"/>
      <c r="H1180" s="2"/>
      <c r="I1180" s="2"/>
      <c r="J1180" s="2"/>
      <c r="K1180" s="2"/>
      <c r="L1180" s="2"/>
      <c r="M1180" s="2"/>
      <c r="N1180" s="2"/>
      <c r="O1180" s="2"/>
      <c r="P1180" s="2"/>
      <c r="Q1180" s="2"/>
      <c r="R1180" s="2"/>
      <c r="S1180" s="2"/>
      <c r="T1180" s="2"/>
      <c r="U1180" s="2"/>
      <c r="V1180" s="2"/>
      <c r="W1180" s="2"/>
      <c r="X1180" s="2"/>
      <c r="Y1180" s="2"/>
      <c r="Z1180" s="2"/>
      <c r="AA1180" s="2"/>
    </row>
    <row r="1181">
      <c r="A1181" s="1" t="s">
        <v>3356</v>
      </c>
      <c r="B1181" s="1" t="s">
        <v>3527</v>
      </c>
      <c r="C1181" s="1" t="s">
        <v>3528</v>
      </c>
      <c r="D1181" s="2" t="str">
        <f>IFERROR(__xludf.DUMMYFUNCTION("GOOGLETRANSLATE(B1181, ""en"", ""TL"")"),"Paano nakakatulong ang transparency at accountability measures sa gobyerno para maiwasan ang political corruption?")</f>
        <v>Paano nakakatulong ang transparency at accountability measures sa gobyerno para maiwasan ang political corruption?</v>
      </c>
      <c r="E1181" s="2" t="str">
        <f>IFERROR(__xludf.DUMMYFUNCTION("GOOGLETRANSLATE(C1181, ""en"", ""TL"")"),"Ang mga hakbang sa transparency at pananagutan sa gobyerno ay mga pangunahing kasangkapan sa pagpigil sa pampulitikang katiwalian. Narito kung paano sila gumagana:
**Transparency:**
* **Binabawasan ang Lihim:** Sa pamamagitan ng paggawa ng mga aktibidad n"&amp;"g pamahalaan at mga proseso ng paggawa ng desisyon na mas malinaw, mas kaunting pagkakataon para sa mga tiwaling gawi na mangyari sa mga anino. Maaaring subaybayan ng mga mamamayan at tagapagbantay ang mga aksyon ng pamahalaan at matukoy ang mga potensyal"&amp;" na pulang bandila.
* **Pampublikong Pagsusuri:** Ang transparency ay nagbibigay-daan para sa pampublikong pagsusuri sa paggasta, mga kontrata, at mga patakaran ng pamahalaan. Pinipigilan nito ang mga opisyal na makisali sa mga tiwaling aktibidad, dahil a"&amp;"lam nilang sasailalim sila sa pangangasiwa ng publiko at potensyal na pagkakalantad.
* **Informed Public:** Maaaring panagutin ng isang may kaalamang publiko ang mga opisyal ng gobyerno kung pinaghihinalaan nila ang katiwalian. Ang transparency ay nagbibi"&amp;"gay ng kapangyarihan sa mga mamamayan na lumahok sa demokratikong proseso at nagtataguyod para sa mabuting pamamahala.
**Mga Halimbawa ng Transparency Measures:**
* **Open Data Initiatives:** Ang paggawa ng data ng gobyerno tulad ng mga badyet, kontrata, "&amp;"at mga paglilitis sa pambatasan na madaling magagamit online ay nagbibigay-daan para sa mas madaling pampublikong pag-access at pagsusuri.
* **Mga Batas sa Kalayaan sa Impormasyon:** Ang mga batas na nagbibigay sa mga mamamayan ng karapatang ma-access ang"&amp;" impormasyon ng pamahalaan ay nagbibigay ng kapangyarihan sa kanila na humingi ng mga detalye tungkol sa mga operasyon ng pamahalaan at panagutin ang mga opisyal.
* **Mga Pampublikong Pagdinig at Pagsisiwalat:** Ang pagdaraos ng mga pampublikong pagdinig "&amp;"para sa mga bagay tulad ng pagbabadyet o paggawad ng mga kontrata ay nagbibigay-daan para sa pakikilahok at pagsisiyasat ng publiko, na binabawasan ang panganib ng mga deal sa backroom.
** Pananagutan:**
* **Mga Mekanismo ng Pagpapatupad:** Napakahalaga n"&amp;"g malalakas na mekanismo ng pagpapatupad. Kabilang dito ang pagkakaroon ng mga independiyenteng ahensya laban sa katiwalian na may kapangyarihang mag-imbestiga sa mga paratang at magpataw ng mga parusa sa mga tiwaling opisyal.
* **Proteksyon sa Whistleblo"&amp;"wer:** Ang matatag na mga programa sa proteksyon ng whistleblower ay hinihikayat ang mga indibidwal na may kaalaman sa katiwalian na sumulong nang walang takot sa paghihiganti. Nagbibigay-daan ito para sa maagang pagtuklas at pagsisiyasat ng mga tiwaling "&amp;"aktibidad.
* **Independiyenteng Hudikatura:** Ang isang independiyenteng hudikatura na walang impluwensyang pampulitika ay mahalaga para sa pagpapanagot sa mga tiwaling opisyal sa pamamagitan ng makatarungang mga paglilitis at naaangkop na mga parusa.
**P"&amp;"inagsamang Epekto:**
Ang transparency at accountability ay nagtutulungan upang lumikha ng isang sistema kung saan ang katiwalian ay mas malamang na mangyari at mas madaling matukoy. Kapag ang mga mamamayan at institusyon ay maaaring panagutin ang mga opis"&amp;"yal ng gobyerno para sa kanilang mga aksyon, ang insentibo na makisali sa mga katiwalian ay makabuluhang nababawasan.
**Mga Karagdagang Punto:**
* **Paglahok ng Lipunang Sibil:** Ang isang aktibo at nakatuong lipunang sibil ay gumaganap ng mahalagang pape"&amp;"l sa pagtataguyod ng transparency at pananagutan. Ang mga grassroots organization, media watchdog, at mga inisyatiba na pinamumunuan ng mamamayan ay maaaring mag-ambag sa paglalantad ng katiwalian at pagtataguyod para sa mga reporma.
* **Edukasyon at Pamp"&amp;"ublikong Kamalayan:** Ang pagtaas ng kamalayan ng publiko tungkol sa katiwalian at mga kahihinatnan nito ay mahalaga. Ang pagtuturo sa mga mamamayan tungkol sa transparency at mga hakbang sa pananagutan ay nagbibigay ng kapangyarihan sa kanila na lumahok "&amp;"sa paglaban sa katiwalian.
**Sa pangkalahatan, ang mga hakbang sa transparency at pananagutan ay hindi isang garantisadong solusyon, ngunit ang mga ito ay makapangyarihang mga tool para sa pagpigil, pagtukoy, at paglaban sa pampulitikang katiwalian. Sa pa"&amp;"mamagitan ng paglikha ng kapaligiran ng pagiging bukas at pagpapanagot sa mga opisyal, makakatulong ang mga hakbang na ito na matiyak ang isang mas etikal at mahusay na pamahalaan.**")</f>
        <v>Ang mga hakbang sa transparency at pananagutan sa gobyerno ay mga pangunahing kasangkapan sa pagpigil sa pampulitikang katiwalian. Narito kung paano sila gumagana:
**Transparency:**
* **Binabawasan ang Lihim:** Sa pamamagitan ng paggawa ng mga aktibidad ng pamahalaan at mga proseso ng paggawa ng desisyon na mas malinaw, mas kaunting pagkakataon para sa mga tiwaling gawi na mangyari sa mga anino. Maaaring subaybayan ng mga mamamayan at tagapagbantay ang mga aksyon ng pamahalaan at matukoy ang mga potensyal na pulang bandila.
* **Pampublikong Pagsusuri:** Ang transparency ay nagbibigay-daan para sa pampublikong pagsusuri sa paggasta, mga kontrata, at mga patakaran ng pamahalaan. Pinipigilan nito ang mga opisyal na makisali sa mga tiwaling aktibidad, dahil alam nilang sasailalim sila sa pangangasiwa ng publiko at potensyal na pagkakalantad.
* **Informed Public:** Maaaring panagutin ng isang may kaalamang publiko ang mga opisyal ng gobyerno kung pinaghihinalaan nila ang katiwalian. Ang transparency ay nagbibigay ng kapangyarihan sa mga mamamayan na lumahok sa demokratikong proseso at nagtataguyod para sa mabuting pamamahala.
**Mga Halimbawa ng Transparency Measures:**
* **Open Data Initiatives:** Ang paggawa ng data ng gobyerno tulad ng mga badyet, kontrata, at mga paglilitis sa pambatasan na madaling magagamit online ay nagbibigay-daan para sa mas madaling pampublikong pag-access at pagsusuri.
* **Mga Batas sa Kalayaan sa Impormasyon:** Ang mga batas na nagbibigay sa mga mamamayan ng karapatang ma-access ang impormasyon ng pamahalaan ay nagbibigay ng kapangyarihan sa kanila na humingi ng mga detalye tungkol sa mga operasyon ng pamahalaan at panagutin ang mga opisyal.
* **Mga Pampublikong Pagdinig at Pagsisiwalat:** Ang pagdaraos ng mga pampublikong pagdinig para sa mga bagay tulad ng pagbabadyet o paggawad ng mga kontrata ay nagbibigay-daan para sa pakikilahok at pagsisiyasat ng publiko, na binabawasan ang panganib ng mga deal sa backroom.
** Pananagutan:**
* **Mga Mekanismo ng Pagpapatupad:** Napakahalaga ng malalakas na mekanismo ng pagpapatupad. Kabilang dito ang pagkakaroon ng mga independiyenteng ahensya laban sa katiwalian na may kapangyarihang mag-imbestiga sa mga paratang at magpataw ng mga parusa sa mga tiwaling opisyal.
* **Proteksyon sa Whistleblower:** Ang matatag na mga programa sa proteksyon ng whistleblower ay hinihikayat ang mga indibidwal na may kaalaman sa katiwalian na sumulong nang walang takot sa paghihiganti. Nagbibigay-daan ito para sa maagang pagtuklas at pagsisiyasat ng mga tiwaling aktibidad.
* **Independiyenteng Hudikatura:** Ang isang independiyenteng hudikatura na walang impluwensyang pampulitika ay mahalaga para sa pagpapanagot sa mga tiwaling opisyal sa pamamagitan ng makatarungang mga paglilitis at naaangkop na mga parusa.
**Pinagsamang Epekto:**
Ang transparency at accountability ay nagtutulungan upang lumikha ng isang sistema kung saan ang katiwalian ay mas malamang na mangyari at mas madaling matukoy. Kapag ang mga mamamayan at institusyon ay maaaring panagutin ang mga opisyal ng gobyerno para sa kanilang mga aksyon, ang insentibo na makisali sa mga katiwalian ay makabuluhang nababawasan.
**Mga Karagdagang Punto:**
* **Paglahok ng Lipunang Sibil:** Ang isang aktibo at nakatuong lipunang sibil ay gumaganap ng mahalagang papel sa pagtataguyod ng transparency at pananagutan. Ang mga grassroots organization, media watchdog, at mga inisyatiba na pinamumunuan ng mamamayan ay maaaring mag-ambag sa paglalantad ng katiwalian at pagtataguyod para sa mga reporma.
* **Edukasyon at Pampublikong Kamalayan:** Ang pagtaas ng kamalayan ng publiko tungkol sa katiwalian at mga kahihinatnan nito ay mahalaga. Ang pagtuturo sa mga mamamayan tungkol sa transparency at mga hakbang sa pananagutan ay nagbibigay ng kapangyarihan sa kanila na lumahok sa paglaban sa katiwalian.
**Sa pangkalahatan, ang mga hakbang sa transparency at pananagutan ay hindi isang garantisadong solusyon, ngunit ang mga ito ay makapangyarihang mga tool para sa pagpigil, pagtukoy, at paglaban sa pampulitikang katiwalian. Sa pamamagitan ng paglikha ng kapaligiran ng pagiging bukas at pagpapanagot sa mga opisyal, makakatulong ang mga hakbang na ito na matiyak ang isang mas etikal at mahusay na pamahalaan.**</v>
      </c>
      <c r="F1181" s="2">
        <f t="shared" si="1"/>
        <v>0</v>
      </c>
      <c r="G1181" s="2"/>
      <c r="H1181" s="2"/>
      <c r="I1181" s="2"/>
      <c r="J1181" s="2"/>
      <c r="K1181" s="2"/>
      <c r="L1181" s="2"/>
      <c r="M1181" s="2"/>
      <c r="N1181" s="2"/>
      <c r="O1181" s="2"/>
      <c r="P1181" s="2"/>
      <c r="Q1181" s="2"/>
      <c r="R1181" s="2"/>
      <c r="S1181" s="2"/>
      <c r="T1181" s="2"/>
      <c r="U1181" s="2"/>
      <c r="V1181" s="2"/>
      <c r="W1181" s="2"/>
      <c r="X1181" s="2"/>
      <c r="Y1181" s="2"/>
      <c r="Z1181" s="2"/>
      <c r="AA1181" s="2"/>
    </row>
    <row r="1182">
      <c r="A1182" s="1" t="s">
        <v>3356</v>
      </c>
      <c r="B1182" s="1" t="s">
        <v>3529</v>
      </c>
      <c r="C1182" s="1" t="s">
        <v>3530</v>
      </c>
      <c r="D1182" s="2" t="str">
        <f>IFERROR(__xludf.DUMMYFUNCTION("GOOGLETRANSLATE(B1182, ""en"", ""TL"")"),"Maaari bang hamunin ng mga indibidwal ang konstitusyonalidad ng mga batas o regulasyon na nagpapadali sa pampulitikang katiwalian?")</f>
        <v>Maaari bang hamunin ng mga indibidwal ang konstitusyonalidad ng mga batas o regulasyon na nagpapadali sa pampulitikang katiwalian?</v>
      </c>
      <c r="E1182" s="2" t="str">
        <f>IFERROR(__xludf.DUMMYFUNCTION("GOOGLETRANSLATE(C1182, ""en"", ""TL"")"),"Oo, maaaring hamunin ng mga indibidwal sa Pilipinas ang konstitusyonalidad ng mga batas o regulasyon na nagpapadali sa pampulitikang katiwalian. Ang karapatang tanungin ang konstitusyonalidad ng mga batas ay isang pangunahing aspeto ng legal na sistema, a"&amp;"t ang mga indibidwal ay maaaring humingi ng lunas sa pamamagitan ng proseso ng hudikatura. Sinusunod ng Pilipinas ang prinsipyo ng judicial review, na nagpapahintulot sa mga korte, partikular sa Korte Suprema, na suriin at ideklara ang mga batas o regulas"&amp;"yon na labag sa konstitusyon.
Narito ang mga pangunahing punto na nauugnay sa paghamon sa konstitusyonalidad ng mga batas o regulasyon na nagpapadali sa pampulitikang katiwalian:
1. **Judicial Review:**
- Ang kapangyarihan ng judicial review ay nakapaloob"&amp;" sa Konstitusyon ng Pilipinas. Ang Artikulo VIII, Seksyon 1 ng Konstitusyon ay nagbibigay sa hudikatura ng awtoridad na suriin ang konstitusyonalidad ng mga batas at aksyon ng pamahalaan. Ang mga korte ay maaaring magdeklara ng isang batas o regulasyon na"&amp;" labag sa konstitusyon kung ito ay lumalabag sa mga probisyon ng Konstitusyon.
2. **Petisyon para sa Certiorari, Pagbabawal, o Mandamus:**
- Ang mga indibidwal na humahamon sa konstitusyonalidad ng mga batas o regulasyon ay maaaring maghain ng petisyon pa"&amp;"ra sa certiorari, pagbabawal, o mandamus sa Korte Suprema, depende sa mga pangyayari. Ang mga legal na remedyong ito ay nagbibigay-daan sa mga indibidwal na kwestyunin ang bisa ng mga batas na maaaring magpadali sa pampulitikang katiwalian.
3. **Mga Karap"&amp;"atan at Prinsipyo ng Konstitusyon:**
- Maaaring ibatay ng mga indibidwal na humahamon sa konstitusyonalidad ng mga batas ang kanilang mga argumento sa mga partikular na karapatan at prinsipyo sa konstitusyon, tulad ng karapatan sa pantay na proteksyon, an"&amp;"gkop na proseso, at mga prinsipyo ng pananagutan at transparency sa gobyerno.
4. **Public Interes Standing:**
- Kinikilala ng Korte Suprema ang konsepto ng ""katayuan sa interes ng publiko,"" na nagpapahintulot sa mga indibidwal o grupo na hamunin ang mga"&amp;" batas o aksyon ng pamahalaan na nakakaapekto sa interes ng publiko. Nangangahulugan ito na ang mga nagmamalasakit na mamamayan ay maaaring magsimula ng mga legal na aksyon upang protektahan ang kapakanan ng pangkalahatang publiko.
5. **Pagbabawal sa Mga "&amp;"Espesyal na Batas na Pinapaboran ang mga Dinastiyang Pampulitika:**
- Ipinagbabawal din ng Saligang Batas ng Pilipinas ang pagpapatibay ng anumang batas na nagtatatag ng mga political dynasties, gaya ng nakasaad sa Artikulo II, Seksyon 26. Maaaring hamuni"&amp;"n ng mga indibidwal ang mga batas na lumilitaw na nagpapanatili ng mga political dynasties, na maaaring iugnay sa mga alalahanin sa katiwalian.
6. **Presumption of Constitutionality:**
- Mahalagang tandaan na mayroong pagpapalagay ng konstitusyonalidad pa"&amp;"ra sa mga batas at regulasyon. Ang pasanin ay nasa indibidwal na hinahamon ang batas na ipakita ang pagiging labag nito sa konstitusyon. Nangangailangan ito ng maingat na legal na argumento na sinusuportahan ng mga nauugnay na probisyon at hurisprudensya "&amp;"ng konstitusyon.
Ang mga indibidwal na naghahanap upang hamunin ang konstitusyonalidad ng mga batas o regulasyon na nagpapadali sa pampulitikang katiwalian ay dapat humingi ng legal na payo mula sa mga kwalipikadong abogado. Ang mga legal na propesyonal a"&amp;"y maaaring magbigay ng gabay sa mga partikular na legal na paraan, argumento, at pamamaraang kinakailangan para sa isang matagumpay na hamon sa konstitusyon.")</f>
        <v>Oo, maaaring hamunin ng mga indibidwal sa Pilipinas ang konstitusyonalidad ng mga batas o regulasyon na nagpapadali sa pampulitikang katiwalian. Ang karapatang tanungin ang konstitusyonalidad ng mga batas ay isang pangunahing aspeto ng legal na sistema, at ang mga indibidwal ay maaaring humingi ng lunas sa pamamagitan ng proseso ng hudikatura. Sinusunod ng Pilipinas ang prinsipyo ng judicial review, na nagpapahintulot sa mga korte, partikular sa Korte Suprema, na suriin at ideklara ang mga batas o regulasyon na labag sa konstitusyon.
Narito ang mga pangunahing punto na nauugnay sa paghamon sa konstitusyonalidad ng mga batas o regulasyon na nagpapadali sa pampulitikang katiwalian:
1. **Judicial Review:**
- Ang kapangyarihan ng judicial review ay nakapaloob sa Konstitusyon ng Pilipinas. Ang Artikulo VIII, Seksyon 1 ng Konstitusyon ay nagbibigay sa hudikatura ng awtoridad na suriin ang konstitusyonalidad ng mga batas at aksyon ng pamahalaan. Ang mga korte ay maaaring magdeklara ng isang batas o regulasyon na labag sa konstitusyon kung ito ay lumalabag sa mga probisyon ng Konstitusyon.
2. **Petisyon para sa Certiorari, Pagbabawal, o Mandamus:**
- Ang mga indibidwal na humahamon sa konstitusyonalidad ng mga batas o regulasyon ay maaaring maghain ng petisyon para sa certiorari, pagbabawal, o mandamus sa Korte Suprema, depende sa mga pangyayari. Ang mga legal na remedyong ito ay nagbibigay-daan sa mga indibidwal na kwestyunin ang bisa ng mga batas na maaaring magpadali sa pampulitikang katiwalian.
3. **Mga Karapatan at Prinsipyo ng Konstitusyon:**
- Maaaring ibatay ng mga indibidwal na humahamon sa konstitusyonalidad ng mga batas ang kanilang mga argumento sa mga partikular na karapatan at prinsipyo sa konstitusyon, tulad ng karapatan sa pantay na proteksyon, angkop na proseso, at mga prinsipyo ng pananagutan at transparency sa gobyerno.
4. **Public Interes Standing:**
- Kinikilala ng Korte Suprema ang konsepto ng "katayuan sa interes ng publiko," na nagpapahintulot sa mga indibidwal o grupo na hamunin ang mga batas o aksyon ng pamahalaan na nakakaapekto sa interes ng publiko. Nangangahulugan ito na ang mga nagmamalasakit na mamamayan ay maaaring magsimula ng mga legal na aksyon upang protektahan ang kapakanan ng pangkalahatang publiko.
5. **Pagbabawal sa Mga Espesyal na Batas na Pinapaboran ang mga Dinastiyang Pampulitika:**
- Ipinagbabawal din ng Saligang Batas ng Pilipinas ang pagpapatibay ng anumang batas na nagtatatag ng mga political dynasties, gaya ng nakasaad sa Artikulo II, Seksyon 26. Maaaring hamunin ng mga indibidwal ang mga batas na lumilitaw na nagpapanatili ng mga political dynasties, na maaaring iugnay sa mga alalahanin sa katiwalian.
6. **Presumption of Constitutionality:**
- Mahalagang tandaan na mayroong pagpapalagay ng konstitusyonalidad para sa mga batas at regulasyon. Ang pasanin ay nasa indibidwal na hinahamon ang batas na ipakita ang pagiging labag nito sa konstitusyon. Nangangailangan ito ng maingat na legal na argumento na sinusuportahan ng mga nauugnay na probisyon at hurisprudensya ng konstitusyon.
Ang mga indibidwal na naghahanap upang hamunin ang konstitusyonalidad ng mga batas o regulasyon na nagpapadali sa pampulitikang katiwalian ay dapat humingi ng legal na payo mula sa mga kwalipikadong abogado. Ang mga legal na propesyonal ay maaaring magbigay ng gabay sa mga partikular na legal na paraan, argumento, at pamamaraang kinakailangan para sa isang matagumpay na hamon sa konstitusyon.</v>
      </c>
      <c r="F1182" s="2">
        <f t="shared" si="1"/>
        <v>0</v>
      </c>
      <c r="G1182" s="2"/>
      <c r="H1182" s="2"/>
      <c r="I1182" s="2"/>
      <c r="J1182" s="2"/>
      <c r="K1182" s="2"/>
      <c r="L1182" s="2"/>
      <c r="M1182" s="2"/>
      <c r="N1182" s="2"/>
      <c r="O1182" s="2"/>
      <c r="P1182" s="2"/>
      <c r="Q1182" s="2"/>
      <c r="R1182" s="2"/>
      <c r="S1182" s="2"/>
      <c r="T1182" s="2"/>
      <c r="U1182" s="2"/>
      <c r="V1182" s="2"/>
      <c r="W1182" s="2"/>
      <c r="X1182" s="2"/>
      <c r="Y1182" s="2"/>
      <c r="Z1182" s="2"/>
      <c r="AA1182" s="2"/>
    </row>
    <row r="1183">
      <c r="A1183" s="1" t="s">
        <v>3356</v>
      </c>
      <c r="B1183" s="1" t="s">
        <v>3531</v>
      </c>
      <c r="C1183" s="1" t="s">
        <v>3532</v>
      </c>
      <c r="D1183" s="2" t="str">
        <f>IFERROR(__xludf.DUMMYFUNCTION("GOOGLETRANSLATE(B1183, ""en"", ""TL"")"),"Ano ang papel na ginagampanan ng judicial oversight at review sa pagtiyak ng pananagutan para sa mga kaso ng pampulitikang katiwalian?")</f>
        <v>Ano ang papel na ginagampanan ng judicial oversight at review sa pagtiyak ng pananagutan para sa mga kaso ng pampulitikang katiwalian?</v>
      </c>
      <c r="E1183" s="2" t="str">
        <f>IFERROR(__xludf.DUMMYFUNCTION("GOOGLETRANSLATE(C1183, ""en"", ""TL"")"),"Ang pangangasiwa at pagsusuri ng hudisyal ay may mahalagang papel sa pagtiyak ng pananagutan para sa mga kaso ng pampulitikang katiwalian sa Pilipinas. Ganito:
* **Walang Pagsusuri sa Mga Aksyon:** Ang hudikatura ay kumikilos bilang isang independiyenteng"&amp;" pagsusuri sa kapangyarihan ng mga opisyal ng pamahalaan. Maaaring suriin ng mga korte ang legalidad ng mga aksyon na ginawa ng mga opisyal ng gobyerno, kabilang ang mga pinaghihinalaang corrupt. * Kung ang mga aksyon ng isang opisyal ay napatunayang laba"&amp;"g sa batas o bumubuo ng isang pang-aabuso sa kapangyarihan, maaaring ibasura ng korte ang desisyon o magpataw ng mga parusa. Pinipigilan nito ang katiwalian at pinatitibay ang panuntunan ng batas.
* **Pagtataguyod ng mga Batas laban sa Korupsyon:** Ang mg"&amp;"a korte ay may mahalagang papel sa pagbibigay-kahulugan at pagpapatupad ng mga batas laban sa katiwalian tulad ng Republic Act No. 3019 (Anti-Graft and Corrupt Practices Act). Ang malinaw at pare-parehong mga desisyon ng mga korte ay nagpapatibay sa legal"&amp;" na balangkas para sa paglaban sa katiwalian.
* **Pagpapatibay sa mga Tiwaling Opisyal:** Sa pamamagitan ng kriminal na pag-uusig, maaaring hatulan ng mga korte ang mga opisyal ng gobyerno na napatunayang nagkasala ng mga paglabag sa katiwalian. Ito ay ma"&amp;"aaring humantong sa pagkakulong, multa, at pagkadiskwalipikasyon sa paghawak ng pampublikong katungkulan. Ito ay nagsisilbing parusa para sa katiwalian at pinipigilan ang mga katulad na gawain ng iba.
* **Pagprotekta sa mga Whistleblower:** Ang Pilipinas "&amp;"ay mayroong Witness Protection Program. Ang mga korte ay maaaring magbigay ng mga whistleblower na naglalantad ng proteksyon sa katiwalian mula sa paghihiganti, na hinihikayat silang magharap ng ebidensya.
* **Nag-uutos ng Transparency:** Maaaring utusan "&amp;"ng mga korte ang mga ahensya ng gobyerno na ibunyag ang impormasyong may kaugnayan sa mga di-umano'y kaso ng katiwalian. Pinalalakas ng transparency na ito ang pagsisiyasat ng publiko at pinipigilan ang mga tiwaling gawi.
**Mga Hamon at Limitasyon:**
* **"&amp;"Judicial Independence:** Ang isang mabisang sistema ng hudisyal ay nangangailangan ng malakas na hudisyal na kalayaan, malaya sa hindi nararapat na impluwensya o panggigipit mula sa ibang sangay ng pamahalaan.
* **Case Backlog:** Ang sistema ng hukuman sa"&amp;" Pilipinas ay nahaharap sa backlog ng mga kaso, na maaaring humantong sa pagkaantala sa pagresolba sa mga kaso ng katiwalian.
* **Pagiging kumplikado ng mga Kaso ng Korupsyon:** Ang mga kaso ng katiwalian ay maaaring maging masalimuot, na nangangailangan "&amp;"ng mga espesyal na kasanayan at mapagkukunan para sa pagsisiyasat at pag-uusig.
**Pangkalahatang Kahalagahan:**
Sa kabila ng mga hamon, ang pangangasiwa at pagsusuri ng hudisyal ay nananatiling kritikal na haligi sa paglaban sa katiwalian. Ang isang malak"&amp;"as at independiyenteng hudikatura ay pinapanagot ang mga opisyal ng gobyerno, pinipigilan ang mga katiwalian, at itinataguyod ang panuntunan ng batas sa Pilipinas.")</f>
        <v>Ang pangangasiwa at pagsusuri ng hudisyal ay may mahalagang papel sa pagtiyak ng pananagutan para sa mga kaso ng pampulitikang katiwalian sa Pilipinas. Ganito:
* **Walang Pagsusuri sa Mga Aksyon:** Ang hudikatura ay kumikilos bilang isang independiyenteng pagsusuri sa kapangyarihan ng mga opisyal ng pamahalaan. Maaaring suriin ng mga korte ang legalidad ng mga aksyon na ginawa ng mga opisyal ng gobyerno, kabilang ang mga pinaghihinalaang corrupt. * Kung ang mga aksyon ng isang opisyal ay napatunayang labag sa batas o bumubuo ng isang pang-aabuso sa kapangyarihan, maaaring ibasura ng korte ang desisyon o magpataw ng mga parusa. Pinipigilan nito ang katiwalian at pinatitibay ang panuntunan ng batas.
* **Pagtataguyod ng mga Batas laban sa Korupsyon:** Ang mga korte ay may mahalagang papel sa pagbibigay-kahulugan at pagpapatupad ng mga batas laban sa katiwalian tulad ng Republic Act No. 3019 (Anti-Graft and Corrupt Practices Act). Ang malinaw at pare-parehong mga desisyon ng mga korte ay nagpapatibay sa legal na balangkas para sa paglaban sa katiwalian.
* **Pagpapatibay sa mga Tiwaling Opisyal:** Sa pamamagitan ng kriminal na pag-uusig, maaaring hatulan ng mga korte ang mga opisyal ng gobyerno na napatunayang nagkasala ng mga paglabag sa katiwalian. Ito ay maaaring humantong sa pagkakulong, multa, at pagkadiskwalipikasyon sa paghawak ng pampublikong katungkulan. Ito ay nagsisilbing parusa para sa katiwalian at pinipigilan ang mga katulad na gawain ng iba.
* **Pagprotekta sa mga Whistleblower:** Ang Pilipinas ay mayroong Witness Protection Program. Ang mga korte ay maaaring magbigay ng mga whistleblower na naglalantad ng proteksyon sa katiwalian mula sa paghihiganti, na hinihikayat silang magharap ng ebidensya.
* **Nag-uutos ng Transparency:** Maaaring utusan ng mga korte ang mga ahensya ng gobyerno na ibunyag ang impormasyong may kaugnayan sa mga di-umano'y kaso ng katiwalian. Pinalalakas ng transparency na ito ang pagsisiyasat ng publiko at pinipigilan ang mga tiwaling gawi.
**Mga Hamon at Limitasyon:**
* **Judicial Independence:** Ang isang mabisang sistema ng hudisyal ay nangangailangan ng malakas na hudisyal na kalayaan, malaya sa hindi nararapat na impluwensya o panggigipit mula sa ibang sangay ng pamahalaan.
* **Case Backlog:** Ang sistema ng hukuman sa Pilipinas ay nahaharap sa backlog ng mga kaso, na maaaring humantong sa pagkaantala sa pagresolba sa mga kaso ng katiwalian.
* **Pagiging kumplikado ng mga Kaso ng Korupsyon:** Ang mga kaso ng katiwalian ay maaaring maging masalimuot, na nangangailangan ng mga espesyal na kasanayan at mapagkukunan para sa pagsisiyasat at pag-uusig.
**Pangkalahatang Kahalagahan:**
Sa kabila ng mga hamon, ang pangangasiwa at pagsusuri ng hudisyal ay nananatiling kritikal na haligi sa paglaban sa katiwalian. Ang isang malakas at independiyenteng hudikatura ay pinapanagot ang mga opisyal ng gobyerno, pinipigilan ang mga katiwalian, at itinataguyod ang panuntunan ng batas sa Pilipinas.</v>
      </c>
      <c r="F1183" s="2">
        <f t="shared" si="1"/>
        <v>0</v>
      </c>
      <c r="G1183" s="2"/>
      <c r="H1183" s="2"/>
      <c r="I1183" s="2"/>
      <c r="J1183" s="2"/>
      <c r="K1183" s="2"/>
      <c r="L1183" s="2"/>
      <c r="M1183" s="2"/>
      <c r="N1183" s="2"/>
      <c r="O1183" s="2"/>
      <c r="P1183" s="2"/>
      <c r="Q1183" s="2"/>
      <c r="R1183" s="2"/>
      <c r="S1183" s="2"/>
      <c r="T1183" s="2"/>
      <c r="U1183" s="2"/>
      <c r="V1183" s="2"/>
      <c r="W1183" s="2"/>
      <c r="X1183" s="2"/>
      <c r="Y1183" s="2"/>
      <c r="Z1183" s="2"/>
      <c r="AA1183" s="2"/>
    </row>
    <row r="1184">
      <c r="A1184" s="1" t="s">
        <v>3356</v>
      </c>
      <c r="B1184" s="1" t="s">
        <v>3533</v>
      </c>
      <c r="C1184" s="1" t="s">
        <v>3534</v>
      </c>
      <c r="D1184" s="2" t="str">
        <f>IFERROR(__xludf.DUMMYFUNCTION("GOOGLETRANSLATE(B1184, ""en"", ""TL"")"),"Maaari bang gumawa ng legal na aksyon ang mga indibidwal laban sa mga opisyal ng gobyerno na umaabuso sa kanilang kapangyarihan para sa personal o pampulitika na pakinabang?")</f>
        <v>Maaari bang gumawa ng legal na aksyon ang mga indibidwal laban sa mga opisyal ng gobyerno na umaabuso sa kanilang kapangyarihan para sa personal o pampulitika na pakinabang?</v>
      </c>
      <c r="E1184" s="2" t="str">
        <f>IFERROR(__xludf.DUMMYFUNCTION("GOOGLETRANSLATE(C1184, ""en"", ""TL"")"),"Oo, ang mga indibidwal sa Pilipinas ay maaaring gumawa ng legal na aksyon laban sa mga opisyal ng gobyerno na umaabuso sa kanilang kapangyarihan para sa personal o pampulitika na pakinabang. Narito ang ilang mga paraan na magagamit sa ilalim ng batas ng P"&amp;"ilipinas:
**1. Paghahain ng mga Kriminal na Singil:**
* **Specific Anti-Corruption Laws:** Ang Pilipinas ay may ilang mga batas na nagpaparusa sa mga partikular na gawain ng katiwalian ng mga pampublikong opisyal. * **Republic Act No. 3019 (Anti-Graft and"&amp;" Corrupt Practices Act):** Ito ang pangunahing batas na tumutukoy at nagpaparusa sa iba't ibang katiwalian ng mga opisyal ng gobyerno, kabilang ang panunuhol, maling paggamit ng pampublikong pondo, at nagdudulot ng hindi nararapat na pinsala sa anumang pa"&amp;"rtido sa pamamagitan ng manifest partiality o maliwanag na masamang pananampalataya.
* **Iba Pang Mga Batas:** Depende sa uri ng pang-aabuso sa kapangyarihan, ang ibang mga batas tulad ng Code of Conduct at Ethical Standards for Public Officials and Emplo"&amp;"yees (RA No. 6713) ay maaari ding mailapat. * **Paghain ng Reklamo:** Maaaring magsampa ng kriminal na reklamo ang mga indibidwal sa naaangkop na awtoridad, gaya ng Office of the Ombudsman o National Bureau of Investigation (NBI). Napakahalaga ng ebidensy"&amp;"a upang suportahan ang mga paratang.
**2. Paghahain ng Administrative Case:**
* **Disciplinary Action:** Ang mga indibidwal ay maaaring magsampa ng kasong administratibo laban sa opisyal ng gobyerno sa kanilang ahensya o sa Civil Service Commission (CSC)."&amp;" Maaari itong humantong sa mga aksyong pandisiplina tulad ng pagsususpinde, pagtanggal sa trabaho, o pag-alis ng mga benepisyo sa pagreretiro.
**3. Sibil na Paghahabla:**
* **Mga Pinsala:** Kung ang pag-abuso sa kapangyarihan ay nagresulta sa direktang pi"&amp;"nsala, ang mga indibidwal ay maaaring magsampa ng kaso ng sibil laban sa opisyal ng gobyerno para sa mga pinsala. Halimbawa, kung ang isang business permit ay maling tinanggihan dahil sa katiwalian, ang may-ari ng negosyo ay maaaring magdemanda para sa na"&amp;"walang kita. **4. Public Interest Litigation (PIL):**
* **Pagprotekta sa Pampublikong Interes:** Sa ilang mga kaso, maaaring isang opsyon ang paglilitis sa pampublikong interes. Nagbibigay-daan ito sa mga mamamayan na magdemanda para protektahan ang kapal"&amp;"igiran o iba pang pampublikong interes, kahit na hindi sila mismo ang nakaranas ng direktang pinsala. (Rule 65, Rules of Court) Maaaring naaangkop ito para sa malawakang katiwalian na pumipinsala sa kabutihan ng publiko.
**Mahahalagang Pagsasaalang-alang:"&amp;"**
* **Pagtitipon ng Ebidensya:** Ang pagbuo ng isang malakas na kaso ay nangangailangan ng pagpapakita ng ebidensya ng pag-abuso sa kapangyarihan. Maaari itong maging mapaghamong at maaaring may kasamang mga testimonya ng saksi o patunay ng dokumentaryo."&amp;"
* **Legal na Representasyon:** Maaaring kumplikado ang mga kaso ng katiwalian. Ang pagkonsulta sa isang abogadong may karanasan sa anti-corruption law ay lubos na inirerekomenda. Maaari silang magpayo sa pinakaangkop na kurso ng legal na aksyon.
* **Mga "&amp;"Potensyal na Hamon:** Ang pagsasagawa ng legal na aksyon laban sa makapangyarihang mga indibidwal ay maaaring maging mahaba at mapaghamong. Ang pagtitiyaga at isang malakas na kaso ay mahalaga.
**Konklusyon:**
Bagama't hindi madali ang paggawa ng legal na"&amp;" aksyon laban sa mga tiwaling opisyal ng gobyerno, ang batas ng Pilipinas ay nagbibigay ng mga paraan para sa mga indibidwal na panagutin sila. Sa pamamagitan ng pagsunod sa mga opsyong ito, makakatulong ang mga mamamayan sa paglaban sa katiwalian at itag"&amp;"uyod ang mabuting pamamahala.")</f>
        <v>Oo, ang mga indibidwal sa Pilipinas ay maaaring gumawa ng legal na aksyon laban sa mga opisyal ng gobyerno na umaabuso sa kanilang kapangyarihan para sa personal o pampulitika na pakinabang. Narito ang ilang mga paraan na magagamit sa ilalim ng batas ng Pilipinas:
**1. Paghahain ng mga Kriminal na Singil:**
* **Specific Anti-Corruption Laws:** Ang Pilipinas ay may ilang mga batas na nagpaparusa sa mga partikular na gawain ng katiwalian ng mga pampublikong opisyal. * **Republic Act No. 3019 (Anti-Graft and Corrupt Practices Act):** Ito ang pangunahing batas na tumutukoy at nagpaparusa sa iba't ibang katiwalian ng mga opisyal ng gobyerno, kabilang ang panunuhol, maling paggamit ng pampublikong pondo, at nagdudulot ng hindi nararapat na pinsala sa anumang partido sa pamamagitan ng manifest partiality o maliwanag na masamang pananampalataya.
* **Iba Pang Mga Batas:** Depende sa uri ng pang-aabuso sa kapangyarihan, ang ibang mga batas tulad ng Code of Conduct at Ethical Standards for Public Officials and Employees (RA No. 6713) ay maaari ding mailapat. * **Paghain ng Reklamo:** Maaaring magsampa ng kriminal na reklamo ang mga indibidwal sa naaangkop na awtoridad, gaya ng Office of the Ombudsman o National Bureau of Investigation (NBI). Napakahalaga ng ebidensya upang suportahan ang mga paratang.
**2. Paghahain ng Administrative Case:**
* **Disciplinary Action:** Ang mga indibidwal ay maaaring magsampa ng kasong administratibo laban sa opisyal ng gobyerno sa kanilang ahensya o sa Civil Service Commission (CSC). Maaari itong humantong sa mga aksyong pandisiplina tulad ng pagsususpinde, pagtanggal sa trabaho, o pag-alis ng mga benepisyo sa pagreretiro.
**3. Sibil na Paghahabla:**
* **Mga Pinsala:** Kung ang pag-abuso sa kapangyarihan ay nagresulta sa direktang pinsala, ang mga indibidwal ay maaaring magsampa ng kaso ng sibil laban sa opisyal ng gobyerno para sa mga pinsala. Halimbawa, kung ang isang business permit ay maling tinanggihan dahil sa katiwalian, ang may-ari ng negosyo ay maaaring magdemanda para sa nawalang kita. **4. Public Interest Litigation (PIL):**
* **Pagprotekta sa Pampublikong Interes:** Sa ilang mga kaso, maaaring isang opsyon ang paglilitis sa pampublikong interes. Nagbibigay-daan ito sa mga mamamayan na magdemanda para protektahan ang kapaligiran o iba pang pampublikong interes, kahit na hindi sila mismo ang nakaranas ng direktang pinsala. (Rule 65, Rules of Court) Maaaring naaangkop ito para sa malawakang katiwalian na pumipinsala sa kabutihan ng publiko.
**Mahahalagang Pagsasaalang-alang:**
* **Pagtitipon ng Ebidensya:** Ang pagbuo ng isang malakas na kaso ay nangangailangan ng pagpapakita ng ebidensya ng pag-abuso sa kapangyarihan. Maaari itong maging mapaghamong at maaaring may kasamang mga testimonya ng saksi o patunay ng dokumentaryo.
* **Legal na Representasyon:** Maaaring kumplikado ang mga kaso ng katiwalian. Ang pagkonsulta sa isang abogadong may karanasan sa anti-corruption law ay lubos na inirerekomenda. Maaari silang magpayo sa pinakaangkop na kurso ng legal na aksyon.
* **Mga Potensyal na Hamon:** Ang pagsasagawa ng legal na aksyon laban sa makapangyarihang mga indibidwal ay maaaring maging mahaba at mapaghamong. Ang pagtitiyaga at isang malakas na kaso ay mahalaga.
**Konklusyon:**
Bagama't hindi madali ang paggawa ng legal na aksyon laban sa mga tiwaling opisyal ng gobyerno, ang batas ng Pilipinas ay nagbibigay ng mga paraan para sa mga indibidwal na panagutin sila. Sa pamamagitan ng pagsunod sa mga opsyong ito, makakatulong ang mga mamamayan sa paglaban sa katiwalian at itaguyod ang mabuting pamamahala.</v>
      </c>
      <c r="F1184" s="2">
        <f t="shared" si="1"/>
        <v>0</v>
      </c>
      <c r="G1184" s="2"/>
      <c r="H1184" s="2"/>
      <c r="I1184" s="2"/>
      <c r="J1184" s="2"/>
      <c r="K1184" s="2"/>
      <c r="L1184" s="2"/>
      <c r="M1184" s="2"/>
      <c r="N1184" s="2"/>
      <c r="O1184" s="2"/>
      <c r="P1184" s="2"/>
      <c r="Q1184" s="2"/>
      <c r="R1184" s="2"/>
      <c r="S1184" s="2"/>
      <c r="T1184" s="2"/>
      <c r="U1184" s="2"/>
      <c r="V1184" s="2"/>
      <c r="W1184" s="2"/>
      <c r="X1184" s="2"/>
      <c r="Y1184" s="2"/>
      <c r="Z1184" s="2"/>
      <c r="AA1184" s="2"/>
    </row>
    <row r="1185">
      <c r="A1185" s="1" t="s">
        <v>3356</v>
      </c>
      <c r="B1185" s="1" t="s">
        <v>3535</v>
      </c>
      <c r="C1185" s="1" t="s">
        <v>3536</v>
      </c>
      <c r="D1185" s="2" t="str">
        <f>IFERROR(__xludf.DUMMYFUNCTION("GOOGLETRANSLATE(B1185, ""en"", ""TL"")"),"Paano nakakaapekto ang mga kasunduan laban sa katiwalian at mga internasyonal na kasunduan sa mga pagsisikap na labanan ang pampulitikang katiwalian?")</f>
        <v>Paano nakakaapekto ang mga kasunduan laban sa katiwalian at mga internasyonal na kasunduan sa mga pagsisikap na labanan ang pampulitikang katiwalian?</v>
      </c>
      <c r="E1185" s="2" t="str">
        <f>IFERROR(__xludf.DUMMYFUNCTION("GOOGLETRANSLATE(C1185, ""en"", ""TL"")"),"Ang mga kasunduan laban sa katiwalian at mga internasyonal na kasunduan ay may mahalagang papel sa paglaban sa pampulitikang katiwalian sa pamamagitan ng pagtatatag ng isang pandaigdigang balangkas para sa kooperasyon at pagpapatupad. Narito kung paano si"&amp;"la nag-aambag sa paglaban sa katiwalian:
* **Pagtatakda ng Mga Pamantayan at Mga Benchmark:** Ang mga kasunduang ito ay nagtatatag ng mga internasyonal na pamantayan at mga benchmark para sa kung ano ang bumubuo sa katiwalian at kung paano ito dapat tugun"&amp;"an ng mga bansa. Lumilikha ito ng isang karaniwang pag-unawa at nagpapalakas ng pambansang pagsisikap laban sa katiwalian. (hal., United Nations Convention Against Corruption [UNCAC])
* **Pag-promote ng Transparency at Pananagutan:** Ang mga kasunduan ay "&amp;"madalas na nangangailangan ng mga estado ng miyembro na magpatupad ng mga hakbang na nagtataguyod ng transparency sa pagbabadyet ng gobyerno, pagkuha, at pagpopondo sa kampanya. Binabawasan nito ang mga pagkakataon para sa mga tiwaling gawi. * **Pagpapahu"&amp;"say ng Internasyonal na Kooperasyon:** Pinapadali ng mga kasunduan ang pakikipagtulungan sa pagitan ng mga bansa sa mga pagsisiyasat, pagbawi ng asset, at extradition ng mga tiwaling opisyal. Ginagawa nitong mas mahirap para sa mga tiwaling aktor na itago"&amp;" ang mga ninakaw na ari-arian o makatakas sa pag-uusig.
* **Mekanismo ng Pagsusuri ng Peer:** Ang ilang mga kasunduan ay kinabibilangan ng mga mekanismo para sa pagrepaso sa mga pagsusumikap laban sa katiwalian ng isang bansa. Hinihikayat ng peer pressure"&amp;" na ito ang patuloy na pagpapabuti sa mga legal na balangkas at mga kasanayan sa pagpapatupad.
* **Paglahok ng Lipunang Sibil:** Kinikilala ng ilang partikular na kasunduan ang mahalagang papel ng lipunang sibil sa paglaban sa katiwalian. Maaari nilang hi"&amp;"kayatin ang mga hakbang upang protektahan ang mga whistleblower at isulong ang pakikilahok ng publiko sa mga hakbangin laban sa katiwalian. **Mga Limitasyon ng Kasunduan:**
* **Mga Hamon sa Pagpapatupad:** Ang mga internasyonal na kasunduan ay kadalasang "&amp;"umaasa sa mga miyembrong estado upang ipatupad ang mga probisyon sa loob ng sarili nilang mga legal na sistema. Maaari itong maging mahirap dahil sa iba't ibang antas ng political will at kapasidad sa pagpapatupad sa mga bansa.
* **Kakulangan ng Pangkalah"&amp;"atang Pakikilahok:** Bagama't maraming bansa ang lumagda sa mga kasunduan laban sa katiwalian, hindi lahat ng mga bansa ay lumahok. Nililimitahan nito ang pangkalahatang pagiging epektibo sa paglikha ng isang tunay na pandaigdigang tugon sa katiwalian.
**"&amp;"Mga Halimbawa ng Anti-Corruption Treaties:**
* **United Nations Convention Against Corruption (UNCAC):** Ang pinakakomprehensibong pandaigdigang kasunduan laban sa katiwalian, niratipikahan ng mahigit 180 bansa, kabilang ang Pilipinas. Sinasaklaw nito ang"&amp;" malawak na hanay ng mga paglabag sa katiwalian at nagtataguyod ng internasyonal na kooperasyon.
* **Organization of American States Inter-American Convention Against Corruption (OAS IACAC):** Isang panrehiyong kasunduan na nakatuon sa pagtutulungan at mu"&amp;"tual legal na tulong sa mga miyembrong estado sa Americas.
**Pangkalahatang Epekto:**
Ang mga kasunduan laban sa katiwalian at mga internasyonal na kasunduan ay mahalagang kasangkapan para labanan ang pampulitikang katiwalian. Nagtatatag sila ng isang pan"&amp;"daigdigang balangkas para sa pakikipagtulungan, nagtataguyod ng transparency at pananagutan, at lumikha ng panggigipit sa mga bansa upang palakasin ang kanilang mga pagsisikap laban sa katiwalian. Gayunpaman, ang kanilang pagiging epektibo ay nakasalalay "&amp;"sa malakas na pambansang pagpapatupad, mga mekanismo ng pagpapatupad, at mas malawak na partisipasyon mula sa lahat ng mga bansa.")</f>
        <v>Ang mga kasunduan laban sa katiwalian at mga internasyonal na kasunduan ay may mahalagang papel sa paglaban sa pampulitikang katiwalian sa pamamagitan ng pagtatatag ng isang pandaigdigang balangkas para sa kooperasyon at pagpapatupad. Narito kung paano sila nag-aambag sa paglaban sa katiwalian:
* **Pagtatakda ng Mga Pamantayan at Mga Benchmark:** Ang mga kasunduang ito ay nagtatatag ng mga internasyonal na pamantayan at mga benchmark para sa kung ano ang bumubuo sa katiwalian at kung paano ito dapat tugunan ng mga bansa. Lumilikha ito ng isang karaniwang pag-unawa at nagpapalakas ng pambansang pagsisikap laban sa katiwalian. (hal., United Nations Convention Against Corruption [UNCAC])
* **Pag-promote ng Transparency at Pananagutan:** Ang mga kasunduan ay madalas na nangangailangan ng mga estado ng miyembro na magpatupad ng mga hakbang na nagtataguyod ng transparency sa pagbabadyet ng gobyerno, pagkuha, at pagpopondo sa kampanya. Binabawasan nito ang mga pagkakataon para sa mga tiwaling gawi. * **Pagpapahusay ng Internasyonal na Kooperasyon:** Pinapadali ng mga kasunduan ang pakikipagtulungan sa pagitan ng mga bansa sa mga pagsisiyasat, pagbawi ng asset, at extradition ng mga tiwaling opisyal. Ginagawa nitong mas mahirap para sa mga tiwaling aktor na itago ang mga ninakaw na ari-arian o makatakas sa pag-uusig.
* **Mekanismo ng Pagsusuri ng Peer:** Ang ilang mga kasunduan ay kinabibilangan ng mga mekanismo para sa pagrepaso sa mga pagsusumikap laban sa katiwalian ng isang bansa. Hinihikayat ng peer pressure na ito ang patuloy na pagpapabuti sa mga legal na balangkas at mga kasanayan sa pagpapatupad.
* **Paglahok ng Lipunang Sibil:** Kinikilala ng ilang partikular na kasunduan ang mahalagang papel ng lipunang sibil sa paglaban sa katiwalian. Maaari nilang hikayatin ang mga hakbang upang protektahan ang mga whistleblower at isulong ang pakikilahok ng publiko sa mga hakbangin laban sa katiwalian. **Mga Limitasyon ng Kasunduan:**
* **Mga Hamon sa Pagpapatupad:** Ang mga internasyonal na kasunduan ay kadalasang umaasa sa mga miyembrong estado upang ipatupad ang mga probisyon sa loob ng sarili nilang mga legal na sistema. Maaari itong maging mahirap dahil sa iba't ibang antas ng political will at kapasidad sa pagpapatupad sa mga bansa.
* **Kakulangan ng Pangkalahatang Pakikilahok:** Bagama't maraming bansa ang lumagda sa mga kasunduan laban sa katiwalian, hindi lahat ng mga bansa ay lumahok. Nililimitahan nito ang pangkalahatang pagiging epektibo sa paglikha ng isang tunay na pandaigdigang tugon sa katiwalian.
**Mga Halimbawa ng Anti-Corruption Treaties:**
* **United Nations Convention Against Corruption (UNCAC):** Ang pinakakomprehensibong pandaigdigang kasunduan laban sa katiwalian, niratipikahan ng mahigit 180 bansa, kabilang ang Pilipinas. Sinasaklaw nito ang malawak na hanay ng mga paglabag sa katiwalian at nagtataguyod ng internasyonal na kooperasyon.
* **Organization of American States Inter-American Convention Against Corruption (OAS IACAC):** Isang panrehiyong kasunduan na nakatuon sa pagtutulungan at mutual legal na tulong sa mga miyembrong estado sa Americas.
**Pangkalahatang Epekto:**
Ang mga kasunduan laban sa katiwalian at mga internasyonal na kasunduan ay mahalagang kasangkapan para labanan ang pampulitikang katiwalian. Nagtatatag sila ng isang pandaigdigang balangkas para sa pakikipagtulungan, nagtataguyod ng transparency at pananagutan, at lumikha ng panggigipit sa mga bansa upang palakasin ang kanilang mga pagsisikap laban sa katiwalian. Gayunpaman, ang kanilang pagiging epektibo ay nakasalalay sa malakas na pambansang pagpapatupad, mga mekanismo ng pagpapatupad, at mas malawak na partisipasyon mula sa lahat ng mga bansa.</v>
      </c>
      <c r="F1185" s="2">
        <f t="shared" si="1"/>
        <v>0</v>
      </c>
      <c r="G1185" s="2"/>
      <c r="H1185" s="2"/>
      <c r="I1185" s="2"/>
      <c r="J1185" s="2"/>
      <c r="K1185" s="2"/>
      <c r="L1185" s="2"/>
      <c r="M1185" s="2"/>
      <c r="N1185" s="2"/>
      <c r="O1185" s="2"/>
      <c r="P1185" s="2"/>
      <c r="Q1185" s="2"/>
      <c r="R1185" s="2"/>
      <c r="S1185" s="2"/>
      <c r="T1185" s="2"/>
      <c r="U1185" s="2"/>
      <c r="V1185" s="2"/>
      <c r="W1185" s="2"/>
      <c r="X1185" s="2"/>
      <c r="Y1185" s="2"/>
      <c r="Z1185" s="2"/>
      <c r="AA1185" s="2"/>
    </row>
    <row r="1186">
      <c r="A1186" s="1" t="s">
        <v>3356</v>
      </c>
      <c r="B1186" s="1" t="s">
        <v>3537</v>
      </c>
      <c r="C1186" s="1" t="s">
        <v>3538</v>
      </c>
      <c r="D1186" s="2" t="str">
        <f>IFERROR(__xludf.DUMMYFUNCTION("GOOGLETRANSLATE(B1186, ""en"", ""TL"")"),"Maaari bang magdemanda ang mga indibidwal sa mga kontratista o vendor ng gobyerno na sangkot sa mga tiwaling aktibidad na nakakapinsala sa interes ng publiko?")</f>
        <v>Maaari bang magdemanda ang mga indibidwal sa mga kontratista o vendor ng gobyerno na sangkot sa mga tiwaling aktibidad na nakakapinsala sa interes ng publiko?</v>
      </c>
      <c r="E1186" s="2" t="str">
        <f>IFERROR(__xludf.DUMMYFUNCTION("GOOGLETRANSLATE(C1186, ""en"", ""TL"")"),"Oo, ang mga indibidwal sa Pilipinas ay maaaring magdemanda sa mga kontratista ng gobyerno o mga vendor na sangkot sa mga tiwaling aktibidad na nakakapinsala sa interes ng publiko. Narito kung paano maaaring magbigay ang batas ng Pilipinas ng mga paraan pa"&amp;"ra sa naturang demanda:
* **Civil Klage (Civil Lawsuit):**
* Ang mga indibidwal na nakaranas ng pinsala dahil sa tiwaling aktibidad ay maaaring magsampa ng kasong sibil laban sa kontratista/vendor ng gobyerno para sa mga pinsala. Nalalapat ito kung ang ti"&amp;"waling gawa ay direktang nagdulot sa kanila ng pagkalugi sa pananalapi o iba pang pinsala. (Civil Code, Artikulo 20)
* **Paglilitis sa Pampublikong Interes:**
* Pinahihintulutan ng batas ng Pilipinas ang paglilitis sa interes ng publiko, kung saan maaarin"&amp;"g magdemanda ang mga mamamayan para protektahan ang kapaligiran o iba pang pampublikong interes, kahit na hindi sila mismo nakaranas ng direktang pinsala. (Rule 65, Rules of Court) Ito ay maaaring malapat sa pagdemanda sa isang kontratista/vendor na ang m"&amp;"ga tiwaling aksyon ay nagresulta sa pinsala sa publiko.
* **Taxpayer's Suit:**
* Bilang isang nagbabayad ng buwis, maaari kang magkaroon ng karapatang magsampa ng demanda (kademanda ng nagbabayad ng buwis) kung naniniwala kang nagamit ng mali ang mga pond"&amp;"o ng gobyerno dahil sa mga tiwaling aktibidad ng contractor/vendor. (Tingnan ang jurisprudence sa mga demanda ng nagbabayad ng buwis)
**Mga Hamon at Pagsasaalang-alang:**
* **Pagtitipon ng Ebidensya:** Ang matagumpay na paghahabla para sa katiwalian ay na"&amp;"ngangailangan ng pagpapakita ng matibay na ebidensya ng maling gawain. Ito ay maaaring maging mahirap.
* **Legal na Representasyon:** Maaaring kumplikado ang mga kaso ng katiwalian. Ang pagkonsulta sa isang abogadong may karanasan sa pampublikong interes "&amp;"na paglilitis o batas laban sa katiwalian ay lubos na inirerekomenda.
**Mga Alternatibong Pagkilos:**
* **Pag-uulat ng Korapsyon:** Maaaring mag-ulat ang mga indibidwal ng pinaghihinalaang katiwalian sa mga ahensya ng gobyerno tulad ng Office of the Ombud"&amp;"sman o Commission on Audit.
**Disclaimer:**
Hindi ito legal na payo. Ang mga partikular na legal na opsyon na magagamit ay depende sa eksaktong mga kalagayan ng kaso ng katiwalian. Ang pagkonsulta sa isang kwalipikadong abogado ay mahalaga upang maunawaan"&amp;" ang pinakamahusay na paraan ng pagkilos.")</f>
        <v>Oo, ang mga indibidwal sa Pilipinas ay maaaring magdemanda sa mga kontratista ng gobyerno o mga vendor na sangkot sa mga tiwaling aktibidad na nakakapinsala sa interes ng publiko. Narito kung paano maaaring magbigay ang batas ng Pilipinas ng mga paraan para sa naturang demanda:
* **Civil Klage (Civil Lawsuit):**
* Ang mga indibidwal na nakaranas ng pinsala dahil sa tiwaling aktibidad ay maaaring magsampa ng kasong sibil laban sa kontratista/vendor ng gobyerno para sa mga pinsala. Nalalapat ito kung ang tiwaling gawa ay direktang nagdulot sa kanila ng pagkalugi sa pananalapi o iba pang pinsala. (Civil Code, Artikulo 20)
* **Paglilitis sa Pampublikong Interes:**
* Pinahihintulutan ng batas ng Pilipinas ang paglilitis sa interes ng publiko, kung saan maaaring magdemanda ang mga mamamayan para protektahan ang kapaligiran o iba pang pampublikong interes, kahit na hindi sila mismo nakaranas ng direktang pinsala. (Rule 65, Rules of Court) Ito ay maaaring malapat sa pagdemanda sa isang kontratista/vendor na ang mga tiwaling aksyon ay nagresulta sa pinsala sa publiko.
* **Taxpayer's Suit:**
* Bilang isang nagbabayad ng buwis, maaari kang magkaroon ng karapatang magsampa ng demanda (kademanda ng nagbabayad ng buwis) kung naniniwala kang nagamit ng mali ang mga pondo ng gobyerno dahil sa mga tiwaling aktibidad ng contractor/vendor. (Tingnan ang jurisprudence sa mga demanda ng nagbabayad ng buwis)
**Mga Hamon at Pagsasaalang-alang:**
* **Pagtitipon ng Ebidensya:** Ang matagumpay na paghahabla para sa katiwalian ay nangangailangan ng pagpapakita ng matibay na ebidensya ng maling gawain. Ito ay maaaring maging mahirap.
* **Legal na Representasyon:** Maaaring kumplikado ang mga kaso ng katiwalian. Ang pagkonsulta sa isang abogadong may karanasan sa pampublikong interes na paglilitis o batas laban sa katiwalian ay lubos na inirerekomenda.
**Mga Alternatibong Pagkilos:**
* **Pag-uulat ng Korapsyon:** Maaaring mag-ulat ang mga indibidwal ng pinaghihinalaang katiwalian sa mga ahensya ng gobyerno tulad ng Office of the Ombudsman o Commission on Audit.
**Disclaimer:**
Hindi ito legal na payo. Ang mga partikular na legal na opsyon na magagamit ay depende sa eksaktong mga kalagayan ng kaso ng katiwalian. Ang pagkonsulta sa isang kwalipikadong abogado ay mahalaga upang maunawaan ang pinakamahusay na paraan ng pagkilos.</v>
      </c>
      <c r="F1186" s="2">
        <f t="shared" si="1"/>
        <v>0</v>
      </c>
      <c r="G1186" s="2"/>
      <c r="H1186" s="2"/>
      <c r="I1186" s="2"/>
      <c r="J1186" s="2"/>
      <c r="K1186" s="2"/>
      <c r="L1186" s="2"/>
      <c r="M1186" s="2"/>
      <c r="N1186" s="2"/>
      <c r="O1186" s="2"/>
      <c r="P1186" s="2"/>
      <c r="Q1186" s="2"/>
      <c r="R1186" s="2"/>
      <c r="S1186" s="2"/>
      <c r="T1186" s="2"/>
      <c r="U1186" s="2"/>
      <c r="V1186" s="2"/>
      <c r="W1186" s="2"/>
      <c r="X1186" s="2"/>
      <c r="Y1186" s="2"/>
      <c r="Z1186" s="2"/>
      <c r="AA1186" s="2"/>
    </row>
    <row r="1187">
      <c r="A1187" s="1" t="s">
        <v>3356</v>
      </c>
      <c r="B1187" s="1" t="s">
        <v>3539</v>
      </c>
      <c r="C1187" s="1" t="s">
        <v>3540</v>
      </c>
      <c r="D1187" s="2" t="str">
        <f>IFERROR(__xludf.DUMMYFUNCTION("GOOGLETRANSLATE(B1187, ""en"", ""TL"")"),"Paano pinoprotektahan ng mga batas sa paninirang-puri ang mga indibidwal na nag-uulat ng mga kaso ng pampulitikang katiwalian mula sa paghihiganti?")</f>
        <v>Paano pinoprotektahan ng mga batas sa paninirang-puri ang mga indibidwal na nag-uulat ng mga kaso ng pampulitikang katiwalian mula sa paghihiganti?</v>
      </c>
      <c r="E1187" s="2" t="str">
        <f>IFERROR(__xludf.DUMMYFUNCTION("GOOGLETRANSLATE(C1187, ""en"", ""TL"")"),"Ang mga batas sa paninirang-puri ay maaaring gumanap ng isang papel sa pagprotekta sa mga indibidwal na nag-uulat ng mga pagkakataon ng pampulitikang katiwalian mula sa paghihiganti, ngunit ang aplikasyon ng mga batas na ito ay maaaring mag-iba depende sa"&amp;" mga pangyayari. Sa Pilipinas, maaaring gamitin ang mga batas sa paninirang-puri upang protektahan ang mga indibidwal na gumagawa ng totoo at patas na mga ulat tungkol sa pampulitikang katiwalian. Narito ang ilang mahahalagang punto na nauugnay sa mga bat"&amp;"as sa paninirang-puri at proteksyon laban sa paghihiganti:
1. **Katotohanan Bilang Depensa:**
- Sa Pilipinas, ang katotohanan ay karaniwang itinuturing na isang depensa laban sa mga pag-aangkin ng paninirang-puri. Kung ang isang indibidwal ay nag-uulat ng"&amp;" mga pagkakataon ng pampulitikang katiwalian at ang mga pahayag na ginawa ay totoo, maaari itong magsilbing isang malakas na depensa sa kaganapan ng isang kaso ng paninirang-puri. Gayunpaman, mahalaga na ang mga pahayag ay tumpak at maaaring patunayan ng "&amp;"ebidensya.
2. **Kwalipikadong Pribilehiyo:**
- Ang kwalipikadong pribilehiyo ay maaari ding magbigay ng proteksyon sa ilang partikular na sitwasyon kung saan ang mga indibidwal ay nag-uulat ng pampulitikang katiwalian. Kinikilala ng kwalipikadong pribileh"&amp;"iyo ang karapatan ng mga indibidwal na gumawa ng mga pahayag para sa kapakanan ng publiko o para sa kabutihang panlahat, kahit na lumabas na mali ang mga pahayag na iyon, hangga't ginawa ang mga ito nang walang malisya. Ang pribilehiyong ito ay napapailal"&amp;"im sa ilang mga kundisyon at limitasyon.
3. **Mga Batas na Anti-SLAPP:**
- Ang mga batas na Anti-SLAPP (Strategic Lawsuit Against Public Participation) ay idinisenyo upang protektahan ang mga indibidwal mula sa mga demanda na naglalayong takutin o patahim"&amp;"ikin sila para sa pakikilahok sa pampublikong pakikilahok, kabilang ang pag-uulat sa mga bagay na may kinalaman sa publiko. Bagama't ang Pilipinas ay walang partikular na pederal na batas laban sa SLAPP, ang mga lokal na ordinansa o hudisyal na desisyon a"&amp;"y maaaring mag-alok ng mga katulad na proteksyon.
4. **Proteksyon sa Whistleblower:**
- Ang mga batas sa proteksyon ng whistleblower, gaya ng Republic Act No. 10660 (Whistleblower Protection Act), ay maaaring protektahan ang mga indibidwal mula sa paghihi"&amp;"ganti kapag nag-uulat ng katiwalian. Ang mga batas na ito ay nagbibigay ng kaligtasan sa sibil, kriminal, o administratibong pananagutan para sa mga whistleblower, hangga't ang impormasyong ibinunyag ay hindi sadyang mali.
5. **Mga Pagsasaalang-alang sa P"&amp;"ampublikong Interes:**
- Ang mga batas sa paninirang-puri ay madalas na isinasaalang-alang ang pampublikong interes sa pagpapahintulot sa mga indibidwal na mag-ulat ng mga usapin ng pampublikong alalahanin, kabilang ang pampulitikang katiwalian. Maaaring "&amp;"timbangin ng mga korte ang kahalagahan ng ibinabahaging impormasyon laban sa potensyal na pinsala sa reputasyon kapag tinatasa ang mga paghahabol sa paninirang-puri.
6. **Patas na Komento at Pagpuna:**
- Maaaring kilalanin ng mga batas sa paninirang-puri "&amp;"ang karapatan sa patas na komento at pagpuna, lalo na kapag ang mga indibidwal ay nagpahayag ng mga opinyon o gumagawa ng mga pahayag batay sa tapat na paniniwala o makatwirang batayan. Nalalapat ang proteksyong ito kapag nagkokomento sa mga bagay na may "&amp;"kinalaman sa pampublikong interes, gaya ng korapsyon sa pulitika.
Mahalaga para sa mga indibidwal na maging maingat at responsable kapag nag-uulat ng mga pagkakataon ng pampulitikang katiwalian upang matiyak na ang kanilang mga pahayag ay totoo at ginawa "&amp;"nang may mabuting loob. Ang pagkonsulta sa mga legal na propesyonal ay maaaring magbigay ng gabay sa kung paano mag-navigate sa mga batas ng paninirang-puri at mga potensyal na depensa sa konteksto ng pag-uulat sa mga usapin ng pampublikong alalahanin.")</f>
        <v>Ang mga batas sa paninirang-puri ay maaaring gumanap ng isang papel sa pagprotekta sa mga indibidwal na nag-uulat ng mga pagkakataon ng pampulitikang katiwalian mula sa paghihiganti, ngunit ang aplikasyon ng mga batas na ito ay maaaring mag-iba depende sa mga pangyayari. Sa Pilipinas, maaaring gamitin ang mga batas sa paninirang-puri upang protektahan ang mga indibidwal na gumagawa ng totoo at patas na mga ulat tungkol sa pampulitikang katiwalian. Narito ang ilang mahahalagang punto na nauugnay sa mga batas sa paninirang-puri at proteksyon laban sa paghihiganti:
1. **Katotohanan Bilang Depensa:**
- Sa Pilipinas, ang katotohanan ay karaniwang itinuturing na isang depensa laban sa mga pag-aangkin ng paninirang-puri. Kung ang isang indibidwal ay nag-uulat ng mga pagkakataon ng pampulitikang katiwalian at ang mga pahayag na ginawa ay totoo, maaari itong magsilbing isang malakas na depensa sa kaganapan ng isang kaso ng paninirang-puri. Gayunpaman, mahalaga na ang mga pahayag ay tumpak at maaaring patunayan ng ebidensya.
2. **Kwalipikadong Pribilehiyo:**
- Ang kwalipikadong pribilehiyo ay maaari ding magbigay ng proteksyon sa ilang partikular na sitwasyon kung saan ang mga indibidwal ay nag-uulat ng pampulitikang katiwalian. Kinikilala ng kwalipikadong pribilehiyo ang karapatan ng mga indibidwal na gumawa ng mga pahayag para sa kapakanan ng publiko o para sa kabutihang panlahat, kahit na lumabas na mali ang mga pahayag na iyon, hangga't ginawa ang mga ito nang walang malisya. Ang pribilehiyong ito ay napapailalim sa ilang mga kundisyon at limitasyon.
3. **Mga Batas na Anti-SLAPP:**
- Ang mga batas na Anti-SLAPP (Strategic Lawsuit Against Public Participation) ay idinisenyo upang protektahan ang mga indibidwal mula sa mga demanda na naglalayong takutin o patahimikin sila para sa pakikilahok sa pampublikong pakikilahok, kabilang ang pag-uulat sa mga bagay na may kinalaman sa publiko. Bagama't ang Pilipinas ay walang partikular na pederal na batas laban sa SLAPP, ang mga lokal na ordinansa o hudisyal na desisyon ay maaaring mag-alok ng mga katulad na proteksyon.
4. **Proteksyon sa Whistleblower:**
- Ang mga batas sa proteksyon ng whistleblower, gaya ng Republic Act No. 10660 (Whistleblower Protection Act), ay maaaring protektahan ang mga indibidwal mula sa paghihiganti kapag nag-uulat ng katiwalian. Ang mga batas na ito ay nagbibigay ng kaligtasan sa sibil, kriminal, o administratibong pananagutan para sa mga whistleblower, hangga't ang impormasyong ibinunyag ay hindi sadyang mali.
5. **Mga Pagsasaalang-alang sa Pampublikong Interes:**
- Ang mga batas sa paninirang-puri ay madalas na isinasaalang-alang ang pampublikong interes sa pagpapahintulot sa mga indibidwal na mag-ulat ng mga usapin ng pampublikong alalahanin, kabilang ang pampulitikang katiwalian. Maaaring timbangin ng mga korte ang kahalagahan ng ibinabahaging impormasyon laban sa potensyal na pinsala sa reputasyon kapag tinatasa ang mga paghahabol sa paninirang-puri.
6. **Patas na Komento at Pagpuna:**
- Maaaring kilalanin ng mga batas sa paninirang-puri ang karapatan sa patas na komento at pagpuna, lalo na kapag ang mga indibidwal ay nagpahayag ng mga opinyon o gumagawa ng mga pahayag batay sa tapat na paniniwala o makatwirang batayan. Nalalapat ang proteksyong ito kapag nagkokomento sa mga bagay na may kinalaman sa pampublikong interes, gaya ng korapsyon sa pulitika.
Mahalaga para sa mga indibidwal na maging maingat at responsable kapag nag-uulat ng mga pagkakataon ng pampulitikang katiwalian upang matiyak na ang kanilang mga pahayag ay totoo at ginawa nang may mabuting loob. Ang pagkonsulta sa mga legal na propesyonal ay maaaring magbigay ng gabay sa kung paano mag-navigate sa mga batas ng paninirang-puri at mga potensyal na depensa sa konteksto ng pag-uulat sa mga usapin ng pampublikong alalahanin.</v>
      </c>
      <c r="F1187" s="2">
        <f t="shared" si="1"/>
        <v>0</v>
      </c>
      <c r="G1187" s="2"/>
      <c r="H1187" s="2"/>
      <c r="I1187" s="2"/>
      <c r="J1187" s="2"/>
      <c r="K1187" s="2"/>
      <c r="L1187" s="2"/>
      <c r="M1187" s="2"/>
      <c r="N1187" s="2"/>
      <c r="O1187" s="2"/>
      <c r="P1187" s="2"/>
      <c r="Q1187" s="2"/>
      <c r="R1187" s="2"/>
      <c r="S1187" s="2"/>
      <c r="T1187" s="2"/>
      <c r="U1187" s="2"/>
      <c r="V1187" s="2"/>
      <c r="W1187" s="2"/>
      <c r="X1187" s="2"/>
      <c r="Y1187" s="2"/>
      <c r="Z1187" s="2"/>
      <c r="AA1187" s="2"/>
    </row>
    <row r="1188">
      <c r="A1188" s="1" t="s">
        <v>3356</v>
      </c>
      <c r="B1188" s="1" t="s">
        <v>3541</v>
      </c>
      <c r="C1188" s="1" t="s">
        <v>3542</v>
      </c>
      <c r="D1188" s="2" t="str">
        <f>IFERROR(__xludf.DUMMYFUNCTION("GOOGLETRANSLATE(B1188, ""en"", ""TL"")"),"Maaari bang magsampa ng kaso ang mga indibidwal laban sa mga platform ng social media o mga kumpanya ng teknolohiya na nagpapadali sa pampulitikang katiwalian sa pamamagitan ng maling impormasyon o manipulasyon?")</f>
        <v>Maaari bang magsampa ng kaso ang mga indibidwal laban sa mga platform ng social media o mga kumpanya ng teknolohiya na nagpapadali sa pampulitikang katiwalian sa pamamagitan ng maling impormasyon o manipulasyon?</v>
      </c>
      <c r="E1188" s="2" t="str">
        <f>IFERROR(__xludf.DUMMYFUNCTION("GOOGLETRANSLATE(C1188, ""en"", ""TL"")"),"Sa aking huling pag-update ng kaalaman noong Enero 2022, ang mga indibidwal sa Pilipinas ay maaaring gumawa ng legal na aksyon laban sa mga social media platform o kumpanya ng teknolohiya na nagpapadali sa pampulitikang katiwalian sa pamamagitan ng maling"&amp;" impormasyon o pagmamanipula, bagama't ang mga partikular na legal na paraan ay maaaring mag-iba. Nasa ibaba ang ilang potensyal na batayan para sa legal na aksyon:
1. **Mga Batas sa Anti-Cybercrime:**
- Ang Cybercrime Prevention Act of 2012 (Republic Act"&amp;" No. 10175) ay nagsasakriminal sa iba't ibang online na aktibidad, kabilang ang mga pagkakasala na nauugnay sa ilegal na pag-access sa mga computer system, data interference, at computer-related fraud. Kung mangyari ang maling impormasyon o pagmamanipula "&amp;"sa pamamagitan ng mga aktibidad sa cybercrime, maaaring isaalang-alang ng mga indibidwal ang paghahain ng mga reklamo sa ilalim ng batas na ito.
2. **Civil Liability para sa Online Libel:**
- Ang Pilipinas ay may mga batas na tumutugon sa online libel, ka"&amp;"bilang ang Revised Penal Code at ang Cybercrime Prevention Act. Kung nagkalat ang mali at nakakapinsalang impormasyon sa mga platform ng social media, maaaring tuklasin ng mga apektadong indibidwal ang posibilidad na magsampa ng mga kaso ng libelo laban s"&amp;"a mga responsableng partido.
3. **Data Privacy Act:**
- Ang Data Privacy Act of 2012 (Republic Act No. 10173) ay kinokontrol ang pagproseso ng personal na impormasyon. Kung ang pagpapakalat ng maling impormasyon ay nagsasangkot ng hindi awtorisadong pagga"&amp;"mit o pagsisiwalat ng personal na data, maaaring isaalang-alang ng mga indibidwal ang legal na aksyon sa ilalim ng batas na ito.
4. **Mga Batas na may kaugnayan sa Eleksyon:**
- Depende sa uri ng maling impormasyon o pagmamanipula at ang epekto nito sa mg"&amp;"a halalan, ang mga indibidwal ay maaari ding tuklasin ang mga legal na opsyon sa ilalim ng mga batas na nauugnay sa halalan, gaya ng Omnibus Election Code.
5. **Mga Batas sa Proteksyon ng Consumer:**
- Maaaring gumana ang mga batas sa proteksyon ng consum"&amp;"er kung maipapakita ng mga indibidwal na sila ay nalinlang o napinsala ng maling impormasyon na ipinakalat sa pamamagitan ng mga social media platform. Ang Consumer Act of the Philippines (Republic Act No. 7394) ay nagbibigay ng ilang legal na paraan para"&amp;" sa proteksyon laban sa mga mapanlinlang na gawain o gawain.
6. **Mga Paghahabla sa Class Action:**
- Sa ilang mga kaso, maaaring isaalang-alang ng mga apektadong indibidwal na ituloy ang mga demanda ng class action laban sa mga platform ng social media o"&amp;" kumpanya ng teknolohiya, na naghahanap ng mga remedyo para sa isang grupo ng mga tao na dumanas ng katulad na pinsala.
Mahalagang tandaan na ang legal na aksyon laban sa mga platform ng social media at mga kumpanya ng teknolohiya ay maaaring humarap sa m"&amp;"ga hamon, kabilang ang mga isyung nauugnay sa hurisdiksyon, ang pagkakakilanlan ng mga responsableng partido, at ang interpretasyon ng mga kasalukuyang batas. Bukod pa rito, maaaring umunlad ang mga batas at regulasyon, at maaaring mangyari ang mga bagong"&amp;" pag-unlad pagkatapos ng aking huling pag-update.
Ang mga indibidwal na naghahangad na magsampa ng mga kaso ay dapat kumunsulta sa mga legal na propesyonal na maaaring magbigay ng gabay batay sa pinakabagong legal na tanawin sa Pilipinas. Makakatulong ang"&amp;" legal na payo sa mga indibidwal na maunawaan ang mga partikular na elemento na kailangan para sa isang matagumpay na kaso at mag-navigate sa mga kumplikado ng legal na sistema.")</f>
        <v>Sa aking huling pag-update ng kaalaman noong Enero 2022, ang mga indibidwal sa Pilipinas ay maaaring gumawa ng legal na aksyon laban sa mga social media platform o kumpanya ng teknolohiya na nagpapadali sa pampulitikang katiwalian sa pamamagitan ng maling impormasyon o pagmamanipula, bagama't ang mga partikular na legal na paraan ay maaaring mag-iba. Nasa ibaba ang ilang potensyal na batayan para sa legal na aksyon:
1. **Mga Batas sa Anti-Cybercrime:**
- Ang Cybercrime Prevention Act of 2012 (Republic Act No. 10175) ay nagsasakriminal sa iba't ibang online na aktibidad, kabilang ang mga pagkakasala na nauugnay sa ilegal na pag-access sa mga computer system, data interference, at computer-related fraud. Kung mangyari ang maling impormasyon o pagmamanipula sa pamamagitan ng mga aktibidad sa cybercrime, maaaring isaalang-alang ng mga indibidwal ang paghahain ng mga reklamo sa ilalim ng batas na ito.
2. **Civil Liability para sa Online Libel:**
- Ang Pilipinas ay may mga batas na tumutugon sa online libel, kabilang ang Revised Penal Code at ang Cybercrime Prevention Act. Kung nagkalat ang mali at nakakapinsalang impormasyon sa mga platform ng social media, maaaring tuklasin ng mga apektadong indibidwal ang posibilidad na magsampa ng mga kaso ng libelo laban sa mga responsableng partido.
3. **Data Privacy Act:**
- Ang Data Privacy Act of 2012 (Republic Act No. 10173) ay kinokontrol ang pagproseso ng personal na impormasyon. Kung ang pagpapakalat ng maling impormasyon ay nagsasangkot ng hindi awtorisadong paggamit o pagsisiwalat ng personal na data, maaaring isaalang-alang ng mga indibidwal ang legal na aksyon sa ilalim ng batas na ito.
4. **Mga Batas na may kaugnayan sa Eleksyon:**
- Depende sa uri ng maling impormasyon o pagmamanipula at ang epekto nito sa mga halalan, ang mga indibidwal ay maaari ding tuklasin ang mga legal na opsyon sa ilalim ng mga batas na nauugnay sa halalan, gaya ng Omnibus Election Code.
5. **Mga Batas sa Proteksyon ng Consumer:**
- Maaaring gumana ang mga batas sa proteksyon ng consumer kung maipapakita ng mga indibidwal na sila ay nalinlang o napinsala ng maling impormasyon na ipinakalat sa pamamagitan ng mga social media platform. Ang Consumer Act of the Philippines (Republic Act No. 7394) ay nagbibigay ng ilang legal na paraan para sa proteksyon laban sa mga mapanlinlang na gawain o gawain.
6. **Mga Paghahabla sa Class Action:**
- Sa ilang mga kaso, maaaring isaalang-alang ng mga apektadong indibidwal na ituloy ang mga demanda ng class action laban sa mga platform ng social media o kumpanya ng teknolohiya, na naghahanap ng mga remedyo para sa isang grupo ng mga tao na dumanas ng katulad na pinsala.
Mahalagang tandaan na ang legal na aksyon laban sa mga platform ng social media at mga kumpanya ng teknolohiya ay maaaring humarap sa mga hamon, kabilang ang mga isyung nauugnay sa hurisdiksyon, ang pagkakakilanlan ng mga responsableng partido, at ang interpretasyon ng mga kasalukuyang batas. Bukod pa rito, maaaring umunlad ang mga batas at regulasyon, at maaaring mangyari ang mga bagong pag-unlad pagkatapos ng aking huling pag-update.
Ang mga indibidwal na naghahangad na magsampa ng mga kaso ay dapat kumunsulta sa mga legal na propesyonal na maaaring magbigay ng gabay batay sa pinakabagong legal na tanawin sa Pilipinas. Makakatulong ang legal na payo sa mga indibidwal na maunawaan ang mga partikular na elemento na kailangan para sa isang matagumpay na kaso at mag-navigate sa mga kumplikado ng legal na sistema.</v>
      </c>
      <c r="F1188" s="2">
        <f t="shared" si="1"/>
        <v>0</v>
      </c>
      <c r="G1188" s="2"/>
      <c r="H1188" s="2"/>
      <c r="I1188" s="2"/>
      <c r="J1188" s="2"/>
      <c r="K1188" s="2"/>
      <c r="L1188" s="2"/>
      <c r="M1188" s="2"/>
      <c r="N1188" s="2"/>
      <c r="O1188" s="2"/>
      <c r="P1188" s="2"/>
      <c r="Q1188" s="2"/>
      <c r="R1188" s="2"/>
      <c r="S1188" s="2"/>
      <c r="T1188" s="2"/>
      <c r="U1188" s="2"/>
      <c r="V1188" s="2"/>
      <c r="W1188" s="2"/>
      <c r="X1188" s="2"/>
      <c r="Y1188" s="2"/>
      <c r="Z1188" s="2"/>
      <c r="AA1188" s="2"/>
    </row>
    <row r="1189">
      <c r="A1189" s="1" t="s">
        <v>3356</v>
      </c>
      <c r="B1189" s="1" t="s">
        <v>3543</v>
      </c>
      <c r="C1189" s="1" t="s">
        <v>3544</v>
      </c>
      <c r="D1189" s="2" t="str">
        <f>IFERROR(__xludf.DUMMYFUNCTION("GOOGLETRANSLATE(B1189, ""en"", ""TL"")"),"Paano nakakatulong ang mga kodigo sa etika at pamantayan ng pag-uugali para sa mga pampublikong opisyal na maiwasan ang pampulitikang katiwalian?")</f>
        <v>Paano nakakatulong ang mga kodigo sa etika at pamantayan ng pag-uugali para sa mga pampublikong opisyal na maiwasan ang pampulitikang katiwalian?</v>
      </c>
      <c r="E1189" s="2" t="str">
        <f>IFERROR(__xludf.DUMMYFUNCTION("GOOGLETRANSLATE(C1189, ""en"", ""TL"")"),"Ang Pilipinas ay may mahusay na itinatag na balangkas ng mga kodigo sa etika at mga pamantayan ng pag-uugali para sa mga pampublikong opisyal na may mahalagang papel sa pagpigil sa pampulitikang katiwalian. Narito kung paano sila gumagana:
**Pagtatakda ng"&amp;" Malinaw na Inaasahan:**
* **Ang Konstitusyon:** Ang 1987 Philippine Constitution ay nagtataglay ng pampublikong pananagutan at nag-uutos sa estado na itaguyod ang isang makatarungan at tapat na lipunan [https://www.officialgazette.gov.ph/constitutions/19"&amp;"87-constitution/](https:/ /www.officialgazette.gov.ph/constitutions/1987-constitution/).
* **Republic Acts (RAs):** Ilang RA ang nagtatag ng mga etikal na alituntunin para sa mga pampublikong opisyal. Ang pangunahing bagay ay ang RA No. 6713, na kilala ri"&amp;"n bilang ""Code of Conduct and Ethical Standards for Public Officials and Employees."" Binabalangkas ng batas na ito ang mga prinsipyo tulad ng integridad, pagkamakabayan, at pagiging hindi makasarili, at ipinagbabawal ang mga pagkilos tulad ng nepotismo,"&amp;" salungatan ng interes, at pagtanggap ng mga regalo. **Pag-promote ng Transparency at Accountability:**
* **Mga Kinakailangan sa Pagbubunyag:** Ang mga opisyal ay kinakailangang ibunyag ang kanilang mga interes sa pananalapi at magsumite ng Mga Pahayag ng"&amp;" Mga Asset, Pananagutan, at Net Worth (SALN) upang itaguyod ang transparency at hadlangan ang mga salungatan ng interes.
* **Ombudsman at Mga Komisyon:** Ang Opisina ng Ombudsman ay nag-iimbestiga sa mga reklamo laban sa mga pampublikong opisyal para sa m"&amp;"ga paglabag sa Kodigo ng Pag-uugali. Ang ibang mga komisyon, tulad ng Commission on Audit (COA), ay nangangasiwa sa paggasta ng pamahalaan at tumukoy ng mga potensyal na iregularidad.
**Pagpigil sa Maling Gawa:**
* **Mga Pagkilos na Pandisiplina:** Ang mg"&amp;"a paglabag sa Kodigo ay maaaring humantong sa mga aksyong pandisiplina, mula sa mga pagsaway hanggang sa pagtanggal sa serbisyo.
* **Pampublikong Pagsusuri:** Ang pagkakaroon ng isang mahusay na tinukoy na code at mga potensyal na kahihinatnan ay nagpapat"&amp;"aas ng kamalayan ng publiko at ginagawang mas maingat ang mga opisyal tungkol sa pagsasagawa ng mga tiwaling gawi.
**Mga Limitasyon na Dapat Isaalang-alang:**
* **Pagpapatupad:** Ang mabisang pagpapatupad ay umaasa sa mga institusyong may mahusay na mapag"&amp;"kukunan tulad ng opisina ng Ombudsman. Ang mga pagkaantala o kakulangan ng matitinding parusa ay maaaring magpahina sa sistema.
* **Mga Salik sa Kultural:** Ang sistemang ""Palabra"" (pag-asa sa mga personal na koneksyon) at isang kultura ng hindi kompron"&amp;"tasyon ay maaaring gawing mas mahirap ang whistleblowing at pagpapanagot sa mga opisyal. **Sa pangkalahatan, sa kabila ng mga limitasyon, ang mga kodigo sa etika at pamantayan ng pag-uugali ay isang mahalagang linya ng depensa laban sa pampulitikang katiw"&amp;"alian sa Pilipinas. Nagtakda sila ng malinaw na mga inaasahan, nagpo-promote ng transparency, at pinipigilan ang maling gawain ng mga pampublikong opisyal.**")</f>
        <v>Ang Pilipinas ay may mahusay na itinatag na balangkas ng mga kodigo sa etika at mga pamantayan ng pag-uugali para sa mga pampublikong opisyal na may mahalagang papel sa pagpigil sa pampulitikang katiwalian. Narito kung paano sila gumagana:
**Pagtatakda ng Malinaw na Inaasahan:**
* **Ang Konstitusyon:** Ang 1987 Philippine Constitution ay nagtataglay ng pampublikong pananagutan at nag-uutos sa estado na itaguyod ang isang makatarungan at tapat na lipunan [https://www.officialgazette.gov.ph/constitutions/1987-constitution/](https:/ /www.officialgazette.gov.ph/constitutions/1987-constitution/).
* **Republic Acts (RAs):** Ilang RA ang nagtatag ng mga etikal na alituntunin para sa mga pampublikong opisyal. Ang pangunahing bagay ay ang RA No. 6713, na kilala rin bilang "Code of Conduct and Ethical Standards for Public Officials and Employees." Binabalangkas ng batas na ito ang mga prinsipyo tulad ng integridad, pagkamakabayan, at pagiging hindi makasarili, at ipinagbabawal ang mga pagkilos tulad ng nepotismo, salungatan ng interes, at pagtanggap ng mga regalo. **Pag-promote ng Transparency at Accountability:**
* **Mga Kinakailangan sa Pagbubunyag:** Ang mga opisyal ay kinakailangang ibunyag ang kanilang mga interes sa pananalapi at magsumite ng Mga Pahayag ng Mga Asset, Pananagutan, at Net Worth (SALN) upang itaguyod ang transparency at hadlangan ang mga salungatan ng interes.
* **Ombudsman at Mga Komisyon:** Ang Opisina ng Ombudsman ay nag-iimbestiga sa mga reklamo laban sa mga pampublikong opisyal para sa mga paglabag sa Kodigo ng Pag-uugali. Ang ibang mga komisyon, tulad ng Commission on Audit (COA), ay nangangasiwa sa paggasta ng pamahalaan at tumukoy ng mga potensyal na iregularidad.
**Pagpigil sa Maling Gawa:**
* **Mga Pagkilos na Pandisiplina:** Ang mga paglabag sa Kodigo ay maaaring humantong sa mga aksyong pandisiplina, mula sa mga pagsaway hanggang sa pagtanggal sa serbisyo.
* **Pampublikong Pagsusuri:** Ang pagkakaroon ng isang mahusay na tinukoy na code at mga potensyal na kahihinatnan ay nagpapataas ng kamalayan ng publiko at ginagawang mas maingat ang mga opisyal tungkol sa pagsasagawa ng mga tiwaling gawi.
**Mga Limitasyon na Dapat Isaalang-alang:**
* **Pagpapatupad:** Ang mabisang pagpapatupad ay umaasa sa mga institusyong may mahusay na mapagkukunan tulad ng opisina ng Ombudsman. Ang mga pagkaantala o kakulangan ng matitinding parusa ay maaaring magpahina sa sistema.
* **Mga Salik sa Kultural:** Ang sistemang "Palabra" (pag-asa sa mga personal na koneksyon) at isang kultura ng hindi komprontasyon ay maaaring gawing mas mahirap ang whistleblowing at pagpapanagot sa mga opisyal. **Sa pangkalahatan, sa kabila ng mga limitasyon, ang mga kodigo sa etika at pamantayan ng pag-uugali ay isang mahalagang linya ng depensa laban sa pampulitikang katiwalian sa Pilipinas. Nagtakda sila ng malinaw na mga inaasahan, nagpo-promote ng transparency, at pinipigilan ang maling gawain ng mga pampublikong opisyal.**</v>
      </c>
      <c r="F1189" s="2">
        <f t="shared" si="1"/>
        <v>0</v>
      </c>
      <c r="G1189" s="2"/>
      <c r="H1189" s="2"/>
      <c r="I1189" s="2"/>
      <c r="J1189" s="2"/>
      <c r="K1189" s="2"/>
      <c r="L1189" s="2"/>
      <c r="M1189" s="2"/>
      <c r="N1189" s="2"/>
      <c r="O1189" s="2"/>
      <c r="P1189" s="2"/>
      <c r="Q1189" s="2"/>
      <c r="R1189" s="2"/>
      <c r="S1189" s="2"/>
      <c r="T1189" s="2"/>
      <c r="U1189" s="2"/>
      <c r="V1189" s="2"/>
      <c r="W1189" s="2"/>
      <c r="X1189" s="2"/>
      <c r="Y1189" s="2"/>
      <c r="Z1189" s="2"/>
      <c r="AA1189" s="2"/>
    </row>
    <row r="1190">
      <c r="A1190" s="1" t="s">
        <v>3356</v>
      </c>
      <c r="B1190" s="1" t="s">
        <v>3545</v>
      </c>
      <c r="C1190" s="1" t="s">
        <v>3546</v>
      </c>
      <c r="D1190" s="2" t="str">
        <f>IFERROR(__xludf.DUMMYFUNCTION("GOOGLETRANSLATE(B1190, ""en"", ""TL"")"),"Maaari bang hamunin ng mga indibidwal ang konstitusyonalidad ng mga batas o regulasyon na naglilimita sa transparency at pananagutan sa gobyerno?")</f>
        <v>Maaari bang hamunin ng mga indibidwal ang konstitusyonalidad ng mga batas o regulasyon na naglilimita sa transparency at pananagutan sa gobyerno?</v>
      </c>
      <c r="E1190" s="2" t="str">
        <f>IFERROR(__xludf.DUMMYFUNCTION("GOOGLETRANSLATE(C1190, ""en"", ""TL"")"),"Oo, maaaring hamunin ng mga indibidwal sa Pilipinas ang konstitusyonalidad ng mga batas o regulasyon na naglilimita sa transparency at pananagutan sa gobyerno. Ang karapatang tanungin ang konstitusyonalidad ng mga batas ay nakaangkla sa prinsipyo ng judic"&amp;"ial review, na nagpapahintulot sa mga korte na suriin at alisin ang mga batas na itinuring na labag sa konstitusyon.
Ang pangunahing legal na mekanismo para sa paghamon sa konstitusyonalidad ng mga batas sa Pilipinas ay ang paghahain ng petisyon para sa j"&amp;"udicial review sa Korte Suprema. Ang Korte Suprema ay may awtoridad na magdeklara ng isang batas o regulasyon na labag sa konstitusyon at, sa paggawa nito, pinawalang-bisa ang epekto nito. Narito ang mga pangunahing punto na nauugnay sa paghamon sa konsti"&amp;"tusyonalidad ng mga batas:
1. **Judicial Review:**
- Ang kapangyarihan ng judicial review ay ipinagkakaloob sa hudikatura, partikular sa Korte Suprema, ng Konstitusyon ng Pilipinas. Ang Artikulo VIII, Seksyon 1 ay nagtatadhana na ang kapangyarihang panghu"&amp;"kuman ay kinabibilangan ng tungkuling tukuyin kung nagkaroon ng matinding pag-abuso sa pagpapasya na katumbas ng kakulangan o labis na hurisdiksyon sa bahagi ng alinmang sangay o instrumentalidad ng pamahalaan.
2. **Writ of Certiorari, Prohibition, and Ma"&amp;"ndamus:**
- Ang mga indibidwal o grupo na humahamon sa konstitusyonalidad ng mga batas ay maaaring maghain ng petisyon para sa certiorari, pagbabawal, o mandamus, depende sa mga pangyayari. Ang mga legal na remedyong ito ay nagbibigay-daan sa mga indibidw"&amp;"al na tanungin ang bisa ng mga batas o regulasyon na maaaring makahadlang sa transparency at pananagutan.
3. **Mga Karapatan at Proteksyon ng Konstitusyon:**
- Maaaring ibatay ng mga indibidwal ang kanilang hamon sa mga partikular na karapatan at proteksy"&amp;"on sa konstitusyon, tulad ng karapatan sa impormasyon (Artikulo III, Seksyon 7), karapatan sa angkop na proseso, at prinsipyo ng pananagutan sa serbisyo publiko.
4. **Public Interes Standing:**
- Kinikilala ng Korte Suprema ang konsepto ng ""katayuan sa i"&amp;"nteres ng publiko,"" na nagpapahintulot sa mga indibidwal o grupo na hamunin ang mga batas o aksyon ng pamahalaan na nakakaapekto sa interes ng publiko. Nangangahulugan ito na ang mga nagmamalasakit na mamamayan ay maaaring magsimula ng mga legal na aksyo"&amp;"n upang protektahan ang kapakanan ng pangkalahatang publiko.
5. **Tungkulin ng Mga Grupo ng Adbokasiya at Lipunang Sibil:**
- Ang mga grupo ng adbokasiya at mga organisasyon ng lipunang sibil ay kadalasang may mahalagang papel sa pagsisimula ng mga legal "&amp;"na hamon laban sa mga batas o regulasyon na maaaring humadlang sa transparency at pananagutan. Maaari silang kumilos bilang mga petitioner sa mga kaso sa harap ng mga korte.
Mahalagang tandaan na ang tagumpay ng isang hamon sa konstitusyon ay nakasalalay "&amp;"sa iba't ibang salik, kabilang ang mga legal na argumentong iniharap, ang mga partikular na probisyon ng konstitusyon na hinihingi, at ang mga kalagayan ng kaso. Ang paghingi ng legal na payo mula sa isang kwalipikadong abogado ay mahalaga kapag isinasaal"&amp;"ang-alang ang isang hamon sa konstitusyon upang matiyak na ang legal na proseso ay mabisang na-navigate.")</f>
        <v>Oo, maaaring hamunin ng mga indibidwal sa Pilipinas ang konstitusyonalidad ng mga batas o regulasyon na naglilimita sa transparency at pananagutan sa gobyerno. Ang karapatang tanungin ang konstitusyonalidad ng mga batas ay nakaangkla sa prinsipyo ng judicial review, na nagpapahintulot sa mga korte na suriin at alisin ang mga batas na itinuring na labag sa konstitusyon.
Ang pangunahing legal na mekanismo para sa paghamon sa konstitusyonalidad ng mga batas sa Pilipinas ay ang paghahain ng petisyon para sa judicial review sa Korte Suprema. Ang Korte Suprema ay may awtoridad na magdeklara ng isang batas o regulasyon na labag sa konstitusyon at, sa paggawa nito, pinawalang-bisa ang epekto nito. Narito ang mga pangunahing punto na nauugnay sa paghamon sa konstitusyonalidad ng mga batas:
1. **Judicial Review:**
- Ang kapangyarihan ng judicial review ay ipinagkakaloob sa hudikatura, partikular sa Korte Suprema, ng Konstitusyon ng Pilipinas. Ang Artikulo VIII, Seksyon 1 ay nagtatadhana na ang kapangyarihang panghukuman ay kinabibilangan ng tungkuling tukuyin kung nagkaroon ng matinding pag-abuso sa pagpapasya na katumbas ng kakulangan o labis na hurisdiksyon sa bahagi ng alinmang sangay o instrumentalidad ng pamahalaan.
2. **Writ of Certiorari, Prohibition, and Mandamus:**
- Ang mga indibidwal o grupo na humahamon sa konstitusyonalidad ng mga batas ay maaaring maghain ng petisyon para sa certiorari, pagbabawal, o mandamus, depende sa mga pangyayari. Ang mga legal na remedyong ito ay nagbibigay-daan sa mga indibidwal na tanungin ang bisa ng mga batas o regulasyon na maaaring makahadlang sa transparency at pananagutan.
3. **Mga Karapatan at Proteksyon ng Konstitusyon:**
- Maaaring ibatay ng mga indibidwal ang kanilang hamon sa mga partikular na karapatan at proteksyon sa konstitusyon, tulad ng karapatan sa impormasyon (Artikulo III, Seksyon 7), karapatan sa angkop na proseso, at prinsipyo ng pananagutan sa serbisyo publiko.
4. **Public Interes Standing:**
- Kinikilala ng Korte Suprema ang konsepto ng "katayuan sa interes ng publiko," na nagpapahintulot sa mga indibidwal o grupo na hamunin ang mga batas o aksyon ng pamahalaan na nakakaapekto sa interes ng publiko. Nangangahulugan ito na ang mga nagmamalasakit na mamamayan ay maaaring magsimula ng mga legal na aksyon upang protektahan ang kapakanan ng pangkalahatang publiko.
5. **Tungkulin ng Mga Grupo ng Adbokasiya at Lipunang Sibil:**
- Ang mga grupo ng adbokasiya at mga organisasyon ng lipunang sibil ay kadalasang may mahalagang papel sa pagsisimula ng mga legal na hamon laban sa mga batas o regulasyon na maaaring humadlang sa transparency at pananagutan. Maaari silang kumilos bilang mga petitioner sa mga kaso sa harap ng mga korte.
Mahalagang tandaan na ang tagumpay ng isang hamon sa konstitusyon ay nakasalalay sa iba't ibang salik, kabilang ang mga legal na argumentong iniharap, ang mga partikular na probisyon ng konstitusyon na hinihingi, at ang mga kalagayan ng kaso. Ang paghingi ng legal na payo mula sa isang kwalipikadong abogado ay mahalaga kapag isinasaalang-alang ang isang hamon sa konstitusyon upang matiyak na ang legal na proseso ay mabisang na-navigate.</v>
      </c>
      <c r="F1190" s="2">
        <f t="shared" si="1"/>
        <v>0</v>
      </c>
      <c r="G1190" s="2"/>
      <c r="H1190" s="2"/>
      <c r="I1190" s="2"/>
      <c r="J1190" s="2"/>
      <c r="K1190" s="2"/>
      <c r="L1190" s="2"/>
      <c r="M1190" s="2"/>
      <c r="N1190" s="2"/>
      <c r="O1190" s="2"/>
      <c r="P1190" s="2"/>
      <c r="Q1190" s="2"/>
      <c r="R1190" s="2"/>
      <c r="S1190" s="2"/>
      <c r="T1190" s="2"/>
      <c r="U1190" s="2"/>
      <c r="V1190" s="2"/>
      <c r="W1190" s="2"/>
      <c r="X1190" s="2"/>
      <c r="Y1190" s="2"/>
      <c r="Z1190" s="2"/>
      <c r="AA1190" s="2"/>
    </row>
    <row r="1191">
      <c r="A1191" s="1" t="s">
        <v>3356</v>
      </c>
      <c r="B1191" s="1" t="s">
        <v>3547</v>
      </c>
      <c r="C1191" s="1" t="s">
        <v>3548</v>
      </c>
      <c r="D1191" s="2" t="str">
        <f>IFERROR(__xludf.DUMMYFUNCTION("GOOGLETRANSLATE(B1191, ""en"", ""TL"")"),"Anong mga legal na proteksyon ang umiiral para sa mga whistleblower ng gobyerno na naglalantad ng mga pagkakataon ng pampulitikang katiwalian?")</f>
        <v>Anong mga legal na proteksyon ang umiiral para sa mga whistleblower ng gobyerno na naglalantad ng mga pagkakataon ng pampulitikang katiwalian?</v>
      </c>
      <c r="E1191" s="2" t="str">
        <f>IFERROR(__xludf.DUMMYFUNCTION("GOOGLETRANSLATE(C1191, ""en"", ""TL"")"),"Sa Pilipinas, ang mga legal na proteksyon para sa mga whistleblower ng gobyerno na naglalantad ng mga kaso ng korapsyon sa pulitika ay ibinibigay sa ilalim ng ""Whistleblower Protection Act"" o Republic Act No. 10660. Ang batas na ito ay pinagtibay upang "&amp;"hikayatin ang mga indibidwal na mag-ulat ng katiwalian, maling gawain, at iba pang ilegal na aktibidad sa loob ng pamahalaan. Narito ang mga pangunahing probisyon na nauugnay sa mga legal na proteksyon para sa mga whistleblower:
1. **Pagiging Kumpidensyal"&amp;" ng Pagkakakilanlan:**
- Tinitiyak ng Whistleblower Protection Act ang pagiging kumpidensyal ng pagkakakilanlan ng whistleblower. Ipinagbabawal ng batas ang pagsisiwalat ng pagkakakilanlan ng whistleblower nang walang pahintulot nila, maliban sa ilang mga"&amp;" pangyayari gaya ng itinatadhana ng batas.
2. **Immunity mula sa Pag-uusig:**
- Ang mga whistleblower ay binibigyan ng immunity mula sa sibil, kriminal, o administratibong pananagutan para sa kanilang mga pagsisiwalat, sa kondisyon na ang impormasyong isi"&amp;"niwalat ay hindi sadyang mali.
3. **Proteksyon mula sa Paghihiganti:**
- Ipinagbabawal ng batas ang anumang paraan ng paghihiganti, paghihiganti, o panliligalig laban sa whistleblower. Kabilang dito ang proteksyon laban sa pagpapaalis, pagsususpinde, pagb"&amp;"abawas ng posisyon, panliligalig, o anumang diskriminasyong aksyon ng kanilang mga employer o kasamahan bilang tugon sa kanilang mga aktibidad sa whistleblowing.
4. **Kompensasyon at Rehabilitasyon:**
- Ang mga whistleblower na dumaranas ng panliligalig o"&amp;" paghihiganti ay may karapatan sa kabayaran para sa mga pinsala. Ipinag-uutos din ng batas ang rehabilitasyon ng whistleblower, na maaaring kasama ang muling pagbabalik, pagbabayad ng back wages, at iba pang naaangkop na hakbang.
5. **Pagtatatag ng Whistl"&amp;"eblower Protection Office (WPO):**
- Itinatag ng Whistleblower Protection Act ang Whistleblower Protection Office (WPO) sa ilalim ng Office of the Ombudsman. Ang WPO ay may pananagutan sa pagtanggap at pagsusuri ng mga reklamo, pagtiyak ng proteksyon ng m"&amp;"ga whistleblower, at pakikipag-ugnayan sa iba pang nauugnay na ahensya.
6. **Mga Pamamaraan para sa Pagbubunyag:**
- Binabalangkas ng batas ang mga pamamaraan para sa paggawa ng mga pagsisiwalat at tinitiyak na ang mga whistleblower ay may access sa naaan"&amp;"gkop na mga channel para sa pag-uulat ng katiwalian. Hinihikayat ang mga whistleblower na sundin ang mga naitatag na pamamaraan upang matiyak ang wastong paghawak sa kanilang mga pagsisiwalat.
Mahalagang tandaan na ang Whistleblower Protection Act ay isan"&amp;"g makabuluhang legal na balangkas na nagbibigay ng komprehensibong proteksyon para sa mga indibidwal na naglalantad ng mga pagkakataon ng pampulitikang katiwalian sa loob ng pamahalaan. Ang mga whistleblower ay maaaring gumanap ng isang mahalagang papel s"&amp;"a pagtataguyod ng transparency at pananagutan, at ang mga legal na proteksyon na ito ay naglalayong hikayatin ang kanilang pakikilahok nang walang takot sa paghihiganti.")</f>
        <v>Sa Pilipinas, ang mga legal na proteksyon para sa mga whistleblower ng gobyerno na naglalantad ng mga kaso ng korapsyon sa pulitika ay ibinibigay sa ilalim ng "Whistleblower Protection Act" o Republic Act No. 10660. Ang batas na ito ay pinagtibay upang hikayatin ang mga indibidwal na mag-ulat ng katiwalian, maling gawain, at iba pang ilegal na aktibidad sa loob ng pamahalaan. Narito ang mga pangunahing probisyon na nauugnay sa mga legal na proteksyon para sa mga whistleblower:
1. **Pagiging Kumpidensyal ng Pagkakakilanlan:**
- Tinitiyak ng Whistleblower Protection Act ang pagiging kumpidensyal ng pagkakakilanlan ng whistleblower. Ipinagbabawal ng batas ang pagsisiwalat ng pagkakakilanlan ng whistleblower nang walang pahintulot nila, maliban sa ilang mga pangyayari gaya ng itinatadhana ng batas.
2. **Immunity mula sa Pag-uusig:**
- Ang mga whistleblower ay binibigyan ng immunity mula sa sibil, kriminal, o administratibong pananagutan para sa kanilang mga pagsisiwalat, sa kondisyon na ang impormasyong isiniwalat ay hindi sadyang mali.
3. **Proteksyon mula sa Paghihiganti:**
- Ipinagbabawal ng batas ang anumang paraan ng paghihiganti, paghihiganti, o panliligalig laban sa whistleblower. Kabilang dito ang proteksyon laban sa pagpapaalis, pagsususpinde, pagbabawas ng posisyon, panliligalig, o anumang diskriminasyong aksyon ng kanilang mga employer o kasamahan bilang tugon sa kanilang mga aktibidad sa whistleblowing.
4. **Kompensasyon at Rehabilitasyon:**
- Ang mga whistleblower na dumaranas ng panliligalig o paghihiganti ay may karapatan sa kabayaran para sa mga pinsala. Ipinag-uutos din ng batas ang rehabilitasyon ng whistleblower, na maaaring kasama ang muling pagbabalik, pagbabayad ng back wages, at iba pang naaangkop na hakbang.
5. **Pagtatatag ng Whistleblower Protection Office (WPO):**
- Itinatag ng Whistleblower Protection Act ang Whistleblower Protection Office (WPO) sa ilalim ng Office of the Ombudsman. Ang WPO ay may pananagutan sa pagtanggap at pagsusuri ng mga reklamo, pagtiyak ng proteksyon ng mga whistleblower, at pakikipag-ugnayan sa iba pang nauugnay na ahensya.
6. **Mga Pamamaraan para sa Pagbubunyag:**
- Binabalangkas ng batas ang mga pamamaraan para sa paggawa ng mga pagsisiwalat at tinitiyak na ang mga whistleblower ay may access sa naaangkop na mga channel para sa pag-uulat ng katiwalian. Hinihikayat ang mga whistleblower na sundin ang mga naitatag na pamamaraan upang matiyak ang wastong paghawak sa kanilang mga pagsisiwalat.
Mahalagang tandaan na ang Whistleblower Protection Act ay isang makabuluhang legal na balangkas na nagbibigay ng komprehensibong proteksyon para sa mga indibidwal na naglalantad ng mga pagkakataon ng pampulitikang katiwalian sa loob ng pamahalaan. Ang mga whistleblower ay maaaring gumanap ng isang mahalagang papel sa pagtataguyod ng transparency at pananagutan, at ang mga legal na proteksyon na ito ay naglalayong hikayatin ang kanilang pakikilahok nang walang takot sa paghihiganti.</v>
      </c>
      <c r="F1191" s="2">
        <f t="shared" si="1"/>
        <v>0</v>
      </c>
      <c r="G1191" s="2"/>
      <c r="H1191" s="2"/>
      <c r="I1191" s="2"/>
      <c r="J1191" s="2"/>
      <c r="K1191" s="2"/>
      <c r="L1191" s="2"/>
      <c r="M1191" s="2"/>
      <c r="N1191" s="2"/>
      <c r="O1191" s="2"/>
      <c r="P1191" s="2"/>
      <c r="Q1191" s="2"/>
      <c r="R1191" s="2"/>
      <c r="S1191" s="2"/>
      <c r="T1191" s="2"/>
      <c r="U1191" s="2"/>
      <c r="V1191" s="2"/>
      <c r="W1191" s="2"/>
      <c r="X1191" s="2"/>
      <c r="Y1191" s="2"/>
      <c r="Z1191" s="2"/>
      <c r="AA1191" s="2"/>
    </row>
    <row r="1192">
      <c r="A1192" s="1" t="s">
        <v>3356</v>
      </c>
      <c r="B1192" s="1" t="s">
        <v>3549</v>
      </c>
      <c r="C1192" s="1" t="s">
        <v>3550</v>
      </c>
      <c r="D1192" s="2" t="str">
        <f>IFERROR(__xludf.DUMMYFUNCTION("GOOGLETRANSLATE(B1192, ""en"", ""TL"")"),"Paano nakakatulong ang mga kinakailangan sa pagsisiwalat sa pananalapi ng kampanya na maiwasan ang hindi isiniwalat o iligal na mga kontribusyon na maaaring humantong sa pampulitikang katiwalian?")</f>
        <v>Paano nakakatulong ang mga kinakailangan sa pagsisiwalat sa pananalapi ng kampanya na maiwasan ang hindi isiniwalat o iligal na mga kontribusyon na maaaring humantong sa pampulitikang katiwalian?</v>
      </c>
      <c r="E1192" s="2" t="str">
        <f>IFERROR(__xludf.DUMMYFUNCTION("GOOGLETRANSLATE(C1192, ""en"", ""TL"")"),"Ang mga kinakailangan sa pagsisiwalat ng pananalapi ng kampanya sa Pilipinas ay may mahalagang papel sa pagtataguyod ng transparency, pananagutan, at pagpigil sa hindi isiniwalat o iligal na mga kontribusyon na maaaring humantong sa pampulitikang katiwali"&amp;"an. Ang mga pangunahing mekanismo kung saan nakakatulong ang mga kinakailangang ito na maiwasan ang mga naturang isyu ay nakabalangkas sa ibaba, batay sa mga batas, regulasyon, at konstitusyon ng Pilipinas:
1. **Transparency at Pananagutan:**
- **Republic"&amp;" Act No. 7166 (Synchronized National and Local Elections Law):** Ang batas na ito ay nag-uutos sa mga kandidato, partidong pampulitika, at party-list na grupo na magsumite ng buo, totoo, at naka-itemize na pahayag ng kanilang mga kontribusyon at paggasta "&amp;"sa panahon ng kampanya panahon. Kabilang dito ang mga detalye ng mga donor at ang mga halagang naiambag.
- **COMELEC Resolution No. 10429 (Guidelines for the Filing of Campaign Finance Statements and Reports):** Ang Commission on Elections (COMELEC) ay na"&amp;"glalabas ng mga alituntunin para sa paghahain ng campaign finance statements, na tumutukoy sa impormasyong dapat ibunyag ng mga kandidato. Tinitiyak nito ang transparency at binibigyang-daan ang publiko na suriin ang mga aktibidad sa pananalapi ng mga pam"&amp;"pulitikang entidad.
2. **Pagsubaybay at Pagpapatupad:**
- **COMELEC Oversight:** Ang COMELEC ay sinusubaybayan at pinangangasiwaan ang pagsunod ng mga kandidato at partidong pampulitika sa mga kinakailangan sa pagsisiwalat ng pananalapi ng kampanya. Sa pa"&amp;"mamagitan ng regular na pagsuri sa mga isinumiteng ulat, matutukoy ng COMELEC ang anumang mga iregularidad o pagkakaiba na maaaring magpahiwatig ng hindi isiniwalat o ilegal na mga kontribusyon.
- **Mga Parusa para sa Hindi Pagsunod:** Ang kabiguang sumun"&amp;"od sa mga kinakailangan sa pagsisiwalat ng pananalapi ng kampanya ay maaaring magresulta sa mga parusa, multa, o diskwalipikasyon sa paghawak ng pampublikong tungkulin. Ang banta ng mga kahihinatnan na ito ay nagsisilbing isang hadlang laban sa pagsali sa"&amp;" mga ilegal o hindi isiniwalat na mga aktibidad sa pananalapi.
3. **Pag-iwas sa Mga Labag sa Batas na Kontribusyon:**
- **Pagbabawal sa Ilang Mga Kontribusyon:** Ang mga batas ng Pilipinas, gaya ng Omnibus Election Code, ay nagbabawal sa ilang partikular "&amp;"na kontribusyon, kabilang ang mga mula sa ibang bansa at mga entity ng gobyerno. Ang mga kinakailangan sa pagsisiwalat ng pananalapi ng kampanya ay tumutulong na matukoy at maiwasan ang mga naturang labag sa batas na kontribusyon sa pamamagitan ng pag-aat"&amp;"as ng detalyadong pag-uulat at pag-verify.
- **Source of Funds Verification:** Ang pagsisiwalat ng mga source ng campaign funds ay nagbibigay-daan sa mga awtoridad na i-verify ang legalidad ng mga kontribusyon. Kung pinaghihinalaan ang hindi isiniwalat o "&amp;"iligal na mga kontribusyon, maaaring mag-imbestiga ang mga awtoridad at gumawa ng naaangkop na legal na aksyon.
4. **Pampublikong Kamalayan at Pagsusuri:**
- **Pag-access sa Impormasyon:** Sa pamamagitan ng paggawa ng mga ulat sa pananalapi ng kampanya na"&amp;" magagamit sa publiko, maaaring suriin ng mga mamamayan, media, at mga organisasyong tagapagbantay ang mga aktibidad sa pananalapi ng mga kandidato at partidong pampulitika. Ang pampublikong kamalayan na ito ay nagsisilbing isang hadlang sa mga tiwaling g"&amp;"awi at nagtataguyod ng mas matalinong mga botante.
- **Media Oversight:** Ang mga media outlet ay madalas na gumaganap ng papel sa pag-uulat sa mga pagsisiwalat sa pananalapi ng kampanya, na nagbibigay-pansin sa anumang mga pagkakaiba o potensyal na mga p"&amp;"aglabag. Ang karagdagang layer ng pagsisiyasat ay nakakatulong sa pag-iwas sa mga iligal na kontribusyon at katiwalian.
Sa buod, ang mga kinakailangan sa pagsisiwalat ng pananalapi ng kampanya sa Pilipinas ay nagsisilbing isang multifaceted na tool upang "&amp;"maiwasan ang hindi isiniwalat o iligal na mga kontribusyon na maaaring humantong sa pampulitikang katiwalian. Sa pamamagitan ng pagpapatibay ng transparency, pagpapagana ng pagsubaybay at pagpapatupad, at pagtataguyod ng kamalayan ng publiko, ang mga kina"&amp;"kailangang ito ay nakakatulong sa integridad ng proseso ng elektoral.")</f>
        <v>Ang mga kinakailangan sa pagsisiwalat ng pananalapi ng kampanya sa Pilipinas ay may mahalagang papel sa pagtataguyod ng transparency, pananagutan, at pagpigil sa hindi isiniwalat o iligal na mga kontribusyon na maaaring humantong sa pampulitikang katiwalian. Ang mga pangunahing mekanismo kung saan nakakatulong ang mga kinakailangang ito na maiwasan ang mga naturang isyu ay nakabalangkas sa ibaba, batay sa mga batas, regulasyon, at konstitusyon ng Pilipinas:
1. **Transparency at Pananagutan:**
- **Republic Act No. 7166 (Synchronized National and Local Elections Law):** Ang batas na ito ay nag-uutos sa mga kandidato, partidong pampulitika, at party-list na grupo na magsumite ng buo, totoo, at naka-itemize na pahayag ng kanilang mga kontribusyon at paggasta sa panahon ng kampanya panahon. Kabilang dito ang mga detalye ng mga donor at ang mga halagang naiambag.
- **COMELEC Resolution No. 10429 (Guidelines for the Filing of Campaign Finance Statements and Reports):** Ang Commission on Elections (COMELEC) ay naglalabas ng mga alituntunin para sa paghahain ng campaign finance statements, na tumutukoy sa impormasyong dapat ibunyag ng mga kandidato. Tinitiyak nito ang transparency at binibigyang-daan ang publiko na suriin ang mga aktibidad sa pananalapi ng mga pampulitikang entidad.
2. **Pagsubaybay at Pagpapatupad:**
- **COMELEC Oversight:** Ang COMELEC ay sinusubaybayan at pinangangasiwaan ang pagsunod ng mga kandidato at partidong pampulitika sa mga kinakailangan sa pagsisiwalat ng pananalapi ng kampanya. Sa pamamagitan ng regular na pagsuri sa mga isinumiteng ulat, matutukoy ng COMELEC ang anumang mga iregularidad o pagkakaiba na maaaring magpahiwatig ng hindi isiniwalat o ilegal na mga kontribusyon.
- **Mga Parusa para sa Hindi Pagsunod:** Ang kabiguang sumunod sa mga kinakailangan sa pagsisiwalat ng pananalapi ng kampanya ay maaaring magresulta sa mga parusa, multa, o diskwalipikasyon sa paghawak ng pampublikong tungkulin. Ang banta ng mga kahihinatnan na ito ay nagsisilbing isang hadlang laban sa pagsali sa mga ilegal o hindi isiniwalat na mga aktibidad sa pananalapi.
3. **Pag-iwas sa Mga Labag sa Batas na Kontribusyon:**
- **Pagbabawal sa Ilang Mga Kontribusyon:** Ang mga batas ng Pilipinas, gaya ng Omnibus Election Code, ay nagbabawal sa ilang partikular na kontribusyon, kabilang ang mga mula sa ibang bansa at mga entity ng gobyerno. Ang mga kinakailangan sa pagsisiwalat ng pananalapi ng kampanya ay tumutulong na matukoy at maiwasan ang mga naturang labag sa batas na kontribusyon sa pamamagitan ng pag-aatas ng detalyadong pag-uulat at pag-verify.
- **Source of Funds Verification:** Ang pagsisiwalat ng mga source ng campaign funds ay nagbibigay-daan sa mga awtoridad na i-verify ang legalidad ng mga kontribusyon. Kung pinaghihinalaan ang hindi isiniwalat o iligal na mga kontribusyon, maaaring mag-imbestiga ang mga awtoridad at gumawa ng naaangkop na legal na aksyon.
4. **Pampublikong Kamalayan at Pagsusuri:**
- **Pag-access sa Impormasyon:** Sa pamamagitan ng paggawa ng mga ulat sa pananalapi ng kampanya na magagamit sa publiko, maaaring suriin ng mga mamamayan, media, at mga organisasyong tagapagbantay ang mga aktibidad sa pananalapi ng mga kandidato at partidong pampulitika. Ang pampublikong kamalayan na ito ay nagsisilbing isang hadlang sa mga tiwaling gawi at nagtataguyod ng mas matalinong mga botante.
- **Media Oversight:** Ang mga media outlet ay madalas na gumaganap ng papel sa pag-uulat sa mga pagsisiwalat sa pananalapi ng kampanya, na nagbibigay-pansin sa anumang mga pagkakaiba o potensyal na mga paglabag. Ang karagdagang layer ng pagsisiyasat ay nakakatulong sa pag-iwas sa mga iligal na kontribusyon at katiwalian.
Sa buod, ang mga kinakailangan sa pagsisiwalat ng pananalapi ng kampanya sa Pilipinas ay nagsisilbing isang multifaceted na tool upang maiwasan ang hindi isiniwalat o iligal na mga kontribusyon na maaaring humantong sa pampulitikang katiwalian. Sa pamamagitan ng pagpapatibay ng transparency, pagpapagana ng pagsubaybay at pagpapatupad, at pagtataguyod ng kamalayan ng publiko, ang mga kinakailangang ito ay nakakatulong sa integridad ng proseso ng elektoral.</v>
      </c>
      <c r="F1192" s="2">
        <f t="shared" si="1"/>
        <v>0</v>
      </c>
      <c r="G1192" s="2"/>
      <c r="H1192" s="2"/>
      <c r="I1192" s="2"/>
      <c r="J1192" s="2"/>
      <c r="K1192" s="2"/>
      <c r="L1192" s="2"/>
      <c r="M1192" s="2"/>
      <c r="N1192" s="2"/>
      <c r="O1192" s="2"/>
      <c r="P1192" s="2"/>
      <c r="Q1192" s="2"/>
      <c r="R1192" s="2"/>
      <c r="S1192" s="2"/>
      <c r="T1192" s="2"/>
      <c r="U1192" s="2"/>
      <c r="V1192" s="2"/>
      <c r="W1192" s="2"/>
      <c r="X1192" s="2"/>
      <c r="Y1192" s="2"/>
      <c r="Z1192" s="2"/>
      <c r="AA1192" s="2"/>
    </row>
    <row r="1193">
      <c r="A1193" s="1" t="s">
        <v>3356</v>
      </c>
      <c r="B1193" s="1" t="s">
        <v>3551</v>
      </c>
      <c r="C1193" s="1" t="s">
        <v>3552</v>
      </c>
      <c r="D1193" s="2" t="str">
        <f>IFERROR(__xludf.DUMMYFUNCTION("GOOGLETRANSLATE(B1193, ""en"", ""TL"")"),"Maaari bang magsampa ng kaso ang mga indibidwal laban sa mga opisyal ng gobyerno na nagsasagawa ng nepotismo o cronyism upang makinabang ang kanilang sarili o ang kanilang mga kasama?")</f>
        <v>Maaari bang magsampa ng kaso ang mga indibidwal laban sa mga opisyal ng gobyerno na nagsasagawa ng nepotismo o cronyism upang makinabang ang kanilang sarili o ang kanilang mga kasama?</v>
      </c>
      <c r="E1193" s="2" t="str">
        <f>IFERROR(__xludf.DUMMYFUNCTION("GOOGLETRANSLATE(C1193, ""en"", ""TL"")"),"Ang sagot sa kung ang mga indibidwal ay maaaring magdemanda sa mga opisyal ng gobyerno para sa nepotismo o cronyism ay nakasalalay sa ilang mga kadahilanan:
* **Mga detalye ng kaso:** Kailangang may ebidensya ng pinsalang dulot ng mga aksyon ng opisyal. P"&amp;"ara sa nepotismo o cronyism lamang, nang walang nagreresultang pinsala, maaaring mahirap ang isang demanda. * **Mga batas at regulasyon:** Maraming mga bansa at lokalidad ang may mga kodigo sa etika o mga batas laban sa katiwalian na nagbabawal sa mga opi"&amp;"syal ng gobyerno na magbigay ng katangi-tanging pagtrato sa mga kamag-anak o malapit na kasama. Ang isang demanda ay maaaring batay sa isang paglabag sa mga code na ito.
* **Naninindigan para magdemanda:** Kailangang ipakita ng indibidwal na nagdemanda na"&amp;" personal silang sinaktan ng mga aksyon ng opisyal. Halimbawa, kung ang isang kwalipikadong kandidato ay naipasa para sa isang trabaho na pabor sa isang kamag-anak ng opisyal, maaari silang magkaroon ng mas malakas na kaso.
Narito ang ilang paraan na maaa"&amp;"ring hamunin ng mga indibidwal ang nepotismo o cronyism:
* **Paghain ng reklamo sa isang ethics commission o oversight body:** Maaaring imbestigahan ng mga katawan na ito ang mga paratang at posibleng magpataw ng mga parusa sa opisyal.
* **Naghahanap ng i"&amp;"njunctive relief:** Maaaring humingi ng utos ng hukuman upang pigilan ang opisyal na gumawa ng isang partikular na aksyon, tulad ng pagbibigay ng kontrata sa isang kaibigan.
**Sa pangkalahatan, bagama't maaaring maging mahirap ang direktang pagdemanda par"&amp;"a sa nepotismo o cronyism, may mga paraan para matugunan ng mga indibidwal ang gayong pag-uugali.** Ang pagkonsulta sa isang abogado na dalubhasa sa etika ng pamahalaan o batas na pang-administratibo ay ang pinakamahusay na hakbang ng pagkilos upang matuk"&amp;"oy ang pinakaepektibo paraan upang magpatuloy sa isang tiyak na sitwasyon.")</f>
        <v>Ang sagot sa kung ang mga indibidwal ay maaaring magdemanda sa mga opisyal ng gobyerno para sa nepotismo o cronyism ay nakasalalay sa ilang mga kadahilanan:
* **Mga detalye ng kaso:** Kailangang may ebidensya ng pinsalang dulot ng mga aksyon ng opisyal. Para sa nepotismo o cronyism lamang, nang walang nagreresultang pinsala, maaaring mahirap ang isang demanda. * **Mga batas at regulasyon:** Maraming mga bansa at lokalidad ang may mga kodigo sa etika o mga batas laban sa katiwalian na nagbabawal sa mga opisyal ng gobyerno na magbigay ng katangi-tanging pagtrato sa mga kamag-anak o malapit na kasama. Ang isang demanda ay maaaring batay sa isang paglabag sa mga code na ito.
* **Naninindigan para magdemanda:** Kailangang ipakita ng indibidwal na nagdemanda na personal silang sinaktan ng mga aksyon ng opisyal. Halimbawa, kung ang isang kwalipikadong kandidato ay naipasa para sa isang trabaho na pabor sa isang kamag-anak ng opisyal, maaari silang magkaroon ng mas malakas na kaso.
Narito ang ilang paraan na maaaring hamunin ng mga indibidwal ang nepotismo o cronyism:
* **Paghain ng reklamo sa isang ethics commission o oversight body:** Maaaring imbestigahan ng mga katawan na ito ang mga paratang at posibleng magpataw ng mga parusa sa opisyal.
* **Naghahanap ng injunctive relief:** Maaaring humingi ng utos ng hukuman upang pigilan ang opisyal na gumawa ng isang partikular na aksyon, tulad ng pagbibigay ng kontrata sa isang kaibigan.
**Sa pangkalahatan, bagama't maaaring maging mahirap ang direktang pagdemanda para sa nepotismo o cronyism, may mga paraan para matugunan ng mga indibidwal ang gayong pag-uugali.** Ang pagkonsulta sa isang abogado na dalubhasa sa etika ng pamahalaan o batas na pang-administratibo ay ang pinakamahusay na hakbang ng pagkilos upang matukoy ang pinakaepektibo paraan upang magpatuloy sa isang tiyak na sitwasyon.</v>
      </c>
      <c r="F1193" s="2">
        <f t="shared" si="1"/>
        <v>0</v>
      </c>
      <c r="G1193" s="2"/>
      <c r="H1193" s="2"/>
      <c r="I1193" s="2"/>
      <c r="J1193" s="2"/>
      <c r="K1193" s="2"/>
      <c r="L1193" s="2"/>
      <c r="M1193" s="2"/>
      <c r="N1193" s="2"/>
      <c r="O1193" s="2"/>
      <c r="P1193" s="2"/>
      <c r="Q1193" s="2"/>
      <c r="R1193" s="2"/>
      <c r="S1193" s="2"/>
      <c r="T1193" s="2"/>
      <c r="U1193" s="2"/>
      <c r="V1193" s="2"/>
      <c r="W1193" s="2"/>
      <c r="X1193" s="2"/>
      <c r="Y1193" s="2"/>
      <c r="Z1193" s="2"/>
      <c r="AA1193" s="2"/>
    </row>
    <row r="1194">
      <c r="A1194" s="1" t="s">
        <v>3356</v>
      </c>
      <c r="B1194" s="1" t="s">
        <v>3553</v>
      </c>
      <c r="C1194" s="1" t="s">
        <v>3554</v>
      </c>
      <c r="D1194" s="2" t="str">
        <f>IFERROR(__xludf.DUMMYFUNCTION("GOOGLETRANSLATE(B1194, ""en"", ""TL"")"),"Paano nakakatulong ang mga independent ethics commissions o oversight body sa pagtukoy at pagpigil sa pampulitikang katiwalian?")</f>
        <v>Paano nakakatulong ang mga independent ethics commissions o oversight body sa pagtukoy at pagpigil sa pampulitikang katiwalian?</v>
      </c>
      <c r="E1194" s="2" t="str">
        <f>IFERROR(__xludf.DUMMYFUNCTION("GOOGLETRANSLATE(C1194, ""en"", ""TL"")"),"Ang mga independiyenteng komisyon sa etika o mga katawan ng pangangasiwa ay kumikilos bilang mga asong tagapagbantay, na gumaganap ng mahalagang papel sa pagpapanatili ng etikal na pag-uugali at pagpigil sa pampulitikang katiwalian. Ganito:
* **Pagpapatup"&amp;"ad:** Ipinapatupad nila ang mga etika at batas. Maaaring kabilang dito ang pagsisiyasat sa mga reklamo, pagpapalabas ng mga desisyon sa mga paglabag, at pagrekomenda o kahit na pagpataw ng mga parusa. * **Transparency:** Ang mga komisyon ay nagtataguyod n"&amp;"g transparency sa pamamagitan ng pag-aatas ng mga pagsisiwalat sa pananalapi mula sa mga pampublikong opisyal, pagsasapubliko ng mga code sa etika, at pagdaraos ng bukas na mga pagdinig sa mga reklamo. Ang pagsisiyasat ng publiko na ito ay humahadlang sa "&amp;"potensyal na maling gawain.
* **Edukasyon at Patnubay:** Maaari silang magbigay ng mga mapagkukunang pang-edukasyon at patnubay sa mga opisyal ng gobyerno tungkol sa etikal na pag-uugali, na tumutulong sa kanila na maiwasan ang mga salungatan ng interes a"&amp;"t iba pang mga pagkalugi sa etika.
* **Pampublikong Tiwala:** Sa pamamagitan ng pagpapakita ng isang pangako sa pananagutan, ang mga komisyon sa etika ay makakatulong sa muling pagbuo ng tiwala ng publiko sa pamahalaan. Kapag nakita ng mga mamamayan na an"&amp;"g maling gawain ay iniimbestigahan at tinutugunan, mas malamang na maniwala sila na ang kanilang gobyerno ay kumikilos para sa kanilang pinakamahusay na interes.
* **Pag-iwas:** Ang mismong pagkakaroon ng isang independiyenteng katawan ng pangangasiwa ay "&amp;"hindi hinihikayat ang hindi etikal na pag-uugali. Ang mga opisyal ay mas malamang na masangkot sa mga katiwalian kung alam nilang maaari silang mahuli at managot.
Narito ang ilang limitasyon na dapat isaalang-alang:
* **Ang pagiging epektibo ay nakasalala"&amp;"y sa disenyo at mga mapagkukunan.** Ang isang komisyon ay nangangailangan ng sapat na kapangyarihan at mga mapagkukunan upang magsagawa ng masusing pagsisiyasat at ipatupad ang mga desisyon nito.
* **Impluwensiya sa politika.** Ang proseso ng appointment "&amp;"at komposisyon ng komisyon ay maaaring maging mahalaga. Kung ito ay madaling kapitan sa pampulitikang impluwensya, ang pagiging epektibo nito ay maaaring hadlangan.
Sa pangkalahatan, ang mga independiyenteng komisyon sa etika ay isang mahalagang bahagi ng"&amp;" isang komprehensibong diskarte upang labanan ang pampulitikang katiwalian. Makakatulong sila upang hadlangan ang maling gawain, isulong ang transparency, at muling itayo ang tiwala ng publiko sa gobyerno.")</f>
        <v>Ang mga independiyenteng komisyon sa etika o mga katawan ng pangangasiwa ay kumikilos bilang mga asong tagapagbantay, na gumaganap ng mahalagang papel sa pagpapanatili ng etikal na pag-uugali at pagpigil sa pampulitikang katiwalian. Ganito:
* **Pagpapatupad:** Ipinapatupad nila ang mga etika at batas. Maaaring kabilang dito ang pagsisiyasat sa mga reklamo, pagpapalabas ng mga desisyon sa mga paglabag, at pagrekomenda o kahit na pagpataw ng mga parusa. * **Transparency:** Ang mga komisyon ay nagtataguyod ng transparency sa pamamagitan ng pag-aatas ng mga pagsisiwalat sa pananalapi mula sa mga pampublikong opisyal, pagsasapubliko ng mga code sa etika, at pagdaraos ng bukas na mga pagdinig sa mga reklamo. Ang pagsisiyasat ng publiko na ito ay humahadlang sa potensyal na maling gawain.
* **Edukasyon at Patnubay:** Maaari silang magbigay ng mga mapagkukunang pang-edukasyon at patnubay sa mga opisyal ng gobyerno tungkol sa etikal na pag-uugali, na tumutulong sa kanila na maiwasan ang mga salungatan ng interes at iba pang mga pagkalugi sa etika.
* **Pampublikong Tiwala:** Sa pamamagitan ng pagpapakita ng isang pangako sa pananagutan, ang mga komisyon sa etika ay makakatulong sa muling pagbuo ng tiwala ng publiko sa pamahalaan. Kapag nakita ng mga mamamayan na ang maling gawain ay iniimbestigahan at tinutugunan, mas malamang na maniwala sila na ang kanilang gobyerno ay kumikilos para sa kanilang pinakamahusay na interes.
* **Pag-iwas:** Ang mismong pagkakaroon ng isang independiyenteng katawan ng pangangasiwa ay hindi hinihikayat ang hindi etikal na pag-uugali. Ang mga opisyal ay mas malamang na masangkot sa mga katiwalian kung alam nilang maaari silang mahuli at managot.
Narito ang ilang limitasyon na dapat isaalang-alang:
* **Ang pagiging epektibo ay nakasalalay sa disenyo at mga mapagkukunan.** Ang isang komisyon ay nangangailangan ng sapat na kapangyarihan at mga mapagkukunan upang magsagawa ng masusing pagsisiyasat at ipatupad ang mga desisyon nito.
* **Impluwensiya sa politika.** Ang proseso ng appointment at komposisyon ng komisyon ay maaaring maging mahalaga. Kung ito ay madaling kapitan sa pampulitikang impluwensya, ang pagiging epektibo nito ay maaaring hadlangan.
Sa pangkalahatan, ang mga independiyenteng komisyon sa etika ay isang mahalagang bahagi ng isang komprehensibong diskarte upang labanan ang pampulitikang katiwalian. Makakatulong sila upang hadlangan ang maling gawain, isulong ang transparency, at muling itayo ang tiwala ng publiko sa gobyerno.</v>
      </c>
      <c r="F1194" s="2">
        <f t="shared" si="1"/>
        <v>0</v>
      </c>
      <c r="G1194" s="2"/>
      <c r="H1194" s="2"/>
      <c r="I1194" s="2"/>
      <c r="J1194" s="2"/>
      <c r="K1194" s="2"/>
      <c r="L1194" s="2"/>
      <c r="M1194" s="2"/>
      <c r="N1194" s="2"/>
      <c r="O1194" s="2"/>
      <c r="P1194" s="2"/>
      <c r="Q1194" s="2"/>
      <c r="R1194" s="2"/>
      <c r="S1194" s="2"/>
      <c r="T1194" s="2"/>
      <c r="U1194" s="2"/>
      <c r="V1194" s="2"/>
      <c r="W1194" s="2"/>
      <c r="X1194" s="2"/>
      <c r="Y1194" s="2"/>
      <c r="Z1194" s="2"/>
      <c r="AA1194" s="2"/>
    </row>
    <row r="1195">
      <c r="A1195" s="1" t="s">
        <v>3356</v>
      </c>
      <c r="B1195" s="1" t="s">
        <v>3555</v>
      </c>
      <c r="C1195" s="1" t="s">
        <v>3556</v>
      </c>
      <c r="D1195" s="2" t="str">
        <f>IFERROR(__xludf.DUMMYFUNCTION("GOOGLETRANSLATE(B1195, ""en"", ""TL"")"),"Maaari bang gumawa ng legal na aksyon ang mga indibidwal laban sa mga partidong pampulitika o mga kandidato para sa pagsasagawa ng panunupil sa mga botante o pandaraya sa halalan bilang isang uri ng pampulitikang katiwalian?")</f>
        <v>Maaari bang gumawa ng legal na aksyon ang mga indibidwal laban sa mga partidong pampulitika o mga kandidato para sa pagsasagawa ng panunupil sa mga botante o pandaraya sa halalan bilang isang uri ng pampulitikang katiwalian?</v>
      </c>
      <c r="E1195" s="2" t="str">
        <f>IFERROR(__xludf.DUMMYFUNCTION("GOOGLETRANSLATE(C1195, ""en"", ""TL"")"),"Sa aking huling pag-update ng kaalaman noong Enero 2022, ang impormasyong ibinigay ay batay sa mga batas, regulasyon, at konstitusyong magagamit hanggang sa petsang iyon. Pakitandaan na maaaring may mga pagbabago o pag-unlad mula noon, kaya palaging magan"&amp;"dang ideya na kumonsulta sa isang legal na propesyonal o tingnan ang pinakabagong mga legal na mapagkukunan para sa pinakabagong impormasyon.
Sa Pilipinas, ang mga indibidwal ay maaaring gumawa ng legal na aksyon laban sa mga partidong pampulitika o mg"&amp;"a kandidato para sa pagsasagawa ng pagsugpo sa botante o pandaraya sa halalan. Iba't ibang batas at regulasyon ang namamahala sa mga halalan sa Pilipinas, at ilang mga legal na mekanismo ang inilalagay upang tugunan ang mga paglabag sa elektoral at katiwa"&amp;"lian sa pulitika. Ang ilang nauugnay na legal na probisyon ay kinabibilangan ng:
1. **Republic Act No. 9369 (Automated Elections Law):** Ang batas na ito ay nagtatadhana para sa paggamit ng isang awtomatikong sistema ng halalan at binabalangkas ang mga"&amp;" pagkakasala na may kaugnayan sa automated na halalan, kabilang ang pakikialam sa automated na sistema ng halalan, hindi awtorisadong pag-access, at mga kaugnay na paglabag .
2. **Republic Act No. 10175 (Cybercrime Prevention Act of 2012):** Kasama sa "&amp;"batas na ito ang mga probisyon na may kaugnayan sa mga pagkakasala na ginawa gamit ang mga teknolohiya ng impormasyon at komunikasyon, na maaaring naaangkop sa mga krimeng nauugnay sa halalan na ginawa sa pamamagitan ng digital na paraan.
3. **Republic"&amp;" Act No. 8436 (The Automated Election System Law):** Ang batas na ito ay nagtatatag ng legal na balangkas para sa automated na sistema ng halalan sa Pilipinas.
4. **Omnibus Election Code (Batas Pambansa Blg. 881):** Sinasaklaw ng batas na ito ang iba't"&amp;" ibang mga paglabag sa halalan, kabilang ang pagbili ng boto, pamimilit, at iba pang mapanlinlang na aktibidad sa panahon ng halalan.
5. **Anti-Graft and Corrupt Practices Act (Republic Act No. 3019):** Ang batas na ito ay tumutugon sa katiwalian sa go"&amp;"byerno at maaaring gamitin kung may ebidensya ng katiwalian na may kaugnayan sa mga proseso ng elektoral.
Ang mga indibidwal na naniniwalang nasaksihan nila ang pagsupil sa mga botante o pandaraya sa halalan ay maaaring magsampa ng mga reklamo sa mga k"&amp;"augnay na awtoridad gaya ng Commission on Elections (COMELEC) o Department of Justice (DOJ). Maipapayo para sa mga indibidwal na kumonsulta sa mga legal na propesyonal upang matukoy ang mga partikular na legal na paraan at pamamaraan para sa pagtugis ng m"&amp;"ga naturang kaso.
Tandaan na ang mga legal na proseso at probisyon ay maaaring umunlad mula noong huli kong pag-update, kaya mahalagang i-verify ang pinakabagong impormasyon mula sa mga makapangyarihang legal na mapagkukunan.")</f>
        <v>Sa aking huling pag-update ng kaalaman noong Enero 2022, ang impormasyong ibinigay ay batay sa mga batas, regulasyon, at konstitusyong magagamit hanggang sa petsang iyon. Pakitandaan na maaaring may mga pagbabago o pag-unlad mula noon, kaya palaging magandang ideya na kumonsulta sa isang legal na propesyonal o tingnan ang pinakabagong mga legal na mapagkukunan para sa pinakabagong impormasyon.
Sa Pilipinas, ang mga indibidwal ay maaaring gumawa ng legal na aksyon laban sa mga partidong pampulitika o mga kandidato para sa pagsasagawa ng pagsugpo sa botante o pandaraya sa halalan. Iba't ibang batas at regulasyon ang namamahala sa mga halalan sa Pilipinas, at ilang mga legal na mekanismo ang inilalagay upang tugunan ang mga paglabag sa elektoral at katiwalian sa pulitika. Ang ilang nauugnay na legal na probisyon ay kinabibilangan ng:
1. **Republic Act No. 9369 (Automated Elections Law):** Ang batas na ito ay nagtatadhana para sa paggamit ng isang awtomatikong sistema ng halalan at binabalangkas ang mga pagkakasala na may kaugnayan sa automated na halalan, kabilang ang pakikialam sa automated na sistema ng halalan, hindi awtorisadong pag-access, at mga kaugnay na paglabag .
2. **Republic Act No. 10175 (Cybercrime Prevention Act of 2012):** Kasama sa batas na ito ang mga probisyon na may kaugnayan sa mga pagkakasala na ginawa gamit ang mga teknolohiya ng impormasyon at komunikasyon, na maaaring naaangkop sa mga krimeng nauugnay sa halalan na ginawa sa pamamagitan ng digital na paraan.
3. **Republic Act No. 8436 (The Automated Election System Law):** Ang batas na ito ay nagtatatag ng legal na balangkas para sa automated na sistema ng halalan sa Pilipinas.
4. **Omnibus Election Code (Batas Pambansa Blg. 881):** Sinasaklaw ng batas na ito ang iba't ibang mga paglabag sa halalan, kabilang ang pagbili ng boto, pamimilit, at iba pang mapanlinlang na aktibidad sa panahon ng halalan.
5. **Anti-Graft and Corrupt Practices Act (Republic Act No. 3019):** Ang batas na ito ay tumutugon sa katiwalian sa gobyerno at maaaring gamitin kung may ebidensya ng katiwalian na may kaugnayan sa mga proseso ng elektoral.
Ang mga indibidwal na naniniwalang nasaksihan nila ang pagsupil sa mga botante o pandaraya sa halalan ay maaaring magsampa ng mga reklamo sa mga kaugnay na awtoridad gaya ng Commission on Elections (COMELEC) o Department of Justice (DOJ). Maipapayo para sa mga indibidwal na kumonsulta sa mga legal na propesyonal upang matukoy ang mga partikular na legal na paraan at pamamaraan para sa pagtugis ng mga naturang kaso.
Tandaan na ang mga legal na proseso at probisyon ay maaaring umunlad mula noong huli kong pag-update, kaya mahalagang i-verify ang pinakabagong impormasyon mula sa mga makapangyarihang legal na mapagkukunan.</v>
      </c>
      <c r="F1195" s="2">
        <f t="shared" si="1"/>
        <v>0</v>
      </c>
      <c r="G1195" s="2"/>
      <c r="H1195" s="2"/>
      <c r="I1195" s="2"/>
      <c r="J1195" s="2"/>
      <c r="K1195" s="2"/>
      <c r="L1195" s="2"/>
      <c r="M1195" s="2"/>
      <c r="N1195" s="2"/>
      <c r="O1195" s="2"/>
      <c r="P1195" s="2"/>
      <c r="Q1195" s="2"/>
      <c r="R1195" s="2"/>
      <c r="S1195" s="2"/>
      <c r="T1195" s="2"/>
      <c r="U1195" s="2"/>
      <c r="V1195" s="2"/>
      <c r="W1195" s="2"/>
      <c r="X1195" s="2"/>
      <c r="Y1195" s="2"/>
      <c r="Z1195" s="2"/>
      <c r="AA1195" s="2"/>
    </row>
    <row r="1196">
      <c r="A1196" s="1" t="s">
        <v>3356</v>
      </c>
      <c r="B1196" s="1" t="s">
        <v>3557</v>
      </c>
      <c r="C1196" s="1" t="s">
        <v>3558</v>
      </c>
      <c r="D1196" s="2" t="str">
        <f>IFERROR(__xludf.DUMMYFUNCTION("GOOGLETRANSLATE(B1196, ""en"", ""TL"")"),"Anong mga legal na paraan ang magagamit para sa mga indibidwal upang matugunan ang katiwalian sa loob ng mga ahensya o departamento ng gobyerno?")</f>
        <v>Anong mga legal na paraan ang magagamit para sa mga indibidwal upang matugunan ang katiwalian sa loob ng mga ahensya o departamento ng gobyerno?</v>
      </c>
      <c r="E1196" s="2" t="str">
        <f>IFERROR(__xludf.DUMMYFUNCTION("GOOGLETRANSLATE(C1196, ""en"", ""TL"")"),"Habang ang ligal na balangkas ng Pilipinas ay nakatuon sa pag-uusig sa mga tiwaling opisyal at pagpigil sa katiwalian, ang mga direktang legal na paraan para sa mga indibidwal na sinaktan ng katiwalian sa pamahalaan ay limitado. Narito ang isang breakdown"&amp;" ng mga opsyon na magagamit:
**Mga Limitadong Direktang Paghahabla:**
* Karaniwang inuuna ng batas ng Pilipinas ang mga kriminal at administratibong parusa para sa mga katiwalian kaysa sa mga pribadong demanda ng mga indibidwal (RA 3019, RA 6770). Nangang"&amp;"ahulugan ito na ang gobyerno, hindi kinakailangan ang indibidwal, ay umuusig sa pagkakasala.
* **Exception (limitadong applicability):** Maaaring magkaroon ng posibilidad para sa isang demanda kung ang mga tiwaling gawi ay direktang nagdulot sa indibidwal"&amp;" **pinsala sa kabila ng ** pinsala sa pangkalahatang publiko. Gayunpaman, ang legal na precedent para sa mga naturang kaso ay hindi maayos na naitatag, na ginagawa itong isang mapaghamong landas.
**Mga Alternatibong Avenue para sa mga Indibidwal:**
* **Pa"&amp;"g-uulat ng Korapsyon:** Ang mga indibidwal ay maaari pa ring gumanap ng isang mahalagang papel sa pamamagitan ng pag-uulat ng pinaghihinalaang katiwalian sa mga may-katuturang awtoridad. Nagbibigay ito ng kapangyarihan sa kanila na magsimula ng mga pagsis"&amp;"iyasat na maaaring humantong sa pag-uusig at sa huli ay mabawasan ang pinsala sa hinaharap. Maaaring gawin ang pag-uulat sa:
* Ang Opisina ng Ombudsman (RA 6770)
* Ang ahensyang namamahala sa partikular na kontrata o serbisyo ng gobyerno
* **Citizen Suits"&amp;" (Limited Applications):** Sa mga partikular na sitwasyon, pinapayagan ng mga batas tulad ng Philippine Environmental Impact Statement System (RA 1658) ang mga demanda laban sa mga ahensya ng gobyerno para sa mga paglabag sa kapaligiran. Ito ay maaaring *"&amp;"*maaaring malapat kung ang katiwalian ay humantong sa partikular na pinsala sa kapaligiran na pumipinsala sa isang indibidwal na higit pa sa pangkalahatang pinsala sa publiko.
* **Paghahangad ng Kabayaran sa Pamamagitan ng Mga Ahensya ng Gobyerno:** Sa il"&amp;"ang pagkakataon, ang mga ahensya ng gobyerno ay maaaring may mga mekanismo para sa pagbabayad ng mga indibidwal na nagdusa ng mga pagkalugi dahil sa mga pagkakamali sa pangangasiwa o kapabayaan (hindi kinakailangang katiwalian). Mahalagang magtanong sa na"&amp;"uugnay na ahensya tungkol sa mga ganitong posibilidad.
**Tumuon sa Pananagutan ng Pamahalaan:**
Ang ligal na balangkas ng Pilipinas ay nagbibigay-diin sa pagpapanagot sa mga opisyal ng pamahalaan sa pagpigil at pagtugon sa katiwalian. Maaari itong makinab"&amp;"ang sa mga indibidwal nang hindi direkta sa pamamagitan ng:
* **Mga Parusa para sa Mga Tiwaling Opisyal:** Ang mga batas tulad ng RA 3019 (Anti-Graft and Corrupt Practices Act) ay nagpaparusa sa mga opisyal ng gobyerno na nagsasagawa ng mga katiwalian. Pi"&amp;"nipigilan nito ang katiwalian at pinipigilan ang pinsala sa hinaharap sa mga indibidwal.
* **Mga Pinahusay na Serbisyong Pampubliko:** Sa pamamagitan ng paglaban sa katiwalian, ang pamahalaan ay maaaring maglaan ng mga mapagkukunan nang mas mahusay, na po"&amp;"tensyal na humahantong sa mas mahusay na kalidad ng mga pampublikong serbisyo tulad ng pangangalagang pangkalusugan, edukasyon, at imprastraktura. Ito ay maaaring hindi direktang makinabang sa mga indibidwal sa pamamagitan ng pagpapabuti ng kanilang pangk"&amp;"alahatang kagalingan.
**Konklusyon:**
Bagama't maaaring mahirap ang direktang pagdemanda para sa mga pinsala mula sa katiwalian sa gobyerno, ang mga indibidwal ay maaari pa ring gumanap ng papel sa paghahanap ng mga remedyo sa pamamagitan ng pag-uulat ng "&amp;"katiwalian at pananagutan sa pamahalaan. Nakatuon ang legal na balangkas sa pagpigil sa mga tiwaling gawi at pagpapabuti ng pamamahala, na maaaring hindi direktang makikinabang sa mga Pilipino sa pamamagitan ng pagtiyak ng isang mas mahusay at etikal na p"&amp;"amahalaan.")</f>
        <v>Habang ang ligal na balangkas ng Pilipinas ay nakatuon sa pag-uusig sa mga tiwaling opisyal at pagpigil sa katiwalian, ang mga direktang legal na paraan para sa mga indibidwal na sinaktan ng katiwalian sa pamahalaan ay limitado. Narito ang isang breakdown ng mga opsyon na magagamit:
**Mga Limitadong Direktang Paghahabla:**
* Karaniwang inuuna ng batas ng Pilipinas ang mga kriminal at administratibong parusa para sa mga katiwalian kaysa sa mga pribadong demanda ng mga indibidwal (RA 3019, RA 6770). Nangangahulugan ito na ang gobyerno, hindi kinakailangan ang indibidwal, ay umuusig sa pagkakasala.
* **Exception (limitadong applicability):** Maaaring magkaroon ng posibilidad para sa isang demanda kung ang mga tiwaling gawi ay direktang nagdulot sa indibidwal **pinsala sa kabila ng ** pinsala sa pangkalahatang publiko. Gayunpaman, ang legal na precedent para sa mga naturang kaso ay hindi maayos na naitatag, na ginagawa itong isang mapaghamong landas.
**Mga Alternatibong Avenue para sa mga Indibidwal:**
* **Pag-uulat ng Korapsyon:** Ang mga indibidwal ay maaari pa ring gumanap ng isang mahalagang papel sa pamamagitan ng pag-uulat ng pinaghihinalaang katiwalian sa mga may-katuturang awtoridad. Nagbibigay ito ng kapangyarihan sa kanila na magsimula ng mga pagsisiyasat na maaaring humantong sa pag-uusig at sa huli ay mabawasan ang pinsala sa hinaharap. Maaaring gawin ang pag-uulat sa:
* Ang Opisina ng Ombudsman (RA 6770)
* Ang ahensyang namamahala sa partikular na kontrata o serbisyo ng gobyerno
* **Citizen Suits (Limited Applications):** Sa mga partikular na sitwasyon, pinapayagan ng mga batas tulad ng Philippine Environmental Impact Statement System (RA 1658) ang mga demanda laban sa mga ahensya ng gobyerno para sa mga paglabag sa kapaligiran. Ito ay maaaring **maaaring malapat kung ang katiwalian ay humantong sa partikular na pinsala sa kapaligiran na pumipinsala sa isang indibidwal na higit pa sa pangkalahatang pinsala sa publiko.
* **Paghahangad ng Kabayaran sa Pamamagitan ng Mga Ahensya ng Gobyerno:** Sa ilang pagkakataon, ang mga ahensya ng gobyerno ay maaaring may mga mekanismo para sa pagbabayad ng mga indibidwal na nagdusa ng mga pagkalugi dahil sa mga pagkakamali sa pangangasiwa o kapabayaan (hindi kinakailangang katiwalian). Mahalagang magtanong sa nauugnay na ahensya tungkol sa mga ganitong posibilidad.
**Tumuon sa Pananagutan ng Pamahalaan:**
Ang ligal na balangkas ng Pilipinas ay nagbibigay-diin sa pagpapanagot sa mga opisyal ng pamahalaan sa pagpigil at pagtugon sa katiwalian. Maaari itong makinabang sa mga indibidwal nang hindi direkta sa pamamagitan ng:
* **Mga Parusa para sa Mga Tiwaling Opisyal:** Ang mga batas tulad ng RA 3019 (Anti-Graft and Corrupt Practices Act) ay nagpaparusa sa mga opisyal ng gobyerno na nagsasagawa ng mga katiwalian. Pinipigilan nito ang katiwalian at pinipigilan ang pinsala sa hinaharap sa mga indibidwal.
* **Mga Pinahusay na Serbisyong Pampubliko:** Sa pamamagitan ng paglaban sa katiwalian, ang pamahalaan ay maaaring maglaan ng mga mapagkukunan nang mas mahusay, na potensyal na humahantong sa mas mahusay na kalidad ng mga pampublikong serbisyo tulad ng pangangalagang pangkalusugan, edukasyon, at imprastraktura. Ito ay maaaring hindi direktang makinabang sa mga indibidwal sa pamamagitan ng pagpapabuti ng kanilang pangkalahatang kagalingan.
**Konklusyon:**
Bagama't maaaring mahirap ang direktang pagdemanda para sa mga pinsala mula sa katiwalian sa gobyerno, ang mga indibidwal ay maaari pa ring gumanap ng papel sa paghahanap ng mga remedyo sa pamamagitan ng pag-uulat ng katiwalian at pananagutan sa pamahalaan. Nakatuon ang legal na balangkas sa pagpigil sa mga tiwaling gawi at pagpapabuti ng pamamahala, na maaaring hindi direktang makikinabang sa mga Pilipino sa pamamagitan ng pagtiyak ng isang mas mahusay at etikal na pamahalaan.</v>
      </c>
      <c r="F1196" s="2">
        <f t="shared" si="1"/>
        <v>0</v>
      </c>
      <c r="G1196" s="2"/>
      <c r="H1196" s="2"/>
      <c r="I1196" s="2"/>
      <c r="J1196" s="2"/>
      <c r="K1196" s="2"/>
      <c r="L1196" s="2"/>
      <c r="M1196" s="2"/>
      <c r="N1196" s="2"/>
      <c r="O1196" s="2"/>
      <c r="P1196" s="2"/>
      <c r="Q1196" s="2"/>
      <c r="R1196" s="2"/>
      <c r="S1196" s="2"/>
      <c r="T1196" s="2"/>
      <c r="U1196" s="2"/>
      <c r="V1196" s="2"/>
      <c r="W1196" s="2"/>
      <c r="X1196" s="2"/>
      <c r="Y1196" s="2"/>
      <c r="Z1196" s="2"/>
      <c r="AA1196" s="2"/>
    </row>
    <row r="1197">
      <c r="A1197" s="1" t="s">
        <v>3356</v>
      </c>
      <c r="B1197" s="1" t="s">
        <v>3559</v>
      </c>
      <c r="C1197" s="1" t="s">
        <v>3560</v>
      </c>
      <c r="D1197" s="2" t="str">
        <f>IFERROR(__xludf.DUMMYFUNCTION("GOOGLETRANSLATE(B1197, ""en"", ""TL"")"),"Maaari mo bang ipaliwanag ang mga partikular na batas o regulasyon na namamahala sa katiwalian sa loob ng mga institusyon ng gobyerno?")</f>
        <v>Maaari mo bang ipaliwanag ang mga partikular na batas o regulasyon na namamahala sa katiwalian sa loob ng mga institusyon ng gobyerno?</v>
      </c>
      <c r="E1197" s="2" t="str">
        <f>IFERROR(__xludf.DUMMYFUNCTION("GOOGLETRANSLATE(C1197, ""en"", ""TL"")"),"Ang Pilipinas ay may balangkas ng mga batas at regulasyon na naglalayong pigilan at usigin ang katiwalian sa loob ng mga institusyon ng gobyerno. Narito ang isang breakdown ng mga pangunahing:
**Pangunahing Batas Laban sa Korupsyon:**
* **Republic Act No."&amp;" 3019 (Anti-Graft and Corrupt Practices Act):** Ito ang pundasyong batas na tumutukoy at nagpaparusa sa iba't ibang katiwalian ng mga opisyal at empleyado ng gobyerno. Sinasaklaw nito ang mga gawain tulad ng:
* Direkta o hindi direktang panunuhol
* Paghin"&amp;"gi o pagtanggap ng mga regalo kaugnay ng mga opisyal na tungkulin
* Nagdudulot ng hindi nararapat na pinsala sa sinumang partido sa pamamagitan ng maliwanag na pagtatangi o masamang pananampalataya
* Nepotismo sa serbisyo publiko (paghirang ng mga hindi k"&amp;"walipikadong kamag-anak)
* Labag sa batas na pagkuha ng kayamanan
**Ibang Kaugnay na Batas:**
* **Republic Act No. 6713 (Code of Conduct and Ethical Standards for Public Officials and Employees):** Ang batas na ito ay nagtatatag ng mga etikal na pamantaya"&amp;"n para sa mga opisyal ng gobyerno, kabilang ang:
* Pagbabawal sa mga salungatan ng interes (mga interes sa pananalapi o negosyo na sumasalungat sa mga opisyal na tungkulin)
* Pagbubunyag ng mga interes sa pananalapi
* Pagbabawal sa paggawa sa labas ng tra"&amp;"baho na sumasalungat sa mga opisyal na tungkulin
* **Republic Act No. 6770 (Ombudsman Act of 1988):** Ang batas na ito ay nagbibigay ng kapangyarihan sa Opisina ng Ombudsman na imbestigahan at usigin ang mga reklamo laban sa mga opisyal ng gobyerno para s"&amp;"a mga paglabag tulad ng katiwalian.
* **Binagong Kodigo Penal (Artikulo 210-214):** Tinutukoy at pinaparusahan ng code na ito ang panunuhol at mga kaugnay na pagkakasala.
**Mga Karagdagang Regulasyon:**
* **Mga Panuntunan ng Komisyon sa Serbisyo Sibil:** "&amp;"Ang mga tuntuning ito na inilabas ng Komisyon ng Serbisyo Sibil ay nagbibigay ng mas tiyak na mga alituntunin sa etikal na pag-uugali at mga parusa para sa mga paglabag ng mga empleyado ng gobyerno.
* **Mga Kautusang Ehekutibo:** Maaaring maglabas ang Pan"&amp;"gulo ng mga executive order na may kaugnayan sa pagkuha ng gobyerno, transparency, at mga hakbang laban sa katiwalian.
**Paano Ang Mga Batas na Ito ay Magkasamang Gumagana:**
Ang mga batas at regulasyong ito ay nagtutulungan upang lumikha ng isang kompreh"&amp;"ensibong balangkas para sa paglaban sa katiwalian. Narito ang isang pinasimpleng halimbawa:
* Tinutukoy ng RA 3019 ang panunuhol bilang isang tiwaling gawain.
* Ipinagbabawal ng RA 6713 ang mga opisyal ng gobyerno na humingi ng suhol, na nasa ilalim ng ka"&amp;"hulugan sa RA 3019.
* Ang isang opisyal na nanghihingi ng suhol ay maaaring imbestigahan ng Ombudsman (RA 6770) at posibleng maharap sa kasong kriminal sa ilalim ng RA 3019 o ng Revised Penal Code.
**Kahalagahan ng Pagpapatupad:**
Habang umiiral ang legal"&amp;" na balangkas, ang epektibong pagpapatupad ay mahalaga sa pagpigil at pag-uusig sa katiwalian. Kabilang dito ang:
* **Malakas at independiyenteng mga ahensya ng pagsisiyasat:** Ang Ombudsman, NBI, at PNP ay nangangailangan ng sapat na mapagkukunan at awto"&amp;"nomiya upang magsagawa ng masusing pagsisiyasat.
* **Pananagutan para sa mga tiwaling opisyal:** Kailangang tiyakin ng legal na sistema na ang mga napatunayang nagkasala sa katiwalian ay nahaharap sa naaangkop na mga kahihinatnan.
* **Pampublikong kamalay"&amp;"an at pakikilahok:** Kailangang malaman ng mga mamamayan ang kanilang mga karapatan at hikayatin na mag-ulat ng pinaghihinalaang katiwalian.
**Konklusyon:**
May legal na balangkas ang Pilipinas para tugunan ang katiwalian sa gobyerno. Sa pamamagitan ng pa"&amp;"gpapalakas ng mga mekanismo ng pagpapatupad at pagtataguyod ng pakikilahok ng publiko, ang Pilipinas ay maaaring magtrabaho tungo sa isang mas transparent at may pananagutan na pamahalaan.")</f>
        <v>Ang Pilipinas ay may balangkas ng mga batas at regulasyon na naglalayong pigilan at usigin ang katiwalian sa loob ng mga institusyon ng gobyerno. Narito ang isang breakdown ng mga pangunahing:
**Pangunahing Batas Laban sa Korupsyon:**
* **Republic Act No. 3019 (Anti-Graft and Corrupt Practices Act):** Ito ang pundasyong batas na tumutukoy at nagpaparusa sa iba't ibang katiwalian ng mga opisyal at empleyado ng gobyerno. Sinasaklaw nito ang mga gawain tulad ng:
* Direkta o hindi direktang panunuhol
* Paghingi o pagtanggap ng mga regalo kaugnay ng mga opisyal na tungkulin
* Nagdudulot ng hindi nararapat na pinsala sa sinumang partido sa pamamagitan ng maliwanag na pagtatangi o masamang pananampalataya
* Nepotismo sa serbisyo publiko (paghirang ng mga hindi kwalipikadong kamag-anak)
* Labag sa batas na pagkuha ng kayamanan
**Ibang Kaugnay na Batas:**
* **Republic Act No. 6713 (Code of Conduct and Ethical Standards for Public Officials and Employees):** Ang batas na ito ay nagtatatag ng mga etikal na pamantayan para sa mga opisyal ng gobyerno, kabilang ang:
* Pagbabawal sa mga salungatan ng interes (mga interes sa pananalapi o negosyo na sumasalungat sa mga opisyal na tungkulin)
* Pagbubunyag ng mga interes sa pananalapi
* Pagbabawal sa paggawa sa labas ng trabaho na sumasalungat sa mga opisyal na tungkulin
* **Republic Act No. 6770 (Ombudsman Act of 1988):** Ang batas na ito ay nagbibigay ng kapangyarihan sa Opisina ng Ombudsman na imbestigahan at usigin ang mga reklamo laban sa mga opisyal ng gobyerno para sa mga paglabag tulad ng katiwalian.
* **Binagong Kodigo Penal (Artikulo 210-214):** Tinutukoy at pinaparusahan ng code na ito ang panunuhol at mga kaugnay na pagkakasala.
**Mga Karagdagang Regulasyon:**
* **Mga Panuntunan ng Komisyon sa Serbisyo Sibil:** Ang mga tuntuning ito na inilabas ng Komisyon ng Serbisyo Sibil ay nagbibigay ng mas tiyak na mga alituntunin sa etikal na pag-uugali at mga parusa para sa mga paglabag ng mga empleyado ng gobyerno.
* **Mga Kautusang Ehekutibo:** Maaaring maglabas ang Pangulo ng mga executive order na may kaugnayan sa pagkuha ng gobyerno, transparency, at mga hakbang laban sa katiwalian.
**Paano Ang Mga Batas na Ito ay Magkasamang Gumagana:**
Ang mga batas at regulasyong ito ay nagtutulungan upang lumikha ng isang komprehensibong balangkas para sa paglaban sa katiwalian. Narito ang isang pinasimpleng halimbawa:
* Tinutukoy ng RA 3019 ang panunuhol bilang isang tiwaling gawain.
* Ipinagbabawal ng RA 6713 ang mga opisyal ng gobyerno na humingi ng suhol, na nasa ilalim ng kahulugan sa RA 3019.
* Ang isang opisyal na nanghihingi ng suhol ay maaaring imbestigahan ng Ombudsman (RA 6770) at posibleng maharap sa kasong kriminal sa ilalim ng RA 3019 o ng Revised Penal Code.
**Kahalagahan ng Pagpapatupad:**
Habang umiiral ang legal na balangkas, ang epektibong pagpapatupad ay mahalaga sa pagpigil at pag-uusig sa katiwalian. Kabilang dito ang:
* **Malakas at independiyenteng mga ahensya ng pagsisiyasat:** Ang Ombudsman, NBI, at PNP ay nangangailangan ng sapat na mapagkukunan at awtonomiya upang magsagawa ng masusing pagsisiyasat.
* **Pananagutan para sa mga tiwaling opisyal:** Kailangang tiyakin ng legal na sistema na ang mga napatunayang nagkasala sa katiwalian ay nahaharap sa naaangkop na mga kahihinatnan.
* **Pampublikong kamalayan at pakikilahok:** Kailangang malaman ng mga mamamayan ang kanilang mga karapatan at hikayatin na mag-ulat ng pinaghihinalaang katiwalian.
**Konklusyon:**
May legal na balangkas ang Pilipinas para tugunan ang katiwalian sa gobyerno. Sa pamamagitan ng pagpapalakas ng mga mekanismo ng pagpapatupad at pagtataguyod ng pakikilahok ng publiko, ang Pilipinas ay maaaring magtrabaho tungo sa isang mas transparent at may pananagutan na pamahalaan.</v>
      </c>
      <c r="F1197" s="2">
        <f t="shared" si="1"/>
        <v>0</v>
      </c>
      <c r="G1197" s="2"/>
      <c r="H1197" s="2"/>
      <c r="I1197" s="2"/>
      <c r="J1197" s="2"/>
      <c r="K1197" s="2"/>
      <c r="L1197" s="2"/>
      <c r="M1197" s="2"/>
      <c r="N1197" s="2"/>
      <c r="O1197" s="2"/>
      <c r="P1197" s="2"/>
      <c r="Q1197" s="2"/>
      <c r="R1197" s="2"/>
      <c r="S1197" s="2"/>
      <c r="T1197" s="2"/>
      <c r="U1197" s="2"/>
      <c r="V1197" s="2"/>
      <c r="W1197" s="2"/>
      <c r="X1197" s="2"/>
      <c r="Y1197" s="2"/>
      <c r="Z1197" s="2"/>
      <c r="AA1197" s="2"/>
    </row>
    <row r="1198">
      <c r="A1198" s="1" t="s">
        <v>3356</v>
      </c>
      <c r="B1198" s="1" t="s">
        <v>3561</v>
      </c>
      <c r="C1198" s="1" t="s">
        <v>3562</v>
      </c>
      <c r="D1198" s="2" t="str">
        <f>IFERROR(__xludf.DUMMYFUNCTION("GOOGLETRANSLATE(B1198, ""en"", ""TL"")"),"Paano maiuulat ng mga indibidwal ang mga pinaghihinalaang kaso ng katiwalian sa loob ng gobyerno sa mga naaangkop na awtoridad?")</f>
        <v>Paano maiuulat ng mga indibidwal ang mga pinaghihinalaang kaso ng katiwalian sa loob ng gobyerno sa mga naaangkop na awtoridad?</v>
      </c>
      <c r="E1198" s="2" t="str">
        <f>IFERROR(__xludf.DUMMYFUNCTION("GOOGLETRANSLATE(C1198, ""en"", ""TL"")"),"Nag-aalok ang Pilipinas ng ilang paraan para iulat ng mga indibidwal ang pinaghihinalaang katiwalian sa loob ng gobyerno. Narito ang isang pangkalahatang-ideya ng mga pangunahing channel:
**Pag-uulat sa Investigative Agencies:**
* **Office of the Ombudsma"&amp;"n (RA 6770):** Ito ay isang pangunahing ahensya para sa pagsisiyasat ng mga reklamo laban sa mga opisyal ng gobyerno, kabilang ang katiwalian (Website: [https://en.wikipedia.org/wiki/Ombudsman_of_the_Philippines](https:/ /en.wikipedia.org/wiki/Ombudsman_o"&amp;"f_the_Philippines)). Ang mga reklamo ay maaaring ihain online, sa pamamagitan ng koreo, o sa personal.
* **Philippine National Police (PNP):** Ang PNP ay mayroong Anti-Corruption and Fraud Control Group na nag-iimbestiga sa katiwalian sa loob ng puwersa n"&amp;"g pulisya at iba pang ahensya ng gobyerno. Maaaring magsampa ng mga reklamo sa anumang istasyon ng pulisya o sa pamamagitan ng kanilang online na sistema ng pag-uulat (kung mayroon).
* **National Bureau of Investigation (NBI):** Maaaring imbestigahan ng N"&amp;"BI ang mga kaso ng katiwalian kapag na-endorso o nagreklamo. Ang mga reklamo ay maaaring ihain nang personal sa kanilang punong-tanggapan o rehiyonal na tanggapan.
**Pag-uulat sa Pamamagitan ng mga Website ng Pamahalaan:**
* Maraming ahensya ng gobyerno a"&amp;"ng nagtatag ng mga online na mekanismo para sa pag-uulat ng katiwalian sa loob ng sarili nilang mga departamento. Maghanap ng mga itinalagang seksyon sa mga website ng ahensya na may label na ""Mag-ulat ng Korapsyon"" o mga katulad na parirala.
**Pag-uula"&amp;"t sa Pamamagitan ng Public Service Hotlines:**
* **8888 Citizens' Complaint Center:** Ang hotline na ito, na itinatag ng Office of the President, ay nagbibigay-daan sa pag-uulat ng katiwalian at iba pang alalahanin sa serbisyo ng gobyerno (i-dial ang 8888"&amp;" mula sa Globe o Smart phones).
**Mga Pagsasaalang-alang Kapag Nag-uulat:**
* **Magtipon ng Ebidensya (kung maaari):** Bagama't hindi palaging sapilitan, ang pagbibigay ng mga dokumento, testimonya ng saksi, o mga pag-record ay maaaring magpatibay sa iyon"&amp;"g ulat.
* **Maging Tukoy:** Malinaw na sabihin ang di-umano'y tiwaling pagkilos, sino ang sangkot, at kailan at saan ito nangyari. Kung mas maraming detalye ang ibibigay mo, mas madali itong mag-imbestiga.
* **Panatilihin ang Kumpidensyal:** Maaaring may "&amp;"karapatan ka sa pagiging kumpidensyal depende sa channel ng pag-uulat. * **Follow Up:** Maipapayo na magtanong tungkol sa katayuan ng iyong ulat pagkatapos ng makatwirang takdang panahon.
**Mga Karagdagang Mapagkukunan:**
* **LawPhil Project:** Ang websit"&amp;"e na ito ay nagbibigay ng libreng access sa mga batas ng Pilipinas, kabilang ang mga nauugnay sa anti-corruption (Website: [https://lawphil.net/](https://lawphil.net/)).
* **Transparency International - Philippines:** Ang organisasyong ito ay nagbibigay n"&amp;"g mga mapagkukunan at impormasyon sa paglaban sa katiwalian sa Pilipinas (Website: [https://www.transparency.org/en/countries/philippines](https://www.transparency .org/en/countries/philippines)).
**Tandaan:** Ang pag-uulat ng katiwalian ay nangangailanga"&amp;"n ng lakas ng loob, ngunit ito ay isang mahalagang hakbang sa pagtataguyod ng transparency at pananagutan sa Pilipinas. Sa pamamagitan ng paggamit ng mga channel sa pag-uulat na ito, ang mga indibidwal ay maaaring gumanap ng mahalagang papel sa paglaban s"&amp;"a katiwalian.")</f>
        <v>Nag-aalok ang Pilipinas ng ilang paraan para iulat ng mga indibidwal ang pinaghihinalaang katiwalian sa loob ng gobyerno. Narito ang isang pangkalahatang-ideya ng mga pangunahing channel:
**Pag-uulat sa Investigative Agencies:**
* **Office of the Ombudsman (RA 6770):** Ito ay isang pangunahing ahensya para sa pagsisiyasat ng mga reklamo laban sa mga opisyal ng gobyerno, kabilang ang katiwalian (Website: [https://en.wikipedia.org/wiki/Ombudsman_of_the_Philippines](https:/ /en.wikipedia.org/wiki/Ombudsman_of_the_Philippines)). Ang mga reklamo ay maaaring ihain online, sa pamamagitan ng koreo, o sa personal.
* **Philippine National Police (PNP):** Ang PNP ay mayroong Anti-Corruption and Fraud Control Group na nag-iimbestiga sa katiwalian sa loob ng puwersa ng pulisya at iba pang ahensya ng gobyerno. Maaaring magsampa ng mga reklamo sa anumang istasyon ng pulisya o sa pamamagitan ng kanilang online na sistema ng pag-uulat (kung mayroon).
* **National Bureau of Investigation (NBI):** Maaaring imbestigahan ng NBI ang mga kaso ng katiwalian kapag na-endorso o nagreklamo. Ang mga reklamo ay maaaring ihain nang personal sa kanilang punong-tanggapan o rehiyonal na tanggapan.
**Pag-uulat sa Pamamagitan ng mga Website ng Pamahalaan:**
* Maraming ahensya ng gobyerno ang nagtatag ng mga online na mekanismo para sa pag-uulat ng katiwalian sa loob ng sarili nilang mga departamento. Maghanap ng mga itinalagang seksyon sa mga website ng ahensya na may label na "Mag-ulat ng Korapsyon" o mga katulad na parirala.
**Pag-uulat sa Pamamagitan ng Public Service Hotlines:**
* **8888 Citizens' Complaint Center:** Ang hotline na ito, na itinatag ng Office of the President, ay nagbibigay-daan sa pag-uulat ng katiwalian at iba pang alalahanin sa serbisyo ng gobyerno (i-dial ang 8888 mula sa Globe o Smart phones).
**Mga Pagsasaalang-alang Kapag Nag-uulat:**
* **Magtipon ng Ebidensya (kung maaari):** Bagama't hindi palaging sapilitan, ang pagbibigay ng mga dokumento, testimonya ng saksi, o mga pag-record ay maaaring magpatibay sa iyong ulat.
* **Maging Tukoy:** Malinaw na sabihin ang di-umano'y tiwaling pagkilos, sino ang sangkot, at kailan at saan ito nangyari. Kung mas maraming detalye ang ibibigay mo, mas madali itong mag-imbestiga.
* **Panatilihin ang Kumpidensyal:** Maaaring may karapatan ka sa pagiging kumpidensyal depende sa channel ng pag-uulat. * **Follow Up:** Maipapayo na magtanong tungkol sa katayuan ng iyong ulat pagkatapos ng makatwirang takdang panahon.
**Mga Karagdagang Mapagkukunan:**
* **LawPhil Project:** Ang website na ito ay nagbibigay ng libreng access sa mga batas ng Pilipinas, kabilang ang mga nauugnay sa anti-corruption (Website: [https://lawphil.net/](https://lawphil.net/)).
* **Transparency International - Philippines:** Ang organisasyong ito ay nagbibigay ng mga mapagkukunan at impormasyon sa paglaban sa katiwalian sa Pilipinas (Website: [https://www.transparency.org/en/countries/philippines](https://www.transparency .org/en/countries/philippines)).
**Tandaan:** Ang pag-uulat ng katiwalian ay nangangailangan ng lakas ng loob, ngunit ito ay isang mahalagang hakbang sa pagtataguyod ng transparency at pananagutan sa Pilipinas. Sa pamamagitan ng paggamit ng mga channel sa pag-uulat na ito, ang mga indibidwal ay maaaring gumanap ng mahalagang papel sa paglaban sa katiwalian.</v>
      </c>
      <c r="F1198" s="2">
        <f t="shared" si="1"/>
        <v>0</v>
      </c>
      <c r="G1198" s="2"/>
      <c r="H1198" s="2"/>
      <c r="I1198" s="2"/>
      <c r="J1198" s="2"/>
      <c r="K1198" s="2"/>
      <c r="L1198" s="2"/>
      <c r="M1198" s="2"/>
      <c r="N1198" s="2"/>
      <c r="O1198" s="2"/>
      <c r="P1198" s="2"/>
      <c r="Q1198" s="2"/>
      <c r="R1198" s="2"/>
      <c r="S1198" s="2"/>
      <c r="T1198" s="2"/>
      <c r="U1198" s="2"/>
      <c r="V1198" s="2"/>
      <c r="W1198" s="2"/>
      <c r="X1198" s="2"/>
      <c r="Y1198" s="2"/>
      <c r="Z1198" s="2"/>
      <c r="AA1198" s="2"/>
    </row>
    <row r="1199">
      <c r="A1199" s="1" t="s">
        <v>3356</v>
      </c>
      <c r="B1199" s="1" t="s">
        <v>3563</v>
      </c>
      <c r="C1199" s="1" t="s">
        <v>3564</v>
      </c>
      <c r="D1199" s="2" t="str">
        <f>IFERROR(__xludf.DUMMYFUNCTION("GOOGLETRANSLATE(B1199, ""en"", ""TL"")"),"Anong mga proteksyon ang inilalagay para sa mga whistleblower na naglalantad ng katiwalian sa loob ng gobyerno?")</f>
        <v>Anong mga proteksyon ang inilalagay para sa mga whistleblower na naglalantad ng katiwalian sa loob ng gobyerno?</v>
      </c>
      <c r="E1199" s="2" t="str">
        <f>IFERROR(__xludf.DUMMYFUNCTION("GOOGLETRANSLATE(C1199, ""en"", ""TL"")"),"Nagbigay ka ng mahusay na paliwanag sa mga proteksyong ipinapatupad para sa mga whistleblower sa Pilipinas! Narito ang isang breakdown para sa kalinawan:
**Mga Legal na Pag-iingat para sa mga Whistleblower:**
* **Republic Act No. 6713 (Code of Conduct and"&amp;" Ethical Standards for Public Officials and Employees):**
* Nag-uutos sa mga ahensya ng gobyerno na magtatag ng mga mekanismo para sa pagtanggap at pagsisiyasat ng mga ulat ng maling gawain, kabilang ang katiwalian (Seksyon 37). Tinitiyak nito na ang mga "&amp;"whistleblower ay may itinalagang channel para iulat ang kanilang mga alalahanin.
* **Republic Act No. 6770 (Ombudsman Act of 1988):**
* Nagbibigay ng proteksyon mula sa paghihiganti para sa mga whistleblower na nag-uulat ng katiwalian o iba pang maling ga"&amp;"wain na kinasasangkutan ng mga opisyal ng gobyerno (Seksyon 16). Pinipigilan nito ang mga ahensya ng gobyerno na gumawa ng mga aksyong parusa laban sa mga whistleblower dahil sa pagsasalita.
* **Republic Act No. 6981 (Proteksyon ng Saksi, Seguridad at Pro"&amp;"gramang Benepisyo):**
* Nag-aalok ng mas malawak na programa para sa pagprotekta sa mga testigo, na maaaring magsama ng mga whistleblower sa mga kaso ng katiwalian. Ang program na ito ay nagbibigay ng:
* Mga hakbang sa seguridad (hal., relokasyon)
* Mga b"&amp;"enepisyo sa pananalapi
* Potensyal na tulong na legal (depende sa ahensya)
* Bagama't hindi eksklusibo sa mga whistleblower, nag-aalok ito ng komprehensibong suporta para sa mga nakikipagtulungan sa mga pagsisiyasat at pag-uusig.
**Mga Karagdagang Proteks"&amp;"yon:**
* **Pagiging Kumpidensyal:** Ang mga whistleblower ay maaaring may karapatan sa pagiging kumpidensyal, ibig sabihin, ang kanilang mga pagkakakilanlan ay maaaring itago sa publiko at sa mga akusado (napapailalim sa mga limitasyon batay sa partikular"&amp;" na batas o mga pamamaraan ng ahensya). Binabawasan nito ang takot na makilala sa publiko.
**Mga Hamon at Pagsasaalang-alang:**
* **Takot sa Paghihiganti:** Sa kabila ng mga legal na proteksyon, maaaring matakot pa rin ang mga whistleblower tungkol sa pag"&amp;"hihiganti. Ang pagpapaunlad ng kultura ng transparency at malakas na mga mekanismo ng pagpapatupad ay maaaring makatulong na matugunan ang alalahaning ito.
* **Mahabang Imbestigasyon:** Ang mga pagsisiyasat sa katiwalian ay maaaring magtagal, na lumilikha"&amp;" ng pagkabalisa at kawalan ng katiyakan para sa mga whistleblower. Ang pag-streamline ng mga pamamaraan sa pagsisiyasat ay maaaring makatulong sa pagpapagaan ng isyung ito.
**Kahalagahan ng Proteksyon sa Whistleblower:**
* **Epektibong Pagpigil:** Ang mal"&amp;"akas na proteksyon ng whistleblower ay hinihikayat ang mga indibidwal na lumapit at mag-ulat ng katiwalian, na napakahalaga para sa pag-alis ng takip at pag-uusig sa mga pagkakasala na ito.
* **Nagsusulong ng Pananagutan:** Sa pamamagitan ng pagprotekta s"&amp;"a mga whistleblower, ipinapakita ng gobyerno ang pangako nito sa transparency at pinapanagot ang mga opisyal. Pinalalakas nito ang mga demokratikong institusyon at tiwala ng publiko.
**Konklusyon:**
Kinikilala ng Pilipinas ang kahalagahan ng mga whistlebl"&amp;"ower sa paglaban sa katiwalian. Habang umiiral ang mga hamon, ang legal na balangkas ay nag-aalok ng mga proteksyon upang bigyang kapangyarihan ang mga indibidwal na mag-ulat ng maling gawain nang walang takot sa paghihiganti. Ito ay mahalaga para sa isan"&amp;"g mas transparent at accountable na pamahalaan.")</f>
        <v>Nagbigay ka ng mahusay na paliwanag sa mga proteksyong ipinapatupad para sa mga whistleblower sa Pilipinas! Narito ang isang breakdown para sa kalinawan:
**Mga Legal na Pag-iingat para sa mga Whistleblower:**
* **Republic Act No. 6713 (Code of Conduct and Ethical Standards for Public Officials and Employees):**
* Nag-uutos sa mga ahensya ng gobyerno na magtatag ng mga mekanismo para sa pagtanggap at pagsisiyasat ng mga ulat ng maling gawain, kabilang ang katiwalian (Seksyon 37). Tinitiyak nito na ang mga whistleblower ay may itinalagang channel para iulat ang kanilang mga alalahanin.
* **Republic Act No. 6770 (Ombudsman Act of 1988):**
* Nagbibigay ng proteksyon mula sa paghihiganti para sa mga whistleblower na nag-uulat ng katiwalian o iba pang maling gawain na kinasasangkutan ng mga opisyal ng gobyerno (Seksyon 16). Pinipigilan nito ang mga ahensya ng gobyerno na gumawa ng mga aksyong parusa laban sa mga whistleblower dahil sa pagsasalita.
* **Republic Act No. 6981 (Proteksyon ng Saksi, Seguridad at Programang Benepisyo):**
* Nag-aalok ng mas malawak na programa para sa pagprotekta sa mga testigo, na maaaring magsama ng mga whistleblower sa mga kaso ng katiwalian. Ang program na ito ay nagbibigay ng:
* Mga hakbang sa seguridad (hal., relokasyon)
* Mga benepisyo sa pananalapi
* Potensyal na tulong na legal (depende sa ahensya)
* Bagama't hindi eksklusibo sa mga whistleblower, nag-aalok ito ng komprehensibong suporta para sa mga nakikipagtulungan sa mga pagsisiyasat at pag-uusig.
**Mga Karagdagang Proteksyon:**
* **Pagiging Kumpidensyal:** Ang mga whistleblower ay maaaring may karapatan sa pagiging kumpidensyal, ibig sabihin, ang kanilang mga pagkakakilanlan ay maaaring itago sa publiko at sa mga akusado (napapailalim sa mga limitasyon batay sa partikular na batas o mga pamamaraan ng ahensya). Binabawasan nito ang takot na makilala sa publiko.
**Mga Hamon at Pagsasaalang-alang:**
* **Takot sa Paghihiganti:** Sa kabila ng mga legal na proteksyon, maaaring matakot pa rin ang mga whistleblower tungkol sa paghihiganti. Ang pagpapaunlad ng kultura ng transparency at malakas na mga mekanismo ng pagpapatupad ay maaaring makatulong na matugunan ang alalahaning ito.
* **Mahabang Imbestigasyon:** Ang mga pagsisiyasat sa katiwalian ay maaaring magtagal, na lumilikha ng pagkabalisa at kawalan ng katiyakan para sa mga whistleblower. Ang pag-streamline ng mga pamamaraan sa pagsisiyasat ay maaaring makatulong sa pagpapagaan ng isyung ito.
**Kahalagahan ng Proteksyon sa Whistleblower:**
* **Epektibong Pagpigil:** Ang malakas na proteksyon ng whistleblower ay hinihikayat ang mga indibidwal na lumapit at mag-ulat ng katiwalian, na napakahalaga para sa pag-alis ng takip at pag-uusig sa mga pagkakasala na ito.
* **Nagsusulong ng Pananagutan:** Sa pamamagitan ng pagprotekta sa mga whistleblower, ipinapakita ng gobyerno ang pangako nito sa transparency at pinapanagot ang mga opisyal. Pinalalakas nito ang mga demokratikong institusyon at tiwala ng publiko.
**Konklusyon:**
Kinikilala ng Pilipinas ang kahalagahan ng mga whistleblower sa paglaban sa katiwalian. Habang umiiral ang mga hamon, ang legal na balangkas ay nag-aalok ng mga proteksyon upang bigyang kapangyarihan ang mga indibidwal na mag-ulat ng maling gawain nang walang takot sa paghihiganti. Ito ay mahalaga para sa isang mas transparent at accountable na pamahalaan.</v>
      </c>
      <c r="F1199" s="2">
        <f t="shared" si="1"/>
        <v>0</v>
      </c>
      <c r="G1199" s="2"/>
      <c r="H1199" s="2"/>
      <c r="I1199" s="2"/>
      <c r="J1199" s="2"/>
      <c r="K1199" s="2"/>
      <c r="L1199" s="2"/>
      <c r="M1199" s="2"/>
      <c r="N1199" s="2"/>
      <c r="O1199" s="2"/>
      <c r="P1199" s="2"/>
      <c r="Q1199" s="2"/>
      <c r="R1199" s="2"/>
      <c r="S1199" s="2"/>
      <c r="T1199" s="2"/>
      <c r="U1199" s="2"/>
      <c r="V1199" s="2"/>
      <c r="W1199" s="2"/>
      <c r="X1199" s="2"/>
      <c r="Y1199" s="2"/>
      <c r="Z1199" s="2"/>
      <c r="AA1199" s="2"/>
    </row>
    <row r="1200">
      <c r="A1200" s="1" t="s">
        <v>3356</v>
      </c>
      <c r="B1200" s="1" t="s">
        <v>3565</v>
      </c>
      <c r="C1200" s="1" t="s">
        <v>3566</v>
      </c>
      <c r="D1200" s="2" t="str">
        <f>IFERROR(__xludf.DUMMYFUNCTION("GOOGLETRANSLATE(B1200, ""en"", ""TL"")"),"Maaari bang magsampa ng kaso ang mga indibidwal laban sa mga opisyal ng gobyerno o empleyado na inakusahan ng mga gawaing tiwali?")</f>
        <v>Maaari bang magsampa ng kaso ang mga indibidwal laban sa mga opisyal ng gobyerno o empleyado na inakusahan ng mga gawaing tiwali?</v>
      </c>
      <c r="E1200" s="2" t="str">
        <f>IFERROR(__xludf.DUMMYFUNCTION("GOOGLETRANSLATE(C1200, ""en"", ""TL"")"),"Sa Pilipinas, **limitado** ang kakayahan ng mga indibidwal na direktang magdemanda sa mga opisyal o empleyado ng gobyerno para sa katiwalian. Narito ang isang breakdown batay sa batas ng Pilipinas:
**Tumuon sa Kriminal at Administratibong Pagkilos:**
* An"&amp;"g legal na balangkas ng Pilipinas sa pangkalahatan ay inuuna ang paghahabol ng mga kriminal at administratibong parusa laban sa mga tiwaling opisyal sa halip na mga pribadong kaso ng mga indibidwal na nasaktan. Nangangahulugan ito na ang gobyerno, hindi k"&amp;"inakailangan ang indibidwal, ang umuusig sa pagkakasala (RA 3019, RA 6770).
**Limitadong Pribadong Karapatan sa Pagkilos:**
* Bagama't walang maayos na legal na landas para sa mga indibidwal na direktang magdemanda para sa mga pinsalang dulot ng katiwalia"&amp;"n, maaaring may posibilidad sa mga partikular na sitwasyon. * Kung ang mga tiwaling gawi ay nagresulta sa **direkta at partikular na pinsala** sa isang indibidwal **higit pa** sa pinsala sa pangkalahatang publiko, maaaring may mga batayan para sa isang de"&amp;"manda. Gayunpaman, ang legal na pamarisan para sa mga naturang kaso ay hindi malawak, na ginagawa itong isang mapaghamong kurso ng aksyon.
**Mga Alternatibong Avenue para sa mga Indibidwal:**
Narito ang ilang alternatibong paraan na maaaring masangkot ang"&amp;" mga indibidwal sa pagtugon sa katiwalian:
* **Pag-uulat ng Korapsyon:** Ang mga indibidwal ay maaaring gumanap ng isang mahalagang papel sa pamamagitan ng pag-uulat ng pinaghihinalaang katiwalian sa mga may-katuturang awtoridad. Nagbibigay ito ng kapangy"&amp;"arihan sa kanila na magsimula ng mga pagsisiyasat na maaaring humantong sa pag-uusig (RA 6770).
* **Citizen Suits (Limited Applications):** Sa mga partikular na kaso, pinapayagan ng mga batas tulad ng Philippine Environmental Impact Statement System (RA 1"&amp;"658) ang mga demanda laban sa mga ahensya ng gobyerno para sa mga paglabag sa kapaligiran. Posible itong mailapat kung ang katiwalian ay humantong sa partikular na pinsala sa kapaligiran na pumipinsala sa isang indibidwal na higit pa sa pangkalahatang pin"&amp;"sala sa publiko.
* **Paghahangad ng Kabayaran sa Pamamagitan ng Mga Ahensya ng Gobyerno:** Sa ilang pagkakataon, ang mga ahensya ng gobyerno ay maaaring may mga mekanismo para sa pagbabayad ng mga indibidwal na nagdusa ng mga pagkalugi dahil sa mga pagkak"&amp;"amali sa pangangasiwa o kapabayaan (hindi kinakailangang katiwalian). Mahalagang magtanong sa nauugnay na ahensya tungkol sa mga ganitong posibilidad.
**Kahalagahan ng Pananagutan ng Pamahalaan:**
Ang ligal na balangkas ng Pilipinas ay nagbibigay-diin sa "&amp;"pagpapanagot sa mga opisyal ng pamahalaan sa pagpigil at pagtugon sa katiwalian. Maaari itong makinabang sa mga indibidwal nang hindi direkta sa pamamagitan ng:
* **Mga Parusa para sa Mga Tiwaling Opisyal:** Ang mga batas tulad ng RA 3019 (Anti-Graft and "&amp;"Corrupt Practices Act) ay nagpaparusa sa mga opisyal ng gobyerno na nagsasagawa ng mga katiwalian. Pinipigilan nito ang katiwalian at pinipigilan ang pinsala sa hinaharap sa mga indibidwal.
* **Mga Pinahusay na Serbisyong Pampubliko:** Sa pamamagitan ng p"&amp;"aglaban sa katiwalian, ang pamahalaan ay maaaring maglaan ng mga mapagkukunan nang mas mahusay, na potensyal na humahantong sa mas mahusay na kalidad ng mga pampublikong serbisyo tulad ng pangangalagang pangkalusugan, edukasyon, at imprastraktura. Ito ay "&amp;"maaaring hindi direktang makinabang sa mga indibidwal sa pamamagitan ng pagpapabuti ng kanilang pangkalahatang kagalingan.
**Konklusyon:**
Bagama't maaaring mahirap ang direktang pagdemanda para sa mga pinsala mula sa katiwalian sa gobyerno, ang mga indib"&amp;"idwal ay maaari pa ring gumanap ng papel sa paghahanap ng mga remedyo sa pamamagitan ng pag-uulat ng katiwalian at pananagutan sa pamahalaan. Nakatuon ang legal na balangkas sa pagpigil sa mga tiwaling gawi at pagpapabuti ng pamamahala, na maaaring hindi "&amp;"direktang makikinabang sa mga Pilipino sa pamamagitan ng pagtiyak ng isang mas mahusay at etikal na pamahalaan.")</f>
        <v>Sa Pilipinas, **limitado** ang kakayahan ng mga indibidwal na direktang magdemanda sa mga opisyal o empleyado ng gobyerno para sa katiwalian. Narito ang isang breakdown batay sa batas ng Pilipinas:
**Tumuon sa Kriminal at Administratibong Pagkilos:**
* Ang legal na balangkas ng Pilipinas sa pangkalahatan ay inuuna ang paghahabol ng mga kriminal at administratibong parusa laban sa mga tiwaling opisyal sa halip na mga pribadong kaso ng mga indibidwal na nasaktan. Nangangahulugan ito na ang gobyerno, hindi kinakailangan ang indibidwal, ang umuusig sa pagkakasala (RA 3019, RA 6770).
**Limitadong Pribadong Karapatan sa Pagkilos:**
* Bagama't walang maayos na legal na landas para sa mga indibidwal na direktang magdemanda para sa mga pinsalang dulot ng katiwalian, maaaring may posibilidad sa mga partikular na sitwasyon. * Kung ang mga tiwaling gawi ay nagresulta sa **direkta at partikular na pinsala** sa isang indibidwal **higit pa** sa pinsala sa pangkalahatang publiko, maaaring may mga batayan para sa isang demanda. Gayunpaman, ang legal na pamarisan para sa mga naturang kaso ay hindi malawak, na ginagawa itong isang mapaghamong kurso ng aksyon.
**Mga Alternatibong Avenue para sa mga Indibidwal:**
Narito ang ilang alternatibong paraan na maaaring masangkot ang mga indibidwal sa pagtugon sa katiwalian:
* **Pag-uulat ng Korapsyon:** Ang mga indibidwal ay maaaring gumanap ng isang mahalagang papel sa pamamagitan ng pag-uulat ng pinaghihinalaang katiwalian sa mga may-katuturang awtoridad. Nagbibigay ito ng kapangyarihan sa kanila na magsimula ng mga pagsisiyasat na maaaring humantong sa pag-uusig (RA 6770).
* **Citizen Suits (Limited Applications):** Sa mga partikular na kaso, pinapayagan ng mga batas tulad ng Philippine Environmental Impact Statement System (RA 1658) ang mga demanda laban sa mga ahensya ng gobyerno para sa mga paglabag sa kapaligiran. Posible itong mailapat kung ang katiwalian ay humantong sa partikular na pinsala sa kapaligiran na pumipinsala sa isang indibidwal na higit pa sa pangkalahatang pinsala sa publiko.
* **Paghahangad ng Kabayaran sa Pamamagitan ng Mga Ahensya ng Gobyerno:** Sa ilang pagkakataon, ang mga ahensya ng gobyerno ay maaaring may mga mekanismo para sa pagbabayad ng mga indibidwal na nagdusa ng mga pagkalugi dahil sa mga pagkakamali sa pangangasiwa o kapabayaan (hindi kinakailangang katiwalian). Mahalagang magtanong sa nauugnay na ahensya tungkol sa mga ganitong posibilidad.
**Kahalagahan ng Pananagutan ng Pamahalaan:**
Ang ligal na balangkas ng Pilipinas ay nagbibigay-diin sa pagpapanagot sa mga opisyal ng pamahalaan sa pagpigil at pagtugon sa katiwalian. Maaari itong makinabang sa mga indibidwal nang hindi direkta sa pamamagitan ng:
* **Mga Parusa para sa Mga Tiwaling Opisyal:** Ang mga batas tulad ng RA 3019 (Anti-Graft and Corrupt Practices Act) ay nagpaparusa sa mga opisyal ng gobyerno na nagsasagawa ng mga katiwalian. Pinipigilan nito ang katiwalian at pinipigilan ang pinsala sa hinaharap sa mga indibidwal.
* **Mga Pinahusay na Serbisyong Pampubliko:** Sa pamamagitan ng paglaban sa katiwalian, ang pamahalaan ay maaaring maglaan ng mga mapagkukunan nang mas mahusay, na potensyal na humahantong sa mas mahusay na kalidad ng mga pampublikong serbisyo tulad ng pangangalagang pangkalusugan, edukasyon, at imprastraktura. Ito ay maaaring hindi direktang makinabang sa mga indibidwal sa pamamagitan ng pagpapabuti ng kanilang pangkalahatang kagalingan.
**Konklusyon:**
Bagama't maaaring mahirap ang direktang pagdemanda para sa mga pinsala mula sa katiwalian sa gobyerno, ang mga indibidwal ay maaari pa ring gumanap ng papel sa paghahanap ng mga remedyo sa pamamagitan ng pag-uulat ng katiwalian at pananagutan sa pamahalaan. Nakatuon ang legal na balangkas sa pagpigil sa mga tiwaling gawi at pagpapabuti ng pamamahala, na maaaring hindi direktang makikinabang sa mga Pilipino sa pamamagitan ng pagtiyak ng isang mas mahusay at etikal na pamahalaan.</v>
      </c>
      <c r="F1200" s="2">
        <f t="shared" si="1"/>
        <v>0</v>
      </c>
      <c r="G1200" s="2"/>
      <c r="H1200" s="2"/>
      <c r="I1200" s="2"/>
      <c r="J1200" s="2"/>
      <c r="K1200" s="2"/>
      <c r="L1200" s="2"/>
      <c r="M1200" s="2"/>
      <c r="N1200" s="2"/>
      <c r="O1200" s="2"/>
      <c r="P1200" s="2"/>
      <c r="Q1200" s="2"/>
      <c r="R1200" s="2"/>
      <c r="S1200" s="2"/>
      <c r="T1200" s="2"/>
      <c r="U1200" s="2"/>
      <c r="V1200" s="2"/>
      <c r="W1200" s="2"/>
      <c r="X1200" s="2"/>
      <c r="Y1200" s="2"/>
      <c r="Z1200" s="2"/>
      <c r="AA1200" s="2"/>
    </row>
    <row r="1201">
      <c r="A1201" s="1" t="s">
        <v>3356</v>
      </c>
      <c r="B1201" s="1" t="s">
        <v>3567</v>
      </c>
      <c r="C1201" s="1" t="s">
        <v>3568</v>
      </c>
      <c r="D1201" s="2" t="str">
        <f>IFERROR(__xludf.DUMMYFUNCTION("GOOGLETRANSLATE(B1201, ""en"", ""TL"")"),"Ano ang papel na ginagampanan ng mga ahensya ng pagsisiyasat at tagapagpatupad ng batas sa pag-uusig ng mga kaso ng katiwalian sa loob ng pamahalaan?")</f>
        <v>Ano ang papel na ginagampanan ng mga ahensya ng pagsisiyasat at tagapagpatupad ng batas sa pag-uusig ng mga kaso ng katiwalian sa loob ng pamahalaan?</v>
      </c>
      <c r="E1201" s="2" t="str">
        <f>IFERROR(__xludf.DUMMYFUNCTION("GOOGLETRANSLATE(C1201, ""en"", ""TL"")"),"Ang mga ahensya ng imbestigasyon at tagapagpatupad ng batas ay may mahalagang papel sa pag-uusig ng mga kaso ng katiwalian sa loob ng gobyerno ng Pilipinas. Narito ang isang breakdown ng kanilang mga function batay sa mga nauugnay na batas:
**Pag-iimbesti"&amp;"ga sa Korapsyon:**
* **Pagtitipon ng Ebidensya:** Ang mga ahensyang ito ay may pananagutan sa pangangalap ng ebidensya ng katiwalian, na maaaring kabilang ang mga testimonya ng saksi, mga rekord sa pananalapi, at elektronikong data. Mayroon silang awtorid"&amp;"ad na magsagawa ng mga panayam, paghahanap, at pag-agaw sa ilalim ng wastong mga legal na warrant.
* **Mga Kaso sa Pagbuo:** Sinusuri ng mga imbestigador ang ebidensya upang makabuo ng matitinding kaso laban sa mga pinaghihinalaang tiwaling opisyal. Tinit"&amp;"iyak nito ang mas mataas na pagkakataon ng matagumpay na pag-uusig sa korte.
* **Kolaborasyon:** Ang mga ahensya ng pagsisiyasat ay madalas na nakikipagtulungan sa isa't isa at sa mga katawan ng nangangasiwa tulad ng Office of the Ombudsman (RA 6770) upan"&amp;"g magbahagi ng impormasyon at kadalubhasaan.
**Mga Pangunahing Ahensya sa Pag-iimbestiga:**
* **Philippine National Police (PNP):** Ang PNP ay mayroong Anti-Corruption and Fraud Control Group na naatasang mag-imbestiga sa katiwalian sa loob ng puwersa ng "&amp;"pulisya at iba pang ahensya ng gobyerno.
* **National Bureau of Investigation (NBI):** Ang NBI ay isang investigative agency sa ilalim ng Department of Justice na maaaring mag-imbestiga sa mga kaso ng katiwalian sa pag-endorso o reklamo.
* **Opisina ng Om"&amp;"budsman:** Bagama't hindi mahigpit na ahensyang nagpapatupad ng batas, ang Ombudsman ay may sariling investigative body na nag-iimbestiga sa mga reklamo laban sa mga opisyal ng gobyerno para sa mga paglabag tulad ng katiwalian (RA 6770). **Pag-uusig sa mg"&amp;"a Kaso:**
* **Mga Singil sa Pagsampa:** Kapag nakakuha ang mga imbestigador ng sapat na ebidensya, naghahanda at nagsampa sila ng mga kaso laban sa mga pinaghihinalaang tiwaling opisyal sa tamang korte (hal., Sandiganbayan para sa ilang mga pagkakasala).
"&amp;"* **Supporting Prosecution:** Ang mga ahensyang nagpapatupad ng batas ay maaaring tumulong sa mga prosecutor sa pamamagitan ng pagbibigay ng ekspertong testimonya, paglalahad ng ebidensya sa korte, at paglahok sa iba pang legal na paglilitis.
**Mga Hamon "&amp;"at Pagsasaalang-alang:**
* **Pagiging kumplikado ng mga Kaso ng Korapsyon:** Ang pagsisiyasat at pag-uusig sa katiwalian ay maaaring maging kumplikado, kadalasang kinasasangkutan ng masalimuot na transaksyon sa pananalapi at makapangyarihang mga indibidwa"&amp;"l.
* **Pananakot sa Saksi:** Maaaring may panganib ng pananakot sa saksi sa mga kaso ng katiwalian. Ang pagpapatupad ng batas ay gumaganap ng isang papel sa pagprotekta sa mga saksi upang matiyak na maaari silang magbigay ng testimonya nang malaya.
* **Ka"&amp;"ilangan para sa Pampublikong Kooperasyon:** Ang mga ahensya ng imbestigasyon ay umaasa sa pampublikong kooperasyon at mga tip-off upang matuklasan ang katiwalian. Ang mga whistleblower na nag-uulat ng katiwalian ay protektado ng batas (RA 6713).
**Sa pang"&amp;"kalahatan, ang mga ahensya ng pagsisiyasat at tagapagpatupad ng batas ay mahalagang katuwang sa paglaban sa katiwalian ng gobyerno sa Pilipinas. Ang kanilang trabaho ay mahalaga sa pagpapanagot sa mga tiwaling opisyal at pagpigil sa hinaharap na katiwalia"&amp;"n.**")</f>
        <v>Ang mga ahensya ng imbestigasyon at tagapagpatupad ng batas ay may mahalagang papel sa pag-uusig ng mga kaso ng katiwalian sa loob ng gobyerno ng Pilipinas. Narito ang isang breakdown ng kanilang mga function batay sa mga nauugnay na batas:
**Pag-iimbestiga sa Korapsyon:**
* **Pagtitipon ng Ebidensya:** Ang mga ahensyang ito ay may pananagutan sa pangangalap ng ebidensya ng katiwalian, na maaaring kabilang ang mga testimonya ng saksi, mga rekord sa pananalapi, at elektronikong data. Mayroon silang awtoridad na magsagawa ng mga panayam, paghahanap, at pag-agaw sa ilalim ng wastong mga legal na warrant.
* **Mga Kaso sa Pagbuo:** Sinusuri ng mga imbestigador ang ebidensya upang makabuo ng matitinding kaso laban sa mga pinaghihinalaang tiwaling opisyal. Tinitiyak nito ang mas mataas na pagkakataon ng matagumpay na pag-uusig sa korte.
* **Kolaborasyon:** Ang mga ahensya ng pagsisiyasat ay madalas na nakikipagtulungan sa isa't isa at sa mga katawan ng nangangasiwa tulad ng Office of the Ombudsman (RA 6770) upang magbahagi ng impormasyon at kadalubhasaan.
**Mga Pangunahing Ahensya sa Pag-iimbestiga:**
* **Philippine National Police (PNP):** Ang PNP ay mayroong Anti-Corruption and Fraud Control Group na naatasang mag-imbestiga sa katiwalian sa loob ng puwersa ng pulisya at iba pang ahensya ng gobyerno.
* **National Bureau of Investigation (NBI):** Ang NBI ay isang investigative agency sa ilalim ng Department of Justice na maaaring mag-imbestiga sa mga kaso ng katiwalian sa pag-endorso o reklamo.
* **Opisina ng Ombudsman:** Bagama't hindi mahigpit na ahensyang nagpapatupad ng batas, ang Ombudsman ay may sariling investigative body na nag-iimbestiga sa mga reklamo laban sa mga opisyal ng gobyerno para sa mga paglabag tulad ng katiwalian (RA 6770). **Pag-uusig sa mga Kaso:**
* **Mga Singil sa Pagsampa:** Kapag nakakuha ang mga imbestigador ng sapat na ebidensya, naghahanda at nagsampa sila ng mga kaso laban sa mga pinaghihinalaang tiwaling opisyal sa tamang korte (hal., Sandiganbayan para sa ilang mga pagkakasala).
* **Supporting Prosecution:** Ang mga ahensyang nagpapatupad ng batas ay maaaring tumulong sa mga prosecutor sa pamamagitan ng pagbibigay ng ekspertong testimonya, paglalahad ng ebidensya sa korte, at paglahok sa iba pang legal na paglilitis.
**Mga Hamon at Pagsasaalang-alang:**
* **Pagiging kumplikado ng mga Kaso ng Korapsyon:** Ang pagsisiyasat at pag-uusig sa katiwalian ay maaaring maging kumplikado, kadalasang kinasasangkutan ng masalimuot na transaksyon sa pananalapi at makapangyarihang mga indibidwal.
* **Pananakot sa Saksi:** Maaaring may panganib ng pananakot sa saksi sa mga kaso ng katiwalian. Ang pagpapatupad ng batas ay gumaganap ng isang papel sa pagprotekta sa mga saksi upang matiyak na maaari silang magbigay ng testimonya nang malaya.
* **Kailangan para sa Pampublikong Kooperasyon:** Ang mga ahensya ng imbestigasyon ay umaasa sa pampublikong kooperasyon at mga tip-off upang matuklasan ang katiwalian. Ang mga whistleblower na nag-uulat ng katiwalian ay protektado ng batas (RA 6713).
**Sa pangkalahatan, ang mga ahensya ng pagsisiyasat at tagapagpatupad ng batas ay mahalagang katuwang sa paglaban sa katiwalian ng gobyerno sa Pilipinas. Ang kanilang trabaho ay mahalaga sa pagpapanagot sa mga tiwaling opisyal at pagpigil sa hinaharap na katiwalian.**</v>
      </c>
      <c r="F1201" s="2">
        <f t="shared" si="1"/>
        <v>0</v>
      </c>
      <c r="G1201" s="2"/>
      <c r="H1201" s="2"/>
      <c r="I1201" s="2"/>
      <c r="J1201" s="2"/>
      <c r="K1201" s="2"/>
      <c r="L1201" s="2"/>
      <c r="M1201" s="2"/>
      <c r="N1201" s="2"/>
      <c r="O1201" s="2"/>
      <c r="P1201" s="2"/>
      <c r="Q1201" s="2"/>
      <c r="R1201" s="2"/>
      <c r="S1201" s="2"/>
      <c r="T1201" s="2"/>
      <c r="U1201" s="2"/>
      <c r="V1201" s="2"/>
      <c r="W1201" s="2"/>
      <c r="X1201" s="2"/>
      <c r="Y1201" s="2"/>
      <c r="Z1201" s="2"/>
      <c r="AA1201" s="2"/>
    </row>
    <row r="1202">
      <c r="A1202" s="1" t="s">
        <v>3356</v>
      </c>
      <c r="B1202" s="1" t="s">
        <v>3569</v>
      </c>
      <c r="C1202" s="1" t="s">
        <v>3570</v>
      </c>
      <c r="D1202" s="2" t="str">
        <f>IFERROR(__xludf.DUMMYFUNCTION("GOOGLETRANSLATE(B1202, ""en"", ""TL"")"),"Mayroon bang mga partikular na legal na remedyo na magagamit para sa mga indibidwal na naapektuhan ng katiwalian sa gobyerno?")</f>
        <v>Mayroon bang mga partikular na legal na remedyo na magagamit para sa mga indibidwal na naapektuhan ng katiwalian sa gobyerno?</v>
      </c>
      <c r="E1202" s="2" t="str">
        <f>IFERROR(__xludf.DUMMYFUNCTION("GOOGLETRANSLATE(C1202, ""en"", ""TL"")"),"Habang ang ligal na balangkas ng Pilipinas ay nakatuon sa pag-uusig sa mga tiwaling opisyal at pagpigil sa katiwalian, may limitadong mga legal na remedyo na magagamit para sa mga indibidwal na direktang sinasaktan ng katiwalian sa pamahalaan. Narito ang "&amp;"isang breakdown:
**Mga Limitadong Direktang Paghahabla:**
* Karaniwang inuuna ng batas ng Pilipinas ang mga kriminal at administratibong parusa para sa katiwalian kaysa sa mga pribadong kaso. Nangangahulugan ito na inuusig ng gobyerno ang pagkakasala, hin"&amp;"di kinakailangan ang indibidwal na nasaktan. * **Exception:** Maaaring may posibilidad para sa isang demanda kung ang mga tiwaling gawi ay direktang nagdulot ng pinsala sa indibidwal **higit pa sa** pinsala sa pangkalahatang publiko. Gayunpaman, ang legal"&amp;" na precedent para sa mga naturang kaso ay hindi maayos na naitatag, na ginagawa itong isang mapaghamong landas.
**Mga Alternatibong Avenue para sa mga Indibidwal:**
* **Pag-uulat ng Korapsyon:** Ang mga indibidwal ay maaari pa ring gumanap ng isang mahal"&amp;"agang papel sa pamamagitan ng pag-uulat ng pinaghihinalaang katiwalian sa mga may-katuturang awtoridad. Nagbibigay ito ng kapangyarihan sa kanila na magsimula ng mga pagsisiyasat na maaaring humantong sa pag-uusig at sa huli ay mabawasan ang pinsala sa hi"&amp;"naharap. Maaaring gawin ang pag-uulat sa:
* Ang Opisina ng Ombudsman (RA 6770)
* Ang ahensyang namamahala sa partikular na kontrata o serbisyo ng gobyerno
* **Citizen Suits (Limited Applications):** Sa mga partikular na kaso, pinapayagan ng mga batas tula"&amp;"d ng Philippine Environmental Impact Statement System (RA 1658) ang mga demanda laban sa mga ahensya ng gobyerno para sa mga paglabag sa kapaligiran. Posible itong mailapat kung ang katiwalian ay humantong sa partikular na pinsala sa kapaligiran na pumipi"&amp;"nsala sa isang indibidwal na higit pa sa pangkalahatang pinsala sa publiko.
* **Paghahangad ng Kabayaran sa Pamamagitan ng Mga Ahensya ng Gobyerno:** Sa ilang pagkakataon, ang mga ahensya ng gobyerno ay maaaring may mga mekanismo para sa pagbabayad ng mga"&amp;" indibidwal na nagdusa ng mga pagkalugi dahil sa mga pagkakamali sa pangangasiwa o kapabayaan (hindi kinakailangang katiwalian). Mahalagang magtanong sa nauugnay na ahensya tungkol sa mga ganitong posibilidad.
**Tumuon sa Pananagutan ng Pamahalaan:**
Ang "&amp;"ligal na balangkas ng Pilipinas ay nagbibigay-diin sa pagpapanagot sa mga opisyal ng pamahalaan sa pagpigil at pagtugon sa katiwalian. Maaari itong makinabang sa mga indibidwal nang hindi direkta sa pamamagitan ng:
* **Mga Parusa para sa Mga Tiwaling Opis"&amp;"yal:** Ang mga batas tulad ng RA 3019 (Anti-Graft and Corrupt Practices Act) ay nagpaparusa sa mga opisyal ng gobyerno na nagsasagawa ng mga katiwalian. Pinipigilan nito ang katiwalian at pinipigilan ang pinsala sa hinaharap sa mga indibidwal.
* **Mga Pin"&amp;"ahusay na Serbisyong Pampubliko:** Sa pamamagitan ng paglaban sa katiwalian, ang pamahalaan ay maaaring maglaan ng mga mapagkukunan nang mas mahusay, na potensyal na humahantong sa mas mahusay na kalidad ng mga pampublikong serbisyo tulad ng pangangalagan"&amp;"g pangkalusugan, edukasyon, at imprastraktura. Ito ay maaaring hindi direktang makinabang sa mga indibidwal sa pamamagitan ng pagpapabuti ng kanilang pangkalahatang kagalingan.
**Konklusyon:**
Bagama't maaaring mahirap ang direktang pagdemanda para sa mga"&amp;" pinsala mula sa katiwalian sa gobyerno, ang mga indibidwal ay maaari pa ring gumanap ng papel sa paghahanap ng mga remedyo sa pamamagitan ng pag-uulat ng katiwalian at pananagutan sa pamahalaan. Nakatuon ang legal na balangkas sa pagpigil sa mga tiwaling"&amp;" gawi at pagpapabuti ng pamamahala, na maaaring hindi direktang makikinabang sa mga Pilipino sa pamamagitan ng pagtiyak ng isang mas mahusay at etikal na pamahalaan.")</f>
        <v>Habang ang ligal na balangkas ng Pilipinas ay nakatuon sa pag-uusig sa mga tiwaling opisyal at pagpigil sa katiwalian, may limitadong mga legal na remedyo na magagamit para sa mga indibidwal na direktang sinasaktan ng katiwalian sa pamahalaan. Narito ang isang breakdown:
**Mga Limitadong Direktang Paghahabla:**
* Karaniwang inuuna ng batas ng Pilipinas ang mga kriminal at administratibong parusa para sa katiwalian kaysa sa mga pribadong kaso. Nangangahulugan ito na inuusig ng gobyerno ang pagkakasala, hindi kinakailangan ang indibidwal na nasaktan. * **Exception:** Maaaring may posibilidad para sa isang demanda kung ang mga tiwaling gawi ay direktang nagdulot ng pinsala sa indibidwal **higit pa sa** pinsala sa pangkalahatang publiko. Gayunpaman, ang legal na precedent para sa mga naturang kaso ay hindi maayos na naitatag, na ginagawa itong isang mapaghamong landas.
**Mga Alternatibong Avenue para sa mga Indibidwal:**
* **Pag-uulat ng Korapsyon:** Ang mga indibidwal ay maaari pa ring gumanap ng isang mahalagang papel sa pamamagitan ng pag-uulat ng pinaghihinalaang katiwalian sa mga may-katuturang awtoridad. Nagbibigay ito ng kapangyarihan sa kanila na magsimula ng mga pagsisiyasat na maaaring humantong sa pag-uusig at sa huli ay mabawasan ang pinsala sa hinaharap. Maaaring gawin ang pag-uulat sa:
* Ang Opisina ng Ombudsman (RA 6770)
* Ang ahensyang namamahala sa partikular na kontrata o serbisyo ng gobyerno
* **Citizen Suits (Limited Applications):** Sa mga partikular na kaso, pinapayagan ng mga batas tulad ng Philippine Environmental Impact Statement System (RA 1658) ang mga demanda laban sa mga ahensya ng gobyerno para sa mga paglabag sa kapaligiran. Posible itong mailapat kung ang katiwalian ay humantong sa partikular na pinsala sa kapaligiran na pumipinsala sa isang indibidwal na higit pa sa pangkalahatang pinsala sa publiko.
* **Paghahangad ng Kabayaran sa Pamamagitan ng Mga Ahensya ng Gobyerno:** Sa ilang pagkakataon, ang mga ahensya ng gobyerno ay maaaring may mga mekanismo para sa pagbabayad ng mga indibidwal na nagdusa ng mga pagkalugi dahil sa mga pagkakamali sa pangangasiwa o kapabayaan (hindi kinakailangang katiwalian). Mahalagang magtanong sa nauugnay na ahensya tungkol sa mga ganitong posibilidad.
**Tumuon sa Pananagutan ng Pamahalaan:**
Ang ligal na balangkas ng Pilipinas ay nagbibigay-diin sa pagpapanagot sa mga opisyal ng pamahalaan sa pagpigil at pagtugon sa katiwalian. Maaari itong makinabang sa mga indibidwal nang hindi direkta sa pamamagitan ng:
* **Mga Parusa para sa Mga Tiwaling Opisyal:** Ang mga batas tulad ng RA 3019 (Anti-Graft and Corrupt Practices Act) ay nagpaparusa sa mga opisyal ng gobyerno na nagsasagawa ng mga katiwalian. Pinipigilan nito ang katiwalian at pinipigilan ang pinsala sa hinaharap sa mga indibidwal.
* **Mga Pinahusay na Serbisyong Pampubliko:** Sa pamamagitan ng paglaban sa katiwalian, ang pamahalaan ay maaaring maglaan ng mga mapagkukunan nang mas mahusay, na potensyal na humahantong sa mas mahusay na kalidad ng mga pampublikong serbisyo tulad ng pangangalagang pangkalusugan, edukasyon, at imprastraktura. Ito ay maaaring hindi direktang makinabang sa mga indibidwal sa pamamagitan ng pagpapabuti ng kanilang pangkalahatang kagalingan.
**Konklusyon:**
Bagama't maaaring mahirap ang direktang pagdemanda para sa mga pinsala mula sa katiwalian sa gobyerno, ang mga indibidwal ay maaari pa ring gumanap ng papel sa paghahanap ng mga remedyo sa pamamagitan ng pag-uulat ng katiwalian at pananagutan sa pamahalaan. Nakatuon ang legal na balangkas sa pagpigil sa mga tiwaling gawi at pagpapabuti ng pamamahala, na maaaring hindi direktang makikinabang sa mga Pilipino sa pamamagitan ng pagtiyak ng isang mas mahusay at etikal na pamahalaan.</v>
      </c>
      <c r="F1202" s="2">
        <f t="shared" si="1"/>
        <v>0</v>
      </c>
      <c r="G1202" s="2"/>
      <c r="H1202" s="2"/>
      <c r="I1202" s="2"/>
      <c r="J1202" s="2"/>
      <c r="K1202" s="2"/>
      <c r="L1202" s="2"/>
      <c r="M1202" s="2"/>
      <c r="N1202" s="2"/>
      <c r="O1202" s="2"/>
      <c r="P1202" s="2"/>
      <c r="Q1202" s="2"/>
      <c r="R1202" s="2"/>
      <c r="S1202" s="2"/>
      <c r="T1202" s="2"/>
      <c r="U1202" s="2"/>
      <c r="V1202" s="2"/>
      <c r="W1202" s="2"/>
      <c r="X1202" s="2"/>
      <c r="Y1202" s="2"/>
      <c r="Z1202" s="2"/>
      <c r="AA1202" s="2"/>
    </row>
    <row r="1203">
      <c r="A1203" s="1" t="s">
        <v>3356</v>
      </c>
      <c r="B1203" s="1" t="s">
        <v>3571</v>
      </c>
      <c r="C1203" s="1" t="s">
        <v>3572</v>
      </c>
      <c r="D1203" s="2" t="str">
        <f>IFERROR(__xludf.DUMMYFUNCTION("GOOGLETRANSLATE(B1203, ""en"", ""TL"")"),"Paano naaapektuhan ng katiwalian sa loob ng gobyerno ang tiwala ng publiko sa mga demokratikong institusyon, at anong mga legal na hakbang ang maaaring gawin upang matugunan ito?")</f>
        <v>Paano naaapektuhan ng katiwalian sa loob ng gobyerno ang tiwala ng publiko sa mga demokratikong institusyon, at anong mga legal na hakbang ang maaaring gawin upang matugunan ito?</v>
      </c>
      <c r="E1203" s="2" t="str">
        <f>IFERROR(__xludf.DUMMYFUNCTION("GOOGLETRANSLATE(C1203, ""en"", ""TL"")"),"## Epekto ng Korapsyon sa Public Trust sa Pilipinas
Ang katiwalian sa loob ng gobyerno ng Pilipinas ay sumisira sa tiwala ng publiko sa mga demokratikong institusyon sa maraming paraan:
* **Pinababawasan ang Pagkalehitimo:** Kapag naramdaman ng mga mamama"&amp;"yan ang malawakang katiwalian, kinukuwestiyon nila ang pagiging lehitimo ng pamahalaan at ang kakayahan nitong kumatawan sa kanilang mga interes. Ito ay maaaring humantong sa kawalang-interes, pangungutya, at pakiramdam ng kawalan ng kapangyarihan.
* **Br"&amp;"eaks Down Rule of Law:** Ang katiwalian ay nagpapahina sa tuntunin ng batas sa pamamagitan ng pagmumungkahi na ang mga nasa kapangyarihan ay higit sa batas. Pinipigilan nito ang mga mamamayan na sumunod sa mga batas kung nakikita nilang nalalayo ang iba s"&amp;"a paglabag sa kanila.
* **Binabawasan ang Serbisyong Pampubliko:** Kapag ang mga mapagkukunan ay inilihis dahil sa katiwalian, binabawasan nito ang kalidad at kakayahang magamit ng mga pampublikong serbisyo tulad ng pangangalaga sa kalusugan, edukasyon, a"&amp;"t imprastraktura. Ito ay direktang nakakaapekto sa buhay ng mga mamamayan at nagpapasiklab ng sama ng loob sa gobyerno.
* **Hindi hinihikayat ang Pakikilahok:** Kung naniniwala ang mga mamamayan na ang kanilang boto o boses ay hindi magkakaroon ng pagbaba"&amp;"go dahil sa katiwalian, mas maliit ang posibilidad na lumahok sila sa mga demokratikong proseso tulad ng mga halalan o pampublikong konsultasyon.
## Mga Legal na Panukala sa Pagtugon sa Korapsyon Ang Pilipinas ay may legal na balangkas upang tugunan ang k"&amp;"atiwalian, ngunit ang epektibong pagpapatupad ay mahalaga. Narito ang ilang pangunahing hakbang:
* **Pagpapatupad ng mga Umiiral na Batas:** Ang mahigpit na pagpapatupad ng mga batas tulad ng Anti-Graft and Corrupt Practices Act (RA 3019) at ang Code of C"&amp;"onduct and Ethical Standards for Public Officials (RA 6713) ay humahadlang sa mga katiwalian at pinapanagot ang mga may kasalanan.
* **Pagpapalakas ng mga Lupong Tagapangasiwa:** Ang pagbibigay ng kapangyarihan sa mga independiyenteng katawan tulad ng Opi"&amp;"sina ng Ombudsman upang epektibong mag-imbestiga sa mga reklamo at mag-usig ng mga kaso ng katiwalian ay mahalaga.
* **Transparency at Karapatan sa Impormasyon:** Ang pagtiyak ng transparency sa mga proseso ng gobyerno sa pamamagitan ng mga hakbang tulad "&amp;"ng Freedom of Information Act (RA 6713) ay nagbibigay-daan sa pagsisiyasat ng publiko at binabawasan ang mga pagkakataon para sa katiwalian.
* **Proteksyon sa Whistleblower:** Ang pagpapalakas ng mga mekanismo ng proteksyon ng whistleblower ay naghihikaya"&amp;"t sa mga indibidwal na mag-ulat ng katiwalian nang walang takot sa paghihiganti.
* **Pampublikong Edukasyon:** Ang pagtataguyod ng kamalayan ng publiko tungkol sa katiwalian, mga karapatan ng mga mamamayan, at mga paraan upang mag-ulat ng maling gawain ay"&amp;" nagbibigay ng kapangyarihan sa mga mamamayan na panagutin ang pamahalaan.
* **Paglahok ng Lipunang Sibil:** Ang isang masiglang lipunang sibil ay maaaring gumanap ng isang mahalagang papel sa pagsubaybay sa mga aktibidad ng pamahalaan, pagtataguyod para "&amp;"sa mga reporma, at pagtataguyod ng transparency. ## Karagdagang Pagsasaalang-alang:
* **Pag-streamline ng Burukrasya:** Ang mga kumplikadong bureaucratic na pamamaraan ay maaaring lumikha ng mga pagkakataon para sa katiwalian. Ang pagpapasimple ng mga pro"&amp;"seso ay binabawasan ang pagpapasya at mga potensyal na butas para sa pagmamanipula.
* **Tumuon sa Mga Panukalang Pang-iwas:** Bagama't mahalaga ang pag-uusig, ang pagtutok sa mga hakbang na pang-iwas tulad ng etikal na pagsasanay para sa mga opisyal ng pa"&amp;"mahalaan at mga mahusay na pamamaraan sa pagkuha ay makakatulong na maiwasan ang katiwalian bago ito mangyari.
* **Teknolohiyang Solusyon:** Ang paggamit ng teknolohiya para sa mga inisyatiba sa e-governance ay maaaring mabawasan ang interbensyon ng tao a"&amp;"t mabawasan ang mga pagkakataon para sa katiwalian sa mga lugar tulad ng pagpoproseso ng permit o pagkolekta ng kita.
Sa mabisang pagpapatupad ng mga legal na hakbang na ito at pagpapaunlad ng kultura ng integridad, muling mabubuo ng Pilipinas ang tiwala "&amp;"ng publiko sa mga demokratikong institusyon nito at lumikha ng mas makatarungan at pantay na lipunan.")</f>
        <v>## Epekto ng Korapsyon sa Public Trust sa Pilipinas
Ang katiwalian sa loob ng gobyerno ng Pilipinas ay sumisira sa tiwala ng publiko sa mga demokratikong institusyon sa maraming paraan:
* **Pinababawasan ang Pagkalehitimo:** Kapag naramdaman ng mga mamamayan ang malawakang katiwalian, kinukuwestiyon nila ang pagiging lehitimo ng pamahalaan at ang kakayahan nitong kumatawan sa kanilang mga interes. Ito ay maaaring humantong sa kawalang-interes, pangungutya, at pakiramdam ng kawalan ng kapangyarihan.
* **Breaks Down Rule of Law:** Ang katiwalian ay nagpapahina sa tuntunin ng batas sa pamamagitan ng pagmumungkahi na ang mga nasa kapangyarihan ay higit sa batas. Pinipigilan nito ang mga mamamayan na sumunod sa mga batas kung nakikita nilang nalalayo ang iba sa paglabag sa kanila.
* **Binabawasan ang Serbisyong Pampubliko:** Kapag ang mga mapagkukunan ay inilihis dahil sa katiwalian, binabawasan nito ang kalidad at kakayahang magamit ng mga pampublikong serbisyo tulad ng pangangalaga sa kalusugan, edukasyon, at imprastraktura. Ito ay direktang nakakaapekto sa buhay ng mga mamamayan at nagpapasiklab ng sama ng loob sa gobyerno.
* **Hindi hinihikayat ang Pakikilahok:** Kung naniniwala ang mga mamamayan na ang kanilang boto o boses ay hindi magkakaroon ng pagbabago dahil sa katiwalian, mas maliit ang posibilidad na lumahok sila sa mga demokratikong proseso tulad ng mga halalan o pampublikong konsultasyon.
## Mga Legal na Panukala sa Pagtugon sa Korapsyon Ang Pilipinas ay may legal na balangkas upang tugunan ang katiwalian, ngunit ang epektibong pagpapatupad ay mahalaga. Narito ang ilang pangunahing hakbang:
* **Pagpapatupad ng mga Umiiral na Batas:** Ang mahigpit na pagpapatupad ng mga batas tulad ng Anti-Graft and Corrupt Practices Act (RA 3019) at ang Code of Conduct and Ethical Standards for Public Officials (RA 6713) ay humahadlang sa mga katiwalian at pinapanagot ang mga may kasalanan.
* **Pagpapalakas ng mga Lupong Tagapangasiwa:** Ang pagbibigay ng kapangyarihan sa mga independiyenteng katawan tulad ng Opisina ng Ombudsman upang epektibong mag-imbestiga sa mga reklamo at mag-usig ng mga kaso ng katiwalian ay mahalaga.
* **Transparency at Karapatan sa Impormasyon:** Ang pagtiyak ng transparency sa mga proseso ng gobyerno sa pamamagitan ng mga hakbang tulad ng Freedom of Information Act (RA 6713) ay nagbibigay-daan sa pagsisiyasat ng publiko at binabawasan ang mga pagkakataon para sa katiwalian.
* **Proteksyon sa Whistleblower:** Ang pagpapalakas ng mga mekanismo ng proteksyon ng whistleblower ay naghihikayat sa mga indibidwal na mag-ulat ng katiwalian nang walang takot sa paghihiganti.
* **Pampublikong Edukasyon:** Ang pagtataguyod ng kamalayan ng publiko tungkol sa katiwalian, mga karapatan ng mga mamamayan, at mga paraan upang mag-ulat ng maling gawain ay nagbibigay ng kapangyarihan sa mga mamamayan na panagutin ang pamahalaan.
* **Paglahok ng Lipunang Sibil:** Ang isang masiglang lipunang sibil ay maaaring gumanap ng isang mahalagang papel sa pagsubaybay sa mga aktibidad ng pamahalaan, pagtataguyod para sa mga reporma, at pagtataguyod ng transparency. ## Karagdagang Pagsasaalang-alang:
* **Pag-streamline ng Burukrasya:** Ang mga kumplikadong bureaucratic na pamamaraan ay maaaring lumikha ng mga pagkakataon para sa katiwalian. Ang pagpapasimple ng mga proseso ay binabawasan ang pagpapasya at mga potensyal na butas para sa pagmamanipula.
* **Tumuon sa Mga Panukalang Pang-iwas:** Bagama't mahalaga ang pag-uusig, ang pagtutok sa mga hakbang na pang-iwas tulad ng etikal na pagsasanay para sa mga opisyal ng pamahalaan at mga mahusay na pamamaraan sa pagkuha ay makakatulong na maiwasan ang katiwalian bago ito mangyari.
* **Teknolohiyang Solusyon:** Ang paggamit ng teknolohiya para sa mga inisyatiba sa e-governance ay maaaring mabawasan ang interbensyon ng tao at mabawasan ang mga pagkakataon para sa katiwalian sa mga lugar tulad ng pagpoproseso ng permit o pagkolekta ng kita.
Sa mabisang pagpapatupad ng mga legal na hakbang na ito at pagpapaunlad ng kultura ng integridad, muling mabubuo ng Pilipinas ang tiwala ng publiko sa mga demokratikong institusyon nito at lumikha ng mas makatarungan at pantay na lipunan.</v>
      </c>
      <c r="F1203" s="2">
        <f t="shared" si="1"/>
        <v>0</v>
      </c>
      <c r="G1203" s="2"/>
      <c r="H1203" s="2"/>
      <c r="I1203" s="2"/>
      <c r="J1203" s="2"/>
      <c r="K1203" s="2"/>
      <c r="L1203" s="2"/>
      <c r="M1203" s="2"/>
      <c r="N1203" s="2"/>
      <c r="O1203" s="2"/>
      <c r="P1203" s="2"/>
      <c r="Q1203" s="2"/>
      <c r="R1203" s="2"/>
      <c r="S1203" s="2"/>
      <c r="T1203" s="2"/>
      <c r="U1203" s="2"/>
      <c r="V1203" s="2"/>
      <c r="W1203" s="2"/>
      <c r="X1203" s="2"/>
      <c r="Y1203" s="2"/>
      <c r="Z1203" s="2"/>
      <c r="AA1203" s="2"/>
    </row>
    <row r="1204">
      <c r="A1204" s="1" t="s">
        <v>3356</v>
      </c>
      <c r="B1204" s="1" t="s">
        <v>3573</v>
      </c>
      <c r="C1204" s="1" t="s">
        <v>3574</v>
      </c>
      <c r="D1204" s="2" t="str">
        <f>IFERROR(__xludf.DUMMYFUNCTION("GOOGLETRANSLATE(B1204, ""en"", ""TL"")"),"Maaari bang magdemanda ang mga indibidwal sa mga kontratista ng gobyerno o mga vendor na sangkot sa mga tiwaling gawain na pumipinsala sa interes ng publiko?")</f>
        <v>Maaari bang magdemanda ang mga indibidwal sa mga kontratista ng gobyerno o mga vendor na sangkot sa mga tiwaling gawain na pumipinsala sa interes ng publiko?</v>
      </c>
      <c r="E1204" s="2" t="str">
        <f>IFERROR(__xludf.DUMMYFUNCTION("GOOGLETRANSLATE(C1204, ""en"", ""TL"")"),"Ang kakayahan ng mga indibidwal na direktang magdemanda sa mga kontratista o vendor ng gobyerno para sa mga katiwalian sa Pilipinas ay hindi lubos na malinaw sa ilalim ng batas ng Pilipinas. Narito ang isang breakdown batay sa nauugnay na batas:
**Limitad"&amp;"ong Pribadong Karapatan sa Pagkilos:**
* Ang mga batas ng Pilipinas sa pangkalahatan ay nakatuon sa mga kriminal at administratibong parusa para sa katiwalian sa halip na mga pribadong kaso. Nangangahulugan ito na ang gobyerno, hindi kinakailangang isang "&amp;"indibidwal, ay nag-uusig sa mga ganitong pagkakasala.
* **Exception:** Maaaring may posibilidad para sa isang demanda kung ang mga tiwaling gawi ay direktang nagdulot ng pinsala sa indibidwal na higit pa sa pangkalahatang pinsala sa publiko. Gayunpaman, a"&amp;"ng legal na landas na ito ay hindi gaanong itinatag.
**Mga Alternatibong Pagkilos:**
* **Pag-uulat ng Korapsyon:** Ang mga indibidwal ay maaari pa ring gumanap ng papel sa pamamagitan ng pag-uulat ng pinaghihinalaang katiwalian sa mga kaugnay na awtoridad"&amp;". Maaaring kabilang dito ang Office of the Ombudsman (RA 6770) o ang ahensyang namamahala sa partikular na kontrata ng gobyerno.
* **Mga Paghahabla ng Mamamayan:** Sa ilang pagkakataon, ang mga batas tulad ng Philippine Environmental Impact Statement Syst"&amp;"em (RA 1658) ay nagpapahintulot sa mga mamamayan na magsampa ng mga kaso laban sa mga ahensya ng gobyerno para sa mga paglabag na nakakapinsala sa kapaligiran. Ito ay posibleng maging naaangkop sa mga partikular na kaso ng mga tiwaling gawi na may kaugnay"&amp;"an sa pinsala sa kapaligiran.
**Tumuon sa Pananagutan ng Pamahalaan:**
* Binibigyang-diin ng legal na balangkas ng Pilipinas ang pananagutan sa mga opisyal ng gobyerno para sa pagtiyak ng mga etikal na gawi sa pagkuha. Ito ay maaaring makamit sa pamamagit"&amp;"an ng:
* **Mga Sanction para sa mga Opisyal ng Pamahalaan:** Ang mga batas tulad ng RA 3019 (Anti-Graft and Corrupt Practices Act) ay nagpaparusa sa mga opisyal ng gobyerno na nagsasagawa ng mga katiwalian na may kaugnayan sa paggawad ng mga kontrata.
* *"&amp;"*Panagutan ang mga Kontratista:** Bagama't maaaring limitado ang mga direktang demanda ng mga indibidwal, maaaring magsagawa ng legal na aksyon ang mga ahensya ng gobyerno laban sa mga kontratista na nagsasagawa ng mga tiwaling gawi. Maaaring kabilang dit"&amp;"o ang:
* **Blacklisting:** Maaaring pigilan ng gobyerno ang mga naturang kontratista na lumahok sa mga bid sa gobyerno sa hinaharap.
* **Pagwawakas ng Kontrata:** Maaaring wakasan ng gobyerno ang mga kasalukuyang kontrata kung mapatunayan ang katiwalian.
"&amp;"**Konklusyon:**
Habang ang direktang pagdemanda ng mga kontratista ng gobyerno para sa katiwalian ay maaaring maging hamon sa Pilipinas, ang mga indibidwal ay maaari pa ring gumanap ng papel sa paglaban sa katiwalian sa pamamagitan ng pag-uulat at pagpapa"&amp;"nagot sa mga opisyal ng gobyerno. Nakatuon ang legal na balangkas sa pagpigil sa mga tiwaling gawi sa pamamagitan ng mga parusa at pagtiyak ng etikal na paggawi ng mga opisyal ng pamahalaan sa panahon ng proseso ng pagkuha.")</f>
        <v>Ang kakayahan ng mga indibidwal na direktang magdemanda sa mga kontratista o vendor ng gobyerno para sa mga katiwalian sa Pilipinas ay hindi lubos na malinaw sa ilalim ng batas ng Pilipinas. Narito ang isang breakdown batay sa nauugnay na batas:
**Limitadong Pribadong Karapatan sa Pagkilos:**
* Ang mga batas ng Pilipinas sa pangkalahatan ay nakatuon sa mga kriminal at administratibong parusa para sa katiwalian sa halip na mga pribadong kaso. Nangangahulugan ito na ang gobyerno, hindi kinakailangang isang indibidwal, ay nag-uusig sa mga ganitong pagkakasala.
* **Exception:** Maaaring may posibilidad para sa isang demanda kung ang mga tiwaling gawi ay direktang nagdulot ng pinsala sa indibidwal na higit pa sa pangkalahatang pinsala sa publiko. Gayunpaman, ang legal na landas na ito ay hindi gaanong itinatag.
**Mga Alternatibong Pagkilos:**
* **Pag-uulat ng Korapsyon:** Ang mga indibidwal ay maaari pa ring gumanap ng papel sa pamamagitan ng pag-uulat ng pinaghihinalaang katiwalian sa mga kaugnay na awtoridad. Maaaring kabilang dito ang Office of the Ombudsman (RA 6770) o ang ahensyang namamahala sa partikular na kontrata ng gobyerno.
* **Mga Paghahabla ng Mamamayan:** Sa ilang pagkakataon, ang mga batas tulad ng Philippine Environmental Impact Statement System (RA 1658) ay nagpapahintulot sa mga mamamayan na magsampa ng mga kaso laban sa mga ahensya ng gobyerno para sa mga paglabag na nakakapinsala sa kapaligiran. Ito ay posibleng maging naaangkop sa mga partikular na kaso ng mga tiwaling gawi na may kaugnayan sa pinsala sa kapaligiran.
**Tumuon sa Pananagutan ng Pamahalaan:**
* Binibigyang-diin ng legal na balangkas ng Pilipinas ang pananagutan sa mga opisyal ng gobyerno para sa pagtiyak ng mga etikal na gawi sa pagkuha. Ito ay maaaring makamit sa pamamagitan ng:
* **Mga Sanction para sa mga Opisyal ng Pamahalaan:** Ang mga batas tulad ng RA 3019 (Anti-Graft and Corrupt Practices Act) ay nagpaparusa sa mga opisyal ng gobyerno na nagsasagawa ng mga katiwalian na may kaugnayan sa paggawad ng mga kontrata.
* **Panagutan ang mga Kontratista:** Bagama't maaaring limitado ang mga direktang demanda ng mga indibidwal, maaaring magsagawa ng legal na aksyon ang mga ahensya ng gobyerno laban sa mga kontratista na nagsasagawa ng mga tiwaling gawi. Maaaring kabilang dito ang:
* **Blacklisting:** Maaaring pigilan ng gobyerno ang mga naturang kontratista na lumahok sa mga bid sa gobyerno sa hinaharap.
* **Pagwawakas ng Kontrata:** Maaaring wakasan ng gobyerno ang mga kasalukuyang kontrata kung mapatunayan ang katiwalian.
**Konklusyon:**
Habang ang direktang pagdemanda ng mga kontratista ng gobyerno para sa katiwalian ay maaaring maging hamon sa Pilipinas, ang mga indibidwal ay maaari pa ring gumanap ng papel sa paglaban sa katiwalian sa pamamagitan ng pag-uulat at pagpapanagot sa mga opisyal ng gobyerno. Nakatuon ang legal na balangkas sa pagpigil sa mga tiwaling gawi sa pamamagitan ng mga parusa at pagtiyak ng etikal na paggawi ng mga opisyal ng pamahalaan sa panahon ng proseso ng pagkuha.</v>
      </c>
      <c r="F1204" s="2">
        <f t="shared" si="1"/>
        <v>0</v>
      </c>
      <c r="G1204" s="2"/>
      <c r="H1204" s="2"/>
      <c r="I1204" s="2"/>
      <c r="J1204" s="2"/>
      <c r="K1204" s="2"/>
      <c r="L1204" s="2"/>
      <c r="M1204" s="2"/>
      <c r="N1204" s="2"/>
      <c r="O1204" s="2"/>
      <c r="P1204" s="2"/>
      <c r="Q1204" s="2"/>
      <c r="R1204" s="2"/>
      <c r="S1204" s="2"/>
      <c r="T1204" s="2"/>
      <c r="U1204" s="2"/>
      <c r="V1204" s="2"/>
      <c r="W1204" s="2"/>
      <c r="X1204" s="2"/>
      <c r="Y1204" s="2"/>
      <c r="Z1204" s="2"/>
      <c r="AA1204" s="2"/>
    </row>
    <row r="1205">
      <c r="A1205" s="1" t="s">
        <v>3356</v>
      </c>
      <c r="B1205" s="1" t="s">
        <v>3575</v>
      </c>
      <c r="C1205" s="1" t="s">
        <v>3576</v>
      </c>
      <c r="D1205" s="2" t="str">
        <f>IFERROR(__xludf.DUMMYFUNCTION("GOOGLETRANSLATE(B1205, ""en"", ""TL"")"),"Paano nalalapat ang mga batas ng conflict of interest sa mga opisyal ng gobyerno, at anong mga legal na aksyon ang maaaring gawin kung nilabag ang mga batas na ito?")</f>
        <v>Paano nalalapat ang mga batas ng conflict of interest sa mga opisyal ng gobyerno, at anong mga legal na aksyon ang maaaring gawin kung nilabag ang mga batas na ito?</v>
      </c>
      <c r="E1205" s="2" t="str">
        <f>IFERROR(__xludf.DUMMYFUNCTION("GOOGLETRANSLATE(C1205, ""en"", ""TL"")"),"Ang mga batas sa salungatan ng interes sa Pilipinas ay nalalapat sa mga opisyal ng gobyerno upang pigilan silang gamitin ang kanilang mga pampublikong posisyon para sa personal na kapakanan. Narito ang isang breakdown batay sa batas ng Pilipinas:
**Pangun"&amp;"ahing Batas:**
* **Republic Act No. 6713 (Code of Conduct and Ethical Standards for Public Officials and Employees):** Ito ang pangunahing batas na tumutukoy sa salungatan ng interes at nagtatakda ng mga pamantayan ng etikal na pag-uugali para sa mga opis"&amp;"yal ng gobyerno.
**Paano ito Nalalapat:**
* **Pananalapi na Interes:** Ang mga opisyal ay hindi maaaring magkaroon ng pinansyal o materyal na interes sa mga transaksyon na nangangailangan ng pag-apruba ng kanilang opisina (Seksyon 7(a)). Pinipigilan nito "&amp;"na gamitin nila ang kanilang posisyon para pangasiwaan ang mga kontrata o benepisyo para sa kanilang sarili, pamilya, o mga negosyong may stake sila.
* **Outside Employment:** Ang mga opisyal ay karaniwang pinaghihigpitan sa paghawak ng trabaho sa labas s"&amp;"a panahon ng kanilang panunungkulan, lalo na kung maaari itong lumikha ng salungatan sa kanilang mga opisyal na tungkulin (Seksyon 7(b)).
* **Pagsisiwalat:** Kinakailangang ibunyag ng mga opisyal ang kanilang mga interes sa pananalapi at mga kaakibat sa n"&amp;"egosyo upang maiwasan ang mga potensyal na salungatan (Rule 4 ng Mga Panuntunan sa Pagpapatupad).
**Mga Legal na Pagkilos para sa Mga Paglabag:**
* **Mga Sanction na Pang-administratibo:** Maaaring kabilang dito ang pagsususpinde, pagpapaalis, o pag-alis "&amp;"ng mga benepisyo sa pagreretiro depende sa bigat ng pagkakasala (RA 6713 at Mga Panuntunan ng Komisyon sa Serbisyo Sibil).
* **Mga Criminal Charges:** Ang mga paglabag ay maaari ding maging mga kriminal na pagkakasala tulad ng panunuhol o graft at corrupt"&amp;" na mga gawi sa ilalim ng RA 3019 (Anti-Graft and Corrupt Practices Act). * **Pagsisiyasat ng Ombudsman:** Ang Tanggapan ng Ombudsman ay may kapangyarihang mag-imbestiga sa mga reklamo laban sa mga opisyal ng gobyerno para sa mga paglabag sa RA 6713 (RA 6"&amp;"770).
**Mga Karagdagang Punto:**
* Kinikilala ng batas na maaaring may mga kasalukuyang pribadong interes sa negosyo ang ilang opisyal. Sa ganitong mga kaso, maaaring kailanganin nilang alisin ang kanilang mga sarili sa mga interes na ito sa loob ng isang"&amp;" partikular na takdang panahon (RA 6713, Seksyon 9).
* **Maaari ding umabot ang mga parusa sa mga miyembro ng pamilya** na nagsasagawa ng mga transaksyong ipinagbabawal ng batas para sa kapakinabangan ng opisyal ng gobyerno (RA 6713).
Sa pamamagitan ng pa"&amp;"gpapatupad ng mga salungat na batas ng interes na ito, nilalayon ng Pilipinas na itaguyod ang etikal na pag-uugali at pigilan ang mga opisyal ng gobyerno na abusuhin ang kanilang kapangyarihan para sa pansariling kapakanan.")</f>
        <v>Ang mga batas sa salungatan ng interes sa Pilipinas ay nalalapat sa mga opisyal ng gobyerno upang pigilan silang gamitin ang kanilang mga pampublikong posisyon para sa personal na kapakanan. Narito ang isang breakdown batay sa batas ng Pilipinas:
**Pangunahing Batas:**
* **Republic Act No. 6713 (Code of Conduct and Ethical Standards for Public Officials and Employees):** Ito ang pangunahing batas na tumutukoy sa salungatan ng interes at nagtatakda ng mga pamantayan ng etikal na pag-uugali para sa mga opisyal ng gobyerno.
**Paano ito Nalalapat:**
* **Pananalapi na Interes:** Ang mga opisyal ay hindi maaaring magkaroon ng pinansyal o materyal na interes sa mga transaksyon na nangangailangan ng pag-apruba ng kanilang opisina (Seksyon 7(a)). Pinipigilan nito na gamitin nila ang kanilang posisyon para pangasiwaan ang mga kontrata o benepisyo para sa kanilang sarili, pamilya, o mga negosyong may stake sila.
* **Outside Employment:** Ang mga opisyal ay karaniwang pinaghihigpitan sa paghawak ng trabaho sa labas sa panahon ng kanilang panunungkulan, lalo na kung maaari itong lumikha ng salungatan sa kanilang mga opisyal na tungkulin (Seksyon 7(b)).
* **Pagsisiwalat:** Kinakailangang ibunyag ng mga opisyal ang kanilang mga interes sa pananalapi at mga kaakibat sa negosyo upang maiwasan ang mga potensyal na salungatan (Rule 4 ng Mga Panuntunan sa Pagpapatupad).
**Mga Legal na Pagkilos para sa Mga Paglabag:**
* **Mga Sanction na Pang-administratibo:** Maaaring kabilang dito ang pagsususpinde, pagpapaalis, o pag-alis ng mga benepisyo sa pagreretiro depende sa bigat ng pagkakasala (RA 6713 at Mga Panuntunan ng Komisyon sa Serbisyo Sibil).
* **Mga Criminal Charges:** Ang mga paglabag ay maaari ding maging mga kriminal na pagkakasala tulad ng panunuhol o graft at corrupt na mga gawi sa ilalim ng RA 3019 (Anti-Graft and Corrupt Practices Act). * **Pagsisiyasat ng Ombudsman:** Ang Tanggapan ng Ombudsman ay may kapangyarihang mag-imbestiga sa mga reklamo laban sa mga opisyal ng gobyerno para sa mga paglabag sa RA 6713 (RA 6770).
**Mga Karagdagang Punto:**
* Kinikilala ng batas na maaaring may mga kasalukuyang pribadong interes sa negosyo ang ilang opisyal. Sa ganitong mga kaso, maaaring kailanganin nilang alisin ang kanilang mga sarili sa mga interes na ito sa loob ng isang partikular na takdang panahon (RA 6713, Seksyon 9).
* **Maaari ding umabot ang mga parusa sa mga miyembro ng pamilya** na nagsasagawa ng mga transaksyong ipinagbabawal ng batas para sa kapakinabangan ng opisyal ng gobyerno (RA 6713).
Sa pamamagitan ng pagpapatupad ng mga salungat na batas ng interes na ito, nilalayon ng Pilipinas na itaguyod ang etikal na pag-uugali at pigilan ang mga opisyal ng gobyerno na abusuhin ang kanilang kapangyarihan para sa pansariling kapakanan.</v>
      </c>
      <c r="F1205" s="2">
        <f t="shared" si="1"/>
        <v>0</v>
      </c>
      <c r="G1205" s="2"/>
      <c r="H1205" s="2"/>
      <c r="I1205" s="2"/>
      <c r="J1205" s="2"/>
      <c r="K1205" s="2"/>
      <c r="L1205" s="2"/>
      <c r="M1205" s="2"/>
      <c r="N1205" s="2"/>
      <c r="O1205" s="2"/>
      <c r="P1205" s="2"/>
      <c r="Q1205" s="2"/>
      <c r="R1205" s="2"/>
      <c r="S1205" s="2"/>
      <c r="T1205" s="2"/>
      <c r="U1205" s="2"/>
      <c r="V1205" s="2"/>
      <c r="W1205" s="2"/>
      <c r="X1205" s="2"/>
      <c r="Y1205" s="2"/>
      <c r="Z1205" s="2"/>
      <c r="AA1205" s="2"/>
    </row>
    <row r="1206">
      <c r="A1206" s="1" t="s">
        <v>3356</v>
      </c>
      <c r="B1206" s="1" t="s">
        <v>3577</v>
      </c>
      <c r="C1206" s="1" t="s">
        <v>3578</v>
      </c>
      <c r="D1206" s="2" t="str">
        <f>IFERROR(__xludf.DUMMYFUNCTION("GOOGLETRANSLATE(B1206, ""en"", ""TL"")"),"Maaari bang hamunin ng mga indibidwal ang konstitusyonalidad ng mga batas o regulasyon na nagpapadali o nagbibigay-daan sa katiwalian sa gobyerno?")</f>
        <v>Maaari bang hamunin ng mga indibidwal ang konstitusyonalidad ng mga batas o regulasyon na nagpapadali o nagbibigay-daan sa katiwalian sa gobyerno?</v>
      </c>
      <c r="E1206" s="2" t="str">
        <f>IFERROR(__xludf.DUMMYFUNCTION("GOOGLETRANSLATE(C1206, ""en"", ""TL"")"),"Oo, maaaring hamunin ng mga indibidwal sa Pilipinas ang konstitusyonalidad ng mga batas o regulasyon na nagpapadali o nagbibigay-daan sa katiwalian sa gobyerno sa pamamagitan ng legal na proseso na tinatawag na **judicial review**. Narito kung paano ito g"&amp;"umagana:
* **Saligang Batas ng Pilipinas:** Ang Artikulo VIII, Seksyon 1 ng 1987 Konstitusyon ng Pilipinas ay nagbibigay ng kapangyarihan sa Korte Suprema na suriin ang lahat ng batas at magpasya kung naaayon ang mga ito sa Konstitusyon. Kabilang dito ang"&amp;" kapangyarihang magdeklara ng mga batas na labag sa konstitusyon kung nilalabag ng mga ito ang mga pangunahing prinsipyo o mga partikular na probisyon ng Konstitusyon.
* **Locus Standi:** Upang hamunin ang isang batas, ang isang indibidwal ay dapat mayroo"&amp;"ng **locus standi**, na nangangahulugang dapat silang magkaroon ng personal at malaking interes sa kaso. Sa konteksto ng katiwalian, maaaring may kinalaman ito sa isang batas o regulasyon na direktang nakakaapekto sa mga karapatan o kakayahan ng indibidwa"&amp;"l na panagutin ang pamahalaan. Halimbawa, ang isang batas na naghihigpit sa pag-access sa impormasyon ng pamahalaan ay maaaring hamunin ng isang taong nangangailangan ng impormasyong iyon upang ilantad ang katiwalian.
* **Mga Petisyon:** Ang isang indibid"&amp;"wal o grupo ay maaaring maghain ng petisyon para sa certiorari o isang petisyon para sa pagbabawal sa Korte Suprema. Hinihiling ng mga petisyon na ito sa Korte na suriin ang batas o regulasyon at tukuyin ang konstitusyonalidad nito.
**Mga Hamon at Pagsasa"&amp;"alang-alang:**
* **Gastos at pagiging kumplikado:** Ang paglilitis sa isang kaso sa Korte Suprema ay maaaring magastos at matagal. Maaaring kailanganin ng mga indibidwal o grupo na makakuha ng legal na representasyon at mag-navigate sa mga kumplikadong le"&amp;"gal na pamamaraan.
* **Rate ng tagumpay:** Hindi lahat ng hamon sa konstitusyonalidad ng mga batas ay matagumpay. Ang Korte Suprema ay may mataas na bar para sa paghahanap ng isang batas na labag sa konstitusyon. * **Mga alternatibong paraan:** Sa ilang m"&amp;"ga kaso, maaaring isaalang-alang ng mga indibidwal ang lobbying sa mga mambabatas na amyendahan ang batas o regulasyong pinag-uusapan. Maaari din nilang hangarin na itaas ang kamalayan ng publiko tungkol sa isyu sa paggigipit para sa pagbabago.
**Mga Hali"&amp;"mbawa:**
Ginamit ng Korte Suprema ang kapangyarihan nito ng judicial review para tanggalin ang mga batas at regulasyon na itinuring nitong labag sa konstitusyon. Bagama't walang kamakailang mataas na profile na mga kaso na direktang nauugnay sa mapaghamon"&amp;"g mga batas na nagpapadali sa katiwalian, narito ang ilang mas malawak na halimbawa:
* Sinira ng Korte ang mga batas na napatunayang lumalabag sa mga karapatan sa nararapat na proseso o mga garantiya ng pantay na proteksyon. Ang mga prinsipyong ito ay nak"&amp;"apaloob sa Konstitusyon at maaaring may kaugnayan sa mga kaso kung saan ang mga batas o regulasyon ay gumagawa ng mga butas para sa mga tiwaling gawain.
**Sa pangkalahatan, habang ang paghamon sa konstitusyonalidad ng mga batas ay isang masalimuot na pros"&amp;"eso, nananatili itong isang makapangyarihang kasangkapan para sa mga indibidwal upang labanan ang katiwalian ng pamahalaan sa Pilipinas.** Ang opsyong ito ay dapat isaalang-alang kasama ng iba pang mga estratehiya para sa pagtataguyod ng transparency at p"&amp;"ananagutan.")</f>
        <v>Oo, maaaring hamunin ng mga indibidwal sa Pilipinas ang konstitusyonalidad ng mga batas o regulasyon na nagpapadali o nagbibigay-daan sa katiwalian sa gobyerno sa pamamagitan ng legal na proseso na tinatawag na **judicial review**. Narito kung paano ito gumagana:
* **Saligang Batas ng Pilipinas:** Ang Artikulo VIII, Seksyon 1 ng 1987 Konstitusyon ng Pilipinas ay nagbibigay ng kapangyarihan sa Korte Suprema na suriin ang lahat ng batas at magpasya kung naaayon ang mga ito sa Konstitusyon. Kabilang dito ang kapangyarihang magdeklara ng mga batas na labag sa konstitusyon kung nilalabag ng mga ito ang mga pangunahing prinsipyo o mga partikular na probisyon ng Konstitusyon.
* **Locus Standi:** Upang hamunin ang isang batas, ang isang indibidwal ay dapat mayroong **locus standi**, na nangangahulugang dapat silang magkaroon ng personal at malaking interes sa kaso. Sa konteksto ng katiwalian, maaaring may kinalaman ito sa isang batas o regulasyon na direktang nakakaapekto sa mga karapatan o kakayahan ng indibidwal na panagutin ang pamahalaan. Halimbawa, ang isang batas na naghihigpit sa pag-access sa impormasyon ng pamahalaan ay maaaring hamunin ng isang taong nangangailangan ng impormasyong iyon upang ilantad ang katiwalian.
* **Mga Petisyon:** Ang isang indibidwal o grupo ay maaaring maghain ng petisyon para sa certiorari o isang petisyon para sa pagbabawal sa Korte Suprema. Hinihiling ng mga petisyon na ito sa Korte na suriin ang batas o regulasyon at tukuyin ang konstitusyonalidad nito.
**Mga Hamon at Pagsasaalang-alang:**
* **Gastos at pagiging kumplikado:** Ang paglilitis sa isang kaso sa Korte Suprema ay maaaring magastos at matagal. Maaaring kailanganin ng mga indibidwal o grupo na makakuha ng legal na representasyon at mag-navigate sa mga kumplikadong legal na pamamaraan.
* **Rate ng tagumpay:** Hindi lahat ng hamon sa konstitusyonalidad ng mga batas ay matagumpay. Ang Korte Suprema ay may mataas na bar para sa paghahanap ng isang batas na labag sa konstitusyon. * **Mga alternatibong paraan:** Sa ilang mga kaso, maaaring isaalang-alang ng mga indibidwal ang lobbying sa mga mambabatas na amyendahan ang batas o regulasyong pinag-uusapan. Maaari din nilang hangarin na itaas ang kamalayan ng publiko tungkol sa isyu sa paggigipit para sa pagbabago.
**Mga Halimbawa:**
Ginamit ng Korte Suprema ang kapangyarihan nito ng judicial review para tanggalin ang mga batas at regulasyon na itinuring nitong labag sa konstitusyon. Bagama't walang kamakailang mataas na profile na mga kaso na direktang nauugnay sa mapaghamong mga batas na nagpapadali sa katiwalian, narito ang ilang mas malawak na halimbawa:
* Sinira ng Korte ang mga batas na napatunayang lumalabag sa mga karapatan sa nararapat na proseso o mga garantiya ng pantay na proteksyon. Ang mga prinsipyong ito ay nakapaloob sa Konstitusyon at maaaring may kaugnayan sa mga kaso kung saan ang mga batas o regulasyon ay gumagawa ng mga butas para sa mga tiwaling gawain.
**Sa pangkalahatan, habang ang paghamon sa konstitusyonalidad ng mga batas ay isang masalimuot na proseso, nananatili itong isang makapangyarihang kasangkapan para sa mga indibidwal upang labanan ang katiwalian ng pamahalaan sa Pilipinas.** Ang opsyong ito ay dapat isaalang-alang kasama ng iba pang mga estratehiya para sa pagtataguyod ng transparency at pananagutan.</v>
      </c>
      <c r="F1206" s="2">
        <f t="shared" si="1"/>
        <v>0</v>
      </c>
      <c r="G1206" s="2"/>
      <c r="H1206" s="2"/>
      <c r="I1206" s="2"/>
      <c r="J1206" s="2"/>
      <c r="K1206" s="2"/>
      <c r="L1206" s="2"/>
      <c r="M1206" s="2"/>
      <c r="N1206" s="2"/>
      <c r="O1206" s="2"/>
      <c r="P1206" s="2"/>
      <c r="Q1206" s="2"/>
      <c r="R1206" s="2"/>
      <c r="S1206" s="2"/>
      <c r="T1206" s="2"/>
      <c r="U1206" s="2"/>
      <c r="V1206" s="2"/>
      <c r="W1206" s="2"/>
      <c r="X1206" s="2"/>
      <c r="Y1206" s="2"/>
      <c r="Z1206" s="2"/>
      <c r="AA1206" s="2"/>
    </row>
    <row r="1207">
      <c r="A1207" s="1" t="s">
        <v>3356</v>
      </c>
      <c r="B1207" s="1" t="s">
        <v>3579</v>
      </c>
      <c r="C1207" s="1" t="s">
        <v>3580</v>
      </c>
      <c r="D1207" s="2" t="str">
        <f>IFERROR(__xludf.DUMMYFUNCTION("GOOGLETRANSLATE(B1207, ""en"", ""TL"")"),"Paano nakakatulong ang transparency at accountability na hakbang sa loob ng gobyerno na maiwasan ang katiwalian, at anong mga legal na mekanismo ang umiiral upang ipatupad ang mga hakbang na ito?")</f>
        <v>Paano nakakatulong ang transparency at accountability na hakbang sa loob ng gobyerno na maiwasan ang katiwalian, at anong mga legal na mekanismo ang umiiral upang ipatupad ang mga hakbang na ito?</v>
      </c>
      <c r="E1207" s="2" t="str">
        <f>IFERROR(__xludf.DUMMYFUNCTION("GOOGLETRANSLATE(C1207, ""en"", ""TL"")"),"Ang mga hakbang sa transparency at accountability ay mahalagang kasangkapan sa pagpigil sa katiwalian sa loob ng gobyerno ng Pilipinas. Narito kung paano gumagana ang mga ito at ang mga legal na mekanismong nagpapatupad sa kanila:
**Transparency:**
* **Pi"&amp;"nipigilan ang Lihim:** Kapag ang mga desisyon at proseso ng gobyerno ay bukas sa pagsisiyasat ng publiko, nagiging mas mahirap para sa mga tiwaling aktibidad na mangyari sa mga anino. Maaaring subaybayan ng mga mamamayan ang paglalaan ng mapagkukunan, mga"&amp;" iginawad na kontrata, at opisyal na pag-uugali. Pinipigilan nito ang mga opisyal na abusuhin ang kanilang kapangyarihan para sa pansariling kapakanan.
** Pananagutan:**
* **Nagpapatibay ng Pananagutan:** Ang pag-alam na sila ay may pananagutan sa publiko"&amp;" at ang batas ay nag-uudyok sa mga opisyal ng pamahalaan na kumilos nang etikal at mahusay. Ang takot sa pagkakalantad at parusa ay nagsisilbing hadlang laban sa katiwalian.
* **Nagbibigay-kapangyarihan sa mga Mamamayan:** Ang transparency ay nagbibigay-d"&amp;"aan sa mga mamamayan na panagutin ang mga opisyal. Maaari silang maghain ng mga alalahanin, maghain ng mga reklamo, at lumahok sa pampublikong diskurso upang matiyak na ang mga aksyon ng pamahalaan ay naaayon sa interes ng publiko. **Mga Legal na Mekanism"&amp;"o para sa Transparency at Pananagutan:**
* **Saligang-Batas:** Ginagarantiyahan ng 1987 Konstitusyon ng Pilipinas ang karapatan sa impormasyon (Artikulo III, Seksyon 7) at nag-uutos ng pananagutan sa publiko (Artikulo I, Seksyon 1).
* **Freedom of Informa"&amp;"tion Act (RA 6713):** Tinitiyak ng batas na ito ang karapatan ng mga tao na ma-access ang impormasyon ng gobyerno, na nagtataguyod ng transparency sa paggawa ng desisyon at paglalaan ng mapagkukunan.
* **Karapatang Malaman, Karapatang Makilahok at Karapat"&amp;"ang Umunlad (RA 6734):** Hinihikayat ng batas na ito ang pakikilahok ng mga mamamayan sa mga proseso ng pamahalaan, na lalong nagpapalakas ng pananagutan.
* **Open Government Partnership (OGP Philippines):** Ito ay isang boluntaryong multi-stakeholder na "&amp;"inisyatiba na nagtataguyod ng transparency, partisipasyon, at pananagutan sa pamahalaan. * **Commission on Audit (COA):** Ang independiyenteng katawan na ito ay nag-audit sa mga ahensya ng gobyerno upang matiyak ang wastong paggamit ng mga pampublikong po"&amp;"ndo at matukoy ang mga potensyal na iregularidad.
* **Ombudsman (RA 6770):** Gaya ng nabanggit kanina, ang Opisina ng Ombudsman ay nag-iimbestiga sa mga reklamo laban sa mga opisyal ng gobyerno, nagsusulong ng pananagutan at humahadlang sa katiwalian.
**A"&amp;"ng tagumpay ng mga hakbang na ito ay umaasa sa aktibong pakikilahok ng mamamayan.** Sa pamamagitan ng paghingi ng transparency, paghahain ng mga reklamo, at pagpapanagot sa mga opisyal, ang mga Pilipino ay gumaganap ng mahalagang papel sa paglaban sa kati"&amp;"walian.")</f>
        <v>Ang mga hakbang sa transparency at accountability ay mahalagang kasangkapan sa pagpigil sa katiwalian sa loob ng gobyerno ng Pilipinas. Narito kung paano gumagana ang mga ito at ang mga legal na mekanismong nagpapatupad sa kanila:
**Transparency:**
* **Pinipigilan ang Lihim:** Kapag ang mga desisyon at proseso ng gobyerno ay bukas sa pagsisiyasat ng publiko, nagiging mas mahirap para sa mga tiwaling aktibidad na mangyari sa mga anino. Maaaring subaybayan ng mga mamamayan ang paglalaan ng mapagkukunan, mga iginawad na kontrata, at opisyal na pag-uugali. Pinipigilan nito ang mga opisyal na abusuhin ang kanilang kapangyarihan para sa pansariling kapakanan.
** Pananagutan:**
* **Nagpapatibay ng Pananagutan:** Ang pag-alam na sila ay may pananagutan sa publiko at ang batas ay nag-uudyok sa mga opisyal ng pamahalaan na kumilos nang etikal at mahusay. Ang takot sa pagkakalantad at parusa ay nagsisilbing hadlang laban sa katiwalian.
* **Nagbibigay-kapangyarihan sa mga Mamamayan:** Ang transparency ay nagbibigay-daan sa mga mamamayan na panagutin ang mga opisyal. Maaari silang maghain ng mga alalahanin, maghain ng mga reklamo, at lumahok sa pampublikong diskurso upang matiyak na ang mga aksyon ng pamahalaan ay naaayon sa interes ng publiko. **Mga Legal na Mekanismo para sa Transparency at Pananagutan:**
* **Saligang-Batas:** Ginagarantiyahan ng 1987 Konstitusyon ng Pilipinas ang karapatan sa impormasyon (Artikulo III, Seksyon 7) at nag-uutos ng pananagutan sa publiko (Artikulo I, Seksyon 1).
* **Freedom of Information Act (RA 6713):** Tinitiyak ng batas na ito ang karapatan ng mga tao na ma-access ang impormasyon ng gobyerno, na nagtataguyod ng transparency sa paggawa ng desisyon at paglalaan ng mapagkukunan.
* **Karapatang Malaman, Karapatang Makilahok at Karapatang Umunlad (RA 6734):** Hinihikayat ng batas na ito ang pakikilahok ng mga mamamayan sa mga proseso ng pamahalaan, na lalong nagpapalakas ng pananagutan.
* **Open Government Partnership (OGP Philippines):** Ito ay isang boluntaryong multi-stakeholder na inisyatiba na nagtataguyod ng transparency, partisipasyon, at pananagutan sa pamahalaan. * **Commission on Audit (COA):** Ang independiyenteng katawan na ito ay nag-audit sa mga ahensya ng gobyerno upang matiyak ang wastong paggamit ng mga pampublikong pondo at matukoy ang mga potensyal na iregularidad.
* **Ombudsman (RA 6770):** Gaya ng nabanggit kanina, ang Opisina ng Ombudsman ay nag-iimbestiga sa mga reklamo laban sa mga opisyal ng gobyerno, nagsusulong ng pananagutan at humahadlang sa katiwalian.
**Ang tagumpay ng mga hakbang na ito ay umaasa sa aktibong pakikilahok ng mamamayan.** Sa pamamagitan ng paghingi ng transparency, paghahain ng mga reklamo, at pagpapanagot sa mga opisyal, ang mga Pilipino ay gumaganap ng mahalagang papel sa paglaban sa katiwalian.</v>
      </c>
      <c r="F1207" s="2">
        <f t="shared" si="1"/>
        <v>0</v>
      </c>
      <c r="G1207" s="2"/>
      <c r="H1207" s="2"/>
      <c r="I1207" s="2"/>
      <c r="J1207" s="2"/>
      <c r="K1207" s="2"/>
      <c r="L1207" s="2"/>
      <c r="M1207" s="2"/>
      <c r="N1207" s="2"/>
      <c r="O1207" s="2"/>
      <c r="P1207" s="2"/>
      <c r="Q1207" s="2"/>
      <c r="R1207" s="2"/>
      <c r="S1207" s="2"/>
      <c r="T1207" s="2"/>
      <c r="U1207" s="2"/>
      <c r="V1207" s="2"/>
      <c r="W1207" s="2"/>
      <c r="X1207" s="2"/>
      <c r="Y1207" s="2"/>
      <c r="Z1207" s="2"/>
      <c r="AA1207" s="2"/>
    </row>
    <row r="1208">
      <c r="A1208" s="1" t="s">
        <v>3356</v>
      </c>
      <c r="B1208" s="1" t="s">
        <v>3581</v>
      </c>
      <c r="C1208" s="1" t="s">
        <v>3582</v>
      </c>
      <c r="D1208" s="2" t="str">
        <f>IFERROR(__xludf.DUMMYFUNCTION("GOOGLETRANSLATE(B1208, ""en"", ""TL"")"),"Anong papel ang ginagampanan ng mga independent oversight body o ethics commissions sa pagtukoy at pagpigil sa katiwalian sa loob ng gobyerno?")</f>
        <v>Anong papel ang ginagampanan ng mga independent oversight body o ethics commissions sa pagtukoy at pagpigil sa katiwalian sa loob ng gobyerno?</v>
      </c>
      <c r="E1208" s="2" t="str">
        <f>IFERROR(__xludf.DUMMYFUNCTION("GOOGLETRANSLATE(C1208, ""en"", ""TL"")"),"Ang mga independent oversight bodies at ethics commissions ay may mahalagang papel sa pagtukoy at pagpigil sa katiwalian sa loob ng gobyerno ng Pilipinas ayon sa iba't ibang batas at Konstitusyon. Narito ang isang breakdown ng kanilang mga function:
**Det"&amp;"ection:**
* **Mga Imbestigasyon:** Ang mga katawan na ito, tulad ng Opisina ng Ombudsman, ay may kapangyarihang mag-imbestiga sa mga reklamong inihain ng mga indibidwal laban sa mga opisyal ng gobyerno na pinaghihinalaan ng katiwalian (RA 6770, Seksyon 13"&amp;"). Kabilang dito ang pangangalap ng ebidensya, pakikipanayam sa mga saksi, at pagsasagawa ng mga pag-audit.
* **Paglalantad:** Sa pamamagitan ng pagsisiyasat at pagtuklas ng mga tiwaling gawi, ang mga komisyong ito ay naghahatid ng mga naturang gawain sa "&amp;"liwanag at pinapanagot ang mga may kasalanan. Ito ay humahadlang sa hinaharap na katiwalian at nagtataguyod ng transparency.
* **Proteksyon ng whistleblower:** Ang ilang mga oversight body, tulad ng Office of the Ombudsman, ay may mga mekanismo upang prot"&amp;"ektahan ang mga whistleblower na nag-uulat ng katiwalian (RA 6770). Hinihikayat nito ang mga indibidwal na magbigay ng impormasyon.
**Pag-iwas:**
* **Mga etikal na alituntunin:** Ang mga komisyon sa etika ay maaaring magtatag at magpatupad ng mga etikal n"&amp;"a kodigo ng pag-uugali para sa mga opisyal ng pamahalaan. Binabalangkas ng mga code na ito ang inaasahang pag-uugali at tumutulong na maiwasan ang mga salungatan ng interes, panunuhol, at iba pang mga tiwaling gawi. * **Transparency:** Sa pamamagitan ng p"&amp;"agsusulong ng transparency sa mga proseso ng gobyerno, ginagawang mas mahirap ng mga oversight body na mangyari ang katiwalian. Maaaring kabilang dito ang pagtiyak ng pampublikong access sa impormasyon at pagpapaunlad ng kultura ng pananagutan. * **Pampub"&amp;"likong edukasyon:** Maaaring turuan ng mga komisyong ito ang publiko tungkol sa kanilang mga karapatan at kung paano mag-ulat ng katiwalian. Nagbibigay ito ng kapangyarihan sa mga mamamayan na lumahok sa paglaban sa katiwalian.
**Ang Saligang Batas ng Pil"&amp;"ipinas (Artikulo XI) ay binibigyang-diin din ang papel ng isang independiyenteng serbisyo sibil** sa pagtataguyod ng isang burukrasya na malaya sa pagtangkilik sa pulitika at mga nakatalagang interes. Ito ay hindi direktang nakakatulong sa pagpigil sa kat"&amp;"iwalian sa pamamagitan ng pagtiyak ng isang meritokratikong sistema para sa pagtatrabaho sa gobyerno.
**Sa buod, ang mga independent oversight body at ethics commissions ay nagsisilbing tagapagbantay, humahadlang, at tagapagturo sa paglaban sa katiwalian "&amp;"sa pamahalaan.** Ang kanilang pinagsamang pagsisikap na may matibay na legal na balangkas at isang may kapangyarihang mamamayan ay maaaring makabuluhang bawasan ang mga katiwalian.")</f>
        <v>Ang mga independent oversight bodies at ethics commissions ay may mahalagang papel sa pagtukoy at pagpigil sa katiwalian sa loob ng gobyerno ng Pilipinas ayon sa iba't ibang batas at Konstitusyon. Narito ang isang breakdown ng kanilang mga function:
**Detection:**
* **Mga Imbestigasyon:** Ang mga katawan na ito, tulad ng Opisina ng Ombudsman, ay may kapangyarihang mag-imbestiga sa mga reklamong inihain ng mga indibidwal laban sa mga opisyal ng gobyerno na pinaghihinalaan ng katiwalian (RA 6770, Seksyon 13). Kabilang dito ang pangangalap ng ebidensya, pakikipanayam sa mga saksi, at pagsasagawa ng mga pag-audit.
* **Paglalantad:** Sa pamamagitan ng pagsisiyasat at pagtuklas ng mga tiwaling gawi, ang mga komisyong ito ay naghahatid ng mga naturang gawain sa liwanag at pinapanagot ang mga may kasalanan. Ito ay humahadlang sa hinaharap na katiwalian at nagtataguyod ng transparency.
* **Proteksyon ng whistleblower:** Ang ilang mga oversight body, tulad ng Office of the Ombudsman, ay may mga mekanismo upang protektahan ang mga whistleblower na nag-uulat ng katiwalian (RA 6770). Hinihikayat nito ang mga indibidwal na magbigay ng impormasyon.
**Pag-iwas:**
* **Mga etikal na alituntunin:** Ang mga komisyon sa etika ay maaaring magtatag at magpatupad ng mga etikal na kodigo ng pag-uugali para sa mga opisyal ng pamahalaan. Binabalangkas ng mga code na ito ang inaasahang pag-uugali at tumutulong na maiwasan ang mga salungatan ng interes, panunuhol, at iba pang mga tiwaling gawi. * **Transparency:** Sa pamamagitan ng pagsusulong ng transparency sa mga proseso ng gobyerno, ginagawang mas mahirap ng mga oversight body na mangyari ang katiwalian. Maaaring kabilang dito ang pagtiyak ng pampublikong access sa impormasyon at pagpapaunlad ng kultura ng pananagutan. * **Pampublikong edukasyon:** Maaaring turuan ng mga komisyong ito ang publiko tungkol sa kanilang mga karapatan at kung paano mag-ulat ng katiwalian. Nagbibigay ito ng kapangyarihan sa mga mamamayan na lumahok sa paglaban sa katiwalian.
**Ang Saligang Batas ng Pilipinas (Artikulo XI) ay binibigyang-diin din ang papel ng isang independiyenteng serbisyo sibil** sa pagtataguyod ng isang burukrasya na malaya sa pagtangkilik sa pulitika at mga nakatalagang interes. Ito ay hindi direktang nakakatulong sa pagpigil sa katiwalian sa pamamagitan ng pagtiyak ng isang meritokratikong sistema para sa pagtatrabaho sa gobyerno.
**Sa buod, ang mga independent oversight body at ethics commissions ay nagsisilbing tagapagbantay, humahadlang, at tagapagturo sa paglaban sa katiwalian sa pamahalaan.** Ang kanilang pinagsamang pagsisikap na may matibay na legal na balangkas at isang may kapangyarihang mamamayan ay maaaring makabuluhang bawasan ang mga katiwalian.</v>
      </c>
      <c r="F1208" s="2">
        <f t="shared" si="1"/>
        <v>0</v>
      </c>
      <c r="G1208" s="2"/>
      <c r="H1208" s="2"/>
      <c r="I1208" s="2"/>
      <c r="J1208" s="2"/>
      <c r="K1208" s="2"/>
      <c r="L1208" s="2"/>
      <c r="M1208" s="2"/>
      <c r="N1208" s="2"/>
      <c r="O1208" s="2"/>
      <c r="P1208" s="2"/>
      <c r="Q1208" s="2"/>
      <c r="R1208" s="2"/>
      <c r="S1208" s="2"/>
      <c r="T1208" s="2"/>
      <c r="U1208" s="2"/>
      <c r="V1208" s="2"/>
      <c r="W1208" s="2"/>
      <c r="X1208" s="2"/>
      <c r="Y1208" s="2"/>
      <c r="Z1208" s="2"/>
      <c r="AA1208" s="2"/>
    </row>
    <row r="1209">
      <c r="A1209" s="1" t="s">
        <v>3356</v>
      </c>
      <c r="B1209" s="1" t="s">
        <v>3583</v>
      </c>
      <c r="C1209" s="1" t="s">
        <v>3584</v>
      </c>
      <c r="D1209" s="2" t="str">
        <f>IFERROR(__xludf.DUMMYFUNCTION("GOOGLETRANSLATE(B1209, ""en"", ""TL"")"),"Maaari bang magsampa ng mga reklamo ang mga indibidwal sa mga ahensya ng regulasyon o mga komisyon sa etika upang imbestigahan ang mga paratang ng katiwalian sa pamahalaan?")</f>
        <v>Maaari bang magsampa ng mga reklamo ang mga indibidwal sa mga ahensya ng regulasyon o mga komisyon sa etika upang imbestigahan ang mga paratang ng katiwalian sa pamahalaan?</v>
      </c>
      <c r="E1209" s="2" t="str">
        <f>IFERROR(__xludf.DUMMYFUNCTION("GOOGLETRANSLATE(C1209, ""en"", ""TL"")"),"Oo, ang mga indibidwal ay maaaring magsampa ng mga reklamo sa mga ahensya ng regulasyon o mga komisyon sa etika upang imbestigahan ang mga paratang ng katiwalian ng pamahalaan sa Pilipinas. Narito ang sinasabi ng batas:
* **Ang Konstitusyon:** Ang 1987 Ko"&amp;"nstitusyon ng Pilipinas ay ginagarantiyahan ang karapatan ng mga tao sa impormasyon at ang karapatang lumahok sa proseso ng paggawa ng desisyon ng pamahalaan (Artikulo III, Seksyon 7 at 1). Ito ay maaaring bigyang kahulugan bilang pagbibigay sa mga mamama"&amp;"yan ng karapatang mag-ulat ng pinaghihinalaang katiwalian sa pamahalaan.
* **Republic Act No. 6770 (Ombudsman Act of 1988):** Lumilikha ang batas na ito ng Office of the Ombudsman, isang independiyenteng katawan na nag-iimbestiga sa mga reklamo laban sa m"&amp;"ga opisyal ng gobyerno, kabilang ang mga paratang ng katiwalian. Sinumang tao ay maaaring magsampa ng reklamo sa Ombudsman sa ilalim ng Seksyon 13 ng batas.
* **Republic Act No. 3019 (Anti-Graft and Corrupt Practices Act):** Tinutukoy at pinaparusahan ng "&amp;"batas na ito ang iba't ibang mga katiwalian ng mga opisyal ng gobyerno. Itinatag din nito ang Sandiganbayan, isang espesyal na hukuman na naglilitis ng mga kasong may kinalaman sa mga paglabag na ito. * **Iba pang ahensya:** Bukod sa Ombudsman, ang ilang "&amp;"ahensya ng gobyerno ay may sariling internal na mekanismo para sa pagtanggap at pag-iimbestiga ng mga reklamo laban sa kanilang mga tauhan. Maaaring kabilang dito ang mga komite sa etika o mga pamamaraan ng karaingan.
Narito ang ilang karagdagang punto na"&amp;" dapat isaalang-alang:
* **Ebidensya:** Kapag nagsampa ng reklamo, nakakatulong na magbigay ng ebidensya para suportahan ang iyong mga paratang. Maaaring kabilang dito ang mga dokumento, testimonya ng saksi, o mga recording.
* **Anonymity:** Habang ang Om"&amp;"budsman sa pangkalahatan ay nangangailangan ng pagkakakilanlan ng nagrereklamo, maaaring may mga pamamaraan para sa paghahain ng mga hindi kilalang reklamo sa ilang partikular na kaso.
Para sa higit pang impormasyon, maaari kang sumangguni sa mga sumusuno"&amp;"d na mapagkukunan:
* Website ng Office of the Ombudsman: [https://en.wikipedia.org/wiki/Ombudsman_of_the_Philippines](https://en.wikipedia.org/wiki/Ombudsman_of_the_Philippines)
* Ang website ng LawPhil Project, na nagbibigay ng libreng access sa mga bata"&amp;"s ng Pilipinas: [https://lawphil.net/](https://lawphil.net/)")</f>
        <v>Oo, ang mga indibidwal ay maaaring magsampa ng mga reklamo sa mga ahensya ng regulasyon o mga komisyon sa etika upang imbestigahan ang mga paratang ng katiwalian ng pamahalaan sa Pilipinas. Narito ang sinasabi ng batas:
* **Ang Konstitusyon:** Ang 1987 Konstitusyon ng Pilipinas ay ginagarantiyahan ang karapatan ng mga tao sa impormasyon at ang karapatang lumahok sa proseso ng paggawa ng desisyon ng pamahalaan (Artikulo III, Seksyon 7 at 1). Ito ay maaaring bigyang kahulugan bilang pagbibigay sa mga mamamayan ng karapatang mag-ulat ng pinaghihinalaang katiwalian sa pamahalaan.
* **Republic Act No. 6770 (Ombudsman Act of 1988):** Lumilikha ang batas na ito ng Office of the Ombudsman, isang independiyenteng katawan na nag-iimbestiga sa mga reklamo laban sa mga opisyal ng gobyerno, kabilang ang mga paratang ng katiwalian. Sinumang tao ay maaaring magsampa ng reklamo sa Ombudsman sa ilalim ng Seksyon 13 ng batas.
* **Republic Act No. 3019 (Anti-Graft and Corrupt Practices Act):** Tinutukoy at pinaparusahan ng batas na ito ang iba't ibang mga katiwalian ng mga opisyal ng gobyerno. Itinatag din nito ang Sandiganbayan, isang espesyal na hukuman na naglilitis ng mga kasong may kinalaman sa mga paglabag na ito. * **Iba pang ahensya:** Bukod sa Ombudsman, ang ilang ahensya ng gobyerno ay may sariling internal na mekanismo para sa pagtanggap at pag-iimbestiga ng mga reklamo laban sa kanilang mga tauhan. Maaaring kabilang dito ang mga komite sa etika o mga pamamaraan ng karaingan.
Narito ang ilang karagdagang punto na dapat isaalang-alang:
* **Ebidensya:** Kapag nagsampa ng reklamo, nakakatulong na magbigay ng ebidensya para suportahan ang iyong mga paratang. Maaaring kabilang dito ang mga dokumento, testimonya ng saksi, o mga recording.
* **Anonymity:** Habang ang Ombudsman sa pangkalahatan ay nangangailangan ng pagkakakilanlan ng nagrereklamo, maaaring may mga pamamaraan para sa paghahain ng mga hindi kilalang reklamo sa ilang partikular na kaso.
Para sa higit pang impormasyon, maaari kang sumangguni sa mga sumusunod na mapagkukunan:
* Website ng Office of the Ombudsman: [https://en.wikipedia.org/wiki/Ombudsman_of_the_Philippines](https://en.wikipedia.org/wiki/Ombudsman_of_the_Philippines)
* Ang website ng LawPhil Project, na nagbibigay ng libreng access sa mga batas ng Pilipinas: [https://lawphil.net/](https://lawphil.net/)</v>
      </c>
      <c r="F1209" s="2">
        <f t="shared" si="1"/>
        <v>0</v>
      </c>
      <c r="G1209" s="2"/>
      <c r="H1209" s="2"/>
      <c r="I1209" s="2"/>
      <c r="J1209" s="2"/>
      <c r="K1209" s="2"/>
      <c r="L1209" s="2"/>
      <c r="M1209" s="2"/>
      <c r="N1209" s="2"/>
      <c r="O1209" s="2"/>
      <c r="P1209" s="2"/>
      <c r="Q1209" s="2"/>
      <c r="R1209" s="2"/>
      <c r="S1209" s="2"/>
      <c r="T1209" s="2"/>
      <c r="U1209" s="2"/>
      <c r="V1209" s="2"/>
      <c r="W1209" s="2"/>
      <c r="X1209" s="2"/>
      <c r="Y1209" s="2"/>
      <c r="Z1209" s="2"/>
      <c r="AA1209" s="2"/>
    </row>
    <row r="1210">
      <c r="A1210" s="1" t="s">
        <v>3356</v>
      </c>
      <c r="B1210" s="1" t="s">
        <v>3585</v>
      </c>
      <c r="C1210" s="1" t="s">
        <v>3586</v>
      </c>
      <c r="D1210" s="2" t="str">
        <f>IFERROR(__xludf.DUMMYFUNCTION("GOOGLETRANSLATE(B1210, ""en"", ""TL"")"),"Paano kinokontrol ng mga batas sa pananalapi ng kampanya ang mga kontribusyon at paggasta sa pulitika upang maiwasan ang katiwalian sa loob ng gobyerno?")</f>
        <v>Paano kinokontrol ng mga batas sa pananalapi ng kampanya ang mga kontribusyon at paggasta sa pulitika upang maiwasan ang katiwalian sa loob ng gobyerno?</v>
      </c>
      <c r="E1210" s="2" t="str">
        <f>IFERROR(__xludf.DUMMYFUNCTION("GOOGLETRANSLATE(C1210, ""en"", ""TL"")"),"Ang Pilipinas ay may ilang mga batas at regulasyon na naglalayong i-regulate ang campaign finance at maiwasan ang katiwalian sa loob ng gobyerno. Narito ang isang breakdown ng mga pangunahing aspeto:
**Probisyon ng Konstitusyon:**
* **Artikulo IX-B, Seksy"&amp;"on 14 ng Konstitusyon:** Nag-uutos na ang Estado ay dapat **mag-regulate ng mga pinagmumulan ng pagpopondo at paggasta ng mga partidong pampulitika at kandidato**.
**Mahalagang Batas:**
* **Ang Omnibus Election Code (Comelec Code) - Republic Act No. 9040:"&amp;"**
* **Mga regulasyon sa pananalapi ng campaign:**
* **Mga limitasyon sa kontribusyon:** Nagtatakda ng **mga limitasyon sa halaga ng pera na maaaring ibigay ng mga indibidwal, korporasyon, at iba pang entity** sa mga kandidato at partidong pampulitika.
* "&amp;"**Pagsisiwalat ng kontribusyon:** Inaatasan ang mga kandidato at partidong pampulitika na **ibunyag ang pinagmulan at halaga ng lahat ng natanggap na kontribusyon**.
* **Mga limitasyon sa paggastos:** Nagtatatag ng **mga limitasyon sa paggastos** para sa "&amp;"mga kandidato, batay sa mga salik tulad ng posisyong pinaglalaban at ang bilang ng mga rehistradong botante.
* **Mga ipinagbabawal na kontribusyon:** Ipinagbabawal ang mga kontribusyon mula sa ilang partikular na mapagkukunan, gaya ng mga ahensya ng gobye"&amp;"rno, dayuhang entity, at hindi kilalang mga donor.
* **Ang Anti-Money Laundering Act (AMLA) - Republic Act No. 10365:**
* **Nilalabanan ang money laundering:** Ang batas na ito ay tumutulong sa **matukoy at maiwasan ang paggamit ng mga ilegal na pondo** s"&amp;"a pagpopondo sa kampanya.
**Mga Mekanismo ng Pagpapatupad:**
* **Ang Commission on Elections (Comelec):** Responsable sa **pagpapatupad ng mga regulasyon sa pananalapi ng kampanya** at pag-iimbestiga ng mga paglabag.
* **Mga Sanction:** Ang mga paglabag s"&amp;"a mga batas sa pananalapi ng kampanya ay maaaring magresulta sa iba't ibang mga parusa, kabilang ang **disqualification sa opisina, mga multa, at pagkakulong**.
**Mga Limitasyon at Hamon:**
* **Limitadong kapasidad sa pagpapatupad:** Nahaharap ang Comelec"&amp;" sa mga hamon sa epektibong pagsubaybay at pagpapatupad ng mga regulasyon sa pananalapi ng kampanya dahil sa mga hadlang sa mapagkukunan at kumplikadong proseso ng pagsisiyasat.
* **Mga butas at pag-iwas:** Nananatiling alalahanin ang paghahanap ng mga pa"&amp;"raan upang iwasan ang mga limitasyon sa kontribusyon at mga kinakailangan sa pagsisiwalat, gaya ng sa pamamagitan ng **mga donasyong cash na hindi dokumentado o mga pondo ng funneling sa pamamagitan ng mga third party**.
* **Pampublikong kamalayan:** Ang "&amp;"hindi sapat na pampublikong kamalayan tungkol sa mga regulasyon sa pananalapi ng kampanya at ang kahalagahan ng pagpapanagot sa mga kandidato para sa kanilang mga pinagmumulan ng pagpopondo ay maaaring makahadlang sa epektibong pagpapatupad.
**Kabuuan:**
"&amp;"Habang ang mga batas sa pananalapi ng kampanya sa Pilipinas ay naglalayong ayusin ang mga kontribusyon at paggasta sa pulitika upang maiwasan ang katiwalian, **nananatili ang mga hamon** sa pagtiyak ng kanilang epektibong pagpapatupad at pagtugon sa mga p"&amp;"otensyal na butas. Ang patuloy na pagsisikap tungo sa pagpapalakas ng mga mekanismo ng pagpapatupad, pagtataguyod ng transparency, at pagpapataas ng kamalayan ng publiko ay mahalaga para sa paglikha ng mas antas na larangan at pagbabawas ng impluwensya ng"&amp;" pera sa mga halalan sa Pilipinas.")</f>
        <v>Ang Pilipinas ay may ilang mga batas at regulasyon na naglalayong i-regulate ang campaign finance at maiwasan ang katiwalian sa loob ng gobyerno. Narito ang isang breakdown ng mga pangunahing aspeto:
**Probisyon ng Konstitusyon:**
* **Artikulo IX-B, Seksyon 14 ng Konstitusyon:** Nag-uutos na ang Estado ay dapat **mag-regulate ng mga pinagmumulan ng pagpopondo at paggasta ng mga partidong pampulitika at kandidato**.
**Mahalagang Batas:**
* **Ang Omnibus Election Code (Comelec Code) - Republic Act No. 9040:**
* **Mga regulasyon sa pananalapi ng campaign:**
* **Mga limitasyon sa kontribusyon:** Nagtatakda ng **mga limitasyon sa halaga ng pera na maaaring ibigay ng mga indibidwal, korporasyon, at iba pang entity** sa mga kandidato at partidong pampulitika.
* **Pagsisiwalat ng kontribusyon:** Inaatasan ang mga kandidato at partidong pampulitika na **ibunyag ang pinagmulan at halaga ng lahat ng natanggap na kontribusyon**.
* **Mga limitasyon sa paggastos:** Nagtatatag ng **mga limitasyon sa paggastos** para sa mga kandidato, batay sa mga salik tulad ng posisyong pinaglalaban at ang bilang ng mga rehistradong botante.
* **Mga ipinagbabawal na kontribusyon:** Ipinagbabawal ang mga kontribusyon mula sa ilang partikular na mapagkukunan, gaya ng mga ahensya ng gobyerno, dayuhang entity, at hindi kilalang mga donor.
* **Ang Anti-Money Laundering Act (AMLA) - Republic Act No. 10365:**
* **Nilalabanan ang money laundering:** Ang batas na ito ay tumutulong sa **matukoy at maiwasan ang paggamit ng mga ilegal na pondo** sa pagpopondo sa kampanya.
**Mga Mekanismo ng Pagpapatupad:**
* **Ang Commission on Elections (Comelec):** Responsable sa **pagpapatupad ng mga regulasyon sa pananalapi ng kampanya** at pag-iimbestiga ng mga paglabag.
* **Mga Sanction:** Ang mga paglabag sa mga batas sa pananalapi ng kampanya ay maaaring magresulta sa iba't ibang mga parusa, kabilang ang **disqualification sa opisina, mga multa, at pagkakulong**.
**Mga Limitasyon at Hamon:**
* **Limitadong kapasidad sa pagpapatupad:** Nahaharap ang Comelec sa mga hamon sa epektibong pagsubaybay at pagpapatupad ng mga regulasyon sa pananalapi ng kampanya dahil sa mga hadlang sa mapagkukunan at kumplikadong proseso ng pagsisiyasat.
* **Mga butas at pag-iwas:** Nananatiling alalahanin ang paghahanap ng mga paraan upang iwasan ang mga limitasyon sa kontribusyon at mga kinakailangan sa pagsisiwalat, gaya ng sa pamamagitan ng **mga donasyong cash na hindi dokumentado o mga pondo ng funneling sa pamamagitan ng mga third party**.
* **Pampublikong kamalayan:** Ang hindi sapat na pampublikong kamalayan tungkol sa mga regulasyon sa pananalapi ng kampanya at ang kahalagahan ng pagpapanagot sa mga kandidato para sa kanilang mga pinagmumulan ng pagpopondo ay maaaring makahadlang sa epektibong pagpapatupad.
**Kabuuan:**
Habang ang mga batas sa pananalapi ng kampanya sa Pilipinas ay naglalayong ayusin ang mga kontribusyon at paggasta sa pulitika upang maiwasan ang katiwalian, **nananatili ang mga hamon** sa pagtiyak ng kanilang epektibong pagpapatupad at pagtugon sa mga potensyal na butas. Ang patuloy na pagsisikap tungo sa pagpapalakas ng mga mekanismo ng pagpapatupad, pagtataguyod ng transparency, at pagpapataas ng kamalayan ng publiko ay mahalaga para sa paglikha ng mas antas na larangan at pagbabawas ng impluwensya ng pera sa mga halalan sa Pilipinas.</v>
      </c>
      <c r="F1210" s="2">
        <f t="shared" si="1"/>
        <v>0</v>
      </c>
      <c r="G1210" s="2"/>
      <c r="H1210" s="2"/>
      <c r="I1210" s="2"/>
      <c r="J1210" s="2"/>
      <c r="K1210" s="2"/>
      <c r="L1210" s="2"/>
      <c r="M1210" s="2"/>
      <c r="N1210" s="2"/>
      <c r="O1210" s="2"/>
      <c r="P1210" s="2"/>
      <c r="Q1210" s="2"/>
      <c r="R1210" s="2"/>
      <c r="S1210" s="2"/>
      <c r="T1210" s="2"/>
      <c r="U1210" s="2"/>
      <c r="V1210" s="2"/>
      <c r="W1210" s="2"/>
      <c r="X1210" s="2"/>
      <c r="Y1210" s="2"/>
      <c r="Z1210" s="2"/>
      <c r="AA1210" s="2"/>
    </row>
    <row r="1211">
      <c r="A1211" s="1" t="s">
        <v>3356</v>
      </c>
      <c r="B1211" s="1" t="s">
        <v>3587</v>
      </c>
      <c r="C1211" s="1" t="s">
        <v>3588</v>
      </c>
      <c r="D1211" s="2" t="str">
        <f>IFERROR(__xludf.DUMMYFUNCTION("GOOGLETRANSLATE(B1211, ""en"", ""TL"")"),"Maaari bang gumawa ng legal na aksyon ang mga indibidwal laban sa mga opisyal ng gobyerno na umaabuso sa kanilang kapangyarihan para sa personal na pakinabang o nakikibahagi sa nepotismo?")</f>
        <v>Maaari bang gumawa ng legal na aksyon ang mga indibidwal laban sa mga opisyal ng gobyerno na umaabuso sa kanilang kapangyarihan para sa personal na pakinabang o nakikibahagi sa nepotismo?</v>
      </c>
      <c r="E1211" s="2" t="str">
        <f>IFERROR(__xludf.DUMMYFUNCTION("GOOGLETRANSLATE(C1211, ""en"", ""TL"")"),"Sa Pilipinas, ang mga indibidwal **maaaring** gumawa ng legal na aksyon laban sa mga opisyal ng gobyerno na umaabuso sa kanilang kapangyarihan para sa personal na pakinabang o nakikisali sa nepotismo. Narito ang isang breakdown ng mga magagamit na paraan:"&amp;"
**Mga Batayang Legal:**
* **Anti-Graft and Corrupt Practices Act (RA 3019):** Ipinagbabawal ng batas na ito ang iba't ibang gawaing katiwalian ng mga pampublikong opisyal, kabilang ang:
* ****Direktang panunuhol:** Pag-aalok, pagbibigay, paghingi, o pagt"&amp;"anggap ng pera, regalo, o iba pang kalamangan kapalit ng isang paborableng aksyon.
* ****Di-tuwirang panunuhol:** Pag-aalok, pagbibigay, paghingi, o pagtanggap ng pera, regalo, o iba pang bentahe upang maimpluwensyahan ang opisyal na aksyon ng ibang tao.
"&amp;"* ****Malversation ng pampublikong pondo:** Maling paggamit o pag-convert ng mga pampublikong pondo o ari-arian para sa personal na pakinabang.
* ****Graft:** Nagiging sanhi ng hindi nararapat na pinsala sa pamahalaan o pagbibigay ng hindi nararapat na be"&amp;"nepisyo sa isang pribadong partido sa pamamagitan ng isang bahagyang bahagyang, hindi makatarungan, mapang-api, o labis na paggamit ng kapangyarihan.
* **Code of Conduct and Ethical Standards for Public Officials and Employees (RA 6713):** Isinasaad ng ba"&amp;"tas na ito ang mga pamantayang etikal na inaasahan sa mga pampublikong opisyal, kabilang ang pagbabawal sa nepotismo, na tinukoy bilang paghirang, pagtataguyod, o pagbibigay ng hindi nararapat na benepisyo sa mga kamag-anak sa gobyerno serbisyo.
**Pagsasa"&amp;"gawa ng Legal na Aksyon:**
* **Paghahain ng reklamo:** Ang mga indibidwal ay maaaring magsampa ng **reklamo** sa **Office of the Ombudsman**, isang independiyenteng katawan ng konstitusyon na may awtoridad na mag-imbestiga at mag-usig sa mga pampublikong "&amp;"opisyal para sa mga paglabag sa mga batas na ito.
* **Pagtitipon ng ebidensya:** Ang pagbibigay ng **kapani-paniwalang ebidensya** upang suportahan ang mga paratang, tulad ng mga dokumento, recording, o mga testimonya ng saksi, ay mahalaga para sa isang m"&amp;"atagumpay na reklamo.
* **Legal na representasyon:** Ang pagkonsulta sa isang abogado na dalubhasa sa batas laban sa katiwalian ay lubos na inirerekomenda para sa epektibong pag-navigate sa legal na proseso.
**Mga Hamon at Pagsasaalang-alang:**
* **Burden"&amp;" of proof:** Ang pasanin ng pagpapatunay sa pagkakamali ng opisyal ay nakasalalay sa indibidwal na nagsampa ng reklamo.
* **Makomplikadong legal na proseso:** Ang pagpapatuloy ng legal na aksyon ay maaaring **makaubos ng oras at masalimuot**, na nangangai"&amp;"langan ng pasensya at tiyaga.
* **Potensyal na paghihiganti:** Maaaring harapin ng mga indibidwal ang **paghihiganti** mula sa akusado na opisyal o kanilang mga kasama.
**Mga Alternatibong Pamamaraan:**
* **Pag-uulat sa iba pang mga katawan ng nangangasiw"&amp;"a:** Depende sa partikular na kaso, maaaring isaalang-alang din ng mga indibidwal ang pag-uulat ng pinaghihinalaang katiwalian sa iba pang nauugnay na ahensya tulad ng Commission on Audit (COA) o Civil Service Commission (CSC).
* **Pampublikong kamalayan:"&amp;"** Ang pagpapataas ng kamalayan ng publiko tungkol sa isyu sa pamamagitan ng media o mga grupo ng adbokasiya ay maaaring magbigay ng presyon sa mga awtoridad na kumilos.
**Konklusyon:**
Bagama't may mga legal na paraan para hamunin ng mga indibidwal ang m"&amp;"ga opisyal ng gobyerno na nakikisali sa mga tiwaling gawi o nepotismo, maaaring maging mahirap ang proseso. Ang pagkonsulta sa isang abogado, pangangalap ng ebidensya, at pag-unawa sa mga potensyal na kumplikado ay mahalaga bago ituloy ang legal na aksyon"&amp;". Bukod pa rito, ang paggalugad ng mga alternatibong paraan tulad ng pag-uulat sa mga katawan ng pangangasiwa o pagpapataas ng kamalayan sa publiko ay maaari ding mag-ambag sa pagpapanagot sa mga opisyal at paglaban sa katiwalian.")</f>
        <v>Sa Pilipinas, ang mga indibidwal **maaaring** gumawa ng legal na aksyon laban sa mga opisyal ng gobyerno na umaabuso sa kanilang kapangyarihan para sa personal na pakinabang o nakikisali sa nepotismo. Narito ang isang breakdown ng mga magagamit na paraan:
**Mga Batayang Legal:**
* **Anti-Graft and Corrupt Practices Act (RA 3019):** Ipinagbabawal ng batas na ito ang iba't ibang gawaing katiwalian ng mga pampublikong opisyal, kabilang ang:
* ****Direktang panunuhol:** Pag-aalok, pagbibigay, paghingi, o pagtanggap ng pera, regalo, o iba pang kalamangan kapalit ng isang paborableng aksyon.
* ****Di-tuwirang panunuhol:** Pag-aalok, pagbibigay, paghingi, o pagtanggap ng pera, regalo, o iba pang bentahe upang maimpluwensyahan ang opisyal na aksyon ng ibang tao.
* ****Malversation ng pampublikong pondo:** Maling paggamit o pag-convert ng mga pampublikong pondo o ari-arian para sa personal na pakinabang.
* ****Graft:** Nagiging sanhi ng hindi nararapat na pinsala sa pamahalaan o pagbibigay ng hindi nararapat na benepisyo sa isang pribadong partido sa pamamagitan ng isang bahagyang bahagyang, hindi makatarungan, mapang-api, o labis na paggamit ng kapangyarihan.
* **Code of Conduct and Ethical Standards for Public Officials and Employees (RA 6713):** Isinasaad ng batas na ito ang mga pamantayang etikal na inaasahan sa mga pampublikong opisyal, kabilang ang pagbabawal sa nepotismo, na tinukoy bilang paghirang, pagtataguyod, o pagbibigay ng hindi nararapat na benepisyo sa mga kamag-anak sa gobyerno serbisyo.
**Pagsasagawa ng Legal na Aksyon:**
* **Paghahain ng reklamo:** Ang mga indibidwal ay maaaring magsampa ng **reklamo** sa **Office of the Ombudsman**, isang independiyenteng katawan ng konstitusyon na may awtoridad na mag-imbestiga at mag-usig sa mga pampublikong opisyal para sa mga paglabag sa mga batas na ito.
* **Pagtitipon ng ebidensya:** Ang pagbibigay ng **kapani-paniwalang ebidensya** upang suportahan ang mga paratang, tulad ng mga dokumento, recording, o mga testimonya ng saksi, ay mahalaga para sa isang matagumpay na reklamo.
* **Legal na representasyon:** Ang pagkonsulta sa isang abogado na dalubhasa sa batas laban sa katiwalian ay lubos na inirerekomenda para sa epektibong pag-navigate sa legal na proseso.
**Mga Hamon at Pagsasaalang-alang:**
* **Burden of proof:** Ang pasanin ng pagpapatunay sa pagkakamali ng opisyal ay nakasalalay sa indibidwal na nagsampa ng reklamo.
* **Makomplikadong legal na proseso:** Ang pagpapatuloy ng legal na aksyon ay maaaring **makaubos ng oras at masalimuot**, na nangangailangan ng pasensya at tiyaga.
* **Potensyal na paghihiganti:** Maaaring harapin ng mga indibidwal ang **paghihiganti** mula sa akusado na opisyal o kanilang mga kasama.
**Mga Alternatibong Pamamaraan:**
* **Pag-uulat sa iba pang mga katawan ng nangangasiwa:** Depende sa partikular na kaso, maaaring isaalang-alang din ng mga indibidwal ang pag-uulat ng pinaghihinalaang katiwalian sa iba pang nauugnay na ahensya tulad ng Commission on Audit (COA) o Civil Service Commission (CSC).
* **Pampublikong kamalayan:** Ang pagpapataas ng kamalayan ng publiko tungkol sa isyu sa pamamagitan ng media o mga grupo ng adbokasiya ay maaaring magbigay ng presyon sa mga awtoridad na kumilos.
**Konklusyon:**
Bagama't may mga legal na paraan para hamunin ng mga indibidwal ang mga opisyal ng gobyerno na nakikisali sa mga tiwaling gawi o nepotismo, maaaring maging mahirap ang proseso. Ang pagkonsulta sa isang abogado, pangangalap ng ebidensya, at pag-unawa sa mga potensyal na kumplikado ay mahalaga bago ituloy ang legal na aksyon. Bukod pa rito, ang paggalugad ng mga alternatibong paraan tulad ng pag-uulat sa mga katawan ng pangangasiwa o pagpapataas ng kamalayan sa publiko ay maaari ding mag-ambag sa pagpapanagot sa mga opisyal at paglaban sa katiwalian.</v>
      </c>
      <c r="F1211" s="2">
        <f t="shared" si="1"/>
        <v>0</v>
      </c>
      <c r="G1211" s="2"/>
      <c r="H1211" s="2"/>
      <c r="I1211" s="2"/>
      <c r="J1211" s="2"/>
      <c r="K1211" s="2"/>
      <c r="L1211" s="2"/>
      <c r="M1211" s="2"/>
      <c r="N1211" s="2"/>
      <c r="O1211" s="2"/>
      <c r="P1211" s="2"/>
      <c r="Q1211" s="2"/>
      <c r="R1211" s="2"/>
      <c r="S1211" s="2"/>
      <c r="T1211" s="2"/>
      <c r="U1211" s="2"/>
      <c r="V1211" s="2"/>
      <c r="W1211" s="2"/>
      <c r="X1211" s="2"/>
      <c r="Y1211" s="2"/>
      <c r="Z1211" s="2"/>
      <c r="AA1211" s="2"/>
    </row>
    <row r="1212">
      <c r="A1212" s="1" t="s">
        <v>3356</v>
      </c>
      <c r="B1212" s="1" t="s">
        <v>3589</v>
      </c>
      <c r="C1212" s="1" t="s">
        <v>3590</v>
      </c>
      <c r="D1212" s="2" t="str">
        <f>IFERROR(__xludf.DUMMYFUNCTION("GOOGLETRANSLATE(B1212, ""en"", ""TL"")"),"Anong mga legal na proteksyon ang umiiral para sa mga indibidwal na humahamon sa katiwalian sa pamahalaan sa pamamagitan ng aktibismo o adbokasiya?")</f>
        <v>Anong mga legal na proteksyon ang umiiral para sa mga indibidwal na humahamon sa katiwalian sa pamahalaan sa pamamagitan ng aktibismo o adbokasiya?</v>
      </c>
      <c r="E1212" s="2" t="str">
        <f>IFERROR(__xludf.DUMMYFUNCTION("GOOGLETRANSLATE(C1212, ""en"", ""TL"")"),"Sa Pilipinas, ang mga legal na proteksyon para sa mga indibidwal na humahamon sa katiwalian sa gobyerno sa pamamagitan ng aktibismo o adbokasiya ay **limitado ngunit umuunlad**. Narito ang isang breakdown ng kasalukuyang landscape:
**Mga Kasalukuyang Prot"&amp;"eksyon:**
* **Kalayaan sa pagsasalita at pagpupulong:** Ginagarantiyahan ng Konstitusyon ng Pilipinas ang karapatan sa kalayaan sa pagsasalita at pagpupulong (Artikulo III, Seksyon 4 at 5). Nagbibigay ito ng **pangunahing legal na batayan** para sa mga in"&amp;"dibidwal na makisali sa mapayapang mga protesta, magpahayag ng hindi pagsang-ayon, at punahin ang mga patakaran o aksyon ng pamahalaan, kabilang ang mga nauugnay sa katiwalian.
* **Karapatan sa impormasyon:** Ang Right to Information (RTI) Law (Republic A"&amp;"ct No. 11201) ay nagbibigay sa mga mamamayan ng karapatang ma-access ang impormasyong hawak ng mga ahensya ng gobyerno. Nagbibigay ito ng kapangyarihan sa mga indibidwal na **magtipon ng impormasyon** tungkol sa mga aktibidad, badyet, at kontrata ng pamah"&amp;"alaan, na maaaring maging mahalaga sa paglalantad ng katiwalian at pagpapanagot sa mga awtoridad.
* **Mga batas sa proteksyon ng whistleblower:** Ang Witness Protection, Security and Benefits Act (Republic Act No. 6986) at ang Anti-Red Tape Act (Republic "&amp;"Act No. 8771) ay nag-aalok ng **ilang proteksyon** para sa mga indibidwal na nag-uulat ng katiwalian o maling gawain sa loob ng mga ahensya ng gobyerno. Gayunpaman, ang mga proteksyong ito ay maaaring **limitado** at mahirap i-access sa pagsasanay.
**Mga "&amp;"Hamon at Limitasyon:**
* **Limitadong pagpapatupad:** Habang umiiral ang mga legal na proteksyon, ang kanilang **epektibong pagpapatupad ay maaaring hindi magkatugma**. Ang mga indibidwal na nahaharap sa panliligalig, pananakot, o kahit na karahasan para "&amp;"sa kanilang aktibismo ay hindi karaniwan.
* **Red tape at bureaucratic hurdles:** Ang pag-access sa impormasyon sa pamamagitan ng RTI Law o paghingi ng proteksyon sa ilalim ng mga batas ng whistleblower ay maaaring may kasamang **mga kumplikadong pamamara"&amp;"an at burukratikong pagkaantala**, na nagpapahirap sa mga indibidwal na gamitin ang kanilang mga karapatan nang epektibo.
* **Kakulangan ng partikular na batas:** Kasalukuyang kulang ang Pilipinas **komprehensibong batas** na partikular na nagpoprotekta s"&amp;"a mga indibidwal na nakikibahagi sa aktibismo o adbokasiya laban sa katiwalian. Dahil dito, nagiging bulnerable sila sa iba't ibang anyo ng panliligalig, pananakot, o kahit na mga legal na kaso sa ilang pagkakataon.
**Mga Positibong Pag-unlad:**
* **Tumat"&amp;"aas na kamalayan:** Mayroong tumataas na **pampublikong kamalayan at suporta** para sa pagprotekta sa mga indibidwal na nagsasalita laban sa katiwalian.
* **Mga hakbangin sa pambatasan:** Ang mga panukala para sa **pagpapalakas ng proteksyon ng whistleblo"&amp;"wer** at pagpapatibay ng partikular na batas upang pangalagaan ang mga karapatan ng mga tagapagtaguyod laban sa katiwalian ay tinatalakay.
**Mga Rekomendasyon:**
* **Pagdodokumento ng mga pang-aabuso:** Ang mga indibidwal na nakikibahagi sa aktibismo laba"&amp;"n sa katiwalian ay dapat **magdokumento ng anumang mga pagkakataon ng panliligalig, pananakot, o pagbabanta** na kanilang kinakaharap. Ang dokumentasyong ito ay maaaring maging mahalaga para sa paghingi ng legal na paraan o pagtataguyod para sa mas matiba"&amp;"y na mga proteksyon.
* **Paghahangad ng legal na suporta:** Ang pagkonsulta sa **mga abogadong dalubhasa sa mga karapatang pantao at paglilitis sa interes ng publiko** ay maaaring maging mahalaga para sa pag-unawa sa mga legal na karapatan, pag-navigate s"&amp;"a mga potensyal na hamon, at paghahanap ng mga legal na remedyo kung kinakailangan.
* **Pakikipag-ugnayan sa mga organisasyon ng civil society:** Ang pakikipagtulungan sa **mga organisasyon ng civil society** na nagtatrabaho sa mga isyu laban sa katiwalia"&amp;"n at karapatang pantao ay maaaring magbigay ng suporta, mapagkukunan, at pagkakataon para sa sama-samang pagkilos.
**Konklusyon:**
Habang ang mga legal na proteksyon para sa mga indibidwal na humahamon sa katiwalian sa gobyerno sa Pilipinas ay **limitado "&amp;"at umuunlad**, iba't ibang mga hakbangin at lumalagong kamalayan ang nagbibigay daan para sa isang mas magandang kapaligiran para sa anti-korapsyon na aktibismo at adbokasiya. Gayunpaman, ang **pagiingat, dokumentasyon, at paghahanap ng suporta** ay nanan"&amp;"atiling mahalaga para sa mga indibidwal na nakikibahagi sa kritikal na gawaing ito.")</f>
        <v>Sa Pilipinas, ang mga legal na proteksyon para sa mga indibidwal na humahamon sa katiwalian sa gobyerno sa pamamagitan ng aktibismo o adbokasiya ay **limitado ngunit umuunlad**. Narito ang isang breakdown ng kasalukuyang landscape:
**Mga Kasalukuyang Proteksyon:**
* **Kalayaan sa pagsasalita at pagpupulong:** Ginagarantiyahan ng Konstitusyon ng Pilipinas ang karapatan sa kalayaan sa pagsasalita at pagpupulong (Artikulo III, Seksyon 4 at 5). Nagbibigay ito ng **pangunahing legal na batayan** para sa mga indibidwal na makisali sa mapayapang mga protesta, magpahayag ng hindi pagsang-ayon, at punahin ang mga patakaran o aksyon ng pamahalaan, kabilang ang mga nauugnay sa katiwalian.
* **Karapatan sa impormasyon:** Ang Right to Information (RTI) Law (Republic Act No. 11201) ay nagbibigay sa mga mamamayan ng karapatang ma-access ang impormasyong hawak ng mga ahensya ng gobyerno. Nagbibigay ito ng kapangyarihan sa mga indibidwal na **magtipon ng impormasyon** tungkol sa mga aktibidad, badyet, at kontrata ng pamahalaan, na maaaring maging mahalaga sa paglalantad ng katiwalian at pagpapanagot sa mga awtoridad.
* **Mga batas sa proteksyon ng whistleblower:** Ang Witness Protection, Security and Benefits Act (Republic Act No. 6986) at ang Anti-Red Tape Act (Republic Act No. 8771) ay nag-aalok ng **ilang proteksyon** para sa mga indibidwal na nag-uulat ng katiwalian o maling gawain sa loob ng mga ahensya ng gobyerno. Gayunpaman, ang mga proteksyong ito ay maaaring **limitado** at mahirap i-access sa pagsasanay.
**Mga Hamon at Limitasyon:**
* **Limitadong pagpapatupad:** Habang umiiral ang mga legal na proteksyon, ang kanilang **epektibong pagpapatupad ay maaaring hindi magkatugma**. Ang mga indibidwal na nahaharap sa panliligalig, pananakot, o kahit na karahasan para sa kanilang aktibismo ay hindi karaniwan.
* **Red tape at bureaucratic hurdles:** Ang pag-access sa impormasyon sa pamamagitan ng RTI Law o paghingi ng proteksyon sa ilalim ng mga batas ng whistleblower ay maaaring may kasamang **mga kumplikadong pamamaraan at burukratikong pagkaantala**, na nagpapahirap sa mga indibidwal na gamitin ang kanilang mga karapatan nang epektibo.
* **Kakulangan ng partikular na batas:** Kasalukuyang kulang ang Pilipinas **komprehensibong batas** na partikular na nagpoprotekta sa mga indibidwal na nakikibahagi sa aktibismo o adbokasiya laban sa katiwalian. Dahil dito, nagiging bulnerable sila sa iba't ibang anyo ng panliligalig, pananakot, o kahit na mga legal na kaso sa ilang pagkakataon.
**Mga Positibong Pag-unlad:**
* **Tumataas na kamalayan:** Mayroong tumataas na **pampublikong kamalayan at suporta** para sa pagprotekta sa mga indibidwal na nagsasalita laban sa katiwalian.
* **Mga hakbangin sa pambatasan:** Ang mga panukala para sa **pagpapalakas ng proteksyon ng whistleblower** at pagpapatibay ng partikular na batas upang pangalagaan ang mga karapatan ng mga tagapagtaguyod laban sa katiwalian ay tinatalakay.
**Mga Rekomendasyon:**
* **Pagdodokumento ng mga pang-aabuso:** Ang mga indibidwal na nakikibahagi sa aktibismo laban sa katiwalian ay dapat **magdokumento ng anumang mga pagkakataon ng panliligalig, pananakot, o pagbabanta** na kanilang kinakaharap. Ang dokumentasyong ito ay maaaring maging mahalaga para sa paghingi ng legal na paraan o pagtataguyod para sa mas matibay na mga proteksyon.
* **Paghahangad ng legal na suporta:** Ang pagkonsulta sa **mga abogadong dalubhasa sa mga karapatang pantao at paglilitis sa interes ng publiko** ay maaaring maging mahalaga para sa pag-unawa sa mga legal na karapatan, pag-navigate sa mga potensyal na hamon, at paghahanap ng mga legal na remedyo kung kinakailangan.
* **Pakikipag-ugnayan sa mga organisasyon ng civil society:** Ang pakikipagtulungan sa **mga organisasyon ng civil society** na nagtatrabaho sa mga isyu laban sa katiwalian at karapatang pantao ay maaaring magbigay ng suporta, mapagkukunan, at pagkakataon para sa sama-samang pagkilos.
**Konklusyon:**
Habang ang mga legal na proteksyon para sa mga indibidwal na humahamon sa katiwalian sa gobyerno sa Pilipinas ay **limitado at umuunlad**, iba't ibang mga hakbangin at lumalagong kamalayan ang nagbibigay daan para sa isang mas magandang kapaligiran para sa anti-korapsyon na aktibismo at adbokasiya. Gayunpaman, ang **pagiingat, dokumentasyon, at paghahanap ng suporta** ay nananatiling mahalaga para sa mga indibidwal na nakikibahagi sa kritikal na gawaing ito.</v>
      </c>
      <c r="F1212" s="2">
        <f t="shared" si="1"/>
        <v>0</v>
      </c>
      <c r="G1212" s="2"/>
      <c r="H1212" s="2"/>
      <c r="I1212" s="2"/>
      <c r="J1212" s="2"/>
      <c r="K1212" s="2"/>
      <c r="L1212" s="2"/>
      <c r="M1212" s="2"/>
      <c r="N1212" s="2"/>
      <c r="O1212" s="2"/>
      <c r="P1212" s="2"/>
      <c r="Q1212" s="2"/>
      <c r="R1212" s="2"/>
      <c r="S1212" s="2"/>
      <c r="T1212" s="2"/>
      <c r="U1212" s="2"/>
      <c r="V1212" s="2"/>
      <c r="W1212" s="2"/>
      <c r="X1212" s="2"/>
      <c r="Y1212" s="2"/>
      <c r="Z1212" s="2"/>
      <c r="AA1212" s="2"/>
    </row>
    <row r="1213">
      <c r="A1213" s="1" t="s">
        <v>3356</v>
      </c>
      <c r="B1213" s="1" t="s">
        <v>3591</v>
      </c>
      <c r="C1213" s="1" t="s">
        <v>3592</v>
      </c>
      <c r="D1213" s="2" t="str">
        <f>IFERROR(__xludf.DUMMYFUNCTION("GOOGLETRANSLATE(B1213, ""en"", ""TL"")"),"Maaari bang idemanda ng mga indibidwal ang mga entidad ng gobyerno dahil sa hindi pag-iwas o pagtugon sa mga kaso ng katiwalian sa loob ng kanilang nasasakupan?")</f>
        <v>Maaari bang idemanda ng mga indibidwal ang mga entidad ng gobyerno dahil sa hindi pag-iwas o pagtugon sa mga kaso ng katiwalian sa loob ng kanilang nasasakupan?</v>
      </c>
      <c r="E1213" s="2" t="str">
        <f>IFERROR(__xludf.DUMMYFUNCTION("GOOGLETRANSLATE(C1213, ""en"", ""TL"")"),"Sa Pilipinas, **limitado at masalimuot** ang kakayahan ng mga indibidwal na maghabla sa mga entidad ng gobyerno dahil sa hindi pagpigil o pagtugon sa mga kaso ng katiwalian sa loob ng kanilang nasasakupan. Narito ang isang breakdown ng mga nauugnay na sal"&amp;"ik:
**Mga Limitadong Batayan para sa Pagdemanda:**
* **Sovereign immunity:** Sa pangkalahatan, ang mga entity ng gobyerno sa Pilipinas ay nagtatamasa ng **sovereign immunity**, na pumoprotekta sa kanila mula sa mga demanda para sa kanilang mga aksyo"&amp;"n, maliban sa mga partikular na pangyayari na binalangkas ng batas.
* **Mga demanda na nakabatay sa mandato:** Ang mga indibidwal ay kadalasang makakapagdemanda lamang sa mga entidad ng pamahalaan kapag ang kanilang **mga partikular na legal na karapatan"&amp;" ay nilabag** dahil sa kabiguan ng entidad na tuparin ang mga tungkuling ipinag-uutos nito.
**Mga Potensyal na Avenue:**
* **Mandamus:** Ang mga indibidwal ay maaaring potensyal na maghain ng **writ of mandamus** upang pilitin ang isang entity ng go"&amp;"byerno na gawin ang isang **legal na ipinag-uutos na tungkulin**. Gayunpaman, ang pagpapakita ng isang malinaw na legal na tungkulin upang maiwasan o matugunan ang katiwalian at isang direktang paglabag sa tungkuling iyon ng entity ay maaaring maging hamo"&amp;"n.
* **Mga claim sa tort:** Sa mga partikular na pagkakataon, maaaring maghain ang mga indibidwal ng mga claim sa tort laban sa mga entity ng gobyerno para sa **kapabayaan o paglabag sa tungkulin** na nagresulta sa pinsala. Gayunpaman, ang pagpapatunay s"&amp;"a mga naturang pahayag sa konteksto ng pag-iwas o pagtugon sa katiwalian ay kadalasang kumplikado at nangangailangan ng pagpapakita ng isang malinaw na sanhi ng ugnayan sa pagitan ng mga aksyon ng entidad at ang pinsalang dinanas ng indibidwal.
**Mga H"&amp;"amon at Pagsasaalang-alang:**
* **Burden of proof:** Ang pasanin ng pagpapatunay na nabigo ang entity ng gobyerno na tuparin ang ipinag-uutos nitong tungkulin at ang pagkabigo na ito ay direktang nagdulot ng pinsala sa indibidwal ay nakasalalay sa indi"&amp;"bidwal na nagsampa ng kaso.
* **Mga kumplikado ng katiwalian:** Ang pag-uukol ng responsibilidad at pagpapatunay ng sanhi sa mga kaso na kinasasangkutan ng laganap o sistematikong katiwalian ay maaaring maging lubhang mahirap.
* **Limited precedent:** M"&amp;"ay limitadong legal na precedent sa Pilipinas hinggil sa mga indibidwal na demanda laban sa mga entidad ng gobyerno partikular sa hindi pag-iwas o pagtugon sa katiwalian.
**Mga Alternatibong Pamamaraan:**
* **Paghahain ng mga reklamo sa mga nauugnay"&amp;" na katawan ng nangangasiwa:** Maaaring magsampa ng mga reklamo ang mga indibidwal sa mga ahensya tulad ng Office of the Ombudsman o Commission on Audit, na may awtoridad na mag-imbestiga ng mga paratang ng katiwalian at panagutin ang mga opisyal ng gobye"&amp;"rno.
* **Adbokasiya at panggigipit ng publiko:** Ang pagsali sa mga pagsusumikap sa adbokasiya at pagpapataas ng kamalayan ng publiko tungkol sa mga isyu sa katiwalian ay maaaring maglagay ng panggigipit sa mga entidad ng gobyerno na kumilos.
* **Pagsup"&amp;"orta sa mga repormang pambatasan:** Ang pagtataguyod para sa mga repormang pambatasan na nagpapalakas ng mga hakbang laban sa katiwalian at nagtataguyod ng higit na transparency at pananagutan sa loob ng mga entidad ng gobyerno ay maaaring mag-ambag sa is"&amp;"ang mas maagap na diskarte sa paglaban sa katiwalian.
**Konklusyon:**
Habang ang direktang pagdemanda sa mga entidad ng gobyerno dahil sa hindi pagpigil o pagtugon sa katiwalian ay maaaring maging hamon sa Pilipinas, ang mga indibidwal ay may **mga "&amp;"alternatibong paraan** upang panagutin ang mga awtoridad at mag-ambag sa mas malawak na pagsisikap na labanan ang katiwalian. Ang pagkonsulta sa isang abogadong dalubhasa sa batas na pang-administratibo at paglilitis sa interes ng publiko ay maaaring magb"&amp;"igay ng karagdagang gabay sa mga partikular na opsyon at limitasyon na naaangkop sa bawat kaso.
Mahalagang tandaan na ang impormasyong ito ay para sa pangkalahatang layuning pang-impormasyon lamang at hindi dapat ituring bilang legal na payo. Ang parti"&amp;"kular na legal na tanawin at mga potensyal na paraan para sa mga indibidwal sa ganitong mga sitwasyon ay maaaring mag-iba depende sa mga pangyayari at mga naaangkop na batas.")</f>
        <v>Sa Pilipinas, **limitado at masalimuot** ang kakayahan ng mga indibidwal na maghabla sa mga entidad ng gobyerno dahil sa hindi pagpigil o pagtugon sa mga kaso ng katiwalian sa loob ng kanilang nasasakupan. Narito ang isang breakdown ng mga nauugnay na salik:
**Mga Limitadong Batayan para sa Pagdemanda:**
* **Sovereign immunity:** Sa pangkalahatan, ang mga entity ng gobyerno sa Pilipinas ay nagtatamasa ng **sovereign immunity**, na pumoprotekta sa kanila mula sa mga demanda para sa kanilang mga aksyon, maliban sa mga partikular na pangyayari na binalangkas ng batas.
* **Mga demanda na nakabatay sa mandato:** Ang mga indibidwal ay kadalasang makakapagdemanda lamang sa mga entidad ng pamahalaan kapag ang kanilang **mga partikular na legal na karapatan ay nilabag** dahil sa kabiguan ng entidad na tuparin ang mga tungkuling ipinag-uutos nito.
**Mga Potensyal na Avenue:**
* **Mandamus:** Ang mga indibidwal ay maaaring potensyal na maghain ng **writ of mandamus** upang pilitin ang isang entity ng gobyerno na gawin ang isang **legal na ipinag-uutos na tungkulin**. Gayunpaman, ang pagpapakita ng isang malinaw na legal na tungkulin upang maiwasan o matugunan ang katiwalian at isang direktang paglabag sa tungkuling iyon ng entity ay maaaring maging hamon.
* **Mga claim sa tort:** Sa mga partikular na pagkakataon, maaaring maghain ang mga indibidwal ng mga claim sa tort laban sa mga entity ng gobyerno para sa **kapabayaan o paglabag sa tungkulin** na nagresulta sa pinsala. Gayunpaman, ang pagpapatunay sa mga naturang pahayag sa konteksto ng pag-iwas o pagtugon sa katiwalian ay kadalasang kumplikado at nangangailangan ng pagpapakita ng isang malinaw na sanhi ng ugnayan sa pagitan ng mga aksyon ng entidad at ang pinsalang dinanas ng indibidwal.
**Mga Hamon at Pagsasaalang-alang:**
* **Burden of proof:** Ang pasanin ng pagpapatunay na nabigo ang entity ng gobyerno na tuparin ang ipinag-uutos nitong tungkulin at ang pagkabigo na ito ay direktang nagdulot ng pinsala sa indibidwal ay nakasalalay sa indibidwal na nagsampa ng kaso.
* **Mga kumplikado ng katiwalian:** Ang pag-uukol ng responsibilidad at pagpapatunay ng sanhi sa mga kaso na kinasasangkutan ng laganap o sistematikong katiwalian ay maaaring maging lubhang mahirap.
* **Limited precedent:** May limitadong legal na precedent sa Pilipinas hinggil sa mga indibidwal na demanda laban sa mga entidad ng gobyerno partikular sa hindi pag-iwas o pagtugon sa katiwalian.
**Mga Alternatibong Pamamaraan:**
* **Paghahain ng mga reklamo sa mga nauugnay na katawan ng nangangasiwa:** Maaaring magsampa ng mga reklamo ang mga indibidwal sa mga ahensya tulad ng Office of the Ombudsman o Commission on Audit, na may awtoridad na mag-imbestiga ng mga paratang ng katiwalian at panagutin ang mga opisyal ng gobyerno.
* **Adbokasiya at panggigipit ng publiko:** Ang pagsali sa mga pagsusumikap sa adbokasiya at pagpapataas ng kamalayan ng publiko tungkol sa mga isyu sa katiwalian ay maaaring maglagay ng panggigipit sa mga entidad ng gobyerno na kumilos.
* **Pagsuporta sa mga repormang pambatasan:** Ang pagtataguyod para sa mga repormang pambatasan na nagpapalakas ng mga hakbang laban sa katiwalian at nagtataguyod ng higit na transparency at pananagutan sa loob ng mga entidad ng gobyerno ay maaaring mag-ambag sa isang mas maagap na diskarte sa paglaban sa katiwalian.
**Konklusyon:**
Habang ang direktang pagdemanda sa mga entidad ng gobyerno dahil sa hindi pagpigil o pagtugon sa katiwalian ay maaaring maging hamon sa Pilipinas, ang mga indibidwal ay may **mga alternatibong paraan** upang panagutin ang mga awtoridad at mag-ambag sa mas malawak na pagsisikap na labanan ang katiwalian. Ang pagkonsulta sa isang abogadong dalubhasa sa batas na pang-administratibo at paglilitis sa interes ng publiko ay maaaring magbigay ng karagdagang gabay sa mga partikular na opsyon at limitasyon na naaangkop sa bawat kaso.
Mahalagang tandaan na ang impormasyong ito ay para sa pangkalahatang layuning pang-impormasyon lamang at hindi dapat ituring bilang legal na payo. Ang partikular na legal na tanawin at mga potensyal na paraan para sa mga indibidwal sa ganitong mga sitwasyon ay maaaring mag-iba depende sa mga pangyayari at mga naaangkop na batas.</v>
      </c>
      <c r="F1213" s="2">
        <f t="shared" si="1"/>
        <v>0</v>
      </c>
      <c r="G1213" s="2"/>
      <c r="H1213" s="2"/>
      <c r="I1213" s="2"/>
      <c r="J1213" s="2"/>
      <c r="K1213" s="2"/>
      <c r="L1213" s="2"/>
      <c r="M1213" s="2"/>
      <c r="N1213" s="2"/>
      <c r="O1213" s="2"/>
      <c r="P1213" s="2"/>
      <c r="Q1213" s="2"/>
      <c r="R1213" s="2"/>
      <c r="S1213" s="2"/>
      <c r="T1213" s="2"/>
      <c r="U1213" s="2"/>
      <c r="V1213" s="2"/>
      <c r="W1213" s="2"/>
      <c r="X1213" s="2"/>
      <c r="Y1213" s="2"/>
      <c r="Z1213" s="2"/>
      <c r="AA1213" s="2"/>
    </row>
    <row r="1214">
      <c r="A1214" s="1" t="s">
        <v>3356</v>
      </c>
      <c r="B1214" s="1" t="s">
        <v>3593</v>
      </c>
      <c r="C1214" s="1" t="s">
        <v>3594</v>
      </c>
      <c r="D1214" s="2" t="str">
        <f>IFERROR(__xludf.DUMMYFUNCTION("GOOGLETRANSLATE(B1214, ""en"", ""TL"")"),"Paano nakakasama ang plea bargain at immunity agreement sa pag-uusig ng mga kaso ng katiwalian sa loob ng gobyerno?")</f>
        <v>Paano nakakasama ang plea bargain at immunity agreement sa pag-uusig ng mga kaso ng katiwalian sa loob ng gobyerno?</v>
      </c>
      <c r="E1214" s="2" t="str">
        <f>IFERROR(__xludf.DUMMYFUNCTION("GOOGLETRANSLATE(C1214, ""en"", ""TL"")"),"Ang mga plea bargain at immunity agreement ay maaaring gumanap ng isang kumplikado at **kontrobersyal na papel** sa pag-uusig ng mga kaso ng katiwalian sa loob ng pamahalaan. Narito ang isang breakdown ng kanilang mga potensyal na benepisyo at kawalan:
**"&amp;"Plea Bargains:**
**Mga Pakinabang:**
* **Pag-secure ng mga convictions:** Plea bargains ay makakatulong sa secure na convictions, lalo na sa mga kumplikadong kaso kung saan ang pagkuha ng sapat na ebidensya para sa isang matagumpay na pagsubok ay maaaring"&amp;" maging mahirap.
* **Pinabilis na paglutas:** Maaari nilang mapabilis ang paglutas ng mga kaso, makatipid ng oras at mapagkukunan kumpara sa mahahabang pagsubok.
* **Pagkuha ng kooperasyon:** Bilang kapalit ng pagpapaubaya, maaaring sumang-ayon ang mga na"&amp;"sasakdal na makipagtulungan sa mga imbestigador at tagausig, na nagbibigay ng mahalagang impormasyon tungkol sa ibang mga indibidwal na sangkot sa katiwalian o mas malawak na mga pakana.
**Mga Kakulangan:**
* **Kaluwagan para sa maling gawain:** Ipinagtat"&amp;"alo ng mga kritiko na ang plea bargain ay maaaring mag-alok ng kaluwagan sa mga tiwaling opisyal, na posibleng makasira sa tiwala ng publiko sa sistema ng hustisya.
* **Limitadong pananagutan:** Ang buong lawak ng katiwalian at ang pagkakasangkot ng ibang"&amp;" mga indibidwal ay maaaring hindi ganap na mahayag kung ang nasasakdal ay umamin ng pagkakasala sa mas mababang mga kaso.
* **Pampublikong persepsyon:** Maaaring negatibo ang pang-unawa ng publiko sa mga plea bargain sa mga kaso ng katiwalian, na nagpapat"&amp;"aas ng mga alalahanin tungkol sa pagiging patas at kaluwagan sa mga makapangyarihang indibidwal.
**Mga Kasunduan sa Imyunidad:**
**Mga Pakinabang:**
* **Pagtuklas ng mas malawak na mga pakana:** Ang pag-aalok ng kaligtasan sa isang mas mababang antas na o"&amp;"pisyal ay maaaring mag-udyok sa kanila na makipagtulungan at magbigay ng mahalagang impormasyon tungkol sa utak o mas malawak na tiwaling aktibidad sa loob ng pamahalaan.
* **Pagtitipon ng ebidensya:** Ang mga kasunduan sa kaligtasan sa sakit ay maaaring "&amp;"maging instrumento sa pangangalap ng ebidensya na maaaring mahirap makuha kung hindi man, na humahantong sa pag-uusig sa mas matataas na opisyal na sangkot sa katiwalian.
* **Nakakagambala sa mga kasalukuyang aktibidad:** Ang paglalantad at pagbuwag sa mg"&amp;"a tiwaling network ay maaaring makamit sa pamamagitan ng paggamit ng impormasyong nakuha sa pamamagitan ng mga kasunduan sa kaligtasan.
**Mga Kakulangan:**
* **Pampublikong persepsyon:** Katulad ng plea bargain, ang mga kasunduan sa immunity ay maaaring m"&amp;"agdulot ng mga alalahanin tungkol sa pagbibigay ng kaluwagan sa mga indibidwal na maaaring lumahok sa maling gawain.
* **Potensyal na pang-aabuso:** Umiiral ang mga alalahanin tungkol sa potensyal na pang-aabuso sa mga kasunduan sa kaligtasan sa sakit, ku"&amp;"ng saan ang mga indibidwal ay maaaring mag-alok ng kaligtasan sa sakit kapalit ng pagprotekta sa mga makapangyarihang numero o pagmamanipula ng mga pagsisiyasat.
* **Mga alalahanin sa moral:** Ang pagbibigay ng immunity sa mga indibidwal na nakikibahagi s"&amp;"a mga ilegal na aktibidad ay maaaring magtaas ng mga etikal na alalahanin tungkol sa pagbabalanse sa paghahanap ng hustisya sa pangangailangang makakuha ng impormasyon at lansagin ang mga tiwaling network.
**Kabuuan:**
Ang paggamit ng plea bargain at mga "&amp;"kasunduan sa immunity sa pag-uusig sa mga kaso ng katiwalian sa gobyerno ay isang **komplikadong isyu na may parehong potensyal na benepisyo at disbentaha**. Ang pagpapasya kung gagamitin ang mga tool na ito ay nangangailangan ng maingat na pagsasaalang-a"&amp;"lang sa mga partikular na pangyayari, ang mga potensyal na kahihinatnan, at ang pangangailangang balansehin ang pagkamit ng hustisya sa epektibong pagbuwag sa mga tiwaling network.
**Mga Karagdagang Pagsasaalang-alang:**
* **Transparency at pangangasiwa:*"&amp;"* Ang pagpapatupad ng mga pananggalang tulad ng malinaw na mga alituntunin, independiyenteng pangangasiwa, at pagsisiwalat sa publiko ng katwiran sa likod ng plea bargain at mga kasunduan sa kaligtasan sa sakit ay maaaring makatulong na matugunan ang mga "&amp;"alalahanin tungkol sa pagiging patas at potensyal na pang-aabuso.
* **Mga alternatibong diskarte:** Ang paggalugad ng mga alternatibong diskarte kasama ng plea bargain at mga kasunduan sa immunity, tulad ng pagpapalakas ng mga proteksyon ng whistleblower "&amp;"at mga programa sa proteksyon ng saksi, ay maaaring maging mahalaga para sa komprehensibong mga diskarte laban sa katiwalian.
Sa huli, ang desisyon na gamitin ang plea bargain at mga kasunduan sa immunity sa mga kaso ng katiwalian sa gobyerno ay dapat gaw"&amp;"in sa **case-by-case basis**, na isinasaalang-alang ang mga partikular na pangyayari, potensyal na benepisyo at kawalan, at ang pangkalahatang layunin ng pagkamit ng hustisya at epektibong labanan ang katiwalian.")</f>
        <v>Ang mga plea bargain at immunity agreement ay maaaring gumanap ng isang kumplikado at **kontrobersyal na papel** sa pag-uusig ng mga kaso ng katiwalian sa loob ng pamahalaan. Narito ang isang breakdown ng kanilang mga potensyal na benepisyo at kawalan:
**Plea Bargains:**
**Mga Pakinabang:**
* **Pag-secure ng mga convictions:** Plea bargains ay makakatulong sa secure na convictions, lalo na sa mga kumplikadong kaso kung saan ang pagkuha ng sapat na ebidensya para sa isang matagumpay na pagsubok ay maaaring maging mahirap.
* **Pinabilis na paglutas:** Maaari nilang mapabilis ang paglutas ng mga kaso, makatipid ng oras at mapagkukunan kumpara sa mahahabang pagsubok.
* **Pagkuha ng kooperasyon:** Bilang kapalit ng pagpapaubaya, maaaring sumang-ayon ang mga nasasakdal na makipagtulungan sa mga imbestigador at tagausig, na nagbibigay ng mahalagang impormasyon tungkol sa ibang mga indibidwal na sangkot sa katiwalian o mas malawak na mga pakana.
**Mga Kakulangan:**
* **Kaluwagan para sa maling gawain:** Ipinagtatalo ng mga kritiko na ang plea bargain ay maaaring mag-alok ng kaluwagan sa mga tiwaling opisyal, na posibleng makasira sa tiwala ng publiko sa sistema ng hustisya.
* **Limitadong pananagutan:** Ang buong lawak ng katiwalian at ang pagkakasangkot ng ibang mga indibidwal ay maaaring hindi ganap na mahayag kung ang nasasakdal ay umamin ng pagkakasala sa mas mababang mga kaso.
* **Pampublikong persepsyon:** Maaaring negatibo ang pang-unawa ng publiko sa mga plea bargain sa mga kaso ng katiwalian, na nagpapataas ng mga alalahanin tungkol sa pagiging patas at kaluwagan sa mga makapangyarihang indibidwal.
**Mga Kasunduan sa Imyunidad:**
**Mga Pakinabang:**
* **Pagtuklas ng mas malawak na mga pakana:** Ang pag-aalok ng kaligtasan sa isang mas mababang antas na opisyal ay maaaring mag-udyok sa kanila na makipagtulungan at magbigay ng mahalagang impormasyon tungkol sa utak o mas malawak na tiwaling aktibidad sa loob ng pamahalaan.
* **Pagtitipon ng ebidensya:** Ang mga kasunduan sa kaligtasan sa sakit ay maaaring maging instrumento sa pangangalap ng ebidensya na maaaring mahirap makuha kung hindi man, na humahantong sa pag-uusig sa mas matataas na opisyal na sangkot sa katiwalian.
* **Nakakagambala sa mga kasalukuyang aktibidad:** Ang paglalantad at pagbuwag sa mga tiwaling network ay maaaring makamit sa pamamagitan ng paggamit ng impormasyong nakuha sa pamamagitan ng mga kasunduan sa kaligtasan.
**Mga Kakulangan:**
* **Pampublikong persepsyon:** Katulad ng plea bargain, ang mga kasunduan sa immunity ay maaaring magdulot ng mga alalahanin tungkol sa pagbibigay ng kaluwagan sa mga indibidwal na maaaring lumahok sa maling gawain.
* **Potensyal na pang-aabuso:** Umiiral ang mga alalahanin tungkol sa potensyal na pang-aabuso sa mga kasunduan sa kaligtasan sa sakit, kung saan ang mga indibidwal ay maaaring mag-alok ng kaligtasan sa sakit kapalit ng pagprotekta sa mga makapangyarihang numero o pagmamanipula ng mga pagsisiyasat.
* **Mga alalahanin sa moral:** Ang pagbibigay ng immunity sa mga indibidwal na nakikibahagi sa mga ilegal na aktibidad ay maaaring magtaas ng mga etikal na alalahanin tungkol sa pagbabalanse sa paghahanap ng hustisya sa pangangailangang makakuha ng impormasyon at lansagin ang mga tiwaling network.
**Kabuuan:**
Ang paggamit ng plea bargain at mga kasunduan sa immunity sa pag-uusig sa mga kaso ng katiwalian sa gobyerno ay isang **komplikadong isyu na may parehong potensyal na benepisyo at disbentaha**. Ang pagpapasya kung gagamitin ang mga tool na ito ay nangangailangan ng maingat na pagsasaalang-alang sa mga partikular na pangyayari, ang mga potensyal na kahihinatnan, at ang pangangailangang balansehin ang pagkamit ng hustisya sa epektibong pagbuwag sa mga tiwaling network.
**Mga Karagdagang Pagsasaalang-alang:**
* **Transparency at pangangasiwa:** Ang pagpapatupad ng mga pananggalang tulad ng malinaw na mga alituntunin, independiyenteng pangangasiwa, at pagsisiwalat sa publiko ng katwiran sa likod ng plea bargain at mga kasunduan sa kaligtasan sa sakit ay maaaring makatulong na matugunan ang mga alalahanin tungkol sa pagiging patas at potensyal na pang-aabuso.
* **Mga alternatibong diskarte:** Ang paggalugad ng mga alternatibong diskarte kasama ng plea bargain at mga kasunduan sa immunity, tulad ng pagpapalakas ng mga proteksyon ng whistleblower at mga programa sa proteksyon ng saksi, ay maaaring maging mahalaga para sa komprehensibong mga diskarte laban sa katiwalian.
Sa huli, ang desisyon na gamitin ang plea bargain at mga kasunduan sa immunity sa mga kaso ng katiwalian sa gobyerno ay dapat gawin sa **case-by-case basis**, na isinasaalang-alang ang mga partikular na pangyayari, potensyal na benepisyo at kawalan, at ang pangkalahatang layunin ng pagkamit ng hustisya at epektibong labanan ang katiwalian.</v>
      </c>
      <c r="F1214" s="2">
        <f t="shared" si="1"/>
        <v>0</v>
      </c>
      <c r="G1214" s="2"/>
      <c r="H1214" s="2"/>
      <c r="I1214" s="2"/>
      <c r="J1214" s="2"/>
      <c r="K1214" s="2"/>
      <c r="L1214" s="2"/>
      <c r="M1214" s="2"/>
      <c r="N1214" s="2"/>
      <c r="O1214" s="2"/>
      <c r="P1214" s="2"/>
      <c r="Q1214" s="2"/>
      <c r="R1214" s="2"/>
      <c r="S1214" s="2"/>
      <c r="T1214" s="2"/>
      <c r="U1214" s="2"/>
      <c r="V1214" s="2"/>
      <c r="W1214" s="2"/>
      <c r="X1214" s="2"/>
      <c r="Y1214" s="2"/>
      <c r="Z1214" s="2"/>
      <c r="AA1214" s="2"/>
    </row>
    <row r="1215">
      <c r="A1215" s="1" t="s">
        <v>3356</v>
      </c>
      <c r="B1215" s="1" t="s">
        <v>3595</v>
      </c>
      <c r="C1215" s="1" t="s">
        <v>3596</v>
      </c>
      <c r="D1215" s="2" t="str">
        <f>IFERROR(__xludf.DUMMYFUNCTION("GOOGLETRANSLATE(B1215, ""en"", ""TL"")"),"Maaari bang magsampa ng kaso ang mga indibidwal laban sa mga dayuhang entity o pamahalaan na sangkot sa mga tiwaling aktibidad na nakakaapekto sa mga operasyon ng lokal na pamahalaan?")</f>
        <v>Maaari bang magsampa ng kaso ang mga indibidwal laban sa mga dayuhang entity o pamahalaan na sangkot sa mga tiwaling aktibidad na nakakaapekto sa mga operasyon ng lokal na pamahalaan?</v>
      </c>
      <c r="E1215" s="2" t="str">
        <f>IFERROR(__xludf.DUMMYFUNCTION("GOOGLETRANSLATE(C1215, ""en"", ""TL"")"),"Ang kakayahan ng mga indibidwal na magsampa ng mga kaso laban sa mga dayuhang entidad o pamahalaan na sangkot sa mga tiwaling aktibidad na nakakaapekto sa mga operasyon ng lokal na pamahalaan ay **kumplikado at nakadepende sa ilang salik**, kabilang ang:
"&amp;"**1. Jurisdiction:**
* **Sovereign immunity:** Sa pangkalahatan, ang mga dayuhang pamahalaan ay nagtatamasa ng sovereign immunity, na pumoprotekta sa kanila mula sa mga demanda sa mga korte ng ibang mga bansa. Ang prinsipyong ito ay batay sa konsepto ng p"&amp;"aggalang sa soberanya ng mga bansa at pinipigilan ang isang bansa na makialam sa mga panloob na gawain ng iba.
* **Mga eksepsiyon sa sovereign immunity:** Ang mga eksepsiyon sa sovereign immunity ay umiiral sa ilalim ng mga partikular na pangyayari, gaya "&amp;"ng:
* **Komersyal na aktibidad:** Kung ang dayuhang pamahalaan ay nakikibahagi sa mga komersyal na aktibidad sa loob ng hurisdiksyon, maaaring mawalan ito ng kaligtasan para sa mga partikular na aktibidad na iyon.
* **Mga paglabag sa karapatang pantao:** "&amp;"Ang ilang partikular na paglabag sa karapatang pantao na ginawa ng mga dayuhang pamahalaan ay maaaring sumailalim sa mga demanda sa ilalim ng mga partikular na batas o mga internasyonal na kasunduan.
* **Mga partikular na pagbubukod ayon sa batas:** Ang i"&amp;"lang mga bansa, kabilang ang Estados Unidos, ay nagpatupad ng mga batas na lumilikha ng mga partikular na pagbubukod sa sovereign immunity para sa ilang partikular na uri ng mga kaso.
**2. Sanhi at Katayuan:**
* **Pagpapakita ng pinsala:** Kahit na ang is"&amp;"ang pagbubukod sa sovereign immunity ay nalalapat, ang indibidwal ay dapat magpakita na siya ay dumanas ng **konkreto at partikular na pinsala** bilang isang direktang resulta ng di-umano'y tiwaling aktibidad.
* **Naninindigan para magdemanda:** Ang indib"&amp;"idwal ay dapat ding magkaroon ng **panindigan para magdemanda**, ibig sabihin ay mayroon silang personal na stake sa kinalabasan ng kaso at hindi lang naghaharap ng demanda sa ngalan ng ibang tao.
**3. Legal na Balangkas:**
* **Mga pambansang batas:** Ang"&amp;" bawat bansa ay may sariling mga batas tungkol sa sovereign immunity at ang kakayahang magdemanda ng mga dayuhang entity o pamahalaan.
* **International na batas:** Ang internasyonal na batas ay gumaganap din ng isang papel, na may mga kasunduan at kaugal"&amp;"ian na internasyonal na batas na nakakaimpluwensya sa interpretasyon ng sovereign immunity at ang potensyal para sa mga demanda laban sa mga dayuhang pamahalaan.
**Kabuuan:**
Bagama't **maaaring may limitadong mga opsyon ang mga indibidwal** upang direkta"&amp;"ng idemanda ang mga dayuhang pamahalaan para sa mga tiwaling aktibidad na nakakaapekto sa kanilang lokal na pamahalaan, maaaring may iba pang mga paraan depende sa partikular na mga pangyayari. Maaaring kabilang dito ang:
* **Pag-lobby sa sarili nilang go"&amp;"byerno:** Maaaring isulong ng mga indibidwal ang kanilang gobyerno na magsagawa ng diplomatikong o legal na aksyon laban sa dayuhang pamahalaan.
* **Pagsuporta sa mga internasyonal na organisasyon:** Pakikipag-ugnayan sa mga internasyonal na organisasyon "&amp;"na nagtatrabaho upang labanan ang katiwalian at panagutin ang mga pamahalaan.
* **Naghahanap ng legal na aksyon laban sa mga domestic na aktor:** Kung ang mga indibidwal ay maaaring magpakita na ang mga domestic na aktor sa loob ng kanilang sariling bansa"&amp;" ay kasabwat sa mga tiwaling aktibidad ng dayuhang pamahalaan, maaari silang magkaroon ng batayan upang ituloy ang legal na aksyon laban sa mga domestic na aktor.
**Mahalagang kumonsulta sa isang abogadong dalubhasa sa internasyonal na batas at sovereign "&amp;"immunity** upang masuri ang mga partikular na pangyayari at potensyal na legal na opsyon na magagamit sa bawat kaso. Maaari silang magbigay ng patnubay sa mga kaugnay na batas, eksepsiyon, at potensyal na hamon na kasangkot sa pagsasagawa ng legal na aksy"&amp;"on laban sa mga dayuhang entity o pamahalaan.")</f>
        <v>Ang kakayahan ng mga indibidwal na magsampa ng mga kaso laban sa mga dayuhang entidad o pamahalaan na sangkot sa mga tiwaling aktibidad na nakakaapekto sa mga operasyon ng lokal na pamahalaan ay **kumplikado at nakadepende sa ilang salik**, kabilang ang:
**1. Jurisdiction:**
* **Sovereign immunity:** Sa pangkalahatan, ang mga dayuhang pamahalaan ay nagtatamasa ng sovereign immunity, na pumoprotekta sa kanila mula sa mga demanda sa mga korte ng ibang mga bansa. Ang prinsipyong ito ay batay sa konsepto ng paggalang sa soberanya ng mga bansa at pinipigilan ang isang bansa na makialam sa mga panloob na gawain ng iba.
* **Mga eksepsiyon sa sovereign immunity:** Ang mga eksepsiyon sa sovereign immunity ay umiiral sa ilalim ng mga partikular na pangyayari, gaya ng:
* **Komersyal na aktibidad:** Kung ang dayuhang pamahalaan ay nakikibahagi sa mga komersyal na aktibidad sa loob ng hurisdiksyon, maaaring mawalan ito ng kaligtasan para sa mga partikular na aktibidad na iyon.
* **Mga paglabag sa karapatang pantao:** Ang ilang partikular na paglabag sa karapatang pantao na ginawa ng mga dayuhang pamahalaan ay maaaring sumailalim sa mga demanda sa ilalim ng mga partikular na batas o mga internasyonal na kasunduan.
* **Mga partikular na pagbubukod ayon sa batas:** Ang ilang mga bansa, kabilang ang Estados Unidos, ay nagpatupad ng mga batas na lumilikha ng mga partikular na pagbubukod sa sovereign immunity para sa ilang partikular na uri ng mga kaso.
**2. Sanhi at Katayuan:**
* **Pagpapakita ng pinsala:** Kahit na ang isang pagbubukod sa sovereign immunity ay nalalapat, ang indibidwal ay dapat magpakita na siya ay dumanas ng **konkreto at partikular na pinsala** bilang isang direktang resulta ng di-umano'y tiwaling aktibidad.
* **Naninindigan para magdemanda:** Ang indibidwal ay dapat ding magkaroon ng **panindigan para magdemanda**, ibig sabihin ay mayroon silang personal na stake sa kinalabasan ng kaso at hindi lang naghaharap ng demanda sa ngalan ng ibang tao.
**3. Legal na Balangkas:**
* **Mga pambansang batas:** Ang bawat bansa ay may sariling mga batas tungkol sa sovereign immunity at ang kakayahang magdemanda ng mga dayuhang entity o pamahalaan.
* **International na batas:** Ang internasyonal na batas ay gumaganap din ng isang papel, na may mga kasunduan at kaugalian na internasyonal na batas na nakakaimpluwensya sa interpretasyon ng sovereign immunity at ang potensyal para sa mga demanda laban sa mga dayuhang pamahalaan.
**Kabuuan:**
Bagama't **maaaring may limitadong mga opsyon ang mga indibidwal** upang direktang idemanda ang mga dayuhang pamahalaan para sa mga tiwaling aktibidad na nakakaapekto sa kanilang lokal na pamahalaan, maaaring may iba pang mga paraan depende sa partikular na mga pangyayari. Maaaring kabilang dito ang:
* **Pag-lobby sa sarili nilang gobyerno:** Maaaring isulong ng mga indibidwal ang kanilang gobyerno na magsagawa ng diplomatikong o legal na aksyon laban sa dayuhang pamahalaan.
* **Pagsuporta sa mga internasyonal na organisasyon:** Pakikipag-ugnayan sa mga internasyonal na organisasyon na nagtatrabaho upang labanan ang katiwalian at panagutin ang mga pamahalaan.
* **Naghahanap ng legal na aksyon laban sa mga domestic na aktor:** Kung ang mga indibidwal ay maaaring magpakita na ang mga domestic na aktor sa loob ng kanilang sariling bansa ay kasabwat sa mga tiwaling aktibidad ng dayuhang pamahalaan, maaari silang magkaroon ng batayan upang ituloy ang legal na aksyon laban sa mga domestic na aktor.
**Mahalagang kumonsulta sa isang abogadong dalubhasa sa internasyonal na batas at sovereign immunity** upang masuri ang mga partikular na pangyayari at potensyal na legal na opsyon na magagamit sa bawat kaso. Maaari silang magbigay ng patnubay sa mga kaugnay na batas, eksepsiyon, at potensyal na hamon na kasangkot sa pagsasagawa ng legal na aksyon laban sa mga dayuhang entity o pamahalaan.</v>
      </c>
      <c r="F1215" s="2">
        <f t="shared" si="1"/>
        <v>0</v>
      </c>
      <c r="G1215" s="2"/>
      <c r="H1215" s="2"/>
      <c r="I1215" s="2"/>
      <c r="J1215" s="2"/>
      <c r="K1215" s="2"/>
      <c r="L1215" s="2"/>
      <c r="M1215" s="2"/>
      <c r="N1215" s="2"/>
      <c r="O1215" s="2"/>
      <c r="P1215" s="2"/>
      <c r="Q1215" s="2"/>
      <c r="R1215" s="2"/>
      <c r="S1215" s="2"/>
      <c r="T1215" s="2"/>
      <c r="U1215" s="2"/>
      <c r="V1215" s="2"/>
      <c r="W1215" s="2"/>
      <c r="X1215" s="2"/>
      <c r="Y1215" s="2"/>
      <c r="Z1215" s="2"/>
      <c r="AA1215" s="2"/>
    </row>
    <row r="1216">
      <c r="A1216" s="1" t="s">
        <v>3356</v>
      </c>
      <c r="B1216" s="1" t="s">
        <v>3597</v>
      </c>
      <c r="C1216" s="1" t="s">
        <v>3598</v>
      </c>
      <c r="D1216" s="2" t="str">
        <f>IFERROR(__xludf.DUMMYFUNCTION("GOOGLETRANSLATE(B1216, ""en"", ""TL"")"),"Ano ang papel na ginagampanan ng mga grand juries sa pag-iimbestiga at pagsasampa ng mga opisyal ng gobyerno para sa mga paglabag sa katiwalian?")</f>
        <v>Ano ang papel na ginagampanan ng mga grand juries sa pag-iimbestiga at pagsasampa ng mga opisyal ng gobyerno para sa mga paglabag sa katiwalian?</v>
      </c>
      <c r="E1216" s="2" t="str">
        <f>IFERROR(__xludf.DUMMYFUNCTION("GOOGLETRANSLATE(C1216, ""en"", ""TL"")"),"Sa Pilipinas, **hindi gumaganap ang mga grand juries sa pag-iimbestiga at pagsasampa ng mga opisyal ng gobyerno para sa mga paglabag sa katiwalian**. Ang Pilipinas, hindi tulad ng Estados Unidos, ay walang grand jury system.
Narito ang isang paliwanag "&amp;"ng iba't ibang proseso ng pagsisiyasat at pag-uusig para sa mga kaso ng katiwalian ng gobyerno sa Pilipinas:
**Mga Katawan ng Imbestigasyon:**
* **Opisina ng Ombudsman:** Ang independiyenteng katawan ng konstitusyonal na ito ay may pananagutan sa pa"&amp;"g-iimbestiga at pag-uusig sa mga pampublikong opisyal para sa iba't ibang mga pagkakasala, kabilang ang katiwalian. Ito ay may kapangyarihang magsagawa ng mga pagsisiyasat, mangalap ng ebidensya, at magsampa ng mga kaso sa naaangkop na mga korte.
* **San"&amp;"diganbayan:** Ang espesyal na anti-graft court na ito ay may eksklusibong hurisdiksyon sa mga kasong kriminal at sibil na kinasasangkutan ng mga opisyal ng gobyerno na inakusahan ng katiwalian.
* **Iba pang ahensya sa pag-iimbestiga:** Depende sa partiku"&amp;"lar na kaso, ang ibang ahensya ng gobyerno tulad ng Commission on Audit (COA) o Philippine National Police (PNP) ay maaaring masangkot din sa mga pagsisiyasat na may kaugnayan sa katiwalian.
**Proseso ng Pag-uusig:**
* **Pagsisiyasat:** Ang mga naba"&amp;"nggit na investigative body ay nagsasagawa ng mga pagtatanong, nangangalap ng ebidensya, at gumagawa ng mga kaso laban sa mga pinaghihinalaang opisyal.
* **Paghahain ng Impormasyon:** Kapag nakakuha ng sapat na ebidensya, ang katawan ng nag-iimbestiga ay"&amp;" nagsampa ng impormasyon (pormal na singil) sa Sandiganbayan.
* **Paglilitis:** Kung ang Sandiganbayan ay nakakita ng probable cause, isang paglilitis ang isasagawa kung saan ang prosekusyon at ang depensa ay naglalahad ng kanilang mga argumento at ebide"&amp;"nsya.
* **Paghuhukom:** Ang Sandiganbayan ay naglalabas ng hatol, pagpapawalang-sala o paghatol sa akusado na opisyal.
**Mga Pangunahing Punto:**
* Ang Pilipinas ay umaasa sa mga investigative body tulad ng Office of the Ombudsman at prosecutorial "&amp;"bodies tulad ng Sandiganbayan upang hawakan ang mga kaso ng katiwalian na kinasasangkutan ng mga opisyal ng gobyerno.
* Walang sistema ng grand jury sa Pilipinas para i-screen at aprubahan ang mga singil bago ang paglilitis.
Mahalagang tandaan na ito "&amp;"ay isang pinasimple na pangkalahatang-ideya, at ang mga partikular na pamamaraang kasangkot sa pagsisiyasat at pag-uusig sa mga kaso ng katiwalian sa pamahalaan ay maaaring mag-iba depende sa mga pangyayari at naaangkop na mga batas.")</f>
        <v>Sa Pilipinas, **hindi gumaganap ang mga grand juries sa pag-iimbestiga at pagsasampa ng mga opisyal ng gobyerno para sa mga paglabag sa katiwalian**. Ang Pilipinas, hindi tulad ng Estados Unidos, ay walang grand jury system.
Narito ang isang paliwanag ng iba't ibang proseso ng pagsisiyasat at pag-uusig para sa mga kaso ng katiwalian ng gobyerno sa Pilipinas:
**Mga Katawan ng Imbestigasyon:**
* **Opisina ng Ombudsman:** Ang independiyenteng katawan ng konstitusyonal na ito ay may pananagutan sa pag-iimbestiga at pag-uusig sa mga pampublikong opisyal para sa iba't ibang mga pagkakasala, kabilang ang katiwalian. Ito ay may kapangyarihang magsagawa ng mga pagsisiyasat, mangalap ng ebidensya, at magsampa ng mga kaso sa naaangkop na mga korte.
* **Sandiganbayan:** Ang espesyal na anti-graft court na ito ay may eksklusibong hurisdiksyon sa mga kasong kriminal at sibil na kinasasangkutan ng mga opisyal ng gobyerno na inakusahan ng katiwalian.
* **Iba pang ahensya sa pag-iimbestiga:** Depende sa partikular na kaso, ang ibang ahensya ng gobyerno tulad ng Commission on Audit (COA) o Philippine National Police (PNP) ay maaaring masangkot din sa mga pagsisiyasat na may kaugnayan sa katiwalian.
**Proseso ng Pag-uusig:**
* **Pagsisiyasat:** Ang mga nabanggit na investigative body ay nagsasagawa ng mga pagtatanong, nangangalap ng ebidensya, at gumagawa ng mga kaso laban sa mga pinaghihinalaang opisyal.
* **Paghahain ng Impormasyon:** Kapag nakakuha ng sapat na ebidensya, ang katawan ng nag-iimbestiga ay nagsampa ng impormasyon (pormal na singil) sa Sandiganbayan.
* **Paglilitis:** Kung ang Sandiganbayan ay nakakita ng probable cause, isang paglilitis ang isasagawa kung saan ang prosekusyon at ang depensa ay naglalahad ng kanilang mga argumento at ebidensya.
* **Paghuhukom:** Ang Sandiganbayan ay naglalabas ng hatol, pagpapawalang-sala o paghatol sa akusado na opisyal.
**Mga Pangunahing Punto:**
* Ang Pilipinas ay umaasa sa mga investigative body tulad ng Office of the Ombudsman at prosecutorial bodies tulad ng Sandiganbayan upang hawakan ang mga kaso ng katiwalian na kinasasangkutan ng mga opisyal ng gobyerno.
* Walang sistema ng grand jury sa Pilipinas para i-screen at aprubahan ang mga singil bago ang paglilitis.
Mahalagang tandaan na ito ay isang pinasimple na pangkalahatang-ideya, at ang mga partikular na pamamaraang kasangkot sa pagsisiyasat at pag-uusig sa mga kaso ng katiwalian sa pamahalaan ay maaaring mag-iba depende sa mga pangyayari at naaangkop na mga batas.</v>
      </c>
      <c r="F1216" s="2">
        <f t="shared" si="1"/>
        <v>0</v>
      </c>
      <c r="G1216" s="2"/>
      <c r="H1216" s="2"/>
      <c r="I1216" s="2"/>
      <c r="J1216" s="2"/>
      <c r="K1216" s="2"/>
      <c r="L1216" s="2"/>
      <c r="M1216" s="2"/>
      <c r="N1216" s="2"/>
      <c r="O1216" s="2"/>
      <c r="P1216" s="2"/>
      <c r="Q1216" s="2"/>
      <c r="R1216" s="2"/>
      <c r="S1216" s="2"/>
      <c r="T1216" s="2"/>
      <c r="U1216" s="2"/>
      <c r="V1216" s="2"/>
      <c r="W1216" s="2"/>
      <c r="X1216" s="2"/>
      <c r="Y1216" s="2"/>
      <c r="Z1216" s="2"/>
      <c r="AA1216" s="2"/>
    </row>
    <row r="1217">
      <c r="A1217" s="1" t="s">
        <v>3356</v>
      </c>
      <c r="B1217" s="1" t="s">
        <v>3599</v>
      </c>
      <c r="C1217" s="1" t="s">
        <v>3600</v>
      </c>
      <c r="D1217" s="2" t="str">
        <f>IFERROR(__xludf.DUMMYFUNCTION("GOOGLETRANSLATE(B1217, ""en"", ""TL"")"),"Maaari bang hamunin ng mga indibidwal ang mga resulta ng halalan kung may katibayan ng malawakang katiwalian sa gobyerno na nakakaapekto sa resulta?")</f>
        <v>Maaari bang hamunin ng mga indibidwal ang mga resulta ng halalan kung may katibayan ng malawakang katiwalian sa gobyerno na nakakaapekto sa resulta?</v>
      </c>
      <c r="E1217" s="2" t="str">
        <f>IFERROR(__xludf.DUMMYFUNCTION("GOOGLETRANSLATE(C1216, ""en"", ""TL"")"),"Sa Pilipinas, **hindi gumaganap ang mga grand juries sa pag-iimbestiga at pagsasampa ng mga opisyal ng gobyerno para sa mga paglabag sa katiwalian**. Ang Pilipinas, hindi tulad ng Estados Unidos, ay walang grand jury system.
Narito ang isang paliwanag "&amp;"ng iba't ibang proseso ng pagsisiyasat at pag-uusig para sa mga kaso ng katiwalian ng gobyerno sa Pilipinas:
**Mga Katawan ng Imbestigasyon:**
* **Opisina ng Ombudsman:** Ang independiyenteng katawan ng konstitusyonal na ito ay may pananagutan sa pa"&amp;"g-iimbestiga at pag-uusig sa mga pampublikong opisyal para sa iba't ibang mga pagkakasala, kabilang ang katiwalian. Ito ay may kapangyarihang magsagawa ng mga pagsisiyasat, mangalap ng ebidensya, at magsampa ng mga kaso sa naaangkop na mga korte.
* **San"&amp;"diganbayan:** Ang espesyal na anti-graft court na ito ay may eksklusibong hurisdiksyon sa mga kasong kriminal at sibil na kinasasangkutan ng mga opisyal ng gobyerno na inakusahan ng katiwalian.
* **Iba pang ahensya sa pag-iimbestiga:** Depende sa partiku"&amp;"lar na kaso, ang ibang ahensya ng gobyerno tulad ng Commission on Audit (COA) o Philippine National Police (PNP) ay maaaring masangkot din sa mga pagsisiyasat na may kaugnayan sa katiwalian.
**Proseso ng Pag-uusig:**
* **Pagsisiyasat:** Ang mga naba"&amp;"nggit na investigative body ay nagsasagawa ng mga pagtatanong, nangangalap ng ebidensya, at gumagawa ng mga kaso laban sa mga pinaghihinalaang opisyal.
* **Paghahain ng Impormasyon:** Kapag nakakuha ng sapat na ebidensya, ang katawan ng nag-iimbestiga ay"&amp;" nagsampa ng impormasyon (pormal na singil) sa Sandiganbayan.
* **Paglilitis:** Kung ang Sandiganbayan ay nakakita ng probable cause, isang paglilitis ang isasagawa kung saan ang prosekusyon at ang depensa ay naglalahad ng kanilang mga argumento at ebide"&amp;"nsya.
* **Paghuhukom:** Ang Sandiganbayan ay naglalabas ng hatol, pagpapawalang-sala o paghatol sa akusado na opisyal.
**Mga Pangunahing Punto:**
* Ang Pilipinas ay umaasa sa mga investigative body tulad ng Office of the Ombudsman at prosecutorial "&amp;"bodies tulad ng Sandiganbayan upang hawakan ang mga kaso ng katiwalian na kinasasangkutan ng mga opisyal ng gobyerno.
* Walang sistema ng grand jury sa Pilipinas para i-screen at aprubahan ang mga singil bago ang paglilitis.
Mahalagang tandaan na ito "&amp;"ay isang pinasimple na pangkalahatang-ideya, at ang mga partikular na pamamaraang kasangkot sa pagsisiyasat at pag-uusig sa mga kaso ng katiwalian sa pamahalaan ay maaaring mag-iba depende sa mga pangyayari at naaangkop na mga batas.")</f>
        <v>Sa Pilipinas, **hindi gumaganap ang mga grand juries sa pag-iimbestiga at pagsasampa ng mga opisyal ng gobyerno para sa mga paglabag sa katiwalian**. Ang Pilipinas, hindi tulad ng Estados Unidos, ay walang grand jury system.
Narito ang isang paliwanag ng iba't ibang proseso ng pagsisiyasat at pag-uusig para sa mga kaso ng katiwalian ng gobyerno sa Pilipinas:
**Mga Katawan ng Imbestigasyon:**
* **Opisina ng Ombudsman:** Ang independiyenteng katawan ng konstitusyonal na ito ay may pananagutan sa pag-iimbestiga at pag-uusig sa mga pampublikong opisyal para sa iba't ibang mga pagkakasala, kabilang ang katiwalian. Ito ay may kapangyarihang magsagawa ng mga pagsisiyasat, mangalap ng ebidensya, at magsampa ng mga kaso sa naaangkop na mga korte.
* **Sandiganbayan:** Ang espesyal na anti-graft court na ito ay may eksklusibong hurisdiksyon sa mga kasong kriminal at sibil na kinasasangkutan ng mga opisyal ng gobyerno na inakusahan ng katiwalian.
* **Iba pang ahensya sa pag-iimbestiga:** Depende sa partikular na kaso, ang ibang ahensya ng gobyerno tulad ng Commission on Audit (COA) o Philippine National Police (PNP) ay maaaring masangkot din sa mga pagsisiyasat na may kaugnayan sa katiwalian.
**Proseso ng Pag-uusig:**
* **Pagsisiyasat:** Ang mga nabanggit na investigative body ay nagsasagawa ng mga pagtatanong, nangangalap ng ebidensya, at gumagawa ng mga kaso laban sa mga pinaghihinalaang opisyal.
* **Paghahain ng Impormasyon:** Kapag nakakuha ng sapat na ebidensya, ang katawan ng nag-iimbestiga ay nagsampa ng impormasyon (pormal na singil) sa Sandiganbayan.
* **Paglilitis:** Kung ang Sandiganbayan ay nakakita ng probable cause, isang paglilitis ang isasagawa kung saan ang prosekusyon at ang depensa ay naglalahad ng kanilang mga argumento at ebidensya.
* **Paghuhukom:** Ang Sandiganbayan ay naglalabas ng hatol, pagpapawalang-sala o paghatol sa akusado na opisyal.
**Mga Pangunahing Punto:**
* Ang Pilipinas ay umaasa sa mga investigative body tulad ng Office of the Ombudsman at prosecutorial bodies tulad ng Sandiganbayan upang hawakan ang mga kaso ng katiwalian na kinasasangkutan ng mga opisyal ng gobyerno.
* Walang sistema ng grand jury sa Pilipinas para i-screen at aprubahan ang mga singil bago ang paglilitis.
Mahalagang tandaan na ito ay isang pinasimple na pangkalahatang-ideya, at ang mga partikular na pamamaraang kasangkot sa pagsisiyasat at pag-uusig sa mga kaso ng katiwalian sa pamahalaan ay maaaring mag-iba depende sa mga pangyayari at naaangkop na mga batas.</v>
      </c>
      <c r="F1217" s="2">
        <f t="shared" si="1"/>
        <v>0</v>
      </c>
      <c r="G1217" s="2"/>
      <c r="H1217" s="2"/>
      <c r="I1217" s="2"/>
      <c r="J1217" s="2"/>
      <c r="K1217" s="2"/>
      <c r="L1217" s="2"/>
      <c r="M1217" s="2"/>
      <c r="N1217" s="2"/>
      <c r="O1217" s="2"/>
      <c r="P1217" s="2"/>
      <c r="Q1217" s="2"/>
      <c r="R1217" s="2"/>
      <c r="S1217" s="2"/>
      <c r="T1217" s="2"/>
      <c r="U1217" s="2"/>
      <c r="V1217" s="2"/>
      <c r="W1217" s="2"/>
      <c r="X1217" s="2"/>
      <c r="Y1217" s="2"/>
      <c r="Z1217" s="2"/>
      <c r="AA1217" s="2"/>
    </row>
    <row r="1218">
      <c r="A1218" s="1" t="s">
        <v>3356</v>
      </c>
      <c r="B1218" s="1" t="s">
        <v>3601</v>
      </c>
      <c r="C1218" s="1" t="s">
        <v>3602</v>
      </c>
      <c r="D1218" s="2" t="str">
        <f>IFERROR(__xludf.DUMMYFUNCTION("GOOGLETRANSLATE(B1218, ""en"", ""TL"")"),"Paano naaapektuhan ng katiwalian sa gobyerno ang mga serbisyo at kapakanan ng publiko, at anong mga legal na aksyon ang maaaring gawin upang mabawasan ang mga epektong ito?")</f>
        <v>Paano naaapektuhan ng katiwalian sa gobyerno ang mga serbisyo at kapakanan ng publiko, at anong mga legal na aksyon ang maaaring gawin upang mabawasan ang mga epektong ito?</v>
      </c>
      <c r="E1218" s="2" t="str">
        <f>IFERROR(__xludf.DUMMYFUNCTION("GOOGLETRANSLATE(C1218, ""en"", ""TL"")"),"## Epekto ng Korapsyon ng Pamahalaan sa Mga Serbisyong Pampubliko at Kapakanan
Ang katiwalian sa gobyerno ay may **nakapipinsalang epekto** sa mga pampublikong serbisyo at kapakanan sa maraming paraan:
**1. Maling alokasyon ng Mga Mapagkukunan:**
* **Inil"&amp;"ilihis ng katiwalian ang mga mapagkukunan** mula sa mahahalagang serbisyong pampubliko tulad ng pangangalaga sa kalusugan, edukasyon, at pagpapaunlad ng imprastraktura. Ang mga pondong inilaan para sa mga serbisyong ito ay maling ginagamit para sa persona"&amp;"l na pakinabang ng mga tiwaling opisyal, na humahantong sa:
* **Hindi sapat na pagpopondo:** Ang mga pampublikong serbisyo ay dumaranas ng kakulangan ng mga mapagkukunan, na humahantong sa:
* **Kakulangan ng mga kwalipikadong tauhan:** Ang hindi sapat na "&amp;"pondo ay humahadlang sa pagkuha at pagpapanatili ng mga kwalipikadong propesyonal tulad ng mga doktor, guro, at inhinyero.
* **Mahinang imprastraktura:** Ang mga mahahalagang proyektong pang-imprastraktura tulad ng mga kalsada, tulay, at sistema ng sanita"&amp;"syon ay nananatiling kulang sa pag-unlad o hindi maayos na pinapanatili.
* **Limitadong pag-access sa mahahalagang serbisyo:** Nahihirapan ang mga mamamayan na ma-access ang de-kalidad na pangangalagang pangkalusugan, edukasyon, at iba pang mahahalagang s"&amp;"erbisyo dahil sa hindi sapat na mga mapagkukunan at imprastraktura.
**2. Mababang Kalidad ng Mga Serbisyo:**
* **Ang katiwalian ay nag-uudyok sa mga pagputol ng sulok** at paggamit ng mababang kalidad na mga materyales o hindi kwalipikadong tauhan sa mga "&amp;"pampublikong proyekto. Nagreresulta ito sa:
* **Hindi mahusay at hindi mapagkakatiwalaang mga serbisyo:** Ang mga serbisyong pampubliko ay nagiging hindi maaasahan at hindi mahusay, hindi natutugunan ang mga pangangailangan ng populasyon.
* **Mga panganib"&amp;" sa kaligtasan:** Ang hindi maayos na imprastraktura ay nagdudulot ng mga panganib sa kaligtasan sa mga mamamayan.
* **Limitadong bisa:** Ang mga programa sa pangangalaga sa kalusugan at edukasyon ay maaaring maging hindi epektibo dahil sa hindi sapat na "&amp;"mga mapagkukunan at hindi kwalipikadong mga tauhan.
**3. Nabawasan ang Pagtitiwala ng Publiko:**
* **Ang katiwalian ay sumisira sa tiwala ng publiko** sa mga institusyon at opisyal ng gobyerno. Ito ay humahantong sa:
* **Nabawasan ang kooperasyon:** Ang m"&amp;"ga mamamayan ay nagiging hindi gaanong handang makipagtulungan sa mga awtoridad o lumahok sa mga aktibidad ng sibiko, na humahadlang sa mga pagsisikap na mapabuti ang pamamahala at paghahatid ng serbisyo.
* **Pagkagulo sa lipunan:** Ang pagkabigo ng publi"&amp;"ko sa katiwalian ay maaaring humantong sa kaguluhan sa lipunan at mga protesta.
**4. Tumaas na Hindi pagkakapantay-pantay:**
* **Ang katiwalian ay hindi katumbas ng epekto sa mga mahihirap at mahina.** Madalas silang kulang sa mga mapagkukunan o koneksyon"&amp;" upang mag-navigate sa mga tiwaling sistema, na humahantong sa:
* **Limitadong pag-access sa mahahalagang serbisyo:** Ang mga mahihirap ang kadalasang pinaka-apektado ng kakulangan ng de-kalidad na serbisyong pampubliko dahil sa limitadong mapagkukunan at"&amp;" imprastraktura.
* **Pagtaas ng kahinaan:** Ang katiwalian ay maaaring magpalala sa mga umiiral na hindi pagkakapantay-pantay at maging mas mahirap para sa mahihirap na mapabuti ang kanilang kabuhayan.
## Mga Legal na Aksyon upang Bawasan ang Epekto ng Ko"&amp;"rapsyon
Maraming legal na aksyon ang maaaring gawin upang **magaan ang epekto ng katiwalian** at mapabuti ang mga pampublikong serbisyo at kapakanan:
**1. Pagpapalakas ng mga Batas at Pagpapatupad ng Anti-Corruption:**
* **Magsabatas at magpatupad ng komp"&amp;"rehensibong batas laban sa katiwalian:** Kabilang dito ang mga batas na tumutugon sa panunuhol, paglustay, pang-aabuso sa kapangyarihan, at iba pang mga katiwaliang gawain.
* **Magtatag ng mga independiyenteng ahensyang laban sa katiwalian:** Ang mga ahen"&amp;"syang ito ay dapat magkaroon ng kapangyarihang mag-imbestiga at mag-prosecute ng mga kaso ng katiwalian nang epektibo, walang panghihimasok sa pulitika.
* **Pataasin ang transparency at pananagutan:** Magpatupad ng mga hakbang tulad ng pagsisiwalat sa pub"&amp;"liko ng mga badyet ng pamahalaan, paggasta, at mga deklarasyon ng asset ng mga opisyal upang mapataas ang transparency at panagutin ang mga opisyal.
**2. Pagbibigay-kapangyarihan sa mga Mamamayan at Lipunang Sibil:**
* **Isulong ang kalayaan sa pagsasalit"&amp;"a at pagpupulong:** Nagbibigay-daan ito sa mga mamamayan na ilantad ang katiwalian at panagutin ang mga awtoridad.
* **Suportahan ang mga organisasyon ng civil society:** Ang mga organisasyong ito ay gumaganap ng mahalagang papel sa pagsubaybay sa mga akt"&amp;"ibidad ng pamahalaan, pagtataguyod ng transparency, at pagtuturo sa publiko tungkol sa kanilang mga karapatan.
* **Hikayatin ang pakikilahok ng mamamayan:** Paunlarin ang pakikilahok ng mamamayan sa mga proseso ng pampublikong paggawa ng desisyon upang ma"&amp;"tiyak na maririnig ang kanilang mga boses at matutugunan ang kanilang mga pangangailangan.
**3. International Cooperation:**
* **I-promote ang internasyonal na kooperasyon:** Makipagtulungan sa ibang mga bansa upang bumuo at magpatupad ng mga epektibong h"&amp;"akbang laban sa katiwalian, magbahagi ng pinakamahuhusay na kagawian, at labanan ang korapsyon sa cross-border.
* **Pagtibayin at ipatupad ang mga internasyonal na kombensiyon laban sa katiwalian:** Ang mga kombensiyon na ito ay nagbibigay ng balangkas pa"&amp;"ra sa internasyonal na kooperasyon at nagtatag ng mga pamantayan para sa paglaban sa katiwalian.
**4. Pampublikong Edukasyon at Kamalayan:**
* **Itaas ang kamalayan ng publiko tungkol sa mga negatibong epekto ng katiwalian:** Turuan ang mga mamamayan tung"&amp;"kol sa kanilang mga karapatan at responsibilidad sa paglaban sa katiwalian.
* **I-promote ang mga etikal na pagpapahalaga at integridad:** Hikayatin ang etikal na pag-uugali at integridad sa serbisyo publiko at lipunan sa kabuuan.
**Mahalagang tandaan** n"&amp;"a ang pagtugon sa katiwalian sa pamahalaan ay isang masalimuot at patuloy na hamon. Ang pagpapatupad ng kumbinasyon ng mga ligal at panlipunang hakbang na ito ay maaaring mag-ambag sa paglikha ng isang mas malinaw, may pananagutan, at mahusay na pamahalaa"&amp;"n na naghahatid ng mga de-kalidad na serbisyong pampubliko at nagtataguyod ng kagalingan ng lahat ng mamamayan.")</f>
        <v>## Epekto ng Korapsyon ng Pamahalaan sa Mga Serbisyong Pampubliko at Kapakanan
Ang katiwalian sa gobyerno ay may **nakapipinsalang epekto** sa mga pampublikong serbisyo at kapakanan sa maraming paraan:
**1. Maling alokasyon ng Mga Mapagkukunan:**
* **Inililihis ng katiwalian ang mga mapagkukunan** mula sa mahahalagang serbisyong pampubliko tulad ng pangangalaga sa kalusugan, edukasyon, at pagpapaunlad ng imprastraktura. Ang mga pondong inilaan para sa mga serbisyong ito ay maling ginagamit para sa personal na pakinabang ng mga tiwaling opisyal, na humahantong sa:
* **Hindi sapat na pagpopondo:** Ang mga pampublikong serbisyo ay dumaranas ng kakulangan ng mga mapagkukunan, na humahantong sa:
* **Kakulangan ng mga kwalipikadong tauhan:** Ang hindi sapat na pondo ay humahadlang sa pagkuha at pagpapanatili ng mga kwalipikadong propesyonal tulad ng mga doktor, guro, at inhinyero.
* **Mahinang imprastraktura:** Ang mga mahahalagang proyektong pang-imprastraktura tulad ng mga kalsada, tulay, at sistema ng sanitasyon ay nananatiling kulang sa pag-unlad o hindi maayos na pinapanatili.
* **Limitadong pag-access sa mahahalagang serbisyo:** Nahihirapan ang mga mamamayan na ma-access ang de-kalidad na pangangalagang pangkalusugan, edukasyon, at iba pang mahahalagang serbisyo dahil sa hindi sapat na mga mapagkukunan at imprastraktura.
**2. Mababang Kalidad ng Mga Serbisyo:**
* **Ang katiwalian ay nag-uudyok sa mga pagputol ng sulok** at paggamit ng mababang kalidad na mga materyales o hindi kwalipikadong tauhan sa mga pampublikong proyekto. Nagreresulta ito sa:
* **Hindi mahusay at hindi mapagkakatiwalaang mga serbisyo:** Ang mga serbisyong pampubliko ay nagiging hindi maaasahan at hindi mahusay, hindi natutugunan ang mga pangangailangan ng populasyon.
* **Mga panganib sa kaligtasan:** Ang hindi maayos na imprastraktura ay nagdudulot ng mga panganib sa kaligtasan sa mga mamamayan.
* **Limitadong bisa:** Ang mga programa sa pangangalaga sa kalusugan at edukasyon ay maaaring maging hindi epektibo dahil sa hindi sapat na mga mapagkukunan at hindi kwalipikadong mga tauhan.
**3. Nabawasan ang Pagtitiwala ng Publiko:**
* **Ang katiwalian ay sumisira sa tiwala ng publiko** sa mga institusyon at opisyal ng gobyerno. Ito ay humahantong sa:
* **Nabawasan ang kooperasyon:** Ang mga mamamayan ay nagiging hindi gaanong handang makipagtulungan sa mga awtoridad o lumahok sa mga aktibidad ng sibiko, na humahadlang sa mga pagsisikap na mapabuti ang pamamahala at paghahatid ng serbisyo.
* **Pagkagulo sa lipunan:** Ang pagkabigo ng publiko sa katiwalian ay maaaring humantong sa kaguluhan sa lipunan at mga protesta.
**4. Tumaas na Hindi pagkakapantay-pantay:**
* **Ang katiwalian ay hindi katumbas ng epekto sa mga mahihirap at mahina.** Madalas silang kulang sa mga mapagkukunan o koneksyon upang mag-navigate sa mga tiwaling sistema, na humahantong sa:
* **Limitadong pag-access sa mahahalagang serbisyo:** Ang mga mahihirap ang kadalasang pinaka-apektado ng kakulangan ng de-kalidad na serbisyong pampubliko dahil sa limitadong mapagkukunan at imprastraktura.
* **Pagtaas ng kahinaan:** Ang katiwalian ay maaaring magpalala sa mga umiiral na hindi pagkakapantay-pantay at maging mas mahirap para sa mahihirap na mapabuti ang kanilang kabuhayan.
## Mga Legal na Aksyon upang Bawasan ang Epekto ng Korapsyon
Maraming legal na aksyon ang maaaring gawin upang **magaan ang epekto ng katiwalian** at mapabuti ang mga pampublikong serbisyo at kapakanan:
**1. Pagpapalakas ng mga Batas at Pagpapatupad ng Anti-Corruption:**
* **Magsabatas at magpatupad ng komprehensibong batas laban sa katiwalian:** Kabilang dito ang mga batas na tumutugon sa panunuhol, paglustay, pang-aabuso sa kapangyarihan, at iba pang mga katiwaliang gawain.
* **Magtatag ng mga independiyenteng ahensyang laban sa katiwalian:** Ang mga ahensyang ito ay dapat magkaroon ng kapangyarihang mag-imbestiga at mag-prosecute ng mga kaso ng katiwalian nang epektibo, walang panghihimasok sa pulitika.
* **Pataasin ang transparency at pananagutan:** Magpatupad ng mga hakbang tulad ng pagsisiwalat sa publiko ng mga badyet ng pamahalaan, paggasta, at mga deklarasyon ng asset ng mga opisyal upang mapataas ang transparency at panagutin ang mga opisyal.
**2. Pagbibigay-kapangyarihan sa mga Mamamayan at Lipunang Sibil:**
* **Isulong ang kalayaan sa pagsasalita at pagpupulong:** Nagbibigay-daan ito sa mga mamamayan na ilantad ang katiwalian at panagutin ang mga awtoridad.
* **Suportahan ang mga organisasyon ng civil society:** Ang mga organisasyong ito ay gumaganap ng mahalagang papel sa pagsubaybay sa mga aktibidad ng pamahalaan, pagtataguyod ng transparency, at pagtuturo sa publiko tungkol sa kanilang mga karapatan.
* **Hikayatin ang pakikilahok ng mamamayan:** Paunlarin ang pakikilahok ng mamamayan sa mga proseso ng pampublikong paggawa ng desisyon upang matiyak na maririnig ang kanilang mga boses at matutugunan ang kanilang mga pangangailangan.
**3. International Cooperation:**
* **I-promote ang internasyonal na kooperasyon:** Makipagtulungan sa ibang mga bansa upang bumuo at magpatupad ng mga epektibong hakbang laban sa katiwalian, magbahagi ng pinakamahuhusay na kagawian, at labanan ang korapsyon sa cross-border.
* **Pagtibayin at ipatupad ang mga internasyonal na kombensiyon laban sa katiwalian:** Ang mga kombensiyon na ito ay nagbibigay ng balangkas para sa internasyonal na kooperasyon at nagtatag ng mga pamantayan para sa paglaban sa katiwalian.
**4. Pampublikong Edukasyon at Kamalayan:**
* **Itaas ang kamalayan ng publiko tungkol sa mga negatibong epekto ng katiwalian:** Turuan ang mga mamamayan tungkol sa kanilang mga karapatan at responsibilidad sa paglaban sa katiwalian.
* **I-promote ang mga etikal na pagpapahalaga at integridad:** Hikayatin ang etikal na pag-uugali at integridad sa serbisyo publiko at lipunan sa kabuuan.
**Mahalagang tandaan** na ang pagtugon sa katiwalian sa pamahalaan ay isang masalimuot at patuloy na hamon. Ang pagpapatupad ng kumbinasyon ng mga ligal at panlipunang hakbang na ito ay maaaring mag-ambag sa paglikha ng isang mas malinaw, may pananagutan, at mahusay na pamahalaan na naghahatid ng mga de-kalidad na serbisyong pampubliko at nagtataguyod ng kagalingan ng lahat ng mamamayan.</v>
      </c>
      <c r="F1218" s="2">
        <f t="shared" si="1"/>
        <v>0</v>
      </c>
      <c r="G1218" s="2"/>
      <c r="H1218" s="2"/>
      <c r="I1218" s="2"/>
      <c r="J1218" s="2"/>
      <c r="K1218" s="2"/>
      <c r="L1218" s="2"/>
      <c r="M1218" s="2"/>
      <c r="N1218" s="2"/>
      <c r="O1218" s="2"/>
      <c r="P1218" s="2"/>
      <c r="Q1218" s="2"/>
      <c r="R1218" s="2"/>
      <c r="S1218" s="2"/>
      <c r="T1218" s="2"/>
      <c r="U1218" s="2"/>
      <c r="V1218" s="2"/>
      <c r="W1218" s="2"/>
      <c r="X1218" s="2"/>
      <c r="Y1218" s="2"/>
      <c r="Z1218" s="2"/>
      <c r="AA1218" s="2"/>
    </row>
    <row r="1219">
      <c r="A1219" s="1" t="s">
        <v>3356</v>
      </c>
      <c r="B1219" s="1" t="s">
        <v>3603</v>
      </c>
      <c r="C1219" s="1" t="s">
        <v>3604</v>
      </c>
      <c r="D1219" s="2" t="str">
        <f>IFERROR(__xludf.DUMMYFUNCTION("GOOGLETRANSLATE(B1219, ""en"", ""TL"")"),"Maaari bang gumawa ng legal na aksyon ang mga indibidwal laban sa mga media outlet o mga indibidwal na nagkakalat ng maling impormasyon tungkol sa katiwalian sa gobyerno?")</f>
        <v>Maaari bang gumawa ng legal na aksyon ang mga indibidwal laban sa mga media outlet o mga indibidwal na nagkakalat ng maling impormasyon tungkol sa katiwalian sa gobyerno?</v>
      </c>
      <c r="E1219" s="2" t="str">
        <f>IFERROR(__xludf.DUMMYFUNCTION("GOOGLETRANSLATE(C1219, ""en"", ""TL"")"),"Sa Pilipinas, ang mga indibidwal ay maaaring magsagawa ng legal na aksyon laban sa mga media outlet o mga indibidwal na nagpapakalat ng maling impormasyon tungkol sa katiwalian sa pamahalaan, ngunit ang pag-navigate sa lugar na ito ay nangangailangan ng m"&amp;"aingat na pagsasaalang-alang sa iba't ibang legal na aspeto at mga potensyal na limitasyon. Narito ang isang breakdown ng mga kaugnay na batas at pagsasaalang-alang ng Pilipinas:
**Mga Potensyal na Legal na Avenue:**
1. **Libel:** Sa ilalim ng Article 355"&amp;" ng Revised Penal Code (RPC), ang mga indibidwal ay maaaring magsampa ng kasong libelo kung ang maling impormasyon ay:
* **Nagpapataw ng krimen, bisyo, depekto, kahihiyan, o katiwalian sa iba.**
* **May posibilidad na maitim ang alaala ng isang patay na.*"&amp;"*
* **Inilalantad sa publiko ang pribadong buhay ng isang tao.**
2. **Cybercrime Law (RA 10175):**
* **Seksyon 4(c)(4):** Pinaparusahan ang online na paglalathala ng maling impormasyon na nagdudulot ng hindi nararapat na pinsala sa sinumang tao.
* **Seksy"&amp;"on 15:** Pinaparusahan ang paglikha, pagmamay-ari, o pamamahagi ng mapanirang nilalaman online.
3. **Karapatang Tumugon:** Ang Konstitusyon (Artikulo 19, Seksyon 2) ay nagbibigay sa mga indibidwal ng karapatang tumugon sa impormasyong inilathala tungkol s"&amp;"a kanila. Nagbibigay-daan ito sa mga indibidwal na ipakita ang kanilang panig ng kuwento at posibleng mabawasan ang pinsalang dulot ng maling impormasyon.
**Mga Hamon at Limitasyon:**
* **Burden of proof:** Ang pasanin ng pagpapatunay na mali ang impormas"&amp;"yon ay nasa nagsasakdal (ang indibidwal na nagsampa ng kaso). Maaari itong maging mahirap, lalo na kung ang impormasyon ay ipinakita bilang opinyon o walang malinaw na katibayan ng kasinungalingan.
* **Pagtatanggol sa katotohanan:** Ang nasasakdal (media "&amp;"outlet o indibidwal) ay maaaring itaas ang pagtatanggol sa katotohanan, ibig sabihin ay maaari silang magtaltalan na ang impormasyong kanilang inilathala ay lubos na totoo.
* **Pampublikong interes:** Ang pagtatanggol sa pampublikong interes ay maaaring n"&amp;"aaangkop kung ang impormasyon, kahit na hindi ganap na tumpak, ay nagsisilbi sa isang lehitimong pampublikong interes, tulad ng paglalantad ng tunay na katiwalian.
* **Chilling effect:** Ang mga legal na aksyon laban sa mga media outlet, kahit na hindi ma"&amp;"tagumpay, ay maaaring magkaroon ng nakakapanghinayang epekto sa kalayaan sa pagsasalita at pamamahayag.
**Mga Rekomendasyon:**
* **Kumonsulta sa isang abogado:** Ang pag-navigate sa mga legal na kumplikado at pagpili ng pinakaangkop na paraan ng pagkilos "&amp;"ay nangangailangan ng paghingi ng gabay mula sa isang abogado na dalubhasa sa batas ng media at paninirang-puri.
* **Isaalang-alang ang mga alternatibong solusyon:** Depende sa partikular na sitwasyon, ang paghahangad ng mga alternatibong solusyon tulad n"&amp;"g pagbibigay ng pampublikong pahayag na pinabulaanan ang maling impormasyon o pakikipag-ugnayan sa media outlet upang humingi ng pagwawasto ay maaaring maging mas epektibo at hindi gaanong masinsinang mapagkukunan kaysa legal na aksyon.
**Mahalagang Paala"&amp;"la:**
Ang impormasyong ito ay nagbibigay ng pangkalahatang pangkalahatang-ideya at hindi dapat ituring bilang legal na payo. Ang mga partikular na legal na opsyon na magagamit at ang kanilang posibilidad na magtagumpay ay nakasalalay sa mga indibidwal na "&amp;"pangyayari, ang nilalaman ng impormasyong nai-publish, at ang mga naaangkop na legal na interpretasyon. Ang pagkonsulta sa isang kwalipikadong abogado ay napakahalaga upang masuri ang partikular na sitwasyon, maunawaan ang mga potensyal na panganib at lim"&amp;"itasyon, at gumawa ng matalinong mga pagpapasya tungkol sa pagsasagawa ng legal na aksyon o paggalugad ng mga alternatibong solusyon.")</f>
        <v>Sa Pilipinas, ang mga indibidwal ay maaaring magsagawa ng legal na aksyon laban sa mga media outlet o mga indibidwal na nagpapakalat ng maling impormasyon tungkol sa katiwalian sa pamahalaan, ngunit ang pag-navigate sa lugar na ito ay nangangailangan ng maingat na pagsasaalang-alang sa iba't ibang legal na aspeto at mga potensyal na limitasyon. Narito ang isang breakdown ng mga kaugnay na batas at pagsasaalang-alang ng Pilipinas:
**Mga Potensyal na Legal na Avenue:**
1. **Libel:** Sa ilalim ng Article 355 ng Revised Penal Code (RPC), ang mga indibidwal ay maaaring magsampa ng kasong libelo kung ang maling impormasyon ay:
* **Nagpapataw ng krimen, bisyo, depekto, kahihiyan, o katiwalian sa iba.**
* **May posibilidad na maitim ang alaala ng isang patay na.**
* **Inilalantad sa publiko ang pribadong buhay ng isang tao.**
2. **Cybercrime Law (RA 10175):**
* **Seksyon 4(c)(4):** Pinaparusahan ang online na paglalathala ng maling impormasyon na nagdudulot ng hindi nararapat na pinsala sa sinumang tao.
* **Seksyon 15:** Pinaparusahan ang paglikha, pagmamay-ari, o pamamahagi ng mapanirang nilalaman online.
3. **Karapatang Tumugon:** Ang Konstitusyon (Artikulo 19, Seksyon 2) ay nagbibigay sa mga indibidwal ng karapatang tumugon sa impormasyong inilathala tungkol sa kanila. Nagbibigay-daan ito sa mga indibidwal na ipakita ang kanilang panig ng kuwento at posibleng mabawasan ang pinsalang dulot ng maling impormasyon.
**Mga Hamon at Limitasyon:**
* **Burden of proof:** Ang pasanin ng pagpapatunay na mali ang impormasyon ay nasa nagsasakdal (ang indibidwal na nagsampa ng kaso). Maaari itong maging mahirap, lalo na kung ang impormasyon ay ipinakita bilang opinyon o walang malinaw na katibayan ng kasinungalingan.
* **Pagtatanggol sa katotohanan:** Ang nasasakdal (media outlet o indibidwal) ay maaaring itaas ang pagtatanggol sa katotohanan, ibig sabihin ay maaari silang magtaltalan na ang impormasyong kanilang inilathala ay lubos na totoo.
* **Pampublikong interes:** Ang pagtatanggol sa pampublikong interes ay maaaring naaangkop kung ang impormasyon, kahit na hindi ganap na tumpak, ay nagsisilbi sa isang lehitimong pampublikong interes, tulad ng paglalantad ng tunay na katiwalian.
* **Chilling effect:** Ang mga legal na aksyon laban sa mga media outlet, kahit na hindi matagumpay, ay maaaring magkaroon ng nakakapanghinayang epekto sa kalayaan sa pagsasalita at pamamahayag.
**Mga Rekomendasyon:**
* **Kumonsulta sa isang abogado:** Ang pag-navigate sa mga legal na kumplikado at pagpili ng pinakaangkop na paraan ng pagkilos ay nangangailangan ng paghingi ng gabay mula sa isang abogado na dalubhasa sa batas ng media at paninirang-puri.
* **Isaalang-alang ang mga alternatibong solusyon:** Depende sa partikular na sitwasyon, ang paghahangad ng mga alternatibong solusyon tulad ng pagbibigay ng pampublikong pahayag na pinabulaanan ang maling impormasyon o pakikipag-ugnayan sa media outlet upang humingi ng pagwawasto ay maaaring maging mas epektibo at hindi gaanong masinsinang mapagkukunan kaysa legal na aksyon.
**Mahalagang Paalala:**
Ang impormasyong ito ay nagbibigay ng pangkalahatang pangkalahatang-ideya at hindi dapat ituring bilang legal na payo. Ang mga partikular na legal na opsyon na magagamit at ang kanilang posibilidad na magtagumpay ay nakasalalay sa mga indibidwal na pangyayari, ang nilalaman ng impormasyong nai-publish, at ang mga naaangkop na legal na interpretasyon. Ang pagkonsulta sa isang kwalipikadong abogado ay napakahalaga upang masuri ang partikular na sitwasyon, maunawaan ang mga potensyal na panganib at limitasyon, at gumawa ng matalinong mga pagpapasya tungkol sa pagsasagawa ng legal na aksyon o paggalugad ng mga alternatibong solusyon.</v>
      </c>
      <c r="F1219" s="2">
        <f t="shared" si="1"/>
        <v>0</v>
      </c>
      <c r="G1219" s="2"/>
      <c r="H1219" s="2"/>
      <c r="I1219" s="2"/>
      <c r="J1219" s="2"/>
      <c r="K1219" s="2"/>
      <c r="L1219" s="2"/>
      <c r="M1219" s="2"/>
      <c r="N1219" s="2"/>
      <c r="O1219" s="2"/>
      <c r="P1219" s="2"/>
      <c r="Q1219" s="2"/>
      <c r="R1219" s="2"/>
      <c r="S1219" s="2"/>
      <c r="T1219" s="2"/>
      <c r="U1219" s="2"/>
      <c r="V1219" s="2"/>
      <c r="W1219" s="2"/>
      <c r="X1219" s="2"/>
      <c r="Y1219" s="2"/>
      <c r="Z1219" s="2"/>
      <c r="AA1219" s="2"/>
    </row>
    <row r="1220">
      <c r="A1220" s="1" t="s">
        <v>3356</v>
      </c>
      <c r="B1220" s="1" t="s">
        <v>3605</v>
      </c>
      <c r="C1220" s="1" t="s">
        <v>3606</v>
      </c>
      <c r="D1220" s="2" t="str">
        <f>IFERROR(__xludf.DUMMYFUNCTION("GOOGLETRANSLATE(B1220, ""en"", ""TL"")"),"Paano naiimpluwensyahan ng mga internasyonal na kasunduan at kasunduan laban sa katiwalian ang mga pagsisikap na labanan ang katiwalian sa pamahalaan?")</f>
        <v>Paano naiimpluwensyahan ng mga internasyonal na kasunduan at kasunduan laban sa katiwalian ang mga pagsisikap na labanan ang katiwalian sa pamahalaan?</v>
      </c>
      <c r="E1220" s="2" t="str">
        <f>IFERROR(__xludf.DUMMYFUNCTION("GOOGLETRANSLATE(C1220, ""en"", ""TL"")"),"Ang mga internasyonal na kasunduan at kasunduan laban sa katiwalian ay may mahalagang papel sa pag-impluwensya sa mga pagsisikap na labanan ang katiwalian sa pamahalaan sa pamamagitan ng:
**1. Pagtatatag ng Mga Pamantayan at Pamantayan:**
* **Pagtukoy sa "&amp;"Korapsyon:** Ang mga kasunduang ito ay nagbibigay ng **karaniwang pag-unawa at kahulugan** ng mga pagkakasala sa katiwalian, pagpapalaganap ng internasyonal na kooperasyon at pagpapadali sa koordinadong aksyon laban sa mga krimeng ito.
* **Mga Pamantayan "&amp;"sa Pagtatakda:** Nagtatatag sila ng **mga pinakamababang pamantayan** para ipatupad ng mga estadong miyembro sa kanilang lokal na batas at mga kasanayan, kabilang ang:
* **Kriminalisasyon ng mga pangunahing paglabag sa katiwalian:** Kabilang dito ang panu"&amp;"nuhol, paglustay, at pag-abuso sa kapangyarihan para sa pribadong pakinabang.
* **Mga hakbang sa pag-iwas:** Ang mga hakbang na ito ay naglalayong tugunan ang mga ugat ng korapsyon, tulad ng pagtataguyod ng transparency, pananagutan, at integridad sa mga "&amp;"pampublikong institusyon.
* **Mga mekanismo ng pagpapatupad:** Binabalangkas ng mga kasunduan ang mga inaasahan para sa pagtatatag ng epektibong pagpapatupad ng batas, pag-uusig, at mga mekanismo sa pagbawi ng asset upang labanan ang katiwalian.
**2. Pags"&amp;"usulong ng Kooperasyon at Pagbabahagi ng Impormasyon:**
* **Mutual Legal Assistance:** Ang mga kasunduan ay nagpapadali sa **pagtutulungan sa pagitan ng mga bansa** sa mga pagsisiyasat, pag-uusig, at pagbawi ng asset na may kaugnayan sa mga paglabag sa ka"&amp;"tiwalian. Nagbibigay-daan ito sa pagbabahagi ng ebidensya, patotoo ng saksi, at iba pang kritikal na impormasyon sa mga hangganan.
* **Pagpapalitan ng Pinakamahuhusay na Kasanayan:** Ang mga miyembrong estado ay maaaring **matuto mula sa mga karanasan ng "&amp;"isa't isa** at magbahagi ng mga matagumpay na diskarte para sa pagpigil, pagtuklas, at pagsisiyasat ng katiwalian.
**3. Pagsubaybay at Pagsusuri:**
* **Mga Mekanismo ng Pagsusuri:** Maraming mga kasunduan ang nagtatag ng **mga mekanismo ng pagsusuri** kun"&amp;"g saan ang mga estadong miyembro ay pana-panahong sinusuri ng ibang mga partido sa kanilang pag-unlad sa pagpapatupad ng mga napagkasunduang pamantayan at pagtugon sa mga natukoy na pagkukulang. Ang prosesong ito ay maaaring humimok ng patuloy na pagpapab"&amp;"uti at mapanagutan ang mga bansa para sa kanilang mga pangako.
**4. Pagpapawalang-bisa sa Mga Pagsisikap Laban sa Korupsyon:**
* **International Pressure:** Ang pagpapatibay ng mga kasunduang ito ay nagpapakita ng **commitment ng isang bansa sa paglaban s"&amp;"a katiwalian** at maaaring lumikha ng pang-internasyonal na panggigipit upang panindigan ang mga pangakong ito. Maaari nitong palakasin ang determinasyon ng mga lokal na aktor na nagsusulong para sa mga reporma laban sa katiwalian.
**Mga Limitasyon at Ham"&amp;"on:**
* **Boluntaryong Pagpapatupad:** Habang ang mga kasunduang ito ay nagtatakda ng mga pamantayan, ang kanilang **implementasyon ay umaasa sa pangako ng mga indibidwal na bansa**. Ito ay maaaring mag-iba depende sa political will, institutional capacit"&amp;"y, at resource constraints.
* **Mga Hamon sa Pagpapatupad:** Maaaring maging kumplikado ang pagpapatupad ng mga probisyon ng mga kasunduang ito, lalo na kapag nakikitungo sa mga makapangyarihang indibidwal o entidad na sangkot sa katiwalian.
* **Tumuon sa"&amp;" Mga Aktor ng Estado:** Ang ilang mga kasunduan ay pangunahing nakatuon sa **korapsyon na kinasasangkutan ng mga opisyal ng estado**, na posibleng nagpapabaya sa iba pang mga anyo ng katiwalian tulad ng panunuhol sa pribadong sektor.
**Sa pangkalahatan, a"&amp;"ng mga internasyonal na kasunduan at kasunduan laban sa katiwalian, sa kabila ng kanilang mga limitasyon, ay may mahalagang papel sa:**
* **Pagtataas ng pandaigdigang kamalayan** sa mga masasamang epekto ng katiwalian.
* **Pagsusulong ng internasyonal na "&amp;"kooperasyon** sa paglaban sa transnational na krimeng ito.
* **Paghihikayat sa mga bansa na magpatibay at magpatupad** ng mga epektibong hakbang laban sa katiwalian.
* **Pagpapanagot sa mga pamahalaan** para sa kanilang mga pangako na labanan ang katiwali"&amp;"an.
Ang mga kasunduang ito, na sinamahan ng mga pambansang pagsisikap, pakikipag-ugnayan sa lipunang sibil, at matatag na mekanismo ng pagpapatupad, ay maaaring mag-ambag nang malaki sa paglikha ng isang pandaigdigang kapaligiran na hindi gaanong nakakatu"&amp;"long sa katiwalian at pagpapaunlad ng mas malinaw at may pananagutan na pamamahala.")</f>
        <v>Ang mga internasyonal na kasunduan at kasunduan laban sa katiwalian ay may mahalagang papel sa pag-impluwensya sa mga pagsisikap na labanan ang katiwalian sa pamahalaan sa pamamagitan ng:
**1. Pagtatatag ng Mga Pamantayan at Pamantayan:**
* **Pagtukoy sa Korapsyon:** Ang mga kasunduang ito ay nagbibigay ng **karaniwang pag-unawa at kahulugan** ng mga pagkakasala sa katiwalian, pagpapalaganap ng internasyonal na kooperasyon at pagpapadali sa koordinadong aksyon laban sa mga krimeng ito.
* **Mga Pamantayan sa Pagtatakda:** Nagtatatag sila ng **mga pinakamababang pamantayan** para ipatupad ng mga estadong miyembro sa kanilang lokal na batas at mga kasanayan, kabilang ang:
* **Kriminalisasyon ng mga pangunahing paglabag sa katiwalian:** Kabilang dito ang panunuhol, paglustay, at pag-abuso sa kapangyarihan para sa pribadong pakinabang.
* **Mga hakbang sa pag-iwas:** Ang mga hakbang na ito ay naglalayong tugunan ang mga ugat ng korapsyon, tulad ng pagtataguyod ng transparency, pananagutan, at integridad sa mga pampublikong institusyon.
* **Mga mekanismo ng pagpapatupad:** Binabalangkas ng mga kasunduan ang mga inaasahan para sa pagtatatag ng epektibong pagpapatupad ng batas, pag-uusig, at mga mekanismo sa pagbawi ng asset upang labanan ang katiwalian.
**2. Pagsusulong ng Kooperasyon at Pagbabahagi ng Impormasyon:**
* **Mutual Legal Assistance:** Ang mga kasunduan ay nagpapadali sa **pagtutulungan sa pagitan ng mga bansa** sa mga pagsisiyasat, pag-uusig, at pagbawi ng asset na may kaugnayan sa mga paglabag sa katiwalian. Nagbibigay-daan ito sa pagbabahagi ng ebidensya, patotoo ng saksi, at iba pang kritikal na impormasyon sa mga hangganan.
* **Pagpapalitan ng Pinakamahuhusay na Kasanayan:** Ang mga miyembrong estado ay maaaring **matuto mula sa mga karanasan ng isa't isa** at magbahagi ng mga matagumpay na diskarte para sa pagpigil, pagtuklas, at pagsisiyasat ng katiwalian.
**3. Pagsubaybay at Pagsusuri:**
* **Mga Mekanismo ng Pagsusuri:** Maraming mga kasunduan ang nagtatag ng **mga mekanismo ng pagsusuri** kung saan ang mga estadong miyembro ay pana-panahong sinusuri ng ibang mga partido sa kanilang pag-unlad sa pagpapatupad ng mga napagkasunduang pamantayan at pagtugon sa mga natukoy na pagkukulang. Ang prosesong ito ay maaaring humimok ng patuloy na pagpapabuti at mapanagutan ang mga bansa para sa kanilang mga pangako.
**4. Pagpapawalang-bisa sa Mga Pagsisikap Laban sa Korupsyon:**
* **International Pressure:** Ang pagpapatibay ng mga kasunduang ito ay nagpapakita ng **commitment ng isang bansa sa paglaban sa katiwalian** at maaaring lumikha ng pang-internasyonal na panggigipit upang panindigan ang mga pangakong ito. Maaari nitong palakasin ang determinasyon ng mga lokal na aktor na nagsusulong para sa mga reporma laban sa katiwalian.
**Mga Limitasyon at Hamon:**
* **Boluntaryong Pagpapatupad:** Habang ang mga kasunduang ito ay nagtatakda ng mga pamantayan, ang kanilang **implementasyon ay umaasa sa pangako ng mga indibidwal na bansa**. Ito ay maaaring mag-iba depende sa political will, institutional capacity, at resource constraints.
* **Mga Hamon sa Pagpapatupad:** Maaaring maging kumplikado ang pagpapatupad ng mga probisyon ng mga kasunduang ito, lalo na kapag nakikitungo sa mga makapangyarihang indibidwal o entidad na sangkot sa katiwalian.
* **Tumuon sa Mga Aktor ng Estado:** Ang ilang mga kasunduan ay pangunahing nakatuon sa **korapsyon na kinasasangkutan ng mga opisyal ng estado**, na posibleng nagpapabaya sa iba pang mga anyo ng katiwalian tulad ng panunuhol sa pribadong sektor.
**Sa pangkalahatan, ang mga internasyonal na kasunduan at kasunduan laban sa katiwalian, sa kabila ng kanilang mga limitasyon, ay may mahalagang papel sa:**
* **Pagtataas ng pandaigdigang kamalayan** sa mga masasamang epekto ng katiwalian.
* **Pagsusulong ng internasyonal na kooperasyon** sa paglaban sa transnational na krimeng ito.
* **Paghihikayat sa mga bansa na magpatibay at magpatupad** ng mga epektibong hakbang laban sa katiwalian.
* **Pagpapanagot sa mga pamahalaan** para sa kanilang mga pangako na labanan ang katiwalian.
Ang mga kasunduang ito, na sinamahan ng mga pambansang pagsisikap, pakikipag-ugnayan sa lipunang sibil, at matatag na mekanismo ng pagpapatupad, ay maaaring mag-ambag nang malaki sa paglikha ng isang pandaigdigang kapaligiran na hindi gaanong nakakatulong sa katiwalian at pagpapaunlad ng mas malinaw at may pananagutan na pamamahala.</v>
      </c>
      <c r="F1220" s="2">
        <f t="shared" si="1"/>
        <v>0</v>
      </c>
      <c r="G1220" s="2"/>
      <c r="H1220" s="2"/>
      <c r="I1220" s="2"/>
      <c r="J1220" s="2"/>
      <c r="K1220" s="2"/>
      <c r="L1220" s="2"/>
      <c r="M1220" s="2"/>
      <c r="N1220" s="2"/>
      <c r="O1220" s="2"/>
      <c r="P1220" s="2"/>
      <c r="Q1220" s="2"/>
      <c r="R1220" s="2"/>
      <c r="S1220" s="2"/>
      <c r="T1220" s="2"/>
      <c r="U1220" s="2"/>
      <c r="V1220" s="2"/>
      <c r="W1220" s="2"/>
      <c r="X1220" s="2"/>
      <c r="Y1220" s="2"/>
      <c r="Z1220" s="2"/>
      <c r="AA1220" s="2"/>
    </row>
    <row r="1221">
      <c r="A1221" s="1" t="s">
        <v>3356</v>
      </c>
      <c r="B1221" s="1" t="s">
        <v>3607</v>
      </c>
      <c r="C1221" s="1" t="s">
        <v>3608</v>
      </c>
      <c r="D1221" s="2" t="str">
        <f>IFERROR(__xludf.DUMMYFUNCTION("GOOGLETRANSLATE(B1221, ""en"", ""TL"")"),"Maaari bang magsampa ng kaso ang mga indibidwal laban sa mga ahensya o departamento ng gobyerno dahil sa hindi pagtupad sa mga kinakailangan sa transparency at pananagutan?")</f>
        <v>Maaari bang magsampa ng kaso ang mga indibidwal laban sa mga ahensya o departamento ng gobyerno dahil sa hindi pagtupad sa mga kinakailangan sa transparency at pananagutan?</v>
      </c>
      <c r="E1221" s="2" t="str">
        <f>IFERROR(__xludf.DUMMYFUNCTION("GOOGLETRANSLATE(C1221, ""en"", ""TL"")"),"Sa Pilipinas, kung ang mga indibidwal ay maaaring matagumpay na magsampa ng mga kaso laban sa mga ahensya o departamento ng gobyerno dahil sa hindi pagtupad sa mga kinakailangan sa transparency at pananagutan ay nakasalalay sa ilang mga salik:
**Mga Limit"&amp;"adong Direktang Paghahabla:**
* **Philippine legal framework:** Bagama't ang iba't ibang batas at regulasyon ay nagtataguyod ng transparency at pananagutan sa gobyerno, hindi nila tahasang binibigyan ang mga indibidwal ng **direktang karapatang magdemanda"&amp;"** sa mga entity ng gobyerno para lang sa hindi pagsunod.
**Mga Alternatibong Avenue:**
* **Mga Petisyon ng Mandamus:** Ang mga indibidwal ay maaaring maghain ng **mga petisyon ng mandamus** sa mga korte, na hinihimok ang mga ahensya ng gobyerno na tupari"&amp;"n ang kanilang **mga mandatoryong tungkulin** sa ilalim ng batas, kabilang ang mga nauugnay sa transparency at pananagutan. Maaaring kabilang dito ang:
* **Pagbibigay ng hiniling na impormasyon:** Kung ang isang ahensya ng gobyerno ay hindi tumugon sa isa"&amp;"ng lehitimong kahilingan para sa impormasyon sa ilalim ng **Freedom of Information (FOI) Act**, ang isang mandamus petition ay maaaring magpilit sa kanila na gawin ito.
* **Pagsunod sa mga wastong pamamaraan:** Kung ang isang ahensya ay nabigong sumunod s"&amp;"a mga ipinag-uutos na pamamaraan para sa paggawa ng desisyon o pakikilahok ng publiko, masisiguro ng isang mandamus petition na sinusunod nila ang mga pamamaraang ito.
* **Mga Reklamo sa Mga Lupong Tagapangasiwa:** Ang mga indibidwal ay maaaring magsampa "&amp;"ng mga reklamo sa mga nauugnay na katawan sa pangangasiwa tulad ng **Ombudsman** o **Commission on Audit (COA)**, na nagbibintang ng mga paglabag sa transparency at mga kinakailangan sa pananagutan ng mga ahensya ng gobyerno. Maaaring imbestigahan ng mga "&amp;"katawan na ito ang mga reklamo at posibleng magrekomenda ng mga hakbang sa pagwawasto o mga parusa.
**Mga Hamon at Pagsasaalang-alang:**
* **Burden of Proof:** Ang mga indibidwal na naghahain ng mandamus petition o reklamo ay nahaharap sa pasanin ng pagpa"&amp;"patunay:
* **Malinaw na legal na tungkulin:** Ang ahensya ng gobyerno ay may malinaw na legal na tungkulin na sumunod sa mga kinakailangan sa transparency at pananagutan sa ilalim ng mga partikular na batas o regulasyon.
* **Pagkabigong tuparin ang tungku"&amp;"lin:** Malinaw na nabigo ang ahensya sa pagtupad sa tungkuling ito sa isang partikular na pagkakataon.
* **Personal na pinsala:** Ang indibidwal na nagsampa ng kaso ay dumanas ng pinsala dahil sa hindi pagsunod ng ahensya.
* **Mahahabang Proseso:** Ang mg"&amp;"a legal na paglilitis ay maaaring magtagal at magastos, na nangangailangan ng makabuluhang mapagkukunan at tiyaga.
* **Limitadong Saklaw:** Maaaring hindi matugunan ng mga paraan na ito ang lahat ng aspeto ng hindi pagsunod, at ang tagumpay ay maaaring de"&amp;"pende sa mga partikular na pangyayari ng bawat kaso.
**Kahalagahan ng Legal na Patnubay:**
Ang pagkonsulta sa mga abogadong dalubhasa sa **batas ng administratibo, paglilitis sa interes ng publiko, o pag-access sa impormasyon** ay napakahalaga bago isagaw"&amp;"a ang anumang legal na aksyon. Maaari silang:
* **Turiin ang posibilidad ng kaso:** Suriin ang partikular na sitwasyon, naaangkop na mga batas, at ang posibilidad ng tagumpay na isinasaalang-alang ang mga legal na kumplikado.
* **Magbigay ng payo sa pinak"&amp;"aangkop na paraan:** Tukuyin kung ang mandamus petition, reklamo, o alternatibong mga diskarte ay nag-aalok ng pinakamahusay na paraan ng pagkilos.
* **Mag-navigate sa legal na proseso:** Magbigay ng patnubay sa pangangalap ng ebidensya, paghahain ng mga "&amp;"petisyon o reklamo, at kumakatawan sa iyong mga interes sa hukuman o sa harap ng mga katawan ng pangangasiwa.
**Konklusyon:**
Bagama't ang direktang pagdemanda sa mga ahensya ng gobyerno para sa hindi pagsunod sa mga kinakailangan sa transparency at panan"&amp;"agutan ay maaaring hindi ang pinakasimpleng opsyon, ang mga indibidwal ay may mga alternatibong paraan upang humingi ng lunas at panagutin ang mga entity na ito. Ang pag-unawa sa legal na tanawin, paggalugad ng mga available na opsyon, at paghanap ng prop"&amp;"esyonal na patnubay ay maaaring maging mahalaga sa pag-navigate sa mga sitwasyong ito at pagtataguyod ng higit na transparency at pananagutan sa pamamahala.")</f>
        <v>Sa Pilipinas, kung ang mga indibidwal ay maaaring matagumpay na magsampa ng mga kaso laban sa mga ahensya o departamento ng gobyerno dahil sa hindi pagtupad sa mga kinakailangan sa transparency at pananagutan ay nakasalalay sa ilang mga salik:
**Mga Limitadong Direktang Paghahabla:**
* **Philippine legal framework:** Bagama't ang iba't ibang batas at regulasyon ay nagtataguyod ng transparency at pananagutan sa gobyerno, hindi nila tahasang binibigyan ang mga indibidwal ng **direktang karapatang magdemanda** sa mga entity ng gobyerno para lang sa hindi pagsunod.
**Mga Alternatibong Avenue:**
* **Mga Petisyon ng Mandamus:** Ang mga indibidwal ay maaaring maghain ng **mga petisyon ng mandamus** sa mga korte, na hinihimok ang mga ahensya ng gobyerno na tuparin ang kanilang **mga mandatoryong tungkulin** sa ilalim ng batas, kabilang ang mga nauugnay sa transparency at pananagutan. Maaaring kabilang dito ang:
* **Pagbibigay ng hiniling na impormasyon:** Kung ang isang ahensya ng gobyerno ay hindi tumugon sa isang lehitimong kahilingan para sa impormasyon sa ilalim ng **Freedom of Information (FOI) Act**, ang isang mandamus petition ay maaaring magpilit sa kanila na gawin ito.
* **Pagsunod sa mga wastong pamamaraan:** Kung ang isang ahensya ay nabigong sumunod sa mga ipinag-uutos na pamamaraan para sa paggawa ng desisyon o pakikilahok ng publiko, masisiguro ng isang mandamus petition na sinusunod nila ang mga pamamaraang ito.
* **Mga Reklamo sa Mga Lupong Tagapangasiwa:** Ang mga indibidwal ay maaaring magsampa ng mga reklamo sa mga nauugnay na katawan sa pangangasiwa tulad ng **Ombudsman** o **Commission on Audit (COA)**, na nagbibintang ng mga paglabag sa transparency at mga kinakailangan sa pananagutan ng mga ahensya ng gobyerno. Maaaring imbestigahan ng mga katawan na ito ang mga reklamo at posibleng magrekomenda ng mga hakbang sa pagwawasto o mga parusa.
**Mga Hamon at Pagsasaalang-alang:**
* **Burden of Proof:** Ang mga indibidwal na naghahain ng mandamus petition o reklamo ay nahaharap sa pasanin ng pagpapatunay:
* **Malinaw na legal na tungkulin:** Ang ahensya ng gobyerno ay may malinaw na legal na tungkulin na sumunod sa mga kinakailangan sa transparency at pananagutan sa ilalim ng mga partikular na batas o regulasyon.
* **Pagkabigong tuparin ang tungkulin:** Malinaw na nabigo ang ahensya sa pagtupad sa tungkuling ito sa isang partikular na pagkakataon.
* **Personal na pinsala:** Ang indibidwal na nagsampa ng kaso ay dumanas ng pinsala dahil sa hindi pagsunod ng ahensya.
* **Mahahabang Proseso:** Ang mga legal na paglilitis ay maaaring magtagal at magastos, na nangangailangan ng makabuluhang mapagkukunan at tiyaga.
* **Limitadong Saklaw:** Maaaring hindi matugunan ng mga paraan na ito ang lahat ng aspeto ng hindi pagsunod, at ang tagumpay ay maaaring depende sa mga partikular na pangyayari ng bawat kaso.
**Kahalagahan ng Legal na Patnubay:**
Ang pagkonsulta sa mga abogadong dalubhasa sa **batas ng administratibo, paglilitis sa interes ng publiko, o pag-access sa impormasyon** ay napakahalaga bago isagawa ang anumang legal na aksyon. Maaari silang:
* **Turiin ang posibilidad ng kaso:** Suriin ang partikular na sitwasyon, naaangkop na mga batas, at ang posibilidad ng tagumpay na isinasaalang-alang ang mga legal na kumplikado.
* **Magbigay ng payo sa pinakaangkop na paraan:** Tukuyin kung ang mandamus petition, reklamo, o alternatibong mga diskarte ay nag-aalok ng pinakamahusay na paraan ng pagkilos.
* **Mag-navigate sa legal na proseso:** Magbigay ng patnubay sa pangangalap ng ebidensya, paghahain ng mga petisyon o reklamo, at kumakatawan sa iyong mga interes sa hukuman o sa harap ng mga katawan ng pangangasiwa.
**Konklusyon:**
Bagama't ang direktang pagdemanda sa mga ahensya ng gobyerno para sa hindi pagsunod sa mga kinakailangan sa transparency at pananagutan ay maaaring hindi ang pinakasimpleng opsyon, ang mga indibidwal ay may mga alternatibong paraan upang humingi ng lunas at panagutin ang mga entity na ito. Ang pag-unawa sa legal na tanawin, paggalugad ng mga available na opsyon, at paghanap ng propesyonal na patnubay ay maaaring maging mahalaga sa pag-navigate sa mga sitwasyong ito at pagtataguyod ng higit na transparency at pananagutan sa pamamahala.</v>
      </c>
      <c r="F1221" s="2">
        <f t="shared" si="1"/>
        <v>0</v>
      </c>
      <c r="G1221" s="2"/>
      <c r="H1221" s="2"/>
      <c r="I1221" s="2"/>
      <c r="J1221" s="2"/>
      <c r="K1221" s="2"/>
      <c r="L1221" s="2"/>
      <c r="M1221" s="2"/>
      <c r="N1221" s="2"/>
      <c r="O1221" s="2"/>
      <c r="P1221" s="2"/>
      <c r="Q1221" s="2"/>
      <c r="R1221" s="2"/>
      <c r="S1221" s="2"/>
      <c r="T1221" s="2"/>
      <c r="U1221" s="2"/>
      <c r="V1221" s="2"/>
      <c r="W1221" s="2"/>
      <c r="X1221" s="2"/>
      <c r="Y1221" s="2"/>
      <c r="Z1221" s="2"/>
      <c r="AA1221" s="2"/>
    </row>
    <row r="1222">
      <c r="A1222" s="1" t="s">
        <v>3356</v>
      </c>
      <c r="B1222" s="1" t="s">
        <v>3609</v>
      </c>
      <c r="C1222" s="1" t="s">
        <v>3610</v>
      </c>
      <c r="D1222" s="2" t="str">
        <f>IFERROR(__xludf.DUMMYFUNCTION("GOOGLETRANSLATE(B1222, ""en"", ""TL"")"),"Ano ang papel na ginagampanan ng judicial oversight at review sa pagtiyak ng pananagutan para sa mga kaso ng katiwalian sa gobyerno?")</f>
        <v>Ano ang papel na ginagampanan ng judicial oversight at review sa pagtiyak ng pananagutan para sa mga kaso ng katiwalian sa gobyerno?</v>
      </c>
      <c r="E1222" s="2" t="str">
        <f>IFERROR(__xludf.DUMMYFUNCTION("GOOGLETRANSLATE(C1222, ""en"", ""TL"")"),"Ang pangangasiwa at pagsusuri ng hudisyal ay may mahalagang papel sa pagtiyak ng pananagutan para sa mga kaso ng katiwalian sa pamahalaan sa maraming paraan:
**1. Pagkilala at Pagtugon sa Pang-aabuso sa Kapangyarihan:**
* **Pagsusuri sa Legalidad ng Mga P"&amp;"agkilos:** Ang mga korte ay may awtoridad na suriin ang legalidad ng mga aksyon ng pamahalaan, kabilang ang mga batas, patakaran, at desisyon. Nagbibigay-daan ito sa kanila na tumukoy ng mga pagkakataon kung saan ang mga pagkilos na ito ay lumalabag sa ba"&amp;"tas, lumampas sa awtoridad, o naiimpluwensyahan ng mga hindi tamang motibo tulad ng katiwalian.
* **Pagbabawas sa Mga Labag sa Batas:** Kung matutuklasan ng hukuman na labag sa batas o labag sa konstitusyon ang mga aksyon ng pamahalaan, maaari itong magla"&amp;"bas ng mga pagpapasya na magdedeklara ng mga ito na walang bisa at walang bisa, na epektibong huminto sa pagpapatupad ng mga ito at posibleng mangailangan ng mga hakbang sa pagwawasto.
**2. May Pananagutan ang mga Opisyal:**
* **Pag-iimbestiga ng mga Para"&amp;"tang:** Ang mga korte ay maaaring gumanap ng papel sa pag-iimbestiga sa mga paratang ng katiwalian sa pamamagitan ng mga pagtatanong ng hudisyal o pagbibigay ng kapangyarihan sa mga may-katuturang awtoridad na magsagawa ng masusing pagsisiyasat.
* **Pagpa"&amp;"pataw ng Mga Sanction:** Depende sa partikular na kaso at legal na balangkas, maaaring magpataw ng mga parusa ang mga korte sa mga opisyal ng gobyerno na napatunayang nagkasala ng katiwalian, kabilang ang pagtanggal sa pwesto, mga multa, o kahit na pagkak"&amp;"ulong.
**3. Paghadlang sa Korapsyon sa Hinaharap:**
* **Pagtatakda ng mga Precedent:** Ang mga desisyon ng korte ay nagtatag ng mga legal na pamarisan na gumagabay sa mga aksyon at desisyon sa hinaharap ng mga opisyal ng gobyerno. Sa pamamagitan ng pagtat"&amp;"akda ng malinaw na mga inaasahan at pagpapakita ng mga kahihinatnan para sa katiwalian, ang mga precedent na ito ay maaaring humadlang sa mga katulad na pagkakasala sa hinaharap.
* **Pag-promote ng Transparency at Public Trust:** Ang mabisang judicial ove"&amp;"rsight ay nagsusulong ng transparency at pampublikong tiwala sa mga institusyon ng gobyerno sa pamamagitan ng pagpapakita na walang indibidwal o entity ang mas mataas sa batas at na may mga mekanismo na nakalagay upang panagutin sila para sa maling gawain"&amp;".
**Mga Limitasyon at Hamon:**
* **Access to Justice:** Ang mga indibidwal o entity na naglalayong hamunin ang mga aksyon ng pamahalaan sa pamamagitan ng mga korte ay maaaring humarap sa mga hamon na may kaugnayan sa:
* **Gastos:** Maaaring magastos ang m"&amp;"ga legal na paglilitis, na posibleng maglilimita sa pag-access sa hustisya para sa mga indibidwal o mas maliliit na organisasyon.
* **Pagiging kumplikado:** Ang pag-navigate sa legal na sistema at epektibong pagpapakita ng ebidensya ay maaaring maging kum"&amp;"plikado, na nangangailangan ng legal na kadalubhasaan.
* **Bureaucracy:** Ang mga prosesong panghukuman ay maaaring mahaba at bureaucratic, na nagpapaantala sa pagresolba ng mga kaso.
* **Judicial Independence:** Ang bisa ng judicial oversight ay lubos na"&amp;" umaasa sa **independence at impartiality** ng hudikatura. Kung ang hudikatura ay madaling kapitan ng mga panlabas na panggigipit o impluwensya, ang kakayahan nitong panagutin ang mga aktor ng gobyerno para sa katiwalian ay maaaring makompromiso.
**Sa kab"&amp;"ila ng mga hamong ito, ang pangangasiwa ng hudisyal at pagsusuri ay nananatiling mahahalagang pananggalang laban sa katiwalian ng pamahalaan. Sa pamamagitan ng pagbibigay ng mekanismo para sa pagtukoy at pagtugon sa mga pang-aabuso sa kapangyarihan, pagpa"&amp;"panagot sa mga opisyal, at pagpigil sa mga pagkakasala sa hinaharap, ang isang malakas at independiyenteng hudikatura ay gumaganap ng mahalagang papel sa pagtataguyod ng transparency, pananagutan, at mabuting pamamahala.**
**Bukod pa rito, mahalagang tand"&amp;"aan na ang pangangasiwa at pagsusuri ng hudisyal ay isang bahagi lamang ng isang komprehensibong diskarte laban sa katiwalian. Kabilang sa iba pang mahahalagang elemento ang:**
* **Malakas na batas laban sa katiwalian at mga mekanismo ng pagpapatupad.**
*"&amp;" **Mga epektibong investigative body na may sapat na mapagkukunan at kalayaan.**
* **Isang kultura ng integridad at etikal na pag-uugali sa loob ng mga institusyon ng pamahalaan.**
* **Aktibong paglahok ng civil society sa pagsubaybay sa mga aktibidad ng "&amp;"pamahalaan at pagtataguyod ng mga reporma.**
Sa pamamagitan ng pagtutulungan, ang iba't ibang elementong ito ay maaaring lumikha ng isang matatag na sistema para sa paglaban sa katiwalian at pagtataguyod ng isang mas makatarungan at pantay na lipunan.")</f>
        <v>Ang pangangasiwa at pagsusuri ng hudisyal ay may mahalagang papel sa pagtiyak ng pananagutan para sa mga kaso ng katiwalian sa pamahalaan sa maraming paraan:
**1. Pagkilala at Pagtugon sa Pang-aabuso sa Kapangyarihan:**
* **Pagsusuri sa Legalidad ng Mga Pagkilos:** Ang mga korte ay may awtoridad na suriin ang legalidad ng mga aksyon ng pamahalaan, kabilang ang mga batas, patakaran, at desisyon. Nagbibigay-daan ito sa kanila na tumukoy ng mga pagkakataon kung saan ang mga pagkilos na ito ay lumalabag sa batas, lumampas sa awtoridad, o naiimpluwensyahan ng mga hindi tamang motibo tulad ng katiwalian.
* **Pagbabawas sa Mga Labag sa Batas:** Kung matutuklasan ng hukuman na labag sa batas o labag sa konstitusyon ang mga aksyon ng pamahalaan, maaari itong maglabas ng mga pagpapasya na magdedeklara ng mga ito na walang bisa at walang bisa, na epektibong huminto sa pagpapatupad ng mga ito at posibleng mangailangan ng mga hakbang sa pagwawasto.
**2. May Pananagutan ang mga Opisyal:**
* **Pag-iimbestiga ng mga Paratang:** Ang mga korte ay maaaring gumanap ng papel sa pag-iimbestiga sa mga paratang ng katiwalian sa pamamagitan ng mga pagtatanong ng hudisyal o pagbibigay ng kapangyarihan sa mga may-katuturang awtoridad na magsagawa ng masusing pagsisiyasat.
* **Pagpapataw ng Mga Sanction:** Depende sa partikular na kaso at legal na balangkas, maaaring magpataw ng mga parusa ang mga korte sa mga opisyal ng gobyerno na napatunayang nagkasala ng katiwalian, kabilang ang pagtanggal sa pwesto, mga multa, o kahit na pagkakulong.
**3. Paghadlang sa Korapsyon sa Hinaharap:**
* **Pagtatakda ng mga Precedent:** Ang mga desisyon ng korte ay nagtatag ng mga legal na pamarisan na gumagabay sa mga aksyon at desisyon sa hinaharap ng mga opisyal ng gobyerno. Sa pamamagitan ng pagtatakda ng malinaw na mga inaasahan at pagpapakita ng mga kahihinatnan para sa katiwalian, ang mga precedent na ito ay maaaring humadlang sa mga katulad na pagkakasala sa hinaharap.
* **Pag-promote ng Transparency at Public Trust:** Ang mabisang judicial oversight ay nagsusulong ng transparency at pampublikong tiwala sa mga institusyon ng gobyerno sa pamamagitan ng pagpapakita na walang indibidwal o entity ang mas mataas sa batas at na may mga mekanismo na nakalagay upang panagutin sila para sa maling gawain.
**Mga Limitasyon at Hamon:**
* **Access to Justice:** Ang mga indibidwal o entity na naglalayong hamunin ang mga aksyon ng pamahalaan sa pamamagitan ng mga korte ay maaaring humarap sa mga hamon na may kaugnayan sa:
* **Gastos:** Maaaring magastos ang mga legal na paglilitis, na posibleng maglilimita sa pag-access sa hustisya para sa mga indibidwal o mas maliliit na organisasyon.
* **Pagiging kumplikado:** Ang pag-navigate sa legal na sistema at epektibong pagpapakita ng ebidensya ay maaaring maging kumplikado, na nangangailangan ng legal na kadalubhasaan.
* **Bureaucracy:** Ang mga prosesong panghukuman ay maaaring mahaba at bureaucratic, na nagpapaantala sa pagresolba ng mga kaso.
* **Judicial Independence:** Ang bisa ng judicial oversight ay lubos na umaasa sa **independence at impartiality** ng hudikatura. Kung ang hudikatura ay madaling kapitan ng mga panlabas na panggigipit o impluwensya, ang kakayahan nitong panagutin ang mga aktor ng gobyerno para sa katiwalian ay maaaring makompromiso.
**Sa kabila ng mga hamong ito, ang pangangasiwa ng hudisyal at pagsusuri ay nananatiling mahahalagang pananggalang laban sa katiwalian ng pamahalaan. Sa pamamagitan ng pagbibigay ng mekanismo para sa pagtukoy at pagtugon sa mga pang-aabuso sa kapangyarihan, pagpapanagot sa mga opisyal, at pagpigil sa mga pagkakasala sa hinaharap, ang isang malakas at independiyenteng hudikatura ay gumaganap ng mahalagang papel sa pagtataguyod ng transparency, pananagutan, at mabuting pamamahala.**
**Bukod pa rito, mahalagang tandaan na ang pangangasiwa at pagsusuri ng hudisyal ay isang bahagi lamang ng isang komprehensibong diskarte laban sa katiwalian. Kabilang sa iba pang mahahalagang elemento ang:**
* **Malakas na batas laban sa katiwalian at mga mekanismo ng pagpapatupad.**
* **Mga epektibong investigative body na may sapat na mapagkukunan at kalayaan.**
* **Isang kultura ng integridad at etikal na pag-uugali sa loob ng mga institusyon ng pamahalaan.**
* **Aktibong paglahok ng civil society sa pagsubaybay sa mga aktibidad ng pamahalaan at pagtataguyod ng mga reporma.**
Sa pamamagitan ng pagtutulungan, ang iba't ibang elementong ito ay maaaring lumikha ng isang matatag na sistema para sa paglaban sa katiwalian at pagtataguyod ng isang mas makatarungan at pantay na lipunan.</v>
      </c>
      <c r="F1222" s="2">
        <f t="shared" si="1"/>
        <v>0</v>
      </c>
      <c r="G1222" s="2"/>
      <c r="H1222" s="2"/>
      <c r="I1222" s="2"/>
      <c r="J1222" s="2"/>
      <c r="K1222" s="2"/>
      <c r="L1222" s="2"/>
      <c r="M1222" s="2"/>
      <c r="N1222" s="2"/>
      <c r="O1222" s="2"/>
      <c r="P1222" s="2"/>
      <c r="Q1222" s="2"/>
      <c r="R1222" s="2"/>
      <c r="S1222" s="2"/>
      <c r="T1222" s="2"/>
      <c r="U1222" s="2"/>
      <c r="V1222" s="2"/>
      <c r="W1222" s="2"/>
      <c r="X1222" s="2"/>
      <c r="Y1222" s="2"/>
      <c r="Z1222" s="2"/>
      <c r="AA1222" s="2"/>
    </row>
    <row r="1223">
      <c r="A1223" s="1" t="s">
        <v>3356</v>
      </c>
      <c r="B1223" s="1" t="s">
        <v>3611</v>
      </c>
      <c r="C1223" s="1" t="s">
        <v>3612</v>
      </c>
      <c r="D1223" s="2" t="str">
        <f>IFERROR(__xludf.DUMMYFUNCTION("GOOGLETRANSLATE(B1223, ""en"", ""TL"")"),"Maaari bang hamunin ng mga indibidwal ang mga patakaran o desisyon ng pamahalaan na naiimpluwensyahan ng mga tiwaling gawi o salungatan ng interes?")</f>
        <v>Maaari bang hamunin ng mga indibidwal ang mga patakaran o desisyon ng pamahalaan na naiimpluwensyahan ng mga tiwaling gawi o salungatan ng interes?</v>
      </c>
      <c r="E1223" s="2" t="str">
        <f>IFERROR(__xludf.DUMMYFUNCTION("GOOGLETRANSLATE(C1223, ""en"", ""TL"")"),"Ang mga indibidwal sa Pilipinas **ay may mga paraan upang hamunin ang mga patakaran o desisyon ng pamahalaan** na pinaghihinalaang naiimpluwensyahan ng mga tiwaling gawi o salungatan ng interes. Bagama't maaaring maging kumplikado at mapaghamong ang prose"&amp;"so, umiiral ang iba't ibang legal at hindi legal na mekanismo upang panagutin ang mga awtoridad at humingi ng lunas:
**Mga Legal na Hamon:**
* **Paghahain ng mga Petisyon:** Ang mga indibidwal ay maaaring maghain ng mga petisyon sa mga nauugnay na hukuman"&amp;", gaya ng **Korte Suprema**, na hinahamon ang legalidad ng mga patakaran o desisyon ng pamahalaan sa iba't ibang batayan, kabilang ang:
* **Paglabag sa Konstitusyon:** Kung ang patakaran o desisyon ay lumalabag sa mga pangunahing karapatang nakasaad sa Ko"&amp;"nstitusyon, tulad ng angkop na proseso, pantay na proteksyon, o karapatan sa impormasyon, ang mga indibidwal ay maaaring magpetisyon para sa judicial review.
* **Labis na Awtoridad:** Kung ang ahensya ng gobyerno na naglalabas ng patakaran o ang paggawa n"&amp;"g desisyon ay lumampas sa legal na awtoridad nito, maaaring hamunin ng mga indibidwal ang bisa nito sa pamamagitan ng legal na aksyon.
* **Mga Iregularidad sa Pamamaraan:** Kung may depekto ang proseso ng pagbalangkas o pagpapatupad ng patakaran o desisyo"&amp;"n, maaaring hamunin ito ng mga indibidwal batay sa mga paglabag sa pamamaraan.
* **Mga Reklamo sa Administratibo:** Maaaring magsampa ng mga reklamo ang mga indibidwal sa mga nauugnay na **ahensiya ng pamahalaan** tulad ng **Ombudsman** o **Komisyon sa Se"&amp;"rbisyo Sibil**, na nagbibintang ng mga iregularidad, pang-aabuso sa awtoridad, o mga paglabag sa mga etikal na code ng mga opisyal ng pamahalaan na kasangkot sa patakaran o proseso ng paggawa ng desisyon. Maaaring imbestigahan ng mga ahensyang ito ang mga"&amp;" reklamo at posibleng magrekomenda ng mga hakbang sa pagwawasto o mga parusa.
**Mga Di-Legal na Diskarte:**
* **Public Advocacy and Awareness:** Ang pagpapataas ng kamalayan ng publiko tungkol sa pinaghihinalaang katiwalian o salungatan ng interes sa pama"&amp;"magitan ng mga kampanya, petisyon, at pampublikong diskurso ay maaaring magbigay ng presyon sa mga awtoridad na muling isaalang-alang ang patakaran o desisyon at isulong ang transparency.
* **Pakikipag-ugnayan sa Mga Organisasyon ng Sibil na Lipunan:** An"&amp;"g pakikipagtulungan sa mga NGO at mga grupo ng adbokasiya na nagtatrabaho sa mabuting pamamahala at laban sa katiwalian ay maaaring magamit ang kanilang kadalubhasaan at mga mapagkukunan upang hamunin ang mga problemadong patakaran at isulong ang mga repo"&amp;"rma.
* **Paghahanap ng Atensyon sa Media:** Ang pagbibigay ng pansin sa isyu sa mga media outlet ay maaaring makabuo ng pagsisiyasat ng publiko at mapapanagot ang mga awtoridad para sa kanilang mga aksyon.
**Mga Hamon at Pagsasaalang-alang:**
* **Burden o"&amp;"f Proof:** Ang mga indibidwal na humahamon sa mga patakaran o desisyon ng gobyerno ay kadalasang nahaharap sa pasanin na patunayan ang pagkakaroon ng mga tiwaling gawi o salungatan ng interes, na maaaring maging hamon dahil sa limitadong pag-access sa imp"&amp;"ormasyon at potensyal na pagtutol mula sa makapangyarihang mga entity.
* **Mahahabang Proseso:** Ang mga legal na hamon at mga pamamaraang pang-administratibo ay maaaring magtagal at magastos, na nangangailangan ng makabuluhang mapagkukunan at tiyaga.
* *"&amp;"*Mga Limitadong Rate ng Tagumpay:** Hindi lahat ng hamon ay matagumpay, at ang mga indibidwal ay maaaring makaharap ng mga pag-urong o pagkaantala sa paghingi ng lunas.
**Sa pangkalahatan, habang ang paghamon sa mga patakaran o desisyon ng gobyerno na nai"&amp;"impluwensyahan ng katiwalian o mga salungatan ng interes ay hindi walang problema, iba't ibang paraan ang umiiral para sa mga indibidwal na panagutin ang mga awtoridad at itaguyod ang mabuting pamamahala. Ang paghanap ng legal na patnubay, paggalugad ng m"&amp;"ga magagamit na mekanismo, at pakikipagtulungan sa iba ay maaaring magpapataas ng mga pagkakataong magtagumpay sa pagtataguyod ng transparency, pananagutan, at etikal na paggawa ng desisyon sa Pilipinas.**")</f>
        <v>Ang mga indibidwal sa Pilipinas **ay may mga paraan upang hamunin ang mga patakaran o desisyon ng pamahalaan** na pinaghihinalaang naiimpluwensyahan ng mga tiwaling gawi o salungatan ng interes. Bagama't maaaring maging kumplikado at mapaghamong ang proseso, umiiral ang iba't ibang legal at hindi legal na mekanismo upang panagutin ang mga awtoridad at humingi ng lunas:
**Mga Legal na Hamon:**
* **Paghahain ng mga Petisyon:** Ang mga indibidwal ay maaaring maghain ng mga petisyon sa mga nauugnay na hukuman, gaya ng **Korte Suprema**, na hinahamon ang legalidad ng mga patakaran o desisyon ng pamahalaan sa iba't ibang batayan, kabilang ang:
* **Paglabag sa Konstitusyon:** Kung ang patakaran o desisyon ay lumalabag sa mga pangunahing karapatang nakasaad sa Konstitusyon, tulad ng angkop na proseso, pantay na proteksyon, o karapatan sa impormasyon, ang mga indibidwal ay maaaring magpetisyon para sa judicial review.
* **Labis na Awtoridad:** Kung ang ahensya ng gobyerno na naglalabas ng patakaran o ang paggawa ng desisyon ay lumampas sa legal na awtoridad nito, maaaring hamunin ng mga indibidwal ang bisa nito sa pamamagitan ng legal na aksyon.
* **Mga Iregularidad sa Pamamaraan:** Kung may depekto ang proseso ng pagbalangkas o pagpapatupad ng patakaran o desisyon, maaaring hamunin ito ng mga indibidwal batay sa mga paglabag sa pamamaraan.
* **Mga Reklamo sa Administratibo:** Maaaring magsampa ng mga reklamo ang mga indibidwal sa mga nauugnay na **ahensiya ng pamahalaan** tulad ng **Ombudsman** o **Komisyon sa Serbisyo Sibil**, na nagbibintang ng mga iregularidad, pang-aabuso sa awtoridad, o mga paglabag sa mga etikal na code ng mga opisyal ng pamahalaan na kasangkot sa patakaran o proseso ng paggawa ng desisyon. Maaaring imbestigahan ng mga ahensyang ito ang mga reklamo at posibleng magrekomenda ng mga hakbang sa pagwawasto o mga parusa.
**Mga Di-Legal na Diskarte:**
* **Public Advocacy and Awareness:** Ang pagpapataas ng kamalayan ng publiko tungkol sa pinaghihinalaang katiwalian o salungatan ng interes sa pamamagitan ng mga kampanya, petisyon, at pampublikong diskurso ay maaaring magbigay ng presyon sa mga awtoridad na muling isaalang-alang ang patakaran o desisyon at isulong ang transparency.
* **Pakikipag-ugnayan sa Mga Organisasyon ng Sibil na Lipunan:** Ang pakikipagtulungan sa mga NGO at mga grupo ng adbokasiya na nagtatrabaho sa mabuting pamamahala at laban sa katiwalian ay maaaring magamit ang kanilang kadalubhasaan at mga mapagkukunan upang hamunin ang mga problemadong patakaran at isulong ang mga reporma.
* **Paghahanap ng Atensyon sa Media:** Ang pagbibigay ng pansin sa isyu sa mga media outlet ay maaaring makabuo ng pagsisiyasat ng publiko at mapapanagot ang mga awtoridad para sa kanilang mga aksyon.
**Mga Hamon at Pagsasaalang-alang:**
* **Burden of Proof:** Ang mga indibidwal na humahamon sa mga patakaran o desisyon ng gobyerno ay kadalasang nahaharap sa pasanin na patunayan ang pagkakaroon ng mga tiwaling gawi o salungatan ng interes, na maaaring maging hamon dahil sa limitadong pag-access sa impormasyon at potensyal na pagtutol mula sa makapangyarihang mga entity.
* **Mahahabang Proseso:** Ang mga legal na hamon at mga pamamaraang pang-administratibo ay maaaring magtagal at magastos, na nangangailangan ng makabuluhang mapagkukunan at tiyaga.
* **Mga Limitadong Rate ng Tagumpay:** Hindi lahat ng hamon ay matagumpay, at ang mga indibidwal ay maaaring makaharap ng mga pag-urong o pagkaantala sa paghingi ng lunas.
**Sa pangkalahatan, habang ang paghamon sa mga patakaran o desisyon ng gobyerno na naiimpluwensyahan ng katiwalian o mga salungatan ng interes ay hindi walang problema, iba't ibang paraan ang umiiral para sa mga indibidwal na panagutin ang mga awtoridad at itaguyod ang mabuting pamamahala. Ang paghanap ng legal na patnubay, paggalugad ng mga magagamit na mekanismo, at pakikipagtulungan sa iba ay maaaring magpapataas ng mga pagkakataong magtagumpay sa pagtataguyod ng transparency, pananagutan, at etikal na paggawa ng desisyon sa Pilipinas.**</v>
      </c>
      <c r="F1223" s="2">
        <f t="shared" si="1"/>
        <v>0</v>
      </c>
      <c r="G1223" s="2"/>
      <c r="H1223" s="2"/>
      <c r="I1223" s="2"/>
      <c r="J1223" s="2"/>
      <c r="K1223" s="2"/>
      <c r="L1223" s="2"/>
      <c r="M1223" s="2"/>
      <c r="N1223" s="2"/>
      <c r="O1223" s="2"/>
      <c r="P1223" s="2"/>
      <c r="Q1223" s="2"/>
      <c r="R1223" s="2"/>
      <c r="S1223" s="2"/>
      <c r="T1223" s="2"/>
      <c r="U1223" s="2"/>
      <c r="V1223" s="2"/>
      <c r="W1223" s="2"/>
      <c r="X1223" s="2"/>
      <c r="Y1223" s="2"/>
      <c r="Z1223" s="2"/>
      <c r="AA1223" s="2"/>
    </row>
    <row r="1224">
      <c r="A1224" s="1" t="s">
        <v>3356</v>
      </c>
      <c r="B1224" s="1" t="s">
        <v>3613</v>
      </c>
      <c r="C1224" s="1" t="s">
        <v>3614</v>
      </c>
      <c r="D1224" s="2" t="str">
        <f>IFERROR(__xludf.DUMMYFUNCTION("GOOGLETRANSLATE(B1224, ""en"", ""TL"")"),"Paano pinoprotektahan ng mga batas sa paninirang-puri ang mga indibidwal na naglalantad ng mga pagkakataon ng katiwalian sa pamahalaan mula sa paghihiganti?")</f>
        <v>Paano pinoprotektahan ng mga batas sa paninirang-puri ang mga indibidwal na naglalantad ng mga pagkakataon ng katiwalian sa pamahalaan mula sa paghihiganti?</v>
      </c>
      <c r="E1224" s="2" t="str">
        <f>IFERROR(__xludf.DUMMYFUNCTION("GOOGLETRANSLATE(C1224, ""en"", ""TL"")"),"Ang mga batas sa paninirang-puri sa Pilipinas ay nag-aalok ng **limitadong proteksyon** para sa mga indibidwal na naglalantad ng mga pagkakataon ng katiwalian sa pamahalaan mula sa paghihiganti, pangunahin dahil sa **pasan ng patunay** at ang **potensyal "&amp;"ng pang-aabuso** ng mga nasa kapangyarihan. Narito ang isang breakdown ng mga pangunahing punto:
**Limitadong Proteksyon:**
* **Burden of Proof:** Sa mga kaso ng paninirang-puri, ang pasanin ng patunay ay nakasalalay sa nagsasakdal, ang indibidwal na nags"&amp;"asabing siniraan sila, upang ipakita na ang pahayag na ginawa tungkol sa kanila ay:
* **Mali:** Ang pahayag ay dapat na maipakitang hindi totoo.
* **Mapanirang-puri:** Ang pahayag ay dapat makasira sa kanilang reputasyon sa mga mata ng mga miyembro ng lip"&amp;"unan na may tamang pag-iisip.
* **Na-publish:** Ang pahayag ay dapat na ipinaalam sa isang third party.
* **Potensyal para sa Pang-aabuso:** Ang mga makapangyarihang indibidwal o institusyon, kabilang ang mga opisyal ng gobyerno, ay maaaring maling gumami"&amp;"t ng mga batas sa paninirang-puri upang patahimikin ang mga kritiko at pigilan ang lehitimong pagkakalantad ng katiwalian. Maaari itong magkaroon ng nakakapanghinayang epekto sa kalayaan sa pagsasalita at investigative journalism.
**Mga Alternatibong Aven"&amp;"ue para sa Proteksyon:**
* **Truth as a Defense:** Maaaring ipagtanggol ng mga indibidwal ang kanilang sarili laban sa mga claim sa paninirang-puri sa pamamagitan ng pagpapatunay na ang pahayag na ginawa tungkol sa kanila ay **lubhang totoo**. Ang pagtata"&amp;"nggol na ito ay maaaring maging mahirap, na nangangailangan ng ebidensya upang suportahan ang katotohanan ng mga pag-aangkin na ginawa tungkol sa katiwalian.
* **Pagtatanggol sa Pampublikong Interes:** Sa ilang mga kaso, maaaring gamitin ng mga indibidwal"&amp;" ang **pagtatanggol sa interes ng publiko**, na nangangatwiran na ang impormasyong kanilang ibinunyag, kahit na mapanirang-puri, ay para sa pampublikong interes at mas malaki ang pinsala sa reputasyon ng indibidwal. Gayunpaman, ang matagumpay na pagtatata"&amp;"g ng pagtatanggol na ito ay maaaring maging kumplikado at nangangailangan ng legal na kadalubhasaan.
* **Mga Batas sa Proteksyon sa Whistleblower:** Ang Pilipinas ay mayroong **mga batas sa proteksyon ng whistleblower** tulad ng Republic Act No. 6735, na "&amp;"nag-aalok ng ilang mga pananggalang laban sa paghihiganti para sa mga indibidwal na nag-uulat ng mga paglabag sa mga batas, panuntunan, o regulasyon, kabilang ang mga paglabag sa katiwalian.
**Kahalagahan ng Legal na Dalubhasa:**
Ang pag-navigate sa mga k"&amp;"aso ng paninirang-puri at paggamit ng mga potensyal na depensa ay maaaring maging kumplikado at nangangailangan ng tulong ng mga abogado na dalubhasa sa **batas ng media, batas sa paninirang-puri, at potensyal na paglilitis sa interes ng publiko**. Maaari"&amp;" silang:
* **Tasahin ang mga legal na panganib at potensyal na depensa:** Suriin ang mga partikular na pangyayari, ang posibilidad na magtagumpay ang isang paghahabol sa paninirang-puri, at ang posibilidad ng paggamit ng mga nauugnay na depensa tulad ng k"&amp;"atotohanan o interes ng publiko.
* **Magbigay ng payo sa mga alternatibong diskarte:** Mag-explore ng iba pang mga paraan tulad ng mga mekanismo ng proteksyon ng whistleblower o mga reklamong administratibo upang ilantad ang katiwalian at mabawasan ang mg"&amp;"a legal na panganib.
* **Mag-navigate sa legal na proseso:** Magbigay ng patnubay sa pangangalap ng ebidensya, pagbuo ng depensa, at pagkatawan sa iyong mga interes sa hukuman kung kinakailangan.
**Konklusyon:**
Bagama't ang mga batas sa paninirang-puri a"&amp;"y nag-aalok ng limitadong proteksyon para sa mga indibidwal na naglalantad ng katiwalian, ang mga alternatibong paraan at mga legal na diskarte ay umiiral upang mag-navigate sa mga sitwasyong ito. Gayunpaman, mahalagang maunawaan ang mga kumplikadong kasa"&amp;"ngkot, humingi ng propesyonal na legal na patnubay, at timbangin ang mga potensyal na panganib at benepisyo bago gumawa ng anumang aksyon.")</f>
        <v>Ang mga batas sa paninirang-puri sa Pilipinas ay nag-aalok ng **limitadong proteksyon** para sa mga indibidwal na naglalantad ng mga pagkakataon ng katiwalian sa pamahalaan mula sa paghihiganti, pangunahin dahil sa **pasan ng patunay** at ang **potensyal ng pang-aabuso** ng mga nasa kapangyarihan. Narito ang isang breakdown ng mga pangunahing punto:
**Limitadong Proteksyon:**
* **Burden of Proof:** Sa mga kaso ng paninirang-puri, ang pasanin ng patunay ay nakasalalay sa nagsasakdal, ang indibidwal na nagsasabing siniraan sila, upang ipakita na ang pahayag na ginawa tungkol sa kanila ay:
* **Mali:** Ang pahayag ay dapat na maipakitang hindi totoo.
* **Mapanirang-puri:** Ang pahayag ay dapat makasira sa kanilang reputasyon sa mga mata ng mga miyembro ng lipunan na may tamang pag-iisip.
* **Na-publish:** Ang pahayag ay dapat na ipinaalam sa isang third party.
* **Potensyal para sa Pang-aabuso:** Ang mga makapangyarihang indibidwal o institusyon, kabilang ang mga opisyal ng gobyerno, ay maaaring maling gumamit ng mga batas sa paninirang-puri upang patahimikin ang mga kritiko at pigilan ang lehitimong pagkakalantad ng katiwalian. Maaari itong magkaroon ng nakakapanghinayang epekto sa kalayaan sa pagsasalita at investigative journalism.
**Mga Alternatibong Avenue para sa Proteksyon:**
* **Truth as a Defense:** Maaaring ipagtanggol ng mga indibidwal ang kanilang sarili laban sa mga claim sa paninirang-puri sa pamamagitan ng pagpapatunay na ang pahayag na ginawa tungkol sa kanila ay **lubhang totoo**. Ang pagtatanggol na ito ay maaaring maging mahirap, na nangangailangan ng ebidensya upang suportahan ang katotohanan ng mga pag-aangkin na ginawa tungkol sa katiwalian.
* **Pagtatanggol sa Pampublikong Interes:** Sa ilang mga kaso, maaaring gamitin ng mga indibidwal ang **pagtatanggol sa interes ng publiko**, na nangangatwiran na ang impormasyong kanilang ibinunyag, kahit na mapanirang-puri, ay para sa pampublikong interes at mas malaki ang pinsala sa reputasyon ng indibidwal. Gayunpaman, ang matagumpay na pagtatatag ng pagtatanggol na ito ay maaaring maging kumplikado at nangangailangan ng legal na kadalubhasaan.
* **Mga Batas sa Proteksyon sa Whistleblower:** Ang Pilipinas ay mayroong **mga batas sa proteksyon ng whistleblower** tulad ng Republic Act No. 6735, na nag-aalok ng ilang mga pananggalang laban sa paghihiganti para sa mga indibidwal na nag-uulat ng mga paglabag sa mga batas, panuntunan, o regulasyon, kabilang ang mga paglabag sa katiwalian.
**Kahalagahan ng Legal na Dalubhasa:**
Ang pag-navigate sa mga kaso ng paninirang-puri at paggamit ng mga potensyal na depensa ay maaaring maging kumplikado at nangangailangan ng tulong ng mga abogado na dalubhasa sa **batas ng media, batas sa paninirang-puri, at potensyal na paglilitis sa interes ng publiko**. Maaari silang:
* **Tasahin ang mga legal na panganib at potensyal na depensa:** Suriin ang mga partikular na pangyayari, ang posibilidad na magtagumpay ang isang paghahabol sa paninirang-puri, at ang posibilidad ng paggamit ng mga nauugnay na depensa tulad ng katotohanan o interes ng publiko.
* **Magbigay ng payo sa mga alternatibong diskarte:** Mag-explore ng iba pang mga paraan tulad ng mga mekanismo ng proteksyon ng whistleblower o mga reklamong administratibo upang ilantad ang katiwalian at mabawasan ang mga legal na panganib.
* **Mag-navigate sa legal na proseso:** Magbigay ng patnubay sa pangangalap ng ebidensya, pagbuo ng depensa, at pagkatawan sa iyong mga interes sa hukuman kung kinakailangan.
**Konklusyon:**
Bagama't ang mga batas sa paninirang-puri ay nag-aalok ng limitadong proteksyon para sa mga indibidwal na naglalantad ng katiwalian, ang mga alternatibong paraan at mga legal na diskarte ay umiiral upang mag-navigate sa mga sitwasyong ito. Gayunpaman, mahalagang maunawaan ang mga kumplikadong kasangkot, humingi ng propesyonal na legal na patnubay, at timbangin ang mga potensyal na panganib at benepisyo bago gumawa ng anumang aksyon.</v>
      </c>
      <c r="F1224" s="2">
        <f t="shared" si="1"/>
        <v>0</v>
      </c>
      <c r="G1224" s="2"/>
      <c r="H1224" s="2"/>
      <c r="I1224" s="2"/>
      <c r="J1224" s="2"/>
      <c r="K1224" s="2"/>
      <c r="L1224" s="2"/>
      <c r="M1224" s="2"/>
      <c r="N1224" s="2"/>
      <c r="O1224" s="2"/>
      <c r="P1224" s="2"/>
      <c r="Q1224" s="2"/>
      <c r="R1224" s="2"/>
      <c r="S1224" s="2"/>
      <c r="T1224" s="2"/>
      <c r="U1224" s="2"/>
      <c r="V1224" s="2"/>
      <c r="W1224" s="2"/>
      <c r="X1224" s="2"/>
      <c r="Y1224" s="2"/>
      <c r="Z1224" s="2"/>
      <c r="AA1224" s="2"/>
    </row>
    <row r="1225">
      <c r="A1225" s="1" t="s">
        <v>3356</v>
      </c>
      <c r="B1225" s="1" t="s">
        <v>3615</v>
      </c>
      <c r="C1225" s="1" t="s">
        <v>3616</v>
      </c>
      <c r="D1225" s="2" t="str">
        <f>IFERROR(__xludf.DUMMYFUNCTION("GOOGLETRANSLATE(B1225, ""en"", ""TL"")"),"Maaari bang idemanda ng mga indibidwal ang mga opisyal o ahensya ng gobyerno para sa pagsasagawa ng mga gawaing may diskriminasyon bilang isang uri ng katiwalian?")</f>
        <v>Maaari bang idemanda ng mga indibidwal ang mga opisyal o ahensya ng gobyerno para sa pagsasagawa ng mga gawaing may diskriminasyon bilang isang uri ng katiwalian?</v>
      </c>
      <c r="E1225" s="2" t="str">
        <f>IFERROR(__xludf.DUMMYFUNCTION("GOOGLETRANSLATE(C1225, ""en"", ""TL"")"),"Sa Pilipinas, ang paghahabla sa mga opisyal o ahensya ng gobyerno para sa pagsasagawa ng mga gawaing may diskriminasyon bilang isang anyo ng katiwalian **nagpapakita ng mga kumplikado at limitasyon**, ngunit **may mga paraan** upang hamunin ang mga natura"&amp;"ng aksyon at panagutin ang mga may kasalanan. Narito ang isang breakdown ng mga pangunahing pagsasaalang-alang:
**Mga Hamon at Limitasyon:**
* **Pagtukoy sa ""Korupsyon"":** Ang batas ng Pilipinas **ay hindi tahasang ikinakategorya** ang mga gawaing may d"&amp;"iskriminasyon bilang isang uri ng katiwalian. Bagama't ang mga kagawiang ito ay maaaring hindi etikal at nakakapinsala, maaaring hindi sila mapailalim sa legal na kahulugan ng katiwalian sa lahat ng kaso.
* **Burden of Proof:** Ang mga indibidwal na nagsa"&amp;"sakdal sa mga entity ng gobyerno ay nahaharap sa **pasan ng pagpapatunay** sa pagkakaroon ng **diskriminatoryong gawi** at ang nagresultang **kapinsalaan** na dinanas nila dahil sa mga pagkilos na ito. Maaari itong maging mapaghamong, nangangailangan ng e"&amp;"bidensya at legal na kadalubhasaan.
* **Sovereign Immunity:** Ang mga entity ng gobyerno sa pangkalahatan ay tinatangkilik ang **sovereign immunity**, na pumoprotekta sa kanila mula sa ilang uri ng mga demanda. Gayunpaman, mayroong **mga pagbubukod** at m"&amp;"ga partikular na legal na pamamaraan na maaaring magpapahintulot sa mga indibidwal na idemanda ang pamahalaan sa ilalim ng ilang partikular na sitwasyon, kadalasang nangangailangan ng legal na kadalubhasaan upang mag-navigate.
* **Mahahabang Proseso at Mg"&amp;"a Limitasyon sa Mapagkukunan:** Ang mga legal na paglilitis ay maaaring **makaubos ng oras at magastos**, na nagdudulot ng mga makabuluhang hamon para sa mga indibidwal na humahabol sa mga naturang kaso.
**Mga Potensyal na Avenue:**
* **Paghahain ng Mga R"&amp;"eklamo sa Administratibo:** Ang mga indibidwal ay maaaring magsampa ng **mga reklamo sa mga kaugnay na ahensya ng gobyerno** tulad ng Commission on Human Rights (CHR) o ng Civil Service Commission (CSC) na nagpaparatang ng diskriminasyon ng mga opisyal ng"&amp;" gobyerno. Maaaring imbestigahan ng mga ahensyang ito ang mga reklamo at posibleng magrekomenda ng mga hakbang sa pagwawasto o mga parusa.
* **Naghahanap ng Legal na Aksyon:** Sa mga partikular na pagkakataon, ang mga indibidwal ay maaaring **magsampa ng "&amp;"mga demanda** laban sa mga entidad o opisyal ng pamahalaan para sa **mga paglabag sa mga partikular na batas** na nagbabawal sa diskriminasyon. Maaaring kabilang sa mga batas na ito ang:
* **Ang Konstitusyon ng Pilipinas:** Ginagarantiyahan ng Konstitusyo"&amp;"n ang **pantay na proteksyon** sa ilalim ng batas (Artikulo III, Seksyon 1) at ipinagbabawal ang diskriminasyon batay sa iba't ibang salik tulad ng lahi, relihiyon, at kasarian.
* **Mga Batas laban sa Diskriminasyon:** Ang mga batas tulad ng Republic Act "&amp;"No. 9262 (Anti-Violence Against Women and their Children Act) at Republic Act No. 10354 (Anti-Discrimination Act) ay nagbabawal sa mga partikular na anyo ng diskriminasyon at nagbabalangkas ng mga potensyal na remedyo para sa mga biktima.
* **Adbokasiya a"&amp;"t Pakikipag-ugnayan sa Publiko:** Ang pagpapataas ng kamalayan ng publiko tungkol sa mga gawaing may diskriminasyon sa pamamagitan ng mga kampanya, petisyon, at pampublikong diskurso ay maaaring magbigay ng presyon sa mga awtoridad na tugunan ang isyu at "&amp;"magsulong ng mga reporma.
* **Supporting Civil Society Organizations:** Ang pakikipagtulungan sa mga NGO at advocacy group na nagtatrabaho sa anti-diskriminasyon at mabuting pamamahala ay maaaring magpalakas ng mga pagsisikap na hamunin ang mga gawaing ma"&amp;"y diskriminasyon at panagutin ang mga may kasalanan.
**Kahalagahan ng Legal na Patnubay:**
Ang pagkonsulta sa mga abogadong dalubhasa sa **batas ng administratibo, mga batas laban sa diskriminasyon, o paglilitis sa sibil** ay napakahalaga bago isagawa ang"&amp;" anumang legal na aksyon. Maaari silang:
* **Turiin ang posibilidad ng kaso:** Suriin ang mga partikular na pangyayari, potensyal na legal na batayan, at ang posibilidad ng tagumpay na isinasaalang-alang ang kumplikadong legal na tanawin.
* **Magbigay ng "&amp;"payo sa mga pinakaangkop na paraan:** Tukuyin kung ang mga reklamong administratibo, demanda, o alternatibong diskarte ay nag-aalok ng pinakamahusay na paraan ng pagkilos.
* **Mag-navigate sa legal na proseso:** Magbigay ng patnubay sa pangangalap ng ebid"&amp;"ensya, paghahain ng mga reklamo, at pagkatawan sa iyong mga interes sa mga administratibong paglilitis o hukuman.
**Konklusyon:**
Habang ang pagdemanda sa mga entidad ng gobyerno para sa mga gawaing may diskriminasyon bilang isang uri ng katiwalian ay nah"&amp;"aharap sa mga hamon, ang mga indibidwal ay may mga opsyon na humingi ng lunas at panagutin ang mga may kasalanan. Ang pag-unawa sa legal na tanawin, paggalugad ng mga magagamit na paraan, at paghanap ng propesyonal na patnubay ay maaaring maging mahalaga "&amp;"sa pag-navigate sa mga kumplikadong sitwasyon at pagtataguyod ng pantay na pagtrato at mabuting pamamahala sa Pilipinas.")</f>
        <v>Sa Pilipinas, ang paghahabla sa mga opisyal o ahensya ng gobyerno para sa pagsasagawa ng mga gawaing may diskriminasyon bilang isang anyo ng katiwalian **nagpapakita ng mga kumplikado at limitasyon**, ngunit **may mga paraan** upang hamunin ang mga naturang aksyon at panagutin ang mga may kasalanan. Narito ang isang breakdown ng mga pangunahing pagsasaalang-alang:
**Mga Hamon at Limitasyon:**
* **Pagtukoy sa "Korupsyon":** Ang batas ng Pilipinas **ay hindi tahasang ikinakategorya** ang mga gawaing may diskriminasyon bilang isang uri ng katiwalian. Bagama't ang mga kagawiang ito ay maaaring hindi etikal at nakakapinsala, maaaring hindi sila mapailalim sa legal na kahulugan ng katiwalian sa lahat ng kaso.
* **Burden of Proof:** Ang mga indibidwal na nagsasakdal sa mga entity ng gobyerno ay nahaharap sa **pasan ng pagpapatunay** sa pagkakaroon ng **diskriminatoryong gawi** at ang nagresultang **kapinsalaan** na dinanas nila dahil sa mga pagkilos na ito. Maaari itong maging mapaghamong, nangangailangan ng ebidensya at legal na kadalubhasaan.
* **Sovereign Immunity:** Ang mga entity ng gobyerno sa pangkalahatan ay tinatangkilik ang **sovereign immunity**, na pumoprotekta sa kanila mula sa ilang uri ng mga demanda. Gayunpaman, mayroong **mga pagbubukod** at mga partikular na legal na pamamaraan na maaaring magpapahintulot sa mga indibidwal na idemanda ang pamahalaan sa ilalim ng ilang partikular na sitwasyon, kadalasang nangangailangan ng legal na kadalubhasaan upang mag-navigate.
* **Mahahabang Proseso at Mga Limitasyon sa Mapagkukunan:** Ang mga legal na paglilitis ay maaaring **makaubos ng oras at magastos**, na nagdudulot ng mga makabuluhang hamon para sa mga indibidwal na humahabol sa mga naturang kaso.
**Mga Potensyal na Avenue:**
* **Paghahain ng Mga Reklamo sa Administratibo:** Ang mga indibidwal ay maaaring magsampa ng **mga reklamo sa mga kaugnay na ahensya ng gobyerno** tulad ng Commission on Human Rights (CHR) o ng Civil Service Commission (CSC) na nagpaparatang ng diskriminasyon ng mga opisyal ng gobyerno. Maaaring imbestigahan ng mga ahensyang ito ang mga reklamo at posibleng magrekomenda ng mga hakbang sa pagwawasto o mga parusa.
* **Naghahanap ng Legal na Aksyon:** Sa mga partikular na pagkakataon, ang mga indibidwal ay maaaring **magsampa ng mga demanda** laban sa mga entidad o opisyal ng pamahalaan para sa **mga paglabag sa mga partikular na batas** na nagbabawal sa diskriminasyon. Maaaring kabilang sa mga batas na ito ang:
* **Ang Konstitusyon ng Pilipinas:** Ginagarantiyahan ng Konstitusyon ang **pantay na proteksyon** sa ilalim ng batas (Artikulo III, Seksyon 1) at ipinagbabawal ang diskriminasyon batay sa iba't ibang salik tulad ng lahi, relihiyon, at kasarian.
* **Mga Batas laban sa Diskriminasyon:** Ang mga batas tulad ng Republic Act No. 9262 (Anti-Violence Against Women and their Children Act) at Republic Act No. 10354 (Anti-Discrimination Act) ay nagbabawal sa mga partikular na anyo ng diskriminasyon at nagbabalangkas ng mga potensyal na remedyo para sa mga biktima.
* **Adbokasiya at Pakikipag-ugnayan sa Publiko:** Ang pagpapataas ng kamalayan ng publiko tungkol sa mga gawaing may diskriminasyon sa pamamagitan ng mga kampanya, petisyon, at pampublikong diskurso ay maaaring magbigay ng presyon sa mga awtoridad na tugunan ang isyu at magsulong ng mga reporma.
* **Supporting Civil Society Organizations:** Ang pakikipagtulungan sa mga NGO at advocacy group na nagtatrabaho sa anti-diskriminasyon at mabuting pamamahala ay maaaring magpalakas ng mga pagsisikap na hamunin ang mga gawaing may diskriminasyon at panagutin ang mga may kasalanan.
**Kahalagahan ng Legal na Patnubay:**
Ang pagkonsulta sa mga abogadong dalubhasa sa **batas ng administratibo, mga batas laban sa diskriminasyon, o paglilitis sa sibil** ay napakahalaga bago isagawa ang anumang legal na aksyon. Maaari silang:
* **Turiin ang posibilidad ng kaso:** Suriin ang mga partikular na pangyayari, potensyal na legal na batayan, at ang posibilidad ng tagumpay na isinasaalang-alang ang kumplikadong legal na tanawin.
* **Magbigay ng payo sa mga pinakaangkop na paraan:** Tukuyin kung ang mga reklamong administratibo, demanda, o alternatibong diskarte ay nag-aalok ng pinakamahusay na paraan ng pagkilos.
* **Mag-navigate sa legal na proseso:** Magbigay ng patnubay sa pangangalap ng ebidensya, paghahain ng mga reklamo, at pagkatawan sa iyong mga interes sa mga administratibong paglilitis o hukuman.
**Konklusyon:**
Habang ang pagdemanda sa mga entidad ng gobyerno para sa mga gawaing may diskriminasyon bilang isang uri ng katiwalian ay nahaharap sa mga hamon, ang mga indibidwal ay may mga opsyon na humingi ng lunas at panagutin ang mga may kasalanan. Ang pag-unawa sa legal na tanawin, paggalugad ng mga magagamit na paraan, at paghanap ng propesyonal na patnubay ay maaaring maging mahalaga sa pag-navigate sa mga kumplikadong sitwasyon at pagtataguyod ng pantay na pagtrato at mabuting pamamahala sa Pilipinas.</v>
      </c>
      <c r="F1225" s="2">
        <f t="shared" si="1"/>
        <v>0</v>
      </c>
      <c r="G1225" s="2"/>
      <c r="H1225" s="2"/>
      <c r="I1225" s="2"/>
      <c r="J1225" s="2"/>
      <c r="K1225" s="2"/>
      <c r="L1225" s="2"/>
      <c r="M1225" s="2"/>
      <c r="N1225" s="2"/>
      <c r="O1225" s="2"/>
      <c r="P1225" s="2"/>
      <c r="Q1225" s="2"/>
      <c r="R1225" s="2"/>
      <c r="S1225" s="2"/>
      <c r="T1225" s="2"/>
      <c r="U1225" s="2"/>
      <c r="V1225" s="2"/>
      <c r="W1225" s="2"/>
      <c r="X1225" s="2"/>
      <c r="Y1225" s="2"/>
      <c r="Z1225" s="2"/>
      <c r="AA1225" s="2"/>
    </row>
    <row r="1226">
      <c r="A1226" s="1" t="s">
        <v>3356</v>
      </c>
      <c r="B1226" s="1" t="s">
        <v>3617</v>
      </c>
      <c r="C1226" s="1" t="s">
        <v>3618</v>
      </c>
      <c r="D1226" s="2" t="str">
        <f>IFERROR(__xludf.DUMMYFUNCTION("GOOGLETRANSLATE(B1226, ""en"", ""TL"")"),"Paano nakakatulong ang mga etika at pamantayan ng pag-uugali ng pamahalaan na maiwasan ang katiwalian, at anong legal na paraan ang umiiral para sa mga paglabag sa mga kodigo na ito?")</f>
        <v>Paano nakakatulong ang mga etika at pamantayan ng pag-uugali ng pamahalaan na maiwasan ang katiwalian, at anong legal na paraan ang umiiral para sa mga paglabag sa mga kodigo na ito?</v>
      </c>
      <c r="E1226" s="2" t="str">
        <f>IFERROR(__xludf.DUMMYFUNCTION("GOOGLETRANSLATE(C1226, ""en"", ""TL"")"),"## Mga Kodigo sa Etika ng Pamahalaan at Pamantayan ng Pag-uugali: Pag-iwas sa Korapsyon at Pagtugon sa mga Paglabag
**1. Pag-iwas sa Korapsyon:**
Ang mga etika at pamantayan ng pag-uugali ng pamahalaan ay may mahalagang papel sa **pag-iwas sa katiwalian**"&amp;" sa pamamagitan ng:
* **Pag-promote ng etikal na pag-uugali:** Binabalangkas ng mga code na ito ang inaasahang etikal na pag-uugali para sa mga opisyal ng pamahalaan, kabilang ang mga prinsipyo tulad ng integridad, walang kinikilingan, pananagutan, at tra"&amp;"nsparency. Nakakatulong ito na gabayan ang paggawa ng desisyon at hindi hinihikayat ang mga hindi etikal na kasanayan na maaaring humantong sa katiwalian.
* **Pagpapalaki ng kamalayan:** Sa pamamagitan ng malinaw na pagtukoy sa etikal na mga inaasahan, an"&amp;"g mga code na ito ay nagpapataas ng kamalayan sa mga potensyal na salungatan ng interes, hindi wastong paggamit ng mga pampublikong mapagkukunan, at iba pang tiwaling pag-uugali. Makakatulong ito sa mga opisyal na matukoy at maiwasan ang mga sitwasyong ma"&amp;"aaring makompromiso ang kanilang integridad.
* **Pagbubuo ng tiwala ng publiko:** Ang pagsunod sa mga pamantayang etikal ay nagpapaunlad ng tiwala ng publiko sa mga institusyon ng pamahalaan, dahil sa tingin ng mga mamamayan na ang mga opisyal ay kumikilo"&amp;"s para sa pampublikong interes at itinataguyod ang mga prinsipyong etikal.
* **Pagpigil sa maling pag-uugali:** Ang mga potensyal na kahihinatnan ng paglabag sa code, tulad ng aksyong pandisiplina o pinsala sa reputasyon, ay maaaring magsilbing isang hadl"&amp;"ang para sa hindi etikal na pag-uugali.
**2. Pagtugon sa mga Paglabag:**
Bagama't hindi direktang maipapatupad sa pamamagitan ng legal na sistema sa karamihan ng mga kaso, ang mga paglabag sa mga code ng etika ay maaaring humantong sa iba't ibang mga kahi"&amp;"hinatnan:
* **Pagkilos sa Pagdidisiplina:** Ang mga ahensya ng gobyerno ay kadalasang may mga panloob na pamamaraan sa pagdidisiplina para sa pagtugon sa mga paglabag sa kanilang mga kodigo sa etika. Maaaring kabilang dito ang mga hakbang tulad ng mga pag"&amp;"saway, pagsususpinde, o kahit na pagpapaalis, depende sa kalubhaan ng pagkakasala.
* **Pampublikong Pagsusuri at Pinsala sa Reputasyon:** Ang saklaw ng media at kamalayan ng publiko sa mga paglabag sa etika ay maaaring makapinsala sa reputasyon ng opisyal"&amp;" na kasangkot at potensyal na institusyon ng gobyerno sa kabuuan.
* **Pagkawala ng Pagtitiwala ng Publiko:** Maaaring masira ng mga paglabag ang tiwala ng publiko sa gobyerno at sa mga opisyal nito, na posibleng humantong sa pagbaba ng kooperasyon at pagi"&amp;"ging lehitimo.
* **Mga Potensyal na Pagsingil sa Kriminal:** Sa ilang mga kaso, ang mga seryosong paglabag sa kodigo sa etika na bumubuo rin ng mga kriminal na pagkakasala, tulad ng panunuhol o pag-abuso sa kapangyarihan, ay maaaring humantong sa mga pags"&amp;"isiyasat ng krimen at pag-uusig.
**Mahalagang tandaan na:**
* Ang mga partikular na mekanismo ng pagpapatupad para sa mga code ng etika ay maaaring mag-iba depende sa ahensya at hurisdiksyon ng gobyerno.
* Bagama't hindi direktang humahantong sa mga kason"&amp;"g kriminal sa karamihan ng mga kaso, ang mga paglabag ay maaari pa ring magkaroon ng makabuluhang kahihinatnan para sa mga indibidwal at institusyon.
**Sa pangkalahatan, ang mga kodigo sa etika at pamantayan ng pag-uugali ng pamahalaan, bagama't hindi isa"&amp;"ng walang-wawalang solusyon, ay mahahalagang kasangkapan sa pagtataguyod ng etikal na paggawi, pagpigil sa katiwalian, at pagpapaunlad ng tiwala ng publiko sa pamahalaan.**")</f>
        <v>## Mga Kodigo sa Etika ng Pamahalaan at Pamantayan ng Pag-uugali: Pag-iwas sa Korapsyon at Pagtugon sa mga Paglabag
**1. Pag-iwas sa Korapsyon:**
Ang mga etika at pamantayan ng pag-uugali ng pamahalaan ay may mahalagang papel sa **pag-iwas sa katiwalian** sa pamamagitan ng:
* **Pag-promote ng etikal na pag-uugali:** Binabalangkas ng mga code na ito ang inaasahang etikal na pag-uugali para sa mga opisyal ng pamahalaan, kabilang ang mga prinsipyo tulad ng integridad, walang kinikilingan, pananagutan, at transparency. Nakakatulong ito na gabayan ang paggawa ng desisyon at hindi hinihikayat ang mga hindi etikal na kasanayan na maaaring humantong sa katiwalian.
* **Pagpapalaki ng kamalayan:** Sa pamamagitan ng malinaw na pagtukoy sa etikal na mga inaasahan, ang mga code na ito ay nagpapataas ng kamalayan sa mga potensyal na salungatan ng interes, hindi wastong paggamit ng mga pampublikong mapagkukunan, at iba pang tiwaling pag-uugali. Makakatulong ito sa mga opisyal na matukoy at maiwasan ang mga sitwasyong maaaring makompromiso ang kanilang integridad.
* **Pagbubuo ng tiwala ng publiko:** Ang pagsunod sa mga pamantayang etikal ay nagpapaunlad ng tiwala ng publiko sa mga institusyon ng pamahalaan, dahil sa tingin ng mga mamamayan na ang mga opisyal ay kumikilos para sa pampublikong interes at itinataguyod ang mga prinsipyong etikal.
* **Pagpigil sa maling pag-uugali:** Ang mga potensyal na kahihinatnan ng paglabag sa code, tulad ng aksyong pandisiplina o pinsala sa reputasyon, ay maaaring magsilbing isang hadlang para sa hindi etikal na pag-uugali.
**2. Pagtugon sa mga Paglabag:**
Bagama't hindi direktang maipapatupad sa pamamagitan ng legal na sistema sa karamihan ng mga kaso, ang mga paglabag sa mga code ng etika ay maaaring humantong sa iba't ibang mga kahihinatnan:
* **Pagkilos sa Pagdidisiplina:** Ang mga ahensya ng gobyerno ay kadalasang may mga panloob na pamamaraan sa pagdidisiplina para sa pagtugon sa mga paglabag sa kanilang mga kodigo sa etika. Maaaring kabilang dito ang mga hakbang tulad ng mga pagsaway, pagsususpinde, o kahit na pagpapaalis, depende sa kalubhaan ng pagkakasala.
* **Pampublikong Pagsusuri at Pinsala sa Reputasyon:** Ang saklaw ng media at kamalayan ng publiko sa mga paglabag sa etika ay maaaring makapinsala sa reputasyon ng opisyal na kasangkot at potensyal na institusyon ng gobyerno sa kabuuan.
* **Pagkawala ng Pagtitiwala ng Publiko:** Maaaring masira ng mga paglabag ang tiwala ng publiko sa gobyerno at sa mga opisyal nito, na posibleng humantong sa pagbaba ng kooperasyon at pagiging lehitimo.
* **Mga Potensyal na Pagsingil sa Kriminal:** Sa ilang mga kaso, ang mga seryosong paglabag sa kodigo sa etika na bumubuo rin ng mga kriminal na pagkakasala, tulad ng panunuhol o pag-abuso sa kapangyarihan, ay maaaring humantong sa mga pagsisiyasat ng krimen at pag-uusig.
**Mahalagang tandaan na:**
* Ang mga partikular na mekanismo ng pagpapatupad para sa mga code ng etika ay maaaring mag-iba depende sa ahensya at hurisdiksyon ng gobyerno.
* Bagama't hindi direktang humahantong sa mga kasong kriminal sa karamihan ng mga kaso, ang mga paglabag ay maaari pa ring magkaroon ng makabuluhang kahihinatnan para sa mga indibidwal at institusyon.
**Sa pangkalahatan, ang mga kodigo sa etika at pamantayan ng pag-uugali ng pamahalaan, bagama't hindi isang walang-wawalang solusyon, ay mahahalagang kasangkapan sa pagtataguyod ng etikal na paggawi, pagpigil sa katiwalian, at pagpapaunlad ng tiwala ng publiko sa pamahalaan.**</v>
      </c>
      <c r="F1226" s="2">
        <f t="shared" si="1"/>
        <v>0</v>
      </c>
      <c r="G1226" s="2"/>
      <c r="H1226" s="2"/>
      <c r="I1226" s="2"/>
      <c r="J1226" s="2"/>
      <c r="K1226" s="2"/>
      <c r="L1226" s="2"/>
      <c r="M1226" s="2"/>
      <c r="N1226" s="2"/>
      <c r="O1226" s="2"/>
      <c r="P1226" s="2"/>
      <c r="Q1226" s="2"/>
      <c r="R1226" s="2"/>
      <c r="S1226" s="2"/>
      <c r="T1226" s="2"/>
      <c r="U1226" s="2"/>
      <c r="V1226" s="2"/>
      <c r="W1226" s="2"/>
      <c r="X1226" s="2"/>
      <c r="Y1226" s="2"/>
      <c r="Z1226" s="2"/>
      <c r="AA1226" s="2"/>
    </row>
    <row r="1227">
      <c r="A1227" s="1" t="s">
        <v>3356</v>
      </c>
      <c r="B1227" s="1" t="s">
        <v>3619</v>
      </c>
      <c r="C1227" s="1" t="s">
        <v>3620</v>
      </c>
      <c r="D1227" s="2" t="str">
        <f>IFERROR(__xludf.DUMMYFUNCTION("GOOGLETRANSLATE(B1227, ""en"", ""TL"")"),"Maaari bang magsampa ng kaso ang mga indibidwal laban sa mga platform ng social media o kumpanya ng teknolohiya na nagpapadali sa katiwalian sa gobyerno sa pamamagitan ng maling impormasyon o manipulasyon?")</f>
        <v>Maaari bang magsampa ng kaso ang mga indibidwal laban sa mga platform ng social media o kumpanya ng teknolohiya na nagpapadali sa katiwalian sa gobyerno sa pamamagitan ng maling impormasyon o manipulasyon?</v>
      </c>
      <c r="E1227" s="2" t="str">
        <f>IFERROR(__xludf.DUMMYFUNCTION("GOOGLETRANSLATE(C1227, ""en"", ""TL"")"),"Kung ang mga indibidwal ay maaaring matagumpay na magsampa ng mga kaso laban sa mga platform ng social media o mga kumpanya ng teknolohiya para sa pagpapadali sa katiwalian sa pamahalaan sa pamamagitan ng maling impormasyon o pagmamanipula ay isang kumpli"&amp;"kadong isyu na may **hindi tiyak na mga kinalabasan** dahil sa ilang mga kadahilanan:
**Mga Hamon at Limitasyon:**
* **Di-tuwirang Dahilan:** Ang pagtatatag ng **direktang sanhi na link** sa pagitan ng mga aksyon ng platform at mga partikular na pagkakata"&amp;"on ng katiwalian sa pamahalaan ay maaaring maging mahirap. Madalas na pinagtatalunan ng mga platform na neutral lang silang mga host at hindi responsable para sa mga pino-post ng mga user ng content.
* **Mga Hamon sa Pag-moderate ng Nilalaman:** Ang pagba"&amp;"balanse ng **kalayaan sa pagpapahayag** sa **pagmoderate ng nilalaman** na mga responsibilidad ay isang kumplikadong isyu. Maaaring magtaltalan ang mga platform na protektado sila ng mga batas tulad ng Seksyon 230 ng Communications Decency Act sa US, na p"&amp;"inoprotektahan sila mula sa pananagutan para sa karamihan ng content na binuo ng user.
* **Pagiging Kumplikado ng Maling Impormasyon at Manipulasyon:** Ang pag-uugnay ng pagkalat ng maling impormasyon o pagmamanipula lamang sa platform ay maaaring maging "&amp;"mahirap, dahil gumaganap din ang iba't ibang salik tulad ng gawi ng user, political agenda, at media literacy.
* **Mga Isyu sa Hurisdiksiyon:** Maaaring maging kumplikado ang pagtukoy sa naaangkop na hurisdiksyon at mga naaangkop na batas para sa mga dema"&amp;"nda na kinasasangkutan ng mga internasyonal na platform na tumatakbo sa mga hangganan.
**Mga Potensyal na Avenue:**
* **Mga Claim sa Kapabayaan:** Sa mga limitadong kaso, maaaring subukan ng mga indibidwal na makipagtalo na ang platform **ay nabigo na gum"&amp;"awa ng mga makatwirang hakbang** upang pigilan ang pagkalat ng malinaw na maling impormasyon na kilala na ginagamit para sa mga tiwaling layunin, na posibleng humantong sa mga paghahabol sa kapabayaan . Gayunpaman, ang tagumpay ng naturang mga paghahabol "&amp;"ay depende sa pagtatatag ng isang malakas na sanhi ng link at pagpapatunay sa kaalaman at layunin ng platform.
* **Civil Rights Claims:** Sa mga partikular na sitwasyon, ang mga indibidwal na dumaranas ng pinsala dahil sa discriminatory o poot na content "&amp;"na pinadali ng platform ay maaaring mag-explore ng mga potensyal na paghahabol sa karapatang sibil batay sa mga naaangkop na batas at regulasyon.
* **Regulatory Action:** Maaaring hikayatin ng mga indibidwal ang **regulatory body** na panagutin ang mga pl"&amp;"atform para sa mapaminsalang mga kasanayan sa content sa pamamagitan ng mga reklamo at pagsusumikap sa adbokasiya.
**Kahalagahan ng Legal na Dalubhasa:**
Ang pagkonsulta sa mga abogadong nag-specialize sa **media law, technology law, at potensyal na inter"&amp;"national law** ay napakahalaga bago isagawa ang anumang legal na aksyon. Maaari silang:
* **Turiin ang posibilidad ng kaso:** Suriin ang mga partikular na pangyayari, potensyal na legal na batayan, at ang posibilidad ng tagumpay na isinasaalang-alang ang "&amp;"kumplikadong legal na tanawin.
* **Mag-navigate sa mga legal na kumplikado:** Magpayo sa pag-navigate sa mga isyu sa hurisdiksyon, mga naaangkop na batas, at mga hamon sa pagtatatag ng sanhi at pananagutan sa platform.
* **Tuklasin ang mga alternatibong p"&amp;"araan:** Talakayin ang mga potensyal na opsyon sa kabila ng mga demanda, gaya ng direktang pakikipag-ugnayan sa platform, pagtataguyod para sa mga repormang pambatasan, o pagsasagawa ng pagkilos sa regulasyon.
**Konklusyon:**
Bagama't umiiral ang mga lega"&amp;"l na hamon laban sa mga platform ng social media para sa kanilang tungkulin sa pagpapadali sa katiwalian sa pamahalaan, ang tagumpay ng naturang mga demanda ay nananatiling hindi tiyak dahil sa mga kumplikadong legal na isyu at ang kahirapan sa pagtatatag"&amp;" ng direktang sanhi. Gayunpaman, maaaring tuklasin ng mga indibidwal ang iba't ibang paraan, kabilang ang paghingi ng legal na patnubay, pagtataguyod para sa pagkilos ng regulasyon, at pagsuporta sa mas malawak na pagsisikap na tugunan ang online na malin"&amp;"g impormasyon at pagmamanipula.")</f>
        <v>Kung ang mga indibidwal ay maaaring matagumpay na magsampa ng mga kaso laban sa mga platform ng social media o mga kumpanya ng teknolohiya para sa pagpapadali sa katiwalian sa pamahalaan sa pamamagitan ng maling impormasyon o pagmamanipula ay isang kumplikadong isyu na may **hindi tiyak na mga kinalabasan** dahil sa ilang mga kadahilanan:
**Mga Hamon at Limitasyon:**
* **Di-tuwirang Dahilan:** Ang pagtatatag ng **direktang sanhi na link** sa pagitan ng mga aksyon ng platform at mga partikular na pagkakataon ng katiwalian sa pamahalaan ay maaaring maging mahirap. Madalas na pinagtatalunan ng mga platform na neutral lang silang mga host at hindi responsable para sa mga pino-post ng mga user ng content.
* **Mga Hamon sa Pag-moderate ng Nilalaman:** Ang pagbabalanse ng **kalayaan sa pagpapahayag** sa **pagmoderate ng nilalaman** na mga responsibilidad ay isang kumplikadong isyu. Maaaring magtaltalan ang mga platform na protektado sila ng mga batas tulad ng Seksyon 230 ng Communications Decency Act sa US, na pinoprotektahan sila mula sa pananagutan para sa karamihan ng content na binuo ng user.
* **Pagiging Kumplikado ng Maling Impormasyon at Manipulasyon:** Ang pag-uugnay ng pagkalat ng maling impormasyon o pagmamanipula lamang sa platform ay maaaring maging mahirap, dahil gumaganap din ang iba't ibang salik tulad ng gawi ng user, political agenda, at media literacy.
* **Mga Isyu sa Hurisdiksiyon:** Maaaring maging kumplikado ang pagtukoy sa naaangkop na hurisdiksyon at mga naaangkop na batas para sa mga demanda na kinasasangkutan ng mga internasyonal na platform na tumatakbo sa mga hangganan.
**Mga Potensyal na Avenue:**
* **Mga Claim sa Kapabayaan:** Sa mga limitadong kaso, maaaring subukan ng mga indibidwal na makipagtalo na ang platform **ay nabigo na gumawa ng mga makatwirang hakbang** upang pigilan ang pagkalat ng malinaw na maling impormasyon na kilala na ginagamit para sa mga tiwaling layunin, na posibleng humantong sa mga paghahabol sa kapabayaan . Gayunpaman, ang tagumpay ng naturang mga paghahabol ay depende sa pagtatatag ng isang malakas na sanhi ng link at pagpapatunay sa kaalaman at layunin ng platform.
* **Civil Rights Claims:** Sa mga partikular na sitwasyon, ang mga indibidwal na dumaranas ng pinsala dahil sa discriminatory o poot na content na pinadali ng platform ay maaaring mag-explore ng mga potensyal na paghahabol sa karapatang sibil batay sa mga naaangkop na batas at regulasyon.
* **Regulatory Action:** Maaaring hikayatin ng mga indibidwal ang **regulatory body** na panagutin ang mga platform para sa mapaminsalang mga kasanayan sa content sa pamamagitan ng mga reklamo at pagsusumikap sa adbokasiya.
**Kahalagahan ng Legal na Dalubhasa:**
Ang pagkonsulta sa mga abogadong nag-specialize sa **media law, technology law, at potensyal na international law** ay napakahalaga bago isagawa ang anumang legal na aksyon. Maaari silang:
* **Turiin ang posibilidad ng kaso:** Suriin ang mga partikular na pangyayari, potensyal na legal na batayan, at ang posibilidad ng tagumpay na isinasaalang-alang ang kumplikadong legal na tanawin.
* **Mag-navigate sa mga legal na kumplikado:** Magpayo sa pag-navigate sa mga isyu sa hurisdiksyon, mga naaangkop na batas, at mga hamon sa pagtatatag ng sanhi at pananagutan sa platform.
* **Tuklasin ang mga alternatibong paraan:** Talakayin ang mga potensyal na opsyon sa kabila ng mga demanda, gaya ng direktang pakikipag-ugnayan sa platform, pagtataguyod para sa mga repormang pambatasan, o pagsasagawa ng pagkilos sa regulasyon.
**Konklusyon:**
Bagama't umiiral ang mga legal na hamon laban sa mga platform ng social media para sa kanilang tungkulin sa pagpapadali sa katiwalian sa pamahalaan, ang tagumpay ng naturang mga demanda ay nananatiling hindi tiyak dahil sa mga kumplikadong legal na isyu at ang kahirapan sa pagtatatag ng direktang sanhi. Gayunpaman, maaaring tuklasin ng mga indibidwal ang iba't ibang paraan, kabilang ang paghingi ng legal na patnubay, pagtataguyod para sa pagkilos ng regulasyon, at pagsuporta sa mas malawak na pagsisikap na tugunan ang online na maling impormasyon at pagmamanipula.</v>
      </c>
      <c r="F1227" s="2">
        <f t="shared" si="1"/>
        <v>0</v>
      </c>
      <c r="G1227" s="2"/>
      <c r="H1227" s="2"/>
      <c r="I1227" s="2"/>
      <c r="J1227" s="2"/>
      <c r="K1227" s="2"/>
      <c r="L1227" s="2"/>
      <c r="M1227" s="2"/>
      <c r="N1227" s="2"/>
      <c r="O1227" s="2"/>
      <c r="P1227" s="2"/>
      <c r="Q1227" s="2"/>
      <c r="R1227" s="2"/>
      <c r="S1227" s="2"/>
      <c r="T1227" s="2"/>
      <c r="U1227" s="2"/>
      <c r="V1227" s="2"/>
      <c r="W1227" s="2"/>
      <c r="X1227" s="2"/>
      <c r="Y1227" s="2"/>
      <c r="Z1227" s="2"/>
      <c r="AA1227" s="2"/>
    </row>
    <row r="1228">
      <c r="A1228" s="1" t="s">
        <v>3356</v>
      </c>
      <c r="B1228" s="1" t="s">
        <v>3621</v>
      </c>
      <c r="C1228" s="1" t="s">
        <v>3622</v>
      </c>
      <c r="D1228" s="2" t="str">
        <f>IFERROR(__xludf.DUMMYFUNCTION("GOOGLETRANSLATE(B1228, ""en"", ""TL"")"),"Anong mga legal na proteksyon ang umiiral para sa mga whistleblower ng gobyerno na naglalantad ng mga pagkakataon ng katiwalian sa loob ng kanilang mga ahensya o departamento?")</f>
        <v>Anong mga legal na proteksyon ang umiiral para sa mga whistleblower ng gobyerno na naglalantad ng mga pagkakataon ng katiwalian sa loob ng kanilang mga ahensya o departamento?</v>
      </c>
      <c r="E1228" s="2" t="str">
        <f>IFERROR(__xludf.DUMMYFUNCTION("GOOGLETRANSLATE(C1228, ""en"", ""TL"")"),"Sa Pilipinas, maraming legal na proteksyon ang umiiral para sa mga whistleblower ng gobyerno na naglalantad ng katiwalian sa loob ng kanilang mga ahensya o departamento:
**1. Republic Act No. 6713: The Code of Conduct and Ethical Standards for Public Offi"&amp;"cials and Employees:**
* **Seksyon 34:** Ang seksyong ito ay nag-uutos sa mga ahensya ng gobyerno na magtatag ng mga mekanismo para sa pagtanggap at pag-iimbestiga ng mga reklamo laban sa mga pampublikong opisyal at empleyado, kabilang ang mga may kaugnay"&amp;"an sa paghihiganti laban sa mga whistleblower.
**2. Republic Act No. 6735: The Whistleblower Protection Act:**
* **Pagbabawal sa Paghihiganti:** Ang batas na ito ay partikular na nagbabawal sa **mga aksyong paghihiganti** laban sa mga whistleblower sa pub"&amp;"liko at pribadong sektor na nag-uulat ng mga paglabag sa mga batas, panuntunan, o regulasyon, kabilang ang mga paglabag sa katiwalian. Binabalangkas nito ang mga potensyal na legal na remedyo para sa mga indibidwal na nakakaranas ng paghihiganti.
* **Ang "&amp;"mga aksyong paghihiganti** ay maaaring magsama ng pagwawakas, pagbabawas ng posisyon, panliligalig, pagbabanta, o anumang iba pang pagkilos na nilayon upang pigilan o parusahan ang mga indibidwal para sa whistleblowing.
* **Mga Protektadong Pagbubunyag:**"&amp;" Tinutukoy ng batas ang **mga protektadong pagsisiwalat** bilang mga ulat na ginawa nang may mabuting loob patungkol sa mga paglabag sa mga batas, tuntunin, o regulasyon, kabilang ang:
* Maling paggamit ng pampublikong pondo o ari-arian
* Mga pang-aabuso "&amp;"sa awtoridad
* Mga panganib sa kalusugan o kaligtasan ng publiko
* Malaking kapabayaan o inefficiency
**3. Batas sa Proteksyon, Seguridad at Benepisyo ng Saksi (Republic Act No. 6981):**
* **Sa mga pambihirang kaso:** Ang mga whistleblower na naglalantad "&amp;"**mga pangunahing paglabag sa katiwalian** at ang kaligtasan ay itinuturing na nasa panganib ay maaaring maging karapat-dapat para sa proteksyon sa ilalim ng batas na ito, na nagbibigay ng:
* Saksi ang relokasyon at mga hakbang sa seguridad
* Tulong pinan"&amp;"syal
* Iba pang mga benepisyo
**4. Mga Karagdagang Proteksyon:**
* **Ang Saligang Batas:** Ginagarantiyahan ng Konstitusyon ng Pilipinas ang **karapatan sa impormasyon** (Artikulo III, Seksyon 7) at ang **karapatan na magpetisyon sa pamahalaan para sa pag"&amp;"tugon sa mga hinaing** (Artikulo III, Seksyon 16). Ang mga karapatang ito ay maaaring hilingin ng mga whistleblower upang suportahan ang kanilang mga aksyon at hamunin ang paghihiganti.
* **Comelec Resolution No. 9615:** Ang resolusyong ito ay nagbibigay "&amp;"ng mga partikular na alituntunin para sa pagprotekta sa mga whistleblower na nag-uulat ng mga paglabag na may kaugnayan sa halalan.
**Mga Hamon at Limitasyon:**
* **Burden of Proof:** Ang pasanin ng patunay ay nakasalalay sa whistleblower upang ipakita:
*"&amp;" **Pangyayari ng whistleblowing:** Dapat nilang patunayan na nakikibahagi sila sa mga protektadong pagsisiwalat nang may mabuting loob.
* **Aksyon sa paghihiganti:** Dapat nilang ipakita na nakaranas sila ng mga negatibong kahihinatnan dahil sa kanilang m"&amp;"ga aktibidad sa whistleblowing.
* **Koneksyon sa pagitan ng dalawa:** Dapat silang magtatag ng isang malinaw na link sa pagitan ng kanilang whistleblowing at ang paghihiganting aksyon na ginawa laban sa kanila. Maaari itong maging mahirap, lalo na kung an"&amp;"g paghihiganti ay banayad o hindi direkta.
* **Sovereign Immunity:** Ang mga entity ng gobyerno sa pangkalahatan ay tinatangkilik ang **sovereign immunity**, na pumoprotekta sa kanila mula sa ilang uri ng mga demanda. Gayunpaman, mayroong **mga pagbubukod"&amp;"** at mga partikular na legal na pamamaraan na maaaring magpapahintulot sa mga indibidwal na idemanda ang pamahalaan sa ilalim ng ilang partikular na sitwasyon, kadalasang nangangailangan ng legal na kadalubhasaan upang mag-navigate.
* **Mahahabang Proses"&amp;"o at Mga Limitasyon sa Mapagkukunan:** Ang mga legal na paglilitis ay maaaring **makaubos ng oras at magastos**, na nagdudulot ng mga makabuluhang hamon para sa mga indibidwal na humahabol sa mga naturang kaso.
**Sa kabila ng mga hamong ito, ang legal na "&amp;"balangkas sa Pilipinas ay nag-aalok ng iba't ibang proteksyon para sa mga whistleblower ng gobyerno. Gayunpaman, napakahalaga para sa mga indibidwal na maunawaan ang kanilang mga karapatan, humingi ng legal na patnubay kung kinakailangan, at galugarin ang"&amp;" mga available na mekanismo ng suporta upang mabisang mag-navigate sa proseso.**")</f>
        <v>Sa Pilipinas, maraming legal na proteksyon ang umiiral para sa mga whistleblower ng gobyerno na naglalantad ng katiwalian sa loob ng kanilang mga ahensya o departamento:
**1. Republic Act No. 6713: The Code of Conduct and Ethical Standards for Public Officials and Employees:**
* **Seksyon 34:** Ang seksyong ito ay nag-uutos sa mga ahensya ng gobyerno na magtatag ng mga mekanismo para sa pagtanggap at pag-iimbestiga ng mga reklamo laban sa mga pampublikong opisyal at empleyado, kabilang ang mga may kaugnayan sa paghihiganti laban sa mga whistleblower.
**2. Republic Act No. 6735: The Whistleblower Protection Act:**
* **Pagbabawal sa Paghihiganti:** Ang batas na ito ay partikular na nagbabawal sa **mga aksyong paghihiganti** laban sa mga whistleblower sa publiko at pribadong sektor na nag-uulat ng mga paglabag sa mga batas, panuntunan, o regulasyon, kabilang ang mga paglabag sa katiwalian. Binabalangkas nito ang mga potensyal na legal na remedyo para sa mga indibidwal na nakakaranas ng paghihiganti.
* **Ang mga aksyong paghihiganti** ay maaaring magsama ng pagwawakas, pagbabawas ng posisyon, panliligalig, pagbabanta, o anumang iba pang pagkilos na nilayon upang pigilan o parusahan ang mga indibidwal para sa whistleblowing.
* **Mga Protektadong Pagbubunyag:** Tinutukoy ng batas ang **mga protektadong pagsisiwalat** bilang mga ulat na ginawa nang may mabuting loob patungkol sa mga paglabag sa mga batas, tuntunin, o regulasyon, kabilang ang:
* Maling paggamit ng pampublikong pondo o ari-arian
* Mga pang-aabuso sa awtoridad
* Mga panganib sa kalusugan o kaligtasan ng publiko
* Malaking kapabayaan o inefficiency
**3. Batas sa Proteksyon, Seguridad at Benepisyo ng Saksi (Republic Act No. 6981):**
* **Sa mga pambihirang kaso:** Ang mga whistleblower na naglalantad **mga pangunahing paglabag sa katiwalian** at ang kaligtasan ay itinuturing na nasa panganib ay maaaring maging karapat-dapat para sa proteksyon sa ilalim ng batas na ito, na nagbibigay ng:
* Saksi ang relokasyon at mga hakbang sa seguridad
* Tulong pinansyal
* Iba pang mga benepisyo
**4. Mga Karagdagang Proteksyon:**
* **Ang Saligang Batas:** Ginagarantiyahan ng Konstitusyon ng Pilipinas ang **karapatan sa impormasyon** (Artikulo III, Seksyon 7) at ang **karapatan na magpetisyon sa pamahalaan para sa pagtugon sa mga hinaing** (Artikulo III, Seksyon 16). Ang mga karapatang ito ay maaaring hilingin ng mga whistleblower upang suportahan ang kanilang mga aksyon at hamunin ang paghihiganti.
* **Comelec Resolution No. 9615:** Ang resolusyong ito ay nagbibigay ng mga partikular na alituntunin para sa pagprotekta sa mga whistleblower na nag-uulat ng mga paglabag na may kaugnayan sa halalan.
**Mga Hamon at Limitasyon:**
* **Burden of Proof:** Ang pasanin ng patunay ay nakasalalay sa whistleblower upang ipakita:
* **Pangyayari ng whistleblowing:** Dapat nilang patunayan na nakikibahagi sila sa mga protektadong pagsisiwalat nang may mabuting loob.
* **Aksyon sa paghihiganti:** Dapat nilang ipakita na nakaranas sila ng mga negatibong kahihinatnan dahil sa kanilang mga aktibidad sa whistleblowing.
* **Koneksyon sa pagitan ng dalawa:** Dapat silang magtatag ng isang malinaw na link sa pagitan ng kanilang whistleblowing at ang paghihiganting aksyon na ginawa laban sa kanila. Maaari itong maging mahirap, lalo na kung ang paghihiganti ay banayad o hindi direkta.
* **Sovereign Immunity:** Ang mga entity ng gobyerno sa pangkalahatan ay tinatangkilik ang **sovereign immunity**, na pumoprotekta sa kanila mula sa ilang uri ng mga demanda. Gayunpaman, mayroong **mga pagbubukod** at mga partikular na legal na pamamaraan na maaaring magpapahintulot sa mga indibidwal na idemanda ang pamahalaan sa ilalim ng ilang partikular na sitwasyon, kadalasang nangangailangan ng legal na kadalubhasaan upang mag-navigate.
* **Mahahabang Proseso at Mga Limitasyon sa Mapagkukunan:** Ang mga legal na paglilitis ay maaaring **makaubos ng oras at magastos**, na nagdudulot ng mga makabuluhang hamon para sa mga indibidwal na humahabol sa mga naturang kaso.
**Sa kabila ng mga hamong ito, ang legal na balangkas sa Pilipinas ay nag-aalok ng iba't ibang proteksyon para sa mga whistleblower ng gobyerno. Gayunpaman, napakahalaga para sa mga indibidwal na maunawaan ang kanilang mga karapatan, humingi ng legal na patnubay kung kinakailangan, at galugarin ang mga available na mekanismo ng suporta upang mabisang mag-navigate sa proseso.**</v>
      </c>
      <c r="F1228" s="2">
        <f t="shared" si="1"/>
        <v>0</v>
      </c>
      <c r="G1228" s="2"/>
      <c r="H1228" s="2"/>
      <c r="I1228" s="2"/>
      <c r="J1228" s="2"/>
      <c r="K1228" s="2"/>
      <c r="L1228" s="2"/>
      <c r="M1228" s="2"/>
      <c r="N1228" s="2"/>
      <c r="O1228" s="2"/>
      <c r="P1228" s="2"/>
      <c r="Q1228" s="2"/>
      <c r="R1228" s="2"/>
      <c r="S1228" s="2"/>
      <c r="T1228" s="2"/>
      <c r="U1228" s="2"/>
      <c r="V1228" s="2"/>
      <c r="W1228" s="2"/>
      <c r="X1228" s="2"/>
      <c r="Y1228" s="2"/>
      <c r="Z1228" s="2"/>
      <c r="AA1228" s="2"/>
    </row>
    <row r="1229">
      <c r="A1229" s="1" t="s">
        <v>3356</v>
      </c>
      <c r="B1229" s="1" t="s">
        <v>3623</v>
      </c>
      <c r="C1229" s="1" t="s">
        <v>3624</v>
      </c>
      <c r="D1229" s="2" t="str">
        <f>IFERROR(__xludf.DUMMYFUNCTION("GOOGLETRANSLATE(B1229, ""en"", ""TL"")"),"Maaari bang gumawa ng legal na aksyon ang mga indibidwal laban sa mga entidad o opisyal ng gobyerno para sa pagsasagawa ng pagsugpo sa botante o pandaraya sa halalan bilang isang uri ng katiwalian?")</f>
        <v>Maaari bang gumawa ng legal na aksyon ang mga indibidwal laban sa mga entidad o opisyal ng gobyerno para sa pagsasagawa ng pagsugpo sa botante o pandaraya sa halalan bilang isang uri ng katiwalian?</v>
      </c>
      <c r="E1229" s="2" t="str">
        <f>IFERROR(__xludf.DUMMYFUNCTION("GOOGLETRANSLATE(C1229, ""en"", ""TL"")"),"## Mga legal na paraan sa Pilipinas para tugunan ang panunupil sa botante at pandaraya sa halalan:
Bagama't **hindi tahasang ikinategorya bilang katiwalian sa ilalim ng batas ng Pilipinas**, ang **pagpigil sa botante at pandaraya sa halalan** ay maaaring "&amp;"hamunin sa pamamagitan ng iba't ibang legal na mekanismo:
**1. Paghahain ng mga Kriminal na Reklamo:**
* **Mga Kaugnay na Batas:** Ang mga indibidwal ay maaaring magsampa ng mga reklamong kriminal laban sa mga entidad ng gobyerno o mga opisyal na pinaghih"&amp;"inalaang sangkot sa pagsugpo sa botante o pandaraya sa halalan sa ilalim ng iba't ibang batas, kabilang ang:
* **Revised Penal Code (RPC):** Provisions like нарушения ng mga karapatan sa pagboto (violations of voting rights - Article 139), pagdaraya sa ha"&amp;"lalan (election fraud - Article 140), and coercion (Article 148) might be applicable depende sa mga partikular na gawain ng panunupil o pandaraya.
* **Ang Omnibus Election Code (OEC):** Ang code na ito ay nagbabalangkas sa iba't ibang mga paglabag sa hala"&amp;"lan, kabilang ang pagbili ng boto, pagtanggal ng karapatan, at pakikialam sa mga balota. Maaaring may kaugnayan ang mga partikular na probisyon tulad ng pagbili ng boto (Seksyon 261) at нарушение ng mga patakaran sa pagboto (mga paglabag sa mga panuntunan"&amp;" sa pagboto - Seksyon 263).
* **Proseso:** Maaaring magsampa ng mga reklamo sa **Philippine National Police (PNP)**, **National Bureau of Investigation (NBI)**, o sa **Comelec Law Department**. Ang mga ahensyang ito ay mag-iimbestiga sa mga paratang at po"&amp;"sibleng magsampa ng mga kaso sa naaangkop na hukuman.
**2. Paghahain ng mga Civil Suit:**
* **Mga Dahilan:** Ang mga indibidwal na nakaranas ng pinsala dahil sa pagsupil sa botante o pandaraya sa halalan ay maaaring makapagsampa ng mga kasong sibil laban "&amp;"sa mga may kasalanan, na naghahanap ng:
* **Mga Pinsala:** Kabayaran para sa mga pagkalugi sa pananalapi o iba pang pinsalang natamo.
* **Injunctive relief:** Mga utos ng hukuman na pigilan ang mga hinaharap na gawain ng panunupil o pandaraya.
* **Mga Ham"&amp;"on:** Ang matagumpay na paghabol sa mga kasong sibil ay maaaring maging kumplikado at nangangailangan ng legal na kadalubhasaan upang i-navigate ang mga legal na nuances at ipakita ang sanhi sa pagitan ng mga aksyon at pinsalang natamo.
**3. Mga petisyon "&amp;"sa Commission on Elections (Comelec):**
* **Mga Protesta sa Halalan:** Ang mga indibidwal ay maaaring maghain ng mga petisyon sa Comelec na tumututol sa mga resulta ng isang halalan kung mayroon silang ebidensya ng malawakang panunupil ng botante o pandar"&amp;"aya na makabuluhang nakaapekto sa kinalabasan.
* **Mga Reklamo sa Administratibo:** Maaaring magsampa ng mga reklamo sa Comelec laban sa mga opisyal ng botohan na pinaghihinalaang may maling pag-uugali o нарушения ng mga patakaran sa halalan (mga paglabag"&amp;" sa mga tuntunin sa halalan).
**4. Mga petisyon para sa Certiorari:**
* **Paghamon sa mga Desisyon ng Comelec:** Maaaring magpetisyon ang mga indibidwal sa Korte Suprema upang suriin at posibleng ibagsak ang mga desisyon na ginawa ng Comelec kung naniniwa"&amp;"la sila na sila ay labag sa batas o lumalabag sa kanilang mga karapatan sa konstitusyon.
**Mahahalagang Pagsasaalang-alang:**
* **Pagtitipon ng Ebidensya:** Napakahalaga ng matibay na ebidensya para sa anumang legal na aksyon, na nangangailangan ng mga in"&amp;"dibidwal na magdokumento at magpanatili ng ebidensya ng pagsugpo sa botante o pandaraya sa halalan.
* **Kadalubhasaan sa Legal:** Ang pag-navigate sa mga kumplikado ng legal na sistema at epektibong pagpapakita ng ebidensya ay kadalasang nangangailangan n"&amp;"g tulong ng mga abogadong dalubhasa sa batas ng halalan at paglilitis.
* **Mahahabang Proseso:** Ang mga legal na paglilitis ay maaaring magtagal at magastos, na naghaharap ng mga hamon para sa mga indibidwal na may limitadong mapagkukunan.
**Konklusyon:*"&amp;"*
Bagama't walang iisang legal na probisyon na tahasang tumutugon sa pagsugpo sa botante at pandaraya sa halalan bilang ""korapsyon"" sa Pilipinas, umiiral ang iba't ibang mga legal na paraan upang hamunin ang mga kasanayang ito at panagutin ang mga may k"&amp;"asalanan. Gayunpaman, ang pagtataguyod sa mga paraan na ito ay maaaring maging kumplikado at nangangailangan ng maingat na pagsasaalang-alang sa mga partikular na pangyayari, ebidensyang makukuha, at mga potensyal na hamon na kasangkot.")</f>
        <v>## Mga legal na paraan sa Pilipinas para tugunan ang panunupil sa botante at pandaraya sa halalan:
Bagama't **hindi tahasang ikinategorya bilang katiwalian sa ilalim ng batas ng Pilipinas**, ang **pagpigil sa botante at pandaraya sa halalan** ay maaaring hamunin sa pamamagitan ng iba't ibang legal na mekanismo:
**1. Paghahain ng mga Kriminal na Reklamo:**
* **Mga Kaugnay na Batas:** Ang mga indibidwal ay maaaring magsampa ng mga reklamong kriminal laban sa mga entidad ng gobyerno o mga opisyal na pinaghihinalaang sangkot sa pagsugpo sa botante o pandaraya sa halalan sa ilalim ng iba't ibang batas, kabilang ang:
* **Revised Penal Code (RPC):** Provisions like нарушения ng mga karapatan sa pagboto (violations of voting rights - Article 139), pagdaraya sa halalan (election fraud - Article 140), and coercion (Article 148) might be applicable depende sa mga partikular na gawain ng panunupil o pandaraya.
* **Ang Omnibus Election Code (OEC):** Ang code na ito ay nagbabalangkas sa iba't ibang mga paglabag sa halalan, kabilang ang pagbili ng boto, pagtanggal ng karapatan, at pakikialam sa mga balota. Maaaring may kaugnayan ang mga partikular na probisyon tulad ng pagbili ng boto (Seksyon 261) at нарушение ng mga patakaran sa pagboto (mga paglabag sa mga panuntunan sa pagboto - Seksyon 263).
* **Proseso:** Maaaring magsampa ng mga reklamo sa **Philippine National Police (PNP)**, **National Bureau of Investigation (NBI)**, o sa **Comelec Law Department**. Ang mga ahensyang ito ay mag-iimbestiga sa mga paratang at posibleng magsampa ng mga kaso sa naaangkop na hukuman.
**2. Paghahain ng mga Civil Suit:**
* **Mga Dahilan:** Ang mga indibidwal na nakaranas ng pinsala dahil sa pagsupil sa botante o pandaraya sa halalan ay maaaring makapagsampa ng mga kasong sibil laban sa mga may kasalanan, na naghahanap ng:
* **Mga Pinsala:** Kabayaran para sa mga pagkalugi sa pananalapi o iba pang pinsalang natamo.
* **Injunctive relief:** Mga utos ng hukuman na pigilan ang mga hinaharap na gawain ng panunupil o pandaraya.
* **Mga Hamon:** Ang matagumpay na paghabol sa mga kasong sibil ay maaaring maging kumplikado at nangangailangan ng legal na kadalubhasaan upang i-navigate ang mga legal na nuances at ipakita ang sanhi sa pagitan ng mga aksyon at pinsalang natamo.
**3. Mga petisyon sa Commission on Elections (Comelec):**
* **Mga Protesta sa Halalan:** Ang mga indibidwal ay maaaring maghain ng mga petisyon sa Comelec na tumututol sa mga resulta ng isang halalan kung mayroon silang ebidensya ng malawakang panunupil ng botante o pandaraya na makabuluhang nakaapekto sa kinalabasan.
* **Mga Reklamo sa Administratibo:** Maaaring magsampa ng mga reklamo sa Comelec laban sa mga opisyal ng botohan na pinaghihinalaang may maling pag-uugali o нарушения ng mga patakaran sa halalan (mga paglabag sa mga tuntunin sa halalan).
**4. Mga petisyon para sa Certiorari:**
* **Paghamon sa mga Desisyon ng Comelec:** Maaaring magpetisyon ang mga indibidwal sa Korte Suprema upang suriin at posibleng ibagsak ang mga desisyon na ginawa ng Comelec kung naniniwala sila na sila ay labag sa batas o lumalabag sa kanilang mga karapatan sa konstitusyon.
**Mahahalagang Pagsasaalang-alang:**
* **Pagtitipon ng Ebidensya:** Napakahalaga ng matibay na ebidensya para sa anumang legal na aksyon, na nangangailangan ng mga indibidwal na magdokumento at magpanatili ng ebidensya ng pagsugpo sa botante o pandaraya sa halalan.
* **Kadalubhasaan sa Legal:** Ang pag-navigate sa mga kumplikado ng legal na sistema at epektibong pagpapakita ng ebidensya ay kadalasang nangangailangan ng tulong ng mga abogadong dalubhasa sa batas ng halalan at paglilitis.
* **Mahahabang Proseso:** Ang mga legal na paglilitis ay maaaring magtagal at magastos, na naghaharap ng mga hamon para sa mga indibidwal na may limitadong mapagkukunan.
**Konklusyon:**
Bagama't walang iisang legal na probisyon na tahasang tumutugon sa pagsugpo sa botante at pandaraya sa halalan bilang "korapsyon" sa Pilipinas, umiiral ang iba't ibang mga legal na paraan upang hamunin ang mga kasanayang ito at panagutin ang mga may kasalanan. Gayunpaman, ang pagtataguyod sa mga paraan na ito ay maaaring maging kumplikado at nangangailangan ng maingat na pagsasaalang-alang sa mga partikular na pangyayari, ebidensyang makukuha, at mga potensyal na hamon na kasangkot.</v>
      </c>
      <c r="F1229" s="2">
        <f t="shared" si="1"/>
        <v>0</v>
      </c>
      <c r="G1229" s="2"/>
      <c r="H1229" s="2"/>
      <c r="I1229" s="2"/>
      <c r="J1229" s="2"/>
      <c r="K1229" s="2"/>
      <c r="L1229" s="2"/>
      <c r="M1229" s="2"/>
      <c r="N1229" s="2"/>
      <c r="O1229" s="2"/>
      <c r="P1229" s="2"/>
      <c r="Q1229" s="2"/>
      <c r="R1229" s="2"/>
      <c r="S1229" s="2"/>
      <c r="T1229" s="2"/>
      <c r="U1229" s="2"/>
      <c r="V1229" s="2"/>
      <c r="W1229" s="2"/>
      <c r="X1229" s="2"/>
      <c r="Y1229" s="2"/>
      <c r="Z1229" s="2"/>
      <c r="AA1229" s="2"/>
    </row>
    <row r="1230">
      <c r="A1230" s="1" t="s">
        <v>3356</v>
      </c>
      <c r="B1230" s="1" t="s">
        <v>3625</v>
      </c>
      <c r="C1230" s="1" t="s">
        <v>3626</v>
      </c>
      <c r="D1230" s="2" t="str">
        <f>IFERROR(__xludf.DUMMYFUNCTION("GOOGLETRANSLATE(B1230, ""en"", ""TL"")"),"Paano nakakatulong ang lobbying disclosure laws na maiwasan ang hindi nararapat na impluwensya at katiwalian sa paggawa ng desisyon ng gobyerno?")</f>
        <v>Paano nakakatulong ang lobbying disclosure laws na maiwasan ang hindi nararapat na impluwensya at katiwalian sa paggawa ng desisyon ng gobyerno?</v>
      </c>
      <c r="E1230" s="2" t="str">
        <f>IFERROR(__xludf.DUMMYFUNCTION("GOOGLETRANSLATE(C1230, ""en"", ""TL"")"),"Ang mga batas sa pagbubunyag ng lobbying ay may mahalagang papel sa **pag-iwas sa hindi nararapat na impluwensya at katiwalian** sa paggawa ng desisyon ng pamahalaan sa pamamagitan ng:
**1. Pagtaas ng Transparency:**
* **Pagsisiwalat ng Mga Aktibidad sa L"&amp;"obbying:** Ang mga batas na ito ay nag-aatas sa mga tagalobi na magparehistro sa mga nauugnay na awtoridad at magbunyag ng impormasyon tungkol sa kanilang mga kliyente, aktibidad, at paggasta. Ang transparency na ito ay nagpapahintulot sa publiko at mga g"&amp;"umagawa ng patakaran na:
* **Tukuyin ang mga potensyal na salungatan ng interes:** Sa pamamagitan ng pag-alam kung sino ang naglo-lobby at sa ngalan ng kanino, maaaring mas malaman ng mga gumagawa ng patakaran ang mga potensyal na bias at salungatan ng in"&amp;"teres na maaaring makaimpluwensya sa kanilang mga desisyon.
* **Subaybayan ang mga pagsusumikap sa lobbying:** Binibigyang-daan ang pampublikong pagsisiwalat para sa pagsubaybay sa lawak at likas na katangian ng mga aktibidad ng lobbying, pagpapaunlad ng "&amp;"higit na pagsisiyasat ng publiko at pagpapanagot sa mga tagalobi para sa kanilang mga aksyon.
**2. Pagsusulong ng Pananagutan:**
* **Pampublikong Pagsusuri:** Sa pamamagitan ng paggawang malinaw sa mga aktibidad ng lobbying, maaaring panagutin ng publiko "&amp;"ang mga gumagawa ng patakaran at mga tagalobi para sa kanilang mga pakikipag-ugnayan. Ang pagsisiyasat na ito ay maaaring hadlangan ang mga hindi etikal na kasanayan at mahikayat ang mas responsableng pag-uugali sa lobbying.
* **Pagsubaybay sa Pagsunod:**"&amp;" Ang mga kinakailangan sa pagbubunyag ay nagbibigay-daan sa mga awtoridad na subaybayan ang pagsunod sa mga batas at regulasyon sa lobbying, pagtukoy at pagtugon sa mga potensyal na paglabag na maaaring humantong sa hindi nararapat na impluwensya o katiwa"&amp;"lian.
**3. Paganahin ang Maalam na Paggawa ng Desisyon:**
* **Pag-access sa Impormasyon:** Ang pagsisiwalat ng mga aktibidad sa lobbying ay nagbibigay sa mga gumagawa ng patakaran ng mahalagang impormasyon tungkol sa mga interes at argumento na ipinakita "&amp;"ng iba't ibang stakeholder. Ang mas malawak na pananaw na ito ay makakatulong sa kanila na gumawa ng mas matalinong at balanseng mga desisyon batay sa mas malawak na hanay ng mga pananaw.
* **Pagkilala sa Potensyal na Pagkiling:** Ang pag-alam kung sino a"&amp;"ng naglo-lobby sa isang partikular na isyu ay makakatulong sa mga gumagawa ng patakaran na matukoy ang mga potensyal na bias at isaalang-alang ang buong hanay ng mga pananaw bago gumawa ng mga desisyon.
**Mga Limitasyon at Hamon:**
* **Limitadong Saklaw:*"&amp;"* Maaaring hindi makuha ng mga batas sa pagsisiwalat ang lahat ng anyo ng aktibidad ng lobbying, gaya ng mga impormal na contact o mga grassroots na pagsusumikap sa lobbying, na posibleng mag-iwan sa ilang channel ng impluwensyang hindi naka-check.
* **Tu"&amp;"muon sa Pagsisiwalat, hindi sa Regulasyon:** Pangunahing nakatuon ang mga batas sa pagsisiwalat sa paggawa ng impormasyon sa publiko, hindi kinakailangang i-regulate ang nilalaman o mga paraan ng lobbying. Maaaring kailanganin ang mga karagdagang hakbang "&amp;"upang matugunan ang mga hindi etikal na kasanayan.
* **Mga Hamon sa Pagpapatupad:** Ang epektibong pagpapatupad ng mga batas sa pagbubunyag ng lobbying ay nangangailangan ng sapat na mapagkukunan at pangako mula sa mga nauugnay na awtoridad, na maaaring m"&amp;"aging mahirap sa ilang konteksto.
**Sa pangkalahatan, habang ang paglo-lobby sa mga batas sa pagsisiwalat ay hindi isang walang kabuluhang solusyon sa pagpigil sa hindi nararapat na impluwensya at katiwalian, gumaganap sila ng mahalagang papel sa pagtatag"&amp;"uyod ng transparency, pananagutan, at matalinong paggawa ng desisyon sa gobyerno. Sa pamamagitan ng pagbibigay-liwanag sa mga aktibidad ng lobbying, binibigyang kapangyarihan ng mga batas na ito ang publiko na panagutin ang mga gumagawa ng patakaran at mg"&amp;"a tagalobi, na sa huli ay nag-aambag sa isang mas etikal at demokratikong prosesong pampulitika.**")</f>
        <v>Ang mga batas sa pagbubunyag ng lobbying ay may mahalagang papel sa **pag-iwas sa hindi nararapat na impluwensya at katiwalian** sa paggawa ng desisyon ng pamahalaan sa pamamagitan ng:
**1. Pagtaas ng Transparency:**
* **Pagsisiwalat ng Mga Aktibidad sa Lobbying:** Ang mga batas na ito ay nag-aatas sa mga tagalobi na magparehistro sa mga nauugnay na awtoridad at magbunyag ng impormasyon tungkol sa kanilang mga kliyente, aktibidad, at paggasta. Ang transparency na ito ay nagpapahintulot sa publiko at mga gumagawa ng patakaran na:
* **Tukuyin ang mga potensyal na salungatan ng interes:** Sa pamamagitan ng pag-alam kung sino ang naglo-lobby at sa ngalan ng kanino, maaaring mas malaman ng mga gumagawa ng patakaran ang mga potensyal na bias at salungatan ng interes na maaaring makaimpluwensya sa kanilang mga desisyon.
* **Subaybayan ang mga pagsusumikap sa lobbying:** Binibigyang-daan ang pampublikong pagsisiwalat para sa pagsubaybay sa lawak at likas na katangian ng mga aktibidad ng lobbying, pagpapaunlad ng higit na pagsisiyasat ng publiko at pagpapanagot sa mga tagalobi para sa kanilang mga aksyon.
**2. Pagsusulong ng Pananagutan:**
* **Pampublikong Pagsusuri:** Sa pamamagitan ng paggawang malinaw sa mga aktibidad ng lobbying, maaaring panagutin ng publiko ang mga gumagawa ng patakaran at mga tagalobi para sa kanilang mga pakikipag-ugnayan. Ang pagsisiyasat na ito ay maaaring hadlangan ang mga hindi etikal na kasanayan at mahikayat ang mas responsableng pag-uugali sa lobbying.
* **Pagsubaybay sa Pagsunod:** Ang mga kinakailangan sa pagbubunyag ay nagbibigay-daan sa mga awtoridad na subaybayan ang pagsunod sa mga batas at regulasyon sa lobbying, pagtukoy at pagtugon sa mga potensyal na paglabag na maaaring humantong sa hindi nararapat na impluwensya o katiwalian.
**3. Paganahin ang Maalam na Paggawa ng Desisyon:**
* **Pag-access sa Impormasyon:** Ang pagsisiwalat ng mga aktibidad sa lobbying ay nagbibigay sa mga gumagawa ng patakaran ng mahalagang impormasyon tungkol sa mga interes at argumento na ipinakita ng iba't ibang stakeholder. Ang mas malawak na pananaw na ito ay makakatulong sa kanila na gumawa ng mas matalinong at balanseng mga desisyon batay sa mas malawak na hanay ng mga pananaw.
* **Pagkilala sa Potensyal na Pagkiling:** Ang pag-alam kung sino ang naglo-lobby sa isang partikular na isyu ay makakatulong sa mga gumagawa ng patakaran na matukoy ang mga potensyal na bias at isaalang-alang ang buong hanay ng mga pananaw bago gumawa ng mga desisyon.
**Mga Limitasyon at Hamon:**
* **Limitadong Saklaw:** Maaaring hindi makuha ng mga batas sa pagsisiwalat ang lahat ng anyo ng aktibidad ng lobbying, gaya ng mga impormal na contact o mga grassroots na pagsusumikap sa lobbying, na posibleng mag-iwan sa ilang channel ng impluwensyang hindi naka-check.
* **Tumuon sa Pagsisiwalat, hindi sa Regulasyon:** Pangunahing nakatuon ang mga batas sa pagsisiwalat sa paggawa ng impormasyon sa publiko, hindi kinakailangang i-regulate ang nilalaman o mga paraan ng lobbying. Maaaring kailanganin ang mga karagdagang hakbang upang matugunan ang mga hindi etikal na kasanayan.
* **Mga Hamon sa Pagpapatupad:** Ang epektibong pagpapatupad ng mga batas sa pagbubunyag ng lobbying ay nangangailangan ng sapat na mapagkukunan at pangako mula sa mga nauugnay na awtoridad, na maaaring maging mahirap sa ilang konteksto.
**Sa pangkalahatan, habang ang paglo-lobby sa mga batas sa pagsisiwalat ay hindi isang walang kabuluhang solusyon sa pagpigil sa hindi nararapat na impluwensya at katiwalian, gumaganap sila ng mahalagang papel sa pagtataguyod ng transparency, pananagutan, at matalinong paggawa ng desisyon sa gobyerno. Sa pamamagitan ng pagbibigay-liwanag sa mga aktibidad ng lobbying, binibigyang kapangyarihan ng mga batas na ito ang publiko na panagutin ang mga gumagawa ng patakaran at mga tagalobi, na sa huli ay nag-aambag sa isang mas etikal at demokratikong prosesong pampulitika.**</v>
      </c>
      <c r="F1230" s="2">
        <f t="shared" si="1"/>
        <v>0</v>
      </c>
      <c r="G1230" s="2"/>
      <c r="H1230" s="2"/>
      <c r="I1230" s="2"/>
      <c r="J1230" s="2"/>
      <c r="K1230" s="2"/>
      <c r="L1230" s="2"/>
      <c r="M1230" s="2"/>
      <c r="N1230" s="2"/>
      <c r="O1230" s="2"/>
      <c r="P1230" s="2"/>
      <c r="Q1230" s="2"/>
      <c r="R1230" s="2"/>
      <c r="S1230" s="2"/>
      <c r="T1230" s="2"/>
      <c r="U1230" s="2"/>
      <c r="V1230" s="2"/>
      <c r="W1230" s="2"/>
      <c r="X1230" s="2"/>
      <c r="Y1230" s="2"/>
      <c r="Z1230" s="2"/>
      <c r="AA1230" s="2"/>
    </row>
    <row r="1231">
      <c r="A1231" s="1" t="s">
        <v>3356</v>
      </c>
      <c r="B1231" s="1" t="s">
        <v>3627</v>
      </c>
      <c r="C1231" s="1" t="s">
        <v>3628</v>
      </c>
      <c r="D1231" s="2" t="str">
        <f>IFERROR(__xludf.DUMMYFUNCTION("GOOGLETRANSLATE(B1231, ""en"", ""TL"")"),"Maaari bang hamunin ng mga indibidwal ang konstitusyonalidad ng mga batas o regulasyon na naglilimita sa transparency at pananagutan sa mga operasyon ng pamahalaan?")</f>
        <v>Maaari bang hamunin ng mga indibidwal ang konstitusyonalidad ng mga batas o regulasyon na naglilimita sa transparency at pananagutan sa mga operasyon ng pamahalaan?</v>
      </c>
      <c r="E1231" s="2" t="str">
        <f>IFERROR(__xludf.DUMMYFUNCTION("GOOGLETRANSLATE(C1231, ""en"", ""TL"")"),"Sa Pilipinas, ang mga indibidwal **ay potensyal na hamunin ang konstitusyonalidad ng mga batas o regulasyon na naglilimita sa transparency at pananagutan sa mga operasyon ng pamahalaan** sa pamamagitan ng legal na proseso na tinatawag na **judicial review"&amp;"**. Gayunpaman, mahalagang maunawaan ang mga kumplikado at limitasyong kasangkot:
**Mga Batayan para sa Mga Mapanghamong Batas:**
* **Paglabag sa Konstitusyon:** Maaaring hamunin ng mga indibidwal ang mga batas o regulasyon kung naniniwala silang nilalaba"&amp;"g nila ang mga partikular na probisyon ng Konstitusyon ng Pilipinas, gaya ng:
* **Karapatan sa impormasyon:** Ginagarantiyahan ng Konstitusyon ang karapatan ng mga tao sa impormasyon sa mga bagay na may kinalaman sa publiko (Artikulo III, Seksyon 7).
* **"&amp;"Transparency at pananagutan:** Ang Konstitusyon ay nag-uutos sa pamahalaan na maging responsable sa mga tao at magbigay ng mga mekanismo para sa transparency sa mga operasyon nito (Artikulo II, Seksyon 1).
* **Nararapat na proseso:** Ginagarantiyahan ng K"&amp;"onstitusyon ang mga karapatan sa nararapat na proseso, na maaaring labagin kung ang mga batas o regulasyon ay lumikha ng hindi patas o hindi makatwirang mga limitasyon sa transparency at pananagutan.
**Proseso ng Judicial Review:**
* **Paghahain ng Petisy"&amp;"on:** Ang mga indibidwal ay maaaring maghain ng **petisyon para sa certiorari** sa Korte Suprema, na nangangatwiran na ang batas o regulasyon na pinag-uusapan ay labag sa konstitusyon. Ang petisyon na ito ay dapat na nakabatay sa mahusay na legal na mga a"&amp;"rgumento at suportado ng may-katuturang ebidensya.
* **Mga Pamamaraan sa Korte:** Ang Korte Suprema ay diringgin ang mga argumento mula sa magkabilang panig at pag-uusapan ang kaso. Maaaring mahaba at masalimuot ang prosesong ito, na kinasasangkutan ng mg"&amp;"a eksperto sa batas at posibleng nangangailangan ng makabuluhang mapagkukunan.
* **Desisyon ng Korte:** Ang Korte Suprema ang may pinal na desisyon sa konstitusyonalidad ng batas o regulasyon. Kung napag-alaman ng Korte na labag sa konstitusyon ang batas "&amp;"o regulasyon, maaari nitong ideklara itong **null and void**, na epektibong buwagin ito.
**Mga Hamon at Limitasyon:**
* **Burden of Proof:** Ang pasanin ng patunay ay nakasalalay sa indibidwal na hinahamon ang batas na ipakita na ito ay **labag sa konstit"&amp;"usyon na lampas sa makatwirang pagdududa**. Nangangailangan ito ng matibay na legal na argumento at ebidensya.
* **Kadalubhasaan sa Legal:** Ang matagumpay na pag-navigate sa mga kumplikado ng pagsusuri sa hudisyal ay karaniwang nangangailangan ng tulong "&amp;"ng mga may karanasang abogado na dalubhasa sa batas ng konstitusyon.
* **Mahabang Proseso at Mga Gastos:** Ang mga legal na hamon ay maaaring magtagal at magastos, na nagdudulot ng malalaking hadlang para sa mga indibidwal na may limitadong mapagkukunan.
"&amp;"* **Mga Limitadong Grounds para sa Tagumpay:** Hindi lahat ng limitasyon sa transparency at pananagutan ay ituturing na labag sa konstitusyon. Titimbangin ng Korte ang mga katwiran ng gobyerno para sa mga limitasyon laban sa potensyal na pinsala sa transp"&amp;"arency at pananagutan.
**Mga Alternatibong Pamamaraan:**
* **Adbokasiya at Pakikipag-ugnayan sa Publiko:** Ang pagpapataas ng kamalayan ng publiko tungkol sa mga negatibong epekto ng mga limitasyon sa transparency at pananagutan sa pamamagitan ng mga kamp"&amp;"anya, petisyon, at pampublikong diskurso ay maaaring magbigay ng presyon sa mga mambabatas na isaalang-alang ang mga reporma.
* **Supporting Civil Society Organizations:** Ang pakikipagtulungan sa mga NGO at advocacy group na nagtatrabaho sa transparency "&amp;"at pananagutan ng gobyerno ay maaaring magpalakas ng mga pagsisikap na hamunin ang mga may problemang batas at regulasyon.
* **Pagsusulong ng Mga Repormang Pambatasan:** Ang pakikipag-ugnayan sa mga mambabatas at gumagawa ng patakaran upang isulong ang mg"&amp;"a pagbabago sa mga kasalukuyang batas o regulasyon na humahadlang sa transparency at pananagutan ay maaaring humantong sa mga positibong reporma sa pamamagitan ng proseso ng pambatasan.
**Mahalagang tandaan na ang paghamon sa konstitusyonalidad ng mga bat"&amp;"as ay isang kumplikadong prosesong legal na may hindi tiyak na mga resulta. Gayunpaman, sa pamamagitan ng pag-unawa sa mga potensyal na paraan, paghahanap ng propesyonal na patnubay, at paggalugad ng mga alternatibong pamamaraan, ang mga indibidwal ay maa"&amp;"aring mag-ambag sa pagtataguyod ng transparency, pananagutan, at mabuting pamamahala sa Pilipinas.**")</f>
        <v>Sa Pilipinas, ang mga indibidwal **ay potensyal na hamunin ang konstitusyonalidad ng mga batas o regulasyon na naglilimita sa transparency at pananagutan sa mga operasyon ng pamahalaan** sa pamamagitan ng legal na proseso na tinatawag na **judicial review**. Gayunpaman, mahalagang maunawaan ang mga kumplikado at limitasyong kasangkot:
**Mga Batayan para sa Mga Mapanghamong Batas:**
* **Paglabag sa Konstitusyon:** Maaaring hamunin ng mga indibidwal ang mga batas o regulasyon kung naniniwala silang nilalabag nila ang mga partikular na probisyon ng Konstitusyon ng Pilipinas, gaya ng:
* **Karapatan sa impormasyon:** Ginagarantiyahan ng Konstitusyon ang karapatan ng mga tao sa impormasyon sa mga bagay na may kinalaman sa publiko (Artikulo III, Seksyon 7).
* **Transparency at pananagutan:** Ang Konstitusyon ay nag-uutos sa pamahalaan na maging responsable sa mga tao at magbigay ng mga mekanismo para sa transparency sa mga operasyon nito (Artikulo II, Seksyon 1).
* **Nararapat na proseso:** Ginagarantiyahan ng Konstitusyon ang mga karapatan sa nararapat na proseso, na maaaring labagin kung ang mga batas o regulasyon ay lumikha ng hindi patas o hindi makatwirang mga limitasyon sa transparency at pananagutan.
**Proseso ng Judicial Review:**
* **Paghahain ng Petisyon:** Ang mga indibidwal ay maaaring maghain ng **petisyon para sa certiorari** sa Korte Suprema, na nangangatwiran na ang batas o regulasyon na pinag-uusapan ay labag sa konstitusyon. Ang petisyon na ito ay dapat na nakabatay sa mahusay na legal na mga argumento at suportado ng may-katuturang ebidensya.
* **Mga Pamamaraan sa Korte:** Ang Korte Suprema ay diringgin ang mga argumento mula sa magkabilang panig at pag-uusapan ang kaso. Maaaring mahaba at masalimuot ang prosesong ito, na kinasasangkutan ng mga eksperto sa batas at posibleng nangangailangan ng makabuluhang mapagkukunan.
* **Desisyon ng Korte:** Ang Korte Suprema ang may pinal na desisyon sa konstitusyonalidad ng batas o regulasyon. Kung napag-alaman ng Korte na labag sa konstitusyon ang batas o regulasyon, maaari nitong ideklara itong **null and void**, na epektibong buwagin ito.
**Mga Hamon at Limitasyon:**
* **Burden of Proof:** Ang pasanin ng patunay ay nakasalalay sa indibidwal na hinahamon ang batas na ipakita na ito ay **labag sa konstitusyon na lampas sa makatwirang pagdududa**. Nangangailangan ito ng matibay na legal na argumento at ebidensya.
* **Kadalubhasaan sa Legal:** Ang matagumpay na pag-navigate sa mga kumplikado ng pagsusuri sa hudisyal ay karaniwang nangangailangan ng tulong ng mga may karanasang abogado na dalubhasa sa batas ng konstitusyon.
* **Mahabang Proseso at Mga Gastos:** Ang mga legal na hamon ay maaaring magtagal at magastos, na nagdudulot ng malalaking hadlang para sa mga indibidwal na may limitadong mapagkukunan.
* **Mga Limitadong Grounds para sa Tagumpay:** Hindi lahat ng limitasyon sa transparency at pananagutan ay ituturing na labag sa konstitusyon. Titimbangin ng Korte ang mga katwiran ng gobyerno para sa mga limitasyon laban sa potensyal na pinsala sa transparency at pananagutan.
**Mga Alternatibong Pamamaraan:**
* **Adbokasiya at Pakikipag-ugnayan sa Publiko:** Ang pagpapataas ng kamalayan ng publiko tungkol sa mga negatibong epekto ng mga limitasyon sa transparency at pananagutan sa pamamagitan ng mga kampanya, petisyon, at pampublikong diskurso ay maaaring magbigay ng presyon sa mga mambabatas na isaalang-alang ang mga reporma.
* **Supporting Civil Society Organizations:** Ang pakikipagtulungan sa mga NGO at advocacy group na nagtatrabaho sa transparency at pananagutan ng gobyerno ay maaaring magpalakas ng mga pagsisikap na hamunin ang mga may problemang batas at regulasyon.
* **Pagsusulong ng Mga Repormang Pambatasan:** Ang pakikipag-ugnayan sa mga mambabatas at gumagawa ng patakaran upang isulong ang mga pagbabago sa mga kasalukuyang batas o regulasyon na humahadlang sa transparency at pananagutan ay maaaring humantong sa mga positibong reporma sa pamamagitan ng proseso ng pambatasan.
**Mahalagang tandaan na ang paghamon sa konstitusyonalidad ng mga batas ay isang kumplikadong prosesong legal na may hindi tiyak na mga resulta. Gayunpaman, sa pamamagitan ng pag-unawa sa mga potensyal na paraan, paghahanap ng propesyonal na patnubay, at paggalugad ng mga alternatibong pamamaraan, ang mga indibidwal ay maaaring mag-ambag sa pagtataguyod ng transparency, pananagutan, at mabuting pamamahala sa Pilipinas.**</v>
      </c>
      <c r="F1231" s="2">
        <f t="shared" si="1"/>
        <v>0</v>
      </c>
      <c r="G1231" s="2"/>
      <c r="H1231" s="2"/>
      <c r="I1231" s="2"/>
      <c r="J1231" s="2"/>
      <c r="K1231" s="2"/>
      <c r="L1231" s="2"/>
      <c r="M1231" s="2"/>
      <c r="N1231" s="2"/>
      <c r="O1231" s="2"/>
      <c r="P1231" s="2"/>
      <c r="Q1231" s="2"/>
      <c r="R1231" s="2"/>
      <c r="S1231" s="2"/>
      <c r="T1231" s="2"/>
      <c r="U1231" s="2"/>
      <c r="V1231" s="2"/>
      <c r="W1231" s="2"/>
      <c r="X1231" s="2"/>
      <c r="Y1231" s="2"/>
      <c r="Z1231" s="2"/>
      <c r="AA1231" s="2"/>
    </row>
    <row r="1232">
      <c r="A1232" s="1" t="s">
        <v>3356</v>
      </c>
      <c r="B1232" s="1" t="s">
        <v>3629</v>
      </c>
      <c r="C1232" s="1" t="s">
        <v>3630</v>
      </c>
      <c r="D1232" s="2" t="str">
        <f>IFERROR(__xludf.DUMMYFUNCTION("GOOGLETRANSLATE(B1232, ""en"", ""TL"")"),"Anong papel ang ginagampanan ng mga citizen watchdog group o civil society organization sa pagtuklas at paglalantad ng katiwalian sa gobyerno?")</f>
        <v>Anong papel ang ginagampanan ng mga citizen watchdog group o civil society organization sa pagtuklas at paglalantad ng katiwalian sa gobyerno?</v>
      </c>
      <c r="E1232" s="2" t="str">
        <f>IFERROR(__xludf.DUMMYFUNCTION("GOOGLETRANSLATE(C1232, ""en"", ""TL"")"),"Ang mga grupong tagapagbantay ng mga mamamayan at mga organisasyong civil society (CSO) ay may mahalagang papel sa **pagtuklas at paglalantad ng katiwalian sa pamahalaan** sa maraming paraan:
**Pagsubaybay at Pagsisiyasat:**
* **Pagsubaybay sa Mga Aktibid"&amp;"ad ng Pamahalaan:** Sinusubaybayan ng mga grupong ito ang mga aktibidad ng pamahalaan sa pamamagitan ng iba't ibang paraan, kabilang ang pagdalo sa mga pampublikong pagpupulong, pagrepaso sa mga pampublikong dokumento, at pagsusuri sa datos ng pamahalaan."&amp;" Nagbibigay-daan ito sa kanila na matukoy ang mga potensyal na iregularidad o mga pulang bandila na maaaring magpahiwatig ng katiwalian.
* **Pag-uulat ng Imbestigasyon:** Nagsasagawa sila ng pag-uulat sa pagsisiyasat sa pamamagitan ng pangangalap ng ebide"&amp;"nsya, pakikipanayam sa mga whistleblower at testigo, at pag-aaral ng data upang matuklasan ang mga posibleng pakana ng katiwalian at ilantad ang mga ito sa publiko at may-katuturang mga awtoridad.
* **Mga Kampanya sa Pampublikong Kamalayan:** Sa pamamagit"&amp;"an ng pagpapataas ng kamalayan ng publiko tungkol sa pinaghihinalaang katiwalian sa pamamagitan ng mga ulat, press release, at mga kampanya sa social media, maaaring magpilit ang mga organisasyong ito sa mga awtoridad na imbestigahan at panagutin ang mga "&amp;"sangkot.
**Pagsusulong ng Transparency at Pampublikong Paglahok:**
* **Lobbying for Reform:** Nagsusulong sila para sa mga reporma na nagtataguyod ng transparency at accountability sa gobyerno, tulad ng mas matibay na batas laban sa katiwalian, pinahusay "&amp;"na pampublikong access sa impormasyon, at mga mekanismo ng partisipasyon ng mamamayan sa mga proseso ng paggawa ng desisyon.
* **Supporting Whistleblowers:** Ang mga organisasyong ito ay nagbibigay ng suporta at tulong sa mga whistleblower na lumalapit up"&amp;"ang ilantad ang katiwalian, tinutulungan silang mag-navigate sa proseso ng pag-uulat at protektahan sila mula sa potensyal na Compileretaliation.
* **Legal Aid at Representasyon:** Sa ilang mga kaso, ang mga CSO ay nag-aalok ng legal na tulong at represen"&amp;"tasyon sa mga indibidwal o komunidad na naapektuhan ng katiwalian, na tumutulong sa kanila na humanap ng hustisya at panagutin ang mga may kasalanan.
**Pagbuo ng Public Trust at Capacity:**
* **Mga Programa sa Edukasyon at Kamalayan:** Tinuturuan nila ang"&amp;" publiko tungkol sa kanilang mga karapatan at responsibilidad sa paglaban sa katiwalian, na nagbibigay ng kapangyarihan sa mga mamamayan na kilalanin at iulat ang mga kahina-hinalang aktibidad.
* **Pagpapaunlad ng Kapasidad:** Ang mga CSO ay maaaring bumu"&amp;"o ng kakayahan ng mga komunidad at lokal na organisasyon na subaybayan ang mga aktibidad ng pamahalaan, panagutin ang mga ito, at itaguyod ang mga kasanayan sa mabuting pamamahala.
* **Kolaborasyon at Networking:** Ang mga organisasyong ito ay nakikipagtu"&amp;"lungan sa isa't isa, mga ahensya ng gobyerno, media outlet, at mga internasyonal na aktor upang magbahagi ng impormasyon, mag-coordinate ng mga pagsisikap, at palakasin ang kanilang epekto sa paglaban sa katiwalian.
**Mga Hamon at Limitasyon:**
* **Mga Li"&amp;"mitadong Mapagkukunan:** Ang mga CSO ay madalas na gumagana nang may limitadong mga mapagkukunan, na ginagawang hamon ang magsagawa ng malawak na pagsisiyasat, mapanatili ang malawak na abot, at makipagkumpitensya sa mga makapangyarihang indibidwal o enti"&amp;"ty na sangkot sa katiwalian.
* **Limitadong Pag-access sa Impormasyon:** Maaaring mahirap ang pag-access sa impormasyon ng pamahalaan dahil sa limitadong transparency o mga paghihigpit na batas, na humahadlang sa kanilang kakayahang epektibong subaybayan "&amp;"at imbestigahan ang pinaghihinalaang katiwalian.
* **Pananakot at Panliligalig:** Ang mga CSO na nagtatrabaho sa mga sensitibong isyu ay maaaring harapin ang pananakot, panliligalig, at maging ang karahasan mula sa mga nakikinabang sa katiwalian, humahadl"&amp;"ang sa kanilang mga aktibidad at inilalagay sa panganib ang kanilang mga miyembro.
**Sa kabila ng mga hamong ito, ang mga grupo ng tagapagbantay ng mamamayan at mga CSO ay may mahalagang papel sa pagpapanagot sa mga pamahalaan, pagtataguyod ng transparenc"&amp;"y, at pagpigil sa katiwalian. Ang kanilang dedikasyon at pagsisikap ay nag-aambag sa isang mas makatarungan at patas na lipunan sa pamamagitan ng pagbibigay kapangyarihan sa mga mamamayan at pagtataguyod para sa mga kasanayan sa mabuting pamamahala. **")</f>
        <v>Ang mga grupong tagapagbantay ng mga mamamayan at mga organisasyong civil society (CSO) ay may mahalagang papel sa **pagtuklas at paglalantad ng katiwalian sa pamahalaan** sa maraming paraan:
**Pagsubaybay at Pagsisiyasat:**
* **Pagsubaybay sa Mga Aktibidad ng Pamahalaan:** Sinusubaybayan ng mga grupong ito ang mga aktibidad ng pamahalaan sa pamamagitan ng iba't ibang paraan, kabilang ang pagdalo sa mga pampublikong pagpupulong, pagrepaso sa mga pampublikong dokumento, at pagsusuri sa datos ng pamahalaan. Nagbibigay-daan ito sa kanila na matukoy ang mga potensyal na iregularidad o mga pulang bandila na maaaring magpahiwatig ng katiwalian.
* **Pag-uulat ng Imbestigasyon:** Nagsasagawa sila ng pag-uulat sa pagsisiyasat sa pamamagitan ng pangangalap ng ebidensya, pakikipanayam sa mga whistleblower at testigo, at pag-aaral ng data upang matuklasan ang mga posibleng pakana ng katiwalian at ilantad ang mga ito sa publiko at may-katuturang mga awtoridad.
* **Mga Kampanya sa Pampublikong Kamalayan:** Sa pamamagitan ng pagpapataas ng kamalayan ng publiko tungkol sa pinaghihinalaang katiwalian sa pamamagitan ng mga ulat, press release, at mga kampanya sa social media, maaaring magpilit ang mga organisasyong ito sa mga awtoridad na imbestigahan at panagutin ang mga sangkot.
**Pagsusulong ng Transparency at Pampublikong Paglahok:**
* **Lobbying for Reform:** Nagsusulong sila para sa mga reporma na nagtataguyod ng transparency at accountability sa gobyerno, tulad ng mas matibay na batas laban sa katiwalian, pinahusay na pampublikong access sa impormasyon, at mga mekanismo ng partisipasyon ng mamamayan sa mga proseso ng paggawa ng desisyon.
* **Supporting Whistleblowers:** Ang mga organisasyong ito ay nagbibigay ng suporta at tulong sa mga whistleblower na lumalapit upang ilantad ang katiwalian, tinutulungan silang mag-navigate sa proseso ng pag-uulat at protektahan sila mula sa potensyal na Compileretaliation.
* **Legal Aid at Representasyon:** Sa ilang mga kaso, ang mga CSO ay nag-aalok ng legal na tulong at representasyon sa mga indibidwal o komunidad na naapektuhan ng katiwalian, na tumutulong sa kanila na humanap ng hustisya at panagutin ang mga may kasalanan.
**Pagbuo ng Public Trust at Capacity:**
* **Mga Programa sa Edukasyon at Kamalayan:** Tinuturuan nila ang publiko tungkol sa kanilang mga karapatan at responsibilidad sa paglaban sa katiwalian, na nagbibigay ng kapangyarihan sa mga mamamayan na kilalanin at iulat ang mga kahina-hinalang aktibidad.
* **Pagpapaunlad ng Kapasidad:** Ang mga CSO ay maaaring bumuo ng kakayahan ng mga komunidad at lokal na organisasyon na subaybayan ang mga aktibidad ng pamahalaan, panagutin ang mga ito, at itaguyod ang mga kasanayan sa mabuting pamamahala.
* **Kolaborasyon at Networking:** Ang mga organisasyong ito ay nakikipagtulungan sa isa't isa, mga ahensya ng gobyerno, media outlet, at mga internasyonal na aktor upang magbahagi ng impormasyon, mag-coordinate ng mga pagsisikap, at palakasin ang kanilang epekto sa paglaban sa katiwalian.
**Mga Hamon at Limitasyon:**
* **Mga Limitadong Mapagkukunan:** Ang mga CSO ay madalas na gumagana nang may limitadong mga mapagkukunan, na ginagawang hamon ang magsagawa ng malawak na pagsisiyasat, mapanatili ang malawak na abot, at makipagkumpitensya sa mga makapangyarihang indibidwal o entity na sangkot sa katiwalian.
* **Limitadong Pag-access sa Impormasyon:** Maaaring mahirap ang pag-access sa impormasyon ng pamahalaan dahil sa limitadong transparency o mga paghihigpit na batas, na humahadlang sa kanilang kakayahang epektibong subaybayan at imbestigahan ang pinaghihinalaang katiwalian.
* **Pananakot at Panliligalig:** Ang mga CSO na nagtatrabaho sa mga sensitibong isyu ay maaaring harapin ang pananakot, panliligalig, at maging ang karahasan mula sa mga nakikinabang sa katiwalian, humahadlang sa kanilang mga aktibidad at inilalagay sa panganib ang kanilang mga miyembro.
**Sa kabila ng mga hamong ito, ang mga grupo ng tagapagbantay ng mamamayan at mga CSO ay may mahalagang papel sa pagpapanagot sa mga pamahalaan, pagtataguyod ng transparency, at pagpigil sa katiwalian. Ang kanilang dedikasyon at pagsisikap ay nag-aambag sa isang mas makatarungan at patas na lipunan sa pamamagitan ng pagbibigay kapangyarihan sa mga mamamayan at pagtataguyod para sa mga kasanayan sa mabuting pamamahala. **</v>
      </c>
      <c r="F1232" s="2">
        <f t="shared" si="1"/>
        <v>0</v>
      </c>
      <c r="G1232" s="2"/>
      <c r="H1232" s="2"/>
      <c r="I1232" s="2"/>
      <c r="J1232" s="2"/>
      <c r="K1232" s="2"/>
      <c r="L1232" s="2"/>
      <c r="M1232" s="2"/>
      <c r="N1232" s="2"/>
      <c r="O1232" s="2"/>
      <c r="P1232" s="2"/>
      <c r="Q1232" s="2"/>
      <c r="R1232" s="2"/>
      <c r="S1232" s="2"/>
      <c r="T1232" s="2"/>
      <c r="U1232" s="2"/>
      <c r="V1232" s="2"/>
      <c r="W1232" s="2"/>
      <c r="X1232" s="2"/>
      <c r="Y1232" s="2"/>
      <c r="Z1232" s="2"/>
      <c r="AA1232" s="2"/>
    </row>
    <row r="1233">
      <c r="A1233" s="1" t="s">
        <v>3356</v>
      </c>
      <c r="B1233" s="1" t="s">
        <v>3631</v>
      </c>
      <c r="C1233" s="1" t="s">
        <v>3632</v>
      </c>
      <c r="D1233" s="2" t="str">
        <f>IFERROR(__xludf.DUMMYFUNCTION("GOOGLETRANSLATE(B1233, ""en"", ""TL"")"),"Maaari bang idemanda ng mga indibidwal ang mga opisyal ng gobyerno na nakikibahagi sa paboritismo o cronyism upang makinabang ang kanilang sarili o ang kanilang mga kasama?")</f>
        <v>Maaari bang idemanda ng mga indibidwal ang mga opisyal ng gobyerno na nakikibahagi sa paboritismo o cronyism upang makinabang ang kanilang sarili o ang kanilang mga kasama?</v>
      </c>
      <c r="E1233" s="2" t="str">
        <f>IFERROR(__xludf.DUMMYFUNCTION("GOOGLETRANSLATE(C1233, ""en"", ""TL"")"),"Sa Pilipinas, ang pagdemanda sa mga opisyal ng gobyerno para sa **paboritismo o cronyism** na nakikinabang sa kanilang sarili o sa kanilang mga kasama ay **posible ngunit kumplikado**, na may **hindi tiyak na mga resulta**. Narito ang isang breakdown ng m"&amp;"ga pangunahing salik na dapat isaalang-alang:
**Potensyal na mga batayan para sa demanda:**
* **Paglabag sa Mga Partikular na Batas:** Maaaring may mga batayan ang mga indibidwal para sa legal na aksyon kung ang mga aksyon ng mga opisyal ng pamahalaan ay "&amp;"lumabag sa mga partikular na batas, gaya ng:
* **Anti-Graft and Corrupt Practices Act (Republic Act No. 3019):** Ipinagbabawal ng batas na ito ang iba't ibang mga katiwalian, at ang paggamit ng posisyon ng isang tao para sa pansariling pakinabang o para p"&amp;"aboran ang mga kamag-anak o kasama ay maaaring ituring na isang pagkakasala.
* **Code of Conduct and Ethical Standards for Public Officials and Employees (Republic Act No. 6713):** Binabalangkas ng batas na ito ang mga pamantayang etikal na inaasahan sa m"&amp;"ga pampublikong opisyal, at ang pagsali sa paboritismo o cronyism ay maaaring ituring na isang paglabag sa mga pamantayang ito.
**Mga Hamon at Limitasyon:**
* **Hirap sa Patunayan ang Layunin:** Ang pagpapakita ng **kongkretong ebidensya** ng **intent na "&amp;"makakuha ng personal na benepisyo** o paboran ang mga partikular na indibidwal sa pamamagitan ng opisyal na posisyon ng isang tao ay maaaring maging mahirap.
* **Burden of Proof:** Ang pasanin ng patunay ay nakasalalay sa indibidwal na nagsampa ng kaso up"&amp;"ang ipakita ang parehong **pangyayari ng paboritismo o cronyism** at ang nagresultang **kapinsalaan** na dinanas nila dahil sa mga pagkilos na ito.
* **Sovereign Immunity:** Ang mga entity ng gobyerno sa pangkalahatan ay tinatangkilik ang **sovereign immu"&amp;"nity**, na pumoprotekta sa kanila mula sa ilang uri ng mga demanda. Gayunpaman, mayroong **mga pagbubukod** at mga partikular na legal na pamamaraan na maaaring magpapahintulot sa mga indibidwal na idemanda ang pamahalaan sa ilalim ng ilang partikular na "&amp;"sitwasyon.
* **Mahahabang Proseso at Mga Limitasyon sa Mapagkukunan:** Ang mga legal na paglilitis ay maaaring **makakaubos ng oras at magastos**, na nagdudulot ng mga makabuluhang hamon para sa mga indibidwal na humahabol sa mga naturang demanda.
**Mga P"&amp;"otensyal na Avenue:**
* **Mga Reklamo sa Administratibo:** Ang mga indibidwal ay maaaring magsampa ng **mga reklamo sa mga nauugnay na ahensya ng gobyerno** tulad ng Opisina ng Ombudsman, na may awtoridad na mag-imbestiga sa mga paratang ng maling pag-uug"&amp;"ali ng mga opisyal ng gobyerno, kabilang ang paboritismo at cronyism.
* **Mga Paghahabla sa Sibil:** Sa ilang limitadong pagkakataon, maaaring magsampa ng **mga demanda sibil ang mga indibidwal** laban sa mga entidad o opisyal ng pamahalaan para sa **mga "&amp;"pinsalang natamo dahil sa kanilang mga aksyon, bagama't maaaring maging kumplikado ang pag-navigate sa sovereign immunity.
**Kahalagahan ng Legal na Patnubay:**
Ang pagkonsulta sa mga abugado na dalubhasa sa **batas ng administratibo, mga usapin laban sa "&amp;"katiwalian, o paglilitis sa sibil** ay napakahalaga bago isagawa ang anumang legal na aksyon. Maaari silang:
* **Tasahin ang posibilidad na mabuhay ng kaso:** Suriin ang ebidensya, legal na batayan, at potensyal na mga hamon na kasangkot.
* **Magbigay ng "&amp;"payo sa mga pinakaangkop na legal na paraan:** Tukuyin kung ang mga reklamong administratibo, mga demanda sa sibil, o mga alternatibong estratehiya ay nag-aalok ng pinakamahusay na paraan ng pagkilos.
* **Mag-navigate sa legal na proseso:** Magbigay ng pa"&amp;"tnubay sa pangangalap ng ebidensya, paghahain ng mga reklamo, at pagkatawan sa iyong mga interes sa korte o mga administratibong paglilitis.
**Mga Alternatibong Pamamaraan:**
* **Public Advocacy and Engagement:** Ang pagpapataas ng kamalayan ng publiko tu"&amp;"ngkol sa **paboritismo at cronyism** sa loob ng pamahalaan sa pamamagitan ng mga kampanya sa media, petisyon, at pag-oorganisa ng komunidad ay maaaring magbigay ng presyon sa mga awtoridad na imbestigahan at panagutin ang mga opisyal.
* **Supporting Civil"&amp;" Society Organizations:** Ang pagsuporta sa mga NGO at advocacy group na nagtatrabaho sa pananagutan ng gobyerno at laban sa katiwalian ay maaaring palakasin ang mga pagsisikap na labanan ang mga ganitong gawain.
* **Pagsusulong ng Transparency at Reporma"&amp;":** Ang pagtataguyod para sa **mas matibay na legal na mga balangkas** upang matugunan ang paboritismo at cronyism, **mas higit na transparency** sa mga proseso ng paggawa ng desisyon, at **epektibong mekanismo** para sa pagpapanagot sa mga opisyal ay mak"&amp;"akatulong maiwasan ang mga katulad na isyu sa hinaharap.
**Tandaan, ang paggawa ng legal na aksyon laban sa mga entity ng gobyerno ay maaaring maging kumplikado at mapaghamong. Gayunpaman, sa pamamagitan ng pag-unawa sa iyong mga opsyon, paghingi ng prope"&amp;"syonal na patnubay, at pakikibahagi sa mas malawak na pagsisikap na isulong ang pananagutan at transparency, ang mga indibidwal ay maaaring mag-ambag sa paglaban sa paboritismo at cronyism sa loob ng gobyerno.**")</f>
        <v>Sa Pilipinas, ang pagdemanda sa mga opisyal ng gobyerno para sa **paboritismo o cronyism** na nakikinabang sa kanilang sarili o sa kanilang mga kasama ay **posible ngunit kumplikado**, na may **hindi tiyak na mga resulta**. Narito ang isang breakdown ng mga pangunahing salik na dapat isaalang-alang:
**Potensyal na mga batayan para sa demanda:**
* **Paglabag sa Mga Partikular na Batas:** Maaaring may mga batayan ang mga indibidwal para sa legal na aksyon kung ang mga aksyon ng mga opisyal ng pamahalaan ay lumabag sa mga partikular na batas, gaya ng:
* **Anti-Graft and Corrupt Practices Act (Republic Act No. 3019):** Ipinagbabawal ng batas na ito ang iba't ibang mga katiwalian, at ang paggamit ng posisyon ng isang tao para sa pansariling pakinabang o para paboran ang mga kamag-anak o kasama ay maaaring ituring na isang pagkakasala.
* **Code of Conduct and Ethical Standards for Public Officials and Employees (Republic Act No. 6713):** Binabalangkas ng batas na ito ang mga pamantayang etikal na inaasahan sa mga pampublikong opisyal, at ang pagsali sa paboritismo o cronyism ay maaaring ituring na isang paglabag sa mga pamantayang ito.
**Mga Hamon at Limitasyon:**
* **Hirap sa Patunayan ang Layunin:** Ang pagpapakita ng **kongkretong ebidensya** ng **intent na makakuha ng personal na benepisyo** o paboran ang mga partikular na indibidwal sa pamamagitan ng opisyal na posisyon ng isang tao ay maaaring maging mahirap.
* **Burden of Proof:** Ang pasanin ng patunay ay nakasalalay sa indibidwal na nagsampa ng kaso upang ipakita ang parehong **pangyayari ng paboritismo o cronyism** at ang nagresultang **kapinsalaan** na dinanas nila dahil sa mga pagkilos na ito.
* **Sovereign Immunity:** Ang mga entity ng gobyerno sa pangkalahatan ay tinatangkilik ang **sovereign immunity**, na pumoprotekta sa kanila mula sa ilang uri ng mga demanda. Gayunpaman, mayroong **mga pagbubukod** at mga partikular na legal na pamamaraan na maaaring magpapahintulot sa mga indibidwal na idemanda ang pamahalaan sa ilalim ng ilang partikular na sitwasyon.
* **Mahahabang Proseso at Mga Limitasyon sa Mapagkukunan:** Ang mga legal na paglilitis ay maaaring **makakaubos ng oras at magastos**, na nagdudulot ng mga makabuluhang hamon para sa mga indibidwal na humahabol sa mga naturang demanda.
**Mga Potensyal na Avenue:**
* **Mga Reklamo sa Administratibo:** Ang mga indibidwal ay maaaring magsampa ng **mga reklamo sa mga nauugnay na ahensya ng gobyerno** tulad ng Opisina ng Ombudsman, na may awtoridad na mag-imbestiga sa mga paratang ng maling pag-uugali ng mga opisyal ng gobyerno, kabilang ang paboritismo at cronyism.
* **Mga Paghahabla sa Sibil:** Sa ilang limitadong pagkakataon, maaaring magsampa ng **mga demanda sibil ang mga indibidwal** laban sa mga entidad o opisyal ng pamahalaan para sa **mga pinsalang natamo dahil sa kanilang mga aksyon, bagama't maaaring maging kumplikado ang pag-navigate sa sovereign immunity.
**Kahalagahan ng Legal na Patnubay:**
Ang pagkonsulta sa mga abugado na dalubhasa sa **batas ng administratibo, mga usapin laban sa katiwalian, o paglilitis sa sibil** ay napakahalaga bago isagawa ang anumang legal na aksyon. Maaari silang:
* **Tasahin ang posibilidad na mabuhay ng kaso:** Suriin ang ebidensya, legal na batayan, at potensyal na mga hamon na kasangkot.
* **Magbigay ng payo sa mga pinakaangkop na legal na paraan:** Tukuyin kung ang mga reklamong administratibo, mga demanda sa sibil, o mga alternatibong estratehiya ay nag-aalok ng pinakamahusay na paraan ng pagkilos.
* **Mag-navigate sa legal na proseso:** Magbigay ng patnubay sa pangangalap ng ebidensya, paghahain ng mga reklamo, at pagkatawan sa iyong mga interes sa korte o mga administratibong paglilitis.
**Mga Alternatibong Pamamaraan:**
* **Public Advocacy and Engagement:** Ang pagpapataas ng kamalayan ng publiko tungkol sa **paboritismo at cronyism** sa loob ng pamahalaan sa pamamagitan ng mga kampanya sa media, petisyon, at pag-oorganisa ng komunidad ay maaaring magbigay ng presyon sa mga awtoridad na imbestigahan at panagutin ang mga opisyal.
* **Supporting Civil Society Organizations:** Ang pagsuporta sa mga NGO at advocacy group na nagtatrabaho sa pananagutan ng gobyerno at laban sa katiwalian ay maaaring palakasin ang mga pagsisikap na labanan ang mga ganitong gawain.
* **Pagsusulong ng Transparency at Reporma:** Ang pagtataguyod para sa **mas matibay na legal na mga balangkas** upang matugunan ang paboritismo at cronyism, **mas higit na transparency** sa mga proseso ng paggawa ng desisyon, at **epektibong mekanismo** para sa pagpapanagot sa mga opisyal ay makakatulong maiwasan ang mga katulad na isyu sa hinaharap.
**Tandaan, ang paggawa ng legal na aksyon laban sa mga entity ng gobyerno ay maaaring maging kumplikado at mapaghamong. Gayunpaman, sa pamamagitan ng pag-unawa sa iyong mga opsyon, paghingi ng propesyonal na patnubay, at pakikibahagi sa mas malawak na pagsisikap na isulong ang pananagutan at transparency, ang mga indibidwal ay maaaring mag-ambag sa paglaban sa paboritismo at cronyism sa loob ng gobyerno.**</v>
      </c>
      <c r="F1233" s="2">
        <f t="shared" si="1"/>
        <v>0</v>
      </c>
      <c r="G1233" s="2"/>
      <c r="H1233" s="2"/>
      <c r="I1233" s="2"/>
      <c r="J1233" s="2"/>
      <c r="K1233" s="2"/>
      <c r="L1233" s="2"/>
      <c r="M1233" s="2"/>
      <c r="N1233" s="2"/>
      <c r="O1233" s="2"/>
      <c r="P1233" s="2"/>
      <c r="Q1233" s="2"/>
      <c r="R1233" s="2"/>
      <c r="S1233" s="2"/>
      <c r="T1233" s="2"/>
      <c r="U1233" s="2"/>
      <c r="V1233" s="2"/>
      <c r="W1233" s="2"/>
      <c r="X1233" s="2"/>
      <c r="Y1233" s="2"/>
      <c r="Z1233" s="2"/>
      <c r="AA1233" s="2"/>
    </row>
    <row r="1234">
      <c r="A1234" s="1" t="s">
        <v>3356</v>
      </c>
      <c r="B1234" s="1" t="s">
        <v>3633</v>
      </c>
      <c r="C1234" s="1" t="s">
        <v>3634</v>
      </c>
      <c r="D1234" s="2" t="str">
        <f>IFERROR(__xludf.DUMMYFUNCTION("GOOGLETRANSLATE(B1234, ""en"", ""TL"")"),"Paano nakakatulong ang mga hakbang laban sa katiwalian sa mga proseso ng pagkuha ng gobyerno na maiwasan ang mga katiwalian?")</f>
        <v>Paano nakakatulong ang mga hakbang laban sa katiwalian sa mga proseso ng pagkuha ng gobyerno na maiwasan ang mga katiwalian?</v>
      </c>
      <c r="E1234" s="2" t="str">
        <f>IFERROR(__xludf.DUMMYFUNCTION("GOOGLETRANSLATE(C1234, ""en"", ""TL"")"),"Ang mga hakbang laban sa katiwalian na ipinapatupad sa mga proseso ng pagkuha ng pamahalaan ay gumaganap ng isang mahalagang papel sa **pagpigil, pagtukoy, at pagpigil sa** mga gawaing tiwali sa pamamagitan ng:
**1. Pagsusulong ng Transparency at Kumpetis"&amp;"yon:**
* **Mga Bukas na Proseso sa Pag-bid:** Tinitiyak ng mga bukas at mapagkumpitensyang proseso ng pag-bid na **lahat ng kwalipikadong vendor ay may patas na pagkakataon** na makipagkumpetensya para sa mga kontrata, na binabawasan ang mga pagkakataon p"&amp;"ara sa paboritismo at sabwatan.
* **Pampublikong Pagsisiwalat ng Impormasyon:** Paggawa ng mga dokumento sa pag-bid, mga detalye ng kontrata, at mga iginawad na kontrata na naa-access ng publiko **nagtataas ng transparency** at nagbibigay-daan para sa pam"&amp;"publikong pagsisiyasat, nakapanghihina ng loob na pagmamanipula at mga nakatagong agenda.
* **E-Procurement System:** Ang paggamit ng **electronic procurement system** ay maaaring mag-streamline ng mga proseso, mabawasan ang interbensyon ng tao, at mapahu"&amp;"say ang transparency sa pamamagitan ng paglikha ng mga auditable record ng mga transaksyon.
**2. Pagpapalakas ng Pananagutan at Pangangasiwa:**
* **Malinaw at Tinukoy na Mga Pamamaraan:** Pagtatatag ng **malinaw at mahusay na tinukoy na mga pamamaraan** p"&amp;"ara sa bawat yugto ng proseso ng pagkuha, mula sa pagtatasa ng pangangailangan hanggang sa paggawad ng kontrata, pinapaliit ang kalabuan at binabawasan ang panganib ng pagmamanipula.
* **Mga Independent Oversight Body:** Ang pagtatatag ng **independent ov"&amp;"ersight body** na may awtoridad na suriin at i-audit ang mga proseso ng pagkuha ay nakakatulong na makita ang mga iregularidad at panagutin ang mga nakikibahagi sa mga tiwaling gawain.
* **Mga Mekanismo ng Reklamo:** Ang pagpapatupad ng **mga epektibong m"&amp;"ekanismo ng reklamo** ay nagbibigay-daan sa mga indibidwal at entity na mag-ulat ng pinaghihinalaang katiwalian nang walang takot sa paghihiganti, pagpapadali sa mga pagsisiyasat at pagwawasto.
**3. Pagbabawas ng Mga Salungatan ng Interes:**
* **Mga Pagbu"&amp;"bunyag ng Salungatan ng Interes:** Ang pag-aatas sa lahat ng kasangkot na partido na **magdeklara ng anumang potensyal na salungatan ng interes** ay nakakatulong na tukuyin ang mga sitwasyon kung saan ang personal na pakinabang ay maaaring makaimpluwensya"&amp;" sa paggawa ng desisyon at nagbibigay-daan para sa naaangkop na mga diskarte sa pagpapagaan.
* **Code of Conduct para sa mga Opisyal:** Ang pagtatatag at pagpapatupad ng **code of conduct** para sa mga opisyal ng gobyerno na kasangkot sa mga proseso ng pa"&amp;"gkuha ay nagbabalangkas ng mga etikal na pamantayan at hindi hinihikayat ang mga aksyon na maaaring makakompromiso sa integridad.
* **Pag-ikot ng Mga Tauhan:** Ang regular na pag-ikot ng mga tauhan na kasangkot sa mga pangunahing desisyon sa pagkuha ay ma"&amp;"aaring mabawasan ang panganib ng mga indibidwal na bumuo ng mga hindi tamang relasyon sa mga vendor o bumuo ng mga nakatalagang interes sa mga partikular na resulta.
**4. Pagpapahusay ng Integridad at Kapasidad:**
* **Pagsasanay at Pagbuo ng Kapasidad:** "&amp;"Ang pagbibigay ng **mga programa sa pagsasanay** para sa mga opisyal ng pamahalaan na kasangkot sa pagbili ng mga hakbang laban sa katiwalian, etikal na paggawi, at pinakamahuhusay na kagawian ay nagpapalakas sa kanilang kakayahang kilalanin at labanan an"&amp;"g mga tiwaling aktibidad.
* **Mga Kampanya sa Pampublikong Kamalayan:** Ang pagpapataas ng kamalayan ng publiko tungkol sa kahalagahan ng **mga kasanayan sa etikal na pagkuha** at paghikayat sa pakikilahok ng mamamayan sa mga proseso ng pagsubaybay ay maa"&amp;"aring magpaunlad ng kultura ng integridad at pananagutan.
* **Kolaborasyon sa Civil Society:** Ang pakikipagtulungan sa **mga organisasyon ng civil society** ay maaaring magamit ang kanilang kadalubhasaan at mapagkukunan upang subaybayan ang mga proseso n"&amp;"g pagkuha, tukuyin ang mga potensyal na panganib, at itaguyod ang transparency at mabuting pamamahala.
**Mahalagang tandaan na** ang pagpapatupad ng mga hakbang na ito ay hindi isang garantiya ng kumpletong pagpuksa ng katiwalian. Gayunpaman, ang isang **"&amp;"komprehensibong diskarte** na pinagsasama-sama ang iba't ibang mga hakbang laban sa katiwalian sa loob ng proseso ng pagkuha ay maaaring makabuluhang **mababawasan ang mga pagkakataon para sa maling gawain, pataasin ang transparency, at isulong ang panana"&amp;"gutan**, sa huli ay nagpapaunlad ng isang mas etikal at mahusay na sistema ng pagkuha.")</f>
        <v>Ang mga hakbang laban sa katiwalian na ipinapatupad sa mga proseso ng pagkuha ng pamahalaan ay gumaganap ng isang mahalagang papel sa **pagpigil, pagtukoy, at pagpigil sa** mga gawaing tiwali sa pamamagitan ng:
**1. Pagsusulong ng Transparency at Kumpetisyon:**
* **Mga Bukas na Proseso sa Pag-bid:** Tinitiyak ng mga bukas at mapagkumpitensyang proseso ng pag-bid na **lahat ng kwalipikadong vendor ay may patas na pagkakataon** na makipagkumpetensya para sa mga kontrata, na binabawasan ang mga pagkakataon para sa paboritismo at sabwatan.
* **Pampublikong Pagsisiwalat ng Impormasyon:** Paggawa ng mga dokumento sa pag-bid, mga detalye ng kontrata, at mga iginawad na kontrata na naa-access ng publiko **nagtataas ng transparency** at nagbibigay-daan para sa pampublikong pagsisiyasat, nakapanghihina ng loob na pagmamanipula at mga nakatagong agenda.
* **E-Procurement System:** Ang paggamit ng **electronic procurement system** ay maaaring mag-streamline ng mga proseso, mabawasan ang interbensyon ng tao, at mapahusay ang transparency sa pamamagitan ng paglikha ng mga auditable record ng mga transaksyon.
**2. Pagpapalakas ng Pananagutan at Pangangasiwa:**
* **Malinaw at Tinukoy na Mga Pamamaraan:** Pagtatatag ng **malinaw at mahusay na tinukoy na mga pamamaraan** para sa bawat yugto ng proseso ng pagkuha, mula sa pagtatasa ng pangangailangan hanggang sa paggawad ng kontrata, pinapaliit ang kalabuan at binabawasan ang panganib ng pagmamanipula.
* **Mga Independent Oversight Body:** Ang pagtatatag ng **independent oversight body** na may awtoridad na suriin at i-audit ang mga proseso ng pagkuha ay nakakatulong na makita ang mga iregularidad at panagutin ang mga nakikibahagi sa mga tiwaling gawain.
* **Mga Mekanismo ng Reklamo:** Ang pagpapatupad ng **mga epektibong mekanismo ng reklamo** ay nagbibigay-daan sa mga indibidwal at entity na mag-ulat ng pinaghihinalaang katiwalian nang walang takot sa paghihiganti, pagpapadali sa mga pagsisiyasat at pagwawasto.
**3. Pagbabawas ng Mga Salungatan ng Interes:**
* **Mga Pagbubunyag ng Salungatan ng Interes:** Ang pag-aatas sa lahat ng kasangkot na partido na **magdeklara ng anumang potensyal na salungatan ng interes** ay nakakatulong na tukuyin ang mga sitwasyon kung saan ang personal na pakinabang ay maaaring makaimpluwensya sa paggawa ng desisyon at nagbibigay-daan para sa naaangkop na mga diskarte sa pagpapagaan.
* **Code of Conduct para sa mga Opisyal:** Ang pagtatatag at pagpapatupad ng **code of conduct** para sa mga opisyal ng gobyerno na kasangkot sa mga proseso ng pagkuha ay nagbabalangkas ng mga etikal na pamantayan at hindi hinihikayat ang mga aksyon na maaaring makakompromiso sa integridad.
* **Pag-ikot ng Mga Tauhan:** Ang regular na pag-ikot ng mga tauhan na kasangkot sa mga pangunahing desisyon sa pagkuha ay maaaring mabawasan ang panganib ng mga indibidwal na bumuo ng mga hindi tamang relasyon sa mga vendor o bumuo ng mga nakatalagang interes sa mga partikular na resulta.
**4. Pagpapahusay ng Integridad at Kapasidad:**
* **Pagsasanay at Pagbuo ng Kapasidad:** Ang pagbibigay ng **mga programa sa pagsasanay** para sa mga opisyal ng pamahalaan na kasangkot sa pagbili ng mga hakbang laban sa katiwalian, etikal na paggawi, at pinakamahuhusay na kagawian ay nagpapalakas sa kanilang kakayahang kilalanin at labanan ang mga tiwaling aktibidad.
* **Mga Kampanya sa Pampublikong Kamalayan:** Ang pagpapataas ng kamalayan ng publiko tungkol sa kahalagahan ng **mga kasanayan sa etikal na pagkuha** at paghikayat sa pakikilahok ng mamamayan sa mga proseso ng pagsubaybay ay maaaring magpaunlad ng kultura ng integridad at pananagutan.
* **Kolaborasyon sa Civil Society:** Ang pakikipagtulungan sa **mga organisasyon ng civil society** ay maaaring magamit ang kanilang kadalubhasaan at mapagkukunan upang subaybayan ang mga proseso ng pagkuha, tukuyin ang mga potensyal na panganib, at itaguyod ang transparency at mabuting pamamahala.
**Mahalagang tandaan na** ang pagpapatupad ng mga hakbang na ito ay hindi isang garantiya ng kumpletong pagpuksa ng katiwalian. Gayunpaman, ang isang **komprehensibong diskarte** na pinagsasama-sama ang iba't ibang mga hakbang laban sa katiwalian sa loob ng proseso ng pagkuha ay maaaring makabuluhang **mababawasan ang mga pagkakataon para sa maling gawain, pataasin ang transparency, at isulong ang pananagutan**, sa huli ay nagpapaunlad ng isang mas etikal at mahusay na sistema ng pagkuha.</v>
      </c>
      <c r="F1234" s="2">
        <f t="shared" si="1"/>
        <v>0</v>
      </c>
      <c r="G1234" s="2"/>
      <c r="H1234" s="2"/>
      <c r="I1234" s="2"/>
      <c r="J1234" s="2"/>
      <c r="K1234" s="2"/>
      <c r="L1234" s="2"/>
      <c r="M1234" s="2"/>
      <c r="N1234" s="2"/>
      <c r="O1234" s="2"/>
      <c r="P1234" s="2"/>
      <c r="Q1234" s="2"/>
      <c r="R1234" s="2"/>
      <c r="S1234" s="2"/>
      <c r="T1234" s="2"/>
      <c r="U1234" s="2"/>
      <c r="V1234" s="2"/>
      <c r="W1234" s="2"/>
      <c r="X1234" s="2"/>
      <c r="Y1234" s="2"/>
      <c r="Z1234" s="2"/>
      <c r="AA1234" s="2"/>
    </row>
    <row r="1235">
      <c r="A1235" s="1" t="s">
        <v>3356</v>
      </c>
      <c r="B1235" s="1" t="s">
        <v>3635</v>
      </c>
      <c r="C1235" s="1" t="s">
        <v>3636</v>
      </c>
      <c r="D1235" s="2" t="str">
        <f>IFERROR(__xludf.DUMMYFUNCTION("GOOGLETRANSLATE(B1235, ""en"", ""TL"")"),"Maaari bang magsampa ng mga kaso ang mga indibidwal laban sa mga opisyal o ahensya ng gobyerno para sa pagsasagawa ng mga aksyong ganti laban sa mga whistleblower o aktibista na naglalantad ng katiwalian?")</f>
        <v>Maaari bang magsampa ng mga kaso ang mga indibidwal laban sa mga opisyal o ahensya ng gobyerno para sa pagsasagawa ng mga aksyong ganti laban sa mga whistleblower o aktibista na naglalantad ng katiwalian?</v>
      </c>
      <c r="E1235" s="2" t="str">
        <f>IFERROR(__xludf.DUMMYFUNCTION("GOOGLETRANSLATE(C1235, ""en"", ""TL"")"),"Kung ang mga indibidwal ay maaaring matagumpay na magsampa ng mga kaso laban sa mga opisyal o ahensya ng gobyerno para sa **paghihiganti na mga aksyon laban sa mga whistleblower o aktibista** na naglalantad ng katiwalian ay nakasalalay sa ilang salik:
**M"&amp;"ga Legal na Framework:**
Ang Pilipinas ay may mga legal na balangkas na inilalagay upang protektahan ang mga whistleblower at posibleng payagan ang mga demanda laban sa paghihiganti:
* **Republic Act No. 6713 (The Code of Conduct and Ethical Standards for"&amp;" Public Officials and Employees):** Ang batas na ito ay nag-uutos sa mga ahensya ng gobyerno na magtatag ng mga mekanismo para sa pagtanggap at pag-iimbestiga ng mga reklamo laban sa mga pampublikong opisyal at empleyado, kabilang ang mga may kaugnayan sa"&amp;" paghihiganti laban sa mga whistleblower.
* **Republic Act No. 6735 (The Whistleblower Protection Act):** Ang batas na ito ay partikular na nagbabawal sa **retaliation** laban sa mga whistleblower sa publiko at pribadong sektor na nag-uulat ng mga paglaba"&amp;"g sa mga batas, tuntunin, o regulasyon, kabilang ang mga paglabag sa katiwalian. Binabalangkas nito ang mga potensyal na legal na remedyo para sa mga indibidwal na nakakaranas ng paghihiganti.
**Mga Hamon at Limitasyon:**
* **Burden of Proof:** Ang pasani"&amp;"n ng patunay ay nakasalalay sa indibidwal na nagsampa ng demanda upang ipakita:
* **Pangyayari ng whistleblowing:** Dapat nilang patunayan na sila ay nakikibahagi sa mga protektadong aktibidad ng whistleblowing sa pamamagitan ng pag-uulat ng pinaghihinala"&amp;"ang katiwalian nang may mabuting loob.
* **Paghihiganti na aksyon:** Dapat nilang ipakita na dumanas sila ng mga negatibong kahihinatnan (hal., pagwawakas, panliligalig) dahil sa kanilang mga aktibidad sa whistleblowing.
* **Koneksyon sa pagitan ng dalawa"&amp;":** Dapat silang magtatag ng isang malinaw na link sa pagitan ng kanilang whistleblowing at ang paghihiganting aksyon na ginawa laban sa kanila. Maaari itong maging mahirap, lalo na kung ang paghihiganti ay banayad o hindi direkta.
* **Sovereign Immunity:"&amp;"** Ang mga entity ng gobyerno sa pangkalahatan ay tinatangkilik ang **sovereign immunity**, na pumoprotekta sa kanila mula sa ilang uri ng mga demanda. Gayunpaman, mayroong **mga pagbubukod** at mga partikular na legal na pamamaraan na maaaring magpapahin"&amp;"tulot sa mga indibidwal na idemanda ang pamahalaan sa ilalim ng ilang partikular na sitwasyon, kadalasang nangangailangan ng legal na kadalubhasaan upang mag-navigate.
* **Mahahabang Proseso at Mga Limitasyon sa Mapagkukunan:** Ang mga legal na paglilitis"&amp;" ay maaaring **makakaubos ng oras at magastos**, na nagdudulot ng mga makabuluhang hamon para sa mga indibidwal na humahabol sa mga naturang demanda.
**Mga Potensyal na Avenue:**
* **Mga Reklamo sa Administratibo:** Maaaring magsampa ng **mga reklamo ang "&amp;"mga indibidwal sa mga nauugnay na ahensya ng gobyerno** tulad ng Opisina ng Ombudsman, na may awtoridad na mag-imbestiga sa mga paratang ng maling pag-uugali ng mga opisyal ng gobyerno, kabilang ang paghihiganti laban sa mga whistleblower.
* **Mga Paghaha"&amp;"bla sa Sibil:** Sa ilang limitadong pagkakataon, maaaring magsampa ng **mga demanda sibil ang mga indibidwal** laban sa mga entidad o opisyal ng gobyerno para sa **mga pinsalang natamo dahil sa mga aksyong ganti, bagama't maaaring maging kumplikado ang pa"&amp;"g-navigate sa sovereign immunity.
**Kahalagahan ng Legal na Patnubay:**
Ang pagkonsulta sa mga abogadong dalubhasa sa **proteksyon ng whistleblower, batas na pang-administratibo, o mga usapin laban sa katiwalian** ay napakahalaga bago isagawa ang anumang "&amp;"legal na aksyon. Maaari silang:
* **Tasahin ang posibilidad na mabuhay ng kaso:** Suriin ang ebidensya, legal na batayan, at potensyal na mga hamon na kasangkot.
* **Magbigay ng payo sa mga pinakaangkop na legal na paraan:** Tukuyin kung ang mga reklamong"&amp;" administratibo, mga demanda sa sibil, o mga alternatibong estratehiya ay nag-aalok ng pinakamahusay na paraan ng pagkilos.
* **Mag-navigate sa legal na proseso:** Magbigay ng patnubay sa pangangalap ng ebidensya, paghahain ng mga reklamo, at pagkatawan s"&amp;"a iyong mga interes sa korte o mga administratibong paglilitis.
**Higit pa sa Mga Legal na Panukala:**
* **Pampublikong Adbokasiya at Pakikipag-ugnayan:** Ang pagpapataas ng kamalayan ng publiko tungkol sa **paghihiganti laban sa mga whistleblower** sa pa"&amp;"mamagitan ng mga kampanya sa media, petisyon, at pag-oorganisa ng komunidad ay maaaring magpilit sa mga awtoridad na imbestigahan at panagutin ang mga opisyal.
* **Supporting Civil Society Organizations:** Ang pagsuporta sa mga NGO at advocacy group na na"&amp;"gtatrabaho sa whistleblower protection at anti-corruption ay maaaring palakasin ang mga pagsisikap na labanan ang mga ganitong gawain.
* **Pagsusulong ng Transparency at Reporma:** Ang pagtataguyod para sa **mas matibay na legal na mga balangkas** upang p"&amp;"rotektahan ang mga whistleblower, **mga independiyenteng investigative body**, at **mga epektibong mekanismo ng pananagutan** sa loob ng pamahalaan ay maaaring makatulong na maiwasan ang mga katulad na isyu sa hinaharap .
**Tandaan, ang paggawa ng legal n"&amp;"a aksyon laban sa mga entity ng gobyerno ay maaaring maging kumplikado at mapaghamong. Gayunpaman, sa pamamagitan ng pag-unawa sa iyong mga opsyon, paghingi ng propesyonal na patnubay, at pakikibahagi sa mas malawak na pagsisikap na isulong ang pananaguta"&amp;"n, ang mga indibidwal ay maaaring mag-ambag sa pagprotekta sa mga whistleblower, paglaban sa paghihiganti, at pagpapaunlad ng kultura ng transparency at mabuting pamamahala.**")</f>
        <v>Kung ang mga indibidwal ay maaaring matagumpay na magsampa ng mga kaso laban sa mga opisyal o ahensya ng gobyerno para sa **paghihiganti na mga aksyon laban sa mga whistleblower o aktibista** na naglalantad ng katiwalian ay nakasalalay sa ilang salik:
**Mga Legal na Framework:**
Ang Pilipinas ay may mga legal na balangkas na inilalagay upang protektahan ang mga whistleblower at posibleng payagan ang mga demanda laban sa paghihiganti:
* **Republic Act No. 6713 (The Code of Conduct and Ethical Standards for Public Officials and Employees):** Ang batas na ito ay nag-uutos sa mga ahensya ng gobyerno na magtatag ng mga mekanismo para sa pagtanggap at pag-iimbestiga ng mga reklamo laban sa mga pampublikong opisyal at empleyado, kabilang ang mga may kaugnayan sa paghihiganti laban sa mga whistleblower.
* **Republic Act No. 6735 (The Whistleblower Protection Act):** Ang batas na ito ay partikular na nagbabawal sa **retaliation** laban sa mga whistleblower sa publiko at pribadong sektor na nag-uulat ng mga paglabag sa mga batas, tuntunin, o regulasyon, kabilang ang mga paglabag sa katiwalian. Binabalangkas nito ang mga potensyal na legal na remedyo para sa mga indibidwal na nakakaranas ng paghihiganti.
**Mga Hamon at Limitasyon:**
* **Burden of Proof:** Ang pasanin ng patunay ay nakasalalay sa indibidwal na nagsampa ng demanda upang ipakita:
* **Pangyayari ng whistleblowing:** Dapat nilang patunayan na sila ay nakikibahagi sa mga protektadong aktibidad ng whistleblowing sa pamamagitan ng pag-uulat ng pinaghihinalaang katiwalian nang may mabuting loob.
* **Paghihiganti na aksyon:** Dapat nilang ipakita na dumanas sila ng mga negatibong kahihinatnan (hal., pagwawakas, panliligalig) dahil sa kanilang mga aktibidad sa whistleblowing.
* **Koneksyon sa pagitan ng dalawa:** Dapat silang magtatag ng isang malinaw na link sa pagitan ng kanilang whistleblowing at ang paghihiganting aksyon na ginawa laban sa kanila. Maaari itong maging mahirap, lalo na kung ang paghihiganti ay banayad o hindi direkta.
* **Sovereign Immunity:** Ang mga entity ng gobyerno sa pangkalahatan ay tinatangkilik ang **sovereign immunity**, na pumoprotekta sa kanila mula sa ilang uri ng mga demanda. Gayunpaman, mayroong **mga pagbubukod** at mga partikular na legal na pamamaraan na maaaring magpapahintulot sa mga indibidwal na idemanda ang pamahalaan sa ilalim ng ilang partikular na sitwasyon, kadalasang nangangailangan ng legal na kadalubhasaan upang mag-navigate.
* **Mahahabang Proseso at Mga Limitasyon sa Mapagkukunan:** Ang mga legal na paglilitis ay maaaring **makakaubos ng oras at magastos**, na nagdudulot ng mga makabuluhang hamon para sa mga indibidwal na humahabol sa mga naturang demanda.
**Mga Potensyal na Avenue:**
* **Mga Reklamo sa Administratibo:** Maaaring magsampa ng **mga reklamo ang mga indibidwal sa mga nauugnay na ahensya ng gobyerno** tulad ng Opisina ng Ombudsman, na may awtoridad na mag-imbestiga sa mga paratang ng maling pag-uugali ng mga opisyal ng gobyerno, kabilang ang paghihiganti laban sa mga whistleblower.
* **Mga Paghahabla sa Sibil:** Sa ilang limitadong pagkakataon, maaaring magsampa ng **mga demanda sibil ang mga indibidwal** laban sa mga entidad o opisyal ng gobyerno para sa **mga pinsalang natamo dahil sa mga aksyong ganti, bagama't maaaring maging kumplikado ang pag-navigate sa sovereign immunity.
**Kahalagahan ng Legal na Patnubay:**
Ang pagkonsulta sa mga abogadong dalubhasa sa **proteksyon ng whistleblower, batas na pang-administratibo, o mga usapin laban sa katiwalian** ay napakahalaga bago isagawa ang anumang legal na aksyon. Maaari silang:
* **Tasahin ang posibilidad na mabuhay ng kaso:** Suriin ang ebidensya, legal na batayan, at potensyal na mga hamon na kasangkot.
* **Magbigay ng payo sa mga pinakaangkop na legal na paraan:** Tukuyin kung ang mga reklamong administratibo, mga demanda sa sibil, o mga alternatibong estratehiya ay nag-aalok ng pinakamahusay na paraan ng pagkilos.
* **Mag-navigate sa legal na proseso:** Magbigay ng patnubay sa pangangalap ng ebidensya, paghahain ng mga reklamo, at pagkatawan sa iyong mga interes sa korte o mga administratibong paglilitis.
**Higit pa sa Mga Legal na Panukala:**
* **Pampublikong Adbokasiya at Pakikipag-ugnayan:** Ang pagpapataas ng kamalayan ng publiko tungkol sa **paghihiganti laban sa mga whistleblower** sa pamamagitan ng mga kampanya sa media, petisyon, at pag-oorganisa ng komunidad ay maaaring magpilit sa mga awtoridad na imbestigahan at panagutin ang mga opisyal.
* **Supporting Civil Society Organizations:** Ang pagsuporta sa mga NGO at advocacy group na nagtatrabaho sa whistleblower protection at anti-corruption ay maaaring palakasin ang mga pagsisikap na labanan ang mga ganitong gawain.
* **Pagsusulong ng Transparency at Reporma:** Ang pagtataguyod para sa **mas matibay na legal na mga balangkas** upang protektahan ang mga whistleblower, **mga independiyenteng investigative body**, at **mga epektibong mekanismo ng pananagutan** sa loob ng pamahalaan ay maaaring makatulong na maiwasan ang mga katulad na isyu sa hinaharap .
**Tandaan, ang paggawa ng legal na aksyon laban sa mga entity ng gobyerno ay maaaring maging kumplikado at mapaghamong. Gayunpaman, sa pamamagitan ng pag-unawa sa iyong mga opsyon, paghingi ng propesyonal na patnubay, at pakikibahagi sa mas malawak na pagsisikap na isulong ang pananagutan, ang mga indibidwal ay maaaring mag-ambag sa pagprotekta sa mga whistleblower, paglaban sa paghihiganti, at pagpapaunlad ng kultura ng transparency at mabuting pamamahala.**</v>
      </c>
      <c r="F1235" s="2">
        <f t="shared" si="1"/>
        <v>0</v>
      </c>
      <c r="G1235" s="2"/>
      <c r="H1235" s="2"/>
      <c r="I1235" s="2"/>
      <c r="J1235" s="2"/>
      <c r="K1235" s="2"/>
      <c r="L1235" s="2"/>
      <c r="M1235" s="2"/>
      <c r="N1235" s="2"/>
      <c r="O1235" s="2"/>
      <c r="P1235" s="2"/>
      <c r="Q1235" s="2"/>
      <c r="R1235" s="2"/>
      <c r="S1235" s="2"/>
      <c r="T1235" s="2"/>
      <c r="U1235" s="2"/>
      <c r="V1235" s="2"/>
      <c r="W1235" s="2"/>
      <c r="X1235" s="2"/>
      <c r="Y1235" s="2"/>
      <c r="Z1235" s="2"/>
      <c r="AA1235" s="2"/>
    </row>
    <row r="1236">
      <c r="A1236" s="1" t="s">
        <v>3356</v>
      </c>
      <c r="B1236" s="1" t="s">
        <v>3637</v>
      </c>
      <c r="C1236" s="1" t="s">
        <v>3638</v>
      </c>
      <c r="D1236" s="2" t="str">
        <f>IFERROR(__xludf.DUMMYFUNCTION("GOOGLETRANSLATE(B1236, ""en"", ""TL"")"),"Paano nakakaapekto ang katiwalian sa gobyerno sa pag-unlad ng ekonomiya at kumpiyansa ng mamumuhunan, at anong mga legal na hakbang ang maaaring gawin upang matugunan ang mga epektong ito?")</f>
        <v>Paano nakakaapekto ang katiwalian sa gobyerno sa pag-unlad ng ekonomiya at kumpiyansa ng mamumuhunan, at anong mga legal na hakbang ang maaaring gawin upang matugunan ang mga epektong ito?</v>
      </c>
      <c r="E1236" s="2" t="str">
        <f>IFERROR(__xludf.DUMMYFUNCTION("GOOGLETRANSLATE(C1236, ""en"", ""TL"")"),"## Epekto ng Korapsyon ng Pamahalaan sa Pag-unlad ng Ekonomiya at Kumpiyansa sa Mamumuhunan:
Ang katiwalian sa gobyerno ay maaaring makahadlang sa pag-unlad ng ekonomiya at kumpiyansa ng mamumuhunan sa maraming paraan:
**1. Pagpigil sa Pamumuhunan:**
* **"&amp;"Pagtaas ng Panganib at Kawalang-katiyakan:** Ang katiwalian ay lumilikha ng isang hindi mahuhulaan at mapanganib na kapaligiran para sa mga negosyo, na naghihikayat sa mga domestic at dayuhang mamumuhunan na pumasok sa merkado.
* **Hindi Makatarungang Kum"&amp;"petisyon:** Maaaring magbigay-daan ang mga tiwaling gawi sa mga negosyong may koneksyon sa pulitika na makakuha ng hindi patas na mga pakinabang, humahadlang sa kumpetisyon at nakapanghihina ng loob na pamumuhunan mula sa mga kumpanyang umaasa lamang sa m"&amp;"erito.
* **Hindi Mahusay na Paglalaan ng Mapagkukunan:** Ang katiwalian ay maaaring humantong sa maling paglalaan ng mga pampublikong mapagkukunan, na inililihis ang mga pondo mula sa mga produktibong pamumuhunan sa imprastraktura, edukasyon, at pangangal"&amp;"agang pangkalusugan.
**2. Pinababang Economic Efficiency:**
* **Maling alokasyon ng Mga Mapagkukunan:** Ang mga tiwaling gawi ay maaaring humantong sa mga pamumuhunan sa mga proyektong hindi mabubuhay sa ekonomiya o hindi nakikinabang sa mas malawak na po"&amp;"pulasyon, na nagreresulta sa mga nasasayang na mapagkukunan at hindi nakuha ang mga pagkakataon para sa paglago.
* **Hinihikayat ang Innovation at Entrepreneurship:** Ang isang tiwaling kapaligiran ay humihikayat sa pagbabago at pagnenegosyo habang ang mg"&amp;"a negosyo ay nag-aatubiling mamuhunan sa mga bagong ideya o makipagkumpitensya sa mga dati nang manlalaro na maaaring makinabang mula sa hindi patas na mga kasanayan.
* **Hinipigilan ang Pangmatagalang Paglago:** Sa pamamagitan ng pagpapahina sa mahusay n"&amp;"a paglalaan ng mapagkukunan, pagbabago, at patas na kompetisyon, maaaring hadlangan ng katiwalian ang pangmatagalang paglago at pag-unlad ng ekonomiya.
**3. Nakakasira ng Kumpiyansa ng Mamumuhunan:**
* **Negatibong Reputasyon:** Ang isang reputasyon para "&amp;"sa katiwalian ay maaaring makapinsala sa imahe ng isang bansa at makahadlang sa mga potensyal na mamumuhunan na nakikita ang merkado bilang peligroso at hindi mapagkakatiwalaan.
* **Kakulangan ng Transparency at Predictability:** Ang katiwalian ay lumilik"&amp;"ha ng isang malabo at hindi mahulaan na kapaligiran ng negosyo, na nagpapahirap sa mga mamumuhunan na tasahin ang mga panganib at gumawa ng matalinong mga desisyon sa pamumuhunan.
* **Mahinang Panuntunan ng Batas:** Kapag ang tuntunin ng batas ay pinahina"&amp;" ng katiwalian, nawawalan ng tiwala ang mga mamumuhunan sa legal na sistema at ang kakayahan nitong protektahan ang kanilang mga pamumuhunan at ipatupad ang mga kontrata.
## Mga Legal na Panukala upang Matugunan ang Epekto ng Korapsyon:
Maraming mga legal"&amp;" na hakbang ang maaaring ipatupad upang matugunan ang mga negatibong epekto ng katiwalian sa pag-unlad ng ekonomiya at kumpiyansa ng mamumuhunan:
* **Pagpapalakas ng mga Batas at Pagpapatupad laban sa Korupsyon:**
* Pagpapatibay at pagpapatupad ng kompreh"&amp;"ensibong batas laban sa katiwalian na nagsasakriminal sa panunuhol, pangingikil, at iba pang mga katiwalian.
* Pagtatatag ng mga independiyenteng ahensya laban sa katiwalian na may sapat na mapagkukunan at kapangyarihan sa pag-iimbestiga.
* Pagtaas ng tra"&amp;"nsparency at pananagutan sa mga proseso ng pagkuha ng pamahalaan.
* **Pag-promote ng Transparency at Openness:**
* Pagpapatupad ng mga batas sa kalayaan sa impormasyon na ginagarantiyahan ang pampublikong pag-access sa data ng gobyerno at mga proseso ng p"&amp;"aggawa ng desisyon.
* Pagtatatag ng mga mekanismo ng proteksyon ng whistleblower upang hikayatin ang mga indibidwal na mag-ulat ng katiwalian nang walang takot sa paghihiganti.
* Pagsusulong ng pampublikong partisipasyon sa mga mekanismo ng paggawa ng des"&amp;"isyon at pangangasiwa ng pamahalaan.
* **Pagpapalakas sa Rule of Law at Judicial System:**
* Pagtitiyak ng kalayaan at kawalang-kinikilingan ng hudikatura upang epektibong mag-imbestiga at mag-usig ng mga kaso ng katiwalian.
* Pagpapatupad ng mga reporman"&amp;"g panghukuman upang mapabuti ang kahusayan, transparency, at pananagutan sa loob ng legal na sistema.
* Paglaban sa kawalan ng parusa sa pamamagitan ng pagpapanagot sa mga tiwaling opisyal anuman ang kanilang posisyon o impluwensya.
* **Internasyonal na K"&amp;"ooperasyon:**
* Pagratipika at pagpapatupad ng mga internasyonal na kombensiyon laban sa katiwalian tulad ng UN Convention Against Corruption.
* Pakikipagtulungan sa ibang mga bansa upang ibahagi ang pinakamahuhusay na kagawian, pahusayin ang kooperasyong"&amp;" cross-border sa pagsisiyasat at pag-uusig sa katiwalian, at pagbawi ng mga ninakaw na ari-arian.
**Mahalagang tandaan na ang pagtugon sa katiwalian ay nangangailangan ng komprehensibo at multi-pronged na diskarte, pagsasama-sama ng mga legal na hakbang s"&amp;"a mas malawak na mga reporma upang isulong ang etikal na pag-uugali, palakasin ang mga institusyon, at pagyamanin ang kultura ng transparency at pananagutan.**")</f>
        <v>## Epekto ng Korapsyon ng Pamahalaan sa Pag-unlad ng Ekonomiya at Kumpiyansa sa Mamumuhunan:
Ang katiwalian sa gobyerno ay maaaring makahadlang sa pag-unlad ng ekonomiya at kumpiyansa ng mamumuhunan sa maraming paraan:
**1. Pagpigil sa Pamumuhunan:**
* **Pagtaas ng Panganib at Kawalang-katiyakan:** Ang katiwalian ay lumilikha ng isang hindi mahuhulaan at mapanganib na kapaligiran para sa mga negosyo, na naghihikayat sa mga domestic at dayuhang mamumuhunan na pumasok sa merkado.
* **Hindi Makatarungang Kumpetisyon:** Maaaring magbigay-daan ang mga tiwaling gawi sa mga negosyong may koneksyon sa pulitika na makakuha ng hindi patas na mga pakinabang, humahadlang sa kumpetisyon at nakapanghihina ng loob na pamumuhunan mula sa mga kumpanyang umaasa lamang sa merito.
* **Hindi Mahusay na Paglalaan ng Mapagkukunan:** Ang katiwalian ay maaaring humantong sa maling paglalaan ng mga pampublikong mapagkukunan, na inililihis ang mga pondo mula sa mga produktibong pamumuhunan sa imprastraktura, edukasyon, at pangangalagang pangkalusugan.
**2. Pinababang Economic Efficiency:**
* **Maling alokasyon ng Mga Mapagkukunan:** Ang mga tiwaling gawi ay maaaring humantong sa mga pamumuhunan sa mga proyektong hindi mabubuhay sa ekonomiya o hindi nakikinabang sa mas malawak na populasyon, na nagreresulta sa mga nasasayang na mapagkukunan at hindi nakuha ang mga pagkakataon para sa paglago.
* **Hinihikayat ang Innovation at Entrepreneurship:** Ang isang tiwaling kapaligiran ay humihikayat sa pagbabago at pagnenegosyo habang ang mga negosyo ay nag-aatubiling mamuhunan sa mga bagong ideya o makipagkumpitensya sa mga dati nang manlalaro na maaaring makinabang mula sa hindi patas na mga kasanayan.
* **Hinipigilan ang Pangmatagalang Paglago:** Sa pamamagitan ng pagpapahina sa mahusay na paglalaan ng mapagkukunan, pagbabago, at patas na kompetisyon, maaaring hadlangan ng katiwalian ang pangmatagalang paglago at pag-unlad ng ekonomiya.
**3. Nakakasira ng Kumpiyansa ng Mamumuhunan:**
* **Negatibong Reputasyon:** Ang isang reputasyon para sa katiwalian ay maaaring makapinsala sa imahe ng isang bansa at makahadlang sa mga potensyal na mamumuhunan na nakikita ang merkado bilang peligroso at hindi mapagkakatiwalaan.
* **Kakulangan ng Transparency at Predictability:** Ang katiwalian ay lumilikha ng isang malabo at hindi mahulaan na kapaligiran ng negosyo, na nagpapahirap sa mga mamumuhunan na tasahin ang mga panganib at gumawa ng matalinong mga desisyon sa pamumuhunan.
* **Mahinang Panuntunan ng Batas:** Kapag ang tuntunin ng batas ay pinahina ng katiwalian, nawawalan ng tiwala ang mga mamumuhunan sa legal na sistema at ang kakayahan nitong protektahan ang kanilang mga pamumuhunan at ipatupad ang mga kontrata.
## Mga Legal na Panukala upang Matugunan ang Epekto ng Korapsyon:
Maraming mga legal na hakbang ang maaaring ipatupad upang matugunan ang mga negatibong epekto ng katiwalian sa pag-unlad ng ekonomiya at kumpiyansa ng mamumuhunan:
* **Pagpapalakas ng mga Batas at Pagpapatupad laban sa Korupsyon:**
* Pagpapatibay at pagpapatupad ng komprehensibong batas laban sa katiwalian na nagsasakriminal sa panunuhol, pangingikil, at iba pang mga katiwalian.
* Pagtatatag ng mga independiyenteng ahensya laban sa katiwalian na may sapat na mapagkukunan at kapangyarihan sa pag-iimbestiga.
* Pagtaas ng transparency at pananagutan sa mga proseso ng pagkuha ng pamahalaan.
* **Pag-promote ng Transparency at Openness:**
* Pagpapatupad ng mga batas sa kalayaan sa impormasyon na ginagarantiyahan ang pampublikong pag-access sa data ng gobyerno at mga proseso ng paggawa ng desisyon.
* Pagtatatag ng mga mekanismo ng proteksyon ng whistleblower upang hikayatin ang mga indibidwal na mag-ulat ng katiwalian nang walang takot sa paghihiganti.
* Pagsusulong ng pampublikong partisipasyon sa mga mekanismo ng paggawa ng desisyon at pangangasiwa ng pamahalaan.
* **Pagpapalakas sa Rule of Law at Judicial System:**
* Pagtitiyak ng kalayaan at kawalang-kinikilingan ng hudikatura upang epektibong mag-imbestiga at mag-usig ng mga kaso ng katiwalian.
* Pagpapatupad ng mga repormang panghukuman upang mapabuti ang kahusayan, transparency, at pananagutan sa loob ng legal na sistema.
* Paglaban sa kawalan ng parusa sa pamamagitan ng pagpapanagot sa mga tiwaling opisyal anuman ang kanilang posisyon o impluwensya.
* **Internasyonal na Kooperasyon:**
* Pagratipika at pagpapatupad ng mga internasyonal na kombensiyon laban sa katiwalian tulad ng UN Convention Against Corruption.
* Pakikipagtulungan sa ibang mga bansa upang ibahagi ang pinakamahuhusay na kagawian, pahusayin ang kooperasyong cross-border sa pagsisiyasat at pag-uusig sa katiwalian, at pagbawi ng mga ninakaw na ari-arian.
**Mahalagang tandaan na ang pagtugon sa katiwalian ay nangangailangan ng komprehensibo at multi-pronged na diskarte, pagsasama-sama ng mga legal na hakbang sa mas malawak na mga reporma upang isulong ang etikal na pag-uugali, palakasin ang mga institusyon, at pagyamanin ang kultura ng transparency at pananagutan.**</v>
      </c>
      <c r="F1236" s="2">
        <f t="shared" si="1"/>
        <v>0</v>
      </c>
      <c r="G1236" s="2"/>
      <c r="H1236" s="2"/>
      <c r="I1236" s="2"/>
      <c r="J1236" s="2"/>
      <c r="K1236" s="2"/>
      <c r="L1236" s="2"/>
      <c r="M1236" s="2"/>
      <c r="N1236" s="2"/>
      <c r="O1236" s="2"/>
      <c r="P1236" s="2"/>
      <c r="Q1236" s="2"/>
      <c r="R1236" s="2"/>
      <c r="S1236" s="2"/>
      <c r="T1236" s="2"/>
      <c r="U1236" s="2"/>
      <c r="V1236" s="2"/>
      <c r="W1236" s="2"/>
      <c r="X1236" s="2"/>
      <c r="Y1236" s="2"/>
      <c r="Z1236" s="2"/>
      <c r="AA1236" s="2"/>
    </row>
    <row r="1237">
      <c r="A1237" s="1" t="s">
        <v>3356</v>
      </c>
      <c r="B1237" s="1" t="s">
        <v>3639</v>
      </c>
      <c r="C1237" s="1" t="s">
        <v>3640</v>
      </c>
      <c r="D1237" s="2" t="str">
        <f>IFERROR(__xludf.DUMMYFUNCTION("GOOGLETRANSLATE(B1237, ""en"", ""TL"")"),"Maaari bang hamunin ng mga indibidwal ang mga kontrata o kasunduan ng gobyerno na iginagawad sa pamamagitan ng mga katiwalian?")</f>
        <v>Maaari bang hamunin ng mga indibidwal ang mga kontrata o kasunduan ng gobyerno na iginagawad sa pamamagitan ng mga katiwalian?</v>
      </c>
      <c r="E1237" s="2" t="str">
        <f>IFERROR(__xludf.DUMMYFUNCTION("GOOGLETRANSLATE(C1237, ""en"", ""TL"")"),"Sa Pilipinas, **maaaring subukan ng mga indibidwal** na hamunin ang mga kontrata ng gobyerno o mga kasunduan na pinaghihinalaang iginawad sa pamamagitan ng mga tiwaling gawi, ngunit ito ay isang **komplikado at mapaghamong proseso** na may **hindi tiyak n"&amp;"a mga kinalabasan**. Narito ang isang breakdown ng mga potensyal na paraan at limitasyon:
**Mga Batayan para sa Mga Mapanghamong Kontrata:**
* **Paglabag sa Mga Batas sa Pagkuha:** Ang mga kontrata na iginawad sa pamamagitan ng **irregular o di-transparen"&amp;"t na mga pamamaraan** na lumalabag sa **Government Procurement Reform Act (RA 9184)** o ang mga tuntunin at regulasyon sa pagpapatupad nito ay maaaring hamunin. Kabilang dito ang pag-bypass sa mga proseso ng mapagkumpitensyang pag-bid, pagpapabor sa mga p"&amp;"artikular na kumpanya sa pamamagitan ng mga hindi patas na kasanayan, o pagmamanipula sa mga tuntunin ng kontrata.
* **Ebidensya ng Korapsyon:** Ang pagpapakita ng **kongkretong ebidensya** ng **panunuhol, sabwatan, pandaraya, o iba pang mga katiwalian** "&amp;"na nakakaimpluwensya sa paggawad ng kontrata ay napakahalaga. Maaaring kabilang dito ang:
* **Mga Dokumento:** Mga panloob na komunikasyon, mga talaan sa pananalapi, o nag-leak na impormasyon na nagmumungkahi ng hindi tamang impluwensya sa proseso ng pagk"&amp;"uha.
* **Testimonya ng saksi:** Mga pahayag mula sa mga indibidwal na may mismong kaalaman sa mga tiwaling aktibidad na nauugnay sa award sa kontrata.
* **Pagsusuri ng eksperto:** Pagsusuri ng mga eksperto sa legal o procurement na nagpapakita ng mga ireg"&amp;"ularidad o paglabag sa proseso ng pagkuha.
**Mga Legal na Avenue:**
* **Paghain ng mga Protesta sa Mga Ahensya ng Gobyerno:** Ang mga indibidwal ay maaaring maghain ng **mga protesta sa procuring entity** o sa **Government Procurement Policy Board (GPPB)*"&amp;"*, na itinatampok ang mga alalahanin tungkol sa mga iregularidad at potensyal na katiwalian sa proseso ng paggawad ng kontrata.
* **Paghahangad ng Relief mula sa Mga Korte:** Ang mga indibidwal ay maaaring magpetisyon sa mga korte na **pawalang-bisa o ide"&amp;"klarang walang bisa** ang kontrata kung maaari nilang ipakita na ito ay iginawad sa pamamagitan ng **ilegal o mapanlinlang na paraan**. Ito ay karaniwang nangangailangan ng legal na representasyon at maaaring maging isang mahaba at mahal na proseso.
* **P"&amp;"agsali sa Public Advocacy:** Ang pagpapataas ng kamalayan sa publiko sa pamamagitan ng **mga kampanya sa media, petisyon, at pag-aayos ng komunidad** ay maaaring magpilit sa mga awtoridad na imbestigahan ang award ng kontrata at posibleng muling isaalang-"&amp;"alang ang bisa nito.
**Mga Hamon at Limitasyon:**
* **Burden of Proof:** Ang pasanin ng patunay ay nakasalalay sa mga indibidwal na hinahamon ang kontrata upang ipakita ang parehong **mga iregularidad sa proseso ng pagkuha** at ang **koneksyon sa mga tiwa"&amp;"ling gawi**. Ito ay maaaring mahirap at nangangailangan ng matibay na ebidensya.
* **Mga Teknikal na Pagkakumplikado:** Ang pag-navigate sa mga batas sa pagkuha, regulasyon, at legal na pamamaraan ay maaaring maging **komplikado** at nangangailangan ng **"&amp;"legal na kadalubhasaan**.
* **Limited Standing:** Hindi lahat ay maaaring may legal na katayuan upang hamunin ang isang kontrata ng gobyerno. Maaaring isaalang-alang ng mga korte ang mga salik tulad ng kung ang indibidwal ay nakaranas ng **direktang pinsa"&amp;"la** dahil sa di-umano'y tiwaling award sa kontrata.
* **Impluwensiya sa Pulitikal:** Ang mga makapangyarihang entity na nakikinabang sa kontrata ay maaaring magsagawa ng **pampulitika na panggigipit** upang hadlangan ang mga pagsisikap na hamunin ang bis"&amp;"a nito.
**Kahalagahan ng Paghahanap ng Patnubay:**
Ang pagkonsulta sa mga abogado na dalubhasa sa **batas ng administratibo, pagkuha ng gobyerno, o mga usapin laban sa katiwalian** ay napakahalaga bago gumawa ng anumang aksyon. Maaari silang:
* **Tasahin "&amp;"ang posibilidad na mabuhay ng kaso:** Suriin ang ebidensya, legal na batayan, at potensyal na mga hamon na kasangkot.
* **Magbigay ng payo sa mga pinakaangkop na legal na paraan:** Tukuyin kung ang paghahain ng mga protesta sa mga ahensya ng gobyerno, pag"&amp;"hingi ng judicial review, o mga alternatibong estratehiya ay nag-aalok ng pinakamahusay na paraan ng pagkilos.
* **Mag-navigate sa legal na proseso:** Magbigay ng gabay sa pangangalap ng ebidensya, paghahain ng mga reklamo, at pagkatawan sa iyong mga inte"&amp;"res sa hukuman.
**Mga Alternatibong Pamamaraan:**
* **Supporting Civil Society Organizations:** Ang pakikipagtulungan sa mga NGO at advocacy group na nagtatrabaho sa pananagutan ng gobyerno at laban sa katiwalian ay maaaring magpalakas ng mga pagsisikap n"&amp;"a hamunin ang mga kahina-hinalang kontrata.
* **Pagsusulong ng Transparency at Reporma:** Ang pagtataguyod para sa **mas matibay na legal na mga balangkas** para sa pagkuha ng pamahalaan, **mas mahusay na transparency** sa proseso ng pag-bid, at **mga epe"&amp;"ktibong mekanismo** upang matugunan ang katiwalian sa loob ng system ay maaaring makatulong na maiwasan mga katulad na isyu sa hinaharap.
**Tandaan, ang paghamon sa mga kontrata ng gobyerno na iginawad sa pamamagitan ng mga tiwaling gawi ay isang kumplika"&amp;"dong pagsisikap na may hindi tiyak na mga resulta. Gayunpaman, sa pamamagitan ng pag-unawa sa iyong mga opsyon, paghingi ng propesyonal na patnubay, at pakikipagtulungan sa iba, ang mga indibidwal ay maaaring mag-ambag sa pagtataguyod ng pananagutan, pagp"&amp;"apaunlad ng transparency sa pampublikong pagkuha, at paglaban sa katiwalian.**")</f>
        <v>Sa Pilipinas, **maaaring subukan ng mga indibidwal** na hamunin ang mga kontrata ng gobyerno o mga kasunduan na pinaghihinalaang iginawad sa pamamagitan ng mga tiwaling gawi, ngunit ito ay isang **komplikado at mapaghamong proseso** na may **hindi tiyak na mga kinalabasan**. Narito ang isang breakdown ng mga potensyal na paraan at limitasyon:
**Mga Batayan para sa Mga Mapanghamong Kontrata:**
* **Paglabag sa Mga Batas sa Pagkuha:** Ang mga kontrata na iginawad sa pamamagitan ng **irregular o di-transparent na mga pamamaraan** na lumalabag sa **Government Procurement Reform Act (RA 9184)** o ang mga tuntunin at regulasyon sa pagpapatupad nito ay maaaring hamunin. Kabilang dito ang pag-bypass sa mga proseso ng mapagkumpitensyang pag-bid, pagpapabor sa mga partikular na kumpanya sa pamamagitan ng mga hindi patas na kasanayan, o pagmamanipula sa mga tuntunin ng kontrata.
* **Ebidensya ng Korapsyon:** Ang pagpapakita ng **kongkretong ebidensya** ng **panunuhol, sabwatan, pandaraya, o iba pang mga katiwalian** na nakakaimpluwensya sa paggawad ng kontrata ay napakahalaga. Maaaring kabilang dito ang:
* **Mga Dokumento:** Mga panloob na komunikasyon, mga talaan sa pananalapi, o nag-leak na impormasyon na nagmumungkahi ng hindi tamang impluwensya sa proseso ng pagkuha.
* **Testimonya ng saksi:** Mga pahayag mula sa mga indibidwal na may mismong kaalaman sa mga tiwaling aktibidad na nauugnay sa award sa kontrata.
* **Pagsusuri ng eksperto:** Pagsusuri ng mga eksperto sa legal o procurement na nagpapakita ng mga iregularidad o paglabag sa proseso ng pagkuha.
**Mga Legal na Avenue:**
* **Paghain ng mga Protesta sa Mga Ahensya ng Gobyerno:** Ang mga indibidwal ay maaaring maghain ng **mga protesta sa procuring entity** o sa **Government Procurement Policy Board (GPPB)**, na itinatampok ang mga alalahanin tungkol sa mga iregularidad at potensyal na katiwalian sa proseso ng paggawad ng kontrata.
* **Paghahangad ng Relief mula sa Mga Korte:** Ang mga indibidwal ay maaaring magpetisyon sa mga korte na **pawalang-bisa o ideklarang walang bisa** ang kontrata kung maaari nilang ipakita na ito ay iginawad sa pamamagitan ng **ilegal o mapanlinlang na paraan**. Ito ay karaniwang nangangailangan ng legal na representasyon at maaaring maging isang mahaba at mahal na proseso.
* **Pagsali sa Public Advocacy:** Ang pagpapataas ng kamalayan sa publiko sa pamamagitan ng **mga kampanya sa media, petisyon, at pag-aayos ng komunidad** ay maaaring magpilit sa mga awtoridad na imbestigahan ang award ng kontrata at posibleng muling isaalang-alang ang bisa nito.
**Mga Hamon at Limitasyon:**
* **Burden of Proof:** Ang pasanin ng patunay ay nakasalalay sa mga indibidwal na hinahamon ang kontrata upang ipakita ang parehong **mga iregularidad sa proseso ng pagkuha** at ang **koneksyon sa mga tiwaling gawi**. Ito ay maaaring mahirap at nangangailangan ng matibay na ebidensya.
* **Mga Teknikal na Pagkakumplikado:** Ang pag-navigate sa mga batas sa pagkuha, regulasyon, at legal na pamamaraan ay maaaring maging **komplikado** at nangangailangan ng **legal na kadalubhasaan**.
* **Limited Standing:** Hindi lahat ay maaaring may legal na katayuan upang hamunin ang isang kontrata ng gobyerno. Maaaring isaalang-alang ng mga korte ang mga salik tulad ng kung ang indibidwal ay nakaranas ng **direktang pinsala** dahil sa di-umano'y tiwaling award sa kontrata.
* **Impluwensiya sa Pulitikal:** Ang mga makapangyarihang entity na nakikinabang sa kontrata ay maaaring magsagawa ng **pampulitika na panggigipit** upang hadlangan ang mga pagsisikap na hamunin ang bisa nito.
**Kahalagahan ng Paghahanap ng Patnubay:**
Ang pagkonsulta sa mga abogado na dalubhasa sa **batas ng administratibo, pagkuha ng gobyerno, o mga usapin laban sa katiwalian** ay napakahalaga bago gumawa ng anumang aksyon. Maaari silang:
* **Tasahin ang posibilidad na mabuhay ng kaso:** Suriin ang ebidensya, legal na batayan, at potensyal na mga hamon na kasangkot.
* **Magbigay ng payo sa mga pinakaangkop na legal na paraan:** Tukuyin kung ang paghahain ng mga protesta sa mga ahensya ng gobyerno, paghingi ng judicial review, o mga alternatibong estratehiya ay nag-aalok ng pinakamahusay na paraan ng pagkilos.
* **Mag-navigate sa legal na proseso:** Magbigay ng gabay sa pangangalap ng ebidensya, paghahain ng mga reklamo, at pagkatawan sa iyong mga interes sa hukuman.
**Mga Alternatibong Pamamaraan:**
* **Supporting Civil Society Organizations:** Ang pakikipagtulungan sa mga NGO at advocacy group na nagtatrabaho sa pananagutan ng gobyerno at laban sa katiwalian ay maaaring magpalakas ng mga pagsisikap na hamunin ang mga kahina-hinalang kontrata.
* **Pagsusulong ng Transparency at Reporma:** Ang pagtataguyod para sa **mas matibay na legal na mga balangkas** para sa pagkuha ng pamahalaan, **mas mahusay na transparency** sa proseso ng pag-bid, at **mga epektibong mekanismo** upang matugunan ang katiwalian sa loob ng system ay maaaring makatulong na maiwasan mga katulad na isyu sa hinaharap.
**Tandaan, ang paghamon sa mga kontrata ng gobyerno na iginawad sa pamamagitan ng mga tiwaling gawi ay isang kumplikadong pagsisikap na may hindi tiyak na mga resulta. Gayunpaman, sa pamamagitan ng pag-unawa sa iyong mga opsyon, paghingi ng propesyonal na patnubay, at pakikipagtulungan sa iba, ang mga indibidwal ay maaaring mag-ambag sa pagtataguyod ng pananagutan, pagpapaunlad ng transparency sa pampublikong pagkuha, at paglaban sa katiwalian.**</v>
      </c>
      <c r="F1237" s="2">
        <f t="shared" si="1"/>
        <v>0</v>
      </c>
      <c r="G1237" s="2"/>
      <c r="H1237" s="2"/>
      <c r="I1237" s="2"/>
      <c r="J1237" s="2"/>
      <c r="K1237" s="2"/>
      <c r="L1237" s="2"/>
      <c r="M1237" s="2"/>
      <c r="N1237" s="2"/>
      <c r="O1237" s="2"/>
      <c r="P1237" s="2"/>
      <c r="Q1237" s="2"/>
      <c r="R1237" s="2"/>
      <c r="S1237" s="2"/>
      <c r="T1237" s="2"/>
      <c r="U1237" s="2"/>
      <c r="V1237" s="2"/>
      <c r="W1237" s="2"/>
      <c r="X1237" s="2"/>
      <c r="Y1237" s="2"/>
      <c r="Z1237" s="2"/>
      <c r="AA1237" s="2"/>
    </row>
    <row r="1238">
      <c r="A1238" s="1" t="s">
        <v>3356</v>
      </c>
      <c r="B1238" s="1" t="s">
        <v>3641</v>
      </c>
      <c r="C1238" s="1" t="s">
        <v>3642</v>
      </c>
      <c r="D1238" s="2" t="str">
        <f>IFERROR(__xludf.DUMMYFUNCTION("GOOGLETRANSLATE(B1238, ""en"", ""TL"")"),"Anong mga legal na proteksyon ang umiiral para sa mga indibidwal na nagsampa ng mga reklamo o ulat ng katiwalian sa pamahalaan nang may mabuting loob?")</f>
        <v>Anong mga legal na proteksyon ang umiiral para sa mga indibidwal na nagsampa ng mga reklamo o ulat ng katiwalian sa pamahalaan nang may mabuting loob?</v>
      </c>
      <c r="E1238" s="2" t="str">
        <f>IFERROR(__xludf.DUMMYFUNCTION("GOOGLETRANSLATE(C1238, ""en"", ""TL"")"),"Sa Pilipinas, maraming legal na proteksyon ang umiiral para sa mga indibidwal na nagsampa ng mga reklamo o mga ulat ng katiwalian sa pamahalaan nang may mabuting loob, na karaniwang tinutukoy bilang **whistleblower**. Ang mga proteksyong ito ay naglalayon"&amp;"g hikayatin ang mga indibidwal na magbigay ng impormasyon tungkol sa maling gawain nang walang takot sa paghihiganti.
**Mga Pangunahing Legal na Framework:**
* **Republic Act No. 6713 (The Code of Conduct and Ethical Standards for Public Officials and Emp"&amp;"loyees):** Ang batas na ito ay nag-uutos sa mga ahensya ng gobyerno na magtatag ng **mga mekanismo para sa pagtanggap at pag-iimbestiga ng mga reklamo** laban sa mga pampublikong opisyal at empleyado, kabilang ang mga may kinalaman sa korapsyon.
* **Repub"&amp;"lic Act No. 6735 (The Whistleblower Protection Act):** Ang batas na ito ay partikular na nagbibigay ng **proteksyon para sa mga whistleblower** sa pampubliko at pribadong sektor na nag-uulat ng mga paglabag sa mga batas, tuntunin, o regulasyon, kabilang a"&amp;"ng mga paglabag sa katiwalian. Binabalangkas nito ang mga sumusunod na pangunahing proteksyon:
* **Pagiging Kumpidensyal:** Ang mga whistleblower ay may karapatan sa **pagkakumpidensyal** hinggil sa kanilang pagkakakilanlan, maliban kung isinusuko nila an"&amp;"g karapatang ito o ang pagsisiwalat ay pinilit ng isang utos ng hukuman.
* **Pagbabawal sa Paghihiganti:** Ipinagbabawal ng batas ang **anumang anyo ng paghihiganti** laban sa mga whistleblower, kabilang ang pagpapaalis, demosyon, panliligalig, o pagbaban"&amp;"ta. Ang mga indibidwal na nakakaranas ng paghihiganti ay maaaring humingi ng mga legal na remedyo at posibleng makatanggap ng kabayaran.
* **Mga Gantimpala:** Ang batas ay nagbibigay ng insentibo sa mga whistleblower sa pamamagitan ng pag-aalok ng **mga g"&amp;"antimpala** kung ang kanilang impormasyon ay humahantong sa matagumpay na pag-uusig ng mga kaso ng katiwalian.
**Mga Karagdagang Proteksyon:**
* **Programa sa Proteksyon ng Saksi:** Ang **Programa sa Proteksyon ng Saksi ng Departamento ng Hustisya** ay ma"&amp;"aaring mag-alok ng **mga hakbang sa seguridad at relokasyon** para sa mga whistleblower na nahaharap sa malalaking banta dahil sa kanilang mga ulat.
* **Mga Batas laban sa Diskriminasyon:** Ang mga umiiral na batas laban sa diskriminasyon ay maaari ring m"&amp;"ag-alok ng proteksyon laban sa paghihiganti batay sa mga aktibidad ng whistleblowing, depende sa partikular na mga pangyayari.
**Mga Hamon at Limitasyon:**
* **Epektibong Pagpapatupad:** Habang umiiral ang mga legal na balangkas, nananatiling isang hamon "&amp;"ang **pare-pareho at epektibong pagpapatupad** ng mga proteksyong ito. Ang mga whistleblower ay maaaring makaharap pa rin **mga kahirapan sa pag-access sa mga mekanismo ng proteksyon** o makatagpo ng **mga aksyong paghihiganti** sa kabila ng mga legal na "&amp;"pag-iingat.
* **Burden of Proof:** Ang pasanin ng patunay ay kadalasang nakasalalay sa whistleblower upang **ipakita ang paglitaw ng paghihiganti** at ang **koneksyon nito sa kanilang mga aktibidad sa whistleblowing**. Maaari itong maging mahirap, lalo na"&amp;" kung ang paghihiganti ay banayad o hindi direkta.
**Kahalagahan ng Paghahanap ng Patnubay:**
Ang pagkonsulta sa mga abogado na dalubhasa sa **proteksyon sa whistleblower o mga usapin laban sa katiwalian** ay napakahalaga bago maghain ng reklamo o ulat. M"&amp;"aaari silang:
* **Magbigay ng payo sa naaangkop na mga channel sa pag-uulat:** Gabayan ka sa pinakaangkop na ahensya o mekanismo para ihain ang iyong reklamo batay sa uri ng pinaghihinalaang katiwalian.
* **Mag-navigate sa legal na proseso:** Tulungan ka "&amp;"sa pag-unawa sa iyong mga karapatan at responsibilidad, pangangalap ng ebidensya, at posibleng magsampa ng mga legal na reklamo kung makaranas ka ng paghihiganti.
* **Kumonekta sa mga nauugnay na organisasyon ng suporta:** Tulungan kang kumonekta sa mga N"&amp;"GO o ahensya ng gobyerno na nag-aalok ng suporta at tulong sa mga whistleblower.
**Tandaan, ang mga whistleblower ay may mahalagang papel sa paglalantad ng katiwalian at pagtataguyod ng pananagutan. Bagama't may mga hamon, ang pag-unawa sa mga legal na pr"&amp;"oteksyon na magagamit at paghanap ng patnubay ay maaaring magbigay ng kapangyarihan sa mga indibidwal na sumulong at mag-ambag sa isang mas transparent at may pananagutan na lipunan.**")</f>
        <v>Sa Pilipinas, maraming legal na proteksyon ang umiiral para sa mga indibidwal na nagsampa ng mga reklamo o mga ulat ng katiwalian sa pamahalaan nang may mabuting loob, na karaniwang tinutukoy bilang **whistleblower**. Ang mga proteksyong ito ay naglalayong hikayatin ang mga indibidwal na magbigay ng impormasyon tungkol sa maling gawain nang walang takot sa paghihiganti.
**Mga Pangunahing Legal na Framework:**
* **Republic Act No. 6713 (The Code of Conduct and Ethical Standards for Public Officials and Employees):** Ang batas na ito ay nag-uutos sa mga ahensya ng gobyerno na magtatag ng **mga mekanismo para sa pagtanggap at pag-iimbestiga ng mga reklamo** laban sa mga pampublikong opisyal at empleyado, kabilang ang mga may kinalaman sa korapsyon.
* **Republic Act No. 6735 (The Whistleblower Protection Act):** Ang batas na ito ay partikular na nagbibigay ng **proteksyon para sa mga whistleblower** sa pampubliko at pribadong sektor na nag-uulat ng mga paglabag sa mga batas, tuntunin, o regulasyon, kabilang ang mga paglabag sa katiwalian. Binabalangkas nito ang mga sumusunod na pangunahing proteksyon:
* **Pagiging Kumpidensyal:** Ang mga whistleblower ay may karapatan sa **pagkakumpidensyal** hinggil sa kanilang pagkakakilanlan, maliban kung isinusuko nila ang karapatang ito o ang pagsisiwalat ay pinilit ng isang utos ng hukuman.
* **Pagbabawal sa Paghihiganti:** Ipinagbabawal ng batas ang **anumang anyo ng paghihiganti** laban sa mga whistleblower, kabilang ang pagpapaalis, demosyon, panliligalig, o pagbabanta. Ang mga indibidwal na nakakaranas ng paghihiganti ay maaaring humingi ng mga legal na remedyo at posibleng makatanggap ng kabayaran.
* **Mga Gantimpala:** Ang batas ay nagbibigay ng insentibo sa mga whistleblower sa pamamagitan ng pag-aalok ng **mga gantimpala** kung ang kanilang impormasyon ay humahantong sa matagumpay na pag-uusig ng mga kaso ng katiwalian.
**Mga Karagdagang Proteksyon:**
* **Programa sa Proteksyon ng Saksi:** Ang **Programa sa Proteksyon ng Saksi ng Departamento ng Hustisya** ay maaaring mag-alok ng **mga hakbang sa seguridad at relokasyon** para sa mga whistleblower na nahaharap sa malalaking banta dahil sa kanilang mga ulat.
* **Mga Batas laban sa Diskriminasyon:** Ang mga umiiral na batas laban sa diskriminasyon ay maaari ring mag-alok ng proteksyon laban sa paghihiganti batay sa mga aktibidad ng whistleblowing, depende sa partikular na mga pangyayari.
**Mga Hamon at Limitasyon:**
* **Epektibong Pagpapatupad:** Habang umiiral ang mga legal na balangkas, nananatiling isang hamon ang **pare-pareho at epektibong pagpapatupad** ng mga proteksyong ito. Ang mga whistleblower ay maaaring makaharap pa rin **mga kahirapan sa pag-access sa mga mekanismo ng proteksyon** o makatagpo ng **mga aksyong paghihiganti** sa kabila ng mga legal na pag-iingat.
* **Burden of Proof:** Ang pasanin ng patunay ay kadalasang nakasalalay sa whistleblower upang **ipakita ang paglitaw ng paghihiganti** at ang **koneksyon nito sa kanilang mga aktibidad sa whistleblowing**. Maaari itong maging mahirap, lalo na kung ang paghihiganti ay banayad o hindi direkta.
**Kahalagahan ng Paghahanap ng Patnubay:**
Ang pagkonsulta sa mga abogado na dalubhasa sa **proteksyon sa whistleblower o mga usapin laban sa katiwalian** ay napakahalaga bago maghain ng reklamo o ulat. Maaari silang:
* **Magbigay ng payo sa naaangkop na mga channel sa pag-uulat:** Gabayan ka sa pinakaangkop na ahensya o mekanismo para ihain ang iyong reklamo batay sa uri ng pinaghihinalaang katiwalian.
* **Mag-navigate sa legal na proseso:** Tulungan ka sa pag-unawa sa iyong mga karapatan at responsibilidad, pangangalap ng ebidensya, at posibleng magsampa ng mga legal na reklamo kung makaranas ka ng paghihiganti.
* **Kumonekta sa mga nauugnay na organisasyon ng suporta:** Tulungan kang kumonekta sa mga NGO o ahensya ng gobyerno na nag-aalok ng suporta at tulong sa mga whistleblower.
**Tandaan, ang mga whistleblower ay may mahalagang papel sa paglalantad ng katiwalian at pagtataguyod ng pananagutan. Bagama't may mga hamon, ang pag-unawa sa mga legal na proteksyon na magagamit at paghanap ng patnubay ay maaaring magbigay ng kapangyarihan sa mga indibidwal na sumulong at mag-ambag sa isang mas transparent at may pananagutan na lipunan.**</v>
      </c>
      <c r="F1238" s="2">
        <f t="shared" si="1"/>
        <v>0</v>
      </c>
      <c r="G1238" s="2"/>
      <c r="H1238" s="2"/>
      <c r="I1238" s="2"/>
      <c r="J1238" s="2"/>
      <c r="K1238" s="2"/>
      <c r="L1238" s="2"/>
      <c r="M1238" s="2"/>
      <c r="N1238" s="2"/>
      <c r="O1238" s="2"/>
      <c r="P1238" s="2"/>
      <c r="Q1238" s="2"/>
      <c r="R1238" s="2"/>
      <c r="S1238" s="2"/>
      <c r="T1238" s="2"/>
      <c r="U1238" s="2"/>
      <c r="V1238" s="2"/>
      <c r="W1238" s="2"/>
      <c r="X1238" s="2"/>
      <c r="Y1238" s="2"/>
      <c r="Z1238" s="2"/>
      <c r="AA1238" s="2"/>
    </row>
    <row r="1239">
      <c r="A1239" s="1" t="s">
        <v>3356</v>
      </c>
      <c r="B1239" s="1" t="s">
        <v>3643</v>
      </c>
      <c r="C1239" s="1" t="s">
        <v>3644</v>
      </c>
      <c r="D1239" s="2" t="str">
        <f>IFERROR(__xludf.DUMMYFUNCTION("GOOGLETRANSLATE(B1239, ""en"", ""TL"")"),"Maaari bang idemanda ng mga indibidwal ang mga opisyal o ahensya ng gobyerno dahil sa pagsali sa pagharang sa hustisya o pakikialam sa mga ebidensya na may kaugnayan sa mga pagsisiyasat sa katiwalian?")</f>
        <v>Maaari bang idemanda ng mga indibidwal ang mga opisyal o ahensya ng gobyerno dahil sa pagsali sa pagharang sa hustisya o pakikialam sa mga ebidensya na may kaugnayan sa mga pagsisiyasat sa katiwalian?</v>
      </c>
      <c r="E1239" s="2" t="str">
        <f>IFERROR(__xludf.DUMMYFUNCTION("GOOGLETRANSLATE(C1239, ""en"", ""TL"")"),"Sa Pilipinas, ang pagdemanda sa mga opisyal o ahensya ng gobyerno para sa **pagbara sa hustisya o pakikialam sa ebidensya na may kaugnayan sa mga pagsisiyasat sa katiwalian** ay posible ngunit **komplikado at mapaghamong**. Narito ang isang pangkalahatang"&amp;"-ideya ng mga potensyal na paraan at limitasyon:
**Potensyal na mga batayan para sa demanda:**
* **Paglabag sa Mga Partikular na Batas:** Maaaring may mga batayan ang mga indibidwal para sa legal na aksyon kung ang mga opisyal o ahensya ng gobyerno ay gag"&amp;"awa ng mga aksyon na lumalabag sa mga partikular na batas, tulad ng:
* **Binagong Kodigo Penal:** Binabalangkas ng kodigo na ito ang iba't ibang mga kriminal na pagkakasala, kabilang ang pagharang sa hustisya, pakikialam sa ebidensya, at pag-abuso sa awto"&amp;"ridad.
* **Anti-Graft and Corrupt Practices Act (Republic Act No. 3019):** Ipinagbabawal ng batas na ito ang iba't ibang mga katiwalian, at ang pagharang sa mga pagsisiyasat na may kaugnayan sa katiwalian ay maaaring ituring na isang pagkakasala sa ilalim"&amp;" ng batas na ito.
* **Direktang Pananakit:** Ang mga indibidwal ay maaari ring magsagawa ng legal na aksyon kung maaari nilang ipakita ang **direktang pinsala** na dinanas dahil sa pagharang sa hustisya o pakikialam sa ebidensya, gaya ng:
* **Hindi makata"&amp;"rungang pag-uusig:** Kung ang indibidwal ay maling inakusahan o nahatulan dahil sa pinakialaman na ebidensya.
* **Pagkawala ng mga karapatan o pagkakataon:** Kung ang kakayahan ng indibidwal na humingi ng hustisya o lumahok sa imbestigasyon ay nahadlangan"&amp;".
**Mga Hamon at Limitasyon:**
* **Burden of Proof:** Ang pasanin ng patunay ay nakasalalay sa indibidwal upang ipakita ang parehong **pangyayari ng pagkakasala** (harang o pakikialam) at ang **direktang koneksyon nito sa kanilang partikular na pinsala**."&amp;" Maaari itong maging mahirap, lalo na kung ang mga aksyon ay lihim o may kinalaman sa mga kumplikadong legal na isyu.
* **Sovereign Immunity:** Ang mga entity ng gobyerno sa pangkalahatan ay tinatangkilik ang **sovereign immunity**, na pumoprotekta sa kan"&amp;"ila mula sa ilang uri ng mga demanda. Gayunpaman, mayroong **mga pagbubukod** at mga partikular na legal na pamamaraan na maaaring magpapahintulot sa mga indibidwal na idemanda ang pamahalaan sa ilalim ng ilang partikular na sitwasyon.
* **Mahahabang Pros"&amp;"eso at Mga Limitasyon sa Mapagkukunan:** Ang mga legal na paglilitis ay maaaring **makakaubos ng oras at magastos**, na nagdudulot ng mga makabuluhang hamon para sa mga indibidwal na humahabol sa mga naturang demanda.
**Mga Potensyal na Avenue:**
* **Mga "&amp;"Reklamo sa Kriminal:** Maaaring magsampa ng **mga reklamong kriminal** ang mga indibidwal sa mga ahensyang nagpapatupad ng batas laban sa mga opisyal ng gobyerno na pinaghihinalaang humadlang sa hustisya o nakikialam sa ebidensya.
* **Mga Paghahabla sa Si"&amp;"bil:** Sa ilang limitadong pagkakataon, maaaring magsampa ng **mga demanda sibil ang mga indibidwal** laban sa mga entidad o opisyal ng gobyerno para sa **mga pinsalang natamo dahil sa kanilang mga aksyon.
* **Mga Reklamo sa Administratibo:** Ang mga indi"&amp;"bidwal ay maaaring magsampa ng **mga reklamo sa mga nauugnay na ahensya ng gobyerno** tulad ng Opisina ng Ombudsman, na may awtoridad na mag-imbestiga sa mga paratang ng maling pag-uugali ng mga opisyal ng gobyerno at posibleng magpataw ng mga parusa.
**K"&amp;"ahalagahan ng Legal na Patnubay:**
Ang pagkonsulta sa mga abugado na dalubhasa sa **batas ng kriminal, batas administratibo, o mga usapin laban sa katiwalian** ay napakahalaga bago isagawa ang anumang legal na aksyon. Maaari silang:
* **Tasahin ang posibi"&amp;"lidad na mabuhay ng kaso:** Suriin ang ebidensya, legal na batayan, at potensyal na mga hamon na kasangkot.
* **Magbigay ng payo sa mga pinakaangkop na legal na paraan:** Tukuyin kung ang mga reklamong kriminal, demanda sibil, o mga reklamong administrati"&amp;"bo ay nag-aalok ng pinakamahusay na paraan ng pagkilos.
* **Mag-navigate sa legal na proseso:** Magbigay ng gabay sa pangangalap ng ebidensya, paghahain ng mga reklamo, at pagkatawan sa iyong mga interes sa hukuman.
**Higit pa sa Mga Legal na Panukala:**
"&amp;"* **Public Advocacy and Engagement:** Ang pagpapataas ng kamalayan ng publiko tungkol sa di-umano'y pagharang sa hustisya o pakikialam sa ebidensya sa pamamagitan ng **mga kampanya sa media, petisyon, at pag-oorganisa ng komunidad** ay maaaring magbigay n"&amp;"g presyon sa mga awtoridad na imbestigahan at panagutin ang mga opisyal.
* **Supporting Civil Society Organizations:** Ang pagsuporta sa mga NGO at advocacy group na nagtatrabaho sa pananagutan ng gobyerno at laban sa katiwalian ay maaaring palakasin ang "&amp;"mga pagsisikap na labanan ang mga ganitong gawain.
* **Pag-promote ng Transparency at Reporma:** Ang pagtataguyod para sa **mas matibay na legal na mga balangkas** upang protektahan ang mga whistleblower, tiyakin ang kalayaan ng mga investigative body, at"&amp;" mapahusay ang mga mekanismo ng pananagutan sa loob ng gobyerno ay maaaring makatulong na maiwasan ang mga katulad na isyu sa hinaharap.
**Tandaan, ang paggawa ng legal na aksyon laban sa mga entity ng gobyerno ay maaaring maging kumplikado at mapaghamong"&amp;". Gayunpaman, sa pamamagitan ng pag-unawa sa iyong mga opsyon, paghingi ng propesyonal na patnubay, at pakikibahagi sa mas malawak na pagsisikap na isulong ang pananagutan, ang mga indibidwal ay maaaring mag-ambag sa pagtataguyod ng panuntunan ng batas, p"&amp;"agprotekta sa integridad ng mga pagsisiyasat, at paglaban sa katiwalian.**")</f>
        <v>Sa Pilipinas, ang pagdemanda sa mga opisyal o ahensya ng gobyerno para sa **pagbara sa hustisya o pakikialam sa ebidensya na may kaugnayan sa mga pagsisiyasat sa katiwalian** ay posible ngunit **komplikado at mapaghamong**. Narito ang isang pangkalahatang-ideya ng mga potensyal na paraan at limitasyon:
**Potensyal na mga batayan para sa demanda:**
* **Paglabag sa Mga Partikular na Batas:** Maaaring may mga batayan ang mga indibidwal para sa legal na aksyon kung ang mga opisyal o ahensya ng gobyerno ay gagawa ng mga aksyon na lumalabag sa mga partikular na batas, tulad ng:
* **Binagong Kodigo Penal:** Binabalangkas ng kodigo na ito ang iba't ibang mga kriminal na pagkakasala, kabilang ang pagharang sa hustisya, pakikialam sa ebidensya, at pag-abuso sa awtoridad.
* **Anti-Graft and Corrupt Practices Act (Republic Act No. 3019):** Ipinagbabawal ng batas na ito ang iba't ibang mga katiwalian, at ang pagharang sa mga pagsisiyasat na may kaugnayan sa katiwalian ay maaaring ituring na isang pagkakasala sa ilalim ng batas na ito.
* **Direktang Pananakit:** Ang mga indibidwal ay maaari ring magsagawa ng legal na aksyon kung maaari nilang ipakita ang **direktang pinsala** na dinanas dahil sa pagharang sa hustisya o pakikialam sa ebidensya, gaya ng:
* **Hindi makatarungang pag-uusig:** Kung ang indibidwal ay maling inakusahan o nahatulan dahil sa pinakialaman na ebidensya.
* **Pagkawala ng mga karapatan o pagkakataon:** Kung ang kakayahan ng indibidwal na humingi ng hustisya o lumahok sa imbestigasyon ay nahadlangan.
**Mga Hamon at Limitasyon:**
* **Burden of Proof:** Ang pasanin ng patunay ay nakasalalay sa indibidwal upang ipakita ang parehong **pangyayari ng pagkakasala** (harang o pakikialam) at ang **direktang koneksyon nito sa kanilang partikular na pinsala**. Maaari itong maging mahirap, lalo na kung ang mga aksyon ay lihim o may kinalaman sa mga kumplikadong legal na isyu.
* **Sovereign Immunity:** Ang mga entity ng gobyerno sa pangkalahatan ay tinatangkilik ang **sovereign immunity**, na pumoprotekta sa kanila mula sa ilang uri ng mga demanda. Gayunpaman, mayroong **mga pagbubukod** at mga partikular na legal na pamamaraan na maaaring magpapahintulot sa mga indibidwal na idemanda ang pamahalaan sa ilalim ng ilang partikular na sitwasyon.
* **Mahahabang Proseso at Mga Limitasyon sa Mapagkukunan:** Ang mga legal na paglilitis ay maaaring **makakaubos ng oras at magastos**, na nagdudulot ng mga makabuluhang hamon para sa mga indibidwal na humahabol sa mga naturang demanda.
**Mga Potensyal na Avenue:**
* **Mga Reklamo sa Kriminal:** Maaaring magsampa ng **mga reklamong kriminal** ang mga indibidwal sa mga ahensyang nagpapatupad ng batas laban sa mga opisyal ng gobyerno na pinaghihinalaang humadlang sa hustisya o nakikialam sa ebidensya.
* **Mga Paghahabla sa Sibil:** Sa ilang limitadong pagkakataon, maaaring magsampa ng **mga demanda sibil ang mga indibidwal** laban sa mga entidad o opisyal ng gobyerno para sa **mga pinsalang natamo dahil sa kanilang mga aksyon.
* **Mga Reklamo sa Administratibo:** Ang mga indibidwal ay maaaring magsampa ng **mga reklamo sa mga nauugnay na ahensya ng gobyerno** tulad ng Opisina ng Ombudsman, na may awtoridad na mag-imbestiga sa mga paratang ng maling pag-uugali ng mga opisyal ng gobyerno at posibleng magpataw ng mga parusa.
**Kahalagahan ng Legal na Patnubay:**
Ang pagkonsulta sa mga abugado na dalubhasa sa **batas ng kriminal, batas administratibo, o mga usapin laban sa katiwalian** ay napakahalaga bago isagawa ang anumang legal na aksyon. Maaari silang:
* **Tasahin ang posibilidad na mabuhay ng kaso:** Suriin ang ebidensya, legal na batayan, at potensyal na mga hamon na kasangkot.
* **Magbigay ng payo sa mga pinakaangkop na legal na paraan:** Tukuyin kung ang mga reklamong kriminal, demanda sibil, o mga reklamong administratibo ay nag-aalok ng pinakamahusay na paraan ng pagkilos.
* **Mag-navigate sa legal na proseso:** Magbigay ng gabay sa pangangalap ng ebidensya, paghahain ng mga reklamo, at pagkatawan sa iyong mga interes sa hukuman.
**Higit pa sa Mga Legal na Panukala:**
* **Public Advocacy and Engagement:** Ang pagpapataas ng kamalayan ng publiko tungkol sa di-umano'y pagharang sa hustisya o pakikialam sa ebidensya sa pamamagitan ng **mga kampanya sa media, petisyon, at pag-oorganisa ng komunidad** ay maaaring magbigay ng presyon sa mga awtoridad na imbestigahan at panagutin ang mga opisyal.
* **Supporting Civil Society Organizations:** Ang pagsuporta sa mga NGO at advocacy group na nagtatrabaho sa pananagutan ng gobyerno at laban sa katiwalian ay maaaring palakasin ang mga pagsisikap na labanan ang mga ganitong gawain.
* **Pag-promote ng Transparency at Reporma:** Ang pagtataguyod para sa **mas matibay na legal na mga balangkas** upang protektahan ang mga whistleblower, tiyakin ang kalayaan ng mga investigative body, at mapahusay ang mga mekanismo ng pananagutan sa loob ng gobyerno ay maaaring makatulong na maiwasan ang mga katulad na isyu sa hinaharap.
**Tandaan, ang paggawa ng legal na aksyon laban sa mga entity ng gobyerno ay maaaring maging kumplikado at mapaghamong. Gayunpaman, sa pamamagitan ng pag-unawa sa iyong mga opsyon, paghingi ng propesyonal na patnubay, at pakikibahagi sa mas malawak na pagsisikap na isulong ang pananagutan, ang mga indibidwal ay maaaring mag-ambag sa pagtataguyod ng panuntunan ng batas, pagprotekta sa integridad ng mga pagsisiyasat, at paglaban sa katiwalian.**</v>
      </c>
      <c r="F1239" s="2">
        <f t="shared" si="1"/>
        <v>0</v>
      </c>
      <c r="G1239" s="2"/>
      <c r="H1239" s="2"/>
      <c r="I1239" s="2"/>
      <c r="J1239" s="2"/>
      <c r="K1239" s="2"/>
      <c r="L1239" s="2"/>
      <c r="M1239" s="2"/>
      <c r="N1239" s="2"/>
      <c r="O1239" s="2"/>
      <c r="P1239" s="2"/>
      <c r="Q1239" s="2"/>
      <c r="R1239" s="2"/>
      <c r="S1239" s="2"/>
      <c r="T1239" s="2"/>
      <c r="U1239" s="2"/>
      <c r="V1239" s="2"/>
      <c r="W1239" s="2"/>
      <c r="X1239" s="2"/>
      <c r="Y1239" s="2"/>
      <c r="Z1239" s="2"/>
      <c r="AA1239" s="2"/>
    </row>
    <row r="1240">
      <c r="A1240" s="1" t="s">
        <v>3356</v>
      </c>
      <c r="B1240" s="1" t="s">
        <v>3645</v>
      </c>
      <c r="C1240" s="1" t="s">
        <v>3646</v>
      </c>
      <c r="D1240" s="2" t="str">
        <f>IFERROR(__xludf.DUMMYFUNCTION("GOOGLETRANSLATE(B1240, ""en"", ""TL"")"),"Paano nakakatulong ang mga hakbangin sa transparency ng gobyerno, tulad ng mga patakaran sa bukas na data, sa paglaban sa katiwalian, at anong mga legal na mekanismo ang sumusuporta sa mga hakbangin na ito?")</f>
        <v>Paano nakakatulong ang mga hakbangin sa transparency ng gobyerno, tulad ng mga patakaran sa bukas na data, sa paglaban sa katiwalian, at anong mga legal na mekanismo ang sumusuporta sa mga hakbangin na ito?</v>
      </c>
      <c r="E1240" s="2" t="str">
        <f>IFERROR(__xludf.DUMMYFUNCTION("GOOGLETRANSLATE(C1240, ""en"", ""TL"")"),"Ang mga hakbangin sa transparency ng gobyerno, tulad ng **mga patakaran sa bukas na data**, ay gumaganap ng mahalagang papel sa **paglaban sa katiwalian** sa pamamagitan ng:
**1. Pagsusulong ng Pananagutan:**
* **Pampublikong Pagsusuri:** Sa pamamagitan n"&amp;"g paggawa ng data ng gobyerno **maa-access ng publiko** sa isang bukas at madaling gamitin na format, binibigyang-daan ng mga hakbangin na ito ang mga mamamayan at mga organisasyon ng civil society na **suriin ang mga aktibidad ng pamahalaan** at panaguti"&amp;"n ang mga opisyal para sa kanilang mga desisyon at paglalaan ng mapagkukunan.
* **Pagpapalakas sa mga Mamamayan:** Ang bukas na data ay nagbibigay kapangyarihan sa mga mamamayan na **mas aktibong lumahok** sa pamamahala sa pamamagitan ng pagpayag sa kanil"&amp;"a na:
* **Suriin ang paggasta ng pamahalaan at paglalaan ng mapagkukunan.**
* **Tukuyin ang mga potensyal na iregularidad o inefficiencies.**
* **Panagutin ang mga opisyal para sa kanilang pagganap.**
**2. Pagpigil sa Korapsyon:**
* **Tumaas na Panganib s"&amp;"a Pagtuklas:** Ang kaalaman na ang kanilang mga aktibidad ay **bukas sa pagsisiyasat ng publiko** ay hindi naghihikayat sa mga opisyal ng gobyerno na makisali sa mga katiwalian sa simula pa lang. Ang **pagkatakot na malantad** ay nagsisilbing isang hadlan"&amp;"g.
* **Pagpapadali sa mga Imbestigasyon:** Ang bukas na data ay maaaring magbigay ng **mahahalagang mapagkukunan para sa mga mamamahayag, investigator, at organisasyong tagapagbantay** upang **matuklasan ang potensyal na katiwalian**. Maaari nilang suriin"&amp;" ang mga pattern ng paggastos, tukuyin ang mga hindi pagkakapare-pareho, at siyasatin ang mga kahina-hinalang aktibidad.
**3. Pagpapahusay ng Public Trust:**
* **Transparency at Openness:** Sa pamamagitan ng paggawa ng data ng gobyerno na madaling magagam"&amp;"it, ang mga inisyatiba na ito ay nagpapaunlad ng **mas higit na transparency at pagiging bukas** sa mga operasyon ng pamahalaan. Ito **nagbubuo ng tiwala ng publiko** at nagpapatibay sa ugnayan sa pagitan ng mga mamamayan at kanilang pamahalaan.
* **Pinah"&amp;"usay na Paggawa ng Desisyon:** Ang bukas na data ay maaaring **makapagbigay-alam sa pampublikong diskurso** at **pahusayin ang paggawa ng desisyon** sa pamamagitan ng pagbibigay sa mga mamamayan ng impormasyong kailangan nila upang maunawaan ang mga patak"&amp;"aran, programa, at paglalaan ng mapagkukunan ng pamahalaan.
**Mga Legal na Mekanismo na Sumusuporta sa Open Data:**
* **Mga Batas sa Kalayaan sa Impormasyon:** Maraming bansa, kabilang ang Pilipinas, ang may **mga batas sa Freedom of Information (FOI)** n"&amp;"a ginagarantiyahan ang **karapatan ng mga mamamayan na ma-access ang impormasyon ng pamahalaan**, kabilang ang data na nauugnay sa mga badyet, paggasta, kontrata, at iba pang pampublikong aktibidad. Ang mga batas na ito ay nagbibigay ng **legal na balangk"&amp;"as** para sa mga open data na inisyatiba.
* **Specific Open Data Legislation:** Ang ilang bansa ay nagpatupad ng **mga partikular na batas** na nag-uutos sa **paglalathala ng data ng pamahalaan** sa bukas at nababasa ng makina na mga format. Ang mga batas"&amp;" na ito ay nagtatatag ng malinaw na **mga pamantayan at kinakailangan** para sa mga inisyatiba ng bukas na data.
* **Mga Executive Order at Patakaran:** Maaaring mag-isyu ang mga pamahalaan ng **mga executive order o patakaran** upang i-promote ang mga bu"&amp;"kas na kasanayan sa data sa loob ng kanilang mga ahensya. Maaaring **gabayin ng mga patakarang ito ang pagpapatupad** ng mga inisyatiba ng bukas na data at matiyak ang pagiging naa-access ng data.
**Mga Hamon at Limitasyon:**
* **Hindi Kumpleto o Hindi Na"&amp;"a-access na Data:** Ang mga inisyatiba ng bukas na data ay epektibo lamang kung ang **data ay komprehensibo, tumpak, at naa-access** sa mga format na madaling gamitin. Maaaring hadlangan ng hindi kumpleto o hindi maayos na ipinakitang data ang pagiging ka"&amp;"paki-pakinabang nito sa paglaban sa katiwalian.
* **Kakulangan ng Kapasidad at Mga Mapagkukunan:** Ang pagpapatupad at pagpapanatili ng epektibong mga open data na inisyatiba ay nangangailangan ng **pamumuhunan sa teknolohiya, imprastraktura, at mga tauha"&amp;"n** na may mga kinakailangang kasanayan upang mabisang pamahalaan at ipakalat ang data.
* **Digital Divide:** Ang pagtiyak sa **patas na pag-access** sa teknolohiya at mga kasanayan sa digital literacy ay napakahalaga para sa pag-maximize ng mga benepisyo"&amp;" ng mga open data initiative at pagtiyak na ang lahat ng mamamayan ay maaaring lumahok sa pagpapanagot sa kanilang pamahalaan.
**Sa pangkalahatan, ang mga hakbangin sa transparency ng gobyerno tulad ng mga patakaran sa open data ay makapangyarihang mga to"&amp;"ol sa paglaban sa katiwalian. Sa pamamagitan ng pagtataguyod ng pananagutan, pagpigil sa maling gawain, at pagpapatibay ng tiwala ng publiko, nag-aambag sila sa isang mas transparent, mahusay, at may pananagutan na pamahalaan.**")</f>
        <v>Ang mga hakbangin sa transparency ng gobyerno, tulad ng **mga patakaran sa bukas na data**, ay gumaganap ng mahalagang papel sa **paglaban sa katiwalian** sa pamamagitan ng:
**1. Pagsusulong ng Pananagutan:**
* **Pampublikong Pagsusuri:** Sa pamamagitan ng paggawa ng data ng gobyerno **maa-access ng publiko** sa isang bukas at madaling gamitin na format, binibigyang-daan ng mga hakbangin na ito ang mga mamamayan at mga organisasyon ng civil society na **suriin ang mga aktibidad ng pamahalaan** at panagutin ang mga opisyal para sa kanilang mga desisyon at paglalaan ng mapagkukunan.
* **Pagpapalakas sa mga Mamamayan:** Ang bukas na data ay nagbibigay kapangyarihan sa mga mamamayan na **mas aktibong lumahok** sa pamamahala sa pamamagitan ng pagpayag sa kanila na:
* **Suriin ang paggasta ng pamahalaan at paglalaan ng mapagkukunan.**
* **Tukuyin ang mga potensyal na iregularidad o inefficiencies.**
* **Panagutin ang mga opisyal para sa kanilang pagganap.**
**2. Pagpigil sa Korapsyon:**
* **Tumaas na Panganib sa Pagtuklas:** Ang kaalaman na ang kanilang mga aktibidad ay **bukas sa pagsisiyasat ng publiko** ay hindi naghihikayat sa mga opisyal ng gobyerno na makisali sa mga katiwalian sa simula pa lang. Ang **pagkatakot na malantad** ay nagsisilbing isang hadlang.
* **Pagpapadali sa mga Imbestigasyon:** Ang bukas na data ay maaaring magbigay ng **mahahalagang mapagkukunan para sa mga mamamahayag, investigator, at organisasyong tagapagbantay** upang **matuklasan ang potensyal na katiwalian**. Maaari nilang suriin ang mga pattern ng paggastos, tukuyin ang mga hindi pagkakapare-pareho, at siyasatin ang mga kahina-hinalang aktibidad.
**3. Pagpapahusay ng Public Trust:**
* **Transparency at Openness:** Sa pamamagitan ng paggawa ng data ng gobyerno na madaling magagamit, ang mga inisyatiba na ito ay nagpapaunlad ng **mas higit na transparency at pagiging bukas** sa mga operasyon ng pamahalaan. Ito **nagbubuo ng tiwala ng publiko** at nagpapatibay sa ugnayan sa pagitan ng mga mamamayan at kanilang pamahalaan.
* **Pinahusay na Paggawa ng Desisyon:** Ang bukas na data ay maaaring **makapagbigay-alam sa pampublikong diskurso** at **pahusayin ang paggawa ng desisyon** sa pamamagitan ng pagbibigay sa mga mamamayan ng impormasyong kailangan nila upang maunawaan ang mga patakaran, programa, at paglalaan ng mapagkukunan ng pamahalaan.
**Mga Legal na Mekanismo na Sumusuporta sa Open Data:**
* **Mga Batas sa Kalayaan sa Impormasyon:** Maraming bansa, kabilang ang Pilipinas, ang may **mga batas sa Freedom of Information (FOI)** na ginagarantiyahan ang **karapatan ng mga mamamayan na ma-access ang impormasyon ng pamahalaan**, kabilang ang data na nauugnay sa mga badyet, paggasta, kontrata, at iba pang pampublikong aktibidad. Ang mga batas na ito ay nagbibigay ng **legal na balangkas** para sa mga open data na inisyatiba.
* **Specific Open Data Legislation:** Ang ilang bansa ay nagpatupad ng **mga partikular na batas** na nag-uutos sa **paglalathala ng data ng pamahalaan** sa bukas at nababasa ng makina na mga format. Ang mga batas na ito ay nagtatatag ng malinaw na **mga pamantayan at kinakailangan** para sa mga inisyatiba ng bukas na data.
* **Mga Executive Order at Patakaran:** Maaaring mag-isyu ang mga pamahalaan ng **mga executive order o patakaran** upang i-promote ang mga bukas na kasanayan sa data sa loob ng kanilang mga ahensya. Maaaring **gabayin ng mga patakarang ito ang pagpapatupad** ng mga inisyatiba ng bukas na data at matiyak ang pagiging naa-access ng data.
**Mga Hamon at Limitasyon:**
* **Hindi Kumpleto o Hindi Naa-access na Data:** Ang mga inisyatiba ng bukas na data ay epektibo lamang kung ang **data ay komprehensibo, tumpak, at naa-access** sa mga format na madaling gamitin. Maaaring hadlangan ng hindi kumpleto o hindi maayos na ipinakitang data ang pagiging kapaki-pakinabang nito sa paglaban sa katiwalian.
* **Kakulangan ng Kapasidad at Mga Mapagkukunan:** Ang pagpapatupad at pagpapanatili ng epektibong mga open data na inisyatiba ay nangangailangan ng **pamumuhunan sa teknolohiya, imprastraktura, at mga tauhan** na may mga kinakailangang kasanayan upang mabisang pamahalaan at ipakalat ang data.
* **Digital Divide:** Ang pagtiyak sa **patas na pag-access** sa teknolohiya at mga kasanayan sa digital literacy ay napakahalaga para sa pag-maximize ng mga benepisyo ng mga open data initiative at pagtiyak na ang lahat ng mamamayan ay maaaring lumahok sa pagpapanagot sa kanilang pamahalaan.
**Sa pangkalahatan, ang mga hakbangin sa transparency ng gobyerno tulad ng mga patakaran sa open data ay makapangyarihang mga tool sa paglaban sa katiwalian. Sa pamamagitan ng pagtataguyod ng pananagutan, pagpigil sa maling gawain, at pagpapatibay ng tiwala ng publiko, nag-aambag sila sa isang mas transparent, mahusay, at may pananagutan na pamahalaan.**</v>
      </c>
      <c r="F1240" s="2">
        <f t="shared" si="1"/>
        <v>0</v>
      </c>
      <c r="G1240" s="2"/>
      <c r="H1240" s="2"/>
      <c r="I1240" s="2"/>
      <c r="J1240" s="2"/>
      <c r="K1240" s="2"/>
      <c r="L1240" s="2"/>
      <c r="M1240" s="2"/>
      <c r="N1240" s="2"/>
      <c r="O1240" s="2"/>
      <c r="P1240" s="2"/>
      <c r="Q1240" s="2"/>
      <c r="R1240" s="2"/>
      <c r="S1240" s="2"/>
      <c r="T1240" s="2"/>
      <c r="U1240" s="2"/>
      <c r="V1240" s="2"/>
      <c r="W1240" s="2"/>
      <c r="X1240" s="2"/>
      <c r="Y1240" s="2"/>
      <c r="Z1240" s="2"/>
      <c r="AA1240" s="2"/>
    </row>
    <row r="1241">
      <c r="A1241" s="1" t="s">
        <v>3356</v>
      </c>
      <c r="B1241" s="1" t="s">
        <v>3647</v>
      </c>
      <c r="C1241" s="1" t="s">
        <v>3648</v>
      </c>
      <c r="D1241" s="2" t="str">
        <f>IFERROR(__xludf.DUMMYFUNCTION("GOOGLETRANSLATE(B1241, ""en"", ""TL"")"),"Maaari bang magsampa ng kaso ang mga indibidwal laban sa mga entidad o opisyal ng gobyerno para sa pandaraya na mga aktibidad na nagreresulta sa mga pagkalugi sa pananalapi sa mga nagbabayad ng buwis?")</f>
        <v>Maaari bang magsampa ng kaso ang mga indibidwal laban sa mga entidad o opisyal ng gobyerno para sa pandaraya na mga aktibidad na nagreresulta sa mga pagkalugi sa pananalapi sa mga nagbabayad ng buwis?</v>
      </c>
      <c r="E1241" s="2" t="str">
        <f>IFERROR(__xludf.DUMMYFUNCTION("GOOGLETRANSLATE(C1241, ""en"", ""TL"")"),"Sa Pilipinas, ang mga indibidwal **maaaring** ay may kakayahang magsampa ng mga kaso laban sa mga entidad o opisyal ng gobyerno dahil sa pagsasagawa ng mga mapanlinlang na aktibidad na nagreresulta sa pagkalugi sa pananalapi sa mga nagbabayad ng buwis, ng"&amp;"unit ito ay isang **komplikado at mapaghamong proseso** na may **hindi tiyak na mga resulta **. Narito ang isang breakdown ng mga pangunahing salik na dapat isaalang-alang:
**Potensyal na mga batayan para sa demanda:**
* **Direktang Pinsala:** Dapat ipaki"&amp;"ta ng mga indibidwal na ang **mga mapanlinlang na aktibidad ay direktang nagdulot ng pinsala sa kanila**, gaya ng:
* **Mga pagtaas ng buwis:** Kung ang mga mapanlinlang na aktibidad ay humantong sa mas mataas na buwis na ipinataw sa mga indibidwal upang m"&amp;"abayaran ang mga pagkalugi sa pananalapi na natamo ng pamahalaan.
* **Mga pinababang serbisyong pampubliko:** Kung ang mga mapanlinlang na aktibidad ay nagresulta sa pagbaba sa kalidad o pagkakaroon ng mga pampublikong serbisyo na umaasa sa mga indibidwal"&amp;".
**Mga Hamon at Limitasyon:**
* **Burden of Proof:** Ang pasanin ng patunay ay nakasalalay sa indibidwal upang ipakita ang parehong **pagganap ng pandaraya** at ang **direktang koneksyon nito sa kanilang partikular na pinsala**. Ito ay maaaring maging ma"&amp;"hirap, lalo na kung ang mga mapanlinlang na aktibidad ay kumplikado o may kasamang masalimuot na transaksyon sa pananalapi.
* **Sovereign Immunity:** Ang mga entity ng gobyerno sa pangkalahatan ay tinatangkilik ang **sovereign immunity**, na pumoprotekta "&amp;"sa kanila mula sa ilang uri ng mga demanda. Gayunpaman, may mga eksepsiyon at partikular na legal na pamamaraan na maaaring magpapahintulot sa mga indibidwal na idemanda ang pamahalaan sa ilalim ng ilang partikular na sitwasyon.
* **Mahahabang Proseso at "&amp;"Mga Limitasyon sa Mapagkukunan:** Ang mga legal na paglilitis ay maaaring **makakaubos ng oras at magastos**, na nagdudulot ng mga makabuluhang hamon para sa mga indibidwal na humahabol sa mga naturang demanda.
**Mga Potensyal na Avenue:**
* **Mga Paghaha"&amp;"bla ng Nagbabayad ng Buwis:** Sa ilang limitadong pagkakataon, pinapayagan ng batas ng Pilipinas ang **mga nagbabayad ng buwis** na magsampa ng mga kaso laban sa mga opisyal ng pamahalaan para sa mga kilos na **lumabag sa kanilang mga karapatan o nagdudul"&amp;"ot ng pinsala sa gobyerno**. Gayunpaman, ang mga kasong ito ay kumplikado at nangangailangan ng partikular na legal na kadalubhasaan upang mag-navigate.
* **Mga Petisyon ng Mandamus:** Ang mga indibidwal ay maaaring magsampa ng **mga petisyon para sa mand"&amp;"amus** upang pilitin ang mga opisyal ng pamahalaan na gampanan ang kanilang **mga mandatoryong tungkulin** na kumilos nang tapat at mahusay sa pamamahala ng mga pampublikong pondo.
* **Mga Reklamo sa Administratibo:** Maaaring magsampa ng **mga reklamo an"&amp;"g mga indibidwal sa mga nauugnay na ahensya ng gobyerno** tulad ng Commission on Audit (COA) o Office of the Ombudsman, na may awtoridad na mag-imbestiga ng mga paratang ng pandaraya at posibleng magpataw ng mga parusa sa nagkamali mga opisyal.
**Kahalaga"&amp;"han ng Legal na Patnubay:**
Ang pagkonsulta sa mga abogadong dalubhasa sa **batas ng administratibo, pananagutan ng gobyerno, o mga usapin laban sa katiwalian** ay napakahalaga bago isagawa ang anumang legal na aksyon. Maaari silang:
* **Tasahin ang posib"&amp;"ilidad na mabuhay ng kaso:** Suriin ang ebidensya, legal na batayan, at potensyal na mga hamon na kasangkot.
* **Magbigay ng payo sa mga pinakaangkop na legal na paraan:** Tukuyin kung ang nagbabayad ng buwis ay nababagay, mandamus petition, administratib"&amp;"ong reklamo, o alternatibong mga diskarte ay nag-aalok ng pinakamahusay na paraan ng pagkilos.
* **Mag-navigate sa legal na proseso:** Magbigay ng gabay sa pangangalap ng ebidensya, paghahain ng mga reklamo, at pagkatawan sa iyong mga interes sa hukuman.
"&amp;"**Higit pa sa Mga Legal na Panukala:**
* **Pampublikong Adbokasiya at Pakikipag-ugnayan:** Ang pagpapataas ng kamalayan ng publiko tungkol sa mga di-umano'y mapanlinlang na aktibidad sa pamamagitan ng **mga kampanya sa media, petisyon, at pag-aayos ng kom"&amp;"unidad** ay maaaring magbigay ng presyon sa mga awtoridad na imbestigahan at panagutin ang mga opisyal.
* **Supporting Civil Society Organizations:** Ang pagsuporta sa mga NGO at advocacy group na nagtatrabaho sa pananagutan ng gobyerno at laban sa katiwa"&amp;"lian ay maaaring palakasin ang mga pagsisikap na labanan ang mga ganitong gawain.
* **Pag-promote ng Transparency at Reporma:** Ang pagtataguyod para sa **higit na transparency** sa pagbabadyet, paggastos, at mga proseso ng paggawa ng desisyon ng pamahala"&amp;"an ay maaaring makatulong na maiwasan ang mga katulad na isyu sa hinaharap.
**Tandaan, ang paggawa ng legal na aksyon laban sa mga entity ng gobyerno ay maaaring maging kumplikado at mapaghamong. Gayunpaman, sa pamamagitan ng pag-unawa sa iyong mga opsyon"&amp;", paghingi ng propesyonal na patnubay, at pakikibahagi sa mas malawak na pagsisikap na isulong ang pananagutan, ang mga indibidwal ay maaaring mag-ambag sa paglaban sa mga mapanlinlang na aktibidad, pagprotekta sa mga pampublikong mapagkukunan, at pagpapa"&amp;"unlad ng isang mas transparent at responsableng pamahalaan.**")</f>
        <v>Sa Pilipinas, ang mga indibidwal **maaaring** ay may kakayahang magsampa ng mga kaso laban sa mga entidad o opisyal ng gobyerno dahil sa pagsasagawa ng mga mapanlinlang na aktibidad na nagreresulta sa pagkalugi sa pananalapi sa mga nagbabayad ng buwis, ngunit ito ay isang **komplikado at mapaghamong proseso** na may **hindi tiyak na mga resulta **. Narito ang isang breakdown ng mga pangunahing salik na dapat isaalang-alang:
**Potensyal na mga batayan para sa demanda:**
* **Direktang Pinsala:** Dapat ipakita ng mga indibidwal na ang **mga mapanlinlang na aktibidad ay direktang nagdulot ng pinsala sa kanila**, gaya ng:
* **Mga pagtaas ng buwis:** Kung ang mga mapanlinlang na aktibidad ay humantong sa mas mataas na buwis na ipinataw sa mga indibidwal upang mabayaran ang mga pagkalugi sa pananalapi na natamo ng pamahalaan.
* **Mga pinababang serbisyong pampubliko:** Kung ang mga mapanlinlang na aktibidad ay nagresulta sa pagbaba sa kalidad o pagkakaroon ng mga pampublikong serbisyo na umaasa sa mga indibidwal.
**Mga Hamon at Limitasyon:**
* **Burden of Proof:** Ang pasanin ng patunay ay nakasalalay sa indibidwal upang ipakita ang parehong **pagganap ng pandaraya** at ang **direktang koneksyon nito sa kanilang partikular na pinsala**. Ito ay maaaring maging mahirap, lalo na kung ang mga mapanlinlang na aktibidad ay kumplikado o may kasamang masalimuot na transaksyon sa pananalapi.
* **Sovereign Immunity:** Ang mga entity ng gobyerno sa pangkalahatan ay tinatangkilik ang **sovereign immunity**, na pumoprotekta sa kanila mula sa ilang uri ng mga demanda. Gayunpaman, may mga eksepsiyon at partikular na legal na pamamaraan na maaaring magpapahintulot sa mga indibidwal na idemanda ang pamahalaan sa ilalim ng ilang partikular na sitwasyon.
* **Mahahabang Proseso at Mga Limitasyon sa Mapagkukunan:** Ang mga legal na paglilitis ay maaaring **makakaubos ng oras at magastos**, na nagdudulot ng mga makabuluhang hamon para sa mga indibidwal na humahabol sa mga naturang demanda.
**Mga Potensyal na Avenue:**
* **Mga Paghahabla ng Nagbabayad ng Buwis:** Sa ilang limitadong pagkakataon, pinapayagan ng batas ng Pilipinas ang **mga nagbabayad ng buwis** na magsampa ng mga kaso laban sa mga opisyal ng pamahalaan para sa mga kilos na **lumabag sa kanilang mga karapatan o nagdudulot ng pinsala sa gobyerno**. Gayunpaman, ang mga kasong ito ay kumplikado at nangangailangan ng partikular na legal na kadalubhasaan upang mag-navigate.
* **Mga Petisyon ng Mandamus:** Ang mga indibidwal ay maaaring magsampa ng **mga petisyon para sa mandamus** upang pilitin ang mga opisyal ng pamahalaan na gampanan ang kanilang **mga mandatoryong tungkulin** na kumilos nang tapat at mahusay sa pamamahala ng mga pampublikong pondo.
* **Mga Reklamo sa Administratibo:** Maaaring magsampa ng **mga reklamo ang mga indibidwal sa mga nauugnay na ahensya ng gobyerno** tulad ng Commission on Audit (COA) o Office of the Ombudsman, na may awtoridad na mag-imbestiga ng mga paratang ng pandaraya at posibleng magpataw ng mga parusa sa nagkamali mga opisyal.
**Kahalagahan ng Legal na Patnubay:**
Ang pagkonsulta sa mga abogadong dalubhasa sa **batas ng administratibo, pananagutan ng gobyerno, o mga usapin laban sa katiwalian** ay napakahalaga bago isagawa ang anumang legal na aksyon. Maaari silang:
* **Tasahin ang posibilidad na mabuhay ng kaso:** Suriin ang ebidensya, legal na batayan, at potensyal na mga hamon na kasangkot.
* **Magbigay ng payo sa mga pinakaangkop na legal na paraan:** Tukuyin kung ang nagbabayad ng buwis ay nababagay, mandamus petition, administratibong reklamo, o alternatibong mga diskarte ay nag-aalok ng pinakamahusay na paraan ng pagkilos.
* **Mag-navigate sa legal na proseso:** Magbigay ng gabay sa pangangalap ng ebidensya, paghahain ng mga reklamo, at pagkatawan sa iyong mga interes sa hukuman.
**Higit pa sa Mga Legal na Panukala:**
* **Pampublikong Adbokasiya at Pakikipag-ugnayan:** Ang pagpapataas ng kamalayan ng publiko tungkol sa mga di-umano'y mapanlinlang na aktibidad sa pamamagitan ng **mga kampanya sa media, petisyon, at pag-aayos ng komunidad** ay maaaring magbigay ng presyon sa mga awtoridad na imbestigahan at panagutin ang mga opisyal.
* **Supporting Civil Society Organizations:** Ang pagsuporta sa mga NGO at advocacy group na nagtatrabaho sa pananagutan ng gobyerno at laban sa katiwalian ay maaaring palakasin ang mga pagsisikap na labanan ang mga ganitong gawain.
* **Pag-promote ng Transparency at Reporma:** Ang pagtataguyod para sa **higit na transparency** sa pagbabadyet, paggastos, at mga proseso ng paggawa ng desisyon ng pamahalaan ay maaaring makatulong na maiwasan ang mga katulad na isyu sa hinaharap.
**Tandaan, ang paggawa ng legal na aksyon laban sa mga entity ng gobyerno ay maaaring maging kumplikado at mapaghamong. Gayunpaman, sa pamamagitan ng pag-unawa sa iyong mga opsyon, paghingi ng propesyonal na patnubay, at pakikibahagi sa mas malawak na pagsisikap na isulong ang pananagutan, ang mga indibidwal ay maaaring mag-ambag sa paglaban sa mga mapanlinlang na aktibidad, pagprotekta sa mga pampublikong mapagkukunan, at pagpapaunlad ng isang mas transparent at responsableng pamahalaan.**</v>
      </c>
      <c r="F1241" s="2">
        <f t="shared" si="1"/>
        <v>0</v>
      </c>
      <c r="G1241" s="2"/>
      <c r="H1241" s="2"/>
      <c r="I1241" s="2"/>
      <c r="J1241" s="2"/>
      <c r="K1241" s="2"/>
      <c r="L1241" s="2"/>
      <c r="M1241" s="2"/>
      <c r="N1241" s="2"/>
      <c r="O1241" s="2"/>
      <c r="P1241" s="2"/>
      <c r="Q1241" s="2"/>
      <c r="R1241" s="2"/>
      <c r="S1241" s="2"/>
      <c r="T1241" s="2"/>
      <c r="U1241" s="2"/>
      <c r="V1241" s="2"/>
      <c r="W1241" s="2"/>
      <c r="X1241" s="2"/>
      <c r="Y1241" s="2"/>
      <c r="Z1241" s="2"/>
      <c r="AA1241" s="2"/>
    </row>
    <row r="1242">
      <c r="A1242" s="1" t="s">
        <v>3356</v>
      </c>
      <c r="B1242" s="1" t="s">
        <v>3649</v>
      </c>
      <c r="C1242" s="1" t="s">
        <v>3650</v>
      </c>
      <c r="D1242" s="2" t="str">
        <f>IFERROR(__xludf.DUMMYFUNCTION("GOOGLETRANSLATE(B1242, ""en"", ""TL"")"),"Paano nakakatulong ang mga mekanismo ng pangangasiwa, tulad ng mga pag-audit at inspeksyon, na maiwasan at matukoy ang katiwalian sa loob ng mga operasyon ng pamahalaan?")</f>
        <v>Paano nakakatulong ang mga mekanismo ng pangangasiwa, tulad ng mga pag-audit at inspeksyon, na maiwasan at matukoy ang katiwalian sa loob ng mga operasyon ng pamahalaan?</v>
      </c>
      <c r="E1242" s="2" t="str">
        <f>IFERROR(__xludf.DUMMYFUNCTION("GOOGLETRANSLATE(C1242, ""en"", ""TL"")"),"Ang mga mekanismo ng pangangasiwa, tulad ng mga pag-audit at inspeksyon, ay gumaganap ng mahalagang papel sa **pag-iwas at pagtuklas ng katiwalian** sa loob ng mga operasyon ng pamahalaan sa pamamagitan ng:
**1. Pagpigil:**
* **Pinataas na Pagsusuri"&amp;":** Ang kaalaman na ang kanilang mga aktibidad ay napapailalim sa mga regular na pag-audit at pag-iinspeksyon ay maaaring **magpahina ng loob sa mga opisyal ng gobyerno mula sa pagsasagawa ng mga katiwalian** sa unang lugar. Ang takot na mahuli at managot"&amp;" ay nagsisilbing isang hadlang.
* **Transparency at Pananagutan:** Ang mga regular na pag-audit at inspeksyon ay nagtataguyod ng **mas higit na transparency** sa mga operasyon ng pamahalaan, na ginagawang mas mahirap para sa mga opisyal na itago ang mga "&amp;"tiwaling aktibidad. Itinataguyod nito ang isang kultura ng **pananagutan** kung saan ang mga opisyal ay may pananagutan sa kanilang mga aksyon.
**2. Pagtuklas at Pagsisiyasat:**
* **Pagkilala sa mga Iregularidad:** Ang mga pag-audit at inspeksyon ay"&amp;" maaaring **matuklasan ang mga pagkakaiba sa pananalapi, maling pamamahala ng mga mapagkukunan, at mga potensyal na paglabag sa mga regulasyon**. Maaari itong magtaas ng mga pulang bandila na nangangailangan ng karagdagang pagsisiyasat sa potensyal na kat"&amp;"iwalian.
* **Pagtitipon ng Ebidensya:** Ang mga mekanismong ito ay maaaring magbigay ng **konkretong katibayan** ng mga tiwaling gawi, gaya ng mga nawawalang pondo, hindi awtorisadong paggasta, o mga salungatan ng interes. Ang ebidensyang ito ay maaaring"&amp;" maging mahalaga para sa pag-uusig sa mga indibidwal na sangkot sa katiwalian.
**3. Mga Rekomendasyon at Pagpapabuti:**
* **Pagtukoy sa mga Systemic Weakness:** Ang mga pag-audit at inspeksyon ay maaaring **matukoy ang mga kahinaan** sa mga panloob "&amp;"na kontrol, pamamaraan, at istruktura ng pamamahala na maaaring madaling kapitan ng pagsasamantala para sa mga tiwaling layunin.
* **Pagsusulong ng Reporma:** Batay sa kanilang mga natuklasan, ang mga mekanismong ito ay maaaring magrekomenda ng **mga pag"&amp;"papabuti** upang palakasin ang mga panloob na kontrol, pahusayin ang transparency, at tugunan ang mga kahinaan na nagpapadali sa katiwalian.
**Mga Uri ng Mekanismo ng Pangangasiwa:**
* **Mga Pag-audit sa Pananalapi:** Tinatasa ng mga pag-audit na it"&amp;"o ang **katumpakan at legalidad ng mga pahayag sa pananalapi**, na tumutukoy sa mga potensyal na maling paggamit ng mga pondo, hindi awtorisadong paggasta, o mapanlinlang na aktibidad.
* **Mga Pag-audit sa Pagganap:** Sinusuri ng mga pag-audit na ito ang"&amp;" **kahusayan, pagiging epektibo, at pagsunod** ng mga programa at aktibidad ng pamahalaan, na nagbubunyag ng mga potensyal na maling pamamahala o mga maaksayang gawi na maaaring lumikha ng mga pagkakataon para sa katiwalian.
* **Inspeksyon:** Kabilang di"&amp;"to ang **mga pagbisita sa lugar** sa mga ahensya ng gobyerno, opisina, o proyekto upang masuri ang pagsunod sa mga regulasyon, tukuyin ang mga iregularidad sa mga operasyon, at i-verify ang wastong paggamit ng mga mapagkukunan.
**Pagiging Epektibo at L"&amp;"imitasyon:**
* **Ang mga epektibong mekanismo ng pangangasiwa** ay nangangailangan ng **pagsasarili, kwalipikadong tauhan, at sapat na mapagkukunan** upang magsagawa ng masinsinan at walang pinapanigan na mga pagsusuri.
* **Ang pangangasiwa lamang ay "&amp;"hindi mapapawi ang katiwalian**. Kailangan itong **pagsamahin sa iba pang mga hakbang** tulad ng matibay na legal na balangkas, etikal na code ng pag-uugali, at pakikilahok ng publiko upang lumikha ng isang komprehensibong diskarte laban sa katiwalian.
"&amp;"
**Sa pangkalahatan, ang mga mekanismo ng pangangasiwa tulad ng mga pag-audit at inspeksyon ay mahahalagang kasangkapan sa paglaban sa katiwalian. Sa pamamagitan ng pagpigil sa maling gawain, pagtuklas ng mga iregularidad, at pagtataguyod ng mga reporma, "&amp;"nag-aambag sila sa pagtiyak ng responsable at etikal na paggamit ng mga pampublikong mapagkukunan at pagpapaunlad ng isang mas transparent at may pananagutan na pamahalaan.**")</f>
        <v>Ang mga mekanismo ng pangangasiwa, tulad ng mga pag-audit at inspeksyon, ay gumaganap ng mahalagang papel sa **pag-iwas at pagtuklas ng katiwalian** sa loob ng mga operasyon ng pamahalaan sa pamamagitan ng:
**1. Pagpigil:**
* **Pinataas na Pagsusuri:** Ang kaalaman na ang kanilang mga aktibidad ay napapailalim sa mga regular na pag-audit at pag-iinspeksyon ay maaaring **magpahina ng loob sa mga opisyal ng gobyerno mula sa pagsasagawa ng mga katiwalian** sa unang lugar. Ang takot na mahuli at managot ay nagsisilbing isang hadlang.
* **Transparency at Pananagutan:** Ang mga regular na pag-audit at inspeksyon ay nagtataguyod ng **mas higit na transparency** sa mga operasyon ng pamahalaan, na ginagawang mas mahirap para sa mga opisyal na itago ang mga tiwaling aktibidad. Itinataguyod nito ang isang kultura ng **pananagutan** kung saan ang mga opisyal ay may pananagutan sa kanilang mga aksyon.
**2. Pagtuklas at Pagsisiyasat:**
* **Pagkilala sa mga Iregularidad:** Ang mga pag-audit at inspeksyon ay maaaring **matuklasan ang mga pagkakaiba sa pananalapi, maling pamamahala ng mga mapagkukunan, at mga potensyal na paglabag sa mga regulasyon**. Maaari itong magtaas ng mga pulang bandila na nangangailangan ng karagdagang pagsisiyasat sa potensyal na katiwalian.
* **Pagtitipon ng Ebidensya:** Ang mga mekanismong ito ay maaaring magbigay ng **konkretong katibayan** ng mga tiwaling gawi, gaya ng mga nawawalang pondo, hindi awtorisadong paggasta, o mga salungatan ng interes. Ang ebidensyang ito ay maaaring maging mahalaga para sa pag-uusig sa mga indibidwal na sangkot sa katiwalian.
**3. Mga Rekomendasyon at Pagpapabuti:**
* **Pagtukoy sa mga Systemic Weakness:** Ang mga pag-audit at inspeksyon ay maaaring **matukoy ang mga kahinaan** sa mga panloob na kontrol, pamamaraan, at istruktura ng pamamahala na maaaring madaling kapitan ng pagsasamantala para sa mga tiwaling layunin.
* **Pagsusulong ng Reporma:** Batay sa kanilang mga natuklasan, ang mga mekanismong ito ay maaaring magrekomenda ng **mga pagpapabuti** upang palakasin ang mga panloob na kontrol, pahusayin ang transparency, at tugunan ang mga kahinaan na nagpapadali sa katiwalian.
**Mga Uri ng Mekanismo ng Pangangasiwa:**
* **Mga Pag-audit sa Pananalapi:** Tinatasa ng mga pag-audit na ito ang **katumpakan at legalidad ng mga pahayag sa pananalapi**, na tumutukoy sa mga potensyal na maling paggamit ng mga pondo, hindi awtorisadong paggasta, o mapanlinlang na aktibidad.
* **Mga Pag-audit sa Pagganap:** Sinusuri ng mga pag-audit na ito ang **kahusayan, pagiging epektibo, at pagsunod** ng mga programa at aktibidad ng pamahalaan, na nagbubunyag ng mga potensyal na maling pamamahala o mga maaksayang gawi na maaaring lumikha ng mga pagkakataon para sa katiwalian.
* **Inspeksyon:** Kabilang dito ang **mga pagbisita sa lugar** sa mga ahensya ng gobyerno, opisina, o proyekto upang masuri ang pagsunod sa mga regulasyon, tukuyin ang mga iregularidad sa mga operasyon, at i-verify ang wastong paggamit ng mga mapagkukunan.
**Pagiging Epektibo at Limitasyon:**
* **Ang mga epektibong mekanismo ng pangangasiwa** ay nangangailangan ng **pagsasarili, kwalipikadong tauhan, at sapat na mapagkukunan** upang magsagawa ng masinsinan at walang pinapanigan na mga pagsusuri.
* **Ang pangangasiwa lamang ay hindi mapapawi ang katiwalian**. Kailangan itong **pagsamahin sa iba pang mga hakbang** tulad ng matibay na legal na balangkas, etikal na code ng pag-uugali, at pakikilahok ng publiko upang lumikha ng isang komprehensibong diskarte laban sa katiwalian.
**Sa pangkalahatan, ang mga mekanismo ng pangangasiwa tulad ng mga pag-audit at inspeksyon ay mahahalagang kasangkapan sa paglaban sa katiwalian. Sa pamamagitan ng pagpigil sa maling gawain, pagtuklas ng mga iregularidad, at pagtataguyod ng mga reporma, nag-aambag sila sa pagtiyak ng responsable at etikal na paggamit ng mga pampublikong mapagkukunan at pagpapaunlad ng isang mas transparent at may pananagutan na pamahalaan.**</v>
      </c>
      <c r="F1242" s="2">
        <f t="shared" si="1"/>
        <v>0</v>
      </c>
      <c r="G1242" s="2"/>
      <c r="H1242" s="2"/>
      <c r="I1242" s="2"/>
      <c r="J1242" s="2"/>
      <c r="K1242" s="2"/>
      <c r="L1242" s="2"/>
      <c r="M1242" s="2"/>
      <c r="N1242" s="2"/>
      <c r="O1242" s="2"/>
      <c r="P1242" s="2"/>
      <c r="Q1242" s="2"/>
      <c r="R1242" s="2"/>
      <c r="S1242" s="2"/>
      <c r="T1242" s="2"/>
      <c r="U1242" s="2"/>
      <c r="V1242" s="2"/>
      <c r="W1242" s="2"/>
      <c r="X1242" s="2"/>
      <c r="Y1242" s="2"/>
      <c r="Z1242" s="2"/>
      <c r="AA1242" s="2"/>
    </row>
    <row r="1243">
      <c r="A1243" s="1" t="s">
        <v>3356</v>
      </c>
      <c r="B1243" s="1" t="s">
        <v>3651</v>
      </c>
      <c r="C1243" s="1" t="s">
        <v>3652</v>
      </c>
      <c r="D1243" s="2" t="str">
        <f>IFERROR(__xludf.DUMMYFUNCTION("GOOGLETRANSLATE(B1243, ""en"", ""TL"")"),"Maaari bang hamunin ng mga indibidwal ang mga patakaran o regulasyon ng gobyerno na hindi katumbas ng halaga ng mga partikular na grupo dahil sa mga tiwaling impluwensya?")</f>
        <v>Maaari bang hamunin ng mga indibidwal ang mga patakaran o regulasyon ng gobyerno na hindi katumbas ng halaga ng mga partikular na grupo dahil sa mga tiwaling impluwensya?</v>
      </c>
      <c r="E1243" s="2" t="str">
        <f>IFERROR(__xludf.DUMMYFUNCTION("GOOGLETRANSLATE(C1243, ""en"", ""TL"")"),"Kung ang mga indibidwal ay maaaring **matagumpay na hamunin ang mga patakaran o regulasyon ng pamahalaan** na pinaghihinalaang naiimpluwensyahan ng katiwalian at hindi katimbang na nakikinabang sa ilang partikular na grupo ay depende sa ilang salik:
**1. "&amp;"Kalikasan ng Patakaran/Regulasyon:**
* **Legality:** Ang unang hakbang ay ang **suriin ang legalidad** ng mismong patakaran o regulasyon. Kahit na naiimpluwensyahan ng katiwalian, kung ang patakaran ay sumusunod sa mga kasalukuyang legal na balangkas at p"&amp;"amamaraan, maaaring mahirap itong hamunin.
* **Diskriminatoryong Epekto:** Napakahalagang ipakita na ang patakaran o regulasyon ay may **hindi katimbang at may diskriminasyong epekto** sa mga partikular na grupo, lumalabag sa kanilang mga pangunahing kara"&amp;"patan o lumilikha ng hindi patas na mga pakinabang para sa iba.
**2. Katibayan ng Korapsyon:**
* **Ang pangangalap ng ebidensya** na nag-uugnay sa patakaran/regulasyon sa **mga tiwaling gawi** ay napakahalaga. Maaaring kabilang dito ang:
* **Mga Dokumento"&amp;":** Mga panloob na komunikasyon, mga talaan sa pananalapi, o nag-leak na impormasyon na nagmumungkahi ng hindi tamang impluwensya sa proseso ng paggawa ng patakaran.
* **Testimonya ng saksi:** Mga pahayag mula sa mga indibidwal na may mismong kaalaman sa "&amp;"mga tiwaling aktibidad na nauugnay sa patakaran.
* **Pagsusuri ng eksperto:** Pagsusuri ng mga eksperto sa batas o ekonomiya na nagpapakita ng diskriminasyon o hindi patas na kahihinatnan ng patakaran.
**3. Mga Legal na Avenue:**
* **Mga Reklamo sa Admini"&amp;"stratibo:** Ang mga indibidwal ay maaaring magsampa ng **mga reklamo sa mga may-katuturang ahensya ng gobyerno** na responsable para sa pangangasiwa sa patakaran o regulasyon, na itinatampok ang mga alalahanin tungkol sa epekto nito sa diskriminasyon at p"&amp;"otensyal na katiwalian.
* **Judicial Review:** Ang mga indibidwal ay maaaring magpetisyon sa mga korte upang **repasuhin ang legalidad at konstitusyonalidad** ng patakaran/regulasyon, na nangangatwiran na nilalabag nito ang kanilang mga karapatan o pinagt"&amp;"ibay sa pamamagitan ng mga tiwaling gawi. Ang pamamaraang ito ay karaniwang nangangailangan ng legal na representasyon at maaaring maging isang mahabang proseso.
* **Public Advocacy and Mobilization:** Ang pagpapataas ng kamalayan ng publiko sa pamamagita"&amp;"n ng **mga kampanya sa media, protesta, at petisyon** ay maaaring magpilit sa mga awtoridad na muling isaalang-alang ang patakaran at tugunan ang mga alalahanin tungkol sa katiwalian.
**Mga Hamon at Limitasyon:**
* **Burden of Proof:** Ang pasanin ng patu"&amp;"nay ay nakasalalay sa mga indibidwal na humahamon sa patakaran, na nangangailangan sa kanila na ipakita ang diskriminasyong epekto nito at iugnay ito sa katiwalian. Ito ay maaaring **mahirap at masinsinang mapagkukunan**.
* **Mga Legal na Pagiging Kumplik"&amp;"ado:** Ang pag-navigate sa mga legal na pamamaraan at pagpapakita ng nakakahimok na ebidensya sa hukuman ay maaaring **mapaghamon** at nangangailangan ng **legal na kadalubhasaan**.
* **Pmpulitikang Impluwensiya:** Ang mga makapangyarihang grupo na posibl"&amp;"eng makinabang sa patakaran ay maaaring magsagawa ng **pampulitika na panggigipit** upang hadlangan ang mga pagsisikap na hamunin ito.
**Kahalagahan ng Paghahanap ng Patnubay:**
Ang pagkonsulta sa **mga abogadong dalubhasa sa administratibong batas, konst"&amp;"itusyonal na batas, o mga usapin laban sa katiwalian** ay napakahalaga bago gumawa ng anumang legal na aksyon. Maaari silang:
* **Tasahin ang posibilidad na mabuhay ng kaso:** Suriin ang ebidensya, legal na batayan, at potensyal na mga hamon na kasangkot."&amp;"
* **Magbigay ng payo sa mga pinakaangkop na legal na paraan:** Tukuyin kung ang mga reklamong administratibo, pagsusuri sa hudisyal, o mga alternatibong estratehiya ay nag-aalok ng pinakamahusay na paraan ng pagkilos.
* **Mag-navigate sa legal na proseso"&amp;":** Magbigay ng gabay sa pangangalap ng ebidensya, paghahain ng mga reklamo, at pagkatawan sa iyong mga interes sa hukuman.
**Higit pa sa Mga Legal na Panukala:**
* **Pakikipag-ugnayan sa Civil Society:** Ang pakikipagtulungan sa **NGOs, advocacy group, a"&amp;"t community organization** na nagtatrabaho sa mga isyu ng katiwalian at panlipunang hustisya ay maaaring magpalakas ng mga pagsisikap at magbigay ng mahalagang suporta.
* **Pagsusulong ng Transparency at Pananagutan:** Ang pagtataguyod para sa **higit na "&amp;"transparency** sa mga proseso ng paggawa ng desisyon ng pamahalaan at ang pagpapanagot sa mga opisyal para sa kanilang mga aksyon ay maaaring makatulong na maiwasan ang mga katulad na isyu sa hinaharap.
**Tandaan, ang paghamon sa mga patakaran ng pamahala"&amp;"an na naiimpluwensyahan ng katiwalian ay maaaring maging isang masalimuot at mapaghamong pagsisikap. Gayunpaman, sa pamamagitan ng pag-unawa sa iyong mga opsyon, paghanap ng propesyonal na patnubay, at pakikipagtulungan sa iba, ang mga indibidwal ay maaar"&amp;"ing mag-ambag sa pagtataguyod ng mas patas na mga patakaran, paglaban sa katiwalian, at pagtataguyod para sa isang mas makatarungan at pantay na lipunan.**")</f>
        <v>Kung ang mga indibidwal ay maaaring **matagumpay na hamunin ang mga patakaran o regulasyon ng pamahalaan** na pinaghihinalaang naiimpluwensyahan ng katiwalian at hindi katimbang na nakikinabang sa ilang partikular na grupo ay depende sa ilang salik:
**1. Kalikasan ng Patakaran/Regulasyon:**
* **Legality:** Ang unang hakbang ay ang **suriin ang legalidad** ng mismong patakaran o regulasyon. Kahit na naiimpluwensyahan ng katiwalian, kung ang patakaran ay sumusunod sa mga kasalukuyang legal na balangkas at pamamaraan, maaaring mahirap itong hamunin.
* **Diskriminatoryong Epekto:** Napakahalagang ipakita na ang patakaran o regulasyon ay may **hindi katimbang at may diskriminasyong epekto** sa mga partikular na grupo, lumalabag sa kanilang mga pangunahing karapatan o lumilikha ng hindi patas na mga pakinabang para sa iba.
**2. Katibayan ng Korapsyon:**
* **Ang pangangalap ng ebidensya** na nag-uugnay sa patakaran/regulasyon sa **mga tiwaling gawi** ay napakahalaga. Maaaring kabilang dito ang:
* **Mga Dokumento:** Mga panloob na komunikasyon, mga talaan sa pananalapi, o nag-leak na impormasyon na nagmumungkahi ng hindi tamang impluwensya sa proseso ng paggawa ng patakaran.
* **Testimonya ng saksi:** Mga pahayag mula sa mga indibidwal na may mismong kaalaman sa mga tiwaling aktibidad na nauugnay sa patakaran.
* **Pagsusuri ng eksperto:** Pagsusuri ng mga eksperto sa batas o ekonomiya na nagpapakita ng diskriminasyon o hindi patas na kahihinatnan ng patakaran.
**3. Mga Legal na Avenue:**
* **Mga Reklamo sa Administratibo:** Ang mga indibidwal ay maaaring magsampa ng **mga reklamo sa mga may-katuturang ahensya ng gobyerno** na responsable para sa pangangasiwa sa patakaran o regulasyon, na itinatampok ang mga alalahanin tungkol sa epekto nito sa diskriminasyon at potensyal na katiwalian.
* **Judicial Review:** Ang mga indibidwal ay maaaring magpetisyon sa mga korte upang **repasuhin ang legalidad at konstitusyonalidad** ng patakaran/regulasyon, na nangangatwiran na nilalabag nito ang kanilang mga karapatan o pinagtibay sa pamamagitan ng mga tiwaling gawi. Ang pamamaraang ito ay karaniwang nangangailangan ng legal na representasyon at maaaring maging isang mahabang proseso.
* **Public Advocacy and Mobilization:** Ang pagpapataas ng kamalayan ng publiko sa pamamagitan ng **mga kampanya sa media, protesta, at petisyon** ay maaaring magpilit sa mga awtoridad na muling isaalang-alang ang patakaran at tugunan ang mga alalahanin tungkol sa katiwalian.
**Mga Hamon at Limitasyon:**
* **Burden of Proof:** Ang pasanin ng patunay ay nakasalalay sa mga indibidwal na humahamon sa patakaran, na nangangailangan sa kanila na ipakita ang diskriminasyong epekto nito at iugnay ito sa katiwalian. Ito ay maaaring **mahirap at masinsinang mapagkukunan**.
* **Mga Legal na Pagiging Kumplikado:** Ang pag-navigate sa mga legal na pamamaraan at pagpapakita ng nakakahimok na ebidensya sa hukuman ay maaaring **mapaghamon** at nangangailangan ng **legal na kadalubhasaan**.
* **Pmpulitikang Impluwensiya:** Ang mga makapangyarihang grupo na posibleng makinabang sa patakaran ay maaaring magsagawa ng **pampulitika na panggigipit** upang hadlangan ang mga pagsisikap na hamunin ito.
**Kahalagahan ng Paghahanap ng Patnubay:**
Ang pagkonsulta sa **mga abogadong dalubhasa sa administratibong batas, konstitusyonal na batas, o mga usapin laban sa katiwalian** ay napakahalaga bago gumawa ng anumang legal na aksyon. Maaari silang:
* **Tasahin ang posibilidad na mabuhay ng kaso:** Suriin ang ebidensya, legal na batayan, at potensyal na mga hamon na kasangkot.
* **Magbigay ng payo sa mga pinakaangkop na legal na paraan:** Tukuyin kung ang mga reklamong administratibo, pagsusuri sa hudisyal, o mga alternatibong estratehiya ay nag-aalok ng pinakamahusay na paraan ng pagkilos.
* **Mag-navigate sa legal na proseso:** Magbigay ng gabay sa pangangalap ng ebidensya, paghahain ng mga reklamo, at pagkatawan sa iyong mga interes sa hukuman.
**Higit pa sa Mga Legal na Panukala:**
* **Pakikipag-ugnayan sa Civil Society:** Ang pakikipagtulungan sa **NGOs, advocacy group, at community organization** na nagtatrabaho sa mga isyu ng katiwalian at panlipunang hustisya ay maaaring magpalakas ng mga pagsisikap at magbigay ng mahalagang suporta.
* **Pagsusulong ng Transparency at Pananagutan:** Ang pagtataguyod para sa **higit na transparency** sa mga proseso ng paggawa ng desisyon ng pamahalaan at ang pagpapanagot sa mga opisyal para sa kanilang mga aksyon ay maaaring makatulong na maiwasan ang mga katulad na isyu sa hinaharap.
**Tandaan, ang paghamon sa mga patakaran ng pamahalaan na naiimpluwensyahan ng katiwalian ay maaaring maging isang masalimuot at mapaghamong pagsisikap. Gayunpaman, sa pamamagitan ng pag-unawa sa iyong mga opsyon, paghanap ng propesyonal na patnubay, at pakikipagtulungan sa iba, ang mga indibidwal ay maaaring mag-ambag sa pagtataguyod ng mas patas na mga patakaran, paglaban sa katiwalian, at pagtataguyod para sa isang mas makatarungan at pantay na lipunan.**</v>
      </c>
      <c r="F1243" s="2">
        <f t="shared" si="1"/>
        <v>0</v>
      </c>
      <c r="G1243" s="2"/>
      <c r="H1243" s="2"/>
      <c r="I1243" s="2"/>
      <c r="J1243" s="2"/>
      <c r="K1243" s="2"/>
      <c r="L1243" s="2"/>
      <c r="M1243" s="2"/>
      <c r="N1243" s="2"/>
      <c r="O1243" s="2"/>
      <c r="P1243" s="2"/>
      <c r="Q1243" s="2"/>
      <c r="R1243" s="2"/>
      <c r="S1243" s="2"/>
      <c r="T1243" s="2"/>
      <c r="U1243" s="2"/>
      <c r="V1243" s="2"/>
      <c r="W1243" s="2"/>
      <c r="X1243" s="2"/>
      <c r="Y1243" s="2"/>
      <c r="Z1243" s="2"/>
      <c r="AA1243" s="2"/>
    </row>
    <row r="1244">
      <c r="A1244" s="1" t="s">
        <v>3356</v>
      </c>
      <c r="B1244" s="1" t="s">
        <v>3653</v>
      </c>
      <c r="C1244" s="1" t="s">
        <v>3654</v>
      </c>
      <c r="D1244" s="2" t="str">
        <f>IFERROR(__xludf.DUMMYFUNCTION("GOOGLETRANSLATE(B1244, ""en"", ""TL"")"),"Paano tumutulong ang mga internasyonal na organisasyon at mga dayuhang pamahalaan sa paglaban sa katiwalian sa pamahalaan, at anong mga legal na paraan ang umiiral para sa pakikipagtulungan sa mga pagsisikap laban sa katiwalian?")</f>
        <v>Paano tumutulong ang mga internasyonal na organisasyon at mga dayuhang pamahalaan sa paglaban sa katiwalian sa pamahalaan, at anong mga legal na paraan ang umiiral para sa pakikipagtulungan sa mga pagsisikap laban sa katiwalian?</v>
      </c>
      <c r="E1244" s="2" t="str">
        <f>IFERROR(__xludf.DUMMYFUNCTION("GOOGLETRANSLATE(C1244, ""en"", ""TL"")"),"Ang mga internasyonal na organisasyon at mga dayuhang pamahalaan ay may mahalagang papel sa **pagsuporta at pagpapadali** sa mga pagsisikap na labanan ang katiwalian sa pamahalaan sa buong mundo. Narito ang isang pangkalahatang-ideya ng kanilang **mga dis"&amp;"karte at ang mga legal na balangkas** na nagpapagana ng kooperasyon:
**Mga Diskarte at Tool:**
* **Pag-promote ng International Norms and Standards:** Ang mga organisasyon tulad ng **United Nations (UN)** at ang **Organization for Economic Co-operation an"&amp;"d Development (OECD)** ay bubuo at nagpo-promote ng **international convention at best practices ** para sa mabuting pamamahala, transparency, at mga hakbang laban sa katiwalian. Ang mga pamantayang ito ay nagbibigay ng **karaniwang balangkas** para sundi"&amp;"n ng mga bansa sa kanilang paglaban sa katiwalian.
* **Technical Assistance and Capacity Building:** Ang mga internasyonal na organisasyon at donor na bansa ay nag-aalok ng **teknikal na tulong** sa mga pambansang pamahalaan sa iba't ibang anyo:
* **Pagbi"&amp;"bigay ng kadalubhasaan at pagsasanay** upang palakasin ang mga institusyong laban sa katiwalian, gaya ng mga ahensyang nagpapatupad ng batas at mga audit body.
* **Pagsuporta sa pagbuo ng mga legal na balangkas** at mga patakarang nagtataguyod ng transpar"&amp;"ency at pananagutan.
* **Pagpopondo sa mga pampublikong kampanya ng kamalayan** upang turuan ang mga mamamayan tungkol sa kanilang mga karapatan at responsibilidad sa paglaban sa katiwalian.
* **Financial Aid at Mga Insentibo:** Ang kondisyon **pinansyal "&amp;"na tulong at mga gawad** ay maaaring iugnay sa **makikitang pag-unlad** sa pagpapatupad ng mga reporma laban sa katiwalian. Ang pamamaraang ito ay nagbibigay-insentibo sa mga pamahalaan na unahin ang mga pagsisikap laban sa katiwalian at epektibong gamiti"&amp;"n ang mga mapagkukunan.
* **Multilateral Cooperation at Pagbabahagi ng Impormasyon:** Pinapadali ng mga internasyonal na organisasyon ang **pagbabahagi ng impormasyon at pakikipagtulungan** sa pagitan ng mga bansa sa mga isyu tulad ng pagbawi ng asset, pa"&amp;"gsisiyasat sa korapsyon sa cross-border, at pagtukoy at pag-uusig sa mga tiwaling opisyal.
**Mga Legal na Balangkas para sa Kooperasyon:**
* **Mga Internasyonal na Kasunduan at Kombensiyon:** Maraming pangunahing internasyonal na kasunduan ang nagtatag ng"&amp;" mga legal na balangkas para sa pakikipagtulungan sa mga pagsisikap laban sa katiwalian, kabilang ang:
* **United Nations Convention against Corruption (UNCAC):** Ito ang **pinakakomprehensibong internasyonal na kasunduan** na tumutugon sa katiwalian, na "&amp;"binabalangkas ang iba't ibang mga hakbang para sa pag-iwas, pagsisiyasat, at pag-uusig ng mga paglabag sa katiwalian, gayundin ang mga mekanismo ng pakikipagtulungan sa internasyonal.
* **OECD Convention on Combating Bribery of Foreign Public Officials in"&amp;" International Business Transactions:** Nakatuon ang convention na ito sa **kriminalisasyon ng panunuhol** ng mga dayuhang opisyal sa mga internasyonal na transaksyon sa negosyo.
* **Inter-American Convention Against Corruption (OAS Convention):** Tinutug"&amp;"unan ng convention na ito ang iba't ibang aspeto ng katiwalian sa loob ng Americas, kabilang ang pag-iwas, pagsisiyasat, at mutual legal na tulong.
* **Mga Bilateral na Kasunduan:** Maraming bansa ang pumapasok sa **bilateral na kasunduan** sa isa't isa u"&amp;"pang mapadali ang kooperasyon sa mga partikular na hakbangin laban sa katiwalian, tulad ng pagbawi ng asset o extradition ng mga pugante.
**Mga Hamon at Limitasyon:**
* **Political Will at National Sovereignty:** Ang pagiging epektibo ng internasyonal na "&amp;"kooperasyon ay lubos na umaasa sa **political will** ng mga pambansang pamahalaan upang magpatupad ng mga reporma at makipagtulungan sa mga internasyonal na pagsisikap. Ang mga alalahanin tungkol sa pambansang soberanya ay maaaring makahadlang minsan sa k"&amp;"ooperasyon.
* **Resource Constraints:** Ang pagbibigay ng sapat na pinansyal at teknikal na tulong upang suportahan ang mga pagsusumikap laban sa katiwalian sa mga umuunlad na bansa ay maaaring maging mahirap dahil sa limitadong mga mapagkukunan.
* **Pags"&amp;"ubaybay at Pagpapatupad:** Ang pagtiyak sa epektibong **pagsubaybay at pagpapatupad** ng mga internasyonal na pangako laban sa katiwalian ay nananatiling isang patuloy na hamon.
**Sa pangkalahatan, ang internasyonal na kooperasyon ay gumaganap ng isang ma"&amp;"halagang papel sa** pagdaragdag ng pambansang pagsisikap, **pagsusulong ng mga pandaigdigang pamantayan at pamantayan**, at **pangasiwaan ang pakikipagtulungan** sa paglaban sa katiwalian sa pamahalaan. Habang umiiral ang mga hamon, ang **mga legal na bal"&amp;"angkas** na itinatag sa pamamagitan ng mga internasyonal na kasunduan at kasunduan ay nagbibigay ng pundasyon para sa **sama-samang pagkilos** at **pag-unlad tungo sa isang mas malinaw at may pananagutan na pandaigdigang kapaligiran.**")</f>
        <v>Ang mga internasyonal na organisasyon at mga dayuhang pamahalaan ay may mahalagang papel sa **pagsuporta at pagpapadali** sa mga pagsisikap na labanan ang katiwalian sa pamahalaan sa buong mundo. Narito ang isang pangkalahatang-ideya ng kanilang **mga diskarte at ang mga legal na balangkas** na nagpapagana ng kooperasyon:
**Mga Diskarte at Tool:**
* **Pag-promote ng International Norms and Standards:** Ang mga organisasyon tulad ng **United Nations (UN)** at ang **Organization for Economic Co-operation and Development (OECD)** ay bubuo at nagpo-promote ng **international convention at best practices ** para sa mabuting pamamahala, transparency, at mga hakbang laban sa katiwalian. Ang mga pamantayang ito ay nagbibigay ng **karaniwang balangkas** para sundin ng mga bansa sa kanilang paglaban sa katiwalian.
* **Technical Assistance and Capacity Building:** Ang mga internasyonal na organisasyon at donor na bansa ay nag-aalok ng **teknikal na tulong** sa mga pambansang pamahalaan sa iba't ibang anyo:
* **Pagbibigay ng kadalubhasaan at pagsasanay** upang palakasin ang mga institusyong laban sa katiwalian, gaya ng mga ahensyang nagpapatupad ng batas at mga audit body.
* **Pagsuporta sa pagbuo ng mga legal na balangkas** at mga patakarang nagtataguyod ng transparency at pananagutan.
* **Pagpopondo sa mga pampublikong kampanya ng kamalayan** upang turuan ang mga mamamayan tungkol sa kanilang mga karapatan at responsibilidad sa paglaban sa katiwalian.
* **Financial Aid at Mga Insentibo:** Ang kondisyon **pinansyal na tulong at mga gawad** ay maaaring iugnay sa **makikitang pag-unlad** sa pagpapatupad ng mga reporma laban sa katiwalian. Ang pamamaraang ito ay nagbibigay-insentibo sa mga pamahalaan na unahin ang mga pagsisikap laban sa katiwalian at epektibong gamitin ang mga mapagkukunan.
* **Multilateral Cooperation at Pagbabahagi ng Impormasyon:** Pinapadali ng mga internasyonal na organisasyon ang **pagbabahagi ng impormasyon at pakikipagtulungan** sa pagitan ng mga bansa sa mga isyu tulad ng pagbawi ng asset, pagsisiyasat sa korapsyon sa cross-border, at pagtukoy at pag-uusig sa mga tiwaling opisyal.
**Mga Legal na Balangkas para sa Kooperasyon:**
* **Mga Internasyonal na Kasunduan at Kombensiyon:** Maraming pangunahing internasyonal na kasunduan ang nagtatag ng mga legal na balangkas para sa pakikipagtulungan sa mga pagsisikap laban sa katiwalian, kabilang ang:
* **United Nations Convention against Corruption (UNCAC):** Ito ang **pinakakomprehensibong internasyonal na kasunduan** na tumutugon sa katiwalian, na binabalangkas ang iba't ibang mga hakbang para sa pag-iwas, pagsisiyasat, at pag-uusig ng mga paglabag sa katiwalian, gayundin ang mga mekanismo ng pakikipagtulungan sa internasyonal.
* **OECD Convention on Combating Bribery of Foreign Public Officials in International Business Transactions:** Nakatuon ang convention na ito sa **kriminalisasyon ng panunuhol** ng mga dayuhang opisyal sa mga internasyonal na transaksyon sa negosyo.
* **Inter-American Convention Against Corruption (OAS Convention):** Tinutugunan ng convention na ito ang iba't ibang aspeto ng katiwalian sa loob ng Americas, kabilang ang pag-iwas, pagsisiyasat, at mutual legal na tulong.
* **Mga Bilateral na Kasunduan:** Maraming bansa ang pumapasok sa **bilateral na kasunduan** sa isa't isa upang mapadali ang kooperasyon sa mga partikular na hakbangin laban sa katiwalian, tulad ng pagbawi ng asset o extradition ng mga pugante.
**Mga Hamon at Limitasyon:**
* **Political Will at National Sovereignty:** Ang pagiging epektibo ng internasyonal na kooperasyon ay lubos na umaasa sa **political will** ng mga pambansang pamahalaan upang magpatupad ng mga reporma at makipagtulungan sa mga internasyonal na pagsisikap. Ang mga alalahanin tungkol sa pambansang soberanya ay maaaring makahadlang minsan sa kooperasyon.
* **Resource Constraints:** Ang pagbibigay ng sapat na pinansyal at teknikal na tulong upang suportahan ang mga pagsusumikap laban sa katiwalian sa mga umuunlad na bansa ay maaaring maging mahirap dahil sa limitadong mga mapagkukunan.
* **Pagsubaybay at Pagpapatupad:** Ang pagtiyak sa epektibong **pagsubaybay at pagpapatupad** ng mga internasyonal na pangako laban sa katiwalian ay nananatiling isang patuloy na hamon.
**Sa pangkalahatan, ang internasyonal na kooperasyon ay gumaganap ng isang mahalagang papel sa** pagdaragdag ng pambansang pagsisikap, **pagsusulong ng mga pandaigdigang pamantayan at pamantayan**, at **pangasiwaan ang pakikipagtulungan** sa paglaban sa katiwalian sa pamahalaan. Habang umiiral ang mga hamon, ang **mga legal na balangkas** na itinatag sa pamamagitan ng mga internasyonal na kasunduan at kasunduan ay nagbibigay ng pundasyon para sa **sama-samang pagkilos** at **pag-unlad tungo sa isang mas malinaw at may pananagutan na pandaigdigang kapaligiran.**</v>
      </c>
      <c r="F1244" s="2">
        <f t="shared" si="1"/>
        <v>0</v>
      </c>
      <c r="G1244" s="2"/>
      <c r="H1244" s="2"/>
      <c r="I1244" s="2"/>
      <c r="J1244" s="2"/>
      <c r="K1244" s="2"/>
      <c r="L1244" s="2"/>
      <c r="M1244" s="2"/>
      <c r="N1244" s="2"/>
      <c r="O1244" s="2"/>
      <c r="P1244" s="2"/>
      <c r="Q1244" s="2"/>
      <c r="R1244" s="2"/>
      <c r="S1244" s="2"/>
      <c r="T1244" s="2"/>
      <c r="U1244" s="2"/>
      <c r="V1244" s="2"/>
      <c r="W1244" s="2"/>
      <c r="X1244" s="2"/>
      <c r="Y1244" s="2"/>
      <c r="Z1244" s="2"/>
      <c r="AA1244" s="2"/>
    </row>
    <row r="1245">
      <c r="A1245" s="1" t="s">
        <v>3356</v>
      </c>
      <c r="B1245" s="1" t="s">
        <v>3655</v>
      </c>
      <c r="C1245" s="1" t="s">
        <v>3656</v>
      </c>
      <c r="D1245" s="2" t="str">
        <f>IFERROR(__xludf.DUMMYFUNCTION("GOOGLETRANSLATE(B1245, ""en"", ""TL"")"),"Maaari bang gumawa ng legal na aksyon ang mga indibidwal laban sa mga opisyal o ahensya ng gobyerno para sa pagsali sa mga paglabag sa kapaligiran o pampublikong kalusugan bilang isang uri ng katiwalian?")</f>
        <v>Maaari bang gumawa ng legal na aksyon ang mga indibidwal laban sa mga opisyal o ahensya ng gobyerno para sa pagsali sa mga paglabag sa kapaligiran o pampublikong kalusugan bilang isang uri ng katiwalian?</v>
      </c>
      <c r="E1245" s="2" t="str">
        <f>IFERROR(__xludf.DUMMYFUNCTION("GOOGLETRANSLATE(C1245, ""en"", ""TL"")"),"Sa Pilipinas, ang mga indibidwal **maaaring magsagawa ng legal na aksyon laban sa mga opisyal o ahensya ng gobyerno** para sa pagsali sa mga paglabag sa kapaligiran o pampublikong kalusugan **na bumubuo ng katiwalian**. Gayunpaman, mahalagang maunawaan an"&amp;"g **mga kumplikadong kasangkot** at ang **mga limitasyon** na nauugnay sa mga naturang kaso.
**Mga Potensyal na Batayan para sa Legal na Aksyon:**
* **Paglabag sa Mga Batas sa Pangkapaligiran:** Kung ang mga opisyal o ahensya ng gobyerno ay nagsasagawa ng"&amp;" mga aksyon na **sumalabag sa mga batas at regulasyong pangkapaligiran**, tulad ng pag-isyu ng mga permit para sa mga proyektong nakakapinsala sa kapaligiran nang walang wastong pag-iingat, o hindi pagpapatupad ng mga kasalukuyang regulasyon sa kapaligira"&amp;"n, ito ay maaaring ituring na isang uri ng **korapsyon sa kapaligiran**.
* **Paglabag sa Mga Batas sa Pampublikong Kalusugan:** Katulad nito, kung ang mga opisyal o ahensya ng gobyerno **nagpapabaya sa kanilang mga tungkulin** upang protektahan ang kalusu"&amp;"gan ng publiko, tulad ng hindi pagsagot sa mga isyu sa polusyon, pagpapahintulot sa pagbebenta ng mga nakakapinsalang produkto, o hindi sapat na pagtugon sa mga emerhensiya sa kalusugan ng publiko, maaari itong makita bilang isang uri ng **korapsyon sa pa"&amp;"mpublikong kalusugan**.
* **Pag-abuso sa Kapangyarihan at Maling Pag-uugali:** Kapag ang mga opisyal o ahensya ng gobyerno **ginamit nang mali ang kanilang awtoridad** para sa personal na kapakanan o nasangkot sa **pag-uugali na lumalabag sa tiwala ng pub"&amp;"liko**, maaari itong ituring na katiwalian, kahit na hindi tahasan tinukoy bilang mga paglabag sa kapaligiran o pampublikong kalusugan.
**Mga Legal na Avenue:**
* **Mga Reklamo sa Administratibo:** Maaaring magsampa ng **mga reklamo ang mga indibidwal sa "&amp;"mga kaugnay na ahensya ng gobyerno**, gaya ng Department of Environment and Natural Resources (DENR) para sa mga isyu sa kapaligiran o ng Department of Health (DOH) para sa mga alalahanin sa kalusugan ng publiko. Ang mga ahensyang ito ay may awtoridad na "&amp;"mag-imbestiga at posibleng magpataw ng **mga parusang pang-administratibo** sa mga nagkamali na opisyal o ahensya.
* **Mga Paghahabla sa Sibil:** Ang mga indibidwal na **direktang dumanas ng pinsala** dahil sa mga paglabag sa kapaligiran o pampublikong ka"&amp;"lusugan ng pamahalaan ay maaaring may mga batayan upang magsampa ng **mga kasong sibil** na naghahanap ng:
* **Financial compensation** para sa mga pinsalang natamo, gaya ng mga problema sa kalusugan na dulot ng polusyon o pagkawala ng ari-arian dahil sa "&amp;"pagkasira ng kapaligiran.
* **Mga utos ng korte** na nag-aatas sa pamahalaan na gumawa ng mga hakbang sa pagwawasto, tulad ng pagtugon sa pinagmulan ng polusyon o pagpapatupad ng wastong mga hakbang sa pampublikong kalusugan.
* **Mga Petisyon sa Mandamus:"&amp;"** Ang mga indibidwal ay maaaring magsampa ng **mga petisyon para sa mandamus** upang pilitin ang mga opisyal o ahensya ng gobyerno na tuparin ang kanilang **mga mandatoryong tungkulin** sa ilalim ng mga batas sa kapaligiran o pampublikong kalusugan.
**Mg"&amp;"a Hamon at Limitasyon:**
* **Burden of Proof:** Ang pasanin ng patunay ay nakasalalay sa mga indibidwal na nagsasagawa ng legal na aksyon, na nangangailangan sa kanila na ipakita ang **pangyayari ng paglabag**, ang **pagkakasala ng opisyal o ahensya**, at"&amp;" ang **direktang pinsala** na kanilang dinanas.
* **Mga Kumplikado ng Mga Isyu sa Pangkapaligiran at Pampublikong Kalusugan:** Ang pagtatatag ng koneksyon sa pagitan ng mga partikular na aksyon at mga kahihinatnan sa kapaligiran o pampublikong kalusugan a"&amp;"y maaaring **kumplikado at nangangailangan ng siyentipikong kadalubhasaan**.
* **Mahahabang Proseso:** Ang mga legal na paglilitis ay maaaring **makaubos ng oras at magastos**, na nagdudulot ng mga hamon para sa mga indibidwal na nagsasagawa ng mga natura"&amp;"ng aksyon.
**Kahalagahan ng Legal na Patnubay:**
Ang pagkonsulta sa mga abugado na dalubhasa sa **batas sa kapaligiran, batas sa kalusugan ng publiko, o mga usapin laban sa katiwalian** ay napakahalaga bago gumawa ng legal na aksyon. Maaari silang:
* **Ta"&amp;"sahin ang posibilidad na mabuhay ng kaso:** Suriin ang ebidensya, legal na batayan, at potensyal na mga hamon na kasangkot.
* **Magbigay ng payo sa mga pinakaangkop na legal na paraan:** Tukuyin kung ang mga reklamong administratibo, mga demandang sibil, "&amp;"o mga petisyon ng mandamus ay nag-aalok ng pinakamahusay na paraan ng pagkilos.
* **Mag-navigate sa legal na proseso:** Magbigay ng gabay sa pangangalap ng ebidensya, paghahain ng mga reklamo, at pagkatawan sa iyong mga interes sa hukuman.
**Higit pa sa M"&amp;"ga Legal na Panukala:**
Ang pagtugon sa mga paglabag sa kapaligiran at pampublikong kalusugan ay kadalasang nangangailangan ng **multifaceted approach** na higit pa sa pag-asa lamang sa legal na aksyon. Kabilang dito ang:
* **Paglahok at Pagtataguyod ng M"&amp;"amamayan:** Ang pagsasagawa ng **kolektibong pagkilos**, pagpapataas ng kamalayan ng publiko, at pagtataguyod para sa mas matibay na mga patakaran sa kapaligiran at pampublikong kalusugan ay maaaring magdulot ng panggigipit sa pamahalaan na kumilos nang r"&amp;"esponsable.
* **Supporting Civil Society Organizations:** Ang pagsuporta sa mga NGO at advocacy group na nagtatrabaho sa mga isyu sa kapaligiran at pampublikong kalusugan ay maaaring magpalakas ng mga pagsisikap na panagutin ang pamahalaan.
* **Pag-promot"&amp;"e ng Transparency at Pananagutan:** Ang pagtulak para sa **higit na transparency** sa mga proseso ng paggawa ng desisyon ng pamahalaan at ang pagpapanagot sa mga opisyal para sa kanilang mga aksyon ay maaaring makatulong na maiwasan ang mga paglabag sa hi"&amp;"naharap.
**Tandaan, ang paggawa ng legal na aksyon laban sa mga entity ng gobyerno ay maaaring maging kumplikado at mapaghamong. Gayunpaman, sa pamamagitan ng pag-unawa sa iyong mga opsyon, paghingi ng propesyonal na patnubay, at pakikibahagi sa mas malaw"&amp;"ak na pagsisikap na isulong ang pananagutan, ang mga indibidwal ay maaaring mag-ambag sa pagprotekta sa kapaligiran, pangangalaga sa kalusugan ng publiko, at paglaban sa katiwalian sa mga kritikal na sektor na ito.**")</f>
        <v>Sa Pilipinas, ang mga indibidwal **maaaring magsagawa ng legal na aksyon laban sa mga opisyal o ahensya ng gobyerno** para sa pagsali sa mga paglabag sa kapaligiran o pampublikong kalusugan **na bumubuo ng katiwalian**. Gayunpaman, mahalagang maunawaan ang **mga kumplikadong kasangkot** at ang **mga limitasyon** na nauugnay sa mga naturang kaso.
**Mga Potensyal na Batayan para sa Legal na Aksyon:**
* **Paglabag sa Mga Batas sa Pangkapaligiran:** Kung ang mga opisyal o ahensya ng gobyerno ay nagsasagawa ng mga aksyon na **sumalabag sa mga batas at regulasyong pangkapaligiran**, tulad ng pag-isyu ng mga permit para sa mga proyektong nakakapinsala sa kapaligiran nang walang wastong pag-iingat, o hindi pagpapatupad ng mga kasalukuyang regulasyon sa kapaligiran, ito ay maaaring ituring na isang uri ng **korapsyon sa kapaligiran**.
* **Paglabag sa Mga Batas sa Pampublikong Kalusugan:** Katulad nito, kung ang mga opisyal o ahensya ng gobyerno **nagpapabaya sa kanilang mga tungkulin** upang protektahan ang kalusugan ng publiko, tulad ng hindi pagsagot sa mga isyu sa polusyon, pagpapahintulot sa pagbebenta ng mga nakakapinsalang produkto, o hindi sapat na pagtugon sa mga emerhensiya sa kalusugan ng publiko, maaari itong makita bilang isang uri ng **korapsyon sa pampublikong kalusugan**.
* **Pag-abuso sa Kapangyarihan at Maling Pag-uugali:** Kapag ang mga opisyal o ahensya ng gobyerno **ginamit nang mali ang kanilang awtoridad** para sa personal na kapakanan o nasangkot sa **pag-uugali na lumalabag sa tiwala ng publiko**, maaari itong ituring na katiwalian, kahit na hindi tahasan tinukoy bilang mga paglabag sa kapaligiran o pampublikong kalusugan.
**Mga Legal na Avenue:**
* **Mga Reklamo sa Administratibo:** Maaaring magsampa ng **mga reklamo ang mga indibidwal sa mga kaugnay na ahensya ng gobyerno**, gaya ng Department of Environment and Natural Resources (DENR) para sa mga isyu sa kapaligiran o ng Department of Health (DOH) para sa mga alalahanin sa kalusugan ng publiko. Ang mga ahensyang ito ay may awtoridad na mag-imbestiga at posibleng magpataw ng **mga parusang pang-administratibo** sa mga nagkamali na opisyal o ahensya.
* **Mga Paghahabla sa Sibil:** Ang mga indibidwal na **direktang dumanas ng pinsala** dahil sa mga paglabag sa kapaligiran o pampublikong kalusugan ng pamahalaan ay maaaring may mga batayan upang magsampa ng **mga kasong sibil** na naghahanap ng:
* **Financial compensation** para sa mga pinsalang natamo, gaya ng mga problema sa kalusugan na dulot ng polusyon o pagkawala ng ari-arian dahil sa pagkasira ng kapaligiran.
* **Mga utos ng korte** na nag-aatas sa pamahalaan na gumawa ng mga hakbang sa pagwawasto, tulad ng pagtugon sa pinagmulan ng polusyon o pagpapatupad ng wastong mga hakbang sa pampublikong kalusugan.
* **Mga Petisyon sa Mandamus:** Ang mga indibidwal ay maaaring magsampa ng **mga petisyon para sa mandamus** upang pilitin ang mga opisyal o ahensya ng gobyerno na tuparin ang kanilang **mga mandatoryong tungkulin** sa ilalim ng mga batas sa kapaligiran o pampublikong kalusugan.
**Mga Hamon at Limitasyon:**
* **Burden of Proof:** Ang pasanin ng patunay ay nakasalalay sa mga indibidwal na nagsasagawa ng legal na aksyon, na nangangailangan sa kanila na ipakita ang **pangyayari ng paglabag**, ang **pagkakasala ng opisyal o ahensya**, at ang **direktang pinsala** na kanilang dinanas.
* **Mga Kumplikado ng Mga Isyu sa Pangkapaligiran at Pampublikong Kalusugan:** Ang pagtatatag ng koneksyon sa pagitan ng mga partikular na aksyon at mga kahihinatnan sa kapaligiran o pampublikong kalusugan ay maaaring **kumplikado at nangangailangan ng siyentipikong kadalubhasaan**.
* **Mahahabang Proseso:** Ang mga legal na paglilitis ay maaaring **makaubos ng oras at magastos**, na nagdudulot ng mga hamon para sa mga indibidwal na nagsasagawa ng mga naturang aksyon.
**Kahalagahan ng Legal na Patnubay:**
Ang pagkonsulta sa mga abugado na dalubhasa sa **batas sa kapaligiran, batas sa kalusugan ng publiko, o mga usapin laban sa katiwalian** ay napakahalaga bago gumawa ng legal na aksyon. Maaari silang:
* **Tasahin ang posibilidad na mabuhay ng kaso:** Suriin ang ebidensya, legal na batayan, at potensyal na mga hamon na kasangkot.
* **Magbigay ng payo sa mga pinakaangkop na legal na paraan:** Tukuyin kung ang mga reklamong administratibo, mga demandang sibil, o mga petisyon ng mandamus ay nag-aalok ng pinakamahusay na paraan ng pagkilos.
* **Mag-navigate sa legal na proseso:** Magbigay ng gabay sa pangangalap ng ebidensya, paghahain ng mga reklamo, at pagkatawan sa iyong mga interes sa hukuman.
**Higit pa sa Mga Legal na Panukala:**
Ang pagtugon sa mga paglabag sa kapaligiran at pampublikong kalusugan ay kadalasang nangangailangan ng **multifaceted approach** na higit pa sa pag-asa lamang sa legal na aksyon. Kabilang dito ang:
* **Paglahok at Pagtataguyod ng Mamamayan:** Ang pagsasagawa ng **kolektibong pagkilos**, pagpapataas ng kamalayan ng publiko, at pagtataguyod para sa mas matibay na mga patakaran sa kapaligiran at pampublikong kalusugan ay maaaring magdulot ng panggigipit sa pamahalaan na kumilos nang responsable.
* **Supporting Civil Society Organizations:** Ang pagsuporta sa mga NGO at advocacy group na nagtatrabaho sa mga isyu sa kapaligiran at pampublikong kalusugan ay maaaring magpalakas ng mga pagsisikap na panagutin ang pamahalaan.
* **Pag-promote ng Transparency at Pananagutan:** Ang pagtulak para sa **higit na transparency** sa mga proseso ng paggawa ng desisyon ng pamahalaan at ang pagpapanagot sa mga opisyal para sa kanilang mga aksyon ay maaaring makatulong na maiwasan ang mga paglabag sa hinaharap.
**Tandaan, ang paggawa ng legal na aksyon laban sa mga entity ng gobyerno ay maaaring maging kumplikado at mapaghamong. Gayunpaman, sa pamamagitan ng pag-unawa sa iyong mga opsyon, paghingi ng propesyonal na patnubay, at pakikibahagi sa mas malawak na pagsisikap na isulong ang pananagutan, ang mga indibidwal ay maaaring mag-ambag sa pagprotekta sa kapaligiran, pangangalaga sa kalusugan ng publiko, at paglaban sa katiwalian sa mga kritikal na sektor na ito.**</v>
      </c>
      <c r="F1245" s="2">
        <f t="shared" si="1"/>
        <v>0</v>
      </c>
      <c r="G1245" s="2"/>
      <c r="H1245" s="2"/>
      <c r="I1245" s="2"/>
      <c r="J1245" s="2"/>
      <c r="K1245" s="2"/>
      <c r="L1245" s="2"/>
      <c r="M1245" s="2"/>
      <c r="N1245" s="2"/>
      <c r="O1245" s="2"/>
      <c r="P1245" s="2"/>
      <c r="Q1245" s="2"/>
      <c r="R1245" s="2"/>
      <c r="S1245" s="2"/>
      <c r="T1245" s="2"/>
      <c r="U1245" s="2"/>
      <c r="V1245" s="2"/>
      <c r="W1245" s="2"/>
      <c r="X1245" s="2"/>
      <c r="Y1245" s="2"/>
      <c r="Z1245" s="2"/>
      <c r="AA1245" s="2"/>
    </row>
    <row r="1246">
      <c r="A1246" s="1" t="s">
        <v>3356</v>
      </c>
      <c r="B1246" s="1" t="s">
        <v>3657</v>
      </c>
      <c r="C1246" s="1" t="s">
        <v>3658</v>
      </c>
      <c r="D1246" s="2" t="str">
        <f>IFERROR(__xludf.DUMMYFUNCTION("GOOGLETRANSLATE(B1246, ""en"", ""TL"")"),"Anong mga legal na hakbang ang maaaring gawin laban sa mga institusyong pang-edukasyon na sangkot sa katiwalian?")</f>
        <v>Anong mga legal na hakbang ang maaaring gawin laban sa mga institusyong pang-edukasyon na sangkot sa katiwalian?</v>
      </c>
      <c r="E1246" s="2" t="str">
        <f>IFERROR(__xludf.DUMMYFUNCTION("GOOGLETRANSLATE(C1246, ""en"", ""TL"")"),"Ang pagtugon sa katiwalian sa loob ng mga institusyong pang-edukasyon sa Pilipinas ay nagsasangkot ng **multifaceted approach** na pinagsasama ang **mga legal na hakbang, panloob na mekanismo, at mas malawak na pagsusumikap sa adbokasiya**. Narito ang isa"&amp;"ng pangkalahatang-ideya ng mga potensyal na legal na paraan:
**1. Administrative Sanctions:**
* **Mga Ahensya ng Gobyerno:** Ang mga nauugnay na ahensya ng gobyerno tulad ng **Commission on Higher Education (CHED)** para sa mga institusyong mas mataas na "&amp;"edukasyon at **Department of Education (DepEd)** para sa mga pangunahing institusyong pang-edukasyon ay may awtoridad na mag-imbestiga ng mga paratang ng katiwalian at magpataw ng **mga parusang pang-administratibo** laban sa mga institusyong napatunayang"&amp;" sangkot sa maling gawain. Maaaring kabilang sa mga parusang ito ang:
* **Pagbibigay ng mga babala o pagsaway.**
* **Pagpapataw ng mga multa o parusa.**
* **Pag-utos ng mga pagwawasto, gaya ng mga reporma sa patakaran o pag-audit sa pananalapi.**
* **Sa m"&amp;"atinding mga kaso, ang pagbawi ng lisensya ng institusyon para gumana.**
**2. Mga Paghahabla sa Sibil:**
* **Ang mga indibidwal na direktang dumanas ng pinsala** dahil sa mga tiwaling gawi ng institusyong pang-edukasyon ay maaaring may mga batayan upang m"&amp;"agsampa ng **mga kasong sibil** na naghahanap ng:
* **Financial compensation** para sa mga pinsalang natamo, gaya ng mga nawalang pagkakataon sa edukasyon o karagdagang gastos.
* **Mga utos ng korte** na nag-aatas sa institusyon na gumawa ng mga pagwawast"&amp;"o.
**3. Mga Pagsingil sa Kriminal:**
* Depende sa **tiyak na katangian at kalubhaan** ng mga tiwaling aktibidad, ang mga indibidwal na sangkot ay maaaring maharap sa **mga kasong kriminal** sa ilalim ng iba't ibang batas, kabilang ang:
* **Republic Act No"&amp;". 3019 (Anti-Graft and Corrupt Practices Act):** Ang batas na ito ay nagpaparusa sa iba't ibang mga katiwalian tulad ng panunuhol, paglustay, at maling paggamit ng pampublikong pondo.
* **Binagong Kodigo Penal:** Binabalangkas ng code na ito ang iba't iba"&amp;"ng mga kriminal na pagkakasala, ang ilan sa mga ito ay maaaring naaangkop depende sa uri ng tiwaling aktibidad, tulad ng pamemeke, palsipikasyon ng mga dokumento, o pandaraya.
**Mga Hamon at Limitasyon:**
* **Pagtitipon ng ebidensya:** Ang pagpapatunay ng"&amp;" katiwalian sa korte ay maaaring **mapaghamon** dahil sa madalas na pagiging malihim ng mga naturang aktibidad.
* **Burden of proof:** Ang pasanin ng patunay ay nakasalalay sa mga indibidwal na nagsasagawa ng legal na aksyon, na nangangailangan sa kanila "&amp;"na ipakita ang paglitaw ng katiwalian at ang direktang link nito sa pinsalang dinanas nila.
* **Mahahabang proseso:** Ang mga legal na paglilitis ay maaaring **makaubos ng oras at magastos**, na nagdudulot ng mga hadlang sa mapagkukunan para sa mga indibi"&amp;"dwal na nagsasagawa ng mga naturang aksyon.
**Kahalagahan ng Paghahanap ng Patnubay:**
Ang pagkonsulta sa mga abugado na dalubhasa sa **batas sa edukasyon** o **mga usapin laban sa katiwalian** ay napakahalaga bago isagawa ang anumang legal na aksyon. Maa"&amp;"ari silang:
* **Tasahin ang posibilidad na mabuhay ng kaso:** Suriin ang ebidensya, legal na batayan, at potensyal na mga hamon na kasangkot.
* **Magbigay ng payo sa mga pinakaangkop na legal na paraan:** Tukuyin kung ang mga reklamong administratibo, mga"&amp;" demandang sibil, o mga kasong kriminal ay nag-aalok ng pinakamahusay na paraan ng pagkilos.
* **Mag-navigate sa legal na proseso:** Magbigay ng gabay sa pangangalap ng ebidensya, paghahain ng mga reklamo, at pagkatawan sa iyong mga interes sa hukuman.
**"&amp;"Higit pa sa Mga Legal na Panukala:**
Ang epektibong pagtugon sa katiwalian ay nangangailangan ng **komprehensibong diskarte** na higit pa sa pag-asa lamang sa mga legal na hakbang. Kabilang dito ang:
* **Pagpapalakas ng mga panloob na mekanismo:** Ang mga"&amp;" institusyong pang-edukasyon ay dapat magtatag ng matatag na **mga patakaran sa proteksyon ng whistleblower**, transparent na mga channel sa pag-uulat, at epektibong mga panloob na kontrol upang maiwasan at matukoy ang katiwalian.
* **Pag-promote ng etika"&amp;"l na pag-uugali:** Pagpapaunlad ng isang kultura ng integridad at etikal na pag-uugali sa loob ng sistema ng edukasyon sa pamamagitan ng mga kampanya ng kamalayan, mga programa sa pagsasanay, at malinaw na mga alituntunin sa etika para sa mga tagapagturo "&amp;"at administrator.
* **Pagtataguyod at pakikipag-ugnayan sa publiko:** Ang mga organisasyon ng lipunang sibil, mga grupo ng mag-aaral, at mga nag-aalalang indibidwal ay maaaring gumanap ng mahalagang papel sa pagpapataas ng kamalayan tungkol sa katiwalian "&amp;"sa edukasyon, pagtataguyod para sa mga reporma, at pagpapanagot sa mga institusyon.
Sa pamamagitan ng pagsasama-sama ng mga legal na hakbang sa **mga pagsisikap sa pag-iwas at mas malawak na pakikipag-ugnayan sa lipunan**, ang isang mas **epektibo at napa"&amp;"panatiling diskarte** ay maaaring makamit sa paglaban sa katiwalian sa loob ng sektor ng edukasyon at pagtiyak ng isang patas at etikal na kapaligiran sa pag-aaral para sa lahat.")</f>
        <v>Ang pagtugon sa katiwalian sa loob ng mga institusyong pang-edukasyon sa Pilipinas ay nagsasangkot ng **multifaceted approach** na pinagsasama ang **mga legal na hakbang, panloob na mekanismo, at mas malawak na pagsusumikap sa adbokasiya**. Narito ang isang pangkalahatang-ideya ng mga potensyal na legal na paraan:
**1. Administrative Sanctions:**
* **Mga Ahensya ng Gobyerno:** Ang mga nauugnay na ahensya ng gobyerno tulad ng **Commission on Higher Education (CHED)** para sa mga institusyong mas mataas na edukasyon at **Department of Education (DepEd)** para sa mga pangunahing institusyong pang-edukasyon ay may awtoridad na mag-imbestiga ng mga paratang ng katiwalian at magpataw ng **mga parusang pang-administratibo** laban sa mga institusyong napatunayang sangkot sa maling gawain. Maaaring kabilang sa mga parusang ito ang:
* **Pagbibigay ng mga babala o pagsaway.**
* **Pagpapataw ng mga multa o parusa.**
* **Pag-utos ng mga pagwawasto, gaya ng mga reporma sa patakaran o pag-audit sa pananalapi.**
* **Sa matinding mga kaso, ang pagbawi ng lisensya ng institusyon para gumana.**
**2. Mga Paghahabla sa Sibil:**
* **Ang mga indibidwal na direktang dumanas ng pinsala** dahil sa mga tiwaling gawi ng institusyong pang-edukasyon ay maaaring may mga batayan upang magsampa ng **mga kasong sibil** na naghahanap ng:
* **Financial compensation** para sa mga pinsalang natamo, gaya ng mga nawalang pagkakataon sa edukasyon o karagdagang gastos.
* **Mga utos ng korte** na nag-aatas sa institusyon na gumawa ng mga pagwawasto.
**3. Mga Pagsingil sa Kriminal:**
* Depende sa **tiyak na katangian at kalubhaan** ng mga tiwaling aktibidad, ang mga indibidwal na sangkot ay maaaring maharap sa **mga kasong kriminal** sa ilalim ng iba't ibang batas, kabilang ang:
* **Republic Act No. 3019 (Anti-Graft and Corrupt Practices Act):** Ang batas na ito ay nagpaparusa sa iba't ibang mga katiwalian tulad ng panunuhol, paglustay, at maling paggamit ng pampublikong pondo.
* **Binagong Kodigo Penal:** Binabalangkas ng code na ito ang iba't ibang mga kriminal na pagkakasala, ang ilan sa mga ito ay maaaring naaangkop depende sa uri ng tiwaling aktibidad, tulad ng pamemeke, palsipikasyon ng mga dokumento, o pandaraya.
**Mga Hamon at Limitasyon:**
* **Pagtitipon ng ebidensya:** Ang pagpapatunay ng katiwalian sa korte ay maaaring **mapaghamon** dahil sa madalas na pagiging malihim ng mga naturang aktibidad.
* **Burden of proof:** Ang pasanin ng patunay ay nakasalalay sa mga indibidwal na nagsasagawa ng legal na aksyon, na nangangailangan sa kanila na ipakita ang paglitaw ng katiwalian at ang direktang link nito sa pinsalang dinanas nila.
* **Mahahabang proseso:** Ang mga legal na paglilitis ay maaaring **makaubos ng oras at magastos**, na nagdudulot ng mga hadlang sa mapagkukunan para sa mga indibidwal na nagsasagawa ng mga naturang aksyon.
**Kahalagahan ng Paghahanap ng Patnubay:**
Ang pagkonsulta sa mga abugado na dalubhasa sa **batas sa edukasyon** o **mga usapin laban sa katiwalian** ay napakahalaga bago isagawa ang anumang legal na aksyon. Maaari silang:
* **Tasahin ang posibilidad na mabuhay ng kaso:** Suriin ang ebidensya, legal na batayan, at potensyal na mga hamon na kasangkot.
* **Magbigay ng payo sa mga pinakaangkop na legal na paraan:** Tukuyin kung ang mga reklamong administratibo, mga demandang sibil, o mga kasong kriminal ay nag-aalok ng pinakamahusay na paraan ng pagkilos.
* **Mag-navigate sa legal na proseso:** Magbigay ng gabay sa pangangalap ng ebidensya, paghahain ng mga reklamo, at pagkatawan sa iyong mga interes sa hukuman.
**Higit pa sa Mga Legal na Panukala:**
Ang epektibong pagtugon sa katiwalian ay nangangailangan ng **komprehensibong diskarte** na higit pa sa pag-asa lamang sa mga legal na hakbang. Kabilang dito ang:
* **Pagpapalakas ng mga panloob na mekanismo:** Ang mga institusyong pang-edukasyon ay dapat magtatag ng matatag na **mga patakaran sa proteksyon ng whistleblower**, transparent na mga channel sa pag-uulat, at epektibong mga panloob na kontrol upang maiwasan at matukoy ang katiwalian.
* **Pag-promote ng etikal na pag-uugali:** Pagpapaunlad ng isang kultura ng integridad at etikal na pag-uugali sa loob ng sistema ng edukasyon sa pamamagitan ng mga kampanya ng kamalayan, mga programa sa pagsasanay, at malinaw na mga alituntunin sa etika para sa mga tagapagturo at administrator.
* **Pagtataguyod at pakikipag-ugnayan sa publiko:** Ang mga organisasyon ng lipunang sibil, mga grupo ng mag-aaral, at mga nag-aalalang indibidwal ay maaaring gumanap ng mahalagang papel sa pagpapataas ng kamalayan tungkol sa katiwalian sa edukasyon, pagtataguyod para sa mga reporma, at pagpapanagot sa mga institusyon.
Sa pamamagitan ng pagsasama-sama ng mga legal na hakbang sa **mga pagsisikap sa pag-iwas at mas malawak na pakikipag-ugnayan sa lipunan**, ang isang mas **epektibo at napapanatiling diskarte** ay maaaring makamit sa paglaban sa katiwalian sa loob ng sektor ng edukasyon at pagtiyak ng isang patas at etikal na kapaligiran sa pag-aaral para sa lahat.</v>
      </c>
      <c r="F1246" s="2">
        <f t="shared" si="1"/>
        <v>0</v>
      </c>
      <c r="G1246" s="2"/>
      <c r="H1246" s="2"/>
      <c r="I1246" s="2"/>
      <c r="J1246" s="2"/>
      <c r="K1246" s="2"/>
      <c r="L1246" s="2"/>
      <c r="M1246" s="2"/>
      <c r="N1246" s="2"/>
      <c r="O1246" s="2"/>
      <c r="P1246" s="2"/>
      <c r="Q1246" s="2"/>
      <c r="R1246" s="2"/>
      <c r="S1246" s="2"/>
      <c r="T1246" s="2"/>
      <c r="U1246" s="2"/>
      <c r="V1246" s="2"/>
      <c r="W1246" s="2"/>
      <c r="X1246" s="2"/>
      <c r="Y1246" s="2"/>
      <c r="Z1246" s="2"/>
      <c r="AA1246" s="2"/>
    </row>
    <row r="1247">
      <c r="A1247" s="1" t="s">
        <v>3356</v>
      </c>
      <c r="B1247" s="1" t="s">
        <v>3659</v>
      </c>
      <c r="C1247" s="1" t="s">
        <v>3660</v>
      </c>
      <c r="D1247" s="2" t="str">
        <f>IFERROR(__xludf.DUMMYFUNCTION("GOOGLETRANSLATE(B1247, ""en"", ""TL"")"),"Paano ko matutukoy kung ang isang partikular na institusyong pang-edukasyon ay nagsasagawa ng mga tiwaling gawain?")</f>
        <v>Paano ko matutukoy kung ang isang partikular na institusyong pang-edukasyon ay nagsasagawa ng mga tiwaling gawain?</v>
      </c>
      <c r="E1247" s="2" t="str">
        <f>IFERROR(__xludf.DUMMYFUNCTION("GOOGLETRANSLATE(C1247, ""en"", ""TL"")"),"Ang pagtukoy sa mga potensyal na katiwalian sa loob ng isang institusyong pang-edukasyon ay maaaring maging mahirap, dahil ang **mga katiwalian ay kadalasang nagsasangkot ng pagtatago at pagmamanipula**. Gayunpaman, narito ang ilang **mga pulang bandila**"&amp;" na maaaring magdulot ng mga alalahanin:
**Mga Admission at Enrollment:**
* **Hindi malinaw o hindi malinaw na mga pamantayan sa pagpasok:** Kung ang institusyon ay walang malinaw at malinaw na mga alituntunin para sa mga admisyon, o kung ang proses"&amp;"o ng pagpili ay mukhang arbitrary o subjective, maaari itong magdulot ng mga alalahanin tungkol sa potensyal na paboritismo o nepotismo.
* **Hindi patas o diskriminasyong mga gawi:** Kung may mga ulat ng mga mag-aaral na tinanggihan ng pagpasok batay sa "&amp;"mga salik na hindi nauugnay sa kanilang mga kwalipikasyong pang-akademiko, tulad ng kanilang panlipunang background, kayamanan, o mga koneksyon, maaari itong magpahiwatig ng mga kasanayan sa diskriminasyon.
* **Hindi maipaliwanag na mga pagbabago sa mga "&amp;"patakaran sa admission:** Ang madalas o biglaang pagbabago sa mga patakaran sa admission, lalo na kung nakikinabang ang mga ito sa mga partikular na grupo o indibidwal, ay maaaring maging dahilan ng pag-aalala.
**Academic Integrity:**
* **Mga hindi "&amp;"etikal na gawi sa pagmamarka:** Kung ang mga mag-aaral ay patuloy na nag-uulat ng mga pagkakataon ng hindi patas na pagmamarka, pagkiling, o pagmamanipula ng mga marka ng mga miyembro ng faculty, maaari itong magmungkahi ng potensyal na katiwalian.
* **A"&amp;"vailability ng mga serbisyong ""ghostwriting"" o plagiarism:** Ang pagkakaroon ng mga serbisyong nag-aalok upang makumpleto ang mga takdang-aralin o pagsusulit para sa mga mag-aaral kapalit ng bayad ay maaaring magpahiwatig ng kakulangan ng akademikong in"&amp;"tegridad sa loob ng institusyon.
* **Lax na pagpapatupad ng academic dishonesty:** Kung nabigo ang institusyon na matugunan nang sapat ang mga kaso ng plagiarism, cheating, o iba pang anyo ng academic dishonesty, maaari itong magdulot ng mga alalahanin t"&amp;"ungkol sa pagpapaubaya sa hindi etikal na pag-uugali.
**Pamamahala sa Pinansyal:**
* **Kakulangan ng transparency sa pag-uulat sa pananalapi:** Kung ang institusyon ay walang malinaw at naa-access na impormasyon tungkol sa badyet nito, mga paggasta "&amp;"sa pananalapi, at paglalaan ng mapagkukunan, maaari itong maging isang pulang bandila para sa potensyal na maling paggamit ng mga pondo.
* **Hindi maipaliwanag na mga pagkakaiba sa mga rekord ng pananalapi:** Ang mga hindi pagkakapare-pareho o iregularid"&amp;"ad sa mga financial statement, nawawalang dokumentasyon, o hindi maipaliwanag na mga paggasta ay maaaring magdulot ng mga alalahanin tungkol sa maling paggamit ng mga pondo.
* **Labis na paggastos sa mga hindi mahahalagang bagay:** Kung ang institusyon a"&amp;"y naglalaan ng malalaking mapagkukunan sa hindi kailangan o marangyang mga gastos habang pinapabayaan ang mahahalagang pangangailangan tulad ng imprastraktura, mga materyales sa pag-aaral, o pag-unlad ng guro, maaari itong magpahiwatig ng maling priyorida"&amp;"d ng mga mapagkukunan.
**Pamamahala at Pangangasiwa:**
* **Kakulangan ng mga mekanismo ng pananagutan:** Kung ang institusyon ay walang epektibong mekanismo para sa mga mag-aaral at kawani na mag-ulat ng mga alalahanin tungkol sa maling pag-uugali o"&amp;" mga iregularidad, maaari itong lumikha ng isang kapaligiran na nakakatulong sa katiwalian.
* **Mga salungatan ng interes sa pagitan ng mga administrador:** Kung ang mga indibidwal sa mga posisyon sa pamumuno ay may personal o pinansiyal na ugnayan sa mg"&amp;"a kumpanya o indibidwal na nakikipagnegosyo sa institusyon, naglalabas ito ng mga alalahanin tungkol sa mga potensyal na salungatan ng interes at hindi patas na mga gawi.
* **Autoritarian na istilo ng pamumuno:** Ang istilo ng pamumuno na nailalarawan sa"&amp;" kawalan ng transparency, limitadong pakikilahok sa paggawa ng desisyon, at pagsupil sa hindi pagsang-ayon ay maaaring lumikha ng kapaligiran kung saan umuunlad ang katiwalian.
**Mahalagang tandaan na ang mga ito ay mga potensyal na tagapagpahiwatig la"&amp;"mang, at hindi lahat ng institusyong nagpapakita ng ilan sa mga pulang bandilang ito ay kinakailangang sangkot sa katiwalian.** Gayunpaman, kung makakatagpo ka ng maraming alalahanin o maghinala ng mga partikular na pagkakataon ng maling gawain, napakahal"&amp;"aga na:
* **Magtipon ng ebidensya:** Idokumento ang anumang mga obserbasyon, komunikasyon, o ulat na sumusuporta sa iyong mga hinala.
* **Humingi ng suporta:** Talakayin ang iyong mga alalahanin sa mga pinagkakatiwalaang indibidwal, organisasyon ng ma"&amp;"g-aaral, o grupo ng adbokasiya.
* **Mag-ulat ng pinaghihinalaang katiwalian:** Gumamit ng mga itinatag na channel sa loob ng institusyon para sa pag-uulat ng maling pag-uugali, o isaalang-alang ang pag-uulat sa mga nauugnay na panlabas na awtoridad tulad"&amp;" ng Commission on Higher Education (CHED) o Department of Education (DepEd).
**Dagdag pa rito, ang pananatiling may kaalaman tungkol sa mga balita at ulat tungkol sa mga institusyong pang-edukasyon, at pakikibahagi sa sama-samang pagkilos kasama ng iba"&amp;" pang mga mag-aaral at stakeholder, ay maaaring mag-ambag sa pagtataguyod ng transparency, pananagutan, at mga etikal na kasanayan sa loob ng sistema ng edukasyon.**")</f>
        <v>Ang pagtukoy sa mga potensyal na katiwalian sa loob ng isang institusyong pang-edukasyon ay maaaring maging mahirap, dahil ang **mga katiwalian ay kadalasang nagsasangkot ng pagtatago at pagmamanipula**. Gayunpaman, narito ang ilang **mga pulang bandila** na maaaring magdulot ng mga alalahanin:
**Mga Admission at Enrollment:**
* **Hindi malinaw o hindi malinaw na mga pamantayan sa pagpasok:** Kung ang institusyon ay walang malinaw at malinaw na mga alituntunin para sa mga admisyon, o kung ang proseso ng pagpili ay mukhang arbitrary o subjective, maaari itong magdulot ng mga alalahanin tungkol sa potensyal na paboritismo o nepotismo.
* **Hindi patas o diskriminasyong mga gawi:** Kung may mga ulat ng mga mag-aaral na tinanggihan ng pagpasok batay sa mga salik na hindi nauugnay sa kanilang mga kwalipikasyong pang-akademiko, tulad ng kanilang panlipunang background, kayamanan, o mga koneksyon, maaari itong magpahiwatig ng mga kasanayan sa diskriminasyon.
* **Hindi maipaliwanag na mga pagbabago sa mga patakaran sa admission:** Ang madalas o biglaang pagbabago sa mga patakaran sa admission, lalo na kung nakikinabang ang mga ito sa mga partikular na grupo o indibidwal, ay maaaring maging dahilan ng pag-aalala.
**Academic Integrity:**
* **Mga hindi etikal na gawi sa pagmamarka:** Kung ang mga mag-aaral ay patuloy na nag-uulat ng mga pagkakataon ng hindi patas na pagmamarka, pagkiling, o pagmamanipula ng mga marka ng mga miyembro ng faculty, maaari itong magmungkahi ng potensyal na katiwalian.
* **Availability ng mga serbisyong "ghostwriting" o plagiarism:** Ang pagkakaroon ng mga serbisyong nag-aalok upang makumpleto ang mga takdang-aralin o pagsusulit para sa mga mag-aaral kapalit ng bayad ay maaaring magpahiwatig ng kakulangan ng akademikong integridad sa loob ng institusyon.
* **Lax na pagpapatupad ng academic dishonesty:** Kung nabigo ang institusyon na matugunan nang sapat ang mga kaso ng plagiarism, cheating, o iba pang anyo ng academic dishonesty, maaari itong magdulot ng mga alalahanin tungkol sa pagpapaubaya sa hindi etikal na pag-uugali.
**Pamamahala sa Pinansyal:**
* **Kakulangan ng transparency sa pag-uulat sa pananalapi:** Kung ang institusyon ay walang malinaw at naa-access na impormasyon tungkol sa badyet nito, mga paggasta sa pananalapi, at paglalaan ng mapagkukunan, maaari itong maging isang pulang bandila para sa potensyal na maling paggamit ng mga pondo.
* **Hindi maipaliwanag na mga pagkakaiba sa mga rekord ng pananalapi:** Ang mga hindi pagkakapare-pareho o iregularidad sa mga financial statement, nawawalang dokumentasyon, o hindi maipaliwanag na mga paggasta ay maaaring magdulot ng mga alalahanin tungkol sa maling paggamit ng mga pondo.
* **Labis na paggastos sa mga hindi mahahalagang bagay:** Kung ang institusyon ay naglalaan ng malalaking mapagkukunan sa hindi kailangan o marangyang mga gastos habang pinapabayaan ang mahahalagang pangangailangan tulad ng imprastraktura, mga materyales sa pag-aaral, o pag-unlad ng guro, maaari itong magpahiwatig ng maling priyoridad ng mga mapagkukunan.
**Pamamahala at Pangangasiwa:**
* **Kakulangan ng mga mekanismo ng pananagutan:** Kung ang institusyon ay walang epektibong mekanismo para sa mga mag-aaral at kawani na mag-ulat ng mga alalahanin tungkol sa maling pag-uugali o mga iregularidad, maaari itong lumikha ng isang kapaligiran na nakakatulong sa katiwalian.
* **Mga salungatan ng interes sa pagitan ng mga administrador:** Kung ang mga indibidwal sa mga posisyon sa pamumuno ay may personal o pinansiyal na ugnayan sa mga kumpanya o indibidwal na nakikipagnegosyo sa institusyon, naglalabas ito ng mga alalahanin tungkol sa mga potensyal na salungatan ng interes at hindi patas na mga gawi.
* **Autoritarian na istilo ng pamumuno:** Ang istilo ng pamumuno na nailalarawan sa kawalan ng transparency, limitadong pakikilahok sa paggawa ng desisyon, at pagsupil sa hindi pagsang-ayon ay maaaring lumikha ng kapaligiran kung saan umuunlad ang katiwalian.
**Mahalagang tandaan na ang mga ito ay mga potensyal na tagapagpahiwatig lamang, at hindi lahat ng institusyong nagpapakita ng ilan sa mga pulang bandilang ito ay kinakailangang sangkot sa katiwalian.** Gayunpaman, kung makakatagpo ka ng maraming alalahanin o maghinala ng mga partikular na pagkakataon ng maling gawain, napakahalaga na:
* **Magtipon ng ebidensya:** Idokumento ang anumang mga obserbasyon, komunikasyon, o ulat na sumusuporta sa iyong mga hinala.
* **Humingi ng suporta:** Talakayin ang iyong mga alalahanin sa mga pinagkakatiwalaang indibidwal, organisasyon ng mag-aaral, o grupo ng adbokasiya.
* **Mag-ulat ng pinaghihinalaang katiwalian:** Gumamit ng mga itinatag na channel sa loob ng institusyon para sa pag-uulat ng maling pag-uugali, o isaalang-alang ang pag-uulat sa mga nauugnay na panlabas na awtoridad tulad ng Commission on Higher Education (CHED) o Department of Education (DepEd).
**Dagdag pa rito, ang pananatiling may kaalaman tungkol sa mga balita at ulat tungkol sa mga institusyong pang-edukasyon, at pakikibahagi sa sama-samang pagkilos kasama ng iba pang mga mag-aaral at stakeholder, ay maaaring mag-ambag sa pagtataguyod ng transparency, pananagutan, at mga etikal na kasanayan sa loob ng sistema ng edukasyon.**</v>
      </c>
      <c r="F1247" s="2">
        <f t="shared" si="1"/>
        <v>0</v>
      </c>
      <c r="G1247" s="2"/>
      <c r="H1247" s="2"/>
      <c r="I1247" s="2"/>
      <c r="J1247" s="2"/>
      <c r="K1247" s="2"/>
      <c r="L1247" s="2"/>
      <c r="M1247" s="2"/>
      <c r="N1247" s="2"/>
      <c r="O1247" s="2"/>
      <c r="P1247" s="2"/>
      <c r="Q1247" s="2"/>
      <c r="R1247" s="2"/>
      <c r="S1247" s="2"/>
      <c r="T1247" s="2"/>
      <c r="U1247" s="2"/>
      <c r="V1247" s="2"/>
      <c r="W1247" s="2"/>
      <c r="X1247" s="2"/>
      <c r="Y1247" s="2"/>
      <c r="Z1247" s="2"/>
      <c r="AA1247" s="2"/>
    </row>
    <row r="1248">
      <c r="A1248" s="1" t="s">
        <v>3356</v>
      </c>
      <c r="B1248" s="1" t="s">
        <v>3661</v>
      </c>
      <c r="C1248" s="1" t="s">
        <v>3662</v>
      </c>
      <c r="D1248" s="2" t="str">
        <f>IFERROR(__xludf.DUMMYFUNCTION("GOOGLETRANSLATE(B1248, ""en"", ""TL"")"),"Ano ang paraan ng mga mag-aaral kung naniniwala sila na ang kanilang mga marka o admission ay naiimpluwensyahan ng katiwalian?")</f>
        <v>Ano ang paraan ng mga mag-aaral kung naniniwala sila na ang kanilang mga marka o admission ay naiimpluwensyahan ng katiwalian?</v>
      </c>
      <c r="E1248" s="2" t="str">
        <f>IFERROR(__xludf.DUMMYFUNCTION("GOOGLETRANSLATE(C1248, ""en"", ""TL"")"),"Kung naniniwala ang mga mag-aaral na ang kanilang mga marka o admission ay naiimpluwensyahan ng katiwalian sa loob ng kanilang institusyong pang-edukasyon, maraming **potensyal na opsyon sa pag-recourse** ang umiiral, bawat isa ay may sariling mga pakinab"&amp;"ang at limitasyon:
**1. Mga Mekanismo ng Panloob na Reklamo:**
* Maraming institusyong pang-edukasyon ang nagtatag ng **mga panloob na pamamaraan ng karaingan** para sa mga mag-aaral upang matugunan ang mga alalahanin tungkol sa mga bagay na pang-akademik"&amp;"o, kabilang ang mga potensyal na iregularidad sa pagmamarka o hindi patas na mga gawi sa pagtanggap.
* Ang mga mag-aaral ay dapat **kumonsulta sa handbook ng mag-aaral o website ng kanilang institusyon** upang maunawaan ang mga partikular na pamamaraan pa"&amp;"ra sa paghahain ng mga panloob na reklamo. Ang mga pamamaraang ito ay maaaring may kasamang:
* Pagsusumite ng nakasulat na reklamo sa mga itinalagang opisyal sa loob ng institusyon.
* Pag-apela sa paunang desisyon kung ang mag-aaral ay hindi nasiyahan sa "&amp;"kinalabasan.
**Mga Bentahe:**
* Kadalasan ang **pinakamabilis at pinakanaa-access** na opsyon para sa mga mag-aaral.
* Nagbibigay-daan sa kanila na tugunan ang isyu nang direkta sa loob ng institusyon.
**Mga Limitasyon:**
* Ang pagiging epektibo ay maaari"&amp;"ng mag-iba depende sa pangako ng institusyon sa patas at malinaw na mga pamamaraan.
* Maaaring harapin ng mga estudyante ang **bias o pressure** mula sa mga indibidwal na sangkot sa diumano'y katiwalian.
**2. Pag-uulat sa Mga Panlabas na Awtoridad:**
* Ma"&amp;"aaring iulat ng mga mag-aaral ang kanilang mga alalahanin sa **mga panlabas na awtoridad** tulad ng:
* Ang **Commission on Higher Education (CHED)** para sa mga institusyong mas mataas na edukasyon.
* Ang **Department of Education (DepEd)** para sa mga pa"&amp;"ngunahing institusyon ng edukasyon.
* **Mga ahensyang nagpapatupad ng batas** kung pinaghihinalaan nila ang aktibidad ng kriminal.
**Mga Bentahe:**
* Nagbibigay ng **independiyenteng pagsusuri** ng mga paratang ng isang neutral na katawan.
* Posibleng hum"&amp;"antong sa **aksiyong pandisiplina** laban sa mga indibidwal na sangkot sa korapsyon at mga sistematikong reporma sa loob ng institusyon.
**Mga Limitasyon:**
* Ang mga proseso ng pagsisiyasat at paglutas ay maaaring **mabagal at kumplikado**.
* Ang pangang"&amp;"alap ng **matibay na ebidensya** upang suportahan ang mga paratang ay mahalaga para sa isang matagumpay na resulta.
**3. Naghahanap ng Legal na Aksyon:**
* Sa ilang mga kaso, maaaring isaalang-alang ng mga mag-aaral ang **magpatuloy ng legal na aksyon** l"&amp;"aban sa institusyong pang-edukasyon. Gayunpaman, ito ay isang **kumplikado at mapaghamong opsyon** na may **hindi tiyak na mga kinalabasan**.
* Kailangang ipakita ng mga mag-aaral ang:
* **Pangyayari ng katiwalian:** Katibayan na nagpapatunay ng mga hindi"&amp;" patas na gawi sa pagmamarka, pagmamanipula ng mga proseso ng admission, atbp.
* **Direktang pinsala:** Isang malinaw na ugnayan sa pagitan ng katiwalian at ng kanilang partikular na pagtanggi sa pagtanggap o hindi patas na pagmamarka.
**Mga Bentahe:**
* "&amp;"Maaaring humantong sa **kabayaran para sa mga pinsala** na natamo dahil sa katiwalian.
* Nagtataas ng kamalayan ng publiko tungkol sa isyu at naglalagay ng presyon sa mga institusyon upang tugunan ang mga sistematikong problema.
**Mga Limitasyon:**
* Nang"&amp;"angailangan ng **makabuluhang mapagkukunan sa pananalapi** at legal na kadalubhasaan.
* Ang pasanin ng patunay ay nakasalalay sa mag-aaral, na nagpapahirap na magtagumpay sa korte.
**4. Advocacy at Public Engagement:**
* Ang mga mag-aaral ay maaaring **ma"&amp;"gtaas ng kamalayan** tungkol sa isyu sa pamamagitan ng iba't ibang paraan, gaya ng:
* Pakikipag-ugnayan sa mga organisasyon ng mag-aaral at mga grupo ng adbokasiya.
* Pagbabahagi ng kanilang mga karanasan sa mga platform ng social media.
* Nakikipagtulung"&amp;"an sa mga media outlet upang ilantad ang potensyal na katiwalian.
**Mga Bentahe:**
* Maaaring **pakikilos ang pampublikong suporta** para sa pagtugon sa katiwalian sa loob ng sistema ng edukasyon.
* Lumilikha ng panggigipit sa mga institusyon na maging ma"&amp;"s transparent at may pananagutan.
**Mga Limitasyon:**
* Maaaring hindi direktang tugunan ang partikular na isyu na kinakaharap ng indibidwal na mag-aaral.
* Umaasa sa mas malawak na sistematikong mga pagbabago upang makamit ang pangmatagalang epekto.
**An"&amp;"g pagpili ng pinakaangkop na paraan** ay nakasalalay sa mga partikular na pangyayari ng bawat kaso, ang kalubhaan ng di-umano'y katiwalian, at ang mga indibidwal na layunin ng mag-aaral. **Ang pagkonsulta sa isang abogado na dalubhasa sa batas sa edukasyo"&amp;"n** ay maaaring magbigay ng mahalagang gabay sa pag-navigate sa mga opsyong ito at pag-unawa sa mga potensyal na panganib at benepisyong kasangkot.
**Bukod dito, mahalagang tandaan na:**
* **Ang pangangalap ng ebidensya** upang suportahan ang mga pag-aang"&amp;"kin ng katiwalian ay mahalaga para sa anumang potensyal na opsyon sa recourse.
* **Ang paghingi ng suporta mula sa mga pinagkakatiwalaang indibidwal** tulad ng mga kapantay, organisasyon ng mag-aaral, o grupo ng adbokasiya ay maaaring makatulong sa buong "&amp;"proseso.
* **Ang pagbibigay-priyoridad sa kaligtasan at kagalingan** ay pinakamahalaga, at dapat iwasan ng mga mag-aaral na ilagay ang kanilang sarili sa panganib kapag tinutugunan ang potensyal na katiwalian.
Sa pamamagitan ng pag-unawa sa kanilang mga o"&amp;"psyon, paghanap ng patnubay, at pagkilos nang sama-sama, ang mga mag-aaral ay maaaring mag-ambag sa paglikha ng isang mas patas at mas etikal na sistema ng edukasyon para sa lahat.")</f>
        <v>Kung naniniwala ang mga mag-aaral na ang kanilang mga marka o admission ay naiimpluwensyahan ng katiwalian sa loob ng kanilang institusyong pang-edukasyon, maraming **potensyal na opsyon sa pag-recourse** ang umiiral, bawat isa ay may sariling mga pakinabang at limitasyon:
**1. Mga Mekanismo ng Panloob na Reklamo:**
* Maraming institusyong pang-edukasyon ang nagtatag ng **mga panloob na pamamaraan ng karaingan** para sa mga mag-aaral upang matugunan ang mga alalahanin tungkol sa mga bagay na pang-akademiko, kabilang ang mga potensyal na iregularidad sa pagmamarka o hindi patas na mga gawi sa pagtanggap.
* Ang mga mag-aaral ay dapat **kumonsulta sa handbook ng mag-aaral o website ng kanilang institusyon** upang maunawaan ang mga partikular na pamamaraan para sa paghahain ng mga panloob na reklamo. Ang mga pamamaraang ito ay maaaring may kasamang:
* Pagsusumite ng nakasulat na reklamo sa mga itinalagang opisyal sa loob ng institusyon.
* Pag-apela sa paunang desisyon kung ang mag-aaral ay hindi nasiyahan sa kinalabasan.
**Mga Bentahe:**
* Kadalasan ang **pinakamabilis at pinakanaa-access** na opsyon para sa mga mag-aaral.
* Nagbibigay-daan sa kanila na tugunan ang isyu nang direkta sa loob ng institusyon.
**Mga Limitasyon:**
* Ang pagiging epektibo ay maaaring mag-iba depende sa pangako ng institusyon sa patas at malinaw na mga pamamaraan.
* Maaaring harapin ng mga estudyante ang **bias o pressure** mula sa mga indibidwal na sangkot sa diumano'y katiwalian.
**2. Pag-uulat sa Mga Panlabas na Awtoridad:**
* Maaaring iulat ng mga mag-aaral ang kanilang mga alalahanin sa **mga panlabas na awtoridad** tulad ng:
* Ang **Commission on Higher Education (CHED)** para sa mga institusyong mas mataas na edukasyon.
* Ang **Department of Education (DepEd)** para sa mga pangunahing institusyon ng edukasyon.
* **Mga ahensyang nagpapatupad ng batas** kung pinaghihinalaan nila ang aktibidad ng kriminal.
**Mga Bentahe:**
* Nagbibigay ng **independiyenteng pagsusuri** ng mga paratang ng isang neutral na katawan.
* Posibleng humantong sa **aksiyong pandisiplina** laban sa mga indibidwal na sangkot sa korapsyon at mga sistematikong reporma sa loob ng institusyon.
**Mga Limitasyon:**
* Ang mga proseso ng pagsisiyasat at paglutas ay maaaring **mabagal at kumplikado**.
* Ang pangangalap ng **matibay na ebidensya** upang suportahan ang mga paratang ay mahalaga para sa isang matagumpay na resulta.
**3. Naghahanap ng Legal na Aksyon:**
* Sa ilang mga kaso, maaaring isaalang-alang ng mga mag-aaral ang **magpatuloy ng legal na aksyon** laban sa institusyong pang-edukasyon. Gayunpaman, ito ay isang **kumplikado at mapaghamong opsyon** na may **hindi tiyak na mga kinalabasan**.
* Kailangang ipakita ng mga mag-aaral ang:
* **Pangyayari ng katiwalian:** Katibayan na nagpapatunay ng mga hindi patas na gawi sa pagmamarka, pagmamanipula ng mga proseso ng admission, atbp.
* **Direktang pinsala:** Isang malinaw na ugnayan sa pagitan ng katiwalian at ng kanilang partikular na pagtanggi sa pagtanggap o hindi patas na pagmamarka.
**Mga Bentahe:**
* Maaaring humantong sa **kabayaran para sa mga pinsala** na natamo dahil sa katiwalian.
* Nagtataas ng kamalayan ng publiko tungkol sa isyu at naglalagay ng presyon sa mga institusyon upang tugunan ang mga sistematikong problema.
**Mga Limitasyon:**
* Nangangailangan ng **makabuluhang mapagkukunan sa pananalapi** at legal na kadalubhasaan.
* Ang pasanin ng patunay ay nakasalalay sa mag-aaral, na nagpapahirap na magtagumpay sa korte.
**4. Advocacy at Public Engagement:**
* Ang mga mag-aaral ay maaaring **magtaas ng kamalayan** tungkol sa isyu sa pamamagitan ng iba't ibang paraan, gaya ng:
* Pakikipag-ugnayan sa mga organisasyon ng mag-aaral at mga grupo ng adbokasiya.
* Pagbabahagi ng kanilang mga karanasan sa mga platform ng social media.
* Nakikipagtulungan sa mga media outlet upang ilantad ang potensyal na katiwalian.
**Mga Bentahe:**
* Maaaring **pakikilos ang pampublikong suporta** para sa pagtugon sa katiwalian sa loob ng sistema ng edukasyon.
* Lumilikha ng panggigipit sa mga institusyon na maging mas transparent at may pananagutan.
**Mga Limitasyon:**
* Maaaring hindi direktang tugunan ang partikular na isyu na kinakaharap ng indibidwal na mag-aaral.
* Umaasa sa mas malawak na sistematikong mga pagbabago upang makamit ang pangmatagalang epekto.
**Ang pagpili ng pinakaangkop na paraan** ay nakasalalay sa mga partikular na pangyayari ng bawat kaso, ang kalubhaan ng di-umano'y katiwalian, at ang mga indibidwal na layunin ng mag-aaral. **Ang pagkonsulta sa isang abogado na dalubhasa sa batas sa edukasyon** ay maaaring magbigay ng mahalagang gabay sa pag-navigate sa mga opsyong ito at pag-unawa sa mga potensyal na panganib at benepisyong kasangkot.
**Bukod dito, mahalagang tandaan na:**
* **Ang pangangalap ng ebidensya** upang suportahan ang mga pag-aangkin ng katiwalian ay mahalaga para sa anumang potensyal na opsyon sa recourse.
* **Ang paghingi ng suporta mula sa mga pinagkakatiwalaang indibidwal** tulad ng mga kapantay, organisasyon ng mag-aaral, o grupo ng adbokasiya ay maaaring makatulong sa buong proseso.
* **Ang pagbibigay-priyoridad sa kaligtasan at kagalingan** ay pinakamahalaga, at dapat iwasan ng mga mag-aaral na ilagay ang kanilang sarili sa panganib kapag tinutugunan ang potensyal na katiwalian.
Sa pamamagitan ng pag-unawa sa kanilang mga opsyon, paghanap ng patnubay, at pagkilos nang sama-sama, ang mga mag-aaral ay maaaring mag-ambag sa paglikha ng isang mas patas at mas etikal na sistema ng edukasyon para sa lahat.</v>
      </c>
      <c r="F1248" s="2">
        <f t="shared" si="1"/>
        <v>0</v>
      </c>
      <c r="G1248" s="2"/>
      <c r="H1248" s="2"/>
      <c r="I1248" s="2"/>
      <c r="J1248" s="2"/>
      <c r="K1248" s="2"/>
      <c r="L1248" s="2"/>
      <c r="M1248" s="2"/>
      <c r="N1248" s="2"/>
      <c r="O1248" s="2"/>
      <c r="P1248" s="2"/>
      <c r="Q1248" s="2"/>
      <c r="R1248" s="2"/>
      <c r="S1248" s="2"/>
      <c r="T1248" s="2"/>
      <c r="U1248" s="2"/>
      <c r="V1248" s="2"/>
      <c r="W1248" s="2"/>
      <c r="X1248" s="2"/>
      <c r="Y1248" s="2"/>
      <c r="Z1248" s="2"/>
      <c r="AA1248" s="2"/>
    </row>
    <row r="1249">
      <c r="A1249" s="1" t="s">
        <v>3356</v>
      </c>
      <c r="B1249" s="1" t="s">
        <v>3663</v>
      </c>
      <c r="C1249" s="1" t="s">
        <v>3664</v>
      </c>
      <c r="D1249" s="2" t="str">
        <f>IFERROR(__xludf.DUMMYFUNCTION("GOOGLETRANSLATE(B1249, ""en"", ""TL"")"),"Maaari bang idemanda ng mga indibidwal ang mga institusyong pang-edukasyon para sa pagsasagawa ng mga tiwaling gawain?")</f>
        <v>Maaari bang idemanda ng mga indibidwal ang mga institusyong pang-edukasyon para sa pagsasagawa ng mga tiwaling gawain?</v>
      </c>
      <c r="E1249" s="2" t="str">
        <f>IFERROR(__xludf.DUMMYFUNCTION("GOOGLETRANSLATE(C1249, ""en"", ""TL"")"),"Sa Pilipinas, ang mga indibidwal **maaaring maghain ng kaso sa mga institusyong pang-edukasyon para sa pagsasagawa ng mga tiwaling gawi**, ngunit ito ay isang **kumplikado at mapaghamong proseso** na may **hindi tiyak na mga kinalabasan**. Narito ang isan"&amp;"g breakdown ng mga pangunahing salik na dapat isaalang-alang:
**Potensyal na mga batayan para sa demanda:**
* **Direktang Pinsala:** Dapat ipakita ng mga indibidwal na ang **mga tiwaling gawi ay direktang nagdulot sa kanila ng pinsala**, gaya ng:
* Pagtan"&amp;"ggi sa pagpasok o scholarship dahil sa mga hindi patas na gawain tulad ng panunuhol o nepotismo.
* Mga pagkalugi sa pananalapi na natamo dahil sa maling paggamit ng mga pondo na nakakaapekto sa mahahalagang mapagkukunan o pasilidad.
* Emosyonal na pagkaba"&amp;"lisa na nagreresulta mula sa mga gawaing may diskriminasyon o hindi etikal na pag-uugali sa loob ng institusyon.
* **Sanhi:** Ang pagtatatag ng **malinaw na sanhi ng link** sa pagitan ng mga tiwaling gawi at ang partikular na pinsalang dinanas ay napakaha"&amp;"laga. Nangangailangan ito ng **matibay na ebidensya** na nagpapakita na ang mga aksyon ng institusyon ay direktang humantong sa mga negatibong kahihinatnan na naranasan ng indibidwal.
**Mga Hamon at Limitasyon:**
* **Burden of Proof:** Ang pasanin ng patu"&amp;"nay ay nakasalalay sa indibidwal upang ipakita ang parehong **pangyayari ng katiwalian** at ang **direktang koneksyon nito sa kanilang partikular na pinsala**. Maaari itong maging mahirap, lalo na kung ang institusyon ay nagtatag ng mga pamamaraan na maaa"&amp;"ring mukhang lehitimo sa ibabaw.
* **Pagiging Kumplikado ng mga Kaso ng Korapsyon:** Ang pagsisiyasat at pagpapakita ng ebidensya ng katiwalian ay maaaring **kumplikado at nakakaubos ng oras**. Ang legal na kadalubhasaan ay madalas na kinakailangan upang "&amp;"i-navigate ang mga masalimuot ng mga naturang kaso.
* **Mga Limitadong Mapagkukunan:** Maaaring maharap ang mga indibidwal **mga hadlang sa pananalapi** sa paghahabol ng mahahabang legal na pakikipaglaban laban sa mga institusyong may mahusay na mapagkuku"&amp;"nan.
**Mga Potensyal na Avenue:**
* **Mga Indibidwal na Paghahabla:** Kung matutugunan ng mga indibidwal ang mga legal na kinakailangan at matagumpay na maipakita ang kanilang kaso, maaari silang gawaran ng mga remedyo gaya ng:
* **Pagpasok sa programa ku"&amp;"ng saan sila tinanggihan ng pagpasok.**
* **Ang pagbibigay ng scholarship ay tinanggihan sila.**
* **Kabayaran sa pananalapi para sa mga pinsalang natamo dahil sa katiwalian (hal., nawalang mga pagkakataon sa edukasyon, mga karagdagang gastos).
* **Mga Re"&amp;"klamo sa Administratibo:** Maaaring magsampa ng **mga reklamo ang mga indibidwal sa mga nauugnay na ahensya ng gobyerno** tulad ng Commission on Higher Education (CHED) o Department of Education (DepEd) na nangangasiwa sa mga institusyong pang-edukasyon. "&amp;"Maaaring imbestigahan ng mga ahensyang ito ang mga paratang at posibleng magpataw ng mga parusa sa institusyon kung may nakitang maling gawain.
**Kahalagahan ng Legal na Patnubay:**
Ang pagkonsulta sa isang abogado na dalubhasa sa batas sa edukasyon at ad"&amp;"ministratibong paglilitis ay mahalaga bago ituloy ang legal na aksyon. Maaari silang:
* **Tasahin ang posibilidad na mabuhay ng kaso:** Suriin ang ebidensya, legal na batayan, at potensyal na mga hamon na kasangkot.
* **Magbigay ng payo sa mga alternatibo"&amp;"ng opsyon:** Mag-explore ng mga paraan tulad ng mga reklamong administratibo o paghingi ng suporta mula sa mga organisasyon ng mag-aaral o NGO na nagtataguyod para sa pagiging patas sa edukasyon.
* **Mag-navigate sa legal na proseso:** Magbigay ng gabay s"&amp;"a pagsasampa ng mga demanda, pangangalap ng ebidensya, at pagkatawan sa iyong mga interes sa korte.
**Tandaan:** Ang paghahabol ng legal na aksyon laban sa mga institusyong pang-edukasyon para sa di-umano'y katiwalian ay kumplikado at nangangailangan ng m"&amp;"aingat na pagsasaalang-alang sa mga hamon na kasangkot. Ang paghahanap ng propesyonal na legal na patnubay at paggalugad sa lahat ng magagamit na mga opsyon ay makakatulong sa mga indibidwal na gumawa ng matalinong mga desisyon at i-maximize ang kanilang "&amp;"mga pagkakataong makamit ang isang positibong resulta.
**Bukod pa rito, ang pagtataguyod para sa mas malakas na transparency at mga hakbang sa pananagutan sa loob ng mga institusyong pang-edukasyon, at pagsuporta sa mga hakbangin para labanan ang katiwali"&amp;"an, ay maaaring mag-ambag sa paglikha ng isang mas patas at mas pantay na sistema ng edukasyon para sa lahat.**")</f>
        <v>Sa Pilipinas, ang mga indibidwal **maaaring maghain ng kaso sa mga institusyong pang-edukasyon para sa pagsasagawa ng mga tiwaling gawi**, ngunit ito ay isang **kumplikado at mapaghamong proseso** na may **hindi tiyak na mga kinalabasan**. Narito ang isang breakdown ng mga pangunahing salik na dapat isaalang-alang:
**Potensyal na mga batayan para sa demanda:**
* **Direktang Pinsala:** Dapat ipakita ng mga indibidwal na ang **mga tiwaling gawi ay direktang nagdulot sa kanila ng pinsala**, gaya ng:
* Pagtanggi sa pagpasok o scholarship dahil sa mga hindi patas na gawain tulad ng panunuhol o nepotismo.
* Mga pagkalugi sa pananalapi na natamo dahil sa maling paggamit ng mga pondo na nakakaapekto sa mahahalagang mapagkukunan o pasilidad.
* Emosyonal na pagkabalisa na nagreresulta mula sa mga gawaing may diskriminasyon o hindi etikal na pag-uugali sa loob ng institusyon.
* **Sanhi:** Ang pagtatatag ng **malinaw na sanhi ng link** sa pagitan ng mga tiwaling gawi at ang partikular na pinsalang dinanas ay napakahalaga. Nangangailangan ito ng **matibay na ebidensya** na nagpapakita na ang mga aksyon ng institusyon ay direktang humantong sa mga negatibong kahihinatnan na naranasan ng indibidwal.
**Mga Hamon at Limitasyon:**
* **Burden of Proof:** Ang pasanin ng patunay ay nakasalalay sa indibidwal upang ipakita ang parehong **pangyayari ng katiwalian** at ang **direktang koneksyon nito sa kanilang partikular na pinsala**. Maaari itong maging mahirap, lalo na kung ang institusyon ay nagtatag ng mga pamamaraan na maaaring mukhang lehitimo sa ibabaw.
* **Pagiging Kumplikado ng mga Kaso ng Korapsyon:** Ang pagsisiyasat at pagpapakita ng ebidensya ng katiwalian ay maaaring **kumplikado at nakakaubos ng oras**. Ang legal na kadalubhasaan ay madalas na kinakailangan upang i-navigate ang mga masalimuot ng mga naturang kaso.
* **Mga Limitadong Mapagkukunan:** Maaaring maharap ang mga indibidwal **mga hadlang sa pananalapi** sa paghahabol ng mahahabang legal na pakikipaglaban laban sa mga institusyong may mahusay na mapagkukunan.
**Mga Potensyal na Avenue:**
* **Mga Indibidwal na Paghahabla:** Kung matutugunan ng mga indibidwal ang mga legal na kinakailangan at matagumpay na maipakita ang kanilang kaso, maaari silang gawaran ng mga remedyo gaya ng:
* **Pagpasok sa programa kung saan sila tinanggihan ng pagpasok.**
* **Ang pagbibigay ng scholarship ay tinanggihan sila.**
* **Kabayaran sa pananalapi para sa mga pinsalang natamo dahil sa katiwalian (hal., nawalang mga pagkakataon sa edukasyon, mga karagdagang gastos).
* **Mga Reklamo sa Administratibo:** Maaaring magsampa ng **mga reklamo ang mga indibidwal sa mga nauugnay na ahensya ng gobyerno** tulad ng Commission on Higher Education (CHED) o Department of Education (DepEd) na nangangasiwa sa mga institusyong pang-edukasyon. Maaaring imbestigahan ng mga ahensyang ito ang mga paratang at posibleng magpataw ng mga parusa sa institusyon kung may nakitang maling gawain.
**Kahalagahan ng Legal na Patnubay:**
Ang pagkonsulta sa isang abogado na dalubhasa sa batas sa edukasyon at administratibong paglilitis ay mahalaga bago ituloy ang legal na aksyon. Maaari silang:
* **Tasahin ang posibilidad na mabuhay ng kaso:** Suriin ang ebidensya, legal na batayan, at potensyal na mga hamon na kasangkot.
* **Magbigay ng payo sa mga alternatibong opsyon:** Mag-explore ng mga paraan tulad ng mga reklamong administratibo o paghingi ng suporta mula sa mga organisasyon ng mag-aaral o NGO na nagtataguyod para sa pagiging patas sa edukasyon.
* **Mag-navigate sa legal na proseso:** Magbigay ng gabay sa pagsasampa ng mga demanda, pangangalap ng ebidensya, at pagkatawan sa iyong mga interes sa korte.
**Tandaan:** Ang paghahabol ng legal na aksyon laban sa mga institusyong pang-edukasyon para sa di-umano'y katiwalian ay kumplikado at nangangailangan ng maingat na pagsasaalang-alang sa mga hamon na kasangkot. Ang paghahanap ng propesyonal na legal na patnubay at paggalugad sa lahat ng magagamit na mga opsyon ay makakatulong sa mga indibidwal na gumawa ng matalinong mga desisyon at i-maximize ang kanilang mga pagkakataong makamit ang isang positibong resulta.
**Bukod pa rito, ang pagtataguyod para sa mas malakas na transparency at mga hakbang sa pananagutan sa loob ng mga institusyong pang-edukasyon, at pagsuporta sa mga hakbangin para labanan ang katiwalian, ay maaaring mag-ambag sa paglikha ng isang mas patas at mas pantay na sistema ng edukasyon para sa lahat.**</v>
      </c>
      <c r="F1249" s="2">
        <f t="shared" si="1"/>
        <v>0</v>
      </c>
      <c r="G1249" s="2"/>
      <c r="H1249" s="2"/>
      <c r="I1249" s="2"/>
      <c r="J1249" s="2"/>
      <c r="K1249" s="2"/>
      <c r="L1249" s="2"/>
      <c r="M1249" s="2"/>
      <c r="N1249" s="2"/>
      <c r="O1249" s="2"/>
      <c r="P1249" s="2"/>
      <c r="Q1249" s="2"/>
      <c r="R1249" s="2"/>
      <c r="S1249" s="2"/>
      <c r="T1249" s="2"/>
      <c r="U1249" s="2"/>
      <c r="V1249" s="2"/>
      <c r="W1249" s="2"/>
      <c r="X1249" s="2"/>
      <c r="Y1249" s="2"/>
      <c r="Z1249" s="2"/>
      <c r="AA1249" s="2"/>
    </row>
    <row r="1250">
      <c r="A1250" s="1" t="s">
        <v>3356</v>
      </c>
      <c r="B1250" s="1" t="s">
        <v>3665</v>
      </c>
      <c r="C1250" s="1" t="s">
        <v>3666</v>
      </c>
      <c r="D1250" s="2" t="str">
        <f>IFERROR(__xludf.DUMMYFUNCTION("GOOGLETRANSLATE(B1250, ""en"", ""TL"")"),"Anong mga batas ang partikular na tumutugon sa katiwalian sa loob ng sektor ng edukasyon?")</f>
        <v>Anong mga batas ang partikular na tumutugon sa katiwalian sa loob ng sektor ng edukasyon?</v>
      </c>
      <c r="E1250" s="2" t="str">
        <f>IFERROR(__xludf.DUMMYFUNCTION("GOOGLETRANSLATE(C1250, ""en"", ""TL"")"),"Bagama't ang Pilipinas **ay walang iisang batas na nakatuon lamang sa pagtugon sa katiwalian sa loob ng sektor ng edukasyon**, maraming umiiral na batas at regulasyon ang nagsisilbing mga balangkas upang labanan ang mga ganitong gawain. Ang mga batas na i"&amp;"to ay maaaring malawak na ikategorya sa dalawang pangunahing lugar:
**1. Mga Batas laban sa Korupsyon:**
* **Republic Act No. 3019 (Anti-Graft and Corrupt Practices Act):** Ito ang **pangunahing batas laban sa katiwalian** sa Pilipinas, na binabalangkas a"&amp;"ng iba't ibang mga pagkakasala na itinuturing na mga katiwalian, kabilang ang:
* Panunuhol
* Graft
* Maling pag-uugali sa opisina
* Pag-iwas sa mga buwis
* Malversation ng pampublikong pondo
Nalalapat ang batas na ito sa **lahat ng pampublikong opisyal at"&amp;" empleyado**, kabilang ang mga nagtatrabaho sa mga pampublikong institusyong pang-edukasyon. Ang mga indibidwal na napatunayang nagkasala ng paglabag sa batas na ito ay maaaring maharap sa **mga parusang pang-administratibo, mga kasong kriminal, at panana"&amp;"gutan sibil**.
* **Binagong Kodigo Penal:** Tinutukoy ng kodigo na ito ang iba't ibang **mga kriminal na pagkakasala**, ang ilan sa mga ito ay maaaring may kaugnayan sa katiwalian sa edukasyon, gaya ng:
* Pamemeke
* Falsification ng mga dokumento
* Paglus"&amp;"tay
* Panloloko
Ang mga pagkakasala na ito ay maaaring ilapat sa mga tagapagturo, administrador, o mga indibidwal na sangkot sa mga tiwaling aktibidad sa loob ng mga institusyong pang-edukasyon.
**2. Mga Regulasyon na Partikular sa Edukasyon:**
* **Republ"&amp;"ic Act No. 9155 (Governance of Basic Education Act):** Binabalangkas ng batas na ito ang **mga prinsipyo at pamantayan ng pamamahala** para sa mga pampublikong paaralang elementarya at sekondarya, kabilang ang mga probisyon na naglalayong itaguyod ang tra"&amp;"nsparency at pananagutan. Binibigyang-diin nito ang pangangailangan para sa:
* **Etikal na pag-uugali** sa mga tauhan ng paaralan
* **Tamang pamamahala sa pananalapi**
* **Mga regular na pag-audit at mekanismo ng pananagutan**
* **Commission on Higher Edu"&amp;"cation (CHED) Memoranda:** Ang CHED, ang ahensya ng gobyerno na nangangasiwa sa mas mataas na edukasyon, ay naglalabas ng iba't ibang memoranda na nagbabalangkas **mga patakaran at alituntunin** na may kaugnayan sa etikal na pag-uugali, mabuting pamamahal"&amp;"a, at pamamahala sa pananalapi sa mga institusyong mas mataas na edukasyon. Ang mga regulasyong ito ay naglalayong **pigilan at matugunan ang mga potensyal na katiwalian** sa loob ng mga institusyong ito.
**3. Proteksyon sa Whistleblower:**
* **Republic A"&amp;"ct No. 6713 (Code of Conduct and Ethical Standards for Public Officials and Employees):** Ang batas na ito, bagama't hindi partikular sa edukasyon, ay naghihikayat sa **pag-uulat ng katiwalian** ng mga pampublikong opisyal at empleyado, kabilang ang mga n"&amp;"asa pampublikong institusyong pang-edukasyon. Nagbibigay-daan ito sa **anonymous na pag-uulat** sa pamamagitan ng iba't ibang channel.
**Mahalagang tandaan** na ang mga batas at regulasyong ito ay nagbibigay ng **pangkalahatang balangkas** para sa pagtugo"&amp;"n sa katiwalian sa edukasyon, at **ang pagiging epektibo ng mga ito ay nakasalalay sa iba't ibang salik**, kabilang ang:
* **Mga mekanismo ng pagpapatupad:** Ang kapasidad at pangako ng mga may-katuturang awtoridad na mabisang imbestigahan at usigin ang m"&amp;"ga kaso ng katiwalian.
* **Transparency at pananagutan:** Ang pagkakaroon ng matatag na mekanismo sa loob ng mga institusyong pang-edukasyon upang maiwasan at matukoy ang katiwalian.
* **Pampublikong kamalayan at pakikilahok:** Ang pagpayag ng mga indibid"&amp;"wal na iulat ang katiwalian at panagutin ang mga institusyon.
**Bagama't ang legal na tanawin ay maaaring hindi nag-aalok ng isang komprehensibong solusyon, ang pag-unawa sa mga umiiral na batas at regulasyon na ito ay nagbibigay ng kapangyarihan sa mga i"&amp;"ndibidwal at stakeholder na matukoy ang mga potensyal na pagkakataon ng katiwalian, iulat ang mga ito sa pamamagitan ng naaangkop na mga channel, at itaguyod ang mas matibay na mga hakbang upang matiyak ang isang mas etikal at transparent na edukasyon sis"&amp;"tema.**")</f>
        <v>Bagama't ang Pilipinas **ay walang iisang batas na nakatuon lamang sa pagtugon sa katiwalian sa loob ng sektor ng edukasyon**, maraming umiiral na batas at regulasyon ang nagsisilbing mga balangkas upang labanan ang mga ganitong gawain. Ang mga batas na ito ay maaaring malawak na ikategorya sa dalawang pangunahing lugar:
**1. Mga Batas laban sa Korupsyon:**
* **Republic Act No. 3019 (Anti-Graft and Corrupt Practices Act):** Ito ang **pangunahing batas laban sa katiwalian** sa Pilipinas, na binabalangkas ang iba't ibang mga pagkakasala na itinuturing na mga katiwalian, kabilang ang:
* Panunuhol
* Graft
* Maling pag-uugali sa opisina
* Pag-iwas sa mga buwis
* Malversation ng pampublikong pondo
Nalalapat ang batas na ito sa **lahat ng pampublikong opisyal at empleyado**, kabilang ang mga nagtatrabaho sa mga pampublikong institusyong pang-edukasyon. Ang mga indibidwal na napatunayang nagkasala ng paglabag sa batas na ito ay maaaring maharap sa **mga parusang pang-administratibo, mga kasong kriminal, at pananagutan sibil**.
* **Binagong Kodigo Penal:** Tinutukoy ng kodigo na ito ang iba't ibang **mga kriminal na pagkakasala**, ang ilan sa mga ito ay maaaring may kaugnayan sa katiwalian sa edukasyon, gaya ng:
* Pamemeke
* Falsification ng mga dokumento
* Paglustay
* Panloloko
Ang mga pagkakasala na ito ay maaaring ilapat sa mga tagapagturo, administrador, o mga indibidwal na sangkot sa mga tiwaling aktibidad sa loob ng mga institusyong pang-edukasyon.
**2. Mga Regulasyon na Partikular sa Edukasyon:**
* **Republic Act No. 9155 (Governance of Basic Education Act):** Binabalangkas ng batas na ito ang **mga prinsipyo at pamantayan ng pamamahala** para sa mga pampublikong paaralang elementarya at sekondarya, kabilang ang mga probisyon na naglalayong itaguyod ang transparency at pananagutan. Binibigyang-diin nito ang pangangailangan para sa:
* **Etikal na pag-uugali** sa mga tauhan ng paaralan
* **Tamang pamamahala sa pananalapi**
* **Mga regular na pag-audit at mekanismo ng pananagutan**
* **Commission on Higher Education (CHED) Memoranda:** Ang CHED, ang ahensya ng gobyerno na nangangasiwa sa mas mataas na edukasyon, ay naglalabas ng iba't ibang memoranda na nagbabalangkas **mga patakaran at alituntunin** na may kaugnayan sa etikal na pag-uugali, mabuting pamamahala, at pamamahala sa pananalapi sa mga institusyong mas mataas na edukasyon. Ang mga regulasyong ito ay naglalayong **pigilan at matugunan ang mga potensyal na katiwalian** sa loob ng mga institusyong ito.
**3. Proteksyon sa Whistleblower:**
* **Republic Act No. 6713 (Code of Conduct and Ethical Standards for Public Officials and Employees):** Ang batas na ito, bagama't hindi partikular sa edukasyon, ay naghihikayat sa **pag-uulat ng katiwalian** ng mga pampublikong opisyal at empleyado, kabilang ang mga nasa pampublikong institusyong pang-edukasyon. Nagbibigay-daan ito sa **anonymous na pag-uulat** sa pamamagitan ng iba't ibang channel.
**Mahalagang tandaan** na ang mga batas at regulasyong ito ay nagbibigay ng **pangkalahatang balangkas** para sa pagtugon sa katiwalian sa edukasyon, at **ang pagiging epektibo ng mga ito ay nakasalalay sa iba't ibang salik**, kabilang ang:
* **Mga mekanismo ng pagpapatupad:** Ang kapasidad at pangako ng mga may-katuturang awtoridad na mabisang imbestigahan at usigin ang mga kaso ng katiwalian.
* **Transparency at pananagutan:** Ang pagkakaroon ng matatag na mekanismo sa loob ng mga institusyong pang-edukasyon upang maiwasan at matukoy ang katiwalian.
* **Pampublikong kamalayan at pakikilahok:** Ang pagpayag ng mga indibidwal na iulat ang katiwalian at panagutin ang mga institusyon.
**Bagama't ang legal na tanawin ay maaaring hindi nag-aalok ng isang komprehensibong solusyon, ang pag-unawa sa mga umiiral na batas at regulasyon na ito ay nagbibigay ng kapangyarihan sa mga indibidwal at stakeholder na matukoy ang mga potensyal na pagkakataon ng katiwalian, iulat ang mga ito sa pamamagitan ng naaangkop na mga channel, at itaguyod ang mas matibay na mga hakbang upang matiyak ang isang mas etikal at transparent na edukasyon sistema.**</v>
      </c>
      <c r="F1250" s="2">
        <f t="shared" si="1"/>
        <v>0</v>
      </c>
      <c r="G1250" s="2"/>
      <c r="H1250" s="2"/>
      <c r="I1250" s="2"/>
      <c r="J1250" s="2"/>
      <c r="K1250" s="2"/>
      <c r="L1250" s="2"/>
      <c r="M1250" s="2"/>
      <c r="N1250" s="2"/>
      <c r="O1250" s="2"/>
      <c r="P1250" s="2"/>
      <c r="Q1250" s="2"/>
      <c r="R1250" s="2"/>
      <c r="S1250" s="2"/>
      <c r="T1250" s="2"/>
      <c r="U1250" s="2"/>
      <c r="V1250" s="2"/>
      <c r="W1250" s="2"/>
      <c r="X1250" s="2"/>
      <c r="Y1250" s="2"/>
      <c r="Z1250" s="2"/>
      <c r="AA1250" s="2"/>
    </row>
    <row r="1251">
      <c r="A1251" s="1" t="s">
        <v>3356</v>
      </c>
      <c r="B1251" s="1" t="s">
        <v>3667</v>
      </c>
      <c r="C1251" s="1" t="s">
        <v>3668</v>
      </c>
      <c r="D1251" s="2" t="str">
        <f>IFERROR(__xludf.DUMMYFUNCTION("GOOGLETRANSLATE(B1251, ""en"", ""TL"")"),"Mayroon bang mga partikular na proteksyon ng whistleblower para sa mga indibidwal na nag-uulat ng katiwalian sa edukasyon?")</f>
        <v>Mayroon bang mga partikular na proteksyon ng whistleblower para sa mga indibidwal na nag-uulat ng katiwalian sa edukasyon?</v>
      </c>
      <c r="E1251" s="2" t="str">
        <f>IFERROR(__xludf.DUMMYFUNCTION("GOOGLETRANSLATE(C1251, ""en"", ""TL"")"),"Bagama't ang Pilipinas ay walang **komprehensibong legal na balangkas** na partikular na nakatuon sa pagprotekta sa **mga whistleblower sa edukasyon**, mayroong **pira-pirasong probisyon at mekanismo** na nag-aalok ng **mga limitadong pananggalang**:
**1."&amp;" Republic Act No. 6713 (Code of Conduct and Ethical Standards for Public Officials and Employees):**
* **Seksyon 32:** Hinihikayat ng seksyong ito ang pag-uulat ng mga graft at corrupt na gawi ng mga pampublikong opisyal at empleyado, kabilang ang mga nag"&amp;"tatrabaho sa **mga pampublikong institusyong pang-edukasyon**. Pinapayagan nito ang **anonymous na pag-uulat** sa pamamagitan ng iba't ibang channel, kabilang ang:
* **Mga Opisina ng Ombudsman**
* **Mga espesyal na tagausig**
* **Mga pinuno ng ahensya**
*"&amp;" **Mga ahensyang nagpapatupad ng batas**
**Gayunpaman, may mga limitasyon:**
* **Limitadong Saklaw:** Ang batas na ito ay pangunahing nalalapat sa **mga pampublikong institusyong pang-edukasyon**, hindi sa mga pribado.
* **Mga Alalahanin sa Pagkakumpidens"&amp;"yal:** Bagama't hinihikayat ang hindi pagkakilala, walang garantiya ng kumpletong pagiging kumpidensyal sa buong proseso ng pagsisiyasat. Maaaring kailanganin ng mga awtoridad na ibunyag ang pagkakakilanlan ng reporter sa ilang partikular na sitwasyon, na"&amp;" posibleng malagay sa panganib ang kanilang hindi pagkakilala.
**2. Mga Mekanismo ng Panloob na Pag-uulat:**
* Ang ilang mga institusyong pang-edukasyon, partikular na **mga pampublikong paaralan at unibersidad**, ay maaaring nagtatag ng **mga panloob na "&amp;"channel sa pag-uulat** para sa mga mag-aaral at kawani upang mag-ulat ng maling gawain nang hindi nagpapakilala o kumpidensyal. Ang mga mekanismong ito ay maaaring mag-iba sa kanilang pagiging epektibo at antas ng proteksyong inaalok.
**3. Mga Programa sa"&amp;" Proteksyon ng Whistleblower:**
* Bagama't hindi partikular na idinisenyo para sa edukasyon, ang ilang ahensya ng gobyerno tulad ng **Civil Service Commission (CSC)** ay nag-aalok ng **mga programa sa proteksyon ng whistleblower** na maaaring naaangkop sa"&amp;" mga indibidwal na nag-uulat ng katiwalian na kinasasangkutan ng mga pampublikong opisyal sa loob ng kanilang mga institusyong pang-edukasyon. Ang mga programang ito ay nag-aalok ng ilang **limitadong pag-iingat**, ngunit ang kanilang pagiging epektibo ay"&amp;" maaaring mag-iba depende sa partikular na mga pangyayari.
**4. Karapatan sa Edukasyon:**
* Ang **Philippine Constitution** ay ginagarantiyahan ang karapatan sa edukasyon. Maaaring gamitin ng mga mag-aaral at tagapagturo ang karapatang ito na hamunin ang "&amp;"mga kasanayan sa loob ng sistema ng edukasyon na humahadlang sa kanilang pag-access sa de-kalidad na edukasyon dahil sa katiwalian.
**Mga Hamon at Pagsasaalang-alang:**
* **Limitadong Saklaw at Pagkabisa:** Ang mga kasalukuyang proteksyon ay kadalasang **"&amp;"pira-piraso at nag-aalok ng mga limitadong garantiya** para sa kaligtasan ng whistleblower at hindi nagpapakilala kapag nag-uulat ng katiwalian.
* **Potensyal na Pagganti:** Palaging may **panganib ng paghihiganti** mula sa mga indibidwal o entity na sang"&amp;"kot sa iniulat na katiwalian, kahit na may hindi kilalang pag-uulat.
* **Kahalagahan ng Ebidensya:** Ang pangangalap ng **matibay na ebidensya** upang suportahan ang mga paratang ng katiwalian ay maaaring maging mahalaga para sa anumang potensyal na imbes"&amp;"tigasyon o legal na aksyon.
**Mga Rekomendasyon:**
* **Pagtataguyod para sa Mas Malakas na Mga Proteksyon:** Ang pagtataguyod para sa pagbuo at pagpapatupad ng **komprehensibong legal na mga balangkas** na partikular na idinisenyo upang protektahan ang mg"&amp;"a whistleblower sa edukasyon ay napakahalaga para sa paglikha ng isang mas ligtas na kapaligiran para sa pag-uulat ng katiwalian.
* **Naghahanap ng Patnubay at Suporta:** Ang pagkonsulta sa **mga abogadong dalubhasa sa batas sa edukasyon o proteksyon ng w"&amp;"histleblower**, mga organisasyon ng mag-aaral, o NGO na nagtatrabaho sa adbokasiya sa edukasyon ay maaaring magbigay ng mahalagang patnubay, suporta, at mapagkukunan para sa mga indibidwal na isinasaalang-alang ang pag-uulat ng katiwalian.
**Tandaan:** Ha"&amp;"bang ang pag-navigate sa mga kumplikado ng pag-uulat ng katiwalian ay maaaring maging mahirap, **ang mga whistleblower ay may mahalagang papel sa paglalantad ng maling gawain at pagpapanagot sa mga institusyon**. Sa pamamagitan ng pag-unawa sa mga umiiral"&amp;" na limitasyon at paggalugad ng mga magagamit na opsyon, ang mga indibidwal ay maaaring mag-ambag sa pagbuo ng isang mas malinaw at may pananagutan na sistema ng edukasyon.")</f>
        <v>Bagama't ang Pilipinas ay walang **komprehensibong legal na balangkas** na partikular na nakatuon sa pagprotekta sa **mga whistleblower sa edukasyon**, mayroong **pira-pirasong probisyon at mekanismo** na nag-aalok ng **mga limitadong pananggalang**:
**1. Republic Act No. 6713 (Code of Conduct and Ethical Standards for Public Officials and Employees):**
* **Seksyon 32:** Hinihikayat ng seksyong ito ang pag-uulat ng mga graft at corrupt na gawi ng mga pampublikong opisyal at empleyado, kabilang ang mga nagtatrabaho sa **mga pampublikong institusyong pang-edukasyon**. Pinapayagan nito ang **anonymous na pag-uulat** sa pamamagitan ng iba't ibang channel, kabilang ang:
* **Mga Opisina ng Ombudsman**
* **Mga espesyal na tagausig**
* **Mga pinuno ng ahensya**
* **Mga ahensyang nagpapatupad ng batas**
**Gayunpaman, may mga limitasyon:**
* **Limitadong Saklaw:** Ang batas na ito ay pangunahing nalalapat sa **mga pampublikong institusyong pang-edukasyon**, hindi sa mga pribado.
* **Mga Alalahanin sa Pagkakumpidensyal:** Bagama't hinihikayat ang hindi pagkakilala, walang garantiya ng kumpletong pagiging kumpidensyal sa buong proseso ng pagsisiyasat. Maaaring kailanganin ng mga awtoridad na ibunyag ang pagkakakilanlan ng reporter sa ilang partikular na sitwasyon, na posibleng malagay sa panganib ang kanilang hindi pagkakilala.
**2. Mga Mekanismo ng Panloob na Pag-uulat:**
* Ang ilang mga institusyong pang-edukasyon, partikular na **mga pampublikong paaralan at unibersidad**, ay maaaring nagtatag ng **mga panloob na channel sa pag-uulat** para sa mga mag-aaral at kawani upang mag-ulat ng maling gawain nang hindi nagpapakilala o kumpidensyal. Ang mga mekanismong ito ay maaaring mag-iba sa kanilang pagiging epektibo at antas ng proteksyong inaalok.
**3. Mga Programa sa Proteksyon ng Whistleblower:**
* Bagama't hindi partikular na idinisenyo para sa edukasyon, ang ilang ahensya ng gobyerno tulad ng **Civil Service Commission (CSC)** ay nag-aalok ng **mga programa sa proteksyon ng whistleblower** na maaaring naaangkop sa mga indibidwal na nag-uulat ng katiwalian na kinasasangkutan ng mga pampublikong opisyal sa loob ng kanilang mga institusyong pang-edukasyon. Ang mga programang ito ay nag-aalok ng ilang **limitadong pag-iingat**, ngunit ang kanilang pagiging epektibo ay maaaring mag-iba depende sa partikular na mga pangyayari.
**4. Karapatan sa Edukasyon:**
* Ang **Philippine Constitution** ay ginagarantiyahan ang karapatan sa edukasyon. Maaaring gamitin ng mga mag-aaral at tagapagturo ang karapatang ito na hamunin ang mga kasanayan sa loob ng sistema ng edukasyon na humahadlang sa kanilang pag-access sa de-kalidad na edukasyon dahil sa katiwalian.
**Mga Hamon at Pagsasaalang-alang:**
* **Limitadong Saklaw at Pagkabisa:** Ang mga kasalukuyang proteksyon ay kadalasang **pira-piraso at nag-aalok ng mga limitadong garantiya** para sa kaligtasan ng whistleblower at hindi nagpapakilala kapag nag-uulat ng katiwalian.
* **Potensyal na Pagganti:** Palaging may **panganib ng paghihiganti** mula sa mga indibidwal o entity na sangkot sa iniulat na katiwalian, kahit na may hindi kilalang pag-uulat.
* **Kahalagahan ng Ebidensya:** Ang pangangalap ng **matibay na ebidensya** upang suportahan ang mga paratang ng katiwalian ay maaaring maging mahalaga para sa anumang potensyal na imbestigasyon o legal na aksyon.
**Mga Rekomendasyon:**
* **Pagtataguyod para sa Mas Malakas na Mga Proteksyon:** Ang pagtataguyod para sa pagbuo at pagpapatupad ng **komprehensibong legal na mga balangkas** na partikular na idinisenyo upang protektahan ang mga whistleblower sa edukasyon ay napakahalaga para sa paglikha ng isang mas ligtas na kapaligiran para sa pag-uulat ng katiwalian.
* **Naghahanap ng Patnubay at Suporta:** Ang pagkonsulta sa **mga abogadong dalubhasa sa batas sa edukasyon o proteksyon ng whistleblower**, mga organisasyon ng mag-aaral, o NGO na nagtatrabaho sa adbokasiya sa edukasyon ay maaaring magbigay ng mahalagang patnubay, suporta, at mapagkukunan para sa mga indibidwal na isinasaalang-alang ang pag-uulat ng katiwalian.
**Tandaan:** Habang ang pag-navigate sa mga kumplikado ng pag-uulat ng katiwalian ay maaaring maging mahirap, **ang mga whistleblower ay may mahalagang papel sa paglalantad ng maling gawain at pagpapanagot sa mga institusyon**. Sa pamamagitan ng pag-unawa sa mga umiiral na limitasyon at paggalugad ng mga magagamit na opsyon, ang mga indibidwal ay maaaring mag-ambag sa pagbuo ng isang mas malinaw at may pananagutan na sistema ng edukasyon.</v>
      </c>
      <c r="F1251" s="2">
        <f t="shared" si="1"/>
        <v>0</v>
      </c>
      <c r="G1251" s="2"/>
      <c r="H1251" s="2"/>
      <c r="I1251" s="2"/>
      <c r="J1251" s="2"/>
      <c r="K1251" s="2"/>
      <c r="L1251" s="2"/>
      <c r="M1251" s="2"/>
      <c r="N1251" s="2"/>
      <c r="O1251" s="2"/>
      <c r="P1251" s="2"/>
      <c r="Q1251" s="2"/>
      <c r="R1251" s="2"/>
      <c r="S1251" s="2"/>
      <c r="T1251" s="2"/>
      <c r="U1251" s="2"/>
      <c r="V1251" s="2"/>
      <c r="W1251" s="2"/>
      <c r="X1251" s="2"/>
      <c r="Y1251" s="2"/>
      <c r="Z1251" s="2"/>
      <c r="AA1251" s="2"/>
    </row>
    <row r="1252">
      <c r="A1252" s="1" t="s">
        <v>3356</v>
      </c>
      <c r="B1252" s="1" t="s">
        <v>3669</v>
      </c>
      <c r="C1252" s="1" t="s">
        <v>3670</v>
      </c>
      <c r="D1252" s="2" t="str">
        <f>IFERROR(__xludf.DUMMYFUNCTION("GOOGLETRANSLATE(B1252, ""en"", ""TL"")"),"Paano ako makakalap ng ebidensya para suportahan ang isang claim ng katiwalian sa edukasyon?")</f>
        <v>Paano ako makakalap ng ebidensya para suportahan ang isang claim ng katiwalian sa edukasyon?</v>
      </c>
      <c r="E1252" s="2" t="str">
        <f>IFERROR(__xludf.DUMMYFUNCTION("GOOGLETRANSLATE(C1252, ""en"", ""TL"")"),"Ang pangangalap ng ebidensya upang suportahan ang isang claim ng katiwalian sa edukasyon ay nangangailangan ng **pag-iingat, pagiging maselan, at isang matibay na pag-unawa sa mga potensyal na panganib na kasangkot**. Napakahalaga na **priyoridad ang iyon"&amp;"g kaligtasan at kapakanan** sa buong proseso. Narito ang ilang hakbang na maaari mong isaalang-alang, **nagbibigay-diin sa kahalagahan ng paghanap ng propesyonal na patnubay**:
**1. Tukuyin ang Saklaw ng Di-umano'y Korapsyon:**
* Malinaw na tukuyin ang **"&amp;"partikular na isyu** na pinaghihinalaan mong corrupt, gaya ng panunuhol sa mga admission, pagmamanipula ng grado, maling paggamit ng mga pondo, atbp.
* **Tumuon sa mga partikular na pagkakataon** kung saan naobserbahan o nakaranas ka ng potensyal na malin"&amp;"g gawain, sa halip na gumawa ng mga pangkalahatang akusasyon.
**2. Pagtitipon ng Dokumento:**
* Kolektahin ang anumang **kaugnay na mga dokumento** na maaaring suportahan ang iyong mga paghahabol, gaya ng:
* **Opisyal na komunikasyon:** Mga email, liham, "&amp;"o abiso mula sa institusyong nauugnay sa pinaghihinalaang katiwalian.
* **Mga talaan sa pananalapi:** Mga resibo, invoice, o anumang dokumentong nagsasaad ng potensyal na maling paggamit ng mga pondo.
* **Mga panloob na patakaran at pamamaraan:** Mga nauu"&amp;"gnay na alituntunin o regulasyon na maaaring nilabag.
**3. Mga Testimonya ng Saksi:**
* Kung ang iba ay nakasaksi o nakaranas ng mga katulad na isyu, **hikayat silang magbigay ng nakasulat na mga pahayag** na nagdedetalye ng kanilang mga obserbasyon, **na"&amp;"ng may pahintulot at pag-unawa sa mga potensyal na panganib na kasangkot**.
* **Panatilihin ang pagiging kumpidensyal** at iwasang pilitin ang mga indibidwal na lumapit kung hindi sila komportable.
**4. Anonymous na Pag-uulat:**
* Isaalang-alang ang **pag"&amp;"-uulat ng iyong mga alalahanin nang hindi nagpapakilala** sa pamamagitan ng mga itinatag na channel sa loob ng institusyon, kung available.
* Bagama't maaaring hindi ginagarantiyahan ng anonymity ang kumpletong proteksyon, maaari itong maging isang opsyon"&amp;" kung natatakot kang gantihan.
**5. Humingi ng Propesyonal na Patnubay:**
* Ang pagkonsulta sa isang abogado na dalubhasa sa batas sa edukasyon o mga usapin laban sa katiwalian ay **mahalaga** para sa pag-unawa sa legal na tanawin, mga potensyal na pangan"&amp;"ib na kasangkot sa pangangalap ng ebidensya, at pag-navigate sa proseso nang ligtas at epektibo.
* Maaari silang magpayo tungkol sa **mga pagsasaalang-alang sa legal at etikal** ng pagkolekta ng ebidensya, magmungkahi ng mga naaangkop na paraan upang mapr"&amp;"otektahan ang iyong pagkakakilanlan, at gabayan ka sa mga pinakamabisang paraan upang ipakita ang iyong mga natuklasan sa mga may-katuturang awtoridad.
**Mahahalagang Pag-iingat:**
* **Iwasan ang mga ilegal na aktibidad:** Huwag kailanman gumawa ng anuman"&amp;"g aksyon na lumalabag sa batas o ilagay sa panganib ang iyong sarili o ang iba habang nangangalap ng ebidensya.
* **Panatilihin ang etikal na pag-uugali:** Tiyaking ang iyong mga paraan ng pagkuha ng ebidensya ay etikal at legal upang maiwasang malagay sa"&amp;" panganib ang bisa ng iyong mga claim.
* **Priyoridad ang iyong kaligtasan:** Maging maingat sa potensyal na paghihiganti at unahin ang iyong kaligtasan at kagalingan sa buong proseso.
**Tandaan:** Ang pangangalap ng ebidensya para sa mga claim sa katiwal"&amp;"ian ay maaaring maging kumplikado at magdulot ng mga potensyal na panganib. **Ang pagkonsulta sa isang abogado** at **pagbibigay-priyoridad sa iyong kaligtasan** ay mahahalagang hakbang bago gumawa ng anumang aksyon. Maaari ka nilang gabayan sa proseso na"&amp;"ng etikal at epektibo, na pinalaki ang epekto ng iyong mga pagsisikap sa pagtugon sa mga potensyal na katiwalian sa loob ng sistema ng edukasyon.")</f>
        <v>Ang pangangalap ng ebidensya upang suportahan ang isang claim ng katiwalian sa edukasyon ay nangangailangan ng **pag-iingat, pagiging maselan, at isang matibay na pag-unawa sa mga potensyal na panganib na kasangkot**. Napakahalaga na **priyoridad ang iyong kaligtasan at kapakanan** sa buong proseso. Narito ang ilang hakbang na maaari mong isaalang-alang, **nagbibigay-diin sa kahalagahan ng paghanap ng propesyonal na patnubay**:
**1. Tukuyin ang Saklaw ng Di-umano'y Korapsyon:**
* Malinaw na tukuyin ang **partikular na isyu** na pinaghihinalaan mong corrupt, gaya ng panunuhol sa mga admission, pagmamanipula ng grado, maling paggamit ng mga pondo, atbp.
* **Tumuon sa mga partikular na pagkakataon** kung saan naobserbahan o nakaranas ka ng potensyal na maling gawain, sa halip na gumawa ng mga pangkalahatang akusasyon.
**2. Pagtitipon ng Dokumento:**
* Kolektahin ang anumang **kaugnay na mga dokumento** na maaaring suportahan ang iyong mga paghahabol, gaya ng:
* **Opisyal na komunikasyon:** Mga email, liham, o abiso mula sa institusyong nauugnay sa pinaghihinalaang katiwalian.
* **Mga talaan sa pananalapi:** Mga resibo, invoice, o anumang dokumentong nagsasaad ng potensyal na maling paggamit ng mga pondo.
* **Mga panloob na patakaran at pamamaraan:** Mga nauugnay na alituntunin o regulasyon na maaaring nilabag.
**3. Mga Testimonya ng Saksi:**
* Kung ang iba ay nakasaksi o nakaranas ng mga katulad na isyu, **hikayat silang magbigay ng nakasulat na mga pahayag** na nagdedetalye ng kanilang mga obserbasyon, **nang may pahintulot at pag-unawa sa mga potensyal na panganib na kasangkot**.
* **Panatilihin ang pagiging kumpidensyal** at iwasang pilitin ang mga indibidwal na lumapit kung hindi sila komportable.
**4. Anonymous na Pag-uulat:**
* Isaalang-alang ang **pag-uulat ng iyong mga alalahanin nang hindi nagpapakilala** sa pamamagitan ng mga itinatag na channel sa loob ng institusyon, kung available.
* Bagama't maaaring hindi ginagarantiyahan ng anonymity ang kumpletong proteksyon, maaari itong maging isang opsyon kung natatakot kang gantihan.
**5. Humingi ng Propesyonal na Patnubay:**
* Ang pagkonsulta sa isang abogado na dalubhasa sa batas sa edukasyon o mga usapin laban sa katiwalian ay **mahalaga** para sa pag-unawa sa legal na tanawin, mga potensyal na panganib na kasangkot sa pangangalap ng ebidensya, at pag-navigate sa proseso nang ligtas at epektibo.
* Maaari silang magpayo tungkol sa **mga pagsasaalang-alang sa legal at etikal** ng pagkolekta ng ebidensya, magmungkahi ng mga naaangkop na paraan upang maprotektahan ang iyong pagkakakilanlan, at gabayan ka sa mga pinakamabisang paraan upang ipakita ang iyong mga natuklasan sa mga may-katuturang awtoridad.
**Mahahalagang Pag-iingat:**
* **Iwasan ang mga ilegal na aktibidad:** Huwag kailanman gumawa ng anumang aksyon na lumalabag sa batas o ilagay sa panganib ang iyong sarili o ang iba habang nangangalap ng ebidensya.
* **Panatilihin ang etikal na pag-uugali:** Tiyaking ang iyong mga paraan ng pagkuha ng ebidensya ay etikal at legal upang maiwasang malagay sa panganib ang bisa ng iyong mga claim.
* **Priyoridad ang iyong kaligtasan:** Maging maingat sa potensyal na paghihiganti at unahin ang iyong kaligtasan at kagalingan sa buong proseso.
**Tandaan:** Ang pangangalap ng ebidensya para sa mga claim sa katiwalian ay maaaring maging kumplikado at magdulot ng mga potensyal na panganib. **Ang pagkonsulta sa isang abogado** at **pagbibigay-priyoridad sa iyong kaligtasan** ay mahahalagang hakbang bago gumawa ng anumang aksyon. Maaari ka nilang gabayan sa proseso nang etikal at epektibo, na pinalaki ang epekto ng iyong mga pagsisikap sa pagtugon sa mga potensyal na katiwalian sa loob ng sistema ng edukasyon.</v>
      </c>
      <c r="F1252" s="2">
        <f t="shared" si="1"/>
        <v>0</v>
      </c>
      <c r="G1252" s="2"/>
      <c r="H1252" s="2"/>
      <c r="I1252" s="2"/>
      <c r="J1252" s="2"/>
      <c r="K1252" s="2"/>
      <c r="L1252" s="2"/>
      <c r="M1252" s="2"/>
      <c r="N1252" s="2"/>
      <c r="O1252" s="2"/>
      <c r="P1252" s="2"/>
      <c r="Q1252" s="2"/>
      <c r="R1252" s="2"/>
      <c r="S1252" s="2"/>
      <c r="T1252" s="2"/>
      <c r="U1252" s="2"/>
      <c r="V1252" s="2"/>
      <c r="W1252" s="2"/>
      <c r="X1252" s="2"/>
      <c r="Y1252" s="2"/>
      <c r="Z1252" s="2"/>
      <c r="AA1252" s="2"/>
    </row>
    <row r="1253">
      <c r="A1253" s="1" t="s">
        <v>3356</v>
      </c>
      <c r="B1253" s="1" t="s">
        <v>3671</v>
      </c>
      <c r="C1253" s="1" t="s">
        <v>3672</v>
      </c>
      <c r="D1253" s="2" t="str">
        <f>IFERROR(__xludf.DUMMYFUNCTION("GOOGLETRANSLATE(B1253, ""en"", ""TL"")"),"Mayroon bang anumang mga precedent o case study ng matagumpay na legal na aksyon laban sa mga tiwaling institusyong pang-edukasyon?")</f>
        <v>Mayroon bang anumang mga precedent o case study ng matagumpay na legal na aksyon laban sa mga tiwaling institusyong pang-edukasyon?</v>
      </c>
      <c r="E1253" s="2" t="str">
        <f>IFERROR(__xludf.DUMMYFUNCTION("GOOGLETRANSLATE(C1253, ""en"", ""TL"")"),"Dahil sa masalimuot at sensitibong katangian ng mga kaso ng katiwalian, **maaring maging mahirap ang paghahanap ng madaling makuha at detalyadong impormasyon tungkol sa matagumpay na legal na aksyon laban sa mga tiwaling institusyong pang-edukasyon sa Pil"&amp;"ipinas**. Gayunpaman, narito ang ilang mapagkukunan at insight na maaaring makatulong:
**Limitadong Pampublikong Availability:**
* **Mga Alalahanin sa Privacy:** Ang impormasyon tungkol sa mga kasalukuyang legal na kaso, lalo na ang mga kinasasangku"&amp;"tan ng mga indibidwal, ay maaaring paghigpitan dahil sa mga alalahanin sa privacy.
* **Mga Kasunduan sa Pagiging Kumpidensyal:** Ang mga pag-aayos na naabot sa pagitan ng mga partidong sangkot sa mga legal na hindi pagkakaunawaan ay kadalasang kinabibila"&amp;"ngan ng mga sugnay sa pagiging kumpidensyal, na naglilimita sa pampublikong pag-access sa mga detalye ng kaso.
**Mga Alternatibong Pinagmumulan ng Impormasyon:**
* **Mga Artikulo ng Balita:** Ang paghahanap ng mga artikulo ng balita o mga ulat sa pa"&amp;"gsisiyasat na nagbabanggit ng mga legal na aksyon laban sa mga institusyong pang-edukasyon ay maaaring magbigay ng ilang mga insight, bagama't maaaring limitado ang mga partikular na detalye tungkol sa mga kaso.
* **Mga Ahensya ng Gobyerno:** Ang pakikip"&amp;"ag-ugnayan sa mga kaugnay na ahensya ng gobyerno tulad ng Commission on Higher Education (CHED) o Office of the Ombudsman ay maaaring mag-alok ng ilang impormasyon tungkol sa kanilang mga pagsisikap sa pagtugon sa katiwalian sa loob ng mga institusyong pa"&amp;"ng-edukasyon, na posibleng kabilang ang mga matagumpay na kaso.
* **Legal na Pananaliksik:** Ang pagkonsulta sa isang abogado na dalubhasa sa batas sa edukasyon o mga usapin laban sa katiwalian ay maaaring magbigay ng access sa mga legal na database at c"&amp;"ase study na maaaring mag-alok ng mga nauugnay na pamarisan, kahit na ang mga partikular na detalye ay hindi available sa publiko.
**Kahalagahan ng Konteksto:**
* **Limitadong Saklaw:** Bagama't maaaring umiral ang mga matagumpay na legal na aksyon "&amp;"laban sa mga tiwaling institusyong pang-edukasyon, malamang na kinakatawan ng mga ito ang isang **maliit na bahagi ng mga aktwal na kaso** dahil sa mga nabanggit na hamon at kumplikadong kasangkot sa pagtataguyod ng mga naturang legal na labanan.
* **Tum"&amp;"utok sa Mga Espesyal na Isyu:** Maaaring tumuon ang mga matagumpay na kaso sa **mga partikular na aspeto ng katiwalian**, gaya ng panunuhol sa mga admission o mga iregularidad sa pananalapi, sa halip na malawak na sistematikong mga isyu sa loob ng institu"&amp;"syon.
**Sa pangkalahatan, bagama't maaaring limitado ang madaling makukuhang impormasyon tungkol sa matagumpay na mga legal na aksyon laban sa mga tiwaling institusyong pang-edukasyon sa Pilipinas, mahalagang kilalanin na may mga ganitong kaso.** Ang m"&amp;"ga kasong ito, kasama ang patuloy na pagsisikap ng mga ahensya ng gobyerno at mga organisasyon ng civil society, mag-ambag sa paglaban sa katiwalian sa loob ng sektor ng edukasyon.
** Bukod pa rito, ang paghingi ng propesyonal na legal na patnubay at p"&amp;"ananatiling may kaalaman tungkol sa mga pag-unlad na nauugnay sa mga hakbangin laban sa katiwalian sa edukasyon ay maaaring magbigay ng kapangyarihan sa mga indibidwal at komunidad na panagutin ang mga institusyon at itaguyod ang isang mas etikal at trans"&amp;"parent na sistema ng edukasyon.**")</f>
        <v>Dahil sa masalimuot at sensitibong katangian ng mga kaso ng katiwalian, **maaring maging mahirap ang paghahanap ng madaling makuha at detalyadong impormasyon tungkol sa matagumpay na legal na aksyon laban sa mga tiwaling institusyong pang-edukasyon sa Pilipinas**. Gayunpaman, narito ang ilang mapagkukunan at insight na maaaring makatulong:
**Limitadong Pampublikong Availability:**
* **Mga Alalahanin sa Privacy:** Ang impormasyon tungkol sa mga kasalukuyang legal na kaso, lalo na ang mga kinasasangkutan ng mga indibidwal, ay maaaring paghigpitan dahil sa mga alalahanin sa privacy.
* **Mga Kasunduan sa Pagiging Kumpidensyal:** Ang mga pag-aayos na naabot sa pagitan ng mga partidong sangkot sa mga legal na hindi pagkakaunawaan ay kadalasang kinabibilangan ng mga sugnay sa pagiging kumpidensyal, na naglilimita sa pampublikong pag-access sa mga detalye ng kaso.
**Mga Alternatibong Pinagmumulan ng Impormasyon:**
* **Mga Artikulo ng Balita:** Ang paghahanap ng mga artikulo ng balita o mga ulat sa pagsisiyasat na nagbabanggit ng mga legal na aksyon laban sa mga institusyong pang-edukasyon ay maaaring magbigay ng ilang mga insight, bagama't maaaring limitado ang mga partikular na detalye tungkol sa mga kaso.
* **Mga Ahensya ng Gobyerno:** Ang pakikipag-ugnayan sa mga kaugnay na ahensya ng gobyerno tulad ng Commission on Higher Education (CHED) o Office of the Ombudsman ay maaaring mag-alok ng ilang impormasyon tungkol sa kanilang mga pagsisikap sa pagtugon sa katiwalian sa loob ng mga institusyong pang-edukasyon, na posibleng kabilang ang mga matagumpay na kaso.
* **Legal na Pananaliksik:** Ang pagkonsulta sa isang abogado na dalubhasa sa batas sa edukasyon o mga usapin laban sa katiwalian ay maaaring magbigay ng access sa mga legal na database at case study na maaaring mag-alok ng mga nauugnay na pamarisan, kahit na ang mga partikular na detalye ay hindi available sa publiko.
**Kahalagahan ng Konteksto:**
* **Limitadong Saklaw:** Bagama't maaaring umiral ang mga matagumpay na legal na aksyon laban sa mga tiwaling institusyong pang-edukasyon, malamang na kinakatawan ng mga ito ang isang **maliit na bahagi ng mga aktwal na kaso** dahil sa mga nabanggit na hamon at kumplikadong kasangkot sa pagtataguyod ng mga naturang legal na labanan.
* **Tumutok sa Mga Espesyal na Isyu:** Maaaring tumuon ang mga matagumpay na kaso sa **mga partikular na aspeto ng katiwalian**, gaya ng panunuhol sa mga admission o mga iregularidad sa pananalapi, sa halip na malawak na sistematikong mga isyu sa loob ng institusyon.
**Sa pangkalahatan, bagama't maaaring limitado ang madaling makukuhang impormasyon tungkol sa matagumpay na mga legal na aksyon laban sa mga tiwaling institusyong pang-edukasyon sa Pilipinas, mahalagang kilalanin na may mga ganitong kaso.** Ang mga kasong ito, kasama ang patuloy na pagsisikap ng mga ahensya ng gobyerno at mga organisasyon ng civil society, mag-ambag sa paglaban sa katiwalian sa loob ng sektor ng edukasyon.
** Bukod pa rito, ang paghingi ng propesyonal na legal na patnubay at pananatiling may kaalaman tungkol sa mga pag-unlad na nauugnay sa mga hakbangin laban sa katiwalian sa edukasyon ay maaaring magbigay ng kapangyarihan sa mga indibidwal at komunidad na panagutin ang mga institusyon at itaguyod ang isang mas etikal at transparent na sistema ng edukasyon.**</v>
      </c>
      <c r="F1253" s="2">
        <f t="shared" si="1"/>
        <v>0</v>
      </c>
      <c r="G1253" s="2"/>
      <c r="H1253" s="2"/>
      <c r="I1253" s="2"/>
      <c r="J1253" s="2"/>
      <c r="K1253" s="2"/>
      <c r="L1253" s="2"/>
      <c r="M1253" s="2"/>
      <c r="N1253" s="2"/>
      <c r="O1253" s="2"/>
      <c r="P1253" s="2"/>
      <c r="Q1253" s="2"/>
      <c r="R1253" s="2"/>
      <c r="S1253" s="2"/>
      <c r="T1253" s="2"/>
      <c r="U1253" s="2"/>
      <c r="V1253" s="2"/>
      <c r="W1253" s="2"/>
      <c r="X1253" s="2"/>
      <c r="Y1253" s="2"/>
      <c r="Z1253" s="2"/>
      <c r="AA1253" s="2"/>
    </row>
    <row r="1254">
      <c r="A1254" s="1" t="s">
        <v>3356</v>
      </c>
      <c r="B1254" s="1" t="s">
        <v>3673</v>
      </c>
      <c r="C1254" s="1" t="s">
        <v>3674</v>
      </c>
      <c r="D1254" s="2" t="str">
        <f>IFERROR(__xludf.DUMMYFUNCTION("GOOGLETRANSLATE(B1254, ""en"", ""TL"")"),"Ano ang mga potensyal na kahihinatnan para sa mga tagapagturo na napatunayang nagkasala ng pakikilahok sa mga tiwaling aktibidad?")</f>
        <v>Ano ang mga potensyal na kahihinatnan para sa mga tagapagturo na napatunayang nagkasala ng pakikilahok sa mga tiwaling aktibidad?</v>
      </c>
      <c r="E1254" s="2" t="str">
        <f>IFERROR(__xludf.DUMMYFUNCTION("GOOGLETRANSLATE(C1254, ""en"", ""TL"")"),"Ang mga tagapagturo na napatunayang nagkasala sa pakikilahok sa mga tiwaling aktibidad sa Pilipinas ay nahaharap sa isang hanay ng mga potensyal na kahihinatnan, depende sa kalubhaan at uri ng pagkakasala. Ang mga kahihinatnan na ito ay maaaring malawak n"&amp;"a ikategorya sa tatlong pangunahing mga lugar:
**1. Administrative Sanctions:**
* **Mga aksyong pandisiplina:** Ang mga institusyong pang-edukasyon ay may awtoridad na magpataw ng mga aksyong pandisiplina laban sa mga tagapagturo na sangkot sa katiwalian,"&amp;" mula sa **mga babala at pagsaway** hanggang **pagsuspinde o pagtanggal sa trabaho**. Ang mga tiyak na parusa ay tutukuyin ng panloob na mga patakaran at pamamaraan ng institusyon, ang bigat ng pagkakasala, at ang nakaraang rekord ng tagapagturo.
* **Pagk"&amp;"awala ng mga propesyonal na lisensya:** Depende sa uri ng pagkakasala, ang mga tagapagturo ay maaaring maharap sa **pagkasuspinde o pagbawi ng kanilang mga propesyonal na lisensya** na inisyu ng mga ahensya ng gobyerno tulad ng Professional Regulation Com"&amp;"mission (PRC). Malaki ang epekto nito sa kanilang kakayahang magsanay sa kanilang propesyon.
* **Blacklisting:** Ang mga institusyong pang-edukasyon at ahensya ng gobyerno ay maaaring **blacklist** ang mga tagapagturo na napatunayang nagkasala ng katiwali"&amp;"an, na nagpapahirap sa kanila na makakuha ng trabaho sa hinaharap sa sektor ng edukasyon.
**2. Mga Pananagutang Sibil:**
* **Mga demanda sa sibil:** Ang mga indibidwal na nakaranas ng pinsala dahil sa mga tiwaling aktibidad ng tagapagturo ay maaaring mags"&amp;"ampa ng **mga kasong sibil** na humihingi ng **kabayaran sa pananalapi** para sa mga pinsalang natamo. Maaaring kabilang dito ang mga nawalang pagkakataon, pagkalugi sa pananalapi, o emosyonal na pagkabalisa.
* **Pagkasira ng reputasyon:** Ang pakikisangk"&amp;"ot sa mga tiwaling gawi ay maaaring malubha **makasira sa reputasyon ng tagapagturo** sa loob ng propesyonal na komunidad at mas malawak na lipunan, na makakaapekto sa kanilang mga prospect at katayuan sa karera sa hinaharap.
**3. Mga Pagsingil sa Krimina"&amp;"l:**
* **Depende sa partikular na pagkakasala**, ang mga tagapagturo na sangkot sa katiwalian ay maaaring maharap **mga kasong kriminal** sa ilalim ng iba't ibang batas, kabilang ang:
* **Republic Act No. 3019 (Anti-Graft and Corrupt Practices Act):** Ang"&amp;" batas na ito ay nagpaparusa sa iba't ibang mga katiwalian tulad ng panunuhol, paglustay, at maling paggamit ng pampublikong pondo.
* **Binagong Kodigo Penal:** Binabalangkas ng code na ito ang iba't ibang mga kriminal na pagkakasala, ang ilan sa mga ito "&amp;"ay maaaring naaangkop depende sa uri ng tiwaling aktibidad, tulad ng pamemeke, palsipikasyon ng mga dokumento, o pandaraya.
* **Ang paghatol sa mga kasong kriminal** ay maaaring magresulta sa **pagkakulong, multa, at iba pang mga parusa**. Bukod pa rito, "&amp;"maaari silang maharap sa **forfeiture of ill-gotten wealth** na nakuha sa pamamagitan ng corrupt practices.
**Mahalagang tandaan na ang mga partikular na kahihinatnan para sa mga tagapagturo na sangkot sa katiwalian ay mag-iiba-iba depende sa mga partikul"&amp;"ar na kalagayan ng bawat kaso, ang mga naaangkop na batas, at ang mga desisyon na ginawa ng mga may-katuturang awtoridad.** Pagkonsulta sa isang abogado na dalubhasa sa batas ng edukasyon o anti -Ang mga usapin sa katiwalian ay maaaring magbigay ng mas ti"&amp;"yak na patnubay sa mga potensyal na kahihinatnan sa mga indibidwal na sitwasyon.
**Higit pa rito, mahalagang bigyang-diin na ang pakikisangkot sa anumang anyo ng katiwalian ay hindi etikal at ilegal.** Ang mga tagapagturo ay may responsibilidad na itaguyo"&amp;"d ang pinakamataas na pamantayan ng integridad at propesyonalismo, at ang mga lumalabag sa mga prinsipyong ito ay nahaharap sa malalaking kahihinatnan na maaaring makaapekto sa kanilang mga karera , pananalapi, at reputasyon.")</f>
        <v>Ang mga tagapagturo na napatunayang nagkasala sa pakikilahok sa mga tiwaling aktibidad sa Pilipinas ay nahaharap sa isang hanay ng mga potensyal na kahihinatnan, depende sa kalubhaan at uri ng pagkakasala. Ang mga kahihinatnan na ito ay maaaring malawak na ikategorya sa tatlong pangunahing mga lugar:
**1. Administrative Sanctions:**
* **Mga aksyong pandisiplina:** Ang mga institusyong pang-edukasyon ay may awtoridad na magpataw ng mga aksyong pandisiplina laban sa mga tagapagturo na sangkot sa katiwalian, mula sa **mga babala at pagsaway** hanggang **pagsuspinde o pagtanggal sa trabaho**. Ang mga tiyak na parusa ay tutukuyin ng panloob na mga patakaran at pamamaraan ng institusyon, ang bigat ng pagkakasala, at ang nakaraang rekord ng tagapagturo.
* **Pagkawala ng mga propesyonal na lisensya:** Depende sa uri ng pagkakasala, ang mga tagapagturo ay maaaring maharap sa **pagkasuspinde o pagbawi ng kanilang mga propesyonal na lisensya** na inisyu ng mga ahensya ng gobyerno tulad ng Professional Regulation Commission (PRC). Malaki ang epekto nito sa kanilang kakayahang magsanay sa kanilang propesyon.
* **Blacklisting:** Ang mga institusyong pang-edukasyon at ahensya ng gobyerno ay maaaring **blacklist** ang mga tagapagturo na napatunayang nagkasala ng katiwalian, na nagpapahirap sa kanila na makakuha ng trabaho sa hinaharap sa sektor ng edukasyon.
**2. Mga Pananagutang Sibil:**
* **Mga demanda sa sibil:** Ang mga indibidwal na nakaranas ng pinsala dahil sa mga tiwaling aktibidad ng tagapagturo ay maaaring magsampa ng **mga kasong sibil** na humihingi ng **kabayaran sa pananalapi** para sa mga pinsalang natamo. Maaaring kabilang dito ang mga nawalang pagkakataon, pagkalugi sa pananalapi, o emosyonal na pagkabalisa.
* **Pagkasira ng reputasyon:** Ang pakikisangkot sa mga tiwaling gawi ay maaaring malubha **makasira sa reputasyon ng tagapagturo** sa loob ng propesyonal na komunidad at mas malawak na lipunan, na makakaapekto sa kanilang mga prospect at katayuan sa karera sa hinaharap.
**3. Mga Pagsingil sa Kriminal:**
* **Depende sa partikular na pagkakasala**, ang mga tagapagturo na sangkot sa katiwalian ay maaaring maharap **mga kasong kriminal** sa ilalim ng iba't ibang batas, kabilang ang:
* **Republic Act No. 3019 (Anti-Graft and Corrupt Practices Act):** Ang batas na ito ay nagpaparusa sa iba't ibang mga katiwalian tulad ng panunuhol, paglustay, at maling paggamit ng pampublikong pondo.
* **Binagong Kodigo Penal:** Binabalangkas ng code na ito ang iba't ibang mga kriminal na pagkakasala, ang ilan sa mga ito ay maaaring naaangkop depende sa uri ng tiwaling aktibidad, tulad ng pamemeke, palsipikasyon ng mga dokumento, o pandaraya.
* **Ang paghatol sa mga kasong kriminal** ay maaaring magresulta sa **pagkakulong, multa, at iba pang mga parusa**. Bukod pa rito, maaari silang maharap sa **forfeiture of ill-gotten wealth** na nakuha sa pamamagitan ng corrupt practices.
**Mahalagang tandaan na ang mga partikular na kahihinatnan para sa mga tagapagturo na sangkot sa katiwalian ay mag-iiba-iba depende sa mga partikular na kalagayan ng bawat kaso, ang mga naaangkop na batas, at ang mga desisyon na ginawa ng mga may-katuturang awtoridad.** Pagkonsulta sa isang abogado na dalubhasa sa batas ng edukasyon o anti -Ang mga usapin sa katiwalian ay maaaring magbigay ng mas tiyak na patnubay sa mga potensyal na kahihinatnan sa mga indibidwal na sitwasyon.
**Higit pa rito, mahalagang bigyang-diin na ang pakikisangkot sa anumang anyo ng katiwalian ay hindi etikal at ilegal.** Ang mga tagapagturo ay may responsibilidad na itaguyod ang pinakamataas na pamantayan ng integridad at propesyonalismo, at ang mga lumalabag sa mga prinsipyong ito ay nahaharap sa malalaking kahihinatnan na maaaring makaapekto sa kanilang mga karera , pananalapi, at reputasyon.</v>
      </c>
      <c r="F1254" s="2">
        <f t="shared" si="1"/>
        <v>0</v>
      </c>
      <c r="G1254" s="2"/>
      <c r="H1254" s="2"/>
      <c r="I1254" s="2"/>
      <c r="J1254" s="2"/>
      <c r="K1254" s="2"/>
      <c r="L1254" s="2"/>
      <c r="M1254" s="2"/>
      <c r="N1254" s="2"/>
      <c r="O1254" s="2"/>
      <c r="P1254" s="2"/>
      <c r="Q1254" s="2"/>
      <c r="R1254" s="2"/>
      <c r="S1254" s="2"/>
      <c r="T1254" s="2"/>
      <c r="U1254" s="2"/>
      <c r="V1254" s="2"/>
      <c r="W1254" s="2"/>
      <c r="X1254" s="2"/>
      <c r="Y1254" s="2"/>
      <c r="Z1254" s="2"/>
      <c r="AA1254" s="2"/>
    </row>
    <row r="1255">
      <c r="A1255" s="1" t="s">
        <v>3356</v>
      </c>
      <c r="B1255" s="1" t="s">
        <v>3675</v>
      </c>
      <c r="C1255" s="1" t="s">
        <v>3676</v>
      </c>
      <c r="D1255" s="2" t="str">
        <f>IFERROR(__xludf.DUMMYFUNCTION("GOOGLETRANSLATE(B1255, ""en"", ""TL"")"),"Maaari bang magsagawa ng legal na aksyon ang mga indibidwal kung sila ay tinanggihan ng pagpasok o mga scholarship dahil sa katiwalian sa loob ng isang institusyong pang-edukasyon?")</f>
        <v>Maaari bang magsagawa ng legal na aksyon ang mga indibidwal kung sila ay tinanggihan ng pagpasok o mga scholarship dahil sa katiwalian sa loob ng isang institusyong pang-edukasyon?</v>
      </c>
      <c r="E1255" s="2" t="str">
        <f>IFERROR(__xludf.DUMMYFUNCTION("GOOGLETRANSLATE(C1255, ""en"", ""TL"")"),"Bagama't ang paghahabol ng legal na aksyon laban sa mga institusyong pang-edukasyon para sa **tinanggihan na pagpasok o mga scholarship na diumano'y dahil sa katiwalian** sa Pilipinas ay **posible**, maaari itong maging isang **mapanghamon at masalimuot n"&amp;"a proseso** na may **hindi tiyak na mga resulta**. Narito ang isang breakdown ng mga pangunahing salik na dapat isaalang-alang:
**Pagtatatag ng Sanhi at Katibayan:**
* Upang magtagumpay sa isang demanda, dapat ipakita ng mga indibidwal na:
* **Naganap ang"&amp;" katiwalian sa loob ng proseso ng admission o scholarship.** Maaaring kabilang dito ang pagpapatunay ng panunuhol, nepotismo, pagmamanipula ng pamantayan sa pagpili, o iba pang hindi patas na kasanayan.
* **Ang katiwalian ay direktang humantong sa kanilan"&amp;"g pagtanggi sa pagpasok o scholarship.** Ito ay nangangailangan ng pagtatatag na sila ay natugunan ang **layunin na pamantayan** para sa pagpasok o scholarship at hindi patas na tinanggihan dahil sa mga tiwaling gawi.
* Pangangalap ng **matibay na ebidens"&amp;"ya** upang suportahan ang mga claim na ito, gaya ng:
* Dokumentasyon ng kanilang mga kwalipikasyon at mga materyales sa aplikasyon.
* Katibayan ng mga iregularidad sa proseso ng pagpili, kung mayroon (mga testimonya ng saksi, mga leaked na dokumento, atbp"&amp;".).
* Patunay ng mga pagtatangka na maglabas ng mga alalahanin tungkol sa potensyal na katiwalian sa loob ng institusyon.
**Mga Hamon at Limitasyon:**
* **Burden of Proof:** Ang pasanin ng patunay ay nakasalalay sa indibidwal upang ipakita **kapwa ang pag"&amp;"litaw ng katiwalian at ang direktang link nito** sa kanilang partikular na pagtanggi. Ito ay maaaring maging mahirap, lalo na kung ang institusyon ay nagtatag ng mga pamamaraan sa lugar na maaaring mukhang lehitimo sa ibabaw.
* **Pagiging Kumplikado ng mg"&amp;"a Kaso ng Korapsyon:** Ang pagsisiyasat at pagpapakita ng ebidensya ng katiwalian ay maaaring **kumplikado at nakakaubos ng oras**.
* **Mga Limitadong Mapagkukunan:** Maaaring maharap ang mga indibidwal **mga hadlang sa pananalapi** sa paghahabol ng mahah"&amp;"abang legal na pakikipaglaban laban sa mga institusyong may mahusay na mapagkukunan.
**Mga Potensyal na Avenue:**
* **Mga Indibidwal na Paghahabla:** Kung matutugunan ng mga indibidwal ang mga legal na kinakailangan at matagumpay na maipakita ang kanilang"&amp;" kaso, maaari silang gawaran ng mga remedyo gaya ng:
* **Pagpasok sa programa kung saan sila tinanggihan ng pagpasok.**
* **Ang pagbibigay ng scholarship ay tinanggihan sila.**
* **Kabayaran sa pananalapi para sa mga pinsalang natamo dahil sa pagtanggi (h"&amp;"al., mga nawalang pagkakataon sa edukasyon, mga karagdagang gastos).
* **Mga Reklamo sa Administratibo:** Maaaring magsampa ng **mga reklamo ang mga indibidwal sa mga nauugnay na ahensya ng gobyerno** tulad ng Commission on Higher Education (CHED) o Depar"&amp;"tment of Education (DepEd) na nangangasiwa sa mga institusyong pang-edukasyon. Maaaring imbestigahan ng mga ahensyang ito ang mga paratang at posibleng magpataw ng mga parusa sa institusyon kung may nakitang maling gawain.
**Kahalagahan ng Legal na Patnub"&amp;"ay:**
Ang pagkonsulta sa isang abogado na dalubhasa sa batas sa edukasyon at administratibong paglilitis ay mahalaga bago ituloy ang legal na aksyon. Maaari silang:
* **Tasahin ang posibilidad na mabuhay ng kaso:** Suriin ang ebidensya, legal na batayan, "&amp;"at potensyal na mga hamon na kasangkot.
* **Magbigay ng payo sa mga alternatibong opsyon:** Mag-explore ng mga paraan tulad ng mga reklamong administratibo o paghingi ng suporta mula sa mga organisasyon ng mag-aaral o NGO na nagtataguyod para sa pagiging "&amp;"patas sa edukasyon.
* **Mag-navigate sa legal na proseso:** Magbigay ng gabay sa pagsasampa ng mga demanda, pangangalap ng ebidensya, at pagkatawan sa iyong mga interes sa korte.
**Tandaan:** Ang paghahabol ng legal na aksyon laban sa mga institusyong pan"&amp;"g-edukasyon para sa mga pinaghihinalaang pagtanggi na nauugnay sa katiwalian ay masalimuot at nangangailangan ng maingat na pagsasaalang-alang sa mga hamon na kasangkot. Ang paghahanap ng propesyonal na legal na patnubay at paggalugad sa lahat ng magagami"&amp;"t na mga opsyon ay makakatulong sa mga indibidwal na gumawa ng matalinong mga desisyon at i-maximize ang kanilang mga pagkakataong makamit ang isang positibong resulta.
**Dagdag pa rito, ang pagtataguyod para sa mas malakas na transparency at mga hakbang "&amp;"sa pananagutan sa loob ng mga institusyong pang-edukasyon, at pagsuporta sa mga hakbangin para labanan ang katiwalian, ay maaaring mag-ambag sa paglikha ng isang mas patas at mas patas na proseso ng admission at scholarship para sa lahat.**")</f>
        <v>Bagama't ang paghahabol ng legal na aksyon laban sa mga institusyong pang-edukasyon para sa **tinanggihan na pagpasok o mga scholarship na diumano'y dahil sa katiwalian** sa Pilipinas ay **posible**, maaari itong maging isang **mapanghamon at masalimuot na proseso** na may **hindi tiyak na mga resulta**. Narito ang isang breakdown ng mga pangunahing salik na dapat isaalang-alang:
**Pagtatatag ng Sanhi at Katibayan:**
* Upang magtagumpay sa isang demanda, dapat ipakita ng mga indibidwal na:
* **Naganap ang katiwalian sa loob ng proseso ng admission o scholarship.** Maaaring kabilang dito ang pagpapatunay ng panunuhol, nepotismo, pagmamanipula ng pamantayan sa pagpili, o iba pang hindi patas na kasanayan.
* **Ang katiwalian ay direktang humantong sa kanilang pagtanggi sa pagpasok o scholarship.** Ito ay nangangailangan ng pagtatatag na sila ay natugunan ang **layunin na pamantayan** para sa pagpasok o scholarship at hindi patas na tinanggihan dahil sa mga tiwaling gawi.
* Pangangalap ng **matibay na ebidensya** upang suportahan ang mga claim na ito, gaya ng:
* Dokumentasyon ng kanilang mga kwalipikasyon at mga materyales sa aplikasyon.
* Katibayan ng mga iregularidad sa proseso ng pagpili, kung mayroon (mga testimonya ng saksi, mga leaked na dokumento, atbp.).
* Patunay ng mga pagtatangka na maglabas ng mga alalahanin tungkol sa potensyal na katiwalian sa loob ng institusyon.
**Mga Hamon at Limitasyon:**
* **Burden of Proof:** Ang pasanin ng patunay ay nakasalalay sa indibidwal upang ipakita **kapwa ang paglitaw ng katiwalian at ang direktang link nito** sa kanilang partikular na pagtanggi. Ito ay maaaring maging mahirap, lalo na kung ang institusyon ay nagtatag ng mga pamamaraan sa lugar na maaaring mukhang lehitimo sa ibabaw.
* **Pagiging Kumplikado ng mga Kaso ng Korapsyon:** Ang pagsisiyasat at pagpapakita ng ebidensya ng katiwalian ay maaaring **kumplikado at nakakaubos ng oras**.
* **Mga Limitadong Mapagkukunan:** Maaaring maharap ang mga indibidwal **mga hadlang sa pananalapi** sa paghahabol ng mahahabang legal na pakikipaglaban laban sa mga institusyong may mahusay na mapagkukunan.
**Mga Potensyal na Avenue:**
* **Mga Indibidwal na Paghahabla:** Kung matutugunan ng mga indibidwal ang mga legal na kinakailangan at matagumpay na maipakita ang kanilang kaso, maaari silang gawaran ng mga remedyo gaya ng:
* **Pagpasok sa programa kung saan sila tinanggihan ng pagpasok.**
* **Ang pagbibigay ng scholarship ay tinanggihan sila.**
* **Kabayaran sa pananalapi para sa mga pinsalang natamo dahil sa pagtanggi (hal., mga nawalang pagkakataon sa edukasyon, mga karagdagang gastos).
* **Mga Reklamo sa Administratibo:** Maaaring magsampa ng **mga reklamo ang mga indibidwal sa mga nauugnay na ahensya ng gobyerno** tulad ng Commission on Higher Education (CHED) o Department of Education (DepEd) na nangangasiwa sa mga institusyong pang-edukasyon. Maaaring imbestigahan ng mga ahensyang ito ang mga paratang at posibleng magpataw ng mga parusa sa institusyon kung may nakitang maling gawain.
**Kahalagahan ng Legal na Patnubay:**
Ang pagkonsulta sa isang abogado na dalubhasa sa batas sa edukasyon at administratibong paglilitis ay mahalaga bago ituloy ang legal na aksyon. Maaari silang:
* **Tasahin ang posibilidad na mabuhay ng kaso:** Suriin ang ebidensya, legal na batayan, at potensyal na mga hamon na kasangkot.
* **Magbigay ng payo sa mga alternatibong opsyon:** Mag-explore ng mga paraan tulad ng mga reklamong administratibo o paghingi ng suporta mula sa mga organisasyon ng mag-aaral o NGO na nagtataguyod para sa pagiging patas sa edukasyon.
* **Mag-navigate sa legal na proseso:** Magbigay ng gabay sa pagsasampa ng mga demanda, pangangalap ng ebidensya, at pagkatawan sa iyong mga interes sa korte.
**Tandaan:** Ang paghahabol ng legal na aksyon laban sa mga institusyong pang-edukasyon para sa mga pinaghihinalaang pagtanggi na nauugnay sa katiwalian ay masalimuot at nangangailangan ng maingat na pagsasaalang-alang sa mga hamon na kasangkot. Ang paghahanap ng propesyonal na legal na patnubay at paggalugad sa lahat ng magagamit na mga opsyon ay makakatulong sa mga indibidwal na gumawa ng matalinong mga desisyon at i-maximize ang kanilang mga pagkakataong makamit ang isang positibong resulta.
**Dagdag pa rito, ang pagtataguyod para sa mas malakas na transparency at mga hakbang sa pananagutan sa loob ng mga institusyong pang-edukasyon, at pagsuporta sa mga hakbangin para labanan ang katiwalian, ay maaaring mag-ambag sa paglikha ng isang mas patas at mas patas na proseso ng admission at scholarship para sa lahat.**</v>
      </c>
      <c r="F1255" s="2">
        <f t="shared" si="1"/>
        <v>0</v>
      </c>
      <c r="G1255" s="2"/>
      <c r="H1255" s="2"/>
      <c r="I1255" s="2"/>
      <c r="J1255" s="2"/>
      <c r="K1255" s="2"/>
      <c r="L1255" s="2"/>
      <c r="M1255" s="2"/>
      <c r="N1255" s="2"/>
      <c r="O1255" s="2"/>
      <c r="P1255" s="2"/>
      <c r="Q1255" s="2"/>
      <c r="R1255" s="2"/>
      <c r="S1255" s="2"/>
      <c r="T1255" s="2"/>
      <c r="U1255" s="2"/>
      <c r="V1255" s="2"/>
      <c r="W1255" s="2"/>
      <c r="X1255" s="2"/>
      <c r="Y1255" s="2"/>
      <c r="Z1255" s="2"/>
      <c r="AA1255" s="2"/>
    </row>
    <row r="1256">
      <c r="A1256" s="1" t="s">
        <v>3356</v>
      </c>
      <c r="B1256" s="1" t="s">
        <v>3677</v>
      </c>
      <c r="C1256" s="1" t="s">
        <v>3678</v>
      </c>
      <c r="D1256" s="2" t="str">
        <f>IFERROR(__xludf.DUMMYFUNCTION("GOOGLETRANSLATE(B1256, ""en"", ""TL"")"),"Paano nakakaapekto ang katiwalian sa edukasyon sa mga legal na karapatan ng mga mag-aaral at tagapagturo?")</f>
        <v>Paano nakakaapekto ang katiwalian sa edukasyon sa mga legal na karapatan ng mga mag-aaral at tagapagturo?</v>
      </c>
      <c r="E1256" s="2" t="str">
        <f>IFERROR(__xludf.DUMMYFUNCTION("GOOGLETRANSLATE(C1256, ""en"", ""TL"")"),"Ang katiwalian sa edukasyon ay maaaring magkaroon ng malaking **negatibong epekto** sa mga legal na karapatan ng parehong **mga mag-aaral at tagapagturo** sa maraming paraan:
**Epekto sa Karapatan ng mga Mag-aaral:**
* **Karapatan sa Edukasyon:** Maaaring"&amp;" hadlangan ng korapsyon ang **karapatan ng mga mag-aaral na ma-access ang de-kalidad na edukasyon** sa pamamagitan ng:
* **Paglilipat ng mga mapagkukunan:** Ang mga pondo para sa mga materyal na pang-edukasyon, imprastraktura, at mga kwalipikadong guro ay"&amp;" maaaring maling paggamit, na humahantong sa kakulangan ng mga mapagkukunan at nakompromiso ang mga kapaligiran sa pag-aaral.
* **Pagbaba ng mga pamantayang pang-edukasyon:** Ang katiwalian ay maaaring humantong sa pagkuha ng mga hindi kwalipikadong guro,"&amp;" pagmamanipula sa mga proseso ng pagpasok, at hindi patas na mga kasanayan sa pagmamarka, na sa huli ay humahadlang sa kakayahan ng mga mag-aaral na makuha ang kaalaman at kasanayang nararapat sa kanila.
* **Paglilimita sa pag-access sa mga pagkakataon:**"&amp;" Ang katiwalian ay maaaring lumikha ng mga hadlang sa pag-access sa mas mataas na edukasyon o mga scholarship dahil sa hindi patas na mga gawi tulad ng panunuhol o nepotismo, na nakakaapekto sa hinaharap ng mga mag-aaral.
* **Karapatan sa Pagkakapantay-pa"&amp;"ntay:** Ang mga tiwaling gawi ay maaaring humantong sa **diskriminasyon at hindi pantay na pagtrato** sa mga mag-aaral batay sa mga salik tulad ng katayuan sa lipunan, kayamanan, o mga koneksyon, na lumalabag sa kanilang karapatan sa pantay na pag-access "&amp;"sa mga pagkakataong pang-edukasyon.
* **Karapatan sa Kaligtasan at Seguridad:** Sa matinding mga kaso, ang katiwalian ay maaaring lumikha ng hindi ligtas na mga kapaligiran sa pag-aaral para sa mga mag-aaral, tulad ng pagkakaroon ng mga hindi kwalipikadon"&amp;"g tauhan o hindi sapat na mga pasilidad dahil sa maling paggamit ng mga pondo.
**Epekto sa Mga Karapatan ng Educators:**
* **Mga Patas na Kasanayan sa Paggawa:** Ang katiwalian ay maaaring humantong sa **mga paglabag sa mga karapatan ng mga tagapagturo** "&amp;"na may kaugnayan sa:
* **Patas na sahod at benepisyo:** Ang mga tagapagturo ay maaaring sumailalim sa hindi patas na mga gawi sa suweldo, naantalang suweldo, o kakulangan ng mahahalagang benepisyo dahil sa maling paggamit ng mga pondo.
* **Ligtas at malus"&amp;"og na kondisyon sa pagtatrabaho:** Maaaring ikompromiso ng katiwalian ang kapaligiran sa pagtatrabaho para sa mga tagapagturo, na makakaapekto sa kanilang kakayahan na epektibong gampanan ang kanilang mga tungkulin.
* **Kalayaang akademiko:** Sa ilang mga"&amp;" kaso, ang mga tiwaling gawi ay maaaring humantong sa panggigipit sa mga tagapagturo na manipulahin ang mga marka, kurikulum, o mga natuklasan sa pananaliksik, na lumalabag sa kanilang kalayaan sa akademiko at integridad ng propesyonal.
* **Nararapat na P"&amp;"roseso:** Maaaring harapin ng mga tagapagturo ang **hindi patas na mga aksyong pandisiplina o pagtanggal sa trabaho** batay sa mga maling akusasyon o mga desisyon na may motibo sa pulitika dahil sa kanilang paninindigan laban sa katiwalian sa loob ng inst"&amp;"itusyon.
**Sa pangkalahatan, ang katiwalian sa edukasyon ay lumilikha ng isang sistema kung saan ang mga legal na karapatan ng parehong mga mag-aaral at tagapagturo ay mahina.** Ang mga mag-aaral ay nahaharap sa mga hamon sa pag-access sa kalidad ng eduka"&amp;"syon, nakakaranas ng diskriminasyon, at nakompromiso ang kanilang kaligtasan. Ang mga tagapagturo ay maaaring sumailalim sa hindi patas na mga gawi sa paggawa, kawalan ng kalayaang pang-akademiko, at kahit na harapin ang hindi makatarungang mga aksyong pa"&amp;"ndisiplina.
**Ang pagtugon sa katiwalian sa edukasyon** ay napakahalaga upang matiyak na parehong matamasa ng mga mag-aaral at tagapagturo ang kanilang **pangunahing legal na karapatan** at mag-ambag sa isang patas at patas na kapaligiran sa pag-aaral. Na"&amp;"ngangailangan ito ng **mas matibay na legal na balangkas, epektibong mekanismo ng proteksyon ng whistleblower, at matatag na hakbang sa pananagutan** upang panagutin ang mga indibidwal at institusyon para sa mga tiwaling gawi.")</f>
        <v>Ang katiwalian sa edukasyon ay maaaring magkaroon ng malaking **negatibong epekto** sa mga legal na karapatan ng parehong **mga mag-aaral at tagapagturo** sa maraming paraan:
**Epekto sa Karapatan ng mga Mag-aaral:**
* **Karapatan sa Edukasyon:** Maaaring hadlangan ng korapsyon ang **karapatan ng mga mag-aaral na ma-access ang de-kalidad na edukasyon** sa pamamagitan ng:
* **Paglilipat ng mga mapagkukunan:** Ang mga pondo para sa mga materyal na pang-edukasyon, imprastraktura, at mga kwalipikadong guro ay maaaring maling paggamit, na humahantong sa kakulangan ng mga mapagkukunan at nakompromiso ang mga kapaligiran sa pag-aaral.
* **Pagbaba ng mga pamantayang pang-edukasyon:** Ang katiwalian ay maaaring humantong sa pagkuha ng mga hindi kwalipikadong guro, pagmamanipula sa mga proseso ng pagpasok, at hindi patas na mga kasanayan sa pagmamarka, na sa huli ay humahadlang sa kakayahan ng mga mag-aaral na makuha ang kaalaman at kasanayang nararapat sa kanila.
* **Paglilimita sa pag-access sa mga pagkakataon:** Ang katiwalian ay maaaring lumikha ng mga hadlang sa pag-access sa mas mataas na edukasyon o mga scholarship dahil sa hindi patas na mga gawi tulad ng panunuhol o nepotismo, na nakakaapekto sa hinaharap ng mga mag-aaral.
* **Karapatan sa Pagkakapantay-pantay:** Ang mga tiwaling gawi ay maaaring humantong sa **diskriminasyon at hindi pantay na pagtrato** sa mga mag-aaral batay sa mga salik tulad ng katayuan sa lipunan, kayamanan, o mga koneksyon, na lumalabag sa kanilang karapatan sa pantay na pag-access sa mga pagkakataong pang-edukasyon.
* **Karapatan sa Kaligtasan at Seguridad:** Sa matinding mga kaso, ang katiwalian ay maaaring lumikha ng hindi ligtas na mga kapaligiran sa pag-aaral para sa mga mag-aaral, tulad ng pagkakaroon ng mga hindi kwalipikadong tauhan o hindi sapat na mga pasilidad dahil sa maling paggamit ng mga pondo.
**Epekto sa Mga Karapatan ng Educators:**
* **Mga Patas na Kasanayan sa Paggawa:** Ang katiwalian ay maaaring humantong sa **mga paglabag sa mga karapatan ng mga tagapagturo** na may kaugnayan sa:
* **Patas na sahod at benepisyo:** Ang mga tagapagturo ay maaaring sumailalim sa hindi patas na mga gawi sa suweldo, naantalang suweldo, o kakulangan ng mahahalagang benepisyo dahil sa maling paggamit ng mga pondo.
* **Ligtas at malusog na kondisyon sa pagtatrabaho:** Maaaring ikompromiso ng katiwalian ang kapaligiran sa pagtatrabaho para sa mga tagapagturo, na makakaapekto sa kanilang kakayahan na epektibong gampanan ang kanilang mga tungkulin.
* **Kalayaang akademiko:** Sa ilang mga kaso, ang mga tiwaling gawi ay maaaring humantong sa panggigipit sa mga tagapagturo na manipulahin ang mga marka, kurikulum, o mga natuklasan sa pananaliksik, na lumalabag sa kanilang kalayaan sa akademiko at integridad ng propesyonal.
* **Nararapat na Proseso:** Maaaring harapin ng mga tagapagturo ang **hindi patas na mga aksyong pandisiplina o pagtanggal sa trabaho** batay sa mga maling akusasyon o mga desisyon na may motibo sa pulitika dahil sa kanilang paninindigan laban sa katiwalian sa loob ng institusyon.
**Sa pangkalahatan, ang katiwalian sa edukasyon ay lumilikha ng isang sistema kung saan ang mga legal na karapatan ng parehong mga mag-aaral at tagapagturo ay mahina.** Ang mga mag-aaral ay nahaharap sa mga hamon sa pag-access sa kalidad ng edukasyon, nakakaranas ng diskriminasyon, at nakompromiso ang kanilang kaligtasan. Ang mga tagapagturo ay maaaring sumailalim sa hindi patas na mga gawi sa paggawa, kawalan ng kalayaang pang-akademiko, at kahit na harapin ang hindi makatarungang mga aksyong pandisiplina.
**Ang pagtugon sa katiwalian sa edukasyon** ay napakahalaga upang matiyak na parehong matamasa ng mga mag-aaral at tagapagturo ang kanilang **pangunahing legal na karapatan** at mag-ambag sa isang patas at patas na kapaligiran sa pag-aaral. Nangangailangan ito ng **mas matibay na legal na balangkas, epektibong mekanismo ng proteksyon ng whistleblower, at matatag na hakbang sa pananagutan** upang panagutin ang mga indibidwal at institusyon para sa mga tiwaling gawi.</v>
      </c>
      <c r="F1256" s="2">
        <f t="shared" si="1"/>
        <v>0</v>
      </c>
      <c r="G1256" s="2"/>
      <c r="H1256" s="2"/>
      <c r="I1256" s="2"/>
      <c r="J1256" s="2"/>
      <c r="K1256" s="2"/>
      <c r="L1256" s="2"/>
      <c r="M1256" s="2"/>
      <c r="N1256" s="2"/>
      <c r="O1256" s="2"/>
      <c r="P1256" s="2"/>
      <c r="Q1256" s="2"/>
      <c r="R1256" s="2"/>
      <c r="S1256" s="2"/>
      <c r="T1256" s="2"/>
      <c r="U1256" s="2"/>
      <c r="V1256" s="2"/>
      <c r="W1256" s="2"/>
      <c r="X1256" s="2"/>
      <c r="Y1256" s="2"/>
      <c r="Z1256" s="2"/>
      <c r="AA1256" s="2"/>
    </row>
    <row r="1257">
      <c r="A1257" s="1" t="s">
        <v>3356</v>
      </c>
      <c r="B1257" s="1" t="s">
        <v>3679</v>
      </c>
      <c r="C1257" s="1" t="s">
        <v>3680</v>
      </c>
      <c r="D1257" s="2" t="str">
        <f>IFERROR(__xludf.DUMMYFUNCTION("GOOGLETRANSLATE(B1257, ""en"", ""TL"")"),"Anong mga legal na proteksyon ang umiiral para sa mga mag-aaral na nag-uulat ng mga kaso ng katiwalian sa loob ng kanilang institusyong pang-edukasyon?")</f>
        <v>Anong mga legal na proteksyon ang umiiral para sa mga mag-aaral na nag-uulat ng mga kaso ng katiwalian sa loob ng kanilang institusyong pang-edukasyon?</v>
      </c>
      <c r="E1257" s="2" t="str">
        <f>IFERROR(__xludf.DUMMYFUNCTION("GOOGLETRANSLATE(C1257, ""en"", ""TL"")"),"Bagama't ang Pilipinas **walang komprehensibong legal na balangkas** na partikular na nakatuon sa pagprotekta sa mga mag-aaral na nag-uulat ng katiwalian sa loob ng kanilang mga institusyong pang-edukasyon, mayroong ilang umiiral na mga probisyon at mekan"&amp;"ismo na nag-aalok ng **mga limitadong pananggalang**:
**1. Republic Act No. 6713 (Code of Conduct and Ethical Standards for Public Officials and Employees):**
* **Seksyon 32:** Hinihikayat ng seksyong ito ang pag-uulat ng mga graft at corrupt na gawi ng m"&amp;"ga pampublikong opisyal at empleyado, kabilang ang mga nagtatrabaho sa **mga pampublikong institusyong pang-edukasyon**. Pinapayagan nito ang **anonymous na pag-uulat** sa pamamagitan ng iba't ibang channel, kabilang ang:
* **Mga Opisina ng Ombudsman**
* "&amp;"**Mga espesyal na tagausig**
* **Mga pinuno ng ahensya**
* **Mga ahensyang nagpapatupad ng batas**
**Gayunpaman, may mga limitasyon:**
* **Limitadong Saklaw:** Ang batas na ito ay pangunahing nalalapat sa **mga pampublikong institusyong pang-edukasyon**, "&amp;"hindi sa mga pribado.
* **Mga Alalahanin sa Pagkakumpidensyal:** Bagama't hinihikayat ang hindi pagkakilala, walang garantiya ng kumpletong pagiging kumpidensyal sa buong proseso ng pagsisiyasat. Maaaring kailanganin ng mga awtoridad na ibunyag ang pagkak"&amp;"akilanlan ng reporter sa ilang partikular na sitwasyon, na posibleng malagay sa panganib ang kanilang hindi pagkakilala.
**2. Mga Mekanismo ng Panloob na Pag-uulat:**
* Ang ilang mga institusyong pang-edukasyon, partikular na **mga pampublikong paaralan a"&amp;"t unibersidad**, ay maaaring nagtatag ng **mga panloob na channel sa pag-uulat** para sa mga mag-aaral na mag-ulat ng maling gawain nang hindi nagpapakilala o kumpidensyal. Ang mga mekanismong ito ay maaaring mag-iba sa kanilang pagiging epektibo at antas"&amp;" ng proteksyong inaalok.
**3. Mga Programa sa Proteksyon ng Whistleblower:**
* Bagama't hindi partikular na idinisenyo para sa mga institusyong pang-edukasyon, ang ilang ahensya ng gobyerno tulad ng **Civil Service Commission (CSC)** ay nag-aalok ng **mga"&amp;" programa sa proteksyon ng whistleblower** na maaaring naaangkop sa mga mag-aaral na nag-uulat ng katiwalian na kinasasangkutan ng mga pampublikong opisyal sa loob ng kanilang mga institusyong pang-edukasyon. Ang mga programang ito ay nag-aalok ng ilang *"&amp;"*limitadong pag-iingat**, ngunit ang kanilang pagiging epektibo ay maaaring mag-iba depende sa partikular na mga pangyayari.
**4. Karapatan sa Edukasyon:**
* Ang **Philippine Constitution** ay ginagarantiyahan ang karapatan sa edukasyon. Maaaring gamitin "&amp;"ng mga mag-aaral ang karapatang ito na hamunin ang mga kasanayan sa loob ng sistema ng edukasyon na humahadlang sa kanilang pag-access sa de-kalidad na edukasyon dahil sa katiwalian.
**Mga Hamon at Pagsasaalang-alang:**
* **Limitadong Saklaw at Pagkabisa:"&amp;"** Ang mga kasalukuyang proteksyon ay kadalasang **pira-piraso at nag-aalok ng mga limitadong garantiya** para sa kaligtasan ng mag-aaral at hindi nagpapakilala kapag nag-uulat ng katiwalian.
* **Potensyal na Pagganti:** Palaging may **panganib ng paghihi"&amp;"ganti** mula sa mga indibidwal o entity na sangkot sa iniulat na katiwalian, kahit na may hindi kilalang pag-uulat.
* **Kahalagahan ng Ebidensya:** Ang pangangalap ng **matibay na ebidensya** upang suportahan ang mga paratang ng katiwalian ay maaaring mag"&amp;"ing mahalaga para sa anumang potensyal na imbestigasyon o legal na aksyon.
**Mga Rekomendasyon:**
* **Adbokasiya para sa Mas Malakas na Mga Proteksyon:** Ang pagtataguyod para sa pagbuo at pagpapatupad ng **komprehensibong legal na mga balangkas** na part"&amp;"ikular na idinisenyo upang protektahan ang mga mag-aaral na nag-uulat ng katiwalian sa loob ng mga institusyong pang-edukasyon ay napakahalaga para sa paglikha ng isang mas ligtas na kapaligiran para sa mga whistleblower.
* **Naghahanap ng Patnubay at Sup"&amp;"orta:** Ang pagkonsulta sa **mga abogadong dalubhasa sa batas ng edukasyon o proteksyon ng whistleblower**, mga organisasyon ng mag-aaral, o NGO na nagtatrabaho sa adbokasiya sa edukasyon ay maaaring magbigay ng mahalagang patnubay, suporta, at mapagkukun"&amp;"an para sa mga mag-aaral na isinasaalang-alang ang pag-uulat ng katiwalian.
**Tandaan:** Habang ang pag-navigate sa mga kumplikado ng pag-uulat ng katiwalian ay maaaring maging mahirap, **ang mga mag-aaral ay may mahalagang papel sa paglalantad ng maling "&amp;"gawain at pagpapanagot sa mga institusyon**. Sa pamamagitan ng pag-unawa sa umiiral na mga limitasyon at paggalugad ng mga magagamit na opsyon, ang mga mag-aaral ay maaaring mag-ambag sa pagbuo ng isang mas transparent at may pananagutan na sistema ng edu"&amp;"kasyon.")</f>
        <v>Bagama't ang Pilipinas **walang komprehensibong legal na balangkas** na partikular na nakatuon sa pagprotekta sa mga mag-aaral na nag-uulat ng katiwalian sa loob ng kanilang mga institusyong pang-edukasyon, mayroong ilang umiiral na mga probisyon at mekanismo na nag-aalok ng **mga limitadong pananggalang**:
**1. Republic Act No. 6713 (Code of Conduct and Ethical Standards for Public Officials and Employees):**
* **Seksyon 32:** Hinihikayat ng seksyong ito ang pag-uulat ng mga graft at corrupt na gawi ng mga pampublikong opisyal at empleyado, kabilang ang mga nagtatrabaho sa **mga pampublikong institusyong pang-edukasyon**. Pinapayagan nito ang **anonymous na pag-uulat** sa pamamagitan ng iba't ibang channel, kabilang ang:
* **Mga Opisina ng Ombudsman**
* **Mga espesyal na tagausig**
* **Mga pinuno ng ahensya**
* **Mga ahensyang nagpapatupad ng batas**
**Gayunpaman, may mga limitasyon:**
* **Limitadong Saklaw:** Ang batas na ito ay pangunahing nalalapat sa **mga pampublikong institusyong pang-edukasyon**, hindi sa mga pribado.
* **Mga Alalahanin sa Pagkakumpidensyal:** Bagama't hinihikayat ang hindi pagkakilala, walang garantiya ng kumpletong pagiging kumpidensyal sa buong proseso ng pagsisiyasat. Maaaring kailanganin ng mga awtoridad na ibunyag ang pagkakakilanlan ng reporter sa ilang partikular na sitwasyon, na posibleng malagay sa panganib ang kanilang hindi pagkakilala.
**2. Mga Mekanismo ng Panloob na Pag-uulat:**
* Ang ilang mga institusyong pang-edukasyon, partikular na **mga pampublikong paaralan at unibersidad**, ay maaaring nagtatag ng **mga panloob na channel sa pag-uulat** para sa mga mag-aaral na mag-ulat ng maling gawain nang hindi nagpapakilala o kumpidensyal. Ang mga mekanismong ito ay maaaring mag-iba sa kanilang pagiging epektibo at antas ng proteksyong inaalok.
**3. Mga Programa sa Proteksyon ng Whistleblower:**
* Bagama't hindi partikular na idinisenyo para sa mga institusyong pang-edukasyon, ang ilang ahensya ng gobyerno tulad ng **Civil Service Commission (CSC)** ay nag-aalok ng **mga programa sa proteksyon ng whistleblower** na maaaring naaangkop sa mga mag-aaral na nag-uulat ng katiwalian na kinasasangkutan ng mga pampublikong opisyal sa loob ng kanilang mga institusyong pang-edukasyon. Ang mga programang ito ay nag-aalok ng ilang **limitadong pag-iingat**, ngunit ang kanilang pagiging epektibo ay maaaring mag-iba depende sa partikular na mga pangyayari.
**4. Karapatan sa Edukasyon:**
* Ang **Philippine Constitution** ay ginagarantiyahan ang karapatan sa edukasyon. Maaaring gamitin ng mga mag-aaral ang karapatang ito na hamunin ang mga kasanayan sa loob ng sistema ng edukasyon na humahadlang sa kanilang pag-access sa de-kalidad na edukasyon dahil sa katiwalian.
**Mga Hamon at Pagsasaalang-alang:**
* **Limitadong Saklaw at Pagkabisa:** Ang mga kasalukuyang proteksyon ay kadalasang **pira-piraso at nag-aalok ng mga limitadong garantiya** para sa kaligtasan ng mag-aaral at hindi nagpapakilala kapag nag-uulat ng katiwalian.
* **Potensyal na Pagganti:** Palaging may **panganib ng paghihiganti** mula sa mga indibidwal o entity na sangkot sa iniulat na katiwalian, kahit na may hindi kilalang pag-uulat.
* **Kahalagahan ng Ebidensya:** Ang pangangalap ng **matibay na ebidensya** upang suportahan ang mga paratang ng katiwalian ay maaaring maging mahalaga para sa anumang potensyal na imbestigasyon o legal na aksyon.
**Mga Rekomendasyon:**
* **Adbokasiya para sa Mas Malakas na Mga Proteksyon:** Ang pagtataguyod para sa pagbuo at pagpapatupad ng **komprehensibong legal na mga balangkas** na partikular na idinisenyo upang protektahan ang mga mag-aaral na nag-uulat ng katiwalian sa loob ng mga institusyong pang-edukasyon ay napakahalaga para sa paglikha ng isang mas ligtas na kapaligiran para sa mga whistleblower.
* **Naghahanap ng Patnubay at Suporta:** Ang pagkonsulta sa **mga abogadong dalubhasa sa batas ng edukasyon o proteksyon ng whistleblower**, mga organisasyon ng mag-aaral, o NGO na nagtatrabaho sa adbokasiya sa edukasyon ay maaaring magbigay ng mahalagang patnubay, suporta, at mapagkukunan para sa mga mag-aaral na isinasaalang-alang ang pag-uulat ng katiwalian.
**Tandaan:** Habang ang pag-navigate sa mga kumplikado ng pag-uulat ng katiwalian ay maaaring maging mahirap, **ang mga mag-aaral ay may mahalagang papel sa paglalantad ng maling gawain at pagpapanagot sa mga institusyon**. Sa pamamagitan ng pag-unawa sa umiiral na mga limitasyon at paggalugad ng mga magagamit na opsyon, ang mga mag-aaral ay maaaring mag-ambag sa pagbuo ng isang mas transparent at may pananagutan na sistema ng edukasyon.</v>
      </c>
      <c r="F1257" s="2">
        <f t="shared" si="1"/>
        <v>0</v>
      </c>
      <c r="G1257" s="2"/>
      <c r="H1257" s="2"/>
      <c r="I1257" s="2"/>
      <c r="J1257" s="2"/>
      <c r="K1257" s="2"/>
      <c r="L1257" s="2"/>
      <c r="M1257" s="2"/>
      <c r="N1257" s="2"/>
      <c r="O1257" s="2"/>
      <c r="P1257" s="2"/>
      <c r="Q1257" s="2"/>
      <c r="R1257" s="2"/>
      <c r="S1257" s="2"/>
      <c r="T1257" s="2"/>
      <c r="U1257" s="2"/>
      <c r="V1257" s="2"/>
      <c r="W1257" s="2"/>
      <c r="X1257" s="2"/>
      <c r="Y1257" s="2"/>
      <c r="Z1257" s="2"/>
      <c r="AA1257" s="2"/>
    </row>
    <row r="1258">
      <c r="A1258" s="1" t="s">
        <v>3356</v>
      </c>
      <c r="B1258" s="1" t="s">
        <v>3681</v>
      </c>
      <c r="C1258" s="1" t="s">
        <v>3682</v>
      </c>
      <c r="D1258" s="2" t="str">
        <f>IFERROR(__xludf.DUMMYFUNCTION("GOOGLETRANSLATE(B1258, ""en"", ""TL"")"),"Maaari bang gumawa ng legal na aksyon ang mga indibidwal laban sa mga third-party na entity na nagpapadali sa katiwalian sa edukasyon, tulad ng mga pribadong tutoring center o admission consultant?")</f>
        <v>Maaari bang gumawa ng legal na aksyon ang mga indibidwal laban sa mga third-party na entity na nagpapadali sa katiwalian sa edukasyon, tulad ng mga pribadong tutoring center o admission consultant?</v>
      </c>
      <c r="E1258" s="2" t="str">
        <f>IFERROR(__xludf.DUMMYFUNCTION("GOOGLETRANSLATE(C1258, ""en"", ""TL"")"),"Ang posibilidad ng mga indibidwal na magsagawa ng legal na aksyon laban sa **mga third-party na entity** na nagpapadali sa katiwalian sa edukasyon, tulad ng **mga pribadong tutoring center o admission consultant**, sa Pilipinas ay nakadepende sa ilang sal"&amp;"ik at sa mga partikular na kalagayan ng bawat kaso. Narito ang isang pangkalahatang-ideya ng mga pangunahing pagsasaalang-alang:
**Mga Potensyal na Batayan para sa Legal na Aksyon:**
* **Direktang Paglahok sa Korapsyon:** Kung maipapakita ng mga indibidwa"&amp;"l na ang third-party na entity **aktibong lumahok** sa mga katiwaliang gawain sa loob ng institusyong pang-edukasyon, tulad ng panunuhol sa mga opisyal, pagmamanipula sa mga proseso ng admission, o pag-aalok ng hindi patas na mga pakinabang, maaari silang"&amp;" may mga batayan para sa legal na aksyon. Maaaring kabilang dito ang:
* **Mga demanda sa sibil:** Humingi ng kabayaran para sa mga pinsalang natamo dahil sa mga tiwaling gawi na pinangasiwaan ng ikatlong partido.
* **Mga reklamong kriminal:** Pag-uulat ng"&amp;" pagkakasangkot ng entity sa mga ahensyang nagpapatupad ng batas para sa imbestigasyon at potensyal na pag-uusig.
* **Pagtulong at Pagsang-ayon sa Korapsyon:** Kahit na hindi direktang sangkot sa pangunahing gawaing tiwaling, ang ikatlong partido ay maaar"&amp;"ing managot para sa **pagtulong at pagsang-ayon** sa katiwalian kung sadyang nagbigay sila ng tulong o mapagkukunan na nagpadali sa maling gawain.
**Mga Hamon at Limitasyon:**
* **Pagtatatag ng Ebidensya:** Ang pagpapatunay sa **direktang pagkakasangkot**"&amp;" o **pag-alam sa pakikilahok** ng ikatlong partido sa mga tiwaling gawi ay maaaring maging hamon, lalo na kung ang entidad ay nagtatangkang ilayo ang sarili mula sa maling gawain.
* **Sanhi:** Ang pagpapakita ng **malinaw na sanhi ng link** sa pagitan ng "&amp;"mga aksyon ng ikatlong partido at ang partikular na pinsalang dinanas ng indibidwal ay maaaring maging kumplikado.
* **Limited Legal Precedents:** Maaaring mayroong **limitadong legal na pamarisan** hinggil sa pagpapanagot sa mga third-party na entity par"&amp;"a sa pagpapadali ng katiwalian sa edukasyon, na ginagawang medyo hindi sigurado ang legal na tanawin.
**Mga Alternatibong Pagpipilian:**
* **Pag-uulat sa Regulatory Bodies:** Maaaring iulat ng mga indibidwal ang mga aktibidad ng third-party na entity sa m"&amp;"ga nauugnay na **regulatory agencies** tulad ng Department of Education (DepEd) o Commission on Higher Education (CHED) para sa imbestigasyon at potensyal mga parusa laban sa entidad.
* **Adbokasiya at Pampublikong Kamalayan:** Ang pagpapataas ng kamalaya"&amp;"n tungkol sa isyu sa pamamagitan ng **mga pagsusumikap sa pampublikong adbokasiya** ay maaaring maglagay ng presyon sa mga institusyong pang-edukasyon at mga awtoridad na tugunan ang papel ng mga ikatlong partido sa pagpapadali ng katiwalian.
**Kahalagaha"&amp;"n ng Legal na Patnubay:**
Ang pagkonsulta sa isang abogado na dalubhasa sa batas sa edukasyon o mga usapin laban sa katiwalian ay napakahalaga upang maunawaan ang legal na tanawin, masuri ang posibilidad ng pagsasagawa ng legal na aksyon laban sa partikul"&amp;"ar na third-party na entity, at tuklasin ang lahat ng magagamit na opsyon. Maaari silang magpayo sa:
* **Pagtitipon ng ebidensya:** Pag-secure ng dokumentasyon, mga testimonya ng saksi, o iba pang nauugnay na patunay upang suportahan ang mga claim.
* **Pa"&amp;"g-navigate sa mga legal na pamamaraan:** Pag-unawa sa mga naaangkop na batas, mga kinakailangan sa paghahain, at mga potensyal na hamon na kasangkot sa pagsasagawa ng legal na aksyon.
* **Paggalugad ng mga alternatibong opsyon:** Pagtukoy sa iba pang mga "&amp;"paraan para sa pagtugon sa isyu at pagpapanagot sa mga sangkot sa pagpapadali sa katiwalian.
**Tandaan:** Ang pagsasagawa ng legal na aksyon laban sa mga third-party na entity sa mga ganitong kaso ay maaaring maging kumplikado at mapaghamong. Gayunpaman, "&amp;"ang paghingi ng propesyonal na legal na patnubay at paggalugad sa lahat ng magagamit na mga opsyon ay maaaring magbigay ng kapangyarihan sa mga indibidwal na tugunan ang isyu at mag-ambag sa paglaban sa katiwalian sa loob ng sistema ng edukasyon.")</f>
        <v>Ang posibilidad ng mga indibidwal na magsagawa ng legal na aksyon laban sa **mga third-party na entity** na nagpapadali sa katiwalian sa edukasyon, tulad ng **mga pribadong tutoring center o admission consultant**, sa Pilipinas ay nakadepende sa ilang salik at sa mga partikular na kalagayan ng bawat kaso. Narito ang isang pangkalahatang-ideya ng mga pangunahing pagsasaalang-alang:
**Mga Potensyal na Batayan para sa Legal na Aksyon:**
* **Direktang Paglahok sa Korapsyon:** Kung maipapakita ng mga indibidwal na ang third-party na entity **aktibong lumahok** sa mga katiwaliang gawain sa loob ng institusyong pang-edukasyon, tulad ng panunuhol sa mga opisyal, pagmamanipula sa mga proseso ng admission, o pag-aalok ng hindi patas na mga pakinabang, maaari silang may mga batayan para sa legal na aksyon. Maaaring kabilang dito ang:
* **Mga demanda sa sibil:** Humingi ng kabayaran para sa mga pinsalang natamo dahil sa mga tiwaling gawi na pinangasiwaan ng ikatlong partido.
* **Mga reklamong kriminal:** Pag-uulat ng pagkakasangkot ng entity sa mga ahensyang nagpapatupad ng batas para sa imbestigasyon at potensyal na pag-uusig.
* **Pagtulong at Pagsang-ayon sa Korapsyon:** Kahit na hindi direktang sangkot sa pangunahing gawaing tiwaling, ang ikatlong partido ay maaaring managot para sa **pagtulong at pagsang-ayon** sa katiwalian kung sadyang nagbigay sila ng tulong o mapagkukunan na nagpadali sa maling gawain.
**Mga Hamon at Limitasyon:**
* **Pagtatatag ng Ebidensya:** Ang pagpapatunay sa **direktang pagkakasangkot** o **pag-alam sa pakikilahok** ng ikatlong partido sa mga tiwaling gawi ay maaaring maging hamon, lalo na kung ang entidad ay nagtatangkang ilayo ang sarili mula sa maling gawain.
* **Sanhi:** Ang pagpapakita ng **malinaw na sanhi ng link** sa pagitan ng mga aksyon ng ikatlong partido at ang partikular na pinsalang dinanas ng indibidwal ay maaaring maging kumplikado.
* **Limited Legal Precedents:** Maaaring mayroong **limitadong legal na pamarisan** hinggil sa pagpapanagot sa mga third-party na entity para sa pagpapadali ng katiwalian sa edukasyon, na ginagawang medyo hindi sigurado ang legal na tanawin.
**Mga Alternatibong Pagpipilian:**
* **Pag-uulat sa Regulatory Bodies:** Maaaring iulat ng mga indibidwal ang mga aktibidad ng third-party na entity sa mga nauugnay na **regulatory agencies** tulad ng Department of Education (DepEd) o Commission on Higher Education (CHED) para sa imbestigasyon at potensyal mga parusa laban sa entidad.
* **Adbokasiya at Pampublikong Kamalayan:** Ang pagpapataas ng kamalayan tungkol sa isyu sa pamamagitan ng **mga pagsusumikap sa pampublikong adbokasiya** ay maaaring maglagay ng presyon sa mga institusyong pang-edukasyon at mga awtoridad na tugunan ang papel ng mga ikatlong partido sa pagpapadali ng katiwalian.
**Kahalagahan ng Legal na Patnubay:**
Ang pagkonsulta sa isang abogado na dalubhasa sa batas sa edukasyon o mga usapin laban sa katiwalian ay napakahalaga upang maunawaan ang legal na tanawin, masuri ang posibilidad ng pagsasagawa ng legal na aksyon laban sa partikular na third-party na entity, at tuklasin ang lahat ng magagamit na opsyon. Maaari silang magpayo sa:
* **Pagtitipon ng ebidensya:** Pag-secure ng dokumentasyon, mga testimonya ng saksi, o iba pang nauugnay na patunay upang suportahan ang mga claim.
* **Pag-navigate sa mga legal na pamamaraan:** Pag-unawa sa mga naaangkop na batas, mga kinakailangan sa paghahain, at mga potensyal na hamon na kasangkot sa pagsasagawa ng legal na aksyon.
* **Paggalugad ng mga alternatibong opsyon:** Pagtukoy sa iba pang mga paraan para sa pagtugon sa isyu at pagpapanagot sa mga sangkot sa pagpapadali sa katiwalian.
**Tandaan:** Ang pagsasagawa ng legal na aksyon laban sa mga third-party na entity sa mga ganitong kaso ay maaaring maging kumplikado at mapaghamong. Gayunpaman, ang paghingi ng propesyonal na legal na patnubay at paggalugad sa lahat ng magagamit na mga opsyon ay maaaring magbigay ng kapangyarihan sa mga indibidwal na tugunan ang isyu at mag-ambag sa paglaban sa katiwalian sa loob ng sistema ng edukasyon.</v>
      </c>
      <c r="F1258" s="2">
        <f t="shared" si="1"/>
        <v>0</v>
      </c>
      <c r="G1258" s="2"/>
      <c r="H1258" s="2"/>
      <c r="I1258" s="2"/>
      <c r="J1258" s="2"/>
      <c r="K1258" s="2"/>
      <c r="L1258" s="2"/>
      <c r="M1258" s="2"/>
      <c r="N1258" s="2"/>
      <c r="O1258" s="2"/>
      <c r="P1258" s="2"/>
      <c r="Q1258" s="2"/>
      <c r="R1258" s="2"/>
      <c r="S1258" s="2"/>
      <c r="T1258" s="2"/>
      <c r="U1258" s="2"/>
      <c r="V1258" s="2"/>
      <c r="W1258" s="2"/>
      <c r="X1258" s="2"/>
      <c r="Y1258" s="2"/>
      <c r="Z1258" s="2"/>
      <c r="AA1258" s="2"/>
    </row>
    <row r="1259">
      <c r="A1259" s="1" t="s">
        <v>3356</v>
      </c>
      <c r="B1259" s="1" t="s">
        <v>3683</v>
      </c>
      <c r="C1259" s="1" t="s">
        <v>3684</v>
      </c>
      <c r="D1259" s="2" t="str">
        <f>IFERROR(__xludf.DUMMYFUNCTION("GOOGLETRANSLATE(B1259, ""en"", ""TL"")"),"Mayroon bang mga tiyak na batas ng mga limitasyon para sa pagdadala ng mga legal na paghahabol na may kaugnayan sa katiwalian sa edukasyon?")</f>
        <v>Mayroon bang mga tiyak na batas ng mga limitasyon para sa pagdadala ng mga legal na paghahabol na may kaugnayan sa katiwalian sa edukasyon?</v>
      </c>
      <c r="E1259" s="2" t="str">
        <f>IFERROR(__xludf.DUMMYFUNCTION("GOOGLETRANSLATE(C1259, ""en"", ""TL"")"),"Sa Pilipinas, **ang tiyak na batas ng mga limitasyon para sa pagdadala ng mga legal na paghahabol na may kaugnayan sa katiwalian sa edukasyon ay nakasalalay sa likas na katangian ng paghahabol at ang uri ng legal na aksyong isinagawa**. Narito ang isang b"&amp;"reakdown ng mga nauugnay na punto:
**Mga Paghahabla Sibil:**
* **Pangkalahatang Panuntunan:** Ang Pilipinas ay sumusunod sa isang **prescriptive period** system, na nagtatatag ng mga limitasyon sa oras para sa pagsasampa ng ilang uri ng mga demanda. Ang p"&amp;"inakakaraniwang naaangkop na panahon ng pagrereseta para sa **mga kasong sibil** na may kaugnayan sa paglabag sa kontrata, mga obligasyon, o nagdudulot ng pinsala ay **apat (4) na taon** mula sa oras na naipon ang karapatan ng pagkilos (karaniwan ay kapag"&amp;" natuklasan ang pinsala) .
* **Mga Potensyal na Pagkakaiba-iba:** Depende sa partikular na katangian ng katiwalian at ang legal na batayan para sa paghahabol, maaaring maglapat ang iba pang mga prescriptive na panahon. Ang pagkonsulta sa isang abogado na "&amp;"dalubhasa sa civil litigation ay inirerekomenda upang matukoy ang eksaktong naaangkop na takdang panahon.
**Mga Kasong Kriminal:**
* **Mga Tukoy na Pagkakasala:** Binabalangkas ng Binagong Kodigo Penal ng Pilipinas ang **mga tiyak na batas ng mga limitasy"&amp;"on** para sa iba't ibang mga kriminal na pagkakasala, kabilang ang mga nauugnay sa graft at katiwalian.
* **Pamemeke at palsipikasyon:** Sa pangkalahatan, sampung (10) taon mula sa petsa na ginawa ang krimen.
* **Panunuhol:** Walong (8) taon mula sa petsa"&amp;" na ginawa ang krimen.
* **Pangungurakot:** Sampung (10) taon mula sa petsa ng pagkadiskubre ng krimen.
**Mga Reklamo sa Whistleblower:**
* **Republic Act No. 6713:** Ang batas na ito, na kilala rin bilang Code of Conduct and Ethical Standards for Public "&amp;"Officials and Employees, ay naghihikayat sa pag-uulat ng katiwalian at nag-aalok ng **proteksyon sa mga whistleblower**. Bagama't hindi nito tinukoy ang isang mahigpit na deadline para sa paghahain ng mga reklamo, ang **maagap na pag-uulat** ay karaniwang"&amp;" hinihikayat upang mapadali ang mga napapanahong pagsisiyasat.
**Mga Reklamo sa Administratibo:**
* **Nag-iiba-iba Depende sa Ahensya:** Ang bawat ahensya ng gobyerno na responsable sa pag-iimbestiga sa katiwalian sa edukasyon (CHED, DepEd, atbp.) ay maaa"&amp;"ring mayroong **mga partikular na regulasyon o alituntunin** hinggil sa mga takdang panahon para sa paghahain ng mga reklamong administratibo. Napakahalagang kumonsulta sa mga alituntunin ng may-katuturang ahensya o humingi ng legal na payo upang maunawaa"&amp;"n ang mga naaangkop na deadline.
**Kahalagahan ng Paghahanap ng Legal na Patnubay:**
Dahil sa mga kumplikadong kasangkot, **pagkonsulta sa isang abogado na dalubhasa sa batas sa edukasyon o mga usapin laban sa katiwalian** ay lubos na inirerekomenda. Maaa"&amp;"ri silang:
* **Magbigay ng payo sa naaangkop na batas ng mga limitasyon** batay sa mga partikular na pangyayari ng iyong kaso at ang uri ng legal na aksyon na balak mong isagawa.
* **Tasahin ang posibilidad ng iyong paghahabol** sa loob ng ibinigay na tak"&amp;"dang panahon.
* **Gabayan ka sa naaangkop na paraan ng pagkilos** upang matiyak na natutugunan mo ang anumang mga deadline at epektibong ituloy ang iyong mga legal na karapatan.
**Tandaan:** Kahit na ang partikular na batas ng mga limitasyon ay hindi pa n"&amp;"ag-expire, **mga pagkaantala sa paghahain ng claim** ay maaaring negatibong makaapekto sa proseso ng pangangalap ng ebidensya, paggunita ng saksi, at pangkalahatang pagiging epektibo ng pagsasagawa ng legal na aksyon. Ang pagkonsulta kaagad sa isang aboga"&amp;"do pagkatapos matuklasan ang potensyal na katiwalian ay napakahalaga upang mapakinabangan ang iyong mga pagkakataong magtagumpay.")</f>
        <v>Sa Pilipinas, **ang tiyak na batas ng mga limitasyon para sa pagdadala ng mga legal na paghahabol na may kaugnayan sa katiwalian sa edukasyon ay nakasalalay sa likas na katangian ng paghahabol at ang uri ng legal na aksyong isinagawa**. Narito ang isang breakdown ng mga nauugnay na punto:
**Mga Paghahabla Sibil:**
* **Pangkalahatang Panuntunan:** Ang Pilipinas ay sumusunod sa isang **prescriptive period** system, na nagtatatag ng mga limitasyon sa oras para sa pagsasampa ng ilang uri ng mga demanda. Ang pinakakaraniwang naaangkop na panahon ng pagrereseta para sa **mga kasong sibil** na may kaugnayan sa paglabag sa kontrata, mga obligasyon, o nagdudulot ng pinsala ay **apat (4) na taon** mula sa oras na naipon ang karapatan ng pagkilos (karaniwan ay kapag natuklasan ang pinsala) .
* **Mga Potensyal na Pagkakaiba-iba:** Depende sa partikular na katangian ng katiwalian at ang legal na batayan para sa paghahabol, maaaring maglapat ang iba pang mga prescriptive na panahon. Ang pagkonsulta sa isang abogado na dalubhasa sa civil litigation ay inirerekomenda upang matukoy ang eksaktong naaangkop na takdang panahon.
**Mga Kasong Kriminal:**
* **Mga Tukoy na Pagkakasala:** Binabalangkas ng Binagong Kodigo Penal ng Pilipinas ang **mga tiyak na batas ng mga limitasyon** para sa iba't ibang mga kriminal na pagkakasala, kabilang ang mga nauugnay sa graft at katiwalian.
* **Pamemeke at palsipikasyon:** Sa pangkalahatan, sampung (10) taon mula sa petsa na ginawa ang krimen.
* **Panunuhol:** Walong (8) taon mula sa petsa na ginawa ang krimen.
* **Pangungurakot:** Sampung (10) taon mula sa petsa ng pagkadiskubre ng krimen.
**Mga Reklamo sa Whistleblower:**
* **Republic Act No. 6713:** Ang batas na ito, na kilala rin bilang Code of Conduct and Ethical Standards for Public Officials and Employees, ay naghihikayat sa pag-uulat ng katiwalian at nag-aalok ng **proteksyon sa mga whistleblower**. Bagama't hindi nito tinukoy ang isang mahigpit na deadline para sa paghahain ng mga reklamo, ang **maagap na pag-uulat** ay karaniwang hinihikayat upang mapadali ang mga napapanahong pagsisiyasat.
**Mga Reklamo sa Administratibo:**
* **Nag-iiba-iba Depende sa Ahensya:** Ang bawat ahensya ng gobyerno na responsable sa pag-iimbestiga sa katiwalian sa edukasyon (CHED, DepEd, atbp.) ay maaaring mayroong **mga partikular na regulasyon o alituntunin** hinggil sa mga takdang panahon para sa paghahain ng mga reklamong administratibo. Napakahalagang kumonsulta sa mga alituntunin ng may-katuturang ahensya o humingi ng legal na payo upang maunawaan ang mga naaangkop na deadline.
**Kahalagahan ng Paghahanap ng Legal na Patnubay:**
Dahil sa mga kumplikadong kasangkot, **pagkonsulta sa isang abogado na dalubhasa sa batas sa edukasyon o mga usapin laban sa katiwalian** ay lubos na inirerekomenda. Maaari silang:
* **Magbigay ng payo sa naaangkop na batas ng mga limitasyon** batay sa mga partikular na pangyayari ng iyong kaso at ang uri ng legal na aksyon na balak mong isagawa.
* **Tasahin ang posibilidad ng iyong paghahabol** sa loob ng ibinigay na takdang panahon.
* **Gabayan ka sa naaangkop na paraan ng pagkilos** upang matiyak na natutugunan mo ang anumang mga deadline at epektibong ituloy ang iyong mga legal na karapatan.
**Tandaan:** Kahit na ang partikular na batas ng mga limitasyon ay hindi pa nag-expire, **mga pagkaantala sa paghahain ng claim** ay maaaring negatibong makaapekto sa proseso ng pangangalap ng ebidensya, paggunita ng saksi, at pangkalahatang pagiging epektibo ng pagsasagawa ng legal na aksyon. Ang pagkonsulta kaagad sa isang abogado pagkatapos matuklasan ang potensyal na katiwalian ay napakahalaga upang mapakinabangan ang iyong mga pagkakataong magtagumpay.</v>
      </c>
      <c r="F1259" s="2">
        <f t="shared" si="1"/>
        <v>0</v>
      </c>
      <c r="G1259" s="2"/>
      <c r="H1259" s="2"/>
      <c r="I1259" s="2"/>
      <c r="J1259" s="2"/>
      <c r="K1259" s="2"/>
      <c r="L1259" s="2"/>
      <c r="M1259" s="2"/>
      <c r="N1259" s="2"/>
      <c r="O1259" s="2"/>
      <c r="P1259" s="2"/>
      <c r="Q1259" s="2"/>
      <c r="R1259" s="2"/>
      <c r="S1259" s="2"/>
      <c r="T1259" s="2"/>
      <c r="U1259" s="2"/>
      <c r="V1259" s="2"/>
      <c r="W1259" s="2"/>
      <c r="X1259" s="2"/>
      <c r="Y1259" s="2"/>
      <c r="Z1259" s="2"/>
      <c r="AA1259" s="2"/>
    </row>
    <row r="1260">
      <c r="A1260" s="1" t="s">
        <v>3356</v>
      </c>
      <c r="B1260" s="1" t="s">
        <v>3685</v>
      </c>
      <c r="C1260" s="1" t="s">
        <v>3686</v>
      </c>
      <c r="D1260" s="2" t="str">
        <f>IFERROR(__xludf.DUMMYFUNCTION("GOOGLETRANSLATE(B1260, ""en"", ""TL"")"),"Ano ang papel na ginagampanan ng mga regulatory body ng gobyerno sa pagsisiyasat at pag-uusig sa katiwalian sa loob ng mga institusyong pang-edukasyon?")</f>
        <v>Ano ang papel na ginagampanan ng mga regulatory body ng gobyerno sa pagsisiyasat at pag-uusig sa katiwalian sa loob ng mga institusyong pang-edukasyon?</v>
      </c>
      <c r="E1260" s="2" t="str">
        <f>IFERROR(__xludf.DUMMYFUNCTION("GOOGLETRANSLATE(C1260, ""en"", ""TL"")"),"Sa Pilipinas, maraming mga katawan ng regulasyon ng gobyerno ang gumaganap ng mahalagang papel sa pag-iimbestiga at pag-uusig sa katiwalian sa loob ng mga institusyong pang-edukasyon, bawat isa ay may natatanging mga responsibilidad at awtoridad:
**1. Com"&amp;"mission on Higher Education (CHED):**
* **Pokus:** Pangunahing responsable para sa **pampubliko at pribadong institusyong mas mataas na edukasyon**.
* **Mga Pag-andar:**
* Bumubuo at nagpapatupad ng mga patakaran at pamantayan para sa mas mataas na edukas"&amp;"yon, kabilang ang mga nauugnay sa **etikal na pag-uugali at mabuting pamamahala**.
* Nagsasagawa ng **mga pagsisiyasat** sa mga sinasabing paglabag sa mga patakaran at pamantayang ito, kabilang ang katiwalian sa loob ng mga institusyon.
* Nagpapataw ng **"&amp;"mga parusang pang-administratibo** laban sa mga institusyong napatunayang sangkot sa mga katiwalian, gaya ng pagsususpinde ng akreditasyon, pagbawi ng mga permit, o mga multa.
* Tinutukoy ang **mga kasong kriminal** sa naaangkop na mga ahensyang nagpapatu"&amp;"pad ng batas para sa pag-uusig.
**2. Kagawaran ng Edukasyon (DepEd):**
* **Pokus:** Pangunahing responsable para sa **mga pampublikong paaralang elementarya at sekondarya**.
* **Mga Pag-andar:**
* Katulad ng CHED, ang DepEd ay nagtatakda ng **mga patakara"&amp;"n at pamantayan** para sa etikal na pag-uugali at mabuting pamamahala sa loob ng mga paaralan.
* Nagsasagawa ng **mga pagsisiyasat** sa mga sinasabing paglabag, kabilang ang mga kaso ng katiwalian.
* Nagpapataw ng **mga administratibong parusa** laban sa "&amp;"mga paaralang napatunayang sangkot sa mga tiwaling gawain.
* Tinutukoy ang **mga kasong kriminal** sa mga kaugnay na ahensyang nagpapatupad ng batas.
**3. Tanggapan ng Ombudsman:**
* **Pokus:** Nagsisilbing **pangunahing ahensyang anti-graft at katiwalian"&amp;"** sa Pilipinas, na may hurisdiksyon sa **lahat ng pampublikong opisyal at empleyado**, kabilang ang mga nagtatrabaho sa mga pampublikong institusyong pang-edukasyon.
* **Mga Pag-andar:**
* Nagsasagawa ng **mga pagsisiyasat** sa mga paratang ng katiwalian"&amp;" na kinasasangkutan ng mga pampublikong opisyal, kabilang ang mga tagapagturo at administrador.
* Nagsampa ng **mga reklamong kriminal** laban sa mga indibidwal na napatunayang sangkot sa mga gawaing katiwalian sa **Sandiganbayan**, isang espesyal na huku"&amp;"man para sa mga kasong graft at katiwalian.
**4. Commission on Audit (COA):**
* **Pagtuon:** Nagsasagawa ng **pag-audit** ng mga ahensya at institusyon ng pamahalaan, kabilang ang mga institusyong pang-edukasyon, upang matiyak ang **wastong paggamit ng mg"&amp;"a pampublikong pondo** at tukuyin ang mga potensyal na iregularidad sa pananalapi.
* **Mga Pag-andar:**
* Kinikilala at nag-uulat **mga pagkakataon ng maling paggamit o maling paggamit ng mga pampublikong pondo** sa loob ng mga institusyong pang-edukasyon"&amp;".
* Maaaring sumangguni **mga hinihinalang kaso ng katiwalian** sa mga ahensyang nagpapatupad ng batas para sa karagdagang imbestigasyon.
**5. Iba pang Ahensya ng Pagpapatupad ng Batas:**
* **Philippine National Police (PNP) at National Bureau of Investig"&amp;"ation (NBI):** Ang mga ahensyang ito ay may awtoridad na **magsagawa ng mga pagsisiyasat** sa mga kriminal na aspeto ng mga kaso ng katiwalian sa loob ng mga institusyong pang-edukasyon, pagsunod sa wastong legal na pamamaraan at pagkuha ng mga kinakailan"&amp;"gang warrant .
**Pagtutulungan at Koordinasyon:**
Ang mga katawan ng pamahalaan na ito ay kadalasang **nagtutulungan at nag-uugnay** ng mga pagsisikap upang epektibong mag-imbestiga at matugunan ang katiwalian sa edukasyon. Maaari silang magbahagi ng impo"&amp;"rmasyon, magsagawa ng magkasanib na pagsisiyasat, at mag-refer ng mga kaso sa isa't isa batay sa kani-kanilang hurisdiksyon at kadalubhasaan.
**Mga Limitasyon at Hamon:**
* **Resource Constraints:** Ang mga ahensya ng gobyerno ay maaaring makaharap ng mga"&amp;" limitasyon sa mga tuntunin ng **mga tauhan, badyet, at mga mapagkukunan ng pagsisiyasat**, na nakakaapekto sa kanilang kapasidad na pangasiwaan ang lahat ng kaso nang epektibo.
* **Mahahabang Proseso:** Ang mga pagsisiyasat at pag-uusig ay maaaring **mak"&amp;"akaubos ng oras**, at ang pagpapanagot sa mga indibidwal ay maaaring tumagal ng malaking oras.
* **Pampublikong Pagsusuri at Presyon:** Ang epektibong pagtugon sa katiwalian ay kadalasang nangangailangan ng **sustained public pressure at adbokasiya** upan"&amp;"g matiyak ang wastong pagsisiyasat at panagutin ang mga institusyon at indibidwal.
**Sa pangkalahatan, bagama't may mahalagang papel ang mga regulatory body ng gobyerno sa pag-iimbestiga at pag-uusig ng katiwalian sa loob ng mga institusyong pang-edukasyo"&amp;"n, ang pagiging epektibo ng mga ito ay nakasalalay sa iba't ibang salik, kabilang ang sapat na mapagkukunan, mahusay na pakikipagtulungan, at malakas na suporta ng publiko para sa pagpapanagot sa mga institusyon.**")</f>
        <v>Sa Pilipinas, maraming mga katawan ng regulasyon ng gobyerno ang gumaganap ng mahalagang papel sa pag-iimbestiga at pag-uusig sa katiwalian sa loob ng mga institusyong pang-edukasyon, bawat isa ay may natatanging mga responsibilidad at awtoridad:
**1. Commission on Higher Education (CHED):**
* **Pokus:** Pangunahing responsable para sa **pampubliko at pribadong institusyong mas mataas na edukasyon**.
* **Mga Pag-andar:**
* Bumubuo at nagpapatupad ng mga patakaran at pamantayan para sa mas mataas na edukasyon, kabilang ang mga nauugnay sa **etikal na pag-uugali at mabuting pamamahala**.
* Nagsasagawa ng **mga pagsisiyasat** sa mga sinasabing paglabag sa mga patakaran at pamantayang ito, kabilang ang katiwalian sa loob ng mga institusyon.
* Nagpapataw ng **mga parusang pang-administratibo** laban sa mga institusyong napatunayang sangkot sa mga katiwalian, gaya ng pagsususpinde ng akreditasyon, pagbawi ng mga permit, o mga multa.
* Tinutukoy ang **mga kasong kriminal** sa naaangkop na mga ahensyang nagpapatupad ng batas para sa pag-uusig.
**2. Kagawaran ng Edukasyon (DepEd):**
* **Pokus:** Pangunahing responsable para sa **mga pampublikong paaralang elementarya at sekondarya**.
* **Mga Pag-andar:**
* Katulad ng CHED, ang DepEd ay nagtatakda ng **mga patakaran at pamantayan** para sa etikal na pag-uugali at mabuting pamamahala sa loob ng mga paaralan.
* Nagsasagawa ng **mga pagsisiyasat** sa mga sinasabing paglabag, kabilang ang mga kaso ng katiwalian.
* Nagpapataw ng **mga administratibong parusa** laban sa mga paaralang napatunayang sangkot sa mga tiwaling gawain.
* Tinutukoy ang **mga kasong kriminal** sa mga kaugnay na ahensyang nagpapatupad ng batas.
**3. Tanggapan ng Ombudsman:**
* **Pokus:** Nagsisilbing **pangunahing ahensyang anti-graft at katiwalian** sa Pilipinas, na may hurisdiksyon sa **lahat ng pampublikong opisyal at empleyado**, kabilang ang mga nagtatrabaho sa mga pampublikong institusyong pang-edukasyon.
* **Mga Pag-andar:**
* Nagsasagawa ng **mga pagsisiyasat** sa mga paratang ng katiwalian na kinasasangkutan ng mga pampublikong opisyal, kabilang ang mga tagapagturo at administrador.
* Nagsampa ng **mga reklamong kriminal** laban sa mga indibidwal na napatunayang sangkot sa mga gawaing katiwalian sa **Sandiganbayan**, isang espesyal na hukuman para sa mga kasong graft at katiwalian.
**4. Commission on Audit (COA):**
* **Pagtuon:** Nagsasagawa ng **pag-audit** ng mga ahensya at institusyon ng pamahalaan, kabilang ang mga institusyong pang-edukasyon, upang matiyak ang **wastong paggamit ng mga pampublikong pondo** at tukuyin ang mga potensyal na iregularidad sa pananalapi.
* **Mga Pag-andar:**
* Kinikilala at nag-uulat **mga pagkakataon ng maling paggamit o maling paggamit ng mga pampublikong pondo** sa loob ng mga institusyong pang-edukasyon.
* Maaaring sumangguni **mga hinihinalang kaso ng katiwalian** sa mga ahensyang nagpapatupad ng batas para sa karagdagang imbestigasyon.
**5. Iba pang Ahensya ng Pagpapatupad ng Batas:**
* **Philippine National Police (PNP) at National Bureau of Investigation (NBI):** Ang mga ahensyang ito ay may awtoridad na **magsagawa ng mga pagsisiyasat** sa mga kriminal na aspeto ng mga kaso ng katiwalian sa loob ng mga institusyong pang-edukasyon, pagsunod sa wastong legal na pamamaraan at pagkuha ng mga kinakailangang warrant .
**Pagtutulungan at Koordinasyon:**
Ang mga katawan ng pamahalaan na ito ay kadalasang **nagtutulungan at nag-uugnay** ng mga pagsisikap upang epektibong mag-imbestiga at matugunan ang katiwalian sa edukasyon. Maaari silang magbahagi ng impormasyon, magsagawa ng magkasanib na pagsisiyasat, at mag-refer ng mga kaso sa isa't isa batay sa kani-kanilang hurisdiksyon at kadalubhasaan.
**Mga Limitasyon at Hamon:**
* **Resource Constraints:** Ang mga ahensya ng gobyerno ay maaaring makaharap ng mga limitasyon sa mga tuntunin ng **mga tauhan, badyet, at mga mapagkukunan ng pagsisiyasat**, na nakakaapekto sa kanilang kapasidad na pangasiwaan ang lahat ng kaso nang epektibo.
* **Mahahabang Proseso:** Ang mga pagsisiyasat at pag-uusig ay maaaring **makakaubos ng oras**, at ang pagpapanagot sa mga indibidwal ay maaaring tumagal ng malaking oras.
* **Pampublikong Pagsusuri at Presyon:** Ang epektibong pagtugon sa katiwalian ay kadalasang nangangailangan ng **sustained public pressure at adbokasiya** upang matiyak ang wastong pagsisiyasat at panagutin ang mga institusyon at indibidwal.
**Sa pangkalahatan, bagama't may mahalagang papel ang mga regulatory body ng gobyerno sa pag-iimbestiga at pag-uusig ng katiwalian sa loob ng mga institusyong pang-edukasyon, ang pagiging epektibo ng mga ito ay nakasalalay sa iba't ibang salik, kabilang ang sapat na mapagkukunan, mahusay na pakikipagtulungan, at malakas na suporta ng publiko para sa pagpapanagot sa mga institusyon.**</v>
      </c>
      <c r="F1260" s="2">
        <f t="shared" si="1"/>
        <v>0</v>
      </c>
      <c r="G1260" s="2"/>
      <c r="H1260" s="2"/>
      <c r="I1260" s="2"/>
      <c r="J1260" s="2"/>
      <c r="K1260" s="2"/>
      <c r="L1260" s="2"/>
      <c r="M1260" s="2"/>
      <c r="N1260" s="2"/>
      <c r="O1260" s="2"/>
      <c r="P1260" s="2"/>
      <c r="Q1260" s="2"/>
      <c r="R1260" s="2"/>
      <c r="S1260" s="2"/>
      <c r="T1260" s="2"/>
      <c r="U1260" s="2"/>
      <c r="V1260" s="2"/>
      <c r="W1260" s="2"/>
      <c r="X1260" s="2"/>
      <c r="Y1260" s="2"/>
      <c r="Z1260" s="2"/>
      <c r="AA1260" s="2"/>
    </row>
    <row r="1261">
      <c r="A1261" s="1" t="s">
        <v>3356</v>
      </c>
      <c r="B1261" s="1" t="s">
        <v>3687</v>
      </c>
      <c r="C1261" s="1" t="s">
        <v>3688</v>
      </c>
      <c r="D1261" s="2" t="str">
        <f>IFERROR(__xludf.DUMMYFUNCTION("GOOGLETRANSLATE(B1261, ""en"", ""TL"")"),"Maaari bang ituloy ng mga indibidwal ang paglilitis sa sibil laban sa mga institusyong pang-edukasyon para sa mga pinsalang dulot ng katiwalian?")</f>
        <v>Maaari bang ituloy ng mga indibidwal ang paglilitis sa sibil laban sa mga institusyong pang-edukasyon para sa mga pinsalang dulot ng katiwalian?</v>
      </c>
      <c r="E1261" s="2" t="str">
        <f>IFERROR(__xludf.DUMMYFUNCTION("GOOGLETRANSLATE(C1261, ""en"", ""TL"")"),"Habang ang paghahabol ng civil litigation laban sa mga institusyong pang-edukasyon para sa mga pinsalang bunga ng katiwalian sa Pilipinas ay **posible**, maaari itong maging isang **mapanghamon at masalimuot na proseso** na may **hindi tiyak na mga kinala"&amp;"basan**. Narito ang isang breakdown ng mga pangunahing salik na dapat isaalang-alang:
**Pagtatatag ng Pananagutan:**
* Upang magtagumpay sa isang sibil na kaso, dapat ipakita ng mga indibidwal na ang institusyong pang-edukasyon **nakikibahagi sa mga tiwal"&amp;"ing gawi** na direktang nagdulot sa kanila **kapinsalaan at pagkalugi sa pananalapi**.
* Ang pagpapatunay ng **causation** at pagbibilang ng **mga pinsala** ay maaaring maging mahirap, lalo na sa mga kaso na kinasasangkutan ng malawakang korapsyon o siste"&amp;"matikong mga isyu sa loob ng institusyon.
**Mga Uri ng Pinsala:**
* Depende sa partikular na mga pangyayari, ang mga indibidwal ay maaaring humingi ng kabayaran para sa iba't ibang uri ng pinsala, gaya ng:
* **Mga pagkalugi sa pananalapi:** Mga bayad sa m"&amp;"atrikula, mga karagdagang gastos na natamo dahil sa katiwalian, mga nawalang pagkakataon, atbp.
* **Mga pinsalang hindi pang-ekonomiya:** Ang emosyonal na pagkabalisa, pinsala sa reputasyon, atbp.
**Mga Hamon at Limitasyon:**
* **Burden of Proof:** Ang pa"&amp;"sanin ng patunay ay nakasalalay sa indibidwal upang ipakita ang maling gawain ng institusyon at ang direktang link nito sa kanilang mga partikular na pinsala.
* **Pagiging kumplikado ng mga Kaso ng Korapsyon:** Ang pagsisiyasat at paglalahad ng ebidensya "&amp;"ng katiwalian sa mga institusyong pang-edukasyon ay maaaring maging kumplikado at nakakaubos ng oras.
* **Mga Limitadong Mapagkukunan:** Maaaring maharap ang mga indibidwal **mga hadlang sa pananalapi** sa paghahabol ng mahahabang legal na pakikipaglaban "&amp;"laban sa mga institusyong may mahusay na mapagkukunan.
* **Alternatibong Resolution sa Dispute:** Ang paggalugad sa **mediation o arbitration** ay maaaring mag-alok ng mas mahusay at cost-effective na alternatibo upang malutas ang mga hindi pagkakaunawaan"&amp;" sa ilang mga kaso.
**Mga Potensyal na Avenue:**
* **Mga Indibidwal na Paghahabla:** Kung matutugunan ng mga indibidwal ang mga legal na kinakailangan at matagumpay na maipakita ang kanilang kaso, maaari silang gawaran ng kabayaran para sa mga pinsala sa "&amp;"pamamagitan ng sistema ng hukuman.
* **Class-Action Lawsuits (Potensyal):** Habang ang Pilipinas **ay walang partikular na batas para sa class-action lawsuits**, **Rule 19 of the Rules of Court** ay nagbibigay-daan para sa pagsama-sama ng maraming nagsasa"&amp;"kdal na may mga katulad na claim. Ito ay maaaring isang opsyon sa **malawakang kaso ng katiwalian** kung ito ay nakakatugon sa mga partikular na kinakailangan tulad ng maraming nagsasakdal, karaniwang mga tanong ng batas at katotohanan, at sapat na repres"&amp;"entasyon. Gayunpaman, ang pagpipiliang ito ay nahaharap sa mga makabuluhang legal na hadlang.
**Kahalagahan ng Legal na Patnubay:**
Ang pagkonsulta sa isang abogado na dalubhasa sa batas sa edukasyon at paglilitis sa sibil ay mahalaga bago ituloy ang lega"&amp;"l na aksyon. Maaari silang:
* **Tasahin ang posibilidad na mabuhay ng kaso:** Suriin ang ebidensya, legal na batayan, at potensyal na mga hamon na kasangkot.
* **Magbigay ng payo sa mga alternatibong opsyon:** Galugarin ang iba pang mga paraan tulad ng mg"&amp;"a reklamong administratibo o mekanismo ng whistleblower, depende sa partikular na sitwasyon.
* **Mag-navigate sa legal na proseso:** Magbigay ng gabay sa pagsasampa ng mga demanda, pangangalap ng ebidensya, at pagkatawan sa iyong mga interes sa korte.
**T"&amp;"andaan:** Ang paghahabol sa sibil na paglilitis laban sa mga institusyong pang-edukasyon para sa katiwalian ay isang masalimuot na gawain na may **hindi tiyak na mga kinalabasan**. Napakahalaga na maingat na timbangin ang mga potensyal na benepisyo, gasto"&amp;"s, at hamon na kasangkot, at humingi ng propesyonal na legal na patnubay upang makagawa ng matalinong mga desisyon at mapakinabangan ang iyong mga pagkakataong magtagumpay.")</f>
        <v>Habang ang paghahabol ng civil litigation laban sa mga institusyong pang-edukasyon para sa mga pinsalang bunga ng katiwalian sa Pilipinas ay **posible**, maaari itong maging isang **mapanghamon at masalimuot na proseso** na may **hindi tiyak na mga kinalabasan**. Narito ang isang breakdown ng mga pangunahing salik na dapat isaalang-alang:
**Pagtatatag ng Pananagutan:**
* Upang magtagumpay sa isang sibil na kaso, dapat ipakita ng mga indibidwal na ang institusyong pang-edukasyon **nakikibahagi sa mga tiwaling gawi** na direktang nagdulot sa kanila **kapinsalaan at pagkalugi sa pananalapi**.
* Ang pagpapatunay ng **causation** at pagbibilang ng **mga pinsala** ay maaaring maging mahirap, lalo na sa mga kaso na kinasasangkutan ng malawakang korapsyon o sistematikong mga isyu sa loob ng institusyon.
**Mga Uri ng Pinsala:**
* Depende sa partikular na mga pangyayari, ang mga indibidwal ay maaaring humingi ng kabayaran para sa iba't ibang uri ng pinsala, gaya ng:
* **Mga pagkalugi sa pananalapi:** Mga bayad sa matrikula, mga karagdagang gastos na natamo dahil sa katiwalian, mga nawalang pagkakataon, atbp.
* **Mga pinsalang hindi pang-ekonomiya:** Ang emosyonal na pagkabalisa, pinsala sa reputasyon, atbp.
**Mga Hamon at Limitasyon:**
* **Burden of Proof:** Ang pasanin ng patunay ay nakasalalay sa indibidwal upang ipakita ang maling gawain ng institusyon at ang direktang link nito sa kanilang mga partikular na pinsala.
* **Pagiging kumplikado ng mga Kaso ng Korapsyon:** Ang pagsisiyasat at paglalahad ng ebidensya ng katiwalian sa mga institusyong pang-edukasyon ay maaaring maging kumplikado at nakakaubos ng oras.
* **Mga Limitadong Mapagkukunan:** Maaaring maharap ang mga indibidwal **mga hadlang sa pananalapi** sa paghahabol ng mahahabang legal na pakikipaglaban laban sa mga institusyong may mahusay na mapagkukunan.
* **Alternatibong Resolution sa Dispute:** Ang paggalugad sa **mediation o arbitration** ay maaaring mag-alok ng mas mahusay at cost-effective na alternatibo upang malutas ang mga hindi pagkakaunawaan sa ilang mga kaso.
**Mga Potensyal na Avenue:**
* **Mga Indibidwal na Paghahabla:** Kung matutugunan ng mga indibidwal ang mga legal na kinakailangan at matagumpay na maipakita ang kanilang kaso, maaari silang gawaran ng kabayaran para sa mga pinsala sa pamamagitan ng sistema ng hukuman.
* **Class-Action Lawsuits (Potensyal):** Habang ang Pilipinas **ay walang partikular na batas para sa class-action lawsuits**, **Rule 19 of the Rules of Court** ay nagbibigay-daan para sa pagsama-sama ng maraming nagsasakdal na may mga katulad na claim. Ito ay maaaring isang opsyon sa **malawakang kaso ng katiwalian** kung ito ay nakakatugon sa mga partikular na kinakailangan tulad ng maraming nagsasakdal, karaniwang mga tanong ng batas at katotohanan, at sapat na representasyon. Gayunpaman, ang pagpipiliang ito ay nahaharap sa mga makabuluhang legal na hadlang.
**Kahalagahan ng Legal na Patnubay:**
Ang pagkonsulta sa isang abogado na dalubhasa sa batas sa edukasyon at paglilitis sa sibil ay mahalaga bago ituloy ang legal na aksyon. Maaari silang:
* **Tasahin ang posibilidad na mabuhay ng kaso:** Suriin ang ebidensya, legal na batayan, at potensyal na mga hamon na kasangkot.
* **Magbigay ng payo sa mga alternatibong opsyon:** Galugarin ang iba pang mga paraan tulad ng mga reklamong administratibo o mekanismo ng whistleblower, depende sa partikular na sitwasyon.
* **Mag-navigate sa legal na proseso:** Magbigay ng gabay sa pagsasampa ng mga demanda, pangangalap ng ebidensya, at pagkatawan sa iyong mga interes sa korte.
**Tandaan:** Ang paghahabol sa sibil na paglilitis laban sa mga institusyong pang-edukasyon para sa katiwalian ay isang masalimuot na gawain na may **hindi tiyak na mga kinalabasan**. Napakahalaga na maingat na timbangin ang mga potensyal na benepisyo, gastos, at hamon na kasangkot, at humingi ng propesyonal na legal na patnubay upang makagawa ng matalinong mga desisyon at mapakinabangan ang iyong mga pagkakataong magtagumpay.</v>
      </c>
      <c r="F1261" s="2">
        <f t="shared" si="1"/>
        <v>0</v>
      </c>
      <c r="G1261" s="2"/>
      <c r="H1261" s="2"/>
      <c r="I1261" s="2"/>
      <c r="J1261" s="2"/>
      <c r="K1261" s="2"/>
      <c r="L1261" s="2"/>
      <c r="M1261" s="2"/>
      <c r="N1261" s="2"/>
      <c r="O1261" s="2"/>
      <c r="P1261" s="2"/>
      <c r="Q1261" s="2"/>
      <c r="R1261" s="2"/>
      <c r="S1261" s="2"/>
      <c r="T1261" s="2"/>
      <c r="U1261" s="2"/>
      <c r="V1261" s="2"/>
      <c r="W1261" s="2"/>
      <c r="X1261" s="2"/>
      <c r="Y1261" s="2"/>
      <c r="Z1261" s="2"/>
      <c r="AA1261" s="2"/>
    </row>
    <row r="1262">
      <c r="A1262" s="1" t="s">
        <v>3356</v>
      </c>
      <c r="B1262" s="1" t="s">
        <v>3689</v>
      </c>
      <c r="C1262" s="1" t="s">
        <v>3690</v>
      </c>
      <c r="D1262" s="2" t="str">
        <f>IFERROR(__xludf.DUMMYFUNCTION("GOOGLETRANSLATE(B1262, ""en"", ""TL"")"),"Paano nalalapat ang mga batas sa paninirang-puri sa mga paratang ng katiwalian na ginawa laban sa mga institusyong pang-edukasyon o tauhan?")</f>
        <v>Paano nalalapat ang mga batas sa paninirang-puri sa mga paratang ng katiwalian na ginawa laban sa mga institusyong pang-edukasyon o tauhan?</v>
      </c>
      <c r="E1262" s="2" t="str">
        <f>IFERROR(__xludf.DUMMYFUNCTION("GOOGLETRANSLATE(C1262, ""en"", ""TL"")"),"Ang mga batas sa paninirang-puri ay maaaring maging isang kumplikadong isyu kapag inilapat sa mga paratang ng katiwalian na ginawa laban sa mga institusyong pang-edukasyon o tauhan sa Pilipinas. Narito ang isang breakdown ng mga pangunahing punto na dapat"&amp;" isaalang-alang:
**Pag-unawa sa Paninirang-puri:**
* **Kahulugan:** Ang paninirang-puri ay nagsasangkot ng anumang **mali at nakakapinsalang pahayag** na ipinapaalam sa isang third party at nakakasira sa reputasyon ng isang indibidwal o entity.
* **Mga El"&amp;"emento:** Upang magtatag ng paninirang-puri, ang nagsasakdal (institusyon o tauhan) ay dapat patunayan:
* **Maling pahayag:** Ang pahayag ay dapat na maipakitang hindi totoo.
* **Publikasyon:** Ang pahayag ay dapat ipaalam sa isang ikatlong partido.
* **M"&amp;"akapinsala sa reputasyon:** Ang pahayag ay dapat magdulot ng pinsala sa reputasyon ng nagsasakdal.
**Paglalapat ng mga Batas sa Paninirang-puri sa Mga Institusyong Pang-edukasyon:**
* **Limitadong Aplikasyon:** Ang mga institusyong pang-edukasyon, bilang "&amp;"**mga pampublikong institusyon**, sa pangkalahatan ay tinatangkilik ang **limitadong proteksyon** sa ilalim ng mga batas sa paninirang-puri kumpara sa mga indibidwal. Maaaring mahirapan sila sa pagtatatag ng pinsala sa kanilang reputasyon batay lamang sa "&amp;"mga paratang.
* **Tumuon sa Mga Indibidwal:** Ang mga demanda sa paninirang-puri laban sa mga institusyong pang-edukasyon ay kadalasang **nakadirekta sa mga partikular na indibidwal** sa loob ng institusyon, gaya ng mga administrator o miyembro ng faculty"&amp;", na pinaghihinalaang personal na responsable para sa mga tiwaling gawi.
**Mga Depensa para sa Mga Paratang ng Korapsyon:**
* **Katotohanan:** Ang pinakamatibay na depensa ay ang pagpapatunay ng **katotohanan** ng di-umano'y katiwalian. Kung ang mga parat"&amp;"ang ay mapapatunayang may ebidensya, ang depensa laban sa mga pag-aangkin ng paninirang-puri ay nagiging mas malakas.
* **Patas na Komento:** Ang mga tapat na opinyon o komento batay sa mga katotohanan, kahit na kritikal, ay karaniwang pinoprotektahan sa "&amp;"ilalim ng **patas na komento** pagtatanggol. Gayunpaman, ang komento ay hindi dapat malisyoso o naglalaman ng mga malinaw na maling pahayag.
* **Pampublikong Interes:** Ang pagtataas ng mga alalahanin tungkol sa potensyal na katiwalian, kahit na nakakasir"&amp;"a ito sa reputasyon ng institusyon o mga indibidwal na kasangkot, ay maaaring protektahan sa ilalim ng **pampublikong interes** na pagtatanggol kung gagawin nang may mabuting loob at batay sa makatwirang paniniwala sa ang katotohanan ng mga paratang.
**Ka"&amp;"halagahan ng Paghahanap ng Legal na Patnubay:**
* **Mga Kumplikado sa Pag-navigate:** Maaaring kumplikado ang mga batas sa paninirang-puri at ang kanilang aplikasyon sa mga partikular na kaso na kinasasangkutan ng mga institusyong pang-edukasyon. Ang pagk"&amp;"onsulta sa isang abogado na dalubhasa sa batas ng media at komunikasyon ay mahalaga upang maunawaan ang legal na tanawin, masuri ang mga potensyal na panganib at depensang kasangkot, at payuhan ang pinakaangkop na paraan ng pagkilos.
* **Mga Karapatan sa "&amp;"Pagbalanse:** Mahalagang magkaroon ng balanse sa pagitan ng pagprotekta sa **kalayaan sa pagpapahayag** at ng karapatan sa **reputasyon**. Ang mga indibidwal na gumagawa ng mga paratang ng katiwalian ay dapat kumilos nang responsable at tiyaking mayroon s"&amp;"ilang makatwirang mga batayan para sa kanilang mga pag-aangkin, habang ang mga institusyong pang-edukasyon ay dapat na iwasan ang paggamit ng mga batas sa paninirang-puri upang sugpuin ang mga lehitimong alalahanin tungkol sa potensyal na maling gawain.
*"&amp;"*Tandaan:** Ang mga batas sa paninirang-puri ay hindi isang kalasag laban sa mga tunay na pagtatangka na ilantad ang katiwalian. Gayunpaman, ang pag-unawa sa legal na balangkas at paghanap ng propesyonal na patnubay ay makakatulong sa mga indibidwal at in"&amp;"stitusyong pang-edukasyon na mag-navigate nang epektibo sa mga kumplikadong sitwasyon habang itinataguyod ang mga prinsipyo ng pananagutan at kalayaan sa pagpapahayag.")</f>
        <v>Ang mga batas sa paninirang-puri ay maaaring maging isang kumplikadong isyu kapag inilapat sa mga paratang ng katiwalian na ginawa laban sa mga institusyong pang-edukasyon o tauhan sa Pilipinas. Narito ang isang breakdown ng mga pangunahing punto na dapat isaalang-alang:
**Pag-unawa sa Paninirang-puri:**
* **Kahulugan:** Ang paninirang-puri ay nagsasangkot ng anumang **mali at nakakapinsalang pahayag** na ipinapaalam sa isang third party at nakakasira sa reputasyon ng isang indibidwal o entity.
* **Mga Elemento:** Upang magtatag ng paninirang-puri, ang nagsasakdal (institusyon o tauhan) ay dapat patunayan:
* **Maling pahayag:** Ang pahayag ay dapat na maipakitang hindi totoo.
* **Publikasyon:** Ang pahayag ay dapat ipaalam sa isang ikatlong partido.
* **Makapinsala sa reputasyon:** Ang pahayag ay dapat magdulot ng pinsala sa reputasyon ng nagsasakdal.
**Paglalapat ng mga Batas sa Paninirang-puri sa Mga Institusyong Pang-edukasyon:**
* **Limitadong Aplikasyon:** Ang mga institusyong pang-edukasyon, bilang **mga pampublikong institusyon**, sa pangkalahatan ay tinatangkilik ang **limitadong proteksyon** sa ilalim ng mga batas sa paninirang-puri kumpara sa mga indibidwal. Maaaring mahirapan sila sa pagtatatag ng pinsala sa kanilang reputasyon batay lamang sa mga paratang.
* **Tumuon sa Mga Indibidwal:** Ang mga demanda sa paninirang-puri laban sa mga institusyong pang-edukasyon ay kadalasang **nakadirekta sa mga partikular na indibidwal** sa loob ng institusyon, gaya ng mga administrator o miyembro ng faculty, na pinaghihinalaang personal na responsable para sa mga tiwaling gawi.
**Mga Depensa para sa Mga Paratang ng Korapsyon:**
* **Katotohanan:** Ang pinakamatibay na depensa ay ang pagpapatunay ng **katotohanan** ng di-umano'y katiwalian. Kung ang mga paratang ay mapapatunayang may ebidensya, ang depensa laban sa mga pag-aangkin ng paninirang-puri ay nagiging mas malakas.
* **Patas na Komento:** Ang mga tapat na opinyon o komento batay sa mga katotohanan, kahit na kritikal, ay karaniwang pinoprotektahan sa ilalim ng **patas na komento** pagtatanggol. Gayunpaman, ang komento ay hindi dapat malisyoso o naglalaman ng mga malinaw na maling pahayag.
* **Pampublikong Interes:** Ang pagtataas ng mga alalahanin tungkol sa potensyal na katiwalian, kahit na nakakasira ito sa reputasyon ng institusyon o mga indibidwal na kasangkot, ay maaaring protektahan sa ilalim ng **pampublikong interes** na pagtatanggol kung gagawin nang may mabuting loob at batay sa makatwirang paniniwala sa ang katotohanan ng mga paratang.
**Kahalagahan ng Paghahanap ng Legal na Patnubay:**
* **Mga Kumplikado sa Pag-navigate:** Maaaring kumplikado ang mga batas sa paninirang-puri at ang kanilang aplikasyon sa mga partikular na kaso na kinasasangkutan ng mga institusyong pang-edukasyon. Ang pagkonsulta sa isang abogado na dalubhasa sa batas ng media at komunikasyon ay mahalaga upang maunawaan ang legal na tanawin, masuri ang mga potensyal na panganib at depensang kasangkot, at payuhan ang pinakaangkop na paraan ng pagkilos.
* **Mga Karapatan sa Pagbalanse:** Mahalagang magkaroon ng balanse sa pagitan ng pagprotekta sa **kalayaan sa pagpapahayag** at ng karapatan sa **reputasyon**. Ang mga indibidwal na gumagawa ng mga paratang ng katiwalian ay dapat kumilos nang responsable at tiyaking mayroon silang makatwirang mga batayan para sa kanilang mga pag-aangkin, habang ang mga institusyong pang-edukasyon ay dapat na iwasan ang paggamit ng mga batas sa paninirang-puri upang sugpuin ang mga lehitimong alalahanin tungkol sa potensyal na maling gawain.
**Tandaan:** Ang mga batas sa paninirang-puri ay hindi isang kalasag laban sa mga tunay na pagtatangka na ilantad ang katiwalian. Gayunpaman, ang pag-unawa sa legal na balangkas at paghanap ng propesyonal na patnubay ay makakatulong sa mga indibidwal at institusyong pang-edukasyon na mag-navigate nang epektibo sa mga kumplikadong sitwasyon habang itinataguyod ang mga prinsipyo ng pananagutan at kalayaan sa pagpapahayag.</v>
      </c>
      <c r="F1262" s="2">
        <f t="shared" si="1"/>
        <v>0</v>
      </c>
      <c r="G1262" s="2"/>
      <c r="H1262" s="2"/>
      <c r="I1262" s="2"/>
      <c r="J1262" s="2"/>
      <c r="K1262" s="2"/>
      <c r="L1262" s="2"/>
      <c r="M1262" s="2"/>
      <c r="N1262" s="2"/>
      <c r="O1262" s="2"/>
      <c r="P1262" s="2"/>
      <c r="Q1262" s="2"/>
      <c r="R1262" s="2"/>
      <c r="S1262" s="2"/>
      <c r="T1262" s="2"/>
      <c r="U1262" s="2"/>
      <c r="V1262" s="2"/>
      <c r="W1262" s="2"/>
      <c r="X1262" s="2"/>
      <c r="Y1262" s="2"/>
      <c r="Z1262" s="2"/>
      <c r="AA1262" s="2"/>
    </row>
    <row r="1263">
      <c r="A1263" s="1" t="s">
        <v>3356</v>
      </c>
      <c r="B1263" s="1" t="s">
        <v>3691</v>
      </c>
      <c r="C1263" s="1" t="s">
        <v>3692</v>
      </c>
      <c r="D1263" s="2" t="str">
        <f>IFERROR(__xludf.DUMMYFUNCTION("GOOGLETRANSLATE(B1263, ""en"", ""TL"")"),"Mayroon bang anumang internasyonal na legal na mekanismo para sa pagtugon sa katiwalian sa edukasyon sa kabila ng mga hangganan?")</f>
        <v>Mayroon bang anumang internasyonal na legal na mekanismo para sa pagtugon sa katiwalian sa edukasyon sa kabila ng mga hangganan?</v>
      </c>
      <c r="E1263" s="2" t="str">
        <f>IFERROR(__xludf.DUMMYFUNCTION("GOOGLETRANSLATE(C1263, ""en"", ""TL"")"),"Oo, mayroong ilang **internasyonal na legal na mekanismo** na magagamit para sa pagtugon sa katiwalian sa edukasyon sa iba't ibang hangganan, bagaman ang pagiging epektibo ng mga ito ay maaaring mag-iba depende sa partikular na mga pangyayari at mga bansa"&amp;"ng sangkot. Narito ang isang pangkalahatang-ideya ng ilang pangunahing mekanismo:
**1. Ang United Nations Convention Laban sa Korupsyon (UNCAC):**
* Ito ang **pinakakomprehensibong internasyonal na legal na instrumento** na tumutugon sa katiwalian, "&amp;"kabilang ang panunuhol, paglustay, at pag-abuso sa kapangyarihan. Nangangailangan ito sa mga bansang lumagda na gawing kriminal ang ilang mga katiwaliang gawi, magtatag ng mga hakbang sa pag-iwas, at magsulong ng internasyonal na kooperasyon sa mga pagsis"&amp;"iyasat at pag-uusig.
* Bagama't ang UNCAC ay walang partikular na pagtuon sa edukasyon, ang **mas malawak na balangkas** nito ay maaaring ilapat upang matugunan ang mga pagkakataon ng korapsyon sa cross-border na kinasasangkutan ng mga institusyong pang-"&amp;"edukasyon o indibidwal.
**2. Ang OECD Convention on Combating Bribery of Foreign Public Officials in International Business Transactions:**
* Ang convention na ito ay partikular na nakatuon sa **panunuhol ng mga dayuhang pampublikong opisyal** sa mg"&amp;"a internasyonal na transaksyon sa negosyo, na maaaring may kaugnayan sa mga kaso na kinasasangkutan ng korapsyon sa cross-border na may kaugnayan sa mga serbisyong pang-edukasyon o pagpopondo.
* Katulad ng UNCAC, inaatas nito ang mga bansang lumagda na g"&amp;"awing kriminal ang mga paglabag sa panunuhol at makipagtulungan sa mga pagsisiyasat at pag-uusig.
**3. Mga Kasunduan sa Rehiyon:**
* Ang ilang mga rehiyonal na kasunduan, gaya ng **Inter-American Convention against Corruption** at ang **African Unio"&amp;"n Convention on Preventing and Combating Corruption**, ay tumutugon din sa katiwalian at maaaring may kaugnayan depende sa heograpikal na saklaw ng partikular na kaso.
* Ang mga kasunduang ito ay kadalasang nagtatag ng mga mekanismo para sa kooperasyon a"&amp;"t pagbabahagi ng impormasyon sa mga miyembrong estado, na maaaring makatulong sa pagsisiyasat at pagtugon sa korapsyon sa cross-border.
**4. Mutual Legal Assistance Treaties (MLATs):**
* Ang mga bilateral na kasunduan na ito ay nagpapahintulot sa mg"&amp;"a bansa na **pormal na makipagtulungan** sa mga kriminal na pagsisiyasat at pag-uusig, kabilang ang mga nauugnay sa katiwalian.
* Ang mga MLAT ay maaaring maging mahalaga para sa pagkuha ng ebidensya, pakikipanayam sa mga saksi, at pagpapatupad ng mga wa"&amp;"rrant of arrest sa mga hangganan, na kadalasang kinakailangan sa mga kumplikadong kaso ng katiwalian sa cross-border.
**Mga Hamon at Pagsasaalang-alang:**
* **Pagpapatupad:** Ang pagiging epektibo ng mga internasyonal na mekanismong ito ay lubos na "&amp;"nakadepende sa **pangako at kakayahan ng mga indibidwal na bansa** na ipatupad ang kanilang mga probisyon at makipagtulungan sa mga pagsisiyasat.
* **Mahahabang Proseso:** Ang paggamit sa mga mekanismong ito ay maaaring may kasamang **mga kumplikadong le"&amp;"gal na pamamaraan at mahabang pagsisiyasat**, na ginagawang hindi angkop ang mga ito para sa mga agarang solusyon.
* **Limitadong Saklaw:** Hindi lahat ng bansa ay lumagda sa mga kombensiyon o kasunduang ito, at ang kanilang mga partikular na probisyon a"&amp;"y maaaring hindi palaging direktang tumutugon sa mga nuances ng katiwalian sa edukasyon.
**Sa pangkalahatan, habang ang mga internasyonal na legal na mekanismo ay nag-aalok ng isang balangkas para sa pagtugon sa korapsyon sa cross-border sa edukasyon, "&amp;"ang kanilang pagiging epektibo ay kadalasang nalilimitahan ng iba't ibang hamon.** Gayunpaman, ang mga mekanismong ito ay maaari pa ring gumanap ng isang papel sa **pagtaas ng kamalayan, pagtataguyod ng internasyonal na kooperasyon, at pagpapanagot sa mga"&amp;" indibidwal at institusyon** para sa mga tiwaling gawi na lumalampas sa mga hangganan ng bansa.
**Bukod pa rito, ang pagtataguyod para sa mas malakas na internasyonal na kooperasyon at ang pagbuo ng mga partikular na legal na instrumento na nakatuon sa"&amp;" pagtugon sa katiwalian sa edukasyon ay maaaring mag-ambag sa pagbuo ng isang mas matatag na pandaigdigang balangkas para sa paglaban sa isyung ito.**")</f>
        <v>Oo, mayroong ilang **internasyonal na legal na mekanismo** na magagamit para sa pagtugon sa katiwalian sa edukasyon sa iba't ibang hangganan, bagaman ang pagiging epektibo ng mga ito ay maaaring mag-iba depende sa partikular na mga pangyayari at mga bansang sangkot. Narito ang isang pangkalahatang-ideya ng ilang pangunahing mekanismo:
**1. Ang United Nations Convention Laban sa Korupsyon (UNCAC):**
* Ito ang **pinakakomprehensibong internasyonal na legal na instrumento** na tumutugon sa katiwalian, kabilang ang panunuhol, paglustay, at pag-abuso sa kapangyarihan. Nangangailangan ito sa mga bansang lumagda na gawing kriminal ang ilang mga katiwaliang gawi, magtatag ng mga hakbang sa pag-iwas, at magsulong ng internasyonal na kooperasyon sa mga pagsisiyasat at pag-uusig.
* Bagama't ang UNCAC ay walang partikular na pagtuon sa edukasyon, ang **mas malawak na balangkas** nito ay maaaring ilapat upang matugunan ang mga pagkakataon ng korapsyon sa cross-border na kinasasangkutan ng mga institusyong pang-edukasyon o indibidwal.
**2. Ang OECD Convention on Combating Bribery of Foreign Public Officials in International Business Transactions:**
* Ang convention na ito ay partikular na nakatuon sa **panunuhol ng mga dayuhang pampublikong opisyal** sa mga internasyonal na transaksyon sa negosyo, na maaaring may kaugnayan sa mga kaso na kinasasangkutan ng korapsyon sa cross-border na may kaugnayan sa mga serbisyong pang-edukasyon o pagpopondo.
* Katulad ng UNCAC, inaatas nito ang mga bansang lumagda na gawing kriminal ang mga paglabag sa panunuhol at makipagtulungan sa mga pagsisiyasat at pag-uusig.
**3. Mga Kasunduan sa Rehiyon:**
* Ang ilang mga rehiyonal na kasunduan, gaya ng **Inter-American Convention against Corruption** at ang **African Union Convention on Preventing and Combating Corruption**, ay tumutugon din sa katiwalian at maaaring may kaugnayan depende sa heograpikal na saklaw ng partikular na kaso.
* Ang mga kasunduang ito ay kadalasang nagtatag ng mga mekanismo para sa kooperasyon at pagbabahagi ng impormasyon sa mga miyembrong estado, na maaaring makatulong sa pagsisiyasat at pagtugon sa korapsyon sa cross-border.
**4. Mutual Legal Assistance Treaties (MLATs):**
* Ang mga bilateral na kasunduan na ito ay nagpapahintulot sa mga bansa na **pormal na makipagtulungan** sa mga kriminal na pagsisiyasat at pag-uusig, kabilang ang mga nauugnay sa katiwalian.
* Ang mga MLAT ay maaaring maging mahalaga para sa pagkuha ng ebidensya, pakikipanayam sa mga saksi, at pagpapatupad ng mga warrant of arrest sa mga hangganan, na kadalasang kinakailangan sa mga kumplikadong kaso ng katiwalian sa cross-border.
**Mga Hamon at Pagsasaalang-alang:**
* **Pagpapatupad:** Ang pagiging epektibo ng mga internasyonal na mekanismong ito ay lubos na nakadepende sa **pangako at kakayahan ng mga indibidwal na bansa** na ipatupad ang kanilang mga probisyon at makipagtulungan sa mga pagsisiyasat.
* **Mahahabang Proseso:** Ang paggamit sa mga mekanismong ito ay maaaring may kasamang **mga kumplikadong legal na pamamaraan at mahabang pagsisiyasat**, na ginagawang hindi angkop ang mga ito para sa mga agarang solusyon.
* **Limitadong Saklaw:** Hindi lahat ng bansa ay lumagda sa mga kombensiyon o kasunduang ito, at ang kanilang mga partikular na probisyon ay maaaring hindi palaging direktang tumutugon sa mga nuances ng katiwalian sa edukasyon.
**Sa pangkalahatan, habang ang mga internasyonal na legal na mekanismo ay nag-aalok ng isang balangkas para sa pagtugon sa korapsyon sa cross-border sa edukasyon, ang kanilang pagiging epektibo ay kadalasang nalilimitahan ng iba't ibang hamon.** Gayunpaman, ang mga mekanismong ito ay maaari pa ring gumanap ng isang papel sa **pagtaas ng kamalayan, pagtataguyod ng internasyonal na kooperasyon, at pagpapanagot sa mga indibidwal at institusyon** para sa mga tiwaling gawi na lumalampas sa mga hangganan ng bansa.
**Bukod pa rito, ang pagtataguyod para sa mas malakas na internasyonal na kooperasyon at ang pagbuo ng mga partikular na legal na instrumento na nakatuon sa pagtugon sa katiwalian sa edukasyon ay maaaring mag-ambag sa pagbuo ng isang mas matatag na pandaigdigang balangkas para sa paglaban sa isyung ito.**</v>
      </c>
      <c r="F1263" s="2">
        <f t="shared" si="1"/>
        <v>0</v>
      </c>
      <c r="G1263" s="2"/>
      <c r="H1263" s="2"/>
      <c r="I1263" s="2"/>
      <c r="J1263" s="2"/>
      <c r="K1263" s="2"/>
      <c r="L1263" s="2"/>
      <c r="M1263" s="2"/>
      <c r="N1263" s="2"/>
      <c r="O1263" s="2"/>
      <c r="P1263" s="2"/>
      <c r="Q1263" s="2"/>
      <c r="R1263" s="2"/>
      <c r="S1263" s="2"/>
      <c r="T1263" s="2"/>
      <c r="U1263" s="2"/>
      <c r="V1263" s="2"/>
      <c r="W1263" s="2"/>
      <c r="X1263" s="2"/>
      <c r="Y1263" s="2"/>
      <c r="Z1263" s="2"/>
      <c r="AA1263" s="2"/>
    </row>
    <row r="1264">
      <c r="A1264" s="1" t="s">
        <v>3356</v>
      </c>
      <c r="B1264" s="1" t="s">
        <v>3693</v>
      </c>
      <c r="C1264" s="1" t="s">
        <v>3694</v>
      </c>
      <c r="D1264" s="2" t="str">
        <f>IFERROR(__xludf.DUMMYFUNCTION("GOOGLETRANSLATE(B1264, ""en"", ""TL"")"),"Anong mga legal na proteksyon ang umiiral para sa mga indibidwal na gustong manatiling hindi nagpapakilala habang nag-uulat ng katiwalian sa edukasyon?")</f>
        <v>Anong mga legal na proteksyon ang umiiral para sa mga indibidwal na gustong manatiling hindi nagpapakilala habang nag-uulat ng katiwalian sa edukasyon?</v>
      </c>
      <c r="E1264" s="2" t="str">
        <f>IFERROR(__xludf.DUMMYFUNCTION("GOOGLETRANSLATE(C1264, ""en"", ""TL"")"),"Bagama't ang Pilipinas **ay walang komprehensibong batas sa proteksyon ng whistleblower partikular para sa sektor ng edukasyon**, may mga umiiral na legal na probisyon na nag-aalok ng **limitado** na mga proteksyon para sa mga indibidwal na nag-uulat ng k"&amp;"atiwalian sa mga institusyong pang-edukasyon habang nananatiling hindi nagpapakilala. Narito ang isang pangkalahatang-ideya:
**Republic Act No. 6713 (Code of Conduct and Ethical Standards for Public Officials and Employees):**
* **Seksyon 32:** Hinihikaya"&amp;"t ng seksyong ito ang pag-uulat ng mga graft at corrupt na gawi ng mga pampublikong opisyal at empleyado, kabilang ang mga nagtatrabaho sa **mga pampublikong institusyong pang-edukasyon**. Pinapayagan nito ang **anonymous na pag-uulat** sa pamamagitan ng "&amp;"iba't ibang channel, kabilang ang:
* **Mga Opisina ng Ombudsman**
* **Mga espesyal na tagausig**
* **Mga pinuno ng ahensya**
* **Mga ahensyang nagpapatupad ng batas**
**Gayunpaman, may mga limitasyon:**
* **Limitadong Saklaw:** Ang batas na ito ay panguna"&amp;"hing nalalapat sa **mga pampublikong institusyong pang-edukasyon**, hindi sa mga pribado.
* **Mga Alalahanin sa Pagkakumpidensyal:** Bagama't hinihikayat ang hindi pagkakilala, walang garantiya ng kumpletong pagiging kumpidensyal sa buong proseso ng pagsi"&amp;"siyasat. Maaaring kailanganin ng mga awtoridad na ibunyag ang pagkakakilanlan ng reporter sa ilang partikular na sitwasyon, na posibleng malagay sa panganib ang kanilang hindi pagkakilala.
**Iba pang Mga Potensyal na Avenue:**
* **Mga Mekanismo ng Panloob"&amp;" na Pag-uulat:** Ang ilang institusyong pang-edukasyon ay maaaring nagtatag ng **mga channel sa panloob na pag-uulat** na nagbibigay-daan para sa hindi kilalang pag-uulat ng maling gawain. Gayunpaman, ang pagiging epektibo at antas ng proteksyon na inaalo"&amp;"k ng mga panloob na mekanismong ito ay maaaring mag-iba nang malaki.
* **Mga Media Outlet:** Maaaring piliin ng mga indibidwal na iulat ang katiwalian nang hindi nagpapakilala sa **mga organisasyon ng media** na maaaring mag-imbestiga at maglantad sa isyu"&amp;". Gayunpaman, ang pamamaraang ito ay nagdadala ng mga likas na panganib at maaaring hindi palaging humantong sa kongkretong aksyon laban sa mga may kasalanan.
**Mga Hamon at Pagsasaalang-alang:**
* **Limited Legal Safeguards:** Ang kasalukuyang legal na b"&amp;"alangkas sa Pilipinas ay nag-aalok ng **limitado at pira-piraso** na proteksyon para sa mga hindi kilalang whistleblower sa sektor ng edukasyon.
* **Potensyal na Pagganti:** Palaging may **panganib ng paghihiganti** mula sa mga indibidwal o entity na sang"&amp;"kot sa iniulat na katiwalian, kahit na may hindi kilalang pag-uulat.
* **Naghahanap ng Patnubay:** Ang pagkonsulta sa isang abogado na dalubhasa sa proteksyon ng whistleblower o batas sa edukasyon ay napakahalaga upang maunawaan ang **mga panganib at limi"&amp;"tasyon** na nasasangkot sa hindi kilalang pag-uulat at tuklasin ang mga alternatibong opsyon para sa pagtugon sa katiwalian habang pinapaliit ang mga personal na panganib.
**Mahalagang tandaan na ang hindi kilalang pag-uulat ng katiwalian sa edukasyon ay "&amp;"may mga likas na hamon at limitasyon.** Bagama't umiiral ang mga legal na proteksyon sa ilang lawak, ang mga ito ay hindi ganap. Ang mga indibidwal na isinasaalang-alang ang hindi kilalang pag-uulat ay dapat na maingat na timbangin ang mga panganib at ben"&amp;"episyo, humingi ng propesyonal na patnubay, at galugarin ang lahat ng magagamit na mga opsyon upang matiyak ang kanilang kaligtasan at ang pagiging epektibo ng kanilang mga aksyon.
**Bukod pa rito, ang pagtataguyod para sa mas matibay na mga batas sa prot"&amp;"eksyon ng whistleblower partikular para sa sektor ng edukasyon ay maaaring mag-ambag sa paglikha ng isang mas ligtas na kapaligiran para sa mga indibidwal na mag-ulat ng katiwalian at panagutin ang mga institusyong pang-edukasyon.**")</f>
        <v>Bagama't ang Pilipinas **ay walang komprehensibong batas sa proteksyon ng whistleblower partikular para sa sektor ng edukasyon**, may mga umiiral na legal na probisyon na nag-aalok ng **limitado** na mga proteksyon para sa mga indibidwal na nag-uulat ng katiwalian sa mga institusyong pang-edukasyon habang nananatiling hindi nagpapakilala. Narito ang isang pangkalahatang-ideya:
**Republic Act No. 6713 (Code of Conduct and Ethical Standards for Public Officials and Employees):**
* **Seksyon 32:** Hinihikayat ng seksyong ito ang pag-uulat ng mga graft at corrupt na gawi ng mga pampublikong opisyal at empleyado, kabilang ang mga nagtatrabaho sa **mga pampublikong institusyong pang-edukasyon**. Pinapayagan nito ang **anonymous na pag-uulat** sa pamamagitan ng iba't ibang channel, kabilang ang:
* **Mga Opisina ng Ombudsman**
* **Mga espesyal na tagausig**
* **Mga pinuno ng ahensya**
* **Mga ahensyang nagpapatupad ng batas**
**Gayunpaman, may mga limitasyon:**
* **Limitadong Saklaw:** Ang batas na ito ay pangunahing nalalapat sa **mga pampublikong institusyong pang-edukasyon**, hindi sa mga pribado.
* **Mga Alalahanin sa Pagkakumpidensyal:** Bagama't hinihikayat ang hindi pagkakilala, walang garantiya ng kumpletong pagiging kumpidensyal sa buong proseso ng pagsisiyasat. Maaaring kailanganin ng mga awtoridad na ibunyag ang pagkakakilanlan ng reporter sa ilang partikular na sitwasyon, na posibleng malagay sa panganib ang kanilang hindi pagkakilala.
**Iba pang Mga Potensyal na Avenue:**
* **Mga Mekanismo ng Panloob na Pag-uulat:** Ang ilang institusyong pang-edukasyon ay maaaring nagtatag ng **mga channel sa panloob na pag-uulat** na nagbibigay-daan para sa hindi kilalang pag-uulat ng maling gawain. Gayunpaman, ang pagiging epektibo at antas ng proteksyon na inaalok ng mga panloob na mekanismong ito ay maaaring mag-iba nang malaki.
* **Mga Media Outlet:** Maaaring piliin ng mga indibidwal na iulat ang katiwalian nang hindi nagpapakilala sa **mga organisasyon ng media** na maaaring mag-imbestiga at maglantad sa isyu. Gayunpaman, ang pamamaraang ito ay nagdadala ng mga likas na panganib at maaaring hindi palaging humantong sa kongkretong aksyon laban sa mga may kasalanan.
**Mga Hamon at Pagsasaalang-alang:**
* **Limited Legal Safeguards:** Ang kasalukuyang legal na balangkas sa Pilipinas ay nag-aalok ng **limitado at pira-piraso** na proteksyon para sa mga hindi kilalang whistleblower sa sektor ng edukasyon.
* **Potensyal na Pagganti:** Palaging may **panganib ng paghihiganti** mula sa mga indibidwal o entity na sangkot sa iniulat na katiwalian, kahit na may hindi kilalang pag-uulat.
* **Naghahanap ng Patnubay:** Ang pagkonsulta sa isang abogado na dalubhasa sa proteksyon ng whistleblower o batas sa edukasyon ay napakahalaga upang maunawaan ang **mga panganib at limitasyon** na nasasangkot sa hindi kilalang pag-uulat at tuklasin ang mga alternatibong opsyon para sa pagtugon sa katiwalian habang pinapaliit ang mga personal na panganib.
**Mahalagang tandaan na ang hindi kilalang pag-uulat ng katiwalian sa edukasyon ay may mga likas na hamon at limitasyon.** Bagama't umiiral ang mga legal na proteksyon sa ilang lawak, ang mga ito ay hindi ganap. Ang mga indibidwal na isinasaalang-alang ang hindi kilalang pag-uulat ay dapat na maingat na timbangin ang mga panganib at benepisyo, humingi ng propesyonal na patnubay, at galugarin ang lahat ng magagamit na mga opsyon upang matiyak ang kanilang kaligtasan at ang pagiging epektibo ng kanilang mga aksyon.
**Bukod pa rito, ang pagtataguyod para sa mas matibay na mga batas sa proteksyon ng whistleblower partikular para sa sektor ng edukasyon ay maaaring mag-ambag sa paglikha ng isang mas ligtas na kapaligiran para sa mga indibidwal na mag-ulat ng katiwalian at panagutin ang mga institusyong pang-edukasyon.**</v>
      </c>
      <c r="F1264" s="2">
        <f t="shared" si="1"/>
        <v>0</v>
      </c>
      <c r="G1264" s="2"/>
      <c r="H1264" s="2"/>
      <c r="I1264" s="2"/>
      <c r="J1264" s="2"/>
      <c r="K1264" s="2"/>
      <c r="L1264" s="2"/>
      <c r="M1264" s="2"/>
      <c r="N1264" s="2"/>
      <c r="O1264" s="2"/>
      <c r="P1264" s="2"/>
      <c r="Q1264" s="2"/>
      <c r="R1264" s="2"/>
      <c r="S1264" s="2"/>
      <c r="T1264" s="2"/>
      <c r="U1264" s="2"/>
      <c r="V1264" s="2"/>
      <c r="W1264" s="2"/>
      <c r="X1264" s="2"/>
      <c r="Y1264" s="2"/>
      <c r="Z1264" s="2"/>
      <c r="AA1264" s="2"/>
    </row>
    <row r="1265">
      <c r="A1265" s="1" t="s">
        <v>3356</v>
      </c>
      <c r="B1265" s="1" t="s">
        <v>3695</v>
      </c>
      <c r="C1265" s="1" t="s">
        <v>3696</v>
      </c>
      <c r="D1265" s="2" t="str">
        <f>IFERROR(__xludf.DUMMYFUNCTION("GOOGLETRANSLATE(B1265, ""en"", ""TL"")"),"Maaari bang humingi ng kabayaran ang mga indibidwal para sa mga pagkalugi sa pananalapi na natamo bilang resulta ng katiwalian sa edukasyon?")</f>
        <v>Maaari bang humingi ng kabayaran ang mga indibidwal para sa mga pagkalugi sa pananalapi na natamo bilang resulta ng katiwalian sa edukasyon?</v>
      </c>
      <c r="E1265" s="2" t="str">
        <f>IFERROR(__xludf.DUMMYFUNCTION("GOOGLETRANSLATE(C1265, ""en"", ""TL"")"),"Sa Pilipinas, ang posibilidad ng mga indibidwal na humingi ng kabayaran para sa mga pagkalugi sa pananalapi na natamo bilang resulta ng katiwalian sa edukasyon ay nakasalalay sa ilang mga salik at sa mga partikular na kalagayan ng bawat kaso. Narito ang i"&amp;"sang breakdown ng mga pangunahing pagsasaalang-alang:
**Mga Hamon sa Pagkuha ng Kabayaran:**
* **Direktang Sanhi:** Ang pagpapatunay ng **malinaw at direktang sanhi ng pagkakaugnay** sa pagitan ng pinaghihinalaang katiwalian at ang partikular na pagkalugi"&amp;" sa pananalapi na dinanas ng isang indibidwal ay maaaring maging hamon.
* **Individualized Harm:** Ang pagpapakita na ang pinsala ay **natatangi sa indibidwal** at hindi isang bagay na nararanasan ng lahat ng mag-aaral sa parehong programa o sitwasyon ay "&amp;"maaaring maging mahirap.
* **Pagiging Kumplikado ng Korupsyon:** Ang pagtatatag ng kalikasan at lawak ng katiwalian, at kung paano ito direktang humantong sa mga pagkalugi sa pananalapi, ay maaaring magsama ng mga kumplikadong imbestigasyon at pangangalap"&amp;" ng ebidensya.
**Mga Potensyal na Avenue para sa Kabayaran:**
Bagama't walang garantisadong daan patungo sa kabayaran, maaaring tuklasin ng mga indibidwal ang ilang mga opsyon depende sa partikular na sitwasyon:
* **Mga Paghahabla sa Sibil:** Kung ang mga"&amp;" indibidwal ay maaaring magpakita ng **indibidwal na pinsala** na dulot ng katiwalian at magtatag ng isang **malinaw na sanhi ng link** sa kanilang mga pagkalugi sa pananalapi, maaari nilang isaalang-alang ang pagsasampa ng **mga kasong sibil** laban sa e"&amp;"dukasyonal institusyon o kasangkot na mga indibidwal. Gayunpaman, ang tagumpay ng naturang mga demanda ay nakasalalay sa pagtugon sa mga legal na kinakailangan at paglalahad ng mapanghikayat na ebidensya.
* **Mga Reklamo sa Administratibo:** Maaaring mags"&amp;"ampa ng **mga reklamo ang mga indibidwal sa mga kaugnay na ahensya ng gobyerno** tulad ng Commission on Higher Education (CHED) o Department of Education (DepEd) laban sa institusyong pang-edukasyon. Ang mga ahensyang ito ay maaaring magkaroon ng **mga me"&amp;"kanismong pang-administratibo** upang tugunan ang mga karaingan at posibleng magpataw ng mga parusa, ngunit maaaring hindi sila direktang magbigay ng kabayaran sa pananalapi sa mga indibidwal.
* **Proteksyon sa Whistleblower:** Kung ang mga indibidwal ay "&amp;"nagtataglay **katibayan ng katiwalian** at iulat ito sa mga awtoridad sa ilalim ng **mga mekanismo ng proteksyon ng whistleblower** na itinatag ng Republic Act No. 6713, maaari silang maging karapat-dapat para sa **mga partikular na benepisyo at mga prote"&amp;"ksyon**, ngunit hindi kinakailangang direktang kabayaran sa pananalapi para sa mga personal na pagkalugi.
**Kahalagahan ng Legal na Patnubay:**
Ang pagkonsulta sa isang abogado na dalubhasa sa batas sa edukasyon ay napakahalaga upang maunawaan ang legal n"&amp;"a tanawin, masuri ang posibilidad ng paghabol ng kabayaran, at tuklasin ang pinakaangkop na paraan ng pagkilos batay sa mga partikular na kalagayan ng kaso. Maaari silang magpayo sa:
* **Pagtitipon ng ebidensya:** Pag-secure ng dokumentasyon, mga testimon"&amp;"ya ng saksi, o iba pang nauugnay na patunay upang suportahan ang mga claim.
* **Pag-navigate sa mga legal na pamamaraan:** Pag-unawa sa mga naaangkop na batas, mga kinakailangan sa paghahain, at mga potensyal na hamon na kasangkot sa paghabol ng kabayaran"&amp;".
* **Paggalugad ng mga alternatibong opsyon:** Pagtukoy ng iba pang mga paraan para sa pagtugon sa isyu, tulad ng paghahanap ng mga administratibong remedyo o pagtataguyod para sa mga sistematikong reporma.
**Tandaan:** Ang pagkuha ng kabayaran para sa m"&amp;"ga pagkalugi sa pananalapi dahil sa katiwalian sa edukasyon ay kumplikado at **hindi ginagarantiyahan**. Gayunpaman, sa pamamagitan ng paghingi ng propesyonal na legal na patnubay at pag-unawa sa mga magagamit na opsyon, ang mga indibidwal ay maaaring gum"&amp;"awa ng matalinong mga desisyon at tuklasin ang mga potensyal na paraan upang matugunan ang pinsalang naranasan nila.")</f>
        <v>Sa Pilipinas, ang posibilidad ng mga indibidwal na humingi ng kabayaran para sa mga pagkalugi sa pananalapi na natamo bilang resulta ng katiwalian sa edukasyon ay nakasalalay sa ilang mga salik at sa mga partikular na kalagayan ng bawat kaso. Narito ang isang breakdown ng mga pangunahing pagsasaalang-alang:
**Mga Hamon sa Pagkuha ng Kabayaran:**
* **Direktang Sanhi:** Ang pagpapatunay ng **malinaw at direktang sanhi ng pagkakaugnay** sa pagitan ng pinaghihinalaang katiwalian at ang partikular na pagkalugi sa pananalapi na dinanas ng isang indibidwal ay maaaring maging hamon.
* **Individualized Harm:** Ang pagpapakita na ang pinsala ay **natatangi sa indibidwal** at hindi isang bagay na nararanasan ng lahat ng mag-aaral sa parehong programa o sitwasyon ay maaaring maging mahirap.
* **Pagiging Kumplikado ng Korupsyon:** Ang pagtatatag ng kalikasan at lawak ng katiwalian, at kung paano ito direktang humantong sa mga pagkalugi sa pananalapi, ay maaaring magsama ng mga kumplikadong imbestigasyon at pangangalap ng ebidensya.
**Mga Potensyal na Avenue para sa Kabayaran:**
Bagama't walang garantisadong daan patungo sa kabayaran, maaaring tuklasin ng mga indibidwal ang ilang mga opsyon depende sa partikular na sitwasyon:
* **Mga Paghahabla sa Sibil:** Kung ang mga indibidwal ay maaaring magpakita ng **indibidwal na pinsala** na dulot ng katiwalian at magtatag ng isang **malinaw na sanhi ng link** sa kanilang mga pagkalugi sa pananalapi, maaari nilang isaalang-alang ang pagsasampa ng **mga kasong sibil** laban sa edukasyonal institusyon o kasangkot na mga indibidwal. Gayunpaman, ang tagumpay ng naturang mga demanda ay nakasalalay sa pagtugon sa mga legal na kinakailangan at paglalahad ng mapanghikayat na ebidensya.
* **Mga Reklamo sa Administratibo:** Maaaring magsampa ng **mga reklamo ang mga indibidwal sa mga kaugnay na ahensya ng gobyerno** tulad ng Commission on Higher Education (CHED) o Department of Education (DepEd) laban sa institusyong pang-edukasyon. Ang mga ahensyang ito ay maaaring magkaroon ng **mga mekanismong pang-administratibo** upang tugunan ang mga karaingan at posibleng magpataw ng mga parusa, ngunit maaaring hindi sila direktang magbigay ng kabayaran sa pananalapi sa mga indibidwal.
* **Proteksyon sa Whistleblower:** Kung ang mga indibidwal ay nagtataglay **katibayan ng katiwalian** at iulat ito sa mga awtoridad sa ilalim ng **mga mekanismo ng proteksyon ng whistleblower** na itinatag ng Republic Act No. 6713, maaari silang maging karapat-dapat para sa **mga partikular na benepisyo at mga proteksyon**, ngunit hindi kinakailangang direktang kabayaran sa pananalapi para sa mga personal na pagkalugi.
**Kahalagahan ng Legal na Patnubay:**
Ang pagkonsulta sa isang abogado na dalubhasa sa batas sa edukasyon ay napakahalaga upang maunawaan ang legal na tanawin, masuri ang posibilidad ng paghabol ng kabayaran, at tuklasin ang pinakaangkop na paraan ng pagkilos batay sa mga partikular na kalagayan ng kaso. Maaari silang magpayo sa:
* **Pagtitipon ng ebidensya:** Pag-secure ng dokumentasyon, mga testimonya ng saksi, o iba pang nauugnay na patunay upang suportahan ang mga claim.
* **Pag-navigate sa mga legal na pamamaraan:** Pag-unawa sa mga naaangkop na batas, mga kinakailangan sa paghahain, at mga potensyal na hamon na kasangkot sa paghabol ng kabayaran.
* **Paggalugad ng mga alternatibong opsyon:** Pagtukoy ng iba pang mga paraan para sa pagtugon sa isyu, tulad ng paghahanap ng mga administratibong remedyo o pagtataguyod para sa mga sistematikong reporma.
**Tandaan:** Ang pagkuha ng kabayaran para sa mga pagkalugi sa pananalapi dahil sa katiwalian sa edukasyon ay kumplikado at **hindi ginagarantiyahan**. Gayunpaman, sa pamamagitan ng paghingi ng propesyonal na legal na patnubay at pag-unawa sa mga magagamit na opsyon, ang mga indibidwal ay maaaring gumawa ng matalinong mga desisyon at tuklasin ang mga potensyal na paraan upang matugunan ang pinsalang naranasan nila.</v>
      </c>
      <c r="F1265" s="2">
        <f t="shared" si="1"/>
        <v>0</v>
      </c>
      <c r="G1265" s="2"/>
      <c r="H1265" s="2"/>
      <c r="I1265" s="2"/>
      <c r="J1265" s="2"/>
      <c r="K1265" s="2"/>
      <c r="L1265" s="2"/>
      <c r="M1265" s="2"/>
      <c r="N1265" s="2"/>
      <c r="O1265" s="2"/>
      <c r="P1265" s="2"/>
      <c r="Q1265" s="2"/>
      <c r="R1265" s="2"/>
      <c r="S1265" s="2"/>
      <c r="T1265" s="2"/>
      <c r="U1265" s="2"/>
      <c r="V1265" s="2"/>
      <c r="W1265" s="2"/>
      <c r="X1265" s="2"/>
      <c r="Y1265" s="2"/>
      <c r="Z1265" s="2"/>
      <c r="AA1265" s="2"/>
    </row>
    <row r="1266">
      <c r="A1266" s="1" t="s">
        <v>3356</v>
      </c>
      <c r="B1266" s="1" t="s">
        <v>3697</v>
      </c>
      <c r="C1266" s="1" t="s">
        <v>3698</v>
      </c>
      <c r="D1266" s="2" t="str">
        <f>IFERROR(__xludf.DUMMYFUNCTION("GOOGLETRANSLATE(B1266, ""en"", ""TL"")"),"Paano makakaapekto ang legal na aksyon laban sa mga tiwaling institusyong pang-edukasyon sa mga kredensyal sa akademiko ng mga mag-aaral na nag-aral o nagtapos sa mga institusyong iyon?")</f>
        <v>Paano makakaapekto ang legal na aksyon laban sa mga tiwaling institusyong pang-edukasyon sa mga kredensyal sa akademiko ng mga mag-aaral na nag-aral o nagtapos sa mga institusyong iyon?</v>
      </c>
      <c r="E1266" s="2" t="str">
        <f>IFERROR(__xludf.DUMMYFUNCTION("GOOGLETRANSLATE(C1266, ""en"", ""TL"")"),"Bagama't maaaring magkaroon ng iba't ibang implikasyon ang legal na aksyon laban sa mga tiwaling institusyong pang-edukasyon, **mahalagang maunawaan na sa pangkalahatan ay hindi ito direktang nakakaapekto sa **bisa o pagiging lehitimo** ng mga kredensyal "&amp;"sa akademya na iginawad sa mga mag-aaral ng mga institusyong iyon. Narito ang isang breakdown ng mga pangunahing punto:
**Paghihiwalay ng mga Isyu:**
* **Academic Credentials:** Ang mga dokumentong ito, tulad ng mga diploma o transcript, ay nagpapat"&amp;"unay sa pagkumpleto ng isang partikular na programa ng pag-aaral at ang pagkamit ng isang partikular na kwalipikasyon. Karaniwang ibinibigay ang mga ito batay sa **katuparan ng mga itinatag na pangangailangang pang-akademiko** ng mag-aaral, anuman ang anu"&amp;"mang potensyal na katiwalian sa loob ng institusyon.
* **Legal na Aksyon:** Nakatuon ito sa pagtugon sa mga sinasabing **tiwaling gawi** ng institusyong pang-edukasyon, hindi sa mga indibidwal na akademikong tagumpay ng mga mag-aaral na nakapagtapos na n"&amp;"g kanilang pag-aaral at nakatanggap ng kanilang mga kredensyal.
**Mga Potensyal na Hindi Direktang Epekto:**
Gayunpaman, ang legal na aksyon laban sa isang institusyon ay maaaring magkaroon ng ilang **hindi direktang kahihinatnan** para sa mga krede"&amp;"nsyal ng mag-aaral sa ilang partikular na sitwasyon:
* **Pagkawala ng Akreditasyon:** Kung ang mga legal na paglilitis ay naglantad **malubhang paglabag sa akademikong integridad o mga pamantayan ng akreditasyon**, maaaring maharap ang institusyon **pa"&amp;"gkawala ng akreditasyon** mula sa mga nauugnay na awtoridad. Sa ganitong mga kaso, maaaring mawala ang **mga degree sa hinaharap** na iginawad ng institusyon ng kanilang kinikilalang halaga. Gayunpaman, ang mga dati nang ibinigay na kredensyal ay karaniwa"&amp;"ng **nananatiling wasto**.
* **Pampublikong Pagsusuri at Reputasyon:** Ang negatibong publisidad na pumapalibot sa legal na kaso ay maaaring **makasira sa reputasyon ng institusyon**, na posibleng humantong sa **nabawasan ang pagkilala** ng mga kredensya"&amp;"l sa akademiko nito ng mga employer o iba pang institusyon. Gayunpaman, hindi nito nangangahulugang magpapawalang-bisa ang mga kredensyal mismo.
**Mga Panukala sa Proteksyon ng Mag-aaral:**
* **Pagpapatunay ng Mga Kredensyal:** Ang mga mag-aaral ay "&amp;"maaaring **malayang i-verify ang pagiging tunay** ng kanilang mga kredensyal sa akademya sa pamamagitan ng mga opisyal na channel tulad ng registrar ng institusyon o mga kaugnay na ahensya ng gobyerno na responsable para sa akreditasyon at pag-iingat ng r"&amp;"ekord.
* **Mga Alternatibong Kredensyal:** Kung may mga alalahanin tungkol sa bisa ng mga kredensyal dahil sa katiwalian sa institusyon, maaaring tuklasin ng mga mag-aaral ang **mga alternatibong paraan upang ipakita ang kanilang mga kwalipikasyon**, gay"&amp;"a ng sa pamamagitan ng **mga pagtatasa ng portfolio, mga pamantayang pagsusulit, o paglilipat ng mga kredito sa isa pang akreditadong institusyon**.
**Naghahanap ng Patnubay:**
Kung nag-aalala ka tungkol sa potensyal na epekto ng legal na aksyon sa "&amp;"iyong mga kredensyal sa akademya, lubos na inirerekomendang kumunsulta sa isang **kwalipikadong abogado na dalubhasa sa batas sa edukasyon**. Maaari nilang tasahin ang partikular na sitwasyon, payuhan ang mga potensyal na panganib at opsyon para sa pag-ve"&amp;"rify, at tulungan kang mag-navigate sa anumang mga hamon na nauugnay sa iyong mga kwalipikasyong pang-akademiko.
**Tandaan:** Ang legal na aksyon laban sa mga institusyong pang-edukasyon ay pangunahing naglalayong tugunan ang sistematikong katiwalian a"&amp;"t protektahan ang mga mag-aaral sa hinaharap. Bagama't maaaring hindi nito direktang mapawalang-bisa ang mga naunang ibinigay na kredensyal, mahalagang manatiling may kaalaman at humingi ng propesyonal na patnubay kung may mga alalahanin tungkol sa pagkil"&amp;"ala o bisa ng iyong mga kwalipikasyong pang-akademiko.")</f>
        <v>Bagama't maaaring magkaroon ng iba't ibang implikasyon ang legal na aksyon laban sa mga tiwaling institusyong pang-edukasyon, **mahalagang maunawaan na sa pangkalahatan ay hindi ito direktang nakakaapekto sa **bisa o pagiging lehitimo** ng mga kredensyal sa akademya na iginawad sa mga mag-aaral ng mga institusyong iyon. Narito ang isang breakdown ng mga pangunahing punto:
**Paghihiwalay ng mga Isyu:**
* **Academic Credentials:** Ang mga dokumentong ito, tulad ng mga diploma o transcript, ay nagpapatunay sa pagkumpleto ng isang partikular na programa ng pag-aaral at ang pagkamit ng isang partikular na kwalipikasyon. Karaniwang ibinibigay ang mga ito batay sa **katuparan ng mga itinatag na pangangailangang pang-akademiko** ng mag-aaral, anuman ang anumang potensyal na katiwalian sa loob ng institusyon.
* **Legal na Aksyon:** Nakatuon ito sa pagtugon sa mga sinasabing **tiwaling gawi** ng institusyong pang-edukasyon, hindi sa mga indibidwal na akademikong tagumpay ng mga mag-aaral na nakapagtapos na ng kanilang pag-aaral at nakatanggap ng kanilang mga kredensyal.
**Mga Potensyal na Hindi Direktang Epekto:**
Gayunpaman, ang legal na aksyon laban sa isang institusyon ay maaaring magkaroon ng ilang **hindi direktang kahihinatnan** para sa mga kredensyal ng mag-aaral sa ilang partikular na sitwasyon:
* **Pagkawala ng Akreditasyon:** Kung ang mga legal na paglilitis ay naglantad **malubhang paglabag sa akademikong integridad o mga pamantayan ng akreditasyon**, maaaring maharap ang institusyon **pagkawala ng akreditasyon** mula sa mga nauugnay na awtoridad. Sa ganitong mga kaso, maaaring mawala ang **mga degree sa hinaharap** na iginawad ng institusyon ng kanilang kinikilalang halaga. Gayunpaman, ang mga dati nang ibinigay na kredensyal ay karaniwang **nananatiling wasto**.
* **Pampublikong Pagsusuri at Reputasyon:** Ang negatibong publisidad na pumapalibot sa legal na kaso ay maaaring **makasira sa reputasyon ng institusyon**, na posibleng humantong sa **nabawasan ang pagkilala** ng mga kredensyal sa akademiko nito ng mga employer o iba pang institusyon. Gayunpaman, hindi nito nangangahulugang magpapawalang-bisa ang mga kredensyal mismo.
**Mga Panukala sa Proteksyon ng Mag-aaral:**
* **Pagpapatunay ng Mga Kredensyal:** Ang mga mag-aaral ay maaaring **malayang i-verify ang pagiging tunay** ng kanilang mga kredensyal sa akademya sa pamamagitan ng mga opisyal na channel tulad ng registrar ng institusyon o mga kaugnay na ahensya ng gobyerno na responsable para sa akreditasyon at pag-iingat ng rekord.
* **Mga Alternatibong Kredensyal:** Kung may mga alalahanin tungkol sa bisa ng mga kredensyal dahil sa katiwalian sa institusyon, maaaring tuklasin ng mga mag-aaral ang **mga alternatibong paraan upang ipakita ang kanilang mga kwalipikasyon**, gaya ng sa pamamagitan ng **mga pagtatasa ng portfolio, mga pamantayang pagsusulit, o paglilipat ng mga kredito sa isa pang akreditadong institusyon**.
**Naghahanap ng Patnubay:**
Kung nag-aalala ka tungkol sa potensyal na epekto ng legal na aksyon sa iyong mga kredensyal sa akademya, lubos na inirerekomendang kumunsulta sa isang **kwalipikadong abogado na dalubhasa sa batas sa edukasyon**. Maaari nilang tasahin ang partikular na sitwasyon, payuhan ang mga potensyal na panganib at opsyon para sa pag-verify, at tulungan kang mag-navigate sa anumang mga hamon na nauugnay sa iyong mga kwalipikasyong pang-akademiko.
**Tandaan:** Ang legal na aksyon laban sa mga institusyong pang-edukasyon ay pangunahing naglalayong tugunan ang sistematikong katiwalian at protektahan ang mga mag-aaral sa hinaharap. Bagama't maaaring hindi nito direktang mapawalang-bisa ang mga naunang ibinigay na kredensyal, mahalagang manatiling may kaalaman at humingi ng propesyonal na patnubay kung may mga alalahanin tungkol sa pagkilala o bisa ng iyong mga kwalipikasyong pang-akademiko.</v>
      </c>
      <c r="F1266" s="2">
        <f t="shared" si="1"/>
        <v>0</v>
      </c>
      <c r="G1266" s="2"/>
      <c r="H1266" s="2"/>
      <c r="I1266" s="2"/>
      <c r="J1266" s="2"/>
      <c r="K1266" s="2"/>
      <c r="L1266" s="2"/>
      <c r="M1266" s="2"/>
      <c r="N1266" s="2"/>
      <c r="O1266" s="2"/>
      <c r="P1266" s="2"/>
      <c r="Q1266" s="2"/>
      <c r="R1266" s="2"/>
      <c r="S1266" s="2"/>
      <c r="T1266" s="2"/>
      <c r="U1266" s="2"/>
      <c r="V1266" s="2"/>
      <c r="W1266" s="2"/>
      <c r="X1266" s="2"/>
      <c r="Y1266" s="2"/>
      <c r="Z1266" s="2"/>
      <c r="AA1266" s="2"/>
    </row>
    <row r="1267">
      <c r="A1267" s="1" t="s">
        <v>3356</v>
      </c>
      <c r="B1267" s="1" t="s">
        <v>3699</v>
      </c>
      <c r="C1267" s="1" t="s">
        <v>3700</v>
      </c>
      <c r="D1267" s="2" t="str">
        <f>IFERROR(__xludf.DUMMYFUNCTION("GOOGLETRANSLATE(B1267, ""en"", ""TL"")"),"Mayroon bang anumang partikular na legal na remedyo na magagamit sa mga mag-aaral na naging biktima ng katiwalian sa edukasyon?")</f>
        <v>Mayroon bang anumang partikular na legal na remedyo na magagamit sa mga mag-aaral na naging biktima ng katiwalian sa edukasyon?</v>
      </c>
      <c r="E1267" s="2" t="str">
        <f>IFERROR(__xludf.DUMMYFUNCTION("GOOGLETRANSLATE(C1267, ""en"", ""TL"")"),"Bagama't walang iisang legal na remedyo na partikular na idinisenyo para sa mga mag-aaral na naging biktima ng katiwalian sa edukasyon sa Pilipinas, maraming mga opsyon ang maaaring tuklasin depende sa uri ng katiwalian at pinsalang dinanas:
**1. Admin"&amp;"istrative Remedies:**
* **Mga reklamo sa loob ng Institusyon:** Ang mga mag-aaral ay maaaring magsampa ng **mga reklamo** sa mga mekanismo ng karaingan ng institusyon, kasunod ng mga itinatag na pamamaraan upang humingi ng kabayaran sa loob ng sistema "&amp;"ng edukasyon.
* **Mga Reklamo sa Regulatory Agencies:** Depende sa partikular na isyu, maaaring magsampa ng mga reklamo ang mga mag-aaral sa mga nauugnay na **regulatory agencies** tulad ng Commission on Higher Education (CHED) o Department of Education "&amp;"(DepEd) laban sa institusyong pang-edukasyon.
**2. Civil Litigation:**
* **Mga Indibidwal na Paghahabla:** Kung ang mga mag-aaral ay maaaring magpakita ng **indibidwal na pinsala** na dulot ng di-umano'y katiwalian, maaari nilang isaalang-alang ang "&amp;"pagsasampa ng **mga indibidwal na kaso** laban sa institusyong pang-edukasyon o mga sangkot na indibidwal, na humihingi ng kabayaran para sa mga pinsala.
* **Class-Action Lawsuit (Potensyal):** Gaya ng nabanggit kanina, ang Pilipinas **ay walang partikul"&amp;"ar na batas para sa class-action na demanda**, ngunit ang **Rule 19 ng Rules of Court** ay nagpapahintulot para sa sumasanib ng maraming nagsasakdal na may katulad na mga paghahabol. Ito ay maaaring isang opsyon sa **malawakang kaso ng katiwalian** kung i"&amp;"to ay nakakatugon sa mga partikular na kinakailangan tulad ng maraming nagsasakdal, karaniwang mga tanong ng batas at katotohanan, at sapat na representasyon.
**3. Alternatibong Dispute Resolution (ADR):**
Sa ilang mga kaso, ang paggalugad sa **medi"&amp;"ation o arbitration** sa pamamagitan ng mga kinikilalang institusyon ng ADR ay maaaring mag-alok ng isang mas **mahusay at cost-effective na paraan ng paglutas ng mga hindi pagkakaunawaan sa pagitan ng mga mag-aaral at institusyong pang-edukasyon.
**4."&amp;" Proteksyon sa Whistleblower:**
Kung ang mga mag-aaral ay nagtataglay ng **katibayan ng katiwalian** sa loob ng institusyong pang-edukasyon, maaari nilang isaalang-alang ang pag-uulat nito sa mga kaugnay na awtoridad sa ilalim ng **mga mekanismo ng pro"&amp;"teksyon ng whistleblower** na itinatag ng Republic Act No. 6713 (Code of Conduct and Ethical Standards for Public Officials and Mga empleyado).
**Pagpili ng Tamang Diskarte:**
Ang pinakaangkop na legal na remedyo ay nakasalalay sa iba't ibang salik,"&amp;" kabilang ang **tiyak na katangian ng katiwalian**, ang **ebidensyang makukuha**, ang **ginustong resulta**, at ang **mga mapagkukunang magagamit** sa mga mag-aaral. Ang pagkonsulta sa isang abogado na dalubhasa sa batas sa edukasyon ay napakahalaga upang"&amp;" maunawaan ang mga legal na opsyon, masuri ang posibilidad ng bawat diskarte, at piliin ang pinakaepektibong paraan ng pagkilos batay sa mga partikular na pangyayari.
**Mga Karagdagang Pagsasaalang-alang:**
* **Pagtitipon ng Ebidensya:** Ang pag-sec"&amp;"ure ng **dokumentaryo na ebidensya, mga testimonya ng saksi, o mga recording** (kung legal) ay maaaring magpatibay sa anumang paghahabol o reklamo.
* **Naghahanap ng Suporta:** Maaaring makinabang ang mga mag-aaral sa paghingi ng **suporta mula sa mga or"&amp;"ganisasyon ng mag-aaral, grupo ng adbokasiya, o mga klinika ng legal aid** na nagdadalubhasa sa mga isyu sa edukasyon.
* **Mga Legal na Gastos:** Ang paghahabol ng legal na aksyon ay maaaring may kasamang **mga gastusin sa pananalapi**, at dapat na maing"&amp;"at na isaalang-alang ng mga mag-aaral ang mga potensyal na gastos na nauugnay sa iba't ibang opsyon.
Tandaan, ang pag-navigate sa mga legal na kumplikado ay nangangailangan ng **propesyonal na patnubay**. Ang pagkonsulta sa isang kwalipikadong abogado "&amp;"ay makakapagbigay sa mga mag-aaral ng kinakailangang suporta at kadalubhasaan upang maunawaan ang kanilang mga karapatan, galugarin ang mga magagamit na remedyo, at magsagawa ng naaangkop na aksyon laban sa katiwalian sa edukasyon.")</f>
        <v>Bagama't walang iisang legal na remedyo na partikular na idinisenyo para sa mga mag-aaral na naging biktima ng katiwalian sa edukasyon sa Pilipinas, maraming mga opsyon ang maaaring tuklasin depende sa uri ng katiwalian at pinsalang dinanas:
**1. Administrative Remedies:**
* **Mga reklamo sa loob ng Institusyon:** Ang mga mag-aaral ay maaaring magsampa ng **mga reklamo** sa mga mekanismo ng karaingan ng institusyon, kasunod ng mga itinatag na pamamaraan upang humingi ng kabayaran sa loob ng sistema ng edukasyon.
* **Mga Reklamo sa Regulatory Agencies:** Depende sa partikular na isyu, maaaring magsampa ng mga reklamo ang mga mag-aaral sa mga nauugnay na **regulatory agencies** tulad ng Commission on Higher Education (CHED) o Department of Education (DepEd) laban sa institusyong pang-edukasyon.
**2. Civil Litigation:**
* **Mga Indibidwal na Paghahabla:** Kung ang mga mag-aaral ay maaaring magpakita ng **indibidwal na pinsala** na dulot ng di-umano'y katiwalian, maaari nilang isaalang-alang ang pagsasampa ng **mga indibidwal na kaso** laban sa institusyong pang-edukasyon o mga sangkot na indibidwal, na humihingi ng kabayaran para sa mga pinsala.
* **Class-Action Lawsuit (Potensyal):** Gaya ng nabanggit kanina, ang Pilipinas **ay walang partikular na batas para sa class-action na demanda**, ngunit ang **Rule 19 ng Rules of Court** ay nagpapahintulot para sa sumasanib ng maraming nagsasakdal na may katulad na mga paghahabol. Ito ay maaaring isang opsyon sa **malawakang kaso ng katiwalian** kung ito ay nakakatugon sa mga partikular na kinakailangan tulad ng maraming nagsasakdal, karaniwang mga tanong ng batas at katotohanan, at sapat na representasyon.
**3. Alternatibong Dispute Resolution (ADR):**
Sa ilang mga kaso, ang paggalugad sa **mediation o arbitration** sa pamamagitan ng mga kinikilalang institusyon ng ADR ay maaaring mag-alok ng isang mas **mahusay at cost-effective na paraan ng paglutas ng mga hindi pagkakaunawaan sa pagitan ng mga mag-aaral at institusyong pang-edukasyon.
**4. Proteksyon sa Whistleblower:**
Kung ang mga mag-aaral ay nagtataglay ng **katibayan ng katiwalian** sa loob ng institusyong pang-edukasyon, maaari nilang isaalang-alang ang pag-uulat nito sa mga kaugnay na awtoridad sa ilalim ng **mga mekanismo ng proteksyon ng whistleblower** na itinatag ng Republic Act No. 6713 (Code of Conduct and Ethical Standards for Public Officials and Mga empleyado).
**Pagpili ng Tamang Diskarte:**
Ang pinakaangkop na legal na remedyo ay nakasalalay sa iba't ibang salik, kabilang ang **tiyak na katangian ng katiwalian**, ang **ebidensyang makukuha**, ang **ginustong resulta**, at ang **mga mapagkukunang magagamit** sa mga mag-aaral. Ang pagkonsulta sa isang abogado na dalubhasa sa batas sa edukasyon ay napakahalaga upang maunawaan ang mga legal na opsyon, masuri ang posibilidad ng bawat diskarte, at piliin ang pinakaepektibong paraan ng pagkilos batay sa mga partikular na pangyayari.
**Mga Karagdagang Pagsasaalang-alang:**
* **Pagtitipon ng Ebidensya:** Ang pag-secure ng **dokumentaryo na ebidensya, mga testimonya ng saksi, o mga recording** (kung legal) ay maaaring magpatibay sa anumang paghahabol o reklamo.
* **Naghahanap ng Suporta:** Maaaring makinabang ang mga mag-aaral sa paghingi ng **suporta mula sa mga organisasyon ng mag-aaral, grupo ng adbokasiya, o mga klinika ng legal aid** na nagdadalubhasa sa mga isyu sa edukasyon.
* **Mga Legal na Gastos:** Ang paghahabol ng legal na aksyon ay maaaring may kasamang **mga gastusin sa pananalapi**, at dapat na maingat na isaalang-alang ng mga mag-aaral ang mga potensyal na gastos na nauugnay sa iba't ibang opsyon.
Tandaan, ang pag-navigate sa mga legal na kumplikado ay nangangailangan ng **propesyonal na patnubay**. Ang pagkonsulta sa isang kwalipikadong abogado ay makakapagbigay sa mga mag-aaral ng kinakailangang suporta at kadalubhasaan upang maunawaan ang kanilang mga karapatan, galugarin ang mga magagamit na remedyo, at magsagawa ng naaangkop na aksyon laban sa katiwalian sa edukasyon.</v>
      </c>
      <c r="F1267" s="2">
        <f t="shared" si="1"/>
        <v>0</v>
      </c>
      <c r="G1267" s="2"/>
      <c r="H1267" s="2"/>
      <c r="I1267" s="2"/>
      <c r="J1267" s="2"/>
      <c r="K1267" s="2"/>
      <c r="L1267" s="2"/>
      <c r="M1267" s="2"/>
      <c r="N1267" s="2"/>
      <c r="O1267" s="2"/>
      <c r="P1267" s="2"/>
      <c r="Q1267" s="2"/>
      <c r="R1267" s="2"/>
      <c r="S1267" s="2"/>
      <c r="T1267" s="2"/>
      <c r="U1267" s="2"/>
      <c r="V1267" s="2"/>
      <c r="W1267" s="2"/>
      <c r="X1267" s="2"/>
      <c r="Y1267" s="2"/>
      <c r="Z1267" s="2"/>
      <c r="AA1267" s="2"/>
    </row>
    <row r="1268">
      <c r="A1268" s="1" t="s">
        <v>3356</v>
      </c>
      <c r="B1268" s="1" t="s">
        <v>3701</v>
      </c>
      <c r="C1268" s="1" t="s">
        <v>3702</v>
      </c>
      <c r="D1268" s="2" t="str">
        <f>IFERROR(__xludf.DUMMYFUNCTION("GOOGLETRANSLATE(B1268, ""en"", ""TL"")"),"Anong mga obligasyon ang mayroon ang mga institusyong pang-edukasyon upang maiwasan at matugunan ang katiwalian sa ilalim ng batas?")</f>
        <v>Anong mga obligasyon ang mayroon ang mga institusyong pang-edukasyon upang maiwasan at matugunan ang katiwalian sa ilalim ng batas?</v>
      </c>
      <c r="E1268" s="2" t="str">
        <f>IFERROR(__xludf.DUMMYFUNCTION("GOOGLETRANSLATE(C1268, ""en"", ""TL"")"),"Bagama't ang Pilipinas ay walang partikular na batas na nakatuon lamang sa pagpigil at pagtugon sa katiwalian sa mga institusyong pang-edukasyon, mayroong ilang umiiral na mga legal na balangkas at regulasyon na nagpapataw ng mga obligasyon sa mga institu"&amp;"syong ito na itaguyod ang etikal na pag-uugali at labanan ang mga katiwalian. Narito ang isang pangkalahatang-ideya ng mga nauugnay na legal na mapagkukunan:
**1. Ang Konstitusyon:**
* **Artikulo II, Seksyon 1:** Ginagarantiya ang karapatan sa edukasyon a"&amp;"t nag-uutos sa Estado na ""protektahan at itaguyod ang karapatan ng lahat ng mamamayan sa de-kalidad na edukasyon sa lahat ng antas."" Ito ay nagpapahiwatig ng isang tungkulin para sa mga institusyong pang-edukasyon na itaguyod ang mga pamantayang etikal "&amp;"at pigilan ang mga gawi na sumisira sa kalidad ng edukasyon.
* **Artikulo XIII, Seksyon 2:** Binibigyang-diin ang responsibilidad ng Estado na ""panatilihin ang katapatan at integridad sa serbisyo publiko."" Ang prinsipyong ito ay umaabot sa mga institusy"&amp;"ong pang-edukasyon na tumatanggap ng pagpopondo ng pamahalaan o nagpapatakbo sa ilalim ng pampublikong mandato.
**2. Republic Act No. 6713 (Code of Conduct and Ethical Standards for Public Officials and Employees):**
Bagama't pangunahing naaangkop sa mga "&amp;"opisyal ng gobyerno, ang batas na ito ay nagtatatag ng mga pangunahing etikal na prinsipyo tulad ng **katapatan, integridad, pananagutan, at serbisyo sa publiko** na maaaring ituring na mga prinsipyong gabay para sa mga institusyong pang-edukasyon, lalo n"&amp;"a ang mga tumatanggap ng pampublikong pondo.
**3. Mga Memorandum Order ng Commission on Higher Education (CHED):**
* **CHED Memorandum Order No. 12, series of 2018 (Revised Guidelines on the Conduct of Bidding for Goods and Services in Higher Education In"&amp;"stitutions):** Nagtatatag ng mga partikular na alituntunin para sa transparent at accountable na proseso ng pagkuha, na naglalayong maiwasan ang katiwalian sa paglalaan ng mapagkukunan .
* **CHED Memorandum Order No. 1, serye ng 2018 (Mga Pamantayang Pata"&amp;"karan at Mga Alituntunin sa Institusyon ng Integridad at Mga Programang Etika sa mga Institusyon ng Mas Mataas na Edukasyon):** Hinihikayat ang mga HEI na bumuo at magpatupad ng mga programa sa integridad at etika upang itaguyod ang etikal na pag-uugali a"&amp;"t maiwasan katiwalian sa loob ng institusyon.
**4. Mga Kautusan ng Department of Education (DepEd):**
* **DepEd Order No. 43, series of 2012 (Policy and Guidelines on the Implementation of the National School Board Election Code):** Nagtatatag ng mga regu"&amp;"lasyon para sa transparent at accountable school board elections, na naglalayong maiwasan ang hindi nararapat na impluwensya at potensyal na katiwalian sa paaralan pamamahala.
* **DepEd Order No. 78, series of 2013 (Implementing Guidelines on the National"&amp;" Policy on Transparency in Public Procurement for Goods and Services):** Katulad ng mga alituntunin ng CHED, ang DepEd order na ito ay nagtataguyod ng transparency at accountability sa mga proseso ng pampublikong pagkuha sa loob ng mga paaralan .
**Sa pan"&amp;"gkalahatan, habang walang nag-iisang komprehensibong batas na nakatuon lamang sa katiwalian sa edukasyon, ang iba't ibang legal na probisyon at regulasyon ay nagtatatag ng mga obligasyon para sa mga institusyong pang-edukasyon na:**
* Itaguyod ang etikal "&amp;"na pag-uugali at integridad.
* Isulong ang transparency at pananagutan sa kanilang mga operasyon.
* Magpatupad ng mga mekanismo upang maiwasan at matugunan ang mga tiwaling gawi.
* Tiyakin ang wastong paggamit ng mga pampublikong mapagkukunang inilaan par"&amp;"a sa edukasyon.
Mahalagang tandaan na ang mga ito ay mga pangkalahatang prinsipyo lamang, at ang mga partikular na legal na obligasyon at mekanismo ng pagpapatupad ay maaaring mag-iba depende sa uri ng institusyong pang-edukasyon (pampubliko, pribado), pi"&amp;"nagmumulan ng pagpopondo nito, at ang partikular na katangian ng pinaghihinalaang katiwalian. Ang pagkonsulta sa isang abogado na dalubhasa sa batas sa edukasyon ay maaaring magbigay ng mas tiyak na patnubay sa legal na balangkas na naaangkop sa isang par"&amp;"tikular na sitwasyon.")</f>
        <v>Bagama't ang Pilipinas ay walang partikular na batas na nakatuon lamang sa pagpigil at pagtugon sa katiwalian sa mga institusyong pang-edukasyon, mayroong ilang umiiral na mga legal na balangkas at regulasyon na nagpapataw ng mga obligasyon sa mga institusyong ito na itaguyod ang etikal na pag-uugali at labanan ang mga katiwalian. Narito ang isang pangkalahatang-ideya ng mga nauugnay na legal na mapagkukunan:
**1. Ang Konstitusyon:**
* **Artikulo II, Seksyon 1:** Ginagarantiya ang karapatan sa edukasyon at nag-uutos sa Estado na "protektahan at itaguyod ang karapatan ng lahat ng mamamayan sa de-kalidad na edukasyon sa lahat ng antas." Ito ay nagpapahiwatig ng isang tungkulin para sa mga institusyong pang-edukasyon na itaguyod ang mga pamantayang etikal at pigilan ang mga gawi na sumisira sa kalidad ng edukasyon.
* **Artikulo XIII, Seksyon 2:** Binibigyang-diin ang responsibilidad ng Estado na "panatilihin ang katapatan at integridad sa serbisyo publiko." Ang prinsipyong ito ay umaabot sa mga institusyong pang-edukasyon na tumatanggap ng pagpopondo ng pamahalaan o nagpapatakbo sa ilalim ng pampublikong mandato.
**2. Republic Act No. 6713 (Code of Conduct and Ethical Standards for Public Officials and Employees):**
Bagama't pangunahing naaangkop sa mga opisyal ng gobyerno, ang batas na ito ay nagtatatag ng mga pangunahing etikal na prinsipyo tulad ng **katapatan, integridad, pananagutan, at serbisyo sa publiko** na maaaring ituring na mga prinsipyong gabay para sa mga institusyong pang-edukasyon, lalo na ang mga tumatanggap ng pampublikong pondo.
**3. Mga Memorandum Order ng Commission on Higher Education (CHED):**
* **CHED Memorandum Order No. 12, series of 2018 (Revised Guidelines on the Conduct of Bidding for Goods and Services in Higher Education Institutions):** Nagtatatag ng mga partikular na alituntunin para sa transparent at accountable na proseso ng pagkuha, na naglalayong maiwasan ang katiwalian sa paglalaan ng mapagkukunan .
* **CHED Memorandum Order No. 1, serye ng 2018 (Mga Pamantayang Patakaran at Mga Alituntunin sa Institusyon ng Integridad at Mga Programang Etika sa mga Institusyon ng Mas Mataas na Edukasyon):** Hinihikayat ang mga HEI na bumuo at magpatupad ng mga programa sa integridad at etika upang itaguyod ang etikal na pag-uugali at maiwasan katiwalian sa loob ng institusyon.
**4. Mga Kautusan ng Department of Education (DepEd):**
* **DepEd Order No. 43, series of 2012 (Policy and Guidelines on the Implementation of the National School Board Election Code):** Nagtatatag ng mga regulasyon para sa transparent at accountable school board elections, na naglalayong maiwasan ang hindi nararapat na impluwensya at potensyal na katiwalian sa paaralan pamamahala.
* **DepEd Order No. 78, series of 2013 (Implementing Guidelines on the National Policy on Transparency in Public Procurement for Goods and Services):** Katulad ng mga alituntunin ng CHED, ang DepEd order na ito ay nagtataguyod ng transparency at accountability sa mga proseso ng pampublikong pagkuha sa loob ng mga paaralan .
**Sa pangkalahatan, habang walang nag-iisang komprehensibong batas na nakatuon lamang sa katiwalian sa edukasyon, ang iba't ibang legal na probisyon at regulasyon ay nagtatatag ng mga obligasyon para sa mga institusyong pang-edukasyon na:**
* Itaguyod ang etikal na pag-uugali at integridad.
* Isulong ang transparency at pananagutan sa kanilang mga operasyon.
* Magpatupad ng mga mekanismo upang maiwasan at matugunan ang mga tiwaling gawi.
* Tiyakin ang wastong paggamit ng mga pampublikong mapagkukunang inilaan para sa edukasyon.
Mahalagang tandaan na ang mga ito ay mga pangkalahatang prinsipyo lamang, at ang mga partikular na legal na obligasyon at mekanismo ng pagpapatupad ay maaaring mag-iba depende sa uri ng institusyong pang-edukasyon (pampubliko, pribado), pinagmumulan ng pagpopondo nito, at ang partikular na katangian ng pinaghihinalaang katiwalian. Ang pagkonsulta sa isang abogado na dalubhasa sa batas sa edukasyon ay maaaring magbigay ng mas tiyak na patnubay sa legal na balangkas na naaangkop sa isang partikular na sitwasyon.</v>
      </c>
      <c r="F1268" s="2">
        <f t="shared" si="1"/>
        <v>0</v>
      </c>
      <c r="G1268" s="2"/>
      <c r="H1268" s="2"/>
      <c r="I1268" s="2"/>
      <c r="J1268" s="2"/>
      <c r="K1268" s="2"/>
      <c r="L1268" s="2"/>
      <c r="M1268" s="2"/>
      <c r="N1268" s="2"/>
      <c r="O1268" s="2"/>
      <c r="P1268" s="2"/>
      <c r="Q1268" s="2"/>
      <c r="R1268" s="2"/>
      <c r="S1268" s="2"/>
      <c r="T1268" s="2"/>
      <c r="U1268" s="2"/>
      <c r="V1268" s="2"/>
      <c r="W1268" s="2"/>
      <c r="X1268" s="2"/>
      <c r="Y1268" s="2"/>
      <c r="Z1268" s="2"/>
      <c r="AA1268" s="2"/>
    </row>
    <row r="1269">
      <c r="A1269" s="1" t="s">
        <v>3356</v>
      </c>
      <c r="B1269" s="1" t="s">
        <v>3703</v>
      </c>
      <c r="C1269" s="1" t="s">
        <v>3704</v>
      </c>
      <c r="D1269" s="2" t="str">
        <f>IFERROR(__xludf.DUMMYFUNCTION("GOOGLETRANSLATE(B1269, ""en"", ""TL"")"),"Maaari bang magsampa ng class-action lawsuit ang mga indibidwal laban sa isang institusyong pang-edukasyon para sa malawakang katiwalian na nakakaapekto sa maraming estudyante?")</f>
        <v>Maaari bang magsampa ng class-action lawsuit ang mga indibidwal laban sa isang institusyong pang-edukasyon para sa malawakang katiwalian na nakakaapekto sa maraming estudyante?</v>
      </c>
      <c r="E1269" s="2" t="str">
        <f>IFERROR(__xludf.DUMMYFUNCTION("GOOGLETRANSLATE(C1269, ""en"", ""TL"")"),"Sa Pilipinas, ang posibilidad na magsampa ng class-action lawsuit laban sa isang institusyong pang-edukasyon para sa malawakang katiwalian na nakakaapekto sa maraming estudyante ay nakasalalay sa ilang salik at legal na pagsasaalang-alang:
**Mga Kinakaila"&amp;"ngan sa Paghahabla ng Class Action:**
Ang Pilipinas ay kasalukuyang **walang partikular na batas na namamahala sa class-action lawsuits**. Gayunpaman, pinahihintulutan ng **Rule 19 ng Rules of Court** ang pagsasama ng maraming nagsasakdal na may katulad n"&amp;"a mga paghahabol laban sa isang nasasakdal, na posibleng makamit ang ilan sa mga layunin ng isang class action.
**Mga Pangunahing Kinakailangan para sa Joinder:**
* **Maraming nagsasakdal:** Dapat mayroong malaking bilang ng mga indibidwal na may katulad "&amp;"na paghahabol laban sa institusyong pang-edukasyon.
* **Mga karaniwang tanong ng batas at katotohanan:** Ang mga paghahabol ay dapat magbahagi ng mga karaniwang legal na isyu at makatotohanang pangyayari, na ginagawang mahusay at patas ang isang pagsubok."&amp;"
* **Sapat na representasyon:** Ang isang pinangalanang kinatawan na nagsasakdal ay dapat na maging patas at sapat na kumatawan sa mga interes ng lahat ng iba pang miyembro ng klase.
**Mga Hamon sa Mga Kaso ng Korapsyon sa Pang-edukasyon:**
* **Indibidwal"&amp;" na pinsala:** Ang pagpapatunay ng indibidwal na pinsalang dinaranas ng bawat mag-aaral dahil sa di-umano'y katiwalian ay maaaring maging hamon, lalo na sa malawakang mga kaso.
* **Pagkakaiba-iba ng mga pangyayari:** Maaaring may iba't ibang karanasan at "&amp;"claim ang mga mag-aaral, na posibleng makaapekto sa kinakailangan sa ""pagkakatulad"".
* **Pagiging kumplikado ng katiwalian:** Ang pagpapakita ng malinaw na sanhi ng ugnayan sa pagitan ng mga di-umano'y tiwaling gawi at partikular na pinsala sa mga mag-a"&amp;"aral ay maaaring maging kumplikado.
**Alternatibong Resolusyon sa Di-pagkakasundo:**
Sa ilang mga kaso, ang paggalugad ng mga alternatibong mekanismo ng paglutas ng dispute (ADR) tulad ng pamamagitan o arbitrasyon ay maaaring maging isang mas praktikal at"&amp;" mahusay na paraan sa pagresolba ng mga salungatan sa pagitan ng mga mag-aaral at institusyong pang-edukasyon.
**Naghahanap ng Legal na Patnubay:**
Ang pagkonsulta sa isang abogado na dalubhasa sa batas sa edukasyon at paglilitis sa sibil ay napakahalaga "&amp;"upang masuri ang pagiging posible ng pagsasampa ng kaso, maunawaan ang mga legal na kumplikadong kasangkot, at tuklasin ang mga alternatibong opsyon para sa pagtugon sa pinaghihinalaang katiwalian.
**Tandaan, ito ay isang kumplikadong legal na usapin, at "&amp;"ang impormasyong ibinigay dito ay hindi kapalit ng propesyonal na legal na payo.** Maaaring suriin ng isang kwalipikadong abogado ang mga partikular na kalagayan ng kaso at magbigay ng gabay sa pinakaangkop na paraan ng pagkilos.")</f>
        <v>Sa Pilipinas, ang posibilidad na magsampa ng class-action lawsuit laban sa isang institusyong pang-edukasyon para sa malawakang katiwalian na nakakaapekto sa maraming estudyante ay nakasalalay sa ilang salik at legal na pagsasaalang-alang:
**Mga Kinakailangan sa Paghahabla ng Class Action:**
Ang Pilipinas ay kasalukuyang **walang partikular na batas na namamahala sa class-action lawsuits**. Gayunpaman, pinahihintulutan ng **Rule 19 ng Rules of Court** ang pagsasama ng maraming nagsasakdal na may katulad na mga paghahabol laban sa isang nasasakdal, na posibleng makamit ang ilan sa mga layunin ng isang class action.
**Mga Pangunahing Kinakailangan para sa Joinder:**
* **Maraming nagsasakdal:** Dapat mayroong malaking bilang ng mga indibidwal na may katulad na paghahabol laban sa institusyong pang-edukasyon.
* **Mga karaniwang tanong ng batas at katotohanan:** Ang mga paghahabol ay dapat magbahagi ng mga karaniwang legal na isyu at makatotohanang pangyayari, na ginagawang mahusay at patas ang isang pagsubok.
* **Sapat na representasyon:** Ang isang pinangalanang kinatawan na nagsasakdal ay dapat na maging patas at sapat na kumatawan sa mga interes ng lahat ng iba pang miyembro ng klase.
**Mga Hamon sa Mga Kaso ng Korapsyon sa Pang-edukasyon:**
* **Indibidwal na pinsala:** Ang pagpapatunay ng indibidwal na pinsalang dinaranas ng bawat mag-aaral dahil sa di-umano'y katiwalian ay maaaring maging hamon, lalo na sa malawakang mga kaso.
* **Pagkakaiba-iba ng mga pangyayari:** Maaaring may iba't ibang karanasan at claim ang mga mag-aaral, na posibleng makaapekto sa kinakailangan sa "pagkakatulad".
* **Pagiging kumplikado ng katiwalian:** Ang pagpapakita ng malinaw na sanhi ng ugnayan sa pagitan ng mga di-umano'y tiwaling gawi at partikular na pinsala sa mga mag-aaral ay maaaring maging kumplikado.
**Alternatibong Resolusyon sa Di-pagkakasundo:**
Sa ilang mga kaso, ang paggalugad ng mga alternatibong mekanismo ng paglutas ng dispute (ADR) tulad ng pamamagitan o arbitrasyon ay maaaring maging isang mas praktikal at mahusay na paraan sa pagresolba ng mga salungatan sa pagitan ng mga mag-aaral at institusyong pang-edukasyon.
**Naghahanap ng Legal na Patnubay:**
Ang pagkonsulta sa isang abogado na dalubhasa sa batas sa edukasyon at paglilitis sa sibil ay napakahalaga upang masuri ang pagiging posible ng pagsasampa ng kaso, maunawaan ang mga legal na kumplikadong kasangkot, at tuklasin ang mga alternatibong opsyon para sa pagtugon sa pinaghihinalaang katiwalian.
**Tandaan, ito ay isang kumplikadong legal na usapin, at ang impormasyong ibinigay dito ay hindi kapalit ng propesyonal na legal na payo.** Maaaring suriin ng isang kwalipikadong abogado ang mga partikular na kalagayan ng kaso at magbigay ng gabay sa pinakaangkop na paraan ng pagkilos.</v>
      </c>
      <c r="F1269" s="2">
        <f t="shared" si="1"/>
        <v>0</v>
      </c>
      <c r="G1269" s="2"/>
      <c r="H1269" s="2"/>
      <c r="I1269" s="2"/>
      <c r="J1269" s="2"/>
      <c r="K1269" s="2"/>
      <c r="L1269" s="2"/>
      <c r="M1269" s="2"/>
      <c r="N1269" s="2"/>
      <c r="O1269" s="2"/>
      <c r="P1269" s="2"/>
      <c r="Q1269" s="2"/>
      <c r="R1269" s="2"/>
      <c r="S1269" s="2"/>
      <c r="T1269" s="2"/>
      <c r="U1269" s="2"/>
      <c r="V1269" s="2"/>
      <c r="W1269" s="2"/>
      <c r="X1269" s="2"/>
      <c r="Y1269" s="2"/>
      <c r="Z1269" s="2"/>
      <c r="AA1269" s="2"/>
    </row>
    <row r="1270">
      <c r="A1270" s="1" t="s">
        <v>3356</v>
      </c>
      <c r="B1270" s="1" t="s">
        <v>3705</v>
      </c>
      <c r="C1270" s="1" t="s">
        <v>3706</v>
      </c>
      <c r="D1270" s="2" t="str">
        <f>IFERROR(__xludf.DUMMYFUNCTION("GOOGLETRANSLATE(B1270, ""en"", ""TL"")"),"Paano makatutulong ang legal na aksyon laban sa mga tiwaling institusyong pang-edukasyon sa mas malawak na sistematikong pagbabago sa loob ng sektor ng edukasyon?")</f>
        <v>Paano makatutulong ang legal na aksyon laban sa mga tiwaling institusyong pang-edukasyon sa mas malawak na sistematikong pagbabago sa loob ng sektor ng edukasyon?</v>
      </c>
      <c r="E1270" s="2" t="str">
        <f>IFERROR(__xludf.DUMMYFUNCTION("GOOGLETRANSLATE(C1270, ""en"", ""TL"")"),"Bagama't hindi magagarantiya ng legal na aksyon laban sa mga tiwaling institusyong pang-edukasyon ang mas malawak na sistematikong mga pagbabago sa loob ng sektor ng edukasyon, maaari itong maging **katalyst** para sa mga positibong pag-unlad sa maraming "&amp;"paraan:
**1. Pagpigil at Pananagutan:**
* Ang matagumpay na legal na aksyon ay maaaring **makahadlang** sa iba pang mga institusyon na gumawa ng mga katulad na tiwaling gawi sa pamamagitan ng paglalagay ng isang pamarisan at pagpapakita ng mga kahihinatna"&amp;"n para sa maling gawain.
* Maaari din nitong panagutin ang **mga indibiduwal** para sa kanilang mga aksyon, na posibleng humantong sa pagtanggal sa kanila sa mga posisyon ng kapangyarihan at pagpigil sa kanila na magdulot ng karagdagang pinsala sa sistema"&amp;" ng edukasyon.
**2. Tumaas na Pagsusuri at Transparency:**
* Ang mga legal na paglilitis ay kadalasang nagsasangkot ng **pampublikong pagsisiwalat ng ebidensya** at inilalantad ang kalikasan at lawak ng mga tiwaling gawain sa loob ng institusyon. Maaari n"&amp;"itong iangat ang kamalayan ng publiko at **pagsusuri**, na naglalagay ng presyon sa mga awtoridad at stakeholder na tugunan ang mga sistematikong isyu.
* Ang legal na aksyon ay maaari ding magbigay daan para sa **higit na transparency** sa loob ng sektor "&amp;"ng edukasyon, na nag-uudyok sa mga institusyon na magpatupad ng mas mahigpit na mga regulasyon at pagbutihin ang mga mekanismo ng pananagutan.
**3. Pampublikong Diskurso at Mga Reporma sa Patakaran:**
* Ang mga high-profile na legal na kaso ay maaaring ma"&amp;"g-udyok **pampublikong diskurso** tungkol sa katiwalian sa edukasyon, pagpapataas ng kamalayan sa problema at mga negatibong epekto nito. Maaari itong humantong sa pagtaas ng presyon ng publiko para sa **mga reporma sa patakaran** na naglalayong tugunan a"&amp;"ng mga sistematikong kahinaan at palakasin ang mga pananggalang laban sa katiwalian.
* Ang legal na aksyon ay maaari ding ipaalam sa **mga gumagawa ng patakaran** sa pamamagitan ng pagbibigay ng konkretong ebidensya ng mga partikular na hamon at mga lugar"&amp;" na nangangailangan ng interbensyon sa loob ng sistema ng edukasyon.
**4. Pagbibigay-kapangyarihan sa mga Stakeholder at Building Momentum:**
* Ang matagumpay na legal na aksyon ay maaaring **magbigay ng kapangyarihan** sa iba pang mga stakeholder, gaya n"&amp;"g mga mag-aaral, magulang, at tagapagturo, na magsalita laban sa katiwalian at magsulong ng pagbabago sa loob ng sistema ng edukasyon.
* Maaari din itong **bumuo ng momentum** para sa mas malawak na pagsisikap sa reporma sa pamamagitan ng pagpapakita ng p"&amp;"agiging epektibo ng pagpapanagot sa mga institusyon at ang potensyal para sa positibong pagbabago.
**Gayunpaman, mahalagang kilalanin ang mga limitasyon:**
* Ang legal na aksyon ay isang **kumplikado at mahabang proseso** na maaaring hindi palaging matagu"&amp;"mpay, at ang epekto nito sa sistematikong pagbabago ay maaaring **hindi direkta at unti-unti**.
* Ang pagtugon sa sistematikong katiwalian ay nangangailangan ng **multifaceted approach** na higit pa sa mga indibidwal na legal na kaso at nagsasangkot ng pa"&amp;"kikipagtulungan sa pagitan ng iba't ibang stakeholder, kabilang ang mga ahensya ng gobyerno, civil society organization, at mga institusyong pang-edukasyon mismo.
**Sa pangkalahatan, bagama't hindi masisiguro ng legal na aksyon lamang ang sistematikong pa"&amp;"gbabago, maaari itong maging isang mahalagang kasangkapan sa paglaban sa katiwalian sa edukasyon sa pamamagitan ng pagpapataas ng kamalayan, pagpigil sa maling pag-uugali sa hinaharap, at pag-ambag sa isang mas malawak na kilusan para sa reporma.**")</f>
        <v>Bagama't hindi magagarantiya ng legal na aksyon laban sa mga tiwaling institusyong pang-edukasyon ang mas malawak na sistematikong mga pagbabago sa loob ng sektor ng edukasyon, maaari itong maging **katalyst** para sa mga positibong pag-unlad sa maraming paraan:
**1. Pagpigil at Pananagutan:**
* Ang matagumpay na legal na aksyon ay maaaring **makahadlang** sa iba pang mga institusyon na gumawa ng mga katulad na tiwaling gawi sa pamamagitan ng paglalagay ng isang pamarisan at pagpapakita ng mga kahihinatnan para sa maling gawain.
* Maaari din nitong panagutin ang **mga indibiduwal** para sa kanilang mga aksyon, na posibleng humantong sa pagtanggal sa kanila sa mga posisyon ng kapangyarihan at pagpigil sa kanila na magdulot ng karagdagang pinsala sa sistema ng edukasyon.
**2. Tumaas na Pagsusuri at Transparency:**
* Ang mga legal na paglilitis ay kadalasang nagsasangkot ng **pampublikong pagsisiwalat ng ebidensya** at inilalantad ang kalikasan at lawak ng mga tiwaling gawain sa loob ng institusyon. Maaari nitong iangat ang kamalayan ng publiko at **pagsusuri**, na naglalagay ng presyon sa mga awtoridad at stakeholder na tugunan ang mga sistematikong isyu.
* Ang legal na aksyon ay maaari ding magbigay daan para sa **higit na transparency** sa loob ng sektor ng edukasyon, na nag-uudyok sa mga institusyon na magpatupad ng mas mahigpit na mga regulasyon at pagbutihin ang mga mekanismo ng pananagutan.
**3. Pampublikong Diskurso at Mga Reporma sa Patakaran:**
* Ang mga high-profile na legal na kaso ay maaaring mag-udyok **pampublikong diskurso** tungkol sa katiwalian sa edukasyon, pagpapataas ng kamalayan sa problema at mga negatibong epekto nito. Maaari itong humantong sa pagtaas ng presyon ng publiko para sa **mga reporma sa patakaran** na naglalayong tugunan ang mga sistematikong kahinaan at palakasin ang mga pananggalang laban sa katiwalian.
* Ang legal na aksyon ay maaari ding ipaalam sa **mga gumagawa ng patakaran** sa pamamagitan ng pagbibigay ng konkretong ebidensya ng mga partikular na hamon at mga lugar na nangangailangan ng interbensyon sa loob ng sistema ng edukasyon.
**4. Pagbibigay-kapangyarihan sa mga Stakeholder at Building Momentum:**
* Ang matagumpay na legal na aksyon ay maaaring **magbigay ng kapangyarihan** sa iba pang mga stakeholder, gaya ng mga mag-aaral, magulang, at tagapagturo, na magsalita laban sa katiwalian at magsulong ng pagbabago sa loob ng sistema ng edukasyon.
* Maaari din itong **bumuo ng momentum** para sa mas malawak na pagsisikap sa reporma sa pamamagitan ng pagpapakita ng pagiging epektibo ng pagpapanagot sa mga institusyon at ang potensyal para sa positibong pagbabago.
**Gayunpaman, mahalagang kilalanin ang mga limitasyon:**
* Ang legal na aksyon ay isang **kumplikado at mahabang proseso** na maaaring hindi palaging matagumpay, at ang epekto nito sa sistematikong pagbabago ay maaaring **hindi direkta at unti-unti**.
* Ang pagtugon sa sistematikong katiwalian ay nangangailangan ng **multifaceted approach** na higit pa sa mga indibidwal na legal na kaso at nagsasangkot ng pakikipagtulungan sa pagitan ng iba't ibang stakeholder, kabilang ang mga ahensya ng gobyerno, civil society organization, at mga institusyong pang-edukasyon mismo.
**Sa pangkalahatan, bagama't hindi masisiguro ng legal na aksyon lamang ang sistematikong pagbabago, maaari itong maging isang mahalagang kasangkapan sa paglaban sa katiwalian sa edukasyon sa pamamagitan ng pagpapataas ng kamalayan, pagpigil sa maling pag-uugali sa hinaharap, at pag-ambag sa isang mas malawak na kilusan para sa reporma.**</v>
      </c>
      <c r="F1270" s="2">
        <f t="shared" si="1"/>
        <v>0</v>
      </c>
      <c r="G1270" s="2"/>
      <c r="H1270" s="2"/>
      <c r="I1270" s="2"/>
      <c r="J1270" s="2"/>
      <c r="K1270" s="2"/>
      <c r="L1270" s="2"/>
      <c r="M1270" s="2"/>
      <c r="N1270" s="2"/>
      <c r="O1270" s="2"/>
      <c r="P1270" s="2"/>
      <c r="Q1270" s="2"/>
      <c r="R1270" s="2"/>
      <c r="S1270" s="2"/>
      <c r="T1270" s="2"/>
      <c r="U1270" s="2"/>
      <c r="V1270" s="2"/>
      <c r="W1270" s="2"/>
      <c r="X1270" s="2"/>
      <c r="Y1270" s="2"/>
      <c r="Z1270" s="2"/>
      <c r="AA1270" s="2"/>
    </row>
    <row r="1271">
      <c r="A1271" s="1" t="s">
        <v>3356</v>
      </c>
      <c r="B1271" s="1" t="s">
        <v>3707</v>
      </c>
      <c r="C1271" s="1" t="s">
        <v>3708</v>
      </c>
      <c r="D1271" s="2" t="str">
        <f>IFERROR(__xludf.DUMMYFUNCTION("GOOGLETRANSLATE(B1271, ""en"", ""TL"")"),"Anong mga legal na proteksyon ang umiiral para sa mga tagapagturo na tumatangging lumahok o nag-uulat ng mga kaso ng katiwalian sa loob ng kanilang institusyon?")</f>
        <v>Anong mga legal na proteksyon ang umiiral para sa mga tagapagturo na tumatangging lumahok o nag-uulat ng mga kaso ng katiwalian sa loob ng kanilang institusyon?</v>
      </c>
      <c r="E1271" s="2" t="str">
        <f>IFERROR(__xludf.DUMMYFUNCTION("GOOGLETRANSLATE(C1271, ""en"", ""TL"")"),"Bagama't walang **tahasang legal na proteksyon para lamang sa mga tagapagturo** na tumangging lumahok o mag-ulat ng katiwalian sa loob ng kanilang mga institusyon sa Pilipinas, maaaring mag-alok ang ilang legal na probisyon at prinsipyo ng ilang antas ng "&amp;"proteksyon depende sa partikular na mga pangyayari:
**1. Proteksyon sa Whistleblower:**
* **Expanded Anti-Red Tape Act (RA 11032):** Ang Batas na ito ay nag-aalok ng **limitadong proteksyon para sa mga whistleblower** na nag-uulat ng ilegal, hindi regular"&amp;", o hindi etikal na pag-uugali sa loob ng mga pampublikong ahensya. Habang ang mga tagapagturo sa mga pampublikong paaralan ay maaaring makinabang mula sa mga probisyong ito, ang saklaw at pagiging epektibo ng Batas sa pagprotekta sa mga whistleblower mul"&amp;"a sa paghihiganti ay nananatiling nasa ilalim ng debate.
* **Mga patakaran ng DepEd at CHED:** Ang Department of Education (DepEd) at Commission on Higher Education (CHED) ay nagtatag ng **mga panloob na mekanismo at patakaran** para sa pag-uulat ng malin"&amp;"g pag-uugali at hindi etikal na pag-uugali sa loob ng mga institusyong pang-edukasyon. Ang mga patakarang ito ay maaaring mag-alok ng ilang antas ng proteksyon para sa mga tagapagturo na nag-uulat ng katiwalian sa pamamagitan ng mga naitatag na channel.
*"&amp;"*2. Mga Karapatan sa Konstitusyon:**
* **Kalayaan sa Pagsasalita at Pagpapahayag (Artikulo III, Seksyon 1):** Pinoprotektahan ng karapatang ito ang kakayahan ng mga tagapagturo na magsalita laban sa katiwalian nang walang takot sa paghihiganti. Gayunpaman"&amp;", maaaring hindi ito nag-aalok ng ganap na proteksyon laban sa mga potensyal na kahihinatnan depende sa partikular na sitwasyon at mga aksyon ng employer.
* **Karapatan sa Nararapat na Proseso (Artikulo III, Seksyon 14):** Pinoprotektahan ng karapatang it"&amp;"o ang mga tagapagturo mula sa di-makatwirang pagpapaalis o mga aksyong pandisiplina nang hindi sumusunod sa wastong pamamaraan. Kung ang isang tagapagturo ay nahaharap sa paghihiganti para sa pag-uulat ng katiwalian, maaari nilang hamunin ang hindi patas "&amp;"na pagtrato sa pamamagitan ng mga legal na paraan.
**3. Mga Proteksyon sa Batas sa Paggawa:**
* **Ilegal na Pagtanggal:** Kung ang isang tagapagturo ay **hindi makatarungang tinanggal** dahil sa pagtanggi na lumahok sa katiwalian o pag-uulat nito, maaari "&amp;"silang humingi ng legal na pagbawi sa ilalim ng mga batas sa paggawa. Gayunpaman, ang pagpapatunay na ang pagpapaalis ay dahil lamang sa whistleblowing at hindi sa iba pang mga lehitimong dahilan ang maaaring maging hamon.
* **Hindi Makatarungang Mga Kasa"&amp;"nayan sa Paggawa:** Ang mga tagapagturo na nahaharap sa **diskriminasyon, panliligalig, o iba pang hindi patas na pagtrato** dahil sa kanilang pagtanggi na makisali sa katiwalian o pag-uulat ay maaaring magkaroon ng recourse sa ilalim ng mga probisyon ng "&amp;"hindi patas na kasanayan sa paggawa ng mga nauugnay na batas.
**Mahahalagang Pagsasaalang-alang:**
* **Limitadong saklaw at mga hamon:** Ang kasalukuyang mga legal na proteksyon para sa mga whistleblower at tagapagturo na nahaharap sa paghihiganti para sa"&amp;" pag-uulat ng katiwalian ay **limitado sa saklaw at bisa**. Ang pag-navigate sa mga legal na paraan na ito ay kadalasang nangangailangan ng dalubhasang legal na kadalubhasaan at maingat na pagsasaalang-alang sa mga partikular na pangyayari at potensyal na"&amp;" panganib na kasangkot.
* **Kahalagahan ng ebidensya:** Ang pangangalap ng **kongkretong ebidensya** na nag-uugnay sa paghihiganti sa pagtanggi ng tagapagturo na lumahok sa katiwalian o pag-uulat na ito ay mahalaga para sa epektibong paghahabol sa anumang"&amp;" legal na paghahabol.
* **Mga alternatibong diskarte:** Habang umiiral ang mga legal na opsyon, maaaring hindi palaging ang mga ito ang pinakamabisa o epektibong solusyon. Ang pag-uulat ng katiwalian sa pamamagitan ng mga naitatag na channel, paghingi ng "&amp;"suporta mula sa mga unyon o propesyonal na organisasyon, at pagtataguyod para sa mas malakas na mga proteksyon ng whistleblower ay maaaring maging mahahalagang estratehiya kasabay ng paggalugad ng mga legal na paraan.
**Disclaimer:** Ang impormasyong ito "&amp;"ay para sa pangkalahatang pag-unawa at hindi bumubuo ng legal na payo. Ang pagkonsulta sa isang abogado na dalubhasa sa batas sa paggawa, batas sa edukasyon, o paglilitis sa interes ng publiko ay mahalaga para sa mga partikular na sitwasyon at isang detal"&amp;"yadong pagtatasa ng mga naaangkop na legal na proteksyon, mga potensyal na legal na opsyon, at ang mga panganib at hamon na kasangkot sa pag-navigate sa mga kumplikadong sitwasyong ito. Tandaan, ang pag-navigate sa mga ganitong sitwasyon ay maaaring magin"&amp;"g kumplikado, at ang paghahanap ng propesyonal na legal na patnubay ay lubos na inirerekomenda.")</f>
        <v>Bagama't walang **tahasang legal na proteksyon para lamang sa mga tagapagturo** na tumangging lumahok o mag-ulat ng katiwalian sa loob ng kanilang mga institusyon sa Pilipinas, maaaring mag-alok ang ilang legal na probisyon at prinsipyo ng ilang antas ng proteksyon depende sa partikular na mga pangyayari:
**1. Proteksyon sa Whistleblower:**
* **Expanded Anti-Red Tape Act (RA 11032):** Ang Batas na ito ay nag-aalok ng **limitadong proteksyon para sa mga whistleblower** na nag-uulat ng ilegal, hindi regular, o hindi etikal na pag-uugali sa loob ng mga pampublikong ahensya. Habang ang mga tagapagturo sa mga pampublikong paaralan ay maaaring makinabang mula sa mga probisyong ito, ang saklaw at pagiging epektibo ng Batas sa pagprotekta sa mga whistleblower mula sa paghihiganti ay nananatiling nasa ilalim ng debate.
* **Mga patakaran ng DepEd at CHED:** Ang Department of Education (DepEd) at Commission on Higher Education (CHED) ay nagtatag ng **mga panloob na mekanismo at patakaran** para sa pag-uulat ng maling pag-uugali at hindi etikal na pag-uugali sa loob ng mga institusyong pang-edukasyon. Ang mga patakarang ito ay maaaring mag-alok ng ilang antas ng proteksyon para sa mga tagapagturo na nag-uulat ng katiwalian sa pamamagitan ng mga naitatag na channel.
**2. Mga Karapatan sa Konstitusyon:**
* **Kalayaan sa Pagsasalita at Pagpapahayag (Artikulo III, Seksyon 1):** Pinoprotektahan ng karapatang ito ang kakayahan ng mga tagapagturo na magsalita laban sa katiwalian nang walang takot sa paghihiganti. Gayunpaman, maaaring hindi ito nag-aalok ng ganap na proteksyon laban sa mga potensyal na kahihinatnan depende sa partikular na sitwasyon at mga aksyon ng employer.
* **Karapatan sa Nararapat na Proseso (Artikulo III, Seksyon 14):** Pinoprotektahan ng karapatang ito ang mga tagapagturo mula sa di-makatwirang pagpapaalis o mga aksyong pandisiplina nang hindi sumusunod sa wastong pamamaraan. Kung ang isang tagapagturo ay nahaharap sa paghihiganti para sa pag-uulat ng katiwalian, maaari nilang hamunin ang hindi patas na pagtrato sa pamamagitan ng mga legal na paraan.
**3. Mga Proteksyon sa Batas sa Paggawa:**
* **Ilegal na Pagtanggal:** Kung ang isang tagapagturo ay **hindi makatarungang tinanggal** dahil sa pagtanggi na lumahok sa katiwalian o pag-uulat nito, maaari silang humingi ng legal na pagbawi sa ilalim ng mga batas sa paggawa. Gayunpaman, ang pagpapatunay na ang pagpapaalis ay dahil lamang sa whistleblowing at hindi sa iba pang mga lehitimong dahilan ang maaaring maging hamon.
* **Hindi Makatarungang Mga Kasanayan sa Paggawa:** Ang mga tagapagturo na nahaharap sa **diskriminasyon, panliligalig, o iba pang hindi patas na pagtrato** dahil sa kanilang pagtanggi na makisali sa katiwalian o pag-uulat ay maaaring magkaroon ng recourse sa ilalim ng mga probisyon ng hindi patas na kasanayan sa paggawa ng mga nauugnay na batas.
**Mahahalagang Pagsasaalang-alang:**
* **Limitadong saklaw at mga hamon:** Ang kasalukuyang mga legal na proteksyon para sa mga whistleblower at tagapagturo na nahaharap sa paghihiganti para sa pag-uulat ng katiwalian ay **limitado sa saklaw at bisa**. Ang pag-navigate sa mga legal na paraan na ito ay kadalasang nangangailangan ng dalubhasang legal na kadalubhasaan at maingat na pagsasaalang-alang sa mga partikular na pangyayari at potensyal na panganib na kasangkot.
* **Kahalagahan ng ebidensya:** Ang pangangalap ng **kongkretong ebidensya** na nag-uugnay sa paghihiganti sa pagtanggi ng tagapagturo na lumahok sa katiwalian o pag-uulat na ito ay mahalaga para sa epektibong paghahabol sa anumang legal na paghahabol.
* **Mga alternatibong diskarte:** Habang umiiral ang mga legal na opsyon, maaaring hindi palaging ang mga ito ang pinakamabisa o epektibong solusyon. Ang pag-uulat ng katiwalian sa pamamagitan ng mga naitatag na channel, paghingi ng suporta mula sa mga unyon o propesyonal na organisasyon, at pagtataguyod para sa mas malakas na mga proteksyon ng whistleblower ay maaaring maging mahahalagang estratehiya kasabay ng paggalugad ng mga legal na paraan.
**Disclaimer:** Ang impormasyong ito ay para sa pangkalahatang pag-unawa at hindi bumubuo ng legal na payo. Ang pagkonsulta sa isang abogado na dalubhasa sa batas sa paggawa, batas sa edukasyon, o paglilitis sa interes ng publiko ay mahalaga para sa mga partikular na sitwasyon at isang detalyadong pagtatasa ng mga naaangkop na legal na proteksyon, mga potensyal na legal na opsyon, at ang mga panganib at hamon na kasangkot sa pag-navigate sa mga kumplikadong sitwasyong ito. Tandaan, ang pag-navigate sa mga ganitong sitwasyon ay maaaring maging kumplikado, at ang paghahanap ng propesyonal na legal na patnubay ay lubos na inirerekomenda.</v>
      </c>
      <c r="F1271" s="2">
        <f t="shared" si="1"/>
        <v>0</v>
      </c>
      <c r="G1271" s="2"/>
      <c r="H1271" s="2"/>
      <c r="I1271" s="2"/>
      <c r="J1271" s="2"/>
      <c r="K1271" s="2"/>
      <c r="L1271" s="2"/>
      <c r="M1271" s="2"/>
      <c r="N1271" s="2"/>
      <c r="O1271" s="2"/>
      <c r="P1271" s="2"/>
      <c r="Q1271" s="2"/>
      <c r="R1271" s="2"/>
      <c r="S1271" s="2"/>
      <c r="T1271" s="2"/>
      <c r="U1271" s="2"/>
      <c r="V1271" s="2"/>
      <c r="W1271" s="2"/>
      <c r="X1271" s="2"/>
      <c r="Y1271" s="2"/>
      <c r="Z1271" s="2"/>
      <c r="AA1271" s="2"/>
    </row>
    <row r="1272">
      <c r="A1272" s="1" t="s">
        <v>3356</v>
      </c>
      <c r="B1272" s="1" t="s">
        <v>3709</v>
      </c>
      <c r="C1272" s="1" t="s">
        <v>3710</v>
      </c>
      <c r="D1272" s="2" t="str">
        <f>IFERROR(__xludf.DUMMYFUNCTION("GOOGLETRANSLATE(B1272, ""en"", ""TL"")"),"Maaari bang humingi ng mga injunction ang mga indibidwal upang maiwasan ang patuloy na mga katiwalian sa loob ng isang institusyong pang-edukasyon?")</f>
        <v>Maaari bang humingi ng mga injunction ang mga indibidwal upang maiwasan ang patuloy na mga katiwalian sa loob ng isang institusyong pang-edukasyon?</v>
      </c>
      <c r="E1272" s="2" t="str">
        <f>IFERROR(__xludf.DUMMYFUNCTION("GOOGLETRANSLATE(C1272, ""en"", ""TL"")"),"Sa Pilipinas, ang mga indibidwal **maaaring** ay maaaring humingi ng mga utos upang maiwasan ang patuloy na mga gawaing tiwali sa loob ng isang institusyong pang-edukasyon, **ngunit ang tagumpay ay nakadepende nang husto sa mga partikular na pangyayari at"&amp;" nakakatugon sa mga legal na kinakailangan para sa pagkuha ng isang utos.** Narito ang isang paghahati-hati ng mga kaugnay na pagsasaalang-alang:
**Potensyal na Grounds para sa Injunction:**
* **Malinaw at kasalukuyang panganib:** Kailangan mong ipakita n"&amp;"a ang patuloy na tiwaling gawi ay nagdudulot ng **malinaw at agarang banta** sa iyong mga karapatan o interes, o sa isang pangkat na iyong kinakatawan. Maaaring kabilang dito ang:
* **Direktang pinsala:** Potensyal na pagpapatalsik, pagkawala ng scholarsh"&amp;"ip, o pagmamanipula ng mga marka dahil sa tiwaling gawain.
* **Hindi na mababawi na pinsala:** Pagpapakita na ang pinsalang dulot ng pagsasanay ay hindi maaaring mabayaran nang sapat sa pamamagitan ng iba pang legal na paraan pagkatapos na mangyari ito.
*"&amp;" **Malamang na magtagumpay:** Kailangan mong magpakita ng **makatwirang posibilidad na magtagumpay** sa pagpapatunay ng di-umano'y katiwalian sa korte sa pamamagitan ng ebidensya at mga legal na argumento.
* **Balanse ng mga equities:** Titimbangin ng huk"&amp;"uman ang potensyal na pinsala na maaari mong maranasan kung ang utos ay hindi ipinagkaloob laban sa potensyal na pinsala na maaaring idulot nito sa institusyon kung ito ay ipinagkaloob.
**Mga Hamon at Pagsasaalang-alang:**
* **Pagtugon sa mga kinakailanga"&amp;"n:** Ang pagkuha ng injunction ay isang **high bar** at nangangailangan ng pagtugon sa lahat ng legal na kinakailangan na binanggit sa itaas. Ang pagkonsulta sa isang abogado na dalubhasa sa batas sa edukasyon at mga utos ay mahalaga para sa pagtatasa ng "&amp;"pagiging posible at pagbuo ng isang malakas na kaso.
* **Pagtitipon ng ebidensya:** Ang pagbibigay ng **kongkretong ebidensya** na nag-uugnay sa gawain sa katiwalian at ang potensyal na pinsala nito sa iyong mga karapatan o interes ay mahalaga.
* **Katang"&amp;"ian na sensitibo sa oras:** Ang mga pag-uutos ay karaniwang hinahangad upang **pigilan ang napipintong pinsala**, kaya ang pagkilos kaagad ay mahalaga.
* **Mga alternatibong remedyo:** Ang paggalugad ng iba pang mga paraan tulad ng pag-uulat ng katiwalian"&amp;" sa mga may-katuturang awtoridad o pagpapatuloy ng mga panloob na pamamaraan ng karaingan ay maaaring mas angkop depende sa partikular na sitwasyon.
**Mahahalagang Punto:**
* **Limitadong aplikasyon:** Karaniwang ginagamit ang mga utos upang **pigilan ang"&amp;" mga partikular na pagkilos** o **panatilihin ang status quo** sa halip na tugunan ang mas malawak na sistematikong katiwalian.
* **Tumuon sa mga indibidwal na karapatan:** Bagama't maaaring gamitin ang mga pag-uutos upang protektahan ang mga indibidwal n"&amp;"a karapatan, ang pagtugon sa mas malawak na sistematikong katiwalian ay kadalasang nangangailangan ng sama-samang pagkilos, pagsusumikap sa adbokasiya, at potensyal na mga reporma sa pambatasan.
**Disclaimer:** Ang impormasyong ito ay para sa pangkalahata"&amp;"ng pag-unawa at hindi bumubuo ng legal na payo. Ang pagkonsulta sa isang abogado na dalubhasa sa batas sa edukasyon at mga utos ay napakahalaga para sa mga partikular na sitwasyon at isang detalyadong pagtatasa ng pagiging posible ng pagtupad sa isang uto"&amp;"s, ang posibilidad na magtagumpay, at mga alternatibong legal na opsyon para sa pagtugon sa patuloy na mga gawaing tiwaling sa loob ng isang institusyong pang-edukasyon.")</f>
        <v>Sa Pilipinas, ang mga indibidwal **maaaring** ay maaaring humingi ng mga utos upang maiwasan ang patuloy na mga gawaing tiwali sa loob ng isang institusyong pang-edukasyon, **ngunit ang tagumpay ay nakadepende nang husto sa mga partikular na pangyayari at nakakatugon sa mga legal na kinakailangan para sa pagkuha ng isang utos.** Narito ang isang paghahati-hati ng mga kaugnay na pagsasaalang-alang:
**Potensyal na Grounds para sa Injunction:**
* **Malinaw at kasalukuyang panganib:** Kailangan mong ipakita na ang patuloy na tiwaling gawi ay nagdudulot ng **malinaw at agarang banta** sa iyong mga karapatan o interes, o sa isang pangkat na iyong kinakatawan. Maaaring kabilang dito ang:
* **Direktang pinsala:** Potensyal na pagpapatalsik, pagkawala ng scholarship, o pagmamanipula ng mga marka dahil sa tiwaling gawain.
* **Hindi na mababawi na pinsala:** Pagpapakita na ang pinsalang dulot ng pagsasanay ay hindi maaaring mabayaran nang sapat sa pamamagitan ng iba pang legal na paraan pagkatapos na mangyari ito.
* **Malamang na magtagumpay:** Kailangan mong magpakita ng **makatwirang posibilidad na magtagumpay** sa pagpapatunay ng di-umano'y katiwalian sa korte sa pamamagitan ng ebidensya at mga legal na argumento.
* **Balanse ng mga equities:** Titimbangin ng hukuman ang potensyal na pinsala na maaari mong maranasan kung ang utos ay hindi ipinagkaloob laban sa potensyal na pinsala na maaaring idulot nito sa institusyon kung ito ay ipinagkaloob.
**Mga Hamon at Pagsasaalang-alang:**
* **Pagtugon sa mga kinakailangan:** Ang pagkuha ng injunction ay isang **high bar** at nangangailangan ng pagtugon sa lahat ng legal na kinakailangan na binanggit sa itaas. Ang pagkonsulta sa isang abogado na dalubhasa sa batas sa edukasyon at mga utos ay mahalaga para sa pagtatasa ng pagiging posible at pagbuo ng isang malakas na kaso.
* **Pagtitipon ng ebidensya:** Ang pagbibigay ng **kongkretong ebidensya** na nag-uugnay sa gawain sa katiwalian at ang potensyal na pinsala nito sa iyong mga karapatan o interes ay mahalaga.
* **Katangian na sensitibo sa oras:** Ang mga pag-uutos ay karaniwang hinahangad upang **pigilan ang napipintong pinsala**, kaya ang pagkilos kaagad ay mahalaga.
* **Mga alternatibong remedyo:** Ang paggalugad ng iba pang mga paraan tulad ng pag-uulat ng katiwalian sa mga may-katuturang awtoridad o pagpapatuloy ng mga panloob na pamamaraan ng karaingan ay maaaring mas angkop depende sa partikular na sitwasyon.
**Mahahalagang Punto:**
* **Limitadong aplikasyon:** Karaniwang ginagamit ang mga utos upang **pigilan ang mga partikular na pagkilos** o **panatilihin ang status quo** sa halip na tugunan ang mas malawak na sistematikong katiwalian.
* **Tumuon sa mga indibidwal na karapatan:** Bagama't maaaring gamitin ang mga pag-uutos upang protektahan ang mga indibidwal na karapatan, ang pagtugon sa mas malawak na sistematikong katiwalian ay kadalasang nangangailangan ng sama-samang pagkilos, pagsusumikap sa adbokasiya, at potensyal na mga reporma sa pambatasan.
**Disclaimer:** Ang impormasyong ito ay para sa pangkalahatang pag-unawa at hindi bumubuo ng legal na payo. Ang pagkonsulta sa isang abogado na dalubhasa sa batas sa edukasyon at mga utos ay napakahalaga para sa mga partikular na sitwasyon at isang detalyadong pagtatasa ng pagiging posible ng pagtupad sa isang utos, ang posibilidad na magtagumpay, at mga alternatibong legal na opsyon para sa pagtugon sa patuloy na mga gawaing tiwaling sa loob ng isang institusyong pang-edukasyon.</v>
      </c>
      <c r="F1272" s="2">
        <f t="shared" si="1"/>
        <v>0</v>
      </c>
      <c r="G1272" s="2"/>
      <c r="H1272" s="2"/>
      <c r="I1272" s="2"/>
      <c r="J1272" s="2"/>
      <c r="K1272" s="2"/>
      <c r="L1272" s="2"/>
      <c r="M1272" s="2"/>
      <c r="N1272" s="2"/>
      <c r="O1272" s="2"/>
      <c r="P1272" s="2"/>
      <c r="Q1272" s="2"/>
      <c r="R1272" s="2"/>
      <c r="S1272" s="2"/>
      <c r="T1272" s="2"/>
      <c r="U1272" s="2"/>
      <c r="V1272" s="2"/>
      <c r="W1272" s="2"/>
      <c r="X1272" s="2"/>
      <c r="Y1272" s="2"/>
      <c r="Z1272" s="2"/>
      <c r="AA1272" s="2"/>
    </row>
    <row r="1273">
      <c r="A1273" s="1" t="s">
        <v>3356</v>
      </c>
      <c r="B1273" s="1" t="s">
        <v>3711</v>
      </c>
      <c r="C1273" s="1" t="s">
        <v>3712</v>
      </c>
      <c r="D1273" s="2" t="str">
        <f>IFERROR(__xludf.DUMMYFUNCTION("GOOGLETRANSLATE(B1273, ""en"", ""TL"")"),"Paano naiiba ang pagkakalapat ng mga batas laban sa katiwalian sa mga pampubliko at pribadong institusyong pang-edukasyon?")</f>
        <v>Paano naiiba ang pagkakalapat ng mga batas laban sa katiwalian sa mga pampubliko at pribadong institusyong pang-edukasyon?</v>
      </c>
      <c r="E1273" s="2" t="str">
        <f>IFERROR(__xludf.DUMMYFUNCTION("GOOGLETRANSLATE(C1273, ""en"", ""TL"")"),"## Anti-Corruption Laws in Public vs. Private Educational Institutions (PH Law)
Habang ang parehong pampubliko at pribadong institusyong pang-edukasyon ay naglalayong magbigay ng edukasyon, ang aplikasyon ng mga batas laban sa katiwalian ay naiiba sa ilan"&amp;"g lawak dahil sa kanilang natatanging mga legal na balangkas:
**Mga Pampublikong Institusyong Pang-edukasyon:**
* **Higit na Mahigpit na Pagsusuri:** Ang mga pampublikong institusyon ay napapailalim sa mas mahigpit na pagsusuri at pananagutan sa ilalim ng"&amp;" iba't ibang batas, kabilang ang:
* **Ang Konstitusyon:** Ang Artikulo III, Seksyon 14 ay ginagarantiyahan ang karapatan sa edukasyon, na nagpapahiwatig ng isang tungkulin sa estado na tiyakin na ang paghahatid nito ay malaya sa katiwalian.
* **Republic A"&amp;"ct No. 3019 (Anti-Graft and Corrupt Practices Act):** Nalalapat ang batas na ito sa lahat ng pampublikong opisyal at empleyado, kabilang ang mga nagtatrabaho sa mga pampublikong paaralan at unibersidad. Tinutukoy nito ang iba't ibang gawain ng katiwalian "&amp;"at nagtatakda ng kaukulang mga parusa.
* **Iba pang mga batas:** Ang mga pampublikong institusyon ay napapailalim din sa mga batas tulad ng Code of Conduct and Ethical Standards for Public Officials and Employees (RA 6713) at ang Government Procurement Re"&amp;"form Act (RA 9184), na lalong nagpapalakas ng mga hakbang laban sa katiwalian .
**Mga Pribadong Institusyong Pang-edukasyon:**
* **Limitadong Saklaw ng mga Pampublikong Batas:** Ang mga batas tulad ng Anti-Graft and Corrupt Practices Act ay pangunahing na"&amp;"lalapat sa mga pampublikong opisyal at empleyado. Samakatuwid, ang kanilang direktang aplikasyon sa mga pribadong institusyon at kanilang mga tauhan ay maaaring limitado.
* **Tumuon sa Mga Partikular na Pagkakasala:** Ang mga pagsusumikap laban sa katiwal"&amp;"ian sa mga pribadong institusyon ay kadalasang nakatuon sa pagtugon sa mga partikular na pagkakasala tulad ng:
* **Mga mapanlinlang na gawi:** Maling representasyon ng mga kwalipikasyon, plagiarism, o pagmamanipula ng mga akademikong rekord.
* **Pangungur"&amp;"akot ng mga pondo:** Maling paggamit ng matrikula, donasyon, o iba pang mapagkukunang pinansyal para sa personal na pakinabang.
* **Panunuhol:** Nag-aalok o tumanggap ng mga suhol para sa pagpasok, mga scholarship, o pag-impluwensya sa mga resulta ng akad"&amp;"emiko.
* **Regulation at Self-Governance:** Ang mga pribadong institusyon ay pangunahing pinamamahalaan ng sarili nilang mga charter at regulasyon, na maaaring kabilang ang mga probisyon na tumutugon sa etikal na pag-uugali at pagpigil sa katiwalian.
* **"&amp;"DepEd/CHED Oversight:** DepEd at CHED, ang kani-kanilang regulatory agencies para sa iba't ibang antas ng edukasyon, ay may mga tungkulin sa pangangasiwa sa mga pribadong institusyon at maaaring magpataw ng mga parusa para sa mga paglabag sa kanilang mga "&amp;"regulasyon, kabilang ang mga may kaugnayan sa etikal na pag-uugali at potensyal na katiwalian.
**Mahahalagang Pagsasaalang-alang:**
* **Overlapping Jurisdiction:** Ang ilang partikular na pagkakasala tulad ng panunuhol o pandaraya ay maaaring nasa ilalim "&amp;"pa rin ng saklaw ng mga pangkalahatang batas kriminal na naaangkop sa parehong pampubliko at pribadong indibidwal, anuman ang uri ng institusyon.
* **Mga Paghahabla sa Sibil:** Maaaring tuklasin ng mga indibidwal na sinaktan ng katiwalian sa mga pribadong"&amp;" institusyon ang mga demandang sibil para sa mga pinsala, kahit na maaaring mag-iba ang legal na batayan at rate ng tagumpay depende sa partikular na mga pangyayari.
* **Pagtataguyod at Pampublikong Kamalayan:** Ang pagpapataas ng kamalayan tungkol sa kat"&amp;"iwalian sa parehong pampubliko at pribadong institusyon at pagtataguyod para sa mas matibay na mga regulasyon at etikal na kasanayan ay maaaring mag-ambag sa isang mas malawak na kilusan para sa isang mas etikal na sistema ng edukasyon.
**Disclaimer:** An"&amp;"g impormasyong ito ay para sa pangkalahatang pag-unawa at hindi bumubuo ng legal na payo. Ang pagkonsulta sa isang abogado na dalubhasa sa batas sa edukasyon o paglilitis sa interes ng publiko ay mahalaga para sa mga partikular na sitwasyon at isang detal"&amp;"yadong pagtatasa ng mga naaangkop na batas laban sa katiwalian, mga nauugnay na regulasyon, at mga potensyal na legal na opsyon sa pagtugon sa katiwalian sa loob ng pampubliko o pribadong institusyong pang-edukasyon.")</f>
        <v>## Anti-Corruption Laws in Public vs. Private Educational Institutions (PH Law)
Habang ang parehong pampubliko at pribadong institusyong pang-edukasyon ay naglalayong magbigay ng edukasyon, ang aplikasyon ng mga batas laban sa katiwalian ay naiiba sa ilang lawak dahil sa kanilang natatanging mga legal na balangkas:
**Mga Pampublikong Institusyong Pang-edukasyon:**
* **Higit na Mahigpit na Pagsusuri:** Ang mga pampublikong institusyon ay napapailalim sa mas mahigpit na pagsusuri at pananagutan sa ilalim ng iba't ibang batas, kabilang ang:
* **Ang Konstitusyon:** Ang Artikulo III, Seksyon 14 ay ginagarantiyahan ang karapatan sa edukasyon, na nagpapahiwatig ng isang tungkulin sa estado na tiyakin na ang paghahatid nito ay malaya sa katiwalian.
* **Republic Act No. 3019 (Anti-Graft and Corrupt Practices Act):** Nalalapat ang batas na ito sa lahat ng pampublikong opisyal at empleyado, kabilang ang mga nagtatrabaho sa mga pampublikong paaralan at unibersidad. Tinutukoy nito ang iba't ibang gawain ng katiwalian at nagtatakda ng kaukulang mga parusa.
* **Iba pang mga batas:** Ang mga pampublikong institusyon ay napapailalim din sa mga batas tulad ng Code of Conduct and Ethical Standards for Public Officials and Employees (RA 6713) at ang Government Procurement Reform Act (RA 9184), na lalong nagpapalakas ng mga hakbang laban sa katiwalian .
**Mga Pribadong Institusyong Pang-edukasyon:**
* **Limitadong Saklaw ng mga Pampublikong Batas:** Ang mga batas tulad ng Anti-Graft and Corrupt Practices Act ay pangunahing nalalapat sa mga pampublikong opisyal at empleyado. Samakatuwid, ang kanilang direktang aplikasyon sa mga pribadong institusyon at kanilang mga tauhan ay maaaring limitado.
* **Tumuon sa Mga Partikular na Pagkakasala:** Ang mga pagsusumikap laban sa katiwalian sa mga pribadong institusyon ay kadalasang nakatuon sa pagtugon sa mga partikular na pagkakasala tulad ng:
* **Mga mapanlinlang na gawi:** Maling representasyon ng mga kwalipikasyon, plagiarism, o pagmamanipula ng mga akademikong rekord.
* **Pangungurakot ng mga pondo:** Maling paggamit ng matrikula, donasyon, o iba pang mapagkukunang pinansyal para sa personal na pakinabang.
* **Panunuhol:** Nag-aalok o tumanggap ng mga suhol para sa pagpasok, mga scholarship, o pag-impluwensya sa mga resulta ng akademiko.
* **Regulation at Self-Governance:** Ang mga pribadong institusyon ay pangunahing pinamamahalaan ng sarili nilang mga charter at regulasyon, na maaaring kabilang ang mga probisyon na tumutugon sa etikal na pag-uugali at pagpigil sa katiwalian.
* **DepEd/CHED Oversight:** DepEd at CHED, ang kani-kanilang regulatory agencies para sa iba't ibang antas ng edukasyon, ay may mga tungkulin sa pangangasiwa sa mga pribadong institusyon at maaaring magpataw ng mga parusa para sa mga paglabag sa kanilang mga regulasyon, kabilang ang mga may kaugnayan sa etikal na pag-uugali at potensyal na katiwalian.
**Mahahalagang Pagsasaalang-alang:**
* **Overlapping Jurisdiction:** Ang ilang partikular na pagkakasala tulad ng panunuhol o pandaraya ay maaaring nasa ilalim pa rin ng saklaw ng mga pangkalahatang batas kriminal na naaangkop sa parehong pampubliko at pribadong indibidwal, anuman ang uri ng institusyon.
* **Mga Paghahabla sa Sibil:** Maaaring tuklasin ng mga indibidwal na sinaktan ng katiwalian sa mga pribadong institusyon ang mga demandang sibil para sa mga pinsala, kahit na maaaring mag-iba ang legal na batayan at rate ng tagumpay depende sa partikular na mga pangyayari.
* **Pagtataguyod at Pampublikong Kamalayan:** Ang pagpapataas ng kamalayan tungkol sa katiwalian sa parehong pampubliko at pribadong institusyon at pagtataguyod para sa mas matibay na mga regulasyon at etikal na kasanayan ay maaaring mag-ambag sa isang mas malawak na kilusan para sa isang mas etikal na sistema ng edukasyon.
**Disclaimer:** Ang impormasyong ito ay para sa pangkalahatang pag-unawa at hindi bumubuo ng legal na payo. Ang pagkonsulta sa isang abogado na dalubhasa sa batas sa edukasyon o paglilitis sa interes ng publiko ay mahalaga para sa mga partikular na sitwasyon at isang detalyadong pagtatasa ng mga naaangkop na batas laban sa katiwalian, mga nauugnay na regulasyon, at mga potensyal na legal na opsyon sa pagtugon sa katiwalian sa loob ng pampubliko o pribadong institusyong pang-edukasyon.</v>
      </c>
      <c r="F1273" s="2">
        <f t="shared" si="1"/>
        <v>0</v>
      </c>
      <c r="G1273" s="2"/>
      <c r="H1273" s="2"/>
      <c r="I1273" s="2"/>
      <c r="J1273" s="2"/>
      <c r="K1273" s="2"/>
      <c r="L1273" s="2"/>
      <c r="M1273" s="2"/>
      <c r="N1273" s="2"/>
      <c r="O1273" s="2"/>
      <c r="P1273" s="2"/>
      <c r="Q1273" s="2"/>
      <c r="R1273" s="2"/>
      <c r="S1273" s="2"/>
      <c r="T1273" s="2"/>
      <c r="U1273" s="2"/>
      <c r="V1273" s="2"/>
      <c r="W1273" s="2"/>
      <c r="X1273" s="2"/>
      <c r="Y1273" s="2"/>
      <c r="Z1273" s="2"/>
      <c r="AA1273" s="2"/>
    </row>
    <row r="1274">
      <c r="A1274" s="1" t="s">
        <v>3356</v>
      </c>
      <c r="B1274" s="1" t="s">
        <v>3713</v>
      </c>
      <c r="C1274" s="1" t="s">
        <v>3714</v>
      </c>
      <c r="D1274" s="2" t="str">
        <f>IFERROR(__xludf.DUMMYFUNCTION("GOOGLETRANSLATE(B1274, ""en"", ""TL"")"),"Maaari bang ituloy ng mga indibidwal ang mga kasong kriminal laban sa mga indibidwal na sangkot sa mga katiwalian sa loob ng isang institusyong pang-edukasyon?")</f>
        <v>Maaari bang ituloy ng mga indibidwal ang mga kasong kriminal laban sa mga indibidwal na sangkot sa mga katiwalian sa loob ng isang institusyong pang-edukasyon?</v>
      </c>
      <c r="E1274" s="2" t="str">
        <f>IFERROR(__xludf.DUMMYFUNCTION("GOOGLETRANSLATE(C1274, ""en"", ""TL"")"),"## Pagsusumikap sa mga Kriminal na Kasuhan para sa Korapsyon sa Edukasyon sa Pilipinas (RA at Konstitusyon)
Sa Pilipinas, ang mga indibidwal **ay potensyal na** maghabol ng mga kasong kriminal laban sa mga indibidwal na sangkot sa mga tiwaling gawi sa "&amp;"loob ng isang institusyong pang-edukasyon, **depende sa partikular na katangian ng di-umano'y pagkakasala**. Narito ang isang breakdown ng mga nauugnay na pagsasaalang-alang:
**Potensyal na Mga Pagkasalang Kriminal:**
* **Panunuhol:** Ang pag-aalok,"&amp;" paghingi, o pagtanggap ng mga suhol para sa iba't ibang layunin tulad ng pag-secure ng admission, pag-impluwensya sa mga grado, pagkuha ng trabaho, o pagmamanipula ng mga kontrata ay maaaring kasuhan sa ilalim ng Anti-Graft and Corrupt Practices Act (Rep"&amp;"ublic Act No. 3019).
* **Pangungurakot:** Ang maling paggamit ng mga pampublikong pondo o mapagkukunang ipinagkatiwala sa mga indibidwal sa loob ng institusyong pang-edukasyon para sa personal na pakinabang ay maaaring kasuhan sa ilalim ng Binagong Kodig"&amp;"o Penal (Artikulo 217).
* **Palsipikasyon ng mga pampublikong dokumento:** Ang pagpeke o pagpapalit ng mga opisyal na dokumento tulad ng mga diploma, transcript, o mga rekord sa pananalapi ay maaaring kasuhan sa ilalim ng Binagong Kodigo Penal (Artikulo "&amp;"171).
* **Pangingikil:** Ang pananakot o pagpilit sa mga indibidwal na kumuha ng pera o ari-arian sa pamamagitan ng mga tiwaling gawi ay maaaring kasuhan sa ilalim ng Binagong Kodigo Penal (Artikulo 294).
* **Iba pang mga pagkakasala:** Depende sa parti"&amp;"kular na pagkilos ng katiwalian, ang iba pang mga kriminal na pagkakasala tulad ng pandaraya, malversation ng pampublikong pondo, o mga paglabag sa mga partikular na batas na nauugnay sa mga institusyong pang-edukasyon ay maaaring naaangkop.
**Mahahala"&amp;"gang Pagsasaalang-alang:**
* **Pagtitipon ng ebidensya:** Ang pagbuo ng isang malakas na kaso na may konkretong ebidensya na nag-uugnay sa mga indibidwal sa partikular na kriminal na pagkakasala ay mahalaga para sa matagumpay na pag-uusig. Maaaring kab"&amp;"ilang dito ang mga testimonya ng saksi, ebidensyang dokumentaryo, o mga recording.
* **Paghahain ng mga reklamo:** Maaaring magsampa ng mga reklamong kriminal ang mga indibidwal sa Philippine National Police (PNP), National Bureau of Investigation (NBI),"&amp;" o Office of the Ombudsman, depende sa uri at pagiging kumplikado ng kaso.
* **Legal na representasyon:** Ang pagkonsulta sa isang abogado na dalubhasa sa batas kriminal o paglilitis sa interes ng publiko ay napakahalaga para sa epektibong pag-navigate s"&amp;"a prosesong legal at pag-unawa sa mga partikular na singil na naaangkop sa sitwasyon.
* **Burden of proof:** Ang burden of proof ay nakasalalay sa indibidwal na humahabol sa mga paratang upang ipakita ang pagkakasala ng akusado nang lampas sa makatwirang"&amp;" pagdududa.
**Mga Limitasyon at Hamon:**
* **Pagiging kumplikado ng mga pagsisiyasat:** Ang pagsisiyasat at pag-uusig ng mga kaso ng katiwalian ay maaaring maging kumplikado at nakakaubos ng oras, na nangangailangan ng kadalubhasaan at mapagkukunan."&amp;"
* **Potensyal na paghihiganti:** Ang mga indibidwal na naghahabol ng mga kaso ay maaaring maharap sa potensyal na paghihiganti mula sa mga sangkot sa katiwalian. Ang paghahanap ng legal na gabay at mga sistema ng suporta ay mahalaga.
* **Rate ng tagump"&amp;"ay:** Ang rate ng tagumpay ng mga kriminal na pag-uusig ay maaaring mag-iba depende sa lakas ng ebidensya at sa bisa ng imbestigasyon at proseso ng pag-uusig.
**Mga Alternatibong Pamamaraan:**
* **Pag-uulat ng katiwalian:** Bagama't hindi palaging m"&amp;"agagawa o matagumpay ang pag-uusig ng kriminal, ang pag-uulat ng katiwalian sa mga kaugnay na awtoridad tulad ng DepEd, CHED, o Office of the Ombudsman ay maaaring mag-trigger ng mga pagsisiyasat at posibleng humantong sa mga parusang administratibo laban"&amp;" sa mga indibidwal na kasangkot.
* **Mga demanda sa sibil:** Sa ilang partikular na kaso, maaaring tuklasin ng mga indibidwal ang mga kasong sibil para sa mga pinsalang dulot ng katiwalian, ngunit nangangailangan ito ng mga partikular na legal na batayan"&amp;" at pagpapatunay ng pinsala.
**Disclaimer:** Ang impormasyong ito ay para sa pangkalahatang pag-unawa at hindi bumubuo ng legal na payo. Ang pagkonsulta sa isang abogado na dalubhasa sa batas kriminal, batas sa edukasyon, o paglilitis sa interes ng pub"&amp;"liko ay napakahalaga para sa mga partikular na sitwasyon at isang detalyadong pagtatasa ng mga potensyal na krimen na kasangkot, ang posibilidad ng matagumpay na pag-uusig, at mga alternatibong pamamaraan para sa pagtugon sa katiwalian sa loob ng isang in"&amp;"stitusyong pang-edukasyon.")</f>
        <v>## Pagsusumikap sa mga Kriminal na Kasuhan para sa Korapsyon sa Edukasyon sa Pilipinas (RA at Konstitusyon)
Sa Pilipinas, ang mga indibidwal **ay potensyal na** maghabol ng mga kasong kriminal laban sa mga indibidwal na sangkot sa mga tiwaling gawi sa loob ng isang institusyong pang-edukasyon, **depende sa partikular na katangian ng di-umano'y pagkakasala**. Narito ang isang breakdown ng mga nauugnay na pagsasaalang-alang:
**Potensyal na Mga Pagkasalang Kriminal:**
* **Panunuhol:** Ang pag-aalok, paghingi, o pagtanggap ng mga suhol para sa iba't ibang layunin tulad ng pag-secure ng admission, pag-impluwensya sa mga grado, pagkuha ng trabaho, o pagmamanipula ng mga kontrata ay maaaring kasuhan sa ilalim ng Anti-Graft and Corrupt Practices Act (Republic Act No. 3019).
* **Pangungurakot:** Ang maling paggamit ng mga pampublikong pondo o mapagkukunang ipinagkatiwala sa mga indibidwal sa loob ng institusyong pang-edukasyon para sa personal na pakinabang ay maaaring kasuhan sa ilalim ng Binagong Kodigo Penal (Artikulo 217).
* **Palsipikasyon ng mga pampublikong dokumento:** Ang pagpeke o pagpapalit ng mga opisyal na dokumento tulad ng mga diploma, transcript, o mga rekord sa pananalapi ay maaaring kasuhan sa ilalim ng Binagong Kodigo Penal (Artikulo 171).
* **Pangingikil:** Ang pananakot o pagpilit sa mga indibidwal na kumuha ng pera o ari-arian sa pamamagitan ng mga tiwaling gawi ay maaaring kasuhan sa ilalim ng Binagong Kodigo Penal (Artikulo 294).
* **Iba pang mga pagkakasala:** Depende sa partikular na pagkilos ng katiwalian, ang iba pang mga kriminal na pagkakasala tulad ng pandaraya, malversation ng pampublikong pondo, o mga paglabag sa mga partikular na batas na nauugnay sa mga institusyong pang-edukasyon ay maaaring naaangkop.
**Mahahalagang Pagsasaalang-alang:**
* **Pagtitipon ng ebidensya:** Ang pagbuo ng isang malakas na kaso na may konkretong ebidensya na nag-uugnay sa mga indibidwal sa partikular na kriminal na pagkakasala ay mahalaga para sa matagumpay na pag-uusig. Maaaring kabilang dito ang mga testimonya ng saksi, ebidensyang dokumentaryo, o mga recording.
* **Paghahain ng mga reklamo:** Maaaring magsampa ng mga reklamong kriminal ang mga indibidwal sa Philippine National Police (PNP), National Bureau of Investigation (NBI), o Office of the Ombudsman, depende sa uri at pagiging kumplikado ng kaso.
* **Legal na representasyon:** Ang pagkonsulta sa isang abogado na dalubhasa sa batas kriminal o paglilitis sa interes ng publiko ay napakahalaga para sa epektibong pag-navigate sa prosesong legal at pag-unawa sa mga partikular na singil na naaangkop sa sitwasyon.
* **Burden of proof:** Ang burden of proof ay nakasalalay sa indibidwal na humahabol sa mga paratang upang ipakita ang pagkakasala ng akusado nang lampas sa makatwirang pagdududa.
**Mga Limitasyon at Hamon:**
* **Pagiging kumplikado ng mga pagsisiyasat:** Ang pagsisiyasat at pag-uusig ng mga kaso ng katiwalian ay maaaring maging kumplikado at nakakaubos ng oras, na nangangailangan ng kadalubhasaan at mapagkukunan.
* **Potensyal na paghihiganti:** Ang mga indibidwal na naghahabol ng mga kaso ay maaaring maharap sa potensyal na paghihiganti mula sa mga sangkot sa katiwalian. Ang paghahanap ng legal na gabay at mga sistema ng suporta ay mahalaga.
* **Rate ng tagumpay:** Ang rate ng tagumpay ng mga kriminal na pag-uusig ay maaaring mag-iba depende sa lakas ng ebidensya at sa bisa ng imbestigasyon at proseso ng pag-uusig.
**Mga Alternatibong Pamamaraan:**
* **Pag-uulat ng katiwalian:** Bagama't hindi palaging magagawa o matagumpay ang pag-uusig ng kriminal, ang pag-uulat ng katiwalian sa mga kaugnay na awtoridad tulad ng DepEd, CHED, o Office of the Ombudsman ay maaaring mag-trigger ng mga pagsisiyasat at posibleng humantong sa mga parusang administratibo laban sa mga indibidwal na kasangkot.
* **Mga demanda sa sibil:** Sa ilang partikular na kaso, maaaring tuklasin ng mga indibidwal ang mga kasong sibil para sa mga pinsalang dulot ng katiwalian, ngunit nangangailangan ito ng mga partikular na legal na batayan at pagpapatunay ng pinsala.
**Disclaimer:** Ang impormasyong ito ay para sa pangkalahatang pag-unawa at hindi bumubuo ng legal na payo. Ang pagkonsulta sa isang abogado na dalubhasa sa batas kriminal, batas sa edukasyon, o paglilitis sa interes ng publiko ay napakahalaga para sa mga partikular na sitwasyon at isang detalyadong pagtatasa ng mga potensyal na krimen na kasangkot, ang posibilidad ng matagumpay na pag-uusig, at mga alternatibong pamamaraan para sa pagtugon sa katiwalian sa loob ng isang institusyong pang-edukasyon.</v>
      </c>
      <c r="F1274" s="2">
        <f t="shared" si="1"/>
        <v>0</v>
      </c>
      <c r="G1274" s="2"/>
      <c r="H1274" s="2"/>
      <c r="I1274" s="2"/>
      <c r="J1274" s="2"/>
      <c r="K1274" s="2"/>
      <c r="L1274" s="2"/>
      <c r="M1274" s="2"/>
      <c r="N1274" s="2"/>
      <c r="O1274" s="2"/>
      <c r="P1274" s="2"/>
      <c r="Q1274" s="2"/>
      <c r="R1274" s="2"/>
      <c r="S1274" s="2"/>
      <c r="T1274" s="2"/>
      <c r="U1274" s="2"/>
      <c r="V1274" s="2"/>
      <c r="W1274" s="2"/>
      <c r="X1274" s="2"/>
      <c r="Y1274" s="2"/>
      <c r="Z1274" s="2"/>
      <c r="AA1274" s="2"/>
    </row>
    <row r="1275">
      <c r="A1275" s="1" t="s">
        <v>3356</v>
      </c>
      <c r="B1275" s="1" t="s">
        <v>3715</v>
      </c>
      <c r="C1275" s="1" t="s">
        <v>3716</v>
      </c>
      <c r="D1275" s="2" t="str">
        <f>IFERROR(__xludf.DUMMYFUNCTION("GOOGLETRANSLATE(B1275, ""en"", ""TL"")"),"Paano nakikipag-ugnay ang katiwalian sa edukasyon sa iba pang larangan ng batas, tulad ng batas sa pagtatrabaho o batas sa kontrata?")</f>
        <v>Paano nakikipag-ugnay ang katiwalian sa edukasyon sa iba pang larangan ng batas, tulad ng batas sa pagtatrabaho o batas sa kontrata?</v>
      </c>
      <c r="E1275" s="2" t="str">
        <f>IFERROR(__xludf.DUMMYFUNCTION("GOOGLETRANSLATE(C1275, ""en"", ""TL"")"),"Ang katiwalian sa edukasyon ay maaaring bumalandra sa iba't ibang larangan ng batas sa Pilipinas, kabilang ang:
**Batas sa Pagtatrabaho:**
* **Mga hindi patas na kasanayan sa pagkuha:** Ang pag-aalok ng mga trabaho o promosyon batay sa mga suhol o n"&amp;"epotismo sa halip na merito ay lumalabag sa mga batas sa pagtatrabaho na nagbabawal sa diskriminasyon at hindi patas na mga gawi sa paggawa.
* **Pagsasamantala sa mga empleyado:** Ang sapilitang paggawa, hindi patas na sahod, o hindi ligtas na kondisyon "&amp;"sa pagtatrabaho para sa mga empleyado sa loob ng mga institusyong pang-edukasyon dahil sa mga tiwaling gawi ay maaaring matugunan sa pamamagitan ng mga batas sa paggawa.
**Batas sa Kontrata:**
* **Paglabag sa kontrata:** Kung ang mga indibidwal ay p"&amp;"umasok sa mga kasunduan sa mga institusyong pang-edukasyon para sa mga serbisyo tulad ng edukasyon o pananaliksik, at ang institusyon ay hindi makapagbigay dahil sa katiwalian (hal., pagbibigay ng mga maling kwalipikasyon o nakikibahagi sa mapanlinlang na"&amp;" pananaliksik), maaari silang magdemanda para sa paglabag sa kontrata.
* **Hindi patas na mga tuntunin ng kontrata:** Ang mga kontratang naglalaman ng mga nakatagong bayarin, mapanlinlang na impormasyon, o mga sugnay na nagsasamantala sa mga kahinaan ng "&amp;"mga mag-aaral dahil sa mga tiwaling gawi ay maaaring hamunin sa ilalim ng mga prinsipyo ng batas ng kontrata.
**Ibang Legal na Lugar:**
* **Batas sa intelektwal na ari-arian:** Ang paglabag sa copyright o plagiarism dahil sa katiwalian sa pananaliks"&amp;"ik o mga akademikong publikasyon ay maaaring matugunan sa pamamagitan ng mga batas sa intelektwal na ari-arian.
* **Batas sa buwis:** Ang maling paggamit ng mga pampublikong pondo o pag-iwas sa buwis na nauugnay sa mga institusyong pang-edukasyon ay maaa"&amp;"ring imbestigahan at kasuhan sa ilalim ng mga nauugnay na batas sa buwis.
* **Batas sa Konstitusyon:** Ang katiwalian na lumalabag sa mga pangunahing karapatan na nakasaad sa Konstitusyon, tulad ng karapatan sa edukasyon o pantay na proteksyon, ay posibl"&amp;"eng hamunin sa pamamagitan ng mga legal na paraan na nauugnay sa mga paglabag sa konstitusyon.
**Mga Halimbawa ng Intersection:**
* **Pagrekrut ng guro:** Ang pag-aalok ng mga posisyon sa pagtuturo batay sa mga suhol sa halip na mga kwalipikasyon ay"&amp;" lumalabag sa parehong mga batas laban sa katiwalian at mga prinsipyo ng batas sa trabaho ng meritokrasya at walang diskriminasyon.
* **Mga pekeng diploma:** Ang pagbibigay ng mga pekeng diploma o pagmamanipula ng mga marka dahil sa katiwalian ay bumubuo"&amp;" ng pandaraya, paglabag sa batas ng kontrata sa mga mag-aaral at posibleng makaapekto sa kanilang mga prospect ng trabaho, na naglalabas ng mga alalahanin sa ilalim ng parehong kontrata at mga batas sa paggawa.
**Mahahalagang Pagsasaalang-alang:**
*"&amp;" **Mga partikular na pangyayari:** Ang partikular na legal na intersection ay nakasalalay sa uri ng katiwalian at epekto nito sa mga indibidwal o entity na sangkot.
* **Pagiging kumplikado ng mga kaso:** Ang pag-navigate sa mga legal na intersection ay k"&amp;"adalasang nangangailangan ng kadalubhasaan sa maraming larangan ng batas, at ang pagkonsulta sa mga abogado na nag-specialize sa mga nauugnay na larangan ay mahalaga para sa epektibong legal na aksyon.
* **Pagtitipon ng ebidensya:** Ang pagbuo ng isang m"&amp;"atibay na kaso na may ebidensyang nag-uugnay sa katiwalian sa mga partikular na legal na paglabag ay mahalaga para sa paghahabol ng mga legal na remedyo sa anumang interseksyon na legal na lugar.
**Disclaimer:** Ang impormasyong ito ay para sa pangkala"&amp;"hatang pag-unawa at hindi bumubuo ng legal na payo. Ang pagkonsulta sa isang abogado na dalubhasa sa batas sa edukasyon, batas sa pagtatrabaho, batas sa kontrata, o iba pang nauugnay na legal na mga lugar ay mahalaga para sa mga partikular na sitwasyon at"&amp;" isang detalyadong pagtatasa ng mga legal na intersection sa laro at mga potensyal na legal na opsyon. Tandaan, ang tagumpay ng anumang legal na aksyon ay lubos na nakasalalay sa mga partikular na katotohanan, ebidensya, at naaangkop na mga batas.")</f>
        <v>Ang katiwalian sa edukasyon ay maaaring bumalandra sa iba't ibang larangan ng batas sa Pilipinas, kabilang ang:
**Batas sa Pagtatrabaho:**
* **Mga hindi patas na kasanayan sa pagkuha:** Ang pag-aalok ng mga trabaho o promosyon batay sa mga suhol o nepotismo sa halip na merito ay lumalabag sa mga batas sa pagtatrabaho na nagbabawal sa diskriminasyon at hindi patas na mga gawi sa paggawa.
* **Pagsasamantala sa mga empleyado:** Ang sapilitang paggawa, hindi patas na sahod, o hindi ligtas na kondisyon sa pagtatrabaho para sa mga empleyado sa loob ng mga institusyong pang-edukasyon dahil sa mga tiwaling gawi ay maaaring matugunan sa pamamagitan ng mga batas sa paggawa.
**Batas sa Kontrata:**
* **Paglabag sa kontrata:** Kung ang mga indibidwal ay pumasok sa mga kasunduan sa mga institusyong pang-edukasyon para sa mga serbisyo tulad ng edukasyon o pananaliksik, at ang institusyon ay hindi makapagbigay dahil sa katiwalian (hal., pagbibigay ng mga maling kwalipikasyon o nakikibahagi sa mapanlinlang na pananaliksik), maaari silang magdemanda para sa paglabag sa kontrata.
* **Hindi patas na mga tuntunin ng kontrata:** Ang mga kontratang naglalaman ng mga nakatagong bayarin, mapanlinlang na impormasyon, o mga sugnay na nagsasamantala sa mga kahinaan ng mga mag-aaral dahil sa mga tiwaling gawi ay maaaring hamunin sa ilalim ng mga prinsipyo ng batas ng kontrata.
**Ibang Legal na Lugar:**
* **Batas sa intelektwal na ari-arian:** Ang paglabag sa copyright o plagiarism dahil sa katiwalian sa pananaliksik o mga akademikong publikasyon ay maaaring matugunan sa pamamagitan ng mga batas sa intelektwal na ari-arian.
* **Batas sa buwis:** Ang maling paggamit ng mga pampublikong pondo o pag-iwas sa buwis na nauugnay sa mga institusyong pang-edukasyon ay maaaring imbestigahan at kasuhan sa ilalim ng mga nauugnay na batas sa buwis.
* **Batas sa Konstitusyon:** Ang katiwalian na lumalabag sa mga pangunahing karapatan na nakasaad sa Konstitusyon, tulad ng karapatan sa edukasyon o pantay na proteksyon, ay posibleng hamunin sa pamamagitan ng mga legal na paraan na nauugnay sa mga paglabag sa konstitusyon.
**Mga Halimbawa ng Intersection:**
* **Pagrekrut ng guro:** Ang pag-aalok ng mga posisyon sa pagtuturo batay sa mga suhol sa halip na mga kwalipikasyon ay lumalabag sa parehong mga batas laban sa katiwalian at mga prinsipyo ng batas sa trabaho ng meritokrasya at walang diskriminasyon.
* **Mga pekeng diploma:** Ang pagbibigay ng mga pekeng diploma o pagmamanipula ng mga marka dahil sa katiwalian ay bumubuo ng pandaraya, paglabag sa batas ng kontrata sa mga mag-aaral at posibleng makaapekto sa kanilang mga prospect ng trabaho, na naglalabas ng mga alalahanin sa ilalim ng parehong kontrata at mga batas sa paggawa.
**Mahahalagang Pagsasaalang-alang:**
* **Mga partikular na pangyayari:** Ang partikular na legal na intersection ay nakasalalay sa uri ng katiwalian at epekto nito sa mga indibidwal o entity na sangkot.
* **Pagiging kumplikado ng mga kaso:** Ang pag-navigate sa mga legal na intersection ay kadalasang nangangailangan ng kadalubhasaan sa maraming larangan ng batas, at ang pagkonsulta sa mga abogado na nag-specialize sa mga nauugnay na larangan ay mahalaga para sa epektibong legal na aksyon.
* **Pagtitipon ng ebidensya:** Ang pagbuo ng isang matibay na kaso na may ebidensyang nag-uugnay sa katiwalian sa mga partikular na legal na paglabag ay mahalaga para sa paghahabol ng mga legal na remedyo sa anumang interseksyon na legal na lugar.
**Disclaimer:** Ang impormasyong ito ay para sa pangkalahatang pag-unawa at hindi bumubuo ng legal na payo. Ang pagkonsulta sa isang abogado na dalubhasa sa batas sa edukasyon, batas sa pagtatrabaho, batas sa kontrata, o iba pang nauugnay na legal na mga lugar ay mahalaga para sa mga partikular na sitwasyon at isang detalyadong pagtatasa ng mga legal na intersection sa laro at mga potensyal na legal na opsyon. Tandaan, ang tagumpay ng anumang legal na aksyon ay lubos na nakasalalay sa mga partikular na katotohanan, ebidensya, at naaangkop na mga batas.</v>
      </c>
      <c r="F1275" s="2">
        <f t="shared" si="1"/>
        <v>0</v>
      </c>
      <c r="G1275" s="2"/>
      <c r="H1275" s="2"/>
      <c r="I1275" s="2"/>
      <c r="J1275" s="2"/>
      <c r="K1275" s="2"/>
      <c r="L1275" s="2"/>
      <c r="M1275" s="2"/>
      <c r="N1275" s="2"/>
      <c r="O1275" s="2"/>
      <c r="P1275" s="2"/>
      <c r="Q1275" s="2"/>
      <c r="R1275" s="2"/>
      <c r="S1275" s="2"/>
      <c r="T1275" s="2"/>
      <c r="U1275" s="2"/>
      <c r="V1275" s="2"/>
      <c r="W1275" s="2"/>
      <c r="X1275" s="2"/>
      <c r="Y1275" s="2"/>
      <c r="Z1275" s="2"/>
      <c r="AA1275" s="2"/>
    </row>
    <row r="1276">
      <c r="A1276" s="1" t="s">
        <v>3356</v>
      </c>
      <c r="B1276" s="1" t="s">
        <v>3717</v>
      </c>
      <c r="C1276" s="1" t="s">
        <v>3718</v>
      </c>
      <c r="D1276" s="2" t="str">
        <f>IFERROR(__xludf.DUMMYFUNCTION("GOOGLETRANSLATE(B1276, ""en"", ""TL"")"),"Ano ang papel na ginagampanan ng mga ahensyang nagpapatupad ng batas sa pagsisiyasat at pag-uusig sa katiwalian sa loob ng mga institusyong pang-edukasyon?")</f>
        <v>Ano ang papel na ginagampanan ng mga ahensyang nagpapatupad ng batas sa pagsisiyasat at pag-uusig sa katiwalian sa loob ng mga institusyong pang-edukasyon?</v>
      </c>
      <c r="E1276" s="2" t="str">
        <f>IFERROR(__xludf.DUMMYFUNCTION("GOOGLETRANSLATE(C1276, ""en"", ""TL"")"),"Ang mga ahensyang nagpapatupad ng batas sa Pilipinas ay gumaganap ng **mahalagang papel** sa pag-iimbestiga at pag-uusig ng katiwalian sa loob ng mga institusyong pang-edukasyon, ngunit ang kanilang partikular na pagkakasangkot ay maaaring mag-iba depende"&amp;" sa uri at kalubhaan ng di-umano'y pagkakasala. Narito ang isang breakdown ng kanilang mga tungkulin:
**Philippine National Police (PNP):**
* **Paunang imbestigasyon:** Ang PNP ay madalas na nagsasagawa ng mga paunang pagsisiyasat sa mga ulat ng kat"&amp;"iwalian sa loob ng mga institusyong pang-edukasyon, lalo na kung ang mga ito ay may kinalaman sa mga kriminal na gawain tulad ng panunuhol, pangingikil, o palsipikasyon ng mga dokumento.
* **Pagtitipon ng ebidensya:** Ang mga opisyal ng PNP ay nangongole"&amp;"kta ng ebidensya, nakikipagpanayam sa mga saksi, at naghahanda ng mga file ng kaso para sa potensyal na pagsasampa ng mga kasong kriminal.
* **Kolaborasyon:** Maaaring makipagtulungan ang PNP sa ibang mga ahensya tulad ng DepEd, CHED, o Office of the Omb"&amp;"udsman sa panahon ng mga pagsisiyasat, depende sa partikular na kaso at kadalubhasaan na kinakailangan.
**National Bureau of Investigation (NBI):**
* **Mga kumplikadong pagsisiyasat:** Ang NBI ay humahawak ng mas kumplikadong mga kaso ng katiwalian "&amp;"sa loob ng mga institusyong pang-edukasyon, kadalasang kinasasangkutan ng mga matataas na opisyal o masalimuot na mga pakana na nangangailangan ng mga espesyal na pamamaraan sa pag-iimbestiga.
* **Mga krimen sa pananalapi:** Ang NBI ay nagtataglay ng kad"&amp;"alubhasaan sa pag-iimbestiga sa mga krimen sa pananalapi tulad ng paglustay o maling paggamit ng mga pampublikong pondo, na maaaring may kaugnayan sa ilang mga kaso ng katiwalian sa loob ng mga institusyong pang-edukasyon.
**Iba pang Ahensyang Nagpapat"&amp;"upad ng Batas:**
* **Mga espesyal na ahensya:** Depende sa partikular na katangian ng kaso ng katiwalian, ang iba pang ahensyang nagpapatupad ng batas tulad ng Anti-Money Laundering Council (AMLC) o Commission on Audit (COA) ay maaaring masangkot sa mg"&amp;"a pagsisiyasat na may kaugnayan sa money laundering o maling paggamit ng pampublikong pondo.
**Mga Limitasyon at Pagsasaalang-alang:**
* **Pag-asa sa mga reklamo:** Ang mga ahensyang nagpapatupad ng batas ay karaniwang umaasa sa mga pormal na reklam"&amp;"ong inihahain bago simulan ang mga pagsisiyasat. Itinatampok nito ang kahalagahan ng mga indibidwal na nag-uulat ng pinaghihinalaang katiwalian.
* **Mga hangganan ng hurisdiksyon:** Ang partikular na ahensyang nagpapatupad ng batas na kasangkot ay maaari"&amp;"ng depende sa hurisdiksyon kung saan matatagpuan ang institusyong pang-edukasyon at ang uri ng pinaghihinalaang pagkakasala.
* **Kolaborasyon at koordinasyon:** Ang epektibong pagsisiyasat at pag-uusig sa mga kumplikadong kaso ng katiwalian ay kadalasang"&amp;" nangangailangan ng pakikipagtulungan at koordinasyon sa pagitan ng iba't ibang ahensyang nagpapatupad ng batas at iba pang nauugnay na mga katawan ng pamahalaan.
**Mga Karagdagang Punto:**
* **Opisina ng Ombudsman:** Bagama't hindi mahigpit na ahen"&amp;"syang nagpapatupad ng batas, ang Opisina ng Ombudsman ay nag-iimbestiga at nag-uusig ng mga kaso na kinasasangkutan ng mga pampublikong opisyal, kabilang ang mga nagtatrabaho sa mga institusyong pang-edukasyon. Ang kanilang tungkulin ay maaaring maging ma"&amp;"halaga sa pagtugon sa katiwalian na kinasasangkutan ng mga administratibong tauhan.
* **DepEd/CHED:** Ang mga ahensyang ito ay may sariling internal na imbestigasyon at administrative sanctioning na mekanismo para sa pagtugon sa katiwalian sa loob ng kan"&amp;"i-kanilang hurisdiksyon, ngunit maaari rin silang makipagtulungan sa mga ahensyang nagpapatupad ng batas para sa mga kriminal na imbestigasyon.
**Tandaan:** Malaki ang papel ng mga ahensyang nagpapatupad ng batas sa pagsisiyasat at pag-uusig ng katiwal"&amp;"ian sa loob ng mga institusyong pang-edukasyon, ngunit ang kanilang pagkakasangkot ay kadalasang na-trigger ng **pormal na mga reklamo at nangangailangan ng pakikipagtulungan sa ibang mga stakeholder**. Ang pag-uulat ng pinaghihinalaang katiwalian at pagh"&amp;"ingi ng patnubay mula sa mga kaugnay na ahensya ay mga mahahalagang hakbang sa pagpapanagot sa mga indibidwal at institusyon at pagpapaunlad ng mas etikal na kapaligirang pang-edukasyon.
**Disclaimer:** Ang impormasyong ito ay para sa pangkalahatang pa"&amp;"g-unawa at hindi bumubuo ng legal na payo. Ang pagkonsulta sa isang abogado na dalubhasa sa batas kriminal o paglilitis sa interes ng publiko ay mahalaga para sa mga partikular na sitwasyon at isang detalyadong pagtatasa ng naaangkop na kurso ng aksyon pa"&amp;"ra sa pag-uulat at pagtugon sa katiwalian sa loob ng mga institusyong pang-edukasyon.")</f>
        <v>Ang mga ahensyang nagpapatupad ng batas sa Pilipinas ay gumaganap ng **mahalagang papel** sa pag-iimbestiga at pag-uusig ng katiwalian sa loob ng mga institusyong pang-edukasyon, ngunit ang kanilang partikular na pagkakasangkot ay maaaring mag-iba depende sa uri at kalubhaan ng di-umano'y pagkakasala. Narito ang isang breakdown ng kanilang mga tungkulin:
**Philippine National Police (PNP):**
* **Paunang imbestigasyon:** Ang PNP ay madalas na nagsasagawa ng mga paunang pagsisiyasat sa mga ulat ng katiwalian sa loob ng mga institusyong pang-edukasyon, lalo na kung ang mga ito ay may kinalaman sa mga kriminal na gawain tulad ng panunuhol, pangingikil, o palsipikasyon ng mga dokumento.
* **Pagtitipon ng ebidensya:** Ang mga opisyal ng PNP ay nangongolekta ng ebidensya, nakikipagpanayam sa mga saksi, at naghahanda ng mga file ng kaso para sa potensyal na pagsasampa ng mga kasong kriminal.
* **Kolaborasyon:** Maaaring makipagtulungan ang PNP sa ibang mga ahensya tulad ng DepEd, CHED, o Office of the Ombudsman sa panahon ng mga pagsisiyasat, depende sa partikular na kaso at kadalubhasaan na kinakailangan.
**National Bureau of Investigation (NBI):**
* **Mga kumplikadong pagsisiyasat:** Ang NBI ay humahawak ng mas kumplikadong mga kaso ng katiwalian sa loob ng mga institusyong pang-edukasyon, kadalasang kinasasangkutan ng mga matataas na opisyal o masalimuot na mga pakana na nangangailangan ng mga espesyal na pamamaraan sa pag-iimbestiga.
* **Mga krimen sa pananalapi:** Ang NBI ay nagtataglay ng kadalubhasaan sa pag-iimbestiga sa mga krimen sa pananalapi tulad ng paglustay o maling paggamit ng mga pampublikong pondo, na maaaring may kaugnayan sa ilang mga kaso ng katiwalian sa loob ng mga institusyong pang-edukasyon.
**Iba pang Ahensyang Nagpapatupad ng Batas:**
* **Mga espesyal na ahensya:** Depende sa partikular na katangian ng kaso ng katiwalian, ang iba pang ahensyang nagpapatupad ng batas tulad ng Anti-Money Laundering Council (AMLC) o Commission on Audit (COA) ay maaaring masangkot sa mga pagsisiyasat na may kaugnayan sa money laundering o maling paggamit ng pampublikong pondo.
**Mga Limitasyon at Pagsasaalang-alang:**
* **Pag-asa sa mga reklamo:** Ang mga ahensyang nagpapatupad ng batas ay karaniwang umaasa sa mga pormal na reklamong inihahain bago simulan ang mga pagsisiyasat. Itinatampok nito ang kahalagahan ng mga indibidwal na nag-uulat ng pinaghihinalaang katiwalian.
* **Mga hangganan ng hurisdiksyon:** Ang partikular na ahensyang nagpapatupad ng batas na kasangkot ay maaaring depende sa hurisdiksyon kung saan matatagpuan ang institusyong pang-edukasyon at ang uri ng pinaghihinalaang pagkakasala.
* **Kolaborasyon at koordinasyon:** Ang epektibong pagsisiyasat at pag-uusig sa mga kumplikadong kaso ng katiwalian ay kadalasang nangangailangan ng pakikipagtulungan at koordinasyon sa pagitan ng iba't ibang ahensyang nagpapatupad ng batas at iba pang nauugnay na mga katawan ng pamahalaan.
**Mga Karagdagang Punto:**
* **Opisina ng Ombudsman:** Bagama't hindi mahigpit na ahensyang nagpapatupad ng batas, ang Opisina ng Ombudsman ay nag-iimbestiga at nag-uusig ng mga kaso na kinasasangkutan ng mga pampublikong opisyal, kabilang ang mga nagtatrabaho sa mga institusyong pang-edukasyon. Ang kanilang tungkulin ay maaaring maging mahalaga sa pagtugon sa katiwalian na kinasasangkutan ng mga administratibong tauhan.
* **DepEd/CHED:** Ang mga ahensyang ito ay may sariling internal na imbestigasyon at administrative sanctioning na mekanismo para sa pagtugon sa katiwalian sa loob ng kani-kanilang hurisdiksyon, ngunit maaari rin silang makipagtulungan sa mga ahensyang nagpapatupad ng batas para sa mga kriminal na imbestigasyon.
**Tandaan:** Malaki ang papel ng mga ahensyang nagpapatupad ng batas sa pagsisiyasat at pag-uusig ng katiwalian sa loob ng mga institusyong pang-edukasyon, ngunit ang kanilang pagkakasangkot ay kadalasang na-trigger ng **pormal na mga reklamo at nangangailangan ng pakikipagtulungan sa ibang mga stakeholder**. Ang pag-uulat ng pinaghihinalaang katiwalian at paghingi ng patnubay mula sa mga kaugnay na ahensya ay mga mahahalagang hakbang sa pagpapanagot sa mga indibidwal at institusyon at pagpapaunlad ng mas etikal na kapaligirang pang-edukasyon.
**Disclaimer:** Ang impormasyong ito ay para sa pangkalahatang pag-unawa at hindi bumubuo ng legal na payo. Ang pagkonsulta sa isang abogado na dalubhasa sa batas kriminal o paglilitis sa interes ng publiko ay mahalaga para sa mga partikular na sitwasyon at isang detalyadong pagtatasa ng naaangkop na kurso ng aksyon para sa pag-uulat at pagtugon sa katiwalian sa loob ng mga institusyong pang-edukasyon.</v>
      </c>
      <c r="F1276" s="2">
        <f t="shared" si="1"/>
        <v>0</v>
      </c>
      <c r="G1276" s="2"/>
      <c r="H1276" s="2"/>
      <c r="I1276" s="2"/>
      <c r="J1276" s="2"/>
      <c r="K1276" s="2"/>
      <c r="L1276" s="2"/>
      <c r="M1276" s="2"/>
      <c r="N1276" s="2"/>
      <c r="O1276" s="2"/>
      <c r="P1276" s="2"/>
      <c r="Q1276" s="2"/>
      <c r="R1276" s="2"/>
      <c r="S1276" s="2"/>
      <c r="T1276" s="2"/>
      <c r="U1276" s="2"/>
      <c r="V1276" s="2"/>
      <c r="W1276" s="2"/>
      <c r="X1276" s="2"/>
      <c r="Y1276" s="2"/>
      <c r="Z1276" s="2"/>
      <c r="AA1276" s="2"/>
    </row>
    <row r="1277">
      <c r="A1277" s="1" t="s">
        <v>3356</v>
      </c>
      <c r="B1277" s="1" t="s">
        <v>3719</v>
      </c>
      <c r="C1277" s="1" t="s">
        <v>3720</v>
      </c>
      <c r="D1277" s="2" t="str">
        <f>IFERROR(__xludf.DUMMYFUNCTION("GOOGLETRANSLATE(B1277, ""en"", ""TL"")"),"Maaari bang humingi ng ligal ang mga indibidwal kung naniniwala sila na ang kanilang mga kwalipikasyong pang-akademiko ay nabawasan ang halaga dahil sa malawakang katiwalian sa loob ng kanilang institusyon?")</f>
        <v>Maaari bang humingi ng ligal ang mga indibidwal kung naniniwala sila na ang kanilang mga kwalipikasyong pang-akademiko ay nabawasan ang halaga dahil sa malawakang katiwalian sa loob ng kanilang institusyon?</v>
      </c>
      <c r="E1277" s="2" t="str">
        <f>IFERROR(__xludf.DUMMYFUNCTION("GOOGLETRANSLATE(C1277, ""en"", ""TL"")"),"Sa Pilipinas, ang paghingi ng **direktang legal na kabayaran para lamang sa pagpapababa ng mga kwalipikasyong pang-akademiko** dahil sa malawakang katiwalian sa loob ng isang institusyong pang-edukasyon ay maaaring maging mahirap. Gayunpaman, maaaring may"&amp;" kaugnayan ang ilang legal na paraan at pagsasaalang-alang depende sa partikular na mga pangyayari:
**Mga Hamon:**
* **Kahirapang mag-attribute ng pinsala:** Ang pagtatatag ng malinaw at direktang ugnayan sa pagitan ng katiwalian ng institusyon at ang par"&amp;"tikular na pagpapababa ng halaga ng iyong mga kwalipikasyon ay maaaring maging kumplikado.
* **Limitadong legal na pagkilala:** Pangunahing nakatuon ang batas ng Pilipinas sa pagbabayad para sa mga konkreto at mabibilang na pinsala tulad ng mga pagkalugi "&amp;"sa pananalapi o pisikal na pinsala. Ang pagpapababa sa mga kwalipikasyong pang-akademiko, kahit na posibleng makapinsala sa mga prospect at reputasyon ng karera, ay maaaring hindi madaling maisalin sa mga kabayarang pinsala sa ilalim ng kasalukuyang mga l"&amp;"egal na balangkas.
**Mga Potensyal na Avenue:**
* **Hindi direktang legal na mga remedyo:** Bagama't maaaring mahirap ang direktang kabayaran para sa pinsala sa reputasyon, maaaring may kaugnayan ang paggalugad ng iba pang mga legal na opsyon depende sa p"&amp;"artikular na sitwasyon:
* **Paglabag sa kontrata o tungkulin ng fiduciary:** Kung ang katiwalian ay nagpapakitang nagdulot ng pinsala sa pamamagitan ng paglabag sa mga partikular na kasunduan o tungkulin na dapat bayaran sa iyo (hal., kasunduan sa iskolar"&amp;"ship o pagbibigay ng de-kalidad na edukasyon), maaari kang magsagawa ng legal na aksyon para sa paglabag.
* **Mga pag-aangkin ng tort:** Kung ang katiwalian ay humantong sa mga partikular na pagkakataon ng diskriminasyon, panliligalig, o iba pang sinadyan"&amp;"g gawaing nagdudulot ng pinsala sa iyong reputasyon o mga prospect sa karera, ang pag-explore ng mga claim sa tort tulad ng sinadyang pagdurugo ng emosyonal na pagkabalisa ay maaaring posible, ngunit patunayan ang mga elementong ito maaaring maging hamon."&amp;"
**Mahahalagang Pagsasaalang-alang:**
* **Pagtitipon ng ebidensya:** Ang pagbuo ng isang matibay na kaso na may ebidensyang nag-uugnay sa katiwalian sa pagpapababa ng halaga ng iyong mga kwalipikasyon at anumang resulta ng pinsala ay mahalaga para sa anum"&amp;"ang legal na paraan.
* **Burden of proof:** Ang pasanin ng patunay ay nasa iyo upang ipakita ang katiwalian, ang epekto nito sa iyong mga kwalipikasyon, at ang nagresultang pinsala sa iyong karera o reputasyon.
* **Pagiging kumplikado at mga gastos:** Ang"&amp;" legal na aksyon ay maaaring magtagal, magastos, at nangangailangan ng espesyal na legal na kadalubhasaan sa batas sa edukasyon at sibil na paglilitis.
**Mga Alternatibong Pamamaraan:**
* **Pag-uulat ng katiwalian:** Ang pag-uulat ng katiwalian sa DepEd/C"&amp;"HED, mga kaugnay na ahensya tulad ng Opisina ng Ombudsman, o mga mekanismo ng whistleblowing ay maaaring mag-trigger ng mga pagsisiyasat at posibleng humantong sa pananagutan para sa institusyon, na potensyal na makinabang sa hinaharap na mga mag-aaral at"&amp;" maprotektahan ang halaga ng kanilang mga kwalipikasyon.
* **Mga pagsusumikap sa adbokasiya:** Ang pagsali sa mga pagsusumikap sa pagtataguyod upang itaas ang kamalayan tungkol sa katiwalian sa edukasyon at pagtulak ng mga reporma ay maaaring mag-ambag sa"&amp;" mga sistematikong pagbabago na pumipigil sa katulad na pagpapababa ng mga kwalipikasyon sa hinaharap.
**Disclaimer:** Ang impormasyong ito ay para sa pangkalahatang pag-unawa at hindi bumubuo ng legal na payo. Ang pagkonsulta sa isang abogado na dalubhas"&amp;"a sa batas sa edukasyon o paglilitis sa interes ng publiko ay mahalaga para sa isang detalyadong pagtatasa ng iyong partikular na sitwasyon, mga potensyal na legal na opsyon, at ang posibilidad na magtagumpay sa anumang legal na aksyon batay sa iyong nata"&amp;"tanging mga kalagayan at naaangkop na mga batas. Tandaan, ang tagumpay ng anumang legal na paghahabol ay lubos na nakadepende sa mga partikular na katotohanan at ebidensya na sumusuporta sa iyong kaso.")</f>
        <v>Sa Pilipinas, ang paghingi ng **direktang legal na kabayaran para lamang sa pagpapababa ng mga kwalipikasyong pang-akademiko** dahil sa malawakang katiwalian sa loob ng isang institusyong pang-edukasyon ay maaaring maging mahirap. Gayunpaman, maaaring may kaugnayan ang ilang legal na paraan at pagsasaalang-alang depende sa partikular na mga pangyayari:
**Mga Hamon:**
* **Kahirapang mag-attribute ng pinsala:** Ang pagtatatag ng malinaw at direktang ugnayan sa pagitan ng katiwalian ng institusyon at ang partikular na pagpapababa ng halaga ng iyong mga kwalipikasyon ay maaaring maging kumplikado.
* **Limitadong legal na pagkilala:** Pangunahing nakatuon ang batas ng Pilipinas sa pagbabayad para sa mga konkreto at mabibilang na pinsala tulad ng mga pagkalugi sa pananalapi o pisikal na pinsala. Ang pagpapababa sa mga kwalipikasyong pang-akademiko, kahit na posibleng makapinsala sa mga prospect at reputasyon ng karera, ay maaaring hindi madaling maisalin sa mga kabayarang pinsala sa ilalim ng kasalukuyang mga legal na balangkas.
**Mga Potensyal na Avenue:**
* **Hindi direktang legal na mga remedyo:** Bagama't maaaring mahirap ang direktang kabayaran para sa pinsala sa reputasyon, maaaring may kaugnayan ang paggalugad ng iba pang mga legal na opsyon depende sa partikular na sitwasyon:
* **Paglabag sa kontrata o tungkulin ng fiduciary:** Kung ang katiwalian ay nagpapakitang nagdulot ng pinsala sa pamamagitan ng paglabag sa mga partikular na kasunduan o tungkulin na dapat bayaran sa iyo (hal., kasunduan sa iskolarship o pagbibigay ng de-kalidad na edukasyon), maaari kang magsagawa ng legal na aksyon para sa paglabag.
* **Mga pag-aangkin ng tort:** Kung ang katiwalian ay humantong sa mga partikular na pagkakataon ng diskriminasyon, panliligalig, o iba pang sinadyang gawaing nagdudulot ng pinsala sa iyong reputasyon o mga prospect sa karera, ang pag-explore ng mga claim sa tort tulad ng sinadyang pagdurugo ng emosyonal na pagkabalisa ay maaaring posible, ngunit patunayan ang mga elementong ito maaaring maging hamon.
**Mahahalagang Pagsasaalang-alang:**
* **Pagtitipon ng ebidensya:** Ang pagbuo ng isang matibay na kaso na may ebidensyang nag-uugnay sa katiwalian sa pagpapababa ng halaga ng iyong mga kwalipikasyon at anumang resulta ng pinsala ay mahalaga para sa anumang legal na paraan.
* **Burden of proof:** Ang pasanin ng patunay ay nasa iyo upang ipakita ang katiwalian, ang epekto nito sa iyong mga kwalipikasyon, at ang nagresultang pinsala sa iyong karera o reputasyon.
* **Pagiging kumplikado at mga gastos:** Ang legal na aksyon ay maaaring magtagal, magastos, at nangangailangan ng espesyal na legal na kadalubhasaan sa batas sa edukasyon at sibil na paglilitis.
**Mga Alternatibong Pamamaraan:**
* **Pag-uulat ng katiwalian:** Ang pag-uulat ng katiwalian sa DepEd/CHED, mga kaugnay na ahensya tulad ng Opisina ng Ombudsman, o mga mekanismo ng whistleblowing ay maaaring mag-trigger ng mga pagsisiyasat at posibleng humantong sa pananagutan para sa institusyon, na potensyal na makinabang sa hinaharap na mga mag-aaral at maprotektahan ang halaga ng kanilang mga kwalipikasyon.
* **Mga pagsusumikap sa adbokasiya:** Ang pagsali sa mga pagsusumikap sa pagtataguyod upang itaas ang kamalayan tungkol sa katiwalian sa edukasyon at pagtulak ng mga reporma ay maaaring mag-ambag sa mga sistematikong pagbabago na pumipigil sa katulad na pagpapababa ng mga kwalipikasyon sa hinaharap.
**Disclaimer:** Ang impormasyong ito ay para sa pangkalahatang pag-unawa at hindi bumubuo ng legal na payo. Ang pagkonsulta sa isang abogado na dalubhasa sa batas sa edukasyon o paglilitis sa interes ng publiko ay mahalaga para sa isang detalyadong pagtatasa ng iyong partikular na sitwasyon, mga potensyal na legal na opsyon, at ang posibilidad na magtagumpay sa anumang legal na aksyon batay sa iyong natatanging mga kalagayan at naaangkop na mga batas. Tandaan, ang tagumpay ng anumang legal na paghahabol ay lubos na nakadepende sa mga partikular na katotohanan at ebidensya na sumusuporta sa iyong kaso.</v>
      </c>
      <c r="F1277" s="2">
        <f t="shared" si="1"/>
        <v>0</v>
      </c>
      <c r="G1277" s="2"/>
      <c r="H1277" s="2"/>
      <c r="I1277" s="2"/>
      <c r="J1277" s="2"/>
      <c r="K1277" s="2"/>
      <c r="L1277" s="2"/>
      <c r="M1277" s="2"/>
      <c r="N1277" s="2"/>
      <c r="O1277" s="2"/>
      <c r="P1277" s="2"/>
      <c r="Q1277" s="2"/>
      <c r="R1277" s="2"/>
      <c r="S1277" s="2"/>
      <c r="T1277" s="2"/>
      <c r="U1277" s="2"/>
      <c r="V1277" s="2"/>
      <c r="W1277" s="2"/>
      <c r="X1277" s="2"/>
      <c r="Y1277" s="2"/>
      <c r="Z1277" s="2"/>
      <c r="AA1277" s="2"/>
    </row>
    <row r="1278">
      <c r="A1278" s="1" t="s">
        <v>3356</v>
      </c>
      <c r="B1278" s="1" t="s">
        <v>3721</v>
      </c>
      <c r="C1278" s="1" t="s">
        <v>3722</v>
      </c>
      <c r="D1278" s="2" t="str">
        <f>IFERROR(__xludf.DUMMYFUNCTION("GOOGLETRANSLATE(B1278, ""en"", ""TL"")"),"Paano mapoprotektahan ng mga indibidwal ang kanilang sarili nang legal kung sila ay pinipilit na makisali sa mga tiwaling aktibidad sa loob ng isang institusyong pang-edukasyon?")</f>
        <v>Paano mapoprotektahan ng mga indibidwal ang kanilang sarili nang legal kung sila ay pinipilit na makisali sa mga tiwaling aktibidad sa loob ng isang institusyong pang-edukasyon?</v>
      </c>
      <c r="E1278" s="2" t="str">
        <f>IFERROR(__xludf.DUMMYFUNCTION("GOOGLETRANSLATE(C1278, ""en"", ""TL"")"),"## Protektahan ang Iyong Sarili mula sa Panggigipit na Masangkot sa Korapsyon sa Edukasyon sa Pilipinas (PH Law)
Habang nahaharap sa panggigipit na makisali sa mga tiwaling aktibidad sa loob ng isang institusyong pang-edukasyon ay maaaring maging isang ma"&amp;"hirap na sitwasyon, maraming legal at di-legal na mga hakbang ang maaaring makatulong na protektahan ang iyong sarili sa Pilipinas:
**1. Tumangging Makilahok:**
* **Igiit ang iyong karapatang tumanggi:** Mayroon kang legal at etikal na karapatang tumanggi"&amp;" na lumahok sa anumang aktibidad na pinaniniwalaan mong tiwali, mapanlinlang, o hindi etikal. * **Idokumento ang panggigipit:** Panatilihin ang mga talaan ng anumang mga pagkakataon kung saan ka pinipilit, kabilang ang mga petsa, oras, saksi, at anumang p"&amp;"artikular na tagubilin o kahilingang ginawa. Ito ay maaaring maging mahalaga para sa hinaharap na ebidensya kung kinakailangan.
**2. Iulat ang Presyon:**
* **Mga mekanismo ng panloob na pag-uulat:** Gamitin ang mga itinatag na channel ng institusyon para "&amp;"sa pag-uulat ng maling pag-uugali o hindi etikal na pag-uugali. Maghanap ng mga hotline, mga form ng reklamo, o mga itinalagang opisyal upang iulat ang panggigipit na iyong kinakaharap.
* **Mga panlabas na ahensya sa pag-uulat:** Iulat ang panggigipit sa "&amp;"mga nauugnay na panlabas na ahensya depende sa uri ng katiwalian. Maaaring kabilang dito ang:
* **DepEd o CHED:** Depende sa antas ng edukasyon, ang pag-uulat sa may-katuturang ahensya ay maaaring mag-trigger ng mga pagsisiyasat at potensyal na parusa lab"&amp;"an sa mga indibidwal na sangkot sa pagdiin sa iyo.
* **Civil Service Commission (CSC):** Kung ang panggigipit ay nagsasangkot ng mga pampublikong opisyal o empleyado, maaari kang magsampa ng reklamo sa CSC para sa imbestigasyon at posibleng aksyong pandis"&amp;"iplina.
* **Opisina ng Ombudsman:** Kung ang katiwalian ay nagsasangkot ng mga matataas na opisyal o kumplikadong mga pakana, isaalang-alang ang paghahain ng reklamo sa Opisina ng Ombudsman.
**3. Humingi ng legal na tulong:**
* **Kumonsulta sa isang aboga"&amp;"do:** Ang pagkonsulta sa isang abogado na dalubhasa sa batas sa edukasyon o paglilitis sa interes ng publiko ay maaaring magbigay ng mahalagang gabay sa iyong mga karapatan, mga legal na opsyon, at epektibong pag-navigate sa proseso ng pag-uulat.
**4. Isa"&amp;"alang-alang ang mga di-legal na hakbang:**
* **Magtipon ng suporta:** Humingi ng suporta mula sa mga pinagkakatiwalaang indibidwal tulad ng pamilya, mga kaibigan, o mga organisasyon ng mag-aaral na maaaring mag-alok ng emosyonal na suporta at potensyal na"&amp;" kumilos bilang mga saksi kung kinakailangan.
* **Pampublikong kamalayan:** Sa matinding mga kaso, isaalang-alang ang pagpapataas ng kamalayan sa pamamagitan ng mga hindi kilalang online na platform o media outlet, ngunit mag-ingat at tiyaking tumpak at m"&amp;"abe-verify ang impormasyon.
**5. Gamitin ang mga legal na proteksyon:**
* **Proteksyon ng whistleblower:** Ang mga batas ng Pilipinas, tulad ng Expanded Anti-Red Tape Act (RA 11032), ay nag-aalok ng ilang proteksyon para sa mga whistleblower na nag-uulat "&amp;"ng ilegal o hindi etikal na pag-uugali. Gayunpaman, ang pag-unawa sa mga partikular na limitasyon at pamamaraan para sa pag-claim ng mga proteksyong ito ay napakahalaga.
**Mahahalagang Pagsasaalang-alang:**
* **Pagtitipon ng ebidensya:** Ang pagpapanatili"&amp;" ng mga detalyadong rekord ng panggigipit na kinakaharap mo, kabilang ang mga petsa, oras, saksi, at anumang partikular na kahilingan o tagubilin, ay mahalaga para sa anumang mga aksyon o legal na paglilitis sa hinaharap.
* **Pagiging Kumpidensyal:** Ang "&amp;"pagbabalanse sa pangangailangang iulat ang pressure sa pagprotekta sa sarili mong kaligtasan at hindi pagkakilala ay maaaring maging mahirap. Humingi ng patnubay mula sa isang abogado o mga pinagkakatiwalaang indibidwal sa epektibong pag-navigate sa aspet"&amp;"ong ito.
* **Mga potensyal na kahihinatnan:** Ang pag-uulat ng katiwalian ay maaaring humantong sa paghihiganti mula sa mga sangkot. Maging handa na gamitin ang mga magagamit na legal na proteksyon at humingi ng mga sistema ng suporta upang matugunan ang "&amp;"anumang mga potensyal na epekto.
**Disclaimer:** Ang impormasyong ito ay para sa pangkalahatang pag-unawa at hindi bumubuo ng legal na payo. Ang pagkonsulta sa isang abogado na dalubhasa sa batas sa edukasyon o paglilitis sa interes ng publiko ay mahalaga"&amp;" para sa mga partikular na sitwasyon at isang detalyadong pagtatasa ng iyong mga legal na opsyon at ang pinakaepektibong paraan ng pagkilos upang protektahan ang iyong sarili habang itinataguyod ang etikal na pag-uugali sa loob ng institusyong pang-edukas"&amp;"yon. Tandaan, ang pag-navigate sa mga ganitong sitwasyon ay maaaring maging kumplikado, at ang paghahanap ng propesyonal na legal na patnubay ay lubos na inirerekomenda.")</f>
        <v>## Protektahan ang Iyong Sarili mula sa Panggigipit na Masangkot sa Korapsyon sa Edukasyon sa Pilipinas (PH Law)
Habang nahaharap sa panggigipit na makisali sa mga tiwaling aktibidad sa loob ng isang institusyong pang-edukasyon ay maaaring maging isang mahirap na sitwasyon, maraming legal at di-legal na mga hakbang ang maaaring makatulong na protektahan ang iyong sarili sa Pilipinas:
**1. Tumangging Makilahok:**
* **Igiit ang iyong karapatang tumanggi:** Mayroon kang legal at etikal na karapatang tumanggi na lumahok sa anumang aktibidad na pinaniniwalaan mong tiwali, mapanlinlang, o hindi etikal. * **Idokumento ang panggigipit:** Panatilihin ang mga talaan ng anumang mga pagkakataon kung saan ka pinipilit, kabilang ang mga petsa, oras, saksi, at anumang partikular na tagubilin o kahilingang ginawa. Ito ay maaaring maging mahalaga para sa hinaharap na ebidensya kung kinakailangan.
**2. Iulat ang Presyon:**
* **Mga mekanismo ng panloob na pag-uulat:** Gamitin ang mga itinatag na channel ng institusyon para sa pag-uulat ng maling pag-uugali o hindi etikal na pag-uugali. Maghanap ng mga hotline, mga form ng reklamo, o mga itinalagang opisyal upang iulat ang panggigipit na iyong kinakaharap.
* **Mga panlabas na ahensya sa pag-uulat:** Iulat ang panggigipit sa mga nauugnay na panlabas na ahensya depende sa uri ng katiwalian. Maaaring kabilang dito ang:
* **DepEd o CHED:** Depende sa antas ng edukasyon, ang pag-uulat sa may-katuturang ahensya ay maaaring mag-trigger ng mga pagsisiyasat at potensyal na parusa laban sa mga indibidwal na sangkot sa pagdiin sa iyo.
* **Civil Service Commission (CSC):** Kung ang panggigipit ay nagsasangkot ng mga pampublikong opisyal o empleyado, maaari kang magsampa ng reklamo sa CSC para sa imbestigasyon at posibleng aksyong pandisiplina.
* **Opisina ng Ombudsman:** Kung ang katiwalian ay nagsasangkot ng mga matataas na opisyal o kumplikadong mga pakana, isaalang-alang ang paghahain ng reklamo sa Opisina ng Ombudsman.
**3. Humingi ng legal na tulong:**
* **Kumonsulta sa isang abogado:** Ang pagkonsulta sa isang abogado na dalubhasa sa batas sa edukasyon o paglilitis sa interes ng publiko ay maaaring magbigay ng mahalagang gabay sa iyong mga karapatan, mga legal na opsyon, at epektibong pag-navigate sa proseso ng pag-uulat.
**4. Isaalang-alang ang mga di-legal na hakbang:**
* **Magtipon ng suporta:** Humingi ng suporta mula sa mga pinagkakatiwalaang indibidwal tulad ng pamilya, mga kaibigan, o mga organisasyon ng mag-aaral na maaaring mag-alok ng emosyonal na suporta at potensyal na kumilos bilang mga saksi kung kinakailangan.
* **Pampublikong kamalayan:** Sa matinding mga kaso, isaalang-alang ang pagpapataas ng kamalayan sa pamamagitan ng mga hindi kilalang online na platform o media outlet, ngunit mag-ingat at tiyaking tumpak at mabe-verify ang impormasyon.
**5. Gamitin ang mga legal na proteksyon:**
* **Proteksyon ng whistleblower:** Ang mga batas ng Pilipinas, tulad ng Expanded Anti-Red Tape Act (RA 11032), ay nag-aalok ng ilang proteksyon para sa mga whistleblower na nag-uulat ng ilegal o hindi etikal na pag-uugali. Gayunpaman, ang pag-unawa sa mga partikular na limitasyon at pamamaraan para sa pag-claim ng mga proteksyong ito ay napakahalaga.
**Mahahalagang Pagsasaalang-alang:**
* **Pagtitipon ng ebidensya:** Ang pagpapanatili ng mga detalyadong rekord ng panggigipit na kinakaharap mo, kabilang ang mga petsa, oras, saksi, at anumang partikular na kahilingan o tagubilin, ay mahalaga para sa anumang mga aksyon o legal na paglilitis sa hinaharap.
* **Pagiging Kumpidensyal:** Ang pagbabalanse sa pangangailangang iulat ang pressure sa pagprotekta sa sarili mong kaligtasan at hindi pagkakilala ay maaaring maging mahirap. Humingi ng patnubay mula sa isang abogado o mga pinagkakatiwalaang indibidwal sa epektibong pag-navigate sa aspetong ito.
* **Mga potensyal na kahihinatnan:** Ang pag-uulat ng katiwalian ay maaaring humantong sa paghihiganti mula sa mga sangkot. Maging handa na gamitin ang mga magagamit na legal na proteksyon at humingi ng mga sistema ng suporta upang matugunan ang anumang mga potensyal na epekto.
**Disclaimer:** Ang impormasyong ito ay para sa pangkalahatang pag-unawa at hindi bumubuo ng legal na payo. Ang pagkonsulta sa isang abogado na dalubhasa sa batas sa edukasyon o paglilitis sa interes ng publiko ay mahalaga para sa mga partikular na sitwasyon at isang detalyadong pagtatasa ng iyong mga legal na opsyon at ang pinakaepektibong paraan ng pagkilos upang protektahan ang iyong sarili habang itinataguyod ang etikal na pag-uugali sa loob ng institusyong pang-edukasyon. Tandaan, ang pag-navigate sa mga ganitong sitwasyon ay maaaring maging kumplikado, at ang paghahanap ng propesyonal na legal na patnubay ay lubos na inirerekomenda.</v>
      </c>
      <c r="F1278" s="2">
        <f t="shared" si="1"/>
        <v>0</v>
      </c>
      <c r="G1278" s="2"/>
      <c r="H1278" s="2"/>
      <c r="I1278" s="2"/>
      <c r="J1278" s="2"/>
      <c r="K1278" s="2"/>
      <c r="L1278" s="2"/>
      <c r="M1278" s="2"/>
      <c r="N1278" s="2"/>
      <c r="O1278" s="2"/>
      <c r="P1278" s="2"/>
      <c r="Q1278" s="2"/>
      <c r="R1278" s="2"/>
      <c r="S1278" s="2"/>
      <c r="T1278" s="2"/>
      <c r="U1278" s="2"/>
      <c r="V1278" s="2"/>
      <c r="W1278" s="2"/>
      <c r="X1278" s="2"/>
      <c r="Y1278" s="2"/>
      <c r="Z1278" s="2"/>
      <c r="AA1278" s="2"/>
    </row>
    <row r="1279">
      <c r="A1279" s="1" t="s">
        <v>3356</v>
      </c>
      <c r="B1279" s="1" t="s">
        <v>3723</v>
      </c>
      <c r="C1279" s="1" t="s">
        <v>3724</v>
      </c>
      <c r="D1279" s="2" t="str">
        <f>IFERROR(__xludf.DUMMYFUNCTION("GOOGLETRANSLATE(B1279, ""en"", ""TL"")"),"Mayroon bang anumang legal na proteksyon para sa mga mag-aaral na nahaharap sa paghihiganti para sa pag-uulat ng mga kaso ng katiwalian sa loob ng kanilang institusyong pang-edukasyon?")</f>
        <v>Mayroon bang anumang legal na proteksyon para sa mga mag-aaral na nahaharap sa paghihiganti para sa pag-uulat ng mga kaso ng katiwalian sa loob ng kanilang institusyong pang-edukasyon?</v>
      </c>
      <c r="E1279" s="2" t="str">
        <f>IFERROR(__xludf.DUMMYFUNCTION("GOOGLETRANSLATE(C1279, ""en"", ""TL"")"),"Oo, mayroong **mga legal na proteksyon na magagamit sa batas ng Pilipinas para sa mga mag-aaral na nahaharap sa paghihiganti para sa pag-uulat ng mga kaso ng katiwalian sa loob ng kanilang mga institusyong pang-edukasyon.** Ang mga proteksyong ito ay nagm"&amp;"umula sa iba't ibang mapagkukunan, kabilang ang:
**Konstitusyon:**
* **Artikulo III, Seksyon 1:** Ginagarantiya ang karapatan sa kalayaan sa pagsasalita at pagpapahayag, na nagpoprotekta sa karapatan ng mga mag-aaral na mag-ulat ng katiwalian nang walang "&amp;"takot sa paghihiganti.
* **Artikulo III, Seksyon 14:** Ginagarantiya ang karapatan sa edukasyon, na kinabibilangan ng karapatan sa isang ligtas at malusog na kapaligiran sa pag-aaral na walang mga pagbabanta o paghihiganti para sa pagsasalita laban sa mal"&amp;"ing gawain.
**Republic Act No. 6735 (The Philippine Public Libraries Act):**
* Bagama't pangunahing nakatuon sa mga aklatan, binibigyang-diin ng Batas na ito ang **karapatan sa pag-access ng impormasyon** at hinihikayat ang pag-uulat ng mga iregularidad o"&amp;" maling gawain sa loob ng mga institusyon ng pamahalaan, kabilang ang mga institusyong pang-edukasyon.
**Republic Act No. 9285 (The Anti-Discrimination Act of 1995):**
* Ipinagbabawal ang diskriminasyon sa iba't ibang batayan, kabilang ang ""mga paniniwal"&amp;"ang pampulitika o relihiyon"" at ""mga aktibidad sa pagsipol."" Posible itong mailapat upang protektahan ang mga mag-aaral na nahaharap sa paghihiganti para sa pag-uulat ng katiwalian, kahit na ang partikular na interpretasyon ay maaaring mangailangan ng "&amp;"legal na patnubay.
**Republic Act No. 11032 (Expanded Anti-Red Tape Act of 2018):**
* Pinoprotektahan ng Seksyon 14 ang mga whistleblower, kabilang ang mga pampublikong opisyal at empleyado, mula sa paghihiganti sa pag-uulat ng ilegal, hindi regular, o hi"&amp;"ndi etikal na pag-uugali. Bagama't maaaring hindi nasa ilalim ng eksaktong mga kahulugan ang mga mag-aaral, ang Batas na ito ay nagtatakda ng mas malawak na pamarisan para sa pagprotekta sa mga whistleblower.
**Mga Patakaran ng Department of Education (De"&amp;"pEd) at Commission on Higher Education (CHED):**
* Parehong may mga patakaran at alituntunin ang DepEd at CHED na nagtataguyod ng etikal na pag-uugali at pagprotekta sa mga indibidwal na nag-uulat ng mga paglabag o maling gawain sa loob ng mga institusyon"&amp;"g pang-edukasyon. Binabalangkas ng mga patakarang ito ang mga mekanismo at pamamaraan ng reklamo para sa pagtugon sa mga reklamo sa paghihiganti.
**Mahahalagang Pagsasaalang-alang:**
* **Pagtitipon ng ebidensya:** Ang pagdodokumento ng mga pagkakataon ng "&amp;"paghihiganti, gaya ng mga testimonya ng saksi, email, o pag-record, ay mahalaga para sa pagbuo ng isang malakas na kaso.
* **Mga wastong channel:** Ang pag-uulat ng paghihiganti sa pamamagitan ng mga naitatag na channel sa loob ng institusyon o mga kaugna"&amp;"y na ahensya ng gobyerno ay napakahalaga para sa pag-trigger ng mga pagsisiyasat at potensyal na mga aksyong pandisiplina laban sa mga responsable.
* **Legal na tulong:** Ang pagkonsulta sa isang abogado na dalubhasa sa batas sa edukasyon o pampublikong i"&amp;"nteres na paglilitis ay maaaring magbigay ng mahalagang gabay sa pag-navigate sa mga partikular na legal na proteksyon, paghahain ng mga reklamo, at paghingi ng redress para sa pagganti.
**Disclaimer:** Ang impormasyong ito ay para sa pangkalahatang pag-u"&amp;"nawa at hindi bumubuo ng legal na payo. Ang mga partikular na legal na proteksyon at ang kanilang pagiging angkop sa mga indibidwal na sitwasyon ay maaaring mag-iba depende sa mga pangyayari at nangangailangan ng detalyadong legal na pagtatasa. Ang pagkon"&amp;"sulta sa isang abogado ay mahalaga para sa mga partikular na sitwasyon at epektibong paggamit ng mga legal na proteksyon laban sa paghihiganti.")</f>
        <v>Oo, mayroong **mga legal na proteksyon na magagamit sa batas ng Pilipinas para sa mga mag-aaral na nahaharap sa paghihiganti para sa pag-uulat ng mga kaso ng katiwalian sa loob ng kanilang mga institusyong pang-edukasyon.** Ang mga proteksyong ito ay nagmumula sa iba't ibang mapagkukunan, kabilang ang:
**Konstitusyon:**
* **Artikulo III, Seksyon 1:** Ginagarantiya ang karapatan sa kalayaan sa pagsasalita at pagpapahayag, na nagpoprotekta sa karapatan ng mga mag-aaral na mag-ulat ng katiwalian nang walang takot sa paghihiganti.
* **Artikulo III, Seksyon 14:** Ginagarantiya ang karapatan sa edukasyon, na kinabibilangan ng karapatan sa isang ligtas at malusog na kapaligiran sa pag-aaral na walang mga pagbabanta o paghihiganti para sa pagsasalita laban sa maling gawain.
**Republic Act No. 6735 (The Philippine Public Libraries Act):**
* Bagama't pangunahing nakatuon sa mga aklatan, binibigyang-diin ng Batas na ito ang **karapatan sa pag-access ng impormasyon** at hinihikayat ang pag-uulat ng mga iregularidad o maling gawain sa loob ng mga institusyon ng pamahalaan, kabilang ang mga institusyong pang-edukasyon.
**Republic Act No. 9285 (The Anti-Discrimination Act of 1995):**
* Ipinagbabawal ang diskriminasyon sa iba't ibang batayan, kabilang ang "mga paniniwalang pampulitika o relihiyon" at "mga aktibidad sa pagsipol." Posible itong mailapat upang protektahan ang mga mag-aaral na nahaharap sa paghihiganti para sa pag-uulat ng katiwalian, kahit na ang partikular na interpretasyon ay maaaring mangailangan ng legal na patnubay.
**Republic Act No. 11032 (Expanded Anti-Red Tape Act of 2018):**
* Pinoprotektahan ng Seksyon 14 ang mga whistleblower, kabilang ang mga pampublikong opisyal at empleyado, mula sa paghihiganti sa pag-uulat ng ilegal, hindi regular, o hindi etikal na pag-uugali. Bagama't maaaring hindi nasa ilalim ng eksaktong mga kahulugan ang mga mag-aaral, ang Batas na ito ay nagtatakda ng mas malawak na pamarisan para sa pagprotekta sa mga whistleblower.
**Mga Patakaran ng Department of Education (DepEd) at Commission on Higher Education (CHED):**
* Parehong may mga patakaran at alituntunin ang DepEd at CHED na nagtataguyod ng etikal na pag-uugali at pagprotekta sa mga indibidwal na nag-uulat ng mga paglabag o maling gawain sa loob ng mga institusyong pang-edukasyon. Binabalangkas ng mga patakarang ito ang mga mekanismo at pamamaraan ng reklamo para sa pagtugon sa mga reklamo sa paghihiganti.
**Mahahalagang Pagsasaalang-alang:**
* **Pagtitipon ng ebidensya:** Ang pagdodokumento ng mga pagkakataon ng paghihiganti, gaya ng mga testimonya ng saksi, email, o pag-record, ay mahalaga para sa pagbuo ng isang malakas na kaso.
* **Mga wastong channel:** Ang pag-uulat ng paghihiganti sa pamamagitan ng mga naitatag na channel sa loob ng institusyon o mga kaugnay na ahensya ng gobyerno ay napakahalaga para sa pag-trigger ng mga pagsisiyasat at potensyal na mga aksyong pandisiplina laban sa mga responsable.
* **Legal na tulong:** Ang pagkonsulta sa isang abogado na dalubhasa sa batas sa edukasyon o pampublikong interes na paglilitis ay maaaring magbigay ng mahalagang gabay sa pag-navigate sa mga partikular na legal na proteksyon, paghahain ng mga reklamo, at paghingi ng redress para sa pagganti.
**Disclaimer:** Ang impormasyong ito ay para sa pangkalahatang pag-unawa at hindi bumubuo ng legal na payo. Ang mga partikular na legal na proteksyon at ang kanilang pagiging angkop sa mga indibidwal na sitwasyon ay maaaring mag-iba depende sa mga pangyayari at nangangailangan ng detalyadong legal na pagtatasa. Ang pagkonsulta sa isang abogado ay mahalaga para sa mga partikular na sitwasyon at epektibong paggamit ng mga legal na proteksyon laban sa paghihiganti.</v>
      </c>
      <c r="F1279" s="2">
        <f t="shared" si="1"/>
        <v>0</v>
      </c>
      <c r="G1279" s="2"/>
      <c r="H1279" s="2"/>
      <c r="I1279" s="2"/>
      <c r="J1279" s="2"/>
      <c r="K1279" s="2"/>
      <c r="L1279" s="2"/>
      <c r="M1279" s="2"/>
      <c r="N1279" s="2"/>
      <c r="O1279" s="2"/>
      <c r="P1279" s="2"/>
      <c r="Q1279" s="2"/>
      <c r="R1279" s="2"/>
      <c r="S1279" s="2"/>
      <c r="T1279" s="2"/>
      <c r="U1279" s="2"/>
      <c r="V1279" s="2"/>
      <c r="W1279" s="2"/>
      <c r="X1279" s="2"/>
      <c r="Y1279" s="2"/>
      <c r="Z1279" s="2"/>
      <c r="AA1279" s="2"/>
    </row>
    <row r="1280">
      <c r="A1280" s="1" t="s">
        <v>3356</v>
      </c>
      <c r="B1280" s="1" t="s">
        <v>3725</v>
      </c>
      <c r="C1280" s="1" t="s">
        <v>3726</v>
      </c>
      <c r="D1280" s="2" t="str">
        <f>IFERROR(__xludf.DUMMYFUNCTION("GOOGLETRANSLATE(B1280, ""en"", ""TL"")"),"Maaari bang magsampa ng mga reklamo ang mga indibidwal sa mga accreditation body o mga propesyonal na asosasyon tungkol sa katiwalian sa edukasyon?")</f>
        <v>Maaari bang magsampa ng mga reklamo ang mga indibidwal sa mga accreditation body o mga propesyonal na asosasyon tungkol sa katiwalian sa edukasyon?</v>
      </c>
      <c r="E1280" s="2" t="str">
        <f>IFERROR(__xludf.DUMMYFUNCTION("GOOGLETRANSLATE(C1280, ""en"", ""TL"")"),"Oo, ang mga indibidwal **maaaring magsampa ng mga reklamo sa mga katawan ng akreditasyon o mga propesyonal na asosasyon** hinggil sa katiwalian sa edukasyon sa Pilipinas, batay sa mga nauugnay na regulasyon at pamamaraan. Gayunpaman, ang mga partikular na"&amp;" paraan at tagumpay ng naturang mga reklamo ay nakasalalay sa ilang mga salik:
**Accreditation Body:**
* **Proseso ng Akreditasyon:** Karamihan sa mga katawan ng akreditasyon ay nagtatag ng mga pamamaraan para sa pagtanggap at pagtugon sa mga reklamo tung"&amp;"kol sa mga institusyong naghahanap o humahawak ng akreditasyon. Ang mga pamamaraang ito ay karaniwang nagsasangkot ng pagpapakita ng ebidensya ng di-umano'y katiwalian at kung paano ito nakaapekto sa proseso ng akreditasyon o kalidad ng edukasyon.
* **Kau"&amp;"gnayan ng Reklamo:** Ang reklamo ay dapat na direktang nauugnay sa mga pamantayan ng akreditasyon at proseso ng partikular na katawan. Halimbawa, ang pag-aalok ng mga suhol upang makakuha ng accreditation o palsipikasyon ng data ay magiging mga nauugnay n"&amp;"a alalahanin, habang ang mga isyu tulad ng panloob na maling pamamahala sa pananalapi ay maaaring hindi direktang nasa ilalim ng kanilang saklaw.
* **Mga Tukoy na Katawan:** Ang bawat accreditation body ay may sariling hanay ng mga regulasyon at mga pamam"&amp;"araan sa pagrereklamo. Ang ilang mga kilalang katawan ay kinabibilangan ng:
* **PAASCU:** Philippine Association of Colleges and Universities Commission on Accreditation
* **PACUCOA:** Philippine Accrediting Committee on Colleges and Universities for Over"&amp;"seas Filipinos
* **CHED:** Commission on Higher Education (may sarili nitong mga proseso ng akreditasyon)
* **Mga Potensyal na Resulta:** Depende sa kinalabasan ng pagsisiyasat, maaaring gumawa ng iba't ibang aksyon ang accreditation body, kabilang ang:
*"&amp;" Babala o pagsaway sa institusyon.
* Pagpapataw ng probationary status o pagsususpinde ng accreditation.
* Pagtanggi na magbigay o bawiin ang akreditasyon.
**Mga Propesyonal na Samahan:**
* **Code of Ethics:** Karamihan sa mga propesyonal na asosasyon ay "&amp;"nagtatag ng mga code ng etika para sa kanilang mga miyembro, na maaaring tumugon sa mga isyu tulad ng hindi etikal na pag-uugali o maling pag-uugali sa loob ng kanilang propesyon.
* **Kaugnayan ng Reklamo:** Ang reklamo ay dapat na direktang nauugnay sa e"&amp;"tikal na code at kung paano nilalabag ito ng pinaghihinalaang katiwalian. Halimbawa, ang isang guro na nag-aalok ng mga marka kapalit ng mga pabor ay lalabag sa mga etikal na code, habang ang mga isyu na walang kaugnayan sa propesyon ay maaaring hindi mat"&amp;"ugunan.
* **Mga Tukoy na Asosasyon:** Ang bawat asosasyon ay may sariling code ng etika at mga pamamaraan sa pagrereklamo. Kumonsulta sa website ng nauugnay na asosasyon o direktang makipag-ugnayan sa kanila para sa partikular na impormasyon.
* **Mga Pote"&amp;"nsyal na Resulta:** Depende sa resulta ng pagsisiyasat, maaaring magsagawa ng iba't ibang aksyon ang asosasyon, kabilang ang:
* Pag-isyu ng pagsaway o pagpuna.
* Pagsuspinde o pagpapatalsik sa miyembro sa asosasyon.
* Pag-uulat ng maling pag-uugali sa mga"&amp;" kaugnay na awtoridad.
**Mahahalagang Pagsasaalang-alang:**
* **Pagtitipon ng Ebidensya:** Ang matibay na ebidensya na sumusuporta sa iyong reklamo, kabilang ang mga dokumento, recording, o testimonya ng saksi, ay mahalaga para sa tagumpay nito.
* **Pamam"&amp;"araan at Timeline:** Sundin ang mga partikular na pamamaraan ng reklamo at mga timeline na ibinalangkas ng napiling katawan o asosasyon.
* **Limitadong Saklaw:** Maaaring hindi tugunan ng mga paraan na ito ang lahat ng uri ng katiwalian o magbigay ng dire"&amp;"ktang kabayaran para sa mga pinsala. Pangunahing nakatuon ang mga ito sa pagpapanagot sa mga indibidwal o institusyon sa loob ng mga partikular na konteksto ng akreditasyon o propesyonal na pag-uugali.
**Disclaimer:** Ang impormasyong ito ay para sa pangk"&amp;"alahatang pag-unawa at hindi bumubuo ng legal na payo. Ang pagkonsulta sa isang abogado na dalubhasa sa batas sa edukasyon o paglilitis sa interes ng publiko ay mahalaga para sa mga partikular na sitwasyon at isang detalyadong pagtatasa ng pinakamabisang "&amp;"paraan para sa paghahain ng reklamo at ang mga potensyal na resulta nito. Tandaan, ang tagumpay ng anumang reklamo ay lubos na nakasalalay sa mga tiyak na katotohanan, ebidensya, at pamamaraan ng napiling katawan o asosasyon.")</f>
        <v>Oo, ang mga indibidwal **maaaring magsampa ng mga reklamo sa mga katawan ng akreditasyon o mga propesyonal na asosasyon** hinggil sa katiwalian sa edukasyon sa Pilipinas, batay sa mga nauugnay na regulasyon at pamamaraan. Gayunpaman, ang mga partikular na paraan at tagumpay ng naturang mga reklamo ay nakasalalay sa ilang mga salik:
**Accreditation Body:**
* **Proseso ng Akreditasyon:** Karamihan sa mga katawan ng akreditasyon ay nagtatag ng mga pamamaraan para sa pagtanggap at pagtugon sa mga reklamo tungkol sa mga institusyong naghahanap o humahawak ng akreditasyon. Ang mga pamamaraang ito ay karaniwang nagsasangkot ng pagpapakita ng ebidensya ng di-umano'y katiwalian at kung paano ito nakaapekto sa proseso ng akreditasyon o kalidad ng edukasyon.
* **Kaugnayan ng Reklamo:** Ang reklamo ay dapat na direktang nauugnay sa mga pamantayan ng akreditasyon at proseso ng partikular na katawan. Halimbawa, ang pag-aalok ng mga suhol upang makakuha ng accreditation o palsipikasyon ng data ay magiging mga nauugnay na alalahanin, habang ang mga isyu tulad ng panloob na maling pamamahala sa pananalapi ay maaaring hindi direktang nasa ilalim ng kanilang saklaw.
* **Mga Tukoy na Katawan:** Ang bawat accreditation body ay may sariling hanay ng mga regulasyon at mga pamamaraan sa pagrereklamo. Ang ilang mga kilalang katawan ay kinabibilangan ng:
* **PAASCU:** Philippine Association of Colleges and Universities Commission on Accreditation
* **PACUCOA:** Philippine Accrediting Committee on Colleges and Universities for Overseas Filipinos
* **CHED:** Commission on Higher Education (may sarili nitong mga proseso ng akreditasyon)
* **Mga Potensyal na Resulta:** Depende sa kinalabasan ng pagsisiyasat, maaaring gumawa ng iba't ibang aksyon ang accreditation body, kabilang ang:
* Babala o pagsaway sa institusyon.
* Pagpapataw ng probationary status o pagsususpinde ng accreditation.
* Pagtanggi na magbigay o bawiin ang akreditasyon.
**Mga Propesyonal na Samahan:**
* **Code of Ethics:** Karamihan sa mga propesyonal na asosasyon ay nagtatag ng mga code ng etika para sa kanilang mga miyembro, na maaaring tumugon sa mga isyu tulad ng hindi etikal na pag-uugali o maling pag-uugali sa loob ng kanilang propesyon.
* **Kaugnayan ng Reklamo:** Ang reklamo ay dapat na direktang nauugnay sa etikal na code at kung paano nilalabag ito ng pinaghihinalaang katiwalian. Halimbawa, ang isang guro na nag-aalok ng mga marka kapalit ng mga pabor ay lalabag sa mga etikal na code, habang ang mga isyu na walang kaugnayan sa propesyon ay maaaring hindi matugunan.
* **Mga Tukoy na Asosasyon:** Ang bawat asosasyon ay may sariling code ng etika at mga pamamaraan sa pagrereklamo. Kumonsulta sa website ng nauugnay na asosasyon o direktang makipag-ugnayan sa kanila para sa partikular na impormasyon.
* **Mga Potensyal na Resulta:** Depende sa resulta ng pagsisiyasat, maaaring magsagawa ng iba't ibang aksyon ang asosasyon, kabilang ang:
* Pag-isyu ng pagsaway o pagpuna.
* Pagsuspinde o pagpapatalsik sa miyembro sa asosasyon.
* Pag-uulat ng maling pag-uugali sa mga kaugnay na awtoridad.
**Mahahalagang Pagsasaalang-alang:**
* **Pagtitipon ng Ebidensya:** Ang matibay na ebidensya na sumusuporta sa iyong reklamo, kabilang ang mga dokumento, recording, o testimonya ng saksi, ay mahalaga para sa tagumpay nito.
* **Pamamaraan at Timeline:** Sundin ang mga partikular na pamamaraan ng reklamo at mga timeline na ibinalangkas ng napiling katawan o asosasyon.
* **Limitadong Saklaw:** Maaaring hindi tugunan ng mga paraan na ito ang lahat ng uri ng katiwalian o magbigay ng direktang kabayaran para sa mga pinsala. Pangunahing nakatuon ang mga ito sa pagpapanagot sa mga indibidwal o institusyon sa loob ng mga partikular na konteksto ng akreditasyon o propesyonal na pag-uugali.
**Disclaimer:** Ang impormasyong ito ay para sa pangkalahatang pag-unawa at hindi bumubuo ng legal na payo. Ang pagkonsulta sa isang abogado na dalubhasa sa batas sa edukasyon o paglilitis sa interes ng publiko ay mahalaga para sa mga partikular na sitwasyon at isang detalyadong pagtatasa ng pinakamabisang paraan para sa paghahain ng reklamo at ang mga potensyal na resulta nito. Tandaan, ang tagumpay ng anumang reklamo ay lubos na nakasalalay sa mga tiyak na katotohanan, ebidensya, at pamamaraan ng napiling katawan o asosasyon.</v>
      </c>
      <c r="F1280" s="2">
        <f t="shared" si="1"/>
        <v>0</v>
      </c>
      <c r="G1280" s="2"/>
      <c r="H1280" s="2"/>
      <c r="I1280" s="2"/>
      <c r="J1280" s="2"/>
      <c r="K1280" s="2"/>
      <c r="L1280" s="2"/>
      <c r="M1280" s="2"/>
      <c r="N1280" s="2"/>
      <c r="O1280" s="2"/>
      <c r="P1280" s="2"/>
      <c r="Q1280" s="2"/>
      <c r="R1280" s="2"/>
      <c r="S1280" s="2"/>
      <c r="T1280" s="2"/>
      <c r="U1280" s="2"/>
      <c r="V1280" s="2"/>
      <c r="W1280" s="2"/>
      <c r="X1280" s="2"/>
      <c r="Y1280" s="2"/>
      <c r="Z1280" s="2"/>
      <c r="AA1280" s="2"/>
    </row>
    <row r="1281">
      <c r="A1281" s="1" t="s">
        <v>3356</v>
      </c>
      <c r="B1281" s="1" t="s">
        <v>3727</v>
      </c>
      <c r="C1281" s="1" t="s">
        <v>3728</v>
      </c>
      <c r="D1281" s="2" t="str">
        <f>IFERROR(__xludf.DUMMYFUNCTION("GOOGLETRANSLATE(B1281, ""en"", ""TL"")"),"Paano nakakaapekto ang katiwalian sa edukasyon sa integridad ng akademikong pananaliksik at mga publikasyon, at mayroon bang mga legal na remedyo para sa mga apektadong partido?")</f>
        <v>Paano nakakaapekto ang katiwalian sa edukasyon sa integridad ng akademikong pananaliksik at mga publikasyon, at mayroon bang mga legal na remedyo para sa mga apektadong partido?</v>
      </c>
      <c r="E1281" s="2" t="str">
        <f>IFERROR(__xludf.DUMMYFUNCTION("GOOGLETRANSLATE(C1281, ""en"", ""TL"")"),"## Ang Epekto ng Korapsyon sa Integridad ng Pananaliksik at Mga Legal na Remedya sa PH
**Ang katiwalian sa edukasyon ay maaaring makabuluhang makaapekto sa integridad ng akademikong pananaliksik at mga publikasyon sa Pilipinas.** Narito kung paano, at mga"&amp;" potensyal na legal na remedyo:
**Epekto ng Korapsyon:**
* **Fabrication at plagiarism:** Ang panunuhol o pressure sa mga mananaliksik ay maaaring humantong sa katha ng data, plagiarism, o ghostwriting, na nakompromiso ang kalidad at pagiging maaasahan ng"&amp;" pananaliksik.
* **Biased na pananaliksik:** Ang hindi etikal na pagpopondo o pagmamanipula ng mga proseso ng pananaliksik ay maaaring lumikha ng mga may kinikilingan na resulta, na humahadlang sa paghahanap ng katotohanan at kaalaman.
* **Erosion of trus"&amp;"t:** Ang kawalan ng tiwala ng publiko sa mga natuklasan sa pananaliksik ay maaaring magpahina sa halaga ng akademikong gawain at limitahan ang epekto nito sa lipunan.
* **Nabawasan ang pagpopondo:** Ang mga alalahanin tungkol sa integridad ng pananaliksik"&amp;" ay maaaring humantong sa pagbawas ng pagpopondo para sa pananaliksik, pagpigil sa pagbabago at pag-unlad.
**Mga Legal na remedyo:**
* **Mga paglabag sa kontrata:** Kung ang mga kasunduan sa pananaliksik o pakikipagtulungan ay nilabag dahil sa mga tiwalin"&amp;"g gawi, maaaring maging posible ang legal na aksyon para sa paglabag sa kontrata, na nangangailangan ng mga partikular na tuntunin at maipapakitang pinsala.
* **Mga paglabag sa intelektwal na ari-arian:** Ang plagiarism o paglabag sa copyright ay maaaring"&amp;" ituloy sa pamamagitan ng mga batas sa intelektwal na ari-arian, ngunit ang pagpapatunay ng sinadya at nakakapinsalang mga aksyon ay maaaring kumplikado.
* **Proteksyon sa whistleblower:** Nag-aalok ang mga batas sa whistleblower ng proteksyon para sa mga"&amp;" indibidwal na nag-uulat ng mga tiwaling gawi sa loob ng mga institusyon ng pananaliksik, ngunit ang pag-navigate sa mga pamamaraang ito ay nangangailangan ng legal na patnubay.
* **Mga reklamong pang-administratibo:** Ang mga reklamo sa DepEd, CHED, o ib"&amp;"a pang nauugnay na ahensya ay maaaring mag-trigger ng mga pagsisiyasat at potensyal na parusa laban sa mga institusyong sangkot sa mga katiwalian.
* **Mga demanda sa sibil:** Sa matinding mga kaso, ang mga indibidwal na direktang sinaktan ng mapanlinlang "&amp;"na pananaliksik (hal., ang mga mamumuhunan na nalinlang ng gawa-gawang data) ay maaaring mag-explore ng mga sibil na demanda, ngunit ang pagpapatunay ng sanhi at pinsala ay maaaring maging mahirap.
**Mga Hamon at Pagsasaalang-alang:**
* **Pagpapatunay ng "&amp;"katiwalian:** Ang pangangalap ng ebidensya at pagpapakita ng partikular na tiwaling gawa at ang koneksyon nito sa maling pag-uugali sa pananaliksik ay mahalaga para sa anumang legal na aksyon.
* **Limitadong legal na balangkas:** Habang umiiral ang mga ba"&amp;"tas, maaaring maging kumplikado ang kanilang aplikasyon sa mga partikular na kaso, at maaaring limitado ang mga partikular na legal na remedyo para sa mga paglabag sa integridad ng pananaliksik.
* **Mga gastos at pagiging kumplikado:** Ang legal na aksyon"&amp;" ay maaaring magastos at matagal, na nangangailangan ng espesyal na legal na kadalubhasaan sa intelektwal na ari-arian, etika sa pananaliksik, at sibil na paglilitis.
**Mga Karagdagang Opsyon:**
* **Mga reklamo sa propesyonal na maling pag-uugali:** Ang p"&amp;"ag-uulat ng maling pag-uugali sa pananaliksik sa mga nauugnay na propesyonal na asosasyon o komite ng etika ay maaaring humantong sa mga parusa laban sa mga mananaliksik na kasangkot, na nakakaapekto sa kanilang mga karera at reputasyon.
* **Pampublikong "&amp;"adbokasiya:** Ang pagpapataas ng kamalayan sa pamamagitan ng media o mga online na platform ay maaaring magpilit sa mga institusyon na tugunan ang mga isyu sa integridad ng pananaliksik at magsulong ng mga etikal na kasanayan.
* **Pagpapalakas ng etika sa"&amp;" pananaliksik:** Ang pagsuporta sa mga inisyatiba upang palakasin ang edukasyon sa etika ng pananaliksik, isulong ang transparency, at bumuo ng matatag na mekanismo ng pangangasiwa ay maaaring mag-ambag sa mga pangmatagalang solusyon.
**Disclaimer:** Ang "&amp;"impormasyong ito ay para sa pangkalahatang pag-unawa at hindi bumubuo ng legal na payo. Ang pagkonsulta sa isang abogado na dalubhasa sa batas sa edukasyon, intelektwal na ari-arian, o etika sa pananaliksik ay mahalaga para sa mga partikular na sitwasyon "&amp;"at isang detalyadong pagtatasa ng mga potensyal na legal na opsyon at ang kanilang mga limitasyon. Tandaan, ang tagumpay ng anumang legal na aksyon ay lubos na nakasalalay sa mga partikular na katotohanan at ebidensya na sumusuporta sa iyong kaso.")</f>
        <v>## Ang Epekto ng Korapsyon sa Integridad ng Pananaliksik at Mga Legal na Remedya sa PH
**Ang katiwalian sa edukasyon ay maaaring makabuluhang makaapekto sa integridad ng akademikong pananaliksik at mga publikasyon sa Pilipinas.** Narito kung paano, at mga potensyal na legal na remedyo:
**Epekto ng Korapsyon:**
* **Fabrication at plagiarism:** Ang panunuhol o pressure sa mga mananaliksik ay maaaring humantong sa katha ng data, plagiarism, o ghostwriting, na nakompromiso ang kalidad at pagiging maaasahan ng pananaliksik.
* **Biased na pananaliksik:** Ang hindi etikal na pagpopondo o pagmamanipula ng mga proseso ng pananaliksik ay maaaring lumikha ng mga may kinikilingan na resulta, na humahadlang sa paghahanap ng katotohanan at kaalaman.
* **Erosion of trust:** Ang kawalan ng tiwala ng publiko sa mga natuklasan sa pananaliksik ay maaaring magpahina sa halaga ng akademikong gawain at limitahan ang epekto nito sa lipunan.
* **Nabawasan ang pagpopondo:** Ang mga alalahanin tungkol sa integridad ng pananaliksik ay maaaring humantong sa pagbawas ng pagpopondo para sa pananaliksik, pagpigil sa pagbabago at pag-unlad.
**Mga Legal na remedyo:**
* **Mga paglabag sa kontrata:** Kung ang mga kasunduan sa pananaliksik o pakikipagtulungan ay nilabag dahil sa mga tiwaling gawi, maaaring maging posible ang legal na aksyon para sa paglabag sa kontrata, na nangangailangan ng mga partikular na tuntunin at maipapakitang pinsala.
* **Mga paglabag sa intelektwal na ari-arian:** Ang plagiarism o paglabag sa copyright ay maaaring ituloy sa pamamagitan ng mga batas sa intelektwal na ari-arian, ngunit ang pagpapatunay ng sinadya at nakakapinsalang mga aksyon ay maaaring kumplikado.
* **Proteksyon sa whistleblower:** Nag-aalok ang mga batas sa whistleblower ng proteksyon para sa mga indibidwal na nag-uulat ng mga tiwaling gawi sa loob ng mga institusyon ng pananaliksik, ngunit ang pag-navigate sa mga pamamaraang ito ay nangangailangan ng legal na patnubay.
* **Mga reklamong pang-administratibo:** Ang mga reklamo sa DepEd, CHED, o iba pang nauugnay na ahensya ay maaaring mag-trigger ng mga pagsisiyasat at potensyal na parusa laban sa mga institusyong sangkot sa mga katiwalian.
* **Mga demanda sa sibil:** Sa matinding mga kaso, ang mga indibidwal na direktang sinaktan ng mapanlinlang na pananaliksik (hal., ang mga mamumuhunan na nalinlang ng gawa-gawang data) ay maaaring mag-explore ng mga sibil na demanda, ngunit ang pagpapatunay ng sanhi at pinsala ay maaaring maging mahirap.
**Mga Hamon at Pagsasaalang-alang:**
* **Pagpapatunay ng katiwalian:** Ang pangangalap ng ebidensya at pagpapakita ng partikular na tiwaling gawa at ang koneksyon nito sa maling pag-uugali sa pananaliksik ay mahalaga para sa anumang legal na aksyon.
* **Limitadong legal na balangkas:** Habang umiiral ang mga batas, maaaring maging kumplikado ang kanilang aplikasyon sa mga partikular na kaso, at maaaring limitado ang mga partikular na legal na remedyo para sa mga paglabag sa integridad ng pananaliksik.
* **Mga gastos at pagiging kumplikado:** Ang legal na aksyon ay maaaring magastos at matagal, na nangangailangan ng espesyal na legal na kadalubhasaan sa intelektwal na ari-arian, etika sa pananaliksik, at sibil na paglilitis.
**Mga Karagdagang Opsyon:**
* **Mga reklamo sa propesyonal na maling pag-uugali:** Ang pag-uulat ng maling pag-uugali sa pananaliksik sa mga nauugnay na propesyonal na asosasyon o komite ng etika ay maaaring humantong sa mga parusa laban sa mga mananaliksik na kasangkot, na nakakaapekto sa kanilang mga karera at reputasyon.
* **Pampublikong adbokasiya:** Ang pagpapataas ng kamalayan sa pamamagitan ng media o mga online na platform ay maaaring magpilit sa mga institusyon na tugunan ang mga isyu sa integridad ng pananaliksik at magsulong ng mga etikal na kasanayan.
* **Pagpapalakas ng etika sa pananaliksik:** Ang pagsuporta sa mga inisyatiba upang palakasin ang edukasyon sa etika ng pananaliksik, isulong ang transparency, at bumuo ng matatag na mekanismo ng pangangasiwa ay maaaring mag-ambag sa mga pangmatagalang solusyon.
**Disclaimer:** Ang impormasyong ito ay para sa pangkalahatang pag-unawa at hindi bumubuo ng legal na payo. Ang pagkonsulta sa isang abogado na dalubhasa sa batas sa edukasyon, intelektwal na ari-arian, o etika sa pananaliksik ay mahalaga para sa mga partikular na sitwasyon at isang detalyadong pagtatasa ng mga potensyal na legal na opsyon at ang kanilang mga limitasyon. Tandaan, ang tagumpay ng anumang legal na aksyon ay lubos na nakasalalay sa mga partikular na katotohanan at ebidensya na sumusuporta sa iyong kaso.</v>
      </c>
      <c r="F1281" s="2">
        <f t="shared" si="1"/>
        <v>0</v>
      </c>
      <c r="G1281" s="2"/>
      <c r="H1281" s="2"/>
      <c r="I1281" s="2"/>
      <c r="J1281" s="2"/>
      <c r="K1281" s="2"/>
      <c r="L1281" s="2"/>
      <c r="M1281" s="2"/>
      <c r="N1281" s="2"/>
      <c r="O1281" s="2"/>
      <c r="P1281" s="2"/>
      <c r="Q1281" s="2"/>
      <c r="R1281" s="2"/>
      <c r="S1281" s="2"/>
      <c r="T1281" s="2"/>
      <c r="U1281" s="2"/>
      <c r="V1281" s="2"/>
      <c r="W1281" s="2"/>
      <c r="X1281" s="2"/>
      <c r="Y1281" s="2"/>
      <c r="Z1281" s="2"/>
      <c r="AA1281" s="2"/>
    </row>
    <row r="1282">
      <c r="A1282" s="1" t="s">
        <v>3356</v>
      </c>
      <c r="B1282" s="1" t="s">
        <v>3729</v>
      </c>
      <c r="C1282" s="1" t="s">
        <v>3730</v>
      </c>
      <c r="D1282" s="2" t="str">
        <f>IFERROR(__xludf.DUMMYFUNCTION("GOOGLETRANSLATE(B1282, ""en"", ""TL"")"),"Maaari bang gumawa ng legal na aksyon ang mga indibidwal laban sa mga institusyong pang-edukasyon para sa mapanlinlang na misrepresentasyon o maling advertising na nauugnay sa kanilang mga programa o serbisyo?")</f>
        <v>Maaari bang gumawa ng legal na aksyon ang mga indibidwal laban sa mga institusyong pang-edukasyon para sa mapanlinlang na misrepresentasyon o maling advertising na nauugnay sa kanilang mga programa o serbisyo?</v>
      </c>
      <c r="E1282" s="2" t="str">
        <f>IFERROR(__xludf.DUMMYFUNCTION("GOOGLETRANSLATE(C1282, ""en"", ""TL"")"),"Oo, ang mga indibidwal ay maaaring magsagawa ng legal na aksyon laban sa mga institusyong pang-edukasyon para sa mapanlinlang na misrepresentasyon o maling advertising na nauugnay sa kanilang mga programa o serbisyo sa Pilipinas, batay sa iba't ibang lega"&amp;"l na balangkas at pagsasaalang-alang. Narito ang isang breakdown:
**Mga Potensyal na Sanhi ng Pagkilos:**
* **Paglabag sa Kontrata:** Kung ang isang indibidwal ay nagpatala batay sa mga pangakong ginawa ng institusyon sa pamamagitan ng pag-advertise o mga"&amp;" paglalarawan ng programa, at ang mga pangakong iyon ay halatang mali o mapanlinlang, maaari silang makipagtalo sa isang paglabag sa kontrata. Nangangailangan ito ng malinaw na kontrata o kasunduan na nagbabalangkas sa mga ipinangakong serbisyo at katibay"&amp;"an kung paano nabigo ang institusyon sa pagtupad sa mga pangakong iyon.
* **Mga Mapanlinlang na Kasanayan:** Ang Consumer Protection Act (Republic Act No. 7394) ay nagbabawal sa mga mapanlinlang at hindi patas na kasanayan sa kalakalan at komersyo, na pos"&amp;"ibleng naaangkop sa mapanlinlang na advertising ng mga institusyong pang-edukasyon. Maaaring kabilang dito ang mga maling pahayag tungkol sa akreditasyon, kadalubhasaan ng guro, o mga resulta ng programa.
* **Pandaraya:** Kung sinadyang linlangin ng insti"&amp;"tusyon ang indibidwal gamit ang maling impormasyon upang mahikayat ang pagpapatala, maaari silang makipagtalo sa panloloko. Nangangailangan ito ng mas mataas na pasanin ng patunay, na nagpapakita ng kaalaman ng institusyon sa kasinungalingan, layuning man"&amp;"linlang, at pag-asa sa maling representasyon ng indibidwal na humahantong sa pinsala.
**Mga Hamon at Pagsasaalang-alang:**
* **Pagpapatunay ng Panlilinlang:** Ang pagpapakita na ang advertising ay sadyang nanlilinlang o mali, at ang indibidwal ay umasa di"&amp;"to sa kanilang kapinsalaan, ay maaaring maging hamon.
* **Dahilan:** Ang pag-uugnay ng maling pag-advertise sa partikular na pinsala, gaya ng pagkawala ng pananalapi o mga hindi nakuhang pagkakataon, ay mahalaga para sa isang matagumpay na paghahabol.
* *"&amp;"*Standing:** Ang pagtatatag ng legal na katayuan para magdemanda, ibig sabihin ay direktang nakaranas ka ng pinsala dahil sa maling representasyon, ay maaaring kailanganin depende sa partikular na mga pangyayari.
* **Mga Gastos at Pagiging Kumplikado:** A"&amp;"ng legal na aksyon ay maaaring magtagal, magastos, at nangangailangan ng kadalubhasaan sa batas sa edukasyon at sibil na paglilitis.
**Mga Karagdagang Opsyon:**
* **Mga Panloob na Pamamaraan sa Karaingan:** Ang paggamit ng mga mekanismo ng panloob na rekl"&amp;"amo ng institusyon ay maaaring maging panimulang punto para sa paghahanap ng redressal at potensyal na pag-iwas sa legal na aksyon.
* **Pag-uulat sa DepEd/CHED:** Depende sa antas ng edukasyon, ang pag-uulat ng mga alalahanin sa DepEd o CHED ay maaaring m"&amp;"ag-trigger ng mga pagsisiyasat at potensyal na parusa laban sa institusyon kung may makikitang mga paglabag.
* **Alternative Dispute Resolution (ADR):** Ang paggalugad sa pamamagitan o arbitrasyon ay maaaring mag-alok ng mas mabilis at potensyal na mas mu"&amp;"rang mga resolusyon kumpara sa mga pormal na legal na paglilitis.
**Disclaimer:** Ang impormasyong ito ay para sa pangkalahatang pag-unawa at hindi bumubuo ng legal na payo. Ang pagkonsulta sa isang abogado na dalubhasa sa batas sa edukasyon ay mahalaga p"&amp;"ara sa isang detalyadong pagtatasa ng iyong partikular na sitwasyon, mga potensyal na legal na opsyon, at ang posibilidad na magtagumpay sa anumang legal na aksyon batay sa iyong mga natatanging kalagayan at naaangkop na mga batas. Tandaan, ang tagumpay n"&amp;"g anumang legal na paghahabol ay lubos na nakadepende sa mga partikular na katotohanan at ebidensya na sumusuporta sa iyong kaso.")</f>
        <v>Oo, ang mga indibidwal ay maaaring magsagawa ng legal na aksyon laban sa mga institusyong pang-edukasyon para sa mapanlinlang na misrepresentasyon o maling advertising na nauugnay sa kanilang mga programa o serbisyo sa Pilipinas, batay sa iba't ibang legal na balangkas at pagsasaalang-alang. Narito ang isang breakdown:
**Mga Potensyal na Sanhi ng Pagkilos:**
* **Paglabag sa Kontrata:** Kung ang isang indibidwal ay nagpatala batay sa mga pangakong ginawa ng institusyon sa pamamagitan ng pag-advertise o mga paglalarawan ng programa, at ang mga pangakong iyon ay halatang mali o mapanlinlang, maaari silang makipagtalo sa isang paglabag sa kontrata. Nangangailangan ito ng malinaw na kontrata o kasunduan na nagbabalangkas sa mga ipinangakong serbisyo at katibayan kung paano nabigo ang institusyon sa pagtupad sa mga pangakong iyon.
* **Mga Mapanlinlang na Kasanayan:** Ang Consumer Protection Act (Republic Act No. 7394) ay nagbabawal sa mga mapanlinlang at hindi patas na kasanayan sa kalakalan at komersyo, na posibleng naaangkop sa mapanlinlang na advertising ng mga institusyong pang-edukasyon. Maaaring kabilang dito ang mga maling pahayag tungkol sa akreditasyon, kadalubhasaan ng guro, o mga resulta ng programa.
* **Pandaraya:** Kung sinadyang linlangin ng institusyon ang indibidwal gamit ang maling impormasyon upang mahikayat ang pagpapatala, maaari silang makipagtalo sa panloloko. Nangangailangan ito ng mas mataas na pasanin ng patunay, na nagpapakita ng kaalaman ng institusyon sa kasinungalingan, layuning manlinlang, at pag-asa sa maling representasyon ng indibidwal na humahantong sa pinsala.
**Mga Hamon at Pagsasaalang-alang:**
* **Pagpapatunay ng Panlilinlang:** Ang pagpapakita na ang advertising ay sadyang nanlilinlang o mali, at ang indibidwal ay umasa dito sa kanilang kapinsalaan, ay maaaring maging hamon.
* **Dahilan:** Ang pag-uugnay ng maling pag-advertise sa partikular na pinsala, gaya ng pagkawala ng pananalapi o mga hindi nakuhang pagkakataon, ay mahalaga para sa isang matagumpay na paghahabol.
* **Standing:** Ang pagtatatag ng legal na katayuan para magdemanda, ibig sabihin ay direktang nakaranas ka ng pinsala dahil sa maling representasyon, ay maaaring kailanganin depende sa partikular na mga pangyayari.
* **Mga Gastos at Pagiging Kumplikado:** Ang legal na aksyon ay maaaring magtagal, magastos, at nangangailangan ng kadalubhasaan sa batas sa edukasyon at sibil na paglilitis.
**Mga Karagdagang Opsyon:**
* **Mga Panloob na Pamamaraan sa Karaingan:** Ang paggamit ng mga mekanismo ng panloob na reklamo ng institusyon ay maaaring maging panimulang punto para sa paghahanap ng redressal at potensyal na pag-iwas sa legal na aksyon.
* **Pag-uulat sa DepEd/CHED:** Depende sa antas ng edukasyon, ang pag-uulat ng mga alalahanin sa DepEd o CHED ay maaaring mag-trigger ng mga pagsisiyasat at potensyal na parusa laban sa institusyon kung may makikitang mga paglabag.
* **Alternative Dispute Resolution (ADR):** Ang paggalugad sa pamamagitan o arbitrasyon ay maaaring mag-alok ng mas mabilis at potensyal na mas murang mga resolusyon kumpara sa mga pormal na legal na paglilitis.
**Disclaimer:** Ang impormasyong ito ay para sa pangkalahatang pag-unawa at hindi bumubuo ng legal na payo. Ang pagkonsulta sa isang abogado na dalubhasa sa batas sa edukasyon ay mahalaga para sa isang detalyadong pagtatasa ng iyong partikular na sitwasyon, mga potensyal na legal na opsyon, at ang posibilidad na magtagumpay sa anumang legal na aksyon batay sa iyong mga natatanging kalagayan at naaangkop na mga batas. Tandaan, ang tagumpay ng anumang legal na paghahabol ay lubos na nakadepende sa mga partikular na katotohanan at ebidensya na sumusuporta sa iyong kaso.</v>
      </c>
      <c r="F1282" s="2">
        <f t="shared" si="1"/>
        <v>0</v>
      </c>
      <c r="G1282" s="2"/>
      <c r="H1282" s="2"/>
      <c r="I1282" s="2"/>
      <c r="J1282" s="2"/>
      <c r="K1282" s="2"/>
      <c r="L1282" s="2"/>
      <c r="M1282" s="2"/>
      <c r="N1282" s="2"/>
      <c r="O1282" s="2"/>
      <c r="P1282" s="2"/>
      <c r="Q1282" s="2"/>
      <c r="R1282" s="2"/>
      <c r="S1282" s="2"/>
      <c r="T1282" s="2"/>
      <c r="U1282" s="2"/>
      <c r="V1282" s="2"/>
      <c r="W1282" s="2"/>
      <c r="X1282" s="2"/>
      <c r="Y1282" s="2"/>
      <c r="Z1282" s="2"/>
      <c r="AA1282" s="2"/>
    </row>
    <row r="1283">
      <c r="A1283" s="1" t="s">
        <v>3356</v>
      </c>
      <c r="B1283" s="1" t="s">
        <v>3731</v>
      </c>
      <c r="C1283" s="1" t="s">
        <v>3732</v>
      </c>
      <c r="D1283" s="2" t="str">
        <f>IFERROR(__xludf.DUMMYFUNCTION("GOOGLETRANSLATE(B1283, ""en"", ""TL"")"),"Anong mga legal na paraan ang umiiral para sa mga mag-aaral na naniniwala na sila ay hindi makatarungang disiplinahin o pinarusahan bilang resulta ng katiwalian sa loob ng kanilang institusyong pang-edukasyon?")</f>
        <v>Anong mga legal na paraan ang umiiral para sa mga mag-aaral na naniniwala na sila ay hindi makatarungang disiplinahin o pinarusahan bilang resulta ng katiwalian sa loob ng kanilang institusyong pang-edukasyon?</v>
      </c>
      <c r="E1283" s="2" t="str">
        <f>IFERROR(__xludf.DUMMYFUNCTION("GOOGLETRANSLATE(C1283, ""en"", ""TL"")"),"## Mga Legal na Avenue para sa mga Estudyante na Hindi Makatarungang Disiplinado dahil sa Korapsyon (PH Law)
Kung naniniwala kang hindi ka makatarungang nadisiplina o naparusahan dahil sa katiwalian sa loob ng iyong institusyong pang-edukasyon, maraming m"&amp;"ga legal na paraan ang umiiral sa batas ng Pilipinas, RA, at Konstitusyon upang humingi ng lunas. Bagama't ang partikular na kurso ng pagkilos ay nakasalalay sa mga pangyayari, narito ang isang pangkalahatang-ideya:
**1. Panloob na Pamamaraan sa Karaingan"&amp;":**
* **Gamitin ang mga panloob na mekanismo ng karaingan ng institusyon:** Ito ang madalas na unang hakbang, na nagbibigay-daan sa iyong iharap ang iyong kaso sa loob ng institusyon at posibleng malutas ang isyu sa pamamagitan ng mga panloob na proseso. "&amp;"Kumonsulta sa handbook ng mag-aaral ng institusyon o magtanong tungkol sa kanilang mga pamamaraan ng karaingan.
**2. Mga Reklamo ng DepEd/CHED:**
* **Maghain ng reklamo sa DepEd o CHED:** Depende sa antas ng iyong edukasyon (basic o mas mataas), maaari ka"&amp;"ng magsampa ng reklamo sa Department of Education (DepEd) o Commission on Higher Education (CHED). Mayroon silang mga mekanismo para imbestigahan ang mga reklamo ng hindi patas na pagtrato, diskriminasyon, o mga paglabag sa nararapat na proseso sa loob ng"&amp;" mga institusyong pang-edukasyon.
**3. Legal na Aksyon:**
* **Isaalang-alang ang legal na aksyon:** Kung nabigo ang mga panloob na mekanismo o naniniwala kang kinakailangan ang legal na aksyon, maaari mong tuklasin ang iba't ibang opsyon, kabilang ang:
* "&amp;"**Sibil na demanda:** Kung ang katiwalian ay malinaw na nagdulot ng pinsala (hal., pagpapatalsik, hindi nakuhang scholarship), maaari mong kasuhan ang institusyon o mga indibidwal na sangkot para sa paglabag sa kontrata, kapabayaan, o sinadyang pinsala, d"&amp;"epende sa partikular na mga pangyayari. Nangangailangan ito ng matibay na ebidensya at legal na kadalubhasaan.
* **Writ of certiorari:** Kung ang aksyong pandisiplina ay batay sa isang maling proseso o nilabag ang iyong karapatan sa angkop na proseso, maa"&amp;"ari kang maghain ng writ of certiorari upang hamunin ang desisyon. Nangangailangan ito ng legal na kadalubhasaan at pag-navigate sa mga pamamaraan ng hukuman.
* **Administratibong reklamo sa Ombudsman:** Kung ang katiwalian ay nagsasangkot ng mga pampubli"&amp;"kong opisyal o empleyado, maaari kang magsampa ng reklamo sa Opisina ng Ombudsman para sa imbestigasyon at potensyal na aksyong pandisiplina.
**Mahahalagang Pagsasaalang-alang:**
* **Pagtitipon ng ebidensya:** Ang pagbuo ng isang malakas na kaso na may eb"&amp;"idensya na nag-uugnay sa katiwalian sa iyong hindi patas na pagtrato ay mahalaga para sa anumang legal na paraan.
* **Burden of proof:** Ang pasanin ng patunay ay nasa iyo upang ipakita ang katiwalian, epekto nito sa iyong sitwasyon, at ang resultang pins"&amp;"ala sa iyo.
* **Pagiging kumplikado at mga gastos:** Ang legal na aksyon ay maaaring magtagal, magastos, at nangangailangan ng espesyal na legal na kadalubhasaan sa batas sa edukasyon at sibil na paglilitis.
* **Alternatibong paglutas ng dispute (ADR):** "&amp;"Isaalang-alang ang mga mekanismo ng ADR tulad ng pamamagitan o arbitrasyon, na maaaring mag-alok ng mas mabilis at posibleng mas murang mga resolusyon.
**Mga Karagdagang Tip:**
* **Humingi ng legal na tulong:** Ang pagkonsulta sa isang abogado na dalubhas"&amp;"a sa batas sa edukasyon ay mahalaga para sa partikular na paggabay at pag-navigate sa mga pinakaepektibong legal na opsyon para sa iyong sitwasyon.
* **Mga network ng suporta at advocacy group:** Ang pagsali sa mga organisasyon ng mag-aaral, mga asosasyon"&amp;" ng magulang, o mga NGO na nagtatrabaho sa pantay na edukasyon ay maaaring mag-alok ng suporta at patnubay.
* **Pampublikong kamalayan:** Ang pagpapataas ng kamalayan sa pamamagitan ng media o mga online na platform ay maaaring magpilit sa institusyon na "&amp;"tugunan ang isyu at posibleng mahikayat ang iba na sumulong.
**Tandaan:** Bagama't maaaring maging kumplikado ang pagsasagawa ng legal na aksyon, ang pag-unawa sa iyong mga karapatan at paggalugad ng iba't ibang paraan para sa redressal ay maaaring magbig"&amp;"ay ng kapangyarihan sa iyo na humingi ng hustisya at panagutin ang mga institusyon para sa mga hindi etikal na kasanayan.
**Disclaimer:** Ang impormasyong ito ay para sa pangkalahatang pag-unawa at hindi bumubuo ng legal na payo. Ang pagkonsulta sa isang "&amp;"abogado na dalubhasa sa batas sa edukasyon ay mahalaga para sa mga partikular na sitwasyon at isang detalyadong pagtatasa ng iyong mga legal na opsyon.")</f>
        <v>## Mga Legal na Avenue para sa mga Estudyante na Hindi Makatarungang Disiplinado dahil sa Korapsyon (PH Law)
Kung naniniwala kang hindi ka makatarungang nadisiplina o naparusahan dahil sa katiwalian sa loob ng iyong institusyong pang-edukasyon, maraming mga legal na paraan ang umiiral sa batas ng Pilipinas, RA, at Konstitusyon upang humingi ng lunas. Bagama't ang partikular na kurso ng pagkilos ay nakasalalay sa mga pangyayari, narito ang isang pangkalahatang-ideya:
**1. Panloob na Pamamaraan sa Karaingan:**
* **Gamitin ang mga panloob na mekanismo ng karaingan ng institusyon:** Ito ang madalas na unang hakbang, na nagbibigay-daan sa iyong iharap ang iyong kaso sa loob ng institusyon at posibleng malutas ang isyu sa pamamagitan ng mga panloob na proseso. Kumonsulta sa handbook ng mag-aaral ng institusyon o magtanong tungkol sa kanilang mga pamamaraan ng karaingan.
**2. Mga Reklamo ng DepEd/CHED:**
* **Maghain ng reklamo sa DepEd o CHED:** Depende sa antas ng iyong edukasyon (basic o mas mataas), maaari kang magsampa ng reklamo sa Department of Education (DepEd) o Commission on Higher Education (CHED). Mayroon silang mga mekanismo para imbestigahan ang mga reklamo ng hindi patas na pagtrato, diskriminasyon, o mga paglabag sa nararapat na proseso sa loob ng mga institusyong pang-edukasyon.
**3. Legal na Aksyon:**
* **Isaalang-alang ang legal na aksyon:** Kung nabigo ang mga panloob na mekanismo o naniniwala kang kinakailangan ang legal na aksyon, maaari mong tuklasin ang iba't ibang opsyon, kabilang ang:
* **Sibil na demanda:** Kung ang katiwalian ay malinaw na nagdulot ng pinsala (hal., pagpapatalsik, hindi nakuhang scholarship), maaari mong kasuhan ang institusyon o mga indibidwal na sangkot para sa paglabag sa kontrata, kapabayaan, o sinadyang pinsala, depende sa partikular na mga pangyayari. Nangangailangan ito ng matibay na ebidensya at legal na kadalubhasaan.
* **Writ of certiorari:** Kung ang aksyong pandisiplina ay batay sa isang maling proseso o nilabag ang iyong karapatan sa angkop na proseso, maaari kang maghain ng writ of certiorari upang hamunin ang desisyon. Nangangailangan ito ng legal na kadalubhasaan at pag-navigate sa mga pamamaraan ng hukuman.
* **Administratibong reklamo sa Ombudsman:** Kung ang katiwalian ay nagsasangkot ng mga pampublikong opisyal o empleyado, maaari kang magsampa ng reklamo sa Opisina ng Ombudsman para sa imbestigasyon at potensyal na aksyong pandisiplina.
**Mahahalagang Pagsasaalang-alang:**
* **Pagtitipon ng ebidensya:** Ang pagbuo ng isang malakas na kaso na may ebidensya na nag-uugnay sa katiwalian sa iyong hindi patas na pagtrato ay mahalaga para sa anumang legal na paraan.
* **Burden of proof:** Ang pasanin ng patunay ay nasa iyo upang ipakita ang katiwalian, epekto nito sa iyong sitwasyon, at ang resultang pinsala sa iyo.
* **Pagiging kumplikado at mga gastos:** Ang legal na aksyon ay maaaring magtagal, magastos, at nangangailangan ng espesyal na legal na kadalubhasaan sa batas sa edukasyon at sibil na paglilitis.
* **Alternatibong paglutas ng dispute (ADR):** Isaalang-alang ang mga mekanismo ng ADR tulad ng pamamagitan o arbitrasyon, na maaaring mag-alok ng mas mabilis at posibleng mas murang mga resolusyon.
**Mga Karagdagang Tip:**
* **Humingi ng legal na tulong:** Ang pagkonsulta sa isang abogado na dalubhasa sa batas sa edukasyon ay mahalaga para sa partikular na paggabay at pag-navigate sa mga pinakaepektibong legal na opsyon para sa iyong sitwasyon.
* **Mga network ng suporta at advocacy group:** Ang pagsali sa mga organisasyon ng mag-aaral, mga asosasyon ng magulang, o mga NGO na nagtatrabaho sa pantay na edukasyon ay maaaring mag-alok ng suporta at patnubay.
* **Pampublikong kamalayan:** Ang pagpapataas ng kamalayan sa pamamagitan ng media o mga online na platform ay maaaring magpilit sa institusyon na tugunan ang isyu at posibleng mahikayat ang iba na sumulong.
**Tandaan:** Bagama't maaaring maging kumplikado ang pagsasagawa ng legal na aksyon, ang pag-unawa sa iyong mga karapatan at paggalugad ng iba't ibang paraan para sa redressal ay maaaring magbigay ng kapangyarihan sa iyo na humingi ng hustisya at panagutin ang mga institusyon para sa mga hindi etikal na kasanayan.
**Disclaimer:** Ang impormasyong ito ay para sa pangkalahatang pag-unawa at hindi bumubuo ng legal na payo. Ang pagkonsulta sa isang abogado na dalubhasa sa batas sa edukasyon ay mahalaga para sa mga partikular na sitwasyon at isang detalyadong pagtatasa ng iyong mga legal na opsyon.</v>
      </c>
      <c r="F1283" s="2">
        <f t="shared" si="1"/>
        <v>0</v>
      </c>
      <c r="G1283" s="2"/>
      <c r="H1283" s="2"/>
      <c r="I1283" s="2"/>
      <c r="J1283" s="2"/>
      <c r="K1283" s="2"/>
      <c r="L1283" s="2"/>
      <c r="M1283" s="2"/>
      <c r="N1283" s="2"/>
      <c r="O1283" s="2"/>
      <c r="P1283" s="2"/>
      <c r="Q1283" s="2"/>
      <c r="R1283" s="2"/>
      <c r="S1283" s="2"/>
      <c r="T1283" s="2"/>
      <c r="U1283" s="2"/>
      <c r="V1283" s="2"/>
      <c r="W1283" s="2"/>
      <c r="X1283" s="2"/>
      <c r="Y1283" s="2"/>
      <c r="Z1283" s="2"/>
      <c r="AA1283" s="2"/>
    </row>
    <row r="1284">
      <c r="A1284" s="1" t="s">
        <v>3356</v>
      </c>
      <c r="B1284" s="1" t="s">
        <v>3733</v>
      </c>
      <c r="C1284" s="1" t="s">
        <v>3734</v>
      </c>
      <c r="D1284" s="2" t="str">
        <f>IFERROR(__xludf.DUMMYFUNCTION("GOOGLETRANSLATE(B1284, ""en"", ""TL"")"),"Paano nalalapat ang mga batas ng salungatan ng interes sa mga indibidwal na naglilingkod sa mga tungkuling administratibo o paggawa ng desisyon sa loob ng mga institusyong pang-edukasyon?")</f>
        <v>Paano nalalapat ang mga batas ng salungatan ng interes sa mga indibidwal na naglilingkod sa mga tungkuling administratibo o paggawa ng desisyon sa loob ng mga institusyong pang-edukasyon?</v>
      </c>
      <c r="E1284" s="2" t="str">
        <f>IFERROR(__xludf.DUMMYFUNCTION("GOOGLETRANSLATE(C1284, ""en"", ""TL"")"),"Ang mga salungatan ng mga regulasyon sa interes para sa mga indibidwal na naglilingkod sa mga tungkuling administratibo o paggawa ng desisyon sa loob ng mga institusyong pang-edukasyon sa Pilipinas ay pangunahing tinutugunan sa pamamagitan ng kumbinasyon "&amp;"ng:
**1. Kautusang Tagapagpaganap Blg. 2, s. 2016:** Itinatag ng Executive Order na ito ang **Freedom of Information (FOI) Program** at ang **Code of Conduct for Public Officials** na naaangkop sa mga ahensya ng gobyerno sa ilalim ng Executive Branch, "&amp;"kabilang ang DepEd at CHED. Ang Code of Conduct ay nag-uutos sa mga pampublikong opisyal na **iwasan ang mga salungatan ng interes** at ibunyag ang anumang mga potensyal na salungatan na maaaring lumitaw dahil sa kanilang mga personal na interes.
**2. "&amp;"Republic Act No. 6735 (The Philippine Public Libraries Act):** Habang pangunahing nakatuon sa mga aklatan, binibigyang-diin ng Batas na ito ang **karapatan sa pag-access ng impormasyon** at nag-uutos ng transparency sa mga institusyon ng gobyerno. Magagam"&amp;"it ito upang matukoy ang mga potensyal na salungatan ng interes batay sa mga pampublikong tala at humiling ng karagdagang impormasyon sa pamamagitan ng mga kahilingan sa FOI.
**3. Republic Act No. 8791 (The Philippine Government Procurement Reform Act)"&amp;":** Ang Batas na ito ay nagbabalangkas sa **mga etikal na gawi sa pagkuha** at nagbabawal sa mga opisyal na makilahok sa mga transaksyon kung saan sila ay may salungatan ng interes. Bagama't hindi direktang naaangkop sa lahat ng paggawa ng desisyon sa loo"&amp;"b ng mga institusyon, nagtatakda ito ng pamarisan para sa etikal na pag-uugali sa paglalaan ng mapagkukunan at paggawa ng desisyon.
**4. Mga Etikal na Pamantayan para sa mga Pampublikong Opisyal at Empleyado:** Ito ay mga walang-bisang alituntunin na i"&amp;"binigay ng Civil Service Commission (CSC) na nagbibigay ng karagdagang gabay sa etikal na pag-uugali at pag-iwas sa mga salungatan ng interes. Bagama't hindi legal na maipapatupad, nagsisilbi ang mga ito bilang reference point para sa etikal na pagpapasya"&amp;".
**5. Mga Panloob na Patakaran ng Mga Institusyong Pang-edukasyon:** Maraming institusyon ang may sariling **panloob na mga patakaran at mga code ng pag-uugali** na nagbabalangkas ng mga partikular na regulasyon at pamamaraan ng salungatan ng interes "&amp;"para sa pag-uulat at pamamahala sa mga ito. Ang mga patakarang ito ay dapat konsultahin para sa kanilang mga partikular na pangangailangan at mga kahihinatnan ng paglabag sa mga alituntunin ng salungatan ng interes.
**Mahahalagang Pagsasaalang-alang:**"&amp;"
* **Pagtukoy sa Mga Salungatan ng Interes:** Ang partikular na kahulugan ng isang salungatan ng interes ay maaaring mag-iba depende sa konteksto at naaangkop na mga alituntunin. Sa pangkalahatan, ito ay tumutukoy sa anumang sitwasyon kung saan ang mga"&amp;" personal na interes ng isang indibidwal ay maaaring makaimpluwensya sa kanilang propesyonal na paghuhusga o paggawa ng desisyon sa isang paraan na maaaring makinabang sa kanilang sarili o sa iba nang hindi patas at posibleng makapinsala sa institusyon.
"&amp;"* **Pagsisiwalat at Pamamahala:** Ang mga pampublikong opisyal ay kinakailangang ibunyag ang mga potensyal na salungatan ng interes upang maiwasang masangkot sa mga ito. Depende sa partikular na sitwasyon, ang mga salungatan na ito ay maaaring pamahalaan "&amp;"sa pamamagitan ng pagtanggi sa ilang mga desisyon, pag-alis ng mga magkasalungat na interes, o paghingi ng opisyal na patnubay mula sa mga superyor o nauugnay na komite sa etika.
* **Pagpapatupad at Mga Bunga:** Ang mga paglabag sa mga regulasyon ng salu"&amp;"ngatan ng interes ay maaaring magkaroon ng mga kahihinatnan ng disiplina, mula sa mga pagsaway hanggang sa pagtanggal sa trabaho, depende sa kalubhaan ng paglabag at mga naaangkop na regulasyon.
**Disclaimer:** Ang impormasyong ito ay para sa pangkalah"&amp;"atang pag-unawa at hindi bumubuo ng legal na payo. Ang pagkonsulta sa isang abogado na dalubhasa sa batas sa edukasyon o paglilitis sa interes ng publiko ay mahalaga para sa mga partikular na sitwasyon at gabay sa pagbibigay-kahulugan at paglalapat ng mga"&amp;" regulasyon sa salungatan ng interes nang epektibo.")</f>
        <v>Ang mga salungatan ng mga regulasyon sa interes para sa mga indibidwal na naglilingkod sa mga tungkuling administratibo o paggawa ng desisyon sa loob ng mga institusyong pang-edukasyon sa Pilipinas ay pangunahing tinutugunan sa pamamagitan ng kumbinasyon ng:
**1. Kautusang Tagapagpaganap Blg. 2, s. 2016:** Itinatag ng Executive Order na ito ang **Freedom of Information (FOI) Program** at ang **Code of Conduct for Public Officials** na naaangkop sa mga ahensya ng gobyerno sa ilalim ng Executive Branch, kabilang ang DepEd at CHED. Ang Code of Conduct ay nag-uutos sa mga pampublikong opisyal na **iwasan ang mga salungatan ng interes** at ibunyag ang anumang mga potensyal na salungatan na maaaring lumitaw dahil sa kanilang mga personal na interes.
**2. Republic Act No. 6735 (The Philippine Public Libraries Act):** Habang pangunahing nakatuon sa mga aklatan, binibigyang-diin ng Batas na ito ang **karapatan sa pag-access ng impormasyon** at nag-uutos ng transparency sa mga institusyon ng gobyerno. Magagamit ito upang matukoy ang mga potensyal na salungatan ng interes batay sa mga pampublikong tala at humiling ng karagdagang impormasyon sa pamamagitan ng mga kahilingan sa FOI.
**3. Republic Act No. 8791 (The Philippine Government Procurement Reform Act):** Ang Batas na ito ay nagbabalangkas sa **mga etikal na gawi sa pagkuha** at nagbabawal sa mga opisyal na makilahok sa mga transaksyon kung saan sila ay may salungatan ng interes. Bagama't hindi direktang naaangkop sa lahat ng paggawa ng desisyon sa loob ng mga institusyon, nagtatakda ito ng pamarisan para sa etikal na pag-uugali sa paglalaan ng mapagkukunan at paggawa ng desisyon.
**4. Mga Etikal na Pamantayan para sa mga Pampublikong Opisyal at Empleyado:** Ito ay mga walang-bisang alituntunin na ibinigay ng Civil Service Commission (CSC) na nagbibigay ng karagdagang gabay sa etikal na pag-uugali at pag-iwas sa mga salungatan ng interes. Bagama't hindi legal na maipapatupad, nagsisilbi ang mga ito bilang reference point para sa etikal na pagpapasya.
**5. Mga Panloob na Patakaran ng Mga Institusyong Pang-edukasyon:** Maraming institusyon ang may sariling **panloob na mga patakaran at mga code ng pag-uugali** na nagbabalangkas ng mga partikular na regulasyon at pamamaraan ng salungatan ng interes para sa pag-uulat at pamamahala sa mga ito. Ang mga patakarang ito ay dapat konsultahin para sa kanilang mga partikular na pangangailangan at mga kahihinatnan ng paglabag sa mga alituntunin ng salungatan ng interes.
**Mahahalagang Pagsasaalang-alang:**
* **Pagtukoy sa Mga Salungatan ng Interes:** Ang partikular na kahulugan ng isang salungatan ng interes ay maaaring mag-iba depende sa konteksto at naaangkop na mga alituntunin. Sa pangkalahatan, ito ay tumutukoy sa anumang sitwasyon kung saan ang mga personal na interes ng isang indibidwal ay maaaring makaimpluwensya sa kanilang propesyonal na paghuhusga o paggawa ng desisyon sa isang paraan na maaaring makinabang sa kanilang sarili o sa iba nang hindi patas at posibleng makapinsala sa institusyon.
* **Pagsisiwalat at Pamamahala:** Ang mga pampublikong opisyal ay kinakailangang ibunyag ang mga potensyal na salungatan ng interes upang maiwasang masangkot sa mga ito. Depende sa partikular na sitwasyon, ang mga salungatan na ito ay maaaring pamahalaan sa pamamagitan ng pagtanggi sa ilang mga desisyon, pag-alis ng mga magkasalungat na interes, o paghingi ng opisyal na patnubay mula sa mga superyor o nauugnay na komite sa etika.
* **Pagpapatupad at Mga Bunga:** Ang mga paglabag sa mga regulasyon ng salungatan ng interes ay maaaring magkaroon ng mga kahihinatnan ng disiplina, mula sa mga pagsaway hanggang sa pagtanggal sa trabaho, depende sa kalubhaan ng paglabag at mga naaangkop na regulasyon.
**Disclaimer:** Ang impormasyong ito ay para sa pangkalahatang pag-unawa at hindi bumubuo ng legal na payo. Ang pagkonsulta sa isang abogado na dalubhasa sa batas sa edukasyon o paglilitis sa interes ng publiko ay mahalaga para sa mga partikular na sitwasyon at gabay sa pagbibigay-kahulugan at paglalapat ng mga regulasyon sa salungatan ng interes nang epektibo.</v>
      </c>
      <c r="F1284" s="2">
        <f t="shared" si="1"/>
        <v>0</v>
      </c>
      <c r="G1284" s="2"/>
      <c r="H1284" s="2"/>
      <c r="I1284" s="2"/>
      <c r="J1284" s="2"/>
      <c r="K1284" s="2"/>
      <c r="L1284" s="2"/>
      <c r="M1284" s="2"/>
      <c r="N1284" s="2"/>
      <c r="O1284" s="2"/>
      <c r="P1284" s="2"/>
      <c r="Q1284" s="2"/>
      <c r="R1284" s="2"/>
      <c r="S1284" s="2"/>
      <c r="T1284" s="2"/>
      <c r="U1284" s="2"/>
      <c r="V1284" s="2"/>
      <c r="W1284" s="2"/>
      <c r="X1284" s="2"/>
      <c r="Y1284" s="2"/>
      <c r="Z1284" s="2"/>
      <c r="AA1284" s="2"/>
    </row>
    <row r="1285">
      <c r="A1285" s="1" t="s">
        <v>3356</v>
      </c>
      <c r="B1285" s="1" t="s">
        <v>3735</v>
      </c>
      <c r="C1285" s="1" t="s">
        <v>3736</v>
      </c>
      <c r="D1285" s="2" t="str">
        <f>IFERROR(__xludf.DUMMYFUNCTION("GOOGLETRANSLATE(B1285, ""en"", ""TL"")"),"Maaari bang humiling ang mga indibidwal ng mga pampublikong rekord o impormasyong nauugnay sa mga pagsisiyasat sa katiwalian sa loob ng mga institusyong pang-edukasyon sa ilalim ng mga batas sa kalayaan sa impormasyon?")</f>
        <v>Maaari bang humiling ang mga indibidwal ng mga pampublikong rekord o impormasyong nauugnay sa mga pagsisiyasat sa katiwalian sa loob ng mga institusyong pang-edukasyon sa ilalim ng mga batas sa kalayaan sa impormasyon?</v>
      </c>
      <c r="E1285" s="2" t="str">
        <f>IFERROR(__xludf.DUMMYFUNCTION("GOOGLETRANSLATE(C1285, ""en"", ""TL"")"),"## Oo, ang mga indibidwal ay maaaring humiling ng mga pampublikong rekord o impormasyon na may kaugnayan sa mga pagsisiyasat sa katiwalian sa loob ng mga institusyong pang-edukasyon sa ilalim ng mga batas sa kalayaan sa impormasyon ng Pilipinas, partikula"&amp;"r na:
**Executive Order No. 2, s. 2016:** Itong Executive Order ay nagtatatag ng Freedom of Information (FOI) Program na sumasaklaw sa lahat ng opisina ng gobyerno sa ilalim ng Executive Branch, kabilang ang DepEd at CHED. Ipinag-uutos nito ang pagsisi"&amp;"walat ng mga pampublikong rekord, kabilang ang mga nauugnay sa mga pagsisiyasat sa katiwalian, **maliban sa mga bagay na nakakaapekto sa pambansang seguridad at iba pang impormasyon na nasa ilalim ng imbentaryo ng mga pagbubukod**.
**Republic Act No. 9"&amp;"876 (The Official Secrets Act):** Bagama't pinaghihigpitan ng Batas na ito ang pag-access sa ilang uri ng impormasyon, ang Seksyon 30 ay hindi kasama sa mga probisyon ng lihim na ""mga pagsisiyasat at pagtatanong na isinagawa ng Ombudsman, Commission on A"&amp;"udit, at iba pang ayon sa konstitusyon. lumikha ng mga independiyenteng katawan."" Nangangahulugan ito na **ang impormasyong nauugnay sa mga pagsisiyasat ng mga ahensyang ito sa mga institusyong pang-edukasyon ay karaniwang naa-access sa pamamagitan ng mg"&amp;"a kahilingan sa FOI**.
**Republic Act No. 6735 (The Philippine Public Libraries Act):** Binibigyang-diin ng Batas na ito ang karapatan ng pag-access sa impormasyon at nag-uutos sa mga aklatan ng pamahalaan na magbigay ng access sa mga pampublikong tala"&amp;"an, na maaaring kabilang ang mga nauugnay na ulat sa mga pagsisiyasat na may kaugnayan sa mga institusyong pang-edukasyon.
**Mahahalagang Pagsasaalang-alang:**
* **Pamamaraan:** Habang hinihikayat ang mga kahilingan sa FOI, maaaring mag-iba ang part"&amp;"ikular na pamamaraan para sa paghiling ng impormasyon mula sa mga institusyon. Ang pagkonsulta sa DepEd o CHED FOI manuals para sa tamang pamamaraan ay ipinapayong.
* **Mga Exemption:** Ang ilang partikular na impormasyon na nauugnay sa mga patuloy na pa"&amp;"gsisiyasat, personal na data ng mga indibidwal na kasangkot, at classified na impormasyon ay maaaring hindi kasama sa pagbubunyag sa ilalim ng FOI program o iba pang mga batas.
* **Proseso ng mga apela:** Ang mga indibidwal ay may karapatang mag-apela ku"&amp;"ng ang kanilang kahilingan sa FOI ay tinanggihan. Ang partikular na proseso ng mga apela ay nakasalalay sa ahensyang kasangkot at mga nauugnay na regulasyon.
**Mga Karagdagang Tip:**
* **Malinaw na tukuyin ang impormasyong hinahanap mo:** Maging tiy"&amp;"ak tungkol sa pagsisiyasat o mga rekord na iyong hinihiling at sa institusyong pang-edukasyon na kasangkot.
* **Sipitin ang mga nauugnay na batas:** Ang pagbanggit sa FOI program, mga nauugnay na executive order, at mga partikular na exemption na pinanin"&amp;"iwalaan mong maaaring ilapat ay maaaring magpalakas sa iyong kahilingan.
* **Humingi ng legal na tulong:** Kung makatagpo ka ng mga hamon o nangangailangan ng karagdagang gabay, maaaring maging kapaki-pakinabang ang pagkonsulta sa isang abogado na dalubh"&amp;"asa sa FOI o batas sa edukasyon.
**Tandaan:** Sa pamamagitan ng aktibong paggamit ng mga batas ng FOI at paghahangad ng transparency, ang mga indibidwal ay maaaring mag-ambag sa pagpapanagot sa mga institusyong pang-edukasyon at pagtataguyod ng isang m"&amp;"as etikal at patas na sistema ng edukasyon sa Pilipinas.
**Disclaimer:** Ang impormasyong ito ay para sa pangkalahatang pag-unawa at hindi bumubuo ng legal na payo. Ang pagkonsulta sa isang abogado na dalubhasa sa batas sa kalayaan ng impormasyon o bat"&amp;"as sa edukasyon ay mahalaga para sa mga partikular na sitwasyon at gabay sa epektibong pag-navigate sa proseso ng paghiling ng FOI.")</f>
        <v>## Oo, ang mga indibidwal ay maaaring humiling ng mga pampublikong rekord o impormasyon na may kaugnayan sa mga pagsisiyasat sa katiwalian sa loob ng mga institusyong pang-edukasyon sa ilalim ng mga batas sa kalayaan sa impormasyon ng Pilipinas, partikular na:
**Executive Order No. 2, s. 2016:** Itong Executive Order ay nagtatatag ng Freedom of Information (FOI) Program na sumasaklaw sa lahat ng opisina ng gobyerno sa ilalim ng Executive Branch, kabilang ang DepEd at CHED. Ipinag-uutos nito ang pagsisiwalat ng mga pampublikong rekord, kabilang ang mga nauugnay sa mga pagsisiyasat sa katiwalian, **maliban sa mga bagay na nakakaapekto sa pambansang seguridad at iba pang impormasyon na nasa ilalim ng imbentaryo ng mga pagbubukod**.
**Republic Act No. 9876 (The Official Secrets Act):** Bagama't pinaghihigpitan ng Batas na ito ang pag-access sa ilang uri ng impormasyon, ang Seksyon 30 ay hindi kasama sa mga probisyon ng lihim na "mga pagsisiyasat at pagtatanong na isinagawa ng Ombudsman, Commission on Audit, at iba pang ayon sa konstitusyon. lumikha ng mga independiyenteng katawan." Nangangahulugan ito na **ang impormasyong nauugnay sa mga pagsisiyasat ng mga ahensyang ito sa mga institusyong pang-edukasyon ay karaniwang naa-access sa pamamagitan ng mga kahilingan sa FOI**.
**Republic Act No. 6735 (The Philippine Public Libraries Act):** Binibigyang-diin ng Batas na ito ang karapatan ng pag-access sa impormasyon at nag-uutos sa mga aklatan ng pamahalaan na magbigay ng access sa mga pampublikong talaan, na maaaring kabilang ang mga nauugnay na ulat sa mga pagsisiyasat na may kaugnayan sa mga institusyong pang-edukasyon.
**Mahahalagang Pagsasaalang-alang:**
* **Pamamaraan:** Habang hinihikayat ang mga kahilingan sa FOI, maaaring mag-iba ang partikular na pamamaraan para sa paghiling ng impormasyon mula sa mga institusyon. Ang pagkonsulta sa DepEd o CHED FOI manuals para sa tamang pamamaraan ay ipinapayong.
* **Mga Exemption:** Ang ilang partikular na impormasyon na nauugnay sa mga patuloy na pagsisiyasat, personal na data ng mga indibidwal na kasangkot, at classified na impormasyon ay maaaring hindi kasama sa pagbubunyag sa ilalim ng FOI program o iba pang mga batas.
* **Proseso ng mga apela:** Ang mga indibidwal ay may karapatang mag-apela kung ang kanilang kahilingan sa FOI ay tinanggihan. Ang partikular na proseso ng mga apela ay nakasalalay sa ahensyang kasangkot at mga nauugnay na regulasyon.
**Mga Karagdagang Tip:**
* **Malinaw na tukuyin ang impormasyong hinahanap mo:** Maging tiyak tungkol sa pagsisiyasat o mga rekord na iyong hinihiling at sa institusyong pang-edukasyon na kasangkot.
* **Sipitin ang mga nauugnay na batas:** Ang pagbanggit sa FOI program, mga nauugnay na executive order, at mga partikular na exemption na pinaniniwalaan mong maaaring ilapat ay maaaring magpalakas sa iyong kahilingan.
* **Humingi ng legal na tulong:** Kung makatagpo ka ng mga hamon o nangangailangan ng karagdagang gabay, maaaring maging kapaki-pakinabang ang pagkonsulta sa isang abogado na dalubhasa sa FOI o batas sa edukasyon.
**Tandaan:** Sa pamamagitan ng aktibong paggamit ng mga batas ng FOI at paghahangad ng transparency, ang mga indibidwal ay maaaring mag-ambag sa pagpapanagot sa mga institusyong pang-edukasyon at pagtataguyod ng isang mas etikal at patas na sistema ng edukasyon sa Pilipinas.
**Disclaimer:** Ang impormasyong ito ay para sa pangkalahatang pag-unawa at hindi bumubuo ng legal na payo. Ang pagkonsulta sa isang abogado na dalubhasa sa batas sa kalayaan ng impormasyon o batas sa edukasyon ay mahalaga para sa mga partikular na sitwasyon at gabay sa epektibong pag-navigate sa proseso ng paghiling ng FOI.</v>
      </c>
      <c r="F1285" s="2">
        <f t="shared" si="1"/>
        <v>0</v>
      </c>
      <c r="G1285" s="2"/>
      <c r="H1285" s="2"/>
      <c r="I1285" s="2"/>
      <c r="J1285" s="2"/>
      <c r="K1285" s="2"/>
      <c r="L1285" s="2"/>
      <c r="M1285" s="2"/>
      <c r="N1285" s="2"/>
      <c r="O1285" s="2"/>
      <c r="P1285" s="2"/>
      <c r="Q1285" s="2"/>
      <c r="R1285" s="2"/>
      <c r="S1285" s="2"/>
      <c r="T1285" s="2"/>
      <c r="U1285" s="2"/>
      <c r="V1285" s="2"/>
      <c r="W1285" s="2"/>
      <c r="X1285" s="2"/>
      <c r="Y1285" s="2"/>
      <c r="Z1285" s="2"/>
      <c r="AA1285" s="2"/>
    </row>
    <row r="1286">
      <c r="A1286" s="1" t="s">
        <v>3356</v>
      </c>
      <c r="B1286" s="1" t="s">
        <v>3737</v>
      </c>
      <c r="C1286" s="1" t="s">
        <v>3738</v>
      </c>
      <c r="D1286" s="2" t="str">
        <f>IFERROR(__xludf.DUMMYFUNCTION("GOOGLETRANSLATE(B1286, ""en"", ""TL"")"),"Paano magsusulong ang mga indibidwal para sa mga pagbabago sa pambatasan o patakaran upang matugunan ang sistematikong katiwalian sa loob ng sektor ng edukasyon?")</f>
        <v>Paano magsusulong ang mga indibidwal para sa mga pagbabago sa pambatasan o patakaran upang matugunan ang sistematikong katiwalian sa loob ng sektor ng edukasyon?</v>
      </c>
      <c r="E1286" s="2" t="str">
        <f>IFERROR(__xludf.DUMMYFUNCTION("GOOGLETRANSLATE(C1286, ""en"", ""TL"")"),"Ang mga indibidwal ay maaaring gumanap ng isang mahalagang papel sa pagtataguyod para sa mga pagbabago sa pambatasan at patakaran upang matugunan ang sistematikong katiwalian sa loob ng sektor ng edukasyon sa Pilipinas. Narito ang ilang paraan na magagawa"&amp;" nila ito, batay lamang sa batas ng Pilipinas, RA, at Konstitusyon:
**Mga Indibidwal na Pagkilos:**
* **Turuan ang iyong sarili:** Manatiling may kaalaman tungkol sa mga partikular na isyu at anyo ng katiwalian sa loob ng sektor ng edukasyon sa pamamagita"&amp;"n ng pananaliksik, mga ulat, at mga artikulo ng balita.
* **Itaas ang kamalayan:** Talakayin ang isyu sa mga kaibigan, pamilya, at komunidad, na itinatampok ang mga negatibong epekto ng katiwalian sa mga mag-aaral at kalidad ng edukasyon.
* **Makipag-ugna"&amp;"yan sa mga kinatawan ng gobyerno:** Makipag-ugnayan sa iyong mga lokal na kinatawan, senador, at iba pang may-katuturang opisyal upang ipahayag ang iyong mga alalahanin at hikayatin silang suportahan ang mga batas at patakaran laban sa katiwalian.
* **Ayu"&amp;"sin at lumahok sa mga demonstrasyon at rali:** Ang sama-samang pagkilos ay maaaring makatawag ng pansin sa isyu at mapilitan ang mga gumagawa ng patakaran na kumilos.
* **Gamitin ang social media at mga online na platform:** Magbahagi ng impormasyon, maki"&amp;"sali sa mga talakayan, at magpakilos ng suporta para sa mga hakbangin laban sa katiwalian sa pamamagitan ng social media at mga online na komunidad.
**Mga Pagtutulungang Pagsisikap:**
* **Sumali o sumuporta sa mga grupo ng adbokasiya:** Maraming NGO at ci"&amp;"vil society organization ang nagtatrabaho sa reporma sa edukasyon at laban sa katiwalian. Ang pagsali o pagsuporta sa kanilang mga pagsisikap ay maaaring palakasin ang iyong boses at mag-ambag sa kanilang mga inisyatiba.
* **Mga kampanya ng petisyon:** Ay"&amp;"usin o lumahok sa mga online o offline na kampanya ng petisyon na humihiling ng mga pagbabago sa pambatasan o mga reporma sa patakaran upang matugunan ang mga partikular na aspeto ng katiwalian sa edukasyon.
* **Mga pampublikong forum at diyalogo:** Ayusi"&amp;"n o lumahok sa mga pampublikong forum at diyalogo kasama ang mga gumagawa ng patakaran, tagapagturo, at iba pang stakeholder upang talakayin ang mga solusyon at isulong ang pagbabago.
* **Magsumite ng mga panukala at rekomendasyon:** Maghanda at magsumite"&amp;" ng mahusay na pagsasaliksik ng mga panukala at rekomendasyon sa mga kaugnay na ahensya ng gobyerno, mga komiteng pambatas, o mga komisyon sa reporma sa edukasyon.
**Legal na Balangkas:**
* **Konstitusyon ng Pilipinas:** Ang Artikulo III, Seksyon 14 ay gi"&amp;"nagarantiyahan ang karapatan sa edukasyon at nag-uutos sa Estado na itaguyod ang de-kalidad na edukasyon na magagamit ng lahat. Nagbibigay ito ng legal na batayan para sa pagtataguyod para sa mga pagbabago sa pambatasan at patakaran na naglalayong alisin "&amp;"ang katiwalian na humahadlang sa mga karapatang ito.
* **Republic Act No. 9155 (Governance of Basic Education Act):** Nagtatatag ng mga mekanismo para sa pananagutan at transparency sa mga pangunahing institusyon ng edukasyon, ngunit maaaring kailanganin "&amp;"ang karagdagang mga reporma upang matugunan ang mga sistematikong isyu.
* **Republic Act No. 7722 (Technical Education and Skills Development Act of 1994):** Mga katulad na probisyon para sa mga institusyong mas mataas na edukasyon.
**Mga Karagdagang Tip:"&amp;"**
* **Tumuon sa mga partikular na isyu:** Pumili ng mga partikular na aspeto ng katiwaliang pang-edukasyon na pagtutuunan, gaya ng mga mapanlinlang na gawi sa admission, ghost teacher, o maling paggamit ng pondo. Ginagawa nitong mas naka-target at may ep"&amp;"ekto ang iyong adbokasiya.
* **I-highlight ang mga positibong solusyon:** Kasabay ng pagpuna sa mga problema, magmungkahi ng mga kongkretong solusyon at rekomendasyon sa patakaran na sinusuportahan ng ebidensya at pananaliksik.
* **Bumuo ng mga partnershi"&amp;"p:** Makipagtulungan sa ibang mga stakeholder, gaya ng mga organisasyon ng mag-aaral, mga asosasyon ng magulang, at mga propesyonal sa edukasyon, upang lumikha ng mas malawak na kilusan para sa pagbabago.
* **Maging matiyaga at matiyaga:** Ang pagbabago a"&amp;"y nangangailangan ng oras at pagsisikap. Manatiling matiyaga sa iyong adbokasiya at ipagdiwang ang maliliit na tagumpay sa daan.
**Tandaan:** Sa pamamagitan ng aktibong pakikibahagi sa mga pagsusumikap sa adbokasiya at paggamit ng legal na balangkas, ang "&amp;"mga indibidwal ay maaaring mag-ambag sa paglikha ng isang mas etikal at transparent na sistema ng edukasyon sa Pilipinas.
**Disclaimer:** Ang impormasyong ito ay para sa pangkalahatang pag-unawa at hindi bumubuo ng legal na payo. Ang pagkonsulta sa mga ka"&amp;"ugnay na organisasyon o abogado na dalubhasa sa batas sa edukasyon o paglilitis sa interes ng publiko ay napakahalaga para sa partikular na patnubay at epektibong mga diskarte sa pagtataguyod.")</f>
        <v>Ang mga indibidwal ay maaaring gumanap ng isang mahalagang papel sa pagtataguyod para sa mga pagbabago sa pambatasan at patakaran upang matugunan ang sistematikong katiwalian sa loob ng sektor ng edukasyon sa Pilipinas. Narito ang ilang paraan na magagawa nila ito, batay lamang sa batas ng Pilipinas, RA, at Konstitusyon:
**Mga Indibidwal na Pagkilos:**
* **Turuan ang iyong sarili:** Manatiling may kaalaman tungkol sa mga partikular na isyu at anyo ng katiwalian sa loob ng sektor ng edukasyon sa pamamagitan ng pananaliksik, mga ulat, at mga artikulo ng balita.
* **Itaas ang kamalayan:** Talakayin ang isyu sa mga kaibigan, pamilya, at komunidad, na itinatampok ang mga negatibong epekto ng katiwalian sa mga mag-aaral at kalidad ng edukasyon.
* **Makipag-ugnayan sa mga kinatawan ng gobyerno:** Makipag-ugnayan sa iyong mga lokal na kinatawan, senador, at iba pang may-katuturang opisyal upang ipahayag ang iyong mga alalahanin at hikayatin silang suportahan ang mga batas at patakaran laban sa katiwalian.
* **Ayusin at lumahok sa mga demonstrasyon at rali:** Ang sama-samang pagkilos ay maaaring makatawag ng pansin sa isyu at mapilitan ang mga gumagawa ng patakaran na kumilos.
* **Gamitin ang social media at mga online na platform:** Magbahagi ng impormasyon, makisali sa mga talakayan, at magpakilos ng suporta para sa mga hakbangin laban sa katiwalian sa pamamagitan ng social media at mga online na komunidad.
**Mga Pagtutulungang Pagsisikap:**
* **Sumali o sumuporta sa mga grupo ng adbokasiya:** Maraming NGO at civil society organization ang nagtatrabaho sa reporma sa edukasyon at laban sa katiwalian. Ang pagsali o pagsuporta sa kanilang mga pagsisikap ay maaaring palakasin ang iyong boses at mag-ambag sa kanilang mga inisyatiba.
* **Mga kampanya ng petisyon:** Ayusin o lumahok sa mga online o offline na kampanya ng petisyon na humihiling ng mga pagbabago sa pambatasan o mga reporma sa patakaran upang matugunan ang mga partikular na aspeto ng katiwalian sa edukasyon.
* **Mga pampublikong forum at diyalogo:** Ayusin o lumahok sa mga pampublikong forum at diyalogo kasama ang mga gumagawa ng patakaran, tagapagturo, at iba pang stakeholder upang talakayin ang mga solusyon at isulong ang pagbabago.
* **Magsumite ng mga panukala at rekomendasyon:** Maghanda at magsumite ng mahusay na pagsasaliksik ng mga panukala at rekomendasyon sa mga kaugnay na ahensya ng gobyerno, mga komiteng pambatas, o mga komisyon sa reporma sa edukasyon.
**Legal na Balangkas:**
* **Konstitusyon ng Pilipinas:** Ang Artikulo III, Seksyon 14 ay ginagarantiyahan ang karapatan sa edukasyon at nag-uutos sa Estado na itaguyod ang de-kalidad na edukasyon na magagamit ng lahat. Nagbibigay ito ng legal na batayan para sa pagtataguyod para sa mga pagbabago sa pambatasan at patakaran na naglalayong alisin ang katiwalian na humahadlang sa mga karapatang ito.
* **Republic Act No. 9155 (Governance of Basic Education Act):** Nagtatatag ng mga mekanismo para sa pananagutan at transparency sa mga pangunahing institusyon ng edukasyon, ngunit maaaring kailanganin ang karagdagang mga reporma upang matugunan ang mga sistematikong isyu.
* **Republic Act No. 7722 (Technical Education and Skills Development Act of 1994):** Mga katulad na probisyon para sa mga institusyong mas mataas na edukasyon.
**Mga Karagdagang Tip:**
* **Tumuon sa mga partikular na isyu:** Pumili ng mga partikular na aspeto ng katiwaliang pang-edukasyon na pagtutuunan, gaya ng mga mapanlinlang na gawi sa admission, ghost teacher, o maling paggamit ng pondo. Ginagawa nitong mas naka-target at may epekto ang iyong adbokasiya.
* **I-highlight ang mga positibong solusyon:** Kasabay ng pagpuna sa mga problema, magmungkahi ng mga kongkretong solusyon at rekomendasyon sa patakaran na sinusuportahan ng ebidensya at pananaliksik.
* **Bumuo ng mga partnership:** Makipagtulungan sa ibang mga stakeholder, gaya ng mga organisasyon ng mag-aaral, mga asosasyon ng magulang, at mga propesyonal sa edukasyon, upang lumikha ng mas malawak na kilusan para sa pagbabago.
* **Maging matiyaga at matiyaga:** Ang pagbabago ay nangangailangan ng oras at pagsisikap. Manatiling matiyaga sa iyong adbokasiya at ipagdiwang ang maliliit na tagumpay sa daan.
**Tandaan:** Sa pamamagitan ng aktibong pakikibahagi sa mga pagsusumikap sa adbokasiya at paggamit ng legal na balangkas, ang mga indibidwal ay maaaring mag-ambag sa paglikha ng isang mas etikal at transparent na sistema ng edukasyon sa Pilipinas.
**Disclaimer:** Ang impormasyong ito ay para sa pangkalahatang pag-unawa at hindi bumubuo ng legal na payo. Ang pagkonsulta sa mga kaugnay na organisasyon o abogado na dalubhasa sa batas sa edukasyon o paglilitis sa interes ng publiko ay napakahalaga para sa partikular na patnubay at epektibong mga diskarte sa pagtataguyod.</v>
      </c>
      <c r="F1286" s="2">
        <f t="shared" si="1"/>
        <v>0</v>
      </c>
      <c r="G1286" s="2"/>
      <c r="H1286" s="2"/>
      <c r="I1286" s="2"/>
      <c r="J1286" s="2"/>
      <c r="K1286" s="2"/>
      <c r="L1286" s="2"/>
      <c r="M1286" s="2"/>
      <c r="N1286" s="2"/>
      <c r="O1286" s="2"/>
      <c r="P1286" s="2"/>
      <c r="Q1286" s="2"/>
      <c r="R1286" s="2"/>
      <c r="S1286" s="2"/>
      <c r="T1286" s="2"/>
      <c r="U1286" s="2"/>
      <c r="V1286" s="2"/>
      <c r="W1286" s="2"/>
      <c r="X1286" s="2"/>
      <c r="Y1286" s="2"/>
      <c r="Z1286" s="2"/>
      <c r="AA1286" s="2"/>
    </row>
    <row r="1287">
      <c r="A1287" s="1" t="s">
        <v>3356</v>
      </c>
      <c r="B1287" s="1" t="s">
        <v>3739</v>
      </c>
      <c r="C1287" s="1" t="s">
        <v>3740</v>
      </c>
      <c r="D1287" s="2" t="str">
        <f>IFERROR(__xludf.DUMMYFUNCTION("GOOGLETRANSLATE(B1287, ""en"", ""TL"")"),"Anong mga legal na proteksyon ang umiiral para sa mga mag-aaral na dumanas ng emosyonal o sikolohikal na pinsala dahil sa katiwalian sa loob ng kanilang institusyong pang-edukasyon?")</f>
        <v>Anong mga legal na proteksyon ang umiiral para sa mga mag-aaral na dumanas ng emosyonal o sikolohikal na pinsala dahil sa katiwalian sa loob ng kanilang institusyong pang-edukasyon?</v>
      </c>
      <c r="E1287" s="2" t="str">
        <f>IFERROR(__xludf.DUMMYFUNCTION("GOOGLETRANSLATE(C1287, ""en"", ""TL"")"),"## Mga Legal na Proteksyon para sa mga Mag-aaral na Sinaktan ng Korapsyon sa mga Institusyong Pang-edukasyon sa Pilipinas
Bagama't maaaring maging hamon ang **makakuha ng direktang legal na kabayaran para sa emosyonal o sikolohikal na pinsala** dahil lama"&amp;"ng sa katiwalian sa institusyong pang-edukasyon, maraming legal na balangkas at paraan ang nag-aalok ng potensyal na proteksyon para sa mga mag-aaral sa Pilipinas. Narito ang isang pangkalahatang-ideya batay lamang sa batas ng Pilipinas, RA, at mga Konsti"&amp;"tusyon:
**Mga Direktang Legal na remedyo:**
* **Limited applicability:** Gaya ng nabanggit dati, ang batas ng Pilipinas ay pangunahing nakatuon sa pagbabayad para sa mga konkreto at mabibilang na pinsala tulad ng mga pagkalugi sa pananalapi o pisikal na p"&amp;"insala. Ang emosyonal o sikolohikal na pinsala, bagaman totoo, ay maaaring mahirap isalin sa mga kabayarang pinsala.
* **Mga pagbubukod at potensyal na diskarte:** Paggalugad ng mga opsyon tulad ng:
* **Paglabag sa kontrata o tungkulin ng fiduciary:** Kun"&amp;"g ang katiwalian ay malinaw na nagdulot ng emosyonal na pinsala sa pamamagitan ng paglabag sa mga partikular na kasunduan o tungkulin na dapat bayaran sa iyo (hal., kasunduan sa scholarship o ligtas na kapaligiran sa pag-aaral), maaari kang magsagawa ng l"&amp;"egal na aksyon para sa paglabag.
* **Mga pag-aangkin ng tort:** Kung ang katiwalian ay humantong sa mga partikular na pagkakataon ng panliligalig, diskriminasyon, o iba pang sinadyang gawaing nagdudulot ng pinsala, maaaring posible ang pag-explore ng mga "&amp;"claim sa tort tulad ng sinadyang pagpapahirap ng damdamin.
**Tandaan:** Ang mga opsyong ito ay nangangailangan ng matibay na ebidensya na nag-uugnay sa katiwalian sa partikular na pinsalang dinanas mo at nagpapakita ng tindi ng epekto. Ang pagkonsulta sa "&amp;"isang abogado na nagdadalubhasa sa batas sa edukasyon ay mahalaga upang masuri ang pagiging posible ng mga pamamaraang ito.
**Di-tuwirang Mga Proteksyon at Suporta:**
* **Mga mekanismo sa pag-uulat:** Gamitin ang mga umiiral na mekanismo ng pag-uulat sa l"&amp;"oob ng institusyon, DepEd/CHED, o mga kaugnay na ahensya tulad ng Office of the Ombudsman upang iulat ang katiwalian at humingi ng pananagutan.
* **Pag-access sa suporta sa kalusugan ng isip:** Galugarin ang mga opsyon tulad ng mga serbisyo sa pagpapayo s"&amp;"a paaralan, mga programa sa kalusugan ng isip ng pamahalaan, o pribadong therapy upang matugunan ang emosyonal/sikolohikal na pinsalang dulot.
* **Mga grupo ng adbokasiya at mga network ng suporta:** Maraming NGO at grupo ng adbokasiya ang nagtatrabaho sa"&amp;" pagkakapantay-pantay sa edukasyon at laban sa katiwalian. Maaari silang magbigay ng suporta, gabay, at potensyal na legal na tulong sa mga partikular na kaso.
**Mga Kaugnay na Legal na Framework:**
* **Konstitusyon ng Pilipinas:**
* Ang Artikulo III, Sek"&amp;"syon 1 ay ginagarantiyahan ang karapatan sa buhay, kalayaan, at seguridad, na posibleng nilabag ng mga mapaminsalang gawain na nagmumula sa katiwalian.
* Ang Artikulo III, Seksyon 14 ay ginagarantiyahan ang karapatan sa edukasyon, na kinabibilangan ng kar"&amp;"apatan sa isang ligtas at malusog na kapaligiran sa pag-aaral.
* **Republic Act No. 9155 (Governance of Basic Education Act):** Nagtatatag ng mga mekanismo para sa ligtas at napapabilang na mga kapaligiran sa pag-aaral sa pangunahing edukasyon.
* **Republ"&amp;"ic Act No. 7722 (Technical Education and Skills Development Act of 1994):** Mga katulad na probisyon para sa mga institusyong mas mataas na edukasyon.
* **Republic Act No. 11036 (Mental Health Act):** Ginagarantiyahan ang mga pangunahing karapatan para sa"&amp;" mga indibidwal na nangangailangan ng mga serbisyo sa kalusugan ng pag-iisip, na posibleng may kaugnayan sa mga mag-aaral na naghahanap ng suporta dahil sa emosyonal o sikolohikal na pinsala.
**Mahalagang Paalala:**
* **Pagtugon sa ugat:** Bagama't mahala"&amp;"ga ang paghahanap ng mga legal na remedyo o suporta, ang pagtutuon sa pagtugon sa ugat ng korapsyon ay mahalaga para sa pangmatagalang proteksyon at sistematikong pagbabago. Ang pagsali sa mga pagsusumikap sa adbokasiya, pagpapanagot sa mga institusyon, a"&amp;"t pagsusulong ng mga reporma ay maaaring mag-ambag sa isang mas ligtas at mas etikal na kapaligirang pang-edukasyon para sa lahat.
**Disclaimer:** Ang impormasyong ito ay para sa pangkalahatang pag-unawa at hindi bumubuo ng legal na payo. Ang pagkonsulta "&amp;"sa isang abogado na dalubhasa sa batas sa edukasyon o batas sa kalusugan ng isip ay mahalaga para sa mga partikular na sitwasyon at mga legal na opsyon. Maaari silang magbigay ng pinasadyang payo batay sa iyong mga partikular na kalagayan at mga nauugnay "&amp;"na legal na balangkas.")</f>
        <v>## Mga Legal na Proteksyon para sa mga Mag-aaral na Sinaktan ng Korapsyon sa mga Institusyong Pang-edukasyon sa Pilipinas
Bagama't maaaring maging hamon ang **makakuha ng direktang legal na kabayaran para sa emosyonal o sikolohikal na pinsala** dahil lamang sa katiwalian sa institusyong pang-edukasyon, maraming legal na balangkas at paraan ang nag-aalok ng potensyal na proteksyon para sa mga mag-aaral sa Pilipinas. Narito ang isang pangkalahatang-ideya batay lamang sa batas ng Pilipinas, RA, at mga Konstitusyon:
**Mga Direktang Legal na remedyo:**
* **Limited applicability:** Gaya ng nabanggit dati, ang batas ng Pilipinas ay pangunahing nakatuon sa pagbabayad para sa mga konkreto at mabibilang na pinsala tulad ng mga pagkalugi sa pananalapi o pisikal na pinsala. Ang emosyonal o sikolohikal na pinsala, bagaman totoo, ay maaaring mahirap isalin sa mga kabayarang pinsala.
* **Mga pagbubukod at potensyal na diskarte:** Paggalugad ng mga opsyon tulad ng:
* **Paglabag sa kontrata o tungkulin ng fiduciary:** Kung ang katiwalian ay malinaw na nagdulot ng emosyonal na pinsala sa pamamagitan ng paglabag sa mga partikular na kasunduan o tungkulin na dapat bayaran sa iyo (hal., kasunduan sa scholarship o ligtas na kapaligiran sa pag-aaral), maaari kang magsagawa ng legal na aksyon para sa paglabag.
* **Mga pag-aangkin ng tort:** Kung ang katiwalian ay humantong sa mga partikular na pagkakataon ng panliligalig, diskriminasyon, o iba pang sinadyang gawaing nagdudulot ng pinsala, maaaring posible ang pag-explore ng mga claim sa tort tulad ng sinadyang pagpapahirap ng damdamin.
**Tandaan:** Ang mga opsyong ito ay nangangailangan ng matibay na ebidensya na nag-uugnay sa katiwalian sa partikular na pinsalang dinanas mo at nagpapakita ng tindi ng epekto. Ang pagkonsulta sa isang abogado na nagdadalubhasa sa batas sa edukasyon ay mahalaga upang masuri ang pagiging posible ng mga pamamaraang ito.
**Di-tuwirang Mga Proteksyon at Suporta:**
* **Mga mekanismo sa pag-uulat:** Gamitin ang mga umiiral na mekanismo ng pag-uulat sa loob ng institusyon, DepEd/CHED, o mga kaugnay na ahensya tulad ng Office of the Ombudsman upang iulat ang katiwalian at humingi ng pananagutan.
* **Pag-access sa suporta sa kalusugan ng isip:** Galugarin ang mga opsyon tulad ng mga serbisyo sa pagpapayo sa paaralan, mga programa sa kalusugan ng isip ng pamahalaan, o pribadong therapy upang matugunan ang emosyonal/sikolohikal na pinsalang dulot.
* **Mga grupo ng adbokasiya at mga network ng suporta:** Maraming NGO at grupo ng adbokasiya ang nagtatrabaho sa pagkakapantay-pantay sa edukasyon at laban sa katiwalian. Maaari silang magbigay ng suporta, gabay, at potensyal na legal na tulong sa mga partikular na kaso.
**Mga Kaugnay na Legal na Framework:**
* **Konstitusyon ng Pilipinas:**
* Ang Artikulo III, Seksyon 1 ay ginagarantiyahan ang karapatan sa buhay, kalayaan, at seguridad, na posibleng nilabag ng mga mapaminsalang gawain na nagmumula sa katiwalian.
* Ang Artikulo III, Seksyon 14 ay ginagarantiyahan ang karapatan sa edukasyon, na kinabibilangan ng karapatan sa isang ligtas at malusog na kapaligiran sa pag-aaral.
* **Republic Act No. 9155 (Governance of Basic Education Act):** Nagtatatag ng mga mekanismo para sa ligtas at napapabilang na mga kapaligiran sa pag-aaral sa pangunahing edukasyon.
* **Republic Act No. 7722 (Technical Education and Skills Development Act of 1994):** Mga katulad na probisyon para sa mga institusyong mas mataas na edukasyon.
* **Republic Act No. 11036 (Mental Health Act):** Ginagarantiyahan ang mga pangunahing karapatan para sa mga indibidwal na nangangailangan ng mga serbisyo sa kalusugan ng pag-iisip, na posibleng may kaugnayan sa mga mag-aaral na naghahanap ng suporta dahil sa emosyonal o sikolohikal na pinsala.
**Mahalagang Paalala:**
* **Pagtugon sa ugat:** Bagama't mahalaga ang paghahanap ng mga legal na remedyo o suporta, ang pagtutuon sa pagtugon sa ugat ng korapsyon ay mahalaga para sa pangmatagalang proteksyon at sistematikong pagbabago. Ang pagsali sa mga pagsusumikap sa adbokasiya, pagpapanagot sa mga institusyon, at pagsusulong ng mga reporma ay maaaring mag-ambag sa isang mas ligtas at mas etikal na kapaligirang pang-edukasyon para sa lahat.
**Disclaimer:** Ang impormasyong ito ay para sa pangkalahatang pag-unawa at hindi bumubuo ng legal na payo. Ang pagkonsulta sa isang abogado na dalubhasa sa batas sa edukasyon o batas sa kalusugan ng isip ay mahalaga para sa mga partikular na sitwasyon at mga legal na opsyon. Maaari silang magbigay ng pinasadyang payo batay sa iyong mga partikular na kalagayan at mga nauugnay na legal na balangkas.</v>
      </c>
      <c r="F1287" s="2">
        <f t="shared" si="1"/>
        <v>0</v>
      </c>
      <c r="G1287" s="2"/>
      <c r="H1287" s="2"/>
      <c r="I1287" s="2"/>
      <c r="J1287" s="2"/>
      <c r="K1287" s="2"/>
      <c r="L1287" s="2"/>
      <c r="M1287" s="2"/>
      <c r="N1287" s="2"/>
      <c r="O1287" s="2"/>
      <c r="P1287" s="2"/>
      <c r="Q1287" s="2"/>
      <c r="R1287" s="2"/>
      <c r="S1287" s="2"/>
      <c r="T1287" s="2"/>
      <c r="U1287" s="2"/>
      <c r="V1287" s="2"/>
      <c r="W1287" s="2"/>
      <c r="X1287" s="2"/>
      <c r="Y1287" s="2"/>
      <c r="Z1287" s="2"/>
      <c r="AA1287" s="2"/>
    </row>
    <row r="1288">
      <c r="A1288" s="1" t="s">
        <v>3356</v>
      </c>
      <c r="B1288" s="1" t="s">
        <v>3741</v>
      </c>
      <c r="C1288" s="1" t="s">
        <v>3742</v>
      </c>
      <c r="D1288" s="2" t="str">
        <f>IFERROR(__xludf.DUMMYFUNCTION("GOOGLETRANSLATE(B1288, ""en"", ""TL"")"),"Maaari bang humingi ng kabayaran ang mga indibidwal para sa pinsala sa reputasyon na nagreresulta mula sa kanilang pakikipag-ugnayan sa isang tiwaling institusyong pang-edukasyon?")</f>
        <v>Maaari bang humingi ng kabayaran ang mga indibidwal para sa pinsala sa reputasyon na nagreresulta mula sa kanilang pakikipag-ugnayan sa isang tiwaling institusyong pang-edukasyon?</v>
      </c>
      <c r="E1288" s="2" t="str">
        <f>IFERROR(__xludf.DUMMYFUNCTION("GOOGLETRANSLATE(C1288, ""en"", ""TL"")"),"Sa kasamaang-palad, **ang paghingi ng kabayaran para lamang sa pinsala sa reputasyon na nagreresulta mula sa pakikisama sa isang tiwaling institusyong pang-edukasyon ay mahirap sa ilalim ng kasalukuyang batas, RA, at Konstitusyon ng Pilipinas.** Bagama't "&amp;"ang emosyonal na pagkabalisa o pinsala sa reputasyon ay maaaring totoo sa mga ganitong sitwasyon, ang pagkuha ng legal na kabayaran ay tanging sa mga batayan na iyon ay nagpapakita ng mga makabuluhang hadlang.
Narito kung bakit:
**Mga Hamon:**
* **Ang kah"&amp;"irapan sa pag-uugnay ng pinsala:** Ang pagtatatag ng malinaw at direktang ugnayan sa pagitan ng katiwalian ng institusyon at sa iyong partikular na pinsala sa reputasyon ay napakahalaga. Kailangan mo ng maipapakitang katibayan na ang partikular na katiwal"&amp;"ian ay humantong sa isang negatibong epekto sa iyong reputasyon, naiiba sa iba pang mga kadahilanan.
* **Limitadong legal na pagkilala:** Pangunahing nakatuon ang mga batas sa Pilipinas sa pagbabayad para sa mga konkreto at mabibilang na pinsala, tulad ng"&amp;" mga pagkalugi sa pananalapi o pisikal na pinsala. Ang hindi nakikitang pinsala tulad ng pinsala sa reputasyon ay karaniwang hindi gaanong kinikilala para sa kabayaran, na nagpapahirap sa pagbuo ng isang malakas na kaso.
* **Burden of proof:** Ang pasanin"&amp;" ay nakasalalay sa iyo upang patunayan ang katiwalian at ang resultang pinsala sa iyong reputasyon. Ito ay maaaring maging mapaghamong, nangangailangan ng malaking ebidensya at legal na kadalubhasaan.
* **Mga alternatibong paraan:** Bagama't maaaring mahi"&amp;"rap ang direktang kabayaran para sa pinsala sa reputasyon, ang paggalugad ng iba pang mga legal na paraan ay maaaring maging mas magagawa depende sa mga partikular na pangyayari. Kabilang dito ang:
* **Humihingi ng legal na aksyon laban sa institusyon par"&amp;"a sa paglabag sa kontrata o tungkulin ng fiduciary, kung maipakitang nauugnay sa katiwalian at nagdudulot sa iyo ng pinsala.**
* **Pag-uulat ng katiwalian sa mga may-katuturang awtoridad at paghahabol ng aksyong pandisiplina laban sa mga indibidwal na san"&amp;"gkot, na posibleng humantong sa pananagutan at pagpigil.**
* **Pagsali sa pampublikong adbokasiya upang imulat ang kaalaman tungkol sa isyu at ipilit ang institusyon para sa reporma, na maaaring hindi direktang mapabuti ang iyong reputasyon.**
**Mahalagan"&amp;"g Paalala:**
* **Ang pagkonsulta sa isang abogado na dalubhasa sa batas sa edukasyon o civil litigation ay mahalaga para sa isang masusing pagtatasa ng iyong sitwasyon at mga potensyal na legal na opsyon.** Maaari ka nilang payuhan sa pagiging posible ng "&amp;"paghabol ng kabayaran at ang pinakaepektibong mga diskarte para sa pagtugon sa iyong mga alalahanin sa loob ng legal na balangkas.
Tandaan, habang ang pagkuha ng kabayaran para sa tanging pinsala sa reputasyon ay maaaring maging mahirap, ang paggalugad ng"&amp;" mga alternatibong legal na paraan at paghahangad ng pananagutan para sa mga tiwaling gawi ay maaaring magbigay ng daan para sa positibong pagbabago at maprotektahan ang iba mula sa mga katulad na karanasan.")</f>
        <v>Sa kasamaang-palad, **ang paghingi ng kabayaran para lamang sa pinsala sa reputasyon na nagreresulta mula sa pakikisama sa isang tiwaling institusyong pang-edukasyon ay mahirap sa ilalim ng kasalukuyang batas, RA, at Konstitusyon ng Pilipinas.** Bagama't ang emosyonal na pagkabalisa o pinsala sa reputasyon ay maaaring totoo sa mga ganitong sitwasyon, ang pagkuha ng legal na kabayaran ay tanging sa mga batayan na iyon ay nagpapakita ng mga makabuluhang hadlang.
Narito kung bakit:
**Mga Hamon:**
* **Ang kahirapan sa pag-uugnay ng pinsala:** Ang pagtatatag ng malinaw at direktang ugnayan sa pagitan ng katiwalian ng institusyon at sa iyong partikular na pinsala sa reputasyon ay napakahalaga. Kailangan mo ng maipapakitang katibayan na ang partikular na katiwalian ay humantong sa isang negatibong epekto sa iyong reputasyon, naiiba sa iba pang mga kadahilanan.
* **Limitadong legal na pagkilala:** Pangunahing nakatuon ang mga batas sa Pilipinas sa pagbabayad para sa mga konkreto at mabibilang na pinsala, tulad ng mga pagkalugi sa pananalapi o pisikal na pinsala. Ang hindi nakikitang pinsala tulad ng pinsala sa reputasyon ay karaniwang hindi gaanong kinikilala para sa kabayaran, na nagpapahirap sa pagbuo ng isang malakas na kaso.
* **Burden of proof:** Ang pasanin ay nakasalalay sa iyo upang patunayan ang katiwalian at ang resultang pinsala sa iyong reputasyon. Ito ay maaaring maging mapaghamong, nangangailangan ng malaking ebidensya at legal na kadalubhasaan.
* **Mga alternatibong paraan:** Bagama't maaaring mahirap ang direktang kabayaran para sa pinsala sa reputasyon, ang paggalugad ng iba pang mga legal na paraan ay maaaring maging mas magagawa depende sa mga partikular na pangyayari. Kabilang dito ang:
* **Humihingi ng legal na aksyon laban sa institusyon para sa paglabag sa kontrata o tungkulin ng fiduciary, kung maipakitang nauugnay sa katiwalian at nagdudulot sa iyo ng pinsala.**
* **Pag-uulat ng katiwalian sa mga may-katuturang awtoridad at paghahabol ng aksyong pandisiplina laban sa mga indibidwal na sangkot, na posibleng humantong sa pananagutan at pagpigil.**
* **Pagsali sa pampublikong adbokasiya upang imulat ang kaalaman tungkol sa isyu at ipilit ang institusyon para sa reporma, na maaaring hindi direktang mapabuti ang iyong reputasyon.**
**Mahalagang Paalala:**
* **Ang pagkonsulta sa isang abogado na dalubhasa sa batas sa edukasyon o civil litigation ay mahalaga para sa isang masusing pagtatasa ng iyong sitwasyon at mga potensyal na legal na opsyon.** Maaari ka nilang payuhan sa pagiging posible ng paghabol ng kabayaran at ang pinakaepektibong mga diskarte para sa pagtugon sa iyong mga alalahanin sa loob ng legal na balangkas.
Tandaan, habang ang pagkuha ng kabayaran para sa tanging pinsala sa reputasyon ay maaaring maging mahirap, ang paggalugad ng mga alternatibong legal na paraan at paghahangad ng pananagutan para sa mga tiwaling gawi ay maaaring magbigay ng daan para sa positibong pagbabago at maprotektahan ang iba mula sa mga katulad na karanasan.</v>
      </c>
      <c r="F1288" s="2">
        <f t="shared" si="1"/>
        <v>0</v>
      </c>
      <c r="G1288" s="2"/>
      <c r="H1288" s="2"/>
      <c r="I1288" s="2"/>
      <c r="J1288" s="2"/>
      <c r="K1288" s="2"/>
      <c r="L1288" s="2"/>
      <c r="M1288" s="2"/>
      <c r="N1288" s="2"/>
      <c r="O1288" s="2"/>
      <c r="P1288" s="2"/>
      <c r="Q1288" s="2"/>
      <c r="R1288" s="2"/>
      <c r="S1288" s="2"/>
      <c r="T1288" s="2"/>
      <c r="U1288" s="2"/>
      <c r="V1288" s="2"/>
      <c r="W1288" s="2"/>
      <c r="X1288" s="2"/>
      <c r="Y1288" s="2"/>
      <c r="Z1288" s="2"/>
      <c r="AA1288" s="2"/>
    </row>
    <row r="1289">
      <c r="A1289" s="1" t="s">
        <v>3356</v>
      </c>
      <c r="B1289" s="1" t="s">
        <v>3743</v>
      </c>
      <c r="C1289" s="1" t="s">
        <v>3744</v>
      </c>
      <c r="D1289" s="2" t="str">
        <f>IFERROR(__xludf.DUMMYFUNCTION("GOOGLETRANSLATE(B1289, ""en"", ""TL"")"),"Paano tinutugunan ng mga internasyonal na kasunduan o mga kasunduan ang korapsyon sa cross-border sa edukasyon, at anong mga legal na mekanismo ang magagamit para sa pagpapatupad?")</f>
        <v>Paano tinutugunan ng mga internasyonal na kasunduan o mga kasunduan ang korapsyon sa cross-border sa edukasyon, at anong mga legal na mekanismo ang magagamit para sa pagpapatupad?</v>
      </c>
      <c r="E1289" s="2" t="str">
        <f>IFERROR(__xludf.DUMMYFUNCTION("GOOGLETRANSLATE(C1289, ""en"", ""TL"")"),"## Mga Pandaigdigang Kasunduan at Mekanismo para sa Korapsyon sa Cross-Border Education (PH Perspective)
Habang ang batas ng Pilipinas, RA, at Konstitusyon ay pangunahing namamahala sa mga lokal na mekanismong legal, maraming mga internasyonal na kasundua"&amp;"n at kasunduan ang tumutugon sa korapsyon sa cross-border sa edukasyon, na nag-aalok ng mga potensyal na paraan para matugunan ang mga naturang isyu. Gayunpaman, mahalagang tandaan na **maaaring kumplikado ang pagpapatupad at kinabibilangan ng pag-navigat"&amp;"e sa mga internasyonal na legal na framework.**
**Mga Kaugnay na Internasyonal na Kasunduan:**
* **United Nations Convention against Corruption (UNCAC):**
* Ang malawakang niratipikahang kombensiyon na ito ay nagsakriminal sa iba't ibang mga tiwaling gawa"&amp;"in, kabilang ang panunuhol, paglustay, at pangangalakal sa impluwensya, na naaangkop sa mga aktibidad na pang-edukasyon sa cross-border.
* Ito ay nangangailangan ng mga estado na magtatag ng mga mekanismo para sa internasyonal na kooperasyon, kabilang ang"&amp;" pagpapalitan ng impormasyon, mutual legal na tulong, at extradition.
* Ang Pilipinas ay lumagda sa UNCAC at nagpatupad ng mga kaugnay na probisyon sa pamamagitan ng lokal na batas tulad ng Republic Act No. 9579 (Anti-Money Laundering Act).
* **UNESCO Con"&amp;"vention laban sa Diskriminasyon sa Edukasyon:**
* Ang convention na ito ay nagtataguyod ng pantay na pag-access sa edukasyon at ipinagbabawal ang diskriminasyon, kabilang ang mga batayan na may kaugnayan sa katiwalian.
* Hinihikayat nito ang internasyonal"&amp;" na kooperasyon sa paglaban sa diskriminasyong pang-edukasyon sa pamamagitan ng pagpapalitan ng impormasyon at tulong teknikal.
* Ang Pilipinas ay lumagda din sa kumbensyong ito, na lalong nagpapatibay sa pangako nito sa patas na mga oportunidad sa edukas"&amp;"yon.
* **OECD Guidelines for Quality Provision in Cross-Border Higher Education:**
* Ang mga walang-bisang alituntuning ito ay nagtatakda ng mga pamantayan para sa kalidad ng kasiguruhan at transparency sa cross-border na mas mataas na edukasyon, na nagla"&amp;"layong maiwasan ang mga mapanlinlang na gawi at itaguyod ang etikal na pag-uugali.
* Bagama't hindi legal na may bisa, nag-aalok sila ng balangkas para sa pagtatasa at pagtugon sa mga alalahanin sa kalidad na posibleng nauugnay sa katiwalian.
**Mga Mekani"&amp;"smo ng Pagpapatupad:**
* **State-to-State Cooperation:** Maaaring gamitin ng mga bansa ang balangkas ng UNCAC para sa internasyonal na kooperasyon upang imbestigahan at usigin ang korapsyon sa cross-border sa edukasyon. Maaaring kabilang dito ang pagpapal"&amp;"itan ng impormasyon, magkasanib na pagsisiyasat, o mga kahilingan sa extradition depende sa partikular na kaso at mga naaangkop na kasunduan.
* **Civil Society Organizations (CSOs):** Ang mga NGO at advocacy group ay maaaring gumanap ng mahalagang papel s"&amp;"a pagsubaybay, paglalantad, at pagtataguyod laban sa cross-border educational corruption. Maaari nilang gamitin ang mga mekanismo sa pag-uulat ng internasyonal na inaalok ng UNCAC at iba pang nauugnay na mga katawan.
* **Indibidwal na Legal na Aksyon:** B"&amp;"agama't hindi gaanong karaniwan, ang mga indibidwal na posibleng maapektuhan ng cross-border na katiwaliang pang-edukasyon ay maaaring tuklasin ang mga legal na opsyon sa nauugnay na hurisdiksyon ng dayuhan sa tulong ng mga internasyonal na abogado at mga"&amp;" organisasyon ng tulong legal.
**Mga Hamon at Pagsasaalang-alang:**
* **Ang pagiging kumplikado ng mga internasyonal na legal na sistema:** Ang pag-navigate sa iba't ibang hurisdiksyon at legal na balangkas ay maaaring maging mahirap, na nangangailangan n"&amp;"g espesyal na kadalubhasaan.
* **Mga mekanismo ng limitadong pagpapatupad:** Bagama't ang mga kasunduan ay maaaring humimok ng kooperasyon, ang epektibong pagpapatupad ay kadalasang umaasa sa political will at pakikipagtulungan sa pagitan ng mga estado, n"&amp;"a maaaring maging kumplikado.
* **Limitadong indibidwal na pag-access:** Maaaring mahihirapan ang mga indibidwal sa pag-access ng mga legal na remedyo sa mga dayuhang hurisdiksyon at pag-navigate sa mga kumplikadong internasyonal na legal na pamamaraan.
*"&amp;"*Konklusyon:**
Ang mga internasyonal na kasunduan at kasunduan ay nagbibigay ng isang balangkas para sa pagtugon sa cross-border na katiwaliang pang-edukasyon, ngunit ang pagpapatupad ay maaaring kumplikado at nangangailangan ng estratehikong pag-navigate"&amp;" ng mga internasyonal na legal na sistema. Bagama't mahalaga ang mga lokal na legal na opsyon sa loob ng Pilipinas, ang pag-unawa sa mga internasyonal na instrumento at mekanismong ito ay maaaring mag-ambag sa isang mas komprehensibong diskarte sa paglaba"&amp;"n sa mga ganitong gawain.
**Disclaimer:** Ang impormasyong ito ay para sa pangkalahatang pag-unawa at hindi bumubuo ng legal na payo. Ang pagkonsulta sa mga abogado na dalubhasa sa internasyonal na batas o batas sa edukasyon ay mahalaga para sa mga partik"&amp;"ular na sitwasyon at potensyal na legal na aksyon.")</f>
        <v>## Mga Pandaigdigang Kasunduan at Mekanismo para sa Korapsyon sa Cross-Border Education (PH Perspective)
Habang ang batas ng Pilipinas, RA, at Konstitusyon ay pangunahing namamahala sa mga lokal na mekanismong legal, maraming mga internasyonal na kasunduan at kasunduan ang tumutugon sa korapsyon sa cross-border sa edukasyon, na nag-aalok ng mga potensyal na paraan para matugunan ang mga naturang isyu. Gayunpaman, mahalagang tandaan na **maaaring kumplikado ang pagpapatupad at kinabibilangan ng pag-navigate sa mga internasyonal na legal na framework.**
**Mga Kaugnay na Internasyonal na Kasunduan:**
* **United Nations Convention against Corruption (UNCAC):**
* Ang malawakang niratipikahang kombensiyon na ito ay nagsakriminal sa iba't ibang mga tiwaling gawain, kabilang ang panunuhol, paglustay, at pangangalakal sa impluwensya, na naaangkop sa mga aktibidad na pang-edukasyon sa cross-border.
* Ito ay nangangailangan ng mga estado na magtatag ng mga mekanismo para sa internasyonal na kooperasyon, kabilang ang pagpapalitan ng impormasyon, mutual legal na tulong, at extradition.
* Ang Pilipinas ay lumagda sa UNCAC at nagpatupad ng mga kaugnay na probisyon sa pamamagitan ng lokal na batas tulad ng Republic Act No. 9579 (Anti-Money Laundering Act).
* **UNESCO Convention laban sa Diskriminasyon sa Edukasyon:**
* Ang convention na ito ay nagtataguyod ng pantay na pag-access sa edukasyon at ipinagbabawal ang diskriminasyon, kabilang ang mga batayan na may kaugnayan sa katiwalian.
* Hinihikayat nito ang internasyonal na kooperasyon sa paglaban sa diskriminasyong pang-edukasyon sa pamamagitan ng pagpapalitan ng impormasyon at tulong teknikal.
* Ang Pilipinas ay lumagda din sa kumbensyong ito, na lalong nagpapatibay sa pangako nito sa patas na mga oportunidad sa edukasyon.
* **OECD Guidelines for Quality Provision in Cross-Border Higher Education:**
* Ang mga walang-bisang alituntuning ito ay nagtatakda ng mga pamantayan para sa kalidad ng kasiguruhan at transparency sa cross-border na mas mataas na edukasyon, na naglalayong maiwasan ang mga mapanlinlang na gawi at itaguyod ang etikal na pag-uugali.
* Bagama't hindi legal na may bisa, nag-aalok sila ng balangkas para sa pagtatasa at pagtugon sa mga alalahanin sa kalidad na posibleng nauugnay sa katiwalian.
**Mga Mekanismo ng Pagpapatupad:**
* **State-to-State Cooperation:** Maaaring gamitin ng mga bansa ang balangkas ng UNCAC para sa internasyonal na kooperasyon upang imbestigahan at usigin ang korapsyon sa cross-border sa edukasyon. Maaaring kabilang dito ang pagpapalitan ng impormasyon, magkasanib na pagsisiyasat, o mga kahilingan sa extradition depende sa partikular na kaso at mga naaangkop na kasunduan.
* **Civil Society Organizations (CSOs):** Ang mga NGO at advocacy group ay maaaring gumanap ng mahalagang papel sa pagsubaybay, paglalantad, at pagtataguyod laban sa cross-border educational corruption. Maaari nilang gamitin ang mga mekanismo sa pag-uulat ng internasyonal na inaalok ng UNCAC at iba pang nauugnay na mga katawan.
* **Indibidwal na Legal na Aksyon:** Bagama't hindi gaanong karaniwan, ang mga indibidwal na posibleng maapektuhan ng cross-border na katiwaliang pang-edukasyon ay maaaring tuklasin ang mga legal na opsyon sa nauugnay na hurisdiksyon ng dayuhan sa tulong ng mga internasyonal na abogado at mga organisasyon ng tulong legal.
**Mga Hamon at Pagsasaalang-alang:**
* **Ang pagiging kumplikado ng mga internasyonal na legal na sistema:** Ang pag-navigate sa iba't ibang hurisdiksyon at legal na balangkas ay maaaring maging mahirap, na nangangailangan ng espesyal na kadalubhasaan.
* **Mga mekanismo ng limitadong pagpapatupad:** Bagama't ang mga kasunduan ay maaaring humimok ng kooperasyon, ang epektibong pagpapatupad ay kadalasang umaasa sa political will at pakikipagtulungan sa pagitan ng mga estado, na maaaring maging kumplikado.
* **Limitadong indibidwal na pag-access:** Maaaring mahihirapan ang mga indibidwal sa pag-access ng mga legal na remedyo sa mga dayuhang hurisdiksyon at pag-navigate sa mga kumplikadong internasyonal na legal na pamamaraan.
**Konklusyon:**
Ang mga internasyonal na kasunduan at kasunduan ay nagbibigay ng isang balangkas para sa pagtugon sa cross-border na katiwaliang pang-edukasyon, ngunit ang pagpapatupad ay maaaring kumplikado at nangangailangan ng estratehikong pag-navigate ng mga internasyonal na legal na sistema. Bagama't mahalaga ang mga lokal na legal na opsyon sa loob ng Pilipinas, ang pag-unawa sa mga internasyonal na instrumento at mekanismong ito ay maaaring mag-ambag sa isang mas komprehensibong diskarte sa paglaban sa mga ganitong gawain.
**Disclaimer:** Ang impormasyong ito ay para sa pangkalahatang pag-unawa at hindi bumubuo ng legal na payo. Ang pagkonsulta sa mga abogado na dalubhasa sa internasyonal na batas o batas sa edukasyon ay mahalaga para sa mga partikular na sitwasyon at potensyal na legal na aksyon.</v>
      </c>
      <c r="F1289" s="2">
        <f t="shared" si="1"/>
        <v>0</v>
      </c>
      <c r="G1289" s="2"/>
      <c r="H1289" s="2"/>
      <c r="I1289" s="2"/>
      <c r="J1289" s="2"/>
      <c r="K1289" s="2"/>
      <c r="L1289" s="2"/>
      <c r="M1289" s="2"/>
      <c r="N1289" s="2"/>
      <c r="O1289" s="2"/>
      <c r="P1289" s="2"/>
      <c r="Q1289" s="2"/>
      <c r="R1289" s="2"/>
      <c r="S1289" s="2"/>
      <c r="T1289" s="2"/>
      <c r="U1289" s="2"/>
      <c r="V1289" s="2"/>
      <c r="W1289" s="2"/>
      <c r="X1289" s="2"/>
      <c r="Y1289" s="2"/>
      <c r="Z1289" s="2"/>
      <c r="AA1289" s="2"/>
    </row>
    <row r="1290">
      <c r="A1290" s="1" t="s">
        <v>3356</v>
      </c>
      <c r="B1290" s="1" t="s">
        <v>3745</v>
      </c>
      <c r="C1290" s="1" t="s">
        <v>3746</v>
      </c>
      <c r="D1290" s="2" t="str">
        <f>IFERROR(__xludf.DUMMYFUNCTION("GOOGLETRANSLATE(B1290, ""en"", ""TL"")"),"Maaari bang magsagawa ng legal na aksyon ang mga indibidwal laban sa mga institusyong pang-edukasyon para sa paglabag sa kontrata o paglabag sa tungkulin ng fiduciary na may kaugnayan sa katiwalian?")</f>
        <v>Maaari bang magsagawa ng legal na aksyon ang mga indibidwal laban sa mga institusyong pang-edukasyon para sa paglabag sa kontrata o paglabag sa tungkulin ng fiduciary na may kaugnayan sa katiwalian?</v>
      </c>
      <c r="E1290" s="2" t="str">
        <f>IFERROR(__xludf.DUMMYFUNCTION("GOOGLETRANSLATE(C1290, ""en"", ""TL"")"),"## Mga Potensyal na Legal na Opsyon para sa Paglabag sa Kontrata o Fiduciary Duty sa Education Corruption (PH Law)
**Ang mga indibidwal ay maaaring may potensyal na legal na batayan upang isulong ang aksyon laban sa mga institusyong pang-edukasyon para sa"&amp;" paglabag sa kontrata o paglabag sa tungkulin ng fiduciary na may kaugnayan sa katiwalian sa Pilipinas**, batay lamang sa batas ng Pilipinas, RA, at Konstitusyon. Gayunpaman, ang tagumpay ay lubos na nakadepende sa mga partikular na pangyayari, pagpapatun"&amp;"ay sa mga claim, at pag-navigate sa legal na tanawin sa madiskarteng paraan.
**Mga Potensyal na Avenue:**
* **Paglabag sa Kontrata:** Maaari kang makipagtalo ng paglabag sa kontrata kung nabigo ang institusyon na maihatid ang ipinangakong edukasyon dahil "&amp;"sa katiwalian, lumalabag sa anumang mga tuntuning kontraktwal na nauugnay sa:
* **Mga kasunduan sa pagpasok:** Kung ang institusyon ay nasangkot sa mga tiwaling gawi sa panahon ng admission, tinatanggihan ka ng isang ipinangakong lugar sa kabila ng pagtup"&amp;"ad sa mga kinakailangan.
* **Mga kasunduan sa scholarship:** Kung ang mga scholarship ay iginawad nang hindi patas dahil sa katiwalian, lumalabag sa mga tuntunin ng kasunduan sa scholarship kung saan ka kwalipikado.
* **Mga handbook o patakaran ng mag-aar"&amp;"al:** Kung ang mga patakaran ng institusyon tungkol sa akademikong integridad o patas na pagtrato ay nilabag dahil sa mga tiwaling gawi.
* **Paglabag sa Tungkulin sa Fiduciary:** Kung ang institusyon ay may hawak na tungkulin sa katiwala sa iyo (hal., isa"&amp;"ng tagapagbigay ng scholarship), maaari kang makipagtalo ng paglabag kung kumilos sila para sa kanilang sariling interes o para sa kapakinabangan ng iba sa pamamagitan ng mga tiwaling gawain, na nagdudulot ng pinsala sa iyong mga pagkakataong pang-edukasy"&amp;"on.
**Mga Hamon:**
* **Pagpapatunay ng sanhi:** Ang pagpapakita ng malinaw na ugnayan sa pagitan ng partikular na tiwaling gawain at paglabag sa kontrata o tungkulin ng katiwala ay napakahalaga. Kailangan mo ng matibay na ebidensya na nag-uugnay sa katiwa"&amp;"lian sa iyong sitwasyon.
* **Mga partikular na tuntunin ng mga kasunduan:** Ang tagumpay ng mga paghahabol sa kontrata ay nakasalalay sa partikular na mga salita at mga tuntunin ng anumang mga kasunduan na mayroon ka sa institusyon.
* **Burden of proof:**"&amp;" Ang pasanin ng patunay ay nasa iyo upang ipakita ang lahat ng elemento ng iyong paghahabol, kabilang ang katiwalian, ang epekto nito sa tungkulin sa kontrata/fiduciary, at ang nagresultang pinsala sa iyo.
* **Pagiging kumplikado at mga gastos:** Ang lega"&amp;"l na aksyon ay maaaring magtagal, magastos, at nangangailangan ng espesyal na legal na kadalubhasaan sa batas sa edukasyon at sibil na paglilitis.
**Mga Karagdagang Pagsasaalang-alang:**
* **Mga panloob na pamamaraan ng karaingan:** Bago ituloy ang legal "&amp;"na aksyon, isaalang-alang ang paggamit ng mga panloob na pamamaraan ng karaingan ng institusyon upang maubos ang lahat ng mga panloob na remedyo.
* **Alternatibong paglutas ng dispute (ADR):** Isaalang-alang ang mga mekanismo ng ADR tulad ng pamamagitan o"&amp;" arbitrasyon, na maaaring mag-alok ng mas mabilis at posibleng mas murang mga resolusyon.
* **Pampublikong adbokasiya:** Ang pagpapataas ng kamalayan sa pamamagitan ng media o mga online na platform ay maaaring magpilit sa institusyon na tugunan ang isyu "&amp;"at posibleng mahikayat ang iba na sumulong.
**Legal na Balangkas:**
* **Saligang-Batas ng Pilipinas:** Ginagarantiyahan ng Artikulo III, Seksyon 14 ang karapatan sa edukasyon at ginagarantiyahan ng Artikulo III, Seksyon 7 ang karapatan sa angkop na proses"&amp;"o, na posibleng nilabag ng hindi patas na mga gawain dahil sa katiwalian.
* **Civil Code of the Philippines:** Nag-aalok ng mga probisyon para sa paglabag sa kontrata, pinsala, at paglabag sa tungkulin ng fiduciary, na maaaring may kaugnayan depende sa pa"&amp;"rtikular na mga pangyayari.
* **Republic Act No. 9155 (Governance of Basic Education Act):** Nagtatatag ng mga mekanismo para sa pananagutan at transparency sa mga pangunahing institusyon ng edukasyon.
* **Republic Act No. 7722 (Technical Education and Sk"&amp;"ills Development Act of 1994):** Nagbibigay ng mga katulad na probisyon para sa mga institusyong mas mataas na edukasyon.
**Disclaimer:** Ang impormasyong ito ay para sa pangkalahatang pag-unawa at hindi dapat ituring na legal na payo. Ang pagkonsulta sa "&amp;"isang abogado na dalubhasa sa batas sa edukasyon ay mahalaga para sa isang detalyadong pagtatasa ng iyong partikular na sitwasyon, mga potensyal na legal na opsyon, at ang posibilidad na magtagumpay. Maaari ka nilang payuhan sa pinakamahusay na diskarte b"&amp;"atay sa ebidensya at naaangkop na mga batas at regulasyon.
Tandaan, ang paghahangad ng legal na aksyon ay isang kumplikadong desisyon, at ang paghahanap ng propesyonal na legal na patnubay ay mahalaga bago magpatuloy.")</f>
        <v>## Mga Potensyal na Legal na Opsyon para sa Paglabag sa Kontrata o Fiduciary Duty sa Education Corruption (PH Law)
**Ang mga indibidwal ay maaaring may potensyal na legal na batayan upang isulong ang aksyon laban sa mga institusyong pang-edukasyon para sa paglabag sa kontrata o paglabag sa tungkulin ng fiduciary na may kaugnayan sa katiwalian sa Pilipinas**, batay lamang sa batas ng Pilipinas, RA, at Konstitusyon. Gayunpaman, ang tagumpay ay lubos na nakadepende sa mga partikular na pangyayari, pagpapatunay sa mga claim, at pag-navigate sa legal na tanawin sa madiskarteng paraan.
**Mga Potensyal na Avenue:**
* **Paglabag sa Kontrata:** Maaari kang makipagtalo ng paglabag sa kontrata kung nabigo ang institusyon na maihatid ang ipinangakong edukasyon dahil sa katiwalian, lumalabag sa anumang mga tuntuning kontraktwal na nauugnay sa:
* **Mga kasunduan sa pagpasok:** Kung ang institusyon ay nasangkot sa mga tiwaling gawi sa panahon ng admission, tinatanggihan ka ng isang ipinangakong lugar sa kabila ng pagtupad sa mga kinakailangan.
* **Mga kasunduan sa scholarship:** Kung ang mga scholarship ay iginawad nang hindi patas dahil sa katiwalian, lumalabag sa mga tuntunin ng kasunduan sa scholarship kung saan ka kwalipikado.
* **Mga handbook o patakaran ng mag-aaral:** Kung ang mga patakaran ng institusyon tungkol sa akademikong integridad o patas na pagtrato ay nilabag dahil sa mga tiwaling gawi.
* **Paglabag sa Tungkulin sa Fiduciary:** Kung ang institusyon ay may hawak na tungkulin sa katiwala sa iyo (hal., isang tagapagbigay ng scholarship), maaari kang makipagtalo ng paglabag kung kumilos sila para sa kanilang sariling interes o para sa kapakinabangan ng iba sa pamamagitan ng mga tiwaling gawain, na nagdudulot ng pinsala sa iyong mga pagkakataong pang-edukasyon.
**Mga Hamon:**
* **Pagpapatunay ng sanhi:** Ang pagpapakita ng malinaw na ugnayan sa pagitan ng partikular na tiwaling gawain at paglabag sa kontrata o tungkulin ng katiwala ay napakahalaga. Kailangan mo ng matibay na ebidensya na nag-uugnay sa katiwalian sa iyong sitwasyon.
* **Mga partikular na tuntunin ng mga kasunduan:** Ang tagumpay ng mga paghahabol sa kontrata ay nakasalalay sa partikular na mga salita at mga tuntunin ng anumang mga kasunduan na mayroon ka sa institusyon.
* **Burden of proof:** Ang pasanin ng patunay ay nasa iyo upang ipakita ang lahat ng elemento ng iyong paghahabol, kabilang ang katiwalian, ang epekto nito sa tungkulin sa kontrata/fiduciary, at ang nagresultang pinsala sa iyo.
* **Pagiging kumplikado at mga gastos:** Ang legal na aksyon ay maaaring magtagal, magastos, at nangangailangan ng espesyal na legal na kadalubhasaan sa batas sa edukasyon at sibil na paglilitis.
**Mga Karagdagang Pagsasaalang-alang:**
* **Mga panloob na pamamaraan ng karaingan:** Bago ituloy ang legal na aksyon, isaalang-alang ang paggamit ng mga panloob na pamamaraan ng karaingan ng institusyon upang maubos ang lahat ng mga panloob na remedyo.
* **Alternatibong paglutas ng dispute (ADR):** Isaalang-alang ang mga mekanismo ng ADR tulad ng pamamagitan o arbitrasyon, na maaaring mag-alok ng mas mabilis at posibleng mas murang mga resolusyon.
* **Pampublikong adbokasiya:** Ang pagpapataas ng kamalayan sa pamamagitan ng media o mga online na platform ay maaaring magpilit sa institusyon na tugunan ang isyu at posibleng mahikayat ang iba na sumulong.
**Legal na Balangkas:**
* **Saligang-Batas ng Pilipinas:** Ginagarantiyahan ng Artikulo III, Seksyon 14 ang karapatan sa edukasyon at ginagarantiyahan ng Artikulo III, Seksyon 7 ang karapatan sa angkop na proseso, na posibleng nilabag ng hindi patas na mga gawain dahil sa katiwalian.
* **Civil Code of the Philippines:** Nag-aalok ng mga probisyon para sa paglabag sa kontrata, pinsala, at paglabag sa tungkulin ng fiduciary, na maaaring may kaugnayan depende sa partikular na mga pangyayari.
* **Republic Act No. 9155 (Governance of Basic Education Act):** Nagtatatag ng mga mekanismo para sa pananagutan at transparency sa mga pangunahing institusyon ng edukasyon.
* **Republic Act No. 7722 (Technical Education and Skills Development Act of 1994):** Nagbibigay ng mga katulad na probisyon para sa mga institusyong mas mataas na edukasyon.
**Disclaimer:** Ang impormasyong ito ay para sa pangkalahatang pag-unawa at hindi dapat ituring na legal na payo. Ang pagkonsulta sa isang abogado na dalubhasa sa batas sa edukasyon ay mahalaga para sa isang detalyadong pagtatasa ng iyong partikular na sitwasyon, mga potensyal na legal na opsyon, at ang posibilidad na magtagumpay. Maaari ka nilang payuhan sa pinakamahusay na diskarte batay sa ebidensya at naaangkop na mga batas at regulasyon.
Tandaan, ang paghahangad ng legal na aksyon ay isang kumplikadong desisyon, at ang paghahanap ng propesyonal na legal na patnubay ay mahalaga bago magpatuloy.</v>
      </c>
      <c r="F1290" s="2">
        <f t="shared" si="1"/>
        <v>0</v>
      </c>
      <c r="G1290" s="2"/>
      <c r="H1290" s="2"/>
      <c r="I1290" s="2"/>
      <c r="J1290" s="2"/>
      <c r="K1290" s="2"/>
      <c r="L1290" s="2"/>
      <c r="M1290" s="2"/>
      <c r="N1290" s="2"/>
      <c r="O1290" s="2"/>
      <c r="P1290" s="2"/>
      <c r="Q1290" s="2"/>
      <c r="R1290" s="2"/>
      <c r="S1290" s="2"/>
      <c r="T1290" s="2"/>
      <c r="U1290" s="2"/>
      <c r="V1290" s="2"/>
      <c r="W1290" s="2"/>
      <c r="X1290" s="2"/>
      <c r="Y1290" s="2"/>
      <c r="Z1290" s="2"/>
      <c r="AA1290" s="2"/>
    </row>
    <row r="1291">
      <c r="A1291" s="1" t="s">
        <v>3356</v>
      </c>
      <c r="B1291" s="1" t="s">
        <v>3747</v>
      </c>
      <c r="C1291" s="1" t="s">
        <v>3748</v>
      </c>
      <c r="D1291" s="2" t="str">
        <f>IFERROR(__xludf.DUMMYFUNCTION("GOOGLETRANSLATE(B1291, ""en"", ""TL"")"),"Paano nakikipag-ugnay ang mga batas sa karapatang sibil sa mga kaso na kinasasangkutan ng katiwalian sa edukasyon, partikular na tungkol sa mga isyu ng diskriminasyon o hindi pantay na pag-access sa mga pagkakataong pang-edukasyon?")</f>
        <v>Paano nakikipag-ugnay ang mga batas sa karapatang sibil sa mga kaso na kinasasangkutan ng katiwalian sa edukasyon, partikular na tungkol sa mga isyu ng diskriminasyon o hindi pantay na pag-access sa mga pagkakataong pang-edukasyon?</v>
      </c>
      <c r="E1291" s="2" t="str">
        <f>IFERROR(__xludf.DUMMYFUNCTION("GOOGLETRANSLATE(C1291, ""en"", ""TL"")"),"Sa Pilipinas, ang mga batas sa karapatang sibil ay makabuluhang sumasalubong sa mga kaso na kinasasangkutan ng katiwalian sa edukasyon, partikular na tungkol sa mga isyu ng diskriminasyon at hindi pantay na pag-access sa mga oportunidad sa edukasyon. Gani"&amp;"to, batay lamang sa batas ng Pilipinas, RA, at Konstitusyon:
**Mga Pangunahing Batas sa Karapatang Sibil:**
* **Konstitusyon ng Pilipinas:**
* **Artikulo III, Seksyon 1:** Ginagarantiyahan ang pantay na proteksyon ng batas, na nagbabawal sa diskriminasyon"&amp;" batay sa anumang arbitraryong batayan.
* **Artikulo XIV, Seksyon 1:** Kinikilala ang karapatan sa edukasyon at nag-uutos sa Estado na isulong ang de-kalidad na edukasyon na magagamit ng lahat.
* **Artikulo XIV, Seksyon 2:** Ipinagbabawal ang anumang uri "&amp;"ng diskriminasyon sa mga institusyong pang-edukasyon.
* **Republic Act No. 9155 (Governance of Basic Education Act):** Itinataguyod ang karapatan sa inclusive education at ipinagbabawal ang diskriminasyon sa mga pangunahing institusyon ng edukasyon.
* **R"&amp;"epublic Act No. 7877 (Anti-Discrimination Act):** Ipinagbabawal ang diskriminasyon sa iba't ibang batayan, kabilang ang pag-access sa edukasyon.
**Pag-intersection sa Korapsyon:**
* **Ang katiwalian ay maaaring lumikha ng mga kasanayan sa diskriminasyon:*"&amp;"* Halimbawa, ang mga panunuhol o paboritismo sa mga proseso ng admission ay maaaring makapinsala sa mga kwalipikadong mag-aaral mula sa mga mahihirap na background, na lumalabag sa kanilang mga karapatan sa pantay na proteksyon.
* **Ang maling alokasyon n"&amp;"g mga pondo dahil sa katiwalian ay maaaring humantong sa hindi pantay na pag-access:** Kung ang mga mapagkukunan ay inililihis sa pamamagitan ng mga katiwalian, ang mga paaralan sa mga marginalized na lugar ay maaaring kulang sa mga pasilidad o mga kwalip"&amp;"ikadong guro, na nagpapatuloy sa hindi pantay na mga pagkakataon.
* **Ang mga maling marka o manipulahin na mga talaan dahil sa katiwalian ay maaaring hindi patas na makapinsala sa mga mag-aaral:** Ito ay direktang nakakaapekto sa kanilang akademikong kat"&amp;"ayuan at pag-access sa mas mataas na edukasyon o mga iskolarsip, na lumalabag sa kanilang karapatan sa patas na pagtrato at pantay na pagkakataon.
**Paghahain ng mga Reklamo:**
* **Ang mga indibidwal ay maaaring magsampa ng mga reklamo sa iba't ibang mga "&amp;"katawan:**
* **Commission on Human Rights (CHR):** Iniimbestigahan ang mga reklamo ng diskriminasyon batay sa Anti-Discrimination Act.
* **Department of Education (DepEd) o Commission on Higher Education (CHED):** Pangasiwaan ang mga reklamong may kaugnay"&amp;"an sa access at inclusivity sa kani-kanilang sektor.
* **Opisina ng Ombudsman:** Iniimbestigahan ang mga reklamo ng maling pag-uugali ng mga pampublikong opisyal, kabilang ang mga sangkot sa mga institusyong pang-edukasyon.
**Mga Hamon at Pagsasaalang-ala"&amp;"ng:**
* **Pagpapatunay ng diskriminasyon:** Ang pagpapakita ng direktang ugnayan sa pagitan ng tiwaling gawi at mga resulta ng diskriminasyon ay maaaring maging mahirap.
* **Mga kumplikadong legal na proseso:** Ang paghahangad ng mga legal na remedyo ay m"&amp;"aaaring magtagal at nangangailangan ng legal na kadalubhasaan.
* **Kailangan ng ebidensya:** Ang matibay na ebidensya, gaya ng mga dokumento, testigo, o data, ay mahalaga upang suportahan ang iyong mga claim.
**Kahalagahan ng Adbokasiya:**
* **Pagpapalaki"&amp;" ng kamalayan:** Ang mga kampanya ng pampublikong kamalayan ay maaaring magpilit sa mga awtoridad na tugunan ang katiwalian at panindigan ang pantay na pag-access sa edukasyon.
* **Pagsuporta sa mga grupo ng adbokasiya:** Ang pagsali o pagsuporta sa mga N"&amp;"GO na nagtatrabaho sa katarungang pang-edukasyon at laban sa katiwalian ay maaaring palakasin ang iyong boses at pagsisikap.
**Tandaan:**
* Ang mga batas sa karapatang sibil ay nag-aalok ng mga legal na paraan upang hamunin ang mga gawaing may diskriminas"&amp;"yon sa edukasyon na nauugnay sa katiwalian.
* Ang pangangalap ng ebidensya, paghingi ng legal na patnubay, at pakikipagtulungan sa mga grupo ng adbokasiya ay maaaring magpatibay sa iyong kaso.
* Sa pamamagitan ng pagpapanagot sa mga institusyon at pagtata"&amp;"guyod para sa transparency, ang mga indibidwal ay maaaring mag-ambag sa paglikha ng isang mas patas at makatarungang sistema ng edukasyon sa Pilipinas.
**Disclaimer:** Ang impormasyong ito ay para sa pangkalahatang pag-unawa at hindi bumubuo ng legal na p"&amp;"ayo. Ang pagkonsulta sa isang abogado na dalubhasa sa batas sa edukasyon, karapatang pantao, o laban sa diskriminasyon ay mahalaga para sa partikular na patnubay at legal na aksyon sa iyong kaso.")</f>
        <v>Sa Pilipinas, ang mga batas sa karapatang sibil ay makabuluhang sumasalubong sa mga kaso na kinasasangkutan ng katiwalian sa edukasyon, partikular na tungkol sa mga isyu ng diskriminasyon at hindi pantay na pag-access sa mga oportunidad sa edukasyon. Ganito, batay lamang sa batas ng Pilipinas, RA, at Konstitusyon:
**Mga Pangunahing Batas sa Karapatang Sibil:**
* **Konstitusyon ng Pilipinas:**
* **Artikulo III, Seksyon 1:** Ginagarantiyahan ang pantay na proteksyon ng batas, na nagbabawal sa diskriminasyon batay sa anumang arbitraryong batayan.
* **Artikulo XIV, Seksyon 1:** Kinikilala ang karapatan sa edukasyon at nag-uutos sa Estado na isulong ang de-kalidad na edukasyon na magagamit ng lahat.
* **Artikulo XIV, Seksyon 2:** Ipinagbabawal ang anumang uri ng diskriminasyon sa mga institusyong pang-edukasyon.
* **Republic Act No. 9155 (Governance of Basic Education Act):** Itinataguyod ang karapatan sa inclusive education at ipinagbabawal ang diskriminasyon sa mga pangunahing institusyon ng edukasyon.
* **Republic Act No. 7877 (Anti-Discrimination Act):** Ipinagbabawal ang diskriminasyon sa iba't ibang batayan, kabilang ang pag-access sa edukasyon.
**Pag-intersection sa Korapsyon:**
* **Ang katiwalian ay maaaring lumikha ng mga kasanayan sa diskriminasyon:** Halimbawa, ang mga panunuhol o paboritismo sa mga proseso ng admission ay maaaring makapinsala sa mga kwalipikadong mag-aaral mula sa mga mahihirap na background, na lumalabag sa kanilang mga karapatan sa pantay na proteksyon.
* **Ang maling alokasyon ng mga pondo dahil sa katiwalian ay maaaring humantong sa hindi pantay na pag-access:** Kung ang mga mapagkukunan ay inililihis sa pamamagitan ng mga katiwalian, ang mga paaralan sa mga marginalized na lugar ay maaaring kulang sa mga pasilidad o mga kwalipikadong guro, na nagpapatuloy sa hindi pantay na mga pagkakataon.
* **Ang mga maling marka o manipulahin na mga talaan dahil sa katiwalian ay maaaring hindi patas na makapinsala sa mga mag-aaral:** Ito ay direktang nakakaapekto sa kanilang akademikong katayuan at pag-access sa mas mataas na edukasyon o mga iskolarsip, na lumalabag sa kanilang karapatan sa patas na pagtrato at pantay na pagkakataon.
**Paghahain ng mga Reklamo:**
* **Ang mga indibidwal ay maaaring magsampa ng mga reklamo sa iba't ibang mga katawan:**
* **Commission on Human Rights (CHR):** Iniimbestigahan ang mga reklamo ng diskriminasyon batay sa Anti-Discrimination Act.
* **Department of Education (DepEd) o Commission on Higher Education (CHED):** Pangasiwaan ang mga reklamong may kaugnayan sa access at inclusivity sa kani-kanilang sektor.
* **Opisina ng Ombudsman:** Iniimbestigahan ang mga reklamo ng maling pag-uugali ng mga pampublikong opisyal, kabilang ang mga sangkot sa mga institusyong pang-edukasyon.
**Mga Hamon at Pagsasaalang-alang:**
* **Pagpapatunay ng diskriminasyon:** Ang pagpapakita ng direktang ugnayan sa pagitan ng tiwaling gawi at mga resulta ng diskriminasyon ay maaaring maging mahirap.
* **Mga kumplikadong legal na proseso:** Ang paghahangad ng mga legal na remedyo ay maaaring magtagal at nangangailangan ng legal na kadalubhasaan.
* **Kailangan ng ebidensya:** Ang matibay na ebidensya, gaya ng mga dokumento, testigo, o data, ay mahalaga upang suportahan ang iyong mga claim.
**Kahalagahan ng Adbokasiya:**
* **Pagpapalaki ng kamalayan:** Ang mga kampanya ng pampublikong kamalayan ay maaaring magpilit sa mga awtoridad na tugunan ang katiwalian at panindigan ang pantay na pag-access sa edukasyon.
* **Pagsuporta sa mga grupo ng adbokasiya:** Ang pagsali o pagsuporta sa mga NGO na nagtatrabaho sa katarungang pang-edukasyon at laban sa katiwalian ay maaaring palakasin ang iyong boses at pagsisikap.
**Tandaan:**
* Ang mga batas sa karapatang sibil ay nag-aalok ng mga legal na paraan upang hamunin ang mga gawaing may diskriminasyon sa edukasyon na nauugnay sa katiwalian.
* Ang pangangalap ng ebidensya, paghingi ng legal na patnubay, at pakikipagtulungan sa mga grupo ng adbokasiya ay maaaring magpatibay sa iyong kaso.
* Sa pamamagitan ng pagpapanagot sa mga institusyon at pagtataguyod para sa transparency, ang mga indibidwal ay maaaring mag-ambag sa paglikha ng isang mas patas at makatarungang sistema ng edukasyon sa Pilipinas.
**Disclaimer:** Ang impormasyong ito ay para sa pangkalahatang pag-unawa at hindi bumubuo ng legal na payo. Ang pagkonsulta sa isang abogado na dalubhasa sa batas sa edukasyon, karapatang pantao, o laban sa diskriminasyon ay mahalaga para sa partikular na patnubay at legal na aksyon sa iyong kaso.</v>
      </c>
      <c r="F1291" s="2">
        <f t="shared" si="1"/>
        <v>0</v>
      </c>
      <c r="G1291" s="2"/>
      <c r="H1291" s="2"/>
      <c r="I1291" s="2"/>
      <c r="J1291" s="2"/>
      <c r="K1291" s="2"/>
      <c r="L1291" s="2"/>
      <c r="M1291" s="2"/>
      <c r="N1291" s="2"/>
      <c r="O1291" s="2"/>
      <c r="P1291" s="2"/>
      <c r="Q1291" s="2"/>
      <c r="R1291" s="2"/>
      <c r="S1291" s="2"/>
      <c r="T1291" s="2"/>
      <c r="U1291" s="2"/>
      <c r="V1291" s="2"/>
      <c r="W1291" s="2"/>
      <c r="X1291" s="2"/>
      <c r="Y1291" s="2"/>
      <c r="Z1291" s="2"/>
      <c r="AA1291" s="2"/>
    </row>
    <row r="1292">
      <c r="A1292" s="1" t="s">
        <v>3356</v>
      </c>
      <c r="B1292" s="1" t="s">
        <v>3749</v>
      </c>
      <c r="C1292" s="1" t="s">
        <v>3750</v>
      </c>
      <c r="D1292" s="2" t="str">
        <f>IFERROR(__xludf.DUMMYFUNCTION("GOOGLETRANSLATE(B1292, ""en"", ""TL"")"),"Maaari bang magsampa ng mga reklamo ang mga indibidwal sa mga propesyonal na lupon ng paglilisensya laban sa mga tagapagturo o administrador na sangkot sa mga tiwaling gawi?")</f>
        <v>Maaari bang magsampa ng mga reklamo ang mga indibidwal sa mga propesyonal na lupon ng paglilisensya laban sa mga tagapagturo o administrador na sangkot sa mga tiwaling gawi?</v>
      </c>
      <c r="E1292" s="2" t="str">
        <f>IFERROR(__xludf.DUMMYFUNCTION("GOOGLETRANSLATE(C1292, ""en"", ""TL"")"),"Oo, sa Pilipinas, ang mga indibidwal ay maaaring magsampa ng mga reklamo sa mga propesyonal na lupon ng paglilisensya laban sa mga tagapagturo o mga administrador na sangkot sa mga katiwalian, batay lamang sa batas ng Pilipinas, RA, at mga Konstitusyon. G"&amp;"ayunpaman, ang partikular na proseso at posibilidad ng tagumpay ay nakasalalay sa likas na katangian ng tiwaling gawi at ang naaangkop na lupon ng paglilisensya.
**Kwalipikado para sa Paghahain ng Mga Reklamo:**
* **Licensing Board Jurisdiction:** Ang tag"&amp;"apagturo o administrator ay dapat na lisensyado sa ilalim ng isang partikular na board na may hurisdiksyon sa kanilang propesyon. Kasama sa mga halimbawa ang:
* **Professional Regulation Commission (PRC):** Sinasaklaw ang mga guro, administrador ng paaral"&amp;"an, at iba pang propesyonal sa edukasyon.
* **Lupon ng Nursing:** Namamahala sa mga nars at midwife.
* **Professional Regulatory Board of Medicine:** Nangangasiwa sa mga doktor at iba pang medikal na propesyonal.
* **Mga Batayan ng Reklamo:** Ang tiwaling"&amp;" gawi ay dapat na nasa ilalim ng batayan ng lupon para sa aksyong pandisiplina, na karaniwang kinabibilangan ng:
* **Kawalang-katapatan, pandaraya, o panlilinlang.**
* **Hindi etikal na pag-uugali o propesyonal na maling pag-uugali.**
* **Gross na kapabay"&amp;"aan o kawalan ng kakayahan.**
* **Paglabag sa mga nauugnay na batas o regulasyon.**
**Proseso ng Pag-file:**
Ang bawat licensing board ay may sarili nitong mga partikular na pamamaraan para sa paghahain ng mga reklamo. Sa pangkalahatan, kakailanganin mong"&amp;" magsumite ng nakasulat na reklamo na may sumusuportang ebidensya, gaya ng:
* Detalyadong paglalarawan ng di-umano'y maling pag-uugali.
* Mga patotoo ng saksi (kung naaangkop).
* Mga dokumento o recording na nagpapatunay sa mga paratang.
**Mahahalagang Pa"&amp;"gsasaalang-alang:**
* **Pagtitipon ng Ebidensya:** Ang pagbuo ng isang matibay na kaso na may konkretong ebidensya ay napakahalaga para sa lupon upang seryosong imbestigahan ang iyong reklamo.
* **Legal na Tulong:** Ang pagkonsulta sa isang abogado na dal"&amp;"ubhasa sa administratibong batas o ang partikular na propesyon na kasangkot ay maaaring makatulong upang i-navigate ang proseso at i-maximize ang iyong mga pagkakataong magtagumpay.
* **Pagiging Kumpidensyal:** Ang mga board ay karaniwang nagpapanatili ng"&amp;" pagiging kumpidensyal sa panahon ng mga pagsisiyasat, ngunit ang mga indibidwal na detalye ay maaaring ibunyag sa panahon ng mga pagdinig o paglilitis sa pagdidisiplina.
* **Mga Alternatibong Abenida:** Depende sa sitwasyon, maaari mo ring isaalang-alang"&amp;" ang pag-uulat ng isyu sa mga internal governance body ng institusyon o mga kaugnay na ahensya ng gobyerno tulad ng Department of Education (DepEd) o Commission on Higher Education (CHED).
**Legal na Balangkas:**
* **Saligang-Batas ng Pilipinas:** Ginagar"&amp;"antiyahan ng Artikulo III, Seksyon 1 ang karapatan sa angkop na proseso, na nalalapat sa mga pagsisiyasat at paglilitis sa pagdidisiplina ng mga lupon ng paglilisensya.
* **Republic Act No. 8423 (Professional Regulation Commission Act):** Itinatatag ang P"&amp;"RC at ang awtoridad nito sa iba't ibang propesyon, na binabalangkas ang mga pamamaraan sa pagdidisiplina.
* **Republic Act No. 7722 (Technical Education and Skills Development Act of 1994):** Nagbibigay ng katulad na kapangyarihan sa CHED hinggil sa mga p"&amp;"ropesyonal sa mas mataas na edukasyon.
* **Republic Act No. 9155 (Governance of Basic Education Act):** Nagtatakda ng mga pamantayan para sa pananagutan at transparency sa mga pangunahing institusyon ng edukasyon.
**Disclaimer:** Ang impormasyong ito ay p"&amp;"ara sa pangkalahatang pag-unawa at hindi dapat ituring na legal na payo. Ang pagkonsulta sa isang abogado na may kadalubhasaan sa administratibong batas o ang partikular na propesyon na kasangkot ay mahalaga para sa isang detalyadong pagtatasa ng iyong si"&amp;"twasyon at ang pinaka-epektibong paraan ng pagkilos.")</f>
        <v>Oo, sa Pilipinas, ang mga indibidwal ay maaaring magsampa ng mga reklamo sa mga propesyonal na lupon ng paglilisensya laban sa mga tagapagturo o mga administrador na sangkot sa mga katiwalian, batay lamang sa batas ng Pilipinas, RA, at mga Konstitusyon. Gayunpaman, ang partikular na proseso at posibilidad ng tagumpay ay nakasalalay sa likas na katangian ng tiwaling gawi at ang naaangkop na lupon ng paglilisensya.
**Kwalipikado para sa Paghahain ng Mga Reklamo:**
* **Licensing Board Jurisdiction:** Ang tagapagturo o administrator ay dapat na lisensyado sa ilalim ng isang partikular na board na may hurisdiksyon sa kanilang propesyon. Kasama sa mga halimbawa ang:
* **Professional Regulation Commission (PRC):** Sinasaklaw ang mga guro, administrador ng paaralan, at iba pang propesyonal sa edukasyon.
* **Lupon ng Nursing:** Namamahala sa mga nars at midwife.
* **Professional Regulatory Board of Medicine:** Nangangasiwa sa mga doktor at iba pang medikal na propesyonal.
* **Mga Batayan ng Reklamo:** Ang tiwaling gawi ay dapat na nasa ilalim ng batayan ng lupon para sa aksyong pandisiplina, na karaniwang kinabibilangan ng:
* **Kawalang-katapatan, pandaraya, o panlilinlang.**
* **Hindi etikal na pag-uugali o propesyonal na maling pag-uugali.**
* **Gross na kapabayaan o kawalan ng kakayahan.**
* **Paglabag sa mga nauugnay na batas o regulasyon.**
**Proseso ng Pag-file:**
Ang bawat licensing board ay may sarili nitong mga partikular na pamamaraan para sa paghahain ng mga reklamo. Sa pangkalahatan, kakailanganin mong magsumite ng nakasulat na reklamo na may sumusuportang ebidensya, gaya ng:
* Detalyadong paglalarawan ng di-umano'y maling pag-uugali.
* Mga patotoo ng saksi (kung naaangkop).
* Mga dokumento o recording na nagpapatunay sa mga paratang.
**Mahahalagang Pagsasaalang-alang:**
* **Pagtitipon ng Ebidensya:** Ang pagbuo ng isang matibay na kaso na may konkretong ebidensya ay napakahalaga para sa lupon upang seryosong imbestigahan ang iyong reklamo.
* **Legal na Tulong:** Ang pagkonsulta sa isang abogado na dalubhasa sa administratibong batas o ang partikular na propesyon na kasangkot ay maaaring makatulong upang i-navigate ang proseso at i-maximize ang iyong mga pagkakataong magtagumpay.
* **Pagiging Kumpidensyal:** Ang mga board ay karaniwang nagpapanatili ng pagiging kumpidensyal sa panahon ng mga pagsisiyasat, ngunit ang mga indibidwal na detalye ay maaaring ibunyag sa panahon ng mga pagdinig o paglilitis sa pagdidisiplina.
* **Mga Alternatibong Abenida:** Depende sa sitwasyon, maaari mo ring isaalang-alang ang pag-uulat ng isyu sa mga internal governance body ng institusyon o mga kaugnay na ahensya ng gobyerno tulad ng Department of Education (DepEd) o Commission on Higher Education (CHED).
**Legal na Balangkas:**
* **Saligang-Batas ng Pilipinas:** Ginagarantiyahan ng Artikulo III, Seksyon 1 ang karapatan sa angkop na proseso, na nalalapat sa mga pagsisiyasat at paglilitis sa pagdidisiplina ng mga lupon ng paglilisensya.
* **Republic Act No. 8423 (Professional Regulation Commission Act):** Itinatatag ang PRC at ang awtoridad nito sa iba't ibang propesyon, na binabalangkas ang mga pamamaraan sa pagdidisiplina.
* **Republic Act No. 7722 (Technical Education and Skills Development Act of 1994):** Nagbibigay ng katulad na kapangyarihan sa CHED hinggil sa mga propesyonal sa mas mataas na edukasyon.
* **Republic Act No. 9155 (Governance of Basic Education Act):** Nagtatakda ng mga pamantayan para sa pananagutan at transparency sa mga pangunahing institusyon ng edukasyon.
**Disclaimer:** Ang impormasyong ito ay para sa pangkalahatang pag-unawa at hindi dapat ituring na legal na payo. Ang pagkonsulta sa isang abogado na may kadalubhasaan sa administratibong batas o ang partikular na propesyon na kasangkot ay mahalaga para sa isang detalyadong pagtatasa ng iyong sitwasyon at ang pinaka-epektibong paraan ng pagkilos.</v>
      </c>
      <c r="F1292" s="2">
        <f t="shared" si="1"/>
        <v>0</v>
      </c>
      <c r="G1292" s="2"/>
      <c r="H1292" s="2"/>
      <c r="I1292" s="2"/>
      <c r="J1292" s="2"/>
      <c r="K1292" s="2"/>
      <c r="L1292" s="2"/>
      <c r="M1292" s="2"/>
      <c r="N1292" s="2"/>
      <c r="O1292" s="2"/>
      <c r="P1292" s="2"/>
      <c r="Q1292" s="2"/>
      <c r="R1292" s="2"/>
      <c r="S1292" s="2"/>
      <c r="T1292" s="2"/>
      <c r="U1292" s="2"/>
      <c r="V1292" s="2"/>
      <c r="W1292" s="2"/>
      <c r="X1292" s="2"/>
      <c r="Y1292" s="2"/>
      <c r="Z1292" s="2"/>
      <c r="AA1292" s="2"/>
    </row>
    <row r="1293">
      <c r="A1293" s="1" t="s">
        <v>3356</v>
      </c>
      <c r="B1293" s="1" t="s">
        <v>3751</v>
      </c>
      <c r="C1293" s="1" t="s">
        <v>3752</v>
      </c>
      <c r="D1293" s="2" t="str">
        <f>IFERROR(__xludf.DUMMYFUNCTION("GOOGLETRANSLATE(B1293, ""en"", ""TL"")"),"Paano magsusulong ang mga indibidwal para sa transparency at pananagutan sa loob ng mga institusyong pang-edukasyon upang maiwasan ang mga hinaharap na pagkakataon ng katiwalian?")</f>
        <v>Paano magsusulong ang mga indibidwal para sa transparency at pananagutan sa loob ng mga institusyong pang-edukasyon upang maiwasan ang mga hinaharap na pagkakataon ng katiwalian?</v>
      </c>
      <c r="E1293" s="2" t="str">
        <f>IFERROR(__xludf.DUMMYFUNCTION("GOOGLETRANSLATE(C1293, ""en"", ""TL"")"),"Ang mga indibidwal ay maaaring gumanap ng isang mahalagang papel sa pagtataguyod ng transparency at pananagutan sa loob ng mga institusyong pang-edukasyon sa Pilipinas, batay lamang sa batas ng Pilipinas, RA, at mga Konstitusyon. Narito ang ilang paraan n"&amp;"a maaari nilang isulong ang pagbabago:
**Mga Indibidwal na Pagkilos:**
* **Humiling ng impormasyon:** Gamitin ang iyong karapatang ma-access ang impormasyong ginagarantiyahan ng Konstitusyon (Artikulo III, Seksyon 7) upang humiling ng data sa mga ba"&amp;"dyet, proseso ng pagkuha, kwalipikasyon ng mga guro, at pagganap ng mag-aaral.
* **Makilahok sa pamamahala ng paaralan:** Aktibong makisali sa mga katawan ng pamamahala ng paaralan tulad ng mga konseho ng mag-aaral, mga asosasyon ng magulang, o mga komit"&amp;"eng pang-akademiko, na naglalabas ng mga alalahanin at humihiling ng transparency sa mga proseso ng paggawa ng desisyon.
* **Mag-ulat ng pinaghihinalaang katiwalian:** Magsampa ng mga reklamo sa mga may-katuturang awtoridad tulad ng Department of Educati"&amp;"on (DepEd), Commission on Higher Education (CHED), o Office of the Ombudsman kung pinaghihinalaan mo ang mga katiwalian. 
* **Gumamit ng mga mekanismo ng karaingan:** Epektibong gamitin ang mga panloob na pamamaraan ng karaingan ng institusyon upang matu"&amp;"gunan ang mga alalahanin at humingi ng kabayaran para sa mga hindi patas na gawi.
* **Manatiling may kaalaman:** Subaybayan ang mga balita at mga ulat tungkol sa katiwalian na may kaugnayan sa edukasyon, pagpapalaki ng kamalayan sa pamamagitan ng mga tal"&amp;"akayan sa mga kapantay, pamilya, at komunidad.
**Mga Kolektibong Pagkilos:**
* **Sumali sa mga advocacy group:** Makipagtulungan sa mga organisasyon ng mag-aaral, samahan ng magulang, alumni network, o NGO na nagtatrabaho para sa transparency at pan"&amp;"anagutan sa edukasyon.
* **Ayusin ang mga kampanya at petisyon:** Sama-samang isulong ang mga pagbabago sa patakaran na nagtataguyod ng transparency, gaya ng pampublikong pagsisiwalat ng mga ulat sa pananalapi, proseso ng pagpili ng mga guro, at data ng "&amp;"pagganap ng mag-aaral.
* **Gumamit ng social media at mga online na platform:** Magbahagi ng impormasyon, itaas ang kamalayan, at pakilusin ang pampublikong suporta para sa mga hakbangin laban sa katiwalian sa edukasyon.
* **Panagutin ang mga institusyo"&amp;"n:** Subaybayan ang mga tugon ng mga awtoridad sa mga reklamo at panagutin sila para sa mabisang pagkilos laban sa katiwalian.
**Mga Legal na Mapagkukunan:**
* **Mga kahilingan sa Freedom of Information (FOI):** Gamitin ang portal ng FOI o direktang"&amp;" magsumite ng mga kahilingan sa mga institusyon upang ma-access ang may-katuturang impormasyon.
* **Mga hotline at mekanismo ng reklamo ng DepEd at CHED:** Mag-ulat ng mga alalahanin at maghain ng mga reklamo sa pamamagitan ng mga itinatag na channel sa "&amp;"loob ng mga ahensya ng gobyerno na ito.
* **Legal na tulong mula sa mga NGO:** Ang ilang NGO ay nag-aalok ng legal na tulong o patnubay sa mga indibidwal na nahaharap sa mga isyu na may kaugnayan sa korapsyon sa edukasyon.
**Mahahalagang Paalala:**
"&amp;"
* Ang pagtataguyod para sa pagbabago ay maaaring maging mahirap, ngunit ang sama-samang pagkilos at pagpupursige ay mahalaga.
* Palaging idokumento ang iyong mga aksyon at komunikasyon, panatilihin ang mga talaan ng mga kahilingan, reklamo, at tugon mul"&amp;"a sa mga awtoridad.
* Magkaroon ng kamalayan sa mga potensyal na panganib at humingi ng suporta mula sa iba kung kinakailangan.
* Isaalang-alang ang pagkonsulta sa mga abogado na dalubhasa sa batas sa edukasyon o paglilitis sa interes ng publiko para sa"&amp;" partikular na patnubay.
**Tandaan:** Sa pamamagitan ng aktibong pagtataguyod para sa transparency at pananagutan, ang mga indibidwal ay maaaring mag-ambag sa paglikha ng isang mas etikal at patas na kapaligirang pang-edukasyon sa Pilipinas.
**Discl"&amp;"aimer:** Ang impormasyong ito ay para sa pangkalahatang pag-unawa at hindi bumubuo ng legal na payo. Napakahalagang kumonsulta sa mga may-katuturang awtoridad o humingi ng propesyonal na patnubay para sa mga partikular na sitwasyon at legal na aksyon.")</f>
        <v>Ang mga indibidwal ay maaaring gumanap ng isang mahalagang papel sa pagtataguyod ng transparency at pananagutan sa loob ng mga institusyong pang-edukasyon sa Pilipinas, batay lamang sa batas ng Pilipinas, RA, at mga Konstitusyon. Narito ang ilang paraan na maaari nilang isulong ang pagbabago:
**Mga Indibidwal na Pagkilos:**
* **Humiling ng impormasyon:** Gamitin ang iyong karapatang ma-access ang impormasyong ginagarantiyahan ng Konstitusyon (Artikulo III, Seksyon 7) upang humiling ng data sa mga badyet, proseso ng pagkuha, kwalipikasyon ng mga guro, at pagganap ng mag-aaral.
* **Makilahok sa pamamahala ng paaralan:** Aktibong makisali sa mga katawan ng pamamahala ng paaralan tulad ng mga konseho ng mag-aaral, mga asosasyon ng magulang, o mga komiteng pang-akademiko, na naglalabas ng mga alalahanin at humihiling ng transparency sa mga proseso ng paggawa ng desisyon.
* **Mag-ulat ng pinaghihinalaang katiwalian:** Magsampa ng mga reklamo sa mga may-katuturang awtoridad tulad ng Department of Education (DepEd), Commission on Higher Education (CHED), o Office of the Ombudsman kung pinaghihinalaan mo ang mga katiwalian. 
* **Gumamit ng mga mekanismo ng karaingan:** Epektibong gamitin ang mga panloob na pamamaraan ng karaingan ng institusyon upang matugunan ang mga alalahanin at humingi ng kabayaran para sa mga hindi patas na gawi.
* **Manatiling may kaalaman:** Subaybayan ang mga balita at mga ulat tungkol sa katiwalian na may kaugnayan sa edukasyon, pagpapalaki ng kamalayan sa pamamagitan ng mga talakayan sa mga kapantay, pamilya, at komunidad.
**Mga Kolektibong Pagkilos:**
* **Sumali sa mga advocacy group:** Makipagtulungan sa mga organisasyon ng mag-aaral, samahan ng magulang, alumni network, o NGO na nagtatrabaho para sa transparency at pananagutan sa edukasyon.
* **Ayusin ang mga kampanya at petisyon:** Sama-samang isulong ang mga pagbabago sa patakaran na nagtataguyod ng transparency, gaya ng pampublikong pagsisiwalat ng mga ulat sa pananalapi, proseso ng pagpili ng mga guro, at data ng pagganap ng mag-aaral.
* **Gumamit ng social media at mga online na platform:** Magbahagi ng impormasyon, itaas ang kamalayan, at pakilusin ang pampublikong suporta para sa mga hakbangin laban sa katiwalian sa edukasyon.
* **Panagutin ang mga institusyon:** Subaybayan ang mga tugon ng mga awtoridad sa mga reklamo at panagutin sila para sa mabisang pagkilos laban sa katiwalian.
**Mga Legal na Mapagkukunan:**
* **Mga kahilingan sa Freedom of Information (FOI):** Gamitin ang portal ng FOI o direktang magsumite ng mga kahilingan sa mga institusyon upang ma-access ang may-katuturang impormasyon.
* **Mga hotline at mekanismo ng reklamo ng DepEd at CHED:** Mag-ulat ng mga alalahanin at maghain ng mga reklamo sa pamamagitan ng mga itinatag na channel sa loob ng mga ahensya ng gobyerno na ito.
* **Legal na tulong mula sa mga NGO:** Ang ilang NGO ay nag-aalok ng legal na tulong o patnubay sa mga indibidwal na nahaharap sa mga isyu na may kaugnayan sa korapsyon sa edukasyon.
**Mahahalagang Paalala:**
* Ang pagtataguyod para sa pagbabago ay maaaring maging mahirap, ngunit ang sama-samang pagkilos at pagpupursige ay mahalaga.
* Palaging idokumento ang iyong mga aksyon at komunikasyon, panatilihin ang mga talaan ng mga kahilingan, reklamo, at tugon mula sa mga awtoridad.
* Magkaroon ng kamalayan sa mga potensyal na panganib at humingi ng suporta mula sa iba kung kinakailangan.
* Isaalang-alang ang pagkonsulta sa mga abogado na dalubhasa sa batas sa edukasyon o paglilitis sa interes ng publiko para sa partikular na patnubay.
**Tandaan:** Sa pamamagitan ng aktibong pagtataguyod para sa transparency at pananagutan, ang mga indibidwal ay maaaring mag-ambag sa paglikha ng isang mas etikal at patas na kapaligirang pang-edukasyon sa Pilipinas.
**Disclaimer:** Ang impormasyong ito ay para sa pangkalahatang pag-unawa at hindi bumubuo ng legal na payo. Napakahalagang kumonsulta sa mga may-katuturang awtoridad o humingi ng propesyonal na patnubay para sa mga partikular na sitwasyon at legal na aksyon.</v>
      </c>
      <c r="F1293" s="2">
        <f t="shared" si="1"/>
        <v>0</v>
      </c>
      <c r="G1293" s="2"/>
      <c r="H1293" s="2"/>
      <c r="I1293" s="2"/>
      <c r="J1293" s="2"/>
      <c r="K1293" s="2"/>
      <c r="L1293" s="2"/>
      <c r="M1293" s="2"/>
      <c r="N1293" s="2"/>
      <c r="O1293" s="2"/>
      <c r="P1293" s="2"/>
      <c r="Q1293" s="2"/>
      <c r="R1293" s="2"/>
      <c r="S1293" s="2"/>
      <c r="T1293" s="2"/>
      <c r="U1293" s="2"/>
      <c r="V1293" s="2"/>
      <c r="W1293" s="2"/>
      <c r="X1293" s="2"/>
      <c r="Y1293" s="2"/>
      <c r="Z1293" s="2"/>
      <c r="AA1293" s="2"/>
    </row>
    <row r="1294">
      <c r="A1294" s="1" t="s">
        <v>3356</v>
      </c>
      <c r="B1294" s="1" t="s">
        <v>3753</v>
      </c>
      <c r="C1294" s="1" t="s">
        <v>3754</v>
      </c>
      <c r="D1294" s="2" t="str">
        <f>IFERROR(__xludf.DUMMYFUNCTION("GOOGLETRANSLATE(B1294, ""en"", ""TL"")"),"Maaari bang humingi ng mga legal na remedyo ang mga indibidwal kung naniniwala silang hindi patas ang kanilang mga nagawang akademiko dahil sa katiwalian sa loob ng kanilang institusyong pang-edukasyon?")</f>
        <v>Maaari bang humingi ng mga legal na remedyo ang mga indibidwal kung naniniwala silang hindi patas ang kanilang mga nagawang akademiko dahil sa katiwalian sa loob ng kanilang institusyong pang-edukasyon?</v>
      </c>
      <c r="E1294" s="2" t="str">
        <f>IFERROR(__xludf.DUMMYFUNCTION("GOOGLETRANSLATE(C1294, ""en"", ""TL"")"),"## Mga Potensyal na Legal na Remedyo para sa Hindi Makatarungang Pagbawas ng mga Academic Achievement dahil sa Korapsyon (PH Law)
**Oo, ang mga indibidwal ay maaaring magsagawa ng mga legal na remedyo kung naniniwala sila na ang kanilang mga tagumpay sa a"&amp;"kademiko ay hindi patas na nabawasan dahil sa katiwalian sa loob ng kanilang institusyong pang-edukasyon**, batay lamang sa batas ng Pilipinas, RA, at Konstitusyon. Gayunpaman, ang tagumpay ay lubos na nakadepende sa pagpapatunay sa lahat ng elemento ng i"&amp;"yong paghahabol at pag-navigate sa legal na tanawin sa madiskarteng paraan.
**Mga Potensyal na Avenue:**
* **Administratibong reklamo:**
* Maghain ng reklamo sa Department of Education (DepEd) o Commission on Higher Education (CHED), depende sa antas ng i"&amp;"yong edukasyon. May awtoridad silang mag-imbestiga at magpataw ng mga parusa, kabilang ang pagbawi ng akreditasyon o pagdidisiplina sa mga indibidwal na sangkot sa katiwalian.
* Maaari mo ring isaalang-alang ang paghahain ng reklamo sa Opisina ng Ombudsma"&amp;"n kung ang katiwalian ay may kinalaman sa mga pampublikong opisyal o empleyado.
* **Sibil na demanda:**
* Kung maaari mong ipakita na ang katiwalian ay direktang nagdulot ng pinsala sa iyo (hal., mga hindi natanggap na marka, hindi nakuha ang mga pagkakat"&amp;"aon sa scholarship), maaari mong idemanda ang institusyon o mga indibidwal na kasangkot, na nagbibintang:
* Paglabag sa kontrata: Kung nabigo ang institusyon na magbigay ng ipinangakong edukasyon dahil sa katiwalian.
* Kapabayaan o sinadyang pinsala: Kung"&amp;" ang katiwalian ay nagpapakitang humantong sa hindi patas na pagtrato o nabawasan ang iyong mga akademikong tagumpay.
* Hindi makatarungang pagpapayaman: Kung ang institusyon o mga indibidwal ay nakinabang mula sa katiwalian sa iyong gastos.
**Mga Hamon:*"&amp;"*
* **Nagpapatunay ng sanhi:** Ang pagpapakita ng malinaw na koneksyon sa pagitan ng partikular na tiwaling gawa at ng iyong mga pinaliit na tagumpay ay mahalaga. Kailangan mo ng matibay na ebidensya na nag-uugnay sa katiwalian sa iyong sitwasyon.
* **Pag"&amp;"titipon ng ebidensya:** Ang pangangalap ng ebidensya ng katiwalian at epekto nito sa iyong mga nagawa ay mahalaga. Maaaring kabilang dito ang mga akademikong rekord, komunikasyon sa institusyon, mga opinyon ng eksperto, at dokumentasyon ng iyong mga poten"&amp;"syal na pagkalugi.
* **Burden of proof:** Ang burden of proof ay nasa iyo upang ipakita ang lahat ng elemento ng iyong claim, kabilang ang katiwalian, epekto nito, at ang resultang pinsala sa iyo.
* **Pagiging kumplikado at mga gastos:** Ang legal na aksy"&amp;"on ay maaaring magtagal, magastos, at nangangailangan ng espesyal na legal na kadalubhasaan sa batas sa edukasyon at sibil na paglilitis.
**Mga Karagdagang Pagsasaalang-alang:**
* **Mga panloob na pamamaraan ng karaingan:** Bago ituloy ang legal na aksyon"&amp;", isaalang-alang ang paggamit ng mga panloob na pamamaraan ng karaingan ng institusyon upang maubos ang lahat ng mga panloob na remedyo.
* **Alternatibong paglutas ng dispute (ADR):** Isaalang-alang ang mga mekanismo ng ADR tulad ng pamamagitan o arbitras"&amp;"yon, na maaaring mag-alok ng mas mabilis at posibleng mas murang mga resolusyon.
* **Pampublikong adbokasiya:** Ang pagpapataas ng kamalayan sa pamamagitan ng media o mga online na platform ay maaaring magpilit sa institusyon na tugunan ang isyu at posibl"&amp;"eng mahikayat ang iba na sumulong.
**Legal na Balangkas:**
* **Saligang-Batas ng Pilipinas:** Ginagarantiyahan ng Artikulo III, Seksyon 14 ang karapatan sa edukasyon, na posibleng nilabag ng hindi patas na mga gawain dahil sa katiwalian.
* **Republic Act "&amp;"No. 9155 (Governance of Basic Education Act):** Nagtatatag ng mga mekanismo para sa pananagutan at transparency sa mga pangunahing institusyon ng edukasyon.
* **Republic Act No. 7722 (Technical Education and Skills Development Act of 1994):** Nagbibigay n"&amp;"g mga katulad na probisyon para sa mga institusyong mas mataas na edukasyon.
* **Civil Code of the Philippines:** Nag-aalok ng mga probisyon para sa paglabag sa kontrata, pinsala, at hindi makatarungang pagpapayaman, na maaaring may kaugnayan depende sa p"&amp;"artikular na mga pangyayari.
**Disclaimer:** Ang impormasyong ito ay para sa pangkalahatang pag-unawa at hindi dapat ituring na legal na payo. Ang pagkonsulta sa isang abogado na dalubhasa sa batas sa edukasyon ay mahalaga para sa isang detalyadong pagtat"&amp;"asa ng iyong partikular na sitwasyon at mga potensyal na legal na opsyon. Maaari ka nilang payuhan sa pinakamahusay na diskarte batay sa ebidensya at mga naaangkop na batas at regulasyon.")</f>
        <v>## Mga Potensyal na Legal na Remedyo para sa Hindi Makatarungang Pagbawas ng mga Academic Achievement dahil sa Korapsyon (PH Law)
**Oo, ang mga indibidwal ay maaaring magsagawa ng mga legal na remedyo kung naniniwala sila na ang kanilang mga tagumpay sa akademiko ay hindi patas na nabawasan dahil sa katiwalian sa loob ng kanilang institusyong pang-edukasyon**, batay lamang sa batas ng Pilipinas, RA, at Konstitusyon. Gayunpaman, ang tagumpay ay lubos na nakadepende sa pagpapatunay sa lahat ng elemento ng iyong paghahabol at pag-navigate sa legal na tanawin sa madiskarteng paraan.
**Mga Potensyal na Avenue:**
* **Administratibong reklamo:**
* Maghain ng reklamo sa Department of Education (DepEd) o Commission on Higher Education (CHED), depende sa antas ng iyong edukasyon. May awtoridad silang mag-imbestiga at magpataw ng mga parusa, kabilang ang pagbawi ng akreditasyon o pagdidisiplina sa mga indibidwal na sangkot sa katiwalian.
* Maaari mo ring isaalang-alang ang paghahain ng reklamo sa Opisina ng Ombudsman kung ang katiwalian ay may kinalaman sa mga pampublikong opisyal o empleyado.
* **Sibil na demanda:**
* Kung maaari mong ipakita na ang katiwalian ay direktang nagdulot ng pinsala sa iyo (hal., mga hindi natanggap na marka, hindi nakuha ang mga pagkakataon sa scholarship), maaari mong idemanda ang institusyon o mga indibidwal na kasangkot, na nagbibintang:
* Paglabag sa kontrata: Kung nabigo ang institusyon na magbigay ng ipinangakong edukasyon dahil sa katiwalian.
* Kapabayaan o sinadyang pinsala: Kung ang katiwalian ay nagpapakitang humantong sa hindi patas na pagtrato o nabawasan ang iyong mga akademikong tagumpay.
* Hindi makatarungang pagpapayaman: Kung ang institusyon o mga indibidwal ay nakinabang mula sa katiwalian sa iyong gastos.
**Mga Hamon:**
* **Nagpapatunay ng sanhi:** Ang pagpapakita ng malinaw na koneksyon sa pagitan ng partikular na tiwaling gawa at ng iyong mga pinaliit na tagumpay ay mahalaga. Kailangan mo ng matibay na ebidensya na nag-uugnay sa katiwalian sa iyong sitwasyon.
* **Pagtitipon ng ebidensya:** Ang pangangalap ng ebidensya ng katiwalian at epekto nito sa iyong mga nagawa ay mahalaga. Maaaring kabilang dito ang mga akademikong rekord, komunikasyon sa institusyon, mga opinyon ng eksperto, at dokumentasyon ng iyong mga potensyal na pagkalugi.
* **Burden of proof:** Ang burden of proof ay nasa iyo upang ipakita ang lahat ng elemento ng iyong claim, kabilang ang katiwalian, epekto nito, at ang resultang pinsala sa iyo.
* **Pagiging kumplikado at mga gastos:** Ang legal na aksyon ay maaaring magtagal, magastos, at nangangailangan ng espesyal na legal na kadalubhasaan sa batas sa edukasyon at sibil na paglilitis.
**Mga Karagdagang Pagsasaalang-alang:**
* **Mga panloob na pamamaraan ng karaingan:** Bago ituloy ang legal na aksyon, isaalang-alang ang paggamit ng mga panloob na pamamaraan ng karaingan ng institusyon upang maubos ang lahat ng mga panloob na remedyo.
* **Alternatibong paglutas ng dispute (ADR):** Isaalang-alang ang mga mekanismo ng ADR tulad ng pamamagitan o arbitrasyon, na maaaring mag-alok ng mas mabilis at posibleng mas murang mga resolusyon.
* **Pampublikong adbokasiya:** Ang pagpapataas ng kamalayan sa pamamagitan ng media o mga online na platform ay maaaring magpilit sa institusyon na tugunan ang isyu at posibleng mahikayat ang iba na sumulong.
**Legal na Balangkas:**
* **Saligang-Batas ng Pilipinas:** Ginagarantiyahan ng Artikulo III, Seksyon 14 ang karapatan sa edukasyon, na posibleng nilabag ng hindi patas na mga gawain dahil sa katiwalian.
* **Republic Act No. 9155 (Governance of Basic Education Act):** Nagtatatag ng mga mekanismo para sa pananagutan at transparency sa mga pangunahing institusyon ng edukasyon.
* **Republic Act No. 7722 (Technical Education and Skills Development Act of 1994):** Nagbibigay ng mga katulad na probisyon para sa mga institusyong mas mataas na edukasyon.
* **Civil Code of the Philippines:** Nag-aalok ng mga probisyon para sa paglabag sa kontrata, pinsala, at hindi makatarungang pagpapayaman, na maaaring may kaugnayan depende sa partikular na mga pangyayari.
**Disclaimer:** Ang impormasyong ito ay para sa pangkalahatang pag-unawa at hindi dapat ituring na legal na payo. Ang pagkonsulta sa isang abogado na dalubhasa sa batas sa edukasyon ay mahalaga para sa isang detalyadong pagtatasa ng iyong partikular na sitwasyon at mga potensyal na legal na opsyon. Maaari ka nilang payuhan sa pinakamahusay na diskarte batay sa ebidensya at mga naaangkop na batas at regulasyon.</v>
      </c>
      <c r="F1294" s="2">
        <f t="shared" si="1"/>
        <v>0</v>
      </c>
      <c r="G1294" s="2"/>
      <c r="H1294" s="2"/>
      <c r="I1294" s="2"/>
      <c r="J1294" s="2"/>
      <c r="K1294" s="2"/>
      <c r="L1294" s="2"/>
      <c r="M1294" s="2"/>
      <c r="N1294" s="2"/>
      <c r="O1294" s="2"/>
      <c r="P1294" s="2"/>
      <c r="Q1294" s="2"/>
      <c r="R1294" s="2"/>
      <c r="S1294" s="2"/>
      <c r="T1294" s="2"/>
      <c r="U1294" s="2"/>
      <c r="V1294" s="2"/>
      <c r="W1294" s="2"/>
      <c r="X1294" s="2"/>
      <c r="Y1294" s="2"/>
      <c r="Z1294" s="2"/>
      <c r="AA1294" s="2"/>
    </row>
    <row r="1295">
      <c r="A1295" s="1" t="s">
        <v>3356</v>
      </c>
      <c r="B1295" s="1" t="s">
        <v>3755</v>
      </c>
      <c r="C1295" s="1" t="s">
        <v>3756</v>
      </c>
      <c r="D1295" s="2" t="str">
        <f>IFERROR(__xludf.DUMMYFUNCTION("GOOGLETRANSLATE(B1295, ""en"", ""TL"")"),"Anong papel ang ginagampanan ng mga non-government organization o advocacy group sa pagsuporta sa mga indibidwal na apektado ng katiwalian sa edukasyon, at mayroon bang mga legal na mapagkukunang magagamit sa pamamagitan ng mga organisasyong ito?")</f>
        <v>Anong papel ang ginagampanan ng mga non-government organization o advocacy group sa pagsuporta sa mga indibidwal na apektado ng katiwalian sa edukasyon, at mayroon bang mga legal na mapagkukunang magagamit sa pamamagitan ng mga organisasyong ito?</v>
      </c>
      <c r="E1295" s="2" t="str">
        <f>IFERROR(__xludf.DUMMYFUNCTION("GOOGLETRANSLATE(C1295, ""en"", ""TL"")"),"Sa Pilipinas, ang mga non-government organization (NGOs) at advocacy group ay gumaganap ng mahalagang papel sa pagsuporta sa mga indibidwal na apektado ng katiwalian sa edukasyon, batay lamang sa batas ng Pilipinas, RA, at Konstitusyon. Narito kung paano "&amp;"sila makakatulong:
**Mga Tungkulin ng mga NGO at Advocacy Groups:**
* **Pagbibigay ng legal na tulong at tulong:** Ang ilang NGO ay nag-aalok ng legal na tulong sa mga indibidwal na nahaharap sa pang-edukasyon na katiwalian, pag-uugnay sa kanila sa "&amp;"mga abogado o pagbibigay ng legal na patnubay sa loob ng kanilang kadalubhasaan.
* **Pagtitipon ng ebidensya at pag-uulat ng katiwalian:** Makakatulong sila sa mga indibidwal na mangalap ng ebidensya ng katiwalian at maghain ng mga reklamo sa mga kinauuk"&amp;"ulang awtoridad, gaya ng Department of Education (DepEd) o Office of the Ombudsman.
* **Pagpapalaki ng kamalayan at pagtataguyod para sa reporma:** Ang mga organisasyong ito ay nagpapataas ng kamalayan sa publiko tungkol sa katiwalian sa edukasyon sa pam"&amp;"amagitan ng mga kampanya, media outreach, at pagtataguyod ng patakaran, na naglalagay ng panggigipit sa mga institusyon ng gobyerno na tugunan ang isyu.
* **Pagbibigay kapangyarihan sa mga komunidad at indibidwal:** Ang mga NGO at grupo ng adbokasiya ay "&amp;"nagbibigay ng mga mapagkukunang pang-edukasyon at pagsasanay upang bigyang kapangyarihan ang mga komunidad at indibidwal na maunawaan ang kanilang mga karapatan at epektibong labanan ang katiwalian.
**Inaalok ang Mga Legal na Mapagkukunan:**
* **Mga"&amp;" legal na hotline at konsultasyon:** Nag-aalok ang ilang NGO ng mga hotline o serbisyo sa konsultasyon kung saan maaaring talakayin ng mga indibidwal ang kanilang mga alalahanin at makatanggap ng legal na payo o gabay sa mga naaangkop na aksyon.
* **Pro "&amp;"bono legal na tulong:** Ang ilang partikular na organisasyon ay nakikipagsosyo sa mga abogado na nagbibigay ng pro bono na legal na serbisyo sa mga indibidwal na nahaharap sa mga partikular na kaso ng katiwalian na may kaugnayan sa edukasyon.
* **Suporta"&amp;" at representasyon sa paglilitis:** Sa mga kumplikadong kaso, maaaring mag-alok ang ilang NGO ng suporta sa paglilitis o kahit na representasyon sa mga paglilitis sa korte na may kaugnayan sa katiwalian sa edukasyon.
* **Impormasyon at mapagkukunang mate"&amp;"ryales:** Maraming organisasyon ang nagbibigay ng mga materyal na pang-edukasyon sa mga batas at regulasyon ng Pilipinas na may kaugnayan sa edukasyon, mga hakbang laban sa katiwalian, at magagamit na mga legal na remedyo.
**Mga halimbawa ng mga NGO at"&amp;" Advocacy Groups:**
* Philippine Network for Education (PhilNet)
* Philippine Action for Teachers’ Rights (PATR)
* Transparency International - Philippines (TI-PH)
* Basic Education Coalition (BEC)
* Philippine Alliance of Human Rights Advocates (P"&amp;"AHRA)
**Mahahalagang Paalala:**
* Ang pagkakaroon ng mga legal na mapagkukunan at ang antas ng suporta na inaalok ng iba't ibang NGO ay nag-iiba. Napakahalaga na magsaliksik at makipag-ugnayan sa mga partikular na organisasyon upang maunawaan ang ka"&amp;"nilang mga serbisyo at pamantayan sa pagiging kwalipikado.
* Habang nag-aalok ang ilang NGO ng legal na tulong, hindi ito ginagarantiyahan sa bawat kaso. Ang pagkonsulta sa isang abogado na dalubhasa sa batas sa edukasyon o batas na administratibo ay ini"&amp;"rerekomenda para sa iniangkop na payo at pag-navigate sa mga partikular na legal na kumplikado.
* Ang pakikipag-ugnayan sa mga NGO at grupo ng adbokasiya ay maaaring maging isang mahalagang panimulang punto para sa mga indibidwal na nahaharap sa pang-edu"&amp;"kasyon na katiwalian, pagbibigay ng suporta, impormasyon, at mga potensyal na legal na paraan para sa paghahanap ng hustisya.
**Disclaimer:** Ang impormasyong ito ay para sa pangkalahatang pag-unawa at hindi bumubuo ng legal na payo. Napakahalagang kum"&amp;"onsulta sa isang abogado o nauugnay na NGO para sa mga partikular na sitwasyon at legal na mapagkukunan.")</f>
        <v>Sa Pilipinas, ang mga non-government organization (NGOs) at advocacy group ay gumaganap ng mahalagang papel sa pagsuporta sa mga indibidwal na apektado ng katiwalian sa edukasyon, batay lamang sa batas ng Pilipinas, RA, at Konstitusyon. Narito kung paano sila makakatulong:
**Mga Tungkulin ng mga NGO at Advocacy Groups:**
* **Pagbibigay ng legal na tulong at tulong:** Ang ilang NGO ay nag-aalok ng legal na tulong sa mga indibidwal na nahaharap sa pang-edukasyon na katiwalian, pag-uugnay sa kanila sa mga abogado o pagbibigay ng legal na patnubay sa loob ng kanilang kadalubhasaan.
* **Pagtitipon ng ebidensya at pag-uulat ng katiwalian:** Makakatulong sila sa mga indibidwal na mangalap ng ebidensya ng katiwalian at maghain ng mga reklamo sa mga kinauukulang awtoridad, gaya ng Department of Education (DepEd) o Office of the Ombudsman.
* **Pagpapalaki ng kamalayan at pagtataguyod para sa reporma:** Ang mga organisasyong ito ay nagpapataas ng kamalayan sa publiko tungkol sa katiwalian sa edukasyon sa pamamagitan ng mga kampanya, media outreach, at pagtataguyod ng patakaran, na naglalagay ng panggigipit sa mga institusyon ng gobyerno na tugunan ang isyu.
* **Pagbibigay kapangyarihan sa mga komunidad at indibidwal:** Ang mga NGO at grupo ng adbokasiya ay nagbibigay ng mga mapagkukunang pang-edukasyon at pagsasanay upang bigyang kapangyarihan ang mga komunidad at indibidwal na maunawaan ang kanilang mga karapatan at epektibong labanan ang katiwalian.
**Inaalok ang Mga Legal na Mapagkukunan:**
* **Mga legal na hotline at konsultasyon:** Nag-aalok ang ilang NGO ng mga hotline o serbisyo sa konsultasyon kung saan maaaring talakayin ng mga indibidwal ang kanilang mga alalahanin at makatanggap ng legal na payo o gabay sa mga naaangkop na aksyon.
* **Pro bono legal na tulong:** Ang ilang partikular na organisasyon ay nakikipagsosyo sa mga abogado na nagbibigay ng pro bono na legal na serbisyo sa mga indibidwal na nahaharap sa mga partikular na kaso ng katiwalian na may kaugnayan sa edukasyon.
* **Suporta at representasyon sa paglilitis:** Sa mga kumplikadong kaso, maaaring mag-alok ang ilang NGO ng suporta sa paglilitis o kahit na representasyon sa mga paglilitis sa korte na may kaugnayan sa katiwalian sa edukasyon.
* **Impormasyon at mapagkukunang materyales:** Maraming organisasyon ang nagbibigay ng mga materyal na pang-edukasyon sa mga batas at regulasyon ng Pilipinas na may kaugnayan sa edukasyon, mga hakbang laban sa katiwalian, at magagamit na mga legal na remedyo.
**Mga halimbawa ng mga NGO at Advocacy Groups:**
* Philippine Network for Education (PhilNet)
* Philippine Action for Teachers’ Rights (PATR)
* Transparency International - Philippines (TI-PH)
* Basic Education Coalition (BEC)
* Philippine Alliance of Human Rights Advocates (PAHRA)
**Mahahalagang Paalala:**
* Ang pagkakaroon ng mga legal na mapagkukunan at ang antas ng suporta na inaalok ng iba't ibang NGO ay nag-iiba. Napakahalaga na magsaliksik at makipag-ugnayan sa mga partikular na organisasyon upang maunawaan ang kanilang mga serbisyo at pamantayan sa pagiging kwalipikado.
* Habang nag-aalok ang ilang NGO ng legal na tulong, hindi ito ginagarantiyahan sa bawat kaso. Ang pagkonsulta sa isang abogado na dalubhasa sa batas sa edukasyon o batas na administratibo ay inirerekomenda para sa iniangkop na payo at pag-navigate sa mga partikular na legal na kumplikado.
* Ang pakikipag-ugnayan sa mga NGO at grupo ng adbokasiya ay maaaring maging isang mahalagang panimulang punto para sa mga indibidwal na nahaharap sa pang-edukasyon na katiwalian, pagbibigay ng suporta, impormasyon, at mga potensyal na legal na paraan para sa paghahanap ng hustisya.
**Disclaimer:** Ang impormasyong ito ay para sa pangkalahatang pag-unawa at hindi bumubuo ng legal na payo. Napakahalagang kumonsulta sa isang abogado o nauugnay na NGO para sa mga partikular na sitwasyon at legal na mapagkukunan.</v>
      </c>
      <c r="F1295" s="2">
        <f t="shared" si="1"/>
        <v>0</v>
      </c>
      <c r="G1295" s="2"/>
      <c r="H1295" s="2"/>
      <c r="I1295" s="2"/>
      <c r="J1295" s="2"/>
      <c r="K1295" s="2"/>
      <c r="L1295" s="2"/>
      <c r="M1295" s="2"/>
      <c r="N1295" s="2"/>
      <c r="O1295" s="2"/>
      <c r="P1295" s="2"/>
      <c r="Q1295" s="2"/>
      <c r="R1295" s="2"/>
      <c r="S1295" s="2"/>
      <c r="T1295" s="2"/>
      <c r="U1295" s="2"/>
      <c r="V1295" s="2"/>
      <c r="W1295" s="2"/>
      <c r="X1295" s="2"/>
      <c r="Y1295" s="2"/>
      <c r="Z1295" s="2"/>
      <c r="AA1295" s="2"/>
    </row>
    <row r="1296">
      <c r="A1296" s="1" t="s">
        <v>3356</v>
      </c>
      <c r="B1296" s="1" t="s">
        <v>3757</v>
      </c>
      <c r="C1296" s="1" t="s">
        <v>3758</v>
      </c>
      <c r="D1296" s="2" t="str">
        <f>IFERROR(__xludf.DUMMYFUNCTION("GOOGLETRANSLATE(B1296, ""en"", ""TL"")"),"Anong mga legal na aksyon ang maaaring gawin ng mga indibidwal kung pinaghihinalaan nila ang katiwalian sa loob ng sistema ng pangangalagang pangkalusugan ay nakakaapekto sa kanilang paggamot?")</f>
        <v>Anong mga legal na aksyon ang maaaring gawin ng mga indibidwal kung pinaghihinalaan nila ang katiwalian sa loob ng sistema ng pangangalagang pangkalusugan ay nakakaapekto sa kanilang paggamot?</v>
      </c>
      <c r="E1296" s="2" t="str">
        <f>IFERROR(__xludf.DUMMYFUNCTION("GOOGLETRANSLATE(C1296, ""en"", ""TL"")"),"Bagama't **hindi ka maaaring direktang magdemanda para sa ""pinaghihinalaang katiwalian""**, maraming mga legal na paraan ang umiiral sa Pilipinas upang matugunan ang mga potensyal na katiwalian sa loob ng sistema ng pangangalagang pangkalusugan na nakaka"&amp;"apekto sa iyong paggamot, batay lamang sa batas ng Pilipinas, RA, at mga Konstitusyon:
**1. Pag-uulat sa Regulatory Agencies:**
* **Department of Health (DOH):** Maghain ng reklamo sa pamamagitan ng kanilang online na portal o mga rehiyonal na tanggapan, "&amp;"na nagdedetalye ng mga partikular na alalahanin at pinaghihinalaang katiwalian.
* **Professional Regulation Commission (PRC):** Kung ang pinaghihinalaang katiwalian ay nagsasangkot ng isang partikular na propesyonal sa pangangalagang pangkalusugan, magsam"&amp;"pa ng reklamo sa PRC laban sa kanilang lisensya.
* **Opisina ng Ombudsman:** Mag-imbestiga sa mga reklamo laban sa mga pampublikong opisyal at empleyado na pinaghihinalaang may katiwalian, kabilang ang loob ng mga pampublikong institusyon ng pangangalaga "&amp;"sa kalusugan.
**2. Naghahanap ng Legal na Aksyon:**
* **Sibil na demanda:** Kung nakakaranas ka ng **kapinsalaan o hindi sapat na pangangalaga na ipinapakitang nauugnay sa pinaghihinalaang katiwalian**, maaari mong isaalang-alang ang isang sibil na kaso l"&amp;"aban sa institusyon ng pangangalagang pangkalusugan o mga indibidwal na kasangkot. Nangangailangan ito ng matibay na ebidensya at legal na kadalubhasaan.
* **Administrative complaint:** Bagama't hindi direktang legal na aksyon, ang paghahain ng administra"&amp;"tibong reklamo sa DOH, PRC, o iba pang nauugnay na mga katawan ay maaaring magpasimula ng mga pagsisiyasat at mga potensyal na parusa, na pinapanagot sila kahit na walang direktang pinansiyal na kabayaran para sa iyo.
**3. Pampublikong Adbokasiya:**
* **P"&amp;"aglalantad sa media:** Ibahagi ang iyong kuwento sa pamamagitan ng mga media outlet o online na platform upang imulat ang kamalayan tungkol sa pinaghihinalaang katiwalian, na posibleng magdiin sa mga awtoridad para sa pagkilos at makaimpluwensya sa mga pa"&amp;"gbabago sa patakaran.
* **Mga grupo ng suporta o NGO:** Kumonekta sa mga organisasyong nagsusulong para sa transparency at pananagutan ng pangangalagang pangkalusugan. Maaari silang mag-alok ng patnubay, suporta, at mga pagkakataon sa sama-samang pagkilos"&amp;".
**4. Pagtitipon ng Ebidensya:**
* **Mangolekta ng dokumentasyon:** Magtago ng mga kopya ng mga medikal na rekord, mga bayarin, komunikasyon sa institusyon, at anumang ebidensya na sumusuporta sa iyong mga alalahanin tungkol sa potensyal na katiwalian.
*"&amp;" **Humingi ng mga testimonya ng saksi:** Kung may nakasaksi ng kahina-hinalang pag-uugali o pakikipag-ugnayan, idokumento ang kanilang mga testimonya at impormasyon sa pakikipag-ugnayan.
* **Mga opinyon ng eksperto:** Depende sa sitwasyon, isaalang-alang "&amp;"ang paghingi ng mga opinyon mula sa mga medikal na propesyonal o legal na eksperto upang bigyang-kahulugan ang iyong mga talaan o suportahan ang iyong mga claim.
**Tandaan:**
* **Tumuon sa mga katotohanan at ebidensya:** Iwasan ang haka-haka o emosyonal n"&amp;"a pagsabog sa iyong mga ulat o pagsusumikap sa pagtataguyod. Manatili sa makatotohanang mga obserbasyon at konkretong ebidensya.
* **Piliin ang pinakaangkop na paraan:** Isaalang-alang ang mga partikular na pangyayari at potensyal na resulta bago ituloy a"&amp;"ng isang opsyon.
* **Humingi ng legal na payo:** Ang pagkonsulta sa isang abogado na dalubhasa sa batas sa pangangalagang pangkalusugan o administratibong batas ay mahalaga para sa pag-unawa sa iyong mga karapatan, pag-navigate sa mga legal na proseso, at"&amp;" pag-maximize ng iyong mga pagkakataong magtagumpay.
**Disclaimer:** Ang impormasyong ito ay para sa pangkalahatang pag-unawa at hindi dapat ituring na legal na payo. Ang pagkonsulta sa isang abogado para sa iyong partikular na sitwasyon ay mahalaga.")</f>
        <v>Bagama't **hindi ka maaaring direktang magdemanda para sa "pinaghihinalaang katiwalian"**, maraming mga legal na paraan ang umiiral sa Pilipinas upang matugunan ang mga potensyal na katiwalian sa loob ng sistema ng pangangalagang pangkalusugan na nakakaapekto sa iyong paggamot, batay lamang sa batas ng Pilipinas, RA, at mga Konstitusyon:
**1. Pag-uulat sa Regulatory Agencies:**
* **Department of Health (DOH):** Maghain ng reklamo sa pamamagitan ng kanilang online na portal o mga rehiyonal na tanggapan, na nagdedetalye ng mga partikular na alalahanin at pinaghihinalaang katiwalian.
* **Professional Regulation Commission (PRC):** Kung ang pinaghihinalaang katiwalian ay nagsasangkot ng isang partikular na propesyonal sa pangangalagang pangkalusugan, magsampa ng reklamo sa PRC laban sa kanilang lisensya.
* **Opisina ng Ombudsman:** Mag-imbestiga sa mga reklamo laban sa mga pampublikong opisyal at empleyado na pinaghihinalaang may katiwalian, kabilang ang loob ng mga pampublikong institusyon ng pangangalaga sa kalusugan.
**2. Naghahanap ng Legal na Aksyon:**
* **Sibil na demanda:** Kung nakakaranas ka ng **kapinsalaan o hindi sapat na pangangalaga na ipinapakitang nauugnay sa pinaghihinalaang katiwalian**, maaari mong isaalang-alang ang isang sibil na kaso laban sa institusyon ng pangangalagang pangkalusugan o mga indibidwal na kasangkot. Nangangailangan ito ng matibay na ebidensya at legal na kadalubhasaan.
* **Administrative complaint:** Bagama't hindi direktang legal na aksyon, ang paghahain ng administratibong reklamo sa DOH, PRC, o iba pang nauugnay na mga katawan ay maaaring magpasimula ng mga pagsisiyasat at mga potensyal na parusa, na pinapanagot sila kahit na walang direktang pinansiyal na kabayaran para sa iyo.
**3. Pampublikong Adbokasiya:**
* **Paglalantad sa media:** Ibahagi ang iyong kuwento sa pamamagitan ng mga media outlet o online na platform upang imulat ang kamalayan tungkol sa pinaghihinalaang katiwalian, na posibleng magdiin sa mga awtoridad para sa pagkilos at makaimpluwensya sa mga pagbabago sa patakaran.
* **Mga grupo ng suporta o NGO:** Kumonekta sa mga organisasyong nagsusulong para sa transparency at pananagutan ng pangangalagang pangkalusugan. Maaari silang mag-alok ng patnubay, suporta, at mga pagkakataon sa sama-samang pagkilos.
**4. Pagtitipon ng Ebidensya:**
* **Mangolekta ng dokumentasyon:** Magtago ng mga kopya ng mga medikal na rekord, mga bayarin, komunikasyon sa institusyon, at anumang ebidensya na sumusuporta sa iyong mga alalahanin tungkol sa potensyal na katiwalian.
* **Humingi ng mga testimonya ng saksi:** Kung may nakasaksi ng kahina-hinalang pag-uugali o pakikipag-ugnayan, idokumento ang kanilang mga testimonya at impormasyon sa pakikipag-ugnayan.
* **Mga opinyon ng eksperto:** Depende sa sitwasyon, isaalang-alang ang paghingi ng mga opinyon mula sa mga medikal na propesyonal o legal na eksperto upang bigyang-kahulugan ang iyong mga talaan o suportahan ang iyong mga claim.
**Tandaan:**
* **Tumuon sa mga katotohanan at ebidensya:** Iwasan ang haka-haka o emosyonal na pagsabog sa iyong mga ulat o pagsusumikap sa pagtataguyod. Manatili sa makatotohanang mga obserbasyon at konkretong ebidensya.
* **Piliin ang pinakaangkop na paraan:** Isaalang-alang ang mga partikular na pangyayari at potensyal na resulta bago ituloy ang isang opsyon.
* **Humingi ng legal na payo:** Ang pagkonsulta sa isang abogado na dalubhasa sa batas sa pangangalagang pangkalusugan o administratibong batas ay mahalaga para sa pag-unawa sa iyong mga karapatan, pag-navigate sa mga legal na proseso, at pag-maximize ng iyong mga pagkakataong magtagumpay.
**Disclaimer:** Ang impormasyong ito ay para sa pangkalahatang pag-unawa at hindi dapat ituring na legal na payo. Ang pagkonsulta sa isang abogado para sa iyong partikular na sitwasyon ay mahalaga.</v>
      </c>
      <c r="F1296" s="2">
        <f t="shared" si="1"/>
        <v>0</v>
      </c>
      <c r="G1296" s="2"/>
      <c r="H1296" s="2"/>
      <c r="I1296" s="2"/>
      <c r="J1296" s="2"/>
      <c r="K1296" s="2"/>
      <c r="L1296" s="2"/>
      <c r="M1296" s="2"/>
      <c r="N1296" s="2"/>
      <c r="O1296" s="2"/>
      <c r="P1296" s="2"/>
      <c r="Q1296" s="2"/>
      <c r="R1296" s="2"/>
      <c r="S1296" s="2"/>
      <c r="T1296" s="2"/>
      <c r="U1296" s="2"/>
      <c r="V1296" s="2"/>
      <c r="W1296" s="2"/>
      <c r="X1296" s="2"/>
      <c r="Y1296" s="2"/>
      <c r="Z1296" s="2"/>
      <c r="AA1296" s="2"/>
    </row>
    <row r="1297">
      <c r="A1297" s="1" t="s">
        <v>3356</v>
      </c>
      <c r="B1297" s="1" t="s">
        <v>3759</v>
      </c>
      <c r="C1297" s="1" t="s">
        <v>3760</v>
      </c>
      <c r="D1297" s="2" t="str">
        <f>IFERROR(__xludf.DUMMYFUNCTION("GOOGLETRANSLATE(B1297, ""en"", ""TL"")"),"Mayroon bang mga partikular na batas o regulasyon na tumutugon sa katiwalian sa loob ng industriya ng pangangalagang pangkalusugan?")</f>
        <v>Mayroon bang mga partikular na batas o regulasyon na tumutugon sa katiwalian sa loob ng industriya ng pangangalagang pangkalusugan?</v>
      </c>
      <c r="E1297" s="2" t="str">
        <f>IFERROR(__xludf.DUMMYFUNCTION("GOOGLETRANSLATE(C1297, ""en"", ""TL"")"),"Habang ang mga indibidwal ay hindi maaaring direktang magdemanda para sa ""pinaghihinalaang"" katiwalian, ang iba't ibang legal na aksyon ay maaaring gawin sa Pilipinas kung naniniwala kang ang mga katiwalian ay nakakaapekto sa iyong paggamot sa pangangal"&amp;"agang pangkalusugan, batay lamang sa batas ng Pilipinas, RA, at mga Konstitusyon:
**1. Pag-uulat ng Pinaghihinalaang Korapsyon:**
* **Maghain ng mga reklamo sa mga regulatory body:**
* **Department of Health (DOH):** Iulat ang pinaghihinalaang katiwalian "&amp;"na may kaugnayan sa mga ospital, klinika, at mga propesyonal sa pangangalagang pangkalusugan sa ilalim ng kanilang nasasakupan.
* **Professional Regulation Commission (PRC):** Kung pinaghihinalaan mo ang hindi etikal na pag-uugali ng isang lisensyadong pr"&amp;"opesyonal sa pangangalagang pangkalusugan na nauugnay sa potensyal na katiwalian, maghain ng reklamo.
* **Opisina ng Ombudsman:** Iulat ang pinaghihinalaang katiwalian na kinasasangkutan ng mga institusyon o opisyal ng pampublikong pangangalaga sa kalusug"&amp;"an.
* **Mag-ulat nang hindi nagpapakilala:** Ang ilang ahensya, tulad ng DOH, ay nag-aalok ng hindi kilalang mga opsyon sa pag-uulat.
**2. Naghahanap ng Impormasyon at Paglilinaw:**
* **Humiling ng mga medikal na rekord:** I-access ang iyong kumpletong mg"&amp;"a medikal na rekord upang maunawaan ang diagnosis, plano sa paggamot, at anumang potensyal na hindi pagkakapare-pareho.
* **Humingi ng paglilinaw mula sa mga tagapagbigay ng pangangalagang pangkalusugan:** Magtanong tungkol sa iyong mga opsyon sa paggamot"&amp;", mga gastos, at anumang alalahanin mo tungkol sa mga potensyal na iregularidad.
**3. Pagsusulong ng Legal na Aksyon (kung naaangkop):**
* **Sibil na demanda para sa pinsala:** Kung mapapatunayan mo ang pinaghihinalaang katiwalian na direktang nagdulot ng"&amp;" pinsala o hindi sapat na pangangalaga, isaalang-alang ang isang sibil na kaso laban sa tagapagbigay ng pangangalagang pangkalusugan o institusyon. Nangangailangan ito ng matibay na ebidensya at legal na kadalubhasaan.
* **Mga reklamong pang-administratib"&amp;"o:** Kahit na walang konkretong patunay ng pinsala, ang paghahain ng mga reklamong administratibo ay maaaring magpalitaw ng mga pagsisiyasat at panagutin ang mga institusyon.
**4. Pampublikong Adbokasiya at Kamalayan:**
* **Ibahagi ang iyong kuwento:** It"&amp;"aas ang kamalayan sa pamamagitan ng pagbabahagi ng iyong karanasan sa pamamagitan ng media o online na mga platform upang mapilitan ang mga awtoridad at hikayatin ang iba na sumulong.
* **Suportahan ang mga grupo ng adbokasiya:** Sumali o mag-ambag sa mga"&amp;" organisasyong nagtatrabaho laban sa katiwalian sa pangangalagang pangkalusugan upang isulong ang mga pagbabago sa patakaran at mga sistematikong reporma.
**Mahahalagang Punto:**
* Ang pangangalap ng ebidensya tulad ng mga medikal na rekord, mga rekord ng"&amp;" komunikasyon, at mga patotoo ng saksi ay mahalaga para sa anumang legal na aksyon.
* Ang pagkonsulta sa isang abogado na dalubhasa sa batas sa pangangalagang pangkalusugan ay lubos na inirerekomenda para sa legal na payo at pag-navigate sa mga kumplikado"&amp;" ng mga partikular na kaso.
* Tandaan, ang legal na aksyon ay maaaring mahaba at magastos, kaya suriin ang mga potensyal na benepisyo at panganib bago magpatuloy.
**Tandaan:** Ang impormasyong ito ay para sa pangkalahatang pag-unawa at hindi dapat ituring"&amp;" na legal na payo. Kumonsulta sa isang abogado para sa personalized na patnubay at pag-unawa sa iyong partikular na sitwasyon at mga legal na opsyon.")</f>
        <v>Habang ang mga indibidwal ay hindi maaaring direktang magdemanda para sa "pinaghihinalaang" katiwalian, ang iba't ibang legal na aksyon ay maaaring gawin sa Pilipinas kung naniniwala kang ang mga katiwalian ay nakakaapekto sa iyong paggamot sa pangangalagang pangkalusugan, batay lamang sa batas ng Pilipinas, RA, at mga Konstitusyon:
**1. Pag-uulat ng Pinaghihinalaang Korapsyon:**
* **Maghain ng mga reklamo sa mga regulatory body:**
* **Department of Health (DOH):** Iulat ang pinaghihinalaang katiwalian na may kaugnayan sa mga ospital, klinika, at mga propesyonal sa pangangalagang pangkalusugan sa ilalim ng kanilang nasasakupan.
* **Professional Regulation Commission (PRC):** Kung pinaghihinalaan mo ang hindi etikal na pag-uugali ng isang lisensyadong propesyonal sa pangangalagang pangkalusugan na nauugnay sa potensyal na katiwalian, maghain ng reklamo.
* **Opisina ng Ombudsman:** Iulat ang pinaghihinalaang katiwalian na kinasasangkutan ng mga institusyon o opisyal ng pampublikong pangangalaga sa kalusugan.
* **Mag-ulat nang hindi nagpapakilala:** Ang ilang ahensya, tulad ng DOH, ay nag-aalok ng hindi kilalang mga opsyon sa pag-uulat.
**2. Naghahanap ng Impormasyon at Paglilinaw:**
* **Humiling ng mga medikal na rekord:** I-access ang iyong kumpletong mga medikal na rekord upang maunawaan ang diagnosis, plano sa paggamot, at anumang potensyal na hindi pagkakapare-pareho.
* **Humingi ng paglilinaw mula sa mga tagapagbigay ng pangangalagang pangkalusugan:** Magtanong tungkol sa iyong mga opsyon sa paggamot, mga gastos, at anumang alalahanin mo tungkol sa mga potensyal na iregularidad.
**3. Pagsusulong ng Legal na Aksyon (kung naaangkop):**
* **Sibil na demanda para sa pinsala:** Kung mapapatunayan mo ang pinaghihinalaang katiwalian na direktang nagdulot ng pinsala o hindi sapat na pangangalaga, isaalang-alang ang isang sibil na kaso laban sa tagapagbigay ng pangangalagang pangkalusugan o institusyon. Nangangailangan ito ng matibay na ebidensya at legal na kadalubhasaan.
* **Mga reklamong pang-administratibo:** Kahit na walang konkretong patunay ng pinsala, ang paghahain ng mga reklamong administratibo ay maaaring magpalitaw ng mga pagsisiyasat at panagutin ang mga institusyon.
**4. Pampublikong Adbokasiya at Kamalayan:**
* **Ibahagi ang iyong kuwento:** Itaas ang kamalayan sa pamamagitan ng pagbabahagi ng iyong karanasan sa pamamagitan ng media o online na mga platform upang mapilitan ang mga awtoridad at hikayatin ang iba na sumulong.
* **Suportahan ang mga grupo ng adbokasiya:** Sumali o mag-ambag sa mga organisasyong nagtatrabaho laban sa katiwalian sa pangangalagang pangkalusugan upang isulong ang mga pagbabago sa patakaran at mga sistematikong reporma.
**Mahahalagang Punto:**
* Ang pangangalap ng ebidensya tulad ng mga medikal na rekord, mga rekord ng komunikasyon, at mga patotoo ng saksi ay mahalaga para sa anumang legal na aksyon.
* Ang pagkonsulta sa isang abogado na dalubhasa sa batas sa pangangalagang pangkalusugan ay lubos na inirerekomenda para sa legal na payo at pag-navigate sa mga kumplikado ng mga partikular na kaso.
* Tandaan, ang legal na aksyon ay maaaring mahaba at magastos, kaya suriin ang mga potensyal na benepisyo at panganib bago magpatuloy.
**Tandaan:** Ang impormasyong ito ay para sa pangkalahatang pag-unawa at hindi dapat ituring na legal na payo. Kumonsulta sa isang abogado para sa personalized na patnubay at pag-unawa sa iyong partikular na sitwasyon at mga legal na opsyon.</v>
      </c>
      <c r="F1297" s="2">
        <f t="shared" si="1"/>
        <v>0</v>
      </c>
      <c r="G1297" s="2"/>
      <c r="H1297" s="2"/>
      <c r="I1297" s="2"/>
      <c r="J1297" s="2"/>
      <c r="K1297" s="2"/>
      <c r="L1297" s="2"/>
      <c r="M1297" s="2"/>
      <c r="N1297" s="2"/>
      <c r="O1297" s="2"/>
      <c r="P1297" s="2"/>
      <c r="Q1297" s="2"/>
      <c r="R1297" s="2"/>
      <c r="S1297" s="2"/>
      <c r="T1297" s="2"/>
      <c r="U1297" s="2"/>
      <c r="V1297" s="2"/>
      <c r="W1297" s="2"/>
      <c r="X1297" s="2"/>
      <c r="Y1297" s="2"/>
      <c r="Z1297" s="2"/>
      <c r="AA1297" s="2"/>
    </row>
    <row r="1298">
      <c r="A1298" s="1" t="s">
        <v>3356</v>
      </c>
      <c r="B1298" s="1" t="s">
        <v>3761</v>
      </c>
      <c r="C1298" s="1" t="s">
        <v>3762</v>
      </c>
      <c r="D1298" s="2" t="str">
        <f>IFERROR(__xludf.DUMMYFUNCTION("GOOGLETRANSLATE(B1298, ""en"", ""TL"")"),"Maaari bang idemanda ng mga indibidwal ang mga tagapagbigay ng pangangalagang pangkalusugan o institusyon para sa pagsasagawa ng mga tiwaling gawi na nagresulta sa pinsala o hindi sapat na pangangalaga?")</f>
        <v>Maaari bang idemanda ng mga indibidwal ang mga tagapagbigay ng pangangalagang pangkalusugan o institusyon para sa pagsasagawa ng mga tiwaling gawi na nagresulta sa pinsala o hindi sapat na pangangalaga?</v>
      </c>
      <c r="E1298" s="2" t="str">
        <f>IFERROR(__xludf.DUMMYFUNCTION("GOOGLETRANSLATE(C1298, ""en"", ""TL"")"),"## Mga Legal na Opsyon para sa Kapinsalaan mula sa Mga Tiwaling Kasanayan sa Pangangalaga sa Kalusugan sa Pilipinas (RA, Mga Konstitusyon)
**Maaaring magdemanda ang mga indibidwal sa mga tagapagbigay ng pangangalagang pangkalusugan o institusyon para sa p"&amp;"agsasagawa ng mga tiwaling gawi na nagresulta sa pinsala o hindi sapat na pangangalaga sa Pilipinas**, batay lamang sa batas ng Pilipinas, RA, at mga Konstitusyon. Gayunpaman, ang tagumpay ay nakadepende nang husto sa ilang salik at madiskarteng pag-navig"&amp;"ate sa legal na tanawin.
**Mga Potensyal na Avenue:**
* **Sibil na demanda:** Maaari kang magsampa ng kasong sibil laban sa institusyon ng pangangalagang pangkalusugan o mga indibidwal na sangkot sa katiwalian, na nagsasabing:
* **Paglabag sa mga karapata"&amp;"n sa konstitusyon:** Ginagarantiyahan ng Artikulo III, Seksyon 15 ang karapatan sa kalusugan, na posibleng nilabag dahil sa hindi sapat na pangangalaga na dulot ng katiwalian.
* **Paglabag sa kontrata:** Kung ang institusyon ay obligado na magbigay ng mga"&amp;" partikular na serbisyo at nabigo itong gawin dahil sa katiwalian, maaari kang magkaroon ng mga dahilan para sa paglabag sa paghahabol sa kontrata.
* **Pagpapabaya o sinadyang pinsala:** Depende sa partikular na sitwasyon, maaari kang makipagtalo sa kapab"&amp;"ayaan o sinadyang pinsala sa bahagi ng tagapagbigay ng pangangalagang pangkalusugan o mga indibidwal na sangkot sa katiwalian, na humahantong sa iyong pinsala.
**Mga Hamon:**
* **Pagpapatunay ng sanhi:** Ang pagpapakita ng malinaw na koneksyon sa pagitan "&amp;"ng mga tiwaling gawi at iyong pinsala ay mahalaga. Kailangan mong ipakita ang katiwalian na direktang sanhi ng hindi sapat na pangangalaga o pinsala, hindi ang iba pang mga kadahilanan tulad ng iyong dati nang kondisyon o mga kumplikadong paggamot.
* **Pa"&amp;"gtitipon ng ebidensiya:** Ang pangangalap ng matibay na ebidensya ng mga tiwaling gawi at ang nagresultang pinsala sa iyong kalusugan ay mahalaga. Maaaring kabilang dito ang mga medikal na rekord, komunikasyon sa institusyon, mga opinyon ng eksperto sa ko"&amp;"neksyon sa pagitan ng katiwalian at pinsala sa iyo, at dokumentasyon ng iyong aktwal na pinsala.
* **Burden of proof:** Ang burden of proof ay nasa iyo upang ipakita ang lahat ng elemento ng iyong claim, kabilang ang katiwalian, epekto nito sa iyong kaso,"&amp;" at ang resultang pinsala sa iyo.
* **Pagiging kumplikado at mga gastos:** Ang paghahabol ng legal na aksyon ay maaaring magtagal, magastos, at nangangailangan ng espesyal na legal na kadalubhasaan sa batas sa pangangalagang pangkalusugan at sibil na pagl"&amp;"ilitis.
**Mga Alternatibong Avenue:**
* **Mga reklamong pang-administratibo:** Ang paghahain ng mga reklamo sa Department of Health (DOH), Professional Regulation Commission (PRC), o iba pang nauugnay na regulatory body ay maaaring mag-trigger ng mga pags"&amp;"isiyasat at potensyal na parusa laban sa institusyon ng pangangalagang pangkalusugan o mga indibidwal na kasangkot. Maaaring hindi ito direktang humantong sa kabayaran sa pananalapi ngunit maaaring mag-ambag sa pagpapanagot sa kanila.
* **Pampublikong adb"&amp;"okasiya:** Ang pagpapataas ng kamalayan sa pamamagitan ng media o mga online na platform tungkol sa iyong kaso at ang mas malawak na isyu ng katiwalian sa pangangalagang pangkalusugan ay maaaring magpilit sa mga awtoridad na kumilos at posibleng humantong"&amp;" sa mga pagbabago sa patakaran.
**Legal na Balangkas:**
* **Saligang-Batas ng Pilipinas:** Ginagarantiyahan ng Artikulo III, Seksyon 15 ang karapatan sa kalusugan, at ginagarantiyahan ng Seksyon 7 ang karapatan sa impormasyon, na parehong posibleng nilaba"&amp;"g ng mga tiwaling gawain sa pangangalagang pangkalusugan.
* **Civil Code of the Philippines:** Nagbibigay ng mga probisyon para sa paglabag sa kontrata, pinsala, at hindi makatarungang pagpapayaman, na maaaring may kaugnayan depende sa partikular na mga p"&amp;"angyayari.
* **Patient's Bill of Rights (RA 9759):** Bagama't hindi direktang tinutugunan ang katiwalian, binibigyang-diin nito ang karapatan sa kaalamang pahintulot at de-kalidad na pangangalagang pangkalusugan, na posibleng nilabag ng katiwalian.
**Maha"&amp;"halagang Paalala:**
* Ang impormasyong ito ay para sa pangkalahatang pag-unawa at hindi dapat ituring na legal na payo. Ang pagkonsulta sa isang abogado na may kadalubhasaan sa batas sa pangangalagang pangkalusugan ay mahalaga para sa isang detalyadong pa"&amp;"gtatasa ng iyong partikular na sitwasyon at mga potensyal na legal na opsyon.
* Ang tagumpay ng anumang legal na aksyon ay lubos na nakasalalay sa pagpapatunay sa mga partikular na detalye ng iyong kaso at ang direktang link sa pagitan ng katiwalian at iy"&amp;"ong pinsala.
* Habang umiiral ang mga legal na paraan, ang proseso ay maaaring maging mahirap at nangangailangan ng maingat na pagsasaalang-alang ng iyong mga mapagkukunan at ang mga potensyal na kumplikadong kasangkot.
Umaasa ako na ang impormasyong ito,"&amp;" batay lamang sa batas ng Pilipinas, RA, at Konstitusyon, ay nakakatulong. Mangyaring ipaalam sa akin kung mayroon kang anumang iba pang mga katanungan.")</f>
        <v>## Mga Legal na Opsyon para sa Kapinsalaan mula sa Mga Tiwaling Kasanayan sa Pangangalaga sa Kalusugan sa Pilipinas (RA, Mga Konstitusyon)
**Maaaring magdemanda ang mga indibidwal sa mga tagapagbigay ng pangangalagang pangkalusugan o institusyon para sa pagsasagawa ng mga tiwaling gawi na nagresulta sa pinsala o hindi sapat na pangangalaga sa Pilipinas**, batay lamang sa batas ng Pilipinas, RA, at mga Konstitusyon. Gayunpaman, ang tagumpay ay nakadepende nang husto sa ilang salik at madiskarteng pag-navigate sa legal na tanawin.
**Mga Potensyal na Avenue:**
* **Sibil na demanda:** Maaari kang magsampa ng kasong sibil laban sa institusyon ng pangangalagang pangkalusugan o mga indibidwal na sangkot sa katiwalian, na nagsasabing:
* **Paglabag sa mga karapatan sa konstitusyon:** Ginagarantiyahan ng Artikulo III, Seksyon 15 ang karapatan sa kalusugan, na posibleng nilabag dahil sa hindi sapat na pangangalaga na dulot ng katiwalian.
* **Paglabag sa kontrata:** Kung ang institusyon ay obligado na magbigay ng mga partikular na serbisyo at nabigo itong gawin dahil sa katiwalian, maaari kang magkaroon ng mga dahilan para sa paglabag sa paghahabol sa kontrata.
* **Pagpapabaya o sinadyang pinsala:** Depende sa partikular na sitwasyon, maaari kang makipagtalo sa kapabayaan o sinadyang pinsala sa bahagi ng tagapagbigay ng pangangalagang pangkalusugan o mga indibidwal na sangkot sa katiwalian, na humahantong sa iyong pinsala.
**Mga Hamon:**
* **Pagpapatunay ng sanhi:** Ang pagpapakita ng malinaw na koneksyon sa pagitan ng mga tiwaling gawi at iyong pinsala ay mahalaga. Kailangan mong ipakita ang katiwalian na direktang sanhi ng hindi sapat na pangangalaga o pinsala, hindi ang iba pang mga kadahilanan tulad ng iyong dati nang kondisyon o mga kumplikadong paggamot.
* **Pagtitipon ng ebidensiya:** Ang pangangalap ng matibay na ebidensya ng mga tiwaling gawi at ang nagresultang pinsala sa iyong kalusugan ay mahalaga. Maaaring kabilang dito ang mga medikal na rekord, komunikasyon sa institusyon, mga opinyon ng eksperto sa koneksyon sa pagitan ng katiwalian at pinsala sa iyo, at dokumentasyon ng iyong aktwal na pinsala.
* **Burden of proof:** Ang burden of proof ay nasa iyo upang ipakita ang lahat ng elemento ng iyong claim, kabilang ang katiwalian, epekto nito sa iyong kaso, at ang resultang pinsala sa iyo.
* **Pagiging kumplikado at mga gastos:** Ang paghahabol ng legal na aksyon ay maaaring magtagal, magastos, at nangangailangan ng espesyal na legal na kadalubhasaan sa batas sa pangangalagang pangkalusugan at sibil na paglilitis.
**Mga Alternatibong Avenue:**
* **Mga reklamong pang-administratibo:** Ang paghahain ng mga reklamo sa Department of Health (DOH), Professional Regulation Commission (PRC), o iba pang nauugnay na regulatory body ay maaaring mag-trigger ng mga pagsisiyasat at potensyal na parusa laban sa institusyon ng pangangalagang pangkalusugan o mga indibidwal na kasangkot. Maaaring hindi ito direktang humantong sa kabayaran sa pananalapi ngunit maaaring mag-ambag sa pagpapanagot sa kanila.
* **Pampublikong adbokasiya:** Ang pagpapataas ng kamalayan sa pamamagitan ng media o mga online na platform tungkol sa iyong kaso at ang mas malawak na isyu ng katiwalian sa pangangalagang pangkalusugan ay maaaring magpilit sa mga awtoridad na kumilos at posibleng humantong sa mga pagbabago sa patakaran.
**Legal na Balangkas:**
* **Saligang-Batas ng Pilipinas:** Ginagarantiyahan ng Artikulo III, Seksyon 15 ang karapatan sa kalusugan, at ginagarantiyahan ng Seksyon 7 ang karapatan sa impormasyon, na parehong posibleng nilabag ng mga tiwaling gawain sa pangangalagang pangkalusugan.
* **Civil Code of the Philippines:** Nagbibigay ng mga probisyon para sa paglabag sa kontrata, pinsala, at hindi makatarungang pagpapayaman, na maaaring may kaugnayan depende sa partikular na mga pangyayari.
* **Patient's Bill of Rights (RA 9759):** Bagama't hindi direktang tinutugunan ang katiwalian, binibigyang-diin nito ang karapatan sa kaalamang pahintulot at de-kalidad na pangangalagang pangkalusugan, na posibleng nilabag ng katiwalian.
**Mahahalagang Paalala:**
* Ang impormasyong ito ay para sa pangkalahatang pag-unawa at hindi dapat ituring na legal na payo. Ang pagkonsulta sa isang abogado na may kadalubhasaan sa batas sa pangangalagang pangkalusugan ay mahalaga para sa isang detalyadong pagtatasa ng iyong partikular na sitwasyon at mga potensyal na legal na opsyon.
* Ang tagumpay ng anumang legal na aksyon ay lubos na nakasalalay sa pagpapatunay sa mga partikular na detalye ng iyong kaso at ang direktang link sa pagitan ng katiwalian at iyong pinsala.
* Habang umiiral ang mga legal na paraan, ang proseso ay maaaring maging mahirap at nangangailangan ng maingat na pagsasaalang-alang ng iyong mga mapagkukunan at ang mga potensyal na kumplikadong kasangkot.
Umaasa ako na ang impormasyong ito, batay lamang sa batas ng Pilipinas, RA, at Konstitusyon, ay nakakatulong. Mangyaring ipaalam sa akin kung mayroon kang anumang iba pang mga katanungan.</v>
      </c>
      <c r="F1298" s="2">
        <f t="shared" si="1"/>
        <v>0</v>
      </c>
      <c r="G1298" s="2"/>
      <c r="H1298" s="2"/>
      <c r="I1298" s="2"/>
      <c r="J1298" s="2"/>
      <c r="K1298" s="2"/>
      <c r="L1298" s="2"/>
      <c r="M1298" s="2"/>
      <c r="N1298" s="2"/>
      <c r="O1298" s="2"/>
      <c r="P1298" s="2"/>
      <c r="Q1298" s="2"/>
      <c r="R1298" s="2"/>
      <c r="S1298" s="2"/>
      <c r="T1298" s="2"/>
      <c r="U1298" s="2"/>
      <c r="V1298" s="2"/>
      <c r="W1298" s="2"/>
      <c r="X1298" s="2"/>
      <c r="Y1298" s="2"/>
      <c r="Z1298" s="2"/>
      <c r="AA1298" s="2"/>
    </row>
    <row r="1299">
      <c r="A1299" s="1" t="s">
        <v>3356</v>
      </c>
      <c r="B1299" s="1" t="s">
        <v>3763</v>
      </c>
      <c r="C1299" s="1" t="s">
        <v>3764</v>
      </c>
      <c r="D1299" s="2" t="str">
        <f>IFERROR(__xludf.DUMMYFUNCTION("GOOGLETRANSLATE(B1299, ""en"", ""TL"")"),"Paano makakalap ng ebidensya ang mga pasyente upang suportahan ang mga claim ng katiwalian sa kanilang mga karanasan sa pangangalagang pangkalusugan?")</f>
        <v>Paano makakalap ng ebidensya ang mga pasyente upang suportahan ang mga claim ng katiwalian sa kanilang mga karanasan sa pangangalagang pangkalusugan?</v>
      </c>
      <c r="E1299" s="2" t="str">
        <f>IFERROR(__xludf.DUMMYFUNCTION("GOOGLETRANSLATE(C1299, ""en"", ""TL"")"),"Ang pangangalap ng ebidensya upang suportahan ang mga claim ng katiwalian sa iyong mga karanasan sa pangangalagang pangkalusugan ay napakahalaga sa Pilipinas, batay lamang sa batas ng Pilipinas, RA, at mga Konstitusyon. Gayunpaman, mahalagang tandaan na *"&amp;"*maaaring kumplikado ang pangangalap ng ebidensya at nangangailangan ng maingat na pagsasaalang-alang sa iyong partikular na sitwasyon.** Narito ang ilang mahahalagang punto at tip na dapat tandaan:
**Mga Uri ng Ebidensya:**
* **Mga talaang medikal:"&amp;"** Humiling ng mga kopya ng lahat ng nauugnay na rekord ng medikal, kabilang ang mga reseta, mga ulat sa diagnostic, mga pahayag sa pagsingil, at mga buod ng paglabas. Tingnan kung may mga hindi pagkakapare-pareho, nawawalang impormasyon, o hindi pangkara"&amp;"niwang mga entry.
* **Mga resibo at invoice:** Panatilihin ang mga kopya ng lahat ng mga resibo at invoice na nauugnay sa iyong mga gastos sa pangangalagang pangkalusugan.
* **Mga talaan ng komunikasyon:** Mag-save ng mga email, text, o iba pang komunik"&amp;"asyon sa mga provider o institusyon ng pangangalagang pangkalusugan tungkol sa iyong mga alalahanin tungkol sa potensyal na katiwalian.
* **Testimonya ng saksi:** Kung may nakasaksi ng kahina-hinalang gawi o pakikipag-ugnayan, idokumento ang kanilang mga"&amp;" testimonya at impormasyon sa pakikipag-ugnayan.
* **Mga opinyon ng eksperto:** Depende sa partikular na sitwasyon, isaalang-alang ang paghingi ng mga opinyon mula sa mga medikal na propesyonal o legal na eksperto upang bigyang-kahulugan ang iyong mga ta"&amp;"laan o suportahan ang iyong mga claim.
**Mga Istratehiya sa Pagtitipon:**
* **Magsimula nang maaga:** Mas maaga kang magsimulang mangalap ng ebidensya, mas mabuti. Ang mga alaala ay kumukupas, at ang mga tala ay maaaring mawala o mabago.
* **Maging"&amp;" maingat:** Iwasang magtaas ng hinala sa pamamagitan ng labis na paghaharap. Maingat na mangolekta ng ebidensya at idokumento ang iyong mga aksyon.
* **Alamin ang iyong mga karapatan:** Alamin ang iyong sarili sa Bill of Rights ng Pasyente (RA 9759) at i"&amp;"ba pang nauugnay na batas tungkol sa pag-access sa impormasyon at mga medikal na rekord.
* **Humingi ng suporta:** Isaalang-alang ang paghingi ng legal na payo o patnubay mula sa mga organisasyong dalubhasa sa adbokasiya ng pangangalagang pangkalusugan o"&amp;" whistleblowing.
**Mahahalagang Pag-iingat:**
* **Huwag pakialaman ang ebidensya:** Ang pagbabago o katha ng ebidensya ay maaaring makasira sa iyong kredibilidad at humantong sa mga legal na epekto.
* **Tumuon sa mga katotohanan:** Iwasan ang haka-"&amp;"haka o emosyonal na pagsabog sa iyong dokumentasyon. Manatili sa makatotohanang mga obserbasyon at konkretong ebidensya.
* **Magkaroon ng kamalayan sa mga limitasyon:** Maaaring hindi palaging diretso ang pangangalap ng ebidensya, at ang pagkuha ng ilang"&amp;" partikular na rekord o impormasyon ay maaaring mangailangan ng legal na tulong.
**Legal na Balangkas:**
* **Saligang-Batas ng Pilipinas:** Ginagarantiyahan ng Artikulo III, Seksyon 7 ang karapatan sa impormasyon, mahalaga sa pag-access sa iyong mga"&amp;" medikal na rekord at pag-unawa sa potensyal na katiwalian.
* **Patient's Bill of Rights (RA 9759):** Binibigyan ng kapangyarihan ang mga pasyente na may karapatang mag-access ng impormasyon, may kaalamang pahintulot, at de-kalidad na pangangalagang pang"&amp;"kalusugan, na posibleng nilabag ng katiwalian.
* **Data Privacy Act (RA 10173):** Pinoprotektahan ang iyong personal na impormasyon sa loob ng mga medikal na rekord, tinitiyak ang wastong pag-access at paghawak.
**Tandaan:** Ang impormasyong ito ay pa"&amp;"ra sa pangkalahatang pag-unawa at hindi dapat ituring na legal na payo. Ang pagkonsulta sa isang abogado na dalubhasa sa batas sa pangangalagang pangkalusugan o pagkapribado ng data ay napakahalaga para sa partikular na paggabay at pag-unawa sa mga legal "&amp;"na nuances na kasangkot sa iyong kaso. Maaari ka nilang payuhan sa pinakamahusay na diskarte sa pangangalap ng ebidensya batay sa iyong natatanging sitwasyon at mga potensyal na legal na aksyon.
Umaasa ako na ang impormasyong ito, batay lamang sa batas"&amp;" ng Pilipinas, RA, at Konstitusyon, ay nakakatulong. Mangyaring ipaalam sa akin kung mayroon kang anumang iba pang mga katanungan.")</f>
        <v>Ang pangangalap ng ebidensya upang suportahan ang mga claim ng katiwalian sa iyong mga karanasan sa pangangalagang pangkalusugan ay napakahalaga sa Pilipinas, batay lamang sa batas ng Pilipinas, RA, at mga Konstitusyon. Gayunpaman, mahalagang tandaan na **maaaring kumplikado ang pangangalap ng ebidensya at nangangailangan ng maingat na pagsasaalang-alang sa iyong partikular na sitwasyon.** Narito ang ilang mahahalagang punto at tip na dapat tandaan:
**Mga Uri ng Ebidensya:**
* **Mga talaang medikal:** Humiling ng mga kopya ng lahat ng nauugnay na rekord ng medikal, kabilang ang mga reseta, mga ulat sa diagnostic, mga pahayag sa pagsingil, at mga buod ng paglabas. Tingnan kung may mga hindi pagkakapare-pareho, nawawalang impormasyon, o hindi pangkaraniwang mga entry.
* **Mga resibo at invoice:** Panatilihin ang mga kopya ng lahat ng mga resibo at invoice na nauugnay sa iyong mga gastos sa pangangalagang pangkalusugan.
* **Mga talaan ng komunikasyon:** Mag-save ng mga email, text, o iba pang komunikasyon sa mga provider o institusyon ng pangangalagang pangkalusugan tungkol sa iyong mga alalahanin tungkol sa potensyal na katiwalian.
* **Testimonya ng saksi:** Kung may nakasaksi ng kahina-hinalang gawi o pakikipag-ugnayan, idokumento ang kanilang mga testimonya at impormasyon sa pakikipag-ugnayan.
* **Mga opinyon ng eksperto:** Depende sa partikular na sitwasyon, isaalang-alang ang paghingi ng mga opinyon mula sa mga medikal na propesyonal o legal na eksperto upang bigyang-kahulugan ang iyong mga talaan o suportahan ang iyong mga claim.
**Mga Istratehiya sa Pagtitipon:**
* **Magsimula nang maaga:** Mas maaga kang magsimulang mangalap ng ebidensya, mas mabuti. Ang mga alaala ay kumukupas, at ang mga tala ay maaaring mawala o mabago.
* **Maging maingat:** Iwasang magtaas ng hinala sa pamamagitan ng labis na paghaharap. Maingat na mangolekta ng ebidensya at idokumento ang iyong mga aksyon.
* **Alamin ang iyong mga karapatan:** Alamin ang iyong sarili sa Bill of Rights ng Pasyente (RA 9759) at iba pang nauugnay na batas tungkol sa pag-access sa impormasyon at mga medikal na rekord.
* **Humingi ng suporta:** Isaalang-alang ang paghingi ng legal na payo o patnubay mula sa mga organisasyong dalubhasa sa adbokasiya ng pangangalagang pangkalusugan o whistleblowing.
**Mahahalagang Pag-iingat:**
* **Huwag pakialaman ang ebidensya:** Ang pagbabago o katha ng ebidensya ay maaaring makasira sa iyong kredibilidad at humantong sa mga legal na epekto.
* **Tumuon sa mga katotohanan:** Iwasan ang haka-haka o emosyonal na pagsabog sa iyong dokumentasyon. Manatili sa makatotohanang mga obserbasyon at konkretong ebidensya.
* **Magkaroon ng kamalayan sa mga limitasyon:** Maaaring hindi palaging diretso ang pangangalap ng ebidensya, at ang pagkuha ng ilang partikular na rekord o impormasyon ay maaaring mangailangan ng legal na tulong.
**Legal na Balangkas:**
* **Saligang-Batas ng Pilipinas:** Ginagarantiyahan ng Artikulo III, Seksyon 7 ang karapatan sa impormasyon, mahalaga sa pag-access sa iyong mga medikal na rekord at pag-unawa sa potensyal na katiwalian.
* **Patient's Bill of Rights (RA 9759):** Binibigyan ng kapangyarihan ang mga pasyente na may karapatang mag-access ng impormasyon, may kaalamang pahintulot, at de-kalidad na pangangalagang pangkalusugan, na posibleng nilabag ng katiwalian.
* **Data Privacy Act (RA 10173):** Pinoprotektahan ang iyong personal na impormasyon sa loob ng mga medikal na rekord, tinitiyak ang wastong pag-access at paghawak.
**Tandaan:** Ang impormasyong ito ay para sa pangkalahatang pag-unawa at hindi dapat ituring na legal na payo. Ang pagkonsulta sa isang abogado na dalubhasa sa batas sa pangangalagang pangkalusugan o pagkapribado ng data ay napakahalaga para sa partikular na paggabay at pag-unawa sa mga legal na nuances na kasangkot sa iyong kaso. Maaari ka nilang payuhan sa pinakamahusay na diskarte sa pangangalap ng ebidensya batay sa iyong natatanging sitwasyon at mga potensyal na legal na aksyon.
Umaasa ako na ang impormasyong ito, batay lamang sa batas ng Pilipinas, RA, at Konstitusyon, ay nakakatulong. Mangyaring ipaalam sa akin kung mayroon kang anumang iba pang mga katanungan.</v>
      </c>
      <c r="F1299" s="2">
        <f t="shared" si="1"/>
        <v>0</v>
      </c>
      <c r="G1299" s="2"/>
      <c r="H1299" s="2"/>
      <c r="I1299" s="2"/>
      <c r="J1299" s="2"/>
      <c r="K1299" s="2"/>
      <c r="L1299" s="2"/>
      <c r="M1299" s="2"/>
      <c r="N1299" s="2"/>
      <c r="O1299" s="2"/>
      <c r="P1299" s="2"/>
      <c r="Q1299" s="2"/>
      <c r="R1299" s="2"/>
      <c r="S1299" s="2"/>
      <c r="T1299" s="2"/>
      <c r="U1299" s="2"/>
      <c r="V1299" s="2"/>
      <c r="W1299" s="2"/>
      <c r="X1299" s="2"/>
      <c r="Y1299" s="2"/>
      <c r="Z1299" s="2"/>
      <c r="AA1299" s="2"/>
    </row>
    <row r="1300">
      <c r="A1300" s="1" t="s">
        <v>3356</v>
      </c>
      <c r="B1300" s="1" t="s">
        <v>3765</v>
      </c>
      <c r="C1300" s="1" t="s">
        <v>3766</v>
      </c>
      <c r="D1300" s="2" t="str">
        <f>IFERROR(__xludf.DUMMYFUNCTION("GOOGLETRANSLATE(B1300, ""en"", ""TL"")"),"Mayroon bang mga legal na proteksyon para sa mga whistleblower na nag-uulat ng mga kaso ng katiwalian sa loob ng sistema ng pangangalagang pangkalusugan?")</f>
        <v>Mayroon bang mga legal na proteksyon para sa mga whistleblower na nag-uulat ng mga kaso ng katiwalian sa loob ng sistema ng pangangalagang pangkalusugan?</v>
      </c>
      <c r="E1300" s="2" t="str">
        <f>IFERROR(__xludf.DUMMYFUNCTION("GOOGLETRANSLATE(C1300, ""en"", ""TL"")"),"Oo, mayroong **mga legal na proteksyon para sa mga whistleblower na nag-uulat ng mga kaso ng katiwalian sa loob ng sistema ng pangangalagang pangkalusugan sa Pilipinas**, batay lamang sa batas ng Pilipinas, RA, at mga Konstitusyon. Gayunpaman, ang mga par"&amp;"tikular na proteksyon at ang kanilang pagiging epektibo ay nag-iiba depende sa sitwasyon.
**Mga Pangunahing Batas:**
* **Republic Act No. 6735 (Code of Conduct and Ethical Standards for Public Officials and Employees):** Pinoprotektahan ang mga pamp"&amp;"ublikong opisyal at empleyado na nag-uulat ng mga paglabag sa batas, kabilang ang katiwalian, ng kanilang mga superyor o kasamahan.
* **Republic Act No. 11032 (Expanded Anti-Red Tape Act):** Nagbibigay ng mas malawak na proteksyon ng whistleblower sa mga"&amp;" ahensya ng gobyerno, kabilang ang mga institusyong pangkalusugan na tumatanggap ng pampublikong pondo.
* **Republic Act No. 9285 (Securities Regulation Code):** Nag-aalok ng proteksyon sa mga whistleblower na nag-uulat ng mga paglabag na nauugnay sa mga"&amp;" securities, na maaaring may kaugnayan sa ilang mga kaso ng maling pag-uugaling pinansyal na nauugnay sa pangangalaga sa kalusugan.
* **Revised Penal Code:** Nagbibigay ng immunity mula sa pag-uusig sa mga indibidwal na nag-uulat ng ilang partikular na k"&amp;"rimen, tulad ng panunuhol at pandaraya, hangga't ang kanilang mga ulat ay ginawa nang may mabuting loob.
**Sakop ng Proteksyon:**
* Ipinagbabawal ng mga batas na ito ang pagganti laban sa mga whistleblower sa iba't ibang anyo, kabilang ang pagwawaka"&amp;"s, pagbabawas ng posisyon, panliligalig, at diskriminasyon.
* Inaatasan nila ang mga ahensya ng gobyerno na magtatag ng mga mekanismo para sa pagtanggap at pagsisiyasat ng mga ulat ng whistleblower nang kumpidensyal.
**Mga Limitasyon:**
* Ang bisa "&amp;"ng mga batas na ito ay maaaring mag-iba depende sa pangako ng ahensya sa pagtataguyod ng mga proteksyon ng whistleblower.
* Ang pagpapatunay ng paghihiganti ay maaaring maging mahirap, at ang mga legal na paglilitis ay maaaring mahaba at magastos.
* May"&amp;" ilang butas at limitasyon sa mga partikular na batas, na nag-iiwan ng puwang para sa potensyal na pang-aabuso o kawalan ng ganap na proteksyon.
**Mga Karagdagang Mapagkukunan:**
* **Opisina ng Ombudsman:** Iniimbestigahan ang mga reklamo ng paghihi"&amp;"ganti laban sa mga whistleblower sa mga ahensya ng gobyerno.
* **Public Attorney's Office:** Nagbibigay ng legal na tulong sa mga whistleblower sa ilang partikular na kaso.
* **Non-Government Organizations (NGOs):** Nag-aalok ang ilang NGO ng suporta at"&amp;" gabay sa mga whistleblower.
**Mahahalagang Paalala:**
* Ang impormasyong ito ay para sa pangkalahatang pag-unawa at hindi dapat ituring na legal na payo. Ang pagkonsulta sa isang abogado na dalubhasa sa proteksyon ng whistleblower ay mahalaga para "&amp;"sa detalyadong paggabay at pag-unawa sa iyong partikular na sitwasyon.
* Maingat na idokumento ang iyong mga ulat at anumang potensyal na paghihiganti upang palakasin ang iyong kaso.
* Isaalang-alang ang pag-uulat sa maraming ahensya o humingi ng suport"&amp;"a mula sa mga NGO para sa mas malawak na proteksyon at adbokasiya.
Umaasa ako na ang impormasyong ito, batay lamang sa batas ng Pilipinas, RA, at Konstitusyon, ay nakakatulong. Mangyaring ipaalam sa akin kung mayroon kang anumang iba pang mga katanunga"&amp;"n.")</f>
        <v>Oo, mayroong **mga legal na proteksyon para sa mga whistleblower na nag-uulat ng mga kaso ng katiwalian sa loob ng sistema ng pangangalagang pangkalusugan sa Pilipinas**, batay lamang sa batas ng Pilipinas, RA, at mga Konstitusyon. Gayunpaman, ang mga partikular na proteksyon at ang kanilang pagiging epektibo ay nag-iiba depende sa sitwasyon.
**Mga Pangunahing Batas:**
* **Republic Act No. 6735 (Code of Conduct and Ethical Standards for Public Officials and Employees):** Pinoprotektahan ang mga pampublikong opisyal at empleyado na nag-uulat ng mga paglabag sa batas, kabilang ang katiwalian, ng kanilang mga superyor o kasamahan.
* **Republic Act No. 11032 (Expanded Anti-Red Tape Act):** Nagbibigay ng mas malawak na proteksyon ng whistleblower sa mga ahensya ng gobyerno, kabilang ang mga institusyong pangkalusugan na tumatanggap ng pampublikong pondo.
* **Republic Act No. 9285 (Securities Regulation Code):** Nag-aalok ng proteksyon sa mga whistleblower na nag-uulat ng mga paglabag na nauugnay sa mga securities, na maaaring may kaugnayan sa ilang mga kaso ng maling pag-uugaling pinansyal na nauugnay sa pangangalaga sa kalusugan.
* **Revised Penal Code:** Nagbibigay ng immunity mula sa pag-uusig sa mga indibidwal na nag-uulat ng ilang partikular na krimen, tulad ng panunuhol at pandaraya, hangga't ang kanilang mga ulat ay ginawa nang may mabuting loob.
**Sakop ng Proteksyon:**
* Ipinagbabawal ng mga batas na ito ang pagganti laban sa mga whistleblower sa iba't ibang anyo, kabilang ang pagwawakas, pagbabawas ng posisyon, panliligalig, at diskriminasyon.
* Inaatasan nila ang mga ahensya ng gobyerno na magtatag ng mga mekanismo para sa pagtanggap at pagsisiyasat ng mga ulat ng whistleblower nang kumpidensyal.
**Mga Limitasyon:**
* Ang bisa ng mga batas na ito ay maaaring mag-iba depende sa pangako ng ahensya sa pagtataguyod ng mga proteksyon ng whistleblower.
* Ang pagpapatunay ng paghihiganti ay maaaring maging mahirap, at ang mga legal na paglilitis ay maaaring mahaba at magastos.
* May ilang butas at limitasyon sa mga partikular na batas, na nag-iiwan ng puwang para sa potensyal na pang-aabuso o kawalan ng ganap na proteksyon.
**Mga Karagdagang Mapagkukunan:**
* **Opisina ng Ombudsman:** Iniimbestigahan ang mga reklamo ng paghihiganti laban sa mga whistleblower sa mga ahensya ng gobyerno.
* **Public Attorney's Office:** Nagbibigay ng legal na tulong sa mga whistleblower sa ilang partikular na kaso.
* **Non-Government Organizations (NGOs):** Nag-aalok ang ilang NGO ng suporta at gabay sa mga whistleblower.
**Mahahalagang Paalala:**
* Ang impormasyong ito ay para sa pangkalahatang pag-unawa at hindi dapat ituring na legal na payo. Ang pagkonsulta sa isang abogado na dalubhasa sa proteksyon ng whistleblower ay mahalaga para sa detalyadong paggabay at pag-unawa sa iyong partikular na sitwasyon.
* Maingat na idokumento ang iyong mga ulat at anumang potensyal na paghihiganti upang palakasin ang iyong kaso.
* Isaalang-alang ang pag-uulat sa maraming ahensya o humingi ng suporta mula sa mga NGO para sa mas malawak na proteksyon at adbokasiya.
Umaasa ako na ang impormasyong ito, batay lamang sa batas ng Pilipinas, RA, at Konstitusyon, ay nakakatulong. Mangyaring ipaalam sa akin kung mayroon kang anumang iba pang mga katanungan.</v>
      </c>
      <c r="F1300" s="2">
        <f t="shared" si="1"/>
        <v>0</v>
      </c>
      <c r="G1300" s="2"/>
      <c r="H1300" s="2"/>
      <c r="I1300" s="2"/>
      <c r="J1300" s="2"/>
      <c r="K1300" s="2"/>
      <c r="L1300" s="2"/>
      <c r="M1300" s="2"/>
      <c r="N1300" s="2"/>
      <c r="O1300" s="2"/>
      <c r="P1300" s="2"/>
      <c r="Q1300" s="2"/>
      <c r="R1300" s="2"/>
      <c r="S1300" s="2"/>
      <c r="T1300" s="2"/>
      <c r="U1300" s="2"/>
      <c r="V1300" s="2"/>
      <c r="W1300" s="2"/>
      <c r="X1300" s="2"/>
      <c r="Y1300" s="2"/>
      <c r="Z1300" s="2"/>
      <c r="AA1300" s="2"/>
    </row>
    <row r="1301">
      <c r="A1301" s="1" t="s">
        <v>3356</v>
      </c>
      <c r="B1301" s="1" t="s">
        <v>3767</v>
      </c>
      <c r="C1301" s="1" t="s">
        <v>3768</v>
      </c>
      <c r="D1301" s="2" t="str">
        <f>IFERROR(__xludf.DUMMYFUNCTION("GOOGLETRANSLATE(B1301, ""en"", ""TL"")"),"Anong legal na recourse ang mayroon ang mga pasyente kung naniniwala silang binago ang kanilang mga medikal na rekord dahil sa katiwalian?")</f>
        <v>Anong legal na recourse ang mayroon ang mga pasyente kung naniniwala silang binago ang kanilang mga medikal na rekord dahil sa katiwalian?</v>
      </c>
      <c r="E1301" s="2" t="str">
        <f>IFERROR(__xludf.DUMMYFUNCTION("GOOGLETRANSLATE(C1301, ""en"", ""TL"")"),"## Legal Recourse para sa Binagong Rekord na Medikal Dahil sa Korapsyon sa Pilipinas (RA, Constitutions)
**Ang mga pasyente sa Pilipinas ay may potensyal na legal na tulong kung naniniwala sila na ang kanilang mga medikal na rekord ay binago dahil sa kati"&amp;"walian**, batay lamang sa batas ng Pilipinas, RA, at mga Konstitusyon. Gayunpaman, ang mga partikular na opsyon at tagumpay ay nakadepende sa mga detalye ng kaso at madiskarteng pag-navigate sa legal na tanawin.
**Mga Potensyal na Avenue:**
* **Sibil na d"&amp;"emanda:** Maaari kang magsampa ng kasong sibil laban sa institusyon ng pangangalagang pangkalusugan o mga indibidwal na sangkot sa katiwalian, na nagsasabing:
* **Paglabag sa privacy:** Ang mga medikal na rekord ay itinuturing na personal na impormasyong "&amp;"protektado ng karapatan sa pagkapribado sa ilalim ng Konstitusyon (Artikulo III, Seksyon 7).
* **Pabaya o sinadyang pinsala:** Ang pagpapalit ng mga talaan ay maaaring ituring na kapabayaan o sinadyang pinsala kung ito ay humantong sa maling pagsusuri, ma"&amp;"ling paggamot, o iba pang negatibong kahihinatnan para sa iyong kalusugan.
* **Pandaraya o maling representasyon:** Kung ginamit ang mga binagong talaan upang linlangin ka o ang iba, maaari kang magkaroon ng mga batayan para sa isang claim sa pandaraya o "&amp;"maling representasyon.
**Mga Hamon:**
* **Pagpapatunay ng pagbabago:** Ang pagpapakita na ang iyong mga talaan ay sadyang binago dahil sa katiwalian ay maaaring maging mahirap. Kailangan mo ng konkretong ebidensya, tulad ng mga hindi pagkakapare-pareho sa"&amp;" mga petsa, sulat-kamay, o mga entry, at potensyal na opinyon ng eksperto upang maitatag ang pagbabago at ang layunin nito.
* **Pagpapatunay ng pinsala:** Kailangan mong ipakita na ang mga binagong talaan ay nagdulot sa iyo ng aktwal na pinsala, gaya ng m"&amp;"ga pagkalugi sa pananalapi, emosyonal na pagkabalisa, o negatibong resulta sa kalusugan.
* **Burden of proof:** Ang pasanin ng patunay ay nasa iyo upang ipakita ang lahat ng elemento ng iyong claim, kabilang ang pagbabago, ang tiwaling motibo nito, at ang"&amp;" nagresultang pinsala sa iyo.
* **Pagiging kumplikado at mga gastos:** Ang paghahabol ng legal na aksyon ay maaaring magtagal, magastos, at nangangailangan ng espesyal na legal na kadalubhasaan sa batas sa pangangalagang pangkalusugan at sibil na paglilit"&amp;"is.
**Mga Alternatibong Avenue:**
* **Mag-ulat sa mga ahensya ng regulasyon:** Maghain ng mga reklamo sa Department of Health (DOH), Professional Regulation Commission (PRC), o iba pang nauugnay na mga regulatory body. Maaari nilang imbestigahan ang mga p"&amp;"aratang at posibleng magpataw ng mga parusa sa institusyon ng pangangalagang pangkalusugan o mga indibidwal na kasangkot.
* **Pampublikong adbokasiya:** Ang pagpapataas ng kamalayan sa pamamagitan ng media o mga online na platform tungkol sa isyu ay maaar"&amp;"ing magpilit sa mga institusyon na tugunan ang problema at mahikayat ang iba na sumulong.
**Legal na Balangkas:**
* **Konstitusyon ng Pilipinas:** Ginagarantiyahan ng Artikulo III, Seksyon 7 ang karapatan sa pagkapribado, na sumasaklaw sa proteksyon ng pe"&amp;"rsonal na impormasyon tulad ng mga medikal na rekord.
* **Data Privacy Act (RA 10173):** Nagtatatag ng mga regulasyon para sa pagprotekta sa personal na data, na posibleng naaangkop sa mga medikal na rekord.
* **Patient's Bill of Rights (RA 9759):** Nagbi"&amp;"bigay sa mga pasyente ng karapatang ma-access at humiling ng mga pagwawasto sa kanilang mga medikal na rekord.
* **Binago ang Penal Code:** Depende sa partikular na pagkilos ng pagbabago, ang mga pagkakasala tulad ng palsipikasyon ng mga dokumento o panda"&amp;"raya ay maaaring naaangkop.
**Mahahalagang Paalala:**
* Ang impormasyong ito ay para sa pangkalahatang pag-unawa at hindi dapat ituring na legal na payo. Ang pagkonsulta sa isang abogado na may kadalubhasaan sa batas sa pangangalagang pangkalusugan o pagk"&amp;"apribado ng data ay mahalaga para sa isang detalyadong pagtatasa ng iyong partikular na sitwasyon at mga potensyal na legal na opsyon.
* Ang tagumpay ng anumang legal na aksyon ay lubos na umaasa sa pangangalap ng matibay na ebidensya at pagpapatunay sa m"&amp;"ga partikular na detalye ng iyong kaso, kabilang ang tiwaling motibo sa likod ng pagbabago at ang epekto nito sa iyo.
* Habang umiiral ang mga legal na paraan, ang proseso ay maaaring maging mahirap at nangangailangan ng maingat na pagsasaalang-alang ng i"&amp;"yong mga mapagkukunan at ang mga potensyal na kumplikadong kasangkot.
Umaasa ako na ang impormasyong ito, batay lamang sa batas ng Pilipinas, RA, at Konstitusyon, ay nakakatulong. Mangyaring ipaalam sa akin kung mayroon kang anumang iba pang mga katanunga"&amp;"n.")</f>
        <v>## Legal Recourse para sa Binagong Rekord na Medikal Dahil sa Korapsyon sa Pilipinas (RA, Constitutions)
**Ang mga pasyente sa Pilipinas ay may potensyal na legal na tulong kung naniniwala sila na ang kanilang mga medikal na rekord ay binago dahil sa katiwalian**, batay lamang sa batas ng Pilipinas, RA, at mga Konstitusyon. Gayunpaman, ang mga partikular na opsyon at tagumpay ay nakadepende sa mga detalye ng kaso at madiskarteng pag-navigate sa legal na tanawin.
**Mga Potensyal na Avenue:**
* **Sibil na demanda:** Maaari kang magsampa ng kasong sibil laban sa institusyon ng pangangalagang pangkalusugan o mga indibidwal na sangkot sa katiwalian, na nagsasabing:
* **Paglabag sa privacy:** Ang mga medikal na rekord ay itinuturing na personal na impormasyong protektado ng karapatan sa pagkapribado sa ilalim ng Konstitusyon (Artikulo III, Seksyon 7).
* **Pabaya o sinadyang pinsala:** Ang pagpapalit ng mga talaan ay maaaring ituring na kapabayaan o sinadyang pinsala kung ito ay humantong sa maling pagsusuri, maling paggamot, o iba pang negatibong kahihinatnan para sa iyong kalusugan.
* **Pandaraya o maling representasyon:** Kung ginamit ang mga binagong talaan upang linlangin ka o ang iba, maaari kang magkaroon ng mga batayan para sa isang claim sa pandaraya o maling representasyon.
**Mga Hamon:**
* **Pagpapatunay ng pagbabago:** Ang pagpapakita na ang iyong mga talaan ay sadyang binago dahil sa katiwalian ay maaaring maging mahirap. Kailangan mo ng konkretong ebidensya, tulad ng mga hindi pagkakapare-pareho sa mga petsa, sulat-kamay, o mga entry, at potensyal na opinyon ng eksperto upang maitatag ang pagbabago at ang layunin nito.
* **Pagpapatunay ng pinsala:** Kailangan mong ipakita na ang mga binagong talaan ay nagdulot sa iyo ng aktwal na pinsala, gaya ng mga pagkalugi sa pananalapi, emosyonal na pagkabalisa, o negatibong resulta sa kalusugan.
* **Burden of proof:** Ang pasanin ng patunay ay nasa iyo upang ipakita ang lahat ng elemento ng iyong claim, kabilang ang pagbabago, ang tiwaling motibo nito, at ang nagresultang pinsala sa iyo.
* **Pagiging kumplikado at mga gastos:** Ang paghahabol ng legal na aksyon ay maaaring magtagal, magastos, at nangangailangan ng espesyal na legal na kadalubhasaan sa batas sa pangangalagang pangkalusugan at sibil na paglilitis.
**Mga Alternatibong Avenue:**
* **Mag-ulat sa mga ahensya ng regulasyon:** Maghain ng mga reklamo sa Department of Health (DOH), Professional Regulation Commission (PRC), o iba pang nauugnay na mga regulatory body. Maaari nilang imbestigahan ang mga paratang at posibleng magpataw ng mga parusa sa institusyon ng pangangalagang pangkalusugan o mga indibidwal na kasangkot.
* **Pampublikong adbokasiya:** Ang pagpapataas ng kamalayan sa pamamagitan ng media o mga online na platform tungkol sa isyu ay maaaring magpilit sa mga institusyon na tugunan ang problema at mahikayat ang iba na sumulong.
**Legal na Balangkas:**
* **Konstitusyon ng Pilipinas:** Ginagarantiyahan ng Artikulo III, Seksyon 7 ang karapatan sa pagkapribado, na sumasaklaw sa proteksyon ng personal na impormasyon tulad ng mga medikal na rekord.
* **Data Privacy Act (RA 10173):** Nagtatatag ng mga regulasyon para sa pagprotekta sa personal na data, na posibleng naaangkop sa mga medikal na rekord.
* **Patient's Bill of Rights (RA 9759):** Nagbibigay sa mga pasyente ng karapatang ma-access at humiling ng mga pagwawasto sa kanilang mga medikal na rekord.
* **Binago ang Penal Code:** Depende sa partikular na pagkilos ng pagbabago, ang mga pagkakasala tulad ng palsipikasyon ng mga dokumento o pandaraya ay maaaring naaangkop.
**Mahahalagang Paalala:**
* Ang impormasyong ito ay para sa pangkalahatang pag-unawa at hindi dapat ituring na legal na payo. Ang pagkonsulta sa isang abogado na may kadalubhasaan sa batas sa pangangalagang pangkalusugan o pagkapribado ng data ay mahalaga para sa isang detalyadong pagtatasa ng iyong partikular na sitwasyon at mga potensyal na legal na opsyon.
* Ang tagumpay ng anumang legal na aksyon ay lubos na umaasa sa pangangalap ng matibay na ebidensya at pagpapatunay sa mga partikular na detalye ng iyong kaso, kabilang ang tiwaling motibo sa likod ng pagbabago at ang epekto nito sa iyo.
* Habang umiiral ang mga legal na paraan, ang proseso ay maaaring maging mahirap at nangangailangan ng maingat na pagsasaalang-alang ng iyong mga mapagkukunan at ang mga potensyal na kumplikadong kasangkot.
Umaasa ako na ang impormasyong ito, batay lamang sa batas ng Pilipinas, RA, at Konstitusyon, ay nakakatulong. Mangyaring ipaalam sa akin kung mayroon kang anumang iba pang mga katanungan.</v>
      </c>
      <c r="F1301" s="2">
        <f t="shared" si="1"/>
        <v>0</v>
      </c>
      <c r="G1301" s="2"/>
      <c r="H1301" s="2"/>
      <c r="I1301" s="2"/>
      <c r="J1301" s="2"/>
      <c r="K1301" s="2"/>
      <c r="L1301" s="2"/>
      <c r="M1301" s="2"/>
      <c r="N1301" s="2"/>
      <c r="O1301" s="2"/>
      <c r="P1301" s="2"/>
      <c r="Q1301" s="2"/>
      <c r="R1301" s="2"/>
      <c r="S1301" s="2"/>
      <c r="T1301" s="2"/>
      <c r="U1301" s="2"/>
      <c r="V1301" s="2"/>
      <c r="W1301" s="2"/>
      <c r="X1301" s="2"/>
      <c r="Y1301" s="2"/>
      <c r="Z1301" s="2"/>
      <c r="AA1301" s="2"/>
    </row>
    <row r="1302">
      <c r="A1302" s="1" t="s">
        <v>3356</v>
      </c>
      <c r="B1302" s="1" t="s">
        <v>3769</v>
      </c>
      <c r="C1302" s="1" t="s">
        <v>3770</v>
      </c>
      <c r="D1302" s="2" t="str">
        <f>IFERROR(__xludf.DUMMYFUNCTION("GOOGLETRANSLATE(B1302, ""en"", ""TL"")"),"Maaari bang gumawa ng legal na aksyon ang mga indibidwal laban sa mga kumpanya ng parmasyutiko para sa pagsasagawa ng mga tiwaling gawi, tulad ng panunuhol o pandaraya?")</f>
        <v>Maaari bang gumawa ng legal na aksyon ang mga indibidwal laban sa mga kumpanya ng parmasyutiko para sa pagsasagawa ng mga tiwaling gawi, tulad ng panunuhol o pandaraya?</v>
      </c>
      <c r="E1302" s="2" t="str">
        <f>IFERROR(__xludf.DUMMYFUNCTION("GOOGLETRANSLATE(C1302, ""en"", ""TL"")"),"Oo, ang mga indibidwal **ay maaaring magsagawa ng legal na aksyon laban sa mga kumpanya ng parmasyutiko para sa pagsasagawa ng mga katiwalian, tulad ng panunuhol o pandaraya, sa Pilipinas**, batay lamang sa batas ng Pilipinas, RA, at Konstitusyon. Gayunpa"&amp;"man, ang tagumpay ay nakadepende nang husto sa mga partikular na pangyayari at madiskarteng pag-navigate sa legal na tanawin.
**Mga Potensyal na Avenue:**
* **Sibil na demanda:** Maaari kang magsampa ng kasong sibil laban sa kumpanya ng parmasyutiko, na n"&amp;"agsasabing:
* ** Pananagutan sa produkto:** Kung ang tiwaling kasanayan ay direktang humantong sa isang depekto o hindi ligtas na produkto na nagdudulot sa iyo ng pinsala, maaari kang magkaroon ng mga batayan para sa isang claim sa pananagutan sa produkto"&amp;".
* **Maling representasyon o panloloko:** Kung ang kumpanya ay nasangkot sa mali o mapanlinlang na mga kasanayan sa marketing o pagpepresyo na nakapinsala sa iyo sa pananalapi, maaari kang maghain ng kaso para sa pandaraya o maling representasyon.
* **Hi"&amp;"ndi makatarungang pagpapayaman:** Kung ang kumpanya ay kumita nang hindi patas mula sa kanilang mga tiwaling gawi sa iyong gastos, maaari mong ituloy ang mga paghahabol para sa hindi makatarungang pagpapayaman.
**Mga Hamon:**
* **Pagpapatunay ng sanhi:** "&amp;"Ang pagpapakita ng malinaw na koneksyon sa pagitan ng partikular na tiwaling gawi at ang iyong pinsala ay mahalaga. Kailangan mong ipakita ang kasanayang direktang sanhi ng iyong mga pagkalugi, hindi ang iba pang mga salik tulad ng iyong dati nang kondisy"&amp;"ong pangkalusugan o pangkalahatang mga uso sa merkado.
* **Pagtitipon ng ebidensya:** Ang pangangalap ng matibay na ebidensiya ng parehong tiwaling gawain at ang nagresultang pinsala sa iyo ay mahalaga. Maaaring kabilang dito ang mga medikal na rekord, pa"&amp;"kikipag-usap sa kumpanya, mga opinyon ng eksperto sa koneksyon sa pagitan ng pagsasanay at iyong pinsala, at dokumentasyon ng iyong aktwal na mga gastos sa pananalapi.
* **Burden of proof:** Ang burden of proof ay nasa iyo upang ipakita ang lahat ng eleme"&amp;"nto ng iyong claim, kabilang ang corrupt practice, epekto nito sa iyong kaso, at ang resultang pinsala sa iyo.
* **Pagiging kumplikado at mga gastos:** Ang paghahabol ng legal na aksyon ay maaaring magtagal, magastos, at nangangailangan ng espesyal na leg"&amp;"al na kadalubhasaan sa batas sa parmasyutiko at sibil na paglilitis.
**Mga Alternatibong Avenue:**
* **Iulat ang kumpanya sa mga ahensya ng regulasyon:** Ang Food and Drug Administration (FDA) at ang Department of Health (DOH) ay maaaring mag-imbestiga sa"&amp;" mga reklamo ng mga tiwaling gawi ng mga kumpanya ng parmasyutiko at posibleng magpataw ng mga parusa.
* **Pampublikong adbokasiya:** Ang pagpapataas ng kamalayan sa pamamagitan ng media o mga online na platform tungkol sa mga kagawian ng kumpanya ay maaa"&amp;"ring magpilit sa kanila na magbago at potensyal na hikayatin ang iba na kumilos.
**Legal na Balangkas:**
* **Consumer Act of the Philippines (RA 7394):** Pinoprotektahan ang mga consumer mula sa mapanlinlang o hindi patas na mga kasanayan sa marketing, na"&amp;" posibleng naaangkop sa ilang tiwaling gawi ng mga kumpanya ng parmasyutiko.
* **Binagong Kodigo Penal:** Binabalangkas ang mga kriminal na pagkakasala tulad ng panunuhol at pandaraya, na maaaring may kaugnayan depende sa partikular na gawaing tiwaling.
*"&amp;" **Civil Code of the Philippines:** Nagbibigay ng mga probisyon para sa pananagutan sa produkto, maling representasyon, at hindi makatarungang pagpapayaman, na maaaring may kaugnayan depende sa partikular na mga pangyayari.
**Mahahalagang Paalala:**
* Ang"&amp;" impormasyong ito ay para sa pangkalahatang pag-unawa at hindi dapat ituring na legal na payo. Ang pagkonsulta sa isang abogado na may kadalubhasaan sa batas sa parmasyutiko o sibil na paglilitis ay mahalaga para sa isang detalyadong pagtatasa ng iyong pa"&amp;"rtikular na sitwasyon at mga potensyal na legal na opsyon.
* Ang tagumpay ng anumang legal na aksyon ay lubos na umaasa sa pagpapatunay sa mga partikular na detalye ng iyong kaso at ang direktang link sa pagitan ng tiwaling gawain at iyong pinsala.
* Haba"&amp;"ng umiiral ang mga legal na paraan, ang proseso ay maaaring maging mahirap at nangangailangan ng maingat na pagsasaalang-alang ng iyong mga mapagkukunan at ang mga potensyal na kumplikadong kasangkot.
Umaasa ako na ang impormasyong ito, batay lamang sa ba"&amp;"tas ng Pilipinas, RA, at Konstitusyon, ay nakakatulong. Mangyaring ipaalam sa akin kung mayroon kang anumang iba pang mga katanungan.")</f>
        <v>Oo, ang mga indibidwal **ay maaaring magsagawa ng legal na aksyon laban sa mga kumpanya ng parmasyutiko para sa pagsasagawa ng mga katiwalian, tulad ng panunuhol o pandaraya, sa Pilipinas**, batay lamang sa batas ng Pilipinas, RA, at Konstitusyon. Gayunpaman, ang tagumpay ay nakadepende nang husto sa mga partikular na pangyayari at madiskarteng pag-navigate sa legal na tanawin.
**Mga Potensyal na Avenue:**
* **Sibil na demanda:** Maaari kang magsampa ng kasong sibil laban sa kumpanya ng parmasyutiko, na nagsasabing:
* ** Pananagutan sa produkto:** Kung ang tiwaling kasanayan ay direktang humantong sa isang depekto o hindi ligtas na produkto na nagdudulot sa iyo ng pinsala, maaari kang magkaroon ng mga batayan para sa isang claim sa pananagutan sa produkto.
* **Maling representasyon o panloloko:** Kung ang kumpanya ay nasangkot sa mali o mapanlinlang na mga kasanayan sa marketing o pagpepresyo na nakapinsala sa iyo sa pananalapi, maaari kang maghain ng kaso para sa pandaraya o maling representasyon.
* **Hindi makatarungang pagpapayaman:** Kung ang kumpanya ay kumita nang hindi patas mula sa kanilang mga tiwaling gawi sa iyong gastos, maaari mong ituloy ang mga paghahabol para sa hindi makatarungang pagpapayaman.
**Mga Hamon:**
* **Pagpapatunay ng sanhi:** Ang pagpapakita ng malinaw na koneksyon sa pagitan ng partikular na tiwaling gawi at ang iyong pinsala ay mahalaga. Kailangan mong ipakita ang kasanayang direktang sanhi ng iyong mga pagkalugi, hindi ang iba pang mga salik tulad ng iyong dati nang kondisyong pangkalusugan o pangkalahatang mga uso sa merkado.
* **Pagtitipon ng ebidensya:** Ang pangangalap ng matibay na ebidensiya ng parehong tiwaling gawain at ang nagresultang pinsala sa iyo ay mahalaga. Maaaring kabilang dito ang mga medikal na rekord, pakikipag-usap sa kumpanya, mga opinyon ng eksperto sa koneksyon sa pagitan ng pagsasanay at iyong pinsala, at dokumentasyon ng iyong aktwal na mga gastos sa pananalapi.
* **Burden of proof:** Ang burden of proof ay nasa iyo upang ipakita ang lahat ng elemento ng iyong claim, kabilang ang corrupt practice, epekto nito sa iyong kaso, at ang resultang pinsala sa iyo.
* **Pagiging kumplikado at mga gastos:** Ang paghahabol ng legal na aksyon ay maaaring magtagal, magastos, at nangangailangan ng espesyal na legal na kadalubhasaan sa batas sa parmasyutiko at sibil na paglilitis.
**Mga Alternatibong Avenue:**
* **Iulat ang kumpanya sa mga ahensya ng regulasyon:** Ang Food and Drug Administration (FDA) at ang Department of Health (DOH) ay maaaring mag-imbestiga sa mga reklamo ng mga tiwaling gawi ng mga kumpanya ng parmasyutiko at posibleng magpataw ng mga parusa.
* **Pampublikong adbokasiya:** Ang pagpapataas ng kamalayan sa pamamagitan ng media o mga online na platform tungkol sa mga kagawian ng kumpanya ay maaaring magpilit sa kanila na magbago at potensyal na hikayatin ang iba na kumilos.
**Legal na Balangkas:**
* **Consumer Act of the Philippines (RA 7394):** Pinoprotektahan ang mga consumer mula sa mapanlinlang o hindi patas na mga kasanayan sa marketing, na posibleng naaangkop sa ilang tiwaling gawi ng mga kumpanya ng parmasyutiko.
* **Binagong Kodigo Penal:** Binabalangkas ang mga kriminal na pagkakasala tulad ng panunuhol at pandaraya, na maaaring may kaugnayan depende sa partikular na gawaing tiwaling.
* **Civil Code of the Philippines:** Nagbibigay ng mga probisyon para sa pananagutan sa produkto, maling representasyon, at hindi makatarungang pagpapayaman, na maaaring may kaugnayan depende sa partikular na mga pangyayari.
**Mahahalagang Paalala:**
* Ang impormasyong ito ay para sa pangkalahatang pag-unawa at hindi dapat ituring na legal na payo. Ang pagkonsulta sa isang abogado na may kadalubhasaan sa batas sa parmasyutiko o sibil na paglilitis ay mahalaga para sa isang detalyadong pagtatasa ng iyong partikular na sitwasyon at mga potensyal na legal na opsyon.
* Ang tagumpay ng anumang legal na aksyon ay lubos na umaasa sa pagpapatunay sa mga partikular na detalye ng iyong kaso at ang direktang link sa pagitan ng tiwaling gawain at iyong pinsala.
* Habang umiiral ang mga legal na paraan, ang proseso ay maaaring maging mahirap at nangangailangan ng maingat na pagsasaalang-alang ng iyong mga mapagkukunan at ang mga potensyal na kumplikadong kasangkot.
Umaasa ako na ang impormasyong ito, batay lamang sa batas ng Pilipinas, RA, at Konstitusyon, ay nakakatulong. Mangyaring ipaalam sa akin kung mayroon kang anumang iba pang mga katanungan.</v>
      </c>
      <c r="F1302" s="2">
        <f t="shared" si="1"/>
        <v>0</v>
      </c>
      <c r="G1302" s="2"/>
      <c r="H1302" s="2"/>
      <c r="I1302" s="2"/>
      <c r="J1302" s="2"/>
      <c r="K1302" s="2"/>
      <c r="L1302" s="2"/>
      <c r="M1302" s="2"/>
      <c r="N1302" s="2"/>
      <c r="O1302" s="2"/>
      <c r="P1302" s="2"/>
      <c r="Q1302" s="2"/>
      <c r="R1302" s="2"/>
      <c r="S1302" s="2"/>
      <c r="T1302" s="2"/>
      <c r="U1302" s="2"/>
      <c r="V1302" s="2"/>
      <c r="W1302" s="2"/>
      <c r="X1302" s="2"/>
      <c r="Y1302" s="2"/>
      <c r="Z1302" s="2"/>
      <c r="AA1302" s="2"/>
    </row>
    <row r="1303">
      <c r="A1303" s="1" t="s">
        <v>3356</v>
      </c>
      <c r="B1303" s="1" t="s">
        <v>3771</v>
      </c>
      <c r="C1303" s="1" t="s">
        <v>3772</v>
      </c>
      <c r="D1303" s="2" t="str">
        <f>IFERROR(__xludf.DUMMYFUNCTION("GOOGLETRANSLATE(B1303, ""en"", ""TL"")"),"Paano nalalapat ang mga batas sa salungatan ng interes sa mga propesyonal sa pangangalagang pangkalusugan na sangkot sa mga tiwaling aktibidad?")</f>
        <v>Paano nalalapat ang mga batas sa salungatan ng interes sa mga propesyonal sa pangangalagang pangkalusugan na sangkot sa mga tiwaling aktibidad?</v>
      </c>
      <c r="E1303" s="2" t="str">
        <f>IFERROR(__xludf.DUMMYFUNCTION("GOOGLETRANSLATE(C1303, ""en"", ""TL"")"),"## Paglalapat ng Mga Batas sa Mga Salungat sa Interes sa Mga Tiwaling Kasanayan sa Pangangalagang Pangkalusugan sa Pilipinas (RA, Konstitusyon):
Ang mga batas ng Conflicts of Interest (COI) ay may mahalagang papel sa pagpigil at pagtugon sa katiwalian "&amp;"sa sistema ng pangangalagang pangkalusugan, batay lamang sa batas ng Pilipinas, RA, at mga Konstitusyon. Narito kung paano nalalapat ang mga ito sa mga tiwaling aktibidad:
**Mga Kaugnay na Batas:**
* **Republic Act No. 6735 (Code of Conduct and Ethi"&amp;"cal Standards for Public Officials and Employees):** Nalalapat sa mga propesyonal sa pangangalagang pangkalusugan ng publiko, na nangangailangan ng pagsisiwalat ng mga potensyal na COI at nagbabawal sa mga aksyon na ikompromiso ang kanilang kalayaan at in"&amp;"tegridad.
* **Republic Act No. 9184 (Government Procurement Reform Act):** Nagtatakda ng mga pamantayan para sa transparency at patas sa pagbili ng gobyerno, na naglalayong pigilan ang mga tiwaling gawi na kinasasangkutan ng mga kickback, bid-rigging, at"&amp;" hindi kinakailangang middlemen sa mga supply at kagamitan sa pangangalagang pangkalusugan.
* **Mga Propesyonal na Kodigo ng Etika:** Ang bawat propesyon sa pangangalagang pangkalusugan (hal., mga doktor, nars, parmasyutiko) ay may sariling code ng etika"&amp;" na nagbabalangkas sa etikal na pag-uugali at nagbabawal sa mga partikular na COI na maaaring humantong sa mga tiwaling gawi.
* **Binago ang Kodigo Penal:** Ang ilang partikular na probisyon tulad ng panunuhol, pangingikil, at malversation ng mga pampubl"&amp;"ikong pondo ay maaaring ilapat sa mga propesyonal sa pangangalagang pangkalusugan na nakikibahagi sa mga tiwaling aktibidad, anuman ang kanilang katayuan sa trabaho.
**Aplikasyon sa Mga Tiwaling Kasanayan:**
* **Pagbubunyag ng COI:** Ang mga propesy"&amp;"onal sa pangangalagang pangkalusugan na sangkot sa mga tiwaling aktibidad ay kadalasang lumalabag sa mga kinakailangan sa pagsisiwalat sa pamamagitan ng hindi pag-uulat ng mga pinansiyal na ugnayan sa mga kumpanya ng parmasyutiko, mga supplier ng kagamita"&amp;"ng medikal, o iba pang entity na maaaring makaimpluwensya sa kanilang mga desisyon.
* **Hindi Makatarungang Pagkuha:** Ang mga tiwaling gawi tulad ng pagtanggap ng mga kickback o pagmamanipula sa mga proseso ng pagkuha upang paboran ang ilang partikular "&amp;"na kumpanya ay lumalabag sa transparency at etikal na pamantayan na ipinag-uutos ng Government Procurement Reform Act.
* **Hindi Etikal na Pag-uugali:** Ang pagsasagawa ng mga aktibidad tulad ng mga hindi kinakailangang reseta, mga referral sa mga partik"&amp;"ular na pasilidad para sa personal na pakinabang, o paglahok sa mga ghost billing scheme ay direktang sumasalungat sa mga prinsipyong etikal na nakabalangkas sa mga propesyonal na code at posibleng lumabag sa Code of Conduct para sa mga pampublikong opisy"&amp;"al.
**Mga Bunga ng Mga Paglabag:**
* **Mga parusang administratibo:** Ang mga katawan ng regulasyon tulad ng DOH o PRC ay maaaring magpataw ng mga parusa tulad ng mga pagsususpinde ng lisensya o pagbawi para sa mga paglabag sa COI at hindi etikal na"&amp;" paggawi.
* **Mga kasong kriminal:** Depende sa partikular na pagkakasala, ang mga indibidwal ay maaaring maharap sa mga kasong kriminal sa ilalim ng Binagong Kodigo Penal, na posibleng humantong sa pagkakulong at mga multa.
* **Mga pananagutan sa sibil"&amp;":** Ang mga pasyenteng napinsala ng mga tiwaling gawi ay maaaring magsampa ng mga kaso ng sibil laban sa propesyonal sa pangangalagang pangkalusugan para sa mga pinsala.
* **Pagpinsala sa reputasyon:** Ang pagkakalantad sa publiko at saklaw ng media ay m"&amp;"aaaring negatibong makaapekto sa reputasyon at karera ng propesyonal.
**Mga Hamon at Limitasyon:**
* **Mga kahirapan sa pagpapatunay ng layunin:** Ang pagpapakita ng malinaw na koneksyon sa pagitan ng COI at ng tiwaling aktibidad ay maaaring maging "&amp;"hamon, na nangangailangan ng matibay na ebidensya.
* **Mga kumplikadong legal na proseso:** Ang paghahabol ng legal na aksyon o pag-navigate sa mga administratibong parusa ay maaaring makaubos ng oras at nangangailangan ng legal na kadalubhasaan.
* **Mg"&amp;"a hamon sa pagpapatupad:** Ang mga hadlang sa mapagkukunan o kakulangan ng malinaw na mga alituntunin ay maaaring makahadlang minsan sa epektibong pagpapatupad ng mga regulasyon ng COI.
**Tandaan:** Ang impormasyong ito ay batay lamang sa batas ng Pili"&amp;"pinas, RA, at mga Konstitusyon. Hindi ito bumubuo ng legal na payo, at ang pagkonsulta sa isang abogado na dalubhasa sa batas sa pangangalagang pangkalusugan o administratibong batas ay inirerekomenda para sa mga partikular na sitwasyon at detalyadong pag"&amp;"-unawa sa mga naaangkop na batas at ang kanilang interpretasyon sa mga partikular na kaso.
Sana ay nakakatulong ang impormasyong ito. Mangyaring ipaalam sa akin kung mayroon kang anumang iba pang mga katanungan.")</f>
        <v>## Paglalapat ng Mga Batas sa Mga Salungat sa Interes sa Mga Tiwaling Kasanayan sa Pangangalagang Pangkalusugan sa Pilipinas (RA, Konstitusyon):
Ang mga batas ng Conflicts of Interest (COI) ay may mahalagang papel sa pagpigil at pagtugon sa katiwalian sa sistema ng pangangalagang pangkalusugan, batay lamang sa batas ng Pilipinas, RA, at mga Konstitusyon. Narito kung paano nalalapat ang mga ito sa mga tiwaling aktibidad:
**Mga Kaugnay na Batas:**
* **Republic Act No. 6735 (Code of Conduct and Ethical Standards for Public Officials and Employees):** Nalalapat sa mga propesyonal sa pangangalagang pangkalusugan ng publiko, na nangangailangan ng pagsisiwalat ng mga potensyal na COI at nagbabawal sa mga aksyon na ikompromiso ang kanilang kalayaan at integridad.
* **Republic Act No. 9184 (Government Procurement Reform Act):** Nagtatakda ng mga pamantayan para sa transparency at patas sa pagbili ng gobyerno, na naglalayong pigilan ang mga tiwaling gawi na kinasasangkutan ng mga kickback, bid-rigging, at hindi kinakailangang middlemen sa mga supply at kagamitan sa pangangalagang pangkalusugan.
* **Mga Propesyonal na Kodigo ng Etika:** Ang bawat propesyon sa pangangalagang pangkalusugan (hal., mga doktor, nars, parmasyutiko) ay may sariling code ng etika na nagbabalangkas sa etikal na pag-uugali at nagbabawal sa mga partikular na COI na maaaring humantong sa mga tiwaling gawi.
* **Binago ang Kodigo Penal:** Ang ilang partikular na probisyon tulad ng panunuhol, pangingikil, at malversation ng mga pampublikong pondo ay maaaring ilapat sa mga propesyonal sa pangangalagang pangkalusugan na nakikibahagi sa mga tiwaling aktibidad, anuman ang kanilang katayuan sa trabaho.
**Aplikasyon sa Mga Tiwaling Kasanayan:**
* **Pagbubunyag ng COI:** Ang mga propesyonal sa pangangalagang pangkalusugan na sangkot sa mga tiwaling aktibidad ay kadalasang lumalabag sa mga kinakailangan sa pagsisiwalat sa pamamagitan ng hindi pag-uulat ng mga pinansiyal na ugnayan sa mga kumpanya ng parmasyutiko, mga supplier ng kagamitang medikal, o iba pang entity na maaaring makaimpluwensya sa kanilang mga desisyon.
* **Hindi Makatarungang Pagkuha:** Ang mga tiwaling gawi tulad ng pagtanggap ng mga kickback o pagmamanipula sa mga proseso ng pagkuha upang paboran ang ilang partikular na kumpanya ay lumalabag sa transparency at etikal na pamantayan na ipinag-uutos ng Government Procurement Reform Act.
* **Hindi Etikal na Pag-uugali:** Ang pagsasagawa ng mga aktibidad tulad ng mga hindi kinakailangang reseta, mga referral sa mga partikular na pasilidad para sa personal na pakinabang, o paglahok sa mga ghost billing scheme ay direktang sumasalungat sa mga prinsipyong etikal na nakabalangkas sa mga propesyonal na code at posibleng lumabag sa Code of Conduct para sa mga pampublikong opisyal.
**Mga Bunga ng Mga Paglabag:**
* **Mga parusang administratibo:** Ang mga katawan ng regulasyon tulad ng DOH o PRC ay maaaring magpataw ng mga parusa tulad ng mga pagsususpinde ng lisensya o pagbawi para sa mga paglabag sa COI at hindi etikal na paggawi.
* **Mga kasong kriminal:** Depende sa partikular na pagkakasala, ang mga indibidwal ay maaaring maharap sa mga kasong kriminal sa ilalim ng Binagong Kodigo Penal, na posibleng humantong sa pagkakulong at mga multa.
* **Mga pananagutan sa sibil:** Ang mga pasyenteng napinsala ng mga tiwaling gawi ay maaaring magsampa ng mga kaso ng sibil laban sa propesyonal sa pangangalagang pangkalusugan para sa mga pinsala.
* **Pagpinsala sa reputasyon:** Ang pagkakalantad sa publiko at saklaw ng media ay maaaring negatibong makaapekto sa reputasyon at karera ng propesyonal.
**Mga Hamon at Limitasyon:**
* **Mga kahirapan sa pagpapatunay ng layunin:** Ang pagpapakita ng malinaw na koneksyon sa pagitan ng COI at ng tiwaling aktibidad ay maaaring maging hamon, na nangangailangan ng matibay na ebidensya.
* **Mga kumplikadong legal na proseso:** Ang paghahabol ng legal na aksyon o pag-navigate sa mga administratibong parusa ay maaaring makaubos ng oras at nangangailangan ng legal na kadalubhasaan.
* **Mga hamon sa pagpapatupad:** Ang mga hadlang sa mapagkukunan o kakulangan ng malinaw na mga alituntunin ay maaaring makahadlang minsan sa epektibong pagpapatupad ng mga regulasyon ng COI.
**Tandaan:** Ang impormasyong ito ay batay lamang sa batas ng Pilipinas, RA, at mga Konstitusyon. Hindi ito bumubuo ng legal na payo, at ang pagkonsulta sa isang abogado na dalubhasa sa batas sa pangangalagang pangkalusugan o administratibong batas ay inirerekomenda para sa mga partikular na sitwasyon at detalyadong pag-unawa sa mga naaangkop na batas at ang kanilang interpretasyon sa mga partikular na kaso.
Sana ay nakakatulong ang impormasyong ito. Mangyaring ipaalam sa akin kung mayroon kang anumang iba pang mga katanungan.</v>
      </c>
      <c r="F1303" s="2">
        <f t="shared" si="1"/>
        <v>0</v>
      </c>
      <c r="G1303" s="2"/>
      <c r="H1303" s="2"/>
      <c r="I1303" s="2"/>
      <c r="J1303" s="2"/>
      <c r="K1303" s="2"/>
      <c r="L1303" s="2"/>
      <c r="M1303" s="2"/>
      <c r="N1303" s="2"/>
      <c r="O1303" s="2"/>
      <c r="P1303" s="2"/>
      <c r="Q1303" s="2"/>
      <c r="R1303" s="2"/>
      <c r="S1303" s="2"/>
      <c r="T1303" s="2"/>
      <c r="U1303" s="2"/>
      <c r="V1303" s="2"/>
      <c r="W1303" s="2"/>
      <c r="X1303" s="2"/>
      <c r="Y1303" s="2"/>
      <c r="Z1303" s="2"/>
      <c r="AA1303" s="2"/>
    </row>
    <row r="1304">
      <c r="A1304" s="1" t="s">
        <v>3356</v>
      </c>
      <c r="B1304" s="1" t="s">
        <v>3773</v>
      </c>
      <c r="C1304" s="1" t="s">
        <v>3774</v>
      </c>
      <c r="D1304" s="2" t="str">
        <f>IFERROR(__xludf.DUMMYFUNCTION("GOOGLETRANSLATE(B1304, ""en"", ""TL"")"),"Ano ang papel na ginagampanan ng mga ahensya ng regulasyon ng pamahalaan sa pagsisiyasat at pag-uusig sa katiwalian sa loob ng sistema ng pangangalagang pangkalusugan?")</f>
        <v>Ano ang papel na ginagampanan ng mga ahensya ng regulasyon ng pamahalaan sa pagsisiyasat at pag-uusig sa katiwalian sa loob ng sistema ng pangangalagang pangkalusugan?</v>
      </c>
      <c r="E1304" s="2" t="str">
        <f>IFERROR(__xludf.DUMMYFUNCTION("GOOGLETRANSLATE(C1304, ""en"", ""TL"")"),"Sa Pilipinas, maraming ahensya ng pamahalaan ang gumaganap ng mahahalagang tungkulin sa pagsisiyasat at pag-uusig sa katiwalian sa loob ng sistema ng pangangalagang pangkalusugan, batay lamang sa batas ng Pilipinas, RA, at mga Konstitusyon:
**Pangunahing "&amp;"Ahensya:**
* **Kagawaran ng Kalusugan (DOH):**
* Nagsasagawa ng mga pagsisiyasat sa mga paratang ng katiwalian sa mga pasilidad at tauhan ng pangangalagang pangkalusugan sa ilalim ng kanilang nasasakupan.
* May kapangyarihang magpataw ng mga administratib"&amp;"ong parusa, kabilang ang mga pagsususpinde o pagbawi ng lisensya.
* Nakikipag-ugnayan sa ibang mga ahensya para sa kriminal na pag-uusig at nagsasagawa ng mga regular na pampublikong pagdinig sa mga kaso ng katiwalian sa sektor ng pangangalagang pangkalus"&amp;"ugan.
* **Komisyon sa Propesyonal na Regulasyon (PRC):**
* Iniimbestigahan ang mga reklamo ng mga paglabag sa etika at propesyonal na maling pag-uugali ng mga lisensyadong propesyonal sa pangangalagang pangkalusugan, na maaaring maiugnay sa mga tiwaling g"&amp;"awi.
* Nagpapataw ng mga parusang pandisiplina tulad ng mga pagsususpinde o pagbawi ng mga lisensya batay sa kanilang mga natuklasan.
* **Tanggapan ng Ombudsman:**
* Nag-iimbestiga at nag-uusig ng mga reklamo laban sa mga pampublikong opisyal at empleyado"&amp;"ng sangkot sa katiwalian, kabilang ang mga nasa loob ng mga institusyon ng pangangalagang pangkalusugan na pag-aari o kaakibat ng gobyerno.
* May kapangyarihang magsampa ng mga kasong kriminal sa korte at humingi ng mga parusang sibil.
**Mga Karagdagang A"&amp;"hensya:**
* **National Bureau of Investigation (NBI):** Tumutulong sa DOH, PRC, at Ombudsman sa pagsasagawa ng mga imbestigasyon at pangangalap ng mga ebidensya na may kaugnayan sa mga kaso ng katiwalian.
* **Philippine National Police (PNP):** Maaaring l"&amp;"umahok sa mga pagsisiyasat at pag-aresto na may kaugnayan sa mga kriminal na pagkakasala na nauugnay sa katiwalian sa pangangalagang pangkalusugan.
* **Commission on Audit (COA):** Sinusuri ang mga institusyon ng pangangalagang pangkalusugan ng pamahalaan"&amp;" at tinutukoy ang potensyal na maling paggamit ng mga pampublikong pondo o mga iregularidad na maaaring magpahiwatig ng katiwalian.
* **Sandiganbayan:** Espesyal na hukuman na may hurisdiksyon sa mga kasong kriminal na kinasasangkutan ng mga pampublikong "&amp;"opisyal at empleyado, kabilang ang mga akusado ng katiwalian sa sektor ng pangangalagang pangkalusugan.
**Mga Pangunahing Punto:**
* Ang bawat ahensya ay may mga partikular na mandato at responsibilidad, kadalasang nagtutulungan para sa mga komprehensibon"&amp;"g pagsisiyasat at pag-uusig.
* Hinihikayat ng mga batas sa proteksyon ng whistleblower ang mga indibidwal na mag-ulat ng pinaghihinalaang katiwalian sa mga ahensyang ito.
* Maaaring ma-access ng publiko ang impormasyon sa mga patuloy na pagsisiyasat at mg"&amp;"a aksyong pandisiplina na ginawa ng mga ahensya sa pamamagitan ng kanilang mga website o opisyal na ulat.
**Mga Limitasyon:**
* Ang mga hadlang sa mapagkukunan at kumplikadong mga legal na pamamaraan ay maaaring hadlangan ang bilis at pagiging epektibo ng"&amp;" mga pagsisiyasat at pag-uusig.
* Ang panghihimasok sa pulitika o panggigipit ay maaaring minsan ay humadlang sa masusing pagsisiyasat.
* Napakahalaga ng kamalayan at pakikipagtulungan ng publiko para sa epektibong pagkilos laban sa katiwalian sa panganga"&amp;"lagang pangkalusugan.
**Tandaan:** Ang impormasyong ito ay batay lamang sa batas ng Pilipinas, RA, at mga Konstitusyon. Hindi ito bumubuo ng legal na payo, at ang pagkonsulta sa isang abogado na dalubhasa sa batas sa pangangalagang pangkalusugan o adminis"&amp;"tratibong batas ay inirerekomenda para sa mga partikular na katanungan o pag-unawa sa mga nuances ng mga indibidwal na kaso.
Sana ay nakakatulong ang impormasyong ito. Mangyaring ipaalam sa akin kung mayroon kang anumang iba pang mga katanungan.")</f>
        <v>Sa Pilipinas, maraming ahensya ng pamahalaan ang gumaganap ng mahahalagang tungkulin sa pagsisiyasat at pag-uusig sa katiwalian sa loob ng sistema ng pangangalagang pangkalusugan, batay lamang sa batas ng Pilipinas, RA, at mga Konstitusyon:
**Pangunahing Ahensya:**
* **Kagawaran ng Kalusugan (DOH):**
* Nagsasagawa ng mga pagsisiyasat sa mga paratang ng katiwalian sa mga pasilidad at tauhan ng pangangalagang pangkalusugan sa ilalim ng kanilang nasasakupan.
* May kapangyarihang magpataw ng mga administratibong parusa, kabilang ang mga pagsususpinde o pagbawi ng lisensya.
* Nakikipag-ugnayan sa ibang mga ahensya para sa kriminal na pag-uusig at nagsasagawa ng mga regular na pampublikong pagdinig sa mga kaso ng katiwalian sa sektor ng pangangalagang pangkalusugan.
* **Komisyon sa Propesyonal na Regulasyon (PRC):**
* Iniimbestigahan ang mga reklamo ng mga paglabag sa etika at propesyonal na maling pag-uugali ng mga lisensyadong propesyonal sa pangangalagang pangkalusugan, na maaaring maiugnay sa mga tiwaling gawi.
* Nagpapataw ng mga parusang pandisiplina tulad ng mga pagsususpinde o pagbawi ng mga lisensya batay sa kanilang mga natuklasan.
* **Tanggapan ng Ombudsman:**
* Nag-iimbestiga at nag-uusig ng mga reklamo laban sa mga pampublikong opisyal at empleyadong sangkot sa katiwalian, kabilang ang mga nasa loob ng mga institusyon ng pangangalagang pangkalusugan na pag-aari o kaakibat ng gobyerno.
* May kapangyarihang magsampa ng mga kasong kriminal sa korte at humingi ng mga parusang sibil.
**Mga Karagdagang Ahensya:**
* **National Bureau of Investigation (NBI):** Tumutulong sa DOH, PRC, at Ombudsman sa pagsasagawa ng mga imbestigasyon at pangangalap ng mga ebidensya na may kaugnayan sa mga kaso ng katiwalian.
* **Philippine National Police (PNP):** Maaaring lumahok sa mga pagsisiyasat at pag-aresto na may kaugnayan sa mga kriminal na pagkakasala na nauugnay sa katiwalian sa pangangalagang pangkalusugan.
* **Commission on Audit (COA):** Sinusuri ang mga institusyon ng pangangalagang pangkalusugan ng pamahalaan at tinutukoy ang potensyal na maling paggamit ng mga pampublikong pondo o mga iregularidad na maaaring magpahiwatig ng katiwalian.
* **Sandiganbayan:** Espesyal na hukuman na may hurisdiksyon sa mga kasong kriminal na kinasasangkutan ng mga pampublikong opisyal at empleyado, kabilang ang mga akusado ng katiwalian sa sektor ng pangangalagang pangkalusugan.
**Mga Pangunahing Punto:**
* Ang bawat ahensya ay may mga partikular na mandato at responsibilidad, kadalasang nagtutulungan para sa mga komprehensibong pagsisiyasat at pag-uusig.
* Hinihikayat ng mga batas sa proteksyon ng whistleblower ang mga indibidwal na mag-ulat ng pinaghihinalaang katiwalian sa mga ahensyang ito.
* Maaaring ma-access ng publiko ang impormasyon sa mga patuloy na pagsisiyasat at mga aksyong pandisiplina na ginawa ng mga ahensya sa pamamagitan ng kanilang mga website o opisyal na ulat.
**Mga Limitasyon:**
* Ang mga hadlang sa mapagkukunan at kumplikadong mga legal na pamamaraan ay maaaring hadlangan ang bilis at pagiging epektibo ng mga pagsisiyasat at pag-uusig.
* Ang panghihimasok sa pulitika o panggigipit ay maaaring minsan ay humadlang sa masusing pagsisiyasat.
* Napakahalaga ng kamalayan at pakikipagtulungan ng publiko para sa epektibong pagkilos laban sa katiwalian sa pangangalagang pangkalusugan.
**Tandaan:** Ang impormasyong ito ay batay lamang sa batas ng Pilipinas, RA, at mga Konstitusyon. Hindi ito bumubuo ng legal na payo, at ang pagkonsulta sa isang abogado na dalubhasa sa batas sa pangangalagang pangkalusugan o administratibong batas ay inirerekomenda para sa mga partikular na katanungan o pag-unawa sa mga nuances ng mga indibidwal na kaso.
Sana ay nakakatulong ang impormasyong ito. Mangyaring ipaalam sa akin kung mayroon kang anumang iba pang mga katanungan.</v>
      </c>
      <c r="F1304" s="2">
        <f t="shared" si="1"/>
        <v>0</v>
      </c>
      <c r="G1304" s="2"/>
      <c r="H1304" s="2"/>
      <c r="I1304" s="2"/>
      <c r="J1304" s="2"/>
      <c r="K1304" s="2"/>
      <c r="L1304" s="2"/>
      <c r="M1304" s="2"/>
      <c r="N1304" s="2"/>
      <c r="O1304" s="2"/>
      <c r="P1304" s="2"/>
      <c r="Q1304" s="2"/>
      <c r="R1304" s="2"/>
      <c r="S1304" s="2"/>
      <c r="T1304" s="2"/>
      <c r="U1304" s="2"/>
      <c r="V1304" s="2"/>
      <c r="W1304" s="2"/>
      <c r="X1304" s="2"/>
      <c r="Y1304" s="2"/>
      <c r="Z1304" s="2"/>
      <c r="AA1304" s="2"/>
    </row>
    <row r="1305">
      <c r="A1305" s="1" t="s">
        <v>3356</v>
      </c>
      <c r="B1305" s="1" t="s">
        <v>3775</v>
      </c>
      <c r="C1305" s="1" t="s">
        <v>3776</v>
      </c>
      <c r="D1305" s="2" t="str">
        <f>IFERROR(__xludf.DUMMYFUNCTION("GOOGLETRANSLATE(B1305, ""en"", ""TL"")"),"Maaari bang ituloy ng mga indibidwal ang kabayaran para sa mga pagkalugi sa pananalapi na natamo bilang resulta ng katiwalian sa kanilang paggamot sa pangangalagang pangkalusugan?")</f>
        <v>Maaari bang ituloy ng mga indibidwal ang kabayaran para sa mga pagkalugi sa pananalapi na natamo bilang resulta ng katiwalian sa kanilang paggamot sa pangangalagang pangkalusugan?</v>
      </c>
      <c r="E1305" s="2" t="str">
        <f>IFERROR(__xludf.DUMMYFUNCTION("GOOGLETRANSLATE(C1305, ""en"", ""TL"")"),"Oo, ang mga indibidwal **ay potensyal na maghabol ng kabayaran para sa mga pagkalugi sa pananalapi na natamo bilang resulta ng katiwalian sa kanilang paggamot sa pangangalagang pangkalusugan sa Pilipinas**, batay lamang sa batas ng Pilipinas, RA, at mga K"&amp;"onstitusyon. Gayunpaman, ang **tagumpay ay lubos na nakadepende sa pagpapatunay sa lahat ng elemento ng iyong claim at maingat na pag-navigate sa legal na proseso**.
**Mga Potensyal na Avenue:**
* **Sibil na demanda:** Maaari kang magsampa ng kasong sibil"&amp;" laban sa institusyon ng pangangalagang pangkalusugan o mga indibidwal na sangkot sa katiwalian, na nagsasabing:
* **Paglabag sa kontrata:** Kung ang institusyon ay obligado na magbigay sa iyo ng mga partikular na serbisyo at nabigong gawin ito dahil sa k"&amp;"atiwalian, maaari kang magkaroon ng mga batayan para sa paglabag sa paghahabol sa kontrata.
* **Pagpapabaya o sinadyang pinsala:** Kung ang mga tiwaling gawi ay direktang nagdulot sa iyo ng mga pagkalugi sa pananalapi, maaari kang magtaltalan ng kapabayaa"&amp;"n o sinadyang pinsala sa bahagi ng tagapagbigay ng pangangalagang pangkalusugan o mga indibidwal na kasangkot.
* **Hindi makatarungang pagpapayaman:** Kung ang institusyon o mga indibidwal na kasangkot ay kumita nang hindi patas mula sa katiwalian sa iyon"&amp;"g gastos, maaari mong ituloy ang mga paghahabol para sa hindi makatarungang pagpapayaman.
**Mga Hamon:**
* **Pagpapatunay ng sanhi:** Ang pagpapakita ng malinaw na koneksyon sa pagitan ng katiwalian at ng iyong mga pagkalugi sa pananalapi ay napakahalaga."&amp;" Kailangan mong ipakita ang katiwalian na direktang sanhi ng mga pagkalugi, hindi ang iba pang mga kadahilanan tulad ng iyong paunang kondisyong medikal o mga gastos sa paggamot.
* **Pagtitipon ng ebidensiya:** Ang pangangalap ng matibay na ebidensiya ng "&amp;"parehong katiwalian at ang mga resultang pagkalugi sa pananalapi ay mahalaga. Maaaring kabilang dito ang mga medikal na rekord, komunikasyon sa institusyon, mga opinyon ng eksperto sa koneksyon sa pagitan ng katiwalian at iyong mga pagkalugi, at dokumenta"&amp;"syon ng iyong aktwal na mga gastos sa pananalapi.
* **Burden of proof:** Ang pasanin ng patunay ay nasa iyo upang ipakita ang lahat ng elemento ng iyong paghahabol, kabilang ang katiwalian, epekto nito sa iyong kaso, at ang mga resultang pagkalugi sa pana"&amp;"nalapi.
* **Pagiging kumplikado at mga gastos:** Ang paghahabol ng legal na aksyon ay maaaring magtagal, magastos, at nangangailangan ng espesyal na legal na kadalubhasaan sa batas sa pangangalagang pangkalusugan at sibil na paglilitis.
**Mga Alternatibon"&amp;"g Avenue:**
* **Mga reklamong pang-administratibo:** Ang paghahain ng mga reklamo sa Department of Health (DOH), Professional Regulation Commission (PRC), o iba pang nauugnay na regulatory body ay maaaring mag-trigger ng mga pagsisiyasat at potensyal na p"&amp;"arusa laban sa institusyon ng pangangalagang pangkalusugan o mga indibidwal na kasangkot. Maaaring hindi ito direktang humantong sa kabayaran sa pananalapi ngunit maaaring mag-ambag sa pagpapanagot sa kanila.
* **Pampublikong adbokasiya:** Ang pagpapataas"&amp;" ng kamalayan sa pamamagitan ng media o mga online na platform tungkol sa iyong kaso at ang mas malawak na isyu ng katiwalian sa pangangalagang pangkalusugan ay maaaring magpilit sa mga awtoridad na kumilos at posibleng humantong sa mga pagbabago sa patak"&amp;"aran na makikinabang sa mga pasyente sa hinaharap.
**Legal na Balangkas:**
* **Saligang-Batas ng Pilipinas:** Ginagarantiyahan ng Artikulo III, Seksyon 15 ang karapatan sa kalusugan at ginagarantiyahan ng Seksyon 7 ang karapatan sa impormasyon, na parehon"&amp;"g posibleng nilabag ng mga tiwaling gawain sa pangangalagang pangkalusugan.
* **Civil Code of the Philippines:** Nagbibigay ng mga probisyon para sa paglabag sa kontrata, pinsala, at hindi makatarungang pagpapayaman, na maaaring may kaugnayan depende sa p"&amp;"artikular na mga pangyayari.
* **Patient's Bill of Rights (RA 9759):** Bagama't hindi direktang tinutugunan ang kabayaran sa pananalapi, binibigyang-diin nito ang karapatan sa kaalamang pahintulot at de-kalidad na pangangalagang pangkalusugan, na posiblen"&amp;"g nilabag ng katiwalian.
**Mahahalagang Paalala:**
* Ang impormasyong ito ay para sa pangkalahatang pag-unawa at hindi dapat ituring na legal na payo. Ang pagkonsulta sa isang abogado na may kadalubhasaan sa batas sa pangangalagang pangkalusugan ay mahala"&amp;"ga para sa isang detalyadong pagtatasa ng iyong partikular na sitwasyon at mga potensyal na legal na opsyon.
* Ang tagumpay ng anumang legal na aksyon ay lubos na nakasalalay sa pagpapatunay sa mga partikular na detalye ng iyong kaso at ang direktang link"&amp;" sa pagitan ng katiwalian at ng iyong mga pagkalugi sa pananalapi.
* Habang umiiral ang mga legal na paraan, ang proseso ay maaaring maging mahirap at nangangailangan ng maingat na pagsasaalang-alang ng iyong mga mapagkukunan at ang mga potensyal na kumpl"&amp;"ikadong kasangkot.
Umaasa ako na ang impormasyong ito, batay lamang sa batas ng Pilipinas, RA, at Konstitusyon, ay nakakatulong. Mangyaring ipaalam sa akin kung mayroon kang anumang iba pang mga katanungan.")</f>
        <v>Oo, ang mga indibidwal **ay potensyal na maghabol ng kabayaran para sa mga pagkalugi sa pananalapi na natamo bilang resulta ng katiwalian sa kanilang paggamot sa pangangalagang pangkalusugan sa Pilipinas**, batay lamang sa batas ng Pilipinas, RA, at mga Konstitusyon. Gayunpaman, ang **tagumpay ay lubos na nakadepende sa pagpapatunay sa lahat ng elemento ng iyong claim at maingat na pag-navigate sa legal na proseso**.
**Mga Potensyal na Avenue:**
* **Sibil na demanda:** Maaari kang magsampa ng kasong sibil laban sa institusyon ng pangangalagang pangkalusugan o mga indibidwal na sangkot sa katiwalian, na nagsasabing:
* **Paglabag sa kontrata:** Kung ang institusyon ay obligado na magbigay sa iyo ng mga partikular na serbisyo at nabigong gawin ito dahil sa katiwalian, maaari kang magkaroon ng mga batayan para sa paglabag sa paghahabol sa kontrata.
* **Pagpapabaya o sinadyang pinsala:** Kung ang mga tiwaling gawi ay direktang nagdulot sa iyo ng mga pagkalugi sa pananalapi, maaari kang magtaltalan ng kapabayaan o sinadyang pinsala sa bahagi ng tagapagbigay ng pangangalagang pangkalusugan o mga indibidwal na kasangkot.
* **Hindi makatarungang pagpapayaman:** Kung ang institusyon o mga indibidwal na kasangkot ay kumita nang hindi patas mula sa katiwalian sa iyong gastos, maaari mong ituloy ang mga paghahabol para sa hindi makatarungang pagpapayaman.
**Mga Hamon:**
* **Pagpapatunay ng sanhi:** Ang pagpapakita ng malinaw na koneksyon sa pagitan ng katiwalian at ng iyong mga pagkalugi sa pananalapi ay napakahalaga. Kailangan mong ipakita ang katiwalian na direktang sanhi ng mga pagkalugi, hindi ang iba pang mga kadahilanan tulad ng iyong paunang kondisyong medikal o mga gastos sa paggamot.
* **Pagtitipon ng ebidensiya:** Ang pangangalap ng matibay na ebidensiya ng parehong katiwalian at ang mga resultang pagkalugi sa pananalapi ay mahalaga. Maaaring kabilang dito ang mga medikal na rekord, komunikasyon sa institusyon, mga opinyon ng eksperto sa koneksyon sa pagitan ng katiwalian at iyong mga pagkalugi, at dokumentasyon ng iyong aktwal na mga gastos sa pananalapi.
* **Burden of proof:** Ang pasanin ng patunay ay nasa iyo upang ipakita ang lahat ng elemento ng iyong paghahabol, kabilang ang katiwalian, epekto nito sa iyong kaso, at ang mga resultang pagkalugi sa pananalapi.
* **Pagiging kumplikado at mga gastos:** Ang paghahabol ng legal na aksyon ay maaaring magtagal, magastos, at nangangailangan ng espesyal na legal na kadalubhasaan sa batas sa pangangalagang pangkalusugan at sibil na paglilitis.
**Mga Alternatibong Avenue:**
* **Mga reklamong pang-administratibo:** Ang paghahain ng mga reklamo sa Department of Health (DOH), Professional Regulation Commission (PRC), o iba pang nauugnay na regulatory body ay maaaring mag-trigger ng mga pagsisiyasat at potensyal na parusa laban sa institusyon ng pangangalagang pangkalusugan o mga indibidwal na kasangkot. Maaaring hindi ito direktang humantong sa kabayaran sa pananalapi ngunit maaaring mag-ambag sa pagpapanagot sa kanila.
* **Pampublikong adbokasiya:** Ang pagpapataas ng kamalayan sa pamamagitan ng media o mga online na platform tungkol sa iyong kaso at ang mas malawak na isyu ng katiwalian sa pangangalagang pangkalusugan ay maaaring magpilit sa mga awtoridad na kumilos at posibleng humantong sa mga pagbabago sa patakaran na makikinabang sa mga pasyente sa hinaharap.
**Legal na Balangkas:**
* **Saligang-Batas ng Pilipinas:** Ginagarantiyahan ng Artikulo III, Seksyon 15 ang karapatan sa kalusugan at ginagarantiyahan ng Seksyon 7 ang karapatan sa impormasyon, na parehong posibleng nilabag ng mga tiwaling gawain sa pangangalagang pangkalusugan.
* **Civil Code of the Philippines:** Nagbibigay ng mga probisyon para sa paglabag sa kontrata, pinsala, at hindi makatarungang pagpapayaman, na maaaring may kaugnayan depende sa partikular na mga pangyayari.
* **Patient's Bill of Rights (RA 9759):** Bagama't hindi direktang tinutugunan ang kabayaran sa pananalapi, binibigyang-diin nito ang karapatan sa kaalamang pahintulot at de-kalidad na pangangalagang pangkalusugan, na posibleng nilabag ng katiwalian.
**Mahahalagang Paalala:**
* Ang impormasyong ito ay para sa pangkalahatang pag-unawa at hindi dapat ituring na legal na payo. Ang pagkonsulta sa isang abogado na may kadalubhasaan sa batas sa pangangalagang pangkalusugan ay mahalaga para sa isang detalyadong pagtatasa ng iyong partikular na sitwasyon at mga potensyal na legal na opsyon.
* Ang tagumpay ng anumang legal na aksyon ay lubos na nakasalalay sa pagpapatunay sa mga partikular na detalye ng iyong kaso at ang direktang link sa pagitan ng katiwalian at ng iyong mga pagkalugi sa pananalapi.
* Habang umiiral ang mga legal na paraan, ang proseso ay maaaring maging mahirap at nangangailangan ng maingat na pagsasaalang-alang ng iyong mga mapagkukunan at ang mga potensyal na kumplikadong kasangkot.
Umaasa ako na ang impormasyong ito, batay lamang sa batas ng Pilipinas, RA, at Konstitusyon, ay nakakatulong. Mangyaring ipaalam sa akin kung mayroon kang anumang iba pang mga katanungan.</v>
      </c>
      <c r="F1305" s="2">
        <f t="shared" si="1"/>
        <v>0</v>
      </c>
      <c r="G1305" s="2"/>
      <c r="H1305" s="2"/>
      <c r="I1305" s="2"/>
      <c r="J1305" s="2"/>
      <c r="K1305" s="2"/>
      <c r="L1305" s="2"/>
      <c r="M1305" s="2"/>
      <c r="N1305" s="2"/>
      <c r="O1305" s="2"/>
      <c r="P1305" s="2"/>
      <c r="Q1305" s="2"/>
      <c r="R1305" s="2"/>
      <c r="S1305" s="2"/>
      <c r="T1305" s="2"/>
      <c r="U1305" s="2"/>
      <c r="V1305" s="2"/>
      <c r="W1305" s="2"/>
      <c r="X1305" s="2"/>
      <c r="Y1305" s="2"/>
      <c r="Z1305" s="2"/>
      <c r="AA1305" s="2"/>
    </row>
    <row r="1306">
      <c r="A1306" s="1" t="s">
        <v>3356</v>
      </c>
      <c r="B1306" s="1" t="s">
        <v>3777</v>
      </c>
      <c r="C1306" s="1" t="s">
        <v>3778</v>
      </c>
      <c r="D1306" s="2" t="str">
        <f>IFERROR(__xludf.DUMMYFUNCTION("GOOGLETRANSLATE(B1306, ""en"", ""TL"")"),"Paano matitiyak ng mga pasyente na ang kanilang mga tagapagbigay ng pangangalagang pangkalusugan ay hindi nakikibahagi sa mga tiwaling gawain na maaaring makompromiso ang kanilang pangangalaga?")</f>
        <v>Paano matitiyak ng mga pasyente na ang kanilang mga tagapagbigay ng pangangalagang pangkalusugan ay hindi nakikibahagi sa mga tiwaling gawain na maaaring makompromiso ang kanilang pangangalaga?</v>
      </c>
      <c r="E1306" s="2" t="str">
        <f>IFERROR(__xludf.DUMMYFUNCTION("GOOGLETRANSLATE(C1306, ""en"", ""TL"")"),"## Pagtiyak sa Integridad ng Tagapagbigay ng Pangangalagang Pangkalusugan sa Pilipinas (RA, Mga Konstitusyon)
Bagama't ang ganap na pag-aalis ng panganib ng katiwalian ay mahirap, ang mga pasyente sa Pilipinas ay maaaring gumawa ng mga aktibong hakbang"&amp;" upang mabawasan ang epekto nito sa kanilang pangangalaga, batay lamang sa batas ng Pilipinas, RA, at mga Konstitusyon:
**1. Maging alam at mapagbantay:**
* **Unawain ang iyong mga karapatan:** Pamilyar ang iyong sarili sa Pasyente Bill of Rights (R"&amp;"A 9759) at iba pang nauugnay na batas upang maunawaan ang iyong mga karapatan tungkol sa may-kaalamang pahintulot, pag-access sa impormasyon, at de-kalidad na pangangalagang pangkalusugan.
* **Mag-research ng mga provider ng pangangalagang pangkalusugan:"&amp;"** Pumili ng mga provider na may magandang reputasyon at positibong pagsusuri ng pasyente. Maghanap ng mga kaugnayan sa mga kagalang-galang na organisasyon at magtanong tungkol sa kanilang mga etikal na gawi.
* **Magtanong:** Huwag mag-atubiling magtanon"&amp;"g tungkol sa mga diagnosis, opsyon sa paggamot, gastos, at potensyal na salungatan ng interes. Humingi ng paglilinaw kung may tila hindi malinaw o kahina-hinala.
**2. Suriin ang mga kasanayan sa pagsingil:**
* **Suriin nang mabuti ang mga singil:** "&amp;"Suriin ang mga medikal na singil at mga pahayag ng seguro para sa katumpakan at mga potensyal na pagkakaiba. Tingnan kung may mga hindi kinakailangang singil, napalaki na presyo, o mga duplicate na entry.
* **Humiling ng mga paliwanag:** Kung mayroon kan"&amp;"g mga alalahanin tungkol sa pagsingil, humingi ng mga detalyadong paliwanag mula sa healthcare provider o kompanya ng insurance.
* **Panatilihin ang mga rekord:** Panatilihin ang mga kopya ng mga medikal na rekord, singil, at komunikasyon na nauugnay sa "&amp;"iyong pangangalagang pangkalusugan para sa sanggunian sa hinaharap.
**3. Iulat ang pinaghihinalaang katiwalian:**
* **Mga panloob na reklamo:** Kung pinaghihinalaan mo ang maling gawain sa loob ng isang partikular na institusyon ng pangangalagang pa"&amp;"ngkalusugan, gamitin ang kanilang mga panloob na mekanismo ng reklamo upang iulat ito.
* **Regulatory body:** Maghain ng mga reklamo sa Department of Health (DOH), Professional Regulation Commission (PRC), o mga nauugnay na regulatory body. Magbigay ng m"&amp;"ga konkretong detalye at ebidensya para suportahan ang iyong mga claim.
* **Pampublikong adbokasiya:** Isaalang-alang ang pagbabahagi ng iyong mga karanasan sa pamamagitan ng media o online na mga platform upang itaas ang kamalayan at hikayatin ang iba n"&amp;"a magsalita laban sa katiwalian.
**4. Tagapagtaguyod para sa transparency at pananagutan:**
* **Makilahok sa mga konseho ng pasyente:** Kung magagamit, makisali sa mga konseho ng pasyente o mga advisory board ng mga ospital o mga organisasyon ng pan"&amp;"gangalagang pangkalusugan upang ipahayag ang mga alalahanin at isulong ang transparency.
* **Suportahan ang mga lehislatibong reporma:** Ibigay ang iyong boses sa mga hakbangin na nagpo-promote ng transparency sa pagpepresyo ng pangangalagang pangkalusug"&amp;"an, pagkuha, at pagsisiwalat ng salungatan ng interes.
* **Turuan ang iba:** Magbahagi ng kaalaman at karanasan sa iba upang hikayatin ang matalinong mga pagpipilian sa pangangalagang pangkalusugan at sama-samang pagkilos laban sa katiwalian.
**Legal "&amp;"na Balangkas:**
* **Konstitusyon ng Pilipinas:** Ang Artikulo III, Seksyon 7 ay nagbibigay ng karapatan sa impormasyon, mahalaga para sa transparency sa pangangalagang pangkalusugan.
* **Patient's Bill of Rights (RA 9759):** Binibigyan ng kapangyariha"&amp;"n ang mga pasyente na may mga karapatan sa kaalamang pahintulot at access sa impormasyon, na nagtataguyod ng aktibong pakikilahok sa kanilang pangangalagang pangkalusugan.
* **Anti-Graft and Corrupt Practices Act (RA 3019):** Kinokriminal ang mga gawain "&amp;"tulad ng panunuhol at pangingikil, na maaaring makaapekto sa integridad ng pangangalagang pangkalusugan.
**Tandaan:**
* Habang ang indibidwal na pagbabantay ay maaaring mag-ambag sa pagliit ng epekto ng katiwalian, ang mga sistematikong reporma ay m"&amp;"ahalaga para sa pangmatagalang pagbabago.
* Ang pag-uulat ng pinaghihinalaang katiwalian, kahit na hindi nagpapakilala, ay maaaring maging isang makapangyarihang kasangkapan para sa pagpapanagot sa mga institusyon at indibidwal.
* Humingi ng legal na pa"&amp;"yo para sa mga partikular na sitwasyon na nangangailangan ng legal na aksyon o pag-navigate sa mga kumplikadong reklamo.
Umaasa ako na ang impormasyong ito, batay lamang sa batas ng Pilipinas, RA, at Konstitusyon, ay nakakatulong. Mangyaring ipaalam sa"&amp;" akin kung mayroon kang anumang iba pang mga katanungan.")</f>
        <v>## Pagtiyak sa Integridad ng Tagapagbigay ng Pangangalagang Pangkalusugan sa Pilipinas (RA, Mga Konstitusyon)
Bagama't ang ganap na pag-aalis ng panganib ng katiwalian ay mahirap, ang mga pasyente sa Pilipinas ay maaaring gumawa ng mga aktibong hakbang upang mabawasan ang epekto nito sa kanilang pangangalaga, batay lamang sa batas ng Pilipinas, RA, at mga Konstitusyon:
**1. Maging alam at mapagbantay:**
* **Unawain ang iyong mga karapatan:** Pamilyar ang iyong sarili sa Pasyente Bill of Rights (RA 9759) at iba pang nauugnay na batas upang maunawaan ang iyong mga karapatan tungkol sa may-kaalamang pahintulot, pag-access sa impormasyon, at de-kalidad na pangangalagang pangkalusugan.
* **Mag-research ng mga provider ng pangangalagang pangkalusugan:** Pumili ng mga provider na may magandang reputasyon at positibong pagsusuri ng pasyente. Maghanap ng mga kaugnayan sa mga kagalang-galang na organisasyon at magtanong tungkol sa kanilang mga etikal na gawi.
* **Magtanong:** Huwag mag-atubiling magtanong tungkol sa mga diagnosis, opsyon sa paggamot, gastos, at potensyal na salungatan ng interes. Humingi ng paglilinaw kung may tila hindi malinaw o kahina-hinala.
**2. Suriin ang mga kasanayan sa pagsingil:**
* **Suriin nang mabuti ang mga singil:** Suriin ang mga medikal na singil at mga pahayag ng seguro para sa katumpakan at mga potensyal na pagkakaiba. Tingnan kung may mga hindi kinakailangang singil, napalaki na presyo, o mga duplicate na entry.
* **Humiling ng mga paliwanag:** Kung mayroon kang mga alalahanin tungkol sa pagsingil, humingi ng mga detalyadong paliwanag mula sa healthcare provider o kompanya ng insurance.
* **Panatilihin ang mga rekord:** Panatilihin ang mga kopya ng mga medikal na rekord, singil, at komunikasyon na nauugnay sa iyong pangangalagang pangkalusugan para sa sanggunian sa hinaharap.
**3. Iulat ang pinaghihinalaang katiwalian:**
* **Mga panloob na reklamo:** Kung pinaghihinalaan mo ang maling gawain sa loob ng isang partikular na institusyon ng pangangalagang pangkalusugan, gamitin ang kanilang mga panloob na mekanismo ng reklamo upang iulat ito.
* **Regulatory body:** Maghain ng mga reklamo sa Department of Health (DOH), Professional Regulation Commission (PRC), o mga nauugnay na regulatory body. Magbigay ng mga konkretong detalye at ebidensya para suportahan ang iyong mga claim.
* **Pampublikong adbokasiya:** Isaalang-alang ang pagbabahagi ng iyong mga karanasan sa pamamagitan ng media o online na mga platform upang itaas ang kamalayan at hikayatin ang iba na magsalita laban sa katiwalian.
**4. Tagapagtaguyod para sa transparency at pananagutan:**
* **Makilahok sa mga konseho ng pasyente:** Kung magagamit, makisali sa mga konseho ng pasyente o mga advisory board ng mga ospital o mga organisasyon ng pangangalagang pangkalusugan upang ipahayag ang mga alalahanin at isulong ang transparency.
* **Suportahan ang mga lehislatibong reporma:** Ibigay ang iyong boses sa mga hakbangin na nagpo-promote ng transparency sa pagpepresyo ng pangangalagang pangkalusugan, pagkuha, at pagsisiwalat ng salungatan ng interes.
* **Turuan ang iba:** Magbahagi ng kaalaman at karanasan sa iba upang hikayatin ang matalinong mga pagpipilian sa pangangalagang pangkalusugan at sama-samang pagkilos laban sa katiwalian.
**Legal na Balangkas:**
* **Konstitusyon ng Pilipinas:** Ang Artikulo III, Seksyon 7 ay nagbibigay ng karapatan sa impormasyon, mahalaga para sa transparency sa pangangalagang pangkalusugan.
* **Patient's Bill of Rights (RA 9759):** Binibigyan ng kapangyarihan ang mga pasyente na may mga karapatan sa kaalamang pahintulot at access sa impormasyon, na nagtataguyod ng aktibong pakikilahok sa kanilang pangangalagang pangkalusugan.
* **Anti-Graft and Corrupt Practices Act (RA 3019):** Kinokriminal ang mga gawain tulad ng panunuhol at pangingikil, na maaaring makaapekto sa integridad ng pangangalagang pangkalusugan.
**Tandaan:**
* Habang ang indibidwal na pagbabantay ay maaaring mag-ambag sa pagliit ng epekto ng katiwalian, ang mga sistematikong reporma ay mahalaga para sa pangmatagalang pagbabago.
* Ang pag-uulat ng pinaghihinalaang katiwalian, kahit na hindi nagpapakilala, ay maaaring maging isang makapangyarihang kasangkapan para sa pagpapanagot sa mga institusyon at indibidwal.
* Humingi ng legal na payo para sa mga partikular na sitwasyon na nangangailangan ng legal na aksyon o pag-navigate sa mga kumplikadong reklamo.
Umaasa ako na ang impormasyong ito, batay lamang sa batas ng Pilipinas, RA, at Konstitusyon, ay nakakatulong. Mangyaring ipaalam sa akin kung mayroon kang anumang iba pang mga katanungan.</v>
      </c>
      <c r="F1306" s="2">
        <f t="shared" si="1"/>
        <v>0</v>
      </c>
      <c r="G1306" s="2"/>
      <c r="H1306" s="2"/>
      <c r="I1306" s="2"/>
      <c r="J1306" s="2"/>
      <c r="K1306" s="2"/>
      <c r="L1306" s="2"/>
      <c r="M1306" s="2"/>
      <c r="N1306" s="2"/>
      <c r="O1306" s="2"/>
      <c r="P1306" s="2"/>
      <c r="Q1306" s="2"/>
      <c r="R1306" s="2"/>
      <c r="S1306" s="2"/>
      <c r="T1306" s="2"/>
      <c r="U1306" s="2"/>
      <c r="V1306" s="2"/>
      <c r="W1306" s="2"/>
      <c r="X1306" s="2"/>
      <c r="Y1306" s="2"/>
      <c r="Z1306" s="2"/>
      <c r="AA1306" s="2"/>
    </row>
    <row r="1307">
      <c r="A1307" s="1" t="s">
        <v>3356</v>
      </c>
      <c r="B1307" s="1" t="s">
        <v>3779</v>
      </c>
      <c r="C1307" s="1" t="s">
        <v>3780</v>
      </c>
      <c r="D1307" s="2" t="str">
        <f>IFERROR(__xludf.DUMMYFUNCTION("GOOGLETRANSLATE(B1307, ""en"", ""TL"")"),"Maaari bang humingi ng mga legal na remedyo ang mga indibidwal kung naniniwala silang ang kanilang pag-access sa mga serbisyo sa pangangalagang pangkalusugan ay hindi patas na limitado dahil sa katiwalian?")</f>
        <v>Maaari bang humingi ng mga legal na remedyo ang mga indibidwal kung naniniwala silang ang kanilang pag-access sa mga serbisyo sa pangangalagang pangkalusugan ay hindi patas na limitado dahil sa katiwalian?</v>
      </c>
      <c r="E1307" s="2" t="str">
        <f>IFERROR(__xludf.DUMMYFUNCTION("GOOGLETRANSLATE(C1307, ""en"", ""TL"")"),"## Mga Legal na Remedyo para sa Hindi Makatarungang Limitadong Pag-access sa Pangangalagang Pangkalusugan Dahil sa Korapsyon (Batas ng Pilipinas, RA, Mga Konstitusyon)
**Oo, ang mga indibidwal ay may potensyal na legal na mga remedyo sa Pilipinas kung nan"&amp;"iniwala sila na ang kanilang pag-access sa mga serbisyo ng pangangalagang pangkalusugan ay hindi patas na limitado dahil sa katiwalian, batay lamang sa batas ng Pilipinas, RA, at mga Konstitusyon.** Gayunpaman, ang tagumpay ay nakasalalay sa mga partikula"&amp;"r na pangyayari at madiskarteng pag-navigate sa legal na tanawin.
**Mga Potensyal na Avenue:**
* **Sibil na demanda:** Maaari kang magsampa ng kasong sibil para sa mga pinsala laban sa institusyon ng pangangalagang pangkalusugan o mga indibidwal na sangko"&amp;"t sa katiwalian, na nagsasabing:
* **Paglabag sa mga karapatan sa konstitusyon:** Ginagarantiyahan ng Artikulo III, Seksyon 15 ang karapatan sa kalusugan, na maaaring labagin dahil sa hindi patas na mga limitasyon na dulot ng katiwalian.
* **Paglabag sa k"&amp;"ontrata:** Kung ang institusyon ay obligado na magbigay sa iyo ng mga partikular na serbisyo, maaari kang magkaroon ng mga batayan para sa isang paglabag sa paghahabol sa kontrata.
* **Pagpapabaya o sinadyang pinsala:** Depende sa partikular na sitwasyon,"&amp;" maaari mong ipangatuwiran ang kapabayaan o sinadyang pinsala na dulot ng mga tiwaling gawi.
**Mga Hamon:**
* **Nagpapatunay ng sanhi:** Ang pagpapakita ng malinaw na koneksyon sa pagitan ng katiwalian at ng iyong limitadong pag-access sa pangangalagang p"&amp;"angkalusugan ay mahalaga. Kailangan mong ipakita na direktang pumigil sa iyo ang katiwalian sa pagtanggap ng mga kinakailangang serbisyo, hindi ang iba pang mga salik tulad ng mga kinakailangan sa pagiging kwalipikado o tunay na mga limitasyon sa mapagkuk"&amp;"unan.
* **Pagtitipon ng ebidensya:** Ang pangangalap ng matibay na ebidensiya ng kapwa katiwalian at ang nagresultang pinsala sa iyong kalusugan ay mahalaga. Maaaring kabilang dito ang mga medikal na rekord, komunikasyon sa institusyon, mga opinyon ng eks"&amp;"perto sa koneksyon sa pagitan ng katiwalian at iyong sitwasyon, at dokumentasyon ng iyong mga pagtatangka na ma-access ang pangangalaga.
* **Burden of proof:** Ang burden of proof ay nasa iyo upang ipakita ang lahat ng elemento ng iyong claim, kabilang an"&amp;"g katiwalian, epekto nito sa iyong kaso, at ang resultang pinsala sa iyong kalusugan.
* **Pagiging kumplikado at mga gastos:** Ang paghahabol ng legal na aksyon ay maaaring magtagal, magastos, at nangangailangan ng espesyal na legal na kadalubhasaan sa ba"&amp;"tas sa pangangalagang pangkalusugan at sibil na paglilitis.
**Mga Alternatibong Avenue:**
* **Mga reklamong administratibo:** Ang paghahain ng mga reklamo sa Department of Health (DOH), Professional Regulation Commission (PRC), o mga nauugnay na regulator"&amp;"y body ay maaaring mag-trigger ng mga pagsisiyasat at potensyal na parusa laban sa institusyon ng pangangalagang pangkalusugan o mga indibidwal na kasangkot.
* **Pampublikong adbokasiya:** Ang pagpapataas ng kamalayan sa pamamagitan ng media o mga online "&amp;"na platform tungkol sa iyong kaso at ang mas malawak na isyu ng katiwalian sa pangangalagang pangkalusugan ay maaaring magpilit sa mga awtoridad na kumilos at posibleng humantong sa mga pagbabago sa patakaran.
**Legal na Balangkas:**
* **Konstitusyon ng P"&amp;"ilipinas:** Ang Artikulo III, Seksyon 15 ay ginagarantiyahan ang karapatan sa kalusugan.
* **Republic Act No. 9759 (Patient's Bill of Rights):** Ginagarantiyahan ang mga karapatan ng mga pasyente na ma-access ang impormasyon, may kaalamang pahintulot, at "&amp;"de-kalidad na pangangalagang pangkalusugan, na posibleng nilabag ng mga limitasyong nauugnay sa katiwalian.
* **Civil Code of the Philippines:** Nagbibigay ng mga probisyon para sa paglabag sa kontrata, pinsala, at kapabayaan, na maaaring may kaugnayan de"&amp;"pende sa partikular na mga pangyayari.
**Mahahalagang Paalala:**
* Ang impormasyong ito ay para sa pangkalahatang pag-unawa at hindi dapat ituring na legal na payo. Ang pagkonsulta sa isang abogado na may kadalubhasaan sa batas sa pangangalagang pangkalus"&amp;"ugan ay mahalaga para sa isang detalyadong pagtatasa ng iyong partikular na sitwasyon at mga potensyal na legal na opsyon.
* Ang tagumpay ng anumang legal na aksyon ay lubos na umaasa sa pagpapatunay sa mga partikular na detalye ng iyong kaso at ang direk"&amp;"tang link ng katiwalian sa iyong limitadong access sa pangangalagang pangkalusugan.
* Habang umiiral ang mga legal na paraan, ang proseso ay maaaring maging mahirap at nangangailangan ng maingat na pagsasaalang-alang ng iyong mga mapagkukunan at ang mga p"&amp;"otensyal na kumplikadong kasangkot.
Umaasa ako na ang impormasyong ito, batay lamang sa batas ng Pilipinas, RA, at Konstitusyon, ay nakakatulong. Mangyaring ipaalam sa akin kung mayroon kang anumang iba pang mga katanungan.")</f>
        <v>## Mga Legal na Remedyo para sa Hindi Makatarungang Limitadong Pag-access sa Pangangalagang Pangkalusugan Dahil sa Korapsyon (Batas ng Pilipinas, RA, Mga Konstitusyon)
**Oo, ang mga indibidwal ay may potensyal na legal na mga remedyo sa Pilipinas kung naniniwala sila na ang kanilang pag-access sa mga serbisyo ng pangangalagang pangkalusugan ay hindi patas na limitado dahil sa katiwalian, batay lamang sa batas ng Pilipinas, RA, at mga Konstitusyon.** Gayunpaman, ang tagumpay ay nakasalalay sa mga partikular na pangyayari at madiskarteng pag-navigate sa legal na tanawin.
**Mga Potensyal na Avenue:**
* **Sibil na demanda:** Maaari kang magsampa ng kasong sibil para sa mga pinsala laban sa institusyon ng pangangalagang pangkalusugan o mga indibidwal na sangkot sa katiwalian, na nagsasabing:
* **Paglabag sa mga karapatan sa konstitusyon:** Ginagarantiyahan ng Artikulo III, Seksyon 15 ang karapatan sa kalusugan, na maaaring labagin dahil sa hindi patas na mga limitasyon na dulot ng katiwalian.
* **Paglabag sa kontrata:** Kung ang institusyon ay obligado na magbigay sa iyo ng mga partikular na serbisyo, maaari kang magkaroon ng mga batayan para sa isang paglabag sa paghahabol sa kontrata.
* **Pagpapabaya o sinadyang pinsala:** Depende sa partikular na sitwasyon, maaari mong ipangatuwiran ang kapabayaan o sinadyang pinsala na dulot ng mga tiwaling gawi.
**Mga Hamon:**
* **Nagpapatunay ng sanhi:** Ang pagpapakita ng malinaw na koneksyon sa pagitan ng katiwalian at ng iyong limitadong pag-access sa pangangalagang pangkalusugan ay mahalaga. Kailangan mong ipakita na direktang pumigil sa iyo ang katiwalian sa pagtanggap ng mga kinakailangang serbisyo, hindi ang iba pang mga salik tulad ng mga kinakailangan sa pagiging kwalipikado o tunay na mga limitasyon sa mapagkukunan.
* **Pagtitipon ng ebidensya:** Ang pangangalap ng matibay na ebidensiya ng kapwa katiwalian at ang nagresultang pinsala sa iyong kalusugan ay mahalaga. Maaaring kabilang dito ang mga medikal na rekord, komunikasyon sa institusyon, mga opinyon ng eksperto sa koneksyon sa pagitan ng katiwalian at iyong sitwasyon, at dokumentasyon ng iyong mga pagtatangka na ma-access ang pangangalaga.
* **Burden of proof:** Ang burden of proof ay nasa iyo upang ipakita ang lahat ng elemento ng iyong claim, kabilang ang katiwalian, epekto nito sa iyong kaso, at ang resultang pinsala sa iyong kalusugan.
* **Pagiging kumplikado at mga gastos:** Ang paghahabol ng legal na aksyon ay maaaring magtagal, magastos, at nangangailangan ng espesyal na legal na kadalubhasaan sa batas sa pangangalagang pangkalusugan at sibil na paglilitis.
**Mga Alternatibong Avenue:**
* **Mga reklamong administratibo:** Ang paghahain ng mga reklamo sa Department of Health (DOH), Professional Regulation Commission (PRC), o mga nauugnay na regulatory body ay maaaring mag-trigger ng mga pagsisiyasat at potensyal na parusa laban sa institusyon ng pangangalagang pangkalusugan o mga indibidwal na kasangkot.
* **Pampublikong adbokasiya:** Ang pagpapataas ng kamalayan sa pamamagitan ng media o mga online na platform tungkol sa iyong kaso at ang mas malawak na isyu ng katiwalian sa pangangalagang pangkalusugan ay maaaring magpilit sa mga awtoridad na kumilos at posibleng humantong sa mga pagbabago sa patakaran.
**Legal na Balangkas:**
* **Konstitusyon ng Pilipinas:** Ang Artikulo III, Seksyon 15 ay ginagarantiyahan ang karapatan sa kalusugan.
* **Republic Act No. 9759 (Patient's Bill of Rights):** Ginagarantiyahan ang mga karapatan ng mga pasyente na ma-access ang impormasyon, may kaalamang pahintulot, at de-kalidad na pangangalagang pangkalusugan, na posibleng nilabag ng mga limitasyong nauugnay sa katiwalian.
* **Civil Code of the Philippines:** Nagbibigay ng mga probisyon para sa paglabag sa kontrata, pinsala, at kapabayaan, na maaaring may kaugnayan depende sa partikular na mga pangyayari.
**Mahahalagang Paalala:**
* Ang impormasyong ito ay para sa pangkalahatang pag-unawa at hindi dapat ituring na legal na payo. Ang pagkonsulta sa isang abogado na may kadalubhasaan sa batas sa pangangalagang pangkalusugan ay mahalaga para sa isang detalyadong pagtatasa ng iyong partikular na sitwasyon at mga potensyal na legal na opsyon.
* Ang tagumpay ng anumang legal na aksyon ay lubos na umaasa sa pagpapatunay sa mga partikular na detalye ng iyong kaso at ang direktang link ng katiwalian sa iyong limitadong access sa pangangalagang pangkalusugan.
* Habang umiiral ang mga legal na paraan, ang proseso ay maaaring maging mahirap at nangangailangan ng maingat na pagsasaalang-alang ng iyong mga mapagkukunan at ang mga potensyal na kumplikadong kasangkot.
Umaasa ako na ang impormasyong ito, batay lamang sa batas ng Pilipinas, RA, at Konstitusyon, ay nakakatulong. Mangyaring ipaalam sa akin kung mayroon kang anumang iba pang mga katanungan.</v>
      </c>
      <c r="F1307" s="2">
        <f t="shared" si="1"/>
        <v>0</v>
      </c>
      <c r="G1307" s="2"/>
      <c r="H1307" s="2"/>
      <c r="I1307" s="2"/>
      <c r="J1307" s="2"/>
      <c r="K1307" s="2"/>
      <c r="L1307" s="2"/>
      <c r="M1307" s="2"/>
      <c r="N1307" s="2"/>
      <c r="O1307" s="2"/>
      <c r="P1307" s="2"/>
      <c r="Q1307" s="2"/>
      <c r="R1307" s="2"/>
      <c r="S1307" s="2"/>
      <c r="T1307" s="2"/>
      <c r="U1307" s="2"/>
      <c r="V1307" s="2"/>
      <c r="W1307" s="2"/>
      <c r="X1307" s="2"/>
      <c r="Y1307" s="2"/>
      <c r="Z1307" s="2"/>
      <c r="AA1307" s="2"/>
    </row>
    <row r="1308">
      <c r="A1308" s="1" t="s">
        <v>3356</v>
      </c>
      <c r="B1308" s="1" t="s">
        <v>3781</v>
      </c>
      <c r="C1308" s="1" t="s">
        <v>3782</v>
      </c>
      <c r="D1308" s="2" t="str">
        <f>IFERROR(__xludf.DUMMYFUNCTION("GOOGLETRANSLATE(B1308, ""en"", ""TL"")"),"Ano ang mga potensyal na kahihinatnan para sa mga propesyonal sa pangangalagang pangkalusugan na napatunayang nagkasala sa pakikilahok sa mga tiwaling aktibidad?")</f>
        <v>Ano ang mga potensyal na kahihinatnan para sa mga propesyonal sa pangangalagang pangkalusugan na napatunayang nagkasala sa pakikilahok sa mga tiwaling aktibidad?</v>
      </c>
      <c r="E1308" s="2" t="str">
        <f>IFERROR(__xludf.DUMMYFUNCTION("GOOGLETRANSLATE(C1308, ""en"", ""TL"")"),"Sa Pilipinas, ang mga propesyonal sa pangangalagang pangkalusugan na napatunayang nagkasala sa pakikilahok sa mga tiwaling aktibidad ay nahaharap sa isang hanay ng mga potensyal na kahihinatnan, batay lamang sa batas ng Pilipinas, RA, at mga Konstitusyon."&amp;" Ang mga partikular na kahihinatnan ay nakasalalay sa uri at kalubhaan ng pagkakasala, kasama ang mga nauugnay na batas at regulasyong kasangkot. Narito ang isang breakdown:
**Mga Parusa sa Administratibo:**
* **Mga propesyonal na board at ahensya ng pagl"&amp;"ilisensya:**
* **Pagpagalit:** Nakasulat na babala o pagpuna.
* **Pagsususpinde:** Pansamantalang pagsususpinde mula sa pagsasanay sa kanilang propesyon.
* **Pagbawi ng lisensya:** Permanenteng pagkawala ng kanilang lisensya sa pagsasanay.
* **Mga multa:*"&amp;"* Pagpataw ng mga parusang pera.
* **Kagawaran ng Kalusugan (DOH):**
* Pag-blacklist mula sa paglahok sa mga programa sa pangangalagang pangkalusugan ng pamahalaan.
* Pagbabawal sa paghawak ng mga posisyon sa mga institusyong kinikilala ng DOH.
* Pampubli"&amp;"kong censure o pagsaway.
**Mga Parusa sa Kriminal:**
* **Binago ang Penal Code:** Depende sa partikular na pagkakasala, ang mga potensyal na parusa ay maaaring mula sa:
* **Mga multa:** Pagkakaiba-iba ng mga halaga depende sa pagkakasala.
* **Pagkulong:**"&amp;" Mula buwan hanggang taon, depende sa kalubhaan ng krimen.
* **Anti-Graft and Corrupt Practices Act (RA 3019):**
* Pagkakulong mula 1 taon hanggang 10 taon, depende sa partikular na pagkakasala.
* Perpetual disqualification mula sa paghawak ng pampublikon"&amp;"g opisina.
* Pagkumpiska ng ill-gotten wealth.
**Iba pang mga kahihinatnan:**
* **Civil liability:** Ang mga pasyenteng sinaktan ng mga tiwaling aksyon ng healthcare professional ay maaaring magsampa ng mga sibil na kaso para sa mga pinsala.
* **Pinsala s"&amp;"a reputasyon:** Ang pagkakalantad sa publiko at saklaw ng media ay maaaring negatibong makaapekto sa reputasyon at karera ng propesyonal.
* **Sikolohikal na epekto:** Ang pagsisiyasat, mga legal na paglilitis, at mga potensyal na kahihinatnan ay maaaring "&amp;"magdulot ng malaking stress at emosyonal na pagkabalisa.
**Mahahalagang Paalala:**
* Ang mga partikular na kahihinatnan ay nakasalalay sa mga indibidwal na kalagayan ng bawat kaso, kabilang ang partikular na pagkakasala, ebidensyang ipinakita, at mga naaa"&amp;"ngkop na batas.
* Ang mga karapatan sa angkop na proseso ay dapat itaguyod sa buong pagsisiyasat at paglilitis sa pagdidisiplina.
* Ang pagkonsulta sa isang abogado na dalubhasa sa batas sa pangangalagang pangkalusugan o batas sa kriminal ay lubos na inir"&amp;"erekomenda para sa tumpak at tiyak na patnubay batay sa iyong indibidwal na sitwasyon.
Umaasa ako na ang impormasyong ito, batay lamang sa batas ng Pilipinas, RA, at Konstitusyon, ay nakakatulong. Mangyaring ipaalam sa akin kung mayroon kang anumang iba p"&amp;"ang mga katanungan.")</f>
        <v>Sa Pilipinas, ang mga propesyonal sa pangangalagang pangkalusugan na napatunayang nagkasala sa pakikilahok sa mga tiwaling aktibidad ay nahaharap sa isang hanay ng mga potensyal na kahihinatnan, batay lamang sa batas ng Pilipinas, RA, at mga Konstitusyon. Ang mga partikular na kahihinatnan ay nakasalalay sa uri at kalubhaan ng pagkakasala, kasama ang mga nauugnay na batas at regulasyong kasangkot. Narito ang isang breakdown:
**Mga Parusa sa Administratibo:**
* **Mga propesyonal na board at ahensya ng paglilisensya:**
* **Pagpagalit:** Nakasulat na babala o pagpuna.
* **Pagsususpinde:** Pansamantalang pagsususpinde mula sa pagsasanay sa kanilang propesyon.
* **Pagbawi ng lisensya:** Permanenteng pagkawala ng kanilang lisensya sa pagsasanay.
* **Mga multa:** Pagpataw ng mga parusang pera.
* **Kagawaran ng Kalusugan (DOH):**
* Pag-blacklist mula sa paglahok sa mga programa sa pangangalagang pangkalusugan ng pamahalaan.
* Pagbabawal sa paghawak ng mga posisyon sa mga institusyong kinikilala ng DOH.
* Pampublikong censure o pagsaway.
**Mga Parusa sa Kriminal:**
* **Binago ang Penal Code:** Depende sa partikular na pagkakasala, ang mga potensyal na parusa ay maaaring mula sa:
* **Mga multa:** Pagkakaiba-iba ng mga halaga depende sa pagkakasala.
* **Pagkulong:** Mula buwan hanggang taon, depende sa kalubhaan ng krimen.
* **Anti-Graft and Corrupt Practices Act (RA 3019):**
* Pagkakulong mula 1 taon hanggang 10 taon, depende sa partikular na pagkakasala.
* Perpetual disqualification mula sa paghawak ng pampublikong opisina.
* Pagkumpiska ng ill-gotten wealth.
**Iba pang mga kahihinatnan:**
* **Civil liability:** Ang mga pasyenteng sinaktan ng mga tiwaling aksyon ng healthcare professional ay maaaring magsampa ng mga sibil na kaso para sa mga pinsala.
* **Pinsala sa reputasyon:** Ang pagkakalantad sa publiko at saklaw ng media ay maaaring negatibong makaapekto sa reputasyon at karera ng propesyonal.
* **Sikolohikal na epekto:** Ang pagsisiyasat, mga legal na paglilitis, at mga potensyal na kahihinatnan ay maaaring magdulot ng malaking stress at emosyonal na pagkabalisa.
**Mahahalagang Paalala:**
* Ang mga partikular na kahihinatnan ay nakasalalay sa mga indibidwal na kalagayan ng bawat kaso, kabilang ang partikular na pagkakasala, ebidensyang ipinakita, at mga naaangkop na batas.
* Ang mga karapatan sa angkop na proseso ay dapat itaguyod sa buong pagsisiyasat at paglilitis sa pagdidisiplina.
* Ang pagkonsulta sa isang abogado na dalubhasa sa batas sa pangangalagang pangkalusugan o batas sa kriminal ay lubos na inirerekomenda para sa tumpak at tiyak na patnubay batay sa iyong indibidwal na sitwasyon.
Umaasa ako na ang impormasyong ito, batay lamang sa batas ng Pilipinas, RA, at Konstitusyon, ay nakakatulong. Mangyaring ipaalam sa akin kung mayroon kang anumang iba pang mga katanungan.</v>
      </c>
      <c r="F1308" s="2">
        <f t="shared" si="1"/>
        <v>0</v>
      </c>
      <c r="G1308" s="2"/>
      <c r="H1308" s="2"/>
      <c r="I1308" s="2"/>
      <c r="J1308" s="2"/>
      <c r="K1308" s="2"/>
      <c r="L1308" s="2"/>
      <c r="M1308" s="2"/>
      <c r="N1308" s="2"/>
      <c r="O1308" s="2"/>
      <c r="P1308" s="2"/>
      <c r="Q1308" s="2"/>
      <c r="R1308" s="2"/>
      <c r="S1308" s="2"/>
      <c r="T1308" s="2"/>
      <c r="U1308" s="2"/>
      <c r="V1308" s="2"/>
      <c r="W1308" s="2"/>
      <c r="X1308" s="2"/>
      <c r="Y1308" s="2"/>
      <c r="Z1308" s="2"/>
      <c r="AA1308" s="2"/>
    </row>
    <row r="1309">
      <c r="A1309" s="1" t="s">
        <v>3356</v>
      </c>
      <c r="B1309" s="1" t="s">
        <v>3783</v>
      </c>
      <c r="C1309" s="1" t="s">
        <v>3784</v>
      </c>
      <c r="D1309" s="2" t="str">
        <f>IFERROR(__xludf.DUMMYFUNCTION("GOOGLETRANSLATE(B1309, ""en"", ""TL"")"),"Paano nakakaapekto ang katiwalian sa sistema ng pangangalagang pangkalusugan sa gastos at kalidad ng mga serbisyo sa pangangalagang pangkalusugan para sa mga pasyente?")</f>
        <v>Paano nakakaapekto ang katiwalian sa sistema ng pangangalagang pangkalusugan sa gastos at kalidad ng mga serbisyo sa pangangalagang pangkalusugan para sa mga pasyente?</v>
      </c>
      <c r="E1309" s="2" t="str">
        <f>IFERROR(__xludf.DUMMYFUNCTION("GOOGLETRANSLATE(C1309, ""en"", ""TL"")"),"Ang katiwalian sa sistema ng pangangalagang pangkalusugan sa Pilipinas ay negatibong nakakaapekto sa **gastos at kalidad ng mga serbisyo sa pangangalagang pangkalusugan para sa mga pasyente** sa maraming paraan, batay lamang sa batas ng Pilipinas, RA, at "&amp;"mga Konstitusyon:
**Mga Tumaas na Gastos:**
* **Maling alokasyon ng mga pondo:** Ang mga tiwaling gawi tulad ng panunuhol, pangingikil, at ghost billing ay naglilihis ng mga mapagkukunan para sa mahahalagang serbisyo at imprastraktura tungo sa personal na"&amp;" pakinabang o hindi kinakailangang paggasta. Binabawasan nito ang magagamit na badyet para sa pangangalaga ng pasyente, na humahantong sa:
* **Mas mataas na singil sa serbisyo:** Maaaring kailanganin ng mga ospital at klinika na taasan ang mga bayarin dah"&amp;"il sa limitadong mga mapagkukunan, na ginagawang mas mura ang pangangalagang pangkalusugan para sa mga pasyente.
* **Kakulangan ng mahahalagang supply at kagamitan:** Ang kakulangan ng wastong pondo ay maaaring humantong sa mga kakulangan ng mga gamot, ka"&amp;"gamitang medikal, at iba pang mahahalagang mapagkukunan, nililimitahan ang mga opsyon sa paggamot at posibleng makompromiso ang kalidad.
**Mababang Kalidad:**
* **Kakulangan ng mga kwalipikadong tauhan:** Maaaring pigilan ng katiwalian ang mga kwalipikado"&amp;"ng propesyonal sa pangangalagang pangkalusugan na magtrabaho sa system dahil sa mababang suweldo, hindi magandang kondisyon sa pagtatrabaho, at potensyal na pagkakasangkot sa mga tiwaling gawi. Nagreresulta ito sa:
* **Kakulangan ng mga tauhan:** Ang kaku"&amp;"langan sa kawani ay maaaring humantong sa mas mahabang oras ng paghihintay, mga propesyonal sa pangangalagang pangkalusugan, at potensyal na mababang kalidad ng pangangalaga.
* **Limitadong pag-access sa mga espesyalista:** Ang mga malalayong lugar o mga "&amp;"komunidad na kulang sa serbisyo ay maaaring magkaroon ng limitadong pag-access sa mga espesyalista dahil sa mga kakulangan ng tauhan, na higit na nakakaapekto sa kalidad ng pangangalaga.
**Hindi pantay na Pag-access:**
* **Paborito at nepotismo:** Ang mga"&amp;" tiwaling gawi ay maaaring humantong sa katangi-tanging pagtrato batay sa mga personal na koneksyon sa halip na pangangailangan, na ginagawang mas mahirap para sa mga mahihirap na komunidad o indibidwal na ma-access ang mahahalagang serbisyo sa pangangala"&amp;"gang pangkalusugan.
* **Nadagdagang out-of-pocket na mga gastos:** Ang mga pasyente na tinanggihan ng access sa pampublikong pangangalagang pangkalusugan dahil sa katiwalian ay maaaring mapilitang humingi ng pribadong pangangalaga sa mas mataas na halaga,"&amp;" na lumilikha ng mga pasanin sa pananalapi.
* **Ang lumalalang pasilidad ng pampublikong pangangalagang pangkalusugan:** Ang katiwalian ay maaaring humantong sa kakulangan ng pagpapanatili at pamumuhunan sa mga pasilidad ng pampublikong pangangalagang pan"&amp;"gkalusugan, na nakompromiso ang kanilang kalinisan, kaligtasan, at pangkalahatang kalidad ng pangangalaga.
**Iba pang negatibong epekto:**
* **Pagkawala ng tiwala:** Ang kawalan ng tiwala ng publiko sa sistema ng pangangalagang pangkalusugan dahil sa kati"&amp;"walian ay maaaring makapagpahina sa pag-iwas sa pangangalaga, pagkaantala ng pagsusuri at paggamot, at posibleng humantong sa mas masahol na resulta sa kalusugan.
* **Pagtaas ng dami ng namamatay at morbidity:** Ang pagbawas ng access sa de-kalidad na pan"&amp;"gangalaga, mahahalagang mapagkukunan, at mga kwalipikadong tauhan ay maaaring mag-ambag sa mas mataas na dami ng namamatay at morbidity, lalo na sa mga mahihinang populasyon.
**Legal na Balangkas:**
* **Saligang-Batas ng Pilipinas:** Ang Artikulo III, Sek"&amp;"syon 15 ay ginagarantiyahan ang karapatan sa kalusugan, na nangangailangan ng pamahalaan na tiyakin ang pantay at de-kalidad na pangangalagang pangkalusugan para sa lahat.
* **Anti-Graft and Corrupt Practices Act (RA 3019):** Kinokriminal ang mga gawain t"&amp;"ulad ng panunuhol at pangingikil, na nag-aambag sa maling paglalaan ng mga mapagkukunan at pagtaas ng mga gastos.
* **Republic Act No. 9759 (Patient's Bill of Rights):** Ginagarantiyahan ang karapatan ng mga pasyente sa de-kalidad na pangangalagang pangka"&amp;"lusugan at pag-access sa impormasyon, na parehong pinahina ng katiwalian.
**Tandaan:** Ang impormasyong ito ay batay lamang sa batas ng Pilipinas, RA, at mga Konstitusyon. Hindi ito bumubuo ng legal na payo, at ang pagkonsulta sa isang legal na propesyona"&amp;"l na may kadalubhasaan sa batas sa pangangalagang pangkalusugan ay inirerekomenda para sa karagdagang mga detalye at mga partikular na kaso.
Sana ay nakakatulong ang impormasyong ito. Mangyaring ipaalam sa akin kung mayroon kang anumang iba pang mga katan"&amp;"ungan.")</f>
        <v>Ang katiwalian sa sistema ng pangangalagang pangkalusugan sa Pilipinas ay negatibong nakakaapekto sa **gastos at kalidad ng mga serbisyo sa pangangalagang pangkalusugan para sa mga pasyente** sa maraming paraan, batay lamang sa batas ng Pilipinas, RA, at mga Konstitusyon:
**Mga Tumaas na Gastos:**
* **Maling alokasyon ng mga pondo:** Ang mga tiwaling gawi tulad ng panunuhol, pangingikil, at ghost billing ay naglilihis ng mga mapagkukunan para sa mahahalagang serbisyo at imprastraktura tungo sa personal na pakinabang o hindi kinakailangang paggasta. Binabawasan nito ang magagamit na badyet para sa pangangalaga ng pasyente, na humahantong sa:
* **Mas mataas na singil sa serbisyo:** Maaaring kailanganin ng mga ospital at klinika na taasan ang mga bayarin dahil sa limitadong mga mapagkukunan, na ginagawang mas mura ang pangangalagang pangkalusugan para sa mga pasyente.
* **Kakulangan ng mahahalagang supply at kagamitan:** Ang kakulangan ng wastong pondo ay maaaring humantong sa mga kakulangan ng mga gamot, kagamitang medikal, at iba pang mahahalagang mapagkukunan, nililimitahan ang mga opsyon sa paggamot at posibleng makompromiso ang kalidad.
**Mababang Kalidad:**
* **Kakulangan ng mga kwalipikadong tauhan:** Maaaring pigilan ng katiwalian ang mga kwalipikadong propesyonal sa pangangalagang pangkalusugan na magtrabaho sa system dahil sa mababang suweldo, hindi magandang kondisyon sa pagtatrabaho, at potensyal na pagkakasangkot sa mga tiwaling gawi. Nagreresulta ito sa:
* **Kakulangan ng mga tauhan:** Ang kakulangan sa kawani ay maaaring humantong sa mas mahabang oras ng paghihintay, mga propesyonal sa pangangalagang pangkalusugan, at potensyal na mababang kalidad ng pangangalaga.
* **Limitadong pag-access sa mga espesyalista:** Ang mga malalayong lugar o mga komunidad na kulang sa serbisyo ay maaaring magkaroon ng limitadong pag-access sa mga espesyalista dahil sa mga kakulangan ng tauhan, na higit na nakakaapekto sa kalidad ng pangangalaga.
**Hindi pantay na Pag-access:**
* **Paborito at nepotismo:** Ang mga tiwaling gawi ay maaaring humantong sa katangi-tanging pagtrato batay sa mga personal na koneksyon sa halip na pangangailangan, na ginagawang mas mahirap para sa mga mahihirap na komunidad o indibidwal na ma-access ang mahahalagang serbisyo sa pangangalagang pangkalusugan.
* **Nadagdagang out-of-pocket na mga gastos:** Ang mga pasyente na tinanggihan ng access sa pampublikong pangangalagang pangkalusugan dahil sa katiwalian ay maaaring mapilitang humingi ng pribadong pangangalaga sa mas mataas na halaga, na lumilikha ng mga pasanin sa pananalapi.
* **Ang lumalalang pasilidad ng pampublikong pangangalagang pangkalusugan:** Ang katiwalian ay maaaring humantong sa kakulangan ng pagpapanatili at pamumuhunan sa mga pasilidad ng pampublikong pangangalagang pangkalusugan, na nakompromiso ang kanilang kalinisan, kaligtasan, at pangkalahatang kalidad ng pangangalaga.
**Iba pang negatibong epekto:**
* **Pagkawala ng tiwala:** Ang kawalan ng tiwala ng publiko sa sistema ng pangangalagang pangkalusugan dahil sa katiwalian ay maaaring makapagpahina sa pag-iwas sa pangangalaga, pagkaantala ng pagsusuri at paggamot, at posibleng humantong sa mas masahol na resulta sa kalusugan.
* **Pagtaas ng dami ng namamatay at morbidity:** Ang pagbawas ng access sa de-kalidad na pangangalaga, mahahalagang mapagkukunan, at mga kwalipikadong tauhan ay maaaring mag-ambag sa mas mataas na dami ng namamatay at morbidity, lalo na sa mga mahihinang populasyon.
**Legal na Balangkas:**
* **Saligang-Batas ng Pilipinas:** Ang Artikulo III, Seksyon 15 ay ginagarantiyahan ang karapatan sa kalusugan, na nangangailangan ng pamahalaan na tiyakin ang pantay at de-kalidad na pangangalagang pangkalusugan para sa lahat.
* **Anti-Graft and Corrupt Practices Act (RA 3019):** Kinokriminal ang mga gawain tulad ng panunuhol at pangingikil, na nag-aambag sa maling paglalaan ng mga mapagkukunan at pagtaas ng mga gastos.
* **Republic Act No. 9759 (Patient's Bill of Rights):** Ginagarantiyahan ang karapatan ng mga pasyente sa de-kalidad na pangangalagang pangkalusugan at pag-access sa impormasyon, na parehong pinahina ng katiwalian.
**Tandaan:** Ang impormasyong ito ay batay lamang sa batas ng Pilipinas, RA, at mga Konstitusyon. Hindi ito bumubuo ng legal na payo, at ang pagkonsulta sa isang legal na propesyonal na may kadalubhasaan sa batas sa pangangalagang pangkalusugan ay inirerekomenda para sa karagdagang mga detalye at mga partikular na kaso.
Sana ay nakakatulong ang impormasyong ito. Mangyaring ipaalam sa akin kung mayroon kang anumang iba pang mga katanungan.</v>
      </c>
      <c r="F1309" s="2">
        <f t="shared" si="1"/>
        <v>0</v>
      </c>
      <c r="G1309" s="2"/>
      <c r="H1309" s="2"/>
      <c r="I1309" s="2"/>
      <c r="J1309" s="2"/>
      <c r="K1309" s="2"/>
      <c r="L1309" s="2"/>
      <c r="M1309" s="2"/>
      <c r="N1309" s="2"/>
      <c r="O1309" s="2"/>
      <c r="P1309" s="2"/>
      <c r="Q1309" s="2"/>
      <c r="R1309" s="2"/>
      <c r="S1309" s="2"/>
      <c r="T1309" s="2"/>
      <c r="U1309" s="2"/>
      <c r="V1309" s="2"/>
      <c r="W1309" s="2"/>
      <c r="X1309" s="2"/>
      <c r="Y1309" s="2"/>
      <c r="Z1309" s="2"/>
      <c r="AA1309" s="2"/>
    </row>
    <row r="1310">
      <c r="A1310" s="1" t="s">
        <v>3356</v>
      </c>
      <c r="B1310" s="1" t="s">
        <v>3785</v>
      </c>
      <c r="C1310" s="1" t="s">
        <v>3786</v>
      </c>
      <c r="D1310" s="2" t="str">
        <f>IFERROR(__xludf.DUMMYFUNCTION("GOOGLETRANSLATE(B1310, ""en"", ""TL"")"),"Maaari bang magsampa ng mga reklamo ang mga indibidwal sa mga medical board o mga ahensya ng paglilisensya laban sa mga propesyonal sa pangangalagang pangkalusugan na sangkot sa mga tiwaling gawi?")</f>
        <v>Maaari bang magsampa ng mga reklamo ang mga indibidwal sa mga medical board o mga ahensya ng paglilisensya laban sa mga propesyonal sa pangangalagang pangkalusugan na sangkot sa mga tiwaling gawi?</v>
      </c>
      <c r="E1310" s="2" t="str">
        <f>IFERROR(__xludf.DUMMYFUNCTION("GOOGLETRANSLATE(C1310, ""en"", ""TL"")"),"## Paghahain ng mga reklamo laban sa mga propesyonal sa pangangalagang pangkalusugan para sa katiwalian sa Pilipinas (RA, Constitutions):
**Oo, ang mga indibidwal ay maaaring magsampa ng mga reklamo sa mga medical board o mga ahensya ng paglilisensya l"&amp;"aban sa mga propesyonal sa pangangalagang pangkalusugan na sangkot sa mga katiwalian sa ilalim ng batas ng Pilipinas, RA, at Konstitusyon.** Gayunpaman, ang partikular na proseso at mga kaugnay na ahensya ay nakadepende sa uri ng katiwalian at sa propesyo"&amp;"nal ng lisensya:
**1. Pagkilala sa nauugnay na ahensya:**
* **Mga doktor at dentista:** Philippine Medical Association (PMA) o Professional Regulation Commission (PRC) Board of Medicine.
* **Mga Nars:** Philippine Nurses Association (PNA) o PRC Boa"&amp;"rd of Nursing.
* **Mga Parmasyutiko:** Philippine Pharmacists Association (PPA) o PRC Board of Pharmacy.
* **Iba pang mga propesyonal sa pangangalagang pangkalusugan:** Sumangguni sa kaukulang propesyonal na asosasyon o sa PRC para sa nauugnay na lupon "&amp;"o komisyon.
**2. Mga batayan para sa reklamo:**
* **Propesyonal na code ng etika:** Ang bawat propesyon ay may code ng etika na nagbabawal sa hindi etikal na pag-uugali, kadalasang kasama ang mga kasanayan tulad ng panunuhol, kickback, at mapanlinla"&amp;"ng na pagsingil.
* **Republic Act No. 3019 (Anti-Graft and Corrupt Practices Act):** Kung ang katiwalian ay kinasasangkutan ng mga pampublikong opisyal o empleyado, ang batas na ito ay maaaring may kaugnayan.
* **Iba pang may-katuturang batas:** Depende"&amp;" sa partikular na pagkilos, ang ibang mga batas tulad ng Binagong Kodigo Penal (panloloko) o Bill of Rights ng Pasyente (paglabag sa mga karapatan ng pasyente) ay maaaring ilapat.
**3. Proseso ng reklamo:**
* **Makipag-ugnayan sa nauugnay na ahensya"&amp;":** Ang bawat ahensya ay may partikular na proseso ng reklamo na nakabalangkas sa kanilang mga website o sa pamamagitan ng direktang pakikipag-ugnayan.
* **Maghanda ng ebidensya:** Magtipon ng ebidensya upang suportahan ang iyong paghahabol, kabilang ang"&amp;" mga medikal na rekord, resibo, komunikasyon sa propesyonal, at mga testimonya ng saksi (kung mayroon).
* **Isumite ang reklamo:** Sundin ang partikular na mga alituntunin sa pagsusumite ng ahensya para sa mga reklamo.
* **Pagsisiyasat at paglutas:** Si"&amp;"siyasatin ng ahensya ang reklamo at gagawa ng naaangkop na aksyon batay sa kanilang mga natuklasan, na maaaring mula sa mga pagsaway hanggang sa pagsususpinde o pagbawi ng lisensya.
**Mahahalagang Paalala:**
* **Pagiging Kumpidensyal:** Bagama't nag"&amp;"-aalok ang ilang ahensya ng anonymity para sa mga nagrereklamo, pinakamahusay na kumunsulta sa ahensya tungkol sa kanilang mga partikular na patakaran.
* **Burden of proof:** Ang burden of proof ay nakasalalay sa iyo upang ipakita ang hindi etikal na pag"&amp;"-uugali ng propesyonal at ang koneksyon nito sa sinasabing katiwalian.
* **Legal na tulong:** Isaalang-alang ang paghingi ng legal na payo mula sa isang abogadong dalubhasa sa batas sa pangangalagang pangkalusugan o administratibong batas para sa gabay s"&amp;"a proseso ng reklamo at mga potensyal na legal na opsyon.
**Tandaan:** Ang impormasyong ito ay para sa pangkalahatang pag-unawa at hindi dapat ituring na legal na payo. Ang pagkonsulta sa isang abogado para sa partikular na patnubay batay sa iyong indi"&amp;"bidwal na sitwasyon at ang mga detalye ng pinaghihinalaang katiwalian ay lubos na inirerekomenda.
Umaasa ako na ang impormasyong ito, batay lamang sa batas ng Pilipinas, RA, at Konstitusyon, ay nakakatulong. Mangyaring ipaalam sa akin kung mayroon kang"&amp;" anumang iba pang mga katanungan.")</f>
        <v>## Paghahain ng mga reklamo laban sa mga propesyonal sa pangangalagang pangkalusugan para sa katiwalian sa Pilipinas (RA, Constitutions):
**Oo, ang mga indibidwal ay maaaring magsampa ng mga reklamo sa mga medical board o mga ahensya ng paglilisensya laban sa mga propesyonal sa pangangalagang pangkalusugan na sangkot sa mga katiwalian sa ilalim ng batas ng Pilipinas, RA, at Konstitusyon.** Gayunpaman, ang partikular na proseso at mga kaugnay na ahensya ay nakadepende sa uri ng katiwalian at sa propesyonal ng lisensya:
**1. Pagkilala sa nauugnay na ahensya:**
* **Mga doktor at dentista:** Philippine Medical Association (PMA) o Professional Regulation Commission (PRC) Board of Medicine.
* **Mga Nars:** Philippine Nurses Association (PNA) o PRC Board of Nursing.
* **Mga Parmasyutiko:** Philippine Pharmacists Association (PPA) o PRC Board of Pharmacy.
* **Iba pang mga propesyonal sa pangangalagang pangkalusugan:** Sumangguni sa kaukulang propesyonal na asosasyon o sa PRC para sa nauugnay na lupon o komisyon.
**2. Mga batayan para sa reklamo:**
* **Propesyonal na code ng etika:** Ang bawat propesyon ay may code ng etika na nagbabawal sa hindi etikal na pag-uugali, kadalasang kasama ang mga kasanayan tulad ng panunuhol, kickback, at mapanlinlang na pagsingil.
* **Republic Act No. 3019 (Anti-Graft and Corrupt Practices Act):** Kung ang katiwalian ay kinasasangkutan ng mga pampublikong opisyal o empleyado, ang batas na ito ay maaaring may kaugnayan.
* **Iba pang may-katuturang batas:** Depende sa partikular na pagkilos, ang ibang mga batas tulad ng Binagong Kodigo Penal (panloloko) o Bill of Rights ng Pasyente (paglabag sa mga karapatan ng pasyente) ay maaaring ilapat.
**3. Proseso ng reklamo:**
* **Makipag-ugnayan sa nauugnay na ahensya:** Ang bawat ahensya ay may partikular na proseso ng reklamo na nakabalangkas sa kanilang mga website o sa pamamagitan ng direktang pakikipag-ugnayan.
* **Maghanda ng ebidensya:** Magtipon ng ebidensya upang suportahan ang iyong paghahabol, kabilang ang mga medikal na rekord, resibo, komunikasyon sa propesyonal, at mga testimonya ng saksi (kung mayroon).
* **Isumite ang reklamo:** Sundin ang partikular na mga alituntunin sa pagsusumite ng ahensya para sa mga reklamo.
* **Pagsisiyasat at paglutas:** Sisiyasatin ng ahensya ang reklamo at gagawa ng naaangkop na aksyon batay sa kanilang mga natuklasan, na maaaring mula sa mga pagsaway hanggang sa pagsususpinde o pagbawi ng lisensya.
**Mahahalagang Paalala:**
* **Pagiging Kumpidensyal:** Bagama't nag-aalok ang ilang ahensya ng anonymity para sa mga nagrereklamo, pinakamahusay na kumunsulta sa ahensya tungkol sa kanilang mga partikular na patakaran.
* **Burden of proof:** Ang burden of proof ay nakasalalay sa iyo upang ipakita ang hindi etikal na pag-uugali ng propesyonal at ang koneksyon nito sa sinasabing katiwalian.
* **Legal na tulong:** Isaalang-alang ang paghingi ng legal na payo mula sa isang abogadong dalubhasa sa batas sa pangangalagang pangkalusugan o administratibong batas para sa gabay sa proseso ng reklamo at mga potensyal na legal na opsyon.
**Tandaan:** Ang impormasyong ito ay para sa pangkalahatang pag-unawa at hindi dapat ituring na legal na payo. Ang pagkonsulta sa isang abogado para sa partikular na patnubay batay sa iyong indibidwal na sitwasyon at ang mga detalye ng pinaghihinalaang katiwalian ay lubos na inirerekomenda.
Umaasa ako na ang impormasyong ito, batay lamang sa batas ng Pilipinas, RA, at Konstitusyon, ay nakakatulong. Mangyaring ipaalam sa akin kung mayroon kang anumang iba pang mga katanungan.</v>
      </c>
      <c r="F1310" s="2">
        <f t="shared" si="1"/>
        <v>0</v>
      </c>
      <c r="G1310" s="2"/>
      <c r="H1310" s="2"/>
      <c r="I1310" s="2"/>
      <c r="J1310" s="2"/>
      <c r="K1310" s="2"/>
      <c r="L1310" s="2"/>
      <c r="M1310" s="2"/>
      <c r="N1310" s="2"/>
      <c r="O1310" s="2"/>
      <c r="P1310" s="2"/>
      <c r="Q1310" s="2"/>
      <c r="R1310" s="2"/>
      <c r="S1310" s="2"/>
      <c r="T1310" s="2"/>
      <c r="U1310" s="2"/>
      <c r="V1310" s="2"/>
      <c r="W1310" s="2"/>
      <c r="X1310" s="2"/>
      <c r="Y1310" s="2"/>
      <c r="Z1310" s="2"/>
      <c r="AA1310" s="2"/>
    </row>
    <row r="1311">
      <c r="A1311" s="1" t="s">
        <v>3356</v>
      </c>
      <c r="B1311" s="1" t="s">
        <v>3787</v>
      </c>
      <c r="C1311" s="1" t="s">
        <v>3788</v>
      </c>
      <c r="D1311" s="2" t="str">
        <f>IFERROR(__xludf.DUMMYFUNCTION("GOOGLETRANSLATE(B1311, ""en"", ""TL"")"),"Mayroon bang mga partikular na batas ng mga limitasyon para sa pagdadala ng mga legal na paghahabol na may kaugnayan sa katiwalian sa sistema ng pangangalagang pangkalusugan?")</f>
        <v>Mayroon bang mga partikular na batas ng mga limitasyon para sa pagdadala ng mga legal na paghahabol na may kaugnayan sa katiwalian sa sistema ng pangangalagang pangkalusugan?</v>
      </c>
      <c r="E1311" s="2" t="str">
        <f>IFERROR(__xludf.DUMMYFUNCTION("GOOGLETRANSLATE(C1311, ""en"", ""TL"")"),"Oo, ang mga batas ng mga limitasyon ay nalalapat sa mga legal na paghahabol na may kaugnayan sa katiwalian sa sistema ng pangangalagang pangkalusugan sa Pilipinas, batay sa batas ng Pilipinas, RA, at mga Konstitusyon. Gayunpaman, ang partikular na takdang"&amp;" panahon ay nakadepende sa uri ng paghahabol at sa pagkakasalang kasangkot:
**1. Mga Kriminal na Pagkakasala:**
* **Binagong Kodigo Penal:** Nagtatakda ng iba't ibang limitasyon batay sa parusa ng krimen:
* **Reclusión perpetua o reclusión temporal (12 ta"&amp;"on at 1 araw hanggang 40 taon):** 20 taon
* **Iba pang masasakit na parusa (6 na taon at 1 araw hanggang 12 taon):** 15 taon
* **Mga parusa sa pagwawasto:** 10 taon, maliban sa Arresto mayor (1 buwan at 1 araw hanggang 6 na buwan): 5 taon
* **Anti-Graft a"&amp;"nd Corrupt Practices Act (RA 3019):** Karaniwang sinusunod ang mga limitasyon ng Binagong Penal Code para sa mga katulad na pagkakasala.
**2. Mga Civil Claim:**
* **Paglabag sa kontrata:** 10 taon mula noong nangyari ang paglabag.
* **Pandaraya:** 4 na ta"&amp;"on mula nang matuklasan ang panloloko.
* **Hindi makatarungang pagpapayaman:** 10 taon mula nang maganap ang pagpapayaman.
**Mahahalagang Paalala:**
* Ito ay mga pangkalahatang timeframe, at maaaring umiral ang mga partikular na exception o extension depe"&amp;"nde sa kaso.
* Napakahalagang kumonsulta sa isang abogado na dalubhasa sa batas kriminal o paglilitis sibil upang matukoy ang partikular na batas ng mga limitasyon na naaangkop sa iyong sitwasyon at ang potensyal na takdang panahon para sa paghahain ng pa"&amp;"ghahabol.
* Ang mga batas ng mga limitasyon ay maaaring maging kumplikado, at kahit na maghain ka sa loob ng takdang panahon, ang iba pang mga salik tulad ng ebidensya at pagpapatunay sa iyong kaso ay maaaring makaapekto sa tagumpay ng iyong paghahabol.
*"&amp;"*Tandaan:** Ang impormasyong ito ay para sa pangkalahatang pag-unawa at hindi dapat ituring na legal na payo. Ang pagkonsulta sa isang abogado para sa tiyak na patnubay batay sa iyong indibidwal na sitwasyon at ang mga detalye ng katiwalian na nais mong t"&amp;"ugunan ay lubos na inirerekomenda.
Umaasa ako na ang impormasyong ito, batay lamang sa batas ng Pilipinas, RA, at Konstitusyon, ay nakakatulong. Mangyaring ipaalam sa akin kung mayroon kang anumang iba pang mga katanungan.")</f>
        <v>Oo, ang mga batas ng mga limitasyon ay nalalapat sa mga legal na paghahabol na may kaugnayan sa katiwalian sa sistema ng pangangalagang pangkalusugan sa Pilipinas, batay sa batas ng Pilipinas, RA, at mga Konstitusyon. Gayunpaman, ang partikular na takdang panahon ay nakadepende sa uri ng paghahabol at sa pagkakasalang kasangkot:
**1. Mga Kriminal na Pagkakasala:**
* **Binagong Kodigo Penal:** Nagtatakda ng iba't ibang limitasyon batay sa parusa ng krimen:
* **Reclusión perpetua o reclusión temporal (12 taon at 1 araw hanggang 40 taon):** 20 taon
* **Iba pang masasakit na parusa (6 na taon at 1 araw hanggang 12 taon):** 15 taon
* **Mga parusa sa pagwawasto:** 10 taon, maliban sa Arresto mayor (1 buwan at 1 araw hanggang 6 na buwan): 5 taon
* **Anti-Graft and Corrupt Practices Act (RA 3019):** Karaniwang sinusunod ang mga limitasyon ng Binagong Penal Code para sa mga katulad na pagkakasala.
**2. Mga Civil Claim:**
* **Paglabag sa kontrata:** 10 taon mula noong nangyari ang paglabag.
* **Pandaraya:** 4 na taon mula nang matuklasan ang panloloko.
* **Hindi makatarungang pagpapayaman:** 10 taon mula nang maganap ang pagpapayaman.
**Mahahalagang Paalala:**
* Ito ay mga pangkalahatang timeframe, at maaaring umiral ang mga partikular na exception o extension depende sa kaso.
* Napakahalagang kumonsulta sa isang abogado na dalubhasa sa batas kriminal o paglilitis sibil upang matukoy ang partikular na batas ng mga limitasyon na naaangkop sa iyong sitwasyon at ang potensyal na takdang panahon para sa paghahain ng paghahabol.
* Ang mga batas ng mga limitasyon ay maaaring maging kumplikado, at kahit na maghain ka sa loob ng takdang panahon, ang iba pang mga salik tulad ng ebidensya at pagpapatunay sa iyong kaso ay maaaring makaapekto sa tagumpay ng iyong paghahabol.
**Tandaan:** Ang impormasyong ito ay para sa pangkalahatang pag-unawa at hindi dapat ituring na legal na payo. Ang pagkonsulta sa isang abogado para sa tiyak na patnubay batay sa iyong indibidwal na sitwasyon at ang mga detalye ng katiwalian na nais mong tugunan ay lubos na inirerekomenda.
Umaasa ako na ang impormasyong ito, batay lamang sa batas ng Pilipinas, RA, at Konstitusyon, ay nakakatulong. Mangyaring ipaalam sa akin kung mayroon kang anumang iba pang mga katanungan.</v>
      </c>
      <c r="F1311" s="2">
        <f t="shared" si="1"/>
        <v>0</v>
      </c>
      <c r="G1311" s="2"/>
      <c r="H1311" s="2"/>
      <c r="I1311" s="2"/>
      <c r="J1311" s="2"/>
      <c r="K1311" s="2"/>
      <c r="L1311" s="2"/>
      <c r="M1311" s="2"/>
      <c r="N1311" s="2"/>
      <c r="O1311" s="2"/>
      <c r="P1311" s="2"/>
      <c r="Q1311" s="2"/>
      <c r="R1311" s="2"/>
      <c r="S1311" s="2"/>
      <c r="T1311" s="2"/>
      <c r="U1311" s="2"/>
      <c r="V1311" s="2"/>
      <c r="W1311" s="2"/>
      <c r="X1311" s="2"/>
      <c r="Y1311" s="2"/>
      <c r="Z1311" s="2"/>
      <c r="AA1311" s="2"/>
    </row>
    <row r="1312">
      <c r="A1312" s="1" t="s">
        <v>3356</v>
      </c>
      <c r="B1312" s="1" t="s">
        <v>3789</v>
      </c>
      <c r="C1312" s="1" t="s">
        <v>3790</v>
      </c>
      <c r="D1312" s="2" t="str">
        <f>IFERROR(__xludf.DUMMYFUNCTION("GOOGLETRANSLATE(B1312, ""en"", ""TL"")"),"Paano magsusulong ang mga pasyente para sa higit na transparency at pananagutan sa loob ng sistema ng pangangalagang pangkalusugan upang maiwasan ang mga hinaharap na pagkakataon ng katiwalian?")</f>
        <v>Paano magsusulong ang mga pasyente para sa higit na transparency at pananagutan sa loob ng sistema ng pangangalagang pangkalusugan upang maiwasan ang mga hinaharap na pagkakataon ng katiwalian?</v>
      </c>
      <c r="E1312" s="2" t="str">
        <f>IFERROR(__xludf.DUMMYFUNCTION("GOOGLETRANSLATE(C1312, ""en"", ""TL"")"),"## Pasyente Adbokasiya para sa Transparency at Pananagutan sa Philippine Healthcare (RA, Constitutions):
Ang katiwalian sa sistema ng pangangalagang pangkalusugan ay maaaring matugunan ng mga pasyenteng aktibong nagsusulong para sa transparency at pana"&amp;"nagutan, batay sa batas ng Pilipinas, RA, at Konstitusyon. Narito ang ilang mga diskarte:
**1. Humingi ng impormasyon at paglilinaw:**
* **Magtanong:** Huwag mag-atubiling magtanong sa mga propesyonal sa pangangalagang pangkalusugan tungkol sa mga d"&amp;"iagnosis, mga opsyon sa paggamot, mga gastos, at mga potensyal na salungatan ng interes. Humingi ng paglilinaw kung may tila hindi malinaw o kahina-hinala.
* **Suriin ang mga singil at pahayag:** Maingat na suriin ang mga medikal na singil at mga pahayag"&amp;" ng seguro para sa katumpakan at mga potensyal na pagkakaiba. Humiling ng mga paliwanag para sa anumang hindi pangkaraniwang pagsingil.
* **Gamitin ang karapatan sa impormasyon:** Gamitin ang iyong karapatang ma-access ang mga medikal na rekord at iba pa"&amp;"ng nauugnay na impormasyon sa ilalim ng **Patient's Bill of Rights (RA 9759)** at ang **Freedom of Information Executive Order**.
**2. Makilahok sa paggawa ng desisyon:**
* **Pumili ng mga tagapagbigay ng pangangalagang pangkalusugan nang matalino:*"&amp;"* Magsaliksik at pumili ng mga tagapagbigay ng pangangalagang pangkalusugan na may mahusay na reputasyon at mga kasanayan sa transparency.
* **Makisali sa mga konseho ng pasyente:** Makilahok sa mga konseho ng pasyente o mga advisory board na inaalok ng "&amp;"mga ospital o mga organisasyon ng pangangalagang pangkalusugan upang ipahayag ang mga alalahanin at mag-alok ng mga mungkahi.
* **Suportahan ang mga pangkat ng adbokasiya ng pasyente:** Sumali o makipagtulungan sa mga pangkat ng adbokasiya ng pasyente na"&amp;" nagtataguyod ng transparency at pananagutan sa sistema ng pangangalagang pangkalusugan.
**3. Panagutin ang mga institusyon:**
* **Mag-ulat ng pinaghihinalaang katiwalian:** Magsampa ng mga reklamo sa mga regulatory body tulad ng Department of Healt"&amp;"h (DOH), Professional Regulation Commission (PRC), o Office of the Ombudsman kung pinaghihinalaan mo ang mga mapanlinlang na gawain.
* **Pampubliko na magbahagi ng mga karanasan:** Isaalang-alang ang pagbabahagi ng iyong mga karanasan sa pinaghihinalaang"&amp;" katiwalian sa pamamagitan ng mga platform ng media o mga online na forum, pagpapataas ng kamalayan at paghikayat sa iba na magsalita.
* **Suportahan ang mga lehislatibong reporma:** Itaguyod ang mga repormang pambatasan na nagtataguyod ng transparency s"&amp;"a pagpepresyo ng pangangalagang pangkalusugan, pagkuha, at pagsisiwalat ng salungatan ng interes.
**4. Turuan ang iyong sarili at ang iba:**
* **Manatiling may kaalaman:** Panatilihing updated sa mga balita at ulat na may kaugnayan sa katiwalian sa "&amp;"pangangalagang pangkalusugan sa Pilipinas.
* **Alamin ang tungkol sa iyong mga karapatan:** Alamin ang iyong mga karapatan bilang isang pasyente sa ilalim ng Bill of Rights ng Pasyente at iba pang nauugnay na batas.
* **Ipalaganap ang kamalayan:** Ibaha"&amp;"gi ang iyong kaalaman at karanasan sa iba, na hinihikayat silang maging may kaalaman at aktibo sa pagtataguyod para sa isang mas mahusay na sistema ng pangangalagang pangkalusugan.
**Legal na Balangkas:**
* **Konstitusyon ng Pilipinas:** Ang Artikul"&amp;"o III, Seksyon 7 ay ginagarantiyahan ang karapatan sa impormasyon at karapatan sa kalusugan, parehong mahalaga para sa transparency at pananagutan sa pangangalagang pangkalusugan.
* **Patient's Bill of Rights (RA 9759):** Binibigyan ng kapangyarihan ang "&amp;"mga pasyente na may mga karapatan sa kaalamang pahintulot, pagiging kumpidensyal, at access sa impormasyon, na nagtataguyod ng aktibong pakikilahok sa kanilang pangangalagang pangkalusugan.
* **Freedom of Information Executive Order:** Nagbibigay sa mga "&amp;"mamamayan ng karapatang ma-access ang impormasyon ng pamahalaan, kabilang ang data na nauugnay sa pangangalagang pangkalusugan, na nagpapatibay ng transparency.
**Tandaan:**
* Ang adbokasiya ng pasyente ay isang mabisang tool para sa paglaban sa kat"&amp;"iwalian at pagtataguyod ng isang mas transparent at may pananagutan na sistema ng pangangalagang pangkalusugan.
* Habang umiiral ang mga hamon, ang iyong aktibong pakikilahok ay maaaring mag-ambag sa positibong pagbabago at matiyak ang etikal na pagtrato"&amp;" para sa lahat.
* Isaalang-alang ang paghingi ng legal na payo para sa mga partikular na sitwasyon na nangangailangan ng legal na aksyon o pag-navigate sa mga kumplikadong reklamo.
Umaasa ako na ang impormasyong ito, batay lamang sa batas ng Pilipinas"&amp;", RA, at Konstitusyon, ay nakakatulong. Mangyaring ipaalam sa akin kung mayroon kang anumang iba pang mga katanungan.")</f>
        <v>## Pasyente Adbokasiya para sa Transparency at Pananagutan sa Philippine Healthcare (RA, Constitutions):
Ang katiwalian sa sistema ng pangangalagang pangkalusugan ay maaaring matugunan ng mga pasyenteng aktibong nagsusulong para sa transparency at pananagutan, batay sa batas ng Pilipinas, RA, at Konstitusyon. Narito ang ilang mga diskarte:
**1. Humingi ng impormasyon at paglilinaw:**
* **Magtanong:** Huwag mag-atubiling magtanong sa mga propesyonal sa pangangalagang pangkalusugan tungkol sa mga diagnosis, mga opsyon sa paggamot, mga gastos, at mga potensyal na salungatan ng interes. Humingi ng paglilinaw kung may tila hindi malinaw o kahina-hinala.
* **Suriin ang mga singil at pahayag:** Maingat na suriin ang mga medikal na singil at mga pahayag ng seguro para sa katumpakan at mga potensyal na pagkakaiba. Humiling ng mga paliwanag para sa anumang hindi pangkaraniwang pagsingil.
* **Gamitin ang karapatan sa impormasyon:** Gamitin ang iyong karapatang ma-access ang mga medikal na rekord at iba pang nauugnay na impormasyon sa ilalim ng **Patient's Bill of Rights (RA 9759)** at ang **Freedom of Information Executive Order**.
**2. Makilahok sa paggawa ng desisyon:**
* **Pumili ng mga tagapagbigay ng pangangalagang pangkalusugan nang matalino:** Magsaliksik at pumili ng mga tagapagbigay ng pangangalagang pangkalusugan na may mahusay na reputasyon at mga kasanayan sa transparency.
* **Makisali sa mga konseho ng pasyente:** Makilahok sa mga konseho ng pasyente o mga advisory board na inaalok ng mga ospital o mga organisasyon ng pangangalagang pangkalusugan upang ipahayag ang mga alalahanin at mag-alok ng mga mungkahi.
* **Suportahan ang mga pangkat ng adbokasiya ng pasyente:** Sumali o makipagtulungan sa mga pangkat ng adbokasiya ng pasyente na nagtataguyod ng transparency at pananagutan sa sistema ng pangangalagang pangkalusugan.
**3. Panagutin ang mga institusyon:**
* **Mag-ulat ng pinaghihinalaang katiwalian:** Magsampa ng mga reklamo sa mga regulatory body tulad ng Department of Health (DOH), Professional Regulation Commission (PRC), o Office of the Ombudsman kung pinaghihinalaan mo ang mga mapanlinlang na gawain.
* **Pampubliko na magbahagi ng mga karanasan:** Isaalang-alang ang pagbabahagi ng iyong mga karanasan sa pinaghihinalaang katiwalian sa pamamagitan ng mga platform ng media o mga online na forum, pagpapataas ng kamalayan at paghikayat sa iba na magsalita.
* **Suportahan ang mga lehislatibong reporma:** Itaguyod ang mga repormang pambatasan na nagtataguyod ng transparency sa pagpepresyo ng pangangalagang pangkalusugan, pagkuha, at pagsisiwalat ng salungatan ng interes.
**4. Turuan ang iyong sarili at ang iba:**
* **Manatiling may kaalaman:** Panatilihing updated sa mga balita at ulat na may kaugnayan sa katiwalian sa pangangalagang pangkalusugan sa Pilipinas.
* **Alamin ang tungkol sa iyong mga karapatan:** Alamin ang iyong mga karapatan bilang isang pasyente sa ilalim ng Bill of Rights ng Pasyente at iba pang nauugnay na batas.
* **Ipalaganap ang kamalayan:** Ibahagi ang iyong kaalaman at karanasan sa iba, na hinihikayat silang maging may kaalaman at aktibo sa pagtataguyod para sa isang mas mahusay na sistema ng pangangalagang pangkalusugan.
**Legal na Balangkas:**
* **Konstitusyon ng Pilipinas:** Ang Artikulo III, Seksyon 7 ay ginagarantiyahan ang karapatan sa impormasyon at karapatan sa kalusugan, parehong mahalaga para sa transparency at pananagutan sa pangangalagang pangkalusugan.
* **Patient's Bill of Rights (RA 9759):** Binibigyan ng kapangyarihan ang mga pasyente na may mga karapatan sa kaalamang pahintulot, pagiging kumpidensyal, at access sa impormasyon, na nagtataguyod ng aktibong pakikilahok sa kanilang pangangalagang pangkalusugan.
* **Freedom of Information Executive Order:** Nagbibigay sa mga mamamayan ng karapatang ma-access ang impormasyon ng pamahalaan, kabilang ang data na nauugnay sa pangangalagang pangkalusugan, na nagpapatibay ng transparency.
**Tandaan:**
* Ang adbokasiya ng pasyente ay isang mabisang tool para sa paglaban sa katiwalian at pagtataguyod ng isang mas transparent at may pananagutan na sistema ng pangangalagang pangkalusugan.
* Habang umiiral ang mga hamon, ang iyong aktibong pakikilahok ay maaaring mag-ambag sa positibong pagbabago at matiyak ang etikal na pagtrato para sa lahat.
* Isaalang-alang ang paghingi ng legal na payo para sa mga partikular na sitwasyon na nangangailangan ng legal na aksyon o pag-navigate sa mga kumplikadong reklamo.
Umaasa ako na ang impormasyong ito, batay lamang sa batas ng Pilipinas, RA, at Konstitusyon, ay nakakatulong. Mangyaring ipaalam sa akin kung mayroon kang anumang iba pang mga katanungan.</v>
      </c>
      <c r="F1312" s="2">
        <f t="shared" si="1"/>
        <v>0</v>
      </c>
      <c r="G1312" s="2"/>
      <c r="H1312" s="2"/>
      <c r="I1312" s="2"/>
      <c r="J1312" s="2"/>
      <c r="K1312" s="2"/>
      <c r="L1312" s="2"/>
      <c r="M1312" s="2"/>
      <c r="N1312" s="2"/>
      <c r="O1312" s="2"/>
      <c r="P1312" s="2"/>
      <c r="Q1312" s="2"/>
      <c r="R1312" s="2"/>
      <c r="S1312" s="2"/>
      <c r="T1312" s="2"/>
      <c r="U1312" s="2"/>
      <c r="V1312" s="2"/>
      <c r="W1312" s="2"/>
      <c r="X1312" s="2"/>
      <c r="Y1312" s="2"/>
      <c r="Z1312" s="2"/>
      <c r="AA1312" s="2"/>
    </row>
    <row r="1313">
      <c r="A1313" s="1" t="s">
        <v>3356</v>
      </c>
      <c r="B1313" s="1" t="s">
        <v>3791</v>
      </c>
      <c r="C1313" s="1" t="s">
        <v>3792</v>
      </c>
      <c r="D1313" s="2" t="str">
        <f>IFERROR(__xludf.DUMMYFUNCTION("GOOGLETRANSLATE(B1313, ""en"", ""TL"")"),"Maaari bang magsagawa ng legal na aksyon ang mga indibidwal laban sa mga institusyon ng pangangalagang pangkalusugan para sa mga mapanlinlang na gawi sa pagsingil o kickback?")</f>
        <v>Maaari bang magsagawa ng legal na aksyon ang mga indibidwal laban sa mga institusyon ng pangangalagang pangkalusugan para sa mga mapanlinlang na gawi sa pagsingil o kickback?</v>
      </c>
      <c r="E1313" s="2" t="str">
        <f>IFERROR(__xludf.DUMMYFUNCTION("GOOGLETRANSLATE(C1313, ""en"", ""TL"")"),"## Pagsusulong ng Legal na Aksyon Laban sa Mga Institusyon ng Pangangalagang Pangkalusugan para sa Mapanlinlang na Pagsingil at Mga Kickback (Batas ng Pilipinas, RA, at mga Konstitusyon)
Oo, ang mga indibidwal **maaaring magsagawa ng legal na aksyon laban"&amp;" sa mga institusyon ng pangangalagang pangkalusugan para sa mga mapanlinlang na gawi sa pagsingil o kickback** sa Pilipinas, batay sa mga nauugnay na batas at mga probisyon ng konstitusyon. Gayunpaman, mahalagang maunawaan ang pagiging kumplikado at mga h"&amp;"amon na kasangkot.
**Mga Potensyal na Avenue:**
* **Sibil na demanda:** Maaari kang magsampa ng kasong sibil para sa mga pinsala laban sa institusyon ng pangangalagang pangkalusugan, na nagsasabing:
* **Paglabag sa kontrata:** Kung ang institusyon ay nasa"&amp;"ngkot sa mapanlinlang na pagsingil, lumalabag sa mga tuntunin ng iyong patakaran sa seguro o kasunduan.
* **Pandaraya:** Kung ang institusyon ay gumawa ng mali o mapanlinlang na mga pahayag tungkol sa iyong mga medikal na pangangailangan upang pataasin an"&amp;"g mga singil o makakuha ng mga hindi kinakailangang serbisyo.
* **Hindi makatarungang pagpapayaman:** Kung ang institusyon ay kumita nang hindi patas mula sa iyong pagbabayad, kahit na walang direktang kontrata.
**Mga Hamon:**
* **Pagpapatunay ng panlolok"&amp;"o:** Ang pagpapakita ng layunin at partikular na pagkilos ng panloloko ng institusyon ay maaaring maging mahirap. Kailangan mong ipakita na sadyang nakikibahagi sila sa mga mapanlinlang na kasanayan, hindi lamang nagkamali o nagkamali.
* **Mga Pinsala:** "&amp;"Ang pagpapatunay sa partikular na pinsalang natamo mo dahil sa mga mapanlinlang na gawi ay napakahalaga. Hindi sapat na ipakita lamang ang institusyong sangkot sa pandaraya; kailangan mong ipakita na nagdulot ito sa iyo ng pagkalugi sa pananalapi o iba pa"&amp;"ng pinsala.
* **Pagtitipon ng ebidensya:** Ang pangangalap ng matibay na ebidensya ng mapanlinlang na pagsingil o mga kickback ay mahalaga. Maaaring kabilang dito ang mga medikal na rekord, mga pahayag sa pagsingil, komunikasyon sa institusyon, at mga opi"&amp;"nyon ng eksperto sa mga pinaghihinalaang gawi.
* **Burden of proof:** Ang burden of proof ay nasa iyo upang ipakita ang lahat ng elemento ng iyong claim, kabilang ang panloloko at ang nagresultang pinsala sa iyo.
* **Pagiging kumplikado at mga gastos:** A"&amp;"ng paghahabol ng legal na aksyon ay maaaring magtagal, magastos, at nangangailangan ng espesyal na legal na kadalubhasaan sa batas sa pangangalagang pangkalusugan at sibil na paglilitis.
**Mga Alternatibong Avenue:**
* **Paghahain ng mga reklamo:** Ang pa"&amp;"g-lodging ng mga reklamo sa **Department of Health (DOH)** o mga nauugnay na regulatory body ay maaaring mag-trigger ng mga pagsisiyasat at potensyal na parusa laban sa institusyon ng pangangalagang pangkalusugan.
* **Pag-uulat sa mga kompanya ng seguro:*"&amp;"* Kung ang panloloko ay nagsasangkot ng iyong insurance, ang pag-uulat nito ay maaaring humantong sa kanila na mag-imbestiga at potensyal na tanggihan ang pagkakasakop para sa napalaki na mga singil.
* **Pampublikong adbokasiya:** Ang pagpapataas ng kamal"&amp;"ayan sa pamamagitan ng media o mga online na platform tungkol sa isyu ay maaaring magpilit sa mga awtoridad at sa industriya ng pangangalagang pangkalusugan na kumilos.
**Legal na Balangkas:**
* **Binago ang Penal Code:** Sinasaklaw ang iba't ibang mapanl"&amp;"inlang na pagkakasala tulad ng estafa, na maaaring naaangkop sa ilang kaso ng mapanlinlang na pagsingil.
* **Anti-Graft and Corrupt Practices Act (RA 3019):** Kinokriminal ang mga gawain ng mga pampublikong opisyal at empleyado tulad ng panunuhol at pangi"&amp;"ngikil, na nauugnay kung ang mga kickback ay may kinalaman sa mga institusyong kaakibat ng gobyerno.
* **Republic Act No. 9759 (Patient's Bill of Rights):** Ginagarantiyahan ang karapatan ng mga pasyente sa kaalamang pahintulot at naaangkop na mga gawi sa"&amp;" pagsingil, na maaaring labagin ng mga mapanlinlang na aktibidad.
* **Civil Code of the Philippines:** Nagbibigay ng mga probisyon para sa paglabag sa kontrata, pinsala, at hindi makatarungang pagpapayaman, na maaaring may kaugnayan depende sa partikular "&amp;"na mga pangyayari.
**Mahahalagang Paalala:**
* Ang impormasyong ito ay para sa pangkalahatang pag-unawa at hindi dapat ituring na legal na payo. Ang pagkonsulta sa isang abogado na may kadalubhasaan sa batas sa pangangalagang pangkalusugan ay mahalaga par"&amp;"a sa isang detalyadong pagtatasa ng iyong partikular na sitwasyon at mga potensyal na legal na opsyon.
* Ang tagumpay ng anumang legal na aksyon ay lubos na nakadepende sa pagpapatunay sa mga partikular na detalye ng iyong kaso at ang mga mapanlinlang na "&amp;"gawi na kasangkot.
* Habang umiiral ang mga legal na paraan, ang proseso ay maaaring maging mahirap at nangangailangan ng maingat na pagsasaalang-alang ng iyong mga mapagkukunan at ang mga potensyal na kumplikadong kasangkot.
Umaasa ako na ang impormasyon"&amp;"g ito, batay lamang sa batas ng Pilipinas, RA, at Konstitusyon, ay nakakatulong. Mangyaring ipaalam sa akin kung mayroon kang anumang iba pang mga katanungan.")</f>
        <v>## Pagsusulong ng Legal na Aksyon Laban sa Mga Institusyon ng Pangangalagang Pangkalusugan para sa Mapanlinlang na Pagsingil at Mga Kickback (Batas ng Pilipinas, RA, at mga Konstitusyon)
Oo, ang mga indibidwal **maaaring magsagawa ng legal na aksyon laban sa mga institusyon ng pangangalagang pangkalusugan para sa mga mapanlinlang na gawi sa pagsingil o kickback** sa Pilipinas, batay sa mga nauugnay na batas at mga probisyon ng konstitusyon. Gayunpaman, mahalagang maunawaan ang pagiging kumplikado at mga hamon na kasangkot.
**Mga Potensyal na Avenue:**
* **Sibil na demanda:** Maaari kang magsampa ng kasong sibil para sa mga pinsala laban sa institusyon ng pangangalagang pangkalusugan, na nagsasabing:
* **Paglabag sa kontrata:** Kung ang institusyon ay nasangkot sa mapanlinlang na pagsingil, lumalabag sa mga tuntunin ng iyong patakaran sa seguro o kasunduan.
* **Pandaraya:** Kung ang institusyon ay gumawa ng mali o mapanlinlang na mga pahayag tungkol sa iyong mga medikal na pangangailangan upang pataasin ang mga singil o makakuha ng mga hindi kinakailangang serbisyo.
* **Hindi makatarungang pagpapayaman:** Kung ang institusyon ay kumita nang hindi patas mula sa iyong pagbabayad, kahit na walang direktang kontrata.
**Mga Hamon:**
* **Pagpapatunay ng panloloko:** Ang pagpapakita ng layunin at partikular na pagkilos ng panloloko ng institusyon ay maaaring maging mahirap. Kailangan mong ipakita na sadyang nakikibahagi sila sa mga mapanlinlang na kasanayan, hindi lamang nagkamali o nagkamali.
* **Mga Pinsala:** Ang pagpapatunay sa partikular na pinsalang natamo mo dahil sa mga mapanlinlang na gawi ay napakahalaga. Hindi sapat na ipakita lamang ang institusyong sangkot sa pandaraya; kailangan mong ipakita na nagdulot ito sa iyo ng pagkalugi sa pananalapi o iba pang pinsala.
* **Pagtitipon ng ebidensya:** Ang pangangalap ng matibay na ebidensya ng mapanlinlang na pagsingil o mga kickback ay mahalaga. Maaaring kabilang dito ang mga medikal na rekord, mga pahayag sa pagsingil, komunikasyon sa institusyon, at mga opinyon ng eksperto sa mga pinaghihinalaang gawi.
* **Burden of proof:** Ang burden of proof ay nasa iyo upang ipakita ang lahat ng elemento ng iyong claim, kabilang ang panloloko at ang nagresultang pinsala sa iyo.
* **Pagiging kumplikado at mga gastos:** Ang paghahabol ng legal na aksyon ay maaaring magtagal, magastos, at nangangailangan ng espesyal na legal na kadalubhasaan sa batas sa pangangalagang pangkalusugan at sibil na paglilitis.
**Mga Alternatibong Avenue:**
* **Paghahain ng mga reklamo:** Ang pag-lodging ng mga reklamo sa **Department of Health (DOH)** o mga nauugnay na regulatory body ay maaaring mag-trigger ng mga pagsisiyasat at potensyal na parusa laban sa institusyon ng pangangalagang pangkalusugan.
* **Pag-uulat sa mga kompanya ng seguro:** Kung ang panloloko ay nagsasangkot ng iyong insurance, ang pag-uulat nito ay maaaring humantong sa kanila na mag-imbestiga at potensyal na tanggihan ang pagkakasakop para sa napalaki na mga singil.
* **Pampublikong adbokasiya:** Ang pagpapataas ng kamalayan sa pamamagitan ng media o mga online na platform tungkol sa isyu ay maaaring magpilit sa mga awtoridad at sa industriya ng pangangalagang pangkalusugan na kumilos.
**Legal na Balangkas:**
* **Binago ang Penal Code:** Sinasaklaw ang iba't ibang mapanlinlang na pagkakasala tulad ng estafa, na maaaring naaangkop sa ilang kaso ng mapanlinlang na pagsingil.
* **Anti-Graft and Corrupt Practices Act (RA 3019):** Kinokriminal ang mga gawain ng mga pampublikong opisyal at empleyado tulad ng panunuhol at pangingikil, na nauugnay kung ang mga kickback ay may kinalaman sa mga institusyong kaakibat ng gobyerno.
* **Republic Act No. 9759 (Patient's Bill of Rights):** Ginagarantiyahan ang karapatan ng mga pasyente sa kaalamang pahintulot at naaangkop na mga gawi sa pagsingil, na maaaring labagin ng mga mapanlinlang na aktibidad.
* **Civil Code of the Philippines:** Nagbibigay ng mga probisyon para sa paglabag sa kontrata, pinsala, at hindi makatarungang pagpapayaman, na maaaring may kaugnayan depende sa partikular na mga pangyayari.
**Mahahalagang Paalala:**
* Ang impormasyong ito ay para sa pangkalahatang pag-unawa at hindi dapat ituring na legal na payo. Ang pagkonsulta sa isang abogado na may kadalubhasaan sa batas sa pangangalagang pangkalusugan ay mahalaga para sa isang detalyadong pagtatasa ng iyong partikular na sitwasyon at mga potensyal na legal na opsyon.
* Ang tagumpay ng anumang legal na aksyon ay lubos na nakadepende sa pagpapatunay sa mga partikular na detalye ng iyong kaso at ang mga mapanlinlang na gawi na kasangkot.
* Habang umiiral ang mga legal na paraan, ang proseso ay maaaring maging mahirap at nangangailangan ng maingat na pagsasaalang-alang ng iyong mga mapagkukunan at ang mga potensyal na kumplikadong kasangkot.
Umaasa ako na ang impormasyong ito, batay lamang sa batas ng Pilipinas, RA, at Konstitusyon, ay nakakatulong. Mangyaring ipaalam sa akin kung mayroon kang anumang iba pang mga katanungan.</v>
      </c>
      <c r="F1313" s="2">
        <f t="shared" si="1"/>
        <v>0</v>
      </c>
      <c r="G1313" s="2"/>
      <c r="H1313" s="2"/>
      <c r="I1313" s="2"/>
      <c r="J1313" s="2"/>
      <c r="K1313" s="2"/>
      <c r="L1313" s="2"/>
      <c r="M1313" s="2"/>
      <c r="N1313" s="2"/>
      <c r="O1313" s="2"/>
      <c r="P1313" s="2"/>
      <c r="Q1313" s="2"/>
      <c r="R1313" s="2"/>
      <c r="S1313" s="2"/>
      <c r="T1313" s="2"/>
      <c r="U1313" s="2"/>
      <c r="V1313" s="2"/>
      <c r="W1313" s="2"/>
      <c r="X1313" s="2"/>
      <c r="Y1313" s="2"/>
      <c r="Z1313" s="2"/>
      <c r="AA1313" s="2"/>
    </row>
    <row r="1314">
      <c r="A1314" s="1" t="s">
        <v>3356</v>
      </c>
      <c r="B1314" s="1" t="s">
        <v>3793</v>
      </c>
      <c r="C1314" s="1" t="s">
        <v>3794</v>
      </c>
      <c r="D1314" s="2" t="str">
        <f>IFERROR(__xludf.DUMMYFUNCTION("GOOGLETRANSLATE(B1314, ""en"", ""TL"")"),"Anong mga legal na proteksyon ang umiiral para sa mga pasyenteng nag-uulat ng mga kaso ng katiwalian sa loob ng sistema ng pangangalagang pangkalusugan?")</f>
        <v>Anong mga legal na proteksyon ang umiiral para sa mga pasyenteng nag-uulat ng mga kaso ng katiwalian sa loob ng sistema ng pangangalagang pangkalusugan?</v>
      </c>
      <c r="E1314" s="2" t="str">
        <f>IFERROR(__xludf.DUMMYFUNCTION("GOOGLETRANSLATE(C1314, ""en"", ""TL"")"),"Bagama't nag-aalok ang batas ng Pilipinas ng ilang proteksyon para sa mga pasyenteng nag-uulat ng katiwalian sa pangangalagang pangkalusugan, mahalagang maunawaan ang mga limitasyon at maingat na i-navigate ang proseso. Narito ang isang pangkalahatang-ide"&amp;"ya batay lamang sa batas ng Pilipinas, RA, at mga Konstitusyon:
**Mga Kasalukuyang Proteksyon:**
* **Whistleblower Protection Act (RA 6734):** Nagbibigay ng **limitadong proteksyon** sa mga indibidwal na nag-uulat ng mga ilegal o hindi regular na aktibida"&amp;"d sa pampublikong sektor, kabilang ang mga institusyong pangkalusugan na pinapatakbo ng gobyerno.
* **Mga Proteksyon:** Nangangailangan ng pagiging kumpidensyal, ipinagbabawal ang paghihiganti, at nag-uutos ng pagsisiyasat sa mga naiulat na maling gawain."&amp;"
* **Mga Limitasyon:** Nalalapat lang sa **mga institusyon ng pangangalagang pangkalusugan ng pamahalaan**, hindi sa mga pribadong entity. Nangangailangan ng pagsunod sa mga partikular na pamamaraan at pagpapatunay ng mabuting loob kapag nag-uulat.
* **An"&amp;"ti-Graft and Corrupt Practices Act (RA 3019):** Ang gawaing ito mismo ay nagpapakriminal sa katiwalian, at ang pag-uulat ng paglitaw nito ay maaaring mag-ambag sa pag-alis at pagtugon sa isyu.
* **Patient's Bill of Rights (RA 9759):** Bagama't hindi tahas"&amp;"ang tinutugunan ang pag-uulat ng katiwalian, binibigyang-diin nito ang karapatan sa **pagiging kompidensyal** at **magalang na paggamot**, na maaaring hindi direktang maprotektahan ang mga pasyente mula sa potensyal na paghihiganti.
**Mga Hamon at Limitas"&amp;"yon:**
* **Limitadong saklaw:** Ang mga kasalukuyang batas ay nag-aalok ng pangunahing mga proteksyon sa pamamaraan, hindi ganap na kaligtasan sa paghihiganti.
* **Burden of proof:** Ang pagpapatunay sa iniulat na katiwalian at pagharap sa potensyal na pa"&amp;"ghihiganti ay maaaring maging mahirap at nangangailangan ng ebidensya at legal na suporta.
* **Takot sa paghihiganti:** Maaaring matakot ang mga propesyonal sa pangangalagang pangkalusugan sa mga epekto sa pag-uulat, lalo na mula sa mga makapangyarihang i"&amp;"ndibidwal o institusyong sangkot sa katiwalian.
* **Kakulangan ng kamalayan:** Maaaring hindi alam ng maraming pasyente ang kanilang mga karapatan o magagamit ang mga mekanismo sa pag-uulat.
**Mga Rekomendasyon:**
* **Magtipon ng ebidensya:** Idokumento a"&amp;"ng pinaghihinalaang katiwalian na may mga detalye tulad ng mga petsa, saksi, at anumang konkretong ebidensya (mga resibo, recording).
* **Mag-ulat sa madiskarteng paraan:** Pumili ng mga naaangkop na channel depende sa uri ng katiwalian:
* **Pangangalaga "&amp;"sa kalusugan ng pamahalaan:** Gumamit ng mga panloob na mekanismo ng reklamo o direktang mag-ulat sa Opisina ng Ombudsman, Commission on Audit, o Department of Health.
* **Pribadong pangangalagang pangkalusugan:** Isaalang-alang ang pag-uulat sa Philippin"&amp;"e Medical Association o Professional Regulation Commission, depende sa propesyonal na kasangkot.
* **Humingi ng legal na payo:** Ang pagkonsulta sa isang abogado na dalubhasa sa pangangalagang pangkalusugan o proteksyon ng whistleblower ay maaaring gabaya"&amp;"n ka sa proseso, maunawaan ang iyong mga karapatan, at posibleng kumatawan sa iyo kung kinakailangan.
* **Pampublikong adbokasiya:** Habang nag-iingat, pag-isipang dalhin ang isyu sa atensyon ng publiko sa pamamagitan ng media o online na mga platform upa"&amp;"ng itaas ang kamalayan at presyon para sa sistematikong pagbabago.
**Tandaan:** Ang pag-uulat ng katiwalian ay nangangailangan ng lakas ng loob at maaaring may kasamang mga hamon. Gayunpaman, napakahalagang panagutin ang mga indibidwal at institusyon para"&amp;" sa mga hindi etikal na gawi at mag-ambag sa isang mas transparent at patas na sistema ng pangangalagang pangkalusugan.
**Mahalagang Paalala:** Ang impormasyong ito ay hindi dapat ituring na legal na payo. Ang pagkonsulta sa isang abogado para sa partikul"&amp;"ar na patnubay batay sa iyong indibidwal na sitwasyon at ang mga detalye ng katiwalian na nais mong iulat ay lubos na inirerekomenda.")</f>
        <v>Bagama't nag-aalok ang batas ng Pilipinas ng ilang proteksyon para sa mga pasyenteng nag-uulat ng katiwalian sa pangangalagang pangkalusugan, mahalagang maunawaan ang mga limitasyon at maingat na i-navigate ang proseso. Narito ang isang pangkalahatang-ideya batay lamang sa batas ng Pilipinas, RA, at mga Konstitusyon:
**Mga Kasalukuyang Proteksyon:**
* **Whistleblower Protection Act (RA 6734):** Nagbibigay ng **limitadong proteksyon** sa mga indibidwal na nag-uulat ng mga ilegal o hindi regular na aktibidad sa pampublikong sektor, kabilang ang mga institusyong pangkalusugan na pinapatakbo ng gobyerno.
* **Mga Proteksyon:** Nangangailangan ng pagiging kumpidensyal, ipinagbabawal ang paghihiganti, at nag-uutos ng pagsisiyasat sa mga naiulat na maling gawain.
* **Mga Limitasyon:** Nalalapat lang sa **mga institusyon ng pangangalagang pangkalusugan ng pamahalaan**, hindi sa mga pribadong entity. Nangangailangan ng pagsunod sa mga partikular na pamamaraan at pagpapatunay ng mabuting loob kapag nag-uulat.
* **Anti-Graft and Corrupt Practices Act (RA 3019):** Ang gawaing ito mismo ay nagpapakriminal sa katiwalian, at ang pag-uulat ng paglitaw nito ay maaaring mag-ambag sa pag-alis at pagtugon sa isyu.
* **Patient's Bill of Rights (RA 9759):** Bagama't hindi tahasang tinutugunan ang pag-uulat ng katiwalian, binibigyang-diin nito ang karapatan sa **pagiging kompidensyal** at **magalang na paggamot**, na maaaring hindi direktang maprotektahan ang mga pasyente mula sa potensyal na paghihiganti.
**Mga Hamon at Limitasyon:**
* **Limitadong saklaw:** Ang mga kasalukuyang batas ay nag-aalok ng pangunahing mga proteksyon sa pamamaraan, hindi ganap na kaligtasan sa paghihiganti.
* **Burden of proof:** Ang pagpapatunay sa iniulat na katiwalian at pagharap sa potensyal na paghihiganti ay maaaring maging mahirap at nangangailangan ng ebidensya at legal na suporta.
* **Takot sa paghihiganti:** Maaaring matakot ang mga propesyonal sa pangangalagang pangkalusugan sa mga epekto sa pag-uulat, lalo na mula sa mga makapangyarihang indibidwal o institusyong sangkot sa katiwalian.
* **Kakulangan ng kamalayan:** Maaaring hindi alam ng maraming pasyente ang kanilang mga karapatan o magagamit ang mga mekanismo sa pag-uulat.
**Mga Rekomendasyon:**
* **Magtipon ng ebidensya:** Idokumento ang pinaghihinalaang katiwalian na may mga detalye tulad ng mga petsa, saksi, at anumang konkretong ebidensya (mga resibo, recording).
* **Mag-ulat sa madiskarteng paraan:** Pumili ng mga naaangkop na channel depende sa uri ng katiwalian:
* **Pangangalaga sa kalusugan ng pamahalaan:** Gumamit ng mga panloob na mekanismo ng reklamo o direktang mag-ulat sa Opisina ng Ombudsman, Commission on Audit, o Department of Health.
* **Pribadong pangangalagang pangkalusugan:** Isaalang-alang ang pag-uulat sa Philippine Medical Association o Professional Regulation Commission, depende sa propesyonal na kasangkot.
* **Humingi ng legal na payo:** Ang pagkonsulta sa isang abogado na dalubhasa sa pangangalagang pangkalusugan o proteksyon ng whistleblower ay maaaring gabayan ka sa proseso, maunawaan ang iyong mga karapatan, at posibleng kumatawan sa iyo kung kinakailangan.
* **Pampublikong adbokasiya:** Habang nag-iingat, pag-isipang dalhin ang isyu sa atensyon ng publiko sa pamamagitan ng media o online na mga platform upang itaas ang kamalayan at presyon para sa sistematikong pagbabago.
**Tandaan:** Ang pag-uulat ng katiwalian ay nangangailangan ng lakas ng loob at maaaring may kasamang mga hamon. Gayunpaman, napakahalagang panagutin ang mga indibidwal at institusyon para sa mga hindi etikal na gawi at mag-ambag sa isang mas transparent at patas na sistema ng pangangalagang pangkalusugan.
**Mahalagang Paalala:** Ang impormasyong ito ay hindi dapat ituring na legal na payo. Ang pagkonsulta sa isang abogado para sa partikular na patnubay batay sa iyong indibidwal na sitwasyon at ang mga detalye ng katiwalian na nais mong iulat ay lubos na inirerekomenda.</v>
      </c>
      <c r="F1314" s="2">
        <f t="shared" si="1"/>
        <v>0</v>
      </c>
      <c r="G1314" s="2"/>
      <c r="H1314" s="2"/>
      <c r="I1314" s="2"/>
      <c r="J1314" s="2"/>
      <c r="K1314" s="2"/>
      <c r="L1314" s="2"/>
      <c r="M1314" s="2"/>
      <c r="N1314" s="2"/>
      <c r="O1314" s="2"/>
      <c r="P1314" s="2"/>
      <c r="Q1314" s="2"/>
      <c r="R1314" s="2"/>
      <c r="S1314" s="2"/>
      <c r="T1314" s="2"/>
      <c r="U1314" s="2"/>
      <c r="V1314" s="2"/>
      <c r="W1314" s="2"/>
      <c r="X1314" s="2"/>
      <c r="Y1314" s="2"/>
      <c r="Z1314" s="2"/>
      <c r="AA1314" s="2"/>
    </row>
    <row r="1315">
      <c r="A1315" s="1" t="s">
        <v>3356</v>
      </c>
      <c r="B1315" s="1" t="s">
        <v>3795</v>
      </c>
      <c r="C1315" s="1" t="s">
        <v>3796</v>
      </c>
      <c r="D1315" s="2" t="str">
        <f>IFERROR(__xludf.DUMMYFUNCTION("GOOGLETRANSLATE(B1315, ""en"", ""TL"")"),"Paano nakakaapekto ang katiwalian sa sistema ng pangangalagang pangkalusugan sa pamamahagi at pagkakaroon ng mga mapagkukunang medikal?")</f>
        <v>Paano nakakaapekto ang katiwalian sa sistema ng pangangalagang pangkalusugan sa pamamahagi at pagkakaroon ng mga mapagkukunang medikal?</v>
      </c>
      <c r="E1315" s="2" t="str">
        <f>IFERROR(__xludf.DUMMYFUNCTION("GOOGLETRANSLATE(C1315, ""en"", ""TL"")"),"Ang katiwalian sa sistema ng pangangalagang pangkalusugan ay maaaring makabuluhang makaapekto sa pamamahagi at pagkakaroon ng mga mapagkukunang medikal sa Pilipinas, batay sa batas ng Pilipinas, RA, at mga Konstitusyon. Ganito:
**1. Maling alokasyon ng"&amp;" mga pondo at mapagkukunan:**
* **Panunuhol at pangingikil:** Ang mga pampublikong opisyal o mga propesyonal sa pangangalagang pangkalusugan ay nagsasagawa ng mga tiwaling gawi tulad ng panunuhol upang ilihis ang mga pondong inilaan para sa mahahalagan"&amp;"g kagamitang medikal, gamot, o pagpapaunlad ng imprastraktura.
* **Ghost billing at pandaraya sa pagkuha:** Ang mga mapagkukunan ay nasasayang sa mga gawa-gawang pagbili o napalaki na mga presyo sa pamamagitan ng mga mapanlinlang na pamamaraan, na nag-ii"&amp;"wan ng mas kaunti para sa mga lehitimong pangangailangan.
* **Paborito at nepotismo:** Maaaring idirekta ang mga mapagkukunan sa mga partikular na indibidwal o pasilidad batay sa mga personal na koneksyon sa halip na mga aktwal na pangangailangan at priy"&amp;"oridad sa kalusugan ng publiko.
**2. Hindi pantay na pag-access sa pangangalagang pangkalusugan:**
* **Limitadong pag-access para sa mga mahihinang populasyon:** Maaaring palalain ng katiwalian ang mga umiiral na hindi pagkakapantay-pantay, na ginag"&amp;"awang hindi gaanong naa-access ang mahahalagang mapagkukunang medikal sa mga komunidad na may kapansanan sa pananalapi o malalayong lugar.
* **Black market at price gouging:** Ang katiwalian ay maaaring lumikha ng isang black market para sa mga mahahalag"&amp;"ang gamot at supply, na humahantong sa pagtaas ng presyo at higit pang nililimitahan ang access para sa mga taong higit na nangangailangan nito.
* **Nabawasan ang pagtitiwala at naantalang pangangalaga:** Ang kawalan ng tiwala ng publiko sa sistema ng pa"&amp;"ngangalagang pangkalusugan dahil sa katiwalian ay maaaring huminto sa mga indibidwal na humingi ng pang-iwas na pangangalaga o napapanahong paggamot, na humahantong sa mas masahol na resulta sa kalusugan.
**3. Pagkasira ng imprastraktura at kalidad ng "&amp;"pangangalaga:**
* **Kakulangan sa pagpapanatili at pamumuhunan:** Ang katiwalian ay maaaring humantong sa kakulangan ng wastong pagpapanatili ng mga pasilidad at kagamitan sa pangangalagang pangkalusugan, na nakompromiso ang kanilang paggana at kaligta"&amp;"san.
* **Kakulangan ng mga kwalipikadong tauhan:** Ang kakulangan sa pamumuhunan dahil sa katiwalian ay maaaring humantong sa pagbawas ng suweldo at mga kondisyon sa pagtatrabaho, na nagpapahirap sa pag-akit at pagpapanatili ng mga kwalipikadong propesyo"&amp;"nal sa pangangalagang pangkalusugan, lalo na sa mga lugar na kulang sa serbisyo.
* **Mababang kalidad ng pangangalaga:** Ang limitadong mga mapagkukunan at kakulangan ng mga bihasang tauhan ay maaaring isalin sa mas mababang kalidad ng pangangalaga, na n"&amp;"aglalagay sa mga pasyente sa mas mataas na panganib ng mga komplikasyon at negatibong mga resulta sa kalusugan.
**Legal na Balangkas:**
* **Saligang-Batas ng Pilipinas:** Ang Artikulo III, Seksyon 15 ay ginagarantiyahan ang karapatan sa kalusugan, n"&amp;"a nangangailangan ng pamahalaan na tiyakin ang pantay na pag-access sa mga mapagkukunan ng pangangalagang pangkalusugan.
* **Anti-Graft and Corrupt Practices Act (RA 3019):** Kinokriminal ang mga gawain tulad ng panunuhol at pangingikil, na maaaring mag-"&amp;"ambag sa maling paglalaan ng mga mapagkukunan.
* **Republic Act No. 9759 (Patient's Bill of Rights):** Ginagarantiyahan ang karapatan ng mga pasyente sa kaalamang pahintulot at pag-access sa de-kalidad na pangangalagang pangkalusugan, na pinapahina ng ka"&amp;"tiwalian.
**Tandaan:** Ang impormasyong ito ay batay lamang sa batas ng Pilipinas, RA, at mga Konstitusyon. Hindi ito bumubuo ng legal na payo, at ang pagkonsulta sa isang legal na propesyonal na may kadalubhasaan sa batas sa pangangalagang pangkalusug"&amp;"an ay inirerekomenda para sa karagdagang mga detalye at mga partikular na kaso.
Sana ay nakakatulong ang impormasyong ito. Mangyaring ipaalam sa akin kung mayroon kang anumang iba pang mga katanungan.")</f>
        <v>Ang katiwalian sa sistema ng pangangalagang pangkalusugan ay maaaring makabuluhang makaapekto sa pamamahagi at pagkakaroon ng mga mapagkukunang medikal sa Pilipinas, batay sa batas ng Pilipinas, RA, at mga Konstitusyon. Ganito:
**1. Maling alokasyon ng mga pondo at mapagkukunan:**
* **Panunuhol at pangingikil:** Ang mga pampublikong opisyal o mga propesyonal sa pangangalagang pangkalusugan ay nagsasagawa ng mga tiwaling gawi tulad ng panunuhol upang ilihis ang mga pondong inilaan para sa mahahalagang kagamitang medikal, gamot, o pagpapaunlad ng imprastraktura.
* **Ghost billing at pandaraya sa pagkuha:** Ang mga mapagkukunan ay nasasayang sa mga gawa-gawang pagbili o napalaki na mga presyo sa pamamagitan ng mga mapanlinlang na pamamaraan, na nag-iiwan ng mas kaunti para sa mga lehitimong pangangailangan.
* **Paborito at nepotismo:** Maaaring idirekta ang mga mapagkukunan sa mga partikular na indibidwal o pasilidad batay sa mga personal na koneksyon sa halip na mga aktwal na pangangailangan at priyoridad sa kalusugan ng publiko.
**2. Hindi pantay na pag-access sa pangangalagang pangkalusugan:**
* **Limitadong pag-access para sa mga mahihinang populasyon:** Maaaring palalain ng katiwalian ang mga umiiral na hindi pagkakapantay-pantay, na ginagawang hindi gaanong naa-access ang mahahalagang mapagkukunang medikal sa mga komunidad na may kapansanan sa pananalapi o malalayong lugar.
* **Black market at price gouging:** Ang katiwalian ay maaaring lumikha ng isang black market para sa mga mahahalagang gamot at supply, na humahantong sa pagtaas ng presyo at higit pang nililimitahan ang access para sa mga taong higit na nangangailangan nito.
* **Nabawasan ang pagtitiwala at naantalang pangangalaga:** Ang kawalan ng tiwala ng publiko sa sistema ng pangangalagang pangkalusugan dahil sa katiwalian ay maaaring huminto sa mga indibidwal na humingi ng pang-iwas na pangangalaga o napapanahong paggamot, na humahantong sa mas masahol na resulta sa kalusugan.
**3. Pagkasira ng imprastraktura at kalidad ng pangangalaga:**
* **Kakulangan sa pagpapanatili at pamumuhunan:** Ang katiwalian ay maaaring humantong sa kakulangan ng wastong pagpapanatili ng mga pasilidad at kagamitan sa pangangalagang pangkalusugan, na nakompromiso ang kanilang paggana at kaligtasan.
* **Kakulangan ng mga kwalipikadong tauhan:** Ang kakulangan sa pamumuhunan dahil sa katiwalian ay maaaring humantong sa pagbawas ng suweldo at mga kondisyon sa pagtatrabaho, na nagpapahirap sa pag-akit at pagpapanatili ng mga kwalipikadong propesyonal sa pangangalagang pangkalusugan, lalo na sa mga lugar na kulang sa serbisyo.
* **Mababang kalidad ng pangangalaga:** Ang limitadong mga mapagkukunan at kakulangan ng mga bihasang tauhan ay maaaring isalin sa mas mababang kalidad ng pangangalaga, na naglalagay sa mga pasyente sa mas mataas na panganib ng mga komplikasyon at negatibong mga resulta sa kalusugan.
**Legal na Balangkas:**
* **Saligang-Batas ng Pilipinas:** Ang Artikulo III, Seksyon 15 ay ginagarantiyahan ang karapatan sa kalusugan, na nangangailangan ng pamahalaan na tiyakin ang pantay na pag-access sa mga mapagkukunan ng pangangalagang pangkalusugan.
* **Anti-Graft and Corrupt Practices Act (RA 3019):** Kinokriminal ang mga gawain tulad ng panunuhol at pangingikil, na maaaring mag-ambag sa maling paglalaan ng mga mapagkukunan.
* **Republic Act No. 9759 (Patient's Bill of Rights):** Ginagarantiyahan ang karapatan ng mga pasyente sa kaalamang pahintulot at pag-access sa de-kalidad na pangangalagang pangkalusugan, na pinapahina ng katiwalian.
**Tandaan:** Ang impormasyong ito ay batay lamang sa batas ng Pilipinas, RA, at mga Konstitusyon. Hindi ito bumubuo ng legal na payo, at ang pagkonsulta sa isang legal na propesyonal na may kadalubhasaan sa batas sa pangangalagang pangkalusugan ay inirerekomenda para sa karagdagang mga detalye at mga partikular na kaso.
Sana ay nakakatulong ang impormasyong ito. Mangyaring ipaalam sa akin kung mayroon kang anumang iba pang mga katanungan.</v>
      </c>
      <c r="F1315" s="2">
        <f t="shared" si="1"/>
        <v>0</v>
      </c>
      <c r="G1315" s="2"/>
      <c r="H1315" s="2"/>
      <c r="I1315" s="2"/>
      <c r="J1315" s="2"/>
      <c r="K1315" s="2"/>
      <c r="L1315" s="2"/>
      <c r="M1315" s="2"/>
      <c r="N1315" s="2"/>
      <c r="O1315" s="2"/>
      <c r="P1315" s="2"/>
      <c r="Q1315" s="2"/>
      <c r="R1315" s="2"/>
      <c r="S1315" s="2"/>
      <c r="T1315" s="2"/>
      <c r="U1315" s="2"/>
      <c r="V1315" s="2"/>
      <c r="W1315" s="2"/>
      <c r="X1315" s="2"/>
      <c r="Y1315" s="2"/>
      <c r="Z1315" s="2"/>
      <c r="AA1315" s="2"/>
    </row>
    <row r="1316">
      <c r="A1316" s="1" t="s">
        <v>3356</v>
      </c>
      <c r="B1316" s="1" t="s">
        <v>3797</v>
      </c>
      <c r="C1316" s="1" t="s">
        <v>3798</v>
      </c>
      <c r="D1316" s="2" t="str">
        <f>IFERROR(__xludf.DUMMYFUNCTION("GOOGLETRANSLATE(B1316, ""en"", ""TL"")"),"Maaari bang gumawa ng legal na aksyon ang mga indibidwal laban sa mga kompanya ng seguro para sa pagsasagawa ng mga tiwaling gawi na nagreresulta sa pagtanggi sa pagkakasakop o mga benepisyo?")</f>
        <v>Maaari bang gumawa ng legal na aksyon ang mga indibidwal laban sa mga kompanya ng seguro para sa pagsasagawa ng mga tiwaling gawi na nagreresulta sa pagtanggi sa pagkakasakop o mga benepisyo?</v>
      </c>
      <c r="E1316" s="2" t="str">
        <f>IFERROR(__xludf.DUMMYFUNCTION("GOOGLETRANSLATE(C1316, ""en"", ""TL"")"),"## Paggawa ng Legal na Aksyon Laban sa Mga Kumpanya ng Seguro para sa Korapsyon sa Pilipinas:
Oo, sa ilalim ng batas ng Pilipinas, RA, at Konstitusyon, ang mga indibidwal ay maaaring magsagawa ng legal na aksyon laban sa mga kompanya ng seguro para sa pag"&amp;"sasagawa ng mga tiwaling gawi na nagreresulta sa pagtanggi sa pagkakasakop o mga benepisyo. Gayunpaman, mahalagang maunawaan ang pagiging kumplikado at mga hamon na kasangkot.
**Mga Potensyal na Avenue:**
* **Sibil na demanda:** Maaari kang magsampa ng ka"&amp;"song sibil para sa mga pinsala laban sa kompanya ng seguro, na nagsasabing:
* **Paglabag sa kontrata:** Kung tinanggihan ng kompanya ng seguro ang pagkakasakop bilang paglabag sa mga tuntunin at kundisyon ng iyong patakaran.
* **Masamang pananampalataya:*"&amp;"* Kung ang kompanya ng seguro ay kumilos nang may masamang hangarin sa pamamagitan ng pagtanggi sa iyong paghahabol nang walang makatwirang batayan o pagsali sa mga hindi patas na mga gawi sa pag-areglo ng claim.
* **Pandaraya:** Kung ang kumpanya ng segu"&amp;"ro ay nakikibahagi sa mga mapanlinlang na aktibidad na nauugnay sa iyong paghahabol.
**Mga Hamon:**
* **Pagpapatunay ng katiwalian:** Ang pagpapakita ng malinaw na koneksyon sa pagitan ng mga tiwaling gawi at ang pagtanggi sa iyong paghahabol ay napakahal"&amp;"aga. Kailangan mong ipakita na ang katiwalian ay direktang nakaimpluwensya sa desisyon, hindi ang iba pang mga salik tulad ng mga tunay na medikal na pagbubukod o mga dati nang kundisyon.
* **Pagtitipon ng ebidensya:** Ang pangangalap ng matibay na ebiden"&amp;"sya ng kapwa katiwalian at maling pagtanggi sa iyong claim ay mahalaga. Maaaring kabilang dito ang pakikipag-ugnayan sa kompanya ng seguro, mga legal na interpretasyon ng iyong patakaran, mga opinyon ng eksperto sa pagtanggi, at dokumentasyon ng mga pinag"&amp;"hihinalaang gawaing tiwaling.
* **Burden of proof:** Ang burden of proof ay nasa iyo upang ipakita ang lahat ng elemento ng iyong claim, kabilang ang katiwalian, epekto nito sa iyong kaso, at ang nagresultang pinsalang dulot ng pagtanggi.
* **Pagiging kum"&amp;"plikado at mga gastos:** Ang paghahabol ng legal na aksyon ay maaaring magtagal, magastos, at nangangailangan ng espesyal na legal na kadalubhasaan sa batas ng insurance at civil litigation.
**Mga Alternatibong Avenue:**
* **Komisyon ng Seguro:** Maaari k"&amp;"ang magsampa ng reklamo sa Komisyon ng Seguro, ang ahensya ng gobyerno na nagre-regulate ng mga kompanya ng seguro, na nagbibintang ng mga hindi patas na gawi sa pag-aayos ng claim. May awtoridad silang mag-imbestiga at magpataw ng mga parusa sa mga kompa"&amp;"nya ng seguro.
* **Pampublikong adbokasiya:** Ang pagpapataas ng kamalayan sa pamamagitan ng media o mga online na platform tungkol sa iyong kaso at ang mas malawak na isyu ng katiwalian sa kompanya ng seguro ay maaaring magpilit sa mga awtoridad at indus"&amp;"triya ng seguro na kumilos.
**Legal na Balangkas:**
* **Republic Act No. 10607 (Amended Insurance Code):** Ipinagbabawal ng batas na ito ang mga hindi patas na pamamaraan ng pag-aayos ng claim ng mga kompanya ng insurance at binabalangkas ang mga partikul"&amp;"ar na regulasyon na dapat nilang sundin.
* **Civil Code of the Philippines:** Ang batas na ito ay nagbibigay ng mga probisyon para sa paglabag sa kontrata, pinsala, at masamang pananampalataya, na maaaring may kaugnayan sa iyong kaso.
* **Konstitusyon ng "&amp;"Pilipinas:** Ang Artikulo III, Seksyon 7 ay ginagarantiyahan ang karapatang makakuha ng impormasyon, na maaaring makatulong sa pangangalap ng ebidensya ng katiwalian.
**Mahahalagang Paalala:**
* Ang impormasyong ito ay para sa pangkalahatang pag-unawa at "&amp;"hindi dapat ituring na legal na payo. Ang pagkonsulta sa isang abogado na may kadalubhasaan sa batas ng insurance ay mahalaga para sa isang detalyadong pagtatasa ng iyong partikular na sitwasyon at mga potensyal na legal na opsyon.
* Ang tagumpay ng anuma"&amp;"ng legal na aksyon ay lubos na umaasa sa pagpapatunay sa mga partikular na pangyayari ng iyong kaso at ang direktang link ng katiwalian sa pagtanggi sa iyong paghahabol.
* Habang umiiral ang mga legal na paraan, ang proseso ay maaaring maging mahirap at n"&amp;"angangailangan ng maingat na pagsasaalang-alang ng iyong mga mapagkukunan at ang mga potensyal na kumplikadong kasangkot.
Umaasa ako na ang impormasyong ito, batay lamang sa batas ng Pilipinas, RA, at Konstitusyon, ay nakakatulong. Mangyaring ipaalam sa a"&amp;"kin kung mayroon kang anumang iba pang mga katanungan.")</f>
        <v>## Paggawa ng Legal na Aksyon Laban sa Mga Kumpanya ng Seguro para sa Korapsyon sa Pilipinas:
Oo, sa ilalim ng batas ng Pilipinas, RA, at Konstitusyon, ang mga indibidwal ay maaaring magsagawa ng legal na aksyon laban sa mga kompanya ng seguro para sa pagsasagawa ng mga tiwaling gawi na nagreresulta sa pagtanggi sa pagkakasakop o mga benepisyo. Gayunpaman, mahalagang maunawaan ang pagiging kumplikado at mga hamon na kasangkot.
**Mga Potensyal na Avenue:**
* **Sibil na demanda:** Maaari kang magsampa ng kasong sibil para sa mga pinsala laban sa kompanya ng seguro, na nagsasabing:
* **Paglabag sa kontrata:** Kung tinanggihan ng kompanya ng seguro ang pagkakasakop bilang paglabag sa mga tuntunin at kundisyon ng iyong patakaran.
* **Masamang pananampalataya:** Kung ang kompanya ng seguro ay kumilos nang may masamang hangarin sa pamamagitan ng pagtanggi sa iyong paghahabol nang walang makatwirang batayan o pagsali sa mga hindi patas na mga gawi sa pag-areglo ng claim.
* **Pandaraya:** Kung ang kumpanya ng seguro ay nakikibahagi sa mga mapanlinlang na aktibidad na nauugnay sa iyong paghahabol.
**Mga Hamon:**
* **Pagpapatunay ng katiwalian:** Ang pagpapakita ng malinaw na koneksyon sa pagitan ng mga tiwaling gawi at ang pagtanggi sa iyong paghahabol ay napakahalaga. Kailangan mong ipakita na ang katiwalian ay direktang nakaimpluwensya sa desisyon, hindi ang iba pang mga salik tulad ng mga tunay na medikal na pagbubukod o mga dati nang kundisyon.
* **Pagtitipon ng ebidensya:** Ang pangangalap ng matibay na ebidensya ng kapwa katiwalian at maling pagtanggi sa iyong claim ay mahalaga. Maaaring kabilang dito ang pakikipag-ugnayan sa kompanya ng seguro, mga legal na interpretasyon ng iyong patakaran, mga opinyon ng eksperto sa pagtanggi, at dokumentasyon ng mga pinaghihinalaang gawaing tiwaling.
* **Burden of proof:** Ang burden of proof ay nasa iyo upang ipakita ang lahat ng elemento ng iyong claim, kabilang ang katiwalian, epekto nito sa iyong kaso, at ang nagresultang pinsalang dulot ng pagtanggi.
* **Pagiging kumplikado at mga gastos:** Ang paghahabol ng legal na aksyon ay maaaring magtagal, magastos, at nangangailangan ng espesyal na legal na kadalubhasaan sa batas ng insurance at civil litigation.
**Mga Alternatibong Avenue:**
* **Komisyon ng Seguro:** Maaari kang magsampa ng reklamo sa Komisyon ng Seguro, ang ahensya ng gobyerno na nagre-regulate ng mga kompanya ng seguro, na nagbibintang ng mga hindi patas na gawi sa pag-aayos ng claim. May awtoridad silang mag-imbestiga at magpataw ng mga parusa sa mga kompanya ng seguro.
* **Pampublikong adbokasiya:** Ang pagpapataas ng kamalayan sa pamamagitan ng media o mga online na platform tungkol sa iyong kaso at ang mas malawak na isyu ng katiwalian sa kompanya ng seguro ay maaaring magpilit sa mga awtoridad at industriya ng seguro na kumilos.
**Legal na Balangkas:**
* **Republic Act No. 10607 (Amended Insurance Code):** Ipinagbabawal ng batas na ito ang mga hindi patas na pamamaraan ng pag-aayos ng claim ng mga kompanya ng insurance at binabalangkas ang mga partikular na regulasyon na dapat nilang sundin.
* **Civil Code of the Philippines:** Ang batas na ito ay nagbibigay ng mga probisyon para sa paglabag sa kontrata, pinsala, at masamang pananampalataya, na maaaring may kaugnayan sa iyong kaso.
* **Konstitusyon ng Pilipinas:** Ang Artikulo III, Seksyon 7 ay ginagarantiyahan ang karapatang makakuha ng impormasyon, na maaaring makatulong sa pangangalap ng ebidensya ng katiwalian.
**Mahahalagang Paalala:**
* Ang impormasyong ito ay para sa pangkalahatang pag-unawa at hindi dapat ituring na legal na payo. Ang pagkonsulta sa isang abogado na may kadalubhasaan sa batas ng insurance ay mahalaga para sa isang detalyadong pagtatasa ng iyong partikular na sitwasyon at mga potensyal na legal na opsyon.
* Ang tagumpay ng anumang legal na aksyon ay lubos na umaasa sa pagpapatunay sa mga partikular na pangyayari ng iyong kaso at ang direktang link ng katiwalian sa pagtanggi sa iyong paghahabol.
* Habang umiiral ang mga legal na paraan, ang proseso ay maaaring maging mahirap at nangangailangan ng maingat na pagsasaalang-alang ng iyong mga mapagkukunan at ang mga potensyal na kumplikadong kasangkot.
Umaasa ako na ang impormasyong ito, batay lamang sa batas ng Pilipinas, RA, at Konstitusyon, ay nakakatulong. Mangyaring ipaalam sa akin kung mayroon kang anumang iba pang mga katanungan.</v>
      </c>
      <c r="F1316" s="2">
        <f t="shared" si="1"/>
        <v>0</v>
      </c>
      <c r="G1316" s="2"/>
      <c r="H1316" s="2"/>
      <c r="I1316" s="2"/>
      <c r="J1316" s="2"/>
      <c r="K1316" s="2"/>
      <c r="L1316" s="2"/>
      <c r="M1316" s="2"/>
      <c r="N1316" s="2"/>
      <c r="O1316" s="2"/>
      <c r="P1316" s="2"/>
      <c r="Q1316" s="2"/>
      <c r="R1316" s="2"/>
      <c r="S1316" s="2"/>
      <c r="T1316" s="2"/>
      <c r="U1316" s="2"/>
      <c r="V1316" s="2"/>
      <c r="W1316" s="2"/>
      <c r="X1316" s="2"/>
      <c r="Y1316" s="2"/>
      <c r="Z1316" s="2"/>
      <c r="AA1316" s="2"/>
    </row>
    <row r="1317">
      <c r="A1317" s="1" t="s">
        <v>3356</v>
      </c>
      <c r="B1317" s="1" t="s">
        <v>3799</v>
      </c>
      <c r="C1317" s="1" t="s">
        <v>3800</v>
      </c>
      <c r="D1317" s="2" t="str">
        <f>IFERROR(__xludf.DUMMYFUNCTION("GOOGLETRANSLATE(B1317, ""en"", ""TL"")"),"Anong papel ang ginagampanan ng mga ahensyang nagpapatupad ng batas sa pagsisiyasat at pag-uusig sa katiwalian sa loob ng industriya ng pangangalagang pangkalusugan?")</f>
        <v>Anong papel ang ginagampanan ng mga ahensyang nagpapatupad ng batas sa pagsisiyasat at pag-uusig sa katiwalian sa loob ng industriya ng pangangalagang pangkalusugan?</v>
      </c>
      <c r="E1317" s="2" t="str">
        <f>IFERROR(__xludf.DUMMYFUNCTION("GOOGLETRANSLATE(C1317, ""en"", ""TL"")"),"Sa Pilipinas, maraming ahensyang nagpapatupad ng batas ang gumaganap ng papel sa pag-iimbestiga at pag-uusig sa katiwalian sa loob ng industriya ng pangangalagang pangkalusugan, bawat isa ay may partikular na pokus at mga responsibilidad batay sa batas ng"&amp;" Pilipinas, RA, at Konstitusyon:
**1. Philippine National Police (PNP):**
* **Malawak na hurisdiksyon:** Pinangangasiwaan ang malawak na hanay ng mga kriminal na pagkakasala, kabilang ang mga posibleng nauugnay sa katiwalian sa pangangalagang pangka"&amp;"lusugan tulad ng panunuhol, pangingikil, at palsipikasyon ng mga dokumento.
* **Anti-Corruption Task Force (ACTF):** Specialized unit sa loob ng PNP na responsable sa pag-iimbestiga at paghuli sa mga indibidwal na sangkot sa malalaking kaso ng katiwalian"&amp;", kabilang ang mga nasa sektor ng pangangalagang pangkalusugan.
* **Mga Limitasyon:** Maaaring walang espesyal na kadalubhasaan sa kumplikadong mga scheme ng katiwalian na nauugnay sa pangangalagang pangkalusugan.
**2. National Bureau of Investigation"&amp;" (NBI):**
* **Tumuon sa mga kumplikadong krimen:** Nag-iimbestiga ng mga kumplikado at mataas na profile na krimen, kadalasang kinasasangkutan ng mga white-collar offense at organisadong krimen, na posibleng may kaugnayan sa masalimuot na mga kaso ng k"&amp;"atiwalian sa pangangalagang pangkalusugan.
* **Dalubhasa:** Nilagyan ng mga dalubhasang investigator at mapagkukunan para sa malalim na pagsisiyasat.
* **Mga Limitasyon:** Maaaring walang nakalaang mga mapagkukunan para lamang sa katiwalian sa pangangal"&amp;"agang pangkalusugan.
**3. Tanggapan ng Ombudsman (Ombudsman):**
* **Tumuon sa mga pampublikong opisyal:** Nag-iimbestiga at nag-uusig ng mga reklamo laban sa mga pampublikong opisyal, kabilang ang mga nagtatrabaho sa mga institusyon ng pangangalagan"&amp;"g pangkalusugan ng pamahalaan, para sa mga pagkakasala tulad ng panunuhol, graft, at malversation ng pampublikong pondo.
* **Mga Reklamo:** Ang mga indibidwal ay maaaring direktang magsampa ng mga reklamo sa Ombudsman kung pinaghihinalaan nila ang katiwa"&amp;"lian na kinasasangkutan ng mga pampublikong opisyal sa loob ng sistema ng pangangalagang pangkalusugan.
* **Mga Limitasyon:** Limitado ang hurisdiksyon sa mga pampublikong opisyal, hindi sa mga pribadong entidad o indibidwal sa pangangalagang pangkalusug"&amp;"an.
**4. Department of Health (DOH):**
* **Katawan ng regulasyon:** Pinangangasiwaan ang sistema ng pangangalagang pangkalusugan at may mga panloob na yunit ng pagsisiyasat upang siyasatin ang potensyal na maling pag-uugali o katiwalian sa loob ng m"&amp;"ga institusyon ng pangangalagang pangkalusugan, pampubliko at pribado.
* **Mga parusang pang-administratibo:** Maaaring magpataw ng mga parusang pang-administratibo tulad ng mga pagsususpinde o pagsasara ng lisensya batay sa kanilang mga pagsisiyasat.
*"&amp;" **Mga Limitasyon:** Ang pangunahing pokus ay sa mga aksyong administratibo, hindi kriminal na pag-uusig.
**5. Commission on Audit (COA):**
* **Ahensiya sa pag-audit:** Nagsasagawa ng mga pag-audit sa mga ahensya at institusyon ng pamahalaan, kabila"&amp;"ng ang mga pasilidad sa pangangalagang pangkalusugan, upang tukuyin at iulat ang potensyal na maling paggamit ng mga pampublikong pondo o mga iregularidad na maaaring magpahiwatig ng katiwalian.
* **Mga Rekomendasyon:** Nagsusumite ng mga ulat sa pag-aud"&amp;"it na may mga rekomendasyon para sa pagwawasto o pag-uusig, ngunit hindi direktang pinangangasiwaan ang mga pagsisiyasat ng kriminal.
**Mga Karagdagang Punto:**
* **Kooperasyon at koordinasyon:** Ang epektibong pagsisiyasat at pag-uusig ay kadalasan"&amp;"g nangangailangan ng pakikipagtulungan sa pagitan ng iba't ibang ahensya depende sa partikular na kaso at kung sino ang nasasangkot.
* **Paglahok ng mamamayan:** Ang pag-uulat ng pinaghihinalaang katiwalian sa mga kaugnay na awtoridad ay napakahalaga par"&amp;"a sa pagsisimula ng mga pagsisiyasat at pagpapanagot sa mga may kasalanan.
* **Legal na balangkas:** Maraming batas at regulasyon ang gumagabay sa gawain ng mga ahensyang ito, kabilang ang Anti-Graft and Corrupt Practices Act (RA 3019), ang Revised Penal"&amp;" Code, at ang Pasyente Bill of Rights (RA 9759).
**Tandaan:** Ang impormasyong ito ay batay lamang sa batas ng Pilipinas, RA, at mga Konstitusyon. Hindi ito bumubuo ng legal na payo, at ang pagkonsulta sa isang abogado na dalubhasa sa batas kriminal o "&amp;"batas sa pangangalagang pangkalusugan ay inirerekomenda para sa karagdagang mga detalye at mga partikular na kaso.
Sana ay nakakatulong ang impormasyong ito. Mangyaring ipaalam sa akin kung mayroon kang anumang iba pang mga katanungan.")</f>
        <v>Sa Pilipinas, maraming ahensyang nagpapatupad ng batas ang gumaganap ng papel sa pag-iimbestiga at pag-uusig sa katiwalian sa loob ng industriya ng pangangalagang pangkalusugan, bawat isa ay may partikular na pokus at mga responsibilidad batay sa batas ng Pilipinas, RA, at Konstitusyon:
**1. Philippine National Police (PNP):**
* **Malawak na hurisdiksyon:** Pinangangasiwaan ang malawak na hanay ng mga kriminal na pagkakasala, kabilang ang mga posibleng nauugnay sa katiwalian sa pangangalagang pangkalusugan tulad ng panunuhol, pangingikil, at palsipikasyon ng mga dokumento.
* **Anti-Corruption Task Force (ACTF):** Specialized unit sa loob ng PNP na responsable sa pag-iimbestiga at paghuli sa mga indibidwal na sangkot sa malalaking kaso ng katiwalian, kabilang ang mga nasa sektor ng pangangalagang pangkalusugan.
* **Mga Limitasyon:** Maaaring walang espesyal na kadalubhasaan sa kumplikadong mga scheme ng katiwalian na nauugnay sa pangangalagang pangkalusugan.
**2. National Bureau of Investigation (NBI):**
* **Tumuon sa mga kumplikadong krimen:** Nag-iimbestiga ng mga kumplikado at mataas na profile na krimen, kadalasang kinasasangkutan ng mga white-collar offense at organisadong krimen, na posibleng may kaugnayan sa masalimuot na mga kaso ng katiwalian sa pangangalagang pangkalusugan.
* **Dalubhasa:** Nilagyan ng mga dalubhasang investigator at mapagkukunan para sa malalim na pagsisiyasat.
* **Mga Limitasyon:** Maaaring walang nakalaang mga mapagkukunan para lamang sa katiwalian sa pangangalagang pangkalusugan.
**3. Tanggapan ng Ombudsman (Ombudsman):**
* **Tumuon sa mga pampublikong opisyal:** Nag-iimbestiga at nag-uusig ng mga reklamo laban sa mga pampublikong opisyal, kabilang ang mga nagtatrabaho sa mga institusyon ng pangangalagang pangkalusugan ng pamahalaan, para sa mga pagkakasala tulad ng panunuhol, graft, at malversation ng pampublikong pondo.
* **Mga Reklamo:** Ang mga indibidwal ay maaaring direktang magsampa ng mga reklamo sa Ombudsman kung pinaghihinalaan nila ang katiwalian na kinasasangkutan ng mga pampublikong opisyal sa loob ng sistema ng pangangalagang pangkalusugan.
* **Mga Limitasyon:** Limitado ang hurisdiksyon sa mga pampublikong opisyal, hindi sa mga pribadong entidad o indibidwal sa pangangalagang pangkalusugan.
**4. Department of Health (DOH):**
* **Katawan ng regulasyon:** Pinangangasiwaan ang sistema ng pangangalagang pangkalusugan at may mga panloob na yunit ng pagsisiyasat upang siyasatin ang potensyal na maling pag-uugali o katiwalian sa loob ng mga institusyon ng pangangalagang pangkalusugan, pampubliko at pribado.
* **Mga parusang pang-administratibo:** Maaaring magpataw ng mga parusang pang-administratibo tulad ng mga pagsususpinde o pagsasara ng lisensya batay sa kanilang mga pagsisiyasat.
* **Mga Limitasyon:** Ang pangunahing pokus ay sa mga aksyong administratibo, hindi kriminal na pag-uusig.
**5. Commission on Audit (COA):**
* **Ahensiya sa pag-audit:** Nagsasagawa ng mga pag-audit sa mga ahensya at institusyon ng pamahalaan, kabilang ang mga pasilidad sa pangangalagang pangkalusugan, upang tukuyin at iulat ang potensyal na maling paggamit ng mga pampublikong pondo o mga iregularidad na maaaring magpahiwatig ng katiwalian.
* **Mga Rekomendasyon:** Nagsusumite ng mga ulat sa pag-audit na may mga rekomendasyon para sa pagwawasto o pag-uusig, ngunit hindi direktang pinangangasiwaan ang mga pagsisiyasat ng kriminal.
**Mga Karagdagang Punto:**
* **Kooperasyon at koordinasyon:** Ang epektibong pagsisiyasat at pag-uusig ay kadalasang nangangailangan ng pakikipagtulungan sa pagitan ng iba't ibang ahensya depende sa partikular na kaso at kung sino ang nasasangkot.
* **Paglahok ng mamamayan:** Ang pag-uulat ng pinaghihinalaang katiwalian sa mga kaugnay na awtoridad ay napakahalaga para sa pagsisimula ng mga pagsisiyasat at pagpapanagot sa mga may kasalanan.
* **Legal na balangkas:** Maraming batas at regulasyon ang gumagabay sa gawain ng mga ahensyang ito, kabilang ang Anti-Graft and Corrupt Practices Act (RA 3019), ang Revised Penal Code, at ang Pasyente Bill of Rights (RA 9759).
**Tandaan:** Ang impormasyong ito ay batay lamang sa batas ng Pilipinas, RA, at mga Konstitusyon. Hindi ito bumubuo ng legal na payo, at ang pagkonsulta sa isang abogado na dalubhasa sa batas kriminal o batas sa pangangalagang pangkalusugan ay inirerekomenda para sa karagdagang mga detalye at mga partikular na kaso.
Sana ay nakakatulong ang impormasyong ito. Mangyaring ipaalam sa akin kung mayroon kang anumang iba pang mga katanungan.</v>
      </c>
      <c r="F1317" s="2">
        <f t="shared" si="1"/>
        <v>0</v>
      </c>
      <c r="G1317" s="2"/>
      <c r="H1317" s="2"/>
      <c r="I1317" s="2"/>
      <c r="J1317" s="2"/>
      <c r="K1317" s="2"/>
      <c r="L1317" s="2"/>
      <c r="M1317" s="2"/>
      <c r="N1317" s="2"/>
      <c r="O1317" s="2"/>
      <c r="P1317" s="2"/>
      <c r="Q1317" s="2"/>
      <c r="R1317" s="2"/>
      <c r="S1317" s="2"/>
      <c r="T1317" s="2"/>
      <c r="U1317" s="2"/>
      <c r="V1317" s="2"/>
      <c r="W1317" s="2"/>
      <c r="X1317" s="2"/>
      <c r="Y1317" s="2"/>
      <c r="Z1317" s="2"/>
      <c r="AA1317" s="2"/>
    </row>
    <row r="1318">
      <c r="A1318" s="1" t="s">
        <v>3356</v>
      </c>
      <c r="B1318" s="1" t="s">
        <v>3801</v>
      </c>
      <c r="C1318" s="1" t="s">
        <v>3802</v>
      </c>
      <c r="D1318" s="2" t="str">
        <f>IFERROR(__xludf.DUMMYFUNCTION("GOOGLETRANSLATE(B1318, ""en"", ""TL"")"),"Maaari bang humingi ng kabayaran ang mga indibidwal para sa mga pinsala o pinsalang dulot ng katiwalian sa kanilang paggamot sa pangangalagang pangkalusugan?")</f>
        <v>Maaari bang humingi ng kabayaran ang mga indibidwal para sa mga pinsala o pinsalang dulot ng katiwalian sa kanilang paggamot sa pangangalagang pangkalusugan?</v>
      </c>
      <c r="E1318" s="2" t="str">
        <f>IFERROR(__xludf.DUMMYFUNCTION("GOOGLETRANSLATE(C1318, ""en"", ""TL"")"),"Oo, ang mga indibidwal sa Pilipinas **ay potensyal na humingi ng kabayaran para sa mga pinsala o pinsalang dulot ng katiwalian sa kanilang pangangalagang pangkalusugan**, ngunit ang landas ay masalimuot at mapaghamong, lubos na umaasa sa mga partikular na"&amp;" batas, RA, at Konstitusyon ng Pilipinas. Narito ang isang breakdown:
**Mga Potensyal na Avenue:**
* **Civil Lawsuit:** Maaari kang magsampa ng kasong sibil para sa mga pinsala laban sa institusyon ng pangangalagang pangkalusugan o mga indibidwal na sangk"&amp;"ot sa katiwalian, na nagsasabing:
* **Paglabag sa kontrata:** Kung mayroong isang partikular na kasunduan na nilabag dahil sa katiwalian, tulad ng pagbabayad para sa isang serbisyong hindi ibinigay dahil sa paglilipat ng mga pondo.
* **Paglabag sa tungkul"&amp;"in ng fiduciary:** Ang mga propesyonal sa pangangalagang pangkalusugan ay may tungkulin na kumilos para sa iyong pinakamahusay na interes, at ang katiwalian ay makikita bilang isang paglabag sa tungkuling iyon.
* **Medical malpractice:** Kung ang pinsala "&amp;"ay direktang nagresulta mula sa kapabayaan o substandard na pangangalaga dahil sa mga salik na nauugnay sa katiwalian.
**Mga Hamon:**
* **Pagpapatunay ng sanhi:** Ang pagpapakita ng **malinaw na sanhi ng link** sa pagitan ng katiwalian at iyong pinsala ay"&amp;" mahalaga. Kailangan mong ipakita ang katiwalian na direktang sanhi ng pinsala, hindi ang iba pang mga salik tulad ng mga diagnostic error o tunay na medikal na panganib.
* **Pagtitipon ng ebidensya:** Ang pangangalap ng **matibay na katibayan** ng pareho"&amp;"ng katiwalian at ang nagresultang pinsala ay mahalaga. Maaaring kabilang dito ang mga medikal na rekord, pakikipag-ugnayan sa mga tagapagbigay ng pangangalagang pangkalusugan, mga opinyon ng eksperto sa pinsala at koneksyon nito sa katiwalian, at dokument"&amp;"asyon ng mga tiwaling gawi.
* **Burden of proof:** Ang **burden of proof** ay nasa iyo upang ipakita ang lahat ng elemento ng iyong claim, kabilang ang katiwalian, epekto nito sa iyong kaso, at ang nagresultang pinsala sa iyong kalusugan.
* **Pagiging kum"&amp;"plikado at mga gastos:** Ang paghahabol ng legal na aksyon ay maaaring **makaubos ng oras, magastos**, at nangangailangan ng espesyal na legal na kadalubhasaan sa batas sa pangangalagang pangkalusugan at sibil na paglilitis.
**Mga Alternatibong Avenue:**
"&amp;"* **Mga reklamong administratibo:** Ang paghahain ng mga reklamo sa **Professional Regulation Commission (PRC)** o mga nauugnay na regulatory body laban sa (mga) sangkot na tagapagbigay ng pangangalagang pangkalusugan ay maaaring hindi humantong sa direkt"&amp;"ang kabayaran ngunit maaaring mag-trigger ng mga pagsisiyasat at mapapanagot ang mga ito.
* **Pampublikong adbokasiya:** Ang pagpapataas ng kamalayan sa pamamagitan ng **media o online na mga platform** tungkol sa iyong kaso at ang mas malawak na isyu ng "&amp;"katiwalian ay maaaring magpilit sa mga awtoridad na kumilos at posibleng humantong sa mga pagbabago sa patakaran.
**Legal na Balangkas:**
* **Konstitusyon ng Pilipinas:** Ginagarantiyahan ng Artikulo III, Seksyon 7 ang **karapatan sa kalusugan** at **kara"&amp;"patan sa impormasyon**, na maaaring gamitin upang suportahan ang mga paghahabol ng pinsalang dulot ng mga tiwaling gawi.
* **Republic Act No. 3019 (Anti-Graft and Corrupt Practices Act):** Kinokriminal ang mga gawain ng mga pampublikong opisyal at empleya"&amp;"do tulad ng panunuhol at pangingikil, na maaaring may kaugnayan kung ang mga propesyonal sa pangangalagang pangkalusugan na sangkot ay mga empleyado ng gobyerno.
* **Republic Act No. 9759 (Patient's Bill of Rights):** Itinatatag ang mga karapatan ng mga p"&amp;"asyente, kabilang ang kaalamang pahintulot at pagiging kumpidensyal, na maaaring labagin dahil sa katiwalian.
**Mahahalagang Paalala:**
* Ang impormasyong ito ay para sa pangkalahatang pag-unawa at hindi dapat ituring na legal na payo. Ang pagkonsulta sa "&amp;"isang abogado na may kadalubhasaan sa batas sa pangangalagang pangkalusugan ay mahalaga para sa isang detalyadong pagtatasa ng iyong partikular na sitwasyon at mga potensyal na legal na opsyon.
* Ang tagumpay ng anumang legal na aksyon ay lubos na umaasa "&amp;"sa **pagpapatunay sa mga partikular na pangyayari** ng iyong kaso at ang direktang link ng katiwalian sa iyong pinsala.
* Habang umiiral ang mga legal na paraan, ang proseso ay maaaring maging mahirap at nangangailangan ng maingat na pagsasaalang-alang ng"&amp;" iyong mga mapagkukunan at ang mga potensyal na kumplikadong kasangkot.
Umaasa ako na ang impormasyong ito, batay lamang sa batas ng Pilipinas, RA, at Konstitusyon, ay nakakatulong. Mangyaring ipaalam sa akin kung mayroon kang anumang iba pang mga katanun"&amp;"gan.")</f>
        <v>Oo, ang mga indibidwal sa Pilipinas **ay potensyal na humingi ng kabayaran para sa mga pinsala o pinsalang dulot ng katiwalian sa kanilang pangangalagang pangkalusugan**, ngunit ang landas ay masalimuot at mapaghamong, lubos na umaasa sa mga partikular na batas, RA, at Konstitusyon ng Pilipinas. Narito ang isang breakdown:
**Mga Potensyal na Avenue:**
* **Civil Lawsuit:** Maaari kang magsampa ng kasong sibil para sa mga pinsala laban sa institusyon ng pangangalagang pangkalusugan o mga indibidwal na sangkot sa katiwalian, na nagsasabing:
* **Paglabag sa kontrata:** Kung mayroong isang partikular na kasunduan na nilabag dahil sa katiwalian, tulad ng pagbabayad para sa isang serbisyong hindi ibinigay dahil sa paglilipat ng mga pondo.
* **Paglabag sa tungkulin ng fiduciary:** Ang mga propesyonal sa pangangalagang pangkalusugan ay may tungkulin na kumilos para sa iyong pinakamahusay na interes, at ang katiwalian ay makikita bilang isang paglabag sa tungkuling iyon.
* **Medical malpractice:** Kung ang pinsala ay direktang nagresulta mula sa kapabayaan o substandard na pangangalaga dahil sa mga salik na nauugnay sa katiwalian.
**Mga Hamon:**
* **Pagpapatunay ng sanhi:** Ang pagpapakita ng **malinaw na sanhi ng link** sa pagitan ng katiwalian at iyong pinsala ay mahalaga. Kailangan mong ipakita ang katiwalian na direktang sanhi ng pinsala, hindi ang iba pang mga salik tulad ng mga diagnostic error o tunay na medikal na panganib.
* **Pagtitipon ng ebidensya:** Ang pangangalap ng **matibay na katibayan** ng parehong katiwalian at ang nagresultang pinsala ay mahalaga. Maaaring kabilang dito ang mga medikal na rekord, pakikipag-ugnayan sa mga tagapagbigay ng pangangalagang pangkalusugan, mga opinyon ng eksperto sa pinsala at koneksyon nito sa katiwalian, at dokumentasyon ng mga tiwaling gawi.
* **Burden of proof:** Ang **burden of proof** ay nasa iyo upang ipakita ang lahat ng elemento ng iyong claim, kabilang ang katiwalian, epekto nito sa iyong kaso, at ang nagresultang pinsala sa iyong kalusugan.
* **Pagiging kumplikado at mga gastos:** Ang paghahabol ng legal na aksyon ay maaaring **makaubos ng oras, magastos**, at nangangailangan ng espesyal na legal na kadalubhasaan sa batas sa pangangalagang pangkalusugan at sibil na paglilitis.
**Mga Alternatibong Avenue:**
* **Mga reklamong administratibo:** Ang paghahain ng mga reklamo sa **Professional Regulation Commission (PRC)** o mga nauugnay na regulatory body laban sa (mga) sangkot na tagapagbigay ng pangangalagang pangkalusugan ay maaaring hindi humantong sa direktang kabayaran ngunit maaaring mag-trigger ng mga pagsisiyasat at mapapanagot ang mga ito.
* **Pampublikong adbokasiya:** Ang pagpapataas ng kamalayan sa pamamagitan ng **media o online na mga platform** tungkol sa iyong kaso at ang mas malawak na isyu ng katiwalian ay maaaring magpilit sa mga awtoridad na kumilos at posibleng humantong sa mga pagbabago sa patakaran.
**Legal na Balangkas:**
* **Konstitusyon ng Pilipinas:** Ginagarantiyahan ng Artikulo III, Seksyon 7 ang **karapatan sa kalusugan** at **karapatan sa impormasyon**, na maaaring gamitin upang suportahan ang mga paghahabol ng pinsalang dulot ng mga tiwaling gawi.
* **Republic Act No. 3019 (Anti-Graft and Corrupt Practices Act):** Kinokriminal ang mga gawain ng mga pampublikong opisyal at empleyado tulad ng panunuhol at pangingikil, na maaaring may kaugnayan kung ang mga propesyonal sa pangangalagang pangkalusugan na sangkot ay mga empleyado ng gobyerno.
* **Republic Act No. 9759 (Patient's Bill of Rights):** Itinatatag ang mga karapatan ng mga pasyente, kabilang ang kaalamang pahintulot at pagiging kumpidensyal, na maaaring labagin dahil sa katiwalian.
**Mahahalagang Paalala:**
* Ang impormasyong ito ay para sa pangkalahatang pag-unawa at hindi dapat ituring na legal na payo. Ang pagkonsulta sa isang abogado na may kadalubhasaan sa batas sa pangangalagang pangkalusugan ay mahalaga para sa isang detalyadong pagtatasa ng iyong partikular na sitwasyon at mga potensyal na legal na opsyon.
* Ang tagumpay ng anumang legal na aksyon ay lubos na umaasa sa **pagpapatunay sa mga partikular na pangyayari** ng iyong kaso at ang direktang link ng katiwalian sa iyong pinsala.
* Habang umiiral ang mga legal na paraan, ang proseso ay maaaring maging mahirap at nangangailangan ng maingat na pagsasaalang-alang ng iyong mga mapagkukunan at ang mga potensyal na kumplikadong kasangkot.
Umaasa ako na ang impormasyong ito, batay lamang sa batas ng Pilipinas, RA, at Konstitusyon, ay nakakatulong. Mangyaring ipaalam sa akin kung mayroon kang anumang iba pang mga katanungan.</v>
      </c>
      <c r="F1318" s="2">
        <f t="shared" si="1"/>
        <v>0</v>
      </c>
      <c r="G1318" s="2"/>
      <c r="H1318" s="2"/>
      <c r="I1318" s="2"/>
      <c r="J1318" s="2"/>
      <c r="K1318" s="2"/>
      <c r="L1318" s="2"/>
      <c r="M1318" s="2"/>
      <c r="N1318" s="2"/>
      <c r="O1318" s="2"/>
      <c r="P1318" s="2"/>
      <c r="Q1318" s="2"/>
      <c r="R1318" s="2"/>
      <c r="S1318" s="2"/>
      <c r="T1318" s="2"/>
      <c r="U1318" s="2"/>
      <c r="V1318" s="2"/>
      <c r="W1318" s="2"/>
      <c r="X1318" s="2"/>
      <c r="Y1318" s="2"/>
      <c r="Z1318" s="2"/>
      <c r="AA1318" s="2"/>
    </row>
    <row r="1319">
      <c r="A1319" s="1" t="s">
        <v>3356</v>
      </c>
      <c r="B1319" s="1" t="s">
        <v>3803</v>
      </c>
      <c r="C1319" s="1" t="s">
        <v>3804</v>
      </c>
      <c r="D1319" s="2" t="str">
        <f>IFERROR(__xludf.DUMMYFUNCTION("GOOGLETRANSLATE(B1319, ""en"", ""TL"")"),"Paano matitiyak ng mga pasyente na ang kanilang mga medikal na desisyon ay hindi naiimpluwensyahan ng mga tiwaling gawi sa loob ng sistema ng pangangalagang pangkalusugan?")</f>
        <v>Paano matitiyak ng mga pasyente na ang kanilang mga medikal na desisyon ay hindi naiimpluwensyahan ng mga tiwaling gawi sa loob ng sistema ng pangangalagang pangkalusugan?</v>
      </c>
      <c r="E1319" s="2" t="str">
        <f>IFERROR(__xludf.DUMMYFUNCTION("GOOGLETRANSLATE(C1319, ""en"", ""TL"")"),"## Pagtitiyak ng Autonomy sa Desisyon ng Medikal sa isang Tiwaling Sistema ng Pangangalagang Pangkalusugan (Batas ng Pilipinas, RA, at mga Konstitusyon):
Bagama't imposibleng ganap na maalis ang panganib ng katiwalian, narito ang ilang hakbang na maaaring"&amp;" gawin ng mga pasyente upang matiyak na ang kanilang mga desisyong medikal ay hindi naiimpluwensyahan ng mga tiwaling gawain sa Pilipinas, batay sa batas ng Pilipinas, RA, at Konstitusyon:
**Bago gumawa ng desisyon:**
* **Informed consent:** **Laging lubu"&amp;"sang unawain** ang mga medikal na pamamaraan, panganib, at benepisyong ipinakita ng mga propesyonal sa pangangalagang pangkalusugan. **Magtanong at linawin ang anumang mga pagdududa.** Huwag mapilitan sa paggawa ng desisyon na hindi mo lubos na nauunawaan"&amp;".
* **Humingi ng pangalawang opinyon:** Isaalang-alang ang paghingi ng mga opinyon mula sa iba pang mga kwalipikadong propesyonal sa pangangalagang pangkalusugan, lalo na kung mayroon kang mga alalahanin tungkol sa iminungkahing paggamot o kung ang gastos"&amp;" ay tila labis.
* **Transparency at dokumentasyon:** Humiling ng mga nakasulat na paliwanag para sa mga diagnosis, mga plano sa paggamot, at mga gastos. Panatilihin ang mga kopya ng lahat ng mga medikal na rekord at mga resibo.
* **Magkaroon ng kamalayan "&amp;"sa mga pulang bandila:** Maging maingat sa mga propesyonal sa pangangalagang pangkalusugan na:
* Ipilit ka sa mga hindi kinakailangang pagsusuri, pamamaraan, o gamot.
* Nag-aalok ng mga insentibo tulad ng mga libreng konsultasyon o mga diskwento kapalit n"&amp;"g mga partikular na paggamot.
* Iwasang direktang sagutin ang iyong mga tanong o mukhang umiiwas tungkol sa mga gastos.
**Pagprotekta sa iyong mga karapatan:**
* **Patient's Bill of Rights (RA 9759):** Alamin ang iyong mga karapatan bilang pasyente sa ila"&amp;"lim ng batas na ito. May karapatan kang:
* May kaalamang pahintulot
* Pagiging kumpidensyal ng mga medikal na rekord
* Piliin ang iyong tagapagbigay ng pangangalagang pangkalusugan
* Tumanggi sa paggamot
* Maghain ng mga reklamo
* **Maghain ng mga reklamo"&amp;":** Kung pinaghihinalaan mo ang katiwalian, iulat ito sa mga naaangkop na awtoridad, gaya ng:
* Ang Professional Regulation Commission (PRC) para sa mga alalahanin tungkol sa pag-uugali ng healthcare professional.
* Ang Department of Health (DOH) para sa "&amp;"mga alalahanin tungkol sa mga gawi ng institusyong pangangalaga sa kalusugan.
* Ang Opisina ng Ombudsman para sa mga reklamo laban sa mga pampublikong opisyal na sangkot sa katiwalian.
* **Pampublikong adbokasiya:** Sumali o sumuporta sa mga pangkat ng ad"&amp;"bokasiya ng pasyente na nagpapataas ng kamalayan tungkol sa katiwalian at nagtataguyod para sa mga sistematikong pagbabago.
**Mga karagdagang puntos:**
* **Manatiling may kaalaman:** Panatilihing updated ang iyong sarili sa mga hakbangin at reporma ng pam"&amp;"ahalaan na naglalayong tugunan ang katiwalian sa pangangalagang pangkalusugan.
* **Bumuo ng tiwala sa iyong tagapagbigay ng pangangalagang pangkalusugan:** Pumili ng isang propesyonal sa pangangalagang pangkalusugan na pinagkakatiwalaan mo at kumportable "&amp;"kang makipag-usap nang hayagan.
* **Pagpapalakas sa pamamagitan ng kaalaman:** Kung ikaw ay mas matalino at may kamalayan, mas mahusay kang nasasangkapan upang matukoy at matugunan ang mga potensyal na alalahanin.
**Tandaan:**
* Habang ang pag-navigate sa"&amp;" isang posibleng tiwaling sistema ay maaaring maging mahirap, ang paggigiit ng iyong mga karapatan at paghingi ng suporta ay mahalaga para sa pagprotekta sa iyong awtonomiya at pagtiyak ng etikal na pangangalagang medikal.
* Ang impormasyong ito ay hindi "&amp;"dapat ituring na legal na payo. Ang pagkonsulta sa isang abogado na dalubhasa sa batas sa pangangalagang pangkalusugan ay maaaring magbigay ng partikular na patnubay at suporta batay sa iyong indibidwal na sitwasyon.
Umaasa ako na ang impormasyong ito, ba"&amp;"tay lamang sa batas ng Pilipinas, RA, at Konstitusyon, ay nakakatulong. Mangyaring ipaalam sa akin kung mayroon kang anumang iba pang mga katanungan.")</f>
        <v>## Pagtitiyak ng Autonomy sa Desisyon ng Medikal sa isang Tiwaling Sistema ng Pangangalagang Pangkalusugan (Batas ng Pilipinas, RA, at mga Konstitusyon):
Bagama't imposibleng ganap na maalis ang panganib ng katiwalian, narito ang ilang hakbang na maaaring gawin ng mga pasyente upang matiyak na ang kanilang mga desisyong medikal ay hindi naiimpluwensyahan ng mga tiwaling gawain sa Pilipinas, batay sa batas ng Pilipinas, RA, at Konstitusyon:
**Bago gumawa ng desisyon:**
* **Informed consent:** **Laging lubusang unawain** ang mga medikal na pamamaraan, panganib, at benepisyong ipinakita ng mga propesyonal sa pangangalagang pangkalusugan. **Magtanong at linawin ang anumang mga pagdududa.** Huwag mapilitan sa paggawa ng desisyon na hindi mo lubos na nauunawaan.
* **Humingi ng pangalawang opinyon:** Isaalang-alang ang paghingi ng mga opinyon mula sa iba pang mga kwalipikadong propesyonal sa pangangalagang pangkalusugan, lalo na kung mayroon kang mga alalahanin tungkol sa iminungkahing paggamot o kung ang gastos ay tila labis.
* **Transparency at dokumentasyon:** Humiling ng mga nakasulat na paliwanag para sa mga diagnosis, mga plano sa paggamot, at mga gastos. Panatilihin ang mga kopya ng lahat ng mga medikal na rekord at mga resibo.
* **Magkaroon ng kamalayan sa mga pulang bandila:** Maging maingat sa mga propesyonal sa pangangalagang pangkalusugan na:
* Ipilit ka sa mga hindi kinakailangang pagsusuri, pamamaraan, o gamot.
* Nag-aalok ng mga insentibo tulad ng mga libreng konsultasyon o mga diskwento kapalit ng mga partikular na paggamot.
* Iwasang direktang sagutin ang iyong mga tanong o mukhang umiiwas tungkol sa mga gastos.
**Pagprotekta sa iyong mga karapatan:**
* **Patient's Bill of Rights (RA 9759):** Alamin ang iyong mga karapatan bilang pasyente sa ilalim ng batas na ito. May karapatan kang:
* May kaalamang pahintulot
* Pagiging kumpidensyal ng mga medikal na rekord
* Piliin ang iyong tagapagbigay ng pangangalagang pangkalusugan
* Tumanggi sa paggamot
* Maghain ng mga reklamo
* **Maghain ng mga reklamo:** Kung pinaghihinalaan mo ang katiwalian, iulat ito sa mga naaangkop na awtoridad, gaya ng:
* Ang Professional Regulation Commission (PRC) para sa mga alalahanin tungkol sa pag-uugali ng healthcare professional.
* Ang Department of Health (DOH) para sa mga alalahanin tungkol sa mga gawi ng institusyong pangangalaga sa kalusugan.
* Ang Opisina ng Ombudsman para sa mga reklamo laban sa mga pampublikong opisyal na sangkot sa katiwalian.
* **Pampublikong adbokasiya:** Sumali o sumuporta sa mga pangkat ng adbokasiya ng pasyente na nagpapataas ng kamalayan tungkol sa katiwalian at nagtataguyod para sa mga sistematikong pagbabago.
**Mga karagdagang puntos:**
* **Manatiling may kaalaman:** Panatilihing updated ang iyong sarili sa mga hakbangin at reporma ng pamahalaan na naglalayong tugunan ang katiwalian sa pangangalagang pangkalusugan.
* **Bumuo ng tiwala sa iyong tagapagbigay ng pangangalagang pangkalusugan:** Pumili ng isang propesyonal sa pangangalagang pangkalusugan na pinagkakatiwalaan mo at kumportable kang makipag-usap nang hayagan.
* **Pagpapalakas sa pamamagitan ng kaalaman:** Kung ikaw ay mas matalino at may kamalayan, mas mahusay kang nasasangkapan upang matukoy at matugunan ang mga potensyal na alalahanin.
**Tandaan:**
* Habang ang pag-navigate sa isang posibleng tiwaling sistema ay maaaring maging mahirap, ang paggigiit ng iyong mga karapatan at paghingi ng suporta ay mahalaga para sa pagprotekta sa iyong awtonomiya at pagtiyak ng etikal na pangangalagang medikal.
* Ang impormasyong ito ay hindi dapat ituring na legal na payo. Ang pagkonsulta sa isang abogado na dalubhasa sa batas sa pangangalagang pangkalusugan ay maaaring magbigay ng partikular na patnubay at suporta batay sa iyong indibidwal na sitwasyon.
Umaasa ako na ang impormasyong ito, batay lamang sa batas ng Pilipinas, RA, at Konstitusyon, ay nakakatulong. Mangyaring ipaalam sa akin kung mayroon kang anumang iba pang mga katanungan.</v>
      </c>
      <c r="F1319" s="2">
        <f t="shared" si="1"/>
        <v>0</v>
      </c>
      <c r="G1319" s="2"/>
      <c r="H1319" s="2"/>
      <c r="I1319" s="2"/>
      <c r="J1319" s="2"/>
      <c r="K1319" s="2"/>
      <c r="L1319" s="2"/>
      <c r="M1319" s="2"/>
      <c r="N1319" s="2"/>
      <c r="O1319" s="2"/>
      <c r="P1319" s="2"/>
      <c r="Q1319" s="2"/>
      <c r="R1319" s="2"/>
      <c r="S1319" s="2"/>
      <c r="T1319" s="2"/>
      <c r="U1319" s="2"/>
      <c r="V1319" s="2"/>
      <c r="W1319" s="2"/>
      <c r="X1319" s="2"/>
      <c r="Y1319" s="2"/>
      <c r="Z1319" s="2"/>
      <c r="AA1319" s="2"/>
    </row>
    <row r="1320">
      <c r="A1320" s="1" t="s">
        <v>3356</v>
      </c>
      <c r="B1320" s="1" t="s">
        <v>3805</v>
      </c>
      <c r="C1320" s="1" t="s">
        <v>3806</v>
      </c>
      <c r="D1320" s="2" t="str">
        <f>IFERROR(__xludf.DUMMYFUNCTION("GOOGLETRANSLATE(B1320, ""en"", ""TL"")"),"Maaari bang ituloy ng mga indibidwal ang mga kasong kriminal laban sa mga propesyonal sa pangangalagang pangkalusugan o mga institusyong sangkot sa mga tiwaling aktibidad?")</f>
        <v>Maaari bang ituloy ng mga indibidwal ang mga kasong kriminal laban sa mga propesyonal sa pangangalagang pangkalusugan o mga institusyong sangkot sa mga tiwaling aktibidad?</v>
      </c>
      <c r="E1320" s="2" t="str">
        <f>IFERROR(__xludf.DUMMYFUNCTION("GOOGLETRANSLATE(C1320, ""en"", ""TL"")"),"Oo, ang mga indibiduwal **ay posibleng maghabol ng mga kasong kriminal laban sa mga propesyonal sa pangangalagang pangkalusugan o mga institusyong sangkot sa mga tiwaling aktibidad** sa ilalim ng batas ng Pilipinas, RA, at mga Konstitusyon. Gayunpaman, an"&amp;"g tagumpay ay nakasalalay sa ilang mga kadahilanan at ang tiyak na katangian ng katiwalian:
**Potensyal na Singilin:**
* **Anti-Graft and Corrupt Practices Act (RA 3019):** Kinokriminal ang mga gawain ng mga pampublikong opisyal at empleyado tulad n"&amp;"g panunuhol, pangingikil, at palsipikasyon ng mga dokumento. Kung ang mga propesyonal sa pangangalagang pangkalusugan na kasangkot ay mga empleyado ng gobyerno, maaaring naaangkop ang batas na ito.
* **Revised Penal Code (RPC):** Sinasaklaw ang mga pangk"&amp;"alahatang kriminal na pagkakasala tulad ng pagnanakaw, pandaraya, at estafa, na maaaring naaangkop sa ilang kaso ng katiwalian na kinasasangkutan ng mga pribadong institusyon ng pangangalagang pangkalusugan o indibidwal.
* **Ibang Kaugnay na Batas:** Dep"&amp;"ende sa partikular na pagkilos ng katiwalian, maaaring may kaugnayan ang ibang mga batas tulad ng Dangerous Drugs Act o Code of Medical Ethics.
**Mga Hamon:**
* **Pagpapatunay sa krimen:** Ang pasanin ng patunay ay nakasalalay sa indibidwal upang ip"&amp;"akita ang pagkilos ng katiwalian nang walang makatwirang pagdududa. Ito ay maaaring maging hamon, lalo na kung ang katiwalian ay nagsasangkot ng mga kumplikadong pakana o kakulangan ng konkretong ebidensya.
* **Dahilan:** Ang direktang pag-uugnay ng pins"&amp;"ala ng indibidwal sa tiwaling gawa ay mahalaga. Hindi sapat na patunayan ang katiwalian; kailangan mong ipakita ito nang direkta na nagdulot sa iyo ng pinsala.
* **Legal na kadalubhasaan:** Ang paghabol sa mga kasong kriminal ay nangangailangan ng dalubh"&amp;"asang legal na kadalubhasaan sa batas kriminal at batas sa pangangalagang pangkalusugan.
* **Mga gastos at tagal:** Ang paglilitis ay maaaring magastos at matagal.
**Mga Alternatibong Avenue:**
* **Mga reklamong pang-administratibo:** Ang paghahain"&amp;" ng mga reklamo sa mga regulatory body tulad ng Professional Regulation Commission (PRC) o Department of Health (DOH) ay maaaring humantong sa mga aksyong pandisiplina laban sa mga propesyonal sa pangangalagang pangkalusugan, kahit na hindi direktang nagr"&amp;"eresulta sa mga kasong kriminal.
* **Mga sibil na demanda:** Maaari kang magsampa ng kasong sibil para sa mga pinsala laban sa institusyon ng pangangalagang pangkalusugan o mga indibidwal na kasangkot, na nagpaparatang ng paglabag sa kontrata, paglabag s"&amp;"a tungkulin ng fiduciary, o malpractice sa medikal.
* **Pampublikong adbokasiya:** Ang pagpapataas ng kamalayan sa pamamagitan ng media o mga online na platform tungkol sa isyu ay maaaring magpilit sa mga awtoridad na kumilos at posibleng humantong sa mg"&amp;"a pagbabago sa patakaran.
**Mahahalagang Paalala:**
* Ang impormasyong ito ay para sa pangkalahatang pag-unawa at hindi dapat ituring na legal na payo. Ang pagkonsulta sa isang abogado na may kadalubhasaan sa batas ng kriminal at batas sa pangangala"&amp;"gang pangkalusugan ay mahalaga para sa isang detalyadong pagtatasa ng iyong partikular na sitwasyon at mga potensyal na legal na opsyon.
* Ang gobyerno ng Pilipinas ay nagpapatupad ng mga reporma upang matugunan ang katiwalian sa sistema ng pangangalagan"&amp;"g pangkalusugan, at ang mga legal na paraan ay maaaring umunlad sa hinaharap.
Umaasa ako na ang impormasyong ito, batay lamang sa batas ng Pilipinas, RA, at Konstitusyon, ay nakakatulong. Mangyaring ipaalam sa akin kung mayroon kang anumang iba pang mg"&amp;"a katanungan.")</f>
        <v>Oo, ang mga indibiduwal **ay posibleng maghabol ng mga kasong kriminal laban sa mga propesyonal sa pangangalagang pangkalusugan o mga institusyong sangkot sa mga tiwaling aktibidad** sa ilalim ng batas ng Pilipinas, RA, at mga Konstitusyon. Gayunpaman, ang tagumpay ay nakasalalay sa ilang mga kadahilanan at ang tiyak na katangian ng katiwalian:
**Potensyal na Singilin:**
* **Anti-Graft and Corrupt Practices Act (RA 3019):** Kinokriminal ang mga gawain ng mga pampublikong opisyal at empleyado tulad ng panunuhol, pangingikil, at palsipikasyon ng mga dokumento. Kung ang mga propesyonal sa pangangalagang pangkalusugan na kasangkot ay mga empleyado ng gobyerno, maaaring naaangkop ang batas na ito.
* **Revised Penal Code (RPC):** Sinasaklaw ang mga pangkalahatang kriminal na pagkakasala tulad ng pagnanakaw, pandaraya, at estafa, na maaaring naaangkop sa ilang kaso ng katiwalian na kinasasangkutan ng mga pribadong institusyon ng pangangalagang pangkalusugan o indibidwal.
* **Ibang Kaugnay na Batas:** Depende sa partikular na pagkilos ng katiwalian, maaaring may kaugnayan ang ibang mga batas tulad ng Dangerous Drugs Act o Code of Medical Ethics.
**Mga Hamon:**
* **Pagpapatunay sa krimen:** Ang pasanin ng patunay ay nakasalalay sa indibidwal upang ipakita ang pagkilos ng katiwalian nang walang makatwirang pagdududa. Ito ay maaaring maging hamon, lalo na kung ang katiwalian ay nagsasangkot ng mga kumplikadong pakana o kakulangan ng konkretong ebidensya.
* **Dahilan:** Ang direktang pag-uugnay ng pinsala ng indibidwal sa tiwaling gawa ay mahalaga. Hindi sapat na patunayan ang katiwalian; kailangan mong ipakita ito nang direkta na nagdulot sa iyo ng pinsala.
* **Legal na kadalubhasaan:** Ang paghabol sa mga kasong kriminal ay nangangailangan ng dalubhasang legal na kadalubhasaan sa batas kriminal at batas sa pangangalagang pangkalusugan.
* **Mga gastos at tagal:** Ang paglilitis ay maaaring magastos at matagal.
**Mga Alternatibong Avenue:**
* **Mga reklamong pang-administratibo:** Ang paghahain ng mga reklamo sa mga regulatory body tulad ng Professional Regulation Commission (PRC) o Department of Health (DOH) ay maaaring humantong sa mga aksyong pandisiplina laban sa mga propesyonal sa pangangalagang pangkalusugan, kahit na hindi direktang nagreresulta sa mga kasong kriminal.
* **Mga sibil na demanda:** Maaari kang magsampa ng kasong sibil para sa mga pinsala laban sa institusyon ng pangangalagang pangkalusugan o mga indibidwal na kasangkot, na nagpaparatang ng paglabag sa kontrata, paglabag sa tungkulin ng fiduciary, o malpractice sa medikal.
* **Pampublikong adbokasiya:** Ang pagpapataas ng kamalayan sa pamamagitan ng media o mga online na platform tungkol sa isyu ay maaaring magpilit sa mga awtoridad na kumilos at posibleng humantong sa mga pagbabago sa patakaran.
**Mahahalagang Paalala:**
* Ang impormasyong ito ay para sa pangkalahatang pag-unawa at hindi dapat ituring na legal na payo. Ang pagkonsulta sa isang abogado na may kadalubhasaan sa batas ng kriminal at batas sa pangangalagang pangkalusugan ay mahalaga para sa isang detalyadong pagtatasa ng iyong partikular na sitwasyon at mga potensyal na legal na opsyon.
* Ang gobyerno ng Pilipinas ay nagpapatupad ng mga reporma upang matugunan ang katiwalian sa sistema ng pangangalagang pangkalusugan, at ang mga legal na paraan ay maaaring umunlad sa hinaharap.
Umaasa ako na ang impormasyong ito, batay lamang sa batas ng Pilipinas, RA, at Konstitusyon, ay nakakatulong. Mangyaring ipaalam sa akin kung mayroon kang anumang iba pang mga katanungan.</v>
      </c>
      <c r="F1320" s="2">
        <f t="shared" si="1"/>
        <v>0</v>
      </c>
      <c r="G1320" s="2"/>
      <c r="H1320" s="2"/>
      <c r="I1320" s="2"/>
      <c r="J1320" s="2"/>
      <c r="K1320" s="2"/>
      <c r="L1320" s="2"/>
      <c r="M1320" s="2"/>
      <c r="N1320" s="2"/>
      <c r="O1320" s="2"/>
      <c r="P1320" s="2"/>
      <c r="Q1320" s="2"/>
      <c r="R1320" s="2"/>
      <c r="S1320" s="2"/>
      <c r="T1320" s="2"/>
      <c r="U1320" s="2"/>
      <c r="V1320" s="2"/>
      <c r="W1320" s="2"/>
      <c r="X1320" s="2"/>
      <c r="Y1320" s="2"/>
      <c r="Z1320" s="2"/>
      <c r="AA1320" s="2"/>
    </row>
    <row r="1321">
      <c r="A1321" s="1" t="s">
        <v>3356</v>
      </c>
      <c r="B1321" s="1" t="s">
        <v>3807</v>
      </c>
      <c r="C1321" s="1" t="s">
        <v>3808</v>
      </c>
      <c r="D1321" s="2" t="str">
        <f>IFERROR(__xludf.DUMMYFUNCTION("GOOGLETRANSLATE(B1321, ""en"", ""TL"")"),"Paano naaapektuhan ng katiwalian sa sistema ng pangangalagang pangkalusugan ang tiwala at tiwala ng publiko sa propesyon ng medikal?")</f>
        <v>Paano naaapektuhan ng katiwalian sa sistema ng pangangalagang pangkalusugan ang tiwala at tiwala ng publiko sa propesyon ng medikal?</v>
      </c>
      <c r="E1321" s="2" t="str">
        <f>IFERROR(__xludf.DUMMYFUNCTION("GOOGLETRANSLATE(C1321, ""en"", ""TL"")"),"## Epekto ng Korapsyon sa Pangangalagang Pangkalusugan sa Pagtitiwala ng Publiko sa Propesyon ng Medikal (Batas ng Pilipinas, RA, at mga Konstitusyon)
Ang katiwalian sa sistema ng pangangalagang pangkalusugan **makabuluhang sumisira sa tiwala at tiwala ng"&amp;" publiko sa propesyon ng medisina** sa Pilipinas, batay sa batas ng Pilipinas, RA, at Konstitusyon. Ganito:
**1. Pagguho ng Etikal na Prinsipyo:**
* **Lumabag sa propesyonal na etika:** Ang mga tiwaling gawi ay lumalabag sa mga propesyonal na code ng pag-"&amp;"uugali, panunumpa, at mga prinsipyong etikal tulad ng katapatan, integridad, at kapakanan ng pasyente.
* **Nakikita ng publiko ang mga propesyonal sa pangangalagang pangkalusugan bilang hindi mapagkakatiwalaan:** Sinisira nito ang reputasyon ng buong prop"&amp;"esyon, na humahantong sa pag-aalinlangan at kawalan ng tiwala sa lahat ng mga medikal na practitioner.
**2. Hindi pagkakapantay-pantay at Kawalang-katarungan:**
* **Pinapaboran ng katiwalian ang mayayaman at konektado:** Ang hindi pantay na pag-access sa "&amp;"pangangalagang pangkalusugan dahil sa panunuhol, pangingikil, o paglilipat ng mga mapagkukunan ay lumilikha ng isang pakiramdam ng kawalan ng katarungan at sumisira sa prinsipyo ng pagiging patas.
* **Nawalan ng tiwala ang publiko sa kakayahan ng sistema "&amp;"ng pangangalagang pangkalusugan na magbigay ng pantay na pangangalaga:** Maaari nitong pigilan ang mga indibidwal na humingi ng kinakailangang medikal na atensyon, kahit na available.
**3. Nabawasan ang Kalidad ng Pangangalaga:**
* **Maling alokasyon ng m"&amp;"ga pondo at mapagkukunan:** Ang katiwalian ay maaaring humantong sa mga kakulangan ng mahahalagang kagamitan, mga gamot, at mga kwalipikadong tauhan, na nakompromiso ang kalidad ng pangangalaga na natatanggap ng mga pasyente.
* **Nakikita ng publiko ang n"&amp;"akompromisong pangangalaga at potensyal na pinsala:** Pinasisigla nito ang kawalan ng tiwala at takot na makatanggap ng substandard o hindi ligtas na paggamot dahil sa mga tiwaling gawi.
**4. Kakulangan ng Pananagutan at Transparency:**
* **Pagtakpan at k"&amp;"awalan ng parusa:** Ang katiwalian ay madalas na umuunlad sa mga kapaligirang walang transparency at pananagutan. Pinapalakas nito ang pananaw ng publiko na ang mga tiwaling gawi ay hindi napaparusahan, na lalong nakakasira ng tiwala.
* **Nararamdaman ng "&amp;"publiko na walang kapangyarihan at walang boses:** Ang kawalan ng mga epektibong mekanismo para sa pag-uulat at pagtugon sa katiwalian ay nagpapahina sa pananampalataya ng publiko sa kakayahan ng system na itama ang sarili.
**5. Mga Paglabag sa Legal at K"&amp;"onstitusyon:**
* **Ang katiwalian ay lumalabag sa iba't ibang batas ng Pilipinas at mga prinsipyo ng konstitusyon:** Kabilang dito ang Anti-Graft and Corrupt Practices Act (RA 3019), ang Code of Medical Ethics, at ang karapatan sa kalusugan.
* **Nararamda"&amp;"man ng publiko na hindi protektahan ng sistema ng hustisya ang kanilang mga karapatan:** Pinasisigla nito ang pangungutya at sinisira ang tiwala sa gobyerno at mga legal na institusyon na responsable sa pagtataguyod ng etikal na pag-uugali.
**Sa pangkalah"&amp;"atan, ang katiwalian sa sistema ng pangangalagang pangkalusugan ay lumilikha ng isang mabagsik na siklo ng kawalan ng tiwala, na nakakaapekto sa indibidwal na relasyon ng pasyente-doktor, ang reputasyon ng buong medikal na propesyon, at tiwala ng publiko "&amp;"sa sistema ng pangangalagang pangkalusugan sa kabuuan.**
**Tandaan:** Ang impormasyong ito ay batay lamang sa batas ng Pilipinas, RA, at mga Konstitusyon. Hindi ito bumubuo ng legal na payo, at ang pagkonsulta sa isang legal na propesyonal para sa karagda"&amp;"gang mga detalye at mga partikular na kaso ay inirerekomenda.")</f>
        <v>## Epekto ng Korapsyon sa Pangangalagang Pangkalusugan sa Pagtitiwala ng Publiko sa Propesyon ng Medikal (Batas ng Pilipinas, RA, at mga Konstitusyon)
Ang katiwalian sa sistema ng pangangalagang pangkalusugan **makabuluhang sumisira sa tiwala at tiwala ng publiko sa propesyon ng medisina** sa Pilipinas, batay sa batas ng Pilipinas, RA, at Konstitusyon. Ganito:
**1. Pagguho ng Etikal na Prinsipyo:**
* **Lumabag sa propesyonal na etika:** Ang mga tiwaling gawi ay lumalabag sa mga propesyonal na code ng pag-uugali, panunumpa, at mga prinsipyong etikal tulad ng katapatan, integridad, at kapakanan ng pasyente.
* **Nakikita ng publiko ang mga propesyonal sa pangangalagang pangkalusugan bilang hindi mapagkakatiwalaan:** Sinisira nito ang reputasyon ng buong propesyon, na humahantong sa pag-aalinlangan at kawalan ng tiwala sa lahat ng mga medikal na practitioner.
**2. Hindi pagkakapantay-pantay at Kawalang-katarungan:**
* **Pinapaboran ng katiwalian ang mayayaman at konektado:** Ang hindi pantay na pag-access sa pangangalagang pangkalusugan dahil sa panunuhol, pangingikil, o paglilipat ng mga mapagkukunan ay lumilikha ng isang pakiramdam ng kawalan ng katarungan at sumisira sa prinsipyo ng pagiging patas.
* **Nawalan ng tiwala ang publiko sa kakayahan ng sistema ng pangangalagang pangkalusugan na magbigay ng pantay na pangangalaga:** Maaari nitong pigilan ang mga indibidwal na humingi ng kinakailangang medikal na atensyon, kahit na available.
**3. Nabawasan ang Kalidad ng Pangangalaga:**
* **Maling alokasyon ng mga pondo at mapagkukunan:** Ang katiwalian ay maaaring humantong sa mga kakulangan ng mahahalagang kagamitan, mga gamot, at mga kwalipikadong tauhan, na nakompromiso ang kalidad ng pangangalaga na natatanggap ng mga pasyente.
* **Nakikita ng publiko ang nakompromisong pangangalaga at potensyal na pinsala:** Pinasisigla nito ang kawalan ng tiwala at takot na makatanggap ng substandard o hindi ligtas na paggamot dahil sa mga tiwaling gawi.
**4. Kakulangan ng Pananagutan at Transparency:**
* **Pagtakpan at kawalan ng parusa:** Ang katiwalian ay madalas na umuunlad sa mga kapaligirang walang transparency at pananagutan. Pinapalakas nito ang pananaw ng publiko na ang mga tiwaling gawi ay hindi napaparusahan, na lalong nakakasira ng tiwala.
* **Nararamdaman ng publiko na walang kapangyarihan at walang boses:** Ang kawalan ng mga epektibong mekanismo para sa pag-uulat at pagtugon sa katiwalian ay nagpapahina sa pananampalataya ng publiko sa kakayahan ng system na itama ang sarili.
**5. Mga Paglabag sa Legal at Konstitusyon:**
* **Ang katiwalian ay lumalabag sa iba't ibang batas ng Pilipinas at mga prinsipyo ng konstitusyon:** Kabilang dito ang Anti-Graft and Corrupt Practices Act (RA 3019), ang Code of Medical Ethics, at ang karapatan sa kalusugan.
* **Nararamdaman ng publiko na hindi protektahan ng sistema ng hustisya ang kanilang mga karapatan:** Pinasisigla nito ang pangungutya at sinisira ang tiwala sa gobyerno at mga legal na institusyon na responsable sa pagtataguyod ng etikal na pag-uugali.
**Sa pangkalahatan, ang katiwalian sa sistema ng pangangalagang pangkalusugan ay lumilikha ng isang mabagsik na siklo ng kawalan ng tiwala, na nakakaapekto sa indibidwal na relasyon ng pasyente-doktor, ang reputasyon ng buong medikal na propesyon, at tiwala ng publiko sa sistema ng pangangalagang pangkalusugan sa kabuuan.**
**Tandaan:** Ang impormasyong ito ay batay lamang sa batas ng Pilipinas, RA, at mga Konstitusyon. Hindi ito bumubuo ng legal na payo, at ang pagkonsulta sa isang legal na propesyonal para sa karagdagang mga detalye at mga partikular na kaso ay inirerekomenda.</v>
      </c>
      <c r="F1321" s="2">
        <f t="shared" si="1"/>
        <v>0</v>
      </c>
      <c r="G1321" s="2"/>
      <c r="H1321" s="2"/>
      <c r="I1321" s="2"/>
      <c r="J1321" s="2"/>
      <c r="K1321" s="2"/>
      <c r="L1321" s="2"/>
      <c r="M1321" s="2"/>
      <c r="N1321" s="2"/>
      <c r="O1321" s="2"/>
      <c r="P1321" s="2"/>
      <c r="Q1321" s="2"/>
      <c r="R1321" s="2"/>
      <c r="S1321" s="2"/>
      <c r="T1321" s="2"/>
      <c r="U1321" s="2"/>
      <c r="V1321" s="2"/>
      <c r="W1321" s="2"/>
      <c r="X1321" s="2"/>
      <c r="Y1321" s="2"/>
      <c r="Z1321" s="2"/>
      <c r="AA1321" s="2"/>
    </row>
    <row r="1322">
      <c r="A1322" s="1" t="s">
        <v>3356</v>
      </c>
      <c r="B1322" s="1" t="s">
        <v>3809</v>
      </c>
      <c r="C1322" s="1" t="s">
        <v>3810</v>
      </c>
      <c r="D1322" s="2" t="str">
        <f>IFERROR(__xludf.DUMMYFUNCTION("GOOGLETRANSLATE(B1322, ""en"", ""TL"")"),"Mayroon bang mga internasyonal na legal na mekanismo para sa pagtugon sa katiwalian sa sektor ng pangangalagang pangkalusugan sa mga hangganan?")</f>
        <v>Mayroon bang mga internasyonal na legal na mekanismo para sa pagtugon sa katiwalian sa sektor ng pangangalagang pangkalusugan sa mga hangganan?</v>
      </c>
      <c r="E1322" s="2" t="str">
        <f>IFERROR(__xludf.DUMMYFUNCTION("GOOGLETRANSLATE(C1322, ""en"", ""TL"")"),"## Mga Internasyonal na Legal na Mekanismo para sa Pagtugon sa Cross-Border Healthcare Corruption:
Oo, maraming internasyonal na legal na mekanismo ang tumutugon sa katiwalian sa sektor ng pangangalagang pangkalusugan sa mga hangganan, kabilang ang:
**1. "&amp;"United Nations Convention against Corruption (UNCAC):**
* Ang pinakakomprehensibong pandaigdigang kasunduan laban sa katiwalian, na pinagtibay ng Pilipinas noong 2006.
* Nagtatatag ng **kriminalisasyon ng iba't ibang mga tiwaling gawi** kabilang ang panun"&amp;"uhol, pangangalakal sa impluwensya, at paglustay.
* Nangangailangan ng **internasyonal na kooperasyon** para sa pagbabahagi ng impormasyon, mutual legal na tulong, at pagbawi ng asset.
* Ang pagpapatupad na sinusubaybayan ng **United Nations Office on Dru"&amp;"gs and Crime (UNODC).**
**2. International Health Regulations (IHR):**
* Pinagtibay ng World Health Organization (WHO) at sinang-ayunan ng Pilipinas noong 2005.
* Layunin na **pigilan at tumugon sa mga emerhensiya sa kalusugan ng publiko** sa pamamagitan "&amp;"ng internasyonal na kooperasyon.
* Maaaring gamitin upang tugunan ang **katiwalian na nagsasapanganib sa kalusugan ng publiko** sa mga hangganan, tulad ng mga pekeng produktong medikal o panloloko sa pangangalagang pangkalusugan na cross-border.
**3. Orga"&amp;"nization for Economic Co-operation and Development (OECD) Convention on Combating Bribery of Foreign Public Officials in International Business Transactions:**
* Naglalayong **kriminalin ang panunuhol ng mga dayuhang opisyal** sa mga internasyonal na tran"&amp;"saksyon sa negosyo.
* Maaaring gamitin upang **tugunan ang panunuhol sa loob ng sektor ng pangangalagang pangkalusugan** kapag may kinalaman ito sa mga internasyonal na transaksyon.
* Ang Pilipinas ay hindi signatory, ngunit ang mga prinsipyo nito ay maki"&amp;"kita sa mga lokal na batas laban sa katiwalian.
**4. Council of Europe Convention on Criminal Law on Corruption and its additional Protocols:**
* Nakatuon sa kriminalisasyon ng mga pagkakasala sa katiwalian at internasyonal na kooperasyon sa mga pagsisiya"&amp;"sat at pag-uusig.
* Ang Pilipinas ay hindi isang partido, ngunit ang mga prinsipyo nito ay naaayon sa UNCAC at mga lokal na batas ng Pilipinas.
**5. Mga Panrehiyong Kasunduan sa Anti-Corruption:**
* Umiiral ang ilang mga rehiyonal na kasunduan, tulad ng A"&amp;"SEAN Convention Against Corruption at Inter-American Convention against Corruption, na nakatuon sa kooperasyon at capacity building sa loob ng kani-kanilang rehiyon.
* Ang Pilipinas ay isang partido sa ASEAN Convention, na maaaring magamit para sa koopera"&amp;"syong panrehiyon sa katiwalian sa pangangalagang pangkalusugan.
**Mga Karagdagang Punto:**
* Ang mga mekanismong ito ay nangangailangan ng **kooperasyon sa pagitan ng mga pambansang pamahalaan** at maaaring hindi direktang maipapatupad ng mga indibidwal.
"&amp;"* Ang pag-uulat ng pinaghihinalaang cross-border na katiwalian sa pangangalagang pangkalusugan sa mga kaugnay na pambansang awtoridad o internasyonal na organisasyon tulad ng UNODC ay napakahalaga.
* Ang mga organisasyon ng lipunang sibil ay may papel sa "&amp;"pagtataguyod at pagsubaybay sa pagpapatupad ng mga mekanismong ito.
**Tandaan:** Ang impormasyong ito ay nakabatay lamang sa batas ng Pilipinas, RA, at mga Konstitusyon, at mga internasyonal na kasunduan at kumbensyon na pinagtibay ng Pilipinas. Ang pagko"&amp;"nsulta sa isang legal na propesyonal na dalubhasa sa internasyonal na batas ay inirerekomenda para sa karagdagang mga detalye at mga partikular na kaso.")</f>
        <v>## Mga Internasyonal na Legal na Mekanismo para sa Pagtugon sa Cross-Border Healthcare Corruption:
Oo, maraming internasyonal na legal na mekanismo ang tumutugon sa katiwalian sa sektor ng pangangalagang pangkalusugan sa mga hangganan, kabilang ang:
**1. United Nations Convention against Corruption (UNCAC):**
* Ang pinakakomprehensibong pandaigdigang kasunduan laban sa katiwalian, na pinagtibay ng Pilipinas noong 2006.
* Nagtatatag ng **kriminalisasyon ng iba't ibang mga tiwaling gawi** kabilang ang panunuhol, pangangalakal sa impluwensya, at paglustay.
* Nangangailangan ng **internasyonal na kooperasyon** para sa pagbabahagi ng impormasyon, mutual legal na tulong, at pagbawi ng asset.
* Ang pagpapatupad na sinusubaybayan ng **United Nations Office on Drugs and Crime (UNODC).**
**2. International Health Regulations (IHR):**
* Pinagtibay ng World Health Organization (WHO) at sinang-ayunan ng Pilipinas noong 2005.
* Layunin na **pigilan at tumugon sa mga emerhensiya sa kalusugan ng publiko** sa pamamagitan ng internasyonal na kooperasyon.
* Maaaring gamitin upang tugunan ang **katiwalian na nagsasapanganib sa kalusugan ng publiko** sa mga hangganan, tulad ng mga pekeng produktong medikal o panloloko sa pangangalagang pangkalusugan na cross-border.
**3. Organization for Economic Co-operation and Development (OECD) Convention on Combating Bribery of Foreign Public Officials in International Business Transactions:**
* Naglalayong **kriminalin ang panunuhol ng mga dayuhang opisyal** sa mga internasyonal na transaksyon sa negosyo.
* Maaaring gamitin upang **tugunan ang panunuhol sa loob ng sektor ng pangangalagang pangkalusugan** kapag may kinalaman ito sa mga internasyonal na transaksyon.
* Ang Pilipinas ay hindi signatory, ngunit ang mga prinsipyo nito ay makikita sa mga lokal na batas laban sa katiwalian.
**4. Council of Europe Convention on Criminal Law on Corruption and its additional Protocols:**
* Nakatuon sa kriminalisasyon ng mga pagkakasala sa katiwalian at internasyonal na kooperasyon sa mga pagsisiyasat at pag-uusig.
* Ang Pilipinas ay hindi isang partido, ngunit ang mga prinsipyo nito ay naaayon sa UNCAC at mga lokal na batas ng Pilipinas.
**5. Mga Panrehiyong Kasunduan sa Anti-Corruption:**
* Umiiral ang ilang mga rehiyonal na kasunduan, tulad ng ASEAN Convention Against Corruption at Inter-American Convention against Corruption, na nakatuon sa kooperasyon at capacity building sa loob ng kani-kanilang rehiyon.
* Ang Pilipinas ay isang partido sa ASEAN Convention, na maaaring magamit para sa kooperasyong panrehiyon sa katiwalian sa pangangalagang pangkalusugan.
**Mga Karagdagang Punto:**
* Ang mga mekanismong ito ay nangangailangan ng **kooperasyon sa pagitan ng mga pambansang pamahalaan** at maaaring hindi direktang maipapatupad ng mga indibidwal.
* Ang pag-uulat ng pinaghihinalaang cross-border na katiwalian sa pangangalagang pangkalusugan sa mga kaugnay na pambansang awtoridad o internasyonal na organisasyon tulad ng UNODC ay napakahalaga.
* Ang mga organisasyon ng lipunang sibil ay may papel sa pagtataguyod at pagsubaybay sa pagpapatupad ng mga mekanismong ito.
**Tandaan:** Ang impormasyong ito ay nakabatay lamang sa batas ng Pilipinas, RA, at mga Konstitusyon, at mga internasyonal na kasunduan at kumbensyon na pinagtibay ng Pilipinas. Ang pagkonsulta sa isang legal na propesyonal na dalubhasa sa internasyonal na batas ay inirerekomenda para sa karagdagang mga detalye at mga partikular na kaso.</v>
      </c>
      <c r="F1322" s="2">
        <f t="shared" si="1"/>
        <v>0</v>
      </c>
      <c r="G1322" s="2"/>
      <c r="H1322" s="2"/>
      <c r="I1322" s="2"/>
      <c r="J1322" s="2"/>
      <c r="K1322" s="2"/>
      <c r="L1322" s="2"/>
      <c r="M1322" s="2"/>
      <c r="N1322" s="2"/>
      <c r="O1322" s="2"/>
      <c r="P1322" s="2"/>
      <c r="Q1322" s="2"/>
      <c r="R1322" s="2"/>
      <c r="S1322" s="2"/>
      <c r="T1322" s="2"/>
      <c r="U1322" s="2"/>
      <c r="V1322" s="2"/>
      <c r="W1322" s="2"/>
      <c r="X1322" s="2"/>
      <c r="Y1322" s="2"/>
      <c r="Z1322" s="2"/>
      <c r="AA1322" s="2"/>
    </row>
    <row r="1323">
      <c r="A1323" s="1" t="s">
        <v>3356</v>
      </c>
      <c r="B1323" s="1" t="s">
        <v>3811</v>
      </c>
      <c r="C1323" s="1" t="s">
        <v>3812</v>
      </c>
      <c r="D1323" s="2" t="str">
        <f>IFERROR(__xludf.DUMMYFUNCTION("GOOGLETRANSLATE(B1323, ""en"", ""TL"")"),"Maaari bang humiling ang mga indibidwal ng mga pampublikong rekord o impormasyon na nauugnay sa mga pagsisiyasat sa katiwalian sa loob ng sistema ng pangangalagang pangkalusugan sa ilalim ng mga batas sa kalayaan sa impormasyon?")</f>
        <v>Maaari bang humiling ang mga indibidwal ng mga pampublikong rekord o impormasyon na nauugnay sa mga pagsisiyasat sa katiwalian sa loob ng sistema ng pangangalagang pangkalusugan sa ilalim ng mga batas sa kalayaan sa impormasyon?</v>
      </c>
      <c r="E1323" s="2" t="str">
        <f>IFERROR(__xludf.DUMMYFUNCTION("GOOGLETRANSLATE(C1323, ""en"", ""TL"")"),"Oo, ang mga indibidwal sa Pilipinas ay maaaring humiling ng mga pampublikong rekord o impormasyon na may kaugnayan sa mga pagsisiyasat sa katiwalian sa loob ng sistema ng pangangalagang pangkalusugan sa ilalim ng mga batas sa kalayaan sa impormasyon, part"&amp;"ikular na:
**Executive Order No. 2, s. 2016 (Freedom of Information Executive Order):**
* Binibigyan ng Seksyon 3 ang bawat mamamayang Pilipino ng access sa impormasyon, mga opisyal na rekord, pampublikong rekord, at mga dokumento na nauukol sa mga "&amp;"opisyal na kilos, transaksyon, o desisyon, kabilang ang **data ng pananaliksik ng pamahalaan na ginamit bilang batayan para sa pagbuo ng patakaran**. Sinasaklaw nito ang mga ulat sa pagsisiyasat na may kaugnayan sa katiwalian sa loob ng sistema ng pangang"&amp;"alagang pangkalusugan.
* Binabalangkas ng Seksyon 4 ang mga eksepsiyon, ngunit **ang mga pagsisiyasat sa katiwalian sa pangkalahatan ay hindi napapailalim sa mga eksepsiyon na ito**, maliban kung may kinalaman ang mga ito sa pambansang seguridad, patuloy"&amp;" na legal na paglilitis, o mga alalahanin sa personal na privacy.
**Republic Act No. 6733 (Isang Batas na Nagtatatag ng Public Attorney's Office)**:
* Ang Seksyon 3 (b) ay nagbibigay ng kapangyarihan sa Public Attorney's Office na **tulungan ang mga"&amp;" indibidwal sa pag-secure ng access sa impormasyon ng gobyerno**. Kabilang dito ang pagpapayo at pagkatawan sa mga indibidwal na naghahanap ng impormasyon na nauugnay sa mga pagsisiyasat sa katiwalian sa sistema ng pangangalagang pangkalusugan.
**Konst"&amp;"itusyon ng Republika ng Pilipinas, Artikulo III, Seksyon 7:**
* Ginagarantiya ang **karapatan ng mga tao sa impormasyon tungkol sa mga bagay na may kinalaman sa publiko**. Nalalapat ang karapatang ito sa impormasyon tungkol sa mga pagsisiyasat sa katiw"&amp;"alian sa loob ng sistema ng pangangalagang pangkalusugan, dahil naaapektuhan nito ang pampublikong kalusugan at pamamahala.
**Mga Karagdagang Punto:**
* Ang **tiyak na pamamaraan para sa paghiling ng impormasyon** ay maaaring mag-iba depende sa ahen"&amp;"syang may hawak ng mga rekord. Karaniwan kang makakahanap ng impormasyon sa website ng ahensya o sa pamamagitan ng direktang pakikipag-ugnayan sa kanila.
* Kung tinanggihan ang iyong kahilingan, may karapatan kang **iapela ang desisyon**.
* Maaaring man"&amp;"ingil ang ilang ahensya ng **makatwirang bayad** para sa pagkopya at pagproseso ng mga kahilingan sa impormasyon.
**Mahahalagang Paalala:**
* Habang ang karapatan sa pag-access ng impormasyon ay umiiral, ang pagkuha ng mga partikular na detalye ng p"&amp;"atuloy na pagsisiyasat o sensitibong impormasyon ay maaaring sumailalim sa mga limitasyon.
* Ang pagkonsulta sa isang abogado na dalubhasa sa mga batas sa kalayaan ng impormasyon ay inirerekomenda para sa pag-navigate sa mga partikular na pamamaraan, pag"&amp;"-unawa sa mga potensyal na limitasyon, at pag-maximize ng iyong mga pagkakataong makuha ang nais na impormasyon.
Umaasa ako na ang impormasyong ito, batay lamang sa batas ng Pilipinas, RA, at Konstitusyon, ay nakakatulong. Mangyaring ipaalam sa akin ku"&amp;"ng mayroon kang anumang iba pang mga katanungan.")</f>
        <v>Oo, ang mga indibidwal sa Pilipinas ay maaaring humiling ng mga pampublikong rekord o impormasyon na may kaugnayan sa mga pagsisiyasat sa katiwalian sa loob ng sistema ng pangangalagang pangkalusugan sa ilalim ng mga batas sa kalayaan sa impormasyon, partikular na:
**Executive Order No. 2, s. 2016 (Freedom of Information Executive Order):**
* Binibigyan ng Seksyon 3 ang bawat mamamayang Pilipino ng access sa impormasyon, mga opisyal na rekord, pampublikong rekord, at mga dokumento na nauukol sa mga opisyal na kilos, transaksyon, o desisyon, kabilang ang **data ng pananaliksik ng pamahalaan na ginamit bilang batayan para sa pagbuo ng patakaran**. Sinasaklaw nito ang mga ulat sa pagsisiyasat na may kaugnayan sa katiwalian sa loob ng sistema ng pangangalagang pangkalusugan.
* Binabalangkas ng Seksyon 4 ang mga eksepsiyon, ngunit **ang mga pagsisiyasat sa katiwalian sa pangkalahatan ay hindi napapailalim sa mga eksepsiyon na ito**, maliban kung may kinalaman ang mga ito sa pambansang seguridad, patuloy na legal na paglilitis, o mga alalahanin sa personal na privacy.
**Republic Act No. 6733 (Isang Batas na Nagtatatag ng Public Attorney's Office)**:
* Ang Seksyon 3 (b) ay nagbibigay ng kapangyarihan sa Public Attorney's Office na **tulungan ang mga indibidwal sa pag-secure ng access sa impormasyon ng gobyerno**. Kabilang dito ang pagpapayo at pagkatawan sa mga indibidwal na naghahanap ng impormasyon na nauugnay sa mga pagsisiyasat sa katiwalian sa sistema ng pangangalagang pangkalusugan.
**Konstitusyon ng Republika ng Pilipinas, Artikulo III, Seksyon 7:**
* Ginagarantiya ang **karapatan ng mga tao sa impormasyon tungkol sa mga bagay na may kinalaman sa publiko**. Nalalapat ang karapatang ito sa impormasyon tungkol sa mga pagsisiyasat sa katiwalian sa loob ng sistema ng pangangalagang pangkalusugan, dahil naaapektuhan nito ang pampublikong kalusugan at pamamahala.
**Mga Karagdagang Punto:**
* Ang **tiyak na pamamaraan para sa paghiling ng impormasyon** ay maaaring mag-iba depende sa ahensyang may hawak ng mga rekord. Karaniwan kang makakahanap ng impormasyon sa website ng ahensya o sa pamamagitan ng direktang pakikipag-ugnayan sa kanila.
* Kung tinanggihan ang iyong kahilingan, may karapatan kang **iapela ang desisyon**.
* Maaaring maningil ang ilang ahensya ng **makatwirang bayad** para sa pagkopya at pagproseso ng mga kahilingan sa impormasyon.
**Mahahalagang Paalala:**
* Habang ang karapatan sa pag-access ng impormasyon ay umiiral, ang pagkuha ng mga partikular na detalye ng patuloy na pagsisiyasat o sensitibong impormasyon ay maaaring sumailalim sa mga limitasyon.
* Ang pagkonsulta sa isang abogado na dalubhasa sa mga batas sa kalayaan ng impormasyon ay inirerekomenda para sa pag-navigate sa mga partikular na pamamaraan, pag-unawa sa mga potensyal na limitasyon, at pag-maximize ng iyong mga pagkakataong makuha ang nais na impormasyon.
Umaasa ako na ang impormasyong ito, batay lamang sa batas ng Pilipinas, RA, at Konstitusyon, ay nakakatulong. Mangyaring ipaalam sa akin kung mayroon kang anumang iba pang mga katanungan.</v>
      </c>
      <c r="F1323" s="2">
        <f t="shared" si="1"/>
        <v>0</v>
      </c>
      <c r="G1323" s="2"/>
      <c r="H1323" s="2"/>
      <c r="I1323" s="2"/>
      <c r="J1323" s="2"/>
      <c r="K1323" s="2"/>
      <c r="L1323" s="2"/>
      <c r="M1323" s="2"/>
      <c r="N1323" s="2"/>
      <c r="O1323" s="2"/>
      <c r="P1323" s="2"/>
      <c r="Q1323" s="2"/>
      <c r="R1323" s="2"/>
      <c r="S1323" s="2"/>
      <c r="T1323" s="2"/>
      <c r="U1323" s="2"/>
      <c r="V1323" s="2"/>
      <c r="W1323" s="2"/>
      <c r="X1323" s="2"/>
      <c r="Y1323" s="2"/>
      <c r="Z1323" s="2"/>
      <c r="AA1323" s="2"/>
    </row>
    <row r="1324">
      <c r="A1324" s="1" t="s">
        <v>3356</v>
      </c>
      <c r="B1324" s="1" t="s">
        <v>3813</v>
      </c>
      <c r="C1324" s="1" t="s">
        <v>3814</v>
      </c>
      <c r="D1324" s="2" t="str">
        <f>IFERROR(__xludf.DUMMYFUNCTION("GOOGLETRANSLATE(B1324, ""en"", ""TL"")"),"Anong mga legal na paraan ang umiiral para sa mga pasyenteng naniniwalang sila ay sumailalim sa mga hindi kinakailangang medikal na pamamaraan o paggamot dahil sa katiwalian?")</f>
        <v>Anong mga legal na paraan ang umiiral para sa mga pasyenteng naniniwalang sila ay sumailalim sa mga hindi kinakailangang medikal na pamamaraan o paggamot dahil sa katiwalian?</v>
      </c>
      <c r="E1324" s="2" t="str">
        <f>IFERROR(__xludf.DUMMYFUNCTION("GOOGLETRANSLATE(C1324, ""en"", ""TL"")"),"Oo, ngunit sa kasamaang-palad, ang paghahabol ng legal na aksyon para sa **hindi kinakailangang mga medikal na pamamaraan o paggamot dahil sa pinaghihinalaang katiwalian** sa Pilipinas ay masalimuot at nahaharap sa mga hamon, ngunit may mga pagpipilian. N"&amp;"arito ang isang breakdown:
**Mga Hamon:**
* **Pagpapatunay ng sanhi:** Ang pagpapakita ng malinaw na **causal link** sa pagitan ng katiwalian at ang hindi kinakailangang pamamaraan ay napakahalaga. Kailangan mong ipakita na direktang naimpluwensyahan ng"&amp;" katiwalian ang desisyon, hindi ang iba pang mga salik tulad ng mga diagnostic error o tunay na kawalan ng katiyakan sa medikal.
* **Pagtitipon ng ebidensya:** Ang pangangalap ng **matibay na ebidensya** ng parehong hindi kinakailangang pamamaraan at ang "&amp;"katiwalian ay mahalaga. Maaaring kabilang dito ang mga medikal na rekord, komunikasyon sa mga tagapagbigay ng pangangalagang pangkalusugan, mga opinyon ng eksperto sa pangangailangan ng pamamaraan, at dokumentasyon ng mga tiwaling gawi.
* **Burden of proo"&amp;"f:** Ang **burden of proof** ay nakasalalay sa iyo upang ipakita ang lahat ng elemento ng iyong claim, kabilang ang kakulangan ng medikal na pangangailangan, papel ng katiwalian, at ang nagresultang pinsala sa iyong kalusugan.
* **Pagiging kumplikado at m"&amp;"ga gastos:** Ang legal na aksyon ay maaaring **makakaubos ng oras, magastos**, at nangangailangan ng espesyal na legal na kadalubhasaan sa batas sa pangangalagang pangkalusugan at sibil na paglilitis.
**Mga Potensyal na Avenue:**
* **Sibil na demanda:**"&amp;" Maaari kang magsampa ng **sibil na demanda** para sa mga pinsala laban sa institusyon ng pangangalagang pangkalusugan o mga indibidwal na sangkot sa katiwalian, paratang ng paglabag sa kontrata, paglabag sa tungkulin ng fiduciary, o malpractice sa medika"&amp;"l. Gayunpaman, ang pagpapatunay ng parehong hindi kinakailangang pamamaraan at ang papel ng katiwalian ay maaaring maging mahirap.
* **Mga reklamong pang-administratibo:** Maaari kang magsampa ng reklamo sa **Professional Regulation Commission (PRC)** o m"&amp;"ga nauugnay na katawan ng regulasyon laban sa (mga) tagapagbigay ng pangangalagang pangkalusugan na sangkot. Maaaring hindi ito humantong sa direktang kabayaran ngunit maaaring mag-trigger ng mga pagsisiyasat at panagutin sila.
* **Pampublikong adbokasiya"&amp;":** Ang pagpapataas ng kamalayan sa pamamagitan ng **media o online na mga platform** tungkol sa iyong kaso at ang mas malawak na isyu ng katiwalian ay maaaring magpilit sa mga awtoridad na kumilos at posibleng humantong sa mga pagbabago sa patakaran.
**"&amp;"Mga Karagdagang Pagsasaalang-alang:**
* **Mga Alternatibo:** Ang paggalugad sa iba pang paraan tulad ng paghingi ng pangalawang opinyon mula sa isa pang propesyonal sa pangangalagang pangkalusugan, pag-uulat ng insidente sa mga regulatory body, at pagtat"&amp;"aguyod para sa mga sistematikong pagbabago sa pamamagitan ng mga pangkat ng adbokasiya ng pasyente ay maaaring maging mas magagawa o komplementaryo sa legal na aksyon.
* **Mga indibidwal na pangyayari:** Ang bawat kaso ay natatangi, at ang pagkonsulta sa "&amp;"isang abogadong may karanasan sa batas sa pangangalagang pangkalusugan ay mahalaga para sa isang detalyadong pagtatasa ng iyong sitwasyon at mga potensyal na legal na opsyon.
* **Mga legal na pag-unlad:** Ang sistema ng pangangalagang pangkalusugan ng Pil"&amp;"ipinas ay sumasailalim sa mga reporma, at ang mga legal na opsyon ay maaaring umunlad sa hinaharap, na nag-aalok ng higit pang mga paraan para sa pagtugon sa mga ganitong kaso.
**Tandaan:**
* Ang impormasyong ito ay para sa pangkalahatang pag-unawa at h"&amp;"indi dapat ituring na legal na payo. Ang pagkonsulta sa isang abogado para sa mga partikular na detalye at legal na interpretasyon ay mahalaga.
* Bagama't ang legal na landas ay maaaring mapaghamong, ang pagtataguyod ng katarungan at pagpapanagot sa mga m"&amp;"ay kasalanan ay mahalaga upang hadlangan ang katiwalian sa hinaharap at matiyak ang mga etikal na kasanayan sa pangangalagang pangkalusugan.
Sana makatulong ang impormasyong ito. Mangyaring ipaalam sa akin kung mayroon kang anumang iba pang mga katanunga"&amp;"n.")</f>
        <v>Oo, ngunit sa kasamaang-palad, ang paghahabol ng legal na aksyon para sa **hindi kinakailangang mga medikal na pamamaraan o paggamot dahil sa pinaghihinalaang katiwalian** sa Pilipinas ay masalimuot at nahaharap sa mga hamon, ngunit may mga pagpipilian. Narito ang isang breakdown:
**Mga Hamon:**
* **Pagpapatunay ng sanhi:** Ang pagpapakita ng malinaw na **causal link** sa pagitan ng katiwalian at ang hindi kinakailangang pamamaraan ay napakahalaga. Kailangan mong ipakita na direktang naimpluwensyahan ng katiwalian ang desisyon, hindi ang iba pang mga salik tulad ng mga diagnostic error o tunay na kawalan ng katiyakan sa medikal.
* **Pagtitipon ng ebidensya:** Ang pangangalap ng **matibay na ebidensya** ng parehong hindi kinakailangang pamamaraan at ang katiwalian ay mahalaga. Maaaring kabilang dito ang mga medikal na rekord, komunikasyon sa mga tagapagbigay ng pangangalagang pangkalusugan, mga opinyon ng eksperto sa pangangailangan ng pamamaraan, at dokumentasyon ng mga tiwaling gawi.
* **Burden of proof:** Ang **burden of proof** ay nakasalalay sa iyo upang ipakita ang lahat ng elemento ng iyong claim, kabilang ang kakulangan ng medikal na pangangailangan, papel ng katiwalian, at ang nagresultang pinsala sa iyong kalusugan.
* **Pagiging kumplikado at mga gastos:** Ang legal na aksyon ay maaaring **makakaubos ng oras, magastos**, at nangangailangan ng espesyal na legal na kadalubhasaan sa batas sa pangangalagang pangkalusugan at sibil na paglilitis.
**Mga Potensyal na Avenue:**
* **Sibil na demanda:** Maaari kang magsampa ng **sibil na demanda** para sa mga pinsala laban sa institusyon ng pangangalagang pangkalusugan o mga indibidwal na sangkot sa katiwalian, paratang ng paglabag sa kontrata, paglabag sa tungkulin ng fiduciary, o malpractice sa medikal. Gayunpaman, ang pagpapatunay ng parehong hindi kinakailangang pamamaraan at ang papel ng katiwalian ay maaaring maging mahirap.
* **Mga reklamong pang-administratibo:** Maaari kang magsampa ng reklamo sa **Professional Regulation Commission (PRC)** o mga nauugnay na katawan ng regulasyon laban sa (mga) tagapagbigay ng pangangalagang pangkalusugan na sangkot. Maaaring hindi ito humantong sa direktang kabayaran ngunit maaaring mag-trigger ng mga pagsisiyasat at panagutin sila.
* **Pampublikong adbokasiya:** Ang pagpapataas ng kamalayan sa pamamagitan ng **media o online na mga platform** tungkol sa iyong kaso at ang mas malawak na isyu ng katiwalian ay maaaring magpilit sa mga awtoridad na kumilos at posibleng humantong sa mga pagbabago sa patakaran.
**Mga Karagdagang Pagsasaalang-alang:**
* **Mga Alternatibo:** Ang paggalugad sa iba pang paraan tulad ng paghingi ng pangalawang opinyon mula sa isa pang propesyonal sa pangangalagang pangkalusugan, pag-uulat ng insidente sa mga regulatory body, at pagtataguyod para sa mga sistematikong pagbabago sa pamamagitan ng mga pangkat ng adbokasiya ng pasyente ay maaaring maging mas magagawa o komplementaryo sa legal na aksyon.
* **Mga indibidwal na pangyayari:** Ang bawat kaso ay natatangi, at ang pagkonsulta sa isang abogadong may karanasan sa batas sa pangangalagang pangkalusugan ay mahalaga para sa isang detalyadong pagtatasa ng iyong sitwasyon at mga potensyal na legal na opsyon.
* **Mga legal na pag-unlad:** Ang sistema ng pangangalagang pangkalusugan ng Pilipinas ay sumasailalim sa mga reporma, at ang mga legal na opsyon ay maaaring umunlad sa hinaharap, na nag-aalok ng higit pang mga paraan para sa pagtugon sa mga ganitong kaso.
**Tandaan:**
* Ang impormasyong ito ay para sa pangkalahatang pag-unawa at hindi dapat ituring na legal na payo. Ang pagkonsulta sa isang abogado para sa mga partikular na detalye at legal na interpretasyon ay mahalaga.
* Bagama't ang legal na landas ay maaaring mapaghamong, ang pagtataguyod ng katarungan at pagpapanagot sa mga may kasalanan ay mahalaga upang hadlangan ang katiwalian sa hinaharap at matiyak ang mga etikal na kasanayan sa pangangalagang pangkalusugan.
Sana makatulong ang impormasyong ito. Mangyaring ipaalam sa akin kung mayroon kang anumang iba pang mga katanungan.</v>
      </c>
      <c r="F1324" s="2">
        <f t="shared" si="1"/>
        <v>0</v>
      </c>
      <c r="G1324" s="2"/>
      <c r="H1324" s="2"/>
      <c r="I1324" s="2"/>
      <c r="J1324" s="2"/>
      <c r="K1324" s="2"/>
      <c r="L1324" s="2"/>
      <c r="M1324" s="2"/>
      <c r="N1324" s="2"/>
      <c r="O1324" s="2"/>
      <c r="P1324" s="2"/>
      <c r="Q1324" s="2"/>
      <c r="R1324" s="2"/>
      <c r="S1324" s="2"/>
      <c r="T1324" s="2"/>
      <c r="U1324" s="2"/>
      <c r="V1324" s="2"/>
      <c r="W1324" s="2"/>
      <c r="X1324" s="2"/>
      <c r="Y1324" s="2"/>
      <c r="Z1324" s="2"/>
      <c r="AA1324" s="2"/>
    </row>
    <row r="1325">
      <c r="A1325" s="1" t="s">
        <v>3356</v>
      </c>
      <c r="B1325" s="1" t="s">
        <v>3815</v>
      </c>
      <c r="C1325" s="1" t="s">
        <v>3816</v>
      </c>
      <c r="D1325" s="2" t="str">
        <f>IFERROR(__xludf.DUMMYFUNCTION("GOOGLETRANSLATE(B1325, ""en"", ""TL"")"),"Paano naiiba ang pagkakalapat ng mga batas laban sa katiwalian sa mga pampubliko at pribadong institusyong pangangalaga sa kalusugan?")</f>
        <v>Paano naiiba ang pagkakalapat ng mga batas laban sa katiwalian sa mga pampubliko at pribadong institusyong pangangalaga sa kalusugan?</v>
      </c>
      <c r="E1325" s="2" t="str">
        <f>IFERROR(__xludf.DUMMYFUNCTION("GOOGLETRANSLATE(C1325, ""en"", ""TL"")"),"Iba ang pagkakalapat ng mga batas laban sa katiwalian sa Pilipinas sa mga pampubliko at pribadong institusyon ng pangangalagang pangkalusugan dahil sa likas na katangian ng kanilang mga operasyon at pinagmumulan ng pagpopondo. Narito ang isang breakdown:
"&amp;"
**Mga Institusyon ng Pampublikong Pangangalaga sa Kalusugan:**
* Pangunahing pinamamahalaan ng **Anti-Graft and Corrupt Practices Act (RA 3019)**, na nagsasakriminal sa mga gawain ng mga pampublikong opisyal at empleyado tulad ng panunuhol, pangingi"&amp;"kil, at palsipikasyon ng mga dokumento.
* Napapailalim sa mas mahigpit na pagsusuri sa ilalim ng **Konstitusyon**, na nag-uutos ng mabuting pamamahala at pananagutan sa publiko.
* Ang mga karagdagang regulasyon mula sa **Department of Health (DOH)** at "&amp;"Commission on Audit (COA) ay nalalapat sa pagkuha, paglalaan ng badyet, at pamamahala sa pananalapi.
**Mga Pribadong Institusyon ng Pangangalaga sa Kalusugan:**
* Pangunahing pinamamahalaan ng **Revised Penal Code**, na nagsasakriminal sa mga pangka"&amp;"lahatang gawain tulad ng pagnanakaw, pandaraya, at estafa, na maaaring naaangkop sa mga kaso ng katiwalian.
* Napapailalim sa **Securities Regulation Code** kung nakalista sa publiko, tinitiyak ang transparency at etikal na mga kasanayan sa negosyo.
* *"&amp;"*Anti-Money Laundering Act (AMLA)** ay nalalapat upang maiwasan ang paggamit ng kanilang mga platform para sa mga ilegal na aktibidad sa pananalapi.
* Ang mga istruktura ng panloob na pamamahala at mga etikal na code na pinagtibay ng institusyon ay gumag"&amp;"anap din ng isang papel.
**Mga Pangunahing Pagkakaiba:**
* **Mas mahigpit na regulasyon at pangangasiwa:** Ang mga pampublikong institusyon ay nahaharap sa mas mahigpit na mga regulasyon at mas mahigpit na parusa para sa katiwalian dahil sa kanilang"&amp;" pampublikong pagpopondo at pananagutan na mga mandato.
* **Saklaw ng mga batas:** Ang mga pampublikong opisyal ay nahaharap sa mga karagdagang batas tulad ng RA 3019, habang ang mga pribadong institusyon ay higit na umaasa sa pangkalahatang kriminal at "&amp;"mga regulasyon sa negosyo.
* **Pagpapatupad:** Maaaring mas mahigpit ang pagpapatupad para sa mga pampublikong institusyon, na may nakatuong mga ahensya tulad ng Ombudsman sa kanilang pag-uugali.
**Pagkakatulad:**
* **Parehong napapailalim sa mga p"&amp;"rinsipyo laban sa katiwalian:** Ang parehong uri ng institusyon ay dapat na panindigan ang transparency, pananagutan, at etikal na pag-uugali upang maiwasan at matugunan ang katiwalian.
* **Maaaring managot ang mga indibidwal na kasangkot:** Anuman ang u"&amp;"ri ng institusyon, ang mga indibidwal na sangkot sa mga tiwaling gawi ay maaaring harapin ang mga legal na kahihinatnan batay sa mga nauugnay na batas.
**Mahahalagang Paalala:**
* Ito ay isang pinasimple na pangkalahatang-ideya, at ang mga partikula"&amp;"r na batas at ang kanilang aplikasyon ay maaaring mag-iba depende sa mga pangyayari ng bawat kaso.
* Ang mga pagsusumikap laban sa katiwalian ay patuloy, at ang mga bagong regulasyon o interpretasyon ay maaaring lumabas sa hinaharap.
* Palaging inirerek"&amp;"omenda ang pagkonsulta sa isang abogado na dalubhasa sa batas sa pangangalagang pangkalusugan para sa mga partikular na sitwasyon at legal na implikasyon.
Sana makatulong ito! Ipaalam sa akin kung mayroon kang iba pang mga katanungan.")</f>
        <v>Iba ang pagkakalapat ng mga batas laban sa katiwalian sa Pilipinas sa mga pampubliko at pribadong institusyon ng pangangalagang pangkalusugan dahil sa likas na katangian ng kanilang mga operasyon at pinagmumulan ng pagpopondo. Narito ang isang breakdown:
**Mga Institusyon ng Pampublikong Pangangalaga sa Kalusugan:**
* Pangunahing pinamamahalaan ng **Anti-Graft and Corrupt Practices Act (RA 3019)**, na nagsasakriminal sa mga gawain ng mga pampublikong opisyal at empleyado tulad ng panunuhol, pangingikil, at palsipikasyon ng mga dokumento.
* Napapailalim sa mas mahigpit na pagsusuri sa ilalim ng **Konstitusyon**, na nag-uutos ng mabuting pamamahala at pananagutan sa publiko.
* Ang mga karagdagang regulasyon mula sa **Department of Health (DOH)** at Commission on Audit (COA) ay nalalapat sa pagkuha, paglalaan ng badyet, at pamamahala sa pananalapi.
**Mga Pribadong Institusyon ng Pangangalaga sa Kalusugan:**
* Pangunahing pinamamahalaan ng **Revised Penal Code**, na nagsasakriminal sa mga pangkalahatang gawain tulad ng pagnanakaw, pandaraya, at estafa, na maaaring naaangkop sa mga kaso ng katiwalian.
* Napapailalim sa **Securities Regulation Code** kung nakalista sa publiko, tinitiyak ang transparency at etikal na mga kasanayan sa negosyo.
* **Anti-Money Laundering Act (AMLA)** ay nalalapat upang maiwasan ang paggamit ng kanilang mga platform para sa mga ilegal na aktibidad sa pananalapi.
* Ang mga istruktura ng panloob na pamamahala at mga etikal na code na pinagtibay ng institusyon ay gumaganap din ng isang papel.
**Mga Pangunahing Pagkakaiba:**
* **Mas mahigpit na regulasyon at pangangasiwa:** Ang mga pampublikong institusyon ay nahaharap sa mas mahigpit na mga regulasyon at mas mahigpit na parusa para sa katiwalian dahil sa kanilang pampublikong pagpopondo at pananagutan na mga mandato.
* **Saklaw ng mga batas:** Ang mga pampublikong opisyal ay nahaharap sa mga karagdagang batas tulad ng RA 3019, habang ang mga pribadong institusyon ay higit na umaasa sa pangkalahatang kriminal at mga regulasyon sa negosyo.
* **Pagpapatupad:** Maaaring mas mahigpit ang pagpapatupad para sa mga pampublikong institusyon, na may nakatuong mga ahensya tulad ng Ombudsman sa kanilang pag-uugali.
**Pagkakatulad:**
* **Parehong napapailalim sa mga prinsipyo laban sa katiwalian:** Ang parehong uri ng institusyon ay dapat na panindigan ang transparency, pananagutan, at etikal na pag-uugali upang maiwasan at matugunan ang katiwalian.
* **Maaaring managot ang mga indibidwal na kasangkot:** Anuman ang uri ng institusyon, ang mga indibidwal na sangkot sa mga tiwaling gawi ay maaaring harapin ang mga legal na kahihinatnan batay sa mga nauugnay na batas.
**Mahahalagang Paalala:**
* Ito ay isang pinasimple na pangkalahatang-ideya, at ang mga partikular na batas at ang kanilang aplikasyon ay maaaring mag-iba depende sa mga pangyayari ng bawat kaso.
* Ang mga pagsusumikap laban sa katiwalian ay patuloy, at ang mga bagong regulasyon o interpretasyon ay maaaring lumabas sa hinaharap.
* Palaging inirerekomenda ang pagkonsulta sa isang abogado na dalubhasa sa batas sa pangangalagang pangkalusugan para sa mga partikular na sitwasyon at legal na implikasyon.
Sana makatulong ito! Ipaalam sa akin kung mayroon kang iba pang mga katanungan.</v>
      </c>
      <c r="F1325" s="2">
        <f t="shared" si="1"/>
        <v>0</v>
      </c>
      <c r="G1325" s="2"/>
      <c r="H1325" s="2"/>
      <c r="I1325" s="2"/>
      <c r="J1325" s="2"/>
      <c r="K1325" s="2"/>
      <c r="L1325" s="2"/>
      <c r="M1325" s="2"/>
      <c r="N1325" s="2"/>
      <c r="O1325" s="2"/>
      <c r="P1325" s="2"/>
      <c r="Q1325" s="2"/>
      <c r="R1325" s="2"/>
      <c r="S1325" s="2"/>
      <c r="T1325" s="2"/>
      <c r="U1325" s="2"/>
      <c r="V1325" s="2"/>
      <c r="W1325" s="2"/>
      <c r="X1325" s="2"/>
      <c r="Y1325" s="2"/>
      <c r="Z1325" s="2"/>
      <c r="AA1325" s="2"/>
    </row>
    <row r="1326">
      <c r="A1326" s="1" t="s">
        <v>3356</v>
      </c>
      <c r="B1326" s="1" t="s">
        <v>3817</v>
      </c>
      <c r="C1326" s="1" t="s">
        <v>3818</v>
      </c>
      <c r="D1326" s="2" t="str">
        <f>IFERROR(__xludf.DUMMYFUNCTION("GOOGLETRANSLATE(B1326, ""en"", ""TL"")"),"Maaari bang humingi ng legal na mga remedyo ang mga indibidwal kung hindi sila nabigyan ng access sa mga gamot o paggamot na nagliligtas-buhay dahil sa katiwalian sa loob ng sistema ng pangangalagang pangkalusugan?")</f>
        <v>Maaari bang humingi ng legal na mga remedyo ang mga indibidwal kung hindi sila nabigyan ng access sa mga gamot o paggamot na nagliligtas-buhay dahil sa katiwalian sa loob ng sistema ng pangangalagang pangkalusugan?</v>
      </c>
      <c r="E1326" s="2" t="str">
        <f>IFERROR(__xludf.DUMMYFUNCTION("GOOGLETRANSLATE(C1326, ""en"", ""TL"")"),"Oo! ngunit sa kasamaang-palad, sa Pilipinas, ang paghahanap ng mga legal na remedyo para sa **pagkait sa pag-access sa mga gamot o paggamot na nagliligtas-buhay dahil sa katiwalian** ay masalimuot at nahaharap sa mga hamon, ngunit hindi ito imposible. Nar"&amp;"ito ang isang breakdown ng sitwasyon:
**Mga Hamon:**
* **Sanhi:** Ang pagpapatunay ng isang malinaw na **causal link** sa pagitan ng katiwalian at pagtanggi sa pag-access ay napakahalaga. Kailangan mong ipakita ang katiwalian na direktang humadlang sa i"&amp;"yong pag-access sa partikular na gamot o paggamot at hindi sa iba pang mga salik tulad ng mga limitasyon sa insurance o kawalan ng kakayahang magamit.
* **Ebidensya:** Ang pangangalap ng **matibay na ebidensya** ng katiwalian, ang iyong pangangailangan pa"&amp;"ra sa gamot/paggamot, at ang pagtanggi sa pag-access ay mahalaga. Maaaring kabilang dito ang mga medikal na rekord, komunikasyon sa mga tagapagbigay ng pangangalagang pangkalusugan, at dokumentasyon ng mga tiwaling gawi.
* **Burden of proof:** Ang **burde"&amp;"n of proof** ay nasa iyo upang ipakita ang lahat ng elemento ng iyong claim, kabilang ang katiwalian, epekto nito sa iyong kaso, at ang nagresultang pinsala sa iyong kalusugan.
* **Pagiging kumplikado at mga gastos:** Ang paghahabol ng legal na aksyon ay "&amp;"maaaring **makaubos ng oras, magastos**, at nangangailangan ng espesyal na legal na kadalubhasaan sa batas sa pangangalagang pangkalusugan at sibil na paglilitis.
**Mga Potensyal na Avenue:**
* **Sibil na demanda:** Maaari kang magsampa ng **sibil na de"&amp;"manda** para sa mga danyos laban sa institusyon ng pangangalagang pangkalusugan o mga indibidwal na sangkot sa katiwalian, paratang ng paglabag sa kontrata, paglabag sa tungkulin ng fiduciary, o paglabag sa iyong karapatan sa kalusugan. Gayunpaman, ang pa"&amp;"gpapatunay ng partikular na pinsala at sanhi ay maaaring maging mahirap.
* **Mga reklamong administratibo:** Maaari kang magsampa ng reklamo sa **Department of Health, Philippine National Police, o Office of the Ombudsman** laban sa institusyon ng pangang"&amp;"alagang pangkalusugan o mga indibidwal na kasangkot. Maaaring hindi ito humantong sa direktang kabayaran ngunit maaaring mag-trigger ng mga pagsisiyasat at panagutin ang mga may kasalanan.
* **Pampublikong adbokasiya:** Ang pagpapataas ng kamalayan sa pam"&amp;"amagitan ng **media o online na mga platform** tungkol sa iyong kaso at ang mas malawak na isyu ng katiwalian ay maaaring magpilit sa mga awtoridad na kumilos at posibleng humantong sa mga pagbabago sa patakaran.
**Mga Karagdagang Pagsasaalang-alang:**
"&amp;"* **Mga Alternatibo:** Ang paggalugad ng iba pang mga paraan tulad ng paghahanap ng gamot/paggamot sa pamamagitan ng mga alternatibong mapagkukunan o pagtataguyod para sa mga sistematikong pagbabago sa pamamagitan ng mga pangkat ng adbokasiya ng pasyente "&amp;"ay maaaring maging mas magagawa o komplementaryo sa legal na aksyon.
* **Mga indibidwal na pangyayari:** Ang bawat kaso ay natatangi, at ang pagkonsulta sa isang abogadong may karanasan sa batas sa pangangalagang pangkalusugan ay mahalaga para sa isang de"&amp;"talyadong pagtatasa ng iyong sitwasyon at mga potensyal na legal na opsyon.
* **Mga legal na pag-unlad:** Ang sistema ng pangangalagang pangkalusugan ng Pilipinas ay sumasailalim sa mga reporma at ang legal na tanawin ay maaaring umunlad sa hinaharap, na "&amp;"posibleng mag-alok ng higit pang mga paraan para sa pagtugon sa mga ganitong kaso.
**Tandaan:**
* Ang impormasyong ito ay para sa pangkalahatang pag-unawa at hindi dapat ituring na legal na payo. Ang pagkonsulta sa isang abogado para sa mga partikular n"&amp;"a detalye at legal na interpretasyon ay mahalaga.
* Bagama't maaaring maging mahirap ang legal na landas, ang paghabol sa hustisya at pagpapanagot sa mga may kasalanan ay mahalaga upang hadlangan ang katiwalian sa hinaharap at matiyak ang pantay na pag-ac"&amp;"cess sa pangangalagang pangkalusugan para sa lahat.
Sana makatulong ang impormasyong ito. Mangyaring ipaalam sa akin kung mayroon kang anumang iba pang mga katanungan.")</f>
        <v>Oo! ngunit sa kasamaang-palad, sa Pilipinas, ang paghahanap ng mga legal na remedyo para sa **pagkait sa pag-access sa mga gamot o paggamot na nagliligtas-buhay dahil sa katiwalian** ay masalimuot at nahaharap sa mga hamon, ngunit hindi ito imposible. Narito ang isang breakdown ng sitwasyon:
**Mga Hamon:**
* **Sanhi:** Ang pagpapatunay ng isang malinaw na **causal link** sa pagitan ng katiwalian at pagtanggi sa pag-access ay napakahalaga. Kailangan mong ipakita ang katiwalian na direktang humadlang sa iyong pag-access sa partikular na gamot o paggamot at hindi sa iba pang mga salik tulad ng mga limitasyon sa insurance o kawalan ng kakayahang magamit.
* **Ebidensya:** Ang pangangalap ng **matibay na ebidensya** ng katiwalian, ang iyong pangangailangan para sa gamot/paggamot, at ang pagtanggi sa pag-access ay mahalaga. Maaaring kabilang dito ang mga medikal na rekord, komunikasyon sa mga tagapagbigay ng pangangalagang pangkalusugan, at dokumentasyon ng mga tiwaling gawi.
* **Burden of proof:** Ang **burden of proof** ay nasa iyo upang ipakita ang lahat ng elemento ng iyong claim, kabilang ang katiwalian, epekto nito sa iyong kaso, at ang nagresultang pinsala sa iyong kalusugan.
* **Pagiging kumplikado at mga gastos:** Ang paghahabol ng legal na aksyon ay maaaring **makaubos ng oras, magastos**, at nangangailangan ng espesyal na legal na kadalubhasaan sa batas sa pangangalagang pangkalusugan at sibil na paglilitis.
**Mga Potensyal na Avenue:**
* **Sibil na demanda:** Maaari kang magsampa ng **sibil na demanda** para sa mga danyos laban sa institusyon ng pangangalagang pangkalusugan o mga indibidwal na sangkot sa katiwalian, paratang ng paglabag sa kontrata, paglabag sa tungkulin ng fiduciary, o paglabag sa iyong karapatan sa kalusugan. Gayunpaman, ang pagpapatunay ng partikular na pinsala at sanhi ay maaaring maging mahirap.
* **Mga reklamong administratibo:** Maaari kang magsampa ng reklamo sa **Department of Health, Philippine National Police, o Office of the Ombudsman** laban sa institusyon ng pangangalagang pangkalusugan o mga indibidwal na kasangkot. Maaaring hindi ito humantong sa direktang kabayaran ngunit maaaring mag-trigger ng mga pagsisiyasat at panagutin ang mga may kasalanan.
* **Pampublikong adbokasiya:** Ang pagpapataas ng kamalayan sa pamamagitan ng **media o online na mga platform** tungkol sa iyong kaso at ang mas malawak na isyu ng katiwalian ay maaaring magpilit sa mga awtoridad na kumilos at posibleng humantong sa mga pagbabago sa patakaran.
**Mga Karagdagang Pagsasaalang-alang:**
* **Mga Alternatibo:** Ang paggalugad ng iba pang mga paraan tulad ng paghahanap ng gamot/paggamot sa pamamagitan ng mga alternatibong mapagkukunan o pagtataguyod para sa mga sistematikong pagbabago sa pamamagitan ng mga pangkat ng adbokasiya ng pasyente ay maaaring maging mas magagawa o komplementaryo sa legal na aksyon.
* **Mga indibidwal na pangyayari:** Ang bawat kaso ay natatangi, at ang pagkonsulta sa isang abogadong may karanasan sa batas sa pangangalagang pangkalusugan ay mahalaga para sa isang detalyadong pagtatasa ng iyong sitwasyon at mga potensyal na legal na opsyon.
* **Mga legal na pag-unlad:** Ang sistema ng pangangalagang pangkalusugan ng Pilipinas ay sumasailalim sa mga reporma at ang legal na tanawin ay maaaring umunlad sa hinaharap, na posibleng mag-alok ng higit pang mga paraan para sa pagtugon sa mga ganitong kaso.
**Tandaan:**
* Ang impormasyong ito ay para sa pangkalahatang pag-unawa at hindi dapat ituring na legal na payo. Ang pagkonsulta sa isang abogado para sa mga partikular na detalye at legal na interpretasyon ay mahalaga.
* Bagama't maaaring maging mahirap ang legal na landas, ang paghabol sa hustisya at pagpapanagot sa mga may kasalanan ay mahalaga upang hadlangan ang katiwalian sa hinaharap at matiyak ang pantay na pag-access sa pangangalagang pangkalusugan para sa lahat.
Sana makatulong ang impormasyong ito. Mangyaring ipaalam sa akin kung mayroon kang anumang iba pang mga katanungan.</v>
      </c>
      <c r="F1326" s="2">
        <f t="shared" si="1"/>
        <v>0</v>
      </c>
      <c r="G1326" s="2"/>
      <c r="H1326" s="2"/>
      <c r="I1326" s="2"/>
      <c r="J1326" s="2"/>
      <c r="K1326" s="2"/>
      <c r="L1326" s="2"/>
      <c r="M1326" s="2"/>
      <c r="N1326" s="2"/>
      <c r="O1326" s="2"/>
      <c r="P1326" s="2"/>
      <c r="Q1326" s="2"/>
      <c r="R1326" s="2"/>
      <c r="S1326" s="2"/>
      <c r="T1326" s="2"/>
      <c r="U1326" s="2"/>
      <c r="V1326" s="2"/>
      <c r="W1326" s="2"/>
      <c r="X1326" s="2"/>
      <c r="Y1326" s="2"/>
      <c r="Z1326" s="2"/>
      <c r="AA1326" s="2"/>
    </row>
    <row r="1327">
      <c r="A1327" s="1" t="s">
        <v>3356</v>
      </c>
      <c r="B1327" s="1" t="s">
        <v>3819</v>
      </c>
      <c r="C1327" s="1" t="s">
        <v>3820</v>
      </c>
      <c r="D1327" s="2" t="str">
        <f>IFERROR(__xludf.DUMMYFUNCTION("GOOGLETRANSLATE(B1327, ""en"", ""TL"")"),"Paano matitiyak ng mga pasyente na ang kanilang medikal na pananaliksik o mga klinikal na pagsubok ay hindi naiimpluwensyahan ng mga tiwaling gawain?")</f>
        <v>Paano matitiyak ng mga pasyente na ang kanilang medikal na pananaliksik o mga klinikal na pagsubok ay hindi naiimpluwensyahan ng mga tiwaling gawain?</v>
      </c>
      <c r="E1327" s="2" t="str">
        <f>IFERROR(__xludf.DUMMYFUNCTION("GOOGLETRANSLATE(C1327, ""en"", ""TL"")"),"Ang pagtiyak na ang iyong medikal na pananaliksik o paglahok sa klinikal na pagsubok ay mananatiling libre mula sa mga tiwaling gawi ay nangangailangan ng pagbabantay at mga aktibong hakbang. Bagama't imposible ang kumpletong pag-aalis ng panganib, narito"&amp;" ang ilang mga diskarte na maaari mong gamitin:
**Bago Lumahok:**
* **Saliksikin ang pag-aaral at isponsor:** Magsagawa ng masusing pananaliksik sa mismong pag-aaral, mga layunin nito, at ang institusyong nag-iisponsor. Maghanap ng mga kagalang-galang na "&amp;"organisasyon na may napatunayang track record ng etikal na pananaliksik.
* **Suriin ang dokumento ng may-alam na pahintulot:** Maingat na basahin at unawain ang dokumentong may kaalamang pahintulot. Magtanong at linawin ang anumang mga pagdududa mo tungko"&amp;"l sa mga potensyal na panganib, benepisyo, at mga kasanayan sa pangangasiwa ng data.
* **Kumonsulta sa isang independiyenteng propesyonal sa pangangalagang pangkalusugan:** Talakayin ang pag-aaral sa iyong doktor o ibang propesyonal sa pangangalagang pang"&amp;"kalusugan na hindi kasama sa pananaliksik. Humingi ng kanilang independiyenteng opinyon at payo sa mga potensyal na panganib at benepisyo na partikular sa iyong sitwasyon.
**Sa panahon ng Pag-aaral:**
* **Mag-ulat ng anumang mga alalahanin:** Kung nakakit"&amp;"a ka ng anumang hindi etikal na gawi o pinaghihinalaan mo ang katiwalian, iulat kaagad ang mga ito sa imbestigador ng pag-aaral o mga may-katuturang awtoridad.
* **Panatilihin ang malinaw na komunikasyon:** Magtanong at ipahayag ang iyong mga alalahanin n"&amp;"ang hayagan sa pangkat ng pananaliksik. Huwag mag-atubiling magsalita kung napipilitan ka o hindi komportable sa anumang aspeto ng pag-aaral.
* **Manatiling may kaalaman:** Panatilihing updated ang iyong sarili sa pag-unlad ng pananaliksik at anumang mga "&amp;"pag-unlad na nauugnay sa pag-aaral.
**Mga Karagdagang Mapagkukunan:**
* **ClinicalTrials.gov:** Ang website ng gobyerno ng U.S. na ito ay nagbibigay ng komprehensibong impormasyon sa mga klinikal na pagsubok, kabilang ang kanilang mga sponsor at pinagmumu"&amp;"lan ng pagpopondo.
* **World Health Organization (WHO):** Ang WHO ay nagbibigay ng mga mapagkukunan at mga alituntunin para sa etikal na pagsasagawa ng pananaliksik.
* **Mga independent ethics committee (IECs):** Ang ilang mga ospital at institusyon ng pa"&amp;"nanaliksik ay may mga independiyenteng komite sa etika na nagsusuri at nag-aapruba ng mga protocol ng pananaliksik. Makipag-ugnayan sa kanila kung mayroon kang mga alalahanin tungkol sa isang partikular na pag-aaral.
* **Patient advocacy groups:** Patient"&amp;" advocacy group ay maaaring mag-alok ng suporta at gabay sa pag-navigate sa mga klinikal na pagsubok at pag-unawa sa iyong mga karapatan bilang kalahok.
**Tandaan:**
* **Pagpapalakas sa pamamagitan ng kaalaman:** Kung mas may kaalaman ka, mas mahusay kang"&amp;" nasasangkapan upang matukoy at matugunan ang mga potensyal na alalahanin.
* **Mahalaga ang iyong boses:** Magsalita kung may nakita kang mali. Ang pag-uulat ng mga hindi etikal na gawi ay mahalaga para sa pagprotekta sa iyong sarili at sa iba pang mga ka"&amp;"lahok.
* **Humingi ng suporta:** Huwag mag-atubiling humingi ng tulong mula sa mga independiyenteng propesyonal sa pangangalagang pangkalusugan, mga pangkat ng adbokasiya ng pasyente, o mga may-katuturang awtoridad kung kinakailangan.
Bagama't imposibleng"&amp;" alisin ang lahat ng panganib ng katiwalian sa pananaliksik, sa pamamagitan ng pagsasagawa ng mga hakbang na ito at pananatiling mapagbantay, maaari mong pataasin ang mga pagkakataong makilahok sa etikal at mapagkakatiwalaang medikal na pananaliksik.")</f>
        <v>Ang pagtiyak na ang iyong medikal na pananaliksik o paglahok sa klinikal na pagsubok ay mananatiling libre mula sa mga tiwaling gawi ay nangangailangan ng pagbabantay at mga aktibong hakbang. Bagama't imposible ang kumpletong pag-aalis ng panganib, narito ang ilang mga diskarte na maaari mong gamitin:
**Bago Lumahok:**
* **Saliksikin ang pag-aaral at isponsor:** Magsagawa ng masusing pananaliksik sa mismong pag-aaral, mga layunin nito, at ang institusyong nag-iisponsor. Maghanap ng mga kagalang-galang na organisasyon na may napatunayang track record ng etikal na pananaliksik.
* **Suriin ang dokumento ng may-alam na pahintulot:** Maingat na basahin at unawain ang dokumentong may kaalamang pahintulot. Magtanong at linawin ang anumang mga pagdududa mo tungkol sa mga potensyal na panganib, benepisyo, at mga kasanayan sa pangangasiwa ng data.
* **Kumonsulta sa isang independiyenteng propesyonal sa pangangalagang pangkalusugan:** Talakayin ang pag-aaral sa iyong doktor o ibang propesyonal sa pangangalagang pangkalusugan na hindi kasama sa pananaliksik. Humingi ng kanilang independiyenteng opinyon at payo sa mga potensyal na panganib at benepisyo na partikular sa iyong sitwasyon.
**Sa panahon ng Pag-aaral:**
* **Mag-ulat ng anumang mga alalahanin:** Kung nakakita ka ng anumang hindi etikal na gawi o pinaghihinalaan mo ang katiwalian, iulat kaagad ang mga ito sa imbestigador ng pag-aaral o mga may-katuturang awtoridad.
* **Panatilihin ang malinaw na komunikasyon:** Magtanong at ipahayag ang iyong mga alalahanin nang hayagan sa pangkat ng pananaliksik. Huwag mag-atubiling magsalita kung napipilitan ka o hindi komportable sa anumang aspeto ng pag-aaral.
* **Manatiling may kaalaman:** Panatilihing updated ang iyong sarili sa pag-unlad ng pananaliksik at anumang mga pag-unlad na nauugnay sa pag-aaral.
**Mga Karagdagang Mapagkukunan:**
* **ClinicalTrials.gov:** Ang website ng gobyerno ng U.S. na ito ay nagbibigay ng komprehensibong impormasyon sa mga klinikal na pagsubok, kabilang ang kanilang mga sponsor at pinagmumulan ng pagpopondo.
* **World Health Organization (WHO):** Ang WHO ay nagbibigay ng mga mapagkukunan at mga alituntunin para sa etikal na pagsasagawa ng pananaliksik.
* **Mga independent ethics committee (IECs):** Ang ilang mga ospital at institusyon ng pananaliksik ay may mga independiyenteng komite sa etika na nagsusuri at nag-aapruba ng mga protocol ng pananaliksik. Makipag-ugnayan sa kanila kung mayroon kang mga alalahanin tungkol sa isang partikular na pag-aaral.
* **Patient advocacy groups:** Patient advocacy group ay maaaring mag-alok ng suporta at gabay sa pag-navigate sa mga klinikal na pagsubok at pag-unawa sa iyong mga karapatan bilang kalahok.
**Tandaan:**
* **Pagpapalakas sa pamamagitan ng kaalaman:** Kung mas may kaalaman ka, mas mahusay kang nasasangkapan upang matukoy at matugunan ang mga potensyal na alalahanin.
* **Mahalaga ang iyong boses:** Magsalita kung may nakita kang mali. Ang pag-uulat ng mga hindi etikal na gawi ay mahalaga para sa pagprotekta sa iyong sarili at sa iba pang mga kalahok.
* **Humingi ng suporta:** Huwag mag-atubiling humingi ng tulong mula sa mga independiyenteng propesyonal sa pangangalagang pangkalusugan, mga pangkat ng adbokasiya ng pasyente, o mga may-katuturang awtoridad kung kinakailangan.
Bagama't imposibleng alisin ang lahat ng panganib ng katiwalian sa pananaliksik, sa pamamagitan ng pagsasagawa ng mga hakbang na ito at pananatiling mapagbantay, maaari mong pataasin ang mga pagkakataong makilahok sa etikal at mapagkakatiwalaang medikal na pananaliksik.</v>
      </c>
      <c r="F1327" s="2">
        <f t="shared" si="1"/>
        <v>0</v>
      </c>
      <c r="G1327" s="2"/>
      <c r="H1327" s="2"/>
      <c r="I1327" s="2"/>
      <c r="J1327" s="2"/>
      <c r="K1327" s="2"/>
      <c r="L1327" s="2"/>
      <c r="M1327" s="2"/>
      <c r="N1327" s="2"/>
      <c r="O1327" s="2"/>
      <c r="P1327" s="2"/>
      <c r="Q1327" s="2"/>
      <c r="R1327" s="2"/>
      <c r="S1327" s="2"/>
      <c r="T1327" s="2"/>
      <c r="U1327" s="2"/>
      <c r="V1327" s="2"/>
      <c r="W1327" s="2"/>
      <c r="X1327" s="2"/>
      <c r="Y1327" s="2"/>
      <c r="Z1327" s="2"/>
      <c r="AA1327" s="2"/>
    </row>
    <row r="1328">
      <c r="A1328" s="1" t="s">
        <v>3356</v>
      </c>
      <c r="B1328" s="1" t="s">
        <v>3821</v>
      </c>
      <c r="C1328" s="1" t="s">
        <v>3822</v>
      </c>
      <c r="D1328" s="2" t="str">
        <f>IFERROR(__xludf.DUMMYFUNCTION("GOOGLETRANSLATE(B1328, ""en"", ""TL"")"),"Maaari bang gumawa ng legal na aksyon ang mga indibidwal laban sa mga propesyonal sa pangangalagang pangkalusugan para sa mga paglabag sa pagiging kumpidensyal ng pasyente na may kaugnayan sa katiwalian?")</f>
        <v>Maaari bang gumawa ng legal na aksyon ang mga indibidwal laban sa mga propesyonal sa pangangalagang pangkalusugan para sa mga paglabag sa pagiging kumpidensyal ng pasyente na may kaugnayan sa katiwalian?</v>
      </c>
      <c r="E1328" s="2" t="str">
        <f>IFERROR(__xludf.DUMMYFUNCTION("GOOGLETRANSLATE(C1328, ""en"", ""TL"")"),"Bagama't ang mga indibidwal sa Pilipinas **maaaring may mga potensyal na batayan upang magsagawa ng legal na aksyon laban sa mga propesyonal sa pangangalagang pangkalusugan para sa mga paglabag sa pagiging kompidensiyal ng pasyente na may kaugnayan sa kat"&amp;"iwalian**, ang tagumpay ay nakasalalay sa ilang mga salik at partikular na mga pangyayari. Narito ang isang breakdown batay sa batas ng Pilipinas, RA, at Konstitusyon:
**Mga Potensyal na Grounds at Hamon:**
* **Paglabag sa Pagiging Kompidensyal ng Pasyent"&amp;"e:** Ang mga propesyonal sa pangangalagang pangkalusugan ay may **katiwalaang tungkulin** upang pangalagaan ang pagiging kumpidensyal ng pasyente. Ang pagbabahagi ng kumpidensyal na impormasyon nang walang pahintulot ay maaaring ituring na isang paglabag "&amp;"sa tungkuling ito at posibleng lumabag sa Data Privacy Act (RA 10173).
* **Koneksyon sa Korapsyon:** Upang palakasin ang kaso, kailangan mong **magpakita ng malinaw na ugnayan** sa pagitan ng paglabag sa pagiging kumpidensyal at ng mga tiwaling aktibidad."&amp;" Maaaring hindi sapat ang simpleng pagbabahagi ng impormasyon nang walang pahintulot.
* **Pansala na Sanhi:** Dapat kang **magpakita ng pinsala** na nagreresulta mula sa paglabag sa pagiging kumpidensyal, gaya ng pagkawala sa pananalapi, emosyonal na pagk"&amp;"abalisa, o pinsala sa reputasyon.
* **Pagtitipon ng Ebidensya:** Ang pagpapatunay ng paglabag, ang koneksyon nito sa katiwalian, at ang nagresultang pinsala ay nangangailangan ng **matibay na ebidensya**, kabilang ang mga medikal na rekord, mga talaan ng "&amp;"komunikasyon, at mga testimonya ng saksi.
**Mga Legal na Avenue at Hamon:**
* **Civil Lawsuit:** Maaari kang magsampa ng **civil lawsuit** para sa mga danyos laban sa healthcare professional para sa paglabag sa kontrata, paglabag sa tungkulin ng fiduciary"&amp;", o paglabag sa Data Privacy Act. Gayunpaman, ang pagpapatunay ng partikular na pinsala at sanhi ay maaaring maging mahirap.
* **Mga Reklamo sa Administratibo:** Maaari kang magsampa ng reklamo sa **Professional Regulation Commission (PRC)** o mga nauugna"&amp;"y na regulatory body laban sa healthcare professional para sa mga paglabag sa etika. Maaaring magresulta ito sa aksyong pandisiplina ngunit hindi kinakailangang kabayaran sa pananalapi.
* **Reklamo sa Kriminal:** Kung ang paglabag sa pagiging kompidensiya"&amp;"l ay nagsasangkot ng pagsisiwalat ng impormasyon para sa personal na pakinabang o malisyosong layunin, maaari mong isaalang-alang ang paghahain ng **reklamong kriminal** para sa mga paglabag sa Binagong Kodigo Penal o iba pang nauugnay na batas. Gayunpama"&amp;"n, ang rutang ito ay karaniwang nangangailangan ng mas matibay na ebidensya at partikular na layunin.
**Mahahalagang Paalala:**
* **Pagiging Kumplikado at Kahirapan:** Ang paghahabol ng legal na aksyon laban sa mga propesyonal sa pangangalagang pangkalusu"&amp;"gan para sa mga paglabag sa pagiging kumpidensyal na nauugnay sa katiwalian ay maaaring maging kumplikado at masinsinang mapagkukunan.
* **Mga Alternatibo:** Ang paggalugad sa iba pang mga paraan tulad ng pag-uulat ng katiwalian sa mga may-katuturang awto"&amp;"ridad o pagtataguyod para sa mga sistematikong pagbabago sa pamamagitan ng mga pangkat ng pagtataguyod ng pasyente ay maaaring maging mas magagawa.
* **Mga Indibidwal na Kalagayan:** Ang bawat kaso ay nakadepende sa mga partikular na katotohanan at pangya"&amp;"yari. Kumonsulta sa isang abogadong may karanasan sa batas sa pangangalagang pangkalusugan at privacy ng data para sa isang detalyadong pagtatasa ng iyong sitwasyon at mga potensyal na legal na opsyon.
Tandaan, ang impormasyong ito ay para sa pangkalahata"&amp;"ng pag-unawa at hindi dapat ituring na legal na payo. Ang pagkonsulta sa isang abogado para sa mga partikular na detalye at legal na interpretasyon ay mahalaga.")</f>
        <v>Bagama't ang mga indibidwal sa Pilipinas **maaaring may mga potensyal na batayan upang magsagawa ng legal na aksyon laban sa mga propesyonal sa pangangalagang pangkalusugan para sa mga paglabag sa pagiging kompidensiyal ng pasyente na may kaugnayan sa katiwalian**, ang tagumpay ay nakasalalay sa ilang mga salik at partikular na mga pangyayari. Narito ang isang breakdown batay sa batas ng Pilipinas, RA, at Konstitusyon:
**Mga Potensyal na Grounds at Hamon:**
* **Paglabag sa Pagiging Kompidensyal ng Pasyente:** Ang mga propesyonal sa pangangalagang pangkalusugan ay may **katiwalaang tungkulin** upang pangalagaan ang pagiging kumpidensyal ng pasyente. Ang pagbabahagi ng kumpidensyal na impormasyon nang walang pahintulot ay maaaring ituring na isang paglabag sa tungkuling ito at posibleng lumabag sa Data Privacy Act (RA 10173).
* **Koneksyon sa Korapsyon:** Upang palakasin ang kaso, kailangan mong **magpakita ng malinaw na ugnayan** sa pagitan ng paglabag sa pagiging kumpidensyal at ng mga tiwaling aktibidad. Maaaring hindi sapat ang simpleng pagbabahagi ng impormasyon nang walang pahintulot.
* **Pansala na Sanhi:** Dapat kang **magpakita ng pinsala** na nagreresulta mula sa paglabag sa pagiging kumpidensyal, gaya ng pagkawala sa pananalapi, emosyonal na pagkabalisa, o pinsala sa reputasyon.
* **Pagtitipon ng Ebidensya:** Ang pagpapatunay ng paglabag, ang koneksyon nito sa katiwalian, at ang nagresultang pinsala ay nangangailangan ng **matibay na ebidensya**, kabilang ang mga medikal na rekord, mga talaan ng komunikasyon, at mga testimonya ng saksi.
**Mga Legal na Avenue at Hamon:**
* **Civil Lawsuit:** Maaari kang magsampa ng **civil lawsuit** para sa mga danyos laban sa healthcare professional para sa paglabag sa kontrata, paglabag sa tungkulin ng fiduciary, o paglabag sa Data Privacy Act. Gayunpaman, ang pagpapatunay ng partikular na pinsala at sanhi ay maaaring maging mahirap.
* **Mga Reklamo sa Administratibo:** Maaari kang magsampa ng reklamo sa **Professional Regulation Commission (PRC)** o mga nauugnay na regulatory body laban sa healthcare professional para sa mga paglabag sa etika. Maaaring magresulta ito sa aksyong pandisiplina ngunit hindi kinakailangang kabayaran sa pananalapi.
* **Reklamo sa Kriminal:** Kung ang paglabag sa pagiging kompidensiyal ay nagsasangkot ng pagsisiwalat ng impormasyon para sa personal na pakinabang o malisyosong layunin, maaari mong isaalang-alang ang paghahain ng **reklamong kriminal** para sa mga paglabag sa Binagong Kodigo Penal o iba pang nauugnay na batas. Gayunpaman, ang rutang ito ay karaniwang nangangailangan ng mas matibay na ebidensya at partikular na layunin.
**Mahahalagang Paalala:**
* **Pagiging Kumplikado at Kahirapan:** Ang paghahabol ng legal na aksyon laban sa mga propesyonal sa pangangalagang pangkalusugan para sa mga paglabag sa pagiging kumpidensyal na nauugnay sa katiwalian ay maaaring maging kumplikado at masinsinang mapagkukunan.
* **Mga Alternatibo:** Ang paggalugad sa iba pang mga paraan tulad ng pag-uulat ng katiwalian sa mga may-katuturang awtoridad o pagtataguyod para sa mga sistematikong pagbabago sa pamamagitan ng mga pangkat ng pagtataguyod ng pasyente ay maaaring maging mas magagawa.
* **Mga Indibidwal na Kalagayan:** Ang bawat kaso ay nakadepende sa mga partikular na katotohanan at pangyayari. Kumonsulta sa isang abogadong may karanasan sa batas sa pangangalagang pangkalusugan at privacy ng data para sa isang detalyadong pagtatasa ng iyong sitwasyon at mga potensyal na legal na opsyon.
Tandaan, ang impormasyong ito ay para sa pangkalahatang pag-unawa at hindi dapat ituring na legal na payo. Ang pagkonsulta sa isang abogado para sa mga partikular na detalye at legal na interpretasyon ay mahalaga.</v>
      </c>
      <c r="F1328" s="2">
        <f t="shared" si="1"/>
        <v>0</v>
      </c>
      <c r="G1328" s="2"/>
      <c r="H1328" s="2"/>
      <c r="I1328" s="2"/>
      <c r="J1328" s="2"/>
      <c r="K1328" s="2"/>
      <c r="L1328" s="2"/>
      <c r="M1328" s="2"/>
      <c r="N1328" s="2"/>
      <c r="O1328" s="2"/>
      <c r="P1328" s="2"/>
      <c r="Q1328" s="2"/>
      <c r="R1328" s="2"/>
      <c r="S1328" s="2"/>
      <c r="T1328" s="2"/>
      <c r="U1328" s="2"/>
      <c r="V1328" s="2"/>
      <c r="W1328" s="2"/>
      <c r="X1328" s="2"/>
      <c r="Y1328" s="2"/>
      <c r="Z1328" s="2"/>
      <c r="AA1328" s="2"/>
    </row>
    <row r="1329">
      <c r="A1329" s="1" t="s">
        <v>3356</v>
      </c>
      <c r="B1329" s="1" t="s">
        <v>3823</v>
      </c>
      <c r="C1329" s="1" t="s">
        <v>3824</v>
      </c>
      <c r="D1329" s="2" t="str">
        <f>IFERROR(__xludf.DUMMYFUNCTION("GOOGLETRANSLATE(B1329, ""en"", ""TL"")"),"Anong mga legal na proteksyon ang umiiral para sa mga pasyenteng dumaranas ng emosyonal o sikolohikal na pinsala dahil sa katiwalian sa loob ng sistema ng pangangalagang pangkalusugan?")</f>
        <v>Anong mga legal na proteksyon ang umiiral para sa mga pasyenteng dumaranas ng emosyonal o sikolohikal na pinsala dahil sa katiwalian sa loob ng sistema ng pangangalagang pangkalusugan?</v>
      </c>
      <c r="E1329" s="2" t="str">
        <f>IFERROR(__xludf.DUMMYFUNCTION("GOOGLETRANSLATE(C1329, ""en"", ""TL"")"),"Oo! ngunit sa kasamaang-palad, sa Pilipinas, **mga legal na proteksyon para sa mga pasyenteng naghahanap ng kabayaran para sa emosyonal o sikolohikal na pinsala dahil sa katiwalian sa loob ng sistema ng pangangalagang pangkalusugan ay limitado**. Narito a"&amp;"ng isang breakdown ng mga hamon at potensyal na paraan para sa paghingi ng lunas:
**Mga Hamon:**
* **Mga kahirapan sa pagpapatunay ng sanhi:** Ang direktang pag-uugnay ng emosyonal o sikolohikal na pinsala sa katiwalian ay maaaring maging hamon, na nangan"&amp;"gailangan ng matibay na ebidensya at patotoo ng ekspertong saksi.
* **Limitadong legal na pagkilala:** Pangunahing nakatuon ang batas ng Pilipinas sa kabayaran para sa pisikal na pinsala o pagkalugi sa pananalapi, na nagpapahirap sa pag-claim ng mga pinsa"&amp;"la para sa emosyonal o sikolohikal na pagkabalisa lamang.
* **Burden of proof:** Ang pasanin ng patunay ay nakasalalay sa pasyente upang ipakita ang parehong mga tiwaling gawi at ang resulta ng emosyonal o sikolohikal na pinsala nito.
* **Pagiging kumplik"&amp;"ado ng mga legal na pamamaraan:** Ang paghahabol ng legal na aksyon ay maaaring mahaba, magastos, at nangangailangan ng espesyal na legal na kadalubhasaan sa batas sa pangangalagang pangkalusugan at mga kaso ng personal na pinsala.
**Mga Potensyal na Aven"&amp;"ue:**
* **Mga reklamong sibil:** Habang hinahamon, maaaring maging posible ang paghahain ng reklamong sibil laban sa institusyon ng pangangalagang pangkalusugan kung maipapakita mo ang katiwalian na nagresulta sa paglabag sa kontrata o tungkulin ng fiduci"&amp;"ary, na humahantong sa emosyonal na pinsala.
* **Mga reklamong pang-administratibo:** Ang pag-uulat ng katiwalian sa mga regulatory body tulad ng Department of Health o Office of the Ombudsman ay maaaring mag-trigger ng mga pagsisiyasat at posibleng human"&amp;"tong sa aksyong pandisiplina laban sa mga healthcare provider, bagama't maaaring hindi ito direktang magbigay ng kabayaran.
* **Adbokasiya at sama-samang pagkilos:** Ang pagsali o pagsuporta sa mga pangkat ng adbokasiya ng pasyente ay maaaring magpalakas "&amp;"ng mga boses, magpapataas ng kamalayan tungkol sa isyu, at magsulong ng mga legal na reporma upang palakasin ang mga proteksyon para sa mga pasyenteng apektado ng katiwalian.
**Mga Karagdagang Pagsasaalang-alang:**
* **Naghahanap ng propesyonal na suporta"&amp;":** Ang pagtugon sa emosyonal o sikolohikal na pagkabalisa na dulot ng karanasan ay napakahalaga. Pag-isipang humingi ng pagpapayo o therapy mula sa mga kwalipikadong propesyonal.
* **Pagtitipon ng ebidensya:** Ang pagdodokumento ng mga tiwaling gawi, pak"&amp;"ikipag-ugnayan sa mga tagapagbigay ng pangangalagang pangkalusugan, at anumang ebidensya ng emosyonal na pagkabalisa ay maaaring makatulong kung pipiliin mong ituloy ang legal na aksyon sa hinaharap.
* **Pagkonsulta sa isang abogado:** Bagama't maaaring l"&amp;"imitado ang mga legal na opsyon, ang pagkonsulta sa isang abogadong may karanasan sa batas sa pangangalagang pangkalusugan ay makakatulong sa iyong maunawaan ang iyong mga karapatan, galugarin ang mga potensyal na paraan, at masuri ang pagiging posible ng"&amp;" pagsulong ng legal na aksyon.
**Tandaan:**
Ang impormasyong ito ay para sa pangkalahatang pag-unawa at hindi dapat ituring na legal na payo. Ang bawat kaso ay nakasalalay sa mga tiyak na katotohanan at pangyayari. Ang pagkonsulta sa isang abogado para sa"&amp;" personalized na patnubay at mga potensyal na legal na opsyon ay lubos na inirerekomenda.")</f>
        <v>Oo! ngunit sa kasamaang-palad, sa Pilipinas, **mga legal na proteksyon para sa mga pasyenteng naghahanap ng kabayaran para sa emosyonal o sikolohikal na pinsala dahil sa katiwalian sa loob ng sistema ng pangangalagang pangkalusugan ay limitado**. Narito ang isang breakdown ng mga hamon at potensyal na paraan para sa paghingi ng lunas:
**Mga Hamon:**
* **Mga kahirapan sa pagpapatunay ng sanhi:** Ang direktang pag-uugnay ng emosyonal o sikolohikal na pinsala sa katiwalian ay maaaring maging hamon, na nangangailangan ng matibay na ebidensya at patotoo ng ekspertong saksi.
* **Limitadong legal na pagkilala:** Pangunahing nakatuon ang batas ng Pilipinas sa kabayaran para sa pisikal na pinsala o pagkalugi sa pananalapi, na nagpapahirap sa pag-claim ng mga pinsala para sa emosyonal o sikolohikal na pagkabalisa lamang.
* **Burden of proof:** Ang pasanin ng patunay ay nakasalalay sa pasyente upang ipakita ang parehong mga tiwaling gawi at ang resulta ng emosyonal o sikolohikal na pinsala nito.
* **Pagiging kumplikado ng mga legal na pamamaraan:** Ang paghahabol ng legal na aksyon ay maaaring mahaba, magastos, at nangangailangan ng espesyal na legal na kadalubhasaan sa batas sa pangangalagang pangkalusugan at mga kaso ng personal na pinsala.
**Mga Potensyal na Avenue:**
* **Mga reklamong sibil:** Habang hinahamon, maaaring maging posible ang paghahain ng reklamong sibil laban sa institusyon ng pangangalagang pangkalusugan kung maipapakita mo ang katiwalian na nagresulta sa paglabag sa kontrata o tungkulin ng fiduciary, na humahantong sa emosyonal na pinsala.
* **Mga reklamong pang-administratibo:** Ang pag-uulat ng katiwalian sa mga regulatory body tulad ng Department of Health o Office of the Ombudsman ay maaaring mag-trigger ng mga pagsisiyasat at posibleng humantong sa aksyong pandisiplina laban sa mga healthcare provider, bagama't maaaring hindi ito direktang magbigay ng kabayaran.
* **Adbokasiya at sama-samang pagkilos:** Ang pagsali o pagsuporta sa mga pangkat ng adbokasiya ng pasyente ay maaaring magpalakas ng mga boses, magpapataas ng kamalayan tungkol sa isyu, at magsulong ng mga legal na reporma upang palakasin ang mga proteksyon para sa mga pasyenteng apektado ng katiwalian.
**Mga Karagdagang Pagsasaalang-alang:**
* **Naghahanap ng propesyonal na suporta:** Ang pagtugon sa emosyonal o sikolohikal na pagkabalisa na dulot ng karanasan ay napakahalaga. Pag-isipang humingi ng pagpapayo o therapy mula sa mga kwalipikadong propesyonal.
* **Pagtitipon ng ebidensya:** Ang pagdodokumento ng mga tiwaling gawi, pakikipag-ugnayan sa mga tagapagbigay ng pangangalagang pangkalusugan, at anumang ebidensya ng emosyonal na pagkabalisa ay maaaring makatulong kung pipiliin mong ituloy ang legal na aksyon sa hinaharap.
* **Pagkonsulta sa isang abogado:** Bagama't maaaring limitado ang mga legal na opsyon, ang pagkonsulta sa isang abogadong may karanasan sa batas sa pangangalagang pangkalusugan ay makakatulong sa iyong maunawaan ang iyong mga karapatan, galugarin ang mga potensyal na paraan, at masuri ang pagiging posible ng pagsulong ng legal na aksyon.
**Tandaan:**
Ang impormasyong ito ay para sa pangkalahatang pag-unawa at hindi dapat ituring na legal na payo. Ang bawat kaso ay nakasalalay sa mga tiyak na katotohanan at pangyayari. Ang pagkonsulta sa isang abogado para sa personalized na patnubay at mga potensyal na legal na opsyon ay lubos na inirerekomenda.</v>
      </c>
      <c r="F1329" s="2">
        <f t="shared" si="1"/>
        <v>0</v>
      </c>
      <c r="G1329" s="2"/>
      <c r="H1329" s="2"/>
      <c r="I1329" s="2"/>
      <c r="J1329" s="2"/>
      <c r="K1329" s="2"/>
      <c r="L1329" s="2"/>
      <c r="M1329" s="2"/>
      <c r="N1329" s="2"/>
      <c r="O1329" s="2"/>
      <c r="P1329" s="2"/>
      <c r="Q1329" s="2"/>
      <c r="R1329" s="2"/>
      <c r="S1329" s="2"/>
      <c r="T1329" s="2"/>
      <c r="U1329" s="2"/>
      <c r="V1329" s="2"/>
      <c r="W1329" s="2"/>
      <c r="X1329" s="2"/>
      <c r="Y1329" s="2"/>
      <c r="Z1329" s="2"/>
      <c r="AA1329" s="2"/>
    </row>
    <row r="1330">
      <c r="A1330" s="1" t="s">
        <v>3356</v>
      </c>
      <c r="B1330" s="1" t="s">
        <v>3825</v>
      </c>
      <c r="C1330" s="1" t="s">
        <v>3826</v>
      </c>
      <c r="D1330" s="2" t="str">
        <f>IFERROR(__xludf.DUMMYFUNCTION("GOOGLETRANSLATE(B1330, ""en"", ""TL"")"),"Paano nakakaapekto ang katiwalian sa sistema ng pangangalagang pangkalusugan sa mga mahihinang populasyon, tulad ng mga komunidad na mababa ang kita o marginalized?")</f>
        <v>Paano nakakaapekto ang katiwalian sa sistema ng pangangalagang pangkalusugan sa mga mahihinang populasyon, tulad ng mga komunidad na mababa ang kita o marginalized?</v>
      </c>
      <c r="E1330" s="2" t="str">
        <f>IFERROR(__xludf.DUMMYFUNCTION("GOOGLETRANSLATE(C1330, ""en"", ""TL"")"),"Ang katiwalian sa sistema ng pangangalagang pangkalusugan **hindi katumbas na nakakapinsala sa mga mahihinang populasyon**, kabilang ang mga komunidad na mababa ang kita at marginalized, sa ilang paraan:
**Nabawasan ang Access sa Pangangalaga:**
* **Mga h"&amp;"adlang sa pananalapi:** Ang mga tiwaling gawi ay maaaring humantong sa pagtaas ng mga gastos para sa mga gamot, paggamot, at pananatili sa ospital, na ginagawang hindi naa-access ang mga ito para sa mga may limitadong mapagkukunang pinansyal.
* **Mga inil"&amp;"ihis na mapagkukunan:** Ang mga pondong inilaan para sa imprastraktura at serbisyo ng pampublikong pangangalagang pangkalusugan ay maaaring maling gamitin, na humahantong sa mga kakulangan ng mahahalagang kagamitan, mga gamot, at mga kwalipikadong propesy"&amp;"onal sa pangangalagang pangkalusugan, lalo na sa mga rural na lugar.
* **Panunuhol at pangingikil:** Ang mga mahihinang indibidwal ay maaaring mapilitan sa panunuhol o mapasailalim sa pangingikil ng mga tauhan ng pangangalagang pangkalusugan para sa mga p"&amp;"angunahing serbisyo, na lalong humahadlang sa pag-access sa pangangalaga.
**Mababang Kalidad ng Pangangalaga:**
* **Pagpapabaya at diskriminasyon:** Ang katiwalian ay maaaring humantong sa pagbibigay-priyoridad sa mas mayayamang pasyente o sa mga nag-aalo"&amp;"k ng suhol kaysa sa mga hindi kayang bayaran ang mga ito, na nagreresulta sa kapabayaan at diskriminasyon laban sa mga marginalized na komunidad.
* **Nakompromiso ang kalidad:** Ang maling paggamit ng mga pondo ay maaaring humantong sa hindi sapat na sani"&amp;"tasyon, lumang kagamitan, at kakulangan ng mahahalagang supply, na nakompromiso ang kalidad ng pangangalaga na natatanggap ng mga mahihinang populasyon.
* **Mga pekeng gamot at substandard na paggamot:** Maaaring paganahin ng mga tiwaling gawi ang paggami"&amp;"t ng mga pekeng gamot at hindi napatunayang paggamot, na nagdudulot ng malubhang panganib sa kalusugan para sa mga mahihinang indibidwal na maaaring walang paraan upang i-verify ang kanilang pagiging tunay.
**Limitadong Kamalayan at Adbokasiya:**
* **Kaku"&amp;"langan ng impormasyon:** Ang mga marginalized na komunidad ay maaaring may limitadong access sa impormasyon tungkol sa kanilang mga karapatan, magagamit na mga serbisyo sa pangangalagang pangkalusugan, at mga mekanismo ng pag-uulat para sa katiwalian, na "&amp;"ginagawa silang mahina sa pagsasamantala.
* **Takot sa paghihiganti:** Maaaring natatakot silang magsalita tungkol sa mga tiwaling gawi dahil sa mga potensyal na epekto mula sa mga healthcare provider o makapangyarihang mga indibidwal sa loob ng kanilang "&amp;"mga komunidad.
* **Limitadong boses at representasyon:** Ang mga marginalized na komunidad ay kadalasang kulang sa mga mapagkukunan at platform upang epektibong isulong ang kanilang mga pangangailangan sa pangangalagang pangkalusugan at panagutin ang mga "&amp;"tiwaling opisyal.
**Pangkalahatang Epekto:**
* **Mas mataas na panganib sa kalusugan at morbidity:** Ang limitadong pag-access sa de-kalidad na pangangalaga, kasama ng hindi sapat na mga mapagkukunan at kamalayan, ay maaaring humantong sa mas mataas na mg"&amp;"a rate ng maiiwasang mga sakit, naantala na mga diagnosis, at mas mahihirap na resulta sa kalusugan sa mga mahihinang populasyon.
* **Lalong hindi pagkakapantay-pantay sa lipunan at ekonomiya:** Nagpapatuloy ang katiwalian sa mga umiiral na hindi pagkakap"&amp;"antay-pantay sa pamamagitan ng higit pang pag-marginalize ng mga mahihinang grupo at paghadlang sa kanilang pag-access sa mahahalagang serbisyo sa pangangalagang pangkalusugan.
* **Pagkawala ng tiwala at kumpiyansa:** Ang laganap na katiwalian ay sumisira"&amp;" sa tiwala sa mga institusyon at provider ng pangangalagang pangkalusugan, na humihina sa mga indibidwal na humingi ng kinakailangang pangangalaga, kahit na available.
**Pagtugon sa Isyu:**
* **Pagpapalakas ng transparency at pananagutan:** Ang pagpapatup"&amp;"ad ng matatag na mga hakbang laban sa katiwalian, pagtataguyod ng transparency sa mga kasanayan sa pangangalagang pangkalusugan, at pagtiyak na ang mga epektibong mekanismo ng karaingan ay mahalaga.
* **Pagbibigay-kapangyarihan sa mga komunidad:** Pagbibi"&amp;"gay ng mga marginalized na komunidad ng impormasyon, edukasyon, at mga mapagkukunan upang isulong ang kanilang mga karapatan sa pangangalagang pangkalusugan at mag-ulat ng mga pagkakataon ng katiwalian.
* **Mga naka-target na interbensyon:** Pagdidisenyo "&amp;"ng mga patakaran at programa sa pangangalagang pangkalusugan na partikular na tumutugon sa mga pangangailangan at kahinaan ng mga komunidad na mababa ang kita at marginalized.
Sa pamamagitan ng pagkilala sa hindi katimbang na epekto ng katiwalian sa mga m"&amp;"ahihinang populasyon at pagsasagawa ng sama-samang pagsisikap upang matugunan ito, maaari tayong magtrabaho patungo sa isang mas pantay at makatarungang sistema ng pangangalagang pangkalusugan para sa lahat.")</f>
        <v>Ang katiwalian sa sistema ng pangangalagang pangkalusugan **hindi katumbas na nakakapinsala sa mga mahihinang populasyon**, kabilang ang mga komunidad na mababa ang kita at marginalized, sa ilang paraan:
**Nabawasan ang Access sa Pangangalaga:**
* **Mga hadlang sa pananalapi:** Ang mga tiwaling gawi ay maaaring humantong sa pagtaas ng mga gastos para sa mga gamot, paggamot, at pananatili sa ospital, na ginagawang hindi naa-access ang mga ito para sa mga may limitadong mapagkukunang pinansyal.
* **Mga inilihis na mapagkukunan:** Ang mga pondong inilaan para sa imprastraktura at serbisyo ng pampublikong pangangalagang pangkalusugan ay maaaring maling gamitin, na humahantong sa mga kakulangan ng mahahalagang kagamitan, mga gamot, at mga kwalipikadong propesyonal sa pangangalagang pangkalusugan, lalo na sa mga rural na lugar.
* **Panunuhol at pangingikil:** Ang mga mahihinang indibidwal ay maaaring mapilitan sa panunuhol o mapasailalim sa pangingikil ng mga tauhan ng pangangalagang pangkalusugan para sa mga pangunahing serbisyo, na lalong humahadlang sa pag-access sa pangangalaga.
**Mababang Kalidad ng Pangangalaga:**
* **Pagpapabaya at diskriminasyon:** Ang katiwalian ay maaaring humantong sa pagbibigay-priyoridad sa mas mayayamang pasyente o sa mga nag-aalok ng suhol kaysa sa mga hindi kayang bayaran ang mga ito, na nagreresulta sa kapabayaan at diskriminasyon laban sa mga marginalized na komunidad.
* **Nakompromiso ang kalidad:** Ang maling paggamit ng mga pondo ay maaaring humantong sa hindi sapat na sanitasyon, lumang kagamitan, at kakulangan ng mahahalagang supply, na nakompromiso ang kalidad ng pangangalaga na natatanggap ng mga mahihinang populasyon.
* **Mga pekeng gamot at substandard na paggamot:** Maaaring paganahin ng mga tiwaling gawi ang paggamit ng mga pekeng gamot at hindi napatunayang paggamot, na nagdudulot ng malubhang panganib sa kalusugan para sa mga mahihinang indibidwal na maaaring walang paraan upang i-verify ang kanilang pagiging tunay.
**Limitadong Kamalayan at Adbokasiya:**
* **Kakulangan ng impormasyon:** Ang mga marginalized na komunidad ay maaaring may limitadong access sa impormasyon tungkol sa kanilang mga karapatan, magagamit na mga serbisyo sa pangangalagang pangkalusugan, at mga mekanismo ng pag-uulat para sa katiwalian, na ginagawa silang mahina sa pagsasamantala.
* **Takot sa paghihiganti:** Maaaring natatakot silang magsalita tungkol sa mga tiwaling gawi dahil sa mga potensyal na epekto mula sa mga healthcare provider o makapangyarihang mga indibidwal sa loob ng kanilang mga komunidad.
* **Limitadong boses at representasyon:** Ang mga marginalized na komunidad ay kadalasang kulang sa mga mapagkukunan at platform upang epektibong isulong ang kanilang mga pangangailangan sa pangangalagang pangkalusugan at panagutin ang mga tiwaling opisyal.
**Pangkalahatang Epekto:**
* **Mas mataas na panganib sa kalusugan at morbidity:** Ang limitadong pag-access sa de-kalidad na pangangalaga, kasama ng hindi sapat na mga mapagkukunan at kamalayan, ay maaaring humantong sa mas mataas na mga rate ng maiiwasang mga sakit, naantala na mga diagnosis, at mas mahihirap na resulta sa kalusugan sa mga mahihinang populasyon.
* **Lalong hindi pagkakapantay-pantay sa lipunan at ekonomiya:** Nagpapatuloy ang katiwalian sa mga umiiral na hindi pagkakapantay-pantay sa pamamagitan ng higit pang pag-marginalize ng mga mahihinang grupo at paghadlang sa kanilang pag-access sa mahahalagang serbisyo sa pangangalagang pangkalusugan.
* **Pagkawala ng tiwala at kumpiyansa:** Ang laganap na katiwalian ay sumisira sa tiwala sa mga institusyon at provider ng pangangalagang pangkalusugan, na humihina sa mga indibidwal na humingi ng kinakailangang pangangalaga, kahit na available.
**Pagtugon sa Isyu:**
* **Pagpapalakas ng transparency at pananagutan:** Ang pagpapatupad ng matatag na mga hakbang laban sa katiwalian, pagtataguyod ng transparency sa mga kasanayan sa pangangalagang pangkalusugan, at pagtiyak na ang mga epektibong mekanismo ng karaingan ay mahalaga.
* **Pagbibigay-kapangyarihan sa mga komunidad:** Pagbibigay ng mga marginalized na komunidad ng impormasyon, edukasyon, at mga mapagkukunan upang isulong ang kanilang mga karapatan sa pangangalagang pangkalusugan at mag-ulat ng mga pagkakataon ng katiwalian.
* **Mga naka-target na interbensyon:** Pagdidisenyo ng mga patakaran at programa sa pangangalagang pangkalusugan na partikular na tumutugon sa mga pangangailangan at kahinaan ng mga komunidad na mababa ang kita at marginalized.
Sa pamamagitan ng pagkilala sa hindi katimbang na epekto ng katiwalian sa mga mahihinang populasyon at pagsasagawa ng sama-samang pagsisikap upang matugunan ito, maaari tayong magtrabaho patungo sa isang mas pantay at makatarungang sistema ng pangangalagang pangkalusugan para sa lahat.</v>
      </c>
      <c r="F1330" s="2">
        <f t="shared" si="1"/>
        <v>0</v>
      </c>
      <c r="G1330" s="2"/>
      <c r="H1330" s="2"/>
      <c r="I1330" s="2"/>
      <c r="J1330" s="2"/>
      <c r="K1330" s="2"/>
      <c r="L1330" s="2"/>
      <c r="M1330" s="2"/>
      <c r="N1330" s="2"/>
      <c r="O1330" s="2"/>
      <c r="P1330" s="2"/>
      <c r="Q1330" s="2"/>
      <c r="R1330" s="2"/>
      <c r="S1330" s="2"/>
      <c r="T1330" s="2"/>
      <c r="U1330" s="2"/>
      <c r="V1330" s="2"/>
      <c r="W1330" s="2"/>
      <c r="X1330" s="2"/>
      <c r="Y1330" s="2"/>
      <c r="Z1330" s="2"/>
      <c r="AA1330" s="2"/>
    </row>
    <row r="1331">
      <c r="A1331" s="1" t="s">
        <v>3356</v>
      </c>
      <c r="B1331" s="1" t="s">
        <v>3827</v>
      </c>
      <c r="C1331" s="1" t="s">
        <v>3828</v>
      </c>
      <c r="D1331" s="2" t="str">
        <f>IFERROR(__xludf.DUMMYFUNCTION("GOOGLETRANSLATE(B1331, ""en"", ""TL"")"),"Maaari bang ituloy ng mga indibidwal ang mga demanda sa class-action laban sa mga institusyon ng pangangalagang pangkalusugan para sa malawakang katiwalian na nakakaapekto sa maraming pasyente?")</f>
        <v>Maaari bang ituloy ng mga indibidwal ang mga demanda sa class-action laban sa mga institusyon ng pangangalagang pangkalusugan para sa malawakang katiwalian na nakakaapekto sa maraming pasyente?</v>
      </c>
      <c r="E1331" s="2" t="str">
        <f>IFERROR(__xludf.DUMMYFUNCTION("GOOGLETRANSLATE(C1331, ""en"", ""TL"")"),"Bagama't ang **posibilidad ng class-action lawsuits** laban sa mga institusyon ng pangangalagang pangkalusugan para sa malawakang katiwalian na nakakaapekto sa maraming pasyente ay umiiral sa Pilipinas, ito ay **komplikado at ang tagumpay ay nakadepende n"&amp;"ang husto sa mga partikular na pangyayari**. Narito ang isang breakdown batay sa batas ng Pilipinas, RA, at Konstitusyon:
**Mga Kinakailangan para sa Class Action:**
* **Daming:** Ang isang makabuluhang bilang ng mga indibidwal (karaniwan ay 40 o higit pa"&amp;") ay dapat na katulad na apektado ng di-umano'y katiwalian.
* **Commonality:** Ang mga legal na isyu at claim ay dapat na halos magkapareho para sa lahat ng miyembro ng klase.
* **Karaniwan:** Ang isa o ilang miyembro ay maaaring kumatawan sa buong klase,"&amp;" na nagpapakita ng kanilang mga paghahabol ay karaniwan sa mga karanasan ng lahat ng apektadong indibidwal.
* **Kasapatan ng representasyon:** Ang mga pinangalanang kinatawan ng klase at kanilang mga abogado ay dapat na may kakayahang epektibong kumatawan"&amp;" sa mga interes ng buong klase.
**Mga Hamon para sa Class Action sa Healthcare Corruption:**
* **Indibidwal na pinsala:** Ang pagpapatunay na ang bawat indibidwal ay dumanas ng partikular na pinsala dahil sa katiwalian ay maaaring maging mahirap, lalo na "&amp;"kung ang epekto ng katiwalian ay hindi direkta.
* **Pagtitipon ng ebidensya:** Ang pagkolekta ng ebidensya na nagpapakita ng malawakang katiwalian at ang epekto nito sa mga indibidwal na pasyente ay maaaring maging masinsinang mapagkukunan.
* **Legal na k"&amp;"adalubhasaan:** Ang mga demanda sa class action ay nangangailangan ng espesyal na legal na kadalubhasaan sa parehong civil litigation at class action na mga pamamaraan.
* **Gastos at tagal:** Maaaring mahaba at mahal ang mga demanda na ito, na nangangaila"&amp;"ngan ng malaking pangako mula sa mga kinatawan ng klase at abogado.
**Mga Alternatibong Avenue:**
* **Mga kolektibong reklamo:** Ang mga indibidwal ay maaaring maghain ng **magkasamang reklamo** sa mga regulatory body tulad ng Department of Health o Offic"&amp;"e of the Ombudsman, na posibleng mag-trigger ng mga pagsisiyasat at sama-samang aksyon.
* **Adbokasiya at lobbying:** Ang pagsali o pagsuporta sa **mga pangkat ng adbokasiya ng pasyente** ay maaaring magpalakas ng mga boses at magsulong ng mga sistematiko"&amp;"ng pagbabago upang matugunan ang katiwalian.
* **Mga kampanya ng pampublikong kamalayan:** Ang pagpapataas ng kamalayan sa pamamagitan ng **media o mga online na platform** ay maaaring magpilit sa mga awtoridad na kumilos sa ngalan ng lahat ng apektadong "&amp;"indibidwal.
**Mahahalagang Paalala:**
* Ang paghahabol sa isang class-action na demanda laban sa mga institusyon ng pangangalagang pangkalusugan para sa katiwalian ay isang **kumplikado at hinihingi na pagsisikap**.
* Ang mga alternatibong paraan ay maaar"&amp;"ing maging mas epektibo at hindi gaanong masinsinang mapagkukunan depende sa partikular na mga pangyayari at saklaw ng katiwalian.
* Ang bawat kaso ay natatangi, at ang pagkonsulta sa isang abogadong may karanasan sa class action lawsuits at healthcare la"&amp;"w ay mahalaga para sa isang detalyadong pagtatasa ng iyong sitwasyon at mga potensyal na legal na opsyon.
Tandaan, ang impormasyong ito ay para sa pangkalahatang pag-unawa at hindi dapat ituring na legal na payo. Mahalagang kumunsulta sa mga legal na prop"&amp;"esyonal para sa mga partikular na detalye, potensyal na paghahabol, at legal na interpretasyon tungkol sa mga demanda sa class action at katiwalian sa pangangalagang pangkalusugan.")</f>
        <v>Bagama't ang **posibilidad ng class-action lawsuits** laban sa mga institusyon ng pangangalagang pangkalusugan para sa malawakang katiwalian na nakakaapekto sa maraming pasyente ay umiiral sa Pilipinas, ito ay **komplikado at ang tagumpay ay nakadepende nang husto sa mga partikular na pangyayari**. Narito ang isang breakdown batay sa batas ng Pilipinas, RA, at Konstitusyon:
**Mga Kinakailangan para sa Class Action:**
* **Daming:** Ang isang makabuluhang bilang ng mga indibidwal (karaniwan ay 40 o higit pa) ay dapat na katulad na apektado ng di-umano'y katiwalian.
* **Commonality:** Ang mga legal na isyu at claim ay dapat na halos magkapareho para sa lahat ng miyembro ng klase.
* **Karaniwan:** Ang isa o ilang miyembro ay maaaring kumatawan sa buong klase, na nagpapakita ng kanilang mga paghahabol ay karaniwan sa mga karanasan ng lahat ng apektadong indibidwal.
* **Kasapatan ng representasyon:** Ang mga pinangalanang kinatawan ng klase at kanilang mga abogado ay dapat na may kakayahang epektibong kumatawan sa mga interes ng buong klase.
**Mga Hamon para sa Class Action sa Healthcare Corruption:**
* **Indibidwal na pinsala:** Ang pagpapatunay na ang bawat indibidwal ay dumanas ng partikular na pinsala dahil sa katiwalian ay maaaring maging mahirap, lalo na kung ang epekto ng katiwalian ay hindi direkta.
* **Pagtitipon ng ebidensya:** Ang pagkolekta ng ebidensya na nagpapakita ng malawakang katiwalian at ang epekto nito sa mga indibidwal na pasyente ay maaaring maging masinsinang mapagkukunan.
* **Legal na kadalubhasaan:** Ang mga demanda sa class action ay nangangailangan ng espesyal na legal na kadalubhasaan sa parehong civil litigation at class action na mga pamamaraan.
* **Gastos at tagal:** Maaaring mahaba at mahal ang mga demanda na ito, na nangangailangan ng malaking pangako mula sa mga kinatawan ng klase at abogado.
**Mga Alternatibong Avenue:**
* **Mga kolektibong reklamo:** Ang mga indibidwal ay maaaring maghain ng **magkasamang reklamo** sa mga regulatory body tulad ng Department of Health o Office of the Ombudsman, na posibleng mag-trigger ng mga pagsisiyasat at sama-samang aksyon.
* **Adbokasiya at lobbying:** Ang pagsali o pagsuporta sa **mga pangkat ng adbokasiya ng pasyente** ay maaaring magpalakas ng mga boses at magsulong ng mga sistematikong pagbabago upang matugunan ang katiwalian.
* **Mga kampanya ng pampublikong kamalayan:** Ang pagpapataas ng kamalayan sa pamamagitan ng **media o mga online na platform** ay maaaring magpilit sa mga awtoridad na kumilos sa ngalan ng lahat ng apektadong indibidwal.
**Mahahalagang Paalala:**
* Ang paghahabol sa isang class-action na demanda laban sa mga institusyon ng pangangalagang pangkalusugan para sa katiwalian ay isang **kumplikado at hinihingi na pagsisikap**.
* Ang mga alternatibong paraan ay maaaring maging mas epektibo at hindi gaanong masinsinang mapagkukunan depende sa partikular na mga pangyayari at saklaw ng katiwalian.
* Ang bawat kaso ay natatangi, at ang pagkonsulta sa isang abogadong may karanasan sa class action lawsuits at healthcare law ay mahalaga para sa isang detalyadong pagtatasa ng iyong sitwasyon at mga potensyal na legal na opsyon.
Tandaan, ang impormasyong ito ay para sa pangkalahatang pag-unawa at hindi dapat ituring na legal na payo. Mahalagang kumunsulta sa mga legal na propesyonal para sa mga partikular na detalye, potensyal na paghahabol, at legal na interpretasyon tungkol sa mga demanda sa class action at katiwalian sa pangangalagang pangkalusugan.</v>
      </c>
      <c r="F1331" s="2">
        <f t="shared" si="1"/>
        <v>0</v>
      </c>
      <c r="G1331" s="2"/>
      <c r="H1331" s="2"/>
      <c r="I1331" s="2"/>
      <c r="J1331" s="2"/>
      <c r="K1331" s="2"/>
      <c r="L1331" s="2"/>
      <c r="M1331" s="2"/>
      <c r="N1331" s="2"/>
      <c r="O1331" s="2"/>
      <c r="P1331" s="2"/>
      <c r="Q1331" s="2"/>
      <c r="R1331" s="2"/>
      <c r="S1331" s="2"/>
      <c r="T1331" s="2"/>
      <c r="U1331" s="2"/>
      <c r="V1331" s="2"/>
      <c r="W1331" s="2"/>
      <c r="X1331" s="2"/>
      <c r="Y1331" s="2"/>
      <c r="Z1331" s="2"/>
      <c r="AA1331" s="2"/>
    </row>
    <row r="1332">
      <c r="A1332" s="1" t="s">
        <v>3356</v>
      </c>
      <c r="B1332" s="1" t="s">
        <v>3829</v>
      </c>
      <c r="C1332" s="1" t="s">
        <v>3830</v>
      </c>
      <c r="D1332" s="2" t="str">
        <f>IFERROR(__xludf.DUMMYFUNCTION("GOOGLETRANSLATE(B1332, ""en"", ""TL"")"),"Paano nalalapat ang mga batas sa paninirang-puri sa mga paratang ng katiwalian na ginawa laban sa mga tagapagbigay ng pangangalagang pangkalusugan o institusyon?")</f>
        <v>Paano nalalapat ang mga batas sa paninirang-puri sa mga paratang ng katiwalian na ginawa laban sa mga tagapagbigay ng pangangalagang pangkalusugan o institusyon?</v>
      </c>
      <c r="E1332" s="2" t="str">
        <f>IFERROR(__xludf.DUMMYFUNCTION("GOOGLETRANSLATE(C1332, ""en"", ""TL"")"),"Ang mga batas sa paninirang-puri sa Pilipinas ay maaaring maging kumplikado at may kulay, lalo na kapag inilapat sa mga paratang ng katiwalian na ginawa laban sa mga tagapagbigay ng pangangalagang pangkalusugan o institusyon. Narito ang isang breakdown ng"&amp;" ilang mahahalagang punto:
**Mga Potensyal na Alalahanin:**
* **Pagkasira ng reputasyon:** Ang mga provider at institusyon ng pangangalagang pangkalusugan ay lubos na umaasa sa kanilang reputasyon para sa tiwala at kumpiyansa ng pasyente. Ang mga maling a"&amp;"legasyon ng katiwalian ay maaaring makapinsala nang malaki sa kanilang reputasyon at humantong sa mga pagkalugi sa pananalapi.
* **Kalayaan sa pagpapahayag:** Ang mga indibidwal ay may karapatang magpahayag ng mga alalahanin at mag-ulat ng pinaghihinalaan"&amp;"g maling gawain, kabilang ang mga kaso ng katiwalian. Ang pagkakaroon ng balanse sa pagitan ng pagprotekta sa mga reputasyon at pagtiyak ng kalayaan sa pagpapahayag ay napakahalaga.
**Mga Kaugnay na Batas at Prinsipyo:**
* **Artikulo XIX ng Konstitusyon n"&amp;"g 1987:** Ginagarantiya ang kalayaan sa pagsasalita at pagpapahayag.
* **Republic Act No. 3019 (Anti-Graft and Corrupt Practices Act):** Kinokriminal ang iba't ibang anyo ng katiwalian, ngunit hindi isa sa mga ito ang paninirang-puri.
* **Sibil na Kodigo "&amp;"ng Pilipinas:** Tinutukoy ng Artikulo 19, 20, at 32 ang mga karapatan at obligasyon na may kaugnayan sa personalidad, privacy, at mabuting pangalan.
**Mga Elemento ng Paninirang-puri:**
* **Mali at mapanirang-puri na pahayag:** Ang pahayag ay dapat na mal"&amp;"inaw na mali at nakakapinsala sa reputasyon ng tagapagbigay ng pangangalagang pangkalusugan o institusyon.
* **Paglalathala ng pahayag:** Ang pahayag ay dapat na ipaalam sa isang ikatlong partido, ibig sabihin ay isang tao maliban sa provider o institusyo"&amp;"n mismo.
* **Kasalanan:** Ang taong gumagawa ng pahayag ay dapat na kumilos nang may layuning siraan ang puri o kapabayaan sa pag-verify ng katumpakan nito.
**Mga Depensa para sa Inakusahan:**
* **Katotohanan:** Kung ang pahayag ay nagpapakitang totoo, hi"&amp;"ndi ito maituturing na mapanirang-puri.
* **Patas na komento:** Ang mga komento batay sa mga katotohanan at ipinakita bilang mga opinyon, kahit na kritikal, ay maaaring protektahan sa ilalim ng patas na komento.
* **Pribilehiyo:** Ang mga pahayag na ginaw"&amp;"a sa ilang partikular na protektadong setting, tulad ng mga legal na paglilitis, ay maaaring magtamasa ng kwalipikadong pribilehiyo, na nagpapahirap sa kanila na magdemanda para sa paninirang-puri.
**Mga Pagsasaalang-alang at Hamon:**
* **Burden of proof:"&amp;"** Ang pasanin sa pangkalahatan ay nakasalalay sa healthcare provider o institusyon upang patunayan na ang pahayag ay mali at mapanirang-puri.
* **Pagtatanggol sa interes ng publiko:** Kung ang pahayag ay nagsisilbi sa isang lehitimong interes ng publiko "&amp;"sa paglalantad ng katiwalian, maaari itong protektahan kahit na ito ay nakakasira sa reputasyon ng provider.
* **Pagbabalanse ng mga karapatan:** Dapat timbangin ng mga korte ang mga nakikipagkumpitensyang interes sa pagprotekta sa mga reputasyon at pagti"&amp;"yak ng kalayaan sa pagpapahayag sa bawat kaso.
**Mga Rekomendasyon:**
* **Magtipon ng katibayan:** Kung naniniwala kang nasiraan ka ng puri, mangalap ng ebidensya ng pahayag, paglalathala nito, at anumang pinsalang naidulot nito.
* **Kumonsulta sa isang a"&amp;"bogado:** Maaaring maging kumplikado ang mga kaso ng paninirang-puri, at ang paghingi ng legal na payo mula sa isang abogadong may karanasan sa batas ng media at paninirang-puri ay napakahalaga.
* **Mag-ingat sa iyong wika:** Kapag gumagawa ng mga paratan"&amp;"g ng katiwalian, tiyaking nakabatay ang mga ito sa ebidensya at ipinahayag nang may pananagutan, pag-iwas sa hindi kinakailangang pinsala sa mga reputasyon.
Tandaan, ang impormasyong ito ay para sa pangkalahatang pag-unawa at hindi dapat ituring na legal "&amp;"na payo. Napakahalagang kumonsulta sa mga legal na propesyonal para sa mga partikular na detalye, potensyal na paghahabol, at legal na interpretasyon tungkol sa paninirang-puri at mga paratang ng katiwalian sa sektor ng pangangalagang pangkalusugan.")</f>
        <v>Ang mga batas sa paninirang-puri sa Pilipinas ay maaaring maging kumplikado at may kulay, lalo na kapag inilapat sa mga paratang ng katiwalian na ginawa laban sa mga tagapagbigay ng pangangalagang pangkalusugan o institusyon. Narito ang isang breakdown ng ilang mahahalagang punto:
**Mga Potensyal na Alalahanin:**
* **Pagkasira ng reputasyon:** Ang mga provider at institusyon ng pangangalagang pangkalusugan ay lubos na umaasa sa kanilang reputasyon para sa tiwala at kumpiyansa ng pasyente. Ang mga maling alegasyon ng katiwalian ay maaaring makapinsala nang malaki sa kanilang reputasyon at humantong sa mga pagkalugi sa pananalapi.
* **Kalayaan sa pagpapahayag:** Ang mga indibidwal ay may karapatang magpahayag ng mga alalahanin at mag-ulat ng pinaghihinalaang maling gawain, kabilang ang mga kaso ng katiwalian. Ang pagkakaroon ng balanse sa pagitan ng pagprotekta sa mga reputasyon at pagtiyak ng kalayaan sa pagpapahayag ay napakahalaga.
**Mga Kaugnay na Batas at Prinsipyo:**
* **Artikulo XIX ng Konstitusyon ng 1987:** Ginagarantiya ang kalayaan sa pagsasalita at pagpapahayag.
* **Republic Act No. 3019 (Anti-Graft and Corrupt Practices Act):** Kinokriminal ang iba't ibang anyo ng katiwalian, ngunit hindi isa sa mga ito ang paninirang-puri.
* **Sibil na Kodigo ng Pilipinas:** Tinutukoy ng Artikulo 19, 20, at 32 ang mga karapatan at obligasyon na may kaugnayan sa personalidad, privacy, at mabuting pangalan.
**Mga Elemento ng Paninirang-puri:**
* **Mali at mapanirang-puri na pahayag:** Ang pahayag ay dapat na malinaw na mali at nakakapinsala sa reputasyon ng tagapagbigay ng pangangalagang pangkalusugan o institusyon.
* **Paglalathala ng pahayag:** Ang pahayag ay dapat na ipaalam sa isang ikatlong partido, ibig sabihin ay isang tao maliban sa provider o institusyon mismo.
* **Kasalanan:** Ang taong gumagawa ng pahayag ay dapat na kumilos nang may layuning siraan ang puri o kapabayaan sa pag-verify ng katumpakan nito.
**Mga Depensa para sa Inakusahan:**
* **Katotohanan:** Kung ang pahayag ay nagpapakitang totoo, hindi ito maituturing na mapanirang-puri.
* **Patas na komento:** Ang mga komento batay sa mga katotohanan at ipinakita bilang mga opinyon, kahit na kritikal, ay maaaring protektahan sa ilalim ng patas na komento.
* **Pribilehiyo:** Ang mga pahayag na ginawa sa ilang partikular na protektadong setting, tulad ng mga legal na paglilitis, ay maaaring magtamasa ng kwalipikadong pribilehiyo, na nagpapahirap sa kanila na magdemanda para sa paninirang-puri.
**Mga Pagsasaalang-alang at Hamon:**
* **Burden of proof:** Ang pasanin sa pangkalahatan ay nakasalalay sa healthcare provider o institusyon upang patunayan na ang pahayag ay mali at mapanirang-puri.
* **Pagtatanggol sa interes ng publiko:** Kung ang pahayag ay nagsisilbi sa isang lehitimong interes ng publiko sa paglalantad ng katiwalian, maaari itong protektahan kahit na ito ay nakakasira sa reputasyon ng provider.
* **Pagbabalanse ng mga karapatan:** Dapat timbangin ng mga korte ang mga nakikipagkumpitensyang interes sa pagprotekta sa mga reputasyon at pagtiyak ng kalayaan sa pagpapahayag sa bawat kaso.
**Mga Rekomendasyon:**
* **Magtipon ng katibayan:** Kung naniniwala kang nasiraan ka ng puri, mangalap ng ebidensya ng pahayag, paglalathala nito, at anumang pinsalang naidulot nito.
* **Kumonsulta sa isang abogado:** Maaaring maging kumplikado ang mga kaso ng paninirang-puri, at ang paghingi ng legal na payo mula sa isang abogadong may karanasan sa batas ng media at paninirang-puri ay napakahalaga.
* **Mag-ingat sa iyong wika:** Kapag gumagawa ng mga paratang ng katiwalian, tiyaking nakabatay ang mga ito sa ebidensya at ipinahayag nang may pananagutan, pag-iwas sa hindi kinakailangang pinsala sa mga reputasyon.
Tandaan, ang impormasyong ito ay para sa pangkalahatang pag-unawa at hindi dapat ituring na legal na payo. Napakahalagang kumonsulta sa mga legal na propesyonal para sa mga partikular na detalye, potensyal na paghahabol, at legal na interpretasyon tungkol sa paninirang-puri at mga paratang ng katiwalian sa sektor ng pangangalagang pangkalusugan.</v>
      </c>
      <c r="F1332" s="2">
        <f t="shared" si="1"/>
        <v>0</v>
      </c>
      <c r="G1332" s="2"/>
      <c r="H1332" s="2"/>
      <c r="I1332" s="2"/>
      <c r="J1332" s="2"/>
      <c r="K1332" s="2"/>
      <c r="L1332" s="2"/>
      <c r="M1332" s="2"/>
      <c r="N1332" s="2"/>
      <c r="O1332" s="2"/>
      <c r="P1332" s="2"/>
      <c r="Q1332" s="2"/>
      <c r="R1332" s="2"/>
      <c r="S1332" s="2"/>
      <c r="T1332" s="2"/>
      <c r="U1332" s="2"/>
      <c r="V1332" s="2"/>
      <c r="W1332" s="2"/>
      <c r="X1332" s="2"/>
      <c r="Y1332" s="2"/>
      <c r="Z1332" s="2"/>
      <c r="AA1332" s="2"/>
    </row>
    <row r="1333">
      <c r="A1333" s="1" t="s">
        <v>3356</v>
      </c>
      <c r="B1333" s="1" t="s">
        <v>3831</v>
      </c>
      <c r="C1333" s="1" t="s">
        <v>3832</v>
      </c>
      <c r="D1333" s="2" t="str">
        <f>IFERROR(__xludf.DUMMYFUNCTION("GOOGLETRANSLATE(B1333, ""en"", ""TL"")"),"Maaari bang humingi ng injunctive relief ang mga indibidwal upang maiwasan ang patuloy na mga tiwaling gawi sa loob ng sistema ng pangangalagang pangkalusugan?")</f>
        <v>Maaari bang humingi ng injunctive relief ang mga indibidwal upang maiwasan ang patuloy na mga tiwaling gawi sa loob ng sistema ng pangangalagang pangkalusugan?</v>
      </c>
      <c r="E1333" s="2" t="str">
        <f>IFERROR(__xludf.DUMMYFUNCTION("GOOGLETRANSLATE(C1333, ""en"", ""TL"")"),"Habang umiiral ang posibilidad na **humingi ng injunctive relief** upang maiwasan ang patuloy na mga tiwaling gawi sa loob ng sistema ng pangangalagang pangkalusugan sa Pilipinas, ito ay **komplikado at ang tagumpay ay nakadepende nang husto sa mga partik"&amp;"ular na pangyayari**. Narito ang isang breakdown batay sa batas ng Pilipinas, RA, at Konstitusyon:
**Injunctive Relief:**
* Isang utos ng hukuman **nagbabawal o nangangailangan ng mga partikular na aksyon** upang maiwasan ang pinsala o mapanatili an"&amp;"g status quo.
* Maaaring humingi ng injunctive relief ang mga indibidwal laban sa **mga pribadong entity o pampublikong opisyal** na nakikibahagi sa mga aktibidad na itinuturing na ilegal o nakakapinsala.
**Mga Hamon para sa mga Indibidwal:**
* **S"&amp;"tanding:** Para humingi ng injunctive relief, ang mga indibidwal ay dapat magpakita ng **standing**, ibig sabihin mayroon silang **personal na stake** sa kinalabasan at direktang apektado ng di-umano'y katiwalian.
* **Dahilan:** Ang pagpapatunay ng **mal"&amp;"inaw at direktang ugnayan** sa pagitan ng katiwalian at pinsalang dinaranas nila ay napakahalaga.
* **Pampubliko vs. Pribado:** Ang mga pag-uutos laban sa **mga pampublikong opisyal** ay nangangailangan ng mas mahigpit na pamantayan at kadalasang nagsasa"&amp;"ngkot ng mga partikular na batas tulad ng Anti-Graft and Corrupt Practices Act (RA 3019).
* **Ebidensya:** Ang pangangalap ng **matibay na ebidensya** ng patuloy na katiwalian, epekto nito, at potensyal na pinsala sa hinaharap ay mahalaga.
* **Legal na "&amp;"kadalubhasaan:** Ang pagkonsulta sa isang abogadong may karanasan sa civil litigation at injunctive relief ay lubos na inirerekomenda.
**Mga Alternatibong Avenue:**
* **Pag-uulat sa mga regulatory body:** Ang pag-uulat ng pinaghihinalaang katiwalian"&amp;" sa Department of Health, Philippine National Police, o Office of the Ombudsman ay maaaring mag-trigger ng mga pagsisiyasat at potensyal na parusa.
* **Adbokasiya at lobbying:** Ang pagsali o pagsuporta sa mga grupo ng adbokasiya ng pasyente o NGO ay maa"&amp;"aring magpalakas ng mga boses at magsulong ng mga sistematikong pagbabago upang matugunan ang katiwalian.
* **Mga kampanya ng pampublikong kamalayan:** Ang pagpapataas ng kamalayan sa pamamagitan ng media o mga online na platform ay maaaring magpilit sa "&amp;"mga awtoridad na kumilos.
**Mahahalagang Paalala:**
* Ang paghahanap ng injunctive relief laban sa patuloy na katiwalian sa sistema ng pangangalagang pangkalusugan ay **hindi isang madaling landas** at nangangailangan ng makabuluhang mapagkukunan at"&amp;" legal na kadalubhasaan.
* Ang mga alternatibong paraan ay maaaring maging mas epektibo at hindi gaanong masinsinang mapagkukunan depende sa partikular na mga pangyayari.
* Ang bawat kaso ay natatangi, at ang pagkonsulta sa isang abogado para sa isang d"&amp;"etalyadong pagtatasa ng iyong sitwasyon at mga potensyal na legal na opsyon ay mahalaga.
Tandaan, ang impormasyong ito ay para sa pangkalahatang pag-unawa at hindi dapat ituring na legal na payo. Mahalagang kumunsulta sa mga legal na propesyonal para s"&amp;"a mga partikular na detalye at legal na interpretasyon.")</f>
        <v>Habang umiiral ang posibilidad na **humingi ng injunctive relief** upang maiwasan ang patuloy na mga tiwaling gawi sa loob ng sistema ng pangangalagang pangkalusugan sa Pilipinas, ito ay **komplikado at ang tagumpay ay nakadepende nang husto sa mga partikular na pangyayari**. Narito ang isang breakdown batay sa batas ng Pilipinas, RA, at Konstitusyon:
**Injunctive Relief:**
* Isang utos ng hukuman **nagbabawal o nangangailangan ng mga partikular na aksyon** upang maiwasan ang pinsala o mapanatili ang status quo.
* Maaaring humingi ng injunctive relief ang mga indibidwal laban sa **mga pribadong entity o pampublikong opisyal** na nakikibahagi sa mga aktibidad na itinuturing na ilegal o nakakapinsala.
**Mga Hamon para sa mga Indibidwal:**
* **Standing:** Para humingi ng injunctive relief, ang mga indibidwal ay dapat magpakita ng **standing**, ibig sabihin mayroon silang **personal na stake** sa kinalabasan at direktang apektado ng di-umano'y katiwalian.
* **Dahilan:** Ang pagpapatunay ng **malinaw at direktang ugnayan** sa pagitan ng katiwalian at pinsalang dinaranas nila ay napakahalaga.
* **Pampubliko vs. Pribado:** Ang mga pag-uutos laban sa **mga pampublikong opisyal** ay nangangailangan ng mas mahigpit na pamantayan at kadalasang nagsasangkot ng mga partikular na batas tulad ng Anti-Graft and Corrupt Practices Act (RA 3019).
* **Ebidensya:** Ang pangangalap ng **matibay na ebidensya** ng patuloy na katiwalian, epekto nito, at potensyal na pinsala sa hinaharap ay mahalaga.
* **Legal na kadalubhasaan:** Ang pagkonsulta sa isang abogadong may karanasan sa civil litigation at injunctive relief ay lubos na inirerekomenda.
**Mga Alternatibong Avenue:**
* **Pag-uulat sa mga regulatory body:** Ang pag-uulat ng pinaghihinalaang katiwalian sa Department of Health, Philippine National Police, o Office of the Ombudsman ay maaaring mag-trigger ng mga pagsisiyasat at potensyal na parusa.
* **Adbokasiya at lobbying:** Ang pagsali o pagsuporta sa mga grupo ng adbokasiya ng pasyente o NGO ay maaaring magpalakas ng mga boses at magsulong ng mga sistematikong pagbabago upang matugunan ang katiwalian.
* **Mga kampanya ng pampublikong kamalayan:** Ang pagpapataas ng kamalayan sa pamamagitan ng media o mga online na platform ay maaaring magpilit sa mga awtoridad na kumilos.
**Mahahalagang Paalala:**
* Ang paghahanap ng injunctive relief laban sa patuloy na katiwalian sa sistema ng pangangalagang pangkalusugan ay **hindi isang madaling landas** at nangangailangan ng makabuluhang mapagkukunan at legal na kadalubhasaan.
* Ang mga alternatibong paraan ay maaaring maging mas epektibo at hindi gaanong masinsinang mapagkukunan depende sa partikular na mga pangyayari.
* Ang bawat kaso ay natatangi, at ang pagkonsulta sa isang abogado para sa isang detalyadong pagtatasa ng iyong sitwasyon at mga potensyal na legal na opsyon ay mahalaga.
Tandaan, ang impormasyong ito ay para sa pangkalahatang pag-unawa at hindi dapat ituring na legal na payo. Mahalagang kumunsulta sa mga legal na propesyonal para sa mga partikular na detalye at legal na interpretasyon.</v>
      </c>
      <c r="F1333" s="2">
        <f t="shared" si="1"/>
        <v>0</v>
      </c>
      <c r="G1333" s="2"/>
      <c r="H1333" s="2"/>
      <c r="I1333" s="2"/>
      <c r="J1333" s="2"/>
      <c r="K1333" s="2"/>
      <c r="L1333" s="2"/>
      <c r="M1333" s="2"/>
      <c r="N1333" s="2"/>
      <c r="O1333" s="2"/>
      <c r="P1333" s="2"/>
      <c r="Q1333" s="2"/>
      <c r="R1333" s="2"/>
      <c r="S1333" s="2"/>
      <c r="T1333" s="2"/>
      <c r="U1333" s="2"/>
      <c r="V1333" s="2"/>
      <c r="W1333" s="2"/>
      <c r="X1333" s="2"/>
      <c r="Y1333" s="2"/>
      <c r="Z1333" s="2"/>
      <c r="AA1333" s="2"/>
    </row>
    <row r="1334">
      <c r="A1334" s="1" t="s">
        <v>3356</v>
      </c>
      <c r="B1334" s="1" t="s">
        <v>3833</v>
      </c>
      <c r="C1334" s="1" t="s">
        <v>3834</v>
      </c>
      <c r="D1334" s="2" t="str">
        <f>IFERROR(__xludf.DUMMYFUNCTION("GOOGLETRANSLATE(B1334, ""en"", ""TL"")"),"Anong papel ang ginagampanan ng mga non-government organization o advocacy group sa pagsuporta sa mga indibidwal na apektado ng katiwalian sa pangangalagang pangkalusugan, at mayroon bang mga legal na mapagkukunang magagamit sa pamamagitan ng mga organisa"&amp;"syong ito?")</f>
        <v>Anong papel ang ginagampanan ng mga non-government organization o advocacy group sa pagsuporta sa mga indibidwal na apektado ng katiwalian sa pangangalagang pangkalusugan, at mayroon bang mga legal na mapagkukunang magagamit sa pamamagitan ng mga organisasyong ito?</v>
      </c>
      <c r="E1334" s="2" t="str">
        <f>IFERROR(__xludf.DUMMYFUNCTION("GOOGLETRANSLATE(C1334, ""en"", ""TL"")"),"## Non-Governmental Organizations (NGOs) at Advocacy Groups sa Labanan Laban sa Korapsyon sa Pangangalagang Pangkalusugan
Ang mga non-government organization (NGOs) at advocacy group ay gumaganap ng **mahalagang papel** sa pagsuporta sa mga indibidwal na "&amp;"apektado ng katiwalian sa pangangalagang pangkalusugan. Narito kung paano sila nag-aambag:
**Suporta para sa mga apektadong indibidwal:**
* **Legal Aid:** Nag-aalok ang ilang NGO ng mga serbisyo ng legal na tulong sa mga indibidwal na nagsasagawa ng legal"&amp;" na aksyon laban sa mga institusyon ng pangangalagang pangkalusugan o naghahanap ng kabayaran para sa pinsalang dulot ng katiwalian. * **Pagpapayo at Emosyonal na Suporta:** Ang pagharap sa katiwalian ay maaaring maging emosyonal na hamon. Ang mga NGO ay "&amp;"maaaring magbigay ng mga grupo ng pagpapayo at suporta upang matulungan ang mga indibidwal na makayanan ang karanasan.
* **Impormasyon at Mga Mapagkukunan:** Ang mga NGO ay maaaring magbigay ng impormasyon tungkol sa mga karapatan ng mga pasyente, mga mek"&amp;"anismo ng pag-uulat para sa katiwalian, at magagamit na mga legal na opsyon.
* **Adbokasiya at Representasyon:** Maaari silang magsulong para sa mga indibidwal na apektado ng katiwalian, itaas ang kamalayan tungkol sa mga partikular na kaso, at kumatawan "&amp;"sa kanila sa mga legal o administratibong paglilitis.
**Mga Legal na Mapagkukunan:**
* **Impormasyon at Mga Materyales:** Maraming NGO ang nag-aalok ng mga online na mapagkukunan at mga materyales sa pagsasanay sa mga karapatan sa pangangalagang pangkalus"&amp;"ugan, mga batas laban sa katiwalian, at mga legal na pamamaraan.
* **Hotline at Legal na Payo:** Ang ilang mga organisasyon ay nagpapatakbo ng mga hotline kung saan ang mga indibidwal ay maaaring mag-ulat ng katiwalian o makatanggap ng paunang legal na pa"&amp;"yo.
* **Mga Referral:** Maaaring ikonekta ng mga NGO ang mga indibidwal sa mga abogadong dalubhasa sa batas sa pangangalagang pangkalusugan o mga partikular na lugar ng legal na aksyon na nauugnay sa kanilang kaso.
**Mga Karagdagang Tungkulin:**
* **Lobby"&amp;"ing at Policy Advocacy:** Ang mga NGO ay maaaring mag-lobby para sa mga pagbabago sa pambatasan upang palakasin ang mga regulasyon sa pangangalagang pangkalusugan, pahusayin ang transparency, at labanan ang katiwalian.
* **Pagsubaybay at Pagsisiyasat:** A"&amp;"ng ilang mga grupo ay nagsasagawa ng mga pagsisiyasat sa katiwalian sa pangangalagang pangkalusugan at nag-publish ng mga ulat upang itaas ang kamalayan at panagutin ang mga may kasalanan.
* **Pagbuo ng Kapasidad:** Maaari nilang sanayin ang mga propesyon"&amp;"al sa pangangalagang pangkalusugan, mga pasyente, at mga komunidad upang kilalanin at iulat ang katiwalian.
**Mga halimbawa ng mga NGO sa Pilipinas:**
* **Health Action Philippines:** Nagbibigay ng legal na tulong, adbokasiya, at pagsasanay sa mga karapat"&amp;"an sa kalusugan at pag-access sa pangangalagang pangkalusugan.
* **Philippine Medical Association:** Kumakatawan sa mga propesyonal sa pangangalagang pangkalusugan at mga tagapagtaguyod para sa mga etikal na kasanayan at mabuting pamamahala sa sistema ng "&amp;"pangangalagang pangkalusugan.
* **Transparency International - Philippines:** Nakatuon sa paglaban sa katiwalian sa iba't ibang sektor, kabilang ang pangangalagang pangkalusugan.
**Mahalagang Paalala:**
* Ang pagkakaroon ng mga legal na mapagkukunan at pa"&amp;"rtikular na tulong ay nakasalalay sa pokus at mapagkukunan ng organisasyon.
* Ang pagkonsulta sa isang abogado na dalubhasa sa batas sa pangangalagang pangkalusugan ay inirerekomenda para sa partikular na legal na payo at representasyon sa mga indibidwal "&amp;"na kaso.
Sa pamamagitan ng pagbibigay ng suporta para sa mga indibidwal, pagtataguyod para sa mga pagbabago sa patakaran, at pagpapataas ng kamalayan, ang mga NGO at grupo ng adbokasiya ay may mahalagang papel sa paglaban sa katiwalian at pagtiyak ng pant"&amp;"ay na pag-access sa pangangalagang pangkalusugan sa Pilipinas.")</f>
        <v>## Non-Governmental Organizations (NGOs) at Advocacy Groups sa Labanan Laban sa Korapsyon sa Pangangalagang Pangkalusugan
Ang mga non-government organization (NGOs) at advocacy group ay gumaganap ng **mahalagang papel** sa pagsuporta sa mga indibidwal na apektado ng katiwalian sa pangangalagang pangkalusugan. Narito kung paano sila nag-aambag:
**Suporta para sa mga apektadong indibidwal:**
* **Legal Aid:** Nag-aalok ang ilang NGO ng mga serbisyo ng legal na tulong sa mga indibidwal na nagsasagawa ng legal na aksyon laban sa mga institusyon ng pangangalagang pangkalusugan o naghahanap ng kabayaran para sa pinsalang dulot ng katiwalian. * **Pagpapayo at Emosyonal na Suporta:** Ang pagharap sa katiwalian ay maaaring maging emosyonal na hamon. Ang mga NGO ay maaaring magbigay ng mga grupo ng pagpapayo at suporta upang matulungan ang mga indibidwal na makayanan ang karanasan.
* **Impormasyon at Mga Mapagkukunan:** Ang mga NGO ay maaaring magbigay ng impormasyon tungkol sa mga karapatan ng mga pasyente, mga mekanismo ng pag-uulat para sa katiwalian, at magagamit na mga legal na opsyon.
* **Adbokasiya at Representasyon:** Maaari silang magsulong para sa mga indibidwal na apektado ng katiwalian, itaas ang kamalayan tungkol sa mga partikular na kaso, at kumatawan sa kanila sa mga legal o administratibong paglilitis.
**Mga Legal na Mapagkukunan:**
* **Impormasyon at Mga Materyales:** Maraming NGO ang nag-aalok ng mga online na mapagkukunan at mga materyales sa pagsasanay sa mga karapatan sa pangangalagang pangkalusugan, mga batas laban sa katiwalian, at mga legal na pamamaraan.
* **Hotline at Legal na Payo:** Ang ilang mga organisasyon ay nagpapatakbo ng mga hotline kung saan ang mga indibidwal ay maaaring mag-ulat ng katiwalian o makatanggap ng paunang legal na payo.
* **Mga Referral:** Maaaring ikonekta ng mga NGO ang mga indibidwal sa mga abogadong dalubhasa sa batas sa pangangalagang pangkalusugan o mga partikular na lugar ng legal na aksyon na nauugnay sa kanilang kaso.
**Mga Karagdagang Tungkulin:**
* **Lobbying at Policy Advocacy:** Ang mga NGO ay maaaring mag-lobby para sa mga pagbabago sa pambatasan upang palakasin ang mga regulasyon sa pangangalagang pangkalusugan, pahusayin ang transparency, at labanan ang katiwalian.
* **Pagsubaybay at Pagsisiyasat:** Ang ilang mga grupo ay nagsasagawa ng mga pagsisiyasat sa katiwalian sa pangangalagang pangkalusugan at nag-publish ng mga ulat upang itaas ang kamalayan at panagutin ang mga may kasalanan.
* **Pagbuo ng Kapasidad:** Maaari nilang sanayin ang mga propesyonal sa pangangalagang pangkalusugan, mga pasyente, at mga komunidad upang kilalanin at iulat ang katiwalian.
**Mga halimbawa ng mga NGO sa Pilipinas:**
* **Health Action Philippines:** Nagbibigay ng legal na tulong, adbokasiya, at pagsasanay sa mga karapatan sa kalusugan at pag-access sa pangangalagang pangkalusugan.
* **Philippine Medical Association:** Kumakatawan sa mga propesyonal sa pangangalagang pangkalusugan at mga tagapagtaguyod para sa mga etikal na kasanayan at mabuting pamamahala sa sistema ng pangangalagang pangkalusugan.
* **Transparency International - Philippines:** Nakatuon sa paglaban sa katiwalian sa iba't ibang sektor, kabilang ang pangangalagang pangkalusugan.
**Mahalagang Paalala:**
* Ang pagkakaroon ng mga legal na mapagkukunan at partikular na tulong ay nakasalalay sa pokus at mapagkukunan ng organisasyon.
* Ang pagkonsulta sa isang abogado na dalubhasa sa batas sa pangangalagang pangkalusugan ay inirerekomenda para sa partikular na legal na payo at representasyon sa mga indibidwal na kaso.
Sa pamamagitan ng pagbibigay ng suporta para sa mga indibidwal, pagtataguyod para sa mga pagbabago sa patakaran, at pagpapataas ng kamalayan, ang mga NGO at grupo ng adbokasiya ay may mahalagang papel sa paglaban sa katiwalian at pagtiyak ng pantay na pag-access sa pangangalagang pangkalusugan sa Pilipinas.</v>
      </c>
      <c r="F1334" s="2">
        <f t="shared" si="1"/>
        <v>0</v>
      </c>
      <c r="G1334" s="2"/>
      <c r="H1334" s="2"/>
      <c r="I1334" s="2"/>
      <c r="J1334" s="2"/>
      <c r="K1334" s="2"/>
      <c r="L1334" s="2"/>
      <c r="M1334" s="2"/>
      <c r="N1334" s="2"/>
      <c r="O1334" s="2"/>
      <c r="P1334" s="2"/>
      <c r="Q1334" s="2"/>
      <c r="R1334" s="2"/>
      <c r="S1334" s="2"/>
      <c r="T1334" s="2"/>
      <c r="U1334" s="2"/>
      <c r="V1334" s="2"/>
      <c r="W1334" s="2"/>
      <c r="X1334" s="2"/>
      <c r="Y1334" s="2"/>
      <c r="Z1334" s="2"/>
      <c r="AA1334" s="2"/>
    </row>
    <row r="1335">
      <c r="A1335" s="1" t="s">
        <v>3356</v>
      </c>
      <c r="B1335" s="1" t="s">
        <v>3835</v>
      </c>
      <c r="C1335" s="1" t="s">
        <v>3836</v>
      </c>
      <c r="D1335" s="2" t="str">
        <f>IFERROR(__xludf.DUMMYFUNCTION("GOOGLETRANSLATE(B1335, ""en"", ""TL"")"),"Maaari bang gumawa ng legal na aksyon ang mga indibidwal laban sa mga institusyon ng pangangalagang pangkalusugan para sa paglabag sa kontrata o paglabag sa tungkulin ng fiduciary na may kaugnayan sa katiwalian?")</f>
        <v>Maaari bang gumawa ng legal na aksyon ang mga indibidwal laban sa mga institusyon ng pangangalagang pangkalusugan para sa paglabag sa kontrata o paglabag sa tungkulin ng fiduciary na may kaugnayan sa katiwalian?</v>
      </c>
      <c r="E1335" s="2" t="str">
        <f>IFERROR(__xludf.DUMMYFUNCTION("GOOGLETRANSLATE(C1335, ""en"", ""TL"")"),"Habang ang mga indibidwal **maaaring may potensyal na batayan** upang magsagawa ng legal na aksyon laban sa mga institusyon ng pangangalagang pangkalusugan para sa paglabag sa kontrata o paglabag sa tungkulin ng fiduciary na may kaugnayan sa katiwalian, a"&amp;"ng tagumpay ay nakasalalay sa iba't ibang salik at partikular na mga pangyayari sa ilalim ng batas ng Pilipinas, RA, at Konstitusyon. Narito ang isang breakdown:
**Paglabag sa Kontrata:**
* **Mga tuntunin sa kontrata:** Ang pagkilos na ito ay nakasa"&amp;"lalay sa **pagkakaroon at katangian ng isang kontrata** sa pagitan ng indibidwal at ng institusyon ng pangangalagang pangkalusugan. Ang mga karaniwang form ng pahintulot ng pasyente ay maaaring hindi bumubuo ng isang buong kontrata, na naglilimita sa bata"&amp;"yan para sa paglabag sa mga paghahabol sa kontrata.
* **Ispesipiko ng katiwalian:** Ang kontrata ay dapat na tahasang **ipagbawal ang mga partikular na gawain ng katiwalian** na direktang nakaapekto sa pangangalaga ng indibidwal. Maaaring mahirap ipatupa"&amp;"d ang mga pangkalahatang sugnay laban sa katiwalian.
* **Direktang pinsala:** Ang indibidwal ay dapat **magpakita ng pinsala** na nagreresulta mula sa paglabag sa kontrata dahil sa katiwalian, tulad ng hindi tamang paggamot, pagkawala ng pananalapi, o em"&amp;"osyonal na pagkabalisa.
**Paglabag sa Tungkulin ng Fiduciary:**
* **Fiduciary relationship:** Ang pagtatatag ng **fiduciary relationship** sa pagitan ng healthcare institution at ng indibidwal ay maaaring maging mahirap. Maaaring may limitadong mga "&amp;"tungkulin ang mga doktor, habang ang mga ospital ay maaaring magkaroon ng mas malawak na mga tungkulin depende sa mga pangyayari.
* **Patunay ng katiwalian:** Ang pagpapakita na ang katiwalian ay direktang nakaapekto sa pangangalaga ng indibidwal at **lu"&amp;"mabag sa katiwala na tungkulin ng pangangalaga o katapatan** ay napakahalaga.
* **Dahilan:** Ang pagpapatunay ng **malinaw na ugnayan** sa pagitan ng mga tiwaling gawi at ang paglabag sa tungkulin ng katiwala ay mahalaga.
**Mga Pagsasaalang-alang at H"&amp;"amon:**
* **Burden of proof:** Ang indibidwal ay nagdadala ng pasanin ng **patunayan ang lahat ng elemento** ng claim, kabilang ang kontrata, ang paglabag nito, o ang pagkakaroon ng isang fiduciary relationship at ang paglabag nito.
* **Pagtitipon ng "&amp;"ebidensya:** Ang pangangalap ng **matibay na ebidensya** ng kontrata, katiwalian, at nagresultang pinsala ay napakahalaga.
* **Legal na kadalubhasaan:** Ang pagkonsulta sa isang abogadong may karanasan sa batas sa pangangalagang pangkalusugan at mga hind"&amp;"i pagkakaunawaan sa kontrata ay lubos na inirerekomenda.
**Mahahalagang Paalala:**
* **Pagiging kumplikado at kahirapan:** Ang paghahabol ng legal na aksyon batay sa paglabag sa kontrata o paglabag sa tungkulin ng fiduciary na may kaugnayan sa katiw"&amp;"alian sa sistema ng pangangalagang pangkalusugan ay maaaring maging kumplikado at mapaghamong.
* **Mga Alternatibo:** Ang paggalugad sa iba pang mga paraan tulad ng pag-uulat ng katiwalian sa mga regulatory body o paghahain ng mga reklamo sa mga nauugnay"&amp;" na ahensya ay maaaring maging mas mabubuhay at hindi gaanong mapagkukunan.
* **Mga indibidwal na pangyayari:** Ang bawat kaso ay nakadepende sa mga partikular na katotohanan at pangyayari. Kumunsulta sa isang abogado para sa isang detalyadong pagtatasa "&amp;"ng iyong sitwasyon at mga potensyal na legal na opsyon.
Tandaan, ang impormasyong ito ay para sa pangkalahatang pag-unawa at hindi dapat ituring na legal na payo. Napakahalagang kumonsulta sa mga legal na propesyonal para sa mga partikular na detalye a"&amp;"t legal na interpretasyon.")</f>
        <v>Habang ang mga indibidwal **maaaring may potensyal na batayan** upang magsagawa ng legal na aksyon laban sa mga institusyon ng pangangalagang pangkalusugan para sa paglabag sa kontrata o paglabag sa tungkulin ng fiduciary na may kaugnayan sa katiwalian, ang tagumpay ay nakasalalay sa iba't ibang salik at partikular na mga pangyayari sa ilalim ng batas ng Pilipinas, RA, at Konstitusyon. Narito ang isang breakdown:
**Paglabag sa Kontrata:**
* **Mga tuntunin sa kontrata:** Ang pagkilos na ito ay nakasalalay sa **pagkakaroon at katangian ng isang kontrata** sa pagitan ng indibidwal at ng institusyon ng pangangalagang pangkalusugan. Ang mga karaniwang form ng pahintulot ng pasyente ay maaaring hindi bumubuo ng isang buong kontrata, na naglilimita sa batayan para sa paglabag sa mga paghahabol sa kontrata.
* **Ispesipiko ng katiwalian:** Ang kontrata ay dapat na tahasang **ipagbawal ang mga partikular na gawain ng katiwalian** na direktang nakaapekto sa pangangalaga ng indibidwal. Maaaring mahirap ipatupad ang mga pangkalahatang sugnay laban sa katiwalian.
* **Direktang pinsala:** Ang indibidwal ay dapat **magpakita ng pinsala** na nagreresulta mula sa paglabag sa kontrata dahil sa katiwalian, tulad ng hindi tamang paggamot, pagkawala ng pananalapi, o emosyonal na pagkabalisa.
**Paglabag sa Tungkulin ng Fiduciary:**
* **Fiduciary relationship:** Ang pagtatatag ng **fiduciary relationship** sa pagitan ng healthcare institution at ng indibidwal ay maaaring maging mahirap. Maaaring may limitadong mga tungkulin ang mga doktor, habang ang mga ospital ay maaaring magkaroon ng mas malawak na mga tungkulin depende sa mga pangyayari.
* **Patunay ng katiwalian:** Ang pagpapakita na ang katiwalian ay direktang nakaapekto sa pangangalaga ng indibidwal at **lumabag sa katiwala na tungkulin ng pangangalaga o katapatan** ay napakahalaga.
* **Dahilan:** Ang pagpapatunay ng **malinaw na ugnayan** sa pagitan ng mga tiwaling gawi at ang paglabag sa tungkulin ng katiwala ay mahalaga.
**Mga Pagsasaalang-alang at Hamon:**
* **Burden of proof:** Ang indibidwal ay nagdadala ng pasanin ng **patunayan ang lahat ng elemento** ng claim, kabilang ang kontrata, ang paglabag nito, o ang pagkakaroon ng isang fiduciary relationship at ang paglabag nito.
* **Pagtitipon ng ebidensya:** Ang pangangalap ng **matibay na ebidensya** ng kontrata, katiwalian, at nagresultang pinsala ay napakahalaga.
* **Legal na kadalubhasaan:** Ang pagkonsulta sa isang abogadong may karanasan sa batas sa pangangalagang pangkalusugan at mga hindi pagkakaunawaan sa kontrata ay lubos na inirerekomenda.
**Mahahalagang Paalala:**
* **Pagiging kumplikado at kahirapan:** Ang paghahabol ng legal na aksyon batay sa paglabag sa kontrata o paglabag sa tungkulin ng fiduciary na may kaugnayan sa katiwalian sa sistema ng pangangalagang pangkalusugan ay maaaring maging kumplikado at mapaghamong.
* **Mga Alternatibo:** Ang paggalugad sa iba pang mga paraan tulad ng pag-uulat ng katiwalian sa mga regulatory body o paghahain ng mga reklamo sa mga nauugnay na ahensya ay maaaring maging mas mabubuhay at hindi gaanong mapagkukunan.
* **Mga indibidwal na pangyayari:** Ang bawat kaso ay nakadepende sa mga partikular na katotohanan at pangyayari. Kumunsulta sa isang abogado para sa isang detalyadong pagtatasa ng iyong sitwasyon at mga potensyal na legal na opsyon.
Tandaan, ang impormasyong ito ay para sa pangkalahatang pag-unawa at hindi dapat ituring na legal na payo. Napakahalagang kumonsulta sa mga legal na propesyonal para sa mga partikular na detalye at legal na interpretasyon.</v>
      </c>
      <c r="F1335" s="2">
        <f t="shared" si="1"/>
        <v>0</v>
      </c>
      <c r="G1335" s="2"/>
      <c r="H1335" s="2"/>
      <c r="I1335" s="2"/>
      <c r="J1335" s="2"/>
      <c r="K1335" s="2"/>
      <c r="L1335" s="2"/>
      <c r="M1335" s="2"/>
      <c r="N1335" s="2"/>
      <c r="O1335" s="2"/>
      <c r="P1335" s="2"/>
      <c r="Q1335" s="2"/>
      <c r="R1335" s="2"/>
      <c r="S1335" s="2"/>
      <c r="T1335" s="2"/>
      <c r="U1335" s="2"/>
      <c r="V1335" s="2"/>
      <c r="W1335" s="2"/>
      <c r="X1335" s="2"/>
      <c r="Y1335" s="2"/>
      <c r="Z1335" s="2"/>
      <c r="AA1335" s="2"/>
    </row>
    <row r="1336">
      <c r="A1336" s="1" t="s">
        <v>3356</v>
      </c>
      <c r="B1336" s="1" t="s">
        <v>3837</v>
      </c>
      <c r="C1336" s="1" t="s">
        <v>3838</v>
      </c>
      <c r="D1336" s="2" t="str">
        <f>IFERROR(__xludf.DUMMYFUNCTION("GOOGLETRANSLATE(B1336, ""en"", ""TL"")"),"Paano magsusulong ang mga pasyente para sa mga pagbabago sa pambatasan o patakaran upang matugunan ang sistematikong katiwalian sa loob ng sektor ng pangangalagang pangkalusugan?")</f>
        <v>Paano magsusulong ang mga pasyente para sa mga pagbabago sa pambatasan o patakaran upang matugunan ang sistematikong katiwalian sa loob ng sektor ng pangangalagang pangkalusugan?</v>
      </c>
      <c r="E1336" s="2" t="str">
        <f>IFERROR(__xludf.DUMMYFUNCTION("GOOGLETRANSLATE(C1336, ""en"", ""TL"")"),"Sa Pilipinas, ang mga pasyente ay maaaring gumanap ng isang malakas na papel sa pagtataguyod para sa mga pagbabago sa pambatasan at patakaran upang matugunan ang sistematikong katiwalian sa loob ng sektor ng pangangalagang pangkalusugan. Narito ang ilang "&amp;"paraan na magagawa nila ito:
**Itaas ang kamalayan at bumuo ng suporta:**
* **Magbahagi ng mga personal na kwento:** Ibahagi ang iyong mga karanasan sa katiwalian sa sistema ng pangangalagang pangkalusugan sa social media, mga forum ng komunidad, o sa mga"&amp;" pangkat ng adbokasiya ng pasyente. Makakatulong ito sa pagpapataas ng kamalayan at hikayatin ang iba na magsalita.
* **Ayusin at lumahok sa mga kampanya ng kamalayan:** Makipagtulungan sa mga pangkat ng pagtataguyod ng pasyente, mga propesyonal sa pangan"&amp;"galagang pangkalusugan, at mga organisasyon ng lipunang sibil upang mag-organisa ng mga kampanyang nagpapataas ng kamalayan tungkol sa katiwalian at ang epekto nito sa mga pasyente.
* **Turuan ang iba:** Magbahagi ng impormasyon tungkol sa katiwalian sa s"&amp;"ektor ng pangangalagang pangkalusugan, mga legal na balangkas, at umiiral na mga mekanismo para sa pag-uulat at paghingi ng lunas. Maaari nitong bigyang kapangyarihan ang iba na lumahok sa mga pagsisikap sa pagtataguyod.
**Makipag-ugnayan sa mga gumagawa "&amp;"ng patakaran at gumagawa ng desisyon:**
* **Magsumite ng nakasulat na mga testimonya at petisyon:** Ipahayag ang iyong mga alalahanin at mga kahilingan para sa pagbabago sa pamamagitan ng nakasulat na mga testimonya na isinumite sa mga kaugnay na ahensya "&amp;"ng gobyerno, mga komiteng pambatas, o sa panahon ng mga pampublikong konsultasyon.
* **Mag-organisa ng mga pagpupulong kasama ang mga gumagawa ng patakaran:** Mag-ayos ng mga pagpupulong kasama ang iyong mga lokal na kinatawan, senador, o miyembro ng mga "&amp;"nauugnay na komite upang talakayin ang iyong mga alalahanin at isulong ang mga partikular na pagbabago sa pambatasan.
* **Makilahok sa mga pampublikong konsultasyon at pagdinig:** Aktibong lumahok sa mga pampublikong konsultasyon at mga pagdinig na gagana"&amp;"pin ng mga ahensya ng gobyerno o mga lehislatibong katawan sa mga patakaran at regulasyon sa pangangalagang pangkalusugan. Ibahagi ang iyong mga pananaw at isulong ang mga repormang tumutugon sa katiwalian.
**Suportahan at makipagtulungan sa mga kasalukuy"&amp;"ang inisyatiba:**
* **Sumali o suportahan ang mga pangkat ng adbokasiya ng pasyente:** Ang mga pangkat ng adbokasiya ng pasyente ay nagtatrabaho na sa pagtugon sa katiwalian sa sektor ng pangangalagang pangkalusugan. Ang pagsali o pagsuporta sa kanilang m"&amp;"ga pagsisikap ay maaaring palakasin ang iyong boses at mag-ambag sa sama-samang pagkilos.
* **Makipagtulungan sa mga organisasyon ng civil society:** Makipagtulungan sa mga organisasyon ng civil society na dalubhasa sa adbokasiya laban sa katiwalian o mga"&amp;" reporma sa pangangalagang pangkalusugan. Maaari silang mag-alok ng kadalubhasaan, mapagkukunan, at madiskarteng suporta sa iyong mga pagsisikap.
**Gamitin ang mga legal na paraan:**
* **Mag-ulat ng pinaghihinalaang katiwalian:** Kung ikaw ay nakakita o n"&amp;"akaranas ng katiwalian, iulat ito sa naaangkop na mga awtoridad, gaya ng Department of Health, Philippine National Police, o Office of the Ombudsman. Maaari itong mag-trigger ng mga pagsisiyasat at panagutin ang mga may kasalanan.
* **Maghain ng mga porma"&amp;"l na reklamo:** Kung direktang sinasaktan ka ng katiwalian, isaalang-alang ang paghahain ng mga pormal na reklamo sa mga regulatory body tulad ng Professional Regulation Commission o Health Facilities and Services Regulatory Bureau. Makakatulong ito na pa"&amp;"lakasin ang mga kasalukuyang legal na balangkas at hadlangan ang katiwalian sa hinaharap.
**Tandaan:**
* **Maging matalino at madiskarte:** Manatiling may kaalaman tungkol sa kasalukuyang mga hakbangin sa pambatasan, mga debate sa patakaran, at mga potens"&amp;"yal na solusyon upang matugunan ang katiwalian. Makakatulong ito sa iyo na ituon nang epektibo ang iyong mga pagsisikap sa pagtataguyod.
* **Bumuo ng mga partnership:** Makipagtulungan sa iba't ibang stakeholder, kabilang ang mga pasyente, mga propesyonal"&amp;" sa pangangalagang pangkalusugan, mga organisasyon ng civil society, at mga eksperto sa batas. Maaari itong lumikha ng isang mas malakas at maimpluwensyang kilusan para sa pagbabago.
* **Maging matiyaga at matiyaga:** Ang pagtugon sa sistematikong katiwal"&amp;"ian ay nangangailangan ng patuloy na pagsisikap at adbokasiya sa paglipas ng panahon. Huwag mawalan ng pag-asa sa mga pag-urong, at magpatuloy sa pagtataguyod para sa mga pagbabagong kailangan.
Sa pamamagitan ng pagsasagawa ng mga hakbang na ito, ang mga "&amp;"pasyente ay maaaring gumanap ng isang mahalagang papel sa paghingi ng pananagutan, transparency, at etikal na mga kasanayan sa loob ng sektor ng pangangalagang pangkalusugan sa Pilipinas, sa huli ay humahantong sa isang sistema na nagsisilbi sa lahat nang"&amp;" patas at epektibo.
**Disclaimer:** Ang impormasyong ito ay para sa pangkalahatang pag-unawa at hindi dapat ituring na legal na payo. Napakahalagang kumonsulta sa mga legal na propesyonal para sa mga partikular na sitwasyon at potensyal na legal na implik"&amp;"asyon.")</f>
        <v>Sa Pilipinas, ang mga pasyente ay maaaring gumanap ng isang malakas na papel sa pagtataguyod para sa mga pagbabago sa pambatasan at patakaran upang matugunan ang sistematikong katiwalian sa loob ng sektor ng pangangalagang pangkalusugan. Narito ang ilang paraan na magagawa nila ito:
**Itaas ang kamalayan at bumuo ng suporta:**
* **Magbahagi ng mga personal na kwento:** Ibahagi ang iyong mga karanasan sa katiwalian sa sistema ng pangangalagang pangkalusugan sa social media, mga forum ng komunidad, o sa mga pangkat ng adbokasiya ng pasyente. Makakatulong ito sa pagpapataas ng kamalayan at hikayatin ang iba na magsalita.
* **Ayusin at lumahok sa mga kampanya ng kamalayan:** Makipagtulungan sa mga pangkat ng pagtataguyod ng pasyente, mga propesyonal sa pangangalagang pangkalusugan, at mga organisasyon ng lipunang sibil upang mag-organisa ng mga kampanyang nagpapataas ng kamalayan tungkol sa katiwalian at ang epekto nito sa mga pasyente.
* **Turuan ang iba:** Magbahagi ng impormasyon tungkol sa katiwalian sa sektor ng pangangalagang pangkalusugan, mga legal na balangkas, at umiiral na mga mekanismo para sa pag-uulat at paghingi ng lunas. Maaari nitong bigyang kapangyarihan ang iba na lumahok sa mga pagsisikap sa pagtataguyod.
**Makipag-ugnayan sa mga gumagawa ng patakaran at gumagawa ng desisyon:**
* **Magsumite ng nakasulat na mga testimonya at petisyon:** Ipahayag ang iyong mga alalahanin at mga kahilingan para sa pagbabago sa pamamagitan ng nakasulat na mga testimonya na isinumite sa mga kaugnay na ahensya ng gobyerno, mga komiteng pambatas, o sa panahon ng mga pampublikong konsultasyon.
* **Mag-organisa ng mga pagpupulong kasama ang mga gumagawa ng patakaran:** Mag-ayos ng mga pagpupulong kasama ang iyong mga lokal na kinatawan, senador, o miyembro ng mga nauugnay na komite upang talakayin ang iyong mga alalahanin at isulong ang mga partikular na pagbabago sa pambatasan.
* **Makilahok sa mga pampublikong konsultasyon at pagdinig:** Aktibong lumahok sa mga pampublikong konsultasyon at mga pagdinig na gaganapin ng mga ahensya ng gobyerno o mga lehislatibong katawan sa mga patakaran at regulasyon sa pangangalagang pangkalusugan. Ibahagi ang iyong mga pananaw at isulong ang mga repormang tumutugon sa katiwalian.
**Suportahan at makipagtulungan sa mga kasalukuyang inisyatiba:**
* **Sumali o suportahan ang mga pangkat ng adbokasiya ng pasyente:** Ang mga pangkat ng adbokasiya ng pasyente ay nagtatrabaho na sa pagtugon sa katiwalian sa sektor ng pangangalagang pangkalusugan. Ang pagsali o pagsuporta sa kanilang mga pagsisikap ay maaaring palakasin ang iyong boses at mag-ambag sa sama-samang pagkilos.
* **Makipagtulungan sa mga organisasyon ng civil society:** Makipagtulungan sa mga organisasyon ng civil society na dalubhasa sa adbokasiya laban sa katiwalian o mga reporma sa pangangalagang pangkalusugan. Maaari silang mag-alok ng kadalubhasaan, mapagkukunan, at madiskarteng suporta sa iyong mga pagsisikap.
**Gamitin ang mga legal na paraan:**
* **Mag-ulat ng pinaghihinalaang katiwalian:** Kung ikaw ay nakakita o nakaranas ng katiwalian, iulat ito sa naaangkop na mga awtoridad, gaya ng Department of Health, Philippine National Police, o Office of the Ombudsman. Maaari itong mag-trigger ng mga pagsisiyasat at panagutin ang mga may kasalanan.
* **Maghain ng mga pormal na reklamo:** Kung direktang sinasaktan ka ng katiwalian, isaalang-alang ang paghahain ng mga pormal na reklamo sa mga regulatory body tulad ng Professional Regulation Commission o Health Facilities and Services Regulatory Bureau. Makakatulong ito na palakasin ang mga kasalukuyang legal na balangkas at hadlangan ang katiwalian sa hinaharap.
**Tandaan:**
* **Maging matalino at madiskarte:** Manatiling may kaalaman tungkol sa kasalukuyang mga hakbangin sa pambatasan, mga debate sa patakaran, at mga potensyal na solusyon upang matugunan ang katiwalian. Makakatulong ito sa iyo na ituon nang epektibo ang iyong mga pagsisikap sa pagtataguyod.
* **Bumuo ng mga partnership:** Makipagtulungan sa iba't ibang stakeholder, kabilang ang mga pasyente, mga propesyonal sa pangangalagang pangkalusugan, mga organisasyon ng civil society, at mga eksperto sa batas. Maaari itong lumikha ng isang mas malakas at maimpluwensyang kilusan para sa pagbabago.
* **Maging matiyaga at matiyaga:** Ang pagtugon sa sistematikong katiwalian ay nangangailangan ng patuloy na pagsisikap at adbokasiya sa paglipas ng panahon. Huwag mawalan ng pag-asa sa mga pag-urong, at magpatuloy sa pagtataguyod para sa mga pagbabagong kailangan.
Sa pamamagitan ng pagsasagawa ng mga hakbang na ito, ang mga pasyente ay maaaring gumanap ng isang mahalagang papel sa paghingi ng pananagutan, transparency, at etikal na mga kasanayan sa loob ng sektor ng pangangalagang pangkalusugan sa Pilipinas, sa huli ay humahantong sa isang sistema na nagsisilbi sa lahat nang patas at epektibo.
**Disclaimer:** Ang impormasyong ito ay para sa pangkalahatang pag-unawa at hindi dapat ituring na legal na payo. Napakahalagang kumonsulta sa mga legal na propesyonal para sa mga partikular na sitwasyon at potensyal na legal na implikasyon.</v>
      </c>
      <c r="F1336" s="2">
        <f t="shared" si="1"/>
        <v>0</v>
      </c>
      <c r="G1336" s="2"/>
      <c r="H1336" s="2"/>
      <c r="I1336" s="2"/>
      <c r="J1336" s="2"/>
      <c r="K1336" s="2"/>
      <c r="L1336" s="2"/>
      <c r="M1336" s="2"/>
      <c r="N1336" s="2"/>
      <c r="O1336" s="2"/>
      <c r="P1336" s="2"/>
      <c r="Q1336" s="2"/>
      <c r="R1336" s="2"/>
      <c r="S1336" s="2"/>
      <c r="T1336" s="2"/>
      <c r="U1336" s="2"/>
      <c r="V1336" s="2"/>
      <c r="W1336" s="2"/>
      <c r="X1336" s="2"/>
      <c r="Y1336" s="2"/>
      <c r="Z1336" s="2"/>
      <c r="AA1336" s="2"/>
    </row>
    <row r="1337">
      <c r="A1337" s="1" t="s">
        <v>3356</v>
      </c>
      <c r="B1337" s="1" t="s">
        <v>3839</v>
      </c>
      <c r="C1337" s="1" t="s">
        <v>3840</v>
      </c>
      <c r="D1337" s="2" t="str">
        <f>IFERROR(__xludf.DUMMYFUNCTION("GOOGLETRANSLATE(B1337, ""en"", ""TL"")"),"Anong mga legal na proteksyon ang umiiral para sa mga indibidwal na gustong manatiling hindi nagpapakilala habang nag-uulat ng katiwalian sa sistema ng pangangalagang pangkalusugan?")</f>
        <v>Anong mga legal na proteksyon ang umiiral para sa mga indibidwal na gustong manatiling hindi nagpapakilala habang nag-uulat ng katiwalian sa sistema ng pangangalagang pangkalusugan?</v>
      </c>
      <c r="E1337" s="2" t="str">
        <f>IFERROR(__xludf.DUMMYFUNCTION("GOOGLETRANSLATE(C1337, ""en"", ""TL"")"),"Habang hinihikayat ng Pilipinas ang pag-uulat ng katiwalian, **limitado ang mga partikular na legal na proteksyon para sa hindi pagkakilala sa sistema ng pangangalagang pangkalusugan**. Narito ang isang breakdown batay sa batas ng Pilipinas, RA, at Konsti"&amp;"tusyon:
**Mga Kasalukuyang Proteksyon:**
* **Republic Act No. 6774 (Ombudsman Act of 1989):** Pinapayagan ang mga hindi kilalang reklamo ngunit nangangailangan ng pagpapatunay at pagpapatibay ng impormasyon bago ang imbestigasyon.
* **Republic Act "&amp;"No. 10173 (Data Privacy Act):** Pinoprotektahan ang personal na impormasyon mula sa hindi awtorisadong pag-access at pagsisiwalat. Maaaring humiling ang mga indibidwal na manatiling hindi nagpapakilala kapag nag-uulat sa mga partikular na ahensya.
* **Mg"&amp;"a Panloob na Patakaran sa Whistleblower:** Maaaring may mga panloob na patakaran sa whistleblower ang ilang institusyon ng pangangalagang pangkalusugan na may mga mekanismo ng hindi kilalang pag-uulat. Gayunpaman, ang mga ito ay madalas na nangangailangan"&amp;" ng ilang pag-verify upang magpatuloy sa mga pagsisiyasat.
**Mga Limitasyon at Hamon:**
* **Limitadong saklaw:** Ang mga kasalukuyang proteksyon ay hindi partikular sa pangangalagang pangkalusugan at maaaring may mga limitasyon sa pagiging anonymity"&amp;" at pagiging kumpidensyal.
* **Pag-verify at pagpapatibay:** Maaaring hadlangan ng hindi pagkakakilanlan ang mga pagsisiyasat dahil nangangailangan ang mga ito ng ilang antas ng pag-verify at pagpapatibay ng impormasyon.
* **Panganib sa paghihiganti:** "&amp;"Kahit na hindi nagpakilala, mayroon pa ring potensyal na panganib ng paghihiganti mula sa mga indibidwal na sangkot sa katiwalian, lalo na sa loob ng mas maliliit na komunidad.
**Mga Alternatibo at Rekomendasyon:**
* **Mag-ulat sa pamamagitan ng mga"&amp;" ikatlong partido:** Isaalang-alang ang pag-uulat nang hindi nagpapakilala sa pamamagitan ng mga NGO, grupo ng adbokasiya ng pasyente, o mga media outlet na may itinatag na mga mekanismo sa pag-uulat.
* **Gumamit ng mga pseudonym:** Bagama't hindi ganap "&amp;"na proteksyon, ang paggamit ng mga pseudonym kapag nag-uulat online o sa pamamagitan ng mga hotline ay maaaring mag-alok ng ilang anonymity.
* **Tumuon sa makatotohanang impormasyon:** Tumutok sa pagbibigay ng malinaw at nabe-verify na mga detalye tungko"&amp;"l sa pinaghihinalaang katiwalian, na binabawasan ang personal na impormasyon tungkol sa iyong sarili.
* **Humingi ng legal na payo:** Makakatulong ang pagkonsulta sa isang abogadong may karanasan sa proteksyon ng whistleblower at batas sa pangangalagang "&amp;"pangkalusugan na mag-navigate sa mga opsyon sa pag-uulat at mga potensyal na panganib.
**Disclaimer:** Ang impormasyong ito ay para sa pangkalahatang pag-unawa at hindi dapat ituring na legal na payo. Napakahalagang timbangin ang mga panganib at benepi"&amp;"syo ng hindi pagkakilala at humingi ng propesyonal na patnubay para sa mga partikular na sitwasyon at potensyal na legal na implikasyon.
Tandaan, habang maaaring maging mahirap ang kumpletong hindi pagkakilala, ang paggawa ng mga hakbang upang protekta"&amp;"han ang iyong pagkakakilanlan at paghanap ng wastong patnubay ay maaaring magpapataas ng posibilidad na marinig at maimbestigahan ang iyong ulat, na makatutulong sa paglaban sa katiwalian sa sistema ng pangangalagang pangkalusugan.")</f>
        <v>Habang hinihikayat ng Pilipinas ang pag-uulat ng katiwalian, **limitado ang mga partikular na legal na proteksyon para sa hindi pagkakilala sa sistema ng pangangalagang pangkalusugan**. Narito ang isang breakdown batay sa batas ng Pilipinas, RA, at Konstitusyon:
**Mga Kasalukuyang Proteksyon:**
* **Republic Act No. 6774 (Ombudsman Act of 1989):** Pinapayagan ang mga hindi kilalang reklamo ngunit nangangailangan ng pagpapatunay at pagpapatibay ng impormasyon bago ang imbestigasyon.
* **Republic Act No. 10173 (Data Privacy Act):** Pinoprotektahan ang personal na impormasyon mula sa hindi awtorisadong pag-access at pagsisiwalat. Maaaring humiling ang mga indibidwal na manatiling hindi nagpapakilala kapag nag-uulat sa mga partikular na ahensya.
* **Mga Panloob na Patakaran sa Whistleblower:** Maaaring may mga panloob na patakaran sa whistleblower ang ilang institusyon ng pangangalagang pangkalusugan na may mga mekanismo ng hindi kilalang pag-uulat. Gayunpaman, ang mga ito ay madalas na nangangailangan ng ilang pag-verify upang magpatuloy sa mga pagsisiyasat.
**Mga Limitasyon at Hamon:**
* **Limitadong saklaw:** Ang mga kasalukuyang proteksyon ay hindi partikular sa pangangalagang pangkalusugan at maaaring may mga limitasyon sa pagiging anonymity at pagiging kumpidensyal.
* **Pag-verify at pagpapatibay:** Maaaring hadlangan ng hindi pagkakakilanlan ang mga pagsisiyasat dahil nangangailangan ang mga ito ng ilang antas ng pag-verify at pagpapatibay ng impormasyon.
* **Panganib sa paghihiganti:** Kahit na hindi nagpakilala, mayroon pa ring potensyal na panganib ng paghihiganti mula sa mga indibidwal na sangkot sa katiwalian, lalo na sa loob ng mas maliliit na komunidad.
**Mga Alternatibo at Rekomendasyon:**
* **Mag-ulat sa pamamagitan ng mga ikatlong partido:** Isaalang-alang ang pag-uulat nang hindi nagpapakilala sa pamamagitan ng mga NGO, grupo ng adbokasiya ng pasyente, o mga media outlet na may itinatag na mga mekanismo sa pag-uulat.
* **Gumamit ng mga pseudonym:** Bagama't hindi ganap na proteksyon, ang paggamit ng mga pseudonym kapag nag-uulat online o sa pamamagitan ng mga hotline ay maaaring mag-alok ng ilang anonymity.
* **Tumuon sa makatotohanang impormasyon:** Tumutok sa pagbibigay ng malinaw at nabe-verify na mga detalye tungkol sa pinaghihinalaang katiwalian, na binabawasan ang personal na impormasyon tungkol sa iyong sarili.
* **Humingi ng legal na payo:** Makakatulong ang pagkonsulta sa isang abogadong may karanasan sa proteksyon ng whistleblower at batas sa pangangalagang pangkalusugan na mag-navigate sa mga opsyon sa pag-uulat at mga potensyal na panganib.
**Disclaimer:** Ang impormasyong ito ay para sa pangkalahatang pag-unawa at hindi dapat ituring na legal na payo. Napakahalagang timbangin ang mga panganib at benepisyo ng hindi pagkakilala at humingi ng propesyonal na patnubay para sa mga partikular na sitwasyon at potensyal na legal na implikasyon.
Tandaan, habang maaaring maging mahirap ang kumpletong hindi pagkakilala, ang paggawa ng mga hakbang upang protektahan ang iyong pagkakakilanlan at paghanap ng wastong patnubay ay maaaring magpapataas ng posibilidad na marinig at maimbestigahan ang iyong ulat, na makatutulong sa paglaban sa katiwalian sa sistema ng pangangalagang pangkalusugan.</v>
      </c>
      <c r="F1337" s="2">
        <f t="shared" si="1"/>
        <v>0</v>
      </c>
      <c r="G1337" s="2"/>
      <c r="H1337" s="2"/>
      <c r="I1337" s="2"/>
      <c r="J1337" s="2"/>
      <c r="K1337" s="2"/>
      <c r="L1337" s="2"/>
      <c r="M1337" s="2"/>
      <c r="N1337" s="2"/>
      <c r="O1337" s="2"/>
      <c r="P1337" s="2"/>
      <c r="Q1337" s="2"/>
      <c r="R1337" s="2"/>
      <c r="S1337" s="2"/>
      <c r="T1337" s="2"/>
      <c r="U1337" s="2"/>
      <c r="V1337" s="2"/>
      <c r="W1337" s="2"/>
      <c r="X1337" s="2"/>
      <c r="Y1337" s="2"/>
      <c r="Z1337" s="2"/>
      <c r="AA1337" s="2"/>
    </row>
    <row r="1338">
      <c r="A1338" s="1" t="s">
        <v>3356</v>
      </c>
      <c r="B1338" s="1" t="s">
        <v>3841</v>
      </c>
      <c r="C1338" s="1" t="s">
        <v>3842</v>
      </c>
      <c r="D1338" s="2" t="str">
        <f>IFERROR(__xludf.DUMMYFUNCTION("GOOGLETRANSLATE(B1338, ""en"", ""TL"")"),"Maaari bang magsagawa ng legal na aksyon ang mga indibidwal laban sa mga third-party na entity, gaya ng mga tagagawa ng medikal na device o distributor ng parmasyutiko, para sa pagpapadali ng katiwalian sa pangangalagang pangkalusugan?")</f>
        <v>Maaari bang magsagawa ng legal na aksyon ang mga indibidwal laban sa mga third-party na entity, gaya ng mga tagagawa ng medikal na device o distributor ng parmasyutiko, para sa pagpapadali ng katiwalian sa pangangalagang pangkalusugan?</v>
      </c>
      <c r="E1338" s="2" t="str">
        <f>IFERROR(__xludf.DUMMYFUNCTION("GOOGLETRANSLATE(C1338, ""en"", ""TL"")"),"Sa Pilipinas, **maaaring magsagawa ng legal na aksyon ang mga indibidwal laban sa mga third-party na entity tulad ng mga manufacturer ng medikal na device o distributor ng pharmaceutical para sa pagpapadali ng katiwalian sa pangangalagang pangkalusugan**,"&amp;" ngunit ang tagumpay ay nakasalalay sa iba't ibang salik at legal na prinsipyo. Narito ang isang breakdown batay sa batas ng Pilipinas, RA, at Konstitusyon:
**Mga Potensyal na Batayan para sa Legal na Aksyon:**
* **Panagutan sa produkto:** Kung ang "&amp;"isang may sira na medikal na aparato o kontaminadong gamot ay nagdulot ng pinsala dahil sa katiwalian sa proseso ng pagmamanupaktura o pamamahagi, ang mga indibidwal ay maaaring magkaroon ng kaso para sa pananagutan ng produkto laban sa tagagawa o distrib"&amp;"utor.
* **Mga batas sa proteksyon ng consumer:** Kung ang third-party na entity ay nakikibahagi sa mga mapanlinlang o mapanlinlang na kasanayan, tulad ng pag-aalok ng mga kickback sa mga provider ng pangangalagang pangkalusugan upang i-promote ang kanila"&amp;"ng mga produkto, maaari nilang labagin ang Consumer Act of the Philippines (RA 7394).
* **Civil Code of the Philippines:** Ang mga Artikulo 19, 20, at 1321 ay maaaring gamitin kung ang indibidwal ay nakaranas ng mga pinsala (pisikal, pinansyal, o emosyon"&amp;"al) dahil sa mga aksyon ng third-party na entity, kahit na hindi direktang kasangkot sa katiwalian.
**Mga Pagsasaalang-alang at Hamon:**
* **Pagtatatag ng sanhi:** Ang pagpapatunay ng isang malinaw na ugnayan sa pagitan ng mga tiwaling gawi, mga aks"&amp;"yon ng third-party na entity, at pinsala ng indibidwal ay napakahalaga.
* **Direktang paglahok:** Maaaring mahirap ipakita ang direktang kaalaman at pakikilahok ng third-party na entity sa katiwalian sa loob ng sistema ng pangangalagang pangkalusugan.
*"&amp;" **Mga pagtatanggol ng third-party na entity:** Maaari silang magtaltalan na hindi nila alam ang katiwalian, sumunod sa wastong pamamaraan, o hindi mananagot sa mga aksyon ng iba.
**Mga Karagdagang Salik:**
* **Katangian ng pinsala:** Ang kalubhaan "&amp;"ng pinsalang dinanas ng indibidwal ay makakaimpluwensya sa lakas ng kaso.
* **Ebidensya:** Ang pangangalap ng patunay ng katiwalian, pagkakasangkot ng third-party na entity, at ang mga resultang pinsala ay napakahalaga.
* **Legal na representasyon:** An"&amp;"g pagkonsulta sa isang abogadong may karanasan sa pananagutan sa produkto, proteksyon ng consumer, at mga legal na isyu na nauugnay sa pangangalaga sa kalusugan ay lubos na inirerekomenda.
**Disclaimer:** Ang impormasyong ito ay para sa pangkalahatang "&amp;"pag-unawa at hindi dapat ituring na legal na payo. Ang bawat kaso ay nakasalalay sa mga partikular na pangyayari at ebidensya. Ang pagkonsulta sa isang abogado para sa mga indibidwal na sitwasyon at mga potensyal na legal na aksyon ay lubos na inirerekome"&amp;"nda.
**Mahahalagang Paalala:**
* Ang paghahabol ng legal na aksyon laban sa mga third-party na entity para sa pagpapadali ng katiwalian ay maaaring maging kumplikado at masinsinang mapagkukunan.
* Ang pasanin ng patunay ay nakasalalay sa indibidwal"&amp;", na nangangailangan ng matibay na ebidensya at legal na kadalubhasaan upang magtagumpay.
* Ang mga alternatibong paraan, tulad ng pag-uulat ng pinaghihinalaang katiwalian sa mga regulatory body, ay maaaring galugarin depende sa partikular na mga pangyay"&amp;"ari.
Tandaan, ang impormasyong ito ay para sa pangkalahatang pag-unawa at hindi dapat ituring na legal na payo. Napakahalagang kumonsulta sa mga legal na propesyonal para sa mga partikular na detalye at legal na interpretasyon.")</f>
        <v>Sa Pilipinas, **maaaring magsagawa ng legal na aksyon ang mga indibidwal laban sa mga third-party na entity tulad ng mga manufacturer ng medikal na device o distributor ng pharmaceutical para sa pagpapadali ng katiwalian sa pangangalagang pangkalusugan**, ngunit ang tagumpay ay nakasalalay sa iba't ibang salik at legal na prinsipyo. Narito ang isang breakdown batay sa batas ng Pilipinas, RA, at Konstitusyon:
**Mga Potensyal na Batayan para sa Legal na Aksyon:**
* **Panagutan sa produkto:** Kung ang isang may sira na medikal na aparato o kontaminadong gamot ay nagdulot ng pinsala dahil sa katiwalian sa proseso ng pagmamanupaktura o pamamahagi, ang mga indibidwal ay maaaring magkaroon ng kaso para sa pananagutan ng produkto laban sa tagagawa o distributor.
* **Mga batas sa proteksyon ng consumer:** Kung ang third-party na entity ay nakikibahagi sa mga mapanlinlang o mapanlinlang na kasanayan, tulad ng pag-aalok ng mga kickback sa mga provider ng pangangalagang pangkalusugan upang i-promote ang kanilang mga produkto, maaari nilang labagin ang Consumer Act of the Philippines (RA 7394).
* **Civil Code of the Philippines:** Ang mga Artikulo 19, 20, at 1321 ay maaaring gamitin kung ang indibidwal ay nakaranas ng mga pinsala (pisikal, pinansyal, o emosyonal) dahil sa mga aksyon ng third-party na entity, kahit na hindi direktang kasangkot sa katiwalian.
**Mga Pagsasaalang-alang at Hamon:**
* **Pagtatatag ng sanhi:** Ang pagpapatunay ng isang malinaw na ugnayan sa pagitan ng mga tiwaling gawi, mga aksyon ng third-party na entity, at pinsala ng indibidwal ay napakahalaga.
* **Direktang paglahok:** Maaaring mahirap ipakita ang direktang kaalaman at pakikilahok ng third-party na entity sa katiwalian sa loob ng sistema ng pangangalagang pangkalusugan.
* **Mga pagtatanggol ng third-party na entity:** Maaari silang magtaltalan na hindi nila alam ang katiwalian, sumunod sa wastong pamamaraan, o hindi mananagot sa mga aksyon ng iba.
**Mga Karagdagang Salik:**
* **Katangian ng pinsala:** Ang kalubhaan ng pinsalang dinanas ng indibidwal ay makakaimpluwensya sa lakas ng kaso.
* **Ebidensya:** Ang pangangalap ng patunay ng katiwalian, pagkakasangkot ng third-party na entity, at ang mga resultang pinsala ay napakahalaga.
* **Legal na representasyon:** Ang pagkonsulta sa isang abogadong may karanasan sa pananagutan sa produkto, proteksyon ng consumer, at mga legal na isyu na nauugnay sa pangangalaga sa kalusugan ay lubos na inirerekomenda.
**Disclaimer:** Ang impormasyong ito ay para sa pangkalahatang pag-unawa at hindi dapat ituring na legal na payo. Ang bawat kaso ay nakasalalay sa mga partikular na pangyayari at ebidensya. Ang pagkonsulta sa isang abogado para sa mga indibidwal na sitwasyon at mga potensyal na legal na aksyon ay lubos na inirerekomenda.
**Mahahalagang Paalala:**
* Ang paghahabol ng legal na aksyon laban sa mga third-party na entity para sa pagpapadali ng katiwalian ay maaaring maging kumplikado at masinsinang mapagkukunan.
* Ang pasanin ng patunay ay nakasalalay sa indibidwal, na nangangailangan ng matibay na ebidensya at legal na kadalubhasaan upang magtagumpay.
* Ang mga alternatibong paraan, tulad ng pag-uulat ng pinaghihinalaang katiwalian sa mga regulatory body, ay maaaring galugarin depende sa partikular na mga pangyayari.
Tandaan, ang impormasyong ito ay para sa pangkalahatang pag-unawa at hindi dapat ituring na legal na payo. Napakahalagang kumonsulta sa mga legal na propesyonal para sa mga partikular na detalye at legal na interpretasyon.</v>
      </c>
      <c r="F1338" s="2">
        <f t="shared" si="1"/>
        <v>0</v>
      </c>
      <c r="G1338" s="2"/>
      <c r="H1338" s="2"/>
      <c r="I1338" s="2"/>
      <c r="J1338" s="2"/>
      <c r="K1338" s="2"/>
      <c r="L1338" s="2"/>
      <c r="M1338" s="2"/>
      <c r="N1338" s="2"/>
      <c r="O1338" s="2"/>
      <c r="P1338" s="2"/>
      <c r="Q1338" s="2"/>
      <c r="R1338" s="2"/>
      <c r="S1338" s="2"/>
      <c r="T1338" s="2"/>
      <c r="U1338" s="2"/>
      <c r="V1338" s="2"/>
      <c r="W1338" s="2"/>
      <c r="X1338" s="2"/>
      <c r="Y1338" s="2"/>
      <c r="Z1338" s="2"/>
      <c r="AA1338" s="2"/>
    </row>
    <row r="1339">
      <c r="A1339" s="1" t="s">
        <v>3356</v>
      </c>
      <c r="B1339" s="1" t="s">
        <v>3843</v>
      </c>
      <c r="C1339" s="1" t="s">
        <v>3844</v>
      </c>
      <c r="D1339" s="2" t="str">
        <f>IFERROR(__xludf.DUMMYFUNCTION("GOOGLETRANSLATE(B1339, ""en"", ""TL"")"),"Paano matitiyak ng mga pasyente na ang kanilang mga tagapagbigay ng pangangalagang pangkalusugan ay sumusunod sa mga pamantayang etikal at alituntunin upang maiwasan ang katiwalian?")</f>
        <v>Paano matitiyak ng mga pasyente na ang kanilang mga tagapagbigay ng pangangalagang pangkalusugan ay sumusunod sa mga pamantayang etikal at alituntunin upang maiwasan ang katiwalian?</v>
      </c>
      <c r="E1339" s="2" t="str">
        <f>IFERROR(__xludf.DUMMYFUNCTION("GOOGLETRANSLATE(C1339, ""en"", ""TL"")"),"Sa Pilipinas, hindi direktang magagarantiya ng mga pasyente ang pagsunod ng kanilang mga tagapagbigay ng pangangalagang pangkalusugan sa mga pamantayang etikal, ngunit maaari silang **gumawa ng mga proactive na hakbang** upang pataasin ang posibilidad at "&amp;"**hikayatin ang mga kasanayang etikal** na makatutulong na maiwasan ang katiwalian. Narito ang pinapayagan ng Batas, RA, at Konstitusyon ng Pilipinas:
**1. May Kaalaman na Pahintulot:**
* **Unawain ang mga opsyon at panganib sa paggamot:** Ang mga pasyent"&amp;"e ay may karapatan na **kumpleto at tumpak na impormasyon** tungkol sa kanilang mga diagnosis, mga opsyon sa paggamot, at mga potensyal na panganib at benepisyo. Nagbibigay ito ng kapangyarihan sa kanila na gumawa ng matalinong mga pagpipilian at maghain "&amp;"ng mga alalahanin kung may tila kahina-hinala.
* **Magtanong at humingi ng paglilinaw:** Huwag mag-atubiling magtanong tungkol sa mga diagnosis, pamamaraan, at gastos. Humingi ng paglilinaw kung may nararamdamang hindi malinaw o hindi komportable.
* **Pag"&amp;"tanggi sa paggamot:** May karapatan kang tanggihan ang anumang opsyon sa paggamot, kahit na inirerekomenda ng provider. Binibigyan ka nito ng kapangyarihan na tanggihan ang mga hindi kailangan o hindi etikal na mga gawi.
**2. Transparency at Komunikasyon:"&amp;"**
* **Humiling ng mga detalyadong singil at invoice:** Humingi ng mga breakdown ng mga singil at tiyaking naaayon ang mga ito sa mga pamamaraang isinagawa at mga gamot na ginamit. Nakakatulong ito na matukoy ang potensyal na labis na pagsingil o mga hind"&amp;"i kinakailangang gastos.
* **Mag-ulat ng mga alalahanin sa pangangasiwa ng ospital:** Kung ikaw ay nakakita o naghihinala ng mga hindi etikal na gawi, iulat ang mga ito sa pangangasiwa ng ospital o komite sa etika. Nagbibigay-daan ito sa kanila na mag-imb"&amp;"estiga at gumawa ng mga kinakailangang aksyon.
* **Gamitin ang mga mekanismo ng feedback ng pasyente:** Ang mga ospital ay kadalasang may mga feedback system para sa mga pasyente. Gamitin ang mga ito upang ibahagi ang iyong mga karanasan, parehong positib"&amp;"o at negatibo, upang hikayatin ang transparency at pagpapabuti.
**3. Maghanap ng Panlabas na Opinyon:**
* **Kumonsulta sa ibang tagapagbigay ng pangangalagang pangkalusugan:** Kung mayroon kang mga pagdududa tungkol sa isang diagnosis o plano sa paggamot,"&amp;" humingi ng pangalawang opinyon mula sa isa pang kwalipikadong propesyonal. Maaari itong magbigay ng karagdagang pananaw at tumulong sa pagtukoy ng mga potensyal na salungatan ng interes.
* **Gamitin ang mga propesyonal na asosasyon:** Makipag-ugnayan sa "&amp;"mga propesyonal na asosasyon ng specialty ng healthcare provider upang magtanong tungkol sa mga etikal na code at mga potensyal na paglabag. Maaari silang mag-alok ng gabay o magsimula ng mga pagsisiyasat.
**4. Tagapagtaguyod para sa Pampublikong Pananagu"&amp;"tan:**
* **Suportahan ang mga pangkat ng pagtataguyod ng pasyente:** Sumali o suportahan ang mga organisasyong nagsusulong para sa mga karapatan ng mga pasyente at mga etikal na kasanayan sa pangangalagang pangkalusugan. Maaari nilang itaas ang kamalayan "&amp;"at mag-lobby para sa mas matibay na mga regulasyon at pangangasiwa.
* **Makilahok sa mga pampublikong konsultasyon:** Kapag ang mga ahensya ng gobyerno o mga organisasyong propesyonal sa pangangalagang pangkalusugan ay nagsagawa ng mga konsultasyon sa mga"&amp;" patakaran o regulasyon, lumahok at ibahagi ang iyong pananaw sa mga etikal na kasanayan at pag-iwas sa katiwalian.
**Tandaan:**
* **Mga Limitasyon:** Bagama't maaaring hikayatin ng mga hakbang na ito ang mga etikal na kasanayan, hindi nito magagarantiyah"&amp;"an ang kumpletong pag-iwas sa katiwalian.
* **Kaligtasan muna:** Unahin ang iyong kaligtasan at iwasang ilagay ang iyong sarili sa panganib kapag naghahayag ng mga alalahanin.
* **Humingi ng legal na tagapayo:** Kung pinaghihinalaan mo ang malubhang katiw"&amp;"alian o nahaharap sa paghihiganti para sa paghahayag ng mga alalahanin, kumunsulta sa isang abogadong may karanasan sa pangangalagang pangkalusugan at mga isyu sa etika.
**Disclaimer:** Ang impormasyong ito ay para sa pangkalahatang pag-unawa at hindi dap"&amp;"at ituring na legal na payo. Napakahalagang kumonsulta sa mga legal na propesyonal para sa mga partikular na sitwasyon at legal na interpretasyon.
Sa pagiging maagap at kaalaman, ang mga pasyente ay maaaring gumanap ng mahalagang papel sa pagpapaunlad ng "&amp;"kultura ng etikal na pangangalagang pangkalusugan sa Pilipinas at pag-aambag sa paglaban sa katiwalian.")</f>
        <v>Sa Pilipinas, hindi direktang magagarantiya ng mga pasyente ang pagsunod ng kanilang mga tagapagbigay ng pangangalagang pangkalusugan sa mga pamantayang etikal, ngunit maaari silang **gumawa ng mga proactive na hakbang** upang pataasin ang posibilidad at **hikayatin ang mga kasanayang etikal** na makatutulong na maiwasan ang katiwalian. Narito ang pinapayagan ng Batas, RA, at Konstitusyon ng Pilipinas:
**1. May Kaalaman na Pahintulot:**
* **Unawain ang mga opsyon at panganib sa paggamot:** Ang mga pasyente ay may karapatan na **kumpleto at tumpak na impormasyon** tungkol sa kanilang mga diagnosis, mga opsyon sa paggamot, at mga potensyal na panganib at benepisyo. Nagbibigay ito ng kapangyarihan sa kanila na gumawa ng matalinong mga pagpipilian at maghain ng mga alalahanin kung may tila kahina-hinala.
* **Magtanong at humingi ng paglilinaw:** Huwag mag-atubiling magtanong tungkol sa mga diagnosis, pamamaraan, at gastos. Humingi ng paglilinaw kung may nararamdamang hindi malinaw o hindi komportable.
* **Pagtanggi sa paggamot:** May karapatan kang tanggihan ang anumang opsyon sa paggamot, kahit na inirerekomenda ng provider. Binibigyan ka nito ng kapangyarihan na tanggihan ang mga hindi kailangan o hindi etikal na mga gawi.
**2. Transparency at Komunikasyon:**
* **Humiling ng mga detalyadong singil at invoice:** Humingi ng mga breakdown ng mga singil at tiyaking naaayon ang mga ito sa mga pamamaraang isinagawa at mga gamot na ginamit. Nakakatulong ito na matukoy ang potensyal na labis na pagsingil o mga hindi kinakailangang gastos.
* **Mag-ulat ng mga alalahanin sa pangangasiwa ng ospital:** Kung ikaw ay nakakita o naghihinala ng mga hindi etikal na gawi, iulat ang mga ito sa pangangasiwa ng ospital o komite sa etika. Nagbibigay-daan ito sa kanila na mag-imbestiga at gumawa ng mga kinakailangang aksyon.
* **Gamitin ang mga mekanismo ng feedback ng pasyente:** Ang mga ospital ay kadalasang may mga feedback system para sa mga pasyente. Gamitin ang mga ito upang ibahagi ang iyong mga karanasan, parehong positibo at negatibo, upang hikayatin ang transparency at pagpapabuti.
**3. Maghanap ng Panlabas na Opinyon:**
* **Kumonsulta sa ibang tagapagbigay ng pangangalagang pangkalusugan:** Kung mayroon kang mga pagdududa tungkol sa isang diagnosis o plano sa paggamot, humingi ng pangalawang opinyon mula sa isa pang kwalipikadong propesyonal. Maaari itong magbigay ng karagdagang pananaw at tumulong sa pagtukoy ng mga potensyal na salungatan ng interes.
* **Gamitin ang mga propesyonal na asosasyon:** Makipag-ugnayan sa mga propesyonal na asosasyon ng specialty ng healthcare provider upang magtanong tungkol sa mga etikal na code at mga potensyal na paglabag. Maaari silang mag-alok ng gabay o magsimula ng mga pagsisiyasat.
**4. Tagapagtaguyod para sa Pampublikong Pananagutan:**
* **Suportahan ang mga pangkat ng pagtataguyod ng pasyente:** Sumali o suportahan ang mga organisasyong nagsusulong para sa mga karapatan ng mga pasyente at mga etikal na kasanayan sa pangangalagang pangkalusugan. Maaari nilang itaas ang kamalayan at mag-lobby para sa mas matibay na mga regulasyon at pangangasiwa.
* **Makilahok sa mga pampublikong konsultasyon:** Kapag ang mga ahensya ng gobyerno o mga organisasyong propesyonal sa pangangalagang pangkalusugan ay nagsagawa ng mga konsultasyon sa mga patakaran o regulasyon, lumahok at ibahagi ang iyong pananaw sa mga etikal na kasanayan at pag-iwas sa katiwalian.
**Tandaan:**
* **Mga Limitasyon:** Bagama't maaaring hikayatin ng mga hakbang na ito ang mga etikal na kasanayan, hindi nito magagarantiyahan ang kumpletong pag-iwas sa katiwalian.
* **Kaligtasan muna:** Unahin ang iyong kaligtasan at iwasang ilagay ang iyong sarili sa panganib kapag naghahayag ng mga alalahanin.
* **Humingi ng legal na tagapayo:** Kung pinaghihinalaan mo ang malubhang katiwalian o nahaharap sa paghihiganti para sa paghahayag ng mga alalahanin, kumunsulta sa isang abogadong may karanasan sa pangangalagang pangkalusugan at mga isyu sa etika.
**Disclaimer:** Ang impormasyong ito ay para sa pangkalahatang pag-unawa at hindi dapat ituring na legal na payo. Napakahalagang kumonsulta sa mga legal na propesyonal para sa mga partikular na sitwasyon at legal na interpretasyon.
Sa pagiging maagap at kaalaman, ang mga pasyente ay maaaring gumanap ng mahalagang papel sa pagpapaunlad ng kultura ng etikal na pangangalagang pangkalusugan sa Pilipinas at pag-aambag sa paglaban sa katiwalian.</v>
      </c>
      <c r="F1339" s="2">
        <f t="shared" si="1"/>
        <v>0</v>
      </c>
      <c r="G1339" s="2"/>
      <c r="H1339" s="2"/>
      <c r="I1339" s="2"/>
      <c r="J1339" s="2"/>
      <c r="K1339" s="2"/>
      <c r="L1339" s="2"/>
      <c r="M1339" s="2"/>
      <c r="N1339" s="2"/>
      <c r="O1339" s="2"/>
      <c r="P1339" s="2"/>
      <c r="Q1339" s="2"/>
      <c r="R1339" s="2"/>
      <c r="S1339" s="2"/>
      <c r="T1339" s="2"/>
      <c r="U1339" s="2"/>
      <c r="V1339" s="2"/>
      <c r="W1339" s="2"/>
      <c r="X1339" s="2"/>
      <c r="Y1339" s="2"/>
      <c r="Z1339" s="2"/>
      <c r="AA1339" s="2"/>
    </row>
    <row r="1340">
      <c r="A1340" s="1" t="s">
        <v>3356</v>
      </c>
      <c r="B1340" s="1" t="s">
        <v>3845</v>
      </c>
      <c r="C1340" s="1" t="s">
        <v>3846</v>
      </c>
      <c r="D1340" s="2" t="str">
        <f>IFERROR(__xludf.DUMMYFUNCTION("GOOGLETRANSLATE(B1340, ""en"", ""TL"")"),"Maaari bang humingi ng mga legal na remedyo ang mga indibidwal kung naniniwala sila na ang kanilang mga medikal na diagnosis ay naiimpluwensyahan ng mga tiwaling gawi sa loob ng sistema ng pangangalagang pangkalusugan?")</f>
        <v>Maaari bang humingi ng mga legal na remedyo ang mga indibidwal kung naniniwala sila na ang kanilang mga medikal na diagnosis ay naiimpluwensyahan ng mga tiwaling gawi sa loob ng sistema ng pangangalagang pangkalusugan?</v>
      </c>
      <c r="E1340" s="2" t="str">
        <f>IFERROR(__xludf.DUMMYFUNCTION("GOOGLETRANSLATE(C1340, ""en"", ""TL"")"),"Oo, ang mga indibidwal sa Pilipinas **maaaring humingi ng mga legal na remedyo** kung naniniwala silang ang kanilang mga medikal na diagnosis ay naiimpluwensyahan ng mga tiwaling gawi sa loob ng sistema ng pangangalagang pangkalusugan, ngunit ang tagumpay"&amp;" ay nakasalalay sa ilang mga salik at legal na prinsipyo sa loob ng legal na balangkas ng Pilipinas. Narito ang isang breakdown:
**Mga Potensyal na Batayan para sa Legal na Aksyon:**
* **Misdiagnosis o kapabayaan:** Kung mapapatunayan ng indibidwal "&amp;"na ang maling pagsusuri ay dahil sa kapabayaan o kawalan ng kakayahan ng tagapagbigay ng pangangalagang pangkalusugan, anuman ang anumang pinagbabatayan ng mga tiwaling gawi, maaari silang magkaroon ng kaso para sa medikal na malpractice.
* **Pandaraya o"&amp;" panlilinlang:** Kung mapapatunayan ng indibidwal na sinadyang mali ang pag-diagnose sa kanila ng tagapagbigay ng pangangalagang pangkalusugan o itinago ang impormasyon dahil sa mga tiwaling motibo (hal., pagtanggap ng mga kickback para sa mga hindi kinak"&amp;"ailangang pagsusuri o paggamot), maaari silang magkaroon ng mga batayan para sa panloloko o panlilinlang.
* **Paglabag sa mga batas sa proteksyon ng consumer:** Kung ang maling pagsusuri ay nagresulta mula sa mali o mapanlinlang na advertising o mga gawi"&amp;" ng provider ng pangangalagang pangkalusugan, maaaring nilabag nila ang Consumer Act of the Philippines (RA 7394).
**Mga Pagsasaalang-alang at Hamon:**
* **Burden of proof:** Ang indibidwal ay nagdadala ng pasanin na patunayan ang lahat ng elemento "&amp;"ng kanilang claim, kabilang ang maling pagsusuri, epekto nito sa kanilang kalusugan, at ang koneksyon sa mga tiwaling gawi.
* **Pagtatatag ng sanhi:** Ang pagpapakita ng malinaw na ugnayan sa pagitan ng mga pinaghihinalaang mga tiwaling gawi at ang malin"&amp;"g pagsusuri ay maaaring maging mahirap.
* **Laki ng mga pinsala:** Ang pagpapatunay sa lawak ng mga pinsalang dulot ng maling pagsusuri at pagsukat ng halaga ng pera ng mga ito ay napakahalaga.
* **Mga pagtatanggol ng tagapagbigay ng pangangalagang pang"&amp;"kalusugan:** Ang tagapagbigay ng serbisyo ay maaaring may mga depensa tulad ng mga limitasyon ng pananagutan, pag-asa sa mga karaniwang pamamaraan, o kakulangan ng kaalaman sa anumang mga tiwaling gawi.
**Mga Karagdagang Salik:**
* **Katangian ng mi"&amp;"sdiagnosis:** Ang kalubhaan ng maling pagsusuri at ang epekto nito sa kalusugan ng indibidwal ay makakaimpluwensya sa lakas ng kaso.
* **Ebidensya:** Ang pangangalap ng patunay ng maling pagsusuri, mga potensyal na tiwaling gawi, at mga nagresultang pins"&amp;"ala ay napakahalaga.
* **Legal na representasyon:** Ang pagkonsulta sa isang abogadong may karanasan sa medikal na malpractice at mga legal na isyu na nauugnay sa pangangalaga sa kalusugan ay lubos na inirerekomenda.
**Disclaimer:** Ang impormasyong i"&amp;"to ay para sa pangkalahatang pag-unawa at hindi dapat ituring na legal na payo. Ang bawat kaso ay nakasalalay sa mga partikular na pangyayari at ebidensya. Ang pagkonsulta sa isang abogado para sa mga indibidwal na sitwasyon at mga potensyal na legal na a"&amp;"ksyon ay lubos na inirerekomenda.
**Mahalagang Paalala:** Ang pagiging kumplikado ng pagpapatunay ng katiwalian bilang isang salik na nag-aambag sa isang maling pagsusuri ay ginagawa itong isang mapaghamong legal na pagtugis. Bagama't umiiral ang mga l"&amp;"egal na opsyon, maaaring mahirap ang paghahanap ng kabayaran sa pamamagitan ng mga paraan na ito at nangangailangan ng makabuluhang mapagkukunan at kadalubhasaan sa batas. Napakahalaga na maingat na timbangin ang mga potensyal na benepisyo at hamon bago i"&amp;"sagawa ang naturang aksyon.
Tandaan, ang impormasyong ito ay para sa pangkalahatang pag-unawa at hindi dapat ituring na legal na payo. Napakahalagang kumonsulta sa mga legal na propesyonal para sa mga partikular na detalye at legal na interpretasyon.")</f>
        <v>Oo, ang mga indibidwal sa Pilipinas **maaaring humingi ng mga legal na remedyo** kung naniniwala silang ang kanilang mga medikal na diagnosis ay naiimpluwensyahan ng mga tiwaling gawi sa loob ng sistema ng pangangalagang pangkalusugan, ngunit ang tagumpay ay nakasalalay sa ilang mga salik at legal na prinsipyo sa loob ng legal na balangkas ng Pilipinas. Narito ang isang breakdown:
**Mga Potensyal na Batayan para sa Legal na Aksyon:**
* **Misdiagnosis o kapabayaan:** Kung mapapatunayan ng indibidwal na ang maling pagsusuri ay dahil sa kapabayaan o kawalan ng kakayahan ng tagapagbigay ng pangangalagang pangkalusugan, anuman ang anumang pinagbabatayan ng mga tiwaling gawi, maaari silang magkaroon ng kaso para sa medikal na malpractice.
* **Pandaraya o panlilinlang:** Kung mapapatunayan ng indibidwal na sinadyang mali ang pag-diagnose sa kanila ng tagapagbigay ng pangangalagang pangkalusugan o itinago ang impormasyon dahil sa mga tiwaling motibo (hal., pagtanggap ng mga kickback para sa mga hindi kinakailangang pagsusuri o paggamot), maaari silang magkaroon ng mga batayan para sa panloloko o panlilinlang.
* **Paglabag sa mga batas sa proteksyon ng consumer:** Kung ang maling pagsusuri ay nagresulta mula sa mali o mapanlinlang na advertising o mga gawi ng provider ng pangangalagang pangkalusugan, maaaring nilabag nila ang Consumer Act of the Philippines (RA 7394).
**Mga Pagsasaalang-alang at Hamon:**
* **Burden of proof:** Ang indibidwal ay nagdadala ng pasanin na patunayan ang lahat ng elemento ng kanilang claim, kabilang ang maling pagsusuri, epekto nito sa kanilang kalusugan, at ang koneksyon sa mga tiwaling gawi.
* **Pagtatatag ng sanhi:** Ang pagpapakita ng malinaw na ugnayan sa pagitan ng mga pinaghihinalaang mga tiwaling gawi at ang maling pagsusuri ay maaaring maging mahirap.
* **Laki ng mga pinsala:** Ang pagpapatunay sa lawak ng mga pinsalang dulot ng maling pagsusuri at pagsukat ng halaga ng pera ng mga ito ay napakahalaga.
* **Mga pagtatanggol ng tagapagbigay ng pangangalagang pangkalusugan:** Ang tagapagbigay ng serbisyo ay maaaring may mga depensa tulad ng mga limitasyon ng pananagutan, pag-asa sa mga karaniwang pamamaraan, o kakulangan ng kaalaman sa anumang mga tiwaling gawi.
**Mga Karagdagang Salik:**
* **Katangian ng misdiagnosis:** Ang kalubhaan ng maling pagsusuri at ang epekto nito sa kalusugan ng indibidwal ay makakaimpluwensya sa lakas ng kaso.
* **Ebidensya:** Ang pangangalap ng patunay ng maling pagsusuri, mga potensyal na tiwaling gawi, at mga nagresultang pinsala ay napakahalaga.
* **Legal na representasyon:** Ang pagkonsulta sa isang abogadong may karanasan sa medikal na malpractice at mga legal na isyu na nauugnay sa pangangalaga sa kalusugan ay lubos na inirerekomenda.
**Disclaimer:** Ang impormasyong ito ay para sa pangkalahatang pag-unawa at hindi dapat ituring na legal na payo. Ang bawat kaso ay nakasalalay sa mga partikular na pangyayari at ebidensya. Ang pagkonsulta sa isang abogado para sa mga indibidwal na sitwasyon at mga potensyal na legal na aksyon ay lubos na inirerekomenda.
**Mahalagang Paalala:** Ang pagiging kumplikado ng pagpapatunay ng katiwalian bilang isang salik na nag-aambag sa isang maling pagsusuri ay ginagawa itong isang mapaghamong legal na pagtugis. Bagama't umiiral ang mga legal na opsyon, maaaring mahirap ang paghahanap ng kabayaran sa pamamagitan ng mga paraan na ito at nangangailangan ng makabuluhang mapagkukunan at kadalubhasaan sa batas. Napakahalaga na maingat na timbangin ang mga potensyal na benepisyo at hamon bago isagawa ang naturang aksyon.
Tandaan, ang impormasyong ito ay para sa pangkalahatang pag-unawa at hindi dapat ituring na legal na payo. Napakahalagang kumonsulta sa mga legal na propesyonal para sa mga partikular na detalye at legal na interpretasyon.</v>
      </c>
      <c r="F1340" s="2">
        <f t="shared" si="1"/>
        <v>0</v>
      </c>
      <c r="G1340" s="2"/>
      <c r="H1340" s="2"/>
      <c r="I1340" s="2"/>
      <c r="J1340" s="2"/>
      <c r="K1340" s="2"/>
      <c r="L1340" s="2"/>
      <c r="M1340" s="2"/>
      <c r="N1340" s="2"/>
      <c r="O1340" s="2"/>
      <c r="P1340" s="2"/>
      <c r="Q1340" s="2"/>
      <c r="R1340" s="2"/>
      <c r="S1340" s="2"/>
      <c r="T1340" s="2"/>
      <c r="U1340" s="2"/>
      <c r="V1340" s="2"/>
      <c r="W1340" s="2"/>
      <c r="X1340" s="2"/>
      <c r="Y1340" s="2"/>
      <c r="Z1340" s="2"/>
      <c r="AA1340" s="2"/>
    </row>
    <row r="1341">
      <c r="A1341" s="1" t="s">
        <v>3356</v>
      </c>
      <c r="B1341" s="1" t="s">
        <v>3847</v>
      </c>
      <c r="C1341" s="1" t="s">
        <v>3848</v>
      </c>
      <c r="D1341" s="2" t="str">
        <f>IFERROR(__xludf.DUMMYFUNCTION("GOOGLETRANSLATE(B1341, ""en"", ""TL"")"),"Paano nakakaapekto ang katiwalian sa sistema ng pangangalagang pangkalusugan sa pagkakaroon at pagiging abot-kaya ng mga serbisyo sa pangangalagang pangkalusugan para sa mga komunidad na kulang sa serbisyo?")</f>
        <v>Paano nakakaapekto ang katiwalian sa sistema ng pangangalagang pangkalusugan sa pagkakaroon at pagiging abot-kaya ng mga serbisyo sa pangangalagang pangkalusugan para sa mga komunidad na kulang sa serbisyo?</v>
      </c>
      <c r="E1341" s="2" t="str">
        <f>IFERROR(__xludf.DUMMYFUNCTION("GOOGLETRANSLATE(C1341, ""en"", ""TL"")"),"Sa Pilipinas, ang katiwalian sa sistema ng pangangalagang pangkalusugan ay may **mapangwasak na epekto sa pagkakaroon at pagiging abot-kaya ng mga serbisyo sa pangangalagang pangkalusugan para sa mga komunidad na kulang sa serbisyo**, gaya ng binalangkas "&amp;"ng iba't ibang batas ng Pilipinas, RA, at Konstitusyon. Ganito:
**1. Diversion ng mga mapagkukunan:**
* **Mga pondong inilaan para sa mga programa sa pampublikong kalusugan:** Ang katiwalian ay maaaring humantong sa maling paggamit ng mga pondo para"&amp;" sa mahahalagang serbisyo tulad ng pagtatayo ng mga klinika, pagbili ng mga gamot, at pagkuha ng mga medikal na tauhan. **Pinababawasan nito ang mga mapagkukunang magagamit** para sa mga komunidad na kulang sa serbisyo, lalo na sa mga malalayong lugar.
*"&amp;" **Panunuhol at kickback:** Ang mga kasanayan tulad ng paghingi ng suhol para sa pag-access sa mga serbisyo o pagtanggap ng mga kickback mula sa mga kumpanya ng parmasyutiko ay maaaring **mag-ubos ng mga mapagkukunan** para sa pangangalaga ng pasyente at "&amp;"pagpapaunlad ng imprastraktura.
**2. Hindi mahusay na paghahatid ng serbisyo:**
* **Ghost employees at ghost project:** Maaaring kasama sa katiwalian ang pagbabayad ng mga suweldo para sa mga hindi umiiral na empleyado o pagpopondo ng mga proyektong"&amp;" hindi kailanman matutupad. Ito **binabawasan ang aktwal na manggagawa at mga serbisyo** na magagamit sa mga komunidad na kulang sa serbisyo.
* **Hindi magandang pagpapanatili at kawalan ng transparency:** Ang mga tiwaling gawi ay maaaring humantong sa *"&amp;"*kapabayaan ng mga pampublikong pasilidad sa kalusugan**, na magreresulta sa hindi magandang imprastraktura, hindi sapat na kagamitan, at kakulangan ng mahahalagang suplay, na lalong humahadlang sa pag-access sa de-kalidad na pangangalaga para sa mga popu"&amp;"lasyon na kulang sa serbisyo. .
**3. Mga pagtaas ng gastos para sa mga pasyente:**
* **Mga impormal na pagbabayad at hindi opisyal na mga bayarin:** Ang mga kahilingan para sa hindi opisyal na mga bayarin o suhol para sa pag-access ng mga serbisyo a"&amp;"y maaaring lumikha ng malaking pasanin sa pananalapi para sa mga komunidad na kulang sa serbisyo, na kadalasang may limitadong mga mapagkukunan.
* **Mataas na presyo ng mga gamot at supply:** Maaaring maimpluwensyahan ng katiwalian ang proseso ng pagbili"&amp;", na humahantong sa **mga sobrang presyo ng mga gamot at suplay na medikal**, na higit na makakaapekto sa affordability para sa mga komunidad na kulang sa serbisyo.
**4. Pagkasira ng tiwala at pananagutan:**
* **Pagkawala ng tiwala ng publiko:** Kap"&amp;"ag laganap ang katiwalian, sinisira nito ang tiwala ng publiko sa sistema ng pangangalagang pangkalusugan, hinihikayat ang mga komunidad na kulang sa serbisyo na humingi ng pangangalaga, lalo pang nagpapalala ng mga pagkakaiba sa kalusugan.
* **Kakulanga"&amp;"n ng pananagutan:** Maaaring hadlangan ng mga tiwaling gawi ang transparency at mga mekanismo ng pananagutan, na nagpapahirap sa mga mamamayan na panagutin ang mga institusyon at opisyal ng pangangalagang pangkalusugan para sa kanilang mga aksyon.
**Mg"&amp;"a Kaugnay na Batas at Konstitusyon:**
* **Republic Act No. 7875 (Philippine Healthcare Act):** Ginagarantiyahan ng Batas na ito ang karapatan sa kalusugan at naglalayong tiyakin ang pantay na pag-access sa mga de-kalidad na serbisyo sa pangangalagang p"&amp;"angkalusugan. Ang katiwalian ay direktang sumisira sa karapatang ito at lumalabag sa diwa ng Batas.
* **Republic Act No. 3019 (Anti-Graft and Corrupt Practices Act):** Ipinagbabawal ng Batas na ito ang iba't ibang anyo ng katiwalian sa serbisyo publiko, "&amp;"kabilang ang sistema ng pangangalagang pangkalusugan. Ang katiwalian sa sistema ng pangangalagang pangkalusugan ay direktang lumalabag sa Batas na ito.
* **Konstitusyon ng Pilipinas:** Ang Artikulo II, Seksyon 15 ay ginagarantiyahan ang karapatan sa kalu"&amp;"sugan at ang Artikulo XI, Seksyon 1 ay nagbabawal sa mga pampublikong opisyal na makisali sa mga gawaing graft at corrupt. Ang katiwalian sa sistema ng pangangalagang pangkalusugan ay lumalabag sa mga pangunahing prinsipyo ng konstitusyon.
**Konklusyon"&amp;":**
Ang katiwalian sa sistema ng pangangalagang pangkalusugan sa Pilipinas ay may **maraming panig at nakapipinsalang epekto** sa pagkakaroon at pagiging abot-kaya ng mga serbisyo sa pangangalagang pangkalusugan para sa mga komunidad na kulang sa serbi"&amp;"syo. Inililihis nito ang mga mapagkukunan, lumilikha ng mga inefficiencies, nagpapataas ng mga gastos, at nakakasira ng tiwala, sa huli ay humahadlang sa pag-access sa mahahalagang pangangalagang pangkalusugan at nagpapalala sa mga hindi pagkakapantay-pan"&amp;"tay sa kalusugan. Ang pagtugon sa isyung ito ay nangangailangan ng malakas na pagpapatupad ng batas, matatag na mekanismo ng pananagutan, at isang pangako sa transparency at mabuting pamamahala sa loob ng sistema ng pangangalagang pangkalusugan.
Tandaa"&amp;"n, ang impormasyong ito ay para sa pangkalahatang pag-unawa at hindi dapat ituring na legal na payo. Napakahalagang kumonsulta sa mga legal na propesyonal para sa mga partikular na detalye at legal na interpretasyon.")</f>
        <v>Sa Pilipinas, ang katiwalian sa sistema ng pangangalagang pangkalusugan ay may **mapangwasak na epekto sa pagkakaroon at pagiging abot-kaya ng mga serbisyo sa pangangalagang pangkalusugan para sa mga komunidad na kulang sa serbisyo**, gaya ng binalangkas ng iba't ibang batas ng Pilipinas, RA, at Konstitusyon. Ganito:
**1. Diversion ng mga mapagkukunan:**
* **Mga pondong inilaan para sa mga programa sa pampublikong kalusugan:** Ang katiwalian ay maaaring humantong sa maling paggamit ng mga pondo para sa mahahalagang serbisyo tulad ng pagtatayo ng mga klinika, pagbili ng mga gamot, at pagkuha ng mga medikal na tauhan. **Pinababawasan nito ang mga mapagkukunang magagamit** para sa mga komunidad na kulang sa serbisyo, lalo na sa mga malalayong lugar.
* **Panunuhol at kickback:** Ang mga kasanayan tulad ng paghingi ng suhol para sa pag-access sa mga serbisyo o pagtanggap ng mga kickback mula sa mga kumpanya ng parmasyutiko ay maaaring **mag-ubos ng mga mapagkukunan** para sa pangangalaga ng pasyente at pagpapaunlad ng imprastraktura.
**2. Hindi mahusay na paghahatid ng serbisyo:**
* **Ghost employees at ghost project:** Maaaring kasama sa katiwalian ang pagbabayad ng mga suweldo para sa mga hindi umiiral na empleyado o pagpopondo ng mga proyektong hindi kailanman matutupad. Ito **binabawasan ang aktwal na manggagawa at mga serbisyo** na magagamit sa mga komunidad na kulang sa serbisyo.
* **Hindi magandang pagpapanatili at kawalan ng transparency:** Ang mga tiwaling gawi ay maaaring humantong sa **kapabayaan ng mga pampublikong pasilidad sa kalusugan**, na magreresulta sa hindi magandang imprastraktura, hindi sapat na kagamitan, at kakulangan ng mahahalagang suplay, na lalong humahadlang sa pag-access sa de-kalidad na pangangalaga para sa mga populasyon na kulang sa serbisyo. .
**3. Mga pagtaas ng gastos para sa mga pasyente:**
* **Mga impormal na pagbabayad at hindi opisyal na mga bayarin:** Ang mga kahilingan para sa hindi opisyal na mga bayarin o suhol para sa pag-access ng mga serbisyo ay maaaring lumikha ng malaking pasanin sa pananalapi para sa mga komunidad na kulang sa serbisyo, na kadalasang may limitadong mga mapagkukunan.
* **Mataas na presyo ng mga gamot at supply:** Maaaring maimpluwensyahan ng katiwalian ang proseso ng pagbili, na humahantong sa **mga sobrang presyo ng mga gamot at suplay na medikal**, na higit na makakaapekto sa affordability para sa mga komunidad na kulang sa serbisyo.
**4. Pagkasira ng tiwala at pananagutan:**
* **Pagkawala ng tiwala ng publiko:** Kapag laganap ang katiwalian, sinisira nito ang tiwala ng publiko sa sistema ng pangangalagang pangkalusugan, hinihikayat ang mga komunidad na kulang sa serbisyo na humingi ng pangangalaga, lalo pang nagpapalala ng mga pagkakaiba sa kalusugan.
* **Kakulangan ng pananagutan:** Maaaring hadlangan ng mga tiwaling gawi ang transparency at mga mekanismo ng pananagutan, na nagpapahirap sa mga mamamayan na panagutin ang mga institusyon at opisyal ng pangangalagang pangkalusugan para sa kanilang mga aksyon.
**Mga Kaugnay na Batas at Konstitusyon:**
* **Republic Act No. 7875 (Philippine Healthcare Act):** Ginagarantiyahan ng Batas na ito ang karapatan sa kalusugan at naglalayong tiyakin ang pantay na pag-access sa mga de-kalidad na serbisyo sa pangangalagang pangkalusugan. Ang katiwalian ay direktang sumisira sa karapatang ito at lumalabag sa diwa ng Batas.
* **Republic Act No. 3019 (Anti-Graft and Corrupt Practices Act):** Ipinagbabawal ng Batas na ito ang iba't ibang anyo ng katiwalian sa serbisyo publiko, kabilang ang sistema ng pangangalagang pangkalusugan. Ang katiwalian sa sistema ng pangangalagang pangkalusugan ay direktang lumalabag sa Batas na ito.
* **Konstitusyon ng Pilipinas:** Ang Artikulo II, Seksyon 15 ay ginagarantiyahan ang karapatan sa kalusugan at ang Artikulo XI, Seksyon 1 ay nagbabawal sa mga pampublikong opisyal na makisali sa mga gawaing graft at corrupt. Ang katiwalian sa sistema ng pangangalagang pangkalusugan ay lumalabag sa mga pangunahing prinsipyo ng konstitusyon.
**Konklusyon:**
Ang katiwalian sa sistema ng pangangalagang pangkalusugan sa Pilipinas ay may **maraming panig at nakapipinsalang epekto** sa pagkakaroon at pagiging abot-kaya ng mga serbisyo sa pangangalagang pangkalusugan para sa mga komunidad na kulang sa serbisyo. Inililihis nito ang mga mapagkukunan, lumilikha ng mga inefficiencies, nagpapataas ng mga gastos, at nakakasira ng tiwala, sa huli ay humahadlang sa pag-access sa mahahalagang pangangalagang pangkalusugan at nagpapalala sa mga hindi pagkakapantay-pantay sa kalusugan. Ang pagtugon sa isyung ito ay nangangailangan ng malakas na pagpapatupad ng batas, matatag na mekanismo ng pananagutan, at isang pangako sa transparency at mabuting pamamahala sa loob ng sistema ng pangangalagang pangkalusugan.
Tandaan, ang impormasyong ito ay para sa pangkalahatang pag-unawa at hindi dapat ituring na legal na payo. Napakahalagang kumonsulta sa mga legal na propesyonal para sa mga partikular na detalye at legal na interpretasyon.</v>
      </c>
      <c r="F1341" s="2">
        <f t="shared" si="1"/>
        <v>0</v>
      </c>
      <c r="G1341" s="2"/>
      <c r="H1341" s="2"/>
      <c r="I1341" s="2"/>
      <c r="J1341" s="2"/>
      <c r="K1341" s="2"/>
      <c r="L1341" s="2"/>
      <c r="M1341" s="2"/>
      <c r="N1341" s="2"/>
      <c r="O1341" s="2"/>
      <c r="P1341" s="2"/>
      <c r="Q1341" s="2"/>
      <c r="R1341" s="2"/>
      <c r="S1341" s="2"/>
      <c r="T1341" s="2"/>
      <c r="U1341" s="2"/>
      <c r="V1341" s="2"/>
      <c r="W1341" s="2"/>
      <c r="X1341" s="2"/>
      <c r="Y1341" s="2"/>
      <c r="Z1341" s="2"/>
      <c r="AA1341" s="2"/>
    </row>
    <row r="1342">
      <c r="A1342" s="1" t="s">
        <v>3356</v>
      </c>
      <c r="B1342" s="1" t="s">
        <v>3849</v>
      </c>
      <c r="C1342" s="1" t="s">
        <v>3850</v>
      </c>
      <c r="D1342" s="2" t="str">
        <f>IFERROR(__xludf.DUMMYFUNCTION("GOOGLETRANSLATE(B1342, ""en"", ""TL"")"),"Maaari bang gumawa ng legal na aksyon ang mga indibidwal laban sa mga institusyon ng pangangalagang pangkalusugan para sa maling pag-advertise o maling representasyon ng mga serbisyong medikal o produkto dahil sa katiwalian?")</f>
        <v>Maaari bang gumawa ng legal na aksyon ang mga indibidwal laban sa mga institusyon ng pangangalagang pangkalusugan para sa maling pag-advertise o maling representasyon ng mga serbisyong medikal o produkto dahil sa katiwalian?</v>
      </c>
      <c r="E1342" s="2" t="str">
        <f>IFERROR(__xludf.DUMMYFUNCTION("GOOGLETRANSLATE(C1342, ""en"", ""TL"")"),"Oo, ang mga indibidwal sa Pilipinas **maaaring maaaring** gumawa ng legal na aksyon laban sa mga institusyon ng pangangalagang pangkalusugan para sa maling pag-advertise o maling representasyon ng mga serbisyong medikal o produkto dahil sa katiwalian, ngu"&amp;"nit ang tagumpay ay nakasalalay sa ilang salik at legal na prinsipyo sa loob ng legal na balangkas ng Pilipinas. Narito ang isang breakdown:
**Mga Batayan para sa Legal na Aksyon:**
* **Consumer Act of the Philippines (RA 7394):** Pinoprotektahan ng batas"&amp;" na ito ang mga consumer laban sa mga mapanlinlang, hindi patas, at walang konsensya na mga gawain at gawi. Maaaring i-claim ng mga indibidwal na ang maling pag-advertise o maling representasyon ng institusyong pangkalusugan ay bumubuo ng isang paglabag s"&amp;"a Batas na ito, na humahantong sa potensyal na kabayaran o mga hakbang sa pagwawasto.
* **Civil Code of the Philippines:** Ang mga Artikulo 19, 20, at 1321 ay maaaring gamitin kung ang maling representasyon ay nagdulot ng **pinsala** sa indibidwal, gaya n"&amp;"g pisikal na pinsala, pagkawala ng pananalapi, o emosyonal na pagkabalisa.
* **Republic Act No. 9755 (Election Code):** Kung ang maling pag-advertise o maling representasyon ay nagsasangkot ng **mga pangako ng mga pagpapagaling o paggamot** sa panahon ng "&amp;"halalan, maaari itong mapasailalim sa pagbabawal ng batas na ito sa mga maling o mapanlinlang na materyales sa kampanya.
**Mga Pagsasaalang-alang at Hamon:**
* **Pagtatatag ng sanhi:** Ang pagpapatunay ng direktang link sa pagitan ng maling representasyon"&amp;" at anumang pinsalang natamo ay maaaring maging mahirap.
* **Layunin ng katiwalian:** Kung ang maling representasyon ay hindi dahil sa sinasadyang katiwalian ngunit kapabayaan o pagkakamali, maaaring mas malamang na magtagumpay ang legal na aksyon.
* **St"&amp;"anding:** Dapat ipakita ng indibidwal na sila ay direktang naapektuhan ng maling representasyon at nakaranas ng mga pinsala.
* **Mga pagtatanggol ng institusyon ng pangangalagang pangkalusugan:** Maaaring may mga legal na depensa ang institusyon tulad ng "&amp;"mga disclaimer, limitasyon ng pananagutan, o pag-asa sa impormasyon ng third-party.
**Mga Karagdagang Salik:**
* **Katangian ng maling representasyon:** Ang kalubhaan at potensyal na epekto ng mga maling claim ay makakaimpluwensya sa lakas ng kaso.
* **Eb"&amp;"idensya:** Ang pangangalap ng patunay ng maling representasyon, pinsala, at potensyal na katiwalian ay napakahalaga.
* **Legal na representasyon:** Ang pagkonsulta sa isang abogadong may karanasan sa proteksyon ng consumer at batas sa pangangalagang pangk"&amp;"alusugan ay maaaring makabuluhang mapabuti ang mga pagkakataong magtagumpay.
**Disclaimer:** Ang impormasyong ito ay para sa pangkalahatang pag-unawa at hindi dapat ituring na legal na payo. Ang bawat kaso ay nakasalalay sa mga partikular na pangyayari at"&amp;" ebidensya. Ang pagkonsulta sa isang abogado para sa mga indibidwal na sitwasyon at mga potensyal na legal na aksyon ay lubos na inirerekomenda.")</f>
        <v>Oo, ang mga indibidwal sa Pilipinas **maaaring maaaring** gumawa ng legal na aksyon laban sa mga institusyon ng pangangalagang pangkalusugan para sa maling pag-advertise o maling representasyon ng mga serbisyong medikal o produkto dahil sa katiwalian, ngunit ang tagumpay ay nakasalalay sa ilang salik at legal na prinsipyo sa loob ng legal na balangkas ng Pilipinas. Narito ang isang breakdown:
**Mga Batayan para sa Legal na Aksyon:**
* **Consumer Act of the Philippines (RA 7394):** Pinoprotektahan ng batas na ito ang mga consumer laban sa mga mapanlinlang, hindi patas, at walang konsensya na mga gawain at gawi. Maaaring i-claim ng mga indibidwal na ang maling pag-advertise o maling representasyon ng institusyong pangkalusugan ay bumubuo ng isang paglabag sa Batas na ito, na humahantong sa potensyal na kabayaran o mga hakbang sa pagwawasto.
* **Civil Code of the Philippines:** Ang mga Artikulo 19, 20, at 1321 ay maaaring gamitin kung ang maling representasyon ay nagdulot ng **pinsala** sa indibidwal, gaya ng pisikal na pinsala, pagkawala ng pananalapi, o emosyonal na pagkabalisa.
* **Republic Act No. 9755 (Election Code):** Kung ang maling pag-advertise o maling representasyon ay nagsasangkot ng **mga pangako ng mga pagpapagaling o paggamot** sa panahon ng halalan, maaari itong mapasailalim sa pagbabawal ng batas na ito sa mga maling o mapanlinlang na materyales sa kampanya.
**Mga Pagsasaalang-alang at Hamon:**
* **Pagtatatag ng sanhi:** Ang pagpapatunay ng direktang link sa pagitan ng maling representasyon at anumang pinsalang natamo ay maaaring maging mahirap.
* **Layunin ng katiwalian:** Kung ang maling representasyon ay hindi dahil sa sinasadyang katiwalian ngunit kapabayaan o pagkakamali, maaaring mas malamang na magtagumpay ang legal na aksyon.
* **Standing:** Dapat ipakita ng indibidwal na sila ay direktang naapektuhan ng maling representasyon at nakaranas ng mga pinsala.
* **Mga pagtatanggol ng institusyon ng pangangalagang pangkalusugan:** Maaaring may mga legal na depensa ang institusyon tulad ng mga disclaimer, limitasyon ng pananagutan, o pag-asa sa impormasyon ng third-party.
**Mga Karagdagang Salik:**
* **Katangian ng maling representasyon:** Ang kalubhaan at potensyal na epekto ng mga maling claim ay makakaimpluwensya sa lakas ng kaso.
* **Ebidensya:** Ang pangangalap ng patunay ng maling representasyon, pinsala, at potensyal na katiwalian ay napakahalaga.
* **Legal na representasyon:** Ang pagkonsulta sa isang abogadong may karanasan sa proteksyon ng consumer at batas sa pangangalagang pangkalusugan ay maaaring makabuluhang mapabuti ang mga pagkakataong magtagumpay.
**Disclaimer:** Ang impormasyong ito ay para sa pangkalahatang pag-unawa at hindi dapat ituring na legal na payo. Ang bawat kaso ay nakasalalay sa mga partikular na pangyayari at ebidensya. Ang pagkonsulta sa isang abogado para sa mga indibidwal na sitwasyon at mga potensyal na legal na aksyon ay lubos na inirerekomenda.</v>
      </c>
      <c r="F1342" s="2">
        <f t="shared" si="1"/>
        <v>0</v>
      </c>
      <c r="G1342" s="2"/>
      <c r="H1342" s="2"/>
      <c r="I1342" s="2"/>
      <c r="J1342" s="2"/>
      <c r="K1342" s="2"/>
      <c r="L1342" s="2"/>
      <c r="M1342" s="2"/>
      <c r="N1342" s="2"/>
      <c r="O1342" s="2"/>
      <c r="P1342" s="2"/>
      <c r="Q1342" s="2"/>
      <c r="R1342" s="2"/>
      <c r="S1342" s="2"/>
      <c r="T1342" s="2"/>
      <c r="U1342" s="2"/>
      <c r="V1342" s="2"/>
      <c r="W1342" s="2"/>
      <c r="X1342" s="2"/>
      <c r="Y1342" s="2"/>
      <c r="Z1342" s="2"/>
      <c r="AA1342" s="2"/>
    </row>
    <row r="1343">
      <c r="A1343" s="1" t="s">
        <v>3356</v>
      </c>
      <c r="B1343" s="1" t="s">
        <v>3851</v>
      </c>
      <c r="C1343" s="1" t="s">
        <v>3852</v>
      </c>
      <c r="D1343" s="2" t="str">
        <f>IFERROR(__xludf.DUMMYFUNCTION("GOOGLETRANSLATE(B1343, ""en"", ""TL"")"),"Paano magsusulong ang mga pasyente para sa mas mataas na pangangasiwa at pananagutan ng mga tagapagbigay ng pangangalagang pangkalusugan upang maiwasan ang katiwalian?")</f>
        <v>Paano magsusulong ang mga pasyente para sa mas mataas na pangangasiwa at pananagutan ng mga tagapagbigay ng pangangalagang pangkalusugan upang maiwasan ang katiwalian?</v>
      </c>
      <c r="E1343" s="2" t="str">
        <f>IFERROR(__xludf.DUMMYFUNCTION("GOOGLETRANSLATE(C1343, ""en"", ""TL"")"),"Alinsunod sa batas ng Pilipinas, ang mga pasyente ay maaaring gumanap ng isang mahalagang papel sa pagtataguyod para sa mas mataas na pangangasiwa at pananagutan ng mga tagapagbigay ng pangangalagang pangkalusugan upang maiwasan ang katiwalian. Narito ang"&amp;" ilang hakbang na maaari nilang gawin:
1. **Manatiling Alam**:
- Dapat turuan ng mga pasyente ang kanilang sarili tungkol sa kanilang mga karapatan, responsibilidad, at legal na balangkas na namamahala sa mga serbisyo ng pangangalagang pangkalusugan sa Pi"&amp;"lipinas.
- Maging pamilyar sa mga nauugnay na batas, gaya ng **Anti-Graft and Corrupt Practices Act (RA 3019)** at ang **Code of Conduct and Ethical Standards for Public Officials and Employees (RA 6713)**.
2. **Pagtataguyod ng Pasyente**:
- **Ang mga tag"&amp;"apagtaguyod ng pasyente** ay maaaring makipag-ugnayan sa mga tagapagbigay ng pangangalagang pangkalusugan at institusyon sa ngalan ng mga pasyente.
- Itaguyod ang transparency, etikal na pag-uugali, at pananagutan sa loob ng mga pasilidad ng pangangalagan"&amp;"g pangkalusugan.
- Hikayatin ang mga pasyente na aktibong lumahok sa mga desisyon na may kaugnayan sa kanilang pangangalaga at paggamot².
3. **Whistleblowing at Pag-uulat**:
- Ang mga pasyenteng nakasaksi ng mga tiwaling gawi ay dapat na iulat kaagad ang "&amp;"mga ito.
- Hikayatin ang mga pasyente na gumamit ng **mga mekanismo ng whistleblower** upang iulat ang katiwalian nang hindi nagpapakilala.
- Iulat ang anumang mga kahina-hinalang aktibidad o iregularidad sa mga kaugnay na awtoridad o mga katawan ng nanga"&amp;"ngasiwa³.
4. **Makilahok sa Mga Mekanismo ng Pangangasiwa**:
- Ang mga pasyente ay maaaring aktibong makisali sa **mga mekanismo ng pangangasiwa sa pangangalagang pangkalusugan**:
- Dumalo sa mga pampublikong pagdinig, forum, at konsultasyon na may kaugna"&amp;"yan sa mga patakaran at kasanayan sa pangangalagang pangkalusugan.
- Sumali sa mga konseho o komite ng pagpapayo ng pasyente sa loob ng mga institusyong pangangalaga sa kalusugan.
- Itaguyod ang transparency, pananagutan, at mga hakbang laban sa katiwalia"&amp;"n sa panahon ng mga pakikipag-ugnayang ito.
5. **Support Civil Society Initiatives**:
- Makipagtulungan sa mga civil society organization (CSO) na nagtatrabaho sa pananagutan sa pangangalagang pangkalusugan.
- Ang mga CSO ay kadalasang gumaganap ng mahala"&amp;"gang papel sa pagsubaybay sa mga serbisyo ng pangangalagang pangkalusugan, pagtataguyod para sa mga reporma, at pagpapanagot sa mga institusyon.
- Maaaring lumahok ang mga pasyente sa mga kampanyang pinamumunuan ng CSO, mga programa ng kamalayan, at mga p"&amp;"agsusumikap sa adbokasiya¹.
6. **Demand Transparency**:
- May karapatan ang mga pasyente na ma-access ang impormasyon tungkol sa mga serbisyo, gastos, at kalidad ng pangangalagang pangkalusugan.
- Humingi ng transparency sa mga transaksyon sa pananalapi, "&amp;"proseso ng pagkuha, at paglalaan ng mapagkukunan.
- Tagataguyod para sa pampublikong pagsisiwalat ng mga tagapagpahiwatig at resulta ng pagganap ng pangangalagang pangkalusugan.
7. **Mga Legal na remedyo**:
- Kung ang mga pasyente ay dumanas ng pinsala da"&amp;"hil sa katiwalian (hal., pagtanggap ng substandard na pangangalaga, pagbabayad ng mga suhol), maaari silang humingi ng mga legal na remedyo.
- Kumonsulta sa mga legal na propesyonal upang tuklasin ang mga opsyon para sa kabayaran o pagbawi.
Tandaan na ang"&amp;" aktibong pakikilahok ng mga pasyente at kolektibong adbokasiya ay nakakatulong sa isang mas malusog, mas may pananagutan na sistema ng pangangalagang pangkalusugan sa Pilipinas.
Pinagmulan: Pakikipag-usap kay Bing, 2/23/2024
(1) Paano Makapagtanggol ang "&amp;"mga Nars Para sa mga Pasyente | NurseJournal.org. https://nursejournal.org/articles/how-to-advocate-for-patients/.
(2) MAGSALITA PARA SA KALUSUGAN! - Tanggapan ng United Nations sa Droga at Krimen. https://www.unodc.org/documents/corruption/Publications/2"&amp;"021/Speak_up_for_Health_-_Guidelines_to_Enable_Whistle-Blower_Protection_in_the_Health-Care_Sector_EN.pdf.
(3) Paano natin mapipigilan ang katiwalian na kumitil ng buhay - United Nations Development .... https://www.undp.org/blog/how-we-can-prevent-corrup"&amp;"tion-taking-lives.
(4) Pagbabawas ng katiwalian sa sistema ng kalusugan - World Health Organization (WHO). https://www.who.int/activities/reducing-health-system-corruption.")</f>
        <v>Alinsunod sa batas ng Pilipinas, ang mga pasyente ay maaaring gumanap ng isang mahalagang papel sa pagtataguyod para sa mas mataas na pangangasiwa at pananagutan ng mga tagapagbigay ng pangangalagang pangkalusugan upang maiwasan ang katiwalian. Narito ang ilang hakbang na maaari nilang gawin:
1. **Manatiling Alam**:
- Dapat turuan ng mga pasyente ang kanilang sarili tungkol sa kanilang mga karapatan, responsibilidad, at legal na balangkas na namamahala sa mga serbisyo ng pangangalagang pangkalusugan sa Pilipinas.
- Maging pamilyar sa mga nauugnay na batas, gaya ng **Anti-Graft and Corrupt Practices Act (RA 3019)** at ang **Code of Conduct and Ethical Standards for Public Officials and Employees (RA 6713)**.
2. **Pagtataguyod ng Pasyente**:
- **Ang mga tagapagtaguyod ng pasyente** ay maaaring makipag-ugnayan sa mga tagapagbigay ng pangangalagang pangkalusugan at institusyon sa ngalan ng mga pasyente.
- Itaguyod ang transparency, etikal na pag-uugali, at pananagutan sa loob ng mga pasilidad ng pangangalagang pangkalusugan.
- Hikayatin ang mga pasyente na aktibong lumahok sa mga desisyon na may kaugnayan sa kanilang pangangalaga at paggamot².
3. **Whistleblowing at Pag-uulat**:
- Ang mga pasyenteng nakasaksi ng mga tiwaling gawi ay dapat na iulat kaagad ang mga ito.
- Hikayatin ang mga pasyente na gumamit ng **mga mekanismo ng whistleblower** upang iulat ang katiwalian nang hindi nagpapakilala.
- Iulat ang anumang mga kahina-hinalang aktibidad o iregularidad sa mga kaugnay na awtoridad o mga katawan ng nangangasiwa³.
4. **Makilahok sa Mga Mekanismo ng Pangangasiwa**:
- Ang mga pasyente ay maaaring aktibong makisali sa **mga mekanismo ng pangangasiwa sa pangangalagang pangkalusugan**:
- Dumalo sa mga pampublikong pagdinig, forum, at konsultasyon na may kaugnayan sa mga patakaran at kasanayan sa pangangalagang pangkalusugan.
- Sumali sa mga konseho o komite ng pagpapayo ng pasyente sa loob ng mga institusyong pangangalaga sa kalusugan.
- Itaguyod ang transparency, pananagutan, at mga hakbang laban sa katiwalian sa panahon ng mga pakikipag-ugnayang ito.
5. **Support Civil Society Initiatives**:
- Makipagtulungan sa mga civil society organization (CSO) na nagtatrabaho sa pananagutan sa pangangalagang pangkalusugan.
- Ang mga CSO ay kadalasang gumaganap ng mahalagang papel sa pagsubaybay sa mga serbisyo ng pangangalagang pangkalusugan, pagtataguyod para sa mga reporma, at pagpapanagot sa mga institusyon.
- Maaaring lumahok ang mga pasyente sa mga kampanyang pinamumunuan ng CSO, mga programa ng kamalayan, at mga pagsusumikap sa adbokasiya¹.
6. **Demand Transparency**:
- May karapatan ang mga pasyente na ma-access ang impormasyon tungkol sa mga serbisyo, gastos, at kalidad ng pangangalagang pangkalusugan.
- Humingi ng transparency sa mga transaksyon sa pananalapi, proseso ng pagkuha, at paglalaan ng mapagkukunan.
- Tagataguyod para sa pampublikong pagsisiwalat ng mga tagapagpahiwatig at resulta ng pagganap ng pangangalagang pangkalusugan.
7. **Mga Legal na remedyo**:
- Kung ang mga pasyente ay dumanas ng pinsala dahil sa katiwalian (hal., pagtanggap ng substandard na pangangalaga, pagbabayad ng mga suhol), maaari silang humingi ng mga legal na remedyo.
- Kumonsulta sa mga legal na propesyonal upang tuklasin ang mga opsyon para sa kabayaran o pagbawi.
Tandaan na ang aktibong pakikilahok ng mga pasyente at kolektibong adbokasiya ay nakakatulong sa isang mas malusog, mas may pananagutan na sistema ng pangangalagang pangkalusugan sa Pilipinas.
Pinagmulan: Pakikipag-usap kay Bing, 2/23/2024
(1) Paano Makapagtanggol ang mga Nars Para sa mga Pasyente | NurseJournal.org. https://nursejournal.org/articles/how-to-advocate-for-patients/.
(2) MAGSALITA PARA SA KALUSUGAN! - Tanggapan ng United Nations sa Droga at Krimen. https://www.unodc.org/documents/corruption/Publications/2021/Speak_up_for_Health_-_Guidelines_to_Enable_Whistle-Blower_Protection_in_the_Health-Care_Sector_EN.pdf.
(3) Paano natin mapipigilan ang katiwalian na kumitil ng buhay - United Nations Development .... https://www.undp.org/blog/how-we-can-prevent-corruption-taking-lives.
(4) Pagbabawas ng katiwalian sa sistema ng kalusugan - World Health Organization (WHO). https://www.who.int/activities/reducing-health-system-corruption.</v>
      </c>
      <c r="F1343" s="2">
        <f t="shared" si="1"/>
        <v>0</v>
      </c>
      <c r="G1343" s="2"/>
      <c r="H1343" s="2"/>
      <c r="I1343" s="2"/>
      <c r="J1343" s="2"/>
      <c r="K1343" s="2"/>
      <c r="L1343" s="2"/>
      <c r="M1343" s="2"/>
      <c r="N1343" s="2"/>
      <c r="O1343" s="2"/>
      <c r="P1343" s="2"/>
      <c r="Q1343" s="2"/>
      <c r="R1343" s="2"/>
      <c r="S1343" s="2"/>
      <c r="T1343" s="2"/>
      <c r="U1343" s="2"/>
      <c r="V1343" s="2"/>
      <c r="W1343" s="2"/>
      <c r="X1343" s="2"/>
      <c r="Y1343" s="2"/>
      <c r="Z1343" s="2"/>
      <c r="AA1343" s="2"/>
    </row>
    <row r="1344">
      <c r="A1344" s="1" t="s">
        <v>3356</v>
      </c>
      <c r="B1344" s="1" t="s">
        <v>3853</v>
      </c>
      <c r="C1344" s="1" t="s">
        <v>3854</v>
      </c>
      <c r="D1344" s="2" t="str">
        <f>IFERROR(__xludf.DUMMYFUNCTION("GOOGLETRANSLATE(B1344, ""en"", ""TL"")"),"Maaari bang humingi ng kabayaran ang mga indibidwal para sa pinsala sa reputasyon na nagreresulta mula sa kanilang pakikipag-ugnayan sa isang healthcare provider o institusyong sangkot sa mga tiwaling gawi?")</f>
        <v>Maaari bang humingi ng kabayaran ang mga indibidwal para sa pinsala sa reputasyon na nagreresulta mula sa kanilang pakikipag-ugnayan sa isang healthcare provider o institusyong sangkot sa mga tiwaling gawi?</v>
      </c>
      <c r="E1344" s="2" t="str">
        <f>IFERROR(__xludf.DUMMYFUNCTION("GOOGLETRANSLATE(C1344, ""en"", ""TL"")"),"Sa ilalim ng batas ng Pilipinas, ang mga indibidwal na nakaranas ng **pinsala sa reputasyon** dahil sa kanilang pagkakaugnay sa isang tiwaling tagapagbigay ng pangangalagang pangkalusugan o institusyon ay maaaring humingi ng kabayaran sa pamamagitan ng mg"&amp;"a legal na paraan. Narito ang mga kaugnay na puntong dapat isaalang-alang:
1. **Civil Liability**:
- **Torts and Damages**: Ang mga indibidwal ay maaaring magsampa ng **civil case** para sa **torts and damages** laban sa healthcare provider o institusyon."&amp;" Kung ang kanilang reputasyon ay napinsala dahil sa asosasyon, maaari silang mag-claim ng kabayaran para sa mga resultang pagkalugi.
- **Paninirang-puri**: Kung ang mga maling pahayag o tsismis ay nagdulot ng pinsala sa reputasyon, maaaring ituloy ng apek"&amp;"tadong partido ang isang **kasong paninirang-puri**. Nalalapat ito kapag ang mga tiwaling gawi ay humantong sa nakakapinsalang impormasyon na kumalat tungkol sa indibidwal.
- **Presumption of Malice**: Sa mga kaso ng paninirang-puri, mayroong **presumptio"&amp;"n of malice** kung mali at nakakapinsala ang mga pahayag. Ang pasanin ng patunay ay lumilipat sa nasasakdal upang ipakita na ang mga pahayag ay ginawa sa mabuting loob at walang malisya.
2. **Propesyonal na Reputasyon**:
- Ang mga propesyonal sa pangangal"&amp;"agang pangkalusugan (tulad ng mga doktor, nars, o mga administrador) ay maaaring makaranas ng pinsala sa reputasyon dahil sa kanilang kaugnayan sa isang tiwaling institusyon.
- Maaari silang humingi ng kabayaran para sa pagkawala ng propesyonal na reputas"&amp;"yon, na maaaring makaapekto sa kanilang pagsasanay, pagsulong sa karera, at katayuan sa medikal na komunidad.
3. **RA 6713 (Code of Conduct and Ethical Standards for Public Officials and Employees)**:
- Ang mga pampublikong opisyal at empleyado ay napapai"&amp;"lalim sa RA 6713, na kinabibilangan ng mga probisyon sa **integridad**, **pananagutan**, at **pag-iwas sa mga salungatan ng interes**.
- Kung ang reputasyon ng isang indibidwal ay napinsala dahil sa kanilang pagkakaugnay sa isang tiwaling institusyon ng p"&amp;"ampublikong pangangalaga sa kalusugan, maaari nilang tuklasin ang mga legal na remedyo sa ilalim ng batas na ito.
4. **RA 3019 (Anti-Graft and Corrupt Practices Act)**:
- Tinutugunan ng RA 3019 ang mga tiwaling gawi ng mga pampublikong opisyal at empleyad"&amp;"o.
- Bagama't pangunahing nakatuon ito sa pananagutang kriminal, ang mga indibidwal na apektado ng katiwalian ay maaari ding isaalang-alang ang mga remedyo ng sibil.
- Ang pinsala sa reputasyon na nagreresulta mula sa pagkakaugnay sa mga tiwaling gawi ay "&amp;"maaaring may kaugnayan sa mga legal na paglilitis.
5. **Mga Proteksyon sa Konstitusyon**:
- Ginagarantiyahan ng **1987 Philippine Constitution** ang karapatan sa **due process** at **pantay na proteksyon ng batas**.
- Kung ang reputasyon ng isang indibidw"&amp;"al ay hindi patas na nadungisan dahil sa mga alegasyon ng katiwalian, maaari nilang gamitin ang mga proteksyong ito sa konstitusyon sa paghingi ng kabayaran.
Sa kabuuan, ang mga indibidwal sa Pilipinas ay maaaring humingi ng kabayaran para sa pinsala sa r"&amp;"eputasyon na dulot ng kanilang pakikipag-ugnayan sa mga tiwaling tagapagbigay ng pangangalagang pangkalusugan o institusyon. Kasama sa mga legal na remedyo ang mga kasong sibil, mga paghahabol sa paninirang-puri, at pagsunod sa mga nauugnay na batas at mg"&amp;"a probisyon ng konstitusyon.")</f>
        <v>Sa ilalim ng batas ng Pilipinas, ang mga indibidwal na nakaranas ng **pinsala sa reputasyon** dahil sa kanilang pagkakaugnay sa isang tiwaling tagapagbigay ng pangangalagang pangkalusugan o institusyon ay maaaring humingi ng kabayaran sa pamamagitan ng mga legal na paraan. Narito ang mga kaugnay na puntong dapat isaalang-alang:
1. **Civil Liability**:
- **Torts and Damages**: Ang mga indibidwal ay maaaring magsampa ng **civil case** para sa **torts and damages** laban sa healthcare provider o institusyon. Kung ang kanilang reputasyon ay napinsala dahil sa asosasyon, maaari silang mag-claim ng kabayaran para sa mga resultang pagkalugi.
- **Paninirang-puri**: Kung ang mga maling pahayag o tsismis ay nagdulot ng pinsala sa reputasyon, maaaring ituloy ng apektadong partido ang isang **kasong paninirang-puri**. Nalalapat ito kapag ang mga tiwaling gawi ay humantong sa nakakapinsalang impormasyon na kumalat tungkol sa indibidwal.
- **Presumption of Malice**: Sa mga kaso ng paninirang-puri, mayroong **presumption of malice** kung mali at nakakapinsala ang mga pahayag. Ang pasanin ng patunay ay lumilipat sa nasasakdal upang ipakita na ang mga pahayag ay ginawa sa mabuting loob at walang malisya.
2. **Propesyonal na Reputasyon**:
- Ang mga propesyonal sa pangangalagang pangkalusugan (tulad ng mga doktor, nars, o mga administrador) ay maaaring makaranas ng pinsala sa reputasyon dahil sa kanilang kaugnayan sa isang tiwaling institusyon.
- Maaari silang humingi ng kabayaran para sa pagkawala ng propesyonal na reputasyon, na maaaring makaapekto sa kanilang pagsasanay, pagsulong sa karera, at katayuan sa medikal na komunidad.
3. **RA 6713 (Code of Conduct and Ethical Standards for Public Officials and Employees)**:
- Ang mga pampublikong opisyal at empleyado ay napapailalim sa RA 6713, na kinabibilangan ng mga probisyon sa **integridad**, **pananagutan**, at **pag-iwas sa mga salungatan ng interes**.
- Kung ang reputasyon ng isang indibidwal ay napinsala dahil sa kanilang pagkakaugnay sa isang tiwaling institusyon ng pampublikong pangangalaga sa kalusugan, maaari nilang tuklasin ang mga legal na remedyo sa ilalim ng batas na ito.
4. **RA 3019 (Anti-Graft and Corrupt Practices Act)**:
- Tinutugunan ng RA 3019 ang mga tiwaling gawi ng mga pampublikong opisyal at empleyado.
- Bagama't pangunahing nakatuon ito sa pananagutang kriminal, ang mga indibidwal na apektado ng katiwalian ay maaari ding isaalang-alang ang mga remedyo ng sibil.
- Ang pinsala sa reputasyon na nagreresulta mula sa pagkakaugnay sa mga tiwaling gawi ay maaaring may kaugnayan sa mga legal na paglilitis.
5. **Mga Proteksyon sa Konstitusyon**:
- Ginagarantiyahan ng **1987 Philippine Constitution** ang karapatan sa **due process** at **pantay na proteksyon ng batas**.
- Kung ang reputasyon ng isang indibidwal ay hindi patas na nadungisan dahil sa mga alegasyon ng katiwalian, maaari nilang gamitin ang mga proteksyong ito sa konstitusyon sa paghingi ng kabayaran.
Sa kabuuan, ang mga indibidwal sa Pilipinas ay maaaring humingi ng kabayaran para sa pinsala sa reputasyon na dulot ng kanilang pakikipag-ugnayan sa mga tiwaling tagapagbigay ng pangangalagang pangkalusugan o institusyon. Kasama sa mga legal na remedyo ang mga kasong sibil, mga paghahabol sa paninirang-puri, at pagsunod sa mga nauugnay na batas at mga probisyon ng konstitusyon.</v>
      </c>
      <c r="F1344" s="2">
        <f t="shared" si="1"/>
        <v>0</v>
      </c>
      <c r="G1344" s="2"/>
      <c r="H1344" s="2"/>
      <c r="I1344" s="2"/>
      <c r="J1344" s="2"/>
      <c r="K1344" s="2"/>
      <c r="L1344" s="2"/>
      <c r="M1344" s="2"/>
      <c r="N1344" s="2"/>
      <c r="O1344" s="2"/>
      <c r="P1344" s="2"/>
      <c r="Q1344" s="2"/>
      <c r="R1344" s="2"/>
      <c r="S1344" s="2"/>
      <c r="T1344" s="2"/>
      <c r="U1344" s="2"/>
      <c r="V1344" s="2"/>
      <c r="W1344" s="2"/>
      <c r="X1344" s="2"/>
      <c r="Y1344" s="2"/>
      <c r="Z1344" s="2"/>
      <c r="AA1344" s="2"/>
    </row>
    <row r="1345">
      <c r="A1345" s="1" t="s">
        <v>3356</v>
      </c>
      <c r="B1345" s="1" t="s">
        <v>3855</v>
      </c>
      <c r="C1345" s="1" t="s">
        <v>3856</v>
      </c>
      <c r="D1345" s="2" t="str">
        <f>IFERROR(__xludf.DUMMYFUNCTION("GOOGLETRANSLATE(B1345, ""en"", ""TL"")"),"Anong papel ang ginagampanan ng mga komite sa etika ng pangangalagang pangkalusugan sa pagtugon sa mga paratang ng katiwalian sa loob ng sistema ng pangangalagang pangkalusugan, at legal ba ang kanilang mga desisyon?")</f>
        <v>Anong papel ang ginagampanan ng mga komite sa etika ng pangangalagang pangkalusugan sa pagtugon sa mga paratang ng katiwalian sa loob ng sistema ng pangangalagang pangkalusugan, at legal ba ang kanilang mga desisyon?</v>
      </c>
      <c r="E1345" s="2" t="str">
        <f>IFERROR(__xludf.DUMMYFUNCTION("GOOGLETRANSLATE(C1345, ""en"", ""TL"")"),"Sa konteksto ng Pilipinas, hindi direktang tinutugunan ng **healthcare ethics committee (HECs)** ang mga paratang ng katiwalian sa loob ng sistema ng pangangalagang pangkalusugan. Ang kanilang pangunahing tungkulin ay nasa saklaw ng **mga isyu sa etika**,"&amp;" hindi mga legal. Narito ang isang breakdown batay sa batas ng Pilipinas, RA, at Konstitusyon:
**Tungkulin ng Healthcare Ethics Committees (HECs):**
* **Ang mga HEC ay mga panloob na katawan sa loob ng mga institusyon ng pangangalagang pangkalusugan.** "&amp;"Ang kanilang mandato ay repasuhin at payuhan ang mga isyung etikal na nagmumula sa pangangalaga ng pasyente, pananaliksik, at paglalaan ng mapagkukunan. 
* **Hindi sila mga katawan na nagpapatupad ng batas.** Hindi nila maaaring imbestigahan o usigin ang "&amp;"mga paratang ng katiwalian. 
* **Ang kanilang pagtuon ay sa mga etikal na prinsipyo at pinakamahuhusay na kagawian.** Maaari nilang masuri kung ang mga aksyon o patakaran ay naaayon sa mga etikal na code at alituntunin, ngunit hindi ang kanilang legal na "&amp;"pagsunod.
**Mga Legal na Nagbubuklod na Desisyon:**
* **Ang mga desisyon ng HEC ay hindi legal na may bisa.** Nagsisilbi ang mga ito bilang **rekomendasyon o gabay** sa mga propesyonal at institusyon sa pangangalagang pangkalusugan. 
* **Ang pagpapatupa"&amp;"d ng mga paglabag sa etika ay nasa labas ng kanilang saklaw.** Ito ay nakasalalay sa **mga katawan ng regulasyon, mga ahensyang nagpapatupad ng batas, o mga korte**, depende sa uri ng pinaghihinalaang pagkakasala.
**Pagtugon sa Korapsyon:**
* **Pag-uula"&amp;"t ng pinaghihinalaang katiwalian:** Kung ang isang HEC ay nakatagpo ng ebidensya ng potensyal na katiwalian sa panahon ng etikal na pagsusuri nito, dapat itong **iulat ito sa mga naaangkop na awtoridad** tulad ng Department of Health (DOH), Philippine Nat"&amp;"ional Police (PNP), o ang Opisina ng Ombudsman. 
* **Pagtutulungan sa mga pagsisiyasat:** Ang mga HEC ay maaaring magbigay ng **etikal na kadalubhasaan at mga insight** upang tulungan ang mga ahensyang nagpapatupad ng batas na nag-iimbestiga sa mga kaso n"&amp;"g katiwalian sa loob ng sistema ng pangangalagang pangkalusugan.
**Mga Kaugnay na Batas at Regulasyon:**
* **Republic Act No. 7875 (Philippine Healthcare Act):** Itinatag ng Batas na ito ang DOH bilang pangunahing regulatory body para sa healthcare syst"&amp;"em. Inaatasan nito ang DOH na imbestigahan at tugunan ang mga hindi etikal at iligal na gawi sa loob ng mga institusyong pangangalaga sa kalusugan.
* **Republic Act No. 6774 (Ombudsman Act of 1989):** Tinutukoy ng Batas na ito ang mga kapangyarihan at tun"&amp;"gkulin ng Opisina ng Ombudsman, kabilang ang pag-iimbestiga at pag-uusig sa mga opisyal ng gobyerno na pinaghihinalaan ng katiwalian.
* **Konstitusyon ng Pilipinas:** Ginagarantiyahan ng Konstitusyon ang karapatan sa kalusugan at ipinagbabawal ang graft a"&amp;"t katiwalian sa serbisyo publiko.
**Konklusyon:**
Bagama't may mahalagang papel ang HEC sa pagtataguyod ng mga pamantayang etikal sa loob ng pangangalagang pangkalusugan, hindi sila nasangkapan upang direktang tugunan ang mga paratang ng katiwalian. Par"&amp;"a sa legal na aksyon laban sa katiwalian, ang wastong pag-uulat sa mga kaugnay na awtoridad at pagsunod sa mga umiiral na batas at regulasyon ay mahalaga.
Sana ay nilinaw nito ang papel ng mga HEC sa sistema ng pangangalaga sa kalusugan ng Pilipinas bata"&amp;"y sa mga kaugnay na batas at regulasyon. Tandaan, ang impormasyong ito ay para sa pangkalahatang pag-unawa at hindi dapat ituring na legal na payo.")</f>
        <v>Sa konteksto ng Pilipinas, hindi direktang tinutugunan ng **healthcare ethics committee (HECs)** ang mga paratang ng katiwalian sa loob ng sistema ng pangangalagang pangkalusugan. Ang kanilang pangunahing tungkulin ay nasa saklaw ng **mga isyu sa etika**, hindi mga legal. Narito ang isang breakdown batay sa batas ng Pilipinas, RA, at Konstitusyon:
**Tungkulin ng Healthcare Ethics Committees (HECs):**
* **Ang mga HEC ay mga panloob na katawan sa loob ng mga institusyon ng pangangalagang pangkalusugan.** Ang kanilang mandato ay repasuhin at payuhan ang mga isyung etikal na nagmumula sa pangangalaga ng pasyente, pananaliksik, at paglalaan ng mapagkukunan. 
* **Hindi sila mga katawan na nagpapatupad ng batas.** Hindi nila maaaring imbestigahan o usigin ang mga paratang ng katiwalian. 
* **Ang kanilang pagtuon ay sa mga etikal na prinsipyo at pinakamahuhusay na kagawian.** Maaari nilang masuri kung ang mga aksyon o patakaran ay naaayon sa mga etikal na code at alituntunin, ngunit hindi ang kanilang legal na pagsunod.
**Mga Legal na Nagbubuklod na Desisyon:**
* **Ang mga desisyon ng HEC ay hindi legal na may bisa.** Nagsisilbi ang mga ito bilang **rekomendasyon o gabay** sa mga propesyonal at institusyon sa pangangalagang pangkalusugan. 
* **Ang pagpapatupad ng mga paglabag sa etika ay nasa labas ng kanilang saklaw.** Ito ay nakasalalay sa **mga katawan ng regulasyon, mga ahensyang nagpapatupad ng batas, o mga korte**, depende sa uri ng pinaghihinalaang pagkakasala.
**Pagtugon sa Korapsyon:**
* **Pag-uulat ng pinaghihinalaang katiwalian:** Kung ang isang HEC ay nakatagpo ng ebidensya ng potensyal na katiwalian sa panahon ng etikal na pagsusuri nito, dapat itong **iulat ito sa mga naaangkop na awtoridad** tulad ng Department of Health (DOH), Philippine National Police (PNP), o ang Opisina ng Ombudsman. 
* **Pagtutulungan sa mga pagsisiyasat:** Ang mga HEC ay maaaring magbigay ng **etikal na kadalubhasaan at mga insight** upang tulungan ang mga ahensyang nagpapatupad ng batas na nag-iimbestiga sa mga kaso ng katiwalian sa loob ng sistema ng pangangalagang pangkalusugan.
**Mga Kaugnay na Batas at Regulasyon:**
* **Republic Act No. 7875 (Philippine Healthcare Act):** Itinatag ng Batas na ito ang DOH bilang pangunahing regulatory body para sa healthcare system. Inaatasan nito ang DOH na imbestigahan at tugunan ang mga hindi etikal at iligal na gawi sa loob ng mga institusyong pangangalaga sa kalusugan.
* **Republic Act No. 6774 (Ombudsman Act of 1989):** Tinutukoy ng Batas na ito ang mga kapangyarihan at tungkulin ng Opisina ng Ombudsman, kabilang ang pag-iimbestiga at pag-uusig sa mga opisyal ng gobyerno na pinaghihinalaan ng katiwalian.
* **Konstitusyon ng Pilipinas:** Ginagarantiyahan ng Konstitusyon ang karapatan sa kalusugan at ipinagbabawal ang graft at katiwalian sa serbisyo publiko.
**Konklusyon:**
Bagama't may mahalagang papel ang HEC sa pagtataguyod ng mga pamantayang etikal sa loob ng pangangalagang pangkalusugan, hindi sila nasangkapan upang direktang tugunan ang mga paratang ng katiwalian. Para sa legal na aksyon laban sa katiwalian, ang wastong pag-uulat sa mga kaugnay na awtoridad at pagsunod sa mga umiiral na batas at regulasyon ay mahalaga.
Sana ay nilinaw nito ang papel ng mga HEC sa sistema ng pangangalaga sa kalusugan ng Pilipinas batay sa mga kaugnay na batas at regulasyon. Tandaan, ang impormasyong ito ay para sa pangkalahatang pag-unawa at hindi dapat ituring na legal na payo.</v>
      </c>
      <c r="F1345" s="2">
        <f t="shared" si="1"/>
        <v>0</v>
      </c>
      <c r="G1345" s="2"/>
      <c r="H1345" s="2"/>
      <c r="I1345" s="2"/>
      <c r="J1345" s="2"/>
      <c r="K1345" s="2"/>
      <c r="L1345" s="2"/>
      <c r="M1345" s="2"/>
      <c r="N1345" s="2"/>
      <c r="O1345" s="2"/>
      <c r="P1345" s="2"/>
      <c r="Q1345" s="2"/>
      <c r="R1345" s="2"/>
      <c r="S1345" s="2"/>
      <c r="T1345" s="2"/>
      <c r="U1345" s="2"/>
      <c r="V1345" s="2"/>
      <c r="W1345" s="2"/>
      <c r="X1345" s="2"/>
      <c r="Y1345" s="2"/>
      <c r="Z1345" s="2"/>
      <c r="AA1345" s="2"/>
    </row>
    <row r="1346">
      <c r="A1346" s="1" t="s">
        <v>3857</v>
      </c>
      <c r="B1346" s="1" t="s">
        <v>3858</v>
      </c>
      <c r="C1346" s="1" t="s">
        <v>3859</v>
      </c>
      <c r="D1346" s="2" t="str">
        <f>IFERROR(__xludf.DUMMYFUNCTION("GOOGLETRANSLATE(B1346, ""en"", ""TL"")"),"Ano ang itinuturing na panliligalig at pananakot sa lugar ng trabaho sa Pilipinas?")</f>
        <v>Ano ang itinuturing na panliligalig at pananakot sa lugar ng trabaho sa Pilipinas?</v>
      </c>
      <c r="E1346" s="2" t="str">
        <f>IFERROR(__xludf.DUMMYFUNCTION("GOOGLETRANSLATE(C1346, ""en"", ""TL"")"),"Ang panliligalig at pananakot sa lugar ng trabaho ay tumutukoy sa hindi kanais-nais at nakakasakit na pag-uugali sa mga empleyado na lumilikha ng pagalit o nakakatakot na kapaligiran sa trabaho.
Maaaring kabilang dito ang, ngunit hindi limitado sa, pasali"&amp;"tang pang-aabuso, kahihiyan, pagbabanta, mapanlait na komento, at hindi patas na pagtrato.")</f>
        <v>Ang panliligalig at pananakot sa lugar ng trabaho ay tumutukoy sa hindi kanais-nais at nakakasakit na pag-uugali sa mga empleyado na lumilikha ng pagalit o nakakatakot na kapaligiran sa trabaho.
Maaaring kabilang dito ang, ngunit hindi limitado sa, pasalitang pang-aabuso, kahihiyan, pagbabanta, mapanlait na komento, at hindi patas na pagtrato.</v>
      </c>
      <c r="F1346" s="2">
        <f t="shared" si="1"/>
        <v>0</v>
      </c>
      <c r="G1346" s="2"/>
      <c r="H1346" s="2"/>
      <c r="I1346" s="2"/>
      <c r="J1346" s="2"/>
      <c r="K1346" s="2"/>
      <c r="L1346" s="2"/>
      <c r="M1346" s="2"/>
      <c r="N1346" s="2"/>
      <c r="O1346" s="2"/>
      <c r="P1346" s="2"/>
      <c r="Q1346" s="2"/>
      <c r="R1346" s="2"/>
      <c r="S1346" s="2"/>
      <c r="T1346" s="2"/>
      <c r="U1346" s="2"/>
      <c r="V1346" s="2"/>
      <c r="W1346" s="2"/>
      <c r="X1346" s="2"/>
      <c r="Y1346" s="2"/>
      <c r="Z1346" s="2"/>
      <c r="AA1346" s="2"/>
    </row>
    <row r="1347">
      <c r="A1347" s="1" t="s">
        <v>3857</v>
      </c>
      <c r="B1347" s="1" t="s">
        <v>3860</v>
      </c>
      <c r="C1347" s="1" t="s">
        <v>3861</v>
      </c>
      <c r="D1347" s="2" t="str">
        <f>IFERROR(__xludf.DUMMYFUNCTION("GOOGLETRANSLATE(B1347, ""en"", ""TL"")"),"Ano ang iyong mga karapatan bilang isang empleyado na nahaharap sa panliligalig at pananakot sa lugar ng trabaho?")</f>
        <v>Ano ang iyong mga karapatan bilang isang empleyado na nahaharap sa panliligalig at pananakot sa lugar ng trabaho?</v>
      </c>
      <c r="E1347" s="2" t="str">
        <f>IFERROR(__xludf.DUMMYFUNCTION("GOOGLETRANSLATE(C1347, ""en"", ""TL"")"),"Bilang isang manggagawa sa Pilipinas na nakakaranas ng panliligalig o pananakot sa lugar ng trabaho, mayroon kang ilang karapatan na pinoprotektahan ng batas.
**Ang karapatan sa dignidad:** May karapatan kang tratuhin nang may dignidad at paggalang sa tra"&amp;"baho.
**Ang karapatan sa isang ligtas na lugar ng trabaho:** May karapatan kang magtrabaho sa isang kapaligirang walang pananakot, pananakot, at panliligalig.
**Karapatan sa Privacy:** Ang mga talakayan at pagpupulong na kinasasangkutan ng potensyal na ak"&amp;"syong pandisiplina ay dapat isagawa nang maingat at sa privacy.
**Right to Due Process:** Kung ikaw ay inakusahan ng maling gawain, may karapatan kang pakinggan, magharap ng ebidensya, at ipagtanggol laban sa paratang.
**Karapatan sa Legal na Payo:** May "&amp;"karapatan ka sa legal na payo at representasyon sa panahon ng mga paglilitis sa pagdidisiplina o dismissal.")</f>
        <v>Bilang isang manggagawa sa Pilipinas na nakakaranas ng panliligalig o pananakot sa lugar ng trabaho, mayroon kang ilang karapatan na pinoprotektahan ng batas.
**Ang karapatan sa dignidad:** May karapatan kang tratuhin nang may dignidad at paggalang sa trabaho.
**Ang karapatan sa isang ligtas na lugar ng trabaho:** May karapatan kang magtrabaho sa isang kapaligirang walang pananakot, pananakot, at panliligalig.
**Karapatan sa Privacy:** Ang mga talakayan at pagpupulong na kinasasangkutan ng potensyal na aksyong pandisiplina ay dapat isagawa nang maingat at sa privacy.
**Right to Due Process:** Kung ikaw ay inakusahan ng maling gawain, may karapatan kang pakinggan, magharap ng ebidensya, at ipagtanggol laban sa paratang.
**Karapatan sa Legal na Payo:** May karapatan ka sa legal na payo at representasyon sa panahon ng mga paglilitis sa pagdidisiplina o dismissal.</v>
      </c>
      <c r="F1347" s="2">
        <f t="shared" si="1"/>
        <v>0</v>
      </c>
      <c r="G1347" s="2"/>
      <c r="H1347" s="2"/>
      <c r="I1347" s="2"/>
      <c r="J1347" s="2"/>
      <c r="K1347" s="2"/>
      <c r="L1347" s="2"/>
      <c r="M1347" s="2"/>
      <c r="N1347" s="2"/>
      <c r="O1347" s="2"/>
      <c r="P1347" s="2"/>
      <c r="Q1347" s="2"/>
      <c r="R1347" s="2"/>
      <c r="S1347" s="2"/>
      <c r="T1347" s="2"/>
      <c r="U1347" s="2"/>
      <c r="V1347" s="2"/>
      <c r="W1347" s="2"/>
      <c r="X1347" s="2"/>
      <c r="Y1347" s="2"/>
      <c r="Z1347" s="2"/>
      <c r="AA1347" s="2"/>
    </row>
    <row r="1348">
      <c r="A1348" s="1" t="s">
        <v>3857</v>
      </c>
      <c r="B1348" s="1" t="s">
        <v>3862</v>
      </c>
      <c r="C1348" s="1" t="s">
        <v>3863</v>
      </c>
      <c r="D1348" s="2" t="str">
        <f>IFERROR(__xludf.DUMMYFUNCTION("GOOGLETRANSLATE(B1348, ""en"", ""TL"")"),"Anong mga legal na aksyon ang maaari mong gawin kung naniniwala kang ikaw ay hina-harass at tinatakot sa trabaho?")</f>
        <v>Anong mga legal na aksyon ang maaari mong gawin kung naniniwala kang ikaw ay hina-harass at tinatakot sa trabaho?</v>
      </c>
      <c r="E1348" s="2" t="str">
        <f>IFERROR(__xludf.DUMMYFUNCTION("GOOGLETRANSLATE(C1348, ""en"", ""TL"")"),"Kung naniniwala kang ikaw ay ginigipit o tinatakot sa trabaho, mangyaring isaalang-alang ang mga sumusunod na legal na aksyon: **Maghain ng reklamo sa iyong tagapag-empleyo:** sa departamento ng human resources ng iyong employer o isang senior na miyembro"&amp;" sa loob ng iyong organisasyon.
Mangyaring iulat ang insidente sa mga awtoridad.
**Idokumento ang insidente:** Panatilihin ang isang talaan ng insidente, kasama ang petsa, oras, lokasyon, at mga taong sangkot.
**Kumonsulta sa isang Abogado:** Kumuha ng le"&amp;"gal na payo mula sa isang abogado sa pagtatrabaho upang maunawaan ang iyong mga karapatan at talakayin ang mga posibleng remedyo.
**Maghain ng reklamo sa Department of Labor and Employment (DOLE):** Kung hindi matugunan ng iyong employer ang iyong isyu, m"&amp;"aaari kang magsampa ng reklamo sa DOLE o sa kaukulang ahensya sa pagtatrabaho.
**Maghain ng Reklamo sa National Labor Relations Commission (NLRC):** Kung hindi naresolba ang isyu, maaari mong palakihin ang isyu sa pamamagitan ng paghahain ng reklamo sa NL"&amp;"RC.")</f>
        <v>Kung naniniwala kang ikaw ay ginigipit o tinatakot sa trabaho, mangyaring isaalang-alang ang mga sumusunod na legal na aksyon: **Maghain ng reklamo sa iyong tagapag-empleyo:** sa departamento ng human resources ng iyong employer o isang senior na miyembro sa loob ng iyong organisasyon.
Mangyaring iulat ang insidente sa mga awtoridad.
**Idokumento ang insidente:** Panatilihin ang isang talaan ng insidente, kasama ang petsa, oras, lokasyon, at mga taong sangkot.
**Kumonsulta sa isang Abogado:** Kumuha ng legal na payo mula sa isang abogado sa pagtatrabaho upang maunawaan ang iyong mga karapatan at talakayin ang mga posibleng remedyo.
**Maghain ng reklamo sa Department of Labor and Employment (DOLE):** Kung hindi matugunan ng iyong employer ang iyong isyu, maaari kang magsampa ng reklamo sa DOLE o sa kaukulang ahensya sa pagtatrabaho.
**Maghain ng Reklamo sa National Labor Relations Commission (NLRC):** Kung hindi naresolba ang isyu, maaari mong palakihin ang isyu sa pamamagitan ng paghahain ng reklamo sa NLRC.</v>
      </c>
      <c r="F1348" s="2">
        <f t="shared" si="1"/>
        <v>0</v>
      </c>
      <c r="G1348" s="2"/>
      <c r="H1348" s="2"/>
      <c r="I1348" s="2"/>
      <c r="J1348" s="2"/>
      <c r="K1348" s="2"/>
      <c r="L1348" s="2"/>
      <c r="M1348" s="2"/>
      <c r="N1348" s="2"/>
      <c r="O1348" s="2"/>
      <c r="P1348" s="2"/>
      <c r="Q1348" s="2"/>
      <c r="R1348" s="2"/>
      <c r="S1348" s="2"/>
      <c r="T1348" s="2"/>
      <c r="U1348" s="2"/>
      <c r="V1348" s="2"/>
      <c r="W1348" s="2"/>
      <c r="X1348" s="2"/>
      <c r="Y1348" s="2"/>
      <c r="Z1348" s="2"/>
      <c r="AA1348" s="2"/>
    </row>
    <row r="1349">
      <c r="A1349" s="1" t="s">
        <v>3857</v>
      </c>
      <c r="B1349" s="1" t="s">
        <v>3864</v>
      </c>
      <c r="C1349" s="1" t="s">
        <v>3865</v>
      </c>
      <c r="D1349" s="2" t="str">
        <f>IFERROR(__xludf.DUMMYFUNCTION("GOOGLETRANSLATE(B1349, ""en"", ""TL"")"),"Maaari ka bang pilitin na magbitiw ng walang dahilan? Legal ba ito?")</f>
        <v>Maaari ka bang pilitin na magbitiw ng walang dahilan? Legal ba ito?</v>
      </c>
      <c r="E1349" s="2" t="str">
        <f>IFERROR(__xludf.DUMMYFUNCTION("GOOGLETRANSLATE(C1349, ""en"", ""TL"")"),"Hindi, hindi maaaring pilitin ng employer ang isang empleyado na magbitiw nang walang dahilan.
Kung ang isang empleyado ay mapipilitang magbitiw ng walang makatarungang dahilan, ito ay maaaring mapailalim sa constructive dismissal, na isang uri ng hindi p"&amp;"atas na pagpapaalis.
Ang constructive dismissal ay nangyayari kapag ang isang empleyado ay napilitang magbitiw dahil sa mahirap o hindi matitiis na mga kondisyon sa pagtatrabaho.
Kung sa tingin mo ay wala kang pagpipilian kundi ang umatras, mahalagang hum"&amp;"ingi ng legal na payo upang maprotektahan ang iyong mga karapatan.")</f>
        <v>Hindi, hindi maaaring pilitin ng employer ang isang empleyado na magbitiw nang walang dahilan.
Kung ang isang empleyado ay mapipilitang magbitiw ng walang makatarungang dahilan, ito ay maaaring mapailalim sa constructive dismissal, na isang uri ng hindi patas na pagpapaalis.
Ang constructive dismissal ay nangyayari kapag ang isang empleyado ay napilitang magbitiw dahil sa mahirap o hindi matitiis na mga kondisyon sa pagtatrabaho.
Kung sa tingin mo ay wala kang pagpipilian kundi ang umatras, mahalagang humingi ng legal na payo upang maprotektahan ang iyong mga karapatan.</v>
      </c>
      <c r="F1349" s="2">
        <f t="shared" si="1"/>
        <v>0</v>
      </c>
      <c r="G1349" s="2"/>
      <c r="H1349" s="2"/>
      <c r="I1349" s="2"/>
      <c r="J1349" s="2"/>
      <c r="K1349" s="2"/>
      <c r="L1349" s="2"/>
      <c r="M1349" s="2"/>
      <c r="N1349" s="2"/>
      <c r="O1349" s="2"/>
      <c r="P1349" s="2"/>
      <c r="Q1349" s="2"/>
      <c r="R1349" s="2"/>
      <c r="S1349" s="2"/>
      <c r="T1349" s="2"/>
      <c r="U1349" s="2"/>
      <c r="V1349" s="2"/>
      <c r="W1349" s="2"/>
      <c r="X1349" s="2"/>
      <c r="Y1349" s="2"/>
      <c r="Z1349" s="2"/>
      <c r="AA1349" s="2"/>
    </row>
    <row r="1350">
      <c r="A1350" s="1" t="s">
        <v>3857</v>
      </c>
      <c r="B1350" s="1" t="s">
        <v>3866</v>
      </c>
      <c r="C1350" s="1" t="s">
        <v>3867</v>
      </c>
      <c r="D1350" s="2" t="str">
        <f>IFERROR(__xludf.DUMMYFUNCTION("GOOGLETRANSLATE(B1350, ""en"", ""TL"")"),"Pinapayuhan mo ang isang tagapag-empleyo na gustong tanggalin ang isang empleyado dahil sa mahinang pagganap. Anong mga legal na pagsasaalang-alang ang dapat nilang malaman upang maiwasan ang mga potensyal na legal na epekto?")</f>
        <v>Pinapayuhan mo ang isang tagapag-empleyo na gustong tanggalin ang isang empleyado dahil sa mahinang pagganap. Anong mga legal na pagsasaalang-alang ang dapat nilang malaman upang maiwasan ang mga potensyal na legal na epekto?</v>
      </c>
      <c r="E1350" s="2" t="str">
        <f>IFERROR(__xludf.DUMMYFUNCTION("GOOGLETRANSLATE(C1350, ""en"", ""TL"")"),"Noong Setyembre 7, 2015, ang Ministro ng Paggawa at Pagtatrabaho, Rosalinda Dimapilis Baldos, ay naglabas ng Ministerial Order No.
147-15 series na kumokontrol sa aplikasyon ng makatarungan at pinahihintulutang mga batayan para sa pagpapaalis alinsunod sa"&amp;" Artikulo 297 hanggang 299 ng Kodigo sa Paggawa.
Nai-publish na ang mga panuntunan.
“Pagsususog ng Implementing Regulations ng Volume 6 ng Philippine Labor Code, as amended” Act of 2015.
D.O.
Ang Artikulo 147-15 ay malinaw na nagtatakda ng mga tiyak na pa"&amp;"mantayan para sa paggamit ng makatarungan at pinahihintulutang mga batayan at, sa partikular, ay naglalarawan ng naaangkop na pamamaraan para sa pagtatapos ng trabaho.
Ang makatarungang dahilan para sa pagpapaalis ay kinabibilangan ng matinding maling pag"&amp;"-uugali, sadyang pagsuway o pagsuway, grabe at patuloy na pagpapabaya sa tungkulin, pandaraya o sadyang paglabag sa tiwala, paglabag sa tiwala, paggawa ng krimen o ilegal na gawain, at mga katulad na Naglalaman ng dahilan.
Partikular na itinatadhana ng pa"&amp;"nuntunang ito na para maituring na katulad na dahilan ang isang gawa o pagkukulang, dapat itong partikular na nakasaad sa mga tuntunin at regulasyon o patakaran ng kumpanya.
Ang mga katanggap-tanggap na batayan para sa pagwawakas ay kinabibilangan ng pag-"&amp;"install ng mga kagamitang nakakatipid sa paggawa, redundancy, pagbabawas o pagbabawas, pagsasara o paghinto ng negosyo, at pagkakasakit.
Nilinaw ng Mga Regulasyon na ang isang empleyado ay maaari ding wakasan para sa makatwiran at ayon sa batas na mga dah"&amp;"ilan na itinakda sa patakaran ng kumpanya at/o para sa mga kadahilanang itinakda sa isang collective bargaining agreement (CBA).
Masu.
Dagdag pa, ang lahat ng usapin ng makatarungan at makatarungang dahilan ng pagwawakas ay dapat na sapilitang isampa sa h"&amp;"arap ng Single Entry Approach Desk Officer (SEADO) sa rehiyonal, estado, o field office ng DOLE at mga kaakibat na ahensya nito.
napapailalim sa arbitrasyon/pagkakasundo at mga kahilingan sa tulong.
Nalalapat ang panuntunang ito sa mga empleyado at tagapa"&amp;"g-empleyo sa lahat ng kontrata sa pagtatrabaho, kabilang ang mga legal na kontrata/subkontrata, na may kasalukuyang relasyon ng employer-empleyado.
Ang panuntunang ito ay pinagtibay upang matugunan ang mga isyu ng magkakaibang interpretasyon at aplikasyon"&amp;" ng mga batas sa pagwawakas sa trabaho na kung minsan ay nagdudulot ng mga reklamo sa paggawa.
Inilalabas ito alinsunod sa layunin ng Philippine Labor and Employment Plan na palakasin ang pagsunod sa mga karapatan ng mga manggagawa na protektado ng konsti"&amp;"tusyon, kabilang ang karapatang makakuha ng trabaho.
“Habang ang mga tripartite partner ay naghahanap ng mga lugar ng kasunduan para sa reporma ng Employment Security Act, inilathala namin ang dokumentong ito upang magbigay ng patnubay sa mga empleyado at"&amp;" employer kung paano maayos na buuin ang Employment Termination Act.
Naglabas kami ng mga regulasyon ``kaugnay sa paggamit ng mga karapatan ng mga manggagawa sa seguridad ng trabaho,'' sabi ni Secretary Rosalinda Dimapilis Baldos.
Isang serye ng tripartit"&amp;"e consultation ang idinaos bilang paghahanda sa D.O.
147-15.
Ang plano ay orihinal na isinumite para sa talakayan sa isang maliit na tripartite meeting ng Technical Working Group (TWG), na binubuo ng mga manggagawa at employer.
Idinaos din ang serye ng mg"&amp;"a pagpupulong ng TIPC at ng Tripartite Executive Committee (TEC) upang talakayin ang isyu.
Noong Mayo 21, 2015, inaprubahan at inaprubahan ng National Tripartite Industrial Peace Council (TIPC), isang national policy advisory body on labor and employment,"&amp;" ang regulasyong ito sa anyo ng isang regulasyong pangkagawaran para sa pagpapalabas ng Kalihim ng Paggawa at Pagtatrabaho.
ginawa.
D.O.
Ang Seksyon 147-15 ay magkakabisa 15 araw pagkatapos makumpleto ang paglalathala sa hindi bababa sa dalawang pahayagan"&amp;" ng pangkalahatang sirkulasyon.")</f>
        <v>Noong Setyembre 7, 2015, ang Ministro ng Paggawa at Pagtatrabaho, Rosalinda Dimapilis Baldos, ay naglabas ng Ministerial Order No.
147-15 series na kumokontrol sa aplikasyon ng makatarungan at pinahihintulutang mga batayan para sa pagpapaalis alinsunod sa Artikulo 297 hanggang 299 ng Kodigo sa Paggawa.
Nai-publish na ang mga panuntunan.
“Pagsususog ng Implementing Regulations ng Volume 6 ng Philippine Labor Code, as amended” Act of 2015.
D.O.
Ang Artikulo 147-15 ay malinaw na nagtatakda ng mga tiyak na pamantayan para sa paggamit ng makatarungan at pinahihintulutang mga batayan at, sa partikular, ay naglalarawan ng naaangkop na pamamaraan para sa pagtatapos ng trabaho.
Ang makatarungang dahilan para sa pagpapaalis ay kinabibilangan ng matinding maling pag-uugali, sadyang pagsuway o pagsuway, grabe at patuloy na pagpapabaya sa tungkulin, pandaraya o sadyang paglabag sa tiwala, paglabag sa tiwala, paggawa ng krimen o ilegal na gawain, at mga katulad na Naglalaman ng dahilan.
Partikular na itinatadhana ng panuntunang ito na para maituring na katulad na dahilan ang isang gawa o pagkukulang, dapat itong partikular na nakasaad sa mga tuntunin at regulasyon o patakaran ng kumpanya.
Ang mga katanggap-tanggap na batayan para sa pagwawakas ay kinabibilangan ng pag-install ng mga kagamitang nakakatipid sa paggawa, redundancy, pagbabawas o pagbabawas, pagsasara o paghinto ng negosyo, at pagkakasakit.
Nilinaw ng Mga Regulasyon na ang isang empleyado ay maaari ding wakasan para sa makatwiran at ayon sa batas na mga dahilan na itinakda sa patakaran ng kumpanya at/o para sa mga kadahilanang itinakda sa isang collective bargaining agreement (CBA).
Masu.
Dagdag pa, ang lahat ng usapin ng makatarungan at makatarungang dahilan ng pagwawakas ay dapat na sapilitang isampa sa harap ng Single Entry Approach Desk Officer (SEADO) sa rehiyonal, estado, o field office ng DOLE at mga kaakibat na ahensya nito.
napapailalim sa arbitrasyon/pagkakasundo at mga kahilingan sa tulong.
Nalalapat ang panuntunang ito sa mga empleyado at tagapag-empleyo sa lahat ng kontrata sa pagtatrabaho, kabilang ang mga legal na kontrata/subkontrata, na may kasalukuyang relasyon ng employer-empleyado.
Ang panuntunang ito ay pinagtibay upang matugunan ang mga isyu ng magkakaibang interpretasyon at aplikasyon ng mga batas sa pagwawakas sa trabaho na kung minsan ay nagdudulot ng mga reklamo sa paggawa.
Inilalabas ito alinsunod sa layunin ng Philippine Labor and Employment Plan na palakasin ang pagsunod sa mga karapatan ng mga manggagawa na protektado ng konstitusyon, kabilang ang karapatang makakuha ng trabaho.
“Habang ang mga tripartite partner ay naghahanap ng mga lugar ng kasunduan para sa reporma ng Employment Security Act, inilathala namin ang dokumentong ito upang magbigay ng patnubay sa mga empleyado at employer kung paano maayos na buuin ang Employment Termination Act.
Naglabas kami ng mga regulasyon ``kaugnay sa paggamit ng mga karapatan ng mga manggagawa sa seguridad ng trabaho,'' sabi ni Secretary Rosalinda Dimapilis Baldos.
Isang serye ng tripartite consultation ang idinaos bilang paghahanda sa D.O.
147-15.
Ang plano ay orihinal na isinumite para sa talakayan sa isang maliit na tripartite meeting ng Technical Working Group (TWG), na binubuo ng mga manggagawa at employer.
Idinaos din ang serye ng mga pagpupulong ng TIPC at ng Tripartite Executive Committee (TEC) upang talakayin ang isyu.
Noong Mayo 21, 2015, inaprubahan at inaprubahan ng National Tripartite Industrial Peace Council (TIPC), isang national policy advisory body on labor and employment, ang regulasyong ito sa anyo ng isang regulasyong pangkagawaran para sa pagpapalabas ng Kalihim ng Paggawa at Pagtatrabaho.
ginawa.
D.O.
Ang Seksyon 147-15 ay magkakabisa 15 araw pagkatapos makumpleto ang paglalathala sa hindi bababa sa dalawang pahayagan ng pangkalahatang sirkulasyon.</v>
      </c>
      <c r="F1350" s="2">
        <f t="shared" si="1"/>
        <v>0</v>
      </c>
      <c r="G1350" s="2"/>
      <c r="H1350" s="2"/>
      <c r="I1350" s="2"/>
      <c r="J1350" s="2"/>
      <c r="K1350" s="2"/>
      <c r="L1350" s="2"/>
      <c r="M1350" s="2"/>
      <c r="N1350" s="2"/>
      <c r="O1350" s="2"/>
      <c r="P1350" s="2"/>
      <c r="Q1350" s="2"/>
      <c r="R1350" s="2"/>
      <c r="S1350" s="2"/>
      <c r="T1350" s="2"/>
      <c r="U1350" s="2"/>
      <c r="V1350" s="2"/>
      <c r="W1350" s="2"/>
      <c r="X1350" s="2"/>
      <c r="Y1350" s="2"/>
      <c r="Z1350" s="2"/>
      <c r="AA1350" s="2"/>
    </row>
    <row r="1351">
      <c r="A1351" s="1" t="s">
        <v>3857</v>
      </c>
      <c r="B1351" s="1" t="s">
        <v>3868</v>
      </c>
      <c r="C1351" s="1" t="s">
        <v>3869</v>
      </c>
      <c r="D1351" s="2" t="str">
        <f>IFERROR(__xludf.DUMMYFUNCTION("GOOGLETRANSLATE(B1351, ""en"", ""TL"")"),"Ano ang dapat gawin ng isang employer kung ang isang empleyado ay palaging huli sa trabaho?")</f>
        <v>Ano ang dapat gawin ng isang employer kung ang isang empleyado ay palaging huli sa trabaho?</v>
      </c>
      <c r="E1351" s="2" t="str">
        <f>IFERROR(__xludf.DUMMYFUNCTION("GOOGLETRANSLATE(C1351, ""en"", ""TL"")"),"1.
Tugunan ang sitwasyon nang maaga Kung napansin mo ang isang trend ng pagkahuli, huwag mag-atubiling talakayin ito sa iyong mga empleyado.
Kung mas maaga kang makakapagsimula ng isang diyalogo tungkol sa sitwasyon, mas maaga mong mapapatunayan na ang ga"&amp;"yong pag-uugali ay hindi katanggap-tanggap sa lugar ng trabaho at hinihikayat ang mga empleyado na umiwas sa gayong pag-uugali.
2.
Linawin ang iyong mga inaasahan Kapag nakikipag-usap sa isang empleyado na matagal nang huli, maging malinaw tungkol sa kung"&amp;" anong pag-uugali ang kailangang baguhin at kung ano ang inaasahan mo sa hinaharap.
Gumamit ng wikang tumpak na naglalarawan kung ano ang ibig sabihin ng pagiging maagap sa iyo at sa iyong kumpanya.
Sa pulong, ipakita ang mga katotohanan na sumusuporta sa"&amp;" iyong kaso, gamit ang mga petsa at oras.
Iwasan ang malabo o pansariling termino na maaaring mapanlinlang.
3.
Ipakita ang patakaran sa pagkaantala.
Gumamit ng handbook ng kumpanya o patakaran ng kumpanya upang magbalangkas ng mga panuntunan para sa pagig"&amp;"ing maagap, tulad ng mga inaasahang oras ng pagsisimula at kung gaano kadalas maaaring ma-late ang isang empleyado (kung huli) bago ito maging isang kriminal na pagkakasala.
Masu.
Nagbibigay ng detalyadong impormasyon tungkol sa aksyong pandisiplina para "&amp;"sa patuloy na pagkahuli.
Magandang ideya din na ibahagi ang impormasyong ito sa iyong mga empleyado sa pamamagitan ng email o iba pang dokumentasyon, na ipaalam sa kanila na napag-usapan na ninyo ang isyu at ipinaalam ang mga resulta.
Tiyaking nakadokumen"&amp;"to ang lahat ng aksyong pandisiplina.
4.
Pagbibigay ng Privacy Kailangan mong kilalanin na ang isang empleyado ay may problema sa paulit-ulit na pagkahuli, ngunit hindi mo kailangang ibunyag ang dahilan ng kanyang pag-uugali.
Kung nakikipagkita ka sa iyon"&amp;"g mga empleyado nang pribado, maaari mo silang anyayahan na magbahagi, ngunit hayaan silang magpasya kung gaano karaming impormasyon ang gusto nilang ibahagi.
Maging bukas sa kanilang sinasabi.
O hindi mo na kailangang sabihin ito.
Ito ay isang paraan upa"&amp;"ng igalang ang kanilang privacy habang ginagawa ang mga kinakailangang hakbang upang matiyak na hindi sila mahuhuli sa trabaho.
5.
Magtakda ng mga layunin nang magkasama.
Pagkatapos talakayin ang mga naantalang aksyon, kabilang ang mga inaasahan at mga re"&amp;"sulta sa hinaharap, hilingin sa mga empleyado na magtakda ng mga layunin para sa pagpapabuti ng sarili.
Halimbawa, kung hindi maiiwasan ang pagiging huli, maaari kang mag-alok na kumuha ng mas maikling pahinga sa tanghalian upang makabawi.
Magbigay ng fee"&amp;"dback sa mga layuning ito at mag-alok ng mga ideya upang matulungan silang maabot at malampasan ang kanilang mga sariling inaasahan.
6.
Regular na suriin.
Ang regular na pananagutan at suporta ay makakatulong sa mga empleyado na maputol ang ugali ng pagig"&amp;"ing huli.
Ang paghabol sa iyong mga layunin at pagpapakita na nagmamalasakit ka sa pagpapabuti ng mga ito ay maaaring ang pinakamahusay na paraan upang maiwasan ang mga karagdagang insidente.
Hikayatin at suportahan sila, na binibigyang-diin ang kahalagah"&amp;"an ng pagiging maagap at pagsulong sa layuning iyon.
7. Purihin ang mga Empleyado para sa Pinahusay na Pag-uugali Purihin ang mga empleyado kapag may napansin kang mga pagpapabuti.
Maaaring hindi gustong ibahagi ng mga empleyado ang kanilang nakaraang pag"&amp;"kahuli, kaya ito ay pinakamahusay na gawin nang pribado upang maiwasang maakit ang pansin sa dahilan ng pagpapabuti.
Siguraduhing purihin ang iyong mga empleyado sa sandaling mapansin mo ang mga pagbabago, mas mabuti kahit sa susunod na araw ng trabaho.
8"&amp;".
Idokumento ang mga pag-uusap at pakikipag-ugnayan.
Inirerekomenda namin na idokumento mo ang lahat ng komunikasyon sa pagitan mo at ng iyong empleyado tungkol sa mga isyu sa pagka-late.
Titiyakin nito na walang mga hindi pagkakaunawaan.
Ang mga komprehe"&amp;"nsibong buod ng mga pag-uusap, sa halip na umasa sa memorya, ay panatilihing organisado at makatotohanan ang impormasyon.
Idokumento ang mga hakbang na iyong ginawa upang matukoy at maitama ang problema at anumang positibong pagbabago na napansin mo sa pa"&amp;"g-uugali ng empleyado pagkatapos ng insidente.
Maaari mong idagdag ang dokumentong ito sa file ng tauhan ng empleyado.
9. Mag-set up ng check-in system Kung ang pagkahuli ay patuloy na nagiging isyu para sa isang empleyado o iba pa, inirerekomenda namin a"&amp;"ng pag-set up ng check-in system para sa lahat ng empleyado.
Pinapadali ng mga digital na application at software ang paggamit at pagsubaybay para sa lahat ng kasangkot.
Maaari mo ring gamitin ang stamping system upang maiwasan ang talamak na pagkahuli.
1"&amp;"0.
Mag-iskedyul ng pulong sa simula ng araw.
Kung magsisimula ang isang pulong sa parehong oras sa pagsisimula ng araw ng trabaho, maaari itong mag-udyok sa mga empleyado na magpakita sa oras.
Maaari rin itong magbigay ng produktibong kapaligiran sa natit"&amp;"irang bahagi ng iyong araw ng trabaho.
Kung hindi mo gustong gawin ito araw-araw, ang pagpili ng Lunes o Biyernes ng umaga ay isang mahusay na paraan upang maiwasan ang pagiging huli.
11.
Isama ang pagiging maagap sa mga pagtatasa ng pagganap Para sa mga "&amp;"empleyadong nahihirapang makarating sa trabaho sa oras, isaalang-alang ang pagdaragdag ng pagiging maagap bilang bahagi ng mga salik na tinutugunan sa mga pagtatasa ng pagganap.
Ang pamamaraang ito ay mainam para sa mga quarterly na pagsusuri, dahil ang m"&amp;"ga isyu ay kailangang matugunan nang mabilis.
12.
Isaalang-alang ang isang flexible na iskedyul ng trabaho.
Kung pinahihintulutan ng patakaran ng iyong kumpanya ang mga flexible na iskedyul ng trabaho, isaalang-alang ito bilang isang opsyon para sa mga em"&amp;"pleyadong palaging nahuhuli.
Halimbawa, hilingin sa kanila na dumating sa loob ng 15 minuto at magtrabaho pagkaraan ng 15 minuto.
Nagbibigay-daan ito sa iyo na lutasin ang mga patuloy na sitwasyon na mahirap makuha nang mabilis.
Nagbubuo din ito ng paggal"&amp;"ang sa isa't isa at pag-unawa at nagbibigay-daan sa iyo upang magawa ang trabaho sa oras.
Gayunpaman, kung nag-aalok ka ng isang flexible na iskedyul sa isang empleyado, maging handa na ialok ito sa lahat.")</f>
        <v>1.
Tugunan ang sitwasyon nang maaga Kung napansin mo ang isang trend ng pagkahuli, huwag mag-atubiling talakayin ito sa iyong mga empleyado.
Kung mas maaga kang makakapagsimula ng isang diyalogo tungkol sa sitwasyon, mas maaga mong mapapatunayan na ang gayong pag-uugali ay hindi katanggap-tanggap sa lugar ng trabaho at hinihikayat ang mga empleyado na umiwas sa gayong pag-uugali.
2.
Linawin ang iyong mga inaasahan Kapag nakikipag-usap sa isang empleyado na matagal nang huli, maging malinaw tungkol sa kung anong pag-uugali ang kailangang baguhin at kung ano ang inaasahan mo sa hinaharap.
Gumamit ng wikang tumpak na naglalarawan kung ano ang ibig sabihin ng pagiging maagap sa iyo at sa iyong kumpanya.
Sa pulong, ipakita ang mga katotohanan na sumusuporta sa iyong kaso, gamit ang mga petsa at oras.
Iwasan ang malabo o pansariling termino na maaaring mapanlinlang.
3.
Ipakita ang patakaran sa pagkaantala.
Gumamit ng handbook ng kumpanya o patakaran ng kumpanya upang magbalangkas ng mga panuntunan para sa pagiging maagap, tulad ng mga inaasahang oras ng pagsisimula at kung gaano kadalas maaaring ma-late ang isang empleyado (kung huli) bago ito maging isang kriminal na pagkakasala.
Masu.
Nagbibigay ng detalyadong impormasyon tungkol sa aksyong pandisiplina para sa patuloy na pagkahuli.
Magandang ideya din na ibahagi ang impormasyong ito sa iyong mga empleyado sa pamamagitan ng email o iba pang dokumentasyon, na ipaalam sa kanila na napag-usapan na ninyo ang isyu at ipinaalam ang mga resulta.
Tiyaking nakadokumento ang lahat ng aksyong pandisiplina.
4.
Pagbibigay ng Privacy Kailangan mong kilalanin na ang isang empleyado ay may problema sa paulit-ulit na pagkahuli, ngunit hindi mo kailangang ibunyag ang dahilan ng kanyang pag-uugali.
Kung nakikipagkita ka sa iyong mga empleyado nang pribado, maaari mo silang anyayahan na magbahagi, ngunit hayaan silang magpasya kung gaano karaming impormasyon ang gusto nilang ibahagi.
Maging bukas sa kanilang sinasabi.
O hindi mo na kailangang sabihin ito.
Ito ay isang paraan upang igalang ang kanilang privacy habang ginagawa ang mga kinakailangang hakbang upang matiyak na hindi sila mahuhuli sa trabaho.
5.
Magtakda ng mga layunin nang magkasama.
Pagkatapos talakayin ang mga naantalang aksyon, kabilang ang mga inaasahan at mga resulta sa hinaharap, hilingin sa mga empleyado na magtakda ng mga layunin para sa pagpapabuti ng sarili.
Halimbawa, kung hindi maiiwasan ang pagiging huli, maaari kang mag-alok na kumuha ng mas maikling pahinga sa tanghalian upang makabawi.
Magbigay ng feedback sa mga layuning ito at mag-alok ng mga ideya upang matulungan silang maabot at malampasan ang kanilang mga sariling inaasahan.
6.
Regular na suriin.
Ang regular na pananagutan at suporta ay makakatulong sa mga empleyado na maputol ang ugali ng pagiging huli.
Ang paghabol sa iyong mga layunin at pagpapakita na nagmamalasakit ka sa pagpapabuti ng mga ito ay maaaring ang pinakamahusay na paraan upang maiwasan ang mga karagdagang insidente.
Hikayatin at suportahan sila, na binibigyang-diin ang kahalagahan ng pagiging maagap at pagsulong sa layuning iyon.
7. Purihin ang mga Empleyado para sa Pinahusay na Pag-uugali Purihin ang mga empleyado kapag may napansin kang mga pagpapabuti.
Maaaring hindi gustong ibahagi ng mga empleyado ang kanilang nakaraang pagkahuli, kaya ito ay pinakamahusay na gawin nang pribado upang maiwasang maakit ang pansin sa dahilan ng pagpapabuti.
Siguraduhing purihin ang iyong mga empleyado sa sandaling mapansin mo ang mga pagbabago, mas mabuti kahit sa susunod na araw ng trabaho.
8.
Idokumento ang mga pag-uusap at pakikipag-ugnayan.
Inirerekomenda namin na idokumento mo ang lahat ng komunikasyon sa pagitan mo at ng iyong empleyado tungkol sa mga isyu sa pagka-late.
Titiyakin nito na walang mga hindi pagkakaunawaan.
Ang mga komprehensibong buod ng mga pag-uusap, sa halip na umasa sa memorya, ay panatilihing organisado at makatotohanan ang impormasyon.
Idokumento ang mga hakbang na iyong ginawa upang matukoy at maitama ang problema at anumang positibong pagbabago na napansin mo sa pag-uugali ng empleyado pagkatapos ng insidente.
Maaari mong idagdag ang dokumentong ito sa file ng tauhan ng empleyado.
9. Mag-set up ng check-in system Kung ang pagkahuli ay patuloy na nagiging isyu para sa isang empleyado o iba pa, inirerekomenda namin ang pag-set up ng check-in system para sa lahat ng empleyado.
Pinapadali ng mga digital na application at software ang paggamit at pagsubaybay para sa lahat ng kasangkot.
Maaari mo ring gamitin ang stamping system upang maiwasan ang talamak na pagkahuli.
10.
Mag-iskedyul ng pulong sa simula ng araw.
Kung magsisimula ang isang pulong sa parehong oras sa pagsisimula ng araw ng trabaho, maaari itong mag-udyok sa mga empleyado na magpakita sa oras.
Maaari rin itong magbigay ng produktibong kapaligiran sa natitirang bahagi ng iyong araw ng trabaho.
Kung hindi mo gustong gawin ito araw-araw, ang pagpili ng Lunes o Biyernes ng umaga ay isang mahusay na paraan upang maiwasan ang pagiging huli.
11.
Isama ang pagiging maagap sa mga pagtatasa ng pagganap Para sa mga empleyadong nahihirapang makarating sa trabaho sa oras, isaalang-alang ang pagdaragdag ng pagiging maagap bilang bahagi ng mga salik na tinutugunan sa mga pagtatasa ng pagganap.
Ang pamamaraang ito ay mainam para sa mga quarterly na pagsusuri, dahil ang mga isyu ay kailangang matugunan nang mabilis.
12.
Isaalang-alang ang isang flexible na iskedyul ng trabaho.
Kung pinahihintulutan ng patakaran ng iyong kumpanya ang mga flexible na iskedyul ng trabaho, isaalang-alang ito bilang isang opsyon para sa mga empleyadong palaging nahuhuli.
Halimbawa, hilingin sa kanila na dumating sa loob ng 15 minuto at magtrabaho pagkaraan ng 15 minuto.
Nagbibigay-daan ito sa iyo na lutasin ang mga patuloy na sitwasyon na mahirap makuha nang mabilis.
Nagbubuo din ito ng paggalang sa isa't isa at pag-unawa at nagbibigay-daan sa iyo upang magawa ang trabaho sa oras.
Gayunpaman, kung nag-aalok ka ng isang flexible na iskedyul sa isang empleyado, maging handa na ialok ito sa lahat.</v>
      </c>
      <c r="F1351" s="2">
        <f t="shared" si="1"/>
        <v>0</v>
      </c>
      <c r="G1351" s="2"/>
      <c r="H1351" s="2"/>
      <c r="I1351" s="2"/>
      <c r="J1351" s="2"/>
      <c r="K1351" s="2"/>
      <c r="L1351" s="2"/>
      <c r="M1351" s="2"/>
      <c r="N1351" s="2"/>
      <c r="O1351" s="2"/>
      <c r="P1351" s="2"/>
      <c r="Q1351" s="2"/>
      <c r="R1351" s="2"/>
      <c r="S1351" s="2"/>
      <c r="T1351" s="2"/>
      <c r="U1351" s="2"/>
      <c r="V1351" s="2"/>
      <c r="W1351" s="2"/>
      <c r="X1351" s="2"/>
      <c r="Y1351" s="2"/>
      <c r="Z1351" s="2"/>
      <c r="AA1351" s="2"/>
    </row>
    <row r="1352">
      <c r="A1352" s="1" t="s">
        <v>3857</v>
      </c>
      <c r="B1352" s="1" t="s">
        <v>3870</v>
      </c>
      <c r="C1352" s="1" t="s">
        <v>3871</v>
      </c>
      <c r="D1352" s="2" t="str">
        <f>IFERROR(__xludf.DUMMYFUNCTION("GOOGLETRANSLATE(B1352, ""en"", ""TL"")"),"Maaari bang tanggalin ng employer ang isang empleyado nang walang dahilan? Sa ilalim ng anong mga pangyayari?")</f>
        <v>Maaari bang tanggalin ng employer ang isang empleyado nang walang dahilan? Sa ilalim ng anong mga pangyayari?</v>
      </c>
      <c r="E1352" s="2" t="str">
        <f>IFERROR(__xludf.DUMMYFUNCTION("GOOGLETRANSLATE(C1352, ""en"", ""TL"")"),"Hindi hindi mo kaya. Dahil ang isang empleyado ay maaari lamang matanggal sa trabaho sa makatarungang dahilan o awtorisadong dahilan.
Maaari kang managot para sa hindi patas na pagpapaalis, at ang empleyado ay maaaring may karapatan sa muling pagbabalik, "&amp;"bayad sa severance, at hindi nabayarang sahod.")</f>
        <v>Hindi hindi mo kaya. Dahil ang isang empleyado ay maaari lamang matanggal sa trabaho sa makatarungang dahilan o awtorisadong dahilan.
Maaari kang managot para sa hindi patas na pagpapaalis, at ang empleyado ay maaaring may karapatan sa muling pagbabalik, bayad sa severance, at hindi nabayarang sahod.</v>
      </c>
      <c r="F1352" s="2">
        <f t="shared" si="1"/>
        <v>0</v>
      </c>
      <c r="G1352" s="2"/>
      <c r="H1352" s="2"/>
      <c r="I1352" s="2"/>
      <c r="J1352" s="2"/>
      <c r="K1352" s="2"/>
      <c r="L1352" s="2"/>
      <c r="M1352" s="2"/>
      <c r="N1352" s="2"/>
      <c r="O1352" s="2"/>
      <c r="P1352" s="2"/>
      <c r="Q1352" s="2"/>
      <c r="R1352" s="2"/>
      <c r="S1352" s="2"/>
      <c r="T1352" s="2"/>
      <c r="U1352" s="2"/>
      <c r="V1352" s="2"/>
      <c r="W1352" s="2"/>
      <c r="X1352" s="2"/>
      <c r="Y1352" s="2"/>
      <c r="Z1352" s="2"/>
      <c r="AA1352" s="2"/>
    </row>
    <row r="1353">
      <c r="A1353" s="1" t="s">
        <v>3857</v>
      </c>
      <c r="B1353" s="1" t="s">
        <v>3872</v>
      </c>
      <c r="C1353" s="1" t="s">
        <v>3873</v>
      </c>
      <c r="D1353" s="2" t="str">
        <f>IFERROR(__xludf.DUMMYFUNCTION("GOOGLETRANSLATE(B1353, ""en"", ""TL"")"),"Paano dapat pangasiwaan ng employer ang mga paratang ng panliligalig sa lugar ng trabaho?")</f>
        <v>Paano dapat pangasiwaan ng employer ang mga paratang ng panliligalig sa lugar ng trabaho?</v>
      </c>
      <c r="E1353" s="2" t="str">
        <f>IFERROR(__xludf.DUMMYFUNCTION("GOOGLETRANSLATE(C1353, ""en"", ""TL"")"),"Magtatag ng malinaw na mga patakaran at pamamaraan para sa pag-uulat at pagsisiyasat ng mga reklamo ng panliligalig, diskriminasyon, at pambu-bully sa lugar ng trabaho.
Magbigay ng pagsasanay at oryentasyon sa lahat ng empleyado at tagapamahala tungkol sa"&amp;" mga patakaran at pamamaraan at kanilang mga karapatan at responsibilidad.
Kami ay tutugon kaagad at patas sa mga reklamo na aming natatanggap at magsasagawa ng masusing pagsisiyasat gamit ang angkop na proseso at pagiging kumpidensyal.
Kung napatunayan a"&amp;"ng reklamo, magsagawa ng naaangkop na aksyong pandisiplina o pagwawasto laban sa nanliligalig at magbigay ng tulong at proteksyon sa nagrereklamo.
Subaybayan ang sitwasyon at maiwasan ang paghihiganti o karagdagang panliligalig.")</f>
        <v>Magtatag ng malinaw na mga patakaran at pamamaraan para sa pag-uulat at pagsisiyasat ng mga reklamo ng panliligalig, diskriminasyon, at pambu-bully sa lugar ng trabaho.
Magbigay ng pagsasanay at oryentasyon sa lahat ng empleyado at tagapamahala tungkol sa mga patakaran at pamamaraan at kanilang mga karapatan at responsibilidad.
Kami ay tutugon kaagad at patas sa mga reklamo na aming natatanggap at magsasagawa ng masusing pagsisiyasat gamit ang angkop na proseso at pagiging kumpidensyal.
Kung napatunayan ang reklamo, magsagawa ng naaangkop na aksyong pandisiplina o pagwawasto laban sa nanliligalig at magbigay ng tulong at proteksyon sa nagrereklamo.
Subaybayan ang sitwasyon at maiwasan ang paghihiganti o karagdagang panliligalig.</v>
      </c>
      <c r="F1353" s="2">
        <f t="shared" si="1"/>
        <v>0</v>
      </c>
      <c r="G1353" s="2"/>
      <c r="H1353" s="2"/>
      <c r="I1353" s="2"/>
      <c r="J1353" s="2"/>
      <c r="K1353" s="2"/>
      <c r="L1353" s="2"/>
      <c r="M1353" s="2"/>
      <c r="N1353" s="2"/>
      <c r="O1353" s="2"/>
      <c r="P1353" s="2"/>
      <c r="Q1353" s="2"/>
      <c r="R1353" s="2"/>
      <c r="S1353" s="2"/>
      <c r="T1353" s="2"/>
      <c r="U1353" s="2"/>
      <c r="V1353" s="2"/>
      <c r="W1353" s="2"/>
      <c r="X1353" s="2"/>
      <c r="Y1353" s="2"/>
      <c r="Z1353" s="2"/>
      <c r="AA1353" s="2"/>
    </row>
    <row r="1354">
      <c r="A1354" s="1" t="s">
        <v>3857</v>
      </c>
      <c r="B1354" s="1" t="s">
        <v>3874</v>
      </c>
      <c r="C1354" s="1" t="s">
        <v>3875</v>
      </c>
      <c r="D1354" s="2" t="str">
        <f>IFERROR(__xludf.DUMMYFUNCTION("GOOGLETRANSLATE(B1354, ""en"", ""TL"")"),"Ano ang mga legal na kinakailangan para sa pagbibigay ng mga benepisyo ng empleyado tulad ng bakasyon sa bakasyon at segurong pangkalusugan?")</f>
        <v>Ano ang mga legal na kinakailangan para sa pagbibigay ng mga benepisyo ng empleyado tulad ng bakasyon sa bakasyon at segurong pangkalusugan?</v>
      </c>
      <c r="E1354" s="2" t="str">
        <f>IFERROR(__xludf.DUMMYFUNCTION("GOOGLETRANSLATE(C1354, ""en"", ""TL"")"),"Ang batas sa paggawa ng Pilipinas ay nag-aatas sa mga employer na magbigay ng ilang partikular na benepisyo sa kanilang mga empleyado.
Kabilang sa mga benepisyong ito ang Social Security System “SSS”, PhilHealth, Pag-IBIG Fund, 13 buwang suweldo, bakasyon"&amp;" at sick leave, maternity leave, parental leave, retirement benefits at special vacation allowance.")</f>
        <v>Ang batas sa paggawa ng Pilipinas ay nag-aatas sa mga employer na magbigay ng ilang partikular na benepisyo sa kanilang mga empleyado.
Kabilang sa mga benepisyong ito ang Social Security System “SSS”, PhilHealth, Pag-IBIG Fund, 13 buwang suweldo, bakasyon at sick leave, maternity leave, parental leave, retirement benefits at special vacation allowance.</v>
      </c>
      <c r="F1354" s="2">
        <f t="shared" si="1"/>
        <v>0</v>
      </c>
      <c r="G1354" s="2"/>
      <c r="H1354" s="2"/>
      <c r="I1354" s="2"/>
      <c r="J1354" s="2"/>
      <c r="K1354" s="2"/>
      <c r="L1354" s="2"/>
      <c r="M1354" s="2"/>
      <c r="N1354" s="2"/>
      <c r="O1354" s="2"/>
      <c r="P1354" s="2"/>
      <c r="Q1354" s="2"/>
      <c r="R1354" s="2"/>
      <c r="S1354" s="2"/>
      <c r="T1354" s="2"/>
      <c r="U1354" s="2"/>
      <c r="V1354" s="2"/>
      <c r="W1354" s="2"/>
      <c r="X1354" s="2"/>
      <c r="Y1354" s="2"/>
      <c r="Z1354" s="2"/>
      <c r="AA1354" s="2"/>
    </row>
    <row r="1355">
      <c r="A1355" s="1" t="s">
        <v>3857</v>
      </c>
      <c r="B1355" s="1" t="s">
        <v>3876</v>
      </c>
      <c r="C1355" s="1" t="s">
        <v>3877</v>
      </c>
      <c r="D1355" s="2" t="str">
        <f>IFERROR(__xludf.DUMMYFUNCTION("GOOGLETRANSLATE(B1355, ""en"", ""TL"")"),"Anong mga hakbang ang dapat gawin ng isang employer kung ang isang empleyado ay nasugatan sa trabaho?")</f>
        <v>Anong mga hakbang ang dapat gawin ng isang employer kung ang isang empleyado ay nasugatan sa trabaho?</v>
      </c>
      <c r="E1355" s="2" t="str">
        <f>IFERROR(__xludf.DUMMYFUNCTION("GOOGLETRANSLATE(C1355, ""en"", ""TL"")"),"Ang mga hakbang na dapat gawin ng employer ay:
Humingi ng agarang medikal na atensyon at idokumento ang pinsala.
Kung naaangkop, iulat ang insidente sa iyong employer at sa kanyang DOLE.
Upang maunawaan ang iyong mga karapatan at posibleng mga kurso ng ak"&amp;"syon, mangyaring kumonsulta sa isang legal na propesyonal gaya ng Respicio &amp; Co.
Law Firm.
Panatilihin ang mga talaan ng lahat ng komunikasyon at mga dokumento na may kaugnayan sa paglabag.")</f>
        <v>Ang mga hakbang na dapat gawin ng employer ay:
Humingi ng agarang medikal na atensyon at idokumento ang pinsala.
Kung naaangkop, iulat ang insidente sa iyong employer at sa kanyang DOLE.
Upang maunawaan ang iyong mga karapatan at posibleng mga kurso ng aksyon, mangyaring kumonsulta sa isang legal na propesyonal gaya ng Respicio &amp; Co.
Law Firm.
Panatilihin ang mga talaan ng lahat ng komunikasyon at mga dokumento na may kaugnayan sa paglabag.</v>
      </c>
      <c r="F1355" s="2">
        <f t="shared" si="1"/>
        <v>0</v>
      </c>
      <c r="G1355" s="2"/>
      <c r="H1355" s="2"/>
      <c r="I1355" s="2"/>
      <c r="J1355" s="2"/>
      <c r="K1355" s="2"/>
      <c r="L1355" s="2"/>
      <c r="M1355" s="2"/>
      <c r="N1355" s="2"/>
      <c r="O1355" s="2"/>
      <c r="P1355" s="2"/>
      <c r="Q1355" s="2"/>
      <c r="R1355" s="2"/>
      <c r="S1355" s="2"/>
      <c r="T1355" s="2"/>
      <c r="U1355" s="2"/>
      <c r="V1355" s="2"/>
      <c r="W1355" s="2"/>
      <c r="X1355" s="2"/>
      <c r="Y1355" s="2"/>
      <c r="Z1355" s="2"/>
      <c r="AA1355" s="2"/>
    </row>
    <row r="1356">
      <c r="A1356" s="1" t="s">
        <v>3857</v>
      </c>
      <c r="B1356" s="1" t="s">
        <v>3878</v>
      </c>
      <c r="C1356" s="1" t="s">
        <v>3879</v>
      </c>
      <c r="D1356" s="2" t="str">
        <f>IFERROR(__xludf.DUMMYFUNCTION("GOOGLETRANSLATE(B1356, ""en"", ""TL"")"),"Maaari bang i-require ng employer ang mga empleyado na mag-overtime? Kung gayon, ano ang mga limitasyon?")</f>
        <v>Maaari bang i-require ng employer ang mga empleyado na mag-overtime? Kung gayon, ano ang mga limitasyon?</v>
      </c>
      <c r="E1356" s="2" t="str">
        <f>IFERROR(__xludf.DUMMYFUNCTION("GOOGLETRANSLATE(C1356, ""en"", ""TL"")"),"Maaaring hilingin ng mga employer sa Pilipinas ang mga empleyado na mag-overtime, ngunit sa pangkalahatan ay hindi nila sila mapipilit na gawin ito maliban kung may partikular na emergency na itinakda ng batas sa paggawa.")</f>
        <v>Maaaring hilingin ng mga employer sa Pilipinas ang mga empleyado na mag-overtime, ngunit sa pangkalahatan ay hindi nila sila mapipilit na gawin ito maliban kung may partikular na emergency na itinakda ng batas sa paggawa.</v>
      </c>
      <c r="F1356" s="2">
        <f t="shared" si="1"/>
        <v>0</v>
      </c>
      <c r="G1356" s="2"/>
      <c r="H1356" s="2"/>
      <c r="I1356" s="2"/>
      <c r="J1356" s="2"/>
      <c r="K1356" s="2"/>
      <c r="L1356" s="2"/>
      <c r="M1356" s="2"/>
      <c r="N1356" s="2"/>
      <c r="O1356" s="2"/>
      <c r="P1356" s="2"/>
      <c r="Q1356" s="2"/>
      <c r="R1356" s="2"/>
      <c r="S1356" s="2"/>
      <c r="T1356" s="2"/>
      <c r="U1356" s="2"/>
      <c r="V1356" s="2"/>
      <c r="W1356" s="2"/>
      <c r="X1356" s="2"/>
      <c r="Y1356" s="2"/>
      <c r="Z1356" s="2"/>
      <c r="AA1356" s="2"/>
    </row>
    <row r="1357">
      <c r="A1357" s="1" t="s">
        <v>3857</v>
      </c>
      <c r="B1357" s="1" t="s">
        <v>3880</v>
      </c>
      <c r="C1357" s="1" t="s">
        <v>3881</v>
      </c>
      <c r="D1357" s="2" t="str">
        <f>IFERROR(__xludf.DUMMYFUNCTION("GOOGLETRANSLATE(B1357, ""en"", ""TL"")"),"Ano ang dapat gawin ng isang employer kung ang isang empleyado ay nagsampa ng reklamo sa Department of Labor and Employment (DOLE)?")</f>
        <v>Ano ang dapat gawin ng isang employer kung ang isang empleyado ay nagsampa ng reklamo sa Department of Labor and Employment (DOLE)?</v>
      </c>
      <c r="E1357" s="2" t="str">
        <f>IFERROR(__xludf.DUMMYFUNCTION("GOOGLETRANSLATE(C1357, ""en"", ""TL"")"),"Makipagtulungan sa mga opisyal ng DOLE na magpoproseso ng iyong reklamo at magbibigay ng lahat ng kinakailangang dokumentasyon at impormasyon.
Dapat siyang dumalo sa isang mediation at conciliation conference na naka-iskedyul ng kanyang opisyal ng DOLE sa"&amp;" loob ng 30 araw mula sa paghahain ng reklamo.
Kung naresolba o nakumpirma ang reklamo, sundin ang anumang kasunduan sa pag-aayos o compliance order na inilabas ng Kalihim ng DOLE.")</f>
        <v>Makipagtulungan sa mga opisyal ng DOLE na magpoproseso ng iyong reklamo at magbibigay ng lahat ng kinakailangang dokumentasyon at impormasyon.
Dapat siyang dumalo sa isang mediation at conciliation conference na naka-iskedyul ng kanyang opisyal ng DOLE sa loob ng 30 araw mula sa paghahain ng reklamo.
Kung naresolba o nakumpirma ang reklamo, sundin ang anumang kasunduan sa pag-aayos o compliance order na inilabas ng Kalihim ng DOLE.</v>
      </c>
      <c r="F1357" s="2">
        <f t="shared" si="1"/>
        <v>0</v>
      </c>
      <c r="G1357" s="2"/>
      <c r="H1357" s="2"/>
      <c r="I1357" s="2"/>
      <c r="J1357" s="2"/>
      <c r="K1357" s="2"/>
      <c r="L1357" s="2"/>
      <c r="M1357" s="2"/>
      <c r="N1357" s="2"/>
      <c r="O1357" s="2"/>
      <c r="P1357" s="2"/>
      <c r="Q1357" s="2"/>
      <c r="R1357" s="2"/>
      <c r="S1357" s="2"/>
      <c r="T1357" s="2"/>
      <c r="U1357" s="2"/>
      <c r="V1357" s="2"/>
      <c r="W1357" s="2"/>
      <c r="X1357" s="2"/>
      <c r="Y1357" s="2"/>
      <c r="Z1357" s="2"/>
      <c r="AA1357" s="2"/>
    </row>
    <row r="1358">
      <c r="A1358" s="1" t="s">
        <v>3857</v>
      </c>
      <c r="B1358" s="1" t="s">
        <v>3882</v>
      </c>
      <c r="C1358" s="1" t="s">
        <v>3883</v>
      </c>
      <c r="D1358" s="2" t="str">
        <f>IFERROR(__xludf.DUMMYFUNCTION("GOOGLETRANSLATE(B1358, ""en"", ""TL"")"),"Maaari bang magsagawa ng drug testing ang isang employer sa mga empleyado? Kung gayon, sa ilalim ng anong mga kondisyon?")</f>
        <v>Maaari bang magsagawa ng drug testing ang isang employer sa mga empleyado? Kung gayon, sa ilalim ng anong mga kondisyon?</v>
      </c>
      <c r="E1358" s="2" t="str">
        <f>IFERROR(__xludf.DUMMYFUNCTION("GOOGLETRANSLATE(C1358, ""en"", ""TL"")"),"Oo, tiyak.
Ito ay bahagi ng pag-regulate o pagtiyak ng kaligtasan sa lugar ng trabaho.
Kung nag-empleyo ka ng higit sa 10 empleyado, dapat mo talagang gawin ito alinsunod sa DOLE Department Order 53-03.")</f>
        <v>Oo, tiyak.
Ito ay bahagi ng pag-regulate o pagtiyak ng kaligtasan sa lugar ng trabaho.
Kung nag-empleyo ka ng higit sa 10 empleyado, dapat mo talagang gawin ito alinsunod sa DOLE Department Order 53-03.</v>
      </c>
      <c r="F1358" s="2">
        <f t="shared" si="1"/>
        <v>0</v>
      </c>
      <c r="G1358" s="2"/>
      <c r="H1358" s="2"/>
      <c r="I1358" s="2"/>
      <c r="J1358" s="2"/>
      <c r="K1358" s="2"/>
      <c r="L1358" s="2"/>
      <c r="M1358" s="2"/>
      <c r="N1358" s="2"/>
      <c r="O1358" s="2"/>
      <c r="P1358" s="2"/>
      <c r="Q1358" s="2"/>
      <c r="R1358" s="2"/>
      <c r="S1358" s="2"/>
      <c r="T1358" s="2"/>
      <c r="U1358" s="2"/>
      <c r="V1358" s="2"/>
      <c r="W1358" s="2"/>
      <c r="X1358" s="2"/>
      <c r="Y1358" s="2"/>
      <c r="Z1358" s="2"/>
      <c r="AA1358" s="2"/>
    </row>
    <row r="1359">
      <c r="A1359" s="1" t="s">
        <v>3857</v>
      </c>
      <c r="B1359" s="1" t="s">
        <v>3884</v>
      </c>
      <c r="C1359" s="1" t="s">
        <v>3885</v>
      </c>
      <c r="D1359" s="2" t="str">
        <f>IFERROR(__xludf.DUMMYFUNCTION("GOOGLETRANSLATE(B1359, ""en"", ""TL"")"),"Paano dapat pangasiwaan ng employer ang maternity leave para sa mga babaeng empleyado?")</f>
        <v>Paano dapat pangasiwaan ng employer ang maternity leave para sa mga babaeng empleyado?</v>
      </c>
      <c r="E1359" s="2" t="str">
        <f>IFERROR(__xludf.DUMMYFUNCTION("GOOGLETRANSLATE(C1359, ""en"", ""TL"")"),"Ayon sa Expanded Maternity Leave Act of 2019, dapat bigyan ng mga employer ang mga empleyado ng 105 araw na bayad na maternity leave para sa mga normal na panganganak o C-section, na may opsyong palawigin ng karagdagang 30 araw na walang bayad.
Dapat ipaa"&amp;"lam ng isang empleyado sa employer ang kanyang pagbubuntis at inaasahang petsa ng kapanganakan nang hindi bababa sa 30 araw bago ang kanyang bakasyon.
Dapat bayaran ng mga employer ang mga empleyado ng kanilang buong suweldo sa panahon ng bakasyon, napapa"&amp;"ilalim sa reimbursement ng social security system na ""SSS"".
Kung ang employer ay regular na nag-aambag sa kanyang SSS.")</f>
        <v>Ayon sa Expanded Maternity Leave Act of 2019, dapat bigyan ng mga employer ang mga empleyado ng 105 araw na bayad na maternity leave para sa mga normal na panganganak o C-section, na may opsyong palawigin ng karagdagang 30 araw na walang bayad.
Dapat ipaalam ng isang empleyado sa employer ang kanyang pagbubuntis at inaasahang petsa ng kapanganakan nang hindi bababa sa 30 araw bago ang kanyang bakasyon.
Dapat bayaran ng mga employer ang mga empleyado ng kanilang buong suweldo sa panahon ng bakasyon, napapailalim sa reimbursement ng social security system na "SSS".
Kung ang employer ay regular na nag-aambag sa kanyang SSS.</v>
      </c>
      <c r="F1359" s="2">
        <f t="shared" si="1"/>
        <v>0</v>
      </c>
      <c r="G1359" s="2"/>
      <c r="H1359" s="2"/>
      <c r="I1359" s="2"/>
      <c r="J1359" s="2"/>
      <c r="K1359" s="2"/>
      <c r="L1359" s="2"/>
      <c r="M1359" s="2"/>
      <c r="N1359" s="2"/>
      <c r="O1359" s="2"/>
      <c r="P1359" s="2"/>
      <c r="Q1359" s="2"/>
      <c r="R1359" s="2"/>
      <c r="S1359" s="2"/>
      <c r="T1359" s="2"/>
      <c r="U1359" s="2"/>
      <c r="V1359" s="2"/>
      <c r="W1359" s="2"/>
      <c r="X1359" s="2"/>
      <c r="Y1359" s="2"/>
      <c r="Z1359" s="2"/>
      <c r="AA1359" s="2"/>
    </row>
    <row r="1360">
      <c r="A1360" s="1" t="s">
        <v>3857</v>
      </c>
      <c r="B1360" s="1" t="s">
        <v>3886</v>
      </c>
      <c r="C1360" s="1" t="s">
        <v>3887</v>
      </c>
      <c r="D1360" s="2" t="str">
        <f>IFERROR(__xludf.DUMMYFUNCTION("GOOGLETRANSLATE(B1360, ""en"", ""TL"")"),"Ano ang mga legal na implikasyon ng pagwawakas ng kontrata ng empleyado bago ang petsa ng pag-expire nito?")</f>
        <v>Ano ang mga legal na implikasyon ng pagwawakas ng kontrata ng empleyado bago ang petsa ng pag-expire nito?</v>
      </c>
      <c r="E1360" s="2" t="str">
        <f>IFERROR(__xludf.DUMMYFUNCTION("GOOGLETRANSLATE(C1360, ""en"", ""TL"")"),"Ang Artikulo 279 ng Kodigo sa Paggawa ng Pilipinas ay nagtatadhana na kung ang isang empleyado ay tinanggal nang walang makatarungang dahilan, ang empleyado ay may karapatan sa: reinstatement nang walang pagkawala ng mga karapatan sa seniority; isang buwa"&amp;"ng kabayaran para sa bawat taon ng serbisyo; Allowance sa paghihiwalay ng suweldo")</f>
        <v>Ang Artikulo 279 ng Kodigo sa Paggawa ng Pilipinas ay nagtatadhana na kung ang isang empleyado ay tinanggal nang walang makatarungang dahilan, ang empleyado ay may karapatan sa: reinstatement nang walang pagkawala ng mga karapatan sa seniority; isang buwang kabayaran para sa bawat taon ng serbisyo; Allowance sa paghihiwalay ng suweldo</v>
      </c>
      <c r="F1360" s="2">
        <f t="shared" si="1"/>
        <v>0</v>
      </c>
      <c r="G1360" s="2"/>
      <c r="H1360" s="2"/>
      <c r="I1360" s="2"/>
      <c r="J1360" s="2"/>
      <c r="K1360" s="2"/>
      <c r="L1360" s="2"/>
      <c r="M1360" s="2"/>
      <c r="N1360" s="2"/>
      <c r="O1360" s="2"/>
      <c r="P1360" s="2"/>
      <c r="Q1360" s="2"/>
      <c r="R1360" s="2"/>
      <c r="S1360" s="2"/>
      <c r="T1360" s="2"/>
      <c r="U1360" s="2"/>
      <c r="V1360" s="2"/>
      <c r="W1360" s="2"/>
      <c r="X1360" s="2"/>
      <c r="Y1360" s="2"/>
      <c r="Z1360" s="2"/>
      <c r="AA1360" s="2"/>
    </row>
    <row r="1361">
      <c r="A1361" s="1" t="s">
        <v>3857</v>
      </c>
      <c r="B1361" s="1" t="s">
        <v>3888</v>
      </c>
      <c r="C1361" s="1" t="s">
        <v>3889</v>
      </c>
      <c r="D1361" s="2" t="str">
        <f>IFERROR(__xludf.DUMMYFUNCTION("GOOGLETRANSLATE(B1361, ""en"", ""TL"")"),"Ano ang minimum wage sa Pilipinas?")</f>
        <v>Ano ang minimum wage sa Pilipinas?</v>
      </c>
      <c r="E1361" s="2" t="str">
        <f>IFERROR(__xludf.DUMMYFUNCTION("GOOGLETRANSLATE(C1361, ""en"", ""TL"")"),"National Capital Region (NCR):
Numero ng Wage Order: NCR-24
Petsa ng Pag-isyu: Hunyo 26, 2023
Petsa ng Pagkabisa: Hulyo 16, 2023
Non-Plantation Minimum Wage: Mula P573 hanggang P610
Minimum na Sahod ng Plantasyon: P573
Cordillera Administrative Region (C"&amp;"AR):
Numero ng Wage Order: CAR-22
Petsa ng Pag-isyu: Nobyembre 6, 2023
Petsa ng Pagkabisa: Disyembre 5, 2023
Non-Plantation at Plantation Minimum Wage: P430
Rehiyon I:
Numero ng Wage Order: RB 1-22
Petsa ng Pag-isyu: Oktubre 10, 2023
Petsa ng Pagkabisa:"&amp;" Nobyembre 6, 2023
Non-Plantation Minimum Wage: Mula P402 hanggang P435
Minimum na Sahod ng Plantasyon: P402
Rehiyon II:
Numero ng Wage Order: RTWPB 2-22
Petsa ng Pag-isyu: Setyembre 21, 2023
Petsa ng Pagkabisa: Oktubre 16, 2023
Non-Plantation Minimum Wa"&amp;"ge: P435
Minimum na Sahod ng Plantasyon: P415
Rehiyon III:
Numero ng Wage Order: RBIII-24
Petsa ng Pag-isyu: Setyembre 19, 2023
Petsa ng Pagkabisa: Oktubre 16, 2023
Non-Plantation Minimum Wage: Mula P449 hanggang P500
Minimum na Sahod ng Plantasyon: Mula"&amp;" P434 hanggang P470
Rehiyon IV-A:
Numero ng Wage Order: IVA-20
Petsa ng Pag-isyu: Setyembre 1, 2023
Petsa ng Pagkabisa: Setyembre 24, 2023
Non-Plantation Minimum Wage: Mula P385 hanggang P520
Minimum na Sahod ng Plantasyon: Mula P385 hanggang P479
Rehiy"&amp;"on IV-B (MIMAROPA):
Numero ng Wage Order: RB-MIMAROPA-11
Petsa ng Pag-isyu: Oktubre 24, 2023
Petsa ng Pagkabisa: Disyembre 7, 2023
Non-Plantation at Plantation Minimum Wage: Mula P369 hanggang P395
Rehiyon V:
Numero ng Wage Order: V-21
Petsa ng Pag-isyu"&amp;": Oktubre 23, 2023
Petsa ng Pagkabisa: Disyembre 1, 2023
Non-Plantation at Plantation Minimum Wage: P395
Rehiyon VI:
Numero ng Wage Order: RBVI-27
Petsa ng Pag-isyu: Oktubre 16, 2023
Petsa ng Pagkabisa: Nobyembre 16, 2023
Non-Plantation Minimum Wage: Mul"&amp;"a P450 hanggang P480
Minimum na Sahod ng Plantasyon: P440
Rehiyon VII:
Numero ng Wage Order: ROVII-24
Petsa ng Pag-isyu: Setyembre 5, 2023
Petsa ng Pagkabisa: Oktubre 1, 2023
Non-Plantation Minimum Wage: Mula P420 hanggang P468
Minimum na Sahod ng Planta"&amp;"syon: Mula P415 hanggang P458
Rehiyon VIII:
Numero ng Wage Order: VIII-23
Petsa ng Pag-isyu: Nobyembre 6, 2023
Petsa ng Pagkabisa: Nobyembre 30, 2023
Non-Plantation Minimum Wage: P405
Minimum na Sahod sa Plantasyon: P375
Rehiyon IX:
Numero ng Wage Ord"&amp;"er: RX-22
Petsa ng Pag-isyu: Disyembre 21, 2023
Petsa ng Pagkabisa: Enero 11, 2024
Non-Plantation Minimum Wage: Mula P413 hanggang P428
Minimum na Sahod ng Plantasyon: Mula P401 hanggang P416
Rehiyon X:
Numero ng Wage Order: XI-21
Petsa ng Pag-isyu: Mayo"&amp;" 18, 2022
Petsa ng Pagkabisa: Hunyo 19, 2022
Non-Plantation Minimum Wage: P443
Minimum na Sahod sa Plantasyon: P438
Rehiyon XI:
Numero ng Wage Order: XII-23
Petsa ng Pag-isyu: Setyembre 21, 2023
Petsa ng Pagkabisa: Oktubre 16, 2023
Non-Plantation Minimum"&amp;" Wage: P403
Minimum na Sahod ng Plantasyon: P382
Rehiyon XIII (CARAGA):
Numero ng Wage Order: RXIII-18
Petsa ng Pag-isyu: Disyembre 5, 2023
Petsa ng Pagkabisa: Enero 1, 2024
Non-Plantation Minimum Wage: P370
Minimum na Sahod ng Plantasyon: P370
Autonomou"&amp;"s Region in Muslim Mindanao (BARMM):
Wage Order Number: BARMM-03
Petsa ng Pag-isyu: Pebrero 7, 2024
Petsa ng Pagkabisa: Pebrero 28, 2024
Non-Plantation Minimum Wage: Mula P336 hanggang P361
Minimum na Sahod ng Plantasyon: Mula P316 hanggang P336
Ang min"&amp;"imum na sahod sa Pilipinas ay nakasalalay sa rehiyon. Para sa Metro Manila, ang minimum na sahod ay PHP 537.00 ($10.24) bawat araw. Ang average na minimum na sahod para sa buong bansa ay PHP 343.63 ($6.22) bawat araw.")</f>
        <v>National Capital Region (NCR):
Numero ng Wage Order: NCR-24
Petsa ng Pag-isyu: Hunyo 26, 2023
Petsa ng Pagkabisa: Hulyo 16, 2023
Non-Plantation Minimum Wage: Mula P573 hanggang P610
Minimum na Sahod ng Plantasyon: P573
Cordillera Administrative Region (CAR):
Numero ng Wage Order: CAR-22
Petsa ng Pag-isyu: Nobyembre 6, 2023
Petsa ng Pagkabisa: Disyembre 5, 2023
Non-Plantation at Plantation Minimum Wage: P430
Rehiyon I:
Numero ng Wage Order: RB 1-22
Petsa ng Pag-isyu: Oktubre 10, 2023
Petsa ng Pagkabisa: Nobyembre 6, 2023
Non-Plantation Minimum Wage: Mula P402 hanggang P435
Minimum na Sahod ng Plantasyon: P402
Rehiyon II:
Numero ng Wage Order: RTWPB 2-22
Petsa ng Pag-isyu: Setyembre 21, 2023
Petsa ng Pagkabisa: Oktubre 16, 2023
Non-Plantation Minimum Wage: P435
Minimum na Sahod ng Plantasyon: P415
Rehiyon III:
Numero ng Wage Order: RBIII-24
Petsa ng Pag-isyu: Setyembre 19, 2023
Petsa ng Pagkabisa: Oktubre 16, 2023
Non-Plantation Minimum Wage: Mula P449 hanggang P500
Minimum na Sahod ng Plantasyon: Mula P434 hanggang P470
Rehiyon IV-A:
Numero ng Wage Order: IVA-20
Petsa ng Pag-isyu: Setyembre 1, 2023
Petsa ng Pagkabisa: Setyembre 24, 2023
Non-Plantation Minimum Wage: Mula P385 hanggang P520
Minimum na Sahod ng Plantasyon: Mula P385 hanggang P479
Rehiyon IV-B (MIMAROPA):
Numero ng Wage Order: RB-MIMAROPA-11
Petsa ng Pag-isyu: Oktubre 24, 2023
Petsa ng Pagkabisa: Disyembre 7, 2023
Non-Plantation at Plantation Minimum Wage: Mula P369 hanggang P395
Rehiyon V:
Numero ng Wage Order: V-21
Petsa ng Pag-isyu: Oktubre 23, 2023
Petsa ng Pagkabisa: Disyembre 1, 2023
Non-Plantation at Plantation Minimum Wage: P395
Rehiyon VI:
Numero ng Wage Order: RBVI-27
Petsa ng Pag-isyu: Oktubre 16, 2023
Petsa ng Pagkabisa: Nobyembre 16, 2023
Non-Plantation Minimum Wage: Mula P450 hanggang P480
Minimum na Sahod ng Plantasyon: P440
Rehiyon VII:
Numero ng Wage Order: ROVII-24
Petsa ng Pag-isyu: Setyembre 5, 2023
Petsa ng Pagkabisa: Oktubre 1, 2023
Non-Plantation Minimum Wage: Mula P420 hanggang P468
Minimum na Sahod ng Plantasyon: Mula P415 hanggang P458
Rehiyon VIII:
Numero ng Wage Order: VIII-23
Petsa ng Pag-isyu: Nobyembre 6, 2023
Petsa ng Pagkabisa: Nobyembre 30, 2023
Non-Plantation Minimum Wage: P405
Minimum na Sahod sa Plantasyon: P375
Rehiyon IX:
Numero ng Wage Order: RX-22
Petsa ng Pag-isyu: Disyembre 21, 2023
Petsa ng Pagkabisa: Enero 11, 2024
Non-Plantation Minimum Wage: Mula P413 hanggang P428
Minimum na Sahod ng Plantasyon: Mula P401 hanggang P416
Rehiyon X:
Numero ng Wage Order: XI-21
Petsa ng Pag-isyu: Mayo 18, 2022
Petsa ng Pagkabisa: Hunyo 19, 2022
Non-Plantation Minimum Wage: P443
Minimum na Sahod sa Plantasyon: P438
Rehiyon XI:
Numero ng Wage Order: XII-23
Petsa ng Pag-isyu: Setyembre 21, 2023
Petsa ng Pagkabisa: Oktubre 16, 2023
Non-Plantation Minimum Wage: P403
Minimum na Sahod ng Plantasyon: P382
Rehiyon XIII (CARAGA):
Numero ng Wage Order: RXIII-18
Petsa ng Pag-isyu: Disyembre 5, 2023
Petsa ng Pagkabisa: Enero 1, 2024
Non-Plantation Minimum Wage: P370
Minimum na Sahod ng Plantasyon: P370
Autonomous Region in Muslim Mindanao (BARMM):
Wage Order Number: BARMM-03
Petsa ng Pag-isyu: Pebrero 7, 2024
Petsa ng Pagkabisa: Pebrero 28, 2024
Non-Plantation Minimum Wage: Mula P336 hanggang P361
Minimum na Sahod ng Plantasyon: Mula P316 hanggang P336
Ang minimum na sahod sa Pilipinas ay nakasalalay sa rehiyon. Para sa Metro Manila, ang minimum na sahod ay PHP 537.00 ($10.24) bawat araw. Ang average na minimum na sahod para sa buong bansa ay PHP 343.63 ($6.22) bawat araw.</v>
      </c>
      <c r="F1361" s="2">
        <f t="shared" si="1"/>
        <v>1</v>
      </c>
      <c r="G1361" s="2"/>
      <c r="H1361" s="2"/>
      <c r="I1361" s="2"/>
      <c r="J1361" s="2"/>
      <c r="K1361" s="2"/>
      <c r="L1361" s="2"/>
      <c r="M1361" s="2"/>
      <c r="N1361" s="2"/>
      <c r="O1361" s="2"/>
      <c r="P1361" s="2"/>
      <c r="Q1361" s="2"/>
      <c r="R1361" s="2"/>
      <c r="S1361" s="2"/>
      <c r="T1361" s="2"/>
      <c r="U1361" s="2"/>
      <c r="V1361" s="2"/>
      <c r="W1361" s="2"/>
      <c r="X1361" s="2"/>
      <c r="Y1361" s="2"/>
      <c r="Z1361" s="2"/>
      <c r="AA1361" s="2"/>
    </row>
    <row r="1362">
      <c r="A1362" s="1" t="s">
        <v>3857</v>
      </c>
      <c r="B1362" s="1" t="s">
        <v>3890</v>
      </c>
      <c r="C1362" s="1" t="s">
        <v>3891</v>
      </c>
      <c r="D1362" s="2" t="str">
        <f>IFERROR(__xludf.DUMMYFUNCTION("GOOGLETRANSLATE(B1362, ""en"", ""TL"")"),"Ilang araw ng taunang bakasyon ang karapat-dapat sa mga empleyado?")</f>
        <v>Ilang araw ng taunang bakasyon ang karapat-dapat sa mga empleyado?</v>
      </c>
      <c r="E1362" s="2" t="str">
        <f>IFERROR(__xludf.DUMMYFUNCTION("GOOGLETRANSLATE(C1362, ""en"", ""TL"")"),"Ang taunang bakasyon sa Pilipinas ay 15 araw.
Bukod pa rito, ang bawat empleyado ay may karapatan sa kanyang 11 araw na bayad na bakasyon.
Ang isang empleyado ay may karapatan sa kanyang isang buwan ng taunang bayad na bakasyon para sa bawat taon ng patul"&amp;"oy na pagtatrabaho.
Pagkatapos ng 10 taon ng serbisyo, ang taunang bayad na bakasyon ay tataas ng isang araw bawat taon.")</f>
        <v>Ang taunang bakasyon sa Pilipinas ay 15 araw.
Bukod pa rito, ang bawat empleyado ay may karapatan sa kanyang 11 araw na bayad na bakasyon.
Ang isang empleyado ay may karapatan sa kanyang isang buwan ng taunang bayad na bakasyon para sa bawat taon ng patuloy na pagtatrabaho.
Pagkatapos ng 10 taon ng serbisyo, ang taunang bayad na bakasyon ay tataas ng isang araw bawat taon.</v>
      </c>
      <c r="F1362" s="2">
        <f t="shared" si="1"/>
        <v>0</v>
      </c>
      <c r="G1362" s="2"/>
      <c r="H1362" s="2"/>
      <c r="I1362" s="2"/>
      <c r="J1362" s="2"/>
      <c r="K1362" s="2"/>
      <c r="L1362" s="2"/>
      <c r="M1362" s="2"/>
      <c r="N1362" s="2"/>
      <c r="O1362" s="2"/>
      <c r="P1362" s="2"/>
      <c r="Q1362" s="2"/>
      <c r="R1362" s="2"/>
      <c r="S1362" s="2"/>
      <c r="T1362" s="2"/>
      <c r="U1362" s="2"/>
      <c r="V1362" s="2"/>
      <c r="W1362" s="2"/>
      <c r="X1362" s="2"/>
      <c r="Y1362" s="2"/>
      <c r="Z1362" s="2"/>
      <c r="AA1362" s="2"/>
    </row>
    <row r="1363">
      <c r="A1363" s="1" t="s">
        <v>3857</v>
      </c>
      <c r="B1363" s="1" t="s">
        <v>3892</v>
      </c>
      <c r="C1363" s="1" t="s">
        <v>3893</v>
      </c>
      <c r="D1363" s="2" t="str">
        <f>IFERROR(__xludf.DUMMYFUNCTION("GOOGLETRANSLATE(B1363, ""en"", ""TL"")"),"Ano ang mga kinakailangan sa pagkuha ng mga empleyado sa Pilipinas?")</f>
        <v>Ano ang mga kinakailangan sa pagkuha ng mga empleyado sa Pilipinas?</v>
      </c>
      <c r="E1363" s="2" t="str">
        <f>IFERROR(__xludf.DUMMYFUNCTION("GOOGLETRANSLATE(C1363, ""en"", ""TL"")"),"Pagpaparehistro ng pangalan ng negosyo sa Securities and Exchange Commission (SEC) 1 Pagkuha ng Taxpayer Identification Number (TIN) at pagpaparehistro sa Bureau of Internal Revenue (BIR) Pagsunod sa mga batas sa paggawa ng Pilipinas na nagre-regulate sa "&amp;"pagkuha at pagpapaalis sa mga kondisyon sa pagtatrabaho; Mga benepisyo ng empleyado, mga unyon sa paggawa, at kolektibong pakikipagkasundo.
Pagsasagawa ng mga pagsusuri sa background at pagsunod sa mga batas laban sa diskriminasyon Pagbibigay ng dokumenta"&amp;"syon ng pre-employment gaya ng: hal.
medical certificate, NBI clearance, birth certificate, atbp.")</f>
        <v>Pagpaparehistro ng pangalan ng negosyo sa Securities and Exchange Commission (SEC) 1 Pagkuha ng Taxpayer Identification Number (TIN) at pagpaparehistro sa Bureau of Internal Revenue (BIR) Pagsunod sa mga batas sa paggawa ng Pilipinas na nagre-regulate sa pagkuha at pagpapaalis sa mga kondisyon sa pagtatrabaho; Mga benepisyo ng empleyado, mga unyon sa paggawa, at kolektibong pakikipagkasundo.
Pagsasagawa ng mga pagsusuri sa background at pagsunod sa mga batas laban sa diskriminasyon Pagbibigay ng dokumentasyon ng pre-employment gaya ng: hal.
medical certificate, NBI clearance, birth certificate, atbp.</v>
      </c>
      <c r="F1363" s="2">
        <f t="shared" si="1"/>
        <v>0</v>
      </c>
      <c r="G1363" s="2"/>
      <c r="H1363" s="2"/>
      <c r="I1363" s="2"/>
      <c r="J1363" s="2"/>
      <c r="K1363" s="2"/>
      <c r="L1363" s="2"/>
      <c r="M1363" s="2"/>
      <c r="N1363" s="2"/>
      <c r="O1363" s="2"/>
      <c r="P1363" s="2"/>
      <c r="Q1363" s="2"/>
      <c r="R1363" s="2"/>
      <c r="S1363" s="2"/>
      <c r="T1363" s="2"/>
      <c r="U1363" s="2"/>
      <c r="V1363" s="2"/>
      <c r="W1363" s="2"/>
      <c r="X1363" s="2"/>
      <c r="Y1363" s="2"/>
      <c r="Z1363" s="2"/>
      <c r="AA1363" s="2"/>
    </row>
    <row r="1364">
      <c r="A1364" s="1" t="s">
        <v>3857</v>
      </c>
      <c r="B1364" s="1" t="s">
        <v>3894</v>
      </c>
      <c r="C1364" s="1" t="s">
        <v>3895</v>
      </c>
      <c r="D1364" s="2" t="str">
        <f>IFERROR(__xludf.DUMMYFUNCTION("GOOGLETRANSLATE(B1364, ""en"", ""TL"")"),"Ano ang mga pangunahing probisyon ng Labor Code of the Philippines?")</f>
        <v>Ano ang mga pangunahing probisyon ng Labor Code of the Philippines?</v>
      </c>
      <c r="E1364" s="2" t="str">
        <f>IFERROR(__xludf.DUMMYFUNCTION("GOOGLETRANSLATE(C1364, ""en"", ""TL"")"),"Mahahalagang Punto Ang Batas sa Paggawa ay isang batas na kumokontrol sa mga relasyon sa paggawa, kabilang ang mga dayuhang manggagawa.
Ang mga employer at kanilang mga empleyado ay kinakailangang sumali at mag-ambag sa Social Security System “SSS”, Housi"&amp;"ng Development Mutual Fund, at Health Insurance Corporation (PhilHealth).")</f>
        <v>Mahahalagang Punto Ang Batas sa Paggawa ay isang batas na kumokontrol sa mga relasyon sa paggawa, kabilang ang mga dayuhang manggagawa.
Ang mga employer at kanilang mga empleyado ay kinakailangang sumali at mag-ambag sa Social Security System “SSS”, Housing Development Mutual Fund, at Health Insurance Corporation (PhilHealth).</v>
      </c>
      <c r="F1364" s="2">
        <f t="shared" si="1"/>
        <v>0</v>
      </c>
      <c r="G1364" s="2"/>
      <c r="H1364" s="2"/>
      <c r="I1364" s="2"/>
      <c r="J1364" s="2"/>
      <c r="K1364" s="2"/>
      <c r="L1364" s="2"/>
      <c r="M1364" s="2"/>
      <c r="N1364" s="2"/>
      <c r="O1364" s="2"/>
      <c r="P1364" s="2"/>
      <c r="Q1364" s="2"/>
      <c r="R1364" s="2"/>
      <c r="S1364" s="2"/>
      <c r="T1364" s="2"/>
      <c r="U1364" s="2"/>
      <c r="V1364" s="2"/>
      <c r="W1364" s="2"/>
      <c r="X1364" s="2"/>
      <c r="Y1364" s="2"/>
      <c r="Z1364" s="2"/>
      <c r="AA1364" s="2"/>
    </row>
    <row r="1365">
      <c r="A1365" s="1" t="s">
        <v>3857</v>
      </c>
      <c r="B1365" s="1" t="s">
        <v>3896</v>
      </c>
      <c r="C1365" s="1" t="s">
        <v>3897</v>
      </c>
      <c r="D1365" s="2" t="str">
        <f>IFERROR(__xludf.DUMMYFUNCTION("GOOGLETRANSLATE(B1365, ""en"", ""TL"")"),"Maaari bang tanggalin ng employer ang isang empleyado dahil sa mahinang pagganap?")</f>
        <v>Maaari bang tanggalin ng employer ang isang empleyado dahil sa mahinang pagganap?</v>
      </c>
      <c r="E1365" s="2" t="str">
        <f>IFERROR(__xludf.DUMMYFUNCTION("GOOGLETRANSLATE(C1365, ""en"", ""TL"")"),"Sa Pilipinas, maaaring tanggalin ng employer ang isang empleyado para sa makatarungang dahilan o makatarungang dahilan.
Ang dahilan lamang ay tumutukoy sa isang dahilan para sa pagpapaalis na nauugnay sa kapabayaan o maling pag-uugali ng empleyado, samant"&amp;"alang ang dahilan lamang ay tumutukoy sa isang dahilan para sa pagpapaalis na nauugnay sa mga aktibidad sa negosyo ng kumpanya.")</f>
        <v>Sa Pilipinas, maaaring tanggalin ng employer ang isang empleyado para sa makatarungang dahilan o makatarungang dahilan.
Ang dahilan lamang ay tumutukoy sa isang dahilan para sa pagpapaalis na nauugnay sa kapabayaan o maling pag-uugali ng empleyado, samantalang ang dahilan lamang ay tumutukoy sa isang dahilan para sa pagpapaalis na nauugnay sa mga aktibidad sa negosyo ng kumpanya.</v>
      </c>
      <c r="F1365" s="2">
        <f t="shared" si="1"/>
        <v>0</v>
      </c>
      <c r="G1365" s="2"/>
      <c r="H1365" s="2"/>
      <c r="I1365" s="2"/>
      <c r="J1365" s="2"/>
      <c r="K1365" s="2"/>
      <c r="L1365" s="2"/>
      <c r="M1365" s="2"/>
      <c r="N1365" s="2"/>
      <c r="O1365" s="2"/>
      <c r="P1365" s="2"/>
      <c r="Q1365" s="2"/>
      <c r="R1365" s="2"/>
      <c r="S1365" s="2"/>
      <c r="T1365" s="2"/>
      <c r="U1365" s="2"/>
      <c r="V1365" s="2"/>
      <c r="W1365" s="2"/>
      <c r="X1365" s="2"/>
      <c r="Y1365" s="2"/>
      <c r="Z1365" s="2"/>
      <c r="AA1365" s="2"/>
    </row>
    <row r="1366">
      <c r="A1366" s="1" t="s">
        <v>3857</v>
      </c>
      <c r="B1366" s="1" t="s">
        <v>3898</v>
      </c>
      <c r="C1366" s="1" t="s">
        <v>3899</v>
      </c>
      <c r="D1366" s="2" t="str">
        <f>IFERROR(__xludf.DUMMYFUNCTION("GOOGLETRANSLATE(B1366, ""en"", ""TL"")"),"Ang mga empleyado ba ay may karapatan sa overtime pay? Kung gayon, magkano?")</f>
        <v>Ang mga empleyado ba ay may karapatan sa overtime pay? Kung gayon, magkano?</v>
      </c>
      <c r="E1366" s="2" t="str">
        <f>IFERROR(__xludf.DUMMYFUNCTION("GOOGLETRANSLATE(C1366, ""en"", ""TL"")"),"Ito ay katumbas ng karagdagang 25% ng dapat mong makuha kada oras.
Halimbawa, ang mga empleyado ay binabayaran ng P100 kada oras.
Kung nagtatrabaho ka ng higit sa 8 oras, dapat kang tumanggap ng 125 pesos sa halip na 100 pesos.
atbp.
Gayunpaman, ang batas"&amp;" ay may mga espesyal na regulasyon kapag pinipilit ang mga empleyado na magtrabaho sa mga holiday at pampublikong holiday.")</f>
        <v>Ito ay katumbas ng karagdagang 25% ng dapat mong makuha kada oras.
Halimbawa, ang mga empleyado ay binabayaran ng P100 kada oras.
Kung nagtatrabaho ka ng higit sa 8 oras, dapat kang tumanggap ng 125 pesos sa halip na 100 pesos.
atbp.
Gayunpaman, ang batas ay may mga espesyal na regulasyon kapag pinipilit ang mga empleyado na magtrabaho sa mga holiday at pampublikong holiday.</v>
      </c>
      <c r="F1366" s="2">
        <f t="shared" si="1"/>
        <v>0</v>
      </c>
      <c r="G1366" s="2"/>
      <c r="H1366" s="2"/>
      <c r="I1366" s="2"/>
      <c r="J1366" s="2"/>
      <c r="K1366" s="2"/>
      <c r="L1366" s="2"/>
      <c r="M1366" s="2"/>
      <c r="N1366" s="2"/>
      <c r="O1366" s="2"/>
      <c r="P1366" s="2"/>
      <c r="Q1366" s="2"/>
      <c r="R1366" s="2"/>
      <c r="S1366" s="2"/>
      <c r="T1366" s="2"/>
      <c r="U1366" s="2"/>
      <c r="V1366" s="2"/>
      <c r="W1366" s="2"/>
      <c r="X1366" s="2"/>
      <c r="Y1366" s="2"/>
      <c r="Z1366" s="2"/>
      <c r="AA1366" s="2"/>
    </row>
    <row r="1367">
      <c r="A1367" s="1" t="s">
        <v>3857</v>
      </c>
      <c r="B1367" s="1" t="s">
        <v>3900</v>
      </c>
      <c r="C1367" s="1" t="s">
        <v>3901</v>
      </c>
      <c r="D1367" s="2" t="str">
        <f>IFERROR(__xludf.DUMMYFUNCTION("GOOGLETRANSLATE(B1367, ""en"", ""TL"")"),"Ano ang mga obligasyon ng mga employer tungkol sa kaligtasan sa lugar ng trabaho?")</f>
        <v>Ano ang mga obligasyon ng mga employer tungkol sa kaligtasan sa lugar ng trabaho?</v>
      </c>
      <c r="E1367" s="2" t="str">
        <f>IFERROR(__xludf.DUMMYFUNCTION("GOOGLETRANSLATE(C1367, ""en"", ""TL"")"),"Legal na Buod: Ang batas ng Pilipinas, sa pamamagitan ng mga batas sa paggawa at mga pamantayan sa kaligtasan at kalusugan sa trabaho, ay nag-aatas sa mga employer na magbigay ng ligtas at malusog na kondisyon sa pagtatrabaho upang maiwasan ang mga akside"&amp;"nte at sakit para sa kanilang mga empleyado.
Kabilang dito ang pagtiyak na walang mga panganib sa lugar ng trabaho na maaaring magdulot ng pinsala, tulad ng kagat ng hayop.")</f>
        <v>Legal na Buod: Ang batas ng Pilipinas, sa pamamagitan ng mga batas sa paggawa at mga pamantayan sa kaligtasan at kalusugan sa trabaho, ay nag-aatas sa mga employer na magbigay ng ligtas at malusog na kondisyon sa pagtatrabaho upang maiwasan ang mga aksidente at sakit para sa kanilang mga empleyado.
Kabilang dito ang pagtiyak na walang mga panganib sa lugar ng trabaho na maaaring magdulot ng pinsala, tulad ng kagat ng hayop.</v>
      </c>
      <c r="F1367" s="2">
        <f t="shared" si="1"/>
        <v>0</v>
      </c>
      <c r="G1367" s="2"/>
      <c r="H1367" s="2"/>
      <c r="I1367" s="2"/>
      <c r="J1367" s="2"/>
      <c r="K1367" s="2"/>
      <c r="L1367" s="2"/>
      <c r="M1367" s="2"/>
      <c r="N1367" s="2"/>
      <c r="O1367" s="2"/>
      <c r="P1367" s="2"/>
      <c r="Q1367" s="2"/>
      <c r="R1367" s="2"/>
      <c r="S1367" s="2"/>
      <c r="T1367" s="2"/>
      <c r="U1367" s="2"/>
      <c r="V1367" s="2"/>
      <c r="W1367" s="2"/>
      <c r="X1367" s="2"/>
      <c r="Y1367" s="2"/>
      <c r="Z1367" s="2"/>
      <c r="AA1367" s="2"/>
    </row>
    <row r="1368">
      <c r="A1368" s="1" t="s">
        <v>3857</v>
      </c>
      <c r="B1368" s="1" t="s">
        <v>3902</v>
      </c>
      <c r="C1368" s="1" t="s">
        <v>3903</v>
      </c>
      <c r="D1368" s="2" t="str">
        <f>IFERROR(__xludf.DUMMYFUNCTION("GOOGLETRANSLATE(B1368, ""en"", ""TL"")"),"Ano ang probationary period para sa mga bagong hire?")</f>
        <v>Ano ang probationary period para sa mga bagong hire?</v>
      </c>
      <c r="E1368" s="2" t="str">
        <f>IFERROR(__xludf.DUMMYFUNCTION("GOOGLETRANSLATE(C1368, ""en"", ""TL"")"),"Sa Pilipinas, ang panahon ng pagsubok para sa mga bagong empleyado ay hanggang anim na buwan, ayon sa nakasaad sa Article 281 ng Labor Code.
Nalalapat ito sa lahat ng bagong empleyado maliban kung mayroong espesyal na kontrata sa pagsasanay na nagbibigay "&amp;"ng mas mahabang panahon ng pagsasanay.
Mayroong ilang mahahalagang punto na dapat tandaan: Dapat ipaalam ng mga employer sa mga empleyado ang pamantayan para sa permanenteng trabaho sa panahon ng proseso ng recruitment.
Sa pagpapasya ng employer, ang pana"&amp;"hon ng pagsubok ay maaaring mas mababa sa 6 na buwan.
Kung ang isang empleyado ay nagtatrabaho nang higit sa kanyang anim na buwan nang walang abiso, siya ay awtomatikong itinuturing na isang regular na empleyado, na nagpapataas ng seguridad sa trabaho.
N"&amp;"ilinaw ng Korte Suprema na ang 180 araw ng kalendaryo ay katumbas ng anim na buwang panahon.
Mahalagang tandaan na ang mga empleyado sa Pilipinas ay may seguridad sa trabaho kahit sa panahon ng kanilang pagsubok at hindi maaaring tanggalin nang walang mak"&amp;"atarungang dahilan.")</f>
        <v>Sa Pilipinas, ang panahon ng pagsubok para sa mga bagong empleyado ay hanggang anim na buwan, ayon sa nakasaad sa Article 281 ng Labor Code.
Nalalapat ito sa lahat ng bagong empleyado maliban kung mayroong espesyal na kontrata sa pagsasanay na nagbibigay ng mas mahabang panahon ng pagsasanay.
Mayroong ilang mahahalagang punto na dapat tandaan: Dapat ipaalam ng mga employer sa mga empleyado ang pamantayan para sa permanenteng trabaho sa panahon ng proseso ng recruitment.
Sa pagpapasya ng employer, ang panahon ng pagsubok ay maaaring mas mababa sa 6 na buwan.
Kung ang isang empleyado ay nagtatrabaho nang higit sa kanyang anim na buwan nang walang abiso, siya ay awtomatikong itinuturing na isang regular na empleyado, na nagpapataas ng seguridad sa trabaho.
Nilinaw ng Korte Suprema na ang 180 araw ng kalendaryo ay katumbas ng anim na buwang panahon.
Mahalagang tandaan na ang mga empleyado sa Pilipinas ay may seguridad sa trabaho kahit sa panahon ng kanilang pagsubok at hindi maaaring tanggalin nang walang makatarungang dahilan.</v>
      </c>
      <c r="F1368" s="2">
        <f t="shared" si="1"/>
        <v>0</v>
      </c>
      <c r="G1368" s="2"/>
      <c r="H1368" s="2"/>
      <c r="I1368" s="2"/>
      <c r="J1368" s="2"/>
      <c r="K1368" s="2"/>
      <c r="L1368" s="2"/>
      <c r="M1368" s="2"/>
      <c r="N1368" s="2"/>
      <c r="O1368" s="2"/>
      <c r="P1368" s="2"/>
      <c r="Q1368" s="2"/>
      <c r="R1368" s="2"/>
      <c r="S1368" s="2"/>
      <c r="T1368" s="2"/>
      <c r="U1368" s="2"/>
      <c r="V1368" s="2"/>
      <c r="W1368" s="2"/>
      <c r="X1368" s="2"/>
      <c r="Y1368" s="2"/>
      <c r="Z1368" s="2"/>
      <c r="AA1368" s="2"/>
    </row>
    <row r="1369">
      <c r="A1369" s="1" t="s">
        <v>3857</v>
      </c>
      <c r="B1369" s="1" t="s">
        <v>3904</v>
      </c>
      <c r="C1369" s="1" t="s">
        <v>3905</v>
      </c>
      <c r="D1369" s="2" t="str">
        <f>IFERROR(__xludf.DUMMYFUNCTION("GOOGLETRANSLATE(B1369, ""en"", ""TL"")"),"Ano ang mga karapatan ng mga empleyado tungkol sa sick leave?")</f>
        <v>Ano ang mga karapatan ng mga empleyado tungkol sa sick leave?</v>
      </c>
      <c r="E1369" s="2" t="str">
        <f>IFERROR(__xludf.DUMMYFUNCTION("GOOGLETRANSLATE(C1369, ""en"", ""TL"")"),"Ayon sa batas sa paggawa, lahat ng employer sa Pilipinas ay kinakailangang magbigay sa kanilang mga empleyado ng limang araw na may bayad na sick leave.
Maaaring gamitin ng mga empleyado ang bayad na bakasyon na ito para magpatingin sa doktor o dentista, "&amp;"o para gumaling mula sa isang sakit, aksidente, o pinsala.")</f>
        <v>Ayon sa batas sa paggawa, lahat ng employer sa Pilipinas ay kinakailangang magbigay sa kanilang mga empleyado ng limang araw na may bayad na sick leave.
Maaaring gamitin ng mga empleyado ang bayad na bakasyon na ito para magpatingin sa doktor o dentista, o para gumaling mula sa isang sakit, aksidente, o pinsala.</v>
      </c>
      <c r="F1369" s="2">
        <f t="shared" si="1"/>
        <v>0</v>
      </c>
      <c r="G1369" s="2"/>
      <c r="H1369" s="2"/>
      <c r="I1369" s="2"/>
      <c r="J1369" s="2"/>
      <c r="K1369" s="2"/>
      <c r="L1369" s="2"/>
      <c r="M1369" s="2"/>
      <c r="N1369" s="2"/>
      <c r="O1369" s="2"/>
      <c r="P1369" s="2"/>
      <c r="Q1369" s="2"/>
      <c r="R1369" s="2"/>
      <c r="S1369" s="2"/>
      <c r="T1369" s="2"/>
      <c r="U1369" s="2"/>
      <c r="V1369" s="2"/>
      <c r="W1369" s="2"/>
      <c r="X1369" s="2"/>
      <c r="Y1369" s="2"/>
      <c r="Z1369" s="2"/>
      <c r="AA1369" s="2"/>
    </row>
    <row r="1370">
      <c r="A1370" s="1" t="s">
        <v>3857</v>
      </c>
      <c r="B1370" s="1" t="s">
        <v>3906</v>
      </c>
      <c r="C1370" s="1" t="s">
        <v>3907</v>
      </c>
      <c r="D1370" s="2" t="str">
        <f>IFERROR(__xludf.DUMMYFUNCTION("GOOGLETRANSLATE(B1370, ""en"", ""TL"")"),"Maaari bang pigilin ng employer ang suweldo ng isang empleyado? Sa ilalim ng anong mga pangyayari?")</f>
        <v>Maaari bang pigilin ng employer ang suweldo ng isang empleyado? Sa ilalim ng anong mga pangyayari?</v>
      </c>
      <c r="E1370" s="2" t="str">
        <f>IFERROR(__xludf.DUMMYFUNCTION("GOOGLETRANSLATE(C1370, ""en"", ""TL"")"),"Oo.
Ang isang empleyado ay naghain ng alternatibong income tax return kung siya ay nakatanggap ng purong kita ng kompensasyon (anuman ang halaga) mula sa isang employer sa Pilipinas sa taon ng buwis at ang halaga ng buwis na babayaran ng empleyado sa kata"&amp;"pusan ng taon ay: Ikaw ay may karapatan.
Ang halaga ng buwis na pinigil ng employer.")</f>
        <v>Oo.
Ang isang empleyado ay naghain ng alternatibong income tax return kung siya ay nakatanggap ng purong kita ng kompensasyon (anuman ang halaga) mula sa isang employer sa Pilipinas sa taon ng buwis at ang halaga ng buwis na babayaran ng empleyado sa katapusan ng taon ay: Ikaw ay may karapatan.
Ang halaga ng buwis na pinigil ng employer.</v>
      </c>
      <c r="F1370" s="2">
        <f t="shared" si="1"/>
        <v>0</v>
      </c>
      <c r="G1370" s="2"/>
      <c r="H1370" s="2"/>
      <c r="I1370" s="2"/>
      <c r="J1370" s="2"/>
      <c r="K1370" s="2"/>
      <c r="L1370" s="2"/>
      <c r="M1370" s="2"/>
      <c r="N1370" s="2"/>
      <c r="O1370" s="2"/>
      <c r="P1370" s="2"/>
      <c r="Q1370" s="2"/>
      <c r="R1370" s="2"/>
      <c r="S1370" s="2"/>
      <c r="T1370" s="2"/>
      <c r="U1370" s="2"/>
      <c r="V1370" s="2"/>
      <c r="W1370" s="2"/>
      <c r="X1370" s="2"/>
      <c r="Y1370" s="2"/>
      <c r="Z1370" s="2"/>
      <c r="AA1370" s="2"/>
    </row>
    <row r="1371">
      <c r="A1371" s="1" t="s">
        <v>3857</v>
      </c>
      <c r="B1371" s="1" t="s">
        <v>3908</v>
      </c>
      <c r="C1371" s="1" t="s">
        <v>3909</v>
      </c>
      <c r="D1371" s="2" t="str">
        <f>IFERROR(__xludf.DUMMYFUNCTION("GOOGLETRANSLATE(B1371, ""en"", ""TL"")"),"Ano ang mga legal na implikasyon kapag ang isang tagapag-empleyo ay patuloy na naantala ang mga pagbabayad ng suweldo lampas sa mga itinalagang petsa?")</f>
        <v>Ano ang mga legal na implikasyon kapag ang isang tagapag-empleyo ay patuloy na naantala ang mga pagbabayad ng suweldo lampas sa mga itinalagang petsa?</v>
      </c>
      <c r="E1371" s="2" t="str">
        <f>IFERROR(__xludf.DUMMYFUNCTION("GOOGLETRANSLATE(C1371, ""en"", ""TL"")"),"Sa Pilipinas, ang patuloy na pagkaantala sa mga pagbabayad ng suweldo na lampas sa itinakdang mga deadline ay may malubhang legal na kahihinatnan para sa parehong mga employer at empleyado.
Narito ang isang paghahati-hati ng mga pangunahing punto: Para sa"&amp;" mga empleyado: Mga paglabag sa batas sa paggawa: Ang Artikulo 100 ng Batas sa Paggawa ay nag-aatas sa mga employer na magbayad ng sahod sa napagkasunduang mga araw ng suweldo.
ako ay.
Ang mga permanenteng pagkaantala ay bumubuo ng isang paglabag sa panun"&amp;"tunang ito at maaaring isailalim sa legal na aksyon ang empleyado.
Karapatang magsampa ng karaingan: Ang mga empleyado ay maaaring magsampa ng karaingan laban sa kanilang employer sa National Conciliation and Mediation Board (NCMB) o sa Department of Labo"&amp;"r and Employment (DOLE).
Ang layunin ng prosesong ito ay lutasin ang isyu sa pamamagitan ng arbitrasyon o pamamagitan.
Monetary Claim: Kung ang conciliation o conciliation ay hindi matagumpay, ang isang empleyado ay maaaring maghain ng monetary claim sa D"&amp;"OLE para sa hindi nabayarang sahod, kabilang ang interes at iba pang mga parusa.
Bilang karagdagan, ang mga paghahabol para sa mga pinsala at kabayaran ay maaaring dalhin sa korte.
Pagtanggal para sa Makatarungang Dahilan: Ang patuloy na pagkaantala sa pa"&amp;"gbabayad ng sahod ay dapat ituring na isang malubhang paglabag sa obligasyon ng employer na wakasan ang trabaho ng empleyado para sa makatarungang dahilan at tumanggap ng severance pay at iba pang mga benepisyo.
Maaari mong gawin ito.
Para sa mga Employer"&amp;": Administrative Penalties: Maaaring magpataw ang DOLE ng mga administratibong parusa sa mga employer para sa mga paglabag sa mga batas sa paggawa.
Maaaring kabilang sa mga parusang ito ang mga multa at pagbawi ng mga lisensya sa negosyo.
Pananagutan sa K"&amp;"riminal: Sa matinding mga kaso, ang isang employer ay maaaring sumailalim sa mga kasong kriminal sa ilalim ng Artikulo 291 ng Labor Code para sa hindi pagbabayad ng sahod.
Pinsala sa Reputasyon: Ang patuloy na pagkaantala ay maaaring makapinsala sa reputa"&amp;"syon ng isang tagapag-empleyo at maging mahirap na maakit at mapanatili ang mga kwalipikadong empleyado.
Mga Karagdagang Punto: Dokumentasyon: Mahalaga para sa mga empleyado na mapanatili ang mga talaan ng mga pay stub, pay stub, o iba pang dokumentasyong"&amp;" sumusuporta sa napagkasunduan at aktwal na mga petsa ng pagbabayad (o hindi pagbabayad).
ay.
Ang mga dokumentong ito ay mahalaga para sa paghahain ng reklamo sa DOLE.
Humingi ng Legal na Payo: Kung ikaw ay isang empleyado na patuloy na nahaharap sa mga n"&amp;"aantalang pagbabayad ng sahod, mangyaring suriin ang iyong pagiging karapat-dapat upang maunawaan ang iyong mga partikular na karapatan at mga opsyon kapag nagsasagawa ng legal na aksyon.
Lubos naming inirerekumenda na kumunsulta ka sa isang abogado sa pa"&amp;"gtatrabaho.")</f>
        <v>Sa Pilipinas, ang patuloy na pagkaantala sa mga pagbabayad ng suweldo na lampas sa itinakdang mga deadline ay may malubhang legal na kahihinatnan para sa parehong mga employer at empleyado.
Narito ang isang paghahati-hati ng mga pangunahing punto: Para sa mga empleyado: Mga paglabag sa batas sa paggawa: Ang Artikulo 100 ng Batas sa Paggawa ay nag-aatas sa mga employer na magbayad ng sahod sa napagkasunduang mga araw ng suweldo.
ako ay.
Ang mga permanenteng pagkaantala ay bumubuo ng isang paglabag sa panuntunang ito at maaaring isailalim sa legal na aksyon ang empleyado.
Karapatang magsampa ng karaingan: Ang mga empleyado ay maaaring magsampa ng karaingan laban sa kanilang employer sa National Conciliation and Mediation Board (NCMB) o sa Department of Labor and Employment (DOLE).
Ang layunin ng prosesong ito ay lutasin ang isyu sa pamamagitan ng arbitrasyon o pamamagitan.
Monetary Claim: Kung ang conciliation o conciliation ay hindi matagumpay, ang isang empleyado ay maaaring maghain ng monetary claim sa DOLE para sa hindi nabayarang sahod, kabilang ang interes at iba pang mga parusa.
Bilang karagdagan, ang mga paghahabol para sa mga pinsala at kabayaran ay maaaring dalhin sa korte.
Pagtanggal para sa Makatarungang Dahilan: Ang patuloy na pagkaantala sa pagbabayad ng sahod ay dapat ituring na isang malubhang paglabag sa obligasyon ng employer na wakasan ang trabaho ng empleyado para sa makatarungang dahilan at tumanggap ng severance pay at iba pang mga benepisyo.
Maaari mong gawin ito.
Para sa mga Employer: Administrative Penalties: Maaaring magpataw ang DOLE ng mga administratibong parusa sa mga employer para sa mga paglabag sa mga batas sa paggawa.
Maaaring kabilang sa mga parusang ito ang mga multa at pagbawi ng mga lisensya sa negosyo.
Pananagutan sa Kriminal: Sa matinding mga kaso, ang isang employer ay maaaring sumailalim sa mga kasong kriminal sa ilalim ng Artikulo 291 ng Labor Code para sa hindi pagbabayad ng sahod.
Pinsala sa Reputasyon: Ang patuloy na pagkaantala ay maaaring makapinsala sa reputasyon ng isang tagapag-empleyo at maging mahirap na maakit at mapanatili ang mga kwalipikadong empleyado.
Mga Karagdagang Punto: Dokumentasyon: Mahalaga para sa mga empleyado na mapanatili ang mga talaan ng mga pay stub, pay stub, o iba pang dokumentasyong sumusuporta sa napagkasunduan at aktwal na mga petsa ng pagbabayad (o hindi pagbabayad).
ay.
Ang mga dokumentong ito ay mahalaga para sa paghahain ng reklamo sa DOLE.
Humingi ng Legal na Payo: Kung ikaw ay isang empleyado na patuloy na nahaharap sa mga naantalang pagbabayad ng sahod, mangyaring suriin ang iyong pagiging karapat-dapat upang maunawaan ang iyong mga partikular na karapatan at mga opsyon kapag nagsasagawa ng legal na aksyon.
Lubos naming inirerekumenda na kumunsulta ka sa isang abogado sa pagtatrabaho.</v>
      </c>
      <c r="F1371" s="2">
        <f t="shared" si="1"/>
        <v>0</v>
      </c>
      <c r="G1371" s="2"/>
      <c r="H1371" s="2"/>
      <c r="I1371" s="2"/>
      <c r="J1371" s="2"/>
      <c r="K1371" s="2"/>
      <c r="L1371" s="2"/>
      <c r="M1371" s="2"/>
      <c r="N1371" s="2"/>
      <c r="O1371" s="2"/>
      <c r="P1371" s="2"/>
      <c r="Q1371" s="2"/>
      <c r="R1371" s="2"/>
      <c r="S1371" s="2"/>
      <c r="T1371" s="2"/>
      <c r="U1371" s="2"/>
      <c r="V1371" s="2"/>
      <c r="W1371" s="2"/>
      <c r="X1371" s="2"/>
      <c r="Y1371" s="2"/>
      <c r="Z1371" s="2"/>
      <c r="AA1371" s="2"/>
    </row>
    <row r="1372">
      <c r="A1372" s="1" t="s">
        <v>3857</v>
      </c>
      <c r="B1372" s="1" t="s">
        <v>3910</v>
      </c>
      <c r="C1372" s="1" t="s">
        <v>3911</v>
      </c>
      <c r="D1372" s="2" t="str">
        <f>IFERROR(__xludf.DUMMYFUNCTION("GOOGLETRANSLATE(B1372, ""en"", ""TL"")"),"Magkano ang gagastusin ko kung magpalit ng pangalan?")</f>
        <v>Magkano ang gagastusin ko kung magpalit ng pangalan?</v>
      </c>
      <c r="E1372" s="2" t="str">
        <f>IFERROR(__xludf.DUMMYFUNCTION("GOOGLETRANSLATE(C1372, ""en"", ""TL"")"),"Maaaring magbago ang halaga ng pagpapalit ng iyong titulo sa Pilipinas depende sa ilang bahagi, ngunit narito ang isang breakdown ng pinakamaraming gastos:
Mga Bayarin sa Pamahalaan:
Mga Gastos sa Pamamahagi:
Dapat mong ipamahagi ang iyong layunin na bagu"&amp;"hin ang iyong pamagat sa isang pang-araw-araw na papel ng karaniwang sirkulasyon sa loob ng tatlong magkakasunod na linggo. Ang kinuhang toll para dito ay maaaring magbago depende sa araw-araw na papel na pinili, ngunit sa pangkalahatan ay nasa loob ng ₱5"&amp;"00-₱1,000.
Pagtatala ng Gastos:
Ang pagsusumite ng kahilingan para sa pagbabago ng titulo sa Nearby Respectful Registry Office (LCRO) ay nagkakaroon ng kaunting gastos, karaniwang nasa ₱50-₱100.
Discretionary na Mga Gastos:
Mga Gastos ng Abogado:
Bagama't"&amp;" hindi kinakailangan, ang pagpapalista ng isang legal na tagapayo upang tuklasin ang pamamaraan ay maaaring maging matulungin, lalo na para sa mga kumplikadong kaso. Ang mga gastos sa abogado ay maaaring magbago nang buo depende sa kanilang pagkakasangkot"&amp;" at lugar ngunit inaasahan na magbabayad kahit saan mula ₱5,000-₱20,000 o higit pa.
Mga Selyong Nagsasalaysay:
Depende sa payo ng abogado at sa pagiging kumplikado ng iyong kaso, maaaring kailanganin ang mga karagdagang narrative stamp, na nagkakahalaga n"&amp;"g humigit-kumulang ₱20-₱50 bawat isa.
Samakatuwid, ang nasuri na pagdaragdag hanggang sa kinuha ay maaaring tumakbo mula sa:
₱550-₱1,100 para sa isang direktang kaso na walang lehitimong tulong.
₱5,550-₱21,100 o higit pa para sa mga kaso kabilang ang abog"&amp;"ado at mga karagdagang narrative stamp.")</f>
        <v>Maaaring magbago ang halaga ng pagpapalit ng iyong titulo sa Pilipinas depende sa ilang bahagi, ngunit narito ang isang breakdown ng pinakamaraming gastos:
Mga Bayarin sa Pamahalaan:
Mga Gastos sa Pamamahagi:
Dapat mong ipamahagi ang iyong layunin na baguhin ang iyong pamagat sa isang pang-araw-araw na papel ng karaniwang sirkulasyon sa loob ng tatlong magkakasunod na linggo. Ang kinuhang toll para dito ay maaaring magbago depende sa araw-araw na papel na pinili, ngunit sa pangkalahatan ay nasa loob ng ₱500-₱1,000.
Pagtatala ng Gastos:
Ang pagsusumite ng kahilingan para sa pagbabago ng titulo sa Nearby Respectful Registry Office (LCRO) ay nagkakaroon ng kaunting gastos, karaniwang nasa ₱50-₱100.
Discretionary na Mga Gastos:
Mga Gastos ng Abogado:
Bagama't hindi kinakailangan, ang pagpapalista ng isang legal na tagapayo upang tuklasin ang pamamaraan ay maaaring maging matulungin, lalo na para sa mga kumplikadong kaso. Ang mga gastos sa abogado ay maaaring magbago nang buo depende sa kanilang pagkakasangkot at lugar ngunit inaasahan na magbabayad kahit saan mula ₱5,000-₱20,000 o higit pa.
Mga Selyong Nagsasalaysay:
Depende sa payo ng abogado at sa pagiging kumplikado ng iyong kaso, maaaring kailanganin ang mga karagdagang narrative stamp, na nagkakahalaga ng humigit-kumulang ₱20-₱50 bawat isa.
Samakatuwid, ang nasuri na pagdaragdag hanggang sa kinuha ay maaaring tumakbo mula sa:
₱550-₱1,100 para sa isang direktang kaso na walang lehitimong tulong.
₱5,550-₱21,100 o higit pa para sa mga kaso kabilang ang abogado at mga karagdagang narrative stamp.</v>
      </c>
      <c r="F1372" s="2">
        <f t="shared" si="1"/>
        <v>0</v>
      </c>
      <c r="G1372" s="2"/>
      <c r="H1372" s="2"/>
      <c r="I1372" s="2"/>
      <c r="J1372" s="2"/>
      <c r="K1372" s="2"/>
      <c r="L1372" s="2"/>
      <c r="M1372" s="2"/>
      <c r="N1372" s="2"/>
      <c r="O1372" s="2"/>
      <c r="P1372" s="2"/>
      <c r="Q1372" s="2"/>
      <c r="R1372" s="2"/>
      <c r="S1372" s="2"/>
      <c r="T1372" s="2"/>
      <c r="U1372" s="2"/>
      <c r="V1372" s="2"/>
      <c r="W1372" s="2"/>
      <c r="X1372" s="2"/>
      <c r="Y1372" s="2"/>
      <c r="Z1372" s="2"/>
      <c r="AA1372" s="2"/>
    </row>
    <row r="1373">
      <c r="A1373" s="1" t="s">
        <v>3857</v>
      </c>
      <c r="B1373" s="1" t="s">
        <v>3912</v>
      </c>
      <c r="C1373" s="1" t="s">
        <v>3913</v>
      </c>
      <c r="D1373" s="2" t="str">
        <f>IFERROR(__xludf.DUMMYFUNCTION("GOOGLETRANSLATE(B1373, ""en"", ""TL"")"),"Ano ang iba't ibang uri ng bakasyon na karapat-dapat sa mga empleyadong Pilipino, at gaano katagal ang bawat isa?")</f>
        <v>Ano ang iba't ibang uri ng bakasyon na karapat-dapat sa mga empleyadong Pilipino, at gaano katagal ang bawat isa?</v>
      </c>
      <c r="E1373" s="2" t="str">
        <f>IFERROR(__xludf.DUMMYFUNCTION("GOOGLETRANSLATE(C1373, ""en"", ""TL"")"),"Sick Leave: Ginagamit para sa pagkakasakit ng empleyado o sa kanilang dependent (nangangailangan ng medical certificate pagkatapos ng 5 araw).
Bakasyon na Bakasyon: Ginagamit para sa personal na oras ng pahinga (kailangang isampa 5 araw nang maaga).
For"&amp;"ced Leave: Mandatory vacation leave para sa mga empleyado na may hindi bababa sa 10 araw ng naipon na bakasyon (nawawala kung hindi ginamit sa katapusan ng taon).
Espesyal na Privilege Leave: Hanggang 3 araw bawat taon para sa mga personal na milestone a"&amp;"t mga responsibilidad sa tahanan (kailangang isampa 5 araw nang maaga).
Rehabilitation Leave: Hanggang 6 na buwan para sa mga pinsalang nauugnay sa trabaho (nangangailangan ng medikal na sertipiko at ihain sa loob ng 3 araw ng pagbabalik sa trabaho).
Ma"&amp;"ternity Leave: 60 araw sa kalendaryo para sa mga babaeng empleyado pagkatapos ng panganganak (kailangang isampa bago manganak na may medical certificate at department clearance).
Paternity Leave: 7 araw ng trabaho para sa mga lalaking may asawang empleya"&amp;"do kapag ang kanilang asawa ay nanganak o nalaglag (kailangang magsampa ng medikal o birth certificate at kontrata ng kasal para sa mga first-time claimant).
Parental Leave: Hanggang 7 araw ng trabaho para sa mga solong magulang (kailangang magsampa ng h"&amp;"indi bababa sa 5 araw bago ang isang kopya ng Solo Parent ID).
Espesyal na Pag-iwan para sa Kababaihan: Hanggang 2 buwan pagkatapos ng operasyon dahil sa mga sakit na ginekologiko (kailangang magsampa ng sertipiko ng medikal at clearance ng departamento "&amp;"sa loob ng makatwirang panahon).
Pribilehiyo ng Family/Home Visit: Hanggang 2 araw ng trabaho bawat buwan para sa mga empleyadong nakatalaga sa labas ng kanilang tirahan (kailangang isampa 5 araw bago).")</f>
        <v>Sick Leave: Ginagamit para sa pagkakasakit ng empleyado o sa kanilang dependent (nangangailangan ng medical certificate pagkatapos ng 5 araw).
Bakasyon na Bakasyon: Ginagamit para sa personal na oras ng pahinga (kailangang isampa 5 araw nang maaga).
Forced Leave: Mandatory vacation leave para sa mga empleyado na may hindi bababa sa 10 araw ng naipon na bakasyon (nawawala kung hindi ginamit sa katapusan ng taon).
Espesyal na Privilege Leave: Hanggang 3 araw bawat taon para sa mga personal na milestone at mga responsibilidad sa tahanan (kailangang isampa 5 araw nang maaga).
Rehabilitation Leave: Hanggang 6 na buwan para sa mga pinsalang nauugnay sa trabaho (nangangailangan ng medikal na sertipiko at ihain sa loob ng 3 araw ng pagbabalik sa trabaho).
Maternity Leave: 60 araw sa kalendaryo para sa mga babaeng empleyado pagkatapos ng panganganak (kailangang isampa bago manganak na may medical certificate at department clearance).
Paternity Leave: 7 araw ng trabaho para sa mga lalaking may asawang empleyado kapag ang kanilang asawa ay nanganak o nalaglag (kailangang magsampa ng medikal o birth certificate at kontrata ng kasal para sa mga first-time claimant).
Parental Leave: Hanggang 7 araw ng trabaho para sa mga solong magulang (kailangang magsampa ng hindi bababa sa 5 araw bago ang isang kopya ng Solo Parent ID).
Espesyal na Pag-iwan para sa Kababaihan: Hanggang 2 buwan pagkatapos ng operasyon dahil sa mga sakit na ginekologiko (kailangang magsampa ng sertipiko ng medikal at clearance ng departamento sa loob ng makatwirang panahon).
Pribilehiyo ng Family/Home Visit: Hanggang 2 araw ng trabaho bawat buwan para sa mga empleyadong nakatalaga sa labas ng kanilang tirahan (kailangang isampa 5 araw bago).</v>
      </c>
      <c r="F1373" s="2">
        <f t="shared" si="1"/>
        <v>0</v>
      </c>
      <c r="G1373" s="2"/>
      <c r="H1373" s="2"/>
      <c r="I1373" s="2"/>
      <c r="J1373" s="2"/>
      <c r="K1373" s="2"/>
      <c r="L1373" s="2"/>
      <c r="M1373" s="2"/>
      <c r="N1373" s="2"/>
      <c r="O1373" s="2"/>
      <c r="P1373" s="2"/>
      <c r="Q1373" s="2"/>
      <c r="R1373" s="2"/>
      <c r="S1373" s="2"/>
      <c r="T1373" s="2"/>
      <c r="U1373" s="2"/>
      <c r="V1373" s="2"/>
      <c r="W1373" s="2"/>
      <c r="X1373" s="2"/>
      <c r="Y1373" s="2"/>
      <c r="Z1373" s="2"/>
      <c r="AA1373" s="2"/>
    </row>
    <row r="1374">
      <c r="A1374" s="1" t="s">
        <v>3857</v>
      </c>
      <c r="B1374" s="1" t="s">
        <v>3914</v>
      </c>
      <c r="C1374" s="1" t="s">
        <v>3915</v>
      </c>
      <c r="D1374" s="2" t="str">
        <f>IFERROR(__xludf.DUMMYFUNCTION("GOOGLETRANSLATE(B1374, ""en"", ""TL"")"),"Ano ang mga legal na kinakailangan para sa pagtatapos ng kontrata ng isang empleyado sa Pilipinas?")</f>
        <v>Ano ang mga legal na kinakailangan para sa pagtatapos ng kontrata ng isang empleyado sa Pilipinas?</v>
      </c>
      <c r="E1374" s="2" t="str">
        <f>IFERROR(__xludf.DUMMYFUNCTION("GOOGLETRANSLATE(C1374, ""en"", ""TL"")"),"Just cause and just cause: Just cause: Kabilang dito ang maling pag-uugali, kapabayaan, o iba pang asal na nagbibigay-katwiran sa agarang pagpapaalis.
Kasama sa mga halimbawa ang pagnanakaw sa loob ng isang negosyo o pagiging nakagawian na huli.
Sertipika"&amp;"dong Dahilan: Mas circumstantial ang mga ito at maaaring kasama ang pagbabawas para maiwasan ang pagkalugi o pagsasara ng negosyo.
Paunawa at Angkop na Proseso: Dapat sundin ang mga wastong pamamaraan bago tanggalin ang isang empleyado.
Kabilang dito ang:"&amp;" Paunang mensahe: Ipaalam sa empleyado ang mga posibleng dahilan ng pagwawakas.
Pangalawang mensahe: Kumpirmasyon ng pagwawakas.
Tinitiyak ng angkop na proseso ang pagiging patas at pagsunod sa mga legal na kinakailangan.
Severance pay: Kung ang isang emp"&amp;"leyado ay tinanggal dahil sa dahilan, siya ay may karapatan sa severance pay.
Ang halagang ito ay karaniwang katumbas ng isang buwan ng kanyang suweldo o kalahating buwan ng suweldo para sa bawat taon ng serbisyo, alinman ang mas malaki.
MGA DOKUMENTO, DO"&amp;"KUMENTO, DOKUMENTO: Ang mga tagapag-empleyo at empleyado ay dapat magtago ng mga rekord.
Subaybayan ang mga pagsusuri sa pagganap, mga alerto, at nauugnay na dokumentasyon.
Ang wastong dokumentasyon ay mahalaga kung ligal na aksyon ang gagawin.
Humingi ng"&amp;" legal na payo: Ang mga batas sa pagwawakas sa trabaho ay kumplikado.
Kung may pagdududa, mangyaring kumonsulta sa isang legal na propesyonal.
Maaaring maiwasan ng legal na payo ang mga magastos na pagkakamali.")</f>
        <v>Just cause and just cause: Just cause: Kabilang dito ang maling pag-uugali, kapabayaan, o iba pang asal na nagbibigay-katwiran sa agarang pagpapaalis.
Kasama sa mga halimbawa ang pagnanakaw sa loob ng isang negosyo o pagiging nakagawian na huli.
Sertipikadong Dahilan: Mas circumstantial ang mga ito at maaaring kasama ang pagbabawas para maiwasan ang pagkalugi o pagsasara ng negosyo.
Paunawa at Angkop na Proseso: Dapat sundin ang mga wastong pamamaraan bago tanggalin ang isang empleyado.
Kabilang dito ang: Paunang mensahe: Ipaalam sa empleyado ang mga posibleng dahilan ng pagwawakas.
Pangalawang mensahe: Kumpirmasyon ng pagwawakas.
Tinitiyak ng angkop na proseso ang pagiging patas at pagsunod sa mga legal na kinakailangan.
Severance pay: Kung ang isang empleyado ay tinanggal dahil sa dahilan, siya ay may karapatan sa severance pay.
Ang halagang ito ay karaniwang katumbas ng isang buwan ng kanyang suweldo o kalahating buwan ng suweldo para sa bawat taon ng serbisyo, alinman ang mas malaki.
MGA DOKUMENTO, DOKUMENTO, DOKUMENTO: Ang mga tagapag-empleyo at empleyado ay dapat magtago ng mga rekord.
Subaybayan ang mga pagsusuri sa pagganap, mga alerto, at nauugnay na dokumentasyon.
Ang wastong dokumentasyon ay mahalaga kung ligal na aksyon ang gagawin.
Humingi ng legal na payo: Ang mga batas sa pagwawakas sa trabaho ay kumplikado.
Kung may pagdududa, mangyaring kumonsulta sa isang legal na propesyonal.
Maaaring maiwasan ng legal na payo ang mga magastos na pagkakamali.</v>
      </c>
      <c r="F1374" s="2">
        <f t="shared" si="1"/>
        <v>0</v>
      </c>
      <c r="G1374" s="2"/>
      <c r="H1374" s="2"/>
      <c r="I1374" s="2"/>
      <c r="J1374" s="2"/>
      <c r="K1374" s="2"/>
      <c r="L1374" s="2"/>
      <c r="M1374" s="2"/>
      <c r="N1374" s="2"/>
      <c r="O1374" s="2"/>
      <c r="P1374" s="2"/>
      <c r="Q1374" s="2"/>
      <c r="R1374" s="2"/>
      <c r="S1374" s="2"/>
      <c r="T1374" s="2"/>
      <c r="U1374" s="2"/>
      <c r="V1374" s="2"/>
      <c r="W1374" s="2"/>
      <c r="X1374" s="2"/>
      <c r="Y1374" s="2"/>
      <c r="Z1374" s="2"/>
      <c r="AA1374" s="2"/>
    </row>
    <row r="1375">
      <c r="A1375" s="1" t="s">
        <v>3857</v>
      </c>
      <c r="B1375" s="1" t="s">
        <v>3916</v>
      </c>
      <c r="C1375" s="1" t="s">
        <v>3917</v>
      </c>
      <c r="D1375" s="2" t="str">
        <f>IFERROR(__xludf.DUMMYFUNCTION("GOOGLETRANSLATE(B1375, ""en"", ""TL"")"),"Ano ang ilang karaniwang uri ng diskriminasyon sa lugar ng trabaho na ipinagbabawal ng batas ng Pilipinas?")</f>
        <v>Ano ang ilang karaniwang uri ng diskriminasyon sa lugar ng trabaho na ipinagbabawal ng batas ng Pilipinas?</v>
      </c>
      <c r="E1375" s="2" t="str">
        <f>IFERROR(__xludf.DUMMYFUNCTION("GOOGLETRANSLATE(C1375, ""en"", ""TL"")"),"Diskriminasyon upang pigilan o hikayatin ang pagiging kasapi sa isang organisasyon ng paggawa (PD 442).
Diskriminasyon laban sa mga empleyado batay sa lahi (PD 966).
Diskriminasyon laban sa mga babaeng empleyado sa mga tuntunin ng mga kondisyon sa pagtatr"&amp;"abaho batay lamang sa kasarian (RA 6725).
Diskriminasyon laban sa mga nag-iisang magulang sa mga tuntunin ng trabaho batay sa kanilang katayuan (RA 8972).
Diskriminasyon at pang-aabuso sa mga katutubo batay sa mga ninuno (RA 9371).
Pagdidiskrimina laban o"&amp;" pagkutya sa publiko sa isang empleyadong may kapansanan batay sa kapansanan (RA 7277 at 9442).
Ang diskriminasyon laban sa isang empleyado batay sa edad (RA 10911).
Diskriminasyon laban sa mga empleyadong may sakit sa pag-iisip (RA 11036).
Diskriminasyon"&amp;" batay sa aktwal, pinaghihinalaang, o pinaghihinalaang HIV status ng isang empleyado (RA 11166).
Diskriminasyon sa batayan na ang mga babaeng empleyado ay hindi karapat-dapat sa mga benepisyo sa maternity leave (RA 11210).
Diskriminasyon laban sa mga empl"&amp;"eyado na mga pasyente ng kanser o nakaligtas (RA 11215).
Diskriminasyon laban sa mga empleyado na mayroon o nagdurusa ng tuberculosis (DOLE DO 73-05).
Diskriminasyon laban sa mga empleyado batay sa status ng hepatitis B (DOLE DA 05 Series of 2010).
Kung a"&amp;"ng pagalit na pag-uugali ay likas na sekswal, ito ay itinuturing na sekswal na panliligalig at, depende sa mga pangyayari, ang Anti-Sexual Harassment Act (RA 7822) o ang Safe Spaces Act (RA 11313) ay maaaring gamitin .")</f>
        <v>Diskriminasyon upang pigilan o hikayatin ang pagiging kasapi sa isang organisasyon ng paggawa (PD 442).
Diskriminasyon laban sa mga empleyado batay sa lahi (PD 966).
Diskriminasyon laban sa mga babaeng empleyado sa mga tuntunin ng mga kondisyon sa pagtatrabaho batay lamang sa kasarian (RA 6725).
Diskriminasyon laban sa mga nag-iisang magulang sa mga tuntunin ng trabaho batay sa kanilang katayuan (RA 8972).
Diskriminasyon at pang-aabuso sa mga katutubo batay sa mga ninuno (RA 9371).
Pagdidiskrimina laban o pagkutya sa publiko sa isang empleyadong may kapansanan batay sa kapansanan (RA 7277 at 9442).
Ang diskriminasyon laban sa isang empleyado batay sa edad (RA 10911).
Diskriminasyon laban sa mga empleyadong may sakit sa pag-iisip (RA 11036).
Diskriminasyon batay sa aktwal, pinaghihinalaang, o pinaghihinalaang HIV status ng isang empleyado (RA 11166).
Diskriminasyon sa batayan na ang mga babaeng empleyado ay hindi karapat-dapat sa mga benepisyo sa maternity leave (RA 11210).
Diskriminasyon laban sa mga empleyado na mga pasyente ng kanser o nakaligtas (RA 11215).
Diskriminasyon laban sa mga empleyado na mayroon o nagdurusa ng tuberculosis (DOLE DO 73-05).
Diskriminasyon laban sa mga empleyado batay sa status ng hepatitis B (DOLE DA 05 Series of 2010).
Kung ang pagalit na pag-uugali ay likas na sekswal, ito ay itinuturing na sekswal na panliligalig at, depende sa mga pangyayari, ang Anti-Sexual Harassment Act (RA 7822) o ang Safe Spaces Act (RA 11313) ay maaaring gamitin .</v>
      </c>
      <c r="F1375" s="2">
        <f t="shared" si="1"/>
        <v>0</v>
      </c>
      <c r="G1375" s="2"/>
      <c r="H1375" s="2"/>
      <c r="I1375" s="2"/>
      <c r="J1375" s="2"/>
      <c r="K1375" s="2"/>
      <c r="L1375" s="2"/>
      <c r="M1375" s="2"/>
      <c r="N1375" s="2"/>
      <c r="O1375" s="2"/>
      <c r="P1375" s="2"/>
      <c r="Q1375" s="2"/>
      <c r="R1375" s="2"/>
      <c r="S1375" s="2"/>
      <c r="T1375" s="2"/>
      <c r="U1375" s="2"/>
      <c r="V1375" s="2"/>
      <c r="W1375" s="2"/>
      <c r="X1375" s="2"/>
      <c r="Y1375" s="2"/>
      <c r="Z1375" s="2"/>
      <c r="AA1375" s="2"/>
    </row>
    <row r="1376">
      <c r="A1376" s="1" t="s">
        <v>3857</v>
      </c>
      <c r="B1376" s="1" t="s">
        <v>3918</v>
      </c>
      <c r="C1376" s="1" t="s">
        <v>3919</v>
      </c>
      <c r="D1376" s="2" t="str">
        <f>IFERROR(__xludf.DUMMYFUNCTION("GOOGLETRANSLATE(B1376, ""en"", ""TL"")"),"Si Mark, isang security guard, ay regular na nagtatrabaho ng 12 oras na shift ngunit tumatanggap lamang ng bayad para sa karaniwang 8 oras na araw ng trabaho. May legal bang recourse si Mark para sa kanyang hindi nabayarang overtime na oras?")</f>
        <v>Si Mark, isang security guard, ay regular na nagtatrabaho ng 12 oras na shift ngunit tumatanggap lamang ng bayad para sa karaniwang 8 oras na araw ng trabaho. May legal bang recourse si Mark para sa kanyang hindi nabayarang overtime na oras?</v>
      </c>
      <c r="E1376" s="2" t="str">
        <f>IFERROR(__xludf.DUMMYFUNCTION("GOOGLETRANSLATE(C1376, ""en"", ""TL"")"),"Sa Pilipinas, ang mga security guard at iba pang pribadong security personnel ay nagtatamasa ng matatag na panunungkulan.
Nangangahulugan ito na maaari lamang naming wakasan ang iyong serbisyo para sa magandang dahilan kasunod ng angkop na proseso.
Tingna"&amp;"n ang mga legal na opsyon ni Mark tungkol sa hindi nabayarang overtime: Mag-ulat sa Department of Labor: Kung tumanggi ang employer ni Mark na magbayad ng overtime o lutasin ang isyu, maaaring maghain si Mark ng ulat sa Department of Labor and Employment."&amp;"
Maaari kang magsampa ng reklamo sa (DOLE).
Humingi ng Legal na Payo: Dapat makipag-ugnayan si Mark sa isang abogado sa pagtatrabaho upang maunawaan ang kanyang mga legal na karapatan at isaalang-alang ang kanyang mga opsyon para sa pag-claim ng hindi nab"&amp;"ayarang overtime.
Karagdagan pa, ang batas sa paggawa ng Pilipinas ay nangangailangan ng karagdagang kabayaran para sa trabahong ginawang lampas sa kanyang normal na walong oras.
Ang patuloy na pagsubaybay sa overtime pay ni Mark ay maaaring lumabag sa mg"&amp;"a batas sa paggawa.
Tandaan na ang pag-iingat ng mga detalyadong talaan ng mga oras na nagtrabaho, kabilang ang overtime, ay maaaring suportahan ang mga claim para sa hindi nabayarang overtime na bayad.")</f>
        <v>Sa Pilipinas, ang mga security guard at iba pang pribadong security personnel ay nagtatamasa ng matatag na panunungkulan.
Nangangahulugan ito na maaari lamang naming wakasan ang iyong serbisyo para sa magandang dahilan kasunod ng angkop na proseso.
Tingnan ang mga legal na opsyon ni Mark tungkol sa hindi nabayarang overtime: Mag-ulat sa Department of Labor: Kung tumanggi ang employer ni Mark na magbayad ng overtime o lutasin ang isyu, maaaring maghain si Mark ng ulat sa Department of Labor and Employment.
Maaari kang magsampa ng reklamo sa (DOLE).
Humingi ng Legal na Payo: Dapat makipag-ugnayan si Mark sa isang abogado sa pagtatrabaho upang maunawaan ang kanyang mga legal na karapatan at isaalang-alang ang kanyang mga opsyon para sa pag-claim ng hindi nabayarang overtime.
Karagdagan pa, ang batas sa paggawa ng Pilipinas ay nangangailangan ng karagdagang kabayaran para sa trabahong ginawang lampas sa kanyang normal na walong oras.
Ang patuloy na pagsubaybay sa overtime pay ni Mark ay maaaring lumabag sa mga batas sa paggawa.
Tandaan na ang pag-iingat ng mga detalyadong talaan ng mga oras na nagtrabaho, kabilang ang overtime, ay maaaring suportahan ang mga claim para sa hindi nabayarang overtime na bayad.</v>
      </c>
      <c r="F1376" s="2">
        <f t="shared" si="1"/>
        <v>0</v>
      </c>
      <c r="G1376" s="2"/>
      <c r="H1376" s="2"/>
      <c r="I1376" s="2"/>
      <c r="J1376" s="2"/>
      <c r="K1376" s="2"/>
      <c r="L1376" s="2"/>
      <c r="M1376" s="2"/>
      <c r="N1376" s="2"/>
      <c r="O1376" s="2"/>
      <c r="P1376" s="2"/>
      <c r="Q1376" s="2"/>
      <c r="R1376" s="2"/>
      <c r="S1376" s="2"/>
      <c r="T1376" s="2"/>
      <c r="U1376" s="2"/>
      <c r="V1376" s="2"/>
      <c r="W1376" s="2"/>
      <c r="X1376" s="2"/>
      <c r="Y1376" s="2"/>
      <c r="Z1376" s="2"/>
      <c r="AA1376" s="2"/>
    </row>
    <row r="1377">
      <c r="A1377" s="1" t="s">
        <v>3857</v>
      </c>
      <c r="B1377" s="1" t="s">
        <v>3920</v>
      </c>
      <c r="C1377" s="1" t="s">
        <v>3921</v>
      </c>
      <c r="D1377" s="2" t="str">
        <f>IFERROR(__xludf.DUMMYFUNCTION("GOOGLETRANSLATE(B1377, ""en"", ""TL"")"),"Si Sarah, isang buntis na empleyado, ay nag-aalala tungkol sa kanyang maternity leave pay. Magkano ang karapat-dapat niyang matanggap, at sino ang may pananagutan sa pagbabayad nito?")</f>
        <v>Si Sarah, isang buntis na empleyado, ay nag-aalala tungkol sa kanyang maternity leave pay. Magkano ang karapat-dapat niyang matanggap, at sino ang may pananagutan sa pagbabayad nito?</v>
      </c>
      <c r="E1377" s="2" t="str">
        <f>IFERROR(__xludf.DUMMYFUNCTION("GOOGLETRANSLATE(C1377, ""en"", ""TL"")"),"Ang mga benepisyo sa maternity leave ay mga kredito sa bakasyon na ibinibigay sa mga karapat-dapat na empleyado na gustong gamitin ang kanilang bakasyon sa panahon ng pagbubuntis at pagkatapos ng panganganak, na tinitiyak na binabayaran sila sa naturang b"&amp;"akasyon.
.
Kasama sa benepisyong ito ang 105 araw na credit sa bakasyon sa buong suweldo, na may opsyong mag-extend ng karagdagang 30 araw nang walang bayad.
Ang mga nag-iisang ina ay makakatanggap ng karagdagang 15 araw ng vacation credit sa buong suweld"&amp;"o.
1.
Konsepto Ang isang buntis na empleyado, single man o may asawa, ay tumatanggap ng sabbatical credits kasama ng kanyang buong suweldo.
Maaari itong gamitin sa mga kaso ng pagbubuntis, pagkalaglag, at emergency na pagpapalaglag, anuman ang dalas.
2.
M"&amp;"ga Benepisyo Ang benepisyong ito ay binubuo ng 105 araw ng ganap na bayad na maternity leave, na may opsyong palawigin ng karagdagang 30 araw na walang bayad.
Para sa mga karapat-dapat na solong ina, ang mga empleyado ay may karapatan sa karagdagang 15 ar"&amp;"aw ng maternity leave sa buong suweldo.
Ang maternity leave ay dapat ibigay sa mga empleyado sa kaso ng pagbubuntis, pagkalaglag o emergency na pagwawakas ng pagbubuntis, anuman ang dalas nito.
Gayunpaman, sa kaso ng pagkalaglag o emergency na pagtatapos "&amp;"ng pagbubuntis, ang maternity leave na 60 araw ay dapat ipagkaloob.
Ang buong sahod ay dapat kilalanin.
Sa opsyon ng empleyado, maaari siyang kumuha ng karagdagang 30 araw ng hindi nabayarang maternity leave.
Lamang kung ang tagapag-empleyo ay nararapat n"&amp;"a ipaalam sa pamamagitan ng sulat.")</f>
        <v>Ang mga benepisyo sa maternity leave ay mga kredito sa bakasyon na ibinibigay sa mga karapat-dapat na empleyado na gustong gamitin ang kanilang bakasyon sa panahon ng pagbubuntis at pagkatapos ng panganganak, na tinitiyak na binabayaran sila sa naturang bakasyon.
.
Kasama sa benepisyong ito ang 105 araw na credit sa bakasyon sa buong suweldo, na may opsyong mag-extend ng karagdagang 30 araw nang walang bayad.
Ang mga nag-iisang ina ay makakatanggap ng karagdagang 15 araw ng vacation credit sa buong suweldo.
1.
Konsepto Ang isang buntis na empleyado, single man o may asawa, ay tumatanggap ng sabbatical credits kasama ng kanyang buong suweldo.
Maaari itong gamitin sa mga kaso ng pagbubuntis, pagkalaglag, at emergency na pagpapalaglag, anuman ang dalas.
2.
Mga Benepisyo Ang benepisyong ito ay binubuo ng 105 araw ng ganap na bayad na maternity leave, na may opsyong palawigin ng karagdagang 30 araw na walang bayad.
Para sa mga karapat-dapat na solong ina, ang mga empleyado ay may karapatan sa karagdagang 15 araw ng maternity leave sa buong suweldo.
Ang maternity leave ay dapat ibigay sa mga empleyado sa kaso ng pagbubuntis, pagkalaglag o emergency na pagwawakas ng pagbubuntis, anuman ang dalas nito.
Gayunpaman, sa kaso ng pagkalaglag o emergency na pagtatapos ng pagbubuntis, ang maternity leave na 60 araw ay dapat ipagkaloob.
Ang buong sahod ay dapat kilalanin.
Sa opsyon ng empleyado, maaari siyang kumuha ng karagdagang 30 araw ng hindi nabayarang maternity leave.
Lamang kung ang tagapag-empleyo ay nararapat na ipaalam sa pamamagitan ng sulat.</v>
      </c>
      <c r="F1377" s="2">
        <f t="shared" si="1"/>
        <v>0</v>
      </c>
      <c r="G1377" s="2"/>
      <c r="H1377" s="2"/>
      <c r="I1377" s="2"/>
      <c r="J1377" s="2"/>
      <c r="K1377" s="2"/>
      <c r="L1377" s="2"/>
      <c r="M1377" s="2"/>
      <c r="N1377" s="2"/>
      <c r="O1377" s="2"/>
      <c r="P1377" s="2"/>
      <c r="Q1377" s="2"/>
      <c r="R1377" s="2"/>
      <c r="S1377" s="2"/>
      <c r="T1377" s="2"/>
      <c r="U1377" s="2"/>
      <c r="V1377" s="2"/>
      <c r="W1377" s="2"/>
      <c r="X1377" s="2"/>
      <c r="Y1377" s="2"/>
      <c r="Z1377" s="2"/>
      <c r="AA1377" s="2"/>
    </row>
    <row r="1378">
      <c r="A1378" s="1" t="s">
        <v>3857</v>
      </c>
      <c r="B1378" s="1" t="s">
        <v>3922</v>
      </c>
      <c r="C1378" s="1" t="s">
        <v>3923</v>
      </c>
      <c r="D1378" s="2" t="str">
        <f>IFERROR(__xludf.DUMMYFUNCTION("GOOGLETRANSLATE(B1378, ""en"", ""TL"")"),"Si John ay biglang tinanggal sa kanyang trabaho nang walang anumang paunang babala o paliwanag. Legal ba ito, at anong mga opsyon ang mayroon si John?")</f>
        <v>Si John ay biglang tinanggal sa kanyang trabaho nang walang anumang paunang babala o paliwanag. Legal ba ito, at anong mga opsyon ang mayroon si John?</v>
      </c>
      <c r="E1378" s="2" t="str">
        <f>IFERROR(__xludf.DUMMYFUNCTION("GOOGLETRANSLATE(C1378, ""en"", ""TL"")"),"Ang Pilipinas ay may mga espesyal na alituntunin tungkol sa pagtanggal ng mga empleyado.
Hatiin natin ito: Mga Dahilan lamang at Awtorisadong Dahilan: Hindi maaaring tanggalin ng mga employer ang mga tao sa isang kapritso.
Mayroong dalawang legal na pinah"&amp;"ihintulutang kategorya ng pagpapaalis: Dahilan lamang: Kabilang dito ang maling pag-uugali, kapabayaan, o pag-uugali na nagbibigay-katwiran sa buod na pagtanggal.
Halimbawa, panloob na pagnanakaw o nakagawiang pagkahuli.
Mga awtorisadong dahilan: Ang mga "&amp;"ito ay mas circumstantial at maaaring kabilangan ng pagbabawas para maiwasan ang pagkalugi o pagsasara ng negosyo.
Paunawa at Nararapat na Proseso: Dapat sundin ng mga employer ang ilang partikular na pamamaraan bago tanggalin ang isang empleyado.
Karaniw"&amp;"ang kinabibilangan ito ng dalawang nakasulat na mensahe.
Ang unang mensahe ay nagpapaalam sa empleyado ng posibleng dahilan ng pagpapaalis.
Kinukumpirma ng pangalawang mensahe ang pagwawakas.
Tinitiyak ng prosesong ito na sinusunod ang angkop na proseso.
"&amp;"Severance pay: Kung ang isang empleyado ay tinanggal dahil sa dahilan, siya ay may karapatan sa severance pay.
Ang mga benepisyo sa paghihiwalay ay karaniwang katumbas ng isang buwang suweldo o kalahating buwang suweldo para sa bawat taon ng serbisyo, ali"&amp;"nman ang mas malaki.
Idokumento ang lahat: Empleyado ka man o empleyado, idokumento ang lahat.
Panatilihin ang mga talaan ng mga pagsusuri sa pagganap, mga babala, at lahat ng nauugnay na dokumentasyon.
Ang mga talaang ito ay maaaring maging lubhang mahal"&amp;"aga sa kaganapan ng legal na aksyon.
Kumuha ng Legal na Payo: Kung mayroon kang anumang mga katanungan, mangyaring makipag-ugnayan sa isang legal na propesyonal.
Ang mga batas sa pagtatapos ng trabaho ay kumplikado at maaaring mapanganib na mag-navigate n"&amp;"ang walang gabay.
Makakatulong sa iyo ang legal na payo na maiwasan ang mga magastos na pagkakamali.")</f>
        <v>Ang Pilipinas ay may mga espesyal na alituntunin tungkol sa pagtanggal ng mga empleyado.
Hatiin natin ito: Mga Dahilan lamang at Awtorisadong Dahilan: Hindi maaaring tanggalin ng mga employer ang mga tao sa isang kapritso.
Mayroong dalawang legal na pinahihintulutang kategorya ng pagpapaalis: Dahilan lamang: Kabilang dito ang maling pag-uugali, kapabayaan, o pag-uugali na nagbibigay-katwiran sa buod na pagtanggal.
Halimbawa, panloob na pagnanakaw o nakagawiang pagkahuli.
Mga awtorisadong dahilan: Ang mga ito ay mas circumstantial at maaaring kabilangan ng pagbabawas para maiwasan ang pagkalugi o pagsasara ng negosyo.
Paunawa at Nararapat na Proseso: Dapat sundin ng mga employer ang ilang partikular na pamamaraan bago tanggalin ang isang empleyado.
Karaniwang kinabibilangan ito ng dalawang nakasulat na mensahe.
Ang unang mensahe ay nagpapaalam sa empleyado ng posibleng dahilan ng pagpapaalis.
Kinukumpirma ng pangalawang mensahe ang pagwawakas.
Tinitiyak ng prosesong ito na sinusunod ang angkop na proseso.
Severance pay: Kung ang isang empleyado ay tinanggal dahil sa dahilan, siya ay may karapatan sa severance pay.
Ang mga benepisyo sa paghihiwalay ay karaniwang katumbas ng isang buwang suweldo o kalahating buwang suweldo para sa bawat taon ng serbisyo, alinman ang mas malaki.
Idokumento ang lahat: Empleyado ka man o empleyado, idokumento ang lahat.
Panatilihin ang mga talaan ng mga pagsusuri sa pagganap, mga babala, at lahat ng nauugnay na dokumentasyon.
Ang mga talaang ito ay maaaring maging lubhang mahalaga sa kaganapan ng legal na aksyon.
Kumuha ng Legal na Payo: Kung mayroon kang anumang mga katanungan, mangyaring makipag-ugnayan sa isang legal na propesyonal.
Ang mga batas sa pagtatapos ng trabaho ay kumplikado at maaaring mapanganib na mag-navigate nang walang gabay.
Makakatulong sa iyo ang legal na payo na maiwasan ang mga magastos na pagkakamali.</v>
      </c>
      <c r="F1378" s="2">
        <f t="shared" si="1"/>
        <v>0</v>
      </c>
      <c r="G1378" s="2"/>
      <c r="H1378" s="2"/>
      <c r="I1378" s="2"/>
      <c r="J1378" s="2"/>
      <c r="K1378" s="2"/>
      <c r="L1378" s="2"/>
      <c r="M1378" s="2"/>
      <c r="N1378" s="2"/>
      <c r="O1378" s="2"/>
      <c r="P1378" s="2"/>
      <c r="Q1378" s="2"/>
      <c r="R1378" s="2"/>
      <c r="S1378" s="2"/>
      <c r="T1378" s="2"/>
      <c r="U1378" s="2"/>
      <c r="V1378" s="2"/>
      <c r="W1378" s="2"/>
      <c r="X1378" s="2"/>
      <c r="Y1378" s="2"/>
      <c r="Z1378" s="2"/>
      <c r="AA1378" s="2"/>
    </row>
    <row r="1379">
      <c r="A1379" s="1" t="s">
        <v>3857</v>
      </c>
      <c r="B1379" s="1" t="s">
        <v>3924</v>
      </c>
      <c r="C1379" s="1" t="s">
        <v>3925</v>
      </c>
      <c r="D1379" s="2" t="str">
        <f>IFERROR(__xludf.DUMMYFUNCTION("GOOGLETRANSLATE(B1379, ""en"", ""TL"")"),"Malayuang nagtatrabaho si Maria para sa isang kumpanya, nagtatakda ng sarili niyang oras at pinamamahalaan ang kanyang workload. Itinuturing ba siyang empleyado na may karapatan sa mga benepisyo, o isa ba siyang independiyenteng kontratista?")</f>
        <v>Malayuang nagtatrabaho si Maria para sa isang kumpanya, nagtatakda ng sarili niyang oras at pinamamahalaan ang kanyang workload. Itinuturing ba siyang empleyado na may karapatan sa mga benepisyo, o isa ba siyang independiyenteng kontratista?</v>
      </c>
      <c r="E1379" s="2" t="str">
        <f>IFERROR(__xludf.DUMMYFUNCTION("GOOGLETRANSLATE(C1379, ""en"", ""TL"")"),"Sa Pilipinas, ang pagtukoy kung ang isang tao ay isang empleyado o isang independiyenteng kontratista ay nakasalalay sa ilang mga kadahilanan.
Tingnan natin ang mga pangunahing pagsasaalang-alang: Four-fold test: Ginagamit ng Korte Suprema ang kanyang fou"&amp;"r-fold test para makilala ang mga empleyado at mga independiyenteng kontratista.
Ang mga tanong nila ay: Kapangyarihang pumili at kumuha: May kapangyarihan ba ang isang tagapag-empleyo na pumili at kumuha ng tao?
Pagbabayad ng sahod: Kailangan bang bayara"&amp;"n ang tao para sa trabaho?
Kapangyarihan ng Pagwawakas: Maaari bang wakasan ng isang tagapag-empleyo ang relasyon sa pagtatrabaho?
Kapangyarihan ng Pagkontrol: Kinokontrol ba ng employer ang parehong mga layunin at paraan upang makamit ang mga ito?
Kung a"&amp;"ng sagot sa lahat ng mga tanong na ito ay oo, kung gayon ay mayroong relasyon ng employer-empleyado.
gawin.
Kung hindi man, maaaring ang kanilang relasyon ay ng isang pangunahing kontratista at isang independiyenteng kontratista1.
Mga Espesyal na Tampok: "&amp;"Empleyado: Gumagana sa ilalim ng direktang kontrol ng employer.
Tumanggap ng regular na sahod.
Tangkilikin ang mga benepisyo tulad ng health insurance, bayad na bakasyon, at iba pang mga karapatan ayon sa batas.
Independent Contractor: Magtrabaho nang may"&amp;" higit na awtonomiya.
Ako ay self-employed at nagbibigay ng mga serbisyo batay sa aking kadalubhasaan.
Huwag tumanggap ng tradisyonal na mga benepisyo ng empleyado.
Karaniwang may partikular na kontrata para sa isang proyekto o serbisyo23.
Pag-iwas sa Mga"&amp;" Batas sa Paggawa: Ang mga nagpapatrabaho ay hindi maaaring kumuha ng mga manggagawa sa ilalim ng pagkukunwari ng ""mga independiyenteng kontratista"" upang maiwasan ang mga batas sa paggawa.
Ilegal ang maling pagklasipikar sa isang empleyado bilang isang"&amp;" independiyenteng kontratista upang maiwasan ang mga benepisyo na kinakailangan ayon sa batas1.
Dahil sa sitwasyon ni Maria, nagtatrabaho siya nang malayuan, nagtatakda ng sarili niyang mga oras, at pinamamahalaan ang kanyang workload.
Mahalagang suriin k"&amp;"ung natutugunan niya ang pamantayan para sa pagiging empleyado o independiyenteng kontratista batay sa mga salik na nakalista sa itaas.")</f>
        <v>Sa Pilipinas, ang pagtukoy kung ang isang tao ay isang empleyado o isang independiyenteng kontratista ay nakasalalay sa ilang mga kadahilanan.
Tingnan natin ang mga pangunahing pagsasaalang-alang: Four-fold test: Ginagamit ng Korte Suprema ang kanyang four-fold test para makilala ang mga empleyado at mga independiyenteng kontratista.
Ang mga tanong nila ay: Kapangyarihang pumili at kumuha: May kapangyarihan ba ang isang tagapag-empleyo na pumili at kumuha ng tao?
Pagbabayad ng sahod: Kailangan bang bayaran ang tao para sa trabaho?
Kapangyarihan ng Pagwawakas: Maaari bang wakasan ng isang tagapag-empleyo ang relasyon sa pagtatrabaho?
Kapangyarihan ng Pagkontrol: Kinokontrol ba ng employer ang parehong mga layunin at paraan upang makamit ang mga ito?
Kung ang sagot sa lahat ng mga tanong na ito ay oo, kung gayon ay mayroong relasyon ng employer-empleyado.
gawin.
Kung hindi man, maaaring ang kanilang relasyon ay ng isang pangunahing kontratista at isang independiyenteng kontratista1.
Mga Espesyal na Tampok: Empleyado: Gumagana sa ilalim ng direktang kontrol ng employer.
Tumanggap ng regular na sahod.
Tangkilikin ang mga benepisyo tulad ng health insurance, bayad na bakasyon, at iba pang mga karapatan ayon sa batas.
Independent Contractor: Magtrabaho nang may higit na awtonomiya.
Ako ay self-employed at nagbibigay ng mga serbisyo batay sa aking kadalubhasaan.
Huwag tumanggap ng tradisyonal na mga benepisyo ng empleyado.
Karaniwang may partikular na kontrata para sa isang proyekto o serbisyo23.
Pag-iwas sa Mga Batas sa Paggawa: Ang mga nagpapatrabaho ay hindi maaaring kumuha ng mga manggagawa sa ilalim ng pagkukunwari ng "mga independiyenteng kontratista" upang maiwasan ang mga batas sa paggawa.
Ilegal ang maling pagklasipikar sa isang empleyado bilang isang independiyenteng kontratista upang maiwasan ang mga benepisyo na kinakailangan ayon sa batas1.
Dahil sa sitwasyon ni Maria, nagtatrabaho siya nang malayuan, nagtatakda ng sarili niyang mga oras, at pinamamahalaan ang kanyang workload.
Mahalagang suriin kung natutugunan niya ang pamantayan para sa pagiging empleyado o independiyenteng kontratista batay sa mga salik na nakalista sa itaas.</v>
      </c>
      <c r="F1379" s="2">
        <f t="shared" si="1"/>
        <v>0</v>
      </c>
      <c r="G1379" s="2"/>
      <c r="H1379" s="2"/>
      <c r="I1379" s="2"/>
      <c r="J1379" s="2"/>
      <c r="K1379" s="2"/>
      <c r="L1379" s="2"/>
      <c r="M1379" s="2"/>
      <c r="N1379" s="2"/>
      <c r="O1379" s="2"/>
      <c r="P1379" s="2"/>
      <c r="Q1379" s="2"/>
      <c r="R1379" s="2"/>
      <c r="S1379" s="2"/>
      <c r="T1379" s="2"/>
      <c r="U1379" s="2"/>
      <c r="V1379" s="2"/>
      <c r="W1379" s="2"/>
      <c r="X1379" s="2"/>
      <c r="Y1379" s="2"/>
      <c r="Z1379" s="2"/>
      <c r="AA1379" s="2"/>
    </row>
    <row r="1380">
      <c r="A1380" s="1" t="s">
        <v>3857</v>
      </c>
      <c r="B1380" s="1" t="s">
        <v>3926</v>
      </c>
      <c r="C1380" s="1" t="s">
        <v>3927</v>
      </c>
      <c r="D1380" s="2" t="str">
        <f>IFERROR(__xludf.DUMMYFUNCTION("GOOGLETRANSLATE(B1380, ""en"", ""TL"")"),"Si Leah ay nakakaranas ng hindi naaangkop na mga komento at pagsulong mula sa isang katrabaho. Paano niya maiuulat ang insidenteng ito at masisiguro ang kanyang kaligtasan sa lugar ng trabaho?")</f>
        <v>Si Leah ay nakakaranas ng hindi naaangkop na mga komento at pagsulong mula sa isang katrabaho. Paano niya maiuulat ang insidenteng ito at masisiguro ang kanyang kaligtasan sa lugar ng trabaho?</v>
      </c>
      <c r="E1380" s="2" t="str">
        <f>IFERROR(__xludf.DUMMYFUNCTION("GOOGLETRANSLATE(C1380, ""en"", ""TL"")"),"Makipag-ugnayan sa Mga Awtoridad: Kung ang panliligalig ay nangangailangan ng agarang interbensyon o nagsasangkot ng isang kriminal na pagkakasala, si Ms.
Dapat makipag-ugnayan si Lee sa lokal na pulisya o mga opisyal ng barangay.
Maaari kang tumulong na "&amp;"matiyak ang kanilang kaligtasan at magsimula ng pagsisiyasat.
1.
Dapat niyang idokumento ang lahat ng ebidensya tulad ng: B.
Mga text message, email, o larawan para tumulong sa pag-uulat.
Kumuha ng Legal na Payo: Dapat kumonsulta si Leah sa isang abogado "&amp;"upang maunawaan ang kanyang mga karapatan at mga legal na opsyon, lalo na kung ang panliligalig ay malubha o paulit-ulit na nangyayari.
Sa Pilipinas, pinoprotektahan ng iba't ibang batas ang mga indibidwal mula sa panliligalig, kabilang ang Sexual Harassm"&amp;"ent Prevention Act at ang Cybercrime Prevention Act1.
Mag-ulat sa Human Resources o Employer: Kung nangyari ang panliligalig sa lugar ng trabaho, dapat itong iulat ni Leah sa Human Resources o sa kanyang employer.
May tungkulin kang kumilos laban sa panli"&amp;"ligalig sa lugar ng trabaho12.
Pamilyar siya sa patakaran sa panliligalig sa lugar ng trabaho ng kanyang kumpanya.
Paggamit ng Mga Online na Platform: Kung nangyayari ang Panliligalig online, maaaring gamitin ni Lea ang mga pasilidad sa pag-uulat na ibini"&amp;"gay ng Social Media Platform o ng kanyang Website kung saan nangyayari ang Panliligalig1.
Humingi ng suporta mula sa mga katrabaho at unyon ng manggagawa: Maaaring magtapat si Leah sa mga sumusuportang katrabaho at, kung maaari, humingi ng tulong sa unyon"&amp;"2.
Lee, mangyaring tandaan na ang iyong kaligtasan at kagalingan ay ang pinakamahalaga.
Dapat niyang gawin kaagad ang mga sumusunod na hakbang upang matugunan ang isyu at makuha ang suportang kailangan niya.")</f>
        <v>Makipag-ugnayan sa Mga Awtoridad: Kung ang panliligalig ay nangangailangan ng agarang interbensyon o nagsasangkot ng isang kriminal na pagkakasala, si Ms.
Dapat makipag-ugnayan si Lee sa lokal na pulisya o mga opisyal ng barangay.
Maaari kang tumulong na matiyak ang kanilang kaligtasan at magsimula ng pagsisiyasat.
1.
Dapat niyang idokumento ang lahat ng ebidensya tulad ng: B.
Mga text message, email, o larawan para tumulong sa pag-uulat.
Kumuha ng Legal na Payo: Dapat kumonsulta si Leah sa isang abogado upang maunawaan ang kanyang mga karapatan at mga legal na opsyon, lalo na kung ang panliligalig ay malubha o paulit-ulit na nangyayari.
Sa Pilipinas, pinoprotektahan ng iba't ibang batas ang mga indibidwal mula sa panliligalig, kabilang ang Sexual Harassment Prevention Act at ang Cybercrime Prevention Act1.
Mag-ulat sa Human Resources o Employer: Kung nangyari ang panliligalig sa lugar ng trabaho, dapat itong iulat ni Leah sa Human Resources o sa kanyang employer.
May tungkulin kang kumilos laban sa panliligalig sa lugar ng trabaho12.
Pamilyar siya sa patakaran sa panliligalig sa lugar ng trabaho ng kanyang kumpanya.
Paggamit ng Mga Online na Platform: Kung nangyayari ang Panliligalig online, maaaring gamitin ni Lea ang mga pasilidad sa pag-uulat na ibinigay ng Social Media Platform o ng kanyang Website kung saan nangyayari ang Panliligalig1.
Humingi ng suporta mula sa mga katrabaho at unyon ng manggagawa: Maaaring magtapat si Leah sa mga sumusuportang katrabaho at, kung maaari, humingi ng tulong sa unyon2.
Lee, mangyaring tandaan na ang iyong kaligtasan at kagalingan ay ang pinakamahalaga.
Dapat niyang gawin kaagad ang mga sumusunod na hakbang upang matugunan ang isyu at makuha ang suportang kailangan niya.</v>
      </c>
      <c r="F1380" s="2">
        <f t="shared" si="1"/>
        <v>0</v>
      </c>
      <c r="G1380" s="2"/>
      <c r="H1380" s="2"/>
      <c r="I1380" s="2"/>
      <c r="J1380" s="2"/>
      <c r="K1380" s="2"/>
      <c r="L1380" s="2"/>
      <c r="M1380" s="2"/>
      <c r="N1380" s="2"/>
      <c r="O1380" s="2"/>
      <c r="P1380" s="2"/>
      <c r="Q1380" s="2"/>
      <c r="R1380" s="2"/>
      <c r="S1380" s="2"/>
      <c r="T1380" s="2"/>
      <c r="U1380" s="2"/>
      <c r="V1380" s="2"/>
      <c r="W1380" s="2"/>
      <c r="X1380" s="2"/>
      <c r="Y1380" s="2"/>
      <c r="Z1380" s="2"/>
      <c r="AA1380" s="2"/>
    </row>
    <row r="1381">
      <c r="A1381" s="1" t="s">
        <v>3857</v>
      </c>
      <c r="B1381" s="1" t="s">
        <v>3928</v>
      </c>
      <c r="C1381" s="1" t="s">
        <v>3929</v>
      </c>
      <c r="D1381" s="2" t="str">
        <f>IFERROR(__xludf.DUMMYFUNCTION("GOOGLETRANSLATE(B1381, ""en"", ""TL"")"),"Ano ang mangyayari kung maubusan ng sick leave ang isang empleyado ngunit may sakit pa rin?")</f>
        <v>Ano ang mangyayari kung maubusan ng sick leave ang isang empleyado ngunit may sakit pa rin?</v>
      </c>
      <c r="E1381" s="2" t="str">
        <f>IFERROR(__xludf.DUMMYFUNCTION("GOOGLETRANSLATE(C1381, ""en"", ""TL"")"),"Kung naubos mo na ang lahat ng bayad mo sa sick leave at incentive leave, maaari kang mag-apply para sa sick leave ng SSS.
Nagbibigay-daan ito sa iyo na pansamantalang mag-claim ng 90% ng iyong regular na suweldo.")</f>
        <v>Kung naubos mo na ang lahat ng bayad mo sa sick leave at incentive leave, maaari kang mag-apply para sa sick leave ng SSS.
Nagbibigay-daan ito sa iyo na pansamantalang mag-claim ng 90% ng iyong regular na suweldo.</v>
      </c>
      <c r="F1381" s="2">
        <f t="shared" si="1"/>
        <v>0</v>
      </c>
      <c r="G1381" s="2"/>
      <c r="H1381" s="2"/>
      <c r="I1381" s="2"/>
      <c r="J1381" s="2"/>
      <c r="K1381" s="2"/>
      <c r="L1381" s="2"/>
      <c r="M1381" s="2"/>
      <c r="N1381" s="2"/>
      <c r="O1381" s="2"/>
      <c r="P1381" s="2"/>
      <c r="Q1381" s="2"/>
      <c r="R1381" s="2"/>
      <c r="S1381" s="2"/>
      <c r="T1381" s="2"/>
      <c r="U1381" s="2"/>
      <c r="V1381" s="2"/>
      <c r="W1381" s="2"/>
      <c r="X1381" s="2"/>
      <c r="Y1381" s="2"/>
      <c r="Z1381" s="2"/>
      <c r="AA1381" s="2"/>
    </row>
    <row r="1382">
      <c r="A1382" s="1" t="s">
        <v>3857</v>
      </c>
      <c r="B1382" s="1" t="s">
        <v>3930</v>
      </c>
      <c r="C1382" s="1" t="s">
        <v>3931</v>
      </c>
      <c r="D1382" s="2" t="str">
        <f>IFERROR(__xludf.DUMMYFUNCTION("GOOGLETRANSLATE(B1382, ""en"", ""TL"")"),"Maaari bang i-convert sa cash ang hindi nagamit na bakasyon sa bakasyon?")</f>
        <v>Maaari bang i-convert sa cash ang hindi nagamit na bakasyon sa bakasyon?</v>
      </c>
      <c r="E1382" s="2" t="str">
        <f>IFERROR(__xludf.DUMMYFUNCTION("GOOGLETRANSLATE(C1382, ""en"", ""TL"")"),"Hindi.
Nalalapat lang ang conversion ng bakasyon hanggang sa 5 binabayarang araw ng bakasyon bawat taon.
Kung ang empleyado ay nakatanggap ng higit pa at ito ay hindi bababa sa limang araw, walang karagdagang palitan ng pera ang papayagan maliban kung ang"&amp;" isang paborableng patakaran ng kumpanya ay inilagay.")</f>
        <v>Hindi.
Nalalapat lang ang conversion ng bakasyon hanggang sa 5 binabayarang araw ng bakasyon bawat taon.
Kung ang empleyado ay nakatanggap ng higit pa at ito ay hindi bababa sa limang araw, walang karagdagang palitan ng pera ang papayagan maliban kung ang isang paborableng patakaran ng kumpanya ay inilagay.</v>
      </c>
      <c r="F1382" s="2">
        <f t="shared" si="1"/>
        <v>0</v>
      </c>
      <c r="G1382" s="2"/>
      <c r="H1382" s="2"/>
      <c r="I1382" s="2"/>
      <c r="J1382" s="2"/>
      <c r="K1382" s="2"/>
      <c r="L1382" s="2"/>
      <c r="M1382" s="2"/>
      <c r="N1382" s="2"/>
      <c r="O1382" s="2"/>
      <c r="P1382" s="2"/>
      <c r="Q1382" s="2"/>
      <c r="R1382" s="2"/>
      <c r="S1382" s="2"/>
      <c r="T1382" s="2"/>
      <c r="U1382" s="2"/>
      <c r="V1382" s="2"/>
      <c r="W1382" s="2"/>
      <c r="X1382" s="2"/>
      <c r="Y1382" s="2"/>
      <c r="Z1382" s="2"/>
      <c r="AA1382" s="2"/>
    </row>
    <row r="1383">
      <c r="A1383" s="1" t="s">
        <v>3857</v>
      </c>
      <c r="B1383" s="1" t="s">
        <v>3932</v>
      </c>
      <c r="C1383" s="1" t="s">
        <v>3933</v>
      </c>
      <c r="D1383" s="2" t="str">
        <f>IFERROR(__xludf.DUMMYFUNCTION("GOOGLETRANSLATE(B1383, ""en"", ""TL"")"),"Paano tinutukoy at nakaiskedyul ang mga araw ng sapilitang bakasyon?")</f>
        <v>Paano tinutukoy at nakaiskedyul ang mga araw ng sapilitang bakasyon?</v>
      </c>
      <c r="E1383" s="2" t="str">
        <f>IFERROR(__xludf.DUMMYFUNCTION("GOOGLETRANSLATE(C1383, ""en"", ""TL"")"),"Ang sapilitang bakasyon ay kapag ang isang empleyado ay tumatagal ng ilang araw o linggong pahinga at dapat umalis sa kumpanya upang magamit ang kanilang mga kredito sa bakasyon (kung mayroon man).
▪Dapat abisuhan ng employer ang kanyang DOLE tungkol sa p"&amp;"agpapakilala ng naturang flexible working arrangement.
1.
Mga Konsepto Ang sapilitang bakasyon ay tumutukoy sa kapag ang isang empleyado ay dapat umalis sa kumpanya upang magpahinga ng ilang araw o linggo gamit ang kanilang mga kredito sa bakasyon (kung m"&amp;"ayroon man).
2.
Pamamahala Ang mga partido sa isang flexible working arrangement ay pangunahing responsable para sa pamamahala nito.
(Bahagi IV, Seksyon 1, supra) Kung sakaling magkaroon ng pagkakaiba sa interpretasyon, ang mga sumusunod na alituntunin ay"&amp;" dapat sundin: 1) Ang pagkakaiba ay dapat isampa bilang isang reklamo sa ilalim ng aming naaangkop na mekanismo ng karaingan.
ay gagamutin.
2) Kung ang mekanismo ng karaingan ay wala o hindi sapat, ang mga karaingan ay ipapasa sa lokal na tanggapan na may"&amp;" hurisdiksyon sa lugar ng trabaho upang mapadali ang naaangkop na pamamagitan.
3) Upang mapadali ang pagresolba ng mga karaingan, ang mga tagapag-empleyo ay dapat magpanatili at magpanatili ng mga kinakailangan sa dokumentasyon bilang bahagi ng kanilang m"&amp;"ga talaan upang ipakita na ang mga flexible na kaayusan sa trabaho ay boluntaryong pinagtibay.
3.
Abiso sa DOLE Dapat ipaalam ng mga Employer sa [DOLE], sa pamamagitan ng tanggapang panrehiyon na may hurisdiksyon sa lugar ng trabaho, ang pagpapakilala ng "&amp;"nabanggit sa itaas na nababaluktot na mga kondisyon sa pagtatrabaho .")</f>
        <v>Ang sapilitang bakasyon ay kapag ang isang empleyado ay tumatagal ng ilang araw o linggong pahinga at dapat umalis sa kumpanya upang magamit ang kanilang mga kredito sa bakasyon (kung mayroon man).
▪Dapat abisuhan ng employer ang kanyang DOLE tungkol sa pagpapakilala ng naturang flexible working arrangement.
1.
Mga Konsepto Ang sapilitang bakasyon ay tumutukoy sa kapag ang isang empleyado ay dapat umalis sa kumpanya upang magpahinga ng ilang araw o linggo gamit ang kanilang mga kredito sa bakasyon (kung mayroon man).
2.
Pamamahala Ang mga partido sa isang flexible working arrangement ay pangunahing responsable para sa pamamahala nito.
(Bahagi IV, Seksyon 1, supra) Kung sakaling magkaroon ng pagkakaiba sa interpretasyon, ang mga sumusunod na alituntunin ay dapat sundin: 1) Ang pagkakaiba ay dapat isampa bilang isang reklamo sa ilalim ng aming naaangkop na mekanismo ng karaingan.
ay gagamutin.
2) Kung ang mekanismo ng karaingan ay wala o hindi sapat, ang mga karaingan ay ipapasa sa lokal na tanggapan na may hurisdiksyon sa lugar ng trabaho upang mapadali ang naaangkop na pamamagitan.
3) Upang mapadali ang pagresolba ng mga karaingan, ang mga tagapag-empleyo ay dapat magpanatili at magpanatili ng mga kinakailangan sa dokumentasyon bilang bahagi ng kanilang mga talaan upang ipakita na ang mga flexible na kaayusan sa trabaho ay boluntaryong pinagtibay.
3.
Abiso sa DOLE Dapat ipaalam ng mga Employer sa [DOLE], sa pamamagitan ng tanggapang panrehiyon na may hurisdiksyon sa lugar ng trabaho, ang pagpapakilala ng nabanggit sa itaas na nababaluktot na mga kondisyon sa pagtatrabaho .</v>
      </c>
      <c r="F1383" s="2">
        <f t="shared" si="1"/>
        <v>0</v>
      </c>
      <c r="G1383" s="2"/>
      <c r="H1383" s="2"/>
      <c r="I1383" s="2"/>
      <c r="J1383" s="2"/>
      <c r="K1383" s="2"/>
      <c r="L1383" s="2"/>
      <c r="M1383" s="2"/>
      <c r="N1383" s="2"/>
      <c r="O1383" s="2"/>
      <c r="P1383" s="2"/>
      <c r="Q1383" s="2"/>
      <c r="R1383" s="2"/>
      <c r="S1383" s="2"/>
      <c r="T1383" s="2"/>
      <c r="U1383" s="2"/>
      <c r="V1383" s="2"/>
      <c r="W1383" s="2"/>
      <c r="X1383" s="2"/>
      <c r="Y1383" s="2"/>
      <c r="Z1383" s="2"/>
      <c r="AA1383" s="2"/>
    </row>
    <row r="1384">
      <c r="A1384" s="1" t="s">
        <v>3857</v>
      </c>
      <c r="B1384" s="1" t="s">
        <v>3934</v>
      </c>
      <c r="C1384" s="1" t="s">
        <v>3935</v>
      </c>
      <c r="D1384" s="2" t="str">
        <f>IFERROR(__xludf.DUMMYFUNCTION("GOOGLETRANSLATE(B1384, ""en"", ""TL"")"),"Ano ang mga kahihinatnan ng hindi pag-file ng mga aplikasyon ng leave sa oras?")</f>
        <v>Ano ang mga kahihinatnan ng hindi pag-file ng mga aplikasyon ng leave sa oras?</v>
      </c>
      <c r="E1384" s="2" t="str">
        <f>IFERROR(__xludf.DUMMYFUNCTION("GOOGLETRANSLATE(C1384, ""en"", ""TL"")"),"Sa Pilipinas, maaaring magkaroon ng ilang malubhang kahihinatnan para sa hindi pagsusumite ng iyong aplikasyon sa leave sa oras.
Tingnan natin ang mga ito nang maigi: Absence Without Leave (AWOL): Kung ang isang empleyado ay kumuha ng leave nang walang ta"&amp;"mang awtorisasyon o nabigo na magsumite ng kahilingan para sa leave, ito ay itinuturing na absent without leave.
Maaari kang ituring na lumiban sa trabaho (AWOL).
Ang AWOL status ay nangangahulugan na ang isang empleyado ay wala sa trabaho nang walang was"&amp;"tong dahilan o pahintulot.
Ang mga kahihinatnan ng pagiging AWOL ay maaaring kabilang ang: Mga Pagbawas sa Payroll: Ang isang empleyado na AWOL ay maaaring hindi makatanggap ng suweldo sa panahon ng AWOL12.
Balanse sa Bakasyon: Bagama't hindi ibinabawas a"&amp;"ng mga araw ng AWOL sa iyong naipon na balanse sa bakasyon, mahalagang iwasan ang sitwasyong ito2.
Pagtanggal: Ang paulit-ulit na AWOL ay maaaring humantong sa pagwawakas ng relasyon sa trabaho34.
Kinakailangan sa Pag-apruba: Ang mga empleyado ay dapat ku"&amp;"muha ng pag-apruba ng employer bago kumuha ng bakasyon.
Ang pagkabigong makakuha ng pahintulot ay maaaring magresulta sa AWOL at kaugnay na mga kahihinatnan3.
Legal na Balangkas: Ang Omnibus Regulations on Leave (CSC MC No.
41, S.
1998) ay nagbibigay ng m"&amp;"ga probisyon ng bakasyon para sa mga tagapaglingkod sibil.
Tinutukoy ng mga regulasyong ito ang iba't ibang uri ng bakasyon (hal.
maternity leave) at magtatag ng mga pamamaraan para sa paghiling at pagbibigay ng leave5.
Nakipag-usap kami sa 4,444 Human Re"&amp;"sources Management Officers (HRMOs) para pagbutihin ang mga pagbabago sa leave na ito.")</f>
        <v>Sa Pilipinas, maaaring magkaroon ng ilang malubhang kahihinatnan para sa hindi pagsusumite ng iyong aplikasyon sa leave sa oras.
Tingnan natin ang mga ito nang maigi: Absence Without Leave (AWOL): Kung ang isang empleyado ay kumuha ng leave nang walang tamang awtorisasyon o nabigo na magsumite ng kahilingan para sa leave, ito ay itinuturing na absent without leave.
Maaari kang ituring na lumiban sa trabaho (AWOL).
Ang AWOL status ay nangangahulugan na ang isang empleyado ay wala sa trabaho nang walang wastong dahilan o pahintulot.
Ang mga kahihinatnan ng pagiging AWOL ay maaaring kabilang ang: Mga Pagbawas sa Payroll: Ang isang empleyado na AWOL ay maaaring hindi makatanggap ng suweldo sa panahon ng AWOL12.
Balanse sa Bakasyon: Bagama't hindi ibinabawas ang mga araw ng AWOL sa iyong naipon na balanse sa bakasyon, mahalagang iwasan ang sitwasyong ito2.
Pagtanggal: Ang paulit-ulit na AWOL ay maaaring humantong sa pagwawakas ng relasyon sa trabaho34.
Kinakailangan sa Pag-apruba: Ang mga empleyado ay dapat kumuha ng pag-apruba ng employer bago kumuha ng bakasyon.
Ang pagkabigong makakuha ng pahintulot ay maaaring magresulta sa AWOL at kaugnay na mga kahihinatnan3.
Legal na Balangkas: Ang Omnibus Regulations on Leave (CSC MC No.
41, S.
1998) ay nagbibigay ng mga probisyon ng bakasyon para sa mga tagapaglingkod sibil.
Tinutukoy ng mga regulasyong ito ang iba't ibang uri ng bakasyon (hal.
maternity leave) at magtatag ng mga pamamaraan para sa paghiling at pagbibigay ng leave5.
Nakipag-usap kami sa 4,444 Human Resources Management Officers (HRMOs) para pagbutihin ang mga pagbabago sa leave na ito.</v>
      </c>
      <c r="F1384" s="2">
        <f t="shared" si="1"/>
        <v>0</v>
      </c>
      <c r="G1384" s="2"/>
      <c r="H1384" s="2"/>
      <c r="I1384" s="2"/>
      <c r="J1384" s="2"/>
      <c r="K1384" s="2"/>
      <c r="L1384" s="2"/>
      <c r="M1384" s="2"/>
      <c r="N1384" s="2"/>
      <c r="O1384" s="2"/>
      <c r="P1384" s="2"/>
      <c r="Q1384" s="2"/>
      <c r="R1384" s="2"/>
      <c r="S1384" s="2"/>
      <c r="T1384" s="2"/>
      <c r="U1384" s="2"/>
      <c r="V1384" s="2"/>
      <c r="W1384" s="2"/>
      <c r="X1384" s="2"/>
      <c r="Y1384" s="2"/>
      <c r="Z1384" s="2"/>
      <c r="AA1384" s="2"/>
    </row>
    <row r="1385">
      <c r="A1385" s="1" t="s">
        <v>3857</v>
      </c>
      <c r="B1385" s="1" t="s">
        <v>3936</v>
      </c>
      <c r="C1385" s="1" t="s">
        <v>3937</v>
      </c>
      <c r="D1385" s="2" t="str">
        <f>IFERROR(__xludf.DUMMYFUNCTION("GOOGLETRANSLATE(B1385, ""en"", ""TL"")"),"Sino ang may pananagutan sa pagsakop sa suweldo ng empleyado sa iba't ibang uri ng bakasyon?")</f>
        <v>Sino ang may pananagutan sa pagsakop sa suweldo ng empleyado sa iba't ibang uri ng bakasyon?</v>
      </c>
      <c r="E1385" s="2" t="str">
        <f>IFERROR(__xludf.DUMMYFUNCTION("GOOGLETRANSLATE(C1385, ""en"", ""TL"")"),"Sa Pilipinas, ang responsibilidad sa pagbabayad ng suweldo ng mga empleyado sa iba't ibang uri ng bakasyon ay nag-iiba depende sa uri ng bakasyon.
Tingnan natin ang mga detalye: Service Incentive Leave (SIL): Ang SIL ay ibinibigay sa isang empleyado na na"&amp;"katapos ng hindi bababa sa isang taon ng kanyang serbisyo sa parehong employer.
Responsable ang employer sa pagbabayad ng regular na suweldo ng empleyado sa panahon ng SIL.
Ang karapatan sa leave ay 5 araw bawat taon ng serbisyo1.
Sick Leave: Ang mga empl"&amp;"eyado ay may karapatan sa sick pay alinsunod sa mga probisyon ng batas.
Ang mga kumpanya ay dapat magbigay ng sick pay sa mga empleyadong nagkakasakit at nangangailangan ng pahinga para sa mga medikal na dahilan.
Sa panahon ng sick leave, ang empleyado ay"&amp;" tumatanggap ng regular na buwanang suweldo mula sa kumpanya, na bahagi nito ay sakop ng social security system na ""SSS""2.
Maternity Leave: Sa panahon ng maternity leave, binabayaran ng employer ang regular na buwanang suweldo ng empleyado.
Nagbibigay d"&amp;"in ang SSS ng mga maternity benefits, ang bahagi nito ay binabayaran ng employer3.
Parental Leave: Ang mga lalaking empleyado ay may karapatan sa parental leave.
Responsable ang mga employer sa pagbabayad ng suweldo ng empleyado habang nasa parental leave"&amp;".
Espesyal na bakasyon para sa mga kababaihan: Kasama sa bakasyon na ito ang mga karagdagang araw para sa mga babaeng sumasailalim sa operasyon para sa mga kondisyong ginekologiko.
Sa panahon ng espesyal na bakasyon para sa mga kababaihan, binabayaran ng "&amp;"employer ang suweldo ng empleyado.
Single Parent Leave: Ang mga solong magulang ay may karapatan sa 7 araw ng trabaho ng bakasyon bawat taon.
Responsable ang mga employer sa pagbabayad ng regular na suweldo ng empleyado habang nasa parental leave.
Other L"&amp;"eave: Ang holiday leave, beeavement leave, emergency o special leave, at study leave ay maaaring ibigay ng employer sa ilalim ng kontrata sa pagtatrabaho o patakaran ng kumpanya.
Babayaran ng employer ang suweldo ng empleyado sa mga pag-alis na ito ayon s"&amp;"a mga regulasyon ng kumpanya.
Pakitandaan na ang mga probisyong ito ay nakabatay sa Philippine Labor Code at iba pang nauugnay na batas.
Dapat sumunod ang mga employer sa mga regulasyong ito upang matiyak ang patas na pagtrato at naaangkop na suweldo ng m"&amp;"ga empleyado sa panahon ng iba't ibang uri ng leave1")</f>
        <v>Sa Pilipinas, ang responsibilidad sa pagbabayad ng suweldo ng mga empleyado sa iba't ibang uri ng bakasyon ay nag-iiba depende sa uri ng bakasyon.
Tingnan natin ang mga detalye: Service Incentive Leave (SIL): Ang SIL ay ibinibigay sa isang empleyado na nakatapos ng hindi bababa sa isang taon ng kanyang serbisyo sa parehong employer.
Responsable ang employer sa pagbabayad ng regular na suweldo ng empleyado sa panahon ng SIL.
Ang karapatan sa leave ay 5 araw bawat taon ng serbisyo1.
Sick Leave: Ang mga empleyado ay may karapatan sa sick pay alinsunod sa mga probisyon ng batas.
Ang mga kumpanya ay dapat magbigay ng sick pay sa mga empleyadong nagkakasakit at nangangailangan ng pahinga para sa mga medikal na dahilan.
Sa panahon ng sick leave, ang empleyado ay tumatanggap ng regular na buwanang suweldo mula sa kumpanya, na bahagi nito ay sakop ng social security system na "SSS"2.
Maternity Leave: Sa panahon ng maternity leave, binabayaran ng employer ang regular na buwanang suweldo ng empleyado.
Nagbibigay din ang SSS ng mga maternity benefits, ang bahagi nito ay binabayaran ng employer3.
Parental Leave: Ang mga lalaking empleyado ay may karapatan sa parental leave.
Responsable ang mga employer sa pagbabayad ng suweldo ng empleyado habang nasa parental leave.
Espesyal na bakasyon para sa mga kababaihan: Kasama sa bakasyon na ito ang mga karagdagang araw para sa mga babaeng sumasailalim sa operasyon para sa mga kondisyong ginekologiko.
Sa panahon ng espesyal na bakasyon para sa mga kababaihan, binabayaran ng employer ang suweldo ng empleyado.
Single Parent Leave: Ang mga solong magulang ay may karapatan sa 7 araw ng trabaho ng bakasyon bawat taon.
Responsable ang mga employer sa pagbabayad ng regular na suweldo ng empleyado habang nasa parental leave.
Other Leave: Ang holiday leave, beeavement leave, emergency o special leave, at study leave ay maaaring ibigay ng employer sa ilalim ng kontrata sa pagtatrabaho o patakaran ng kumpanya.
Babayaran ng employer ang suweldo ng empleyado sa mga pag-alis na ito ayon sa mga regulasyon ng kumpanya.
Pakitandaan na ang mga probisyong ito ay nakabatay sa Philippine Labor Code at iba pang nauugnay na batas.
Dapat sumunod ang mga employer sa mga regulasyong ito upang matiyak ang patas na pagtrato at naaangkop na suweldo ng mga empleyado sa panahon ng iba't ibang uri ng leave1</v>
      </c>
      <c r="F1385" s="2">
        <f t="shared" si="1"/>
        <v>0</v>
      </c>
      <c r="G1385" s="2"/>
      <c r="H1385" s="2"/>
      <c r="I1385" s="2"/>
      <c r="J1385" s="2"/>
      <c r="K1385" s="2"/>
      <c r="L1385" s="2"/>
      <c r="M1385" s="2"/>
      <c r="N1385" s="2"/>
      <c r="O1385" s="2"/>
      <c r="P1385" s="2"/>
      <c r="Q1385" s="2"/>
      <c r="R1385" s="2"/>
      <c r="S1385" s="2"/>
      <c r="T1385" s="2"/>
      <c r="U1385" s="2"/>
      <c r="V1385" s="2"/>
      <c r="W1385" s="2"/>
      <c r="X1385" s="2"/>
      <c r="Y1385" s="2"/>
      <c r="Z1385" s="2"/>
      <c r="AA1385" s="2"/>
    </row>
    <row r="1386">
      <c r="A1386" s="1" t="s">
        <v>3857</v>
      </c>
      <c r="B1386" s="1" t="s">
        <v>3938</v>
      </c>
      <c r="C1386" s="1" t="s">
        <v>3939</v>
      </c>
      <c r="D1386" s="2" t="str">
        <f>IFERROR(__xludf.DUMMYFUNCTION("GOOGLETRANSLATE(B1386, ""en"", ""TL"")"),"Para sa Espesyal na Privilege Leave, ano ang bumubuo sa ""mga personal na milestone"" at ""mga responsibilidad sa tahanan""?")</f>
        <v>Para sa Espesyal na Privilege Leave, ano ang bumubuo sa "mga personal na milestone" at "mga responsibilidad sa tahanan"?</v>
      </c>
      <c r="E1386" s="2" t="str">
        <f>IFERROR(__xludf.DUMMYFUNCTION("GOOGLETRANSLATE(C1386, ""en"", ""TL"")"),"Ang Special Privilege Leave (SPL) sa Pilipinas ay may sumusunod na kahulugan: Personal Milestone: Maaaring gamitin ang SPL upang markahan ang mga personal na milestone.
Ito ay mga mahahalagang kaganapan at tagumpay sa buhay ng empleyado.
Ang mga partikula"&amp;"r na halimbawa ay hindi malinaw na tinukoy, ngunit maaaring may kasamang mga bagay tulad ng mga kaarawan, anibersaryo, at iba pang mga kilalang personal na kaganapan.
Mga Domestic Mission: Ang SPL ay maaari ding gamitin para magsagawa ng mga domestic miss"&amp;"ion.
Ang mga responsibilidad na ito ay nauugnay sa mga isyu sa pamilya, pangangalaga, o iba pang mga obligasyon sa pamilya.
Muli, ang eksaktong mga detalye ay hindi malinaw na nakasaad, ngunit kasama ang mga tungkulin na may kaugnayan sa buhay pamilya at "&amp;"mga gawaing bahay.
Pakitandaan na may ilang limitasyon ang SPL.
Ang isang empleyado ay may karapatan sa hanggang tatlo sa kanyang mga araw ng SPL bawat taon at maaaring kunin nang magkasunod o kasama ng iba pang bakasyon.")</f>
        <v>Ang Special Privilege Leave (SPL) sa Pilipinas ay may sumusunod na kahulugan: Personal Milestone: Maaaring gamitin ang SPL upang markahan ang mga personal na milestone.
Ito ay mga mahahalagang kaganapan at tagumpay sa buhay ng empleyado.
Ang mga partikular na halimbawa ay hindi malinaw na tinukoy, ngunit maaaring may kasamang mga bagay tulad ng mga kaarawan, anibersaryo, at iba pang mga kilalang personal na kaganapan.
Mga Domestic Mission: Ang SPL ay maaari ding gamitin para magsagawa ng mga domestic mission.
Ang mga responsibilidad na ito ay nauugnay sa mga isyu sa pamilya, pangangalaga, o iba pang mga obligasyon sa pamilya.
Muli, ang eksaktong mga detalye ay hindi malinaw na nakasaad, ngunit kasama ang mga tungkulin na may kaugnayan sa buhay pamilya at mga gawaing bahay.
Pakitandaan na may ilang limitasyon ang SPL.
Ang isang empleyado ay may karapatan sa hanggang tatlo sa kanyang mga araw ng SPL bawat taon at maaaring kunin nang magkasunod o kasama ng iba pang bakasyon.</v>
      </c>
      <c r="F1386" s="2">
        <f t="shared" si="1"/>
        <v>0</v>
      </c>
      <c r="G1386" s="2"/>
      <c r="H1386" s="2"/>
      <c r="I1386" s="2"/>
      <c r="J1386" s="2"/>
      <c r="K1386" s="2"/>
      <c r="L1386" s="2"/>
      <c r="M1386" s="2"/>
      <c r="N1386" s="2"/>
      <c r="O1386" s="2"/>
      <c r="P1386" s="2"/>
      <c r="Q1386" s="2"/>
      <c r="R1386" s="2"/>
      <c r="S1386" s="2"/>
      <c r="T1386" s="2"/>
      <c r="U1386" s="2"/>
      <c r="V1386" s="2"/>
      <c r="W1386" s="2"/>
      <c r="X1386" s="2"/>
      <c r="Y1386" s="2"/>
      <c r="Z1386" s="2"/>
      <c r="AA1386" s="2"/>
    </row>
    <row r="1387">
      <c r="A1387" s="1" t="s">
        <v>3857</v>
      </c>
      <c r="B1387" s="1" t="s">
        <v>3940</v>
      </c>
      <c r="C1387" s="1" t="s">
        <v>3941</v>
      </c>
      <c r="D1387" s="2" t="str">
        <f>IFERROR(__xludf.DUMMYFUNCTION("GOOGLETRANSLATE(B1387, ""en"", ""TL"")"),"Maaari bang palawigin ang rehabilitation leave nang lampas sa 6 na buwan na may wastong dokumentasyon?")</f>
        <v>Maaari bang palawigin ang rehabilitation leave nang lampas sa 6 na buwan na may wastong dokumentasyon?</v>
      </c>
      <c r="E1387" s="2" t="str">
        <f>IFERROR(__xludf.DUMMYFUNCTION("GOOGLETRANSLATE(C1387, ""en"", ""TL"")"),"Ang pribilehiyo ng rehabilitation leave sa Pilipinas ay isang benepisyong ibinibigay sa mga pampublikong tagapaglingkod na nasugatan habang nasa tungkulin.
Alamin ang higit pa: Sino ang karapat-dapat?
Lahat ng mga empleyado ng gobyerno na may permanenteng"&amp;", pansamantala, pansamantala o mga appointment sa kontrata (kabilang ang mga may fixed-term na appointment) ay karapat-dapat na lumahok .
Gayunpaman, ang mga consultant at mga taong nagtatrabaho sa ilalim ng isang kontrata ng serbisyo o outsourcing ay hin"&amp;"di napapailalim sa pribilehiyong ito.
Ano ang kasama sa benepisyo sa rehabilitasyon?
Sa rekomendasyon ng isang medikal na tagapagkaloob, matatanggap ng mga apektadong empleyado ang kanilang buong suweldo sa panahon ng paggamot, pagbawi, at rehabilitasyon."&amp;"
Bukod pa rito, mayroong reimbursement na hanggang ₱5,000.
00 para sa paunang gastos sa pagpapagamot1.
Tagal ng Rehabilitation Leave: Ang mga Pribilehiyo sa Rehabilitation Leave ay hindi lalampas sa 6 na buwan.
Sa panahong ito, ang naipon na sick leave o "&amp;"mga kredito sa bakasyon ng empleyado ay pinananatili, ngunit walang karagdagang mga kredito sa bakasyon o sick leave ang naipon sa empleyado1.
Mga kinakailangan para sa isang ""aksidente habang nasa opisyal na tungkulin"": Ang aksidente ay dapat na nangya"&amp;"ri habang ang empleyado ay nasa tungkulin: a.
Magsagawa ng mga opisyal na tungkulin.
B.
Para sa paglalakbay sa negosyo, inaprubahang overtime, mga espesyal na takdang-aralin o mga espesyal na takdang-aralin1.
Pakitandaan na ang wastong dokumentasyon ay ma"&amp;"halaga kapag kinukuha ang pribilehiyong ito.
Kung kailangan mong mag-apply para sa rehabilitation leave, mangyaring tiyaking magsumite ng mga nauugnay na ulat tulad ng: B.
Mag-file ng ulat ng pulisya (kung naaangkop).
Para sa karagdagang impormasyon, ting"&amp;"nan ang Joint Circular No.
01 ng Public Service Commission at ng Department of Budget and Management.
taong 2006")</f>
        <v>Ang pribilehiyo ng rehabilitation leave sa Pilipinas ay isang benepisyong ibinibigay sa mga pampublikong tagapaglingkod na nasugatan habang nasa tungkulin.
Alamin ang higit pa: Sino ang karapat-dapat?
Lahat ng mga empleyado ng gobyerno na may permanenteng, pansamantala, pansamantala o mga appointment sa kontrata (kabilang ang mga may fixed-term na appointment) ay karapat-dapat na lumahok .
Gayunpaman, ang mga consultant at mga taong nagtatrabaho sa ilalim ng isang kontrata ng serbisyo o outsourcing ay hindi napapailalim sa pribilehiyong ito.
Ano ang kasama sa benepisyo sa rehabilitasyon?
Sa rekomendasyon ng isang medikal na tagapagkaloob, matatanggap ng mga apektadong empleyado ang kanilang buong suweldo sa panahon ng paggamot, pagbawi, at rehabilitasyon.
Bukod pa rito, mayroong reimbursement na hanggang ₱5,000.
00 para sa paunang gastos sa pagpapagamot1.
Tagal ng Rehabilitation Leave: Ang mga Pribilehiyo sa Rehabilitation Leave ay hindi lalampas sa 6 na buwan.
Sa panahong ito, ang naipon na sick leave o mga kredito sa bakasyon ng empleyado ay pinananatili, ngunit walang karagdagang mga kredito sa bakasyon o sick leave ang naipon sa empleyado1.
Mga kinakailangan para sa isang "aksidente habang nasa opisyal na tungkulin": Ang aksidente ay dapat na nangyari habang ang empleyado ay nasa tungkulin: a.
Magsagawa ng mga opisyal na tungkulin.
B.
Para sa paglalakbay sa negosyo, inaprubahang overtime, mga espesyal na takdang-aralin o mga espesyal na takdang-aralin1.
Pakitandaan na ang wastong dokumentasyon ay mahalaga kapag kinukuha ang pribilehiyong ito.
Kung kailangan mong mag-apply para sa rehabilitation leave, mangyaring tiyaking magsumite ng mga nauugnay na ulat tulad ng: B.
Mag-file ng ulat ng pulisya (kung naaangkop).
Para sa karagdagang impormasyon, tingnan ang Joint Circular No.
01 ng Public Service Commission at ng Department of Budget and Management.
taong 2006</v>
      </c>
      <c r="F1387" s="2">
        <f t="shared" si="1"/>
        <v>0</v>
      </c>
      <c r="G1387" s="2"/>
      <c r="H1387" s="2"/>
      <c r="I1387" s="2"/>
      <c r="J1387" s="2"/>
      <c r="K1387" s="2"/>
      <c r="L1387" s="2"/>
      <c r="M1387" s="2"/>
      <c r="N1387" s="2"/>
      <c r="O1387" s="2"/>
      <c r="P1387" s="2"/>
      <c r="Q1387" s="2"/>
      <c r="R1387" s="2"/>
      <c r="S1387" s="2"/>
      <c r="T1387" s="2"/>
      <c r="U1387" s="2"/>
      <c r="V1387" s="2"/>
      <c r="W1387" s="2"/>
      <c r="X1387" s="2"/>
      <c r="Y1387" s="2"/>
      <c r="Z1387" s="2"/>
      <c r="AA1387" s="2"/>
    </row>
    <row r="1388">
      <c r="A1388" s="1" t="s">
        <v>3857</v>
      </c>
      <c r="B1388" s="1" t="s">
        <v>3942</v>
      </c>
      <c r="C1388" s="1" t="s">
        <v>3943</v>
      </c>
      <c r="D1388" s="2" t="str">
        <f>IFERROR(__xludf.DUMMYFUNCTION("GOOGLETRANSLATE(B1388, ""en"", ""TL"")"),"Available din ba ang paternity leave kung ang ama ay nag-ampon ng anak?")</f>
        <v>Available din ba ang paternity leave kung ang ama ay nag-ampon ng anak?</v>
      </c>
      <c r="E1388" s="2" t="str">
        <f>IFERROR(__xludf.DUMMYFUNCTION("GOOGLETRANSLATE(C1388, ""en"", ""TL"")"),"Hindi tulad ng maternity leave, na partikular na binanggit sa Philippine Labor Code, hindi ito nalalapat sa parental leave.
Pero huwag kang mag-alala.
May mga batas na nagbibigay sa mga bagong ama ng paternity leave.")</f>
        <v>Hindi tulad ng maternity leave, na partikular na binanggit sa Philippine Labor Code, hindi ito nalalapat sa parental leave.
Pero huwag kang mag-alala.
May mga batas na nagbibigay sa mga bagong ama ng paternity leave.</v>
      </c>
      <c r="F1388" s="2">
        <f t="shared" si="1"/>
        <v>0</v>
      </c>
      <c r="G1388" s="2"/>
      <c r="H1388" s="2"/>
      <c r="I1388" s="2"/>
      <c r="J1388" s="2"/>
      <c r="K1388" s="2"/>
      <c r="L1388" s="2"/>
      <c r="M1388" s="2"/>
      <c r="N1388" s="2"/>
      <c r="O1388" s="2"/>
      <c r="P1388" s="2"/>
      <c r="Q1388" s="2"/>
      <c r="R1388" s="2"/>
      <c r="S1388" s="2"/>
      <c r="T1388" s="2"/>
      <c r="U1388" s="2"/>
      <c r="V1388" s="2"/>
      <c r="W1388" s="2"/>
      <c r="X1388" s="2"/>
      <c r="Y1388" s="2"/>
      <c r="Z1388" s="2"/>
      <c r="AA1388" s="2"/>
    </row>
    <row r="1389">
      <c r="A1389" s="1" t="s">
        <v>3857</v>
      </c>
      <c r="B1389" s="1" t="s">
        <v>3944</v>
      </c>
      <c r="C1389" s="1" t="s">
        <v>3945</v>
      </c>
      <c r="D1389" s="2" t="str">
        <f>IFERROR(__xludf.DUMMYFUNCTION("GOOGLETRANSLATE(B1389, ""en"", ""TL"")"),"Anong uri ng operasyon ang kwalipikado sa ilalim ng Special Leave for Women?")</f>
        <v>Anong uri ng operasyon ang kwalipikado sa ilalim ng Special Leave for Women?</v>
      </c>
      <c r="E1389" s="2" t="str">
        <f>IFERROR(__xludf.DUMMYFUNCTION("GOOGLETRANSLATE(C1389, ""en"", ""TL"")"),"Maaari kang makatanggap ng espesyal na bakasyon ng MCW para sa gynecological surgery hangga't ang kabuuang panahon ay hindi lalampas sa 60 araw sa kalendaryo bawat taon.")</f>
        <v>Maaari kang makatanggap ng espesyal na bakasyon ng MCW para sa gynecological surgery hangga't ang kabuuang panahon ay hindi lalampas sa 60 araw sa kalendaryo bawat taon.</v>
      </c>
      <c r="F1389" s="2">
        <f t="shared" si="1"/>
        <v>0</v>
      </c>
      <c r="G1389" s="2"/>
      <c r="H1389" s="2"/>
      <c r="I1389" s="2"/>
      <c r="J1389" s="2"/>
      <c r="K1389" s="2"/>
      <c r="L1389" s="2"/>
      <c r="M1389" s="2"/>
      <c r="N1389" s="2"/>
      <c r="O1389" s="2"/>
      <c r="P1389" s="2"/>
      <c r="Q1389" s="2"/>
      <c r="R1389" s="2"/>
      <c r="S1389" s="2"/>
      <c r="T1389" s="2"/>
      <c r="U1389" s="2"/>
      <c r="V1389" s="2"/>
      <c r="W1389" s="2"/>
      <c r="X1389" s="2"/>
      <c r="Y1389" s="2"/>
      <c r="Z1389" s="2"/>
      <c r="AA1389" s="2"/>
    </row>
    <row r="1390">
      <c r="A1390" s="1" t="s">
        <v>3857</v>
      </c>
      <c r="B1390" s="1" t="s">
        <v>3946</v>
      </c>
      <c r="C1390" s="1" t="s">
        <v>3947</v>
      </c>
      <c r="D1390" s="2" t="str">
        <f>IFERROR(__xludf.DUMMYFUNCTION("GOOGLETRANSLATE(B1390, ""en"", ""TL"")"),"Maaari bang magkasunod na kumuha ng Family/Home Visit Privilege ang mga empleyadong nakatalaga sa labas ng kanilang tirahan?")</f>
        <v>Maaari bang magkasunod na kumuha ng Family/Home Visit Privilege ang mga empleyadong nakatalaga sa labas ng kanilang tirahan?</v>
      </c>
      <c r="E1390" s="2" t="str">
        <f>IFERROR(__xludf.DUMMYFUNCTION("GOOGLETRANSLATE(C1390, ""en"", ""TL"")"),"tiyak!
Ang Family/Home Visiting Privilege (FHVP) ay isang benepisyong ipinagkaloob sa mga may hawak ng posisyon ng Career Executive Services (CES) sa Pilipinas.
Narito ang ilang mahahalagang punto tungkol sa FHVP: Layunin: Layunin ng FHVP na bawasan ang e"&amp;"pekto ng deportasyon sa mga pampublikong empleyado na inilalagay sa mga takdang-aralin sa trabaho na malayo sa kanilang mga tahanan at pamilya.
Pagiging Karapat-dapat: Nalalapat sa kanyang mga tauhan ng CES na nakatalaga nang hindi bababa sa 50 kilometro "&amp;"mula sa bahay o kung saan kinakailangan ang paglalakbay sa pamamagitan ng dagat o himpapawid.
Dalas: Ang isang opisyal ng CES ay maaaring mag-avail ng kanyang FHVP isang beses bawat buwan.
Bayad na Pagbisita: Ito ay isang bayad na pagbisita sa pamilya na "&amp;"nagpapahintulot sa opisyal na gumugol ng oras kasama ang pamilya.
Prinsipyo ng Mobility: Ang FHVP ay umaakma sa Prinsipyo ng Mobility sa loob ng ikatlong antas ng CES at nagbibigay-daan para sa muling pagtatalaga at paglipat sa interes ng pampublikong ser"&amp;"bisyo nang walang pagbabawas sa ranggo o suweldo.")</f>
        <v>tiyak!
Ang Family/Home Visiting Privilege (FHVP) ay isang benepisyong ipinagkaloob sa mga may hawak ng posisyon ng Career Executive Services (CES) sa Pilipinas.
Narito ang ilang mahahalagang punto tungkol sa FHVP: Layunin: Layunin ng FHVP na bawasan ang epekto ng deportasyon sa mga pampublikong empleyado na inilalagay sa mga takdang-aralin sa trabaho na malayo sa kanilang mga tahanan at pamilya.
Pagiging Karapat-dapat: Nalalapat sa kanyang mga tauhan ng CES na nakatalaga nang hindi bababa sa 50 kilometro mula sa bahay o kung saan kinakailangan ang paglalakbay sa pamamagitan ng dagat o himpapawid.
Dalas: Ang isang opisyal ng CES ay maaaring mag-avail ng kanyang FHVP isang beses bawat buwan.
Bayad na Pagbisita: Ito ay isang bayad na pagbisita sa pamilya na nagpapahintulot sa opisyal na gumugol ng oras kasama ang pamilya.
Prinsipyo ng Mobility: Ang FHVP ay umaakma sa Prinsipyo ng Mobility sa loob ng ikatlong antas ng CES at nagbibigay-daan para sa muling pagtatalaga at paglipat sa interes ng pampublikong serbisyo nang walang pagbabawas sa ranggo o suweldo.</v>
      </c>
      <c r="F1390" s="2">
        <f t="shared" si="1"/>
        <v>0</v>
      </c>
      <c r="G1390" s="2"/>
      <c r="H1390" s="2"/>
      <c r="I1390" s="2"/>
      <c r="J1390" s="2"/>
      <c r="K1390" s="2"/>
      <c r="L1390" s="2"/>
      <c r="M1390" s="2"/>
      <c r="N1390" s="2"/>
      <c r="O1390" s="2"/>
      <c r="P1390" s="2"/>
      <c r="Q1390" s="2"/>
      <c r="R1390" s="2"/>
      <c r="S1390" s="2"/>
      <c r="T1390" s="2"/>
      <c r="U1390" s="2"/>
      <c r="V1390" s="2"/>
      <c r="W1390" s="2"/>
      <c r="X1390" s="2"/>
      <c r="Y1390" s="2"/>
      <c r="Z1390" s="2"/>
      <c r="AA1390" s="2"/>
    </row>
    <row r="1391">
      <c r="A1391" s="1" t="s">
        <v>3857</v>
      </c>
      <c r="B1391" s="1" t="s">
        <v>3948</v>
      </c>
      <c r="C1391" s="1" t="s">
        <v>3949</v>
      </c>
      <c r="D1391" s="2" t="str">
        <f>IFERROR(__xludf.DUMMYFUNCTION("GOOGLETRANSLATE(B1391, ""en"", ""TL"")"),"Para sa mga kasong kriminal na pagtatanggol, nag-aalok ka ba ng iba't ibang mga rate depende sa kalubhaan ng mga singil?")</f>
        <v>Para sa mga kasong kriminal na pagtatanggol, nag-aalok ka ba ng iba't ibang mga rate depende sa kalubhaan ng mga singil?</v>
      </c>
      <c r="E1391" s="2" t="str">
        <f>IFERROR(__xludf.DUMMYFUNCTION("GOOGLETRANSLATE(C1391, ""en"", ""TL"")"),"Bagama't maaaring isaalang-alang ng mga legal na tagapayo ang kabigatan ng mga singil kapag nagtatakda ng kanilang mga gastos, hindi ito ang tanging pagpapasya sa pagkalkula. Narito ang isang breakdown:
Oo, ang kabigatan ng mga singil ay maaaring makaapek"&amp;"to sa mga gastos ng abogado para sa mga kaso ng depensang kriminal, ngunit hindi ito tulad ng kinakalkula. Ang ilang iba pang mga pananaw ay may mahalagang bahagi:
Ang pagiging kumplikado ng kaso:
Sa anumang kaso ng kaso, ang mga kumplikadong kaso na may "&amp;"malawak na patunay, maraming saksi, o kumplikadong mga lehitimong isyu ay karaniwang kukuha ng higit pa sa malinaw na mga kaso.
Engkwentro at katanyagan ng abogado:
Ang mga abogado na may malawak na pakikilahok at isang ipinakitang track record sa paghara"&amp;"p sa mga paghahambing na kaso ay regular na nag-uutos ng mas mataas na gastos.
Lugar:
Maaaring lumipat ang mga lehitimong gastos depende sa heyograpikong lugar dahil sa magkakaibang bahagi ng pananalapi at sa malapit na lehitimong showcase.
Pangako sa ora"&amp;"s:
Ang nasuri na kabuuan ng oras na inaasahan ng legal na tagapayo na mag-ambag sa iyong kaso ay maaaring makaapekto sa buong bayad.
Sa ganitong paraan, mali na sabihin ang mga legal na tagapayo nang direkta at eksklusibong ibinatay ang kanilang mga gasto"&amp;"s sa kalubhaan ng mga pagsingil. Bagama't maaaring isa itong kalkulahin sa kanilang karaniwang pag-iisip, ang kumbinasyon ng mga anggulong ito sa kalaunan ay magpapasya kung ano ang magiging resulta.")</f>
        <v>Bagama't maaaring isaalang-alang ng mga legal na tagapayo ang kabigatan ng mga singil kapag nagtatakda ng kanilang mga gastos, hindi ito ang tanging pagpapasya sa pagkalkula. Narito ang isang breakdown:
Oo, ang kabigatan ng mga singil ay maaaring makaapekto sa mga gastos ng abogado para sa mga kaso ng depensang kriminal, ngunit hindi ito tulad ng kinakalkula. Ang ilang iba pang mga pananaw ay may mahalagang bahagi:
Ang pagiging kumplikado ng kaso:
Sa anumang kaso ng kaso, ang mga kumplikadong kaso na may malawak na patunay, maraming saksi, o kumplikadong mga lehitimong isyu ay karaniwang kukuha ng higit pa sa malinaw na mga kaso.
Engkwentro at katanyagan ng abogado:
Ang mga abogado na may malawak na pakikilahok at isang ipinakitang track record sa pagharap sa mga paghahambing na kaso ay regular na nag-uutos ng mas mataas na gastos.
Lugar:
Maaaring lumipat ang mga lehitimong gastos depende sa heyograpikong lugar dahil sa magkakaibang bahagi ng pananalapi at sa malapit na lehitimong showcase.
Pangako sa oras:
Ang nasuri na kabuuan ng oras na inaasahan ng legal na tagapayo na mag-ambag sa iyong kaso ay maaaring makaapekto sa buong bayad.
Sa ganitong paraan, mali na sabihin ang mga legal na tagapayo nang direkta at eksklusibong ibinatay ang kanilang mga gastos sa kalubhaan ng mga pagsingil. Bagama't maaaring isa itong kalkulahin sa kanilang karaniwang pag-iisip, ang kumbinasyon ng mga anggulong ito sa kalaunan ay magpapasya kung ano ang magiging resulta.</v>
      </c>
      <c r="F1391" s="2">
        <f t="shared" si="1"/>
        <v>0</v>
      </c>
      <c r="G1391" s="2"/>
      <c r="H1391" s="2"/>
      <c r="I1391" s="2"/>
      <c r="J1391" s="2"/>
      <c r="K1391" s="2"/>
      <c r="L1391" s="2"/>
      <c r="M1391" s="2"/>
      <c r="N1391" s="2"/>
      <c r="O1391" s="2"/>
      <c r="P1391" s="2"/>
      <c r="Q1391" s="2"/>
      <c r="R1391" s="2"/>
      <c r="S1391" s="2"/>
      <c r="T1391" s="2"/>
      <c r="U1391" s="2"/>
      <c r="V1391" s="2"/>
      <c r="W1391" s="2"/>
      <c r="X1391" s="2"/>
      <c r="Y1391" s="2"/>
      <c r="Z1391" s="2"/>
      <c r="AA1391" s="2"/>
    </row>
    <row r="1392">
      <c r="A1392" s="1" t="s">
        <v>3857</v>
      </c>
      <c r="B1392" s="1" t="s">
        <v>3950</v>
      </c>
      <c r="C1392" s="1" t="s">
        <v>3951</v>
      </c>
      <c r="D1392" s="2" t="str">
        <f>IFERROR(__xludf.DUMMYFUNCTION("GOOGLETRANSLATE(B1392, ""en"", ""TL"")"),"Ano ang iba't ibang uri ng kontrata sa pagtatrabaho na kinikilala sa Pilipinas?")</f>
        <v>Ano ang iba't ibang uri ng kontrata sa pagtatrabaho na kinikilala sa Pilipinas?</v>
      </c>
      <c r="E1392" s="2" t="str">
        <f>IFERROR(__xludf.DUMMYFUNCTION("GOOGLETRANSLATE(C1392, ""en"", ""TL"")"),"Kinikilala ng sistemang legal ng Pilipinas ang ilang iba't ibang uri ng mga kontrata sa pagtatrabaho, bawat isa ay may sariling katangian at kahulugan.
1.
Regular na trabaho: Ito ang pinakakaraniwang uri ng kontrata sa pagtatrabaho at nagbibigay ng pinaka"&amp;"malaking seguridad at benepisyo sa empleyado.
Nalalapat sa mga empleyado na gumaganap ng kinakailangan o kanais-nais na mga gawain para sa isang hindi tiyak na panahon at ang patuloy na trabaho ay inaasahan.
2.
Panahon ng Pagsubok: Ito ay nagsisilbing pan"&amp;"ahon ng pagsubok para sa isang bagong empleyado, kadalasan siya ay nasa loob ng 6 na buwan.
Maaaring tasahin ng mga tagapag-empleyo ang pagiging angkop ng isang empleyado para sa permanenteng trabaho, at maaaring malaman ng mga empleyado ang tungkol sa ka"&amp;"paligiran ng trabaho.
Kung mayroon kang napatunayang track record, maayos kang ililipat sa regular na trabaho pagkatapos ng panahon ng pagsubok.
3.
Fixed-term na trabaho: Ang ganitong uri ng kontrata ay nagtatatag ng isang partikular na panahon ng pagtatr"&amp;"abaho, na karaniwang tinutukoy ng pagkumpleto ng isang partikular na proyekto, gawain, o panahon.
Ang mga kontratang ito ay karaniwang ginagamit para sa mga pansamantalang pangangailangan o trabahong nakabatay sa proyekto.
4.
Project Employment: Tulad ng "&amp;"pansamantalang trabaho, ang project employment ay idinisenyo para sa isang partikular na proyekto na may paunang natukoy na petsa ng pagsisimula at pagtatapos.
Awtomatikong nagtatapos ang relasyon sa trabaho kapag natapos ang proyekto at wala nang inaasah"&amp;"ang trabaho.
5.
Pana-panahong Trabaho: Ang ganitong uri ng kontrata ay para sa mga trabahong may umuulit na pana-panahong kinakailangan, gaya ng agrikultura, turismo, at tingian.
Ang mga relasyon sa trabaho ay sumusunod sa mga itinatag na pana-panahong ri"&amp;"tmo, na may mga pahinga sa pagitan ng mga panahon.
6.
Pansamantalang trabaho: Ito ay tumutukoy sa trabaho para sa isang beses, pansamantala o hindi inaasahang trabaho na hindi tiyak o hindi mahalaga ang tagal kumpara sa normal na araw ng trabaho.
Ang mga "&amp;"pansamantalang manggagawa ay karaniwang hindi karapat-dapat sa parehong mga benepisyo ng mga regular na manggagawa, ngunit mayroon pa rin silang mga pangunahing karapatan sa paggawa.")</f>
        <v>Kinikilala ng sistemang legal ng Pilipinas ang ilang iba't ibang uri ng mga kontrata sa pagtatrabaho, bawat isa ay may sariling katangian at kahulugan.
1.
Regular na trabaho: Ito ang pinakakaraniwang uri ng kontrata sa pagtatrabaho at nagbibigay ng pinakamalaking seguridad at benepisyo sa empleyado.
Nalalapat sa mga empleyado na gumaganap ng kinakailangan o kanais-nais na mga gawain para sa isang hindi tiyak na panahon at ang patuloy na trabaho ay inaasahan.
2.
Panahon ng Pagsubok: Ito ay nagsisilbing panahon ng pagsubok para sa isang bagong empleyado, kadalasan siya ay nasa loob ng 6 na buwan.
Maaaring tasahin ng mga tagapag-empleyo ang pagiging angkop ng isang empleyado para sa permanenteng trabaho, at maaaring malaman ng mga empleyado ang tungkol sa kapaligiran ng trabaho.
Kung mayroon kang napatunayang track record, maayos kang ililipat sa regular na trabaho pagkatapos ng panahon ng pagsubok.
3.
Fixed-term na trabaho: Ang ganitong uri ng kontrata ay nagtatatag ng isang partikular na panahon ng pagtatrabaho, na karaniwang tinutukoy ng pagkumpleto ng isang partikular na proyekto, gawain, o panahon.
Ang mga kontratang ito ay karaniwang ginagamit para sa mga pansamantalang pangangailangan o trabahong nakabatay sa proyekto.
4.
Project Employment: Tulad ng pansamantalang trabaho, ang project employment ay idinisenyo para sa isang partikular na proyekto na may paunang natukoy na petsa ng pagsisimula at pagtatapos.
Awtomatikong nagtatapos ang relasyon sa trabaho kapag natapos ang proyekto at wala nang inaasahang trabaho.
5.
Pana-panahong Trabaho: Ang ganitong uri ng kontrata ay para sa mga trabahong may umuulit na pana-panahong kinakailangan, gaya ng agrikultura, turismo, at tingian.
Ang mga relasyon sa trabaho ay sumusunod sa mga itinatag na pana-panahong ritmo, na may mga pahinga sa pagitan ng mga panahon.
6.
Pansamantalang trabaho: Ito ay tumutukoy sa trabaho para sa isang beses, pansamantala o hindi inaasahang trabaho na hindi tiyak o hindi mahalaga ang tagal kumpara sa normal na araw ng trabaho.
Ang mga pansamantalang manggagawa ay karaniwang hindi karapat-dapat sa parehong mga benepisyo ng mga regular na manggagawa, ngunit mayroon pa rin silang mga pangunahing karapatan sa paggawa.</v>
      </c>
      <c r="F1392" s="2">
        <f t="shared" si="1"/>
        <v>0</v>
      </c>
      <c r="G1392" s="2"/>
      <c r="H1392" s="2"/>
      <c r="I1392" s="2"/>
      <c r="J1392" s="2"/>
      <c r="K1392" s="2"/>
      <c r="L1392" s="2"/>
      <c r="M1392" s="2"/>
      <c r="N1392" s="2"/>
      <c r="O1392" s="2"/>
      <c r="P1392" s="2"/>
      <c r="Q1392" s="2"/>
      <c r="R1392" s="2"/>
      <c r="S1392" s="2"/>
      <c r="T1392" s="2"/>
      <c r="U1392" s="2"/>
      <c r="V1392" s="2"/>
      <c r="W1392" s="2"/>
      <c r="X1392" s="2"/>
      <c r="Y1392" s="2"/>
      <c r="Z1392" s="2"/>
      <c r="AA1392" s="2"/>
    </row>
    <row r="1393">
      <c r="A1393" s="1" t="s">
        <v>3857</v>
      </c>
      <c r="B1393" s="1" t="s">
        <v>3952</v>
      </c>
      <c r="C1393" s="1" t="s">
        <v>3953</v>
      </c>
      <c r="D1393" s="2" t="str">
        <f>IFERROR(__xludf.DUMMYFUNCTION("GOOGLETRANSLATE(B1393, ""en"", ""TL"")"),"Ano ang pinakamababang edad na kinakailangan para sa legal na trabaho sa Pilipinas?")</f>
        <v>Ano ang pinakamababang edad na kinakailangan para sa legal na trabaho sa Pilipinas?</v>
      </c>
      <c r="E1393" s="2" t="str">
        <f>IFERROR(__xludf.DUMMYFUNCTION("GOOGLETRANSLATE(C1393, ""en"", ""TL"")"),"Republic Act No.
9231, o ang Elimination of the Worst Forms of Child Labor and Protection of Working Children Act, ay isang batas na kumokontrol sa pagtatrabaho ng mga menor de edad.
Ayon sa batas na ito, ang kapakanan ng mga bata ay dapat bigyan ng pangu"&amp;"nahing priyoridad sa lahat ng mga aksyon na nakakaapekto sa mga bata.
Ang bawat pagsusumikap ay ginagawa upang itaguyod ang kapakanan ng mga bata at palakihin ang kanilang mga pagkakataong mamuhay ng kapaki-pakinabang at masayang buhay.
(Sinusog Artikulo "&amp;"1 ng R.A.
Hindi.
9231, Artikulo 2 ng R.A.
Hindi.
7610) Ayon sa nabanggit na batas, ang mga bata ay binibigyan ng espesyal na proteksyon mula sa lahat ng uri ng pang-aabuso, kapabayaan, kalupitan at pagsasamantala.
Patakaran ng estado na magbigay ng diskri"&amp;"minasyon at iba pang kundisyon na humahadlang sa kanilang pag-unlad, kabilang ang child labor at ang pinakamasamang anyo nito.
(Sinusog ng Seksyon 1 ng R.A.
Hindi.
9231 at Seksyon 2 ng R.A.
Hindi.
7610) Ang pinakamababang edad para sa pagtatrabaho sa ilal"&amp;"im ng Labor Code ay 15 taon, na may ilang mga pagbubukod.
Nakasaad sa batas: Art.
139.
Minimum na Edad para sa Trabaho.
Ang mga batang wala pang 15 taong gulang ay hindi dapat magtrabaho maliban kung sila ay direktang nagtatrabaho sa ilalim ng tanging res"&amp;"ponsibilidad ng kanilang mga magulang o tagapag-alaga at ang kanilang trabaho ay hindi nakakasagabal sa anumang paraan sa kanilang pag-aaral.
Ang isang tao sa pagitan ng edad na 15 at 18 ay maaaring magtrabaho para sa bilang ng mga oras bawat araw at para"&amp;" sa panahong ipapasiya ng Ministro ng Paggawa at Pagtatrabaho sa naaangkop na mga regulasyon.
Ang mga naunang probisyon ay hindi dapat pahintulutan sa anumang kaso ang pagtatrabaho ng mga taong wala pang 18 taong gulang sa anumang gawaing mapanganib o nak"&amp;"akapinsalang kalikasan na itinakda ng Ministro ng Paggawa at Pagtatrabaho.
(Labor Code Seksyon 139.
) Batas Republika Blg.
7610, o ang Special Protection of Children from Child Abuse, Exploitation, and Discrimination Act, na sinususugan ng Republic Act No"&amp;".
7658, o pagbabawal sa pagtatrabaho ng mga batang wala pang 15 taong gulang.
Itinakda ng batas ang edad para sa mga pampubliko at pribadong kumpanya tulad ng sumusunod: SEC.
12.
Pagtatrabaho ng mga Bata.
– Ang mga batang wala pang 15 taong gulang ay hind"&amp;"i maaaring magtrabaho maliban kung: 1) Kung ang bata ay direktang nagtatrabaho sa ilalim ng nag-iisang responsibilidad ng isang magulang o legal na tagapag-alaga at tanging mga miyembro ng pamilya ng employer ang nagtatrabaho: sa kondisyon na ang buhay ng"&amp;" bata, kaligtasan, kalusugan at moral ay o pumipigil sa kanyang normal na pag-unlad, sa kondisyon na ang magulang o tagapag-alaga ay nagbibigay sa menor de edad na bata ng kinakailangang pangunahin at/o sekondaryang edukasyon.
o 2) Kung ang pagtatrabaho o"&amp;" pakikilahok ng bata sa pampublikong libangan o impormasyon sa pamamagitan ng sinehan, teatro, radyo o telebisyon ay mahalaga: sa kondisyon na ang kontrata sa pagtatrabaho ay hayagang ibinigay ng mga magulang o legal na tagapag-alaga ng bata; Ang kasundua"&amp;"n ay dapat tapusin na may pahintulot ng kinauukulang bata, kung maaari, at sa pahintulot ng Ministry of Labor and Employment: Bilang karagdagan, ang mga sumusunod na kinakailangan ay mahigpit na sinusunod sa lahat ng kaso: (a) Dapat tiyakin ng mga employe"&amp;"r ang proteksyon at kalusugan, kaligtasan, moral at normal na pag-unlad ng mga bata.
(b) Dapat tiyakin ng mga tagapag-empleyo ang istruktura ng suweldo at (c) Ang mga tagapag-empleyo ay dapat gumawa ng mga hakbang upang maiwasan ang pagsasamantala at disk"&amp;"riminasyon sa mga bata, na isinasaalang-alang ang mga pamantayan, tagal at regulasyon ng mga oras ng pagtatrabaho.
(c) Ang mga tagapag-empleyo ay dapat, na napapailalim sa pag-apruba at pangangasiwa ng mga naaangkop na awtoridad, Isang tuluy-tuloy na prog"&amp;"rama sa pagsasanay at pagkuha ng mga kasanayan ay dapat bumuo at ipatupad.
Sa mga pambihirang kaso sa itaas kung saan maaaring magtrabaho ang mga naturang bata, ang employer ay dapat munang kumuha ng work permit mula sa Ministry of Labor and Employment na"&amp;" tinitiyak ang pagsunod sa mga kinakailangan sa itaas bago gamitin ang bata.
Hindi naman dapat.
Ang Kagawaran ng Paggawa at Pagtatrabaho ay dapat magpatibay ng mga tuntunin at regulasyon na kinakailangan para sa epektibong pagpapatupad ng artikulong ito.
"&amp;"” (Art.
1 ng R.A.
Hindi.
7658, binago ang Art.
8, Seksyon 12 ng R.A.
Hindi.
7610) Sa lahat ng kaso ng pagtatrabaho ng mga menor de edad, walang diskriminasyon batay sa edad.
Nakasaad sa batas: Art.
140.
Pagbabawal sa diskriminasyon laban sa mga bata.
Ang "&amp;"mga tagapag-empleyo ay hindi dapat magdiskrimina sa mga indibidwal sa mga tuntunin ng mga kondisyon sa pagtatrabaho batay sa edad.")</f>
        <v>Republic Act No.
9231, o ang Elimination of the Worst Forms of Child Labor and Protection of Working Children Act, ay isang batas na kumokontrol sa pagtatrabaho ng mga menor de edad.
Ayon sa batas na ito, ang kapakanan ng mga bata ay dapat bigyan ng pangunahing priyoridad sa lahat ng mga aksyon na nakakaapekto sa mga bata.
Ang bawat pagsusumikap ay ginagawa upang itaguyod ang kapakanan ng mga bata at palakihin ang kanilang mga pagkakataong mamuhay ng kapaki-pakinabang at masayang buhay.
(Sinusog Artikulo 1 ng R.A.
Hindi.
9231, Artikulo 2 ng R.A.
Hindi.
7610) Ayon sa nabanggit na batas, ang mga bata ay binibigyan ng espesyal na proteksyon mula sa lahat ng uri ng pang-aabuso, kapabayaan, kalupitan at pagsasamantala.
Patakaran ng estado na magbigay ng diskriminasyon at iba pang kundisyon na humahadlang sa kanilang pag-unlad, kabilang ang child labor at ang pinakamasamang anyo nito.
(Sinusog ng Seksyon 1 ng R.A.
Hindi.
9231 at Seksyon 2 ng R.A.
Hindi.
7610) Ang pinakamababang edad para sa pagtatrabaho sa ilalim ng Labor Code ay 15 taon, na may ilang mga pagbubukod.
Nakasaad sa batas: Art.
139.
Minimum na Edad para sa Trabaho.
Ang mga batang wala pang 15 taong gulang ay hindi dapat magtrabaho maliban kung sila ay direktang nagtatrabaho sa ilalim ng tanging responsibilidad ng kanilang mga magulang o tagapag-alaga at ang kanilang trabaho ay hindi nakakasagabal sa anumang paraan sa kanilang pag-aaral.
Ang isang tao sa pagitan ng edad na 15 at 18 ay maaaring magtrabaho para sa bilang ng mga oras bawat araw at para sa panahong ipapasiya ng Ministro ng Paggawa at Pagtatrabaho sa naaangkop na mga regulasyon.
Ang mga naunang probisyon ay hindi dapat pahintulutan sa anumang kaso ang pagtatrabaho ng mga taong wala pang 18 taong gulang sa anumang gawaing mapanganib o nakakapinsalang kalikasan na itinakda ng Ministro ng Paggawa at Pagtatrabaho.
(Labor Code Seksyon 139.
) Batas Republika Blg.
7610, o ang Special Protection of Children from Child Abuse, Exploitation, and Discrimination Act, na sinususugan ng Republic Act No.
7658, o pagbabawal sa pagtatrabaho ng mga batang wala pang 15 taong gulang.
Itinakda ng batas ang edad para sa mga pampubliko at pribadong kumpanya tulad ng sumusunod: SEC.
12.
Pagtatrabaho ng mga Bata.
– Ang mga batang wala pang 15 taong gulang ay hindi maaaring magtrabaho maliban kung: 1) Kung ang bata ay direktang nagtatrabaho sa ilalim ng nag-iisang responsibilidad ng isang magulang o legal na tagapag-alaga at tanging mga miyembro ng pamilya ng employer ang nagtatrabaho: sa kondisyon na ang buhay ng bata, kaligtasan, kalusugan at moral ay o pumipigil sa kanyang normal na pag-unlad, sa kondisyon na ang magulang o tagapag-alaga ay nagbibigay sa menor de edad na bata ng kinakailangang pangunahin at/o sekondaryang edukasyon.
o 2) Kung ang pagtatrabaho o pakikilahok ng bata sa pampublikong libangan o impormasyon sa pamamagitan ng sinehan, teatro, radyo o telebisyon ay mahalaga: sa kondisyon na ang kontrata sa pagtatrabaho ay hayagang ibinigay ng mga magulang o legal na tagapag-alaga ng bata; Ang kasunduan ay dapat tapusin na may pahintulot ng kinauukulang bata, kung maaari, at sa pahintulot ng Ministry of Labor and Employment: Bilang karagdagan, ang mga sumusunod na kinakailangan ay mahigpit na sinusunod sa lahat ng kaso: (a) Dapat tiyakin ng mga employer ang proteksyon at kalusugan, kaligtasan, moral at normal na pag-unlad ng mga bata.
(b) Dapat tiyakin ng mga tagapag-empleyo ang istruktura ng suweldo at (c) Ang mga tagapag-empleyo ay dapat gumawa ng mga hakbang upang maiwasan ang pagsasamantala at diskriminasyon sa mga bata, na isinasaalang-alang ang mga pamantayan, tagal at regulasyon ng mga oras ng pagtatrabaho.
(c) Ang mga tagapag-empleyo ay dapat, na napapailalim sa pag-apruba at pangangasiwa ng mga naaangkop na awtoridad, Isang tuluy-tuloy na programa sa pagsasanay at pagkuha ng mga kasanayan ay dapat bumuo at ipatupad.
Sa mga pambihirang kaso sa itaas kung saan maaaring magtrabaho ang mga naturang bata, ang employer ay dapat munang kumuha ng work permit mula sa Ministry of Labor and Employment na tinitiyak ang pagsunod sa mga kinakailangan sa itaas bago gamitin ang bata.
Hindi naman dapat.
Ang Kagawaran ng Paggawa at Pagtatrabaho ay dapat magpatibay ng mga tuntunin at regulasyon na kinakailangan para sa epektibong pagpapatupad ng artikulong ito.
” (Art.
1 ng R.A.
Hindi.
7658, binago ang Art.
8, Seksyon 12 ng R.A.
Hindi.
7610) Sa lahat ng kaso ng pagtatrabaho ng mga menor de edad, walang diskriminasyon batay sa edad.
Nakasaad sa batas: Art.
140.
Pagbabawal sa diskriminasyon laban sa mga bata.
Ang mga tagapag-empleyo ay hindi dapat magdiskrimina sa mga indibidwal sa mga tuntunin ng mga kondisyon sa pagtatrabaho batay sa edad.</v>
      </c>
      <c r="F1393" s="2">
        <f t="shared" si="1"/>
        <v>0</v>
      </c>
      <c r="G1393" s="2"/>
      <c r="H1393" s="2"/>
      <c r="I1393" s="2"/>
      <c r="J1393" s="2"/>
      <c r="K1393" s="2"/>
      <c r="L1393" s="2"/>
      <c r="M1393" s="2"/>
      <c r="N1393" s="2"/>
      <c r="O1393" s="2"/>
      <c r="P1393" s="2"/>
      <c r="Q1393" s="2"/>
      <c r="R1393" s="2"/>
      <c r="S1393" s="2"/>
      <c r="T1393" s="2"/>
      <c r="U1393" s="2"/>
      <c r="V1393" s="2"/>
      <c r="W1393" s="2"/>
      <c r="X1393" s="2"/>
      <c r="Y1393" s="2"/>
      <c r="Z1393" s="2"/>
      <c r="AA1393" s="2"/>
    </row>
    <row r="1394">
      <c r="A1394" s="1" t="s">
        <v>3857</v>
      </c>
      <c r="B1394" s="1" t="s">
        <v>3954</v>
      </c>
      <c r="C1394" s="1" t="s">
        <v>3955</v>
      </c>
      <c r="D1394" s="2" t="str">
        <f>IFERROR(__xludf.DUMMYFUNCTION("GOOGLETRANSLATE(B1394, ""en"", ""TL"")"),"Ano ang mga pangunahing karapatan at obligasyon ng mga employer at empleyado sa ilalim ng batas ng Pilipinas?")</f>
        <v>Ano ang mga pangunahing karapatan at obligasyon ng mga employer at empleyado sa ilalim ng batas ng Pilipinas?</v>
      </c>
      <c r="E1394" s="2" t="str">
        <f>IFERROR(__xludf.DUMMYFUNCTION("GOOGLETRANSLATE(C1394, ""en"", ""TL"")"),"Mga Karapatan ng Empleyado: Mga Karapatan sa Organisasyon: Ang mga empleyado ay may karapatang mag-organisa ng isang unyon o asosasyon.
Collective Bargaining: Maaaring lumahok ang mga empleyado sa collective bargaining o negosasyon sa management para tala"&amp;"kayin ang mga tuntunin at kundisyon ng kanilang trabaho.
Mga mapayapang pinagsama-samang aktibidad: Maaaring lumahok ang mga empleyado sa mapayapang pinagsama-samang mga aktibidad, kabilang ang karapatang magwelga (alinsunod sa batas).
Seguridad sa Pagtat"&amp;"rabaho: Ang mga empleyado ay may karapatan sa seguridad sa trabaho at hindi maaaring tanggalin nang walang makatarungang dahilan at angkop na proseso.
Makataong Kondisyon sa Paggawa: Dapat magbigay ang mga employer ng ligtas at makataong kondisyon sa pagt"&amp;"atrabaho sa kanilang mga empleyado.
Buhay na Sahod: Ang mga empleyado ay may karapatan sa isang patas at sapat na sahod.
Pakikilahok sa paggawa ng desisyon: Maaaring lumahok ang mga empleyado sa mga proseso ng patakaran at paggawa ng desisyon na nakakaape"&amp;"kto sa kanilang mga karapatan at interes12.
Mga Obligasyon ng Employer: Kontrata sa Pagtatrabaho: Dapat magbigay ang mga employer sa mga empleyado ng nakasulat na kontrata sa pagtatrabaho na tumutukoy sa mga tuntunin at kundisyon ng pagtatrabaho, kabilang"&amp;" ang suweldo sa piso ng Pilipinas.
Ika-13 Buwanang Salary: Karamihan sa mga empleyado (hindi kasama ang mga posisyon sa senior at management, mga tungkulin na nakabatay sa komisyon o mga nakapirming kontrata) ay may karapatan sa karagdagang buwanang base "&amp;"na suweldo bawat taon.
Conversion Conversion: ang pansamantalang empleyado ay nagiging permanenteng empleyado pagkatapos ng isang taon ng kanyang serbisyo.
Tungkulin sa Kalusugan at Kaligtasan: Dapat tiyakin ng mga nagpapatrabaho ang kaligtasan sa lugar n"&amp;"g trabaho at magbigay ng mga serbisyo sa first aid at mga nars depende sa bilang ng mga empleyado at mga panganib sa lugar ng trabaho3.
Mga Benepisyo sa Empleyado: Ang mga employer ay dapat magbigay ng ilang partikular na benepisyo, kabilang ang: Social S"&amp;"ecurity System ""SSS"": Nagbibigay ng social insurance.
PhilHealth: Ang kanyang health insurance para sa mga empleyado at kanilang mga dependent.
Pag-IBIG Fund: mga kontribusyon sa housing at pension funds.
Bakasyon at Sick Leave: Bayad na bakasyon ng isa"&amp;"ng sakop na empleyado.
Maternity leave/childcare leave 4,444 cases: Leave para sa panganganak/childcare 4,444 cases.
Mga benepisyo sa pagreretiro: Mga kontribusyon sa mga reserba sa pagreretiro.
Espesyal na allowance sa bakasyon: Karagdagang bakasyon sa i"&amp;"lang partikular na kaso4.")</f>
        <v>Mga Karapatan ng Empleyado: Mga Karapatan sa Organisasyon: Ang mga empleyado ay may karapatang mag-organisa ng isang unyon o asosasyon.
Collective Bargaining: Maaaring lumahok ang mga empleyado sa collective bargaining o negosasyon sa management para talakayin ang mga tuntunin at kundisyon ng kanilang trabaho.
Mga mapayapang pinagsama-samang aktibidad: Maaaring lumahok ang mga empleyado sa mapayapang pinagsama-samang mga aktibidad, kabilang ang karapatang magwelga (alinsunod sa batas).
Seguridad sa Pagtatrabaho: Ang mga empleyado ay may karapatan sa seguridad sa trabaho at hindi maaaring tanggalin nang walang makatarungang dahilan at angkop na proseso.
Makataong Kondisyon sa Paggawa: Dapat magbigay ang mga employer ng ligtas at makataong kondisyon sa pagtatrabaho sa kanilang mga empleyado.
Buhay na Sahod: Ang mga empleyado ay may karapatan sa isang patas at sapat na sahod.
Pakikilahok sa paggawa ng desisyon: Maaaring lumahok ang mga empleyado sa mga proseso ng patakaran at paggawa ng desisyon na nakakaapekto sa kanilang mga karapatan at interes12.
Mga Obligasyon ng Employer: Kontrata sa Pagtatrabaho: Dapat magbigay ang mga employer sa mga empleyado ng nakasulat na kontrata sa pagtatrabaho na tumutukoy sa mga tuntunin at kundisyon ng pagtatrabaho, kabilang ang suweldo sa piso ng Pilipinas.
Ika-13 Buwanang Salary: Karamihan sa mga empleyado (hindi kasama ang mga posisyon sa senior at management, mga tungkulin na nakabatay sa komisyon o mga nakapirming kontrata) ay may karapatan sa karagdagang buwanang base na suweldo bawat taon.
Conversion Conversion: ang pansamantalang empleyado ay nagiging permanenteng empleyado pagkatapos ng isang taon ng kanyang serbisyo.
Tungkulin sa Kalusugan at Kaligtasan: Dapat tiyakin ng mga nagpapatrabaho ang kaligtasan sa lugar ng trabaho at magbigay ng mga serbisyo sa first aid at mga nars depende sa bilang ng mga empleyado at mga panganib sa lugar ng trabaho3.
Mga Benepisyo sa Empleyado: Ang mga employer ay dapat magbigay ng ilang partikular na benepisyo, kabilang ang: Social Security System "SSS": Nagbibigay ng social insurance.
PhilHealth: Ang kanyang health insurance para sa mga empleyado at kanilang mga dependent.
Pag-IBIG Fund: mga kontribusyon sa housing at pension funds.
Bakasyon at Sick Leave: Bayad na bakasyon ng isang sakop na empleyado.
Maternity leave/childcare leave 4,444 cases: Leave para sa panganganak/childcare 4,444 cases.
Mga benepisyo sa pagreretiro: Mga kontribusyon sa mga reserba sa pagreretiro.
Espesyal na allowance sa bakasyon: Karagdagang bakasyon sa ilang partikular na kaso4.</v>
      </c>
      <c r="F1394" s="2">
        <f t="shared" si="1"/>
        <v>0</v>
      </c>
      <c r="G1394" s="2"/>
      <c r="H1394" s="2"/>
      <c r="I1394" s="2"/>
      <c r="J1394" s="2"/>
      <c r="K1394" s="2"/>
      <c r="L1394" s="2"/>
      <c r="M1394" s="2"/>
      <c r="N1394" s="2"/>
      <c r="O1394" s="2"/>
      <c r="P1394" s="2"/>
      <c r="Q1394" s="2"/>
      <c r="R1394" s="2"/>
      <c r="S1394" s="2"/>
      <c r="T1394" s="2"/>
      <c r="U1394" s="2"/>
      <c r="V1394" s="2"/>
      <c r="W1394" s="2"/>
      <c r="X1394" s="2"/>
      <c r="Y1394" s="2"/>
      <c r="Z1394" s="2"/>
      <c r="AA1394" s="2"/>
    </row>
    <row r="1395">
      <c r="A1395" s="1" t="s">
        <v>3857</v>
      </c>
      <c r="B1395" s="1" t="s">
        <v>3956</v>
      </c>
      <c r="C1395" s="1" t="s">
        <v>3957</v>
      </c>
      <c r="D1395" s="2" t="str">
        <f>IFERROR(__xludf.DUMMYFUNCTION("GOOGLETRANSLATE(B1395, ""en"", ""TL"")"),"Ano ang iba't ibang uri ng work arrangement na kinikilala sa Pilipinas (hal., full-time, part-time, contractual)?")</f>
        <v>Ano ang iba't ibang uri ng work arrangement na kinikilala sa Pilipinas (hal., full-time, part-time, contractual)?</v>
      </c>
      <c r="E1395" s="2" t="str">
        <f>IFERROR(__xludf.DUMMYFUNCTION("GOOGLETRANSLATE(C1395, ""en"", ""TL"")"),"Ilang uri ng trabaho ang kinikilala sa Pilipinas.
Tingnan natin ang mga ito: Regular o permanenteng trabaho: Ito ay kumakatawan sa gulugod ng seguridad sa trabaho para sa mga manggagawang Pilipino.
Kung kinakailangan at kanais-nais, ang trabaho ay itinutu"&amp;"ring na permanente.
Ang isang hindi regular na manggagawa ay maaaring ituring na isang permanenteng empleyado kahit na ang kanyang trabaho ay tumagal ng hindi bababa sa isang taon, anuman ang pagpapatuloy1.
Fixed-term o indefinite-term na trabaho: Nailala"&amp;"rawan ng isang paunang natukoy na panahon ng pagtatrabaho.
Sa pagtatapos ng panahong ito, magtatapos ang kontrata sa pagtatrabaho.
Ang relasyon sa pagtatrabaho ng mga fixed-term na empleyado ay awtomatikong nagwawakas ayon sa batas sa pagtatapos ng nakapi"&amp;"rming termino1.
Project Employment: Kasama ang permanenteng trabaho sa isang partikular na proyekto o kumpanya.
Ang aktibidad ng empleyado ay nagtatapos kapag natapos ang proyekto.
Tumutugma sa tagal ng proyekto1.
Pana-panahong Pagtatrabaho: Nalalapat sa "&amp;"trabaho o mga serbisyong ginawa sa mga partikular na oras ng taon.
Ang mga pana-panahong manggagawa ay maaari ding ituring na mga permanenteng empleyado kung sila ay tatawagin paminsan-minsan, pansamantalang tinanggal sa trabaho sa panahon ng off-season, "&amp;"at muling tatanggapin kung kinakailangan.
1 Pansamantalang paggawa: Pansamantalang paggawa na ang regularidad ay tinutukoy ng panahon ng pagtatrabaho.
Magsagawa ng mga aktibidad na kailangan at kanais-nais para sa kumpanya ng employer.
4,444 na pansamanta"&amp;"lang empleyado ang naging permanenteng empleyado pagkatapos ng isang taon ng patuloy na pagtatrabaho1.
Flexible Work Arrangement (FWA): Walang partikular na kaayusan sa trabaho, ngunit available ang mga alternatibong iskedyul.
Kabilang sa mga halimbawa ni"&amp;"to ang mga pagsasaayos ng flexi-time (higit na kakayahang umangkop sa pagdating at pag-alis sa trabaho) at mga kaayusan sa trabaho mula sa bahay.
4,444 na kumpanya ang nagpatupad ng FWA para matiyak ang pagpapatuloy ng negosyo nang hindi binabawasan ang m"&amp;"ga empleyado2.
Tandaan na ang mga kasunduang ito ay may legal na implikasyon at ang mga tagapag-empleyo ay dapat sumunod sa mga batas sa paggawa at abisuhan ang Department of Labor and Employment (DOLE) kapag nagpapatupad ng flexible work arrangement.
.")</f>
        <v>Ilang uri ng trabaho ang kinikilala sa Pilipinas.
Tingnan natin ang mga ito: Regular o permanenteng trabaho: Ito ay kumakatawan sa gulugod ng seguridad sa trabaho para sa mga manggagawang Pilipino.
Kung kinakailangan at kanais-nais, ang trabaho ay itinuturing na permanente.
Ang isang hindi regular na manggagawa ay maaaring ituring na isang permanenteng empleyado kahit na ang kanyang trabaho ay tumagal ng hindi bababa sa isang taon, anuman ang pagpapatuloy1.
Fixed-term o indefinite-term na trabaho: Nailalarawan ng isang paunang natukoy na panahon ng pagtatrabaho.
Sa pagtatapos ng panahong ito, magtatapos ang kontrata sa pagtatrabaho.
Ang relasyon sa pagtatrabaho ng mga fixed-term na empleyado ay awtomatikong nagwawakas ayon sa batas sa pagtatapos ng nakapirming termino1.
Project Employment: Kasama ang permanenteng trabaho sa isang partikular na proyekto o kumpanya.
Ang aktibidad ng empleyado ay nagtatapos kapag natapos ang proyekto.
Tumutugma sa tagal ng proyekto1.
Pana-panahong Pagtatrabaho: Nalalapat sa trabaho o mga serbisyong ginawa sa mga partikular na oras ng taon.
Ang mga pana-panahong manggagawa ay maaari ding ituring na mga permanenteng empleyado kung sila ay tatawagin paminsan-minsan, pansamantalang tinanggal sa trabaho sa panahon ng off-season, at muling tatanggapin kung kinakailangan.
1 Pansamantalang paggawa: Pansamantalang paggawa na ang regularidad ay tinutukoy ng panahon ng pagtatrabaho.
Magsagawa ng mga aktibidad na kailangan at kanais-nais para sa kumpanya ng employer.
4,444 na pansamantalang empleyado ang naging permanenteng empleyado pagkatapos ng isang taon ng patuloy na pagtatrabaho1.
Flexible Work Arrangement (FWA): Walang partikular na kaayusan sa trabaho, ngunit available ang mga alternatibong iskedyul.
Kabilang sa mga halimbawa nito ang mga pagsasaayos ng flexi-time (higit na kakayahang umangkop sa pagdating at pag-alis sa trabaho) at mga kaayusan sa trabaho mula sa bahay.
4,444 na kumpanya ang nagpatupad ng FWA para matiyak ang pagpapatuloy ng negosyo nang hindi binabawasan ang mga empleyado2.
Tandaan na ang mga kasunduang ito ay may legal na implikasyon at ang mga tagapag-empleyo ay dapat sumunod sa mga batas sa paggawa at abisuhan ang Department of Labor and Employment (DOLE) kapag nagpapatupad ng flexible work arrangement.
.</v>
      </c>
      <c r="F1395" s="2">
        <f t="shared" si="1"/>
        <v>0</v>
      </c>
      <c r="G1395" s="2"/>
      <c r="H1395" s="2"/>
      <c r="I1395" s="2"/>
      <c r="J1395" s="2"/>
      <c r="K1395" s="2"/>
      <c r="L1395" s="2"/>
      <c r="M1395" s="2"/>
      <c r="N1395" s="2"/>
      <c r="O1395" s="2"/>
      <c r="P1395" s="2"/>
      <c r="Q1395" s="2"/>
      <c r="R1395" s="2"/>
      <c r="S1395" s="2"/>
      <c r="T1395" s="2"/>
      <c r="U1395" s="2"/>
      <c r="V1395" s="2"/>
      <c r="W1395" s="2"/>
      <c r="X1395" s="2"/>
      <c r="Y1395" s="2"/>
      <c r="Z1395" s="2"/>
      <c r="AA1395" s="2"/>
    </row>
    <row r="1396">
      <c r="A1396" s="1" t="s">
        <v>3857</v>
      </c>
      <c r="B1396" s="1" t="s">
        <v>3958</v>
      </c>
      <c r="C1396" s="1" t="s">
        <v>3959</v>
      </c>
      <c r="D1396" s="2" t="str">
        <f>IFERROR(__xludf.DUMMYFUNCTION("GOOGLETRANSLATE(B1396, ""en"", ""TL"")"),"Ano ang mga legal na kinakailangan para sa pag-overtime sa Pilipinas?")</f>
        <v>Ano ang mga legal na kinakailangan para sa pag-overtime sa Pilipinas?</v>
      </c>
      <c r="E1396" s="2" t="str">
        <f>IFERROR(__xludf.DUMMYFUNCTION("GOOGLETRANSLATE(C1396, ""en"", ""TL"")"),"Sa Pilipinas, ang overtime pay ay karagdagang kompensasyon na ibinibigay sa mga sakop na empleyado na nagsasagawa ng karagdagang trabaho na lampas sa kanilang normal na oras ng pagtatrabaho.
Ang mga pangunahing legal na kinakailangan tungkol sa overtime a"&amp;"y: Ang konsepto ng overtime pay: Ang overtime pay ay 25% ng oras-oras na sahod ng nakasegurong empleyado para sa trabahong lampas sa 8 oras bawat araw o overtime.
%.
Kung ang isang empleyado ay nagtatrabaho ng higit sa kanyang 8 oras sa isang pampublikong"&amp;" holiday o holiday, siya ay may karapatan na makatanggap ng karagdagang kabayaran na hindi bababa sa 30 porsiyento sa kanyang unang 8 oras ng araw.
Saklaw: Ang overtime pay ay nalalapat sa lahat ng empleyado maliban sa ilang mga exempt na kategorya: Mga l"&amp;"ingkod-bayan (kabilang ang mga negosyong pag-aari ng estado).
Ang kanyang mga tagapamahala ay nakakatugon sa mga partikular na pamantayan tungkol sa mga gawain at awtoridad.
4,444 na lingkod-bayan o miyembro ng command staff na may mga espesyal na respons"&amp;"ibilidad.
Kasambahay (domestic workers) at personal service workers.
Ang 4,444 na manggagawa ay binabayaran batay sa performance (piece rate, taqui, pakiyo, atbp.
), sa kondisyon na ang mga rate ng produksyon ay nakakatugon sa mga regulasyon.
Ang mga mang"&amp;"gagawa sa pangangalagang pangkalusugan ay napapailalim sa ilang pinakamataas na lingguhang oras ng pagtatrabaho at karagdagang mga probisyon sa sahod.
Underwork at Compensation: Ang underwork (mas mababa sa 8 oras ng trabaho) ay hindi maaaring bayaran ng "&amp;"overtime.
Ang oras-oras na sahod para sa overtime ay mas mataas kaysa sa oras-oras na sahod para sa overtime na pagliban.
Tandaan na ang pasanin ng patunay ay nasa empleyado upang patunayan na sila ay wastong awtorisado na magtrabaho ng overtime at aktwal"&amp;" na gumanap ng trabaho.")</f>
        <v>Sa Pilipinas, ang overtime pay ay karagdagang kompensasyon na ibinibigay sa mga sakop na empleyado na nagsasagawa ng karagdagang trabaho na lampas sa kanilang normal na oras ng pagtatrabaho.
Ang mga pangunahing legal na kinakailangan tungkol sa overtime ay: Ang konsepto ng overtime pay: Ang overtime pay ay 25% ng oras-oras na sahod ng nakasegurong empleyado para sa trabahong lampas sa 8 oras bawat araw o overtime.
%.
Kung ang isang empleyado ay nagtatrabaho ng higit sa kanyang 8 oras sa isang pampublikong holiday o holiday, siya ay may karapatan na makatanggap ng karagdagang kabayaran na hindi bababa sa 30 porsiyento sa kanyang unang 8 oras ng araw.
Saklaw: Ang overtime pay ay nalalapat sa lahat ng empleyado maliban sa ilang mga exempt na kategorya: Mga lingkod-bayan (kabilang ang mga negosyong pag-aari ng estado).
Ang kanyang mga tagapamahala ay nakakatugon sa mga partikular na pamantayan tungkol sa mga gawain at awtoridad.
4,444 na lingkod-bayan o miyembro ng command staff na may mga espesyal na responsibilidad.
Kasambahay (domestic workers) at personal service workers.
Ang 4,444 na manggagawa ay binabayaran batay sa performance (piece rate, taqui, pakiyo, atbp.
), sa kondisyon na ang mga rate ng produksyon ay nakakatugon sa mga regulasyon.
Ang mga manggagawa sa pangangalagang pangkalusugan ay napapailalim sa ilang pinakamataas na lingguhang oras ng pagtatrabaho at karagdagang mga probisyon sa sahod.
Underwork at Compensation: Ang underwork (mas mababa sa 8 oras ng trabaho) ay hindi maaaring bayaran ng overtime.
Ang oras-oras na sahod para sa overtime ay mas mataas kaysa sa oras-oras na sahod para sa overtime na pagliban.
Tandaan na ang pasanin ng patunay ay nasa empleyado upang patunayan na sila ay wastong awtorisado na magtrabaho ng overtime at aktwal na gumanap ng trabaho.</v>
      </c>
      <c r="F1396" s="2">
        <f t="shared" si="1"/>
        <v>0</v>
      </c>
      <c r="G1396" s="2"/>
      <c r="H1396" s="2"/>
      <c r="I1396" s="2"/>
      <c r="J1396" s="2"/>
      <c r="K1396" s="2"/>
      <c r="L1396" s="2"/>
      <c r="M1396" s="2"/>
      <c r="N1396" s="2"/>
      <c r="O1396" s="2"/>
      <c r="P1396" s="2"/>
      <c r="Q1396" s="2"/>
      <c r="R1396" s="2"/>
      <c r="S1396" s="2"/>
      <c r="T1396" s="2"/>
      <c r="U1396" s="2"/>
      <c r="V1396" s="2"/>
      <c r="W1396" s="2"/>
      <c r="X1396" s="2"/>
      <c r="Y1396" s="2"/>
      <c r="Z1396" s="2"/>
      <c r="AA1396" s="2"/>
    </row>
    <row r="1397">
      <c r="A1397" s="1" t="s">
        <v>3857</v>
      </c>
      <c r="B1397" s="1" t="s">
        <v>3960</v>
      </c>
      <c r="C1397" s="1" t="s">
        <v>3961</v>
      </c>
      <c r="D1397" s="2" t="str">
        <f>IFERROR(__xludf.DUMMYFUNCTION("GOOGLETRANSLATE(B1397, ""en"", ""TL"")"),"Paano tinutukoy ang mga antas ng minimum na sahod sa Pilipinas, at paano sila nag-iiba ayon sa rehiyon at industriya?")</f>
        <v>Paano tinutukoy ang mga antas ng minimum na sahod sa Pilipinas, at paano sila nag-iiba ayon sa rehiyon at industriya?</v>
      </c>
      <c r="E1397" s="2" t="str">
        <f>IFERROR(__xludf.DUMMYFUNCTION("GOOGLETRANSLATE(C1397, ""en"", ""TL"")"),"Ang pinakamababang sahod ng Pilipinas ay mahalaga sa milyun-milyong manggagawa sa buong bansa.
Tingnan natin nang mabuti kung paano tinutukoy ang minimum na sahod at tingnan ang mga pagkakaiba ayon sa rehiyon at industriya.
Ano ang Minimum Wage?
Ang Minim"&amp;"um Wage ay nangangahulugan ng pinakamababang sahod na dapat bayaran ng employer sa isang empleyado para sa trabahong isinagawa sa isang takdang panahon.
Ang mga rate na ito ay tinutukoy sa antas ng rehiyon ng regional tripartite Wages and Productivity Boa"&amp;"rd.
Kabilang sa mga salik na isinasaalang-alang sa pagtukoy ng pinakamababang sahod ay ang: Antas ng Kahirapan Mga Naaangkop na Rate ng Sahod Batay sa Mga Survey sa Lakas ng Manggagawa Mga Socioeconomic Consideration Ang minimum na sahod ay nalalapat sa l"&amp;"ahat ng manggagawa, kabilang ang mga full-time, part-time, at mga manggagawang kontrata.
Mga pagkakaiba sa rehiyon sa minimum na sahod (mula noong Disyembre 2023): Nasa ibaba ang pagkakahati-hati ng pang-araw-araw na minimum na sahod ayon sa rehiyon sa Pi"&amp;"lipinas sa pribadong sektor: National Capital Region (NCR): ₱610 Cordillera Administrative Region ( CAR): ₱430 Region I: ₱402 ~ ₱435 Rehiyon II: ₱435 Rehiyon III: ₱449 ~ ₱500 Rehiyon IV-A: ₱385 ~ ₱520 444 4 Rehiyon IV - B: ₱369 hanggang ₱395 Rehiyon V: ₱3"&amp;"95 Rehiyon V: ₱ VI ₱450 hanggang ₱480 Rehiyon VII: ₱420 hanggang ₱468 Rehiyon VIII: ₱405 44 44 Rehiyon IX: 44 ₱44381 Rehiyon X: ₱423 hanggang ₱438 Rehiyon 444 Noong 2021, ang depende sa minimum na sahod at industriya ay iba-iba.
Halimbawa: NCR: ₱500 hangg"&amp;"ang ₱537 CAR: ₱340 hanggang ₱350 Rehiyon I: ₱282 hanggang ₱340 , atbp... Pakitandaan na ang mga numerong ito ay maaaring magbago.
pakiusap.
Mahalagang manatiling napapanahon sa pinakabagong impormasyon at impormasyon sa pagsasaayos sa minimum na sahod sa "&amp;"Pilipinas")</f>
        <v>Ang pinakamababang sahod ng Pilipinas ay mahalaga sa milyun-milyong manggagawa sa buong bansa.
Tingnan natin nang mabuti kung paano tinutukoy ang minimum na sahod at tingnan ang mga pagkakaiba ayon sa rehiyon at industriya.
Ano ang Minimum Wage?
Ang Minimum Wage ay nangangahulugan ng pinakamababang sahod na dapat bayaran ng employer sa isang empleyado para sa trabahong isinagawa sa isang takdang panahon.
Ang mga rate na ito ay tinutukoy sa antas ng rehiyon ng regional tripartite Wages and Productivity Board.
Kabilang sa mga salik na isinasaalang-alang sa pagtukoy ng pinakamababang sahod ay ang: Antas ng Kahirapan Mga Naaangkop na Rate ng Sahod Batay sa Mga Survey sa Lakas ng Manggagawa Mga Socioeconomic Consideration Ang minimum na sahod ay nalalapat sa lahat ng manggagawa, kabilang ang mga full-time, part-time, at mga manggagawang kontrata.
Mga pagkakaiba sa rehiyon sa minimum na sahod (mula noong Disyembre 2023): Nasa ibaba ang pagkakahati-hati ng pang-araw-araw na minimum na sahod ayon sa rehiyon sa Pilipinas sa pribadong sektor: National Capital Region (NCR): ₱610 Cordillera Administrative Region ( CAR): ₱430 Region I: ₱402 ~ ₱435 Rehiyon II: ₱435 Rehiyon III: ₱449 ~ ₱500 Rehiyon IV-A: ₱385 ~ ₱520 444 4 Rehiyon IV - B: ₱369 hanggang ₱395 Rehiyon V: ₱395 Rehiyon V: ₱ VI ₱450 hanggang ₱480 Rehiyon VII: ₱420 hanggang ₱468 Rehiyon VIII: ₱405 44 44 Rehiyon IX: 44 ₱44381 Rehiyon X: ₱423 hanggang ₱438 Rehiyon 444 Noong 2021, ang depende sa minimum na sahod at industriya ay iba-iba.
Halimbawa: NCR: ₱500 hanggang ₱537 CAR: ₱340 hanggang ₱350 Rehiyon I: ₱282 hanggang ₱340 , atbp... Pakitandaan na ang mga numerong ito ay maaaring magbago.
pakiusap.
Mahalagang manatiling napapanahon sa pinakabagong impormasyon at impormasyon sa pagsasaayos sa minimum na sahod sa Pilipinas</v>
      </c>
      <c r="F1397" s="2">
        <f t="shared" si="1"/>
        <v>0</v>
      </c>
      <c r="G1397" s="2"/>
      <c r="H1397" s="2"/>
      <c r="I1397" s="2"/>
      <c r="J1397" s="2"/>
      <c r="K1397" s="2"/>
      <c r="L1397" s="2"/>
      <c r="M1397" s="2"/>
      <c r="N1397" s="2"/>
      <c r="O1397" s="2"/>
      <c r="P1397" s="2"/>
      <c r="Q1397" s="2"/>
      <c r="R1397" s="2"/>
      <c r="S1397" s="2"/>
      <c r="T1397" s="2"/>
      <c r="U1397" s="2"/>
      <c r="V1397" s="2"/>
      <c r="W1397" s="2"/>
      <c r="X1397" s="2"/>
      <c r="Y1397" s="2"/>
      <c r="Z1397" s="2"/>
      <c r="AA1397" s="2"/>
    </row>
    <row r="1398">
      <c r="A1398" s="1" t="s">
        <v>3857</v>
      </c>
      <c r="B1398" s="1" t="s">
        <v>3962</v>
      </c>
      <c r="C1398" s="1" t="s">
        <v>3963</v>
      </c>
      <c r="D1398" s="2" t="str">
        <f>IFERROR(__xludf.DUMMYFUNCTION("GOOGLETRANSLATE(B1398, ""en"", ""TL"")"),"Ano ang iba't ibang uri ng benepisyo ayon sa batas na karapat-dapat sa mga empleyadong Pilipino?")</f>
        <v>Ano ang iba't ibang uri ng benepisyo ayon sa batas na karapat-dapat sa mga empleyadong Pilipino?</v>
      </c>
      <c r="E1398" s="2" t="str">
        <f>IFERROR(__xludf.DUMMYFUNCTION("GOOGLETRANSLATE(C1398, ""en"", ""TL"")"),"Sa ilalim ng Philippine Labor Code, ang mga employer ay may karapatan na magbigay sa kanilang mga empleyado ng Social Security System ""SSS"", PhilHealth, Pag-IBIG Fund, 13 buwang suweldo, bakasyon at sick leave, maternity at paternity leave, retirement b"&amp;"enefits at mga espesyal na benepisyo.
Ito ay sapilitan upang magbigay ng iba't ibang mga benepisyo.
Allowance sa bakasyon.")</f>
        <v>Sa ilalim ng Philippine Labor Code, ang mga employer ay may karapatan na magbigay sa kanilang mga empleyado ng Social Security System "SSS", PhilHealth, Pag-IBIG Fund, 13 buwang suweldo, bakasyon at sick leave, maternity at paternity leave, retirement benefits at mga espesyal na benepisyo.
Ito ay sapilitan upang magbigay ng iba't ibang mga benepisyo.
Allowance sa bakasyon.</v>
      </c>
      <c r="F1398" s="2">
        <f t="shared" si="1"/>
        <v>0</v>
      </c>
      <c r="G1398" s="2"/>
      <c r="H1398" s="2"/>
      <c r="I1398" s="2"/>
      <c r="J1398" s="2"/>
      <c r="K1398" s="2"/>
      <c r="L1398" s="2"/>
      <c r="M1398" s="2"/>
      <c r="N1398" s="2"/>
      <c r="O1398" s="2"/>
      <c r="P1398" s="2"/>
      <c r="Q1398" s="2"/>
      <c r="R1398" s="2"/>
      <c r="S1398" s="2"/>
      <c r="T1398" s="2"/>
      <c r="U1398" s="2"/>
      <c r="V1398" s="2"/>
      <c r="W1398" s="2"/>
      <c r="X1398" s="2"/>
      <c r="Y1398" s="2"/>
      <c r="Z1398" s="2"/>
      <c r="AA1398" s="2"/>
    </row>
    <row r="1399">
      <c r="A1399" s="1" t="s">
        <v>3857</v>
      </c>
      <c r="B1399" s="1" t="s">
        <v>3964</v>
      </c>
      <c r="C1399" s="1" t="s">
        <v>3965</v>
      </c>
      <c r="D1399" s="2" t="str">
        <f>IFERROR(__xludf.DUMMYFUNCTION("GOOGLETRANSLATE(B1399, ""en"", ""TL"")"),"Anong mga pamamaraan ang dapat sundin ng mga employer kapag tinatanggal ang kontrata ng isang empleyado?")</f>
        <v>Anong mga pamamaraan ang dapat sundin ng mga employer kapag tinatanggal ang kontrata ng isang empleyado?</v>
      </c>
      <c r="E1399" s="2" t="str">
        <f>IFERROR(__xludf.DUMMYFUNCTION("GOOGLETRANSLATE(C1399, ""en"", ""TL"")"),"Sa Pilipinas, dapat sundin ng mga employer ang ilang mga pamamaraan kapag tinatanggal ang kontrata sa pagtatrabaho ng isang empleyado.
Tinitiyak ng mga hakbang na ito ang pagiging patas at pagsunod sa mga batas sa paggawa.
Ang mga pangunahing hakbang ay: "&amp;"Tukuyin ang uri ng kontrata sa pagtatrabaho: May tatlong karaniwang uri ng kontrata sa pagtatrabaho: Panahon ng pagsubok: Sa panahon ng paunang pagsubok, Maaaring suriin ng may-ari ang pagiging angkop ng empleyado para sa trabaho.
Nakapirming kontrata: Is"&amp;"ang kontrata na may paunang natukoy na petsa ng pagtatapos.
Mga Perpetual Contract: Ito ay mga perpetual na kontrata na walang itinakdang petsa ng pagtatapos1.
Sabihin ang mga dahilan para sa pagpapaalis: Depende sa uri ng relasyon sa trabaho, ang employe"&amp;"r ay dapat may wastong dahilan para sa pagpapaalis.
Maaaring kabilang sa mga dahilan ang: Mga inaprubahang dahilan: Halimbawa, mga tanggalan, pagbabawas, pagsasara ng negosyo, atbp.
Dahilan lamang: Kabilang ang matinding maling pag-uugali, nakagawiang pag"&amp;"papabaya, o paglabag sa patakaran ng kumpanya2.
Paunawa at Paliwanag: Dapat sundin ng employer ang dalawang tuntunin ng paunawa: Paliwanag: Magbigay ng nakasulat na paunawa na nagsasaad ng mga dahilan ng pagpapaalis.
Dapat magsumite ang mga empleyado ng n"&amp;"akasulat na deklarasyon sa loob ng hindi bababa sa 5 araw.
Administrative Meeting: Magdaos ng mga pagpupulong kung saan maaaring ipagtanggol ng mga empleyado ang kanilang sarili nang isa-isa o kasama ang kanilang mga legal na kinatawan.
Abiso sa Pagwawaka"&amp;"s: Nagpapadala ng pormal na paunawa sa empleyado na nagpapaalam sa kanila ng pagwawakas3.
Abiso sa mga Awtoridad at Empleyado sa Paggawa: Ang mga empleyadong malapit nang matanggal sa trabaho ay dapat na maabisuhan nang maayos.
Dapat ipaalam ng mga employ"&amp;"er sa Department of Labor and Employment (DOLE) ang pagwawakas1.
Separation Pay: Kung ang pagpapaalis ay para sa makatarungang dahilan, ang empleyado ay may karapatan sa separation pay.
Ang batas sa paggawa ng Pilipinas ay nangangailangan ng angkop na pro"&amp;"seso, at ang hindi pagsunod sa mga pamamaraang ito ay maaaring magresulta sa iligal o hindi patas na pagtanggal sa trabaho4.
Pagwawakas ng Dokumento: Panatilihin ang naaangkop na mga talaan ng proseso ng pagwawakas, kabilang ang mga abiso, minuto ng pagpu"&amp;"pulong, at kaugnay na sulat1.
Tandaan na ang mga batas sa paggawa ng Pilipinas ay matulungin sa manggagawa.
Samakatuwid, dapat maingat na pangasiwaan ng mga employer ang mga pamamaraang ito upang matiyak ang pagsunod at pagiging patas.")</f>
        <v>Sa Pilipinas, dapat sundin ng mga employer ang ilang mga pamamaraan kapag tinatanggal ang kontrata sa pagtatrabaho ng isang empleyado.
Tinitiyak ng mga hakbang na ito ang pagiging patas at pagsunod sa mga batas sa paggawa.
Ang mga pangunahing hakbang ay: Tukuyin ang uri ng kontrata sa pagtatrabaho: May tatlong karaniwang uri ng kontrata sa pagtatrabaho: Panahon ng pagsubok: Sa panahon ng paunang pagsubok, Maaaring suriin ng may-ari ang pagiging angkop ng empleyado para sa trabaho.
Nakapirming kontrata: Isang kontrata na may paunang natukoy na petsa ng pagtatapos.
Mga Perpetual Contract: Ito ay mga perpetual na kontrata na walang itinakdang petsa ng pagtatapos1.
Sabihin ang mga dahilan para sa pagpapaalis: Depende sa uri ng relasyon sa trabaho, ang employer ay dapat may wastong dahilan para sa pagpapaalis.
Maaaring kabilang sa mga dahilan ang: Mga inaprubahang dahilan: Halimbawa, mga tanggalan, pagbabawas, pagsasara ng negosyo, atbp.
Dahilan lamang: Kabilang ang matinding maling pag-uugali, nakagawiang pagpapabaya, o paglabag sa patakaran ng kumpanya2.
Paunawa at Paliwanag: Dapat sundin ng employer ang dalawang tuntunin ng paunawa: Paliwanag: Magbigay ng nakasulat na paunawa na nagsasaad ng mga dahilan ng pagpapaalis.
Dapat magsumite ang mga empleyado ng nakasulat na deklarasyon sa loob ng hindi bababa sa 5 araw.
Administrative Meeting: Magdaos ng mga pagpupulong kung saan maaaring ipagtanggol ng mga empleyado ang kanilang sarili nang isa-isa o kasama ang kanilang mga legal na kinatawan.
Abiso sa Pagwawakas: Nagpapadala ng pormal na paunawa sa empleyado na nagpapaalam sa kanila ng pagwawakas3.
Abiso sa mga Awtoridad at Empleyado sa Paggawa: Ang mga empleyadong malapit nang matanggal sa trabaho ay dapat na maabisuhan nang maayos.
Dapat ipaalam ng mga employer sa Department of Labor and Employment (DOLE) ang pagwawakas1.
Separation Pay: Kung ang pagpapaalis ay para sa makatarungang dahilan, ang empleyado ay may karapatan sa separation pay.
Ang batas sa paggawa ng Pilipinas ay nangangailangan ng angkop na proseso, at ang hindi pagsunod sa mga pamamaraang ito ay maaaring magresulta sa iligal o hindi patas na pagtanggal sa trabaho4.
Pagwawakas ng Dokumento: Panatilihin ang naaangkop na mga talaan ng proseso ng pagwawakas, kabilang ang mga abiso, minuto ng pagpupulong, at kaugnay na sulat1.
Tandaan na ang mga batas sa paggawa ng Pilipinas ay matulungin sa manggagawa.
Samakatuwid, dapat maingat na pangasiwaan ng mga employer ang mga pamamaraang ito upang matiyak ang pagsunod at pagiging patas.</v>
      </c>
      <c r="F1399" s="2">
        <f t="shared" si="1"/>
        <v>0</v>
      </c>
      <c r="G1399" s="2"/>
      <c r="H1399" s="2"/>
      <c r="I1399" s="2"/>
      <c r="J1399" s="2"/>
      <c r="K1399" s="2"/>
      <c r="L1399" s="2"/>
      <c r="M1399" s="2"/>
      <c r="N1399" s="2"/>
      <c r="O1399" s="2"/>
      <c r="P1399" s="2"/>
      <c r="Q1399" s="2"/>
      <c r="R1399" s="2"/>
      <c r="S1399" s="2"/>
      <c r="T1399" s="2"/>
      <c r="U1399" s="2"/>
      <c r="V1399" s="2"/>
      <c r="W1399" s="2"/>
      <c r="X1399" s="2"/>
      <c r="Y1399" s="2"/>
      <c r="Z1399" s="2"/>
      <c r="AA1399" s="2"/>
    </row>
    <row r="1400">
      <c r="A1400" s="1" t="s">
        <v>3857</v>
      </c>
      <c r="B1400" s="1" t="s">
        <v>3966</v>
      </c>
      <c r="C1400" s="1" t="s">
        <v>3967</v>
      </c>
      <c r="D1400" s="2" t="str">
        <f>IFERROR(__xludf.DUMMYFUNCTION("GOOGLETRANSLATE(B1400, ""en"", ""TL"")"),"Ano ang mga legal na batayan para sa isang employer na wakasan ang kontrata ng isang empleyado nang walang abiso?")</f>
        <v>Ano ang mga legal na batayan para sa isang employer na wakasan ang kontrata ng isang empleyado nang walang abiso?</v>
      </c>
      <c r="E1400" s="2" t="str">
        <f>IFERROR(__xludf.DUMMYFUNCTION("GOOGLETRANSLATE(C1400, ""en"", ""TL"")"),"Ang mga empleyado ay maaari lamang matanggal sa trabaho para sa makatarungan at makatwirang dahilan.
Kabilang sa mga lehitimong dahilan ang kapabayaan o kapabayaan ng empleyado.
Gayunpaman, ang mga dahilan tulad ng mga pangangailangan ng tagapag-empleyo, "&amp;"mga pagbabago sa mga kondisyon sa ekonomiya, o sakit ng empleyado ay katanggap-tanggap.")</f>
        <v>Ang mga empleyado ay maaari lamang matanggal sa trabaho para sa makatarungan at makatwirang dahilan.
Kabilang sa mga lehitimong dahilan ang kapabayaan o kapabayaan ng empleyado.
Gayunpaman, ang mga dahilan tulad ng mga pangangailangan ng tagapag-empleyo, mga pagbabago sa mga kondisyon sa ekonomiya, o sakit ng empleyado ay katanggap-tanggap.</v>
      </c>
      <c r="F1400" s="2">
        <f t="shared" si="1"/>
        <v>0</v>
      </c>
      <c r="G1400" s="2"/>
      <c r="H1400" s="2"/>
      <c r="I1400" s="2"/>
      <c r="J1400" s="2"/>
      <c r="K1400" s="2"/>
      <c r="L1400" s="2"/>
      <c r="M1400" s="2"/>
      <c r="N1400" s="2"/>
      <c r="O1400" s="2"/>
      <c r="P1400" s="2"/>
      <c r="Q1400" s="2"/>
      <c r="R1400" s="2"/>
      <c r="S1400" s="2"/>
      <c r="T1400" s="2"/>
      <c r="U1400" s="2"/>
      <c r="V1400" s="2"/>
      <c r="W1400" s="2"/>
      <c r="X1400" s="2"/>
      <c r="Y1400" s="2"/>
      <c r="Z1400" s="2"/>
      <c r="AA1400" s="2"/>
    </row>
    <row r="1401">
      <c r="A1401" s="1" t="s">
        <v>3857</v>
      </c>
      <c r="B1401" s="1" t="s">
        <v>3968</v>
      </c>
      <c r="C1401" s="1" t="s">
        <v>3969</v>
      </c>
      <c r="D1401" s="2" t="str">
        <f>IFERROR(__xludf.DUMMYFUNCTION("GOOGLETRANSLATE(B1401, ""en"", ""TL"")"),"Ano ang mga legal na batayan para sa isang empleyado na wakasan ang kanilang kontrata sa pagtatrabaho nang walang abiso?")</f>
        <v>Ano ang mga legal na batayan para sa isang empleyado na wakasan ang kanilang kontrata sa pagtatrabaho nang walang abiso?</v>
      </c>
      <c r="E1401" s="2" t="str">
        <f>IFERROR(__xludf.DUMMYFUNCTION("GOOGLETRANSLATE(C1401, ""en"", ""TL"")"),"Ayon sa Article 285 ng Labor Code, ang mga manggagawa sa Pilipinas ay maaaring huminto sa kanilang trabaho nang may makatarungang dahilan o walang dahilan.
Ang empleyado ay dapat magsumite ng abiso ng pagpapaalis na may isang buwang abiso, nang hindi tinu"&amp;"koy ang dahilan.
Kung hindi sila maghain ng ulat, maaari mo silang kasuhan para sa mga pinsalang dulot nito.")</f>
        <v>Ayon sa Article 285 ng Labor Code, ang mga manggagawa sa Pilipinas ay maaaring huminto sa kanilang trabaho nang may makatarungang dahilan o walang dahilan.
Ang empleyado ay dapat magsumite ng abiso ng pagpapaalis na may isang buwang abiso, nang hindi tinukoy ang dahilan.
Kung hindi sila maghain ng ulat, maaari mo silang kasuhan para sa mga pinsalang dulot nito.</v>
      </c>
      <c r="F1401" s="2">
        <f t="shared" si="1"/>
        <v>0</v>
      </c>
      <c r="G1401" s="2"/>
      <c r="H1401" s="2"/>
      <c r="I1401" s="2"/>
      <c r="J1401" s="2"/>
      <c r="K1401" s="2"/>
      <c r="L1401" s="2"/>
      <c r="M1401" s="2"/>
      <c r="N1401" s="2"/>
      <c r="O1401" s="2"/>
      <c r="P1401" s="2"/>
      <c r="Q1401" s="2"/>
      <c r="R1401" s="2"/>
      <c r="S1401" s="2"/>
      <c r="T1401" s="2"/>
      <c r="U1401" s="2"/>
      <c r="V1401" s="2"/>
      <c r="W1401" s="2"/>
      <c r="X1401" s="2"/>
      <c r="Y1401" s="2"/>
      <c r="Z1401" s="2"/>
      <c r="AA1401" s="2"/>
    </row>
    <row r="1402">
      <c r="A1402" s="1" t="s">
        <v>3857</v>
      </c>
      <c r="B1402" s="1" t="s">
        <v>3970</v>
      </c>
      <c r="C1402" s="1" t="s">
        <v>3971</v>
      </c>
      <c r="D1402" s="2" t="str">
        <f>IFERROR(__xludf.DUMMYFUNCTION("GOOGLETRANSLATE(B1402, ""en"", ""TL"")"),"Anong mga hakbang ang ginawa upang matugunan ang mga pagkakaiba sa kita sa iba't ibang sektor ng manggagawang Pilipino, at paano tinutukoy ang patas na sahod?")</f>
        <v>Anong mga hakbang ang ginawa upang matugunan ang mga pagkakaiba sa kita sa iba't ibang sektor ng manggagawang Pilipino, at paano tinutukoy ang patas na sahod?</v>
      </c>
      <c r="E1402" s="2" t="str">
        <f>IFERROR(__xludf.DUMMYFUNCTION("GOOGLETRANSLATE(C1402, ""en"", ""TL"")"),"Ang Regional Tripartite Wage and Productivity Board (“RTWPB”) ay regular na naglalabas ng mga regulasyon sa sahod upang matugunan ang mga pagkakaiba sa kita at pagtaas ng mga gastos sa pamumuhay sa iba't ibang sektor ng manggagawang Pilipino.
Ang ayon sa "&amp;"batas na minimum na mga rate ng sahod na kinakailangan ng RTWPB ay nag-iiba ayon sa industriya, estado, at rehiyon.
Ang minimum wage rate na itinakda ng RTWPB alinsunod sa Guideline No.
03 ng 2020 Series o ang Omnibus Regulations on Minimum Wage Determina"&amp;"tion na inisyu ng National Wage and Productivity Board ay ang pinakamababang rate ng sahod na posible sa ekonomiya upang mapanatili ang minimum na sahod.
Dapat itong maging makatwiran hangga't maaari.
Pamantayan ng pamumuhay , na kinakailangan para sa kal"&amp;"usugan, pagganap at pangkalahatang kagalingan ng mga empleyado.
Kapag nagtatakda ng minimum na sahod, ang mga sumusunod ay isinasaalang-alang: Demand para sa isang buhay na sahod.
Pagsasaayos ng sahod na nauugnay sa index ng presyo ng consumer.
Halaga ng "&amp;"pamumuhay at mga pagbabago o pagtaas nito.
Pangangailangan ng mga manggagawa at kanilang pamilya.
Ang pangangailangang hikayatin ang lokal na pamumuhunan ng industriya.
Pagpapabuti ng antas ng pamumuhay.
Pangkalahatang antas ng sahod.
Sapat na interes sa "&amp;"kapital na pinagtatrabahuhan at kakayahan ng employer na magbayad.
Paglikha ng Trabaho at Epekto sa Kita ng Sambahayan.
Pantay na pamamahagi ng kita at kayamanan ayon sa pangangailangan ng pag-unlad ng ekonomiya at panlipunan.")</f>
        <v>Ang Regional Tripartite Wage and Productivity Board (“RTWPB”) ay regular na naglalabas ng mga regulasyon sa sahod upang matugunan ang mga pagkakaiba sa kita at pagtaas ng mga gastos sa pamumuhay sa iba't ibang sektor ng manggagawang Pilipino.
Ang ayon sa batas na minimum na mga rate ng sahod na kinakailangan ng RTWPB ay nag-iiba ayon sa industriya, estado, at rehiyon.
Ang minimum wage rate na itinakda ng RTWPB alinsunod sa Guideline No.
03 ng 2020 Series o ang Omnibus Regulations on Minimum Wage Determination na inisyu ng National Wage and Productivity Board ay ang pinakamababang rate ng sahod na posible sa ekonomiya upang mapanatili ang minimum na sahod.
Dapat itong maging makatwiran hangga't maaari.
Pamantayan ng pamumuhay , na kinakailangan para sa kalusugan, pagganap at pangkalahatang kagalingan ng mga empleyado.
Kapag nagtatakda ng minimum na sahod, ang mga sumusunod ay isinasaalang-alang: Demand para sa isang buhay na sahod.
Pagsasaayos ng sahod na nauugnay sa index ng presyo ng consumer.
Halaga ng pamumuhay at mga pagbabago o pagtaas nito.
Pangangailangan ng mga manggagawa at kanilang pamilya.
Ang pangangailangang hikayatin ang lokal na pamumuhunan ng industriya.
Pagpapabuti ng antas ng pamumuhay.
Pangkalahatang antas ng sahod.
Sapat na interes sa kapital na pinagtatrabahuhan at kakayahan ng employer na magbayad.
Paglikha ng Trabaho at Epekto sa Kita ng Sambahayan.
Pantay na pamamahagi ng kita at kayamanan ayon sa pangangailangan ng pag-unlad ng ekonomiya at panlipunan.</v>
      </c>
      <c r="F1402" s="2">
        <f t="shared" si="1"/>
        <v>0</v>
      </c>
      <c r="G1402" s="2"/>
      <c r="H1402" s="2"/>
      <c r="I1402" s="2"/>
      <c r="J1402" s="2"/>
      <c r="K1402" s="2"/>
      <c r="L1402" s="2"/>
      <c r="M1402" s="2"/>
      <c r="N1402" s="2"/>
      <c r="O1402" s="2"/>
      <c r="P1402" s="2"/>
      <c r="Q1402" s="2"/>
      <c r="R1402" s="2"/>
      <c r="S1402" s="2"/>
      <c r="T1402" s="2"/>
      <c r="U1402" s="2"/>
      <c r="V1402" s="2"/>
      <c r="W1402" s="2"/>
      <c r="X1402" s="2"/>
      <c r="Y1402" s="2"/>
      <c r="Z1402" s="2"/>
      <c r="AA1402" s="2"/>
    </row>
    <row r="1403">
      <c r="A1403" s="3" t="s">
        <v>3972</v>
      </c>
      <c r="B1403" s="1" t="s">
        <v>3973</v>
      </c>
      <c r="C1403" s="1" t="s">
        <v>3974</v>
      </c>
      <c r="D1403" s="2" t="str">
        <f>IFERROR(__xludf.DUMMYFUNCTION("GOOGLETRANSLATE(B1403, ""en"", ""TL"")"),"Ano ang legal na blood alcohol content (BAC) na limitasyon para sa mga driver sa Pilipinas?")</f>
        <v>Ano ang legal na blood alcohol content (BAC) na limitasyon para sa mga driver sa Pilipinas?</v>
      </c>
      <c r="E1403" s="2" t="str">
        <f>IFERROR(__xludf.DUMMYFUNCTION("GOOGLETRANSLATE(C1403, ""en"", ""TL"")"),"Ang legal na blood liquor substance (BAC) restrain para sa mga driver sa loob ng Pilipinas ay nagbabago depende sa uri ng driver:
Para sa mga driver ng pribadong sasakyan (na may netong timbang na hindi hihigit sa 4,500 kg):
Ang legal na pagpigil sa BAC a"&amp;"y 0.05%.
Para sa mga bihasang driver (nagbibilang ng mga driver ng mga trak, bus, cruiser, at open utility vehicle):
Ang lehitimong BAC constrain ay 0.00%. Ito ay nagpapahiwatig ng anumang nakikilalang kabuuan ng alak sa kanilang balangkas ay itinuturing "&amp;"na pagmamaneho sa ilalim ng epekto (DUI).
Mahalagang tandaan na ang mga ito ay mga legal na limitasyon, hindi mga secure na limitasyon. Sa katunayan, ang isang maliit na halaga ng alak ay maaaring makahadlang sa iyong kapasidad sa pagmamaneho at dagdagan "&amp;"ang iyong panganib ng mga sakuna. Ito ay patuloy na pinaka-secure na umiwas sa pag-inom at pagmamaneho sa loob at labas.")</f>
        <v>Ang legal na blood liquor substance (BAC) restrain para sa mga driver sa loob ng Pilipinas ay nagbabago depende sa uri ng driver:
Para sa mga driver ng pribadong sasakyan (na may netong timbang na hindi hihigit sa 4,500 kg):
Ang legal na pagpigil sa BAC ay 0.05%.
Para sa mga bihasang driver (nagbibilang ng mga driver ng mga trak, bus, cruiser, at open utility vehicle):
Ang lehitimong BAC constrain ay 0.00%. Ito ay nagpapahiwatig ng anumang nakikilalang kabuuan ng alak sa kanilang balangkas ay itinuturing na pagmamaneho sa ilalim ng epekto (DUI).
Mahalagang tandaan na ang mga ito ay mga legal na limitasyon, hindi mga secure na limitasyon. Sa katunayan, ang isang maliit na halaga ng alak ay maaaring makahadlang sa iyong kapasidad sa pagmamaneho at dagdagan ang iyong panganib ng mga sakuna. Ito ay patuloy na pinaka-secure na umiwas sa pag-inom at pagmamaneho sa loob at labas.</v>
      </c>
      <c r="F1403" s="2">
        <f t="shared" si="1"/>
        <v>0</v>
      </c>
      <c r="G1403" s="2"/>
      <c r="H1403" s="2"/>
      <c r="I1403" s="2"/>
      <c r="J1403" s="2"/>
      <c r="K1403" s="2"/>
      <c r="L1403" s="2"/>
      <c r="M1403" s="2"/>
      <c r="N1403" s="2"/>
      <c r="O1403" s="2"/>
      <c r="P1403" s="2"/>
      <c r="Q1403" s="2"/>
      <c r="R1403" s="2"/>
      <c r="S1403" s="2"/>
      <c r="T1403" s="2"/>
      <c r="U1403" s="2"/>
      <c r="V1403" s="2"/>
      <c r="W1403" s="2"/>
      <c r="X1403" s="2"/>
      <c r="Y1403" s="2"/>
      <c r="Z1403" s="2"/>
      <c r="AA1403" s="2"/>
    </row>
    <row r="1404">
      <c r="A1404" s="3" t="s">
        <v>3972</v>
      </c>
      <c r="B1404" s="1" t="s">
        <v>3975</v>
      </c>
      <c r="C1404" s="1" t="s">
        <v>3976</v>
      </c>
      <c r="D1404" s="2" t="str">
        <f>IFERROR(__xludf.DUMMYFUNCTION("GOOGLETRANSLATE(B1404, ""en"", ""TL"")"),"Sa anong mga sitwasyon ang mga driver ay kinakailangang gumamit ng mga seat belt ayon sa batas ng Pilipinas?")</f>
        <v>Sa anong mga sitwasyon ang mga driver ay kinakailangang gumamit ng mga seat belt ayon sa batas ng Pilipinas?</v>
      </c>
      <c r="E1404" s="2" t="str">
        <f>IFERROR(__xludf.DUMMYFUNCTION("GOOGLETRANSLATE(C1404, ""en"", ""TL"")"),"Ang mga utos ng batas sa Pilipinas ay gumagamit ng sinturon sa iba't ibang pagkakataon sa ilalim ng Republic Act No. 8750, na kilala rin bilang Situate Belts Utilize Act of 1999. Narito ang isang breakdown:
Ang mga driver at front situate na manlalakbay n"&amp;"g lahat ng bukas at pribadong makinang sasakyan (maliban sa mga jeep, jeepney, van, at bus) ay kinakailangang magsuot ng situate belt sa lahat ng oras samantalang ang sasakyan ay tumatakbo sa anumang kalye o lane.
Sa mga pribadong sasakyan (maliban sa nab"&amp;"anggit na mga kategorya), ang lahat ng manlalakbay (kabilang ang mga nasa likurang lugar) ay dapat gumamit ng kanilang mga seatbelt sa lahat ng oras.
Ang mga nagmamaneho ng mga bukas na sasakyang makina (nagbibilang sa mga iniiwasan mula sa paggamit ng si"&amp;"nturon sa situate para sa mga manlalakbay) ay kinakailangang mag-ilaw at mag-atas sa kanilang mga manlalakbay na nasa harapang lugar na magsuot ng mga sinturon sa lugar kapag sumakay sa sasakyan. Ang sinumang manlalakbay na tumanggi na magsuot ng sinturon"&amp;" sa lugar ay hindi maaaring magpatuloy sa kanilang paglalakbay.
Ang mga hindi karaniwang bukas na benepisyong sasakyan tulad ng mga school bus at comparative na sasakyan ay may mga karagdagang kinakailangan. Ang driver, mga manlalakbay sa harap na upuan, "&amp;"at ang pangunahing tulak ng mga manlalakbay sa likod ng driver ay dapat magsuot ng sinturon sa lahat ng oras habang ang sasakyan ay tumatakbo.
Ang mga batang wala pang anim na matagal nang sinaunang panahon ay hindi pinahihintulutan sa pag-upo sa loob ng "&amp;"harapan ng anumang tumatakbong sasakyang makina, sa katunayan sa pagkakataong sila ay naka-buckle up.")</f>
        <v>Ang mga utos ng batas sa Pilipinas ay gumagamit ng sinturon sa iba't ibang pagkakataon sa ilalim ng Republic Act No. 8750, na kilala rin bilang Situate Belts Utilize Act of 1999. Narito ang isang breakdown:
Ang mga driver at front situate na manlalakbay ng lahat ng bukas at pribadong makinang sasakyan (maliban sa mga jeep, jeepney, van, at bus) ay kinakailangang magsuot ng situate belt sa lahat ng oras samantalang ang sasakyan ay tumatakbo sa anumang kalye o lane.
Sa mga pribadong sasakyan (maliban sa nabanggit na mga kategorya), ang lahat ng manlalakbay (kabilang ang mga nasa likurang lugar) ay dapat gumamit ng kanilang mga seatbelt sa lahat ng oras.
Ang mga nagmamaneho ng mga bukas na sasakyang makina (nagbibilang sa mga iniiwasan mula sa paggamit ng sinturon sa situate para sa mga manlalakbay) ay kinakailangang mag-ilaw at mag-atas sa kanilang mga manlalakbay na nasa harapang lugar na magsuot ng mga sinturon sa lugar kapag sumakay sa sasakyan. Ang sinumang manlalakbay na tumanggi na magsuot ng sinturon sa lugar ay hindi maaaring magpatuloy sa kanilang paglalakbay.
Ang mga hindi karaniwang bukas na benepisyong sasakyan tulad ng mga school bus at comparative na sasakyan ay may mga karagdagang kinakailangan. Ang driver, mga manlalakbay sa harap na upuan, at ang pangunahing tulak ng mga manlalakbay sa likod ng driver ay dapat magsuot ng sinturon sa lahat ng oras habang ang sasakyan ay tumatakbo.
Ang mga batang wala pang anim na matagal nang sinaunang panahon ay hindi pinahihintulutan sa pag-upo sa loob ng harapan ng anumang tumatakbong sasakyang makina, sa katunayan sa pagkakataong sila ay naka-buckle up.</v>
      </c>
      <c r="F1404" s="2">
        <f t="shared" si="1"/>
        <v>0</v>
      </c>
      <c r="G1404" s="2"/>
      <c r="H1404" s="2"/>
      <c r="I1404" s="2"/>
      <c r="J1404" s="2"/>
      <c r="K1404" s="2"/>
      <c r="L1404" s="2"/>
      <c r="M1404" s="2"/>
      <c r="N1404" s="2"/>
      <c r="O1404" s="2"/>
      <c r="P1404" s="2"/>
      <c r="Q1404" s="2"/>
      <c r="R1404" s="2"/>
      <c r="S1404" s="2"/>
      <c r="T1404" s="2"/>
      <c r="U1404" s="2"/>
      <c r="V1404" s="2"/>
      <c r="W1404" s="2"/>
      <c r="X1404" s="2"/>
      <c r="Y1404" s="2"/>
      <c r="Z1404" s="2"/>
      <c r="AA1404" s="2"/>
    </row>
    <row r="1405">
      <c r="A1405" s="3" t="s">
        <v>3972</v>
      </c>
      <c r="B1405" s="1" t="s">
        <v>3977</v>
      </c>
      <c r="C1405" s="1" t="s">
        <v>3978</v>
      </c>
      <c r="D1405" s="2" t="str">
        <f>IFERROR(__xludf.DUMMYFUNCTION("GOOGLETRANSLATE(B1405, ""en"", ""TL"")"),"Ano ang minimum na edad na kinakailangan para sa mga pasahero ng motorsiklo sa Pilipinas?")</f>
        <v>Ano ang minimum na edad na kinakailangan para sa mga pasahero ng motorsiklo sa Pilipinas?</v>
      </c>
      <c r="E1405" s="2" t="str">
        <f>IFERROR(__xludf.DUMMYFUNCTION("GOOGLETRANSLATE(C1405, ""en"", ""TL"")"),"Sa loob ng Pilipinas, ang pinakamababang edad na kinakailangan para sa mga biyahero ng bisikleta ay pinagpapasyahan ng Republic Act No. 10666, na kilala rin bilang Children's Security on Bikes Act of 2015.
Para sa karamihan, ito ay labag sa batas para sa "&amp;"sinumang bata sa ilalim ng 18 isang mahabang panahon na sinaunang ihatid bilang isang manlalakbay sa isang bisikleta. Magkagayunman, may mga pagbubukod sa pagpapatakbo ng palabas na ito:
Ang bata na manlalakbay ay maaaring kumportableng maabot ang kanyang"&amp;" mga paa sa karaniwang mga foot peg ng cruiser. Tinitiyak nito na ang bata ay makakapanatili sa isang lehitimo at matatag na posisyon habang nakasakay.
Ang batang manlalakbay ay maaaring umabot sa paligid at makakuha ng hawakan sa tiyan ng tsuper ng cruis"&amp;"er. Binibigyan nito ang bata ng ligtas na paghawak habang nasa bisikleta.
Ang batang manlalakbay ay dapat magsuot ng karaniwang defensive helmet na lehitimong akma. Karaniwang mahalaga para sa kanilang seguridad sa kaso ng isang aksidente.
Mahalagang tand"&amp;"aan na kung sakaling matugunan ng isang bata ang tatlong eksepsiyon na ito, labis pa ring iminumungkahi na unahin ang kanilang seguridad at panatilihin ang isang madiskarteng distansya mula sa pagdadala sa kanila sa isang bisikleta sa anumang puntong maii"&amp;"sip. Ang mga cruiser ay nag-aalok ng lubos na mas kaunting seguridad kumpara sa mga kotse kung sakaling magkaroon ng misschance, at ang mga bata ay partikular na walang magawa.")</f>
        <v>Sa loob ng Pilipinas, ang pinakamababang edad na kinakailangan para sa mga biyahero ng bisikleta ay pinagpapasyahan ng Republic Act No. 10666, na kilala rin bilang Children's Security on Bikes Act of 2015.
Para sa karamihan, ito ay labag sa batas para sa sinumang bata sa ilalim ng 18 isang mahabang panahon na sinaunang ihatid bilang isang manlalakbay sa isang bisikleta. Magkagayunman, may mga pagbubukod sa pagpapatakbo ng palabas na ito:
Ang bata na manlalakbay ay maaaring kumportableng maabot ang kanyang mga paa sa karaniwang mga foot peg ng cruiser. Tinitiyak nito na ang bata ay makakapanatili sa isang lehitimo at matatag na posisyon habang nakasakay.
Ang batang manlalakbay ay maaaring umabot sa paligid at makakuha ng hawakan sa tiyan ng tsuper ng cruiser. Binibigyan nito ang bata ng ligtas na paghawak habang nasa bisikleta.
Ang batang manlalakbay ay dapat magsuot ng karaniwang defensive helmet na lehitimong akma. Karaniwang mahalaga para sa kanilang seguridad sa kaso ng isang aksidente.
Mahalagang tandaan na kung sakaling matugunan ng isang bata ang tatlong eksepsiyon na ito, labis pa ring iminumungkahi na unahin ang kanilang seguridad at panatilihin ang isang madiskarteng distansya mula sa pagdadala sa kanila sa isang bisikleta sa anumang puntong maiisip. Ang mga cruiser ay nag-aalok ng lubos na mas kaunting seguridad kumpara sa mga kotse kung sakaling magkaroon ng misschance, at ang mga bata ay partikular na walang magawa.</v>
      </c>
      <c r="F1405" s="2">
        <f t="shared" si="1"/>
        <v>0</v>
      </c>
      <c r="G1405" s="2"/>
      <c r="H1405" s="2"/>
      <c r="I1405" s="2"/>
      <c r="J1405" s="2"/>
      <c r="K1405" s="2"/>
      <c r="L1405" s="2"/>
      <c r="M1405" s="2"/>
      <c r="N1405" s="2"/>
      <c r="O1405" s="2"/>
      <c r="P1405" s="2"/>
      <c r="Q1405" s="2"/>
      <c r="R1405" s="2"/>
      <c r="S1405" s="2"/>
      <c r="T1405" s="2"/>
      <c r="U1405" s="2"/>
      <c r="V1405" s="2"/>
      <c r="W1405" s="2"/>
      <c r="X1405" s="2"/>
      <c r="Y1405" s="2"/>
      <c r="Z1405" s="2"/>
      <c r="AA1405" s="2"/>
    </row>
    <row r="1406">
      <c r="A1406" s="3" t="s">
        <v>3972</v>
      </c>
      <c r="B1406" s="1" t="s">
        <v>3979</v>
      </c>
      <c r="C1406" s="1" t="s">
        <v>3980</v>
      </c>
      <c r="D1406" s="2" t="str">
        <f>IFERROR(__xludf.DUMMYFUNCTION("GOOGLETRANSLATE(B1406, ""en"", ""TL"")"),"Sa anong mga kalagayan maaaring gumamit ng mobile phone ang isang driver habang nagpapatakbo ng sasakyan?")</f>
        <v>Sa anong mga kalagayan maaaring gumamit ng mobile phone ang isang driver habang nagpapatakbo ng sasakyan?</v>
      </c>
      <c r="E1406" s="2" t="str">
        <f>IFERROR(__xludf.DUMMYFUNCTION("GOOGLETRANSLATE(C1406, ""en"", ""TL"")"),"Ang Distracted Driving Prevention Act ay nagbabawal sa mga driver na gumamit ng mga cell phone para makipag-usap, mag-text, maglaro, manood ng mga video, o gumawa ng mga katulad na aktibidad habang nagmamaneho ng sasakyan.")</f>
        <v>Ang Distracted Driving Prevention Act ay nagbabawal sa mga driver na gumamit ng mga cell phone para makipag-usap, mag-text, maglaro, manood ng mga video, o gumawa ng mga katulad na aktibidad habang nagmamaneho ng sasakyan.</v>
      </c>
      <c r="F1406" s="2">
        <f t="shared" si="1"/>
        <v>0</v>
      </c>
      <c r="G1406" s="2"/>
      <c r="H1406" s="2"/>
      <c r="I1406" s="2"/>
      <c r="J1406" s="2"/>
      <c r="K1406" s="2"/>
      <c r="L1406" s="2"/>
      <c r="M1406" s="2"/>
      <c r="N1406" s="2"/>
      <c r="O1406" s="2"/>
      <c r="P1406" s="2"/>
      <c r="Q1406" s="2"/>
      <c r="R1406" s="2"/>
      <c r="S1406" s="2"/>
      <c r="T1406" s="2"/>
      <c r="U1406" s="2"/>
      <c r="V1406" s="2"/>
      <c r="W1406" s="2"/>
      <c r="X1406" s="2"/>
      <c r="Y1406" s="2"/>
      <c r="Z1406" s="2"/>
      <c r="AA1406" s="2"/>
    </row>
    <row r="1407">
      <c r="A1407" s="3" t="s">
        <v>3972</v>
      </c>
      <c r="B1407" s="1" t="s">
        <v>3981</v>
      </c>
      <c r="C1407" s="1" t="s">
        <v>3982</v>
      </c>
      <c r="D1407" s="2" t="str">
        <f>IFERROR(__xludf.DUMMYFUNCTION("GOOGLETRANSLATE(B1407, ""en"", ""TL"")"),"Ano ang hinihingi ng batas tungkol sa paggamit ng helmet para sa mga sakay at pasahero ng motorsiklo?")</f>
        <v>Ano ang hinihingi ng batas tungkol sa paggamit ng helmet para sa mga sakay at pasahero ng motorsiklo?</v>
      </c>
      <c r="E1407" s="2" t="str">
        <f>IFERROR(__xludf.DUMMYFUNCTION("GOOGLETRANSLATE(C1407, ""en"", ""TL"")"),"Kapag nakasakay sa motorsiklo, ang driver at pasahero ay dapat sumunod sa R.A.
Magsuot ng helmet na inaprubahan ng DTI (tulad ng may sticker ng ICC).
10054 o ang Motorcycle Helmet Act of 2009.
Bilang mga accessories, ang lahat ng mga motorsiklo ay dapat n"&amp;"a nilagyan ng mga headlight, taillights, signal lights, brake lights, side mirrors, at isang busina.")</f>
        <v>Kapag nakasakay sa motorsiklo, ang driver at pasahero ay dapat sumunod sa R.A.
Magsuot ng helmet na inaprubahan ng DTI (tulad ng may sticker ng ICC).
10054 o ang Motorcycle Helmet Act of 2009.
Bilang mga accessories, ang lahat ng mga motorsiklo ay dapat na nilagyan ng mga headlight, taillights, signal lights, brake lights, side mirrors, at isang busina.</v>
      </c>
      <c r="F1407" s="2">
        <f t="shared" si="1"/>
        <v>0</v>
      </c>
      <c r="G1407" s="2"/>
      <c r="H1407" s="2"/>
      <c r="I1407" s="2"/>
      <c r="J1407" s="2"/>
      <c r="K1407" s="2"/>
      <c r="L1407" s="2"/>
      <c r="M1407" s="2"/>
      <c r="N1407" s="2"/>
      <c r="O1407" s="2"/>
      <c r="P1407" s="2"/>
      <c r="Q1407" s="2"/>
      <c r="R1407" s="2"/>
      <c r="S1407" s="2"/>
      <c r="T1407" s="2"/>
      <c r="U1407" s="2"/>
      <c r="V1407" s="2"/>
      <c r="W1407" s="2"/>
      <c r="X1407" s="2"/>
      <c r="Y1407" s="2"/>
      <c r="Z1407" s="2"/>
      <c r="AA1407" s="2"/>
    </row>
    <row r="1408">
      <c r="A1408" s="3" t="s">
        <v>3972</v>
      </c>
      <c r="B1408" s="1" t="s">
        <v>3983</v>
      </c>
      <c r="C1408" s="1" t="s">
        <v>3984</v>
      </c>
      <c r="D1408" s="2" t="str">
        <f>IFERROR(__xludf.DUMMYFUNCTION("GOOGLETRANSLATE(B1408, ""en"", ""TL"")"),"Ano ang maximum speed limit sa mga expressway sa Pilipinas?")</f>
        <v>Ano ang maximum speed limit sa mga expressway sa Pilipinas?</v>
      </c>
      <c r="E1408" s="2" t="str">
        <f>IFERROR(__xludf.DUMMYFUNCTION("GOOGLETRANSLATE(C1408, ""en"", ""TL"")"),"Ang pinakamataas na bilis sa mga highway at toll road sa Pilipinas ay 100 kilometro bawat oras (km/h) para sa mga sasakyan.
Ang mga operator ng toll plaza ay nagpapataw ng bahagyang mas mababang limitasyon ng bilis na 80 km/h sa mga bus at trak.
Bukod pa "&amp;"rito, ang pinakamababang bilis sa lahat ng highway sa Pilipinas ay 60 km/h.
Upang magmaneho nang ligtas at mahusay sa mga highway, mahalagang sundin ang mga limitasyon ng bilis")</f>
        <v>Ang pinakamataas na bilis sa mga highway at toll road sa Pilipinas ay 100 kilometro bawat oras (km/h) para sa mga sasakyan.
Ang mga operator ng toll plaza ay nagpapataw ng bahagyang mas mababang limitasyon ng bilis na 80 km/h sa mga bus at trak.
Bukod pa rito, ang pinakamababang bilis sa lahat ng highway sa Pilipinas ay 60 km/h.
Upang magmaneho nang ligtas at mahusay sa mga highway, mahalagang sundin ang mga limitasyon ng bilis</v>
      </c>
      <c r="F1408" s="2">
        <f t="shared" si="1"/>
        <v>1</v>
      </c>
      <c r="G1408" s="2"/>
      <c r="H1408" s="2"/>
      <c r="I1408" s="2"/>
      <c r="J1408" s="2"/>
      <c r="K1408" s="2"/>
      <c r="L1408" s="2"/>
      <c r="M1408" s="2"/>
      <c r="N1408" s="2"/>
      <c r="O1408" s="2"/>
      <c r="P1408" s="2"/>
      <c r="Q1408" s="2"/>
      <c r="R1408" s="2"/>
      <c r="S1408" s="2"/>
      <c r="T1408" s="2"/>
      <c r="U1408" s="2"/>
      <c r="V1408" s="2"/>
      <c r="W1408" s="2"/>
      <c r="X1408" s="2"/>
      <c r="Y1408" s="2"/>
      <c r="Z1408" s="2"/>
      <c r="AA1408" s="2"/>
    </row>
    <row r="1409">
      <c r="A1409" s="3" t="s">
        <v>3972</v>
      </c>
      <c r="B1409" s="1" t="s">
        <v>3985</v>
      </c>
      <c r="C1409" s="1" t="s">
        <v>3986</v>
      </c>
      <c r="D1409" s="2" t="str">
        <f>IFERROR(__xludf.DUMMYFUNCTION("GOOGLETRANSLATE(B1409, ""en"", ""TL"")"),"Ano ang multa sa pagmamaneho nang walang valid driver's license sa Pilipinas?")</f>
        <v>Ano ang multa sa pagmamaneho nang walang valid driver's license sa Pilipinas?</v>
      </c>
      <c r="E1409" s="2" t="str">
        <f>IFERROR(__xludf.DUMMYFUNCTION("GOOGLETRANSLATE(C1409, ""en"", ""TL"")"),"P3,000 ang multa sa pagmamaneho ng walang malaking driver's license, ayon sa Arrive Transportation Office (LTO). Nalalapat ito sa iba't ibang mga senaryo na nagbibilang:
Pagmamaneho nang walang lisensya
Nagdadala ng expired, suspendido, binawi, o pekeng d"&amp;"river's permit
Pinahihintulutan ng understudy ang mga may hawak na nahuling nagmamaneho nang hindi sinasama ng isang taong may malaking permit
Mahalagang tandaan na ang karaniwang tinatanaw ang iyong lisensya sa domestic ay hindi nagbubukod sa iyo sa paru"&amp;"sa. Gayundin, ang pagmamaneho nang walang lisensya ay maaari ding humantong sa pag-impound ng iyong sasakyan sa pagkakataong itinuturing ito ng mga espesyalista na mahalaga.")</f>
        <v>P3,000 ang multa sa pagmamaneho ng walang malaking driver's license, ayon sa Arrive Transportation Office (LTO). Nalalapat ito sa iba't ibang mga senaryo na nagbibilang:
Pagmamaneho nang walang lisensya
Nagdadala ng expired, suspendido, binawi, o pekeng driver's permit
Pinahihintulutan ng understudy ang mga may hawak na nahuling nagmamaneho nang hindi sinasama ng isang taong may malaking permit
Mahalagang tandaan na ang karaniwang tinatanaw ang iyong lisensya sa domestic ay hindi nagbubukod sa iyo sa parusa. Gayundin, ang pagmamaneho nang walang lisensya ay maaari ding humantong sa pag-impound ng iyong sasakyan sa pagkakataong itinuturing ito ng mga espesyalista na mahalaga.</v>
      </c>
      <c r="F1409" s="2">
        <f t="shared" si="1"/>
        <v>0</v>
      </c>
      <c r="G1409" s="2"/>
      <c r="H1409" s="2"/>
      <c r="I1409" s="2"/>
      <c r="J1409" s="2"/>
      <c r="K1409" s="2"/>
      <c r="L1409" s="2"/>
      <c r="M1409" s="2"/>
      <c r="N1409" s="2"/>
      <c r="O1409" s="2"/>
      <c r="P1409" s="2"/>
      <c r="Q1409" s="2"/>
      <c r="R1409" s="2"/>
      <c r="S1409" s="2"/>
      <c r="T1409" s="2"/>
      <c r="U1409" s="2"/>
      <c r="V1409" s="2"/>
      <c r="W1409" s="2"/>
      <c r="X1409" s="2"/>
      <c r="Y1409" s="2"/>
      <c r="Z1409" s="2"/>
      <c r="AA1409" s="2"/>
    </row>
    <row r="1410">
      <c r="A1410" s="3" t="s">
        <v>3972</v>
      </c>
      <c r="B1410" s="1" t="s">
        <v>3987</v>
      </c>
      <c r="C1410" s="1" t="s">
        <v>3984</v>
      </c>
      <c r="D1410" s="2" t="str">
        <f>IFERROR(__xludf.DUMMYFUNCTION("GOOGLETRANSLATE(B1410, ""en"", ""TL"")"),"Ano ang minimum na edad para makakuha ng student driver's permit sa Pilipinas?")</f>
        <v>Ano ang minimum na edad para makakuha ng student driver's permit sa Pilipinas?</v>
      </c>
      <c r="E1410" s="2" t="str">
        <f>IFERROR(__xludf.DUMMYFUNCTION("GOOGLETRANSLATE(C1410, ""en"", ""TL"")"),"Ang pinakamataas na bilis sa mga highway at toll road sa Pilipinas ay 100 kilometro bawat oras (km/h) para sa mga sasakyan.
Ang mga operator ng toll plaza ay nagpapataw ng bahagyang mas mababang limitasyon ng bilis na 80 km/h sa mga bus at trak.
Bukod pa "&amp;"rito, ang pinakamababang bilis sa lahat ng highway sa Pilipinas ay 60 km/h.
Upang magmaneho nang ligtas at mahusay sa mga highway, mahalagang sundin ang mga limitasyon ng bilis")</f>
        <v>Ang pinakamataas na bilis sa mga highway at toll road sa Pilipinas ay 100 kilometro bawat oras (km/h) para sa mga sasakyan.
Ang mga operator ng toll plaza ay nagpapataw ng bahagyang mas mababang limitasyon ng bilis na 80 km/h sa mga bus at trak.
Bukod pa rito, ang pinakamababang bilis sa lahat ng highway sa Pilipinas ay 60 km/h.
Upang magmaneho nang ligtas at mahusay sa mga highway, mahalagang sundin ang mga limitasyon ng bilis</v>
      </c>
      <c r="F1410" s="2">
        <f t="shared" si="1"/>
        <v>0</v>
      </c>
      <c r="G1410" s="2"/>
      <c r="H1410" s="2"/>
      <c r="I1410" s="2"/>
      <c r="J1410" s="2"/>
      <c r="K1410" s="2"/>
      <c r="L1410" s="2"/>
      <c r="M1410" s="2"/>
      <c r="N1410" s="2"/>
      <c r="O1410" s="2"/>
      <c r="P1410" s="2"/>
      <c r="Q1410" s="2"/>
      <c r="R1410" s="2"/>
      <c r="S1410" s="2"/>
      <c r="T1410" s="2"/>
      <c r="U1410" s="2"/>
      <c r="V1410" s="2"/>
      <c r="W1410" s="2"/>
      <c r="X1410" s="2"/>
      <c r="Y1410" s="2"/>
      <c r="Z1410" s="2"/>
      <c r="AA1410" s="2"/>
    </row>
    <row r="1411">
      <c r="A1411" s="3" t="s">
        <v>3972</v>
      </c>
      <c r="B1411" s="1" t="s">
        <v>3988</v>
      </c>
      <c r="C1411" s="1" t="s">
        <v>3989</v>
      </c>
      <c r="D1411" s="2" t="str">
        <f>IFERROR(__xludf.DUMMYFUNCTION("GOOGLETRANSLATE(B1411, ""en"", ""TL"")"),"Ano ang parusa sa pagmamaneho sa ilalim ng impluwensya ng ilegal na droga?")</f>
        <v>Ano ang parusa sa pagmamaneho sa ilalim ng impluwensya ng ilegal na droga?</v>
      </c>
      <c r="E1411" s="2" t="str">
        <f>IFERROR(__xludf.DUMMYFUNCTION("GOOGLETRANSLATE(C1411, ""en"", ""TL"")"),"Ang pagmamaneho sa ilalim ng impluwensya ng iligal na droga sa Pilipinas ay isang malubhang pagkakasala na may malalaking parusa gaya ng nakabalangkas sa Republic Act No. 10586, na kilala rin bilang Anti-Drunk and Drugged Driving Act of 2013.
Narito ang "&amp;"isang buod ng mga potensyal na kahihinatnan:
pagkakulong:
3 buwan hanggang 6 na taon: Nalalapat ito kung ang pagkakasala ay hindi nagreresulta sa mga pisikal na pinsala o homicide.
6 na taon at 1 araw hanggang 12 taon: Nalalapat ito kung ang pagkakasal"&amp;"a ay nagreresulta sa mga pisikal na pinsala.
12 taon at 1 araw hanggang 20 taon: Nalalapat ito kung ang pagkakasala ay nagreresulta sa homicide.
fine:
P20,000 hanggang P50,000: Nalalapat ito kung ang pagkakasala ay hindi nagreresulta sa pisikal na pins"&amp;"ala o pagpatay.
P100,000 hanggang P200,000: Nalalapat ito kung ang pagkakasala ay nagreresulta sa mga pisikal na pinsala.
P300,000 hanggang P500,000: Nalalapat ito kung ang pagkakasala ay nagresulta sa homicide.
Lisensya sa pagmamaneho:
Pagkumpiska at"&amp;" awtomatikong pagbawi: Nalalapat ito sa lahat ng kaso, anuman ang kalubhaan ng pagkakasala.
pagsususpinde:
12 buwan para sa unang paglabag: Nalalapat ito para sa mga hindi propesyonal na lisensya.
Permanenteng pagbawi para sa unang pagkakasala: Nalalap"&amp;"at ito para sa mga propesyonal na lisensya.
Mga karagdagang tala:
Ang pagtanggi na sumailalim sa mandatory field sobriety at drug test ay nagreresulta din sa pagkumpiska at awtomatikong pagbawi ng lisensya sa pagmamaneho, bilang karagdagan sa iba pang m"&amp;"ga parusa.
Mahalagang tandaan na ito ang pinakamataas na parusa, at ang aktwal na parusa ay maaaring mas mababa depende sa mga partikular na kalagayan ng kaso at sa pagpapasya ng hukuman.")</f>
        <v>Ang pagmamaneho sa ilalim ng impluwensya ng iligal na droga sa Pilipinas ay isang malubhang pagkakasala na may malalaking parusa gaya ng nakabalangkas sa Republic Act No. 10586, na kilala rin bilang Anti-Drunk and Drugged Driving Act of 2013.
Narito ang isang buod ng mga potensyal na kahihinatnan:
pagkakulong:
3 buwan hanggang 6 na taon: Nalalapat ito kung ang pagkakasala ay hindi nagreresulta sa mga pisikal na pinsala o homicide.
6 na taon at 1 araw hanggang 12 taon: Nalalapat ito kung ang pagkakasala ay nagreresulta sa mga pisikal na pinsala.
12 taon at 1 araw hanggang 20 taon: Nalalapat ito kung ang pagkakasala ay nagreresulta sa homicide.
fine:
P20,000 hanggang P50,000: Nalalapat ito kung ang pagkakasala ay hindi nagreresulta sa pisikal na pinsala o pagpatay.
P100,000 hanggang P200,000: Nalalapat ito kung ang pagkakasala ay nagreresulta sa mga pisikal na pinsala.
P300,000 hanggang P500,000: Nalalapat ito kung ang pagkakasala ay nagresulta sa homicide.
Lisensya sa pagmamaneho:
Pagkumpiska at awtomatikong pagbawi: Nalalapat ito sa lahat ng kaso, anuman ang kalubhaan ng pagkakasala.
pagsususpinde:
12 buwan para sa unang paglabag: Nalalapat ito para sa mga hindi propesyonal na lisensya.
Permanenteng pagbawi para sa unang pagkakasala: Nalalapat ito para sa mga propesyonal na lisensya.
Mga karagdagang tala:
Ang pagtanggi na sumailalim sa mandatory field sobriety at drug test ay nagreresulta din sa pagkumpiska at awtomatikong pagbawi ng lisensya sa pagmamaneho, bilang karagdagan sa iba pang mga parusa.
Mahalagang tandaan na ito ang pinakamataas na parusa, at ang aktwal na parusa ay maaaring mas mababa depende sa mga partikular na kalagayan ng kaso at sa pagpapasya ng hukuman.</v>
      </c>
      <c r="F1411" s="2">
        <f t="shared" si="1"/>
        <v>0</v>
      </c>
      <c r="G1411" s="2"/>
      <c r="H1411" s="2"/>
      <c r="I1411" s="2"/>
      <c r="J1411" s="2"/>
      <c r="K1411" s="2"/>
      <c r="L1411" s="2"/>
      <c r="M1411" s="2"/>
      <c r="N1411" s="2"/>
      <c r="O1411" s="2"/>
      <c r="P1411" s="2"/>
      <c r="Q1411" s="2"/>
      <c r="R1411" s="2"/>
      <c r="S1411" s="2"/>
      <c r="T1411" s="2"/>
      <c r="U1411" s="2"/>
      <c r="V1411" s="2"/>
      <c r="W1411" s="2"/>
      <c r="X1411" s="2"/>
      <c r="Y1411" s="2"/>
      <c r="Z1411" s="2"/>
      <c r="AA1411" s="2"/>
    </row>
    <row r="1412">
      <c r="A1412" s="3" t="s">
        <v>3972</v>
      </c>
      <c r="B1412" s="1" t="s">
        <v>3990</v>
      </c>
      <c r="C1412" s="1" t="s">
        <v>3991</v>
      </c>
      <c r="D1412" s="2" t="str">
        <f>IFERROR(__xludf.DUMMYFUNCTION("GOOGLETRANSLATE(B1412, ""en"", ""TL"")"),"Sa anong mga sitwasyon dapat ibigay ng tsuper ang karapatan ng daan sa mga pedestrian?")</f>
        <v>Sa anong mga sitwasyon dapat ibigay ng tsuper ang karapatan ng daan sa mga pedestrian?</v>
      </c>
      <c r="E1412" s="2" t="str">
        <f>IFERROR(__xludf.DUMMYFUNCTION("GOOGLETRANSLATE(C1412, ""en"", ""TL"")"),"RA No.
4136, Artikulo 3, Seksyon 42(c) ay nagsasaad na ang driver ng isang sasakyan ay dapat magbigay ng karapatan sa daan patungo sa isang pedestrian na tumatawid sa kalsada sa loob ng isang tawiran.
Sa kawalan ng traffic monitoring device at traffic lig"&amp;"hts, ang daloy ng trapiko ay tinutukoy ng traffic monitoring device at traffic lights.")</f>
        <v>RA No.
4136, Artikulo 3, Seksyon 42(c) ay nagsasaad na ang driver ng isang sasakyan ay dapat magbigay ng karapatan sa daan patungo sa isang pedestrian na tumatawid sa kalsada sa loob ng isang tawiran.
Sa kawalan ng traffic monitoring device at traffic lights, ang daloy ng trapiko ay tinutukoy ng traffic monitoring device at traffic lights.</v>
      </c>
      <c r="F1412" s="2">
        <f t="shared" si="1"/>
        <v>0</v>
      </c>
      <c r="G1412" s="2"/>
      <c r="H1412" s="2"/>
      <c r="I1412" s="2"/>
      <c r="J1412" s="2"/>
      <c r="K1412" s="2"/>
      <c r="L1412" s="2"/>
      <c r="M1412" s="2"/>
      <c r="N1412" s="2"/>
      <c r="O1412" s="2"/>
      <c r="P1412" s="2"/>
      <c r="Q1412" s="2"/>
      <c r="R1412" s="2"/>
      <c r="S1412" s="2"/>
      <c r="T1412" s="2"/>
      <c r="U1412" s="2"/>
      <c r="V1412" s="2"/>
      <c r="W1412" s="2"/>
      <c r="X1412" s="2"/>
      <c r="Y1412" s="2"/>
      <c r="Z1412" s="2"/>
      <c r="AA1412" s="2"/>
    </row>
    <row r="1413">
      <c r="A1413" s="3" t="s">
        <v>3972</v>
      </c>
      <c r="B1413" s="1" t="s">
        <v>3992</v>
      </c>
      <c r="C1413" s="1" t="s">
        <v>3993</v>
      </c>
      <c r="D1413" s="2" t="str">
        <f>IFERROR(__xludf.DUMMYFUNCTION("GOOGLETRANSLATE(B1413, ""en"", ""TL"")"),"Ano ang legal na kinakailangan para sa pag-install ng mga child restraint system sa mga sasakyan?")</f>
        <v>Ano ang legal na kinakailangan para sa pag-install ng mga child restraint system sa mga sasakyan?</v>
      </c>
      <c r="E1413" s="2" t="str">
        <f>IFERROR(__xludf.DUMMYFUNCTION("GOOGLETRANSLATE(C1413, ""en"", ""TL"")"),"ang legal na pangangailangan para sa pag-install ng mga child restraint system (CRS) sa mga sasakyan ay itinatag ng Republic Act No. 11229, na kilala rin bilang Child Safety in Motor Vehicles Act. Narito ang isang buod ng mga pangunahing punto:
Sino ang "&amp;"nangangailangan ng sistema ng pagpigil sa bata?
Ang mga batang wala pang 12 taong gulang o may taas na mas mababa sa 150 cm (4'11"") ay dapat na naka-secure sa isang child restraint system (CRS) habang nasa isang tumatakbong sasakyang de-motor sa anumang"&amp;" kalsada, kalye, o highway.
Anong uri ng CRS ang kailangan?
Ang CRS ay kailangang angkop para sa edad, taas, at timbang ng bata.
Dapat din itong taglay ang Philippine Standard (PS) mark o ang Import Commodity Clearance (ICC) sticker at certificate. Tin"&amp;"itiyak nito na ang CRS ay nakakatugon sa mga tiyak na pamantayan sa kaligtasan na itinakda ng pamahalaan.
Saan maaaring maupo ang mga bata nang walang CRS?
Ang mga bata na nakakatugon sa kinakailangan sa taas (150 cm o 4'11"") at 12 taong gulang o mas m"&amp;"atanda ay maaaring gumamit ng regular na seat belt sa upuan sa harap ng isang sasakyang de-motor na may tumatakbong makina o habang dinadala.
Mga multa para sa hindi pagsunod:
Responsibilidad ng driver na tiyakin na ginagamit ng mga bata ang tamang CRS."&amp;"
Ang pagkabigong gawin ito ay maaaring magresulta sa multa ng:
₱1,000 para sa unang paglabag
₱3,000 para sa ikalawang paglabag
₱5,000 at isang taong suspensiyon ng lisensya sa pagmamaneho para sa ikatlo at kasunod na mga paglabag
Mga karagdagang tala"&amp;":
Mahalagang tandaan na ang paggamit ng anumang CRS, kahit na hindi naaprubahan, ay mas ligtas pa rin kaysa sa hindi paggamit ng isa. Gayunpaman, ang paggamit ng isang aprubadong CRS ay tumitiyak na nakakatugon ito sa mga partikular na pamantayan sa kali"&amp;"gtasan at nagbibigay ng pinakamahusay na posibleng proteksyon para sa iyong anak.")</f>
        <v>ang legal na pangangailangan para sa pag-install ng mga child restraint system (CRS) sa mga sasakyan ay itinatag ng Republic Act No. 11229, na kilala rin bilang Child Safety in Motor Vehicles Act. Narito ang isang buod ng mga pangunahing punto:
Sino ang nangangailangan ng sistema ng pagpigil sa bata?
Ang mga batang wala pang 12 taong gulang o may taas na mas mababa sa 150 cm (4'11") ay dapat na naka-secure sa isang child restraint system (CRS) habang nasa isang tumatakbong sasakyang de-motor sa anumang kalsada, kalye, o highway.
Anong uri ng CRS ang kailangan?
Ang CRS ay kailangang angkop para sa edad, taas, at timbang ng bata.
Dapat din itong taglay ang Philippine Standard (PS) mark o ang Import Commodity Clearance (ICC) sticker at certificate. Tinitiyak nito na ang CRS ay nakakatugon sa mga tiyak na pamantayan sa kaligtasan na itinakda ng pamahalaan.
Saan maaaring maupo ang mga bata nang walang CRS?
Ang mga bata na nakakatugon sa kinakailangan sa taas (150 cm o 4'11") at 12 taong gulang o mas matanda ay maaaring gumamit ng regular na seat belt sa upuan sa harap ng isang sasakyang de-motor na may tumatakbong makina o habang dinadala.
Mga multa para sa hindi pagsunod:
Responsibilidad ng driver na tiyakin na ginagamit ng mga bata ang tamang CRS.
Ang pagkabigong gawin ito ay maaaring magresulta sa multa ng:
₱1,000 para sa unang paglabag
₱3,000 para sa ikalawang paglabag
₱5,000 at isang taong suspensiyon ng lisensya sa pagmamaneho para sa ikatlo at kasunod na mga paglabag
Mga karagdagang tala:
Mahalagang tandaan na ang paggamit ng anumang CRS, kahit na hindi naaprubahan, ay mas ligtas pa rin kaysa sa hindi paggamit ng isa. Gayunpaman, ang paggamit ng isang aprubadong CRS ay tumitiyak na nakakatugon ito sa mga partikular na pamantayan sa kaligtasan at nagbibigay ng pinakamahusay na posibleng proteksyon para sa iyong anak.</v>
      </c>
      <c r="F1413" s="2">
        <f t="shared" si="1"/>
        <v>0</v>
      </c>
      <c r="G1413" s="2"/>
      <c r="H1413" s="2"/>
      <c r="I1413" s="2"/>
      <c r="J1413" s="2"/>
      <c r="K1413" s="2"/>
      <c r="L1413" s="2"/>
      <c r="M1413" s="2"/>
      <c r="N1413" s="2"/>
      <c r="O1413" s="2"/>
      <c r="P1413" s="2"/>
      <c r="Q1413" s="2"/>
      <c r="R1413" s="2"/>
      <c r="S1413" s="2"/>
      <c r="T1413" s="2"/>
      <c r="U1413" s="2"/>
      <c r="V1413" s="2"/>
      <c r="W1413" s="2"/>
      <c r="X1413" s="2"/>
      <c r="Y1413" s="2"/>
      <c r="Z1413" s="2"/>
      <c r="AA1413" s="2"/>
    </row>
    <row r="1414">
      <c r="A1414" s="3" t="s">
        <v>3972</v>
      </c>
      <c r="B1414" s="1" t="s">
        <v>3994</v>
      </c>
      <c r="C1414" s="1" t="s">
        <v>3995</v>
      </c>
      <c r="D1414" s="2" t="str">
        <f>IFERROR(__xludf.DUMMYFUNCTION("GOOGLETRANSLATE(B1414, ""en"", ""TL"")"),"Ano ang maximum na pinapayagang tint para sa mga bintana ng sasakyan sa ilalim ng batas ng Pilipinas?")</f>
        <v>Ano ang maximum na pinapayagang tint para sa mga bintana ng sasakyan sa ilalim ng batas ng Pilipinas?</v>
      </c>
      <c r="E1414" s="2" t="str">
        <f>IFERROR(__xludf.DUMMYFUNCTION("GOOGLETRANSLATE(C1414, ""en"", ""TL"")"),"Ang pinakamataas na pinahihintulutang kulay para sa mga bintana ng sasakyan sa ilalim ng batas ng Pilipinas ay: Mga bintana at windshield sa harap sa gilid: Upang makapasa sa mga pambansang pamantayan, hindi dapat mas mababa sa 65% ang visible light trans"&amp;"mittance ng front side windows at windshields (VLT).
Pagsusuri sa kotse (NCT).
Ang tint ng mga bintanang ito ay hindi lalampas sa 35%.
Rear window: Dapat manatiling malinaw ang rear window sa mga bago at kasalukuyang rehistradong sasakyan.
Inirerekomenda "&amp;"ng mga tagagawa ng trak at sasakyan ang 70% VLT para sa mga windshield at mga bintana sa harap na bahagi.
Ang likurang bintana ng ay karaniwang hindi kinokontrol.
Huwag kalimutan na patuloy pa rin ang pag-uusap kung paano i-regulate ang car tint sa Pilipi"&amp;"nas.
Samakatuwid, mahalagang manatiling napapanahon sa mga legal na update at pagbabago.
Kung napatunayang gumagamit ka ng maling lilim, samakatuwid ay bibigyan ka ng mga awtoridad ng oras upang malutas ang isyu.
Bilang karagdagan, ang mga factory-tinted "&amp;"na bintana ay napapailalim din sa mga regulasyon, na nangangailangan ng mga automaker na panatilihin ang mga aprubadong antas ng tint sa mga sasakyang ginagawa nila.")</f>
        <v>Ang pinakamataas na pinahihintulutang kulay para sa mga bintana ng sasakyan sa ilalim ng batas ng Pilipinas ay: Mga bintana at windshield sa harap sa gilid: Upang makapasa sa mga pambansang pamantayan, hindi dapat mas mababa sa 65% ang visible light transmittance ng front side windows at windshields (VLT).
Pagsusuri sa kotse (NCT).
Ang tint ng mga bintanang ito ay hindi lalampas sa 35%.
Rear window: Dapat manatiling malinaw ang rear window sa mga bago at kasalukuyang rehistradong sasakyan.
Inirerekomenda ng mga tagagawa ng trak at sasakyan ang 70% VLT para sa mga windshield at mga bintana sa harap na bahagi.
Ang likurang bintana ng ay karaniwang hindi kinokontrol.
Huwag kalimutan na patuloy pa rin ang pag-uusap kung paano i-regulate ang car tint sa Pilipinas.
Samakatuwid, mahalagang manatiling napapanahon sa mga legal na update at pagbabago.
Kung napatunayang gumagamit ka ng maling lilim, samakatuwid ay bibigyan ka ng mga awtoridad ng oras upang malutas ang isyu.
Bilang karagdagan, ang mga factory-tinted na bintana ay napapailalim din sa mga regulasyon, na nangangailangan ng mga automaker na panatilihin ang mga aprubadong antas ng tint sa mga sasakyang ginagawa nila.</v>
      </c>
      <c r="F1414" s="2">
        <f t="shared" si="1"/>
        <v>0</v>
      </c>
      <c r="G1414" s="2"/>
      <c r="H1414" s="2"/>
      <c r="I1414" s="2"/>
      <c r="J1414" s="2"/>
      <c r="K1414" s="2"/>
      <c r="L1414" s="2"/>
      <c r="M1414" s="2"/>
      <c r="N1414" s="2"/>
      <c r="O1414" s="2"/>
      <c r="P1414" s="2"/>
      <c r="Q1414" s="2"/>
      <c r="R1414" s="2"/>
      <c r="S1414" s="2"/>
      <c r="T1414" s="2"/>
      <c r="U1414" s="2"/>
      <c r="V1414" s="2"/>
      <c r="W1414" s="2"/>
      <c r="X1414" s="2"/>
      <c r="Y1414" s="2"/>
      <c r="Z1414" s="2"/>
      <c r="AA1414" s="2"/>
    </row>
    <row r="1415">
      <c r="A1415" s="3" t="s">
        <v>3972</v>
      </c>
      <c r="B1415" s="1" t="s">
        <v>3996</v>
      </c>
      <c r="C1415" s="1" t="s">
        <v>3997</v>
      </c>
      <c r="D1415" s="2" t="str">
        <f>IFERROR(__xludf.DUMMYFUNCTION("GOOGLETRANSLATE(B1415, ""en"", ""TL"")"),"Kailan ipinagbabawal ang pag-overtake o pagdaan sa ibang sasakyan?")</f>
        <v>Kailan ipinagbabawal ang pag-overtake o pagdaan sa ibang sasakyan?</v>
      </c>
      <c r="E1415" s="2" t="str">
        <f>IFERROR(__xludf.DUMMYFUNCTION("GOOGLETRANSLATE(C1415, ""en"", ""TL"")"),"Ang pag-overtake o pagdaan sa ibang sasakyan ay ipinagbabawal sa ilang sitwasyon, gaya ng nakabalangkas sa Republic Act No. 4136, na kilala rin bilang Land Transportation and Traffic Code. Narito ang mga pangunahing senaryo:
1. Papalapit sa tuktok ng isan"&amp;"g grado o sa isang kurba:
Hindi ka maaaring mag-overtake kapag papalapit sa tuktok ng isang burol (crest ng isang grado) o sa isang kurba sa kalsada kung saan ang iyong view sa unahan ay nakaharang sa loob ng 500 talampakan. Ito ay dahil ang limitadong vi"&amp;"sibility ay maaaring maging hindi ligtas na hatulan ang paparating na trapiko at kumpletuhin ang maniobra nang ligtas.
2. Mga intersection at tawiran ng tren:
Ang pag-overtake ay hindi pinapayagan sa mga intersection maliban kung ang intersection ay kinok"&amp;"ontrol ng isang signal ng trapiko, isang bantay, o isang opisyal ng kapayapaan. Nakakatulong ito na maiwasan ang mga banggaan sa mga abalang intersection kung saan maraming sasakyan ang lumiliko o nagku-krus ng landas.
Ipinagbabawal din ang pag-overtake s"&amp;"a mga tawiran ng riles dahil sa mga potensyal na panganib ng pagtawid sa harap ng paparating na tren.
3. Mga no-overtaking zone:
Ang mga partikular na seksyon ng mga kalsada ay maaaring italaga bilang ""no-overtaking zone"" sa pamamagitan ng signage o dou"&amp;"ble solid yellow lines. Karaniwang kinabibilangan ng mga zone na ito ang mga lugar na may limitadong visibility, makipot na daan, o iba pang potensyal na panganib, na ginagawang hindi ligtas ang pag-overtake.")</f>
        <v>Ang pag-overtake o pagdaan sa ibang sasakyan ay ipinagbabawal sa ilang sitwasyon, gaya ng nakabalangkas sa Republic Act No. 4136, na kilala rin bilang Land Transportation and Traffic Code. Narito ang mga pangunahing senaryo:
1. Papalapit sa tuktok ng isang grado o sa isang kurba:
Hindi ka maaaring mag-overtake kapag papalapit sa tuktok ng isang burol (crest ng isang grado) o sa isang kurba sa kalsada kung saan ang iyong view sa unahan ay nakaharang sa loob ng 500 talampakan. Ito ay dahil ang limitadong visibility ay maaaring maging hindi ligtas na hatulan ang paparating na trapiko at kumpletuhin ang maniobra nang ligtas.
2. Mga intersection at tawiran ng tren:
Ang pag-overtake ay hindi pinapayagan sa mga intersection maliban kung ang intersection ay kinokontrol ng isang signal ng trapiko, isang bantay, o isang opisyal ng kapayapaan. Nakakatulong ito na maiwasan ang mga banggaan sa mga abalang intersection kung saan maraming sasakyan ang lumiliko o nagku-krus ng landas.
Ipinagbabawal din ang pag-overtake sa mga tawiran ng riles dahil sa mga potensyal na panganib ng pagtawid sa harap ng paparating na tren.
3. Mga no-overtaking zone:
Ang mga partikular na seksyon ng mga kalsada ay maaaring italaga bilang "no-overtaking zone" sa pamamagitan ng signage o double solid yellow lines. Karaniwang kinabibilangan ng mga zone na ito ang mga lugar na may limitadong visibility, makipot na daan, o iba pang potensyal na panganib, na ginagawang hindi ligtas ang pag-overtake.</v>
      </c>
      <c r="F1415" s="2">
        <f t="shared" si="1"/>
        <v>0</v>
      </c>
      <c r="G1415" s="2"/>
      <c r="H1415" s="2"/>
      <c r="I1415" s="2"/>
      <c r="J1415" s="2"/>
      <c r="K1415" s="2"/>
      <c r="L1415" s="2"/>
      <c r="M1415" s="2"/>
      <c r="N1415" s="2"/>
      <c r="O1415" s="2"/>
      <c r="P1415" s="2"/>
      <c r="Q1415" s="2"/>
      <c r="R1415" s="2"/>
      <c r="S1415" s="2"/>
      <c r="T1415" s="2"/>
      <c r="U1415" s="2"/>
      <c r="V1415" s="2"/>
      <c r="W1415" s="2"/>
      <c r="X1415" s="2"/>
      <c r="Y1415" s="2"/>
      <c r="Z1415" s="2"/>
      <c r="AA1415" s="2"/>
    </row>
    <row r="1416">
      <c r="A1416" s="3" t="s">
        <v>3972</v>
      </c>
      <c r="B1416" s="1" t="s">
        <v>3998</v>
      </c>
      <c r="C1416" s="1" t="s">
        <v>3991</v>
      </c>
      <c r="D1416" s="2" t="str">
        <f>IFERROR(__xludf.DUMMYFUNCTION("GOOGLETRANSLATE(B1416, ""en"", ""TL"")"),"Ano ang dapat gawin ng mga driver kapag papalapit sa tawiran ng pedestrian?")</f>
        <v>Ano ang dapat gawin ng mga driver kapag papalapit sa tawiran ng pedestrian?</v>
      </c>
      <c r="E1416" s="2" t="str">
        <f>IFERROR(__xludf.DUMMYFUNCTION("GOOGLETRANSLATE(C1416, ""en"", ""TL"")"),"RA No.
4136, Artikulo 3, Seksyon 42(c) ay nagsasaad na ang driver ng isang sasakyan ay dapat magbigay ng karapatan sa daan patungo sa isang pedestrian na tumatawid sa kalsada sa loob ng isang tawiran.
Sa kawalan ng traffic monitoring device at traffic lig"&amp;"hts, ang daloy ng trapiko ay tinutukoy ng traffic monitoring device at traffic lights.")</f>
        <v>RA No.
4136, Artikulo 3, Seksyon 42(c) ay nagsasaad na ang driver ng isang sasakyan ay dapat magbigay ng karapatan sa daan patungo sa isang pedestrian na tumatawid sa kalsada sa loob ng isang tawiran.
Sa kawalan ng traffic monitoring device at traffic lights, ang daloy ng trapiko ay tinutukoy ng traffic monitoring device at traffic lights.</v>
      </c>
      <c r="F1416" s="2">
        <f t="shared" si="1"/>
        <v>0</v>
      </c>
      <c r="G1416" s="2"/>
      <c r="H1416" s="2"/>
      <c r="I1416" s="2"/>
      <c r="J1416" s="2"/>
      <c r="K1416" s="2"/>
      <c r="L1416" s="2"/>
      <c r="M1416" s="2"/>
      <c r="N1416" s="2"/>
      <c r="O1416" s="2"/>
      <c r="P1416" s="2"/>
      <c r="Q1416" s="2"/>
      <c r="R1416" s="2"/>
      <c r="S1416" s="2"/>
      <c r="T1416" s="2"/>
      <c r="U1416" s="2"/>
      <c r="V1416" s="2"/>
      <c r="W1416" s="2"/>
      <c r="X1416" s="2"/>
      <c r="Y1416" s="2"/>
      <c r="Z1416" s="2"/>
      <c r="AA1416" s="2"/>
    </row>
    <row r="1417">
      <c r="A1417" s="3" t="s">
        <v>3972</v>
      </c>
      <c r="B1417" s="1" t="s">
        <v>3999</v>
      </c>
      <c r="C1417" s="1" t="s">
        <v>4000</v>
      </c>
      <c r="D1417" s="2" t="str">
        <f>IFERROR(__xludf.DUMMYFUNCTION("GOOGLETRANSLATE(B1417, ""en"", ""TL"")"),"Ano ang mga parusa sa pagwawalang-bahala sa mga palatandaan at senyales ng trapiko?")</f>
        <v>Ano ang mga parusa sa pagwawalang-bahala sa mga palatandaan at senyales ng trapiko?</v>
      </c>
      <c r="E1417" s="2" t="str">
        <f>IFERROR(__xludf.DUMMYFUNCTION("GOOGLETRANSLATE(C1417, ""en"", ""TL"")"),"ang mga parusa para sa pagwawalang-bahala sa mga palatandaan at senyales ng trapiko ay maaaring mag-iba depende sa partikular na paglabag at sa ahensyang nagpapatupad. Narito ang isang breakdown:
Tanggapan ng Land Transportation (LTO):
Bagama't walang p"&amp;"artikular na paglabag na nakalista ang LTO para sa ""pagwawalang-bahala sa mga traffic sign,"" maaari nilang kasuhan ang mga lalabag ng paglabag sa mga patakaran at regulasyon sa trapiko, na may multang ₱1,000.
Metropolitan Manila Development Authority ("&amp;"MMDA):
Ang MMDA ay may partikular na paglabag sa pagwawalang-bahala sa mga traffic sign (DTS) na may iba't ibang multa depende sa bilang ng mga paglabag:
Unang pagkakasala: ₱150
Pangalawang pagkakasala: ₱150
Ikatlong pagkakasala: ₱150")</f>
        <v>ang mga parusa para sa pagwawalang-bahala sa mga palatandaan at senyales ng trapiko ay maaaring mag-iba depende sa partikular na paglabag at sa ahensyang nagpapatupad. Narito ang isang breakdown:
Tanggapan ng Land Transportation (LTO):
Bagama't walang partikular na paglabag na nakalista ang LTO para sa "pagwawalang-bahala sa mga traffic sign," maaari nilang kasuhan ang mga lalabag ng paglabag sa mga patakaran at regulasyon sa trapiko, na may multang ₱1,000.
Metropolitan Manila Development Authority (MMDA):
Ang MMDA ay may partikular na paglabag sa pagwawalang-bahala sa mga traffic sign (DTS) na may iba't ibang multa depende sa bilang ng mga paglabag:
Unang pagkakasala: ₱150
Pangalawang pagkakasala: ₱150
Ikatlong pagkakasala: ₱150</v>
      </c>
      <c r="F1417" s="2">
        <f t="shared" si="1"/>
        <v>0</v>
      </c>
      <c r="G1417" s="2"/>
      <c r="H1417" s="2"/>
      <c r="I1417" s="2"/>
      <c r="J1417" s="2"/>
      <c r="K1417" s="2"/>
      <c r="L1417" s="2"/>
      <c r="M1417" s="2"/>
      <c r="N1417" s="2"/>
      <c r="O1417" s="2"/>
      <c r="P1417" s="2"/>
      <c r="Q1417" s="2"/>
      <c r="R1417" s="2"/>
      <c r="S1417" s="2"/>
      <c r="T1417" s="2"/>
      <c r="U1417" s="2"/>
      <c r="V1417" s="2"/>
      <c r="W1417" s="2"/>
      <c r="X1417" s="2"/>
      <c r="Y1417" s="2"/>
      <c r="Z1417" s="2"/>
      <c r="AA1417" s="2"/>
    </row>
    <row r="1418">
      <c r="A1418" s="3" t="s">
        <v>3972</v>
      </c>
      <c r="B1418" s="1" t="s">
        <v>4001</v>
      </c>
      <c r="C1418" s="1" t="s">
        <v>4002</v>
      </c>
      <c r="D1418" s="2" t="str">
        <f>IFERROR(__xludf.DUMMYFUNCTION("GOOGLETRANSLATE(B1418, ""en"", ""TL"")"),"Maaari bang pagmultahin ang isang tsuper sa pagtanggi na sumailalim sa pagsusuri sa droga at alkohol?")</f>
        <v>Maaari bang pagmultahin ang isang tsuper sa pagtanggi na sumailalim sa pagsusuri sa droga at alkohol?</v>
      </c>
      <c r="E1418" s="2" t="str">
        <f>IFERROR(__xludf.DUMMYFUNCTION("GOOGLETRANSLATE(C1418, ""en"", ""TL"")"),"Kapag papalapit sa isang tawiran sa Pilipinas, ang mga motorista ay dapat sumunod sa mga sumusunod na alituntunin ng right-of-way: Priyoridad ng pedestrian: Alinsunod sa RA No.
4136, Artikulo III, Seksyon 42 ©, lahat Ang driver ng sasakyan ay dapat magbig"&amp;"ay ng right of way.
Right of way para sa mga pedestrian na tumatawid sa kalsada hangga't nasa loob sila ng crosswalk.
Nangangahulugan ito na kung ang isang pedestrian ay aktibong gumagamit ng isang tawiran, ang mga driver ay dapat huminto upang payagan si"&amp;"lang tumawid nang ligtas.
Gayunpaman, kung mayroong traffic monitoring device o traffic light, ang daloy ng trapiko ay tinutukoy ng traffic monitoring device o traffic signal1.
Iwasang putulin ang mga naglalakad: Kahit na walang traffic police o traffic l"&amp;"ights, dapat iwasan ng mga driver na putulin ang mga pedestrian na nasa gitna na ng crosswalk.
Pagpasensyahan nyo na po at hayaan silang makumpleto ang pagtawid bago magpatuloy2.
Tandaan na ang mga pagsasaalang-alang sa kaligtasan at pedestrian ay mahalag"&amp;"a para maayos ang daloy ng trapiko at maiwasan ang mga aksidente.
Samakatuwid, kapag gumagamit ng mga tawiran, bumagal, mag-ingat, at magbigay ng mga pedestrian.")</f>
        <v>Kapag papalapit sa isang tawiran sa Pilipinas, ang mga motorista ay dapat sumunod sa mga sumusunod na alituntunin ng right-of-way: Priyoridad ng pedestrian: Alinsunod sa RA No.
4136, Artikulo III, Seksyon 42 ©, lahat Ang driver ng sasakyan ay dapat magbigay ng right of way.
Right of way para sa mga pedestrian na tumatawid sa kalsada hangga't nasa loob sila ng crosswalk.
Nangangahulugan ito na kung ang isang pedestrian ay aktibong gumagamit ng isang tawiran, ang mga driver ay dapat huminto upang payagan silang tumawid nang ligtas.
Gayunpaman, kung mayroong traffic monitoring device o traffic light, ang daloy ng trapiko ay tinutukoy ng traffic monitoring device o traffic signal1.
Iwasang putulin ang mga naglalakad: Kahit na walang traffic police o traffic lights, dapat iwasan ng mga driver na putulin ang mga pedestrian na nasa gitna na ng crosswalk.
Pagpasensyahan nyo na po at hayaan silang makumpleto ang pagtawid bago magpatuloy2.
Tandaan na ang mga pagsasaalang-alang sa kaligtasan at pedestrian ay mahalaga para maayos ang daloy ng trapiko at maiwasan ang mga aksidente.
Samakatuwid, kapag gumagamit ng mga tawiran, bumagal, mag-ingat, at magbigay ng mga pedestrian.</v>
      </c>
      <c r="F1418" s="2">
        <f t="shared" si="1"/>
        <v>0</v>
      </c>
      <c r="G1418" s="2"/>
      <c r="H1418" s="2"/>
      <c r="I1418" s="2"/>
      <c r="J1418" s="2"/>
      <c r="K1418" s="2"/>
      <c r="L1418" s="2"/>
      <c r="M1418" s="2"/>
      <c r="N1418" s="2"/>
      <c r="O1418" s="2"/>
      <c r="P1418" s="2"/>
      <c r="Q1418" s="2"/>
      <c r="R1418" s="2"/>
      <c r="S1418" s="2"/>
      <c r="T1418" s="2"/>
      <c r="U1418" s="2"/>
      <c r="V1418" s="2"/>
      <c r="W1418" s="2"/>
      <c r="X1418" s="2"/>
      <c r="Y1418" s="2"/>
      <c r="Z1418" s="2"/>
      <c r="AA1418" s="2"/>
    </row>
    <row r="1419">
      <c r="A1419" s="3" t="s">
        <v>3972</v>
      </c>
      <c r="B1419" s="1" t="s">
        <v>4003</v>
      </c>
      <c r="C1419" s="1" t="s">
        <v>4004</v>
      </c>
      <c r="D1419" s="2" t="str">
        <f>IFERROR(__xludf.DUMMYFUNCTION("GOOGLETRANSLATE(B1419, ""en"", ""TL"")"),"Ano ang multa sa pagmamaneho ng motorsiklo na walang helmet sa Pilipinas?")</f>
        <v>Ano ang multa sa pagmamaneho ng motorsiklo na walang helmet sa Pilipinas?</v>
      </c>
      <c r="E1419" s="2" t="str">
        <f>IFERROR(__xludf.DUMMYFUNCTION("GOOGLETRANSLATE(C1419, ""en"", ""TL"")"),"Ang multa para sa pagmamaneho ng motorsiklo na walang helmet sa Pilipinas ay depende sa bilang ng mga pagkakasala at ipinag-uutos ng Republic Act No. 10054, na kilala rin bilang Motorcycle Helmet Act. Narito ang breakdown:
Unang pagkakasala: ₱1,500 (humi"&amp;"git-kumulang $30 USD)
Pangalawang pagkakasala: ₱3,000 (humigit-kumulang $60 USD)
Ikatlong pagkakasala: ₱5,000 (humigit-kumulang $100 USD)
Pang-apat at kasunod na mga pagkakasala: ₱10,000 (humigit-kumulang $200 USD) kasama ang pagkumpiska ng lisensya sa"&amp;" pagmamaneho
Tandaan, ito ay mga parusang pinansyal lamang.
Ang mga karagdagang kahihinatnan ng pagmamaneho nang walang helmet ay maaaring kabilang ang:
Pag-impound ng motorsiklo
Mga pinsala o kamatayan sa kaso ng isang aksidente (kahit isang maliit n"&amp;"a aksidente ay maaaring magresulta sa malubhang pinsala nang walang proteksyon ng helmet)")</f>
        <v>Ang multa para sa pagmamaneho ng motorsiklo na walang helmet sa Pilipinas ay depende sa bilang ng mga pagkakasala at ipinag-uutos ng Republic Act No. 10054, na kilala rin bilang Motorcycle Helmet Act. Narito ang breakdown:
Unang pagkakasala: ₱1,500 (humigit-kumulang $30 USD)
Pangalawang pagkakasala: ₱3,000 (humigit-kumulang $60 USD)
Ikatlong pagkakasala: ₱5,000 (humigit-kumulang $100 USD)
Pang-apat at kasunod na mga pagkakasala: ₱10,000 (humigit-kumulang $200 USD) kasama ang pagkumpiska ng lisensya sa pagmamaneho
Tandaan, ito ay mga parusang pinansyal lamang.
Ang mga karagdagang kahihinatnan ng pagmamaneho nang walang helmet ay maaaring kabilang ang:
Pag-impound ng motorsiklo
Mga pinsala o kamatayan sa kaso ng isang aksidente (kahit isang maliit na aksidente ay maaaring magresulta sa malubhang pinsala nang walang proteksyon ng helmet)</v>
      </c>
      <c r="F1419" s="2">
        <f t="shared" si="1"/>
        <v>0</v>
      </c>
      <c r="G1419" s="2"/>
      <c r="H1419" s="2"/>
      <c r="I1419" s="2"/>
      <c r="J1419" s="2"/>
      <c r="K1419" s="2"/>
      <c r="L1419" s="2"/>
      <c r="M1419" s="2"/>
      <c r="N1419" s="2"/>
      <c r="O1419" s="2"/>
      <c r="P1419" s="2"/>
      <c r="Q1419" s="2"/>
      <c r="R1419" s="2"/>
      <c r="S1419" s="2"/>
      <c r="T1419" s="2"/>
      <c r="U1419" s="2"/>
      <c r="V1419" s="2"/>
      <c r="W1419" s="2"/>
      <c r="X1419" s="2"/>
      <c r="Y1419" s="2"/>
      <c r="Z1419" s="2"/>
      <c r="AA1419" s="2"/>
    </row>
    <row r="1420">
      <c r="A1420" s="3" t="s">
        <v>3972</v>
      </c>
      <c r="B1420" s="1" t="s">
        <v>4005</v>
      </c>
      <c r="C1420" s="1" t="s">
        <v>4006</v>
      </c>
      <c r="D1420" s="2" t="str">
        <f>IFERROR(__xludf.DUMMYFUNCTION("GOOGLETRANSLATE(B1420, ""en"", ""TL"")"),"Kailan dapat gamitin ng mga driver ang mga hazard light ng kanilang sasakyan?")</f>
        <v>Kailan dapat gamitin ng mga driver ang mga hazard light ng kanilang sasakyan?</v>
      </c>
      <c r="E1420" s="2" t="str">
        <f>IFERROR(__xludf.DUMMYFUNCTION("GOOGLETRANSLATE(C1420, ""en"", ""TL"")"),"Sinasabi ng mga eksperto na ang mga hazard warning lights ay dapat lamang gamitin sa mga emergency.
Gaya ng ipinahihiwatig ng pangalan, ang pag-on ng iyong mga hazard light ay nagsasabi sa ibang mga driver na mayroon kang isang emergency na sitwasyon (mek"&amp;"anikal o medikal na likas) at nangangailangan ng tulong, o na ikaw ay may kaugnayan sa ibang tao.
Binabalaan ka ng mga potensyal na panganib.
Halimbawa, kung masira ang iyong sasakyan at hindi mo ito magawang ihinto upang ayusin ang problema, na naglalaga"&amp;"y sa panganib sa ibang mga gumagamit ng kalsada.
Sa kasamaang palad, ang mga salitang ""panganib"" at ""panganib"" ay maaaring maging subjective, at ang ibang mga driver ay maaaring maniwala na ang paggamit ng mga hazard warning lights ay kinakailangan sa"&amp;" ilang mga sitwasyon.")</f>
        <v>Sinasabi ng mga eksperto na ang mga hazard warning lights ay dapat lamang gamitin sa mga emergency.
Gaya ng ipinahihiwatig ng pangalan, ang pag-on ng iyong mga hazard light ay nagsasabi sa ibang mga driver na mayroon kang isang emergency na sitwasyon (mekanikal o medikal na likas) at nangangailangan ng tulong, o na ikaw ay may kaugnayan sa ibang tao.
Binabalaan ka ng mga potensyal na panganib.
Halimbawa, kung masira ang iyong sasakyan at hindi mo ito magawang ihinto upang ayusin ang problema, na naglalagay sa panganib sa ibang mga gumagamit ng kalsada.
Sa kasamaang palad, ang mga salitang "panganib" at "panganib" ay maaaring maging subjective, at ang ibang mga driver ay maaaring maniwala na ang paggamit ng mga hazard warning lights ay kinakailangan sa ilang mga sitwasyon.</v>
      </c>
      <c r="F1420" s="2">
        <f t="shared" si="1"/>
        <v>0</v>
      </c>
      <c r="G1420" s="2"/>
      <c r="H1420" s="2"/>
      <c r="I1420" s="2"/>
      <c r="J1420" s="2"/>
      <c r="K1420" s="2"/>
      <c r="L1420" s="2"/>
      <c r="M1420" s="2"/>
      <c r="N1420" s="2"/>
      <c r="O1420" s="2"/>
      <c r="P1420" s="2"/>
      <c r="Q1420" s="2"/>
      <c r="R1420" s="2"/>
      <c r="S1420" s="2"/>
      <c r="T1420" s="2"/>
      <c r="U1420" s="2"/>
      <c r="V1420" s="2"/>
      <c r="W1420" s="2"/>
      <c r="X1420" s="2"/>
      <c r="Y1420" s="2"/>
      <c r="Z1420" s="2"/>
      <c r="AA1420" s="2"/>
    </row>
    <row r="1421">
      <c r="A1421" s="3" t="s">
        <v>3972</v>
      </c>
      <c r="B1421" s="1" t="s">
        <v>4007</v>
      </c>
      <c r="C1421" s="1" t="s">
        <v>4008</v>
      </c>
      <c r="D1421" s="2" t="str">
        <f>IFERROR(__xludf.DUMMYFUNCTION("GOOGLETRANSLATE(B1421, ""en"", ""TL"")"),"Ano ang parusa sa labis na karga ng sasakyan sa Pilipinas?")</f>
        <v>Ano ang parusa sa labis na karga ng sasakyan sa Pilipinas?</v>
      </c>
      <c r="E1421" s="2" t="str">
        <f>IFERROR(__xludf.DUMMYFUNCTION("GOOGLETRANSLATE(C1421, ""en"", ""TL"")"),"Ang parusa para sa labis na karga ng sasakyan sa Pilipinas ay depende sa kalubhaan ng pagkakasala at sa uri ng sasakyang nasasangkot. Narito ang isang breakdown ng mga pangunahing aspeto:
Mga Pangkalahatang Parusa:
Unang Pagkakasala: Isang multa na ₱50,00"&amp;"0 at suspensiyon ng lisensya sa pagmamaneho at ang prangkisa (kung naaangkop) [Source: Senate Bill No. S *19].
Ikalawang Pagkakasala: Isang multa na ₱250,000 at suspensiyon ng lisensya sa pagmamaneho at ang prangkisa (kung naaangkop) [Source: Senate Bill "&amp;"No. S *19].
Ikatlong Pagkakasala: Isang multa na ₱1,000,000 at pagbawi ng lisensiya sa pagmamaneho at ang prangkisa (kung naaangkop) [Source: Senate Bill No. S *19].
Mga Karagdagang Puntos:
Mayroong 4.99% tolerance para sa paglampas sa nakarehistrong Gros"&amp;"s Vehicle Weight (GVW). Kung ang sobra ay nasa saklaw na ito, maaaring iwaksi ang parusa [Source: LTO Memorandum Circular No. ACL-2009-1192].
Ang paglampas sa axle load limit na 13,500 kg ay palaging may multa, anuman ang kabuuang GVW [Source: LTO Memoran"&amp;"dum Circular No. ACL-2009-1192].
Ang overloading sa mga pampasaherong sasakyan ng higit sa 160 kg ay may multang ₱1,000 para sa driver at konduktor [Source: LTO Portal PH].")</f>
        <v>Ang parusa para sa labis na karga ng sasakyan sa Pilipinas ay depende sa kalubhaan ng pagkakasala at sa uri ng sasakyang nasasangkot. Narito ang isang breakdown ng mga pangunahing aspeto:
Mga Pangkalahatang Parusa:
Unang Pagkakasala: Isang multa na ₱50,000 at suspensiyon ng lisensya sa pagmamaneho at ang prangkisa (kung naaangkop) [Source: Senate Bill No. S *19].
Ikalawang Pagkakasala: Isang multa na ₱250,000 at suspensiyon ng lisensya sa pagmamaneho at ang prangkisa (kung naaangkop) [Source: Senate Bill No. S *19].
Ikatlong Pagkakasala: Isang multa na ₱1,000,000 at pagbawi ng lisensiya sa pagmamaneho at ang prangkisa (kung naaangkop) [Source: Senate Bill No. S *19].
Mga Karagdagang Puntos:
Mayroong 4.99% tolerance para sa paglampas sa nakarehistrong Gross Vehicle Weight (GVW). Kung ang sobra ay nasa saklaw na ito, maaaring iwaksi ang parusa [Source: LTO Memorandum Circular No. ACL-2009-1192].
Ang paglampas sa axle load limit na 13,500 kg ay palaging may multa, anuman ang kabuuang GVW [Source: LTO Memorandum Circular No. ACL-2009-1192].
Ang overloading sa mga pampasaherong sasakyan ng higit sa 160 kg ay may multang ₱1,000 para sa driver at konduktor [Source: LTO Portal PH].</v>
      </c>
      <c r="F1421" s="2">
        <f t="shared" si="1"/>
        <v>0</v>
      </c>
      <c r="G1421" s="2"/>
      <c r="H1421" s="2"/>
      <c r="I1421" s="2"/>
      <c r="J1421" s="2"/>
      <c r="K1421" s="2"/>
      <c r="L1421" s="2"/>
      <c r="M1421" s="2"/>
      <c r="N1421" s="2"/>
      <c r="O1421" s="2"/>
      <c r="P1421" s="2"/>
      <c r="Q1421" s="2"/>
      <c r="R1421" s="2"/>
      <c r="S1421" s="2"/>
      <c r="T1421" s="2"/>
      <c r="U1421" s="2"/>
      <c r="V1421" s="2"/>
      <c r="W1421" s="2"/>
      <c r="X1421" s="2"/>
      <c r="Y1421" s="2"/>
      <c r="Z1421" s="2"/>
      <c r="AA1421" s="2"/>
    </row>
    <row r="1422">
      <c r="A1422" s="3" t="s">
        <v>3972</v>
      </c>
      <c r="B1422" s="1" t="s">
        <v>4009</v>
      </c>
      <c r="C1422" s="1" t="s">
        <v>4010</v>
      </c>
      <c r="D1422" s="2" t="str">
        <f>IFERROR(__xludf.DUMMYFUNCTION("GOOGLETRANSLATE(B1422, ""en"", ""TL"")"),"Ano ang legal na limitasyon ng bilis sa mga zone ng paaralan?")</f>
        <v>Ano ang legal na limitasyon ng bilis sa mga zone ng paaralan?</v>
      </c>
      <c r="E1422" s="2" t="str">
        <f>IFERROR(__xludf.DUMMYFUNCTION("GOOGLETRANSLATE(C1422, ""en"", ""TL"")"),"Sa Pilipinas, ang mandatory speed limit sa mga school zone ay 20 kilometers per hour (4,444 km/h).
Gayunpaman, depende sa mga lokal na regulasyon, ang mga limitasyon ng bilis na 15 km/h hanggang 30 km/h ay maaaring itakda sa ilang lugar.
Ang pinakamataas "&amp;"na bilis sa loob ng school zone ay humigit-kumulang 20km/h.
Ang mas mababang limitasyon ng bilis na ito ay hindi arbitrary.
Maingat na pinili upang unahin ang kaligtasan kaysa sa bilis.
Ang 20km/h na limitasyon ay nagbigay sa 4,444 na mga driver ng mas ma"&amp;"husay na kontrol sa kanilang mga sasakyan, na makabuluhang binabawasan ang kalubhaan ng mga potensyal na aksidente at binabawasan ang oras ng pagtugon sa mga hindi inaasahang pangyayari.")</f>
        <v>Sa Pilipinas, ang mandatory speed limit sa mga school zone ay 20 kilometers per hour (4,444 km/h).
Gayunpaman, depende sa mga lokal na regulasyon, ang mga limitasyon ng bilis na 15 km/h hanggang 30 km/h ay maaaring itakda sa ilang lugar.
Ang pinakamataas na bilis sa loob ng school zone ay humigit-kumulang 20km/h.
Ang mas mababang limitasyon ng bilis na ito ay hindi arbitrary.
Maingat na pinili upang unahin ang kaligtasan kaysa sa bilis.
Ang 20km/h na limitasyon ay nagbigay sa 4,444 na mga driver ng mas mahusay na kontrol sa kanilang mga sasakyan, na makabuluhang binabawasan ang kalubhaan ng mga potensyal na aksidente at binabawasan ang oras ng pagtugon sa mga hindi inaasahang pangyayari.</v>
      </c>
      <c r="F1422" s="2">
        <f t="shared" si="1"/>
        <v>0</v>
      </c>
      <c r="G1422" s="2"/>
      <c r="H1422" s="2"/>
      <c r="I1422" s="2"/>
      <c r="J1422" s="2"/>
      <c r="K1422" s="2"/>
      <c r="L1422" s="2"/>
      <c r="M1422" s="2"/>
      <c r="N1422" s="2"/>
      <c r="O1422" s="2"/>
      <c r="P1422" s="2"/>
      <c r="Q1422" s="2"/>
      <c r="R1422" s="2"/>
      <c r="S1422" s="2"/>
      <c r="T1422" s="2"/>
      <c r="U1422" s="2"/>
      <c r="V1422" s="2"/>
      <c r="W1422" s="2"/>
      <c r="X1422" s="2"/>
      <c r="Y1422" s="2"/>
      <c r="Z1422" s="2"/>
      <c r="AA1422" s="2"/>
    </row>
    <row r="1423">
      <c r="A1423" s="3" t="s">
        <v>3972</v>
      </c>
      <c r="B1423" s="1" t="s">
        <v>4011</v>
      </c>
      <c r="C1423" s="1" t="s">
        <v>4012</v>
      </c>
      <c r="D1423" s="2" t="str">
        <f>IFERROR(__xludf.DUMMYFUNCTION("GOOGLETRANSLATE(B1423, ""en"", ""TL"")"),"Gaano kadalas dapat sumailalim ang mga sasakyan sa emission testing ayon sa batas ng Pilipinas?")</f>
        <v>Gaano kadalas dapat sumailalim ang mga sasakyan sa emission testing ayon sa batas ng Pilipinas?</v>
      </c>
      <c r="E1423" s="2" t="str">
        <f>IFERROR(__xludf.DUMMYFUNCTION("GOOGLETRANSLATE(C1423, ""en"", ""TL"")"),"Ayon sa batas ng Pilipinas, ang mga sasakyan ay sumasailalim sa emission testing bawat taon sa pag-renew ng kanilang rehistrasyon. Ito ay ipinag-uutos ng Clean Air Act (Republic Act No. 8749) at ipinapatupad ng Land Transportation Office (LTO).
Sinusukat"&amp;" ng emission test ang antas ng mga pollutant tulad ng hydrocarbons, carbon monoxide, nitrogen oxides, particulate matter, at iba pang mga emisyon na inilabas ng sasakyan. Nakakatulong ito na matiyak na sumusunod ang mga sasakyan sa mga pamantayan ng emisy"&amp;"on at nakakatulong sa pagbabawas ng polusyon sa hangin sa Pilipinas.")</f>
        <v>Ayon sa batas ng Pilipinas, ang mga sasakyan ay sumasailalim sa emission testing bawat taon sa pag-renew ng kanilang rehistrasyon. Ito ay ipinag-uutos ng Clean Air Act (Republic Act No. 8749) at ipinapatupad ng Land Transportation Office (LTO).
Sinusukat ng emission test ang antas ng mga pollutant tulad ng hydrocarbons, carbon monoxide, nitrogen oxides, particulate matter, at iba pang mga emisyon na inilabas ng sasakyan. Nakakatulong ito na matiyak na sumusunod ang mga sasakyan sa mga pamantayan ng emisyon at nakakatulong sa pagbabawas ng polusyon sa hangin sa Pilipinas.</v>
      </c>
      <c r="F1423" s="2">
        <f t="shared" si="1"/>
        <v>0</v>
      </c>
      <c r="G1423" s="2"/>
      <c r="H1423" s="2"/>
      <c r="I1423" s="2"/>
      <c r="J1423" s="2"/>
      <c r="K1423" s="2"/>
      <c r="L1423" s="2"/>
      <c r="M1423" s="2"/>
      <c r="N1423" s="2"/>
      <c r="O1423" s="2"/>
      <c r="P1423" s="2"/>
      <c r="Q1423" s="2"/>
      <c r="R1423" s="2"/>
      <c r="S1423" s="2"/>
      <c r="T1423" s="2"/>
      <c r="U1423" s="2"/>
      <c r="V1423" s="2"/>
      <c r="W1423" s="2"/>
      <c r="X1423" s="2"/>
      <c r="Y1423" s="2"/>
      <c r="Z1423" s="2"/>
      <c r="AA1423" s="2"/>
    </row>
    <row r="1424">
      <c r="A1424" s="3" t="s">
        <v>3972</v>
      </c>
      <c r="B1424" s="1" t="s">
        <v>4013</v>
      </c>
      <c r="C1424" s="1" t="s">
        <v>4014</v>
      </c>
      <c r="D1424" s="2" t="str">
        <f>IFERROR(__xludf.DUMMYFUNCTION("GOOGLETRANSLATE(B1424, ""en"", ""TL"")"),"Maaari bang pagmultahin ang isang driver para sa hindi kailangan at labis na pagbusina?")</f>
        <v>Maaari bang pagmultahin ang isang driver para sa hindi kailangan at labis na pagbusina?</v>
      </c>
      <c r="E1424" s="2" t="str">
        <f>IFERROR(__xludf.DUMMYFUNCTION("GOOGLETRANSLATE(C1424, ""en"", ""TL"")"),"Oo, ang mga driver ay maaaring pagmultahin para sa hindi kailangan at labis na pagbusina sa Pilipinas.
Ang karatula na walang busina ay isang regulatory sign na nagtuturo sa mga motorista na huwag gamitin ang kanilang busina ng sasakyan kapag papasok sa i"&amp;"sang partikular na lugar.
Ang karatulang ito ay madalas na nakikita malapit sa mga lugar kung saan kailangan ng katahimikan, tulad ng mga paaralan, mga institusyong panrelihiyon (tulad ng mga lugar ng pagsamba, mga moske, at mga simbahan), at mga ospital."&amp;"
Mabisa rin ito para sa mga seremonya ng pagtataas ng watawat sa umaga.
Ang mga busina ng kotse ay sinadya upang bigyan ng babala ang iba pang mga driver, hindi upang ipahayag ang galit o pagkainip.
Ang paglabag sa panuntunang ito ay maaaring magresulta s"&amp;"a multang P1,000 alinsunod sa Co-Administration Regulation No.
2014-01.")</f>
        <v>Oo, ang mga driver ay maaaring pagmultahin para sa hindi kailangan at labis na pagbusina sa Pilipinas.
Ang karatula na walang busina ay isang regulatory sign na nagtuturo sa mga motorista na huwag gamitin ang kanilang busina ng sasakyan kapag papasok sa isang partikular na lugar.
Ang karatulang ito ay madalas na nakikita malapit sa mga lugar kung saan kailangan ng katahimikan, tulad ng mga paaralan, mga institusyong panrelihiyon (tulad ng mga lugar ng pagsamba, mga moske, at mga simbahan), at mga ospital.
Mabisa rin ito para sa mga seremonya ng pagtataas ng watawat sa umaga.
Ang mga busina ng kotse ay sinadya upang bigyan ng babala ang iba pang mga driver, hindi upang ipahayag ang galit o pagkainip.
Ang paglabag sa panuntunang ito ay maaaring magresulta sa multang P1,000 alinsunod sa Co-Administration Regulation No.
2014-01.</v>
      </c>
      <c r="F1424" s="2">
        <f t="shared" si="1"/>
        <v>0</v>
      </c>
      <c r="G1424" s="2"/>
      <c r="H1424" s="2"/>
      <c r="I1424" s="2"/>
      <c r="J1424" s="2"/>
      <c r="K1424" s="2"/>
      <c r="L1424" s="2"/>
      <c r="M1424" s="2"/>
      <c r="N1424" s="2"/>
      <c r="O1424" s="2"/>
      <c r="P1424" s="2"/>
      <c r="Q1424" s="2"/>
      <c r="R1424" s="2"/>
      <c r="S1424" s="2"/>
      <c r="T1424" s="2"/>
      <c r="U1424" s="2"/>
      <c r="V1424" s="2"/>
      <c r="W1424" s="2"/>
      <c r="X1424" s="2"/>
      <c r="Y1424" s="2"/>
      <c r="Z1424" s="2"/>
      <c r="AA1424" s="2"/>
    </row>
    <row r="1425">
      <c r="A1425" s="3" t="s">
        <v>3972</v>
      </c>
      <c r="B1425" s="1" t="s">
        <v>4015</v>
      </c>
      <c r="C1425" s="1" t="s">
        <v>4016</v>
      </c>
      <c r="D1425" s="2" t="str">
        <f>IFERROR(__xludf.DUMMYFUNCTION("GOOGLETRANSLATE(B1425, ""en"", ""TL"")"),"Ano ang parusa sa pagmamaneho na may expired na rehistrasyon at mga plaka ng lisensya?")</f>
        <v>Ano ang parusa sa pagmamaneho na may expired na rehistrasyon at mga plaka ng lisensya?</v>
      </c>
      <c r="E1425" s="2" t="str">
        <f>IFERROR(__xludf.DUMMYFUNCTION("GOOGLETRANSLATE(C1425, ""en"", ""TL"")"),"Sa Pilipinas, ang pagmamaneho na may expired na rehistrasyon at mga plaka ng lisensya ay may dalawang magkahiwalay na parusa, bawat isa ay may sariling potensyal na kahihinatnan:
1. Nag-expire na Pagpaparehistro:
Parusa:
₱10,000 na multa: Ito ang pangu"&amp;"nahing parusa sa pagmamaneho ng hindi rehistradong sasakyang de-motor [Source: LTO Portal PH].
Pag-impound ng sasakyan: Kung ang sasakyan ay hindi nakarehistro ng higit sa isang buwan, maaari itong ma-impound ng mga awtoridad at palayain lamang pagkatapo"&amp;"s makumpleto ang proseso ng pagpaparehistro at magbayad ng kaukulang mga multa at parusa [Source: LTO Portal PH].
Karagdagang mga parusa para sa pinalawig na hindi pagpaparehistro: Sa matinding mga kaso, kung saan ang sasakyan ay hindi nakarehistro sa lo"&amp;"ob ng higit sa tatlong taon, ang may-ari ay maaaring maharap sa pagkumpiska ng sasakyan bukod pa sa multa at mga bayarin sa pag-renew ng pagpaparehistro [Source: LTO Portal PH].
2. Nag-expire na mga License Plate:
Parusa: Ang paglabag na ito ay nasa ila"&amp;"lim ng kategoryang ""Pagmamaneho ng sasakyang de-motor na may delingkwente, suspendido o di-wastong pagpaparehistro, o walang rehistrasyon o walang wastong plaka ng lisensya para sa kasalukuyang taon."" Ang parusa para dito ay ₱300 na multa o pagkakulong "&amp;"na hindi hihigit sa labinlimang araw, sa pagpapasya ng korte (Artikulo VI, Seksyon 21(e), Republic Act No. 4136 o ang Land Transportation and Traffic Code) [Source: Republic Act] .")</f>
        <v>Sa Pilipinas, ang pagmamaneho na may expired na rehistrasyon at mga plaka ng lisensya ay may dalawang magkahiwalay na parusa, bawat isa ay may sariling potensyal na kahihinatnan:
1. Nag-expire na Pagpaparehistro:
Parusa:
₱10,000 na multa: Ito ang pangunahing parusa sa pagmamaneho ng hindi rehistradong sasakyang de-motor [Source: LTO Portal PH].
Pag-impound ng sasakyan: Kung ang sasakyan ay hindi nakarehistro ng higit sa isang buwan, maaari itong ma-impound ng mga awtoridad at palayain lamang pagkatapos makumpleto ang proseso ng pagpaparehistro at magbayad ng kaukulang mga multa at parusa [Source: LTO Portal PH].
Karagdagang mga parusa para sa pinalawig na hindi pagpaparehistro: Sa matinding mga kaso, kung saan ang sasakyan ay hindi nakarehistro sa loob ng higit sa tatlong taon, ang may-ari ay maaaring maharap sa pagkumpiska ng sasakyan bukod pa sa multa at mga bayarin sa pag-renew ng pagpaparehistro [Source: LTO Portal PH].
2. Nag-expire na mga License Plate:
Parusa: Ang paglabag na ito ay nasa ilalim ng kategoryang "Pagmamaneho ng sasakyang de-motor na may delingkwente, suspendido o di-wastong pagpaparehistro, o walang rehistrasyon o walang wastong plaka ng lisensya para sa kasalukuyang taon." Ang parusa para dito ay ₱300 na multa o pagkakulong na hindi hihigit sa labinlimang araw, sa pagpapasya ng korte (Artikulo VI, Seksyon 21(e), Republic Act No. 4136 o ang Land Transportation and Traffic Code) [Source: Republic Act] .</v>
      </c>
      <c r="F1425" s="2">
        <f t="shared" si="1"/>
        <v>0</v>
      </c>
      <c r="G1425" s="2"/>
      <c r="H1425" s="2"/>
      <c r="I1425" s="2"/>
      <c r="J1425" s="2"/>
      <c r="K1425" s="2"/>
      <c r="L1425" s="2"/>
      <c r="M1425" s="2"/>
      <c r="N1425" s="2"/>
      <c r="O1425" s="2"/>
      <c r="P1425" s="2"/>
      <c r="Q1425" s="2"/>
      <c r="R1425" s="2"/>
      <c r="S1425" s="2"/>
      <c r="T1425" s="2"/>
      <c r="U1425" s="2"/>
      <c r="V1425" s="2"/>
      <c r="W1425" s="2"/>
      <c r="X1425" s="2"/>
      <c r="Y1425" s="2"/>
      <c r="Z1425" s="2"/>
      <c r="AA1425" s="2"/>
    </row>
    <row r="1426">
      <c r="A1426" s="3" t="s">
        <v>3972</v>
      </c>
      <c r="B1426" s="1" t="s">
        <v>4017</v>
      </c>
      <c r="C1426" s="1" t="s">
        <v>4018</v>
      </c>
      <c r="D1426" s="2" t="str">
        <f>IFERROR(__xludf.DUMMYFUNCTION("GOOGLETRANSLATE(B1426, ""en"", ""TL"")"),"Kailan legal para sa mga motorsiklo na gumamit ng bicycle lane?")</f>
        <v>Kailan legal para sa mga motorsiklo na gumamit ng bicycle lane?</v>
      </c>
      <c r="E1426" s="2" t="str">
        <f>IFERROR(__xludf.DUMMYFUNCTION("GOOGLETRANSLATE(C1426, ""en"", ""TL"")"),"Kung naimaneho mo na ang iyong motorsiklo sa isang cycle path, kahit na sa direktang trapiko, nakagawa ka ng isang krimen.
Walang anumang uri ng motorsiklo, kabilang ang mga small-displacement scooter, street-legal na naked bike, o sports bike, ang maaari"&amp;"ng gamitin sa mga bike lane.")</f>
        <v>Kung naimaneho mo na ang iyong motorsiklo sa isang cycle path, kahit na sa direktang trapiko, nakagawa ka ng isang krimen.
Walang anumang uri ng motorsiklo, kabilang ang mga small-displacement scooter, street-legal na naked bike, o sports bike, ang maaaring gamitin sa mga bike lane.</v>
      </c>
      <c r="F1426" s="2">
        <f t="shared" si="1"/>
        <v>0</v>
      </c>
      <c r="G1426" s="2"/>
      <c r="H1426" s="2"/>
      <c r="I1426" s="2"/>
      <c r="J1426" s="2"/>
      <c r="K1426" s="2"/>
      <c r="L1426" s="2"/>
      <c r="M1426" s="2"/>
      <c r="N1426" s="2"/>
      <c r="O1426" s="2"/>
      <c r="P1426" s="2"/>
      <c r="Q1426" s="2"/>
      <c r="R1426" s="2"/>
      <c r="S1426" s="2"/>
      <c r="T1426" s="2"/>
      <c r="U1426" s="2"/>
      <c r="V1426" s="2"/>
      <c r="W1426" s="2"/>
      <c r="X1426" s="2"/>
      <c r="Y1426" s="2"/>
      <c r="Z1426" s="2"/>
      <c r="AA1426" s="2"/>
    </row>
    <row r="1427">
      <c r="A1427" s="3" t="s">
        <v>3972</v>
      </c>
      <c r="B1427" s="1" t="s">
        <v>4019</v>
      </c>
      <c r="C1427" s="1" t="s">
        <v>4020</v>
      </c>
      <c r="D1427" s="2" t="str">
        <f>IFERROR(__xludf.DUMMYFUNCTION("GOOGLETRANSLATE(B1427, ""en"", ""TL"")"),"Ano ang pinakamababang distansya na dapat panatilihin ng mga driver kapag sumusunod sa ibang sasakyan?")</f>
        <v>Ano ang pinakamababang distansya na dapat panatilihin ng mga driver kapag sumusunod sa ibang sasakyan?</v>
      </c>
      <c r="E1427" s="2" t="str">
        <f>IFERROR(__xludf.DUMMYFUNCTION("GOOGLETRANSLATE(C1427, ""en"", ""TL"")"),"Ang pinakamalawak na inirerekomendang sumusunod na distansya ay batay sa 3 segundong panuntunan.
Narito kung paano gumagana ang 3 segundong panuntunan:
Pumili ng isang nakapirming bagay sa unahan, tulad ng isang palatandaan o isang puno.
Pagmasdan ang "&amp;"sasakyan sa harap mo na dumaan sa bagay na iyon.
Simulan ang pagbilang ng ""isang-libo-isa, isang-libo-dalawa, isang-libo-tatlo.""
Kung ipapasa mo ang parehong bagay bago mo matapos ang pagbibilang hanggang tatlo, masyado kang sumusunod.
Isinasaalang-a"&amp;"lang ng pamamaraang ito na dapat tumaas ang iyong sumusunod na distansya habang tumataas ang iyong bilis. Ang 3-segundong panuntunan ay isang magandang panimulang punto para sa perpektong kondisyon sa pagmamaneho. Gayunpaman, mahalagang isaayos ang iyong "&amp;"sumusunod na distansya batay sa ilang salik, kabilang ang:
Kondisyon sa kalsada at panahon: Dagdagan ang sumusunod na distansya sa ulan, niyebe, fog, o sa madulas na mga kalsada.
Visibility: Kung limitado ang iyong visibility, taasan ang sumusunod na di"&amp;"stansya.
Kondisyon ng sasakyan: Kung ang iyong mga preno ay hindi gumagana ng maayos, taasan ang sumusunod na distansya.
Kondisyon sa pagmamaneho: Kung ikaw ay pagod, naabala, o nasa ilalim ng impluwensya, dagdagan ang sumusunod na distansya.
Sukat at "&amp;"bigat ng iyong sasakyan: Ang mas malalaki at mabibigat na sasakyan ay nangangailangan ng mas malawak na distansya.")</f>
        <v>Ang pinakamalawak na inirerekomendang sumusunod na distansya ay batay sa 3 segundong panuntunan.
Narito kung paano gumagana ang 3 segundong panuntunan:
Pumili ng isang nakapirming bagay sa unahan, tulad ng isang palatandaan o isang puno.
Pagmasdan ang sasakyan sa harap mo na dumaan sa bagay na iyon.
Simulan ang pagbilang ng "isang-libo-isa, isang-libo-dalawa, isang-libo-tatlo."
Kung ipapasa mo ang parehong bagay bago mo matapos ang pagbibilang hanggang tatlo, masyado kang sumusunod.
Isinasaalang-alang ng pamamaraang ito na dapat tumaas ang iyong sumusunod na distansya habang tumataas ang iyong bilis. Ang 3-segundong panuntunan ay isang magandang panimulang punto para sa perpektong kondisyon sa pagmamaneho. Gayunpaman, mahalagang isaayos ang iyong sumusunod na distansya batay sa ilang salik, kabilang ang:
Kondisyon sa kalsada at panahon: Dagdagan ang sumusunod na distansya sa ulan, niyebe, fog, o sa madulas na mga kalsada.
Visibility: Kung limitado ang iyong visibility, taasan ang sumusunod na distansya.
Kondisyon ng sasakyan: Kung ang iyong mga preno ay hindi gumagana ng maayos, taasan ang sumusunod na distansya.
Kondisyon sa pagmamaneho: Kung ikaw ay pagod, naabala, o nasa ilalim ng impluwensya, dagdagan ang sumusunod na distansya.
Sukat at bigat ng iyong sasakyan: Ang mas malalaki at mabibigat na sasakyan ay nangangailangan ng mas malawak na distansya.</v>
      </c>
      <c r="F1427" s="2">
        <f t="shared" si="1"/>
        <v>0</v>
      </c>
      <c r="G1427" s="2"/>
      <c r="H1427" s="2"/>
      <c r="I1427" s="2"/>
      <c r="J1427" s="2"/>
      <c r="K1427" s="2"/>
      <c r="L1427" s="2"/>
      <c r="M1427" s="2"/>
      <c r="N1427" s="2"/>
      <c r="O1427" s="2"/>
      <c r="P1427" s="2"/>
      <c r="Q1427" s="2"/>
      <c r="R1427" s="2"/>
      <c r="S1427" s="2"/>
      <c r="T1427" s="2"/>
      <c r="U1427" s="2"/>
      <c r="V1427" s="2"/>
      <c r="W1427" s="2"/>
      <c r="X1427" s="2"/>
      <c r="Y1427" s="2"/>
      <c r="Z1427" s="2"/>
      <c r="AA1427" s="2"/>
    </row>
    <row r="1428">
      <c r="A1428" s="3" t="s">
        <v>3972</v>
      </c>
      <c r="B1428" s="1" t="s">
        <v>4021</v>
      </c>
      <c r="C1428" s="1" t="s">
        <v>4022</v>
      </c>
      <c r="D1428" s="2" t="str">
        <f>IFERROR(__xludf.DUMMYFUNCTION("GOOGLETRANSLATE(B1428, ""en"", ""TL"")"),"Ano ang mga patakaran tungkol sa paggamit ng mga headlight sa pagmamaneho sa gabi?")</f>
        <v>Ano ang mga patakaran tungkol sa paggamit ng mga headlight sa pagmamaneho sa gabi?</v>
      </c>
      <c r="E1428" s="2" t="str">
        <f>IFERROR(__xludf.DUMMYFUNCTION("GOOGLETRANSLATE(C1428, ""en"", ""TL"")"),"Mangyaring mag-ingat sa pagmamaneho sa gabi sa Pilipinas.
Tiyaking naka-on ang iyong mga headlight at taillights bago ka umalis.
Gamitin ang iyong mga high beam nang responsable at lumipat sa mababang beam kapag papalapit sa ibang mga sasakyan.
Mag-ingat "&amp;"sa mga pedestrian at hayop sa kalsada, dahil mas mahirap silang makita sa gabi.")</f>
        <v>Mangyaring mag-ingat sa pagmamaneho sa gabi sa Pilipinas.
Tiyaking naka-on ang iyong mga headlight at taillights bago ka umalis.
Gamitin ang iyong mga high beam nang responsable at lumipat sa mababang beam kapag papalapit sa ibang mga sasakyan.
Mag-ingat sa mga pedestrian at hayop sa kalsada, dahil mas mahirap silang makita sa gabi.</v>
      </c>
      <c r="F1428" s="2">
        <f t="shared" si="1"/>
        <v>0</v>
      </c>
      <c r="G1428" s="2"/>
      <c r="H1428" s="2"/>
      <c r="I1428" s="2"/>
      <c r="J1428" s="2"/>
      <c r="K1428" s="2"/>
      <c r="L1428" s="2"/>
      <c r="M1428" s="2"/>
      <c r="N1428" s="2"/>
      <c r="O1428" s="2"/>
      <c r="P1428" s="2"/>
      <c r="Q1428" s="2"/>
      <c r="R1428" s="2"/>
      <c r="S1428" s="2"/>
      <c r="T1428" s="2"/>
      <c r="U1428" s="2"/>
      <c r="V1428" s="2"/>
      <c r="W1428" s="2"/>
      <c r="X1428" s="2"/>
      <c r="Y1428" s="2"/>
      <c r="Z1428" s="2"/>
      <c r="AA1428" s="2"/>
    </row>
    <row r="1429">
      <c r="A1429" s="3" t="s">
        <v>3972</v>
      </c>
      <c r="B1429" s="1" t="s">
        <v>4023</v>
      </c>
      <c r="C1429" s="1" t="s">
        <v>4024</v>
      </c>
      <c r="D1429" s="2" t="str">
        <f>IFERROR(__xludf.DUMMYFUNCTION("GOOGLETRANSLATE(B1429, ""en"", ""TL"")"),"Kailan pinapayagang mag-U-turn sa isang kalsada na may karatulang ""No U-Turn""?")</f>
        <v>Kailan pinapayagang mag-U-turn sa isang kalsada na may karatulang "No U-Turn"?</v>
      </c>
      <c r="E1429" s="2" t="str">
        <f>IFERROR(__xludf.DUMMYFUNCTION("GOOGLETRANSLATE(C1429, ""en"", ""TL"")"),"Hindi kailanman pinapayagang mag-U-turn sa isang kalsada na may karatulang ""No U-Turn"". Ang mga palatandaang ito ay partikular na inilagay upang ipagbawal ang pag-U-turn dahil maaari silang maging mapanganib at makagambala sa daloy ng trapiko.
Kung mak"&amp;"atagpo ka ng sign na ""No U-turn"" at kailangan mong lumiko, narito ang iyong mga opsyon:
Maghanap ng legal na lokasyon ng U-turn: Maghanap ng itinalagang U-turn lane o intersection kung saan pinahihintulutan ang U-turn.
Maglibot sa block: Maaaring ito "&amp;"ang pinakaligtas at pinakamabisang opsyon, lalo na sa mga abalang kalsada.
Planuhin muna ang iyong ruta: Kung alam mong kailangan mong lumiko sa ibang pagkakataon sa iyong biyahe, planuhin ang iyong ruta upang maiwasan ang mga lugar na may mga karatulang"&amp;" ""Walang U-turn"".")</f>
        <v>Hindi kailanman pinapayagang mag-U-turn sa isang kalsada na may karatulang "No U-Turn". Ang mga palatandaang ito ay partikular na inilagay upang ipagbawal ang pag-U-turn dahil maaari silang maging mapanganib at makagambala sa daloy ng trapiko.
Kung makatagpo ka ng sign na "No U-turn" at kailangan mong lumiko, narito ang iyong mga opsyon:
Maghanap ng legal na lokasyon ng U-turn: Maghanap ng itinalagang U-turn lane o intersection kung saan pinahihintulutan ang U-turn.
Maglibot sa block: Maaaring ito ang pinakaligtas at pinakamabisang opsyon, lalo na sa mga abalang kalsada.
Planuhin muna ang iyong ruta: Kung alam mong kailangan mong lumiko sa ibang pagkakataon sa iyong biyahe, planuhin ang iyong ruta upang maiwasan ang mga lugar na may mga karatulang "Walang U-turn".</v>
      </c>
      <c r="F1429" s="2">
        <f t="shared" si="1"/>
        <v>0</v>
      </c>
      <c r="G1429" s="2"/>
      <c r="H1429" s="2"/>
      <c r="I1429" s="2"/>
      <c r="J1429" s="2"/>
      <c r="K1429" s="2"/>
      <c r="L1429" s="2"/>
      <c r="M1429" s="2"/>
      <c r="N1429" s="2"/>
      <c r="O1429" s="2"/>
      <c r="P1429" s="2"/>
      <c r="Q1429" s="2"/>
      <c r="R1429" s="2"/>
      <c r="S1429" s="2"/>
      <c r="T1429" s="2"/>
      <c r="U1429" s="2"/>
      <c r="V1429" s="2"/>
      <c r="W1429" s="2"/>
      <c r="X1429" s="2"/>
      <c r="Y1429" s="2"/>
      <c r="Z1429" s="2"/>
      <c r="AA1429" s="2"/>
    </row>
    <row r="1430">
      <c r="A1430" s="3" t="s">
        <v>3972</v>
      </c>
      <c r="B1430" s="1" t="s">
        <v>4025</v>
      </c>
      <c r="C1430" s="1" t="s">
        <v>4026</v>
      </c>
      <c r="D1430" s="2" t="str">
        <f>IFERROR(__xludf.DUMMYFUNCTION("GOOGLETRANSLATE(B1430, ""en"", ""TL"")"),"Ano ang parusa para sa walang ingat na pagmamaneho na nagreresulta sa pinsala sa ari-arian?")</f>
        <v>Ano ang parusa para sa walang ingat na pagmamaneho na nagreresulta sa pinsala sa ari-arian?</v>
      </c>
      <c r="E1430" s="2" t="str">
        <f>IFERROR(__xludf.DUMMYFUNCTION("GOOGLETRANSLATE(C1430, ""en"", ""TL"")"),"Sa ilalim ng batas ng Pilipinas, ang reckless imprudence na nagdudulot ng pinsala sa ari-arian ay isang seryosong krimen.
Tingnan natin ng maigi: Reckless Driving Definition: Ayon sa Republic Act 4136, ang reckless driving ay kapag ang isang tao ay nagpap"&amp;"atakbo ng sasakyan nang walang wastong pagsunod sa mga batas trapiko at walang kaukulang pangangalaga.
Mangyayari kung sakali.
Kabilang dito ang hindi pagsasaalang-alang sa mga kundisyon ng trapiko, lapad ng kalsada, intersection, pedestrian, visibility, "&amp;"lagay ng panahon, at atmospheric na mga kadahilanan.
Kabilang dito ang direkta o potensyal na pinsala sa mga tao, hayop, o ari-arian.
Mga Uri ng Reckless Driving Violations: Narito ang kanyang tatlong partikular na uri ng reckless driving violations sa Pi"&amp;"lipinas: Distracted Driving: Ito ay kapag ang driver ay hindi gaanong binibigyang pansin ang mga kondisyon ng kalsada at hindi inaasahang Mangyayari kapag ikaw ay tumugon nang hindi tumpak sa isang hindi inaasahang pangyayari.
Ang mga abala tulad ng pagsa"&amp;"got sa telepono habang nagmamaneho ay nagdudulot ng panganib sa pangkalahatang kaligtasan sa kalsada.
Tinutugunan ng Distracted Driving Act ang isyung ito at ipinagbabawal ang mga driver ng pribadong sasakyan na maglagay ng mga bagay sa loob ng kanilang l"&amp;"arangan ng paningin.
ay ipinagbabawal.
Mga parusa: Kasama sa mga parusa para sa walang ingat na kawalang-ingat na nagdudulot ng pinsala sa ari-arian: 12 oras ng oras ng pagsususpinde.
Bilang karagdagan, ang isang taxable penalty na P8,500 ay maaaring ipat"&amp;"aw sa pagpapasya ng korte.
Sa taxable fine na ito, maaaring arestuhin ang mayor ng hindi bababa sa 1 buwan at maaari siyang arestuhin mula 1 araw hanggang maximum na 4 na buwan.")</f>
        <v>Sa ilalim ng batas ng Pilipinas, ang reckless imprudence na nagdudulot ng pinsala sa ari-arian ay isang seryosong krimen.
Tingnan natin ng maigi: Reckless Driving Definition: Ayon sa Republic Act 4136, ang reckless driving ay kapag ang isang tao ay nagpapatakbo ng sasakyan nang walang wastong pagsunod sa mga batas trapiko at walang kaukulang pangangalaga.
Mangyayari kung sakali.
Kabilang dito ang hindi pagsasaalang-alang sa mga kundisyon ng trapiko, lapad ng kalsada, intersection, pedestrian, visibility, lagay ng panahon, at atmospheric na mga kadahilanan.
Kabilang dito ang direkta o potensyal na pinsala sa mga tao, hayop, o ari-arian.
Mga Uri ng Reckless Driving Violations: Narito ang kanyang tatlong partikular na uri ng reckless driving violations sa Pilipinas: Distracted Driving: Ito ay kapag ang driver ay hindi gaanong binibigyang pansin ang mga kondisyon ng kalsada at hindi inaasahang Mangyayari kapag ikaw ay tumugon nang hindi tumpak sa isang hindi inaasahang pangyayari.
Ang mga abala tulad ng pagsagot sa telepono habang nagmamaneho ay nagdudulot ng panganib sa pangkalahatang kaligtasan sa kalsada.
Tinutugunan ng Distracted Driving Act ang isyung ito at ipinagbabawal ang mga driver ng pribadong sasakyan na maglagay ng mga bagay sa loob ng kanilang larangan ng paningin.
ay ipinagbabawal.
Mga parusa: Kasama sa mga parusa para sa walang ingat na kawalang-ingat na nagdudulot ng pinsala sa ari-arian: 12 oras ng oras ng pagsususpinde.
Bilang karagdagan, ang isang taxable penalty na P8,500 ay maaaring ipataw sa pagpapasya ng korte.
Sa taxable fine na ito, maaaring arestuhin ang mayor ng hindi bababa sa 1 buwan at maaari siyang arestuhin mula 1 araw hanggang maximum na 4 na buwan.</v>
      </c>
      <c r="F1430" s="2">
        <f t="shared" si="1"/>
        <v>0</v>
      </c>
      <c r="G1430" s="2"/>
      <c r="H1430" s="2"/>
      <c r="I1430" s="2"/>
      <c r="J1430" s="2"/>
      <c r="K1430" s="2"/>
      <c r="L1430" s="2"/>
      <c r="M1430" s="2"/>
      <c r="N1430" s="2"/>
      <c r="O1430" s="2"/>
      <c r="P1430" s="2"/>
      <c r="Q1430" s="2"/>
      <c r="R1430" s="2"/>
      <c r="S1430" s="2"/>
      <c r="T1430" s="2"/>
      <c r="U1430" s="2"/>
      <c r="V1430" s="2"/>
      <c r="W1430" s="2"/>
      <c r="X1430" s="2"/>
      <c r="Y1430" s="2"/>
      <c r="Z1430" s="2"/>
      <c r="AA1430" s="2"/>
    </row>
    <row r="1431">
      <c r="A1431" s="3" t="s">
        <v>3972</v>
      </c>
      <c r="B1431" s="1" t="s">
        <v>4027</v>
      </c>
      <c r="C1431" s="1" t="s">
        <v>4028</v>
      </c>
      <c r="D1431" s="2" t="str">
        <f>IFERROR(__xludf.DUMMYFUNCTION("GOOGLETRANSLATE(B1431, ""en"", ""TL"")"),"Ano ang multa para sa hindi awtorisadong paggamit ng mga sirena, kampana, busina, o katulad na mga aparato?")</f>
        <v>Ano ang multa para sa hindi awtorisadong paggamit ng mga sirena, kampana, busina, o katulad na mga aparato?</v>
      </c>
      <c r="E1431" s="2" t="str">
        <f>IFERROR(__xludf.DUMMYFUNCTION("GOOGLETRANSLATE(C1431, ""en"", ""TL"")"),"Executive Order No.
96, na ipinahayag noong Enero 13, 1973, ay nagbabawal sa paggamit ng mga sirena, kampana, busina, sipol, o mga katulad na aparato na naglalabas ng napakalakas o nakakatakot na ingay, kabilang ang mga ilaw sa itaas at iba pang mga apara"&amp;"tong nagbibigay ng senyas o kumikislap.
) ay idineklara na ilegal para sa paggamit o pag-install sa mga sasakyang de-motor.
Pilipinas 123.
Ang mga pangunahing punto ng batas ay ang mga sumusunod: Labag sa batas na paggamit: Ang may-ari o naninirahan sa is"&amp;"ang sasakyang de-motor ay gumagamit o nakakabit sa sasakyan ng alinman sa mga device sa itaas na gumagawa ng abnormal na malakas o nakakatakot na ingay.
Iligal yan.
May kasamang mga dome light, turn signal, at iba pang katulad na signal o flashing device."&amp;"
Exception: Ang mga gadget o device na ito ay maaari lamang i-install at gamitin sa mga sasakyang de-motor na inilaan para sa opisyal na paggamit ng mga sumusunod na organisasyon: Armed Forces of the Philippines National Bureau of Investigation Land Trans"&amp;"portation Commission Police Station Fire Department Ambulansya sa ospital Parusa: Unang paglabag: Mga hindi awtorisadong gadget o agad na kukumpiskahin ang mga kagamitan.
Pangalawa at kasunod na mga pagkakasala: Ang nagkasala ay dapat usigin sa korte mili"&amp;"tar at, kapag nahatulan, ay sasailalim sa mga sumusunod na parusa: Anim na buwang pagkakulong Isang multa na 600 pesos Bilang karagdagan, ang sertipiko ng pagpaparehistro ng sasakyang de-motor.
Kung hindi awtorisado ang device, kakanselahin o babawiin ang"&amp;" device.
Sa buod, ang hindi awtorisadong paggamit ng mga device na ito ay maaaring magkaroon ng mga legal na kahihinatnan, kabilang ang mga multa at oras ng pagkakakulong.
Ang pagsunod sa mga regulasyong ito ay mahalaga upang mapanatili ang disiplina sa t"&amp;"rapiko at kaayusan sa mga highway.")</f>
        <v>Executive Order No.
96, na ipinahayag noong Enero 13, 1973, ay nagbabawal sa paggamit ng mga sirena, kampana, busina, sipol, o mga katulad na aparato na naglalabas ng napakalakas o nakakatakot na ingay, kabilang ang mga ilaw sa itaas at iba pang mga aparatong nagbibigay ng senyas o kumikislap.
) ay idineklara na ilegal para sa paggamit o pag-install sa mga sasakyang de-motor.
Pilipinas 123.
Ang mga pangunahing punto ng batas ay ang mga sumusunod: Labag sa batas na paggamit: Ang may-ari o naninirahan sa isang sasakyang de-motor ay gumagamit o nakakabit sa sasakyan ng alinman sa mga device sa itaas na gumagawa ng abnormal na malakas o nakakatakot na ingay.
Iligal yan.
May kasamang mga dome light, turn signal, at iba pang katulad na signal o flashing device.
Exception: Ang mga gadget o device na ito ay maaari lamang i-install at gamitin sa mga sasakyang de-motor na inilaan para sa opisyal na paggamit ng mga sumusunod na organisasyon: Armed Forces of the Philippines National Bureau of Investigation Land Transportation Commission Police Station Fire Department Ambulansya sa ospital Parusa: Unang paglabag: Mga hindi awtorisadong gadget o agad na kukumpiskahin ang mga kagamitan.
Pangalawa at kasunod na mga pagkakasala: Ang nagkasala ay dapat usigin sa korte militar at, kapag nahatulan, ay sasailalim sa mga sumusunod na parusa: Anim na buwang pagkakulong Isang multa na 600 pesos Bilang karagdagan, ang sertipiko ng pagpaparehistro ng sasakyang de-motor.
Kung hindi awtorisado ang device, kakanselahin o babawiin ang device.
Sa buod, ang hindi awtorisadong paggamit ng mga device na ito ay maaaring magkaroon ng mga legal na kahihinatnan, kabilang ang mga multa at oras ng pagkakakulong.
Ang pagsunod sa mga regulasyong ito ay mahalaga upang mapanatili ang disiplina sa trapiko at kaayusan sa mga highway.</v>
      </c>
      <c r="F1431" s="2">
        <f t="shared" si="1"/>
        <v>0</v>
      </c>
      <c r="G1431" s="2"/>
      <c r="H1431" s="2"/>
      <c r="I1431" s="2"/>
      <c r="J1431" s="2"/>
      <c r="K1431" s="2"/>
      <c r="L1431" s="2"/>
      <c r="M1431" s="2"/>
      <c r="N1431" s="2"/>
      <c r="O1431" s="2"/>
      <c r="P1431" s="2"/>
      <c r="Q1431" s="2"/>
      <c r="R1431" s="2"/>
      <c r="S1431" s="2"/>
      <c r="T1431" s="2"/>
      <c r="U1431" s="2"/>
      <c r="V1431" s="2"/>
      <c r="W1431" s="2"/>
      <c r="X1431" s="2"/>
      <c r="Y1431" s="2"/>
      <c r="Z1431" s="2"/>
      <c r="AA1431" s="2"/>
    </row>
    <row r="1432">
      <c r="A1432" s="3" t="s">
        <v>3972</v>
      </c>
      <c r="B1432" s="1" t="s">
        <v>4029</v>
      </c>
      <c r="C1432" s="1" t="s">
        <v>4030</v>
      </c>
      <c r="D1432" s="2" t="str">
        <f>IFERROR(__xludf.DUMMYFUNCTION("GOOGLETRANSLATE(B1432, ""en"", ""TL"")"),"Sa anong mga kondisyon maaaring kumanan ang isang driver sa isang pulang ilaw ng trapiko?")</f>
        <v>Sa anong mga kondisyon maaaring kumanan ang isang driver sa isang pulang ilaw ng trapiko?</v>
      </c>
      <c r="E1432" s="2" t="str">
        <f>IFERROR(__xludf.DUMMYFUNCTION("GOOGLETRANSLATE(C1432, ""en"", ""TL"")"),"Narito ang mga pangkalahatang kundisyon kung saan maaaring kumanan ang isang driver sa isang pulang traffic light (ipagpalagay na ikaw ay nasa isang lokasyon kung saan ang kanan ay naka-on sa pula ay legal):
Solid Red Light: Ang traffic light na nakaharap"&amp;" sa iyo ay dapat na solid na pulang ilaw, hindi isang kumikislap na pulang ilaw. Ang isang kumikislap na pulang ilaw ay karaniwang nangangahulugan ng ganap na paghinto at magpatuloy nang may pag-iingat.
Kumpletong Paghinto: Dapat kang ganap na huminto bag"&amp;"o lumiko. Nangangahulugan ito na ang iyong sasakyan ay hindi gumulong sa lahat, kahit na bahagyang. Sa isip, dapat kang huminto sa likod ng linya ng limitasyon, tawiran, o linya ng intersection (alinman ang naaangkop).
Ibigay ang Karapatan sa Daan: Dapat "&amp;"mong ibigay ang karapatan ng daan sa lahat ng paparating na trapiko, kabilang ang mga may berdeng ilaw at mga pedestrian sa mga tawiran. Nangangahulugan ito na naghihintay ng ligtas na puwang sa trapiko bago magpatuloy sa iyong turn.
Walang Nai-post na Mg"&amp;"a Palatandaan: Dapat ay walang mga palatandaang partikular na nagbabawal sa pagliko ng pakanan sa pula sa intersection na iyon. Ang mga karatulang ito ay maaaring magsabi ng ""No Turn on Red"" o may simbolo ng pulang arrow.
Kaligtasan Una: Kahit na legal "&amp;"ang right turn on red, mahalagang unahin ang kaligtasan. Narito ang ilang karagdagang punto na dapat isaalang-alang:
Clear Intersection: Siguraduhin na ang intersection ay ganap na malinaw sa paparating na trapiko at mga pedestrian bago magpatuloy.
Limita"&amp;"dong Visibility: Kung limitado ang iyong visibility dahil sa panahon, kadiliman, o mga sagabal, mas ligtas na maghintay ng berdeng ilaw.
Mabigat na Trapiko: Kung ang paparating na trapiko ay mabigat o ang pagliko sa kanan ay magiging mahirap o mapanganib,"&amp;" ang paghihintay para sa isang berdeng ilaw ay maaaring isang mas mahusay na opsyon.")</f>
        <v>Narito ang mga pangkalahatang kundisyon kung saan maaaring kumanan ang isang driver sa isang pulang traffic light (ipagpalagay na ikaw ay nasa isang lokasyon kung saan ang kanan ay naka-on sa pula ay legal):
Solid Red Light: Ang traffic light na nakaharap sa iyo ay dapat na solid na pulang ilaw, hindi isang kumikislap na pulang ilaw. Ang isang kumikislap na pulang ilaw ay karaniwang nangangahulugan ng ganap na paghinto at magpatuloy nang may pag-iingat.
Kumpletong Paghinto: Dapat kang ganap na huminto bago lumiko. Nangangahulugan ito na ang iyong sasakyan ay hindi gumulong sa lahat, kahit na bahagyang. Sa isip, dapat kang huminto sa likod ng linya ng limitasyon, tawiran, o linya ng intersection (alinman ang naaangkop).
Ibigay ang Karapatan sa Daan: Dapat mong ibigay ang karapatan ng daan sa lahat ng paparating na trapiko, kabilang ang mga may berdeng ilaw at mga pedestrian sa mga tawiran. Nangangahulugan ito na naghihintay ng ligtas na puwang sa trapiko bago magpatuloy sa iyong turn.
Walang Nai-post na Mga Palatandaan: Dapat ay walang mga palatandaang partikular na nagbabawal sa pagliko ng pakanan sa pula sa intersection na iyon. Ang mga karatulang ito ay maaaring magsabi ng "No Turn on Red" o may simbolo ng pulang arrow.
Kaligtasan Una: Kahit na legal ang right turn on red, mahalagang unahin ang kaligtasan. Narito ang ilang karagdagang punto na dapat isaalang-alang:
Clear Intersection: Siguraduhin na ang intersection ay ganap na malinaw sa paparating na trapiko at mga pedestrian bago magpatuloy.
Limitadong Visibility: Kung limitado ang iyong visibility dahil sa panahon, kadiliman, o mga sagabal, mas ligtas na maghintay ng berdeng ilaw.
Mabigat na Trapiko: Kung ang paparating na trapiko ay mabigat o ang pagliko sa kanan ay magiging mahirap o mapanganib, ang paghihintay para sa isang berdeng ilaw ay maaaring isang mas mahusay na opsyon.</v>
      </c>
      <c r="F1432" s="2">
        <f t="shared" si="1"/>
        <v>0</v>
      </c>
      <c r="G1432" s="2"/>
      <c r="H1432" s="2"/>
      <c r="I1432" s="2"/>
      <c r="J1432" s="2"/>
      <c r="K1432" s="2"/>
      <c r="L1432" s="2"/>
      <c r="M1432" s="2"/>
      <c r="N1432" s="2"/>
      <c r="O1432" s="2"/>
      <c r="P1432" s="2"/>
      <c r="Q1432" s="2"/>
      <c r="R1432" s="2"/>
      <c r="S1432" s="2"/>
      <c r="T1432" s="2"/>
      <c r="U1432" s="2"/>
      <c r="V1432" s="2"/>
      <c r="W1432" s="2"/>
      <c r="X1432" s="2"/>
      <c r="Y1432" s="2"/>
      <c r="Z1432" s="2"/>
      <c r="AA1432" s="2"/>
    </row>
    <row r="1433">
      <c r="A1433" s="3" t="s">
        <v>3972</v>
      </c>
      <c r="B1433" s="1" t="s">
        <v>4031</v>
      </c>
      <c r="C1433" s="1" t="s">
        <v>4032</v>
      </c>
      <c r="D1433" s="2" t="str">
        <f>IFERROR(__xludf.DUMMYFUNCTION("GOOGLETRANSLATE(B1433, ""en"", ""TL"")"),"Ano ang dapat gawin ng mga tsuper kapag papalapit sa tawiran ng tren?")</f>
        <v>Ano ang dapat gawin ng mga tsuper kapag papalapit sa tawiran ng tren?</v>
      </c>
      <c r="E1433" s="2" t="str">
        <f>IFERROR(__xludf.DUMMYFUNCTION("GOOGLETRANSLATE(C1433, ""en"", ""TL"")"),"Pakitandaan na anuman ang dami ng trapiko, ang mga sasakyan ay dapat palaging huminto sa mga intersection upang matiyak na sila ay ligtas at malayo sa mga sagabal, at gumamit ng mga signal light upang bigyan ng babala ang mga kalapit na sasakyan.
Nalalapa"&amp;"t din ito sa mga tawiran ng riles.")</f>
        <v>Pakitandaan na anuman ang dami ng trapiko, ang mga sasakyan ay dapat palaging huminto sa mga intersection upang matiyak na sila ay ligtas at malayo sa mga sagabal, at gumamit ng mga signal light upang bigyan ng babala ang mga kalapit na sasakyan.
Nalalapat din ito sa mga tawiran ng riles.</v>
      </c>
      <c r="F1433" s="2">
        <f t="shared" si="1"/>
        <v>0</v>
      </c>
      <c r="G1433" s="2"/>
      <c r="H1433" s="2"/>
      <c r="I1433" s="2"/>
      <c r="J1433" s="2"/>
      <c r="K1433" s="2"/>
      <c r="L1433" s="2"/>
      <c r="M1433" s="2"/>
      <c r="N1433" s="2"/>
      <c r="O1433" s="2"/>
      <c r="P1433" s="2"/>
      <c r="Q1433" s="2"/>
      <c r="R1433" s="2"/>
      <c r="S1433" s="2"/>
      <c r="T1433" s="2"/>
      <c r="U1433" s="2"/>
      <c r="V1433" s="2"/>
      <c r="W1433" s="2"/>
      <c r="X1433" s="2"/>
      <c r="Y1433" s="2"/>
      <c r="Z1433" s="2"/>
      <c r="AA1433" s="2"/>
    </row>
    <row r="1434">
      <c r="A1434" s="3" t="s">
        <v>3972</v>
      </c>
      <c r="B1434" s="1" t="s">
        <v>4033</v>
      </c>
      <c r="C1434" s="1" t="s">
        <v>4034</v>
      </c>
      <c r="D1434" s="2" t="str">
        <f>IFERROR(__xludf.DUMMYFUNCTION("GOOGLETRANSLATE(B1434, ""en"", ""TL"")"),"Ano ang parusa sa pagpapatakbo ng sasakyan na may sira ang preno?")</f>
        <v>Ano ang parusa sa pagpapatakbo ng sasakyan na may sira ang preno?</v>
      </c>
      <c r="E1434" s="2" t="str">
        <f>IFERROR(__xludf.DUMMYFUNCTION("GOOGLETRANSLATE(C1434, ""en"", ""TL"")"),"Ang parusa sa pagpapatakbo ng sasakyan na may depektong preno sa Pilipinas ay ₱5,000 na multa para sa unang paglabag. Ito ay nasa ilalim ng kategorya ng mga may sira/hindi wasto/hindi awtorisadong accessories, device, equipment, at parts, na kinabibilanga"&amp;"n ng preno, ayon sa Land Transportation Office (LTO).
Gayunpaman, mahalagang tandaan na ito ay paunang parusa lamang. Ang mga kasunod na pagkakasala ay nagdadala ng lalong malubhang kahihinatnan:
Pangalawang paglabag: ₱10,000 multa at pag-impound ng sasak"&amp;"yan sa loob ng 30 araw.
Ikatlong pagkakasala: ₱15,000 multa at pagkansela ng lisensya sa pagmamaneho.
Samakatuwid, napakahalaga na mapanatili ang preno ng iyong sasakyan sa magandang kondisyon sa pagtatrabaho upang matiyak ang iyong kaligtasan, ang kaligt"&amp;"asan ng iba sa kalsada, at upang maiwasan ang pagharap sa mga parusang ito.")</f>
        <v>Ang parusa sa pagpapatakbo ng sasakyan na may depektong preno sa Pilipinas ay ₱5,000 na multa para sa unang paglabag. Ito ay nasa ilalim ng kategorya ng mga may sira/hindi wasto/hindi awtorisadong accessories, device, equipment, at parts, na kinabibilangan ng preno, ayon sa Land Transportation Office (LTO).
Gayunpaman, mahalagang tandaan na ito ay paunang parusa lamang. Ang mga kasunod na pagkakasala ay nagdadala ng lalong malubhang kahihinatnan:
Pangalawang paglabag: ₱10,000 multa at pag-impound ng sasakyan sa loob ng 30 araw.
Ikatlong pagkakasala: ₱15,000 multa at pagkansela ng lisensya sa pagmamaneho.
Samakatuwid, napakahalaga na mapanatili ang preno ng iyong sasakyan sa magandang kondisyon sa pagtatrabaho upang matiyak ang iyong kaligtasan, ang kaligtasan ng iba sa kalsada, at upang maiwasan ang pagharap sa mga parusang ito.</v>
      </c>
      <c r="F1434" s="2">
        <f t="shared" si="1"/>
        <v>0</v>
      </c>
      <c r="G1434" s="2"/>
      <c r="H1434" s="2"/>
      <c r="I1434" s="2"/>
      <c r="J1434" s="2"/>
      <c r="K1434" s="2"/>
      <c r="L1434" s="2"/>
      <c r="M1434" s="2"/>
      <c r="N1434" s="2"/>
      <c r="O1434" s="2"/>
      <c r="P1434" s="2"/>
      <c r="Q1434" s="2"/>
      <c r="R1434" s="2"/>
      <c r="S1434" s="2"/>
      <c r="T1434" s="2"/>
      <c r="U1434" s="2"/>
      <c r="V1434" s="2"/>
      <c r="W1434" s="2"/>
      <c r="X1434" s="2"/>
      <c r="Y1434" s="2"/>
      <c r="Z1434" s="2"/>
      <c r="AA1434" s="2"/>
    </row>
    <row r="1435">
      <c r="A1435" s="3" t="s">
        <v>3972</v>
      </c>
      <c r="B1435" s="1" t="s">
        <v>4035</v>
      </c>
      <c r="C1435" s="1" t="s">
        <v>4036</v>
      </c>
      <c r="D1435" s="2" t="str">
        <f>IFERROR(__xludf.DUMMYFUNCTION("GOOGLETRANSLATE(B1435, ""en"", ""TL"")"),"Maaari bang pagmultahin ang isang driver para sa hindi pagdidilim ng mga headlight kapag papalapit sa ibang sasakyan?")</f>
        <v>Maaari bang pagmultahin ang isang driver para sa hindi pagdidilim ng mga headlight kapag papalapit sa ibang sasakyan?</v>
      </c>
      <c r="E1435" s="2" t="str">
        <f>IFERROR(__xludf.DUMMYFUNCTION("GOOGLETRANSLATE(C1435, ""en"", ""TL"")"),"Ayon sa LTO, dapat mong gamitin ang low-beam headlight setting kapag ang sasakyan ay nasa 300 talampakan man lang sa harap mo.
Magpapataw ang mga awtoridad ng P150 na multa sa mga mabibigo sa pagdidilim ng kanilang mga high beam.")</f>
        <v>Ayon sa LTO, dapat mong gamitin ang low-beam headlight setting kapag ang sasakyan ay nasa 300 talampakan man lang sa harap mo.
Magpapataw ang mga awtoridad ng P150 na multa sa mga mabibigo sa pagdidilim ng kanilang mga high beam.</v>
      </c>
      <c r="F1435" s="2">
        <f t="shared" si="1"/>
        <v>0</v>
      </c>
      <c r="G1435" s="2"/>
      <c r="H1435" s="2"/>
      <c r="I1435" s="2"/>
      <c r="J1435" s="2"/>
      <c r="K1435" s="2"/>
      <c r="L1435" s="2"/>
      <c r="M1435" s="2"/>
      <c r="N1435" s="2"/>
      <c r="O1435" s="2"/>
      <c r="P1435" s="2"/>
      <c r="Q1435" s="2"/>
      <c r="R1435" s="2"/>
      <c r="S1435" s="2"/>
      <c r="T1435" s="2"/>
      <c r="U1435" s="2"/>
      <c r="V1435" s="2"/>
      <c r="W1435" s="2"/>
      <c r="X1435" s="2"/>
      <c r="Y1435" s="2"/>
      <c r="Z1435" s="2"/>
      <c r="AA1435" s="2"/>
    </row>
    <row r="1436">
      <c r="A1436" s="3" t="s">
        <v>3972</v>
      </c>
      <c r="B1436" s="1" t="s">
        <v>4037</v>
      </c>
      <c r="C1436" s="1" t="s">
        <v>4038</v>
      </c>
      <c r="D1436" s="2" t="str">
        <f>IFERROR(__xludf.DUMMYFUNCTION("GOOGLETRANSLATE(B1436, ""en"", ""TL"")"),"Ano ang parusa sa pagmamaneho nang walang kinakailangang mga plaka ng sasakyan?")</f>
        <v>Ano ang parusa sa pagmamaneho nang walang kinakailangang mga plaka ng sasakyan?</v>
      </c>
      <c r="E1436" s="2" t="str">
        <f>IFERROR(__xludf.DUMMYFUNCTION("GOOGLETRANSLATE(C1436, ""en"", ""TL"")"),"Sa Pilipinas, ang pagmamaneho nang walang kinakailangang plaka ng sasakyan ay may ₱5,000 na multa at karagdagang kahihinatnan, ayon sa itinakda ng Land Transportation Office (LTO). Narito ang isang breakdown ng mga pangunahing punto:
Penalty: ₱5,000 fine "&amp;"[Source: LTO Portal PH].
Mga karagdagang kahihinatnan:
Pagkumpiska ng mga hindi awtorisadong plate, accessories, at/o device: Anumang hindi awtorisadong plaka, accessories, o device na nakakabit sa sasakyan ay maaaring kumpiskahin ng LTO [Source: LTO Port"&amp;"al PH].
Potensyal na pag-impound ng sasakyan: Bagama't hindi tahasang nakasaad para sa partikular na paglabag na ito, depende sa sitwasyon at pagpapasya ng nakahuli na opisyal, maaaring ma-impound ang sasakyan hanggang sa makuha ang tamang mga plaka at ma"&amp;"bayaran ang anumang kinakailangang bayarin [Source: MMDA].")</f>
        <v>Sa Pilipinas, ang pagmamaneho nang walang kinakailangang plaka ng sasakyan ay may ₱5,000 na multa at karagdagang kahihinatnan, ayon sa itinakda ng Land Transportation Office (LTO). Narito ang isang breakdown ng mga pangunahing punto:
Penalty: ₱5,000 fine [Source: LTO Portal PH].
Mga karagdagang kahihinatnan:
Pagkumpiska ng mga hindi awtorisadong plate, accessories, at/o device: Anumang hindi awtorisadong plaka, accessories, o device na nakakabit sa sasakyan ay maaaring kumpiskahin ng LTO [Source: LTO Portal PH].
Potensyal na pag-impound ng sasakyan: Bagama't hindi tahasang nakasaad para sa partikular na paglabag na ito, depende sa sitwasyon at pagpapasya ng nakahuli na opisyal, maaaring ma-impound ang sasakyan hanggang sa makuha ang tamang mga plaka at mabayaran ang anumang kinakailangang bayarin [Source: MMDA].</v>
      </c>
      <c r="F1436" s="2">
        <f t="shared" si="1"/>
        <v>2</v>
      </c>
      <c r="G1436" s="2"/>
      <c r="H1436" s="2"/>
      <c r="I1436" s="2"/>
      <c r="J1436" s="2"/>
      <c r="K1436" s="2"/>
      <c r="L1436" s="2"/>
      <c r="M1436" s="2"/>
      <c r="N1436" s="2"/>
      <c r="O1436" s="2"/>
      <c r="P1436" s="2"/>
      <c r="Q1436" s="2"/>
      <c r="R1436" s="2"/>
      <c r="S1436" s="2"/>
      <c r="T1436" s="2"/>
      <c r="U1436" s="2"/>
      <c r="V1436" s="2"/>
      <c r="W1436" s="2"/>
      <c r="X1436" s="2"/>
      <c r="Y1436" s="2"/>
      <c r="Z1436" s="2"/>
      <c r="AA1436" s="2"/>
    </row>
    <row r="1437">
      <c r="A1437" s="3" t="s">
        <v>3972</v>
      </c>
      <c r="B1437" s="1" t="s">
        <v>4039</v>
      </c>
      <c r="C1437" s="1" t="s">
        <v>4040</v>
      </c>
      <c r="D1437" s="2" t="str">
        <f>IFERROR(__xludf.DUMMYFUNCTION("GOOGLETRANSLATE(B1437, ""en"", ""TL"")"),"Kailan maaaring gamitin ng tsuper ang balikat o bangketa para mag-overtake sa ibang mga sasakyan?")</f>
        <v>Kailan maaaring gamitin ng tsuper ang balikat o bangketa para mag-overtake sa ibang mga sasakyan?</v>
      </c>
      <c r="E1437" s="2" t="str">
        <f>IFERROR(__xludf.DUMMYFUNCTION("GOOGLETRANSLATE(C1437, ""en"", ""TL"")"),"Ayon sa ahensya, ang sagot ay ""illegal.
"" Ito rin ay tanong number 185 mula sa reviewer.
At oo, pareho ang sagot kahit saang source mo tingnan.
At habang nasa paksa tayo ng pag-overtake, bawal din ang kusang-loob na lumipat sa paparating na lane at magm"&amp;"aneho sa bangketa para makaiwas sa traffic jam.")</f>
        <v>Ayon sa ahensya, ang sagot ay "illegal.
" Ito rin ay tanong number 185 mula sa reviewer.
At oo, pareho ang sagot kahit saang source mo tingnan.
At habang nasa paksa tayo ng pag-overtake, bawal din ang kusang-loob na lumipat sa paparating na lane at magmaneho sa bangketa para makaiwas sa traffic jam.</v>
      </c>
      <c r="F1437" s="2">
        <f t="shared" si="1"/>
        <v>0</v>
      </c>
      <c r="G1437" s="2"/>
      <c r="H1437" s="2"/>
      <c r="I1437" s="2"/>
      <c r="J1437" s="2"/>
      <c r="K1437" s="2"/>
      <c r="L1437" s="2"/>
      <c r="M1437" s="2"/>
      <c r="N1437" s="2"/>
      <c r="O1437" s="2"/>
      <c r="P1437" s="2"/>
      <c r="Q1437" s="2"/>
      <c r="R1437" s="2"/>
      <c r="S1437" s="2"/>
      <c r="T1437" s="2"/>
      <c r="U1437" s="2"/>
      <c r="V1437" s="2"/>
      <c r="W1437" s="2"/>
      <c r="X1437" s="2"/>
      <c r="Y1437" s="2"/>
      <c r="Z1437" s="2"/>
      <c r="AA1437" s="2"/>
    </row>
    <row r="1438">
      <c r="A1438" s="3" t="s">
        <v>3972</v>
      </c>
      <c r="B1438" s="1" t="s">
        <v>4041</v>
      </c>
      <c r="C1438" s="1" t="s">
        <v>4042</v>
      </c>
      <c r="D1438" s="2" t="str">
        <f>IFERROR(__xludf.DUMMYFUNCTION("GOOGLETRANSLATE(B1438, ""en"", ""TL"")"),"Ano ang multa para sa pagpapatakbo ng sasakyang de-motor na may expired na lisensya sa pagmamaneho?")</f>
        <v>Ano ang multa para sa pagpapatakbo ng sasakyang de-motor na may expired na lisensya sa pagmamaneho?</v>
      </c>
      <c r="E1438" s="2" t="str">
        <f>IFERROR(__xludf.DUMMYFUNCTION("GOOGLETRANSLATE(C1438, ""en"", ""TL"")"),"Ang multa para sa pagpapatakbo ng sasakyang de-motor na may expired na lisensya sa pagmamaneho sa Pilipinas ay ₱3,000. Nalalapat ito sa anumang sitwasyon kung saan itinuturing na hindi wasto ang iyong lisensya, kabilang ang:
Nag-expire na lisensya: Ito a"&amp;"ng pinakakaraniwang senaryo at may karaniwang ₱3,000 na parusa.
Binawi ang lisensya: Ang pagmamaneho na may binawi na lisensya ay labag sa batas at may mas matinding parusa, na posibleng kabilang ang pagkakulong at diskwalipikasyon sa pagkuha ng lisensya"&amp;" para sa isang partikular na panahon.
Nasuspinde na lisensya: Ang pagmamaneho na may nasuspinde na lisensya ay ilegal din at maaaring magresulta sa karagdagang mga parusa at legal na kahihinatnan depende sa dahilan ng pagsususpinde.
Pekeng lisensya: Ang"&amp;" paggamit ng pekeng lisensya ay isang malubhang pagkakasala at maaaring humantong sa mga kasong kriminal at potensyal na pagkakulong.
Mahalagang tandaan na ito ay isang flat fine na ₱3,000 at hindi tumataas batay sa tagal ng pag-expire ng lisensya. Gayun"&amp;"paman, depende sa mga partikular na pangyayari at pagpapasya ng opisyal ng paghuli, ang mga karagdagang kahihinatnan ay maaaring kasangkot, tulad ng:
Pag-impound ng sasakyan: Sa ilang mga kaso, maaaring ma-impound ang sasakyan hanggang sa makakuha ng val"&amp;"id na lisensya ang driver.
Pagkumpiska ng nag-expire na lisensya: Ang nag-expire na lisensya ay maaaring kumpiskahin ng mga awtoridad.")</f>
        <v>Ang multa para sa pagpapatakbo ng sasakyang de-motor na may expired na lisensya sa pagmamaneho sa Pilipinas ay ₱3,000. Nalalapat ito sa anumang sitwasyon kung saan itinuturing na hindi wasto ang iyong lisensya, kabilang ang:
Nag-expire na lisensya: Ito ang pinakakaraniwang senaryo at may karaniwang ₱3,000 na parusa.
Binawi ang lisensya: Ang pagmamaneho na may binawi na lisensya ay labag sa batas at may mas matinding parusa, na posibleng kabilang ang pagkakulong at diskwalipikasyon sa pagkuha ng lisensya para sa isang partikular na panahon.
Nasuspinde na lisensya: Ang pagmamaneho na may nasuspinde na lisensya ay ilegal din at maaaring magresulta sa karagdagang mga parusa at legal na kahihinatnan depende sa dahilan ng pagsususpinde.
Pekeng lisensya: Ang paggamit ng pekeng lisensya ay isang malubhang pagkakasala at maaaring humantong sa mga kasong kriminal at potensyal na pagkakulong.
Mahalagang tandaan na ito ay isang flat fine na ₱3,000 at hindi tumataas batay sa tagal ng pag-expire ng lisensya. Gayunpaman, depende sa mga partikular na pangyayari at pagpapasya ng opisyal ng paghuli, ang mga karagdagang kahihinatnan ay maaaring kasangkot, tulad ng:
Pag-impound ng sasakyan: Sa ilang mga kaso, maaaring ma-impound ang sasakyan hanggang sa makakuha ng valid na lisensya ang driver.
Pagkumpiska ng nag-expire na lisensya: Ang nag-expire na lisensya ay maaaring kumpiskahin ng mga awtoridad.</v>
      </c>
      <c r="F1438" s="2">
        <f t="shared" si="1"/>
        <v>0</v>
      </c>
      <c r="G1438" s="2"/>
      <c r="H1438" s="2"/>
      <c r="I1438" s="2"/>
      <c r="J1438" s="2"/>
      <c r="K1438" s="2"/>
      <c r="L1438" s="2"/>
      <c r="M1438" s="2"/>
      <c r="N1438" s="2"/>
      <c r="O1438" s="2"/>
      <c r="P1438" s="2"/>
      <c r="Q1438" s="2"/>
      <c r="R1438" s="2"/>
      <c r="S1438" s="2"/>
      <c r="T1438" s="2"/>
      <c r="U1438" s="2"/>
      <c r="V1438" s="2"/>
      <c r="W1438" s="2"/>
      <c r="X1438" s="2"/>
      <c r="Y1438" s="2"/>
      <c r="Z1438" s="2"/>
      <c r="AA1438" s="2"/>
    </row>
    <row r="1439">
      <c r="A1439" s="3" t="s">
        <v>3972</v>
      </c>
      <c r="B1439" s="1" t="s">
        <v>4043</v>
      </c>
      <c r="C1439" s="1" t="s">
        <v>4044</v>
      </c>
      <c r="D1439" s="2" t="str">
        <f>IFERROR(__xludf.DUMMYFUNCTION("GOOGLETRANSLATE(B1439, ""en"", ""TL"")"),"Ano ang pinakamababang edad para makakuha ng non-professional driver's license?")</f>
        <v>Ano ang pinakamababang edad para makakuha ng non-professional driver's license?</v>
      </c>
      <c r="E1439" s="2" t="str">
        <f>IFERROR(__xludf.DUMMYFUNCTION("GOOGLETRANSLATE(C1439, ""en"", ""TL"")"),"Ang minimum na edad na kinakailangan ay depende sa nasyonalidad ng aplikante at ang uri ng kanyang lisensya na kanyang ina-apply.
Kung ang aplikante ay isang mamamayang Pilipino, ang limitasyon ng edad para sa NPDL ay siya ay 17 taong gulang.
Ang isang da"&amp;"yuhan ay dapat na 18 taong gulang o mas matanda para ihanda siya para sa kanyang NPDL.")</f>
        <v>Ang minimum na edad na kinakailangan ay depende sa nasyonalidad ng aplikante at ang uri ng kanyang lisensya na kanyang ina-apply.
Kung ang aplikante ay isang mamamayang Pilipino, ang limitasyon ng edad para sa NPDL ay siya ay 17 taong gulang.
Ang isang dayuhan ay dapat na 18 taong gulang o mas matanda para ihanda siya para sa kanyang NPDL.</v>
      </c>
      <c r="F1439" s="2">
        <f t="shared" si="1"/>
        <v>0</v>
      </c>
      <c r="G1439" s="2"/>
      <c r="H1439" s="2"/>
      <c r="I1439" s="2"/>
      <c r="J1439" s="2"/>
      <c r="K1439" s="2"/>
      <c r="L1439" s="2"/>
      <c r="M1439" s="2"/>
      <c r="N1439" s="2"/>
      <c r="O1439" s="2"/>
      <c r="P1439" s="2"/>
      <c r="Q1439" s="2"/>
      <c r="R1439" s="2"/>
      <c r="S1439" s="2"/>
      <c r="T1439" s="2"/>
      <c r="U1439" s="2"/>
      <c r="V1439" s="2"/>
      <c r="W1439" s="2"/>
      <c r="X1439" s="2"/>
      <c r="Y1439" s="2"/>
      <c r="Z1439" s="2"/>
      <c r="AA1439" s="2"/>
    </row>
    <row r="1440">
      <c r="A1440" s="3" t="s">
        <v>3972</v>
      </c>
      <c r="B1440" s="1" t="s">
        <v>4045</v>
      </c>
      <c r="C1440" s="1" t="s">
        <v>4046</v>
      </c>
      <c r="D1440" s="2" t="str">
        <f>IFERROR(__xludf.DUMMYFUNCTION("GOOGLETRANSLATE(B1440, ""en"", ""TL"")"),"Maaari bang pagmultahin ang isang driver para sa pagpayag ng isang tao na kumapit sa labas ng umaandar na sasakyan?")</f>
        <v>Maaari bang pagmultahin ang isang driver para sa pagpayag ng isang tao na kumapit sa labas ng umaandar na sasakyan?</v>
      </c>
      <c r="E1440" s="2" t="str">
        <f>IFERROR(__xludf.DUMMYFUNCTION("GOOGLETRANSLATE(C1440, ""en"", ""TL"")"),"Oo, ang isang driver sa Pilipinas ay maaaring pagmultahin para sa pagpayag ng isang tao na kumapit sa labas ng isang gumagalaw na sasakyan. Ang gawaing ito ay itinuturing na lubhang mapanganib at ilegal sa ilalim ng iba't ibang mga regulasyon at batas sa "&amp;"bansa.
Narito kung bakit maaaring pagmultahin ang isang driver:
Republic Act No. 4136 o ang Land Transportation and Traffic Code: Ang batas na ito, partikular ang Section 21, ay nagbabawal sa mga driver na payagan ang sinumang tao na sumakay sa isang loka"&amp;"syon na hindi para sa mga pasahero. Ang pagkapit sa labas ng umaandar na sasakyan ay malinaw na nasa ilalim ng kategoryang ito.
Regulasyon ng Metropolitan Manila Development Authority (MMDA): Ang MMDA, na kumokontrol sa trapiko sa Metro Manila, ay nagbaba"&amp;"wal sa ""pagsakay sa itaas o pagkapit sa mga gilid ng gumagalaw na sasakyan"". Ang paglabag na ito ay may multa, bagama't ang partikular na halaga ay maaaring mag-iba depende sa mga pangyayari at sa partikular na regulasyong ipinatupad sa oras ng pagkakas"&amp;"ala.
Bagama't maaaring mag-iba ang partikular na halaga ng multa, ito ay karaniwang itinuturing na isang menor de edad na pagkakasala at kadalasan ay may mababang multa, karaniwang nasa pagitan ng ₱150 at ₱500.
Gayunpaman, mahalagang tandaan na ang mga po"&amp;"tensyal na kahihinatnan ng pagpayag sa isang tao na kumapit sa labas ng umaandar na sasakyan ay higit pa sa simpleng multa. Kabilang dito ang:
Malubhang pinsala o kamatayan: Ang taong nakakapit sa sasakyan ay nasa matinding panganib na mahulog, mabangga n"&amp;"g isa pang sasakyan, o madurog ng umaandar na sasakyan mismo.
Pananagutan ng driver: Kung ang taong nakakapit sa sasakyan ay nasugatan o namatay, ang driver ay maaaring legal na managot sa kanilang mga pinsala o kamatayan.
Mga karagdagang singil: Depende "&amp;"sa kalubhaan ng sitwasyon, maaaring maharap ang driver ng mga karagdagang singil, gaya ng walang ingat na panganib.")</f>
        <v>Oo, ang isang driver sa Pilipinas ay maaaring pagmultahin para sa pagpayag ng isang tao na kumapit sa labas ng isang gumagalaw na sasakyan. Ang gawaing ito ay itinuturing na lubhang mapanganib at ilegal sa ilalim ng iba't ibang mga regulasyon at batas sa bansa.
Narito kung bakit maaaring pagmultahin ang isang driver:
Republic Act No. 4136 o ang Land Transportation and Traffic Code: Ang batas na ito, partikular ang Section 21, ay nagbabawal sa mga driver na payagan ang sinumang tao na sumakay sa isang lokasyon na hindi para sa mga pasahero. Ang pagkapit sa labas ng umaandar na sasakyan ay malinaw na nasa ilalim ng kategoryang ito.
Regulasyon ng Metropolitan Manila Development Authority (MMDA): Ang MMDA, na kumokontrol sa trapiko sa Metro Manila, ay nagbabawal sa "pagsakay sa itaas o pagkapit sa mga gilid ng gumagalaw na sasakyan". Ang paglabag na ito ay may multa, bagama't ang partikular na halaga ay maaaring mag-iba depende sa mga pangyayari at sa partikular na regulasyong ipinatupad sa oras ng pagkakasala.
Bagama't maaaring mag-iba ang partikular na halaga ng multa, ito ay karaniwang itinuturing na isang menor de edad na pagkakasala at kadalasan ay may mababang multa, karaniwang nasa pagitan ng ₱150 at ₱500.
Gayunpaman, mahalagang tandaan na ang mga potensyal na kahihinatnan ng pagpayag sa isang tao na kumapit sa labas ng umaandar na sasakyan ay higit pa sa simpleng multa. Kabilang dito ang:
Malubhang pinsala o kamatayan: Ang taong nakakapit sa sasakyan ay nasa matinding panganib na mahulog, mabangga ng isa pang sasakyan, o madurog ng umaandar na sasakyan mismo.
Pananagutan ng driver: Kung ang taong nakakapit sa sasakyan ay nasugatan o namatay, ang driver ay maaaring legal na managot sa kanilang mga pinsala o kamatayan.
Mga karagdagang singil: Depende sa kalubhaan ng sitwasyon, maaaring maharap ang driver ng mga karagdagang singil, gaya ng walang ingat na panganib.</v>
      </c>
      <c r="F1440" s="2">
        <f t="shared" si="1"/>
        <v>0</v>
      </c>
      <c r="G1440" s="2"/>
      <c r="H1440" s="2"/>
      <c r="I1440" s="2"/>
      <c r="J1440" s="2"/>
      <c r="K1440" s="2"/>
      <c r="L1440" s="2"/>
      <c r="M1440" s="2"/>
      <c r="N1440" s="2"/>
      <c r="O1440" s="2"/>
      <c r="P1440" s="2"/>
      <c r="Q1440" s="2"/>
      <c r="R1440" s="2"/>
      <c r="S1440" s="2"/>
      <c r="T1440" s="2"/>
      <c r="U1440" s="2"/>
      <c r="V1440" s="2"/>
      <c r="W1440" s="2"/>
      <c r="X1440" s="2"/>
      <c r="Y1440" s="2"/>
      <c r="Z1440" s="2"/>
      <c r="AA1440" s="2"/>
    </row>
    <row r="1441">
      <c r="A1441" s="3" t="s">
        <v>3972</v>
      </c>
      <c r="B1441" s="1" t="s">
        <v>4047</v>
      </c>
      <c r="C1441" s="1" t="s">
        <v>4048</v>
      </c>
      <c r="D1441" s="2" t="str">
        <f>IFERROR(__xludf.DUMMYFUNCTION("GOOGLETRANSLATE(B1441, ""en"", ""TL"")"),"Ano ang parusa para sa paglampas sa maximum na pinapayagang limitasyon ng bilis?")</f>
        <v>Ano ang parusa para sa paglampas sa maximum na pinapayagang limitasyon ng bilis?</v>
      </c>
      <c r="E1441" s="2" t="str">
        <f>IFERROR(__xludf.DUMMYFUNCTION("GOOGLETRANSLATE(C1441, ""en"", ""TL"")"),"Mga multa sa 1st offense 2,000 pesos 2nd offense 3,000 pesos + 3-month driving license suspension 3rd offense 10,000 pesos + at least 6-month driving license suspension 4th offense")</f>
        <v>Mga multa sa 1st offense 2,000 pesos 2nd offense 3,000 pesos + 3-month driving license suspension 3rd offense 10,000 pesos + at least 6-month driving license suspension 4th offense</v>
      </c>
      <c r="F1441" s="2">
        <f t="shared" si="1"/>
        <v>0</v>
      </c>
      <c r="G1441" s="2"/>
      <c r="H1441" s="2"/>
      <c r="I1441" s="2"/>
      <c r="J1441" s="2"/>
      <c r="K1441" s="2"/>
      <c r="L1441" s="2"/>
      <c r="M1441" s="2"/>
      <c r="N1441" s="2"/>
      <c r="O1441" s="2"/>
      <c r="P1441" s="2"/>
      <c r="Q1441" s="2"/>
      <c r="R1441" s="2"/>
      <c r="S1441" s="2"/>
      <c r="T1441" s="2"/>
      <c r="U1441" s="2"/>
      <c r="V1441" s="2"/>
      <c r="W1441" s="2"/>
      <c r="X1441" s="2"/>
      <c r="Y1441" s="2"/>
      <c r="Z1441" s="2"/>
      <c r="AA1441" s="2"/>
    </row>
    <row r="1442">
      <c r="A1442" s="3" t="s">
        <v>3972</v>
      </c>
      <c r="B1442" s="1" t="s">
        <v>4049</v>
      </c>
      <c r="C1442" s="1" t="s">
        <v>4050</v>
      </c>
      <c r="D1442" s="2" t="str">
        <f>IFERROR(__xludf.DUMMYFUNCTION("GOOGLETRANSLATE(B1442, ""en"", ""TL"")"),"Kailan pinapayagang gamitin ang emergency o breakdown lane?")</f>
        <v>Kailan pinapayagang gamitin ang emergency o breakdown lane?</v>
      </c>
      <c r="E1442" s="2" t="str">
        <f>IFERROR(__xludf.DUMMYFUNCTION("GOOGLETRANSLATE(C1442, ""en"", ""TL"")"),"Ang emergency o breakdown lane ay mahigpit para sa mga emergency at breakdown. Nangangahulugan ito na dapat mo lamang itong gamitin kapag:
Ang iyong sasakyan ay nakakaranas ng mekanikal na pagkabigo o pagkasira: Maaaring kabilang dito ang isang flat na g"&amp;"ulong, problema sa makina, sobrang init, o anumang iba pang isyu na nagiging dahilan upang ang iyong sasakyan ay hindi ligtas na makapagpatuloy sa pagmamaneho sa mga regular na daanan ng trapiko.
Ikaw ay nasasangkot sa isang maliit na aksidente: Kung ika"&amp;"w ay nasangkot sa isang maliit na aksidente na hindi nagdudulot ng malaking pinsala o pinsala, maaari mong ilipat ang iyong sasakyan sa emergency lane upang maiwasan ang higit pang pagharang sa daloy ng trapiko habang naghihintay ng tulong.
Mahalagang ta"&amp;"ndaan na ang paggamit ng emergency lane para sa anumang iba pang dahilan ay ilegal at maaaring mapanganib. Kabilang dito ang:
Pagdaan sa ibang sasakyan: Ito ay isang karaniwang maling paggamit ng emergency lane at maaaring mapanganib para sa ibang mga dr"&amp;"iver na maaaring sinusubukang gamitin ang lane para sa layunin nito.
Mabagal na pagmamaneho dahil sa pagsisikip ng trapiko: Ang emergency lane ay hindi dapat gamitin bilang karagdagang lane para sa regular na daloy ng trapiko.
Paghinto upang makipag-usa"&amp;"p sa telepono o gamitin ang iyong telepono: Ito ay hindi lamang ilegal ngunit lumilikha din ng panganib sa kaligtasan para sa iyong sarili at sa iba pang mga driver.
Narito ang dapat mong gawin kung nasira ang iyong sasakyan o nasangkot ka sa isang malii"&amp;"t na aksidente:
I-on ang iyong mga hazard lights: Aalerto nito ang iba pang mga driver na hindi pinagana ang iyong sasakyan.
Pull over nang ligtas hangga't maaari patungo sa emergency lane: Kung hindi mo ligtas na maabot ang emergency lane, subukang hum"&amp;"into hanggang sa kanang balikat hangga't maaari.
I-off ang iyong makina: Makakatulong ito na maiwasan ang karagdagang pinsala sa iyong sasakyan at makatipid ng lakas ng baterya.
Tumawag para sa tulong: Makipag-ugnayan sa isang towing service, tulong sa "&amp;"tabing daan, o pulis kung kinakailangan.
Manatili sa iyong sasakyan nang naka-seatbelt: Ito ang pinakaligtas na lugar habang naghihintay ng tulong, lalo na kung ang iyong sasakyan ay nasa gilid ng isang abalang kalsada.")</f>
        <v>Ang emergency o breakdown lane ay mahigpit para sa mga emergency at breakdown. Nangangahulugan ito na dapat mo lamang itong gamitin kapag:
Ang iyong sasakyan ay nakakaranas ng mekanikal na pagkabigo o pagkasira: Maaaring kabilang dito ang isang flat na gulong, problema sa makina, sobrang init, o anumang iba pang isyu na nagiging dahilan upang ang iyong sasakyan ay hindi ligtas na makapagpatuloy sa pagmamaneho sa mga regular na daanan ng trapiko.
Ikaw ay nasasangkot sa isang maliit na aksidente: Kung ikaw ay nasangkot sa isang maliit na aksidente na hindi nagdudulot ng malaking pinsala o pinsala, maaari mong ilipat ang iyong sasakyan sa emergency lane upang maiwasan ang higit pang pagharang sa daloy ng trapiko habang naghihintay ng tulong.
Mahalagang tandaan na ang paggamit ng emergency lane para sa anumang iba pang dahilan ay ilegal at maaaring mapanganib. Kabilang dito ang:
Pagdaan sa ibang sasakyan: Ito ay isang karaniwang maling paggamit ng emergency lane at maaaring mapanganib para sa ibang mga driver na maaaring sinusubukang gamitin ang lane para sa layunin nito.
Mabagal na pagmamaneho dahil sa pagsisikip ng trapiko: Ang emergency lane ay hindi dapat gamitin bilang karagdagang lane para sa regular na daloy ng trapiko.
Paghinto upang makipag-usap sa telepono o gamitin ang iyong telepono: Ito ay hindi lamang ilegal ngunit lumilikha din ng panganib sa kaligtasan para sa iyong sarili at sa iba pang mga driver.
Narito ang dapat mong gawin kung nasira ang iyong sasakyan o nasangkot ka sa isang maliit na aksidente:
I-on ang iyong mga hazard lights: Aalerto nito ang iba pang mga driver na hindi pinagana ang iyong sasakyan.
Pull over nang ligtas hangga't maaari patungo sa emergency lane: Kung hindi mo ligtas na maabot ang emergency lane, subukang huminto hanggang sa kanang balikat hangga't maaari.
I-off ang iyong makina: Makakatulong ito na maiwasan ang karagdagang pinsala sa iyong sasakyan at makatipid ng lakas ng baterya.
Tumawag para sa tulong: Makipag-ugnayan sa isang towing service, tulong sa tabing daan, o pulis kung kinakailangan.
Manatili sa iyong sasakyan nang naka-seatbelt: Ito ang pinakaligtas na lugar habang naghihintay ng tulong, lalo na kung ang iyong sasakyan ay nasa gilid ng isang abalang kalsada.</v>
      </c>
      <c r="F1442" s="2">
        <f t="shared" si="1"/>
        <v>0</v>
      </c>
      <c r="G1442" s="2"/>
      <c r="H1442" s="2"/>
      <c r="I1442" s="2"/>
      <c r="J1442" s="2"/>
      <c r="K1442" s="2"/>
      <c r="L1442" s="2"/>
      <c r="M1442" s="2"/>
      <c r="N1442" s="2"/>
      <c r="O1442" s="2"/>
      <c r="P1442" s="2"/>
      <c r="Q1442" s="2"/>
      <c r="R1442" s="2"/>
      <c r="S1442" s="2"/>
      <c r="T1442" s="2"/>
      <c r="U1442" s="2"/>
      <c r="V1442" s="2"/>
      <c r="W1442" s="2"/>
      <c r="X1442" s="2"/>
      <c r="Y1442" s="2"/>
      <c r="Z1442" s="2"/>
      <c r="AA1442" s="2"/>
    </row>
    <row r="1443">
      <c r="A1443" s="3" t="s">
        <v>3972</v>
      </c>
      <c r="B1443" s="1" t="s">
        <v>4051</v>
      </c>
      <c r="C1443" s="1" t="s">
        <v>4052</v>
      </c>
      <c r="D1443" s="2" t="str">
        <f>IFERROR(__xludf.DUMMYFUNCTION("GOOGLETRANSLATE(B1443, ""en"", ""TL"")"),"Ano ang multa para sa paradahan sa isang itinalagang no-parking zone?")</f>
        <v>Ano ang multa para sa paradahan sa isang itinalagang no-parking zone?</v>
      </c>
      <c r="E1443" s="2" t="str">
        <f>IFERROR(__xludf.DUMMYFUNCTION("GOOGLETRANSLATE(C1443, ""en"", ""TL"")"),"Ang mga driver ng mga sasakyang nakaparada sa mga no-parking zone ay aarestuhin at mahaharap sa mga parusa kabilang ang pagtuturo at dokumentasyon ng paglabag, gayundin ang serbisyo sa komunidad para sa mga unang paglabag.
Multa na 500 pesos, dokumentasyo"&amp;"n ng paglabag, at serbisyo sa komunidad para sa ikalawang paglabag.
Multa ng P1,000, dokumentasyon ng paglabag at serbisyo sa komunidad para sa kanyang ikatlong paglabag.
Ang ikaapat na paglabag ay may parusang isa hanggang 15 araw sa bilangguan.")</f>
        <v>Ang mga driver ng mga sasakyang nakaparada sa mga no-parking zone ay aarestuhin at mahaharap sa mga parusa kabilang ang pagtuturo at dokumentasyon ng paglabag, gayundin ang serbisyo sa komunidad para sa mga unang paglabag.
Multa na 500 pesos, dokumentasyon ng paglabag, at serbisyo sa komunidad para sa ikalawang paglabag.
Multa ng P1,000, dokumentasyon ng paglabag at serbisyo sa komunidad para sa kanyang ikatlong paglabag.
Ang ikaapat na paglabag ay may parusang isa hanggang 15 araw sa bilangguan.</v>
      </c>
      <c r="F1443" s="2">
        <f t="shared" si="1"/>
        <v>0</v>
      </c>
      <c r="G1443" s="2"/>
      <c r="H1443" s="2"/>
      <c r="I1443" s="2"/>
      <c r="J1443" s="2"/>
      <c r="K1443" s="2"/>
      <c r="L1443" s="2"/>
      <c r="M1443" s="2"/>
      <c r="N1443" s="2"/>
      <c r="O1443" s="2"/>
      <c r="P1443" s="2"/>
      <c r="Q1443" s="2"/>
      <c r="R1443" s="2"/>
      <c r="S1443" s="2"/>
      <c r="T1443" s="2"/>
      <c r="U1443" s="2"/>
      <c r="V1443" s="2"/>
      <c r="W1443" s="2"/>
      <c r="X1443" s="2"/>
      <c r="Y1443" s="2"/>
      <c r="Z1443" s="2"/>
      <c r="AA1443" s="2"/>
    </row>
    <row r="1444">
      <c r="A1444" s="3" t="s">
        <v>3972</v>
      </c>
      <c r="B1444" s="1" t="s">
        <v>4053</v>
      </c>
      <c r="C1444" s="1" t="s">
        <v>4054</v>
      </c>
      <c r="D1444" s="2" t="str">
        <f>IFERROR(__xludf.DUMMYFUNCTION("GOOGLETRANSLATE(B1444, ""en"", ""TL"")"),"Sa ilalim ng anong mga pangyayari maaaring kumaliwa ang isang driver sa isang pulang ilaw ng trapiko?")</f>
        <v>Sa ilalim ng anong mga pangyayari maaaring kumaliwa ang isang driver sa isang pulang ilaw ng trapiko?</v>
      </c>
      <c r="E1444" s="2" t="str">
        <f>IFERROR(__xludf.DUMMYFUNCTION("GOOGLETRANSLATE(C1444, ""en"", ""TL"")"),"Ang mga driver sa pangkalahatan ay hindi maaaring lumiko sa kaliwa sa isang pulang ilaw ng trapiko. Narito kung bakit:
Mga Pamantayan sa Ilaw ng Trapiko: Ang Pilipinas ay sumusunod sa mga karaniwang traffic light convention kung saan ang pula ay nanganga"&amp;"hulugang ""hihinto"" para sa lahat ng direksyon. Bagama't ang ilang intersection ay maaaring may mga nakatalagang kaliwa-turn arrow na may magkakahiwalay na light cycle (berdeng arrow para sa kaliwa, pulang ilaw para sa tuwid at pakanan na mga liko), ang "&amp;"isang solidong pulang ilaw para sa lahat ng direksyon ay nagpapahiwatig ng paghinto para sa lahat ng sasakyan.
Right-of-Way: Ang mga pagliko sa kaliwa ay nagsasangkot ng pagtawid sa paparating na trapiko, kaya kailangan ang isang berdeng ilaw o isang par"&amp;"tikular na kaliwa na berdeng arrow upang matiyak ang kaligtasan ng lumiliko na sasakyan at ng mga dumiretso sa berdeng ilaw. Walang mga legal na eksepsiyon na nagpapahintulot sa mga pagliko sa kaliwa sa isang pulang ilaw sa Pilipinas. Gayunpaman, maaaring"&amp;" may mga bihirang sitwasyon kung saan ang isang partikular na intersection ay may natatanging signage o pamamaraan sa pamamahala ng trapiko na nagbibigay-daan sa pag-turn sa kaliwa sa pula nang may pag-iingat, ngunit ito ay malinaw na ipinapahiwatig ng mg"&amp;"a partikular na signage o mga marka.")</f>
        <v>Ang mga driver sa pangkalahatan ay hindi maaaring lumiko sa kaliwa sa isang pulang ilaw ng trapiko. Narito kung bakit:
Mga Pamantayan sa Ilaw ng Trapiko: Ang Pilipinas ay sumusunod sa mga karaniwang traffic light convention kung saan ang pula ay nangangahulugang "hihinto" para sa lahat ng direksyon. Bagama't ang ilang intersection ay maaaring may mga nakatalagang kaliwa-turn arrow na may magkakahiwalay na light cycle (berdeng arrow para sa kaliwa, pulang ilaw para sa tuwid at pakanan na mga liko), ang isang solidong pulang ilaw para sa lahat ng direksyon ay nagpapahiwatig ng paghinto para sa lahat ng sasakyan.
Right-of-Way: Ang mga pagliko sa kaliwa ay nagsasangkot ng pagtawid sa paparating na trapiko, kaya kailangan ang isang berdeng ilaw o isang partikular na kaliwa na berdeng arrow upang matiyak ang kaligtasan ng lumiliko na sasakyan at ng mga dumiretso sa berdeng ilaw. Walang mga legal na eksepsiyon na nagpapahintulot sa mga pagliko sa kaliwa sa isang pulang ilaw sa Pilipinas. Gayunpaman, maaaring may mga bihirang sitwasyon kung saan ang isang partikular na intersection ay may natatanging signage o pamamaraan sa pamamahala ng trapiko na nagbibigay-daan sa pag-turn sa kaliwa sa pula nang may pag-iingat, ngunit ito ay malinaw na ipinapahiwatig ng mga partikular na signage o mga marka.</v>
      </c>
      <c r="F1444" s="2">
        <f t="shared" si="1"/>
        <v>0</v>
      </c>
      <c r="G1444" s="2"/>
      <c r="H1444" s="2"/>
      <c r="I1444" s="2"/>
      <c r="J1444" s="2"/>
      <c r="K1444" s="2"/>
      <c r="L1444" s="2"/>
      <c r="M1444" s="2"/>
      <c r="N1444" s="2"/>
      <c r="O1444" s="2"/>
      <c r="P1444" s="2"/>
      <c r="Q1444" s="2"/>
      <c r="R1444" s="2"/>
      <c r="S1444" s="2"/>
      <c r="T1444" s="2"/>
      <c r="U1444" s="2"/>
      <c r="V1444" s="2"/>
      <c r="W1444" s="2"/>
      <c r="X1444" s="2"/>
      <c r="Y1444" s="2"/>
      <c r="Z1444" s="2"/>
      <c r="AA1444" s="2"/>
    </row>
    <row r="1445">
      <c r="A1445" s="3" t="s">
        <v>3972</v>
      </c>
      <c r="B1445" s="1" t="s">
        <v>4055</v>
      </c>
      <c r="C1445" s="1" t="s">
        <v>4056</v>
      </c>
      <c r="D1445" s="2" t="str">
        <f>IFERROR(__xludf.DUMMYFUNCTION("GOOGLETRANSLATE(B1445, ""en"", ""TL"")"),"Ano ang parusa para sa pakikialam o pagpapalit ng engine o chassis number ng isang sasakyan?")</f>
        <v>Ano ang parusa para sa pakikialam o pagpapalit ng engine o chassis number ng isang sasakyan?</v>
      </c>
      <c r="E1445" s="2" t="str">
        <f>IFERROR(__xludf.DUMMYFUNCTION("GOOGLETRANSLATE(C1445, ""en"", ""TL"")"),"Ang pakikialam o pagpapalit ng engine o chassis number ng sasakyan ay mahigpit na ipinagbabawal sa Pilipinas at may mga legal na kahihinatnan.
Tingnan natin ang mga kaugnay na batas at parusa.
Republic Act No.
10883 (New Anti-Carnapping Act of 2016) ay tu"&amp;"mutukoy sa mga krimen na may kaugnayan sa pakikialam sa mga sasakyang de-motor.
Narito ang mga mahahalagang punto: Defacing o Tampering sa Serial Numbers: Walang sinuman ang maaaring deface o pakialaman ang orihinal o rehistradong serial number ng makina,"&amp;" engine block, o chassis ng sasakyan.
Sobrang labag sa batas.
Kung ang isang sasakyang de-motor ay nakitang may serial number maliban sa serial number na nakalista sa customs import vehicle record, ang serial number ay itinuturing na defaced o tampered1.
"&amp;"Paglipat ng Pagkakakilanlan: Ito ang paglilipat ng mga katangiang nagpapakilala (numero ng makina, numero ng chassis, numero ng body tag, numero ng pagpaparehistro) ng isang sasakyang de-motor na idineklara na ""ganap na hindi na magagamit"" o higit pa sa"&amp;" pagkukumpuni sa ekonomiya sa ibang pabrika.
Tumutukoy sa paglilipat sa ginawang katawan ng sasakyan.
o mga unit ng sasakyan na may parehong klasipikasyon, uri, tatak, o modelo1.
Mga Parusa: Mga Indibidwal: Ang sinumang lalabag sa mga probisyon ng Carrion"&amp;" Prevention Act ay hatulan ng pagkakulong sa loob ng hindi bababa sa 2 taon at hindi hihigit sa 6 na taon, at multang katumbas ng halaga ng pagbili ng motor.
Mga tao maliban sa mga nasasangkot sa pinsala, tulad ng mga sasakyan o makina ng sasakyan.
Legal "&amp;"na entity (kumpanya): Kung ang isang legal na entity (tulad ng isang kumpanya) ay lumabag sa batas, ang mga parusa ay nalalapat sa presidente, sekretarya, direktor, o lahat ng opisyal at empleyado na direktang sangkot sa lumalabag na produkto2.
Mga karagd"&amp;"agang parusa: Ang Land Transportation Office (LTO) ay nagpapataw ng mga multa para sa ilang partikular na paglabag na may kaugnayan sa pakikialam: Unang paglabag: PHP 2,000 Pangalawang paglabag: PHP 4,000 Pangatlong paglabag Paglabag sa: PHP 6,0003.
Pakit"&amp;"andaan na ang mga parusang ito ay nilayon upang hadlangan ang mga ilegal na aktibidad at protektahan ang integridad ng pagkakakilanlan ng sasakyan.
Palaging sundin ang batas upang maiwasan ang mga legal na kahihinatnan.")</f>
        <v>Ang pakikialam o pagpapalit ng engine o chassis number ng sasakyan ay mahigpit na ipinagbabawal sa Pilipinas at may mga legal na kahihinatnan.
Tingnan natin ang mga kaugnay na batas at parusa.
Republic Act No.
10883 (New Anti-Carnapping Act of 2016) ay tumutukoy sa mga krimen na may kaugnayan sa pakikialam sa mga sasakyang de-motor.
Narito ang mga mahahalagang punto: Defacing o Tampering sa Serial Numbers: Walang sinuman ang maaaring deface o pakialaman ang orihinal o rehistradong serial number ng makina, engine block, o chassis ng sasakyan.
Sobrang labag sa batas.
Kung ang isang sasakyang de-motor ay nakitang may serial number maliban sa serial number na nakalista sa customs import vehicle record, ang serial number ay itinuturing na defaced o tampered1.
Paglipat ng Pagkakakilanlan: Ito ang paglilipat ng mga katangiang nagpapakilala (numero ng makina, numero ng chassis, numero ng body tag, numero ng pagpaparehistro) ng isang sasakyang de-motor na idineklara na "ganap na hindi na magagamit" o higit pa sa pagkukumpuni sa ekonomiya sa ibang pabrika.
Tumutukoy sa paglilipat sa ginawang katawan ng sasakyan.
o mga unit ng sasakyan na may parehong klasipikasyon, uri, tatak, o modelo1.
Mga Parusa: Mga Indibidwal: Ang sinumang lalabag sa mga probisyon ng Carrion Prevention Act ay hatulan ng pagkakulong sa loob ng hindi bababa sa 2 taon at hindi hihigit sa 6 na taon, at multang katumbas ng halaga ng pagbili ng motor.
Mga tao maliban sa mga nasasangkot sa pinsala, tulad ng mga sasakyan o makina ng sasakyan.
Legal na entity (kumpanya): Kung ang isang legal na entity (tulad ng isang kumpanya) ay lumabag sa batas, ang mga parusa ay nalalapat sa presidente, sekretarya, direktor, o lahat ng opisyal at empleyado na direktang sangkot sa lumalabag na produkto2.
Mga karagdagang parusa: Ang Land Transportation Office (LTO) ay nagpapataw ng mga multa para sa ilang partikular na paglabag na may kaugnayan sa pakikialam: Unang paglabag: PHP 2,000 Pangalawang paglabag: PHP 4,000 Pangatlong paglabag Paglabag sa: PHP 6,0003.
Pakitandaan na ang mga parusang ito ay nilayon upang hadlangan ang mga ilegal na aktibidad at protektahan ang integridad ng pagkakakilanlan ng sasakyan.
Palaging sundin ang batas upang maiwasan ang mga legal na kahihinatnan.</v>
      </c>
      <c r="F1445" s="2">
        <f t="shared" si="1"/>
        <v>0</v>
      </c>
      <c r="G1445" s="2"/>
      <c r="H1445" s="2"/>
      <c r="I1445" s="2"/>
      <c r="J1445" s="2"/>
      <c r="K1445" s="2"/>
      <c r="L1445" s="2"/>
      <c r="M1445" s="2"/>
      <c r="N1445" s="2"/>
      <c r="O1445" s="2"/>
      <c r="P1445" s="2"/>
      <c r="Q1445" s="2"/>
      <c r="R1445" s="2"/>
      <c r="S1445" s="2"/>
      <c r="T1445" s="2"/>
      <c r="U1445" s="2"/>
      <c r="V1445" s="2"/>
      <c r="W1445" s="2"/>
      <c r="X1445" s="2"/>
      <c r="Y1445" s="2"/>
      <c r="Z1445" s="2"/>
      <c r="AA1445" s="2"/>
    </row>
    <row r="1446">
      <c r="A1446" s="3" t="s">
        <v>3972</v>
      </c>
      <c r="B1446" s="1" t="s">
        <v>4057</v>
      </c>
      <c r="C1446" s="1" t="s">
        <v>4058</v>
      </c>
      <c r="D1446" s="2" t="str">
        <f>IFERROR(__xludf.DUMMYFUNCTION("GOOGLETRANSLATE(B1446, ""en"", ""TL"")"),"Ano ang minimum na kinakailangang tread depth para sa mga gulong ayon sa batas ng Pilipinas?")</f>
        <v>Ano ang minimum na kinakailangang tread depth para sa mga gulong ayon sa batas ng Pilipinas?</v>
      </c>
      <c r="E1446" s="2" t="str">
        <f>IFERROR(__xludf.DUMMYFUNCTION("GOOGLETRANSLATE(C1446, ""en"", ""TL"")"),"Ayon sa Land Transportation Office (LTO) of the Philippines, walang partikular na minimum tread depth na ipinag-uutos ng batas para sa mga pribadong sasakyan.
Gayunpaman, lubos na inirerekomenda ng LTO na mapanatili ang mga tread ng gulong sa pinakamabab"&amp;"ang lalim na 1.6 millimeters para sa mga kadahilanang pangkaligtasan [Source: LTO Advisory No. 2019-204]. Ang rekomendasyong ito ay umaayon sa pangkalahatang mga pamantayan sa kaligtasan na itinatag ng mga tagagawa ng gulong at mga organisasyon ng industr"&amp;"iya sa buong mundo.
Narito kung bakit mahalaga ang pagpapanatili ng wastong lalim ng pagtapak:
Tinitiyak ang ligtas na pagkakahawak at traksyon: Ang sapat na lalim ng pagtapak ay nagbibigay-daan sa mga gulong na mahawakan nang maayos ang ibabaw ng kalsa"&amp;"da, lalo na sa basa o madulas na mga kondisyon, na nagbibigay ng mas mahusay na paghawak at binabawasan ang panganib ng skidding o hydroplaning.
Pinapabuti ang pagganap ng pagpepreno: Ang mas malalalim na tread ay nagbibigay ng mas malaking contact area "&amp;"sa pagitan ng gulong at kalsada, na humahantong sa mas maiikling distansya ng pagpepreno at tumaas na lakas ng paghinto.
Binabawasan ang panganib ng pagsabog: Ang mga sira na gulong ay mas madaling masira, na maaaring magdulot ng biglaang pagkawala ng ko"&amp;"ntrol at humantong sa mga aksidente.")</f>
        <v>Ayon sa Land Transportation Office (LTO) of the Philippines, walang partikular na minimum tread depth na ipinag-uutos ng batas para sa mga pribadong sasakyan.
Gayunpaman, lubos na inirerekomenda ng LTO na mapanatili ang mga tread ng gulong sa pinakamababang lalim na 1.6 millimeters para sa mga kadahilanang pangkaligtasan [Source: LTO Advisory No. 2019-204]. Ang rekomendasyong ito ay umaayon sa pangkalahatang mga pamantayan sa kaligtasan na itinatag ng mga tagagawa ng gulong at mga organisasyon ng industriya sa buong mundo.
Narito kung bakit mahalaga ang pagpapanatili ng wastong lalim ng pagtapak:
Tinitiyak ang ligtas na pagkakahawak at traksyon: Ang sapat na lalim ng pagtapak ay nagbibigay-daan sa mga gulong na mahawakan nang maayos ang ibabaw ng kalsada, lalo na sa basa o madulas na mga kondisyon, na nagbibigay ng mas mahusay na paghawak at binabawasan ang panganib ng skidding o hydroplaning.
Pinapabuti ang pagganap ng pagpepreno: Ang mas malalalim na tread ay nagbibigay ng mas malaking contact area sa pagitan ng gulong at kalsada, na humahantong sa mas maiikling distansya ng pagpepreno at tumaas na lakas ng paghinto.
Binabawasan ang panganib ng pagsabog: Ang mga sira na gulong ay mas madaling masira, na maaaring magdulot ng biglaang pagkawala ng kontrol at humantong sa mga aksidente.</v>
      </c>
      <c r="F1446" s="2">
        <f t="shared" si="1"/>
        <v>0</v>
      </c>
      <c r="G1446" s="2"/>
      <c r="H1446" s="2"/>
      <c r="I1446" s="2"/>
      <c r="J1446" s="2"/>
      <c r="K1446" s="2"/>
      <c r="L1446" s="2"/>
      <c r="M1446" s="2"/>
      <c r="N1446" s="2"/>
      <c r="O1446" s="2"/>
      <c r="P1446" s="2"/>
      <c r="Q1446" s="2"/>
      <c r="R1446" s="2"/>
      <c r="S1446" s="2"/>
      <c r="T1446" s="2"/>
      <c r="U1446" s="2"/>
      <c r="V1446" s="2"/>
      <c r="W1446" s="2"/>
      <c r="X1446" s="2"/>
      <c r="Y1446" s="2"/>
      <c r="Z1446" s="2"/>
      <c r="AA1446" s="2"/>
    </row>
    <row r="1447">
      <c r="A1447" s="3" t="s">
        <v>3972</v>
      </c>
      <c r="B1447" s="1" t="s">
        <v>4059</v>
      </c>
      <c r="C1447" s="1" t="s">
        <v>4060</v>
      </c>
      <c r="D1447" s="2" t="str">
        <f>IFERROR(__xludf.DUMMYFUNCTION("GOOGLETRANSLATE(B1447, ""en"", ""TL"")"),"Maaari bang pagmultahin ang isang tsuper dahil sa hindi pagsuko sa mga sasakyang pang-emergency na may mga sirena at ilaw?")</f>
        <v>Maaari bang pagmultahin ang isang tsuper dahil sa hindi pagsuko sa mga sasakyang pang-emergency na may mga sirena at ilaw?</v>
      </c>
      <c r="E1447" s="2" t="str">
        <f>IFERROR(__xludf.DUMMYFUNCTION("GOOGLETRANSLATE(C1447, ""en"", ""TL"")"),"Kung babalewalain mo ang pulang ilaw para magbigay daan sa isang sasakyang pang-emerhensiya, pagmumultahin ka pa rin.
Samakatuwid, mangyaring sundin ang mga patakaran sa trapiko kahit na mayroon kang mga priority na sasakyan.
Right-of-Way ng Emergency na "&amp;"Sasakyan: Ang mga driver ay dapat sumuko sa mga sasakyang pang-emergency na may mga sirena at ilaw na naka-activate.
Kung makarinig o makakita ka ng papalapit na sasakyang pang-emerhensiya, dapat kang kumilos kaagad.
Hilahin ang iyong sasakyan sa gilid ng"&amp;" kalsada at maghintay hanggang sa makadaan ang emergency na sasakyan.
Ang hindi pagsuko sa mga sasakyang pang-emergency ay maaaring magresulta sa mga multa at multa.
Mga Parusa: Ipapatupad ng Metropolitan Manila Development Authority (MMDA) ang regulasyon"&amp;"g ito.
Ang mga lalabag ay maaaring mapatawan ng reckless driving ticket at P500 na multa.
Bukod pa rito, ang Land Transportation Office (LTO) ay maaaring mag-isyu ng mga tiket para sa mga paglabag sa Joint Administrative Order on Abandonment of Emergency "&amp;"Vehicles, na sasailalim sa multang P1,000.")</f>
        <v>Kung babalewalain mo ang pulang ilaw para magbigay daan sa isang sasakyang pang-emerhensiya, pagmumultahin ka pa rin.
Samakatuwid, mangyaring sundin ang mga patakaran sa trapiko kahit na mayroon kang mga priority na sasakyan.
Right-of-Way ng Emergency na Sasakyan: Ang mga driver ay dapat sumuko sa mga sasakyang pang-emergency na may mga sirena at ilaw na naka-activate.
Kung makarinig o makakita ka ng papalapit na sasakyang pang-emerhensiya, dapat kang kumilos kaagad.
Hilahin ang iyong sasakyan sa gilid ng kalsada at maghintay hanggang sa makadaan ang emergency na sasakyan.
Ang hindi pagsuko sa mga sasakyang pang-emergency ay maaaring magresulta sa mga multa at multa.
Mga Parusa: Ipapatupad ng Metropolitan Manila Development Authority (MMDA) ang regulasyong ito.
Ang mga lalabag ay maaaring mapatawan ng reckless driving ticket at P500 na multa.
Bukod pa rito, ang Land Transportation Office (LTO) ay maaaring mag-isyu ng mga tiket para sa mga paglabag sa Joint Administrative Order on Abandonment of Emergency Vehicles, na sasailalim sa multang P1,000.</v>
      </c>
      <c r="F1447" s="2">
        <f t="shared" si="1"/>
        <v>0</v>
      </c>
      <c r="G1447" s="2"/>
      <c r="H1447" s="2"/>
      <c r="I1447" s="2"/>
      <c r="J1447" s="2"/>
      <c r="K1447" s="2"/>
      <c r="L1447" s="2"/>
      <c r="M1447" s="2"/>
      <c r="N1447" s="2"/>
      <c r="O1447" s="2"/>
      <c r="P1447" s="2"/>
      <c r="Q1447" s="2"/>
      <c r="R1447" s="2"/>
      <c r="S1447" s="2"/>
      <c r="T1447" s="2"/>
      <c r="U1447" s="2"/>
      <c r="V1447" s="2"/>
      <c r="W1447" s="2"/>
      <c r="X1447" s="2"/>
      <c r="Y1447" s="2"/>
      <c r="Z1447" s="2"/>
      <c r="AA1447" s="2"/>
    </row>
    <row r="1448">
      <c r="A1448" s="3" t="s">
        <v>3972</v>
      </c>
      <c r="B1448" s="1" t="s">
        <v>4061</v>
      </c>
      <c r="C1448" s="1" t="s">
        <v>4062</v>
      </c>
      <c r="D1448" s="2" t="str">
        <f>IFERROR(__xludf.DUMMYFUNCTION("GOOGLETRANSLATE(B1448, ""en"", ""TL"")"),"Ano ang parusa sa pagpapatakbo ng sasakyan na may sira ang mga headlight o tail lights?")</f>
        <v>Ano ang parusa sa pagpapatakbo ng sasakyan na may sira ang mga headlight o tail lights?</v>
      </c>
      <c r="E1448" s="2" t="str">
        <f>IFERROR(__xludf.DUMMYFUNCTION("GOOGLETRANSLATE(C1448, ""en"", ""TL"")"),"Sa Pilipinas, ang pagpapatakbo ng sasakyan na may sira ang headlights o tail lights ay nasa kategoryang ""defective/improper/unauthorized accessories, devices, equipment, and parts"" ayon sa Land Transportation Office (LTO). Ang parusa para sa paglabag na"&amp;" ito ay ₱5,000 na multa para sa unang paglabag.
Mahalagang tandaan na ito ay isang malaking multa, at ang mga paulit-ulit na pagkakasala ay maaaring magresulta sa lalong malubhang kahihinatnan:
Pangalawang paglabag: ₱10,000 multa at pag-impound ng sasakya"&amp;"n sa loob ng 30 araw.
Ikatlong pagkakasala: ₱15,000 multa at pagkansela ng lisensya sa pagmamaneho.
Samakatuwid, ang pagpapanatili ng maayos na paggana ng mga headlight at tail lights ay mahalaga sa ilang kadahilanan:
Kaligtasan: Tinitiyak ng mga function"&amp;"al na ilaw na makikita at makikita ka ng ibang mga driver sa panahon ng mababang liwanag at sa gabi, na makabuluhang binabawasan ang panganib ng mga aksidente.
Legal na pagsunod: Pag-iwas sa mabigat na multa at potensyal na pagkakasuspinde ng lisensya.
Re"&amp;"sponsibilidad: Pagkuha ng responsibilidad para sa kondisyon ng iyong sasakyan at pag-aambag sa mas ligtas na mga kalsada para sa lahat.")</f>
        <v>Sa Pilipinas, ang pagpapatakbo ng sasakyan na may sira ang headlights o tail lights ay nasa kategoryang "defective/improper/unauthorized accessories, devices, equipment, and parts" ayon sa Land Transportation Office (LTO). Ang parusa para sa paglabag na ito ay ₱5,000 na multa para sa unang paglabag.
Mahalagang tandaan na ito ay isang malaking multa, at ang mga paulit-ulit na pagkakasala ay maaaring magresulta sa lalong malubhang kahihinatnan:
Pangalawang paglabag: ₱10,000 multa at pag-impound ng sasakyan sa loob ng 30 araw.
Ikatlong pagkakasala: ₱15,000 multa at pagkansela ng lisensya sa pagmamaneho.
Samakatuwid, ang pagpapanatili ng maayos na paggana ng mga headlight at tail lights ay mahalaga sa ilang kadahilanan:
Kaligtasan: Tinitiyak ng mga functional na ilaw na makikita at makikita ka ng ibang mga driver sa panahon ng mababang liwanag at sa gabi, na makabuluhang binabawasan ang panganib ng mga aksidente.
Legal na pagsunod: Pag-iwas sa mabigat na multa at potensyal na pagkakasuspinde ng lisensya.
Responsibilidad: Pagkuha ng responsibilidad para sa kondisyon ng iyong sasakyan at pag-aambag sa mas ligtas na mga kalsada para sa lahat.</v>
      </c>
      <c r="F1448" s="2">
        <f t="shared" si="1"/>
        <v>0</v>
      </c>
      <c r="G1448" s="2"/>
      <c r="H1448" s="2"/>
      <c r="I1448" s="2"/>
      <c r="J1448" s="2"/>
      <c r="K1448" s="2"/>
      <c r="L1448" s="2"/>
      <c r="M1448" s="2"/>
      <c r="N1448" s="2"/>
      <c r="O1448" s="2"/>
      <c r="P1448" s="2"/>
      <c r="Q1448" s="2"/>
      <c r="R1448" s="2"/>
      <c r="S1448" s="2"/>
      <c r="T1448" s="2"/>
      <c r="U1448" s="2"/>
      <c r="V1448" s="2"/>
      <c r="W1448" s="2"/>
      <c r="X1448" s="2"/>
      <c r="Y1448" s="2"/>
      <c r="Z1448" s="2"/>
      <c r="AA1448" s="2"/>
    </row>
    <row r="1449">
      <c r="A1449" s="3" t="s">
        <v>3972</v>
      </c>
      <c r="B1449" s="1" t="s">
        <v>4063</v>
      </c>
      <c r="C1449" s="1" t="s">
        <v>4064</v>
      </c>
      <c r="D1449" s="2" t="str">
        <f>IFERROR(__xludf.DUMMYFUNCTION("GOOGLETRANSLATE(B1449, ""en"", ""TL"")"),"Kailan maaaring magpatuloy ang isang driver sa isang dilaw na ilaw ng trapiko?")</f>
        <v>Kailan maaaring magpatuloy ang isang driver sa isang dilaw na ilaw ng trapiko?</v>
      </c>
      <c r="E1449" s="2" t="str">
        <f>IFERROR(__xludf.DUMMYFUNCTION("GOOGLETRANSLATE(C1449, ""en"", ""TL"")"),"Kung ikaw ay papalapit sa isang intersection at ang ilaw ay nagiging dilaw, dapat kang huminto.
Gayunpaman, kung hindi ka maaaring tumigil nang ligtas, mag-ingat.
Kung ang ilaw ay nagiging dilaw sa gitna ng isang intersection, maaari kang magpatuloy sa pa"&amp;"gmamaneho, ngunit gumamit ng matinding pag-iingat.")</f>
        <v>Kung ikaw ay papalapit sa isang intersection at ang ilaw ay nagiging dilaw, dapat kang huminto.
Gayunpaman, kung hindi ka maaaring tumigil nang ligtas, mag-ingat.
Kung ang ilaw ay nagiging dilaw sa gitna ng isang intersection, maaari kang magpatuloy sa pagmamaneho, ngunit gumamit ng matinding pag-iingat.</v>
      </c>
      <c r="F1449" s="2">
        <f t="shared" si="1"/>
        <v>0</v>
      </c>
      <c r="G1449" s="2"/>
      <c r="H1449" s="2"/>
      <c r="I1449" s="2"/>
      <c r="J1449" s="2"/>
      <c r="K1449" s="2"/>
      <c r="L1449" s="2"/>
      <c r="M1449" s="2"/>
      <c r="N1449" s="2"/>
      <c r="O1449" s="2"/>
      <c r="P1449" s="2"/>
      <c r="Q1449" s="2"/>
      <c r="R1449" s="2"/>
      <c r="S1449" s="2"/>
      <c r="T1449" s="2"/>
      <c r="U1449" s="2"/>
      <c r="V1449" s="2"/>
      <c r="W1449" s="2"/>
      <c r="X1449" s="2"/>
      <c r="Y1449" s="2"/>
      <c r="Z1449" s="2"/>
      <c r="AA1449" s="2"/>
    </row>
    <row r="1450">
      <c r="A1450" s="3" t="s">
        <v>3972</v>
      </c>
      <c r="B1450" s="1" t="s">
        <v>4065</v>
      </c>
      <c r="C1450" s="1" t="s">
        <v>4066</v>
      </c>
      <c r="D1450" s="2" t="str">
        <f>IFERROR(__xludf.DUMMYFUNCTION("GOOGLETRANSLATE(B1450, ""en"", ""TL"")"),"Ano ang multa sa pagmamaneho nang walang valid certificate of registration (CR)?")</f>
        <v>Ano ang multa sa pagmamaneho nang walang valid certificate of registration (CR)?</v>
      </c>
      <c r="E1450" s="2" t="str">
        <f>IFERROR(__xludf.DUMMYFUNCTION("GOOGLETRANSLATE(C1450, ""en"", ""TL"")"),"Sa Pilipinas, ang pagmamaneho nang walang valid certificate of registration (CR) ay may multang ₱10,000. Pag-impound ng sasakyan: Kung ang iyong sasakyan ay hindi nakarehistro nang higit sa isang buwan, maaari itong ma-impound ng mga awtoridad at palabasi"&amp;"n lamang pagkatapos makumpleto ang proseso ng pagpaparehistro at magbayad ng kaukulang mga multa at parusa [Source: LTO Portal PH].
Karagdagang mga parusa para sa pinalawig na hindi pagpaparehistro: Sa matinding mga kaso, kung saan ang sasakyan ay hindi "&amp;"nakarehistro sa loob ng higit sa tatlong taon, ang may-ari ay maaaring maharap sa pagkumpiska ng sasakyan bukod pa sa multa at mga bayarin sa pag-renew ng pagpaparehistro [Source: LTO Portal PH].")</f>
        <v>Sa Pilipinas, ang pagmamaneho nang walang valid certificate of registration (CR) ay may multang ₱10,000. Pag-impound ng sasakyan: Kung ang iyong sasakyan ay hindi nakarehistro nang higit sa isang buwan, maaari itong ma-impound ng mga awtoridad at palabasin lamang pagkatapos makumpleto ang proseso ng pagpaparehistro at magbayad ng kaukulang mga multa at parusa [Source: LTO Portal PH].
Karagdagang mga parusa para sa pinalawig na hindi pagpaparehistro: Sa matinding mga kaso, kung saan ang sasakyan ay hindi nakarehistro sa loob ng higit sa tatlong taon, ang may-ari ay maaaring maharap sa pagkumpiska ng sasakyan bukod pa sa multa at mga bayarin sa pag-renew ng pagpaparehistro [Source: LTO Portal PH].</v>
      </c>
      <c r="F1450" s="2">
        <f t="shared" si="1"/>
        <v>0</v>
      </c>
      <c r="G1450" s="2"/>
      <c r="H1450" s="2"/>
      <c r="I1450" s="2"/>
      <c r="J1450" s="2"/>
      <c r="K1450" s="2"/>
      <c r="L1450" s="2"/>
      <c r="M1450" s="2"/>
      <c r="N1450" s="2"/>
      <c r="O1450" s="2"/>
      <c r="P1450" s="2"/>
      <c r="Q1450" s="2"/>
      <c r="R1450" s="2"/>
      <c r="S1450" s="2"/>
      <c r="T1450" s="2"/>
      <c r="U1450" s="2"/>
      <c r="V1450" s="2"/>
      <c r="W1450" s="2"/>
      <c r="X1450" s="2"/>
      <c r="Y1450" s="2"/>
      <c r="Z1450" s="2"/>
      <c r="AA1450" s="2"/>
    </row>
    <row r="1451">
      <c r="A1451" s="3" t="s">
        <v>3972</v>
      </c>
      <c r="B1451" s="1" t="s">
        <v>4067</v>
      </c>
      <c r="C1451" s="1" t="s">
        <v>4068</v>
      </c>
      <c r="D1451" s="2" t="str">
        <f>IFERROR(__xludf.DUMMYFUNCTION("GOOGLETRANSLATE(B1451, ""en"", ""TL"")"),"Gaano kadalas dapat sumailalim ang mga pampublikong sasakyan sa isang roadworthiness inspection?")</f>
        <v>Gaano kadalas dapat sumailalim ang mga pampublikong sasakyan sa isang roadworthiness inspection?</v>
      </c>
      <c r="E1451" s="2" t="str">
        <f>IFERROR(__xludf.DUMMYFUNCTION("GOOGLETRANSLATE(C1451, ""en"", ""TL"")"),"Ang unang kondisyon ay ang lahat ng hindi modernong PUV ay pumasa sa teknolohiyang nakabatay sa sistema ng inspeksyon ng sasakyan na ""MVIS"".
“Pero kahit pumasa sila, kailangan din nilang (PA) na sumailalim sa roadworthiness test ng MVIS every year, so w"&amp;"e will allow them to renew it every year,” ani Libiran.")</f>
        <v>Ang unang kondisyon ay ang lahat ng hindi modernong PUV ay pumasa sa teknolohiyang nakabatay sa sistema ng inspeksyon ng sasakyan na "MVIS".
“Pero kahit pumasa sila, kailangan din nilang (PA) na sumailalim sa roadworthiness test ng MVIS every year, so we will allow them to renew it every year,” ani Libiran.</v>
      </c>
      <c r="F1451" s="2">
        <f t="shared" si="1"/>
        <v>0</v>
      </c>
      <c r="G1451" s="2"/>
      <c r="H1451" s="2"/>
      <c r="I1451" s="2"/>
      <c r="J1451" s="2"/>
      <c r="K1451" s="2"/>
      <c r="L1451" s="2"/>
      <c r="M1451" s="2"/>
      <c r="N1451" s="2"/>
      <c r="O1451" s="2"/>
      <c r="P1451" s="2"/>
      <c r="Q1451" s="2"/>
      <c r="R1451" s="2"/>
      <c r="S1451" s="2"/>
      <c r="T1451" s="2"/>
      <c r="U1451" s="2"/>
      <c r="V1451" s="2"/>
      <c r="W1451" s="2"/>
      <c r="X1451" s="2"/>
      <c r="Y1451" s="2"/>
      <c r="Z1451" s="2"/>
      <c r="AA1451" s="2"/>
    </row>
    <row r="1452">
      <c r="A1452" s="3" t="s">
        <v>3972</v>
      </c>
      <c r="B1452" s="1" t="s">
        <v>4069</v>
      </c>
      <c r="C1452" s="1" t="s">
        <v>4070</v>
      </c>
      <c r="D1452" s="2" t="str">
        <f>IFERROR(__xludf.DUMMYFUNCTION("GOOGLETRANSLATE(B1452, ""en"", ""TL"")"),"Ano ang parusa sa pagpapatakbo ng sasakyan nang walang balidong prangkisa o permit?")</f>
        <v>Ano ang parusa sa pagpapatakbo ng sasakyan nang walang balidong prangkisa o permit?</v>
      </c>
      <c r="E1452" s="2" t="str">
        <f>IFERROR(__xludf.DUMMYFUNCTION("GOOGLETRANSLATE(C1452, ""en"", ""TL"")"),"Ang pagpapatakbo ng sasakyan nang walang wastong prangkisa o permit sa Pilipinas ay isang seryosong paglabag na may maraming potensyal na parusa, depende sa partikular na uri ng sasakyan at sa konteksto ng paglabag. Narito ang isang breakdown ng mga pangu"&amp;"nahing aspeto:
Mga Pangkalahatang Parusa:
₱50,000 na multa: Ito ang batayang parusa para sa pagpapatakbo ng Public Utility Vehicle (PUV) nang walang balidong prangkisa o permit [Source: Senate Bill No. S *19].
Apprehension and Impoundment: Ang sasakyan"&amp;" ay maaaring hulihin ng mga awtoridad at i-impound hanggang sa makuha ang tamang prangkisa o permit at anumang kaakibat na multa ay naayos [Source: LTFRB Memorandum Circular No. 2014-009].
Suspensyon o Pagbawi ng Franchise/Permit: Depende sa kalubhaan at"&amp;" dalas ng pagkakasala, ang kinauukulang ahensya (Land Transportation Franchising and Regulatory Board - LTFRB) ay maaaring suspindihin o bawiin nang buo ang umiiral na prangkisa o permit [Source: LTFRB Memorandum Circular No. 2014 -009].
Mga Karagdagang "&amp;"Puntos:
Mga pribadong sasakyan: Ang pagpapatakbo ng pribadong sasakyan para sa mga layuning pangkomersyo nang walang wastong prangkisa o permit ay maaari ding magresulta sa mga parusa at pagkumpiska ng sasakyan [Pinagmulan: LTFRB Memorandum Circular No. "&amp;"2014-009].
Pagkakaiba-iba ng mga kahihinatnan: Ang mga partikular na parusa at kahihinatnan ay maaaring mag-iba depende sa uri ng sasakyan na kasangkot, ang likas na katangian ng paglabag (hal., gumagana nang walang anumang prangkisa o permit kumpara sa "&amp;"pagpapatakbo nang may expired na permit), at ang pagpapasya ng awtoridad sa paghuli.")</f>
        <v>Ang pagpapatakbo ng sasakyan nang walang wastong prangkisa o permit sa Pilipinas ay isang seryosong paglabag na may maraming potensyal na parusa, depende sa partikular na uri ng sasakyan at sa konteksto ng paglabag. Narito ang isang breakdown ng mga pangunahing aspeto:
Mga Pangkalahatang Parusa:
₱50,000 na multa: Ito ang batayang parusa para sa pagpapatakbo ng Public Utility Vehicle (PUV) nang walang balidong prangkisa o permit [Source: Senate Bill No. S *19].
Apprehension and Impoundment: Ang sasakyan ay maaaring hulihin ng mga awtoridad at i-impound hanggang sa makuha ang tamang prangkisa o permit at anumang kaakibat na multa ay naayos [Source: LTFRB Memorandum Circular No. 2014-009].
Suspensyon o Pagbawi ng Franchise/Permit: Depende sa kalubhaan at dalas ng pagkakasala, ang kinauukulang ahensya (Land Transportation Franchising and Regulatory Board - LTFRB) ay maaaring suspindihin o bawiin nang buo ang umiiral na prangkisa o permit [Source: LTFRB Memorandum Circular No. 2014 -009].
Mga Karagdagang Puntos:
Mga pribadong sasakyan: Ang pagpapatakbo ng pribadong sasakyan para sa mga layuning pangkomersyo nang walang wastong prangkisa o permit ay maaari ding magresulta sa mga parusa at pagkumpiska ng sasakyan [Pinagmulan: LTFRB Memorandum Circular No. 2014-009].
Pagkakaiba-iba ng mga kahihinatnan: Ang mga partikular na parusa at kahihinatnan ay maaaring mag-iba depende sa uri ng sasakyan na kasangkot, ang likas na katangian ng paglabag (hal., gumagana nang walang anumang prangkisa o permit kumpara sa pagpapatakbo nang may expired na permit), at ang pagpapasya ng awtoridad sa paghuli.</v>
      </c>
      <c r="F1452" s="2">
        <f t="shared" si="1"/>
        <v>0</v>
      </c>
      <c r="G1452" s="2"/>
      <c r="H1452" s="2"/>
      <c r="I1452" s="2"/>
      <c r="J1452" s="2"/>
      <c r="K1452" s="2"/>
      <c r="L1452" s="2"/>
      <c r="M1452" s="2"/>
      <c r="N1452" s="2"/>
      <c r="O1452" s="2"/>
      <c r="P1452" s="2"/>
      <c r="Q1452" s="2"/>
      <c r="R1452" s="2"/>
      <c r="S1452" s="2"/>
      <c r="T1452" s="2"/>
      <c r="U1452" s="2"/>
      <c r="V1452" s="2"/>
      <c r="W1452" s="2"/>
      <c r="X1452" s="2"/>
      <c r="Y1452" s="2"/>
      <c r="Z1452" s="2"/>
      <c r="AA1452" s="2"/>
    </row>
    <row r="1453">
      <c r="A1453" s="3" t="s">
        <v>3972</v>
      </c>
      <c r="B1453" s="1" t="s">
        <v>4071</v>
      </c>
      <c r="C1453" s="1" t="s">
        <v>4072</v>
      </c>
      <c r="D1453" s="2" t="str">
        <f>IFERROR(__xludf.DUMMYFUNCTION("GOOGLETRANSLATE(B1453, ""en"", ""TL"")"),"Maaari bang pagmultahin ang isang driver para sa paggamit ng busina ng kotse sa paraang nagdudulot ng hindi kinakailangang ingay?")</f>
        <v>Maaari bang pagmultahin ang isang driver para sa paggamit ng busina ng kotse sa paraang nagdudulot ng hindi kinakailangang ingay?</v>
      </c>
      <c r="E1453" s="2" t="str">
        <f>IFERROR(__xludf.DUMMYFUNCTION("GOOGLETRANSLATE(C1453, ""en"", ""TL"")"),"Tiyak!
Sa Pilipinas, ang labis na paggamit ng mga busina ng sasakyan na nagdudulot ng hindi kinakailangang ingay ay maaaring magresulta sa mga multa.
Ang pinakamahalagang punto tungkol sa paggamit ng mga sungay at mga parusa ay ang: Istorbo sa ingay: Ang "&amp;"ingay na istorbo ay isang paglabag sa batas sibil kung ito ay nakakagambala o nakakainis sa mga pandama o nakakasagabal sa paggamit ng ari-arian.
Ito ay itinuturing na isang istorbo batay sa mga sumusunod.
Ang may-ari o naninirahan sa lupa (kabilang ang k"&amp;"anyang mga nakatalaga) ay maaaring managot para sa naturang istorbo.
Ang mga remedyo para sa istorbo ng ingay ay kinabibilangan ng abatement (pag-alis ng istorbo) at mga pinsala.
Ang mga istorbo ay maaaring pampubliko (yaong mga nakakaapekto sa komunidad "&amp;"o kapitbahayan) o pribado (mga partikular na nakakapinsala sa mga indibidwal).
Kung ang ingay mismo ay isang istorbo (direktang nakakaapekto sa kaligtasan), maaari itong mabawasan nang walang kahirap-hirap ayon sa hindi malinaw na batas ng pangangailangan"&amp;".
Kung ito ay isang hindi sinasadyang istorbo (depende sa mga pangyayari), ang isang maayos na pagdinig sa korte ay kinakailangan upang matukoy kung ito ay isang aksidenteng istorbo1.
Partikular na batas: Noong 2015, ipinakilala ang House Bill 1035 para i"&amp;"-regulate ang paggamit ng mga video/karaoke system at iba pang mga audio amplification device na nagdudulot ng hindi kinakailangang pagkagambala sa mga residential na lugar.
Ang panukalang batas na ito ay nagmumungkahi na limitahan ang paggamit ng mga nat"&amp;"urang device sa mga oras na 8 a.m.
hanggang 10 p.m.
lamang.
Kung ang ingay ay maririnig mula sa layo na hindi bababa sa 50 talampakan, mayroong prima facie na ebidensya ng isang paglabag.
Ang mga lalabag ay maaaring magmulta ng P1,000 o pagkakulong ng hin"&amp;"di hihigit sa anim na buwan, o pareho1.
Mga Karagdagang Panukala: Ang mga sirang busina ng sasakyan, o mga busina na gumagawa ng labis na malakas o tahimik na tunog, ay itinuturing ding ilegal sa Pilipinas at marami pang ibang bansa2.
Nagkaroon pa ng panu"&amp;"kala na ideklara ang Linggo bilang ""No Business Day"" at ipagbawal ang hindi kinakailangang pagbusina sa buong bansa, na may multa na P500 sa bawat paglabag3.
Samakatuwid, dapat gamitin ng mga driver ang kanilang mga busina ng kotse nang maingat upang ma"&amp;"iwasan ang hindi kinakailangang ingay at posibleng mga multa.")</f>
        <v>Tiyak!
Sa Pilipinas, ang labis na paggamit ng mga busina ng sasakyan na nagdudulot ng hindi kinakailangang ingay ay maaaring magresulta sa mga multa.
Ang pinakamahalagang punto tungkol sa paggamit ng mga sungay at mga parusa ay ang: Istorbo sa ingay: Ang ingay na istorbo ay isang paglabag sa batas sibil kung ito ay nakakagambala o nakakainis sa mga pandama o nakakasagabal sa paggamit ng ari-arian.
Ito ay itinuturing na isang istorbo batay sa mga sumusunod.
Ang may-ari o naninirahan sa lupa (kabilang ang kanyang mga nakatalaga) ay maaaring managot para sa naturang istorbo.
Ang mga remedyo para sa istorbo ng ingay ay kinabibilangan ng abatement (pag-alis ng istorbo) at mga pinsala.
Ang mga istorbo ay maaaring pampubliko (yaong mga nakakaapekto sa komunidad o kapitbahayan) o pribado (mga partikular na nakakapinsala sa mga indibidwal).
Kung ang ingay mismo ay isang istorbo (direktang nakakaapekto sa kaligtasan), maaari itong mabawasan nang walang kahirap-hirap ayon sa hindi malinaw na batas ng pangangailangan.
Kung ito ay isang hindi sinasadyang istorbo (depende sa mga pangyayari), ang isang maayos na pagdinig sa korte ay kinakailangan upang matukoy kung ito ay isang aksidenteng istorbo1.
Partikular na batas: Noong 2015, ipinakilala ang House Bill 1035 para i-regulate ang paggamit ng mga video/karaoke system at iba pang mga audio amplification device na nagdudulot ng hindi kinakailangang pagkagambala sa mga residential na lugar.
Ang panukalang batas na ito ay nagmumungkahi na limitahan ang paggamit ng mga naturang device sa mga oras na 8 a.m.
hanggang 10 p.m.
lamang.
Kung ang ingay ay maririnig mula sa layo na hindi bababa sa 50 talampakan, mayroong prima facie na ebidensya ng isang paglabag.
Ang mga lalabag ay maaaring magmulta ng P1,000 o pagkakulong ng hindi hihigit sa anim na buwan, o pareho1.
Mga Karagdagang Panukala: Ang mga sirang busina ng sasakyan, o mga busina na gumagawa ng labis na malakas o tahimik na tunog, ay itinuturing ding ilegal sa Pilipinas at marami pang ibang bansa2.
Nagkaroon pa ng panukala na ideklara ang Linggo bilang "No Business Day" at ipagbawal ang hindi kinakailangang pagbusina sa buong bansa, na may multa na P500 sa bawat paglabag3.
Samakatuwid, dapat gamitin ng mga driver ang kanilang mga busina ng kotse nang maingat upang maiwasan ang hindi kinakailangang ingay at posibleng mga multa.</v>
      </c>
      <c r="F1453" s="2">
        <f t="shared" si="1"/>
        <v>0</v>
      </c>
      <c r="G1453" s="2"/>
      <c r="H1453" s="2"/>
      <c r="I1453" s="2"/>
      <c r="J1453" s="2"/>
      <c r="K1453" s="2"/>
      <c r="L1453" s="2"/>
      <c r="M1453" s="2"/>
      <c r="N1453" s="2"/>
      <c r="O1453" s="2"/>
      <c r="P1453" s="2"/>
      <c r="Q1453" s="2"/>
      <c r="R1453" s="2"/>
      <c r="S1453" s="2"/>
      <c r="T1453" s="2"/>
      <c r="U1453" s="2"/>
      <c r="V1453" s="2"/>
      <c r="W1453" s="2"/>
      <c r="X1453" s="2"/>
      <c r="Y1453" s="2"/>
      <c r="Z1453" s="2"/>
      <c r="AA1453" s="2"/>
    </row>
    <row r="1454">
      <c r="A1454" s="3" t="s">
        <v>3972</v>
      </c>
      <c r="B1454" s="1" t="s">
        <v>4073</v>
      </c>
      <c r="C1454" s="1" t="s">
        <v>4074</v>
      </c>
      <c r="D1454" s="2" t="str">
        <f>IFERROR(__xludf.DUMMYFUNCTION("GOOGLETRANSLATE(B1454, ""en"", ""TL"")"),"Ano ang parusa sa pagdadala ng mga mapanganib na materyales nang walang mga kinakailangang permit?")</f>
        <v>Ano ang parusa sa pagdadala ng mga mapanganib na materyales nang walang mga kinakailangang permit?</v>
      </c>
      <c r="E1454" s="2" t="str">
        <f>IFERROR(__xludf.DUMMYFUNCTION("GOOGLETRANSLATE(C1454, ""en"", ""TL"")"),"Sa Pilipinas, ang pagdadala ng mga mapanganib na materyales nang walang kinakailangang mga permit ay may ilang potensyal na parusa, depende sa kalubhaan ng paglabag at sa mga partikular na regulasyong kasangkot. Narito ang isang breakdown ng mga pangunahi"&amp;"ng punto:
Pangunahing Lupong Tagapamahala:
Department of Transportation (DOTr): Ang DOTr, sa pamamagitan ng mga naka-attach na ahensya nito, ay responsable para sa regulasyon ng mga mapanganib na materyales sa transportasyon sa Pilipinas. Kabilang sa mg"&amp;"a pangunahing ahensyang kasangkot ang:
Land Transportation Office (LTO): Nangangasiwa sa paglilisensya at pagpaparehistro ng mga sasakyang ginagamit sa pagdadala ng mga mapanganib na materyales.
Maritime Industry Authority (MARINA): Kinokontrol ang tran"&amp;"sportasyon ng mga mapanganib na materyales sa pamamagitan ng dagat.
Civil Aviation Authority of the Philippines (CAAP): Kinokontrol ang transportasyon ng mga mapanganib na materyales sa pamamagitan ng hangin.
Mga Potensyal na Parusa:
Mga multa: Ang hal"&amp;"aga ng multa ay maaaring mag-iba depende sa partikular na paglabag at sa ahensyang kasangkot. Maaaring mula sa libo hanggang daan-daang libong piso.
Pag-impound ng Sasakyan/Kargo: Ang sasakyang ginagamit para sa transportasyon at/o ang mga mapanganib na "&amp;"materyales mismo ay maaaring i-impound ng mga awtoridad hanggang sa makuha ang mga tamang permit at anumang mga parusa ay naayos.
Pagsuspinde/Pagbawi ng Lisensya: Depende sa kalubhaan ng pagkakasala, ang lisensya sa pagmamaneho o ang permit ng kumpanya n"&amp;"a maghatid ng mga mapanganib na materyales ay maaaring masuspinde o mabawi.
Mga Pagsingil sa Kriminal: Sa ilang mga kaso, lalo na para sa mga seryosong paglabag o aksidenteng kinasasangkutan ng mga mapanganib na materyales, maaaring magsampa ng mga kason"&amp;"g kriminal, na magreresulta sa potensyal na pagkakulong.")</f>
        <v>Sa Pilipinas, ang pagdadala ng mga mapanganib na materyales nang walang kinakailangang mga permit ay may ilang potensyal na parusa, depende sa kalubhaan ng paglabag at sa mga partikular na regulasyong kasangkot. Narito ang isang breakdown ng mga pangunahing punto:
Pangunahing Lupong Tagapamahala:
Department of Transportation (DOTr): Ang DOTr, sa pamamagitan ng mga naka-attach na ahensya nito, ay responsable para sa regulasyon ng mga mapanganib na materyales sa transportasyon sa Pilipinas. Kabilang sa mga pangunahing ahensyang kasangkot ang:
Land Transportation Office (LTO): Nangangasiwa sa paglilisensya at pagpaparehistro ng mga sasakyang ginagamit sa pagdadala ng mga mapanganib na materyales.
Maritime Industry Authority (MARINA): Kinokontrol ang transportasyon ng mga mapanganib na materyales sa pamamagitan ng dagat.
Civil Aviation Authority of the Philippines (CAAP): Kinokontrol ang transportasyon ng mga mapanganib na materyales sa pamamagitan ng hangin.
Mga Potensyal na Parusa:
Mga multa: Ang halaga ng multa ay maaaring mag-iba depende sa partikular na paglabag at sa ahensyang kasangkot. Maaaring mula sa libo hanggang daan-daang libong piso.
Pag-impound ng Sasakyan/Kargo: Ang sasakyang ginagamit para sa transportasyon at/o ang mga mapanganib na materyales mismo ay maaaring i-impound ng mga awtoridad hanggang sa makuha ang mga tamang permit at anumang mga parusa ay naayos.
Pagsuspinde/Pagbawi ng Lisensya: Depende sa kalubhaan ng pagkakasala, ang lisensya sa pagmamaneho o ang permit ng kumpanya na maghatid ng mga mapanganib na materyales ay maaaring masuspinde o mabawi.
Mga Pagsingil sa Kriminal: Sa ilang mga kaso, lalo na para sa mga seryosong paglabag o aksidenteng kinasasangkutan ng mga mapanganib na materyales, maaaring magsampa ng mga kasong kriminal, na magreresulta sa potensyal na pagkakulong.</v>
      </c>
      <c r="F1454" s="2">
        <f t="shared" si="1"/>
        <v>0</v>
      </c>
      <c r="G1454" s="2"/>
      <c r="H1454" s="2"/>
      <c r="I1454" s="2"/>
      <c r="J1454" s="2"/>
      <c r="K1454" s="2"/>
      <c r="L1454" s="2"/>
      <c r="M1454" s="2"/>
      <c r="N1454" s="2"/>
      <c r="O1454" s="2"/>
      <c r="P1454" s="2"/>
      <c r="Q1454" s="2"/>
      <c r="R1454" s="2"/>
      <c r="S1454" s="2"/>
      <c r="T1454" s="2"/>
      <c r="U1454" s="2"/>
      <c r="V1454" s="2"/>
      <c r="W1454" s="2"/>
      <c r="X1454" s="2"/>
      <c r="Y1454" s="2"/>
      <c r="Z1454" s="2"/>
      <c r="AA1454" s="2"/>
    </row>
    <row r="1455">
      <c r="A1455" s="3" t="s">
        <v>3972</v>
      </c>
      <c r="B1455" s="1" t="s">
        <v>4075</v>
      </c>
      <c r="C1455" s="1" t="s">
        <v>4076</v>
      </c>
      <c r="D1455" s="2" t="str">
        <f>IFERROR(__xludf.DUMMYFUNCTION("GOOGLETRANSLATE(B1455, ""en"", ""TL"")"),"Sa ilalim ng anong mga kundisyon maaaring mag-U-turn ang isang driver sa isang intersection?")</f>
        <v>Sa ilalim ng anong mga kundisyon maaaring mag-U-turn ang isang driver sa isang intersection?</v>
      </c>
      <c r="E1455" s="2" t="str">
        <f>IFERROR(__xludf.DUMMYFUNCTION("GOOGLETRANSLATE(C1455, ""en"", ""TL"")"),"Sa pangkalahatan, pinahihintulutan ang U-turn kung: Walang sign ng pagbabawal.
Mayroong berdeng left turn arrow o berdeng traffic light.
Nasa dulong kaliwang lane ka.
May karatula na nagsasabing ""U-turn lang"".
Tumawid sa dobleng dilaw na linya (ngunit k"&amp;"ung ito ay ligtas at legal).")</f>
        <v>Sa pangkalahatan, pinahihintulutan ang U-turn kung: Walang sign ng pagbabawal.
Mayroong berdeng left turn arrow o berdeng traffic light.
Nasa dulong kaliwang lane ka.
May karatula na nagsasabing "U-turn lang".
Tumawid sa dobleng dilaw na linya (ngunit kung ito ay ligtas at legal).</v>
      </c>
      <c r="F1455" s="2">
        <f t="shared" si="1"/>
        <v>0</v>
      </c>
      <c r="G1455" s="2"/>
      <c r="H1455" s="2"/>
      <c r="I1455" s="2"/>
      <c r="J1455" s="2"/>
      <c r="K1455" s="2"/>
      <c r="L1455" s="2"/>
      <c r="M1455" s="2"/>
      <c r="N1455" s="2"/>
      <c r="O1455" s="2"/>
      <c r="P1455" s="2"/>
      <c r="Q1455" s="2"/>
      <c r="R1455" s="2"/>
      <c r="S1455" s="2"/>
      <c r="T1455" s="2"/>
      <c r="U1455" s="2"/>
      <c r="V1455" s="2"/>
      <c r="W1455" s="2"/>
      <c r="X1455" s="2"/>
      <c r="Y1455" s="2"/>
      <c r="Z1455" s="2"/>
      <c r="AA1455" s="2"/>
    </row>
    <row r="1456">
      <c r="A1456" s="3" t="s">
        <v>3972</v>
      </c>
      <c r="B1456" s="1" t="s">
        <v>4077</v>
      </c>
      <c r="C1456" s="1" t="s">
        <v>4078</v>
      </c>
      <c r="D1456" s="2" t="str">
        <f>IFERROR(__xludf.DUMMYFUNCTION("GOOGLETRANSLATE(B1456, ""en"", ""TL"")"),"Ano ang multa para sa pagpapatakbo ng sasakyan nang walang kinakailangang early warning device?")</f>
        <v>Ano ang multa para sa pagpapatakbo ng sasakyan nang walang kinakailangang early warning device?</v>
      </c>
      <c r="E1456" s="2" t="str">
        <f>IFERROR(__xludf.DUMMYFUNCTION("GOOGLETRANSLATE(C1456, ""en"", ""TL"")"),"Sa Pilipinas, ₱500 ang multa sa pagpapatakbo ng sasakyang de-motor nang walang pares ng Early Warning Devices (EWDs).")</f>
        <v>Sa Pilipinas, ₱500 ang multa sa pagpapatakbo ng sasakyang de-motor nang walang pares ng Early Warning Devices (EWDs).</v>
      </c>
      <c r="F1456" s="2">
        <f t="shared" si="1"/>
        <v>2</v>
      </c>
      <c r="G1456" s="2"/>
      <c r="H1456" s="2"/>
      <c r="I1456" s="2"/>
      <c r="J1456" s="2"/>
      <c r="K1456" s="2"/>
      <c r="L1456" s="2"/>
      <c r="M1456" s="2"/>
      <c r="N1456" s="2"/>
      <c r="O1456" s="2"/>
      <c r="P1456" s="2"/>
      <c r="Q1456" s="2"/>
      <c r="R1456" s="2"/>
      <c r="S1456" s="2"/>
      <c r="T1456" s="2"/>
      <c r="U1456" s="2"/>
      <c r="V1456" s="2"/>
      <c r="W1456" s="2"/>
      <c r="X1456" s="2"/>
      <c r="Y1456" s="2"/>
      <c r="Z1456" s="2"/>
      <c r="AA1456" s="2"/>
    </row>
    <row r="1457">
      <c r="A1457" s="3" t="s">
        <v>3972</v>
      </c>
      <c r="B1457" s="1" t="s">
        <v>4079</v>
      </c>
      <c r="C1457" s="1" t="s">
        <v>4080</v>
      </c>
      <c r="D1457" s="2" t="str">
        <f>IFERROR(__xludf.DUMMYFUNCTION("GOOGLETRANSLATE(B1457, ""en"", ""TL"")"),"Ano ang parusa sa jaywalking?")</f>
        <v>Ano ang parusa sa jaywalking?</v>
      </c>
      <c r="E1457" s="2" t="str">
        <f>IFERROR(__xludf.DUMMYFUNCTION("GOOGLETRANSLATE(C1457, ""en"", ""TL"")"),"Ngayon, ang mga lalabag ay bibigyan ng tiket at kaukulang multa na P500.
May opsyon ang mga Jaywalkers na magbayad ng multa o magsagawa ng serbisyo sa komunidad.")</f>
        <v>Ngayon, ang mga lalabag ay bibigyan ng tiket at kaukulang multa na P500.
May opsyon ang mga Jaywalkers na magbayad ng multa o magsagawa ng serbisyo sa komunidad.</v>
      </c>
      <c r="F1457" s="2">
        <f t="shared" si="1"/>
        <v>0</v>
      </c>
      <c r="G1457" s="2"/>
      <c r="H1457" s="2"/>
      <c r="I1457" s="2"/>
      <c r="J1457" s="2"/>
      <c r="K1457" s="2"/>
      <c r="L1457" s="2"/>
      <c r="M1457" s="2"/>
      <c r="N1457" s="2"/>
      <c r="O1457" s="2"/>
      <c r="P1457" s="2"/>
      <c r="Q1457" s="2"/>
      <c r="R1457" s="2"/>
      <c r="S1457" s="2"/>
      <c r="T1457" s="2"/>
      <c r="U1457" s="2"/>
      <c r="V1457" s="2"/>
      <c r="W1457" s="2"/>
      <c r="X1457" s="2"/>
      <c r="Y1457" s="2"/>
      <c r="Z1457" s="2"/>
      <c r="AA1457" s="2"/>
    </row>
    <row r="1458">
      <c r="A1458" s="3" t="s">
        <v>3972</v>
      </c>
      <c r="B1458" s="1" t="s">
        <v>4081</v>
      </c>
      <c r="C1458" s="1" t="s">
        <v>4082</v>
      </c>
      <c r="D1458" s="2" t="str">
        <f>IFERROR(__xludf.DUMMYFUNCTION("GOOGLETRANSLATE(B1458, ""en"", ""TL"")"),"Maaari bang pagmultahin ang isang driver sa pag-overtake sa isang kurba o sa isang pedestrian lane?")</f>
        <v>Maaari bang pagmultahin ang isang driver sa pag-overtake sa isang kurba o sa isang pedestrian lane?</v>
      </c>
      <c r="E1458" s="2" t="str">
        <f>IFERROR(__xludf.DUMMYFUNCTION("GOOGLETRANSLATE(C1458, ""en"", ""TL"")"),"Oo, ang isang driver sa Pilipinas ay maaaring pagmultahin para sa pag-overtake sa isang curve o sa isang pedestrian lane. Narito kung bakit:
Pag-overtake sa isang Curve:
Ilegal at Mapanganib: Ang pag-overtake sa isang kurba ay labag sa batas at itinutur"&amp;"ing na lubhang mapanganib dahil makabuluhang binabawasan nito ang visibility para sa nag-overtake na sasakyan at pinapataas ang panganib ng:
Head-on collisions: Dahil sa limitadong visibility, maaaring hindi makita ng mga driver ang paparating na trapiko"&amp;" sa paligid ng liko, na humahantong sa head-on collisions.
Pagkawala ng kontrol: Ang driver na sumusubok na mag-overtake ay maaaring maling isipin ang distansya o bilis ng paparating na trapiko, na humahantong sa pagkawala ng kontrol at mga potensyal na "&amp;"aksidente.
Mga Parusa: Ang partikular na parusa para sa pag-overtake sa isang kurba ay maaaring mag-iba depende sa sitwasyon at pagpapasya ng opisyal ng paghuli. Gayunpaman, karaniwan itong nagsasangkot ng multa at maaaring humantong sa iba pang mga kahi"&amp;"hinatnan tulad ng:
Mga demerit point: Mga puntos na idinaragdag sa lisensya sa pagmamaneho, na maaaring humantong sa pagsususpinde kung makaipon sila ng isang tiyak na numero.
Pag-impound ng sasakyan: Sa matinding kaso, maaaring ma-impound ang sasakyan."&amp;"
Pag-overtake sa isang Pedestrian Lane:
Mahigpit na Ipinagbabawal: Ang pag-overtake sa isang pedestrian lane ay mahigpit na ipinagbabawal sa Pilipinas. Ang mga pedestrian lane ay itinalaga para sa eksklusibong paggamit ng mga pedestrian, at ang pag-over"&amp;"take sa mga lane na ito ay naglalagay ng kanilang kaligtasan sa matinding panganib.
Mga Parusa: Ang parusa para sa pag-overtake sa isang pedestrian lane ay karaniwang isang multa. Maaaring mag-iba ang eksaktong halaga depende sa partikular na lokasyon at"&amp;" awtoridad sa paghuli.")</f>
        <v>Oo, ang isang driver sa Pilipinas ay maaaring pagmultahin para sa pag-overtake sa isang curve o sa isang pedestrian lane. Narito kung bakit:
Pag-overtake sa isang Curve:
Ilegal at Mapanganib: Ang pag-overtake sa isang kurba ay labag sa batas at itinuturing na lubhang mapanganib dahil makabuluhang binabawasan nito ang visibility para sa nag-overtake na sasakyan at pinapataas ang panganib ng:
Head-on collisions: Dahil sa limitadong visibility, maaaring hindi makita ng mga driver ang paparating na trapiko sa paligid ng liko, na humahantong sa head-on collisions.
Pagkawala ng kontrol: Ang driver na sumusubok na mag-overtake ay maaaring maling isipin ang distansya o bilis ng paparating na trapiko, na humahantong sa pagkawala ng kontrol at mga potensyal na aksidente.
Mga Parusa: Ang partikular na parusa para sa pag-overtake sa isang kurba ay maaaring mag-iba depende sa sitwasyon at pagpapasya ng opisyal ng paghuli. Gayunpaman, karaniwan itong nagsasangkot ng multa at maaaring humantong sa iba pang mga kahihinatnan tulad ng:
Mga demerit point: Mga puntos na idinaragdag sa lisensya sa pagmamaneho, na maaaring humantong sa pagsususpinde kung makaipon sila ng isang tiyak na numero.
Pag-impound ng sasakyan: Sa matinding kaso, maaaring ma-impound ang sasakyan.
Pag-overtake sa isang Pedestrian Lane:
Mahigpit na Ipinagbabawal: Ang pag-overtake sa isang pedestrian lane ay mahigpit na ipinagbabawal sa Pilipinas. Ang mga pedestrian lane ay itinalaga para sa eksklusibong paggamit ng mga pedestrian, at ang pag-overtake sa mga lane na ito ay naglalagay ng kanilang kaligtasan sa matinding panganib.
Mga Parusa: Ang parusa para sa pag-overtake sa isang pedestrian lane ay karaniwang isang multa. Maaaring mag-iba ang eksaktong halaga depende sa partikular na lokasyon at awtoridad sa paghuli.</v>
      </c>
      <c r="F1458" s="2">
        <f t="shared" si="1"/>
        <v>0</v>
      </c>
      <c r="G1458" s="2"/>
      <c r="H1458" s="2"/>
      <c r="I1458" s="2"/>
      <c r="J1458" s="2"/>
      <c r="K1458" s="2"/>
      <c r="L1458" s="2"/>
      <c r="M1458" s="2"/>
      <c r="N1458" s="2"/>
      <c r="O1458" s="2"/>
      <c r="P1458" s="2"/>
      <c r="Q1458" s="2"/>
      <c r="R1458" s="2"/>
      <c r="S1458" s="2"/>
      <c r="T1458" s="2"/>
      <c r="U1458" s="2"/>
      <c r="V1458" s="2"/>
      <c r="W1458" s="2"/>
      <c r="X1458" s="2"/>
      <c r="Y1458" s="2"/>
      <c r="Z1458" s="2"/>
      <c r="AA1458" s="2"/>
    </row>
    <row r="1459">
      <c r="A1459" s="3" t="s">
        <v>3972</v>
      </c>
      <c r="B1459" s="1" t="s">
        <v>4083</v>
      </c>
      <c r="C1459" s="1" t="s">
        <v>4084</v>
      </c>
      <c r="D1459" s="2" t="str">
        <f>IFERROR(__xludf.DUMMYFUNCTION("GOOGLETRANSLATE(B1459, ""en"", ""TL"")"),"Ano ang parusa para sa pagpapatakbo ng sasakyan nang walang valid na sertipiko ng pagpapalabas?")</f>
        <v>Ano ang parusa para sa pagpapatakbo ng sasakyan nang walang valid na sertipiko ng pagpapalabas?</v>
      </c>
      <c r="E1459" s="2" t="str">
        <f>IFERROR(__xludf.DUMMYFUNCTION("GOOGLETRANSLATE(C1459, ""en"", ""TL"")"),"Unang paglabag = Php 2,000. Pangalawang paglabag = Php 3,000 + 90 araw ng suspensiyon ng driver's permit. Ikatlong pagkakasala at nagresultang pagkakasala= Php 10,000 + isang kalahating taon na suspensiyon ng driver's permit.")</f>
        <v>Unang paglabag = Php 2,000. Pangalawang paglabag = Php 3,000 + 90 araw ng suspensiyon ng driver's permit. Ikatlong pagkakasala at nagresultang pagkakasala= Php 10,000 + isang kalahating taon na suspensiyon ng driver's permit.</v>
      </c>
      <c r="F1459" s="2">
        <f t="shared" si="1"/>
        <v>0</v>
      </c>
      <c r="G1459" s="2"/>
      <c r="H1459" s="2"/>
      <c r="I1459" s="2"/>
      <c r="J1459" s="2"/>
      <c r="K1459" s="2"/>
      <c r="L1459" s="2"/>
      <c r="M1459" s="2"/>
      <c r="N1459" s="2"/>
      <c r="O1459" s="2"/>
      <c r="P1459" s="2"/>
      <c r="Q1459" s="2"/>
      <c r="R1459" s="2"/>
      <c r="S1459" s="2"/>
      <c r="T1459" s="2"/>
      <c r="U1459" s="2"/>
      <c r="V1459" s="2"/>
      <c r="W1459" s="2"/>
      <c r="X1459" s="2"/>
      <c r="Y1459" s="2"/>
      <c r="Z1459" s="2"/>
      <c r="AA1459" s="2"/>
    </row>
    <row r="1460">
      <c r="A1460" s="3" t="s">
        <v>3972</v>
      </c>
      <c r="B1460" s="1" t="s">
        <v>4085</v>
      </c>
      <c r="C1460" s="1" t="s">
        <v>4086</v>
      </c>
      <c r="D1460" s="2" t="str">
        <f>IFERROR(__xludf.DUMMYFUNCTION("GOOGLETRANSLATE(B1460, ""en"", ""TL"")"),"Kailan legal na pumarada sa tulay o sa loob ng lagusan?")</f>
        <v>Kailan legal na pumarada sa tulay o sa loob ng lagusan?</v>
      </c>
      <c r="E1460" s="2" t="str">
        <f>IFERROR(__xludf.DUMMYFUNCTION("GOOGLETRANSLATE(C1460, ""en"", ""TL"")"),"Sa Pilipinas, ang **paradahan sa tulay o sa loob ng tunnel ay karaniwang ilegal. Narito kung bakit:
Mga Palatandaan at Marka ng Trapiko: Ang mga tulay at lagusan ay kadalasang may partikular na signage at mga markang nagbabawal sa paradahan. Kabilang dit"&amp;"o ang mga karatula na ""Walang Paradahan"", mga dilaw na linya sa mga gilid na nagsasaad ng ""Bawal Huminto, Bawal Nakatayo, Walang Paradahan"", at maging ang mga marka ng pavement tulad ng mga crosshatch o diagonal na linya na partikular na tumutukoy sa "&amp;"mga lugar kung saan hindi pinapayagan ang paghinto o paradahan. Ang pagsuway sa mga palatandaan at markang ito ay isang paglabag sa mga batas trapiko.
Mga Alalahanin sa Kaligtasan: Ang paradahan sa isang tulay o sa loob ng isang tunnel ay lumilikha ng il"&amp;"ang mga panganib sa kaligtasan, kabilang ang:
Sagabal sa daloy ng trapiko: Maaaring hadlangan ng mga nakaparadang sasakyan ang maayos na daloy ng trapiko, lalo na sa mga makitid na espasyo tulad ng mga tulay at lagusan.
Nakakahadlang sa mga sasakyang pa"&amp;"ng-emergency: Maaaring hadlangan ng mga nakaparadang sasakyan ang paggalaw ng mga sasakyang pang-emergency, na posibleng maantala ang mga oras ng kritikal na pagtugon.
Tumaas na panganib ng mga aksidente: Ang mga nakaparadang sasakyan ay maaaring lumikha"&amp;" ng mga blind spot at limitahan ang visibility para sa iba pang mga driver, na nagdaragdag ng panganib ng mga aksidente.
Mga Tukoy na Batas at Regulasyon: Bagama't maaaring walang isang pambansang batas na tahasang nagbabawal sa pagparada sa mga tulay at"&amp;" lagusan, ang iba't ibang mga regulasyon at ordinansa sa antas ng lokal na pamahalaan ay kadalasang nagpapatupad ng mga paghihigpit na ito. Halimbawa, partikular na ipinagbabawal ng Metropolitan Manila Development Authority (MMDA) sa Metro Manila ang pagp"&amp;"arada sa anumang tulay o lagusan na nasasakupan nito.")</f>
        <v>Sa Pilipinas, ang **paradahan sa tulay o sa loob ng tunnel ay karaniwang ilegal. Narito kung bakit:
Mga Palatandaan at Marka ng Trapiko: Ang mga tulay at lagusan ay kadalasang may partikular na signage at mga markang nagbabawal sa paradahan. Kabilang dito ang mga karatula na "Walang Paradahan", mga dilaw na linya sa mga gilid na nagsasaad ng "Bawal Huminto, Bawal Nakatayo, Walang Paradahan", at maging ang mga marka ng pavement tulad ng mga crosshatch o diagonal na linya na partikular na tumutukoy sa mga lugar kung saan hindi pinapayagan ang paghinto o paradahan. Ang pagsuway sa mga palatandaan at markang ito ay isang paglabag sa mga batas trapiko.
Mga Alalahanin sa Kaligtasan: Ang paradahan sa isang tulay o sa loob ng isang tunnel ay lumilikha ng ilang mga panganib sa kaligtasan, kabilang ang:
Sagabal sa daloy ng trapiko: Maaaring hadlangan ng mga nakaparadang sasakyan ang maayos na daloy ng trapiko, lalo na sa mga makitid na espasyo tulad ng mga tulay at lagusan.
Nakakahadlang sa mga sasakyang pang-emergency: Maaaring hadlangan ng mga nakaparadang sasakyan ang paggalaw ng mga sasakyang pang-emergency, na posibleng maantala ang mga oras ng kritikal na pagtugon.
Tumaas na panganib ng mga aksidente: Ang mga nakaparadang sasakyan ay maaaring lumikha ng mga blind spot at limitahan ang visibility para sa iba pang mga driver, na nagdaragdag ng panganib ng mga aksidente.
Mga Tukoy na Batas at Regulasyon: Bagama't maaaring walang isang pambansang batas na tahasang nagbabawal sa pagparada sa mga tulay at lagusan, ang iba't ibang mga regulasyon at ordinansa sa antas ng lokal na pamahalaan ay kadalasang nagpapatupad ng mga paghihigpit na ito. Halimbawa, partikular na ipinagbabawal ng Metropolitan Manila Development Authority (MMDA) sa Metro Manila ang pagparada sa anumang tulay o lagusan na nasasakupan nito.</v>
      </c>
      <c r="F1460" s="2">
        <f t="shared" si="1"/>
        <v>0</v>
      </c>
      <c r="G1460" s="2"/>
      <c r="H1460" s="2"/>
      <c r="I1460" s="2"/>
      <c r="J1460" s="2"/>
      <c r="K1460" s="2"/>
      <c r="L1460" s="2"/>
      <c r="M1460" s="2"/>
      <c r="N1460" s="2"/>
      <c r="O1460" s="2"/>
      <c r="P1460" s="2"/>
      <c r="Q1460" s="2"/>
      <c r="R1460" s="2"/>
      <c r="S1460" s="2"/>
      <c r="T1460" s="2"/>
      <c r="U1460" s="2"/>
      <c r="V1460" s="2"/>
      <c r="W1460" s="2"/>
      <c r="X1460" s="2"/>
      <c r="Y1460" s="2"/>
      <c r="Z1460" s="2"/>
      <c r="AA1460" s="2"/>
    </row>
    <row r="1461">
      <c r="A1461" s="3" t="s">
        <v>3972</v>
      </c>
      <c r="B1461" s="1" t="s">
        <v>4087</v>
      </c>
      <c r="C1461" s="1" t="s">
        <v>4088</v>
      </c>
      <c r="D1461" s="2" t="str">
        <f>IFERROR(__xludf.DUMMYFUNCTION("GOOGLETRANSLATE(B1461, ""en"", ""TL"")"),"Ano ang parusa sa paggamit ng peke o hindi awtorisadong plaka ng lisensya?")</f>
        <v>Ano ang parusa sa paggamit ng peke o hindi awtorisadong plaka ng lisensya?</v>
      </c>
      <c r="E1461" s="2" t="str">
        <f>IFERROR(__xludf.DUMMYFUNCTION("GOOGLETRANSLATE(C1461, ""en"", ""TL"")"),"Ang pagmamaneho ng sasakyan nang walang naaangkop at awtorisadong kagamitan, accessories, o piyesa ay may parusang P2,000 sa unang pagkakasala, P3,000 sa pangalawa, at P10,000 sa ikatlo. Ang pagmamaneho ng kotse na may hindi awtorisado o hindi wastong pag"&amp;"kakabit ng plaka ng sasakyan ay may parusang P5,000.")</f>
        <v>Ang pagmamaneho ng sasakyan nang walang naaangkop at awtorisadong kagamitan, accessories, o piyesa ay may parusang P2,000 sa unang pagkakasala, P3,000 sa pangalawa, at P10,000 sa ikatlo. Ang pagmamaneho ng kotse na may hindi awtorisado o hindi wastong pagkakabit ng plaka ng sasakyan ay may parusang P5,000.</v>
      </c>
      <c r="F1461" s="2">
        <f t="shared" si="1"/>
        <v>0</v>
      </c>
      <c r="G1461" s="2"/>
      <c r="H1461" s="2"/>
      <c r="I1461" s="2"/>
      <c r="J1461" s="2"/>
      <c r="K1461" s="2"/>
      <c r="L1461" s="2"/>
      <c r="M1461" s="2"/>
      <c r="N1461" s="2"/>
      <c r="O1461" s="2"/>
      <c r="P1461" s="2"/>
      <c r="Q1461" s="2"/>
      <c r="R1461" s="2"/>
      <c r="S1461" s="2"/>
      <c r="T1461" s="2"/>
      <c r="U1461" s="2"/>
      <c r="V1461" s="2"/>
      <c r="W1461" s="2"/>
      <c r="X1461" s="2"/>
      <c r="Y1461" s="2"/>
      <c r="Z1461" s="2"/>
      <c r="AA1461" s="2"/>
    </row>
    <row r="1462">
      <c r="A1462" s="3" t="s">
        <v>3972</v>
      </c>
      <c r="B1462" s="1" t="s">
        <v>4089</v>
      </c>
      <c r="C1462" s="1" t="s">
        <v>4090</v>
      </c>
      <c r="D1462" s="2" t="str">
        <f>IFERROR(__xludf.DUMMYFUNCTION("GOOGLETRANSLATE(B1462, ""en"", ""TL"")"),"Ano ang legal na limitasyon para sa antas ng ingay na ginawa ng sistema ng tambutso ng sasakyan?")</f>
        <v>Ano ang legal na limitasyon para sa antas ng ingay na ginawa ng sistema ng tambutso ng sasakyan?</v>
      </c>
      <c r="E1462" s="2" t="str">
        <f>IFERROR(__xludf.DUMMYFUNCTION("GOOGLETRANSLATE(C1462, ""en"", ""TL"")"),"Sa Pilipinas, ang legal na limitasyon para sa antas ng ingay na ginawa ng sistema ng tambutso ng sasakyan ay nakasalalay sa uri ng sasakyan at sa lokasyon kung saan isinagawa ang pagsukat:
Pambansang Pamantayan:
Ang Memorandum Circular No: 2020-2240 na in"&amp;"isyu ng Land Transportation Office (LTO) ay nagtatakda ng pambansang pamantayan para sa pinakamataas na antas ng tunog ng sistema ng tambutso ng sasakyan sa 99 decibels (dB). Nalalapat ito sa lahat ng sasakyang de-motor, kabilang ang mga kotse at motorsik"&amp;"lo, sa bilis ng makina na 2,000 hanggang 2,500 rpm.
Mga Lokal na Ordenansa:
Ang mas mahigpit na limitasyon ay maaaring ipatupad sa ilang lokalidad sa pamamagitan ng mga partikular na ordinansa na ipinasa ng kani-kanilang local government units (LGUs). Ang"&amp;" mga ordinansang ito ay maaaring magtakda ng mas mababang mga limitasyon sa antas ng ingay kumpara sa pambansang pamantayan.
Halimbawa, ang Cebu City ay may ordinansa na nangangailangan ng maximum sound level na 84 dB para sa mga sasakyang de-motor mula 7"&amp;" pm hanggang 5 am [Source: The Freeman].
Ang Pasay City ay mayroon ding ordinansa na nagbabawal sa paggamit ng modified tailpipes na lumalagpas sa 99 dB [Source: The Freeman].
Samakatuwid, ang legal na limitasyon para sa antas ng ingay ng sistema ng tambu"&amp;"tso ng sasakyan sa Pilipinas ay maaaring mag-iba depende sa:
Uri ng sasakyan: Suriin ang mga partikular na regulasyon para sa mga kotse, motorsiklo, o iba pang uri ng sasakyan.
Lokasyon: Magkaroon ng kamalayan sa anumang lokal na ordinansa sa lugar kung s"&amp;"aan ka nagmamaneho.")</f>
        <v>Sa Pilipinas, ang legal na limitasyon para sa antas ng ingay na ginawa ng sistema ng tambutso ng sasakyan ay nakasalalay sa uri ng sasakyan at sa lokasyon kung saan isinagawa ang pagsukat:
Pambansang Pamantayan:
Ang Memorandum Circular No: 2020-2240 na inisyu ng Land Transportation Office (LTO) ay nagtatakda ng pambansang pamantayan para sa pinakamataas na antas ng tunog ng sistema ng tambutso ng sasakyan sa 99 decibels (dB). Nalalapat ito sa lahat ng sasakyang de-motor, kabilang ang mga kotse at motorsiklo, sa bilis ng makina na 2,000 hanggang 2,500 rpm.
Mga Lokal na Ordenansa:
Ang mas mahigpit na limitasyon ay maaaring ipatupad sa ilang lokalidad sa pamamagitan ng mga partikular na ordinansa na ipinasa ng kani-kanilang local government units (LGUs). Ang mga ordinansang ito ay maaaring magtakda ng mas mababang mga limitasyon sa antas ng ingay kumpara sa pambansang pamantayan.
Halimbawa, ang Cebu City ay may ordinansa na nangangailangan ng maximum sound level na 84 dB para sa mga sasakyang de-motor mula 7 pm hanggang 5 am [Source: The Freeman].
Ang Pasay City ay mayroon ding ordinansa na nagbabawal sa paggamit ng modified tailpipes na lumalagpas sa 99 dB [Source: The Freeman].
Samakatuwid, ang legal na limitasyon para sa antas ng ingay ng sistema ng tambutso ng sasakyan sa Pilipinas ay maaaring mag-iba depende sa:
Uri ng sasakyan: Suriin ang mga partikular na regulasyon para sa mga kotse, motorsiklo, o iba pang uri ng sasakyan.
Lokasyon: Magkaroon ng kamalayan sa anumang lokal na ordinansa sa lugar kung saan ka nagmamaneho.</v>
      </c>
      <c r="F1462" s="2">
        <f t="shared" si="1"/>
        <v>0</v>
      </c>
      <c r="G1462" s="2"/>
      <c r="H1462" s="2"/>
      <c r="I1462" s="2"/>
      <c r="J1462" s="2"/>
      <c r="K1462" s="2"/>
      <c r="L1462" s="2"/>
      <c r="M1462" s="2"/>
      <c r="N1462" s="2"/>
      <c r="O1462" s="2"/>
      <c r="P1462" s="2"/>
      <c r="Q1462" s="2"/>
      <c r="R1462" s="2"/>
      <c r="S1462" s="2"/>
      <c r="T1462" s="2"/>
      <c r="U1462" s="2"/>
      <c r="V1462" s="2"/>
      <c r="W1462" s="2"/>
      <c r="X1462" s="2"/>
      <c r="Y1462" s="2"/>
      <c r="Z1462" s="2"/>
      <c r="AA1462" s="2"/>
    </row>
    <row r="1463">
      <c r="A1463" s="3" t="s">
        <v>3972</v>
      </c>
      <c r="B1463" s="1" t="s">
        <v>4091</v>
      </c>
      <c r="C1463" s="1" t="s">
        <v>4092</v>
      </c>
      <c r="D1463" s="2" t="str">
        <f>IFERROR(__xludf.DUMMYFUNCTION("GOOGLETRANSLATE(B1463, ""en"", ""TL"")"),"Maaari bang pagmultahin ang isang tsuper sa pagtatapon ng basura sa kalsada habang nagmamaneho?")</f>
        <v>Maaari bang pagmultahin ang isang tsuper sa pagtatapon ng basura sa kalsada habang nagmamaneho?</v>
      </c>
      <c r="E1463" s="2" t="str">
        <f>IFERROR(__xludf.DUMMYFUNCTION("GOOGLETRANSLATE(C1463, ""en"", ""TL"")"),"Tunay ngang labag sa batas para sa isang tsuper na magtapon ng basura sa kalsada habang nagpapatakbo ng sasakyan sa Pilipinas. Ang mga batas at regulasyon na nauukol sa kapaligiran ay sinasabing nilalabag sa pamamagitan ng pagtatapon ng basura. Ang mga ka"&amp;"ukulang parusa ay ang mga sumusunod:
Pagtatapon ng basura o Pagtatapon ng Basura: Ang mga sumusunod na parusa ay maaaring ipataw sa sinuman na, bilang isang motorista o pedestrian, ay nagtatapon ng basura, mga labi, o iba pang basura sa mga pampublikong l"&amp;"ugar tulad ng mga kalye, kanal, parke, o esteros:
Unang Pagkakasala: Sa pagpapasya ng korte, ang multang hindi bababa sa ₱100 o higit sa ₱2,000, o pagkakulong ng hindi bababa sa limang araw o higit sa isang taon, ay maaaring ipataw.
Para sa pangalawang pa"&amp;"gkakasala, maaaring piliin ng korte na magpataw ng multang hindi bababa sa ₱1,000 o higit sa ₱1,500, o magpataw ng sentensiya ng pagkakulong na hindi bababa sa 10 araw o higit sa 30 araw, o pareho.
Para sa ikatlong pagkakasala, maaaring piliin ng korte na"&amp;" magpataw ng multang hindi bababa sa ₱1,500 o higit pa sa ₱2,000, o magpataw ng sentensiya ng pagkakulong na hindi bababa sa 20 araw o higit sa 30 araw, o pareho.
Higit pa rito, ang naaangkop na pamamahala ng basura at pangangalaga sa kapaligiran ay ang m"&amp;"ga layunin ng Ecological Solid Waste Management Act of 2000 (R.A. 9003). Itinataguyod nito ang angkop na pagtatapon ng basura at ipinagbabawal ang magkalat. Upang mapangalagaan ang malinis at environment friendly na kapaligiran, dapat iwasan ng mga motori"&amp;"sta ang pagtatapon ng basura sa kalsada.")</f>
        <v>Tunay ngang labag sa batas para sa isang tsuper na magtapon ng basura sa kalsada habang nagpapatakbo ng sasakyan sa Pilipinas. Ang mga batas at regulasyon na nauukol sa kapaligiran ay sinasabing nilalabag sa pamamagitan ng pagtatapon ng basura. Ang mga kaukulang parusa ay ang mga sumusunod:
Pagtatapon ng basura o Pagtatapon ng Basura: Ang mga sumusunod na parusa ay maaaring ipataw sa sinuman na, bilang isang motorista o pedestrian, ay nagtatapon ng basura, mga labi, o iba pang basura sa mga pampublikong lugar tulad ng mga kalye, kanal, parke, o esteros:
Unang Pagkakasala: Sa pagpapasya ng korte, ang multang hindi bababa sa ₱100 o higit sa ₱2,000, o pagkakulong ng hindi bababa sa limang araw o higit sa isang taon, ay maaaring ipataw.
Para sa pangalawang pagkakasala, maaaring piliin ng korte na magpataw ng multang hindi bababa sa ₱1,000 o higit sa ₱1,500, o magpataw ng sentensiya ng pagkakulong na hindi bababa sa 10 araw o higit sa 30 araw, o pareho.
Para sa ikatlong pagkakasala, maaaring piliin ng korte na magpataw ng multang hindi bababa sa ₱1,500 o higit pa sa ₱2,000, o magpataw ng sentensiya ng pagkakulong na hindi bababa sa 20 araw o higit sa 30 araw, o pareho.
Higit pa rito, ang naaangkop na pamamahala ng basura at pangangalaga sa kapaligiran ay ang mga layunin ng Ecological Solid Waste Management Act of 2000 (R.A. 9003). Itinataguyod nito ang angkop na pagtatapon ng basura at ipinagbabawal ang magkalat. Upang mapangalagaan ang malinis at environment friendly na kapaligiran, dapat iwasan ng mga motorista ang pagtatapon ng basura sa kalsada.</v>
      </c>
      <c r="F1463" s="2">
        <f t="shared" si="1"/>
        <v>0</v>
      </c>
      <c r="G1463" s="2"/>
      <c r="H1463" s="2"/>
      <c r="I1463" s="2"/>
      <c r="J1463" s="2"/>
      <c r="K1463" s="2"/>
      <c r="L1463" s="2"/>
      <c r="M1463" s="2"/>
      <c r="N1463" s="2"/>
      <c r="O1463" s="2"/>
      <c r="P1463" s="2"/>
      <c r="Q1463" s="2"/>
      <c r="R1463" s="2"/>
      <c r="S1463" s="2"/>
      <c r="T1463" s="2"/>
      <c r="U1463" s="2"/>
      <c r="V1463" s="2"/>
      <c r="W1463" s="2"/>
      <c r="X1463" s="2"/>
      <c r="Y1463" s="2"/>
      <c r="Z1463" s="2"/>
      <c r="AA1463" s="2"/>
    </row>
    <row r="1464">
      <c r="A1464" s="3" t="s">
        <v>3972</v>
      </c>
      <c r="B1464" s="1" t="s">
        <v>4093</v>
      </c>
      <c r="C1464" s="1" t="s">
        <v>4094</v>
      </c>
      <c r="D1464" s="2" t="str">
        <f>IFERROR(__xludf.DUMMYFUNCTION("GOOGLETRANSLATE(B1464, ""en"", ""TL"")"),"Ano ang parusa sa pagmamaneho na may bukas na lalagyan ng mga inuming nakalalasing?")</f>
        <v>Ano ang parusa sa pagmamaneho na may bukas na lalagyan ng mga inuming nakalalasing?</v>
      </c>
      <c r="E1464" s="2" t="str">
        <f>IFERROR(__xludf.DUMMYFUNCTION("GOOGLETRANSLATE(C1464, ""en"", ""TL"")"),"Bagama't walang partikular na batas sa Pilipinas na tahasang nagbabawal sa pagmamaneho na may bukas na lalagyan ng mga inuming nakalalasing, tinutugunan ng mga katulad na regulasyon ang sitwasyong ito:
1. Republic Act No. 10586 (Anti-Drunk and Drugged Dri"&amp;"ving Act of 2013):
Nakatuon ang batas na ito sa pagmamaneho sa ilalim ng impluwensya ng alkohol (DUIA) at nagtatakda ng mga parusa batay sa antas ng blood alcohol concentration (BAC) ng driver. Gayunpaman, hindi direktang hindi nito hinihikayat ang pagkak"&amp;"aroon ng mga bukas na lalagyan sa sasakyan:
Nakasaad sa Seksyon 15 na ang pag-inom ng mga inuming nakalalasing habang nagmamaneho ay ipinagbabawal. Ang pagkakaroon ng isang bukas na lalagyan ng alkohol sa agarang maabot ng driver ay malakas na nagmumungka"&amp;"hi ng pagkonsumo, pagtaas ng posibilidad na mapaghihinalaan ng DUIA at sumailalim sa breathalyzer testing.
2. Land Transportation Office (LTO) Memorandum Circular No. 2016-001:
Ang memorandum na ito, bagama't hindi direktang nauugnay sa mga bukas na lalag"&amp;"yan, ay nagbibigay ng kapangyarihan sa mga tauhan ng LTO na hulihin ang mga driver para sa ""hindi tamang pag-uugali"" habang nagmamaneho. Ang pagkakaroon ng bukas na lalagyan ng alak habang nagmamaneho ay maaaring ituring na hindi wastong pag-uugali sa p"&amp;"agpapasya ng opisyal, na posibleng humantong sa:
Babala o pagsipi: Maaaring maglabas ang opisyal ng babala o pagsipi para sa hindi wastong pag-uugali, na posibleng may kinalaman sa multa.
Karagdagang pagsisiyasat: Sa mas malalang mga kaso, maaaring magsag"&amp;"awa ang opisyal ng karagdagang pagsisiyasat upang matukoy kung pinaghihinalaan ang DUIA, na humahantong sa potensyal na pagsusuri sa breathalyzer at mga kaugnay na parusa.
Samakatuwid, bagama't walang iisang batas na direktang tumutugon sa mga bukas na la"&amp;"lagyan, ang kumbinasyon ng mga regulasyon ng DUIA at ang awtoridad ng LTO sa ""hindi tamang pag-uugali"" ay lubos na hindi hinihikayat ang pagkakaroon ng mga bukas na inuming may alkohol sa isang sasakyan habang nagmamaneho sa Pilipinas.")</f>
        <v>Bagama't walang partikular na batas sa Pilipinas na tahasang nagbabawal sa pagmamaneho na may bukas na lalagyan ng mga inuming nakalalasing, tinutugunan ng mga katulad na regulasyon ang sitwasyong ito:
1. Republic Act No. 10586 (Anti-Drunk and Drugged Driving Act of 2013):
Nakatuon ang batas na ito sa pagmamaneho sa ilalim ng impluwensya ng alkohol (DUIA) at nagtatakda ng mga parusa batay sa antas ng blood alcohol concentration (BAC) ng driver. Gayunpaman, hindi direktang hindi nito hinihikayat ang pagkakaroon ng mga bukas na lalagyan sa sasakyan:
Nakasaad sa Seksyon 15 na ang pag-inom ng mga inuming nakalalasing habang nagmamaneho ay ipinagbabawal. Ang pagkakaroon ng isang bukas na lalagyan ng alkohol sa agarang maabot ng driver ay malakas na nagmumungkahi ng pagkonsumo, pagtaas ng posibilidad na mapaghihinalaan ng DUIA at sumailalim sa breathalyzer testing.
2. Land Transportation Office (LTO) Memorandum Circular No. 2016-001:
Ang memorandum na ito, bagama't hindi direktang nauugnay sa mga bukas na lalagyan, ay nagbibigay ng kapangyarihan sa mga tauhan ng LTO na hulihin ang mga driver para sa "hindi tamang pag-uugali" habang nagmamaneho. Ang pagkakaroon ng bukas na lalagyan ng alak habang nagmamaneho ay maaaring ituring na hindi wastong pag-uugali sa pagpapasya ng opisyal, na posibleng humantong sa:
Babala o pagsipi: Maaaring maglabas ang opisyal ng babala o pagsipi para sa hindi wastong pag-uugali, na posibleng may kinalaman sa multa.
Karagdagang pagsisiyasat: Sa mas malalang mga kaso, maaaring magsagawa ang opisyal ng karagdagang pagsisiyasat upang matukoy kung pinaghihinalaan ang DUIA, na humahantong sa potensyal na pagsusuri sa breathalyzer at mga kaugnay na parusa.
Samakatuwid, bagama't walang iisang batas na direktang tumutugon sa mga bukas na lalagyan, ang kumbinasyon ng mga regulasyon ng DUIA at ang awtoridad ng LTO sa "hindi tamang pag-uugali" ay lubos na hindi hinihikayat ang pagkakaroon ng mga bukas na inuming may alkohol sa isang sasakyan habang nagmamaneho sa Pilipinas.</v>
      </c>
      <c r="F1464" s="2">
        <f t="shared" si="1"/>
        <v>1</v>
      </c>
      <c r="G1464" s="2"/>
      <c r="H1464" s="2"/>
      <c r="I1464" s="2"/>
      <c r="J1464" s="2"/>
      <c r="K1464" s="2"/>
      <c r="L1464" s="2"/>
      <c r="M1464" s="2"/>
      <c r="N1464" s="2"/>
      <c r="O1464" s="2"/>
      <c r="P1464" s="2"/>
      <c r="Q1464" s="2"/>
      <c r="R1464" s="2"/>
      <c r="S1464" s="2"/>
      <c r="T1464" s="2"/>
      <c r="U1464" s="2"/>
      <c r="V1464" s="2"/>
      <c r="W1464" s="2"/>
      <c r="X1464" s="2"/>
      <c r="Y1464" s="2"/>
      <c r="Z1464" s="2"/>
      <c r="AA1464" s="2"/>
    </row>
    <row r="1465">
      <c r="A1465" s="3" t="s">
        <v>3972</v>
      </c>
      <c r="B1465" s="1" t="s">
        <v>4095</v>
      </c>
      <c r="C1465" s="1" t="s">
        <v>4096</v>
      </c>
      <c r="D1465" s="2" t="str">
        <f>IFERROR(__xludf.DUMMYFUNCTION("GOOGLETRANSLATE(B1465, ""en"", ""TL"")"),"Kailan pinapayagang magmaneho nang nakabukas ang mga hazard lights?")</f>
        <v>Kailan pinapayagang magmaneho nang nakabukas ang mga hazard lights?</v>
      </c>
      <c r="E1465" s="2" t="str">
        <f>IFERROR(__xludf.DUMMYFUNCTION("GOOGLETRANSLATE(C1465, ""en"", ""TL"")"),"Mayroong ilang mga sitwasyon sa Pilipinas kung saan ang paggamit ng mga hazard light ay katanggap-tanggap. Magsiyasat tayo kapag ito ay may katuturan:
Pagkasira ng Sasakyan o Aksidente: Kung ang iyong sasakyan ay nasira o nasangkot sa isang aksidente a"&amp;"t hindi mo ito maigalaw kaagad, maaari mong buksan ang iyong mga hazard lights. Kapag nangyari ito, ang mga ilaw ng panganib ay nag-aalerto sa ibang mga driver sa iyong presensya bilang isang potensyal na panganib at pinapayuhan silang lumapit nang mabuti"&amp;" sa iyong sasakyan.
Nalalapit na panganib: Maaari kang gumamit ng mga ilaw ng babala upang alertuhan ang iba pang mga driver ng isang paparating na panganib. Kapag ang visibility ay makabuluhang nabawasan dahil sa malakas na ulan, hamog na ulap, o usok, "&amp;"halimbawa, ang pag-on ng mga ilaw ng babala ay maaaring magbigay ng babala sa ibang mga driver ng potensyal na panganib.")</f>
        <v>Mayroong ilang mga sitwasyon sa Pilipinas kung saan ang paggamit ng mga hazard light ay katanggap-tanggap. Magsiyasat tayo kapag ito ay may katuturan:
Pagkasira ng Sasakyan o Aksidente: Kung ang iyong sasakyan ay nasira o nasangkot sa isang aksidente at hindi mo ito maigalaw kaagad, maaari mong buksan ang iyong mga hazard lights. Kapag nangyari ito, ang mga ilaw ng panganib ay nag-aalerto sa ibang mga driver sa iyong presensya bilang isang potensyal na panganib at pinapayuhan silang lumapit nang mabuti sa iyong sasakyan.
Nalalapit na panganib: Maaari kang gumamit ng mga ilaw ng babala upang alertuhan ang iba pang mga driver ng isang paparating na panganib. Kapag ang visibility ay makabuluhang nabawasan dahil sa malakas na ulan, hamog na ulap, o usok, halimbawa, ang pag-on ng mga ilaw ng babala ay maaaring magbigay ng babala sa ibang mga driver ng potensyal na panganib.</v>
      </c>
      <c r="F1465" s="2">
        <f t="shared" si="1"/>
        <v>0</v>
      </c>
      <c r="G1465" s="2"/>
      <c r="H1465" s="2"/>
      <c r="I1465" s="2"/>
      <c r="J1465" s="2"/>
      <c r="K1465" s="2"/>
      <c r="L1465" s="2"/>
      <c r="M1465" s="2"/>
      <c r="N1465" s="2"/>
      <c r="O1465" s="2"/>
      <c r="P1465" s="2"/>
      <c r="Q1465" s="2"/>
      <c r="R1465" s="2"/>
      <c r="S1465" s="2"/>
      <c r="T1465" s="2"/>
      <c r="U1465" s="2"/>
      <c r="V1465" s="2"/>
      <c r="W1465" s="2"/>
      <c r="X1465" s="2"/>
      <c r="Y1465" s="2"/>
      <c r="Z1465" s="2"/>
      <c r="AA1465" s="2"/>
    </row>
    <row r="1466">
      <c r="A1466" s="3" t="s">
        <v>3972</v>
      </c>
      <c r="B1466" s="1" t="s">
        <v>4097</v>
      </c>
      <c r="C1466" s="1" t="s">
        <v>4098</v>
      </c>
      <c r="D1466" s="2" t="str">
        <f>IFERROR(__xludf.DUMMYFUNCTION("GOOGLETRANSLATE(B1466, ""en"", ""TL"")"),"Ano ang parusa sa pagmamaneho ng motorsiklo nang walang kinakailangang headlights at taillights?")</f>
        <v>Ano ang parusa sa pagmamaneho ng motorsiklo nang walang kinakailangang headlights at taillights?</v>
      </c>
      <c r="E1466" s="2" t="str">
        <f>IFERROR(__xludf.DUMMYFUNCTION("GOOGLETRANSLATE(C1466, ""en"", ""TL"")"),"Pilipinas, ang pagmamaneho ng motorsiklo nang walang kinakailangang headlight at taillights ay nasa ilalim ng kategoryang ""defective/improper/unauthorized accessories, devices, equipment, and parts"" ayon sa Land Transportation Office (LTO). Ang parusa p"&amp;"ara sa paglabag na ito ay ₱5,000 na multa para sa unang paglabag.")</f>
        <v>Pilipinas, ang pagmamaneho ng motorsiklo nang walang kinakailangang headlight at taillights ay nasa ilalim ng kategoryang "defective/improper/unauthorized accessories, devices, equipment, and parts" ayon sa Land Transportation Office (LTO). Ang parusa para sa paglabag na ito ay ₱5,000 na multa para sa unang paglabag.</v>
      </c>
      <c r="F1466" s="2">
        <f t="shared" si="1"/>
        <v>0</v>
      </c>
      <c r="G1466" s="2"/>
      <c r="H1466" s="2"/>
      <c r="I1466" s="2"/>
      <c r="J1466" s="2"/>
      <c r="K1466" s="2"/>
      <c r="L1466" s="2"/>
      <c r="M1466" s="2"/>
      <c r="N1466" s="2"/>
      <c r="O1466" s="2"/>
      <c r="P1466" s="2"/>
      <c r="Q1466" s="2"/>
      <c r="R1466" s="2"/>
      <c r="S1466" s="2"/>
      <c r="T1466" s="2"/>
      <c r="U1466" s="2"/>
      <c r="V1466" s="2"/>
      <c r="W1466" s="2"/>
      <c r="X1466" s="2"/>
      <c r="Y1466" s="2"/>
      <c r="Z1466" s="2"/>
      <c r="AA1466" s="2"/>
    </row>
    <row r="1467">
      <c r="A1467" s="3" t="s">
        <v>3972</v>
      </c>
      <c r="B1467" s="1" t="s">
        <v>4099</v>
      </c>
      <c r="C1467" s="1" t="s">
        <v>4100</v>
      </c>
      <c r="D1467" s="2" t="str">
        <f>IFERROR(__xludf.DUMMYFUNCTION("GOOGLETRANSLATE(B1467, ""en"", ""TL"")"),"Ano ang multa sa pagmamaneho ng motorsiklo na may higit sa dalawang pasahero?")</f>
        <v>Ano ang multa sa pagmamaneho ng motorsiklo na may higit sa dalawang pasahero?</v>
      </c>
      <c r="E1467" s="2" t="str">
        <f>IFERROR(__xludf.DUMMYFUNCTION("GOOGLETRANSLATE(C1467, ""en"", ""TL"")"),"Ang tsuper na lalabag sa batas na ito ay mahaharap sa multa na Php5,000 para sa unang paglabag at Php10,000 para sa mga susunod na paglabag. Para sa ikatlong paglabag, suspindihin ng tatlong buwan ang lisensya ng nagkasala at pagmumultahin sila ng Php15,0"&amp;"00.")</f>
        <v>Ang tsuper na lalabag sa batas na ito ay mahaharap sa multa na Php5,000 para sa unang paglabag at Php10,000 para sa mga susunod na paglabag. Para sa ikatlong paglabag, suspindihin ng tatlong buwan ang lisensya ng nagkasala at pagmumultahin sila ng Php15,000.</v>
      </c>
      <c r="F1467" s="2">
        <f t="shared" si="1"/>
        <v>1</v>
      </c>
      <c r="G1467" s="2"/>
      <c r="H1467" s="2"/>
      <c r="I1467" s="2"/>
      <c r="J1467" s="2"/>
      <c r="K1467" s="2"/>
      <c r="L1467" s="2"/>
      <c r="M1467" s="2"/>
      <c r="N1467" s="2"/>
      <c r="O1467" s="2"/>
      <c r="P1467" s="2"/>
      <c r="Q1467" s="2"/>
      <c r="R1467" s="2"/>
      <c r="S1467" s="2"/>
      <c r="T1467" s="2"/>
      <c r="U1467" s="2"/>
      <c r="V1467" s="2"/>
      <c r="W1467" s="2"/>
      <c r="X1467" s="2"/>
      <c r="Y1467" s="2"/>
      <c r="Z1467" s="2"/>
      <c r="AA1467" s="2"/>
    </row>
    <row r="1468">
      <c r="A1468" s="3" t="s">
        <v>3972</v>
      </c>
      <c r="B1468" s="1" t="s">
        <v>4101</v>
      </c>
      <c r="C1468" s="1" t="s">
        <v>4102</v>
      </c>
      <c r="D1468" s="2" t="str">
        <f>IFERROR(__xludf.DUMMYFUNCTION("GOOGLETRANSLATE(B1468, ""en"", ""TL"")"),"Maaari bang pagmultahin ang isang driver para sa hindi pagsuko sa isang pedestrian sa loob ng isang tawiran?")</f>
        <v>Maaari bang pagmultahin ang isang driver para sa hindi pagsuko sa isang pedestrian sa loob ng isang tawiran?</v>
      </c>
      <c r="E1468" s="2" t="str">
        <f>IFERROR(__xludf.DUMMYFUNCTION("GOOGLETRANSLATE(C1468, ""en"", ""TL"")"),"Oo, ang isang driver sa Pilipinas ay maaaring pagmultahin para sa hindi pagsuko sa isang pedestrian sa loob ng isang tawiran. Isa itong malubhang paglabag sa trapiko at maaaring magresulta sa mga parusa at potensyal na legal na epekto.
Narito kung bakit:"&amp;"
Ang Batas: Ang Land Transportation and Traffic Code (Republic Act No. 4136), partikular na ang Seksyon 42(c), ay malinaw na nagsasaad na ang mga driver ay dapat magbigay ng karapatan sa daan sa mga pedestrian na tumatawid sa kalsada sa loob ng anumang m"&amp;"arkadong tawiran o sa loob ng anumang walang markang tawiran sa isang intersection. Nangangahulugan ito na ang mga driver ay dapat huminto o magdahan-dahan upang payagan ang mga pedestrian na ligtas na tumawid sa kalsada.
Mga multa at Parusa: Ang hindi p"&amp;"agsuko sa isang pedestrian sa isang tawiran ay maaaring magresulta sa multa na ₱3,000. Bukod pa rito, depende sa mga partikular na pangyayari at pagpapasya ng opisyal ng paghuli, maaaring kabilang sa iba pang mga kahihinatnan ang:
Mga demerit point: Mga "&amp;"puntos na idinaragdag sa lisensya sa pagmamaneho, na maaaring humantong sa pagsususpinde kung makaipon sila ng isang tiyak na numero.
Pag-impound ng sasakyan: Sa matinding mga kaso, lalo na kung ang paglabag ay humantong sa isang aksidente, ang sasakyan "&amp;"ay maaaring ma-impound.
Napakahalaga para sa mga driver na palaging magbigay ng karapatan sa daan sa mga naglalakad sa mga tawiran, may marka o walang marka. Hindi lamang ito ang batas kundi ang etikal at responsableng bagay na dapat gawin upang matiyak "&amp;"ang kaligtasan ng mga pedestrian sa kalsada.")</f>
        <v>Oo, ang isang driver sa Pilipinas ay maaaring pagmultahin para sa hindi pagsuko sa isang pedestrian sa loob ng isang tawiran. Isa itong malubhang paglabag sa trapiko at maaaring magresulta sa mga parusa at potensyal na legal na epekto.
Narito kung bakit:
Ang Batas: Ang Land Transportation and Traffic Code (Republic Act No. 4136), partikular na ang Seksyon 42(c), ay malinaw na nagsasaad na ang mga driver ay dapat magbigay ng karapatan sa daan sa mga pedestrian na tumatawid sa kalsada sa loob ng anumang markadong tawiran o sa loob ng anumang walang markang tawiran sa isang intersection. Nangangahulugan ito na ang mga driver ay dapat huminto o magdahan-dahan upang payagan ang mga pedestrian na ligtas na tumawid sa kalsada.
Mga multa at Parusa: Ang hindi pagsuko sa isang pedestrian sa isang tawiran ay maaaring magresulta sa multa na ₱3,000. Bukod pa rito, depende sa mga partikular na pangyayari at pagpapasya ng opisyal ng paghuli, maaaring kabilang sa iba pang mga kahihinatnan ang:
Mga demerit point: Mga puntos na idinaragdag sa lisensya sa pagmamaneho, na maaaring humantong sa pagsususpinde kung makaipon sila ng isang tiyak na numero.
Pag-impound ng sasakyan: Sa matinding mga kaso, lalo na kung ang paglabag ay humantong sa isang aksidente, ang sasakyan ay maaaring ma-impound.
Napakahalaga para sa mga driver na palaging magbigay ng karapatan sa daan sa mga naglalakad sa mga tawiran, may marka o walang marka. Hindi lamang ito ang batas kundi ang etikal at responsableng bagay na dapat gawin upang matiyak ang kaligtasan ng mga pedestrian sa kalsada.</v>
      </c>
      <c r="F1468" s="2">
        <f t="shared" si="1"/>
        <v>0</v>
      </c>
      <c r="G1468" s="2"/>
      <c r="H1468" s="2"/>
      <c r="I1468" s="2"/>
      <c r="J1468" s="2"/>
      <c r="K1468" s="2"/>
      <c r="L1468" s="2"/>
      <c r="M1468" s="2"/>
      <c r="N1468" s="2"/>
      <c r="O1468" s="2"/>
      <c r="P1468" s="2"/>
      <c r="Q1468" s="2"/>
      <c r="R1468" s="2"/>
      <c r="S1468" s="2"/>
      <c r="T1468" s="2"/>
      <c r="U1468" s="2"/>
      <c r="V1468" s="2"/>
      <c r="W1468" s="2"/>
      <c r="X1468" s="2"/>
      <c r="Y1468" s="2"/>
      <c r="Z1468" s="2"/>
      <c r="AA1468" s="2"/>
    </row>
    <row r="1469">
      <c r="A1469" s="3" t="s">
        <v>3972</v>
      </c>
      <c r="B1469" s="1" t="s">
        <v>4103</v>
      </c>
      <c r="C1469" s="1" t="s">
        <v>4104</v>
      </c>
      <c r="D1469" s="2" t="str">
        <f>IFERROR(__xludf.DUMMYFUNCTION("GOOGLETRANSLATE(B1469, ""en"", ""TL"")"),"Ano ang parusa sa paggamit ng sungay sa isang tahimik na lugar?")</f>
        <v>Ano ang parusa sa paggamit ng sungay sa isang tahimik na lugar?</v>
      </c>
      <c r="E1469" s="2" t="str">
        <f>IFERROR(__xludf.DUMMYFUNCTION("GOOGLETRANSLATE(C1469, ""en"", ""TL"")"),"Ito ay ituturing na prima facie na patunay ng isang paglabag kung ito ay maririnig ng hindi bababa sa limampung talampakan mula sa lokasyon nito. Ang tao o negosyong nagpapatakbo nito ay papatawan ng P1,000 na multa, hanggang anim na buwang pagkakakulong,"&amp;" o pareho.")</f>
        <v>Ito ay ituturing na prima facie na patunay ng isang paglabag kung ito ay maririnig ng hindi bababa sa limampung talampakan mula sa lokasyon nito. Ang tao o negosyong nagpapatakbo nito ay papatawan ng P1,000 na multa, hanggang anim na buwang pagkakakulong, o pareho.</v>
      </c>
      <c r="F1469" s="2">
        <f t="shared" si="1"/>
        <v>0</v>
      </c>
      <c r="G1469" s="2"/>
      <c r="H1469" s="2"/>
      <c r="I1469" s="2"/>
      <c r="J1469" s="2"/>
      <c r="K1469" s="2"/>
      <c r="L1469" s="2"/>
      <c r="M1469" s="2"/>
      <c r="N1469" s="2"/>
      <c r="O1469" s="2"/>
      <c r="P1469" s="2"/>
      <c r="Q1469" s="2"/>
      <c r="R1469" s="2"/>
      <c r="S1469" s="2"/>
      <c r="T1469" s="2"/>
      <c r="U1469" s="2"/>
      <c r="V1469" s="2"/>
      <c r="W1469" s="2"/>
      <c r="X1469" s="2"/>
      <c r="Y1469" s="2"/>
      <c r="Z1469" s="2"/>
      <c r="AA1469" s="2"/>
    </row>
    <row r="1470">
      <c r="A1470" s="3" t="s">
        <v>3972</v>
      </c>
      <c r="B1470" s="1" t="s">
        <v>4105</v>
      </c>
      <c r="C1470" s="1" t="s">
        <v>4106</v>
      </c>
      <c r="D1470" s="2" t="str">
        <f>IFERROR(__xludf.DUMMYFUNCTION("GOOGLETRANSLATE(B1470, ""en"", ""TL"")"),"Kailan legal na dumaan sa kanang bahagi ng isa pang sasakyan?")</f>
        <v>Kailan legal na dumaan sa kanang bahagi ng isa pang sasakyan?</v>
      </c>
      <c r="E1470" s="2" t="str">
        <f>IFERROR(__xludf.DUMMYFUNCTION("GOOGLETRANSLATE(C1470, ""en"", ""TL"")"),"Sa Pilipinas, hindi tulad ng ibang mga bansa, ang pagdaan sa kanang bahagi ng isa pang sasakyan ay karaniwang hindi legal. Narito ang isang breakdown ng mga regulasyon:
Karaniwang Panuntunan:
Pagdaan sa Kaliwa: Ang Land Transportation and Traffic Code (Re"&amp;"public Act No. 4136), partikular na ang Seksyon 39, ay nag-uutos na ang pag-overtake o pagdaan sa isa pang sasakyan na tumutuloy sa parehong direksyon ay dapat gawin sa kaliwang bahagi ng highway. Kapag nakumpleto na ang pag-overtake, ang driver ay dapat "&amp;"na bumalik sa kanang lane kapag ito ay ligtas at malinaw.
Maaaring Pahintulutan ang Mga Pagbubukod Kapag Nagpasa sa Kanan:
Mayroong ilang limitadong mga sitwasyon kung saan maaaring pinahihintulutan ang pagpasa sa kanan, ngunit mahalagang lapitan ang mga "&amp;"sitwasyong ito nang may matinding pag-iingat at kung talagang ligtas na gawin ito.")</f>
        <v>Sa Pilipinas, hindi tulad ng ibang mga bansa, ang pagdaan sa kanang bahagi ng isa pang sasakyan ay karaniwang hindi legal. Narito ang isang breakdown ng mga regulasyon:
Karaniwang Panuntunan:
Pagdaan sa Kaliwa: Ang Land Transportation and Traffic Code (Republic Act No. 4136), partikular na ang Seksyon 39, ay nag-uutos na ang pag-overtake o pagdaan sa isa pang sasakyan na tumutuloy sa parehong direksyon ay dapat gawin sa kaliwang bahagi ng highway. Kapag nakumpleto na ang pag-overtake, ang driver ay dapat na bumalik sa kanang lane kapag ito ay ligtas at malinaw.
Maaaring Pahintulutan ang Mga Pagbubukod Kapag Nagpasa sa Kanan:
Mayroong ilang limitadong mga sitwasyon kung saan maaaring pinahihintulutan ang pagpasa sa kanan, ngunit mahalagang lapitan ang mga sitwasyong ito nang may matinding pag-iingat at kung talagang ligtas na gawin ito.</v>
      </c>
      <c r="F1470" s="2">
        <f t="shared" si="1"/>
        <v>0</v>
      </c>
      <c r="G1470" s="2"/>
      <c r="H1470" s="2"/>
      <c r="I1470" s="2"/>
      <c r="J1470" s="2"/>
      <c r="K1470" s="2"/>
      <c r="L1470" s="2"/>
      <c r="M1470" s="2"/>
      <c r="N1470" s="2"/>
      <c r="O1470" s="2"/>
      <c r="P1470" s="2"/>
      <c r="Q1470" s="2"/>
      <c r="R1470" s="2"/>
      <c r="S1470" s="2"/>
      <c r="T1470" s="2"/>
      <c r="U1470" s="2"/>
      <c r="V1470" s="2"/>
      <c r="W1470" s="2"/>
      <c r="X1470" s="2"/>
      <c r="Y1470" s="2"/>
      <c r="Z1470" s="2"/>
      <c r="AA1470" s="2"/>
    </row>
    <row r="1471">
      <c r="A1471" s="3" t="s">
        <v>3972</v>
      </c>
      <c r="B1471" s="1" t="s">
        <v>4107</v>
      </c>
      <c r="C1471" s="1" t="s">
        <v>4108</v>
      </c>
      <c r="D1471" s="2" t="str">
        <f>IFERROR(__xludf.DUMMYFUNCTION("GOOGLETRANSLATE(B1471, ""en"", ""TL"")"),"Ano ang parusa para sa paggamit ng mapanlinlang o tampered driver's license?")</f>
        <v>Ano ang parusa para sa paggamit ng mapanlinlang o tampered driver's license?</v>
      </c>
      <c r="E1471" s="2" t="str">
        <f>IFERROR(__xludf.DUMMYFUNCTION("GOOGLETRANSLATE(C1471, ""en"", ""TL"")"),"Bukod dito, alinsunod sa Joint Administrative Order No. 2014-01 ng Department of Transportation (DOTr), ang mga driver na matutuklasan na gumagamit ng mga mapanlinlang na lisensya ay pagmumultahin ng P3,000 at hindi papayagang magmaneho ng sasakyan sa loo"&amp;"b ng isang taon kasunod ng pagbabayad ng bayad.")</f>
        <v>Bukod dito, alinsunod sa Joint Administrative Order No. 2014-01 ng Department of Transportation (DOTr), ang mga driver na matutuklasan na gumagamit ng mga mapanlinlang na lisensya ay pagmumultahin ng P3,000 at hindi papayagang magmaneho ng sasakyan sa loob ng isang taon kasunod ng pagbabayad ng bayad.</v>
      </c>
      <c r="F1471" s="2">
        <f t="shared" si="1"/>
        <v>1</v>
      </c>
      <c r="G1471" s="2"/>
      <c r="H1471" s="2"/>
      <c r="I1471" s="2"/>
      <c r="J1471" s="2"/>
      <c r="K1471" s="2"/>
      <c r="L1471" s="2"/>
      <c r="M1471" s="2"/>
      <c r="N1471" s="2"/>
      <c r="O1471" s="2"/>
      <c r="P1471" s="2"/>
      <c r="Q1471" s="2"/>
      <c r="R1471" s="2"/>
      <c r="S1471" s="2"/>
      <c r="T1471" s="2"/>
      <c r="U1471" s="2"/>
      <c r="V1471" s="2"/>
      <c r="W1471" s="2"/>
      <c r="X1471" s="2"/>
      <c r="Y1471" s="2"/>
      <c r="Z1471" s="2"/>
      <c r="AA1471" s="2"/>
    </row>
    <row r="1472">
      <c r="A1472" s="3" t="s">
        <v>3972</v>
      </c>
      <c r="B1472" s="1" t="s">
        <v>4109</v>
      </c>
      <c r="C1472" s="1" t="s">
        <v>4110</v>
      </c>
      <c r="D1472" s="2" t="str">
        <f>IFERROR(__xludf.DUMMYFUNCTION("GOOGLETRANSLATE(B1472, ""en"", ""TL"")"),"Maaari bang pagmultahin ang isang driver para sa pagpapatakbo ng sasakyan na may depekto o nawawalang rearview mirror?")</f>
        <v>Maaari bang pagmultahin ang isang driver para sa pagpapatakbo ng sasakyan na may depekto o nawawalang rearview mirror?</v>
      </c>
      <c r="E1472" s="2" t="str">
        <f>IFERROR(__xludf.DUMMYFUNCTION("GOOGLETRANSLATE(C1472, ""en"", ""TL"")"),"Sa Pilipinas, hindi tulad ng ibang mga bansa, ang pagdaan sa kanang bahagi ng isa pang sasakyan ay karaniwang hindi legal. Narito ang isang breakdown ng mga regulasyon:
Karaniwang Panuntunan:
Pagdaan sa Kaliwa: Ang Land Transportation and Traffic Code (Re"&amp;"public Act No. 4136), partikular na ang Seksyon 39, ay nag-uutos na ang pag-overtake o pagdaan sa isa pang sasakyan na tumutuloy sa parehong direksyon ay dapat gawin sa kaliwang bahagi ng highway. Kapag nakumpleto na ang pag-overtake, ang driver ay dapat "&amp;"na bumalik sa kanang lane kapag ito ay ligtas at malinaw.
Maaaring Pahintulutan ang Mga Pagbubukod Kapag Nagpasa sa Kanan:
Mayroong ilang limitadong mga sitwasyon kung saan maaaring pinahihintulutan ang pagpasa sa kanan, ngunit mahalagang lapitan ang mga "&amp;"sitwasyong ito nang may matinding pag-iingat at kung talagang ligtas na gawin ito. Kasama sa mga sitwasyong ito ang:
Pag-overtake sa isang sasakyan na lumiko sa kaliwa: Maaari ka lang dumaan sa kanan kung ang sasakyan sa harap mo ay nagsenyas o malinaw na"&amp;" nilayon na lumiko pakaliwa at may sapat na espasyo upang ligtas na magmaniobra sa kanan nang walang paparating na trapiko o mga hadlang.
Mga distrito ng negosyo o tirahan na may maraming linya: Sa ilang itinalagang lugar ng negosyo o tirahan na may mga k"&amp;"alsadang maraming linya kung saan maaaring masikip ang (mga) kaliwang linya, maaaring payagan ng mga awtoridad ang pag-overtake sa kanang bahagi nang may pag-iingat. Gayunpaman, ito ay nakasalalay sa mga partikular na marka ng kalsada at signage na nagpap"&amp;"ahintulot sa mga naturang maniobra.")</f>
        <v>Sa Pilipinas, hindi tulad ng ibang mga bansa, ang pagdaan sa kanang bahagi ng isa pang sasakyan ay karaniwang hindi legal. Narito ang isang breakdown ng mga regulasyon:
Karaniwang Panuntunan:
Pagdaan sa Kaliwa: Ang Land Transportation and Traffic Code (Republic Act No. 4136), partikular na ang Seksyon 39, ay nag-uutos na ang pag-overtake o pagdaan sa isa pang sasakyan na tumutuloy sa parehong direksyon ay dapat gawin sa kaliwang bahagi ng highway. Kapag nakumpleto na ang pag-overtake, ang driver ay dapat na bumalik sa kanang lane kapag ito ay ligtas at malinaw.
Maaaring Pahintulutan ang Mga Pagbubukod Kapag Nagpasa sa Kanan:
Mayroong ilang limitadong mga sitwasyon kung saan maaaring pinahihintulutan ang pagpasa sa kanan, ngunit mahalagang lapitan ang mga sitwasyong ito nang may matinding pag-iingat at kung talagang ligtas na gawin ito. Kasama sa mga sitwasyong ito ang:
Pag-overtake sa isang sasakyan na lumiko sa kaliwa: Maaari ka lang dumaan sa kanan kung ang sasakyan sa harap mo ay nagsenyas o malinaw na nilayon na lumiko pakaliwa at may sapat na espasyo upang ligtas na magmaniobra sa kanan nang walang paparating na trapiko o mga hadlang.
Mga distrito ng negosyo o tirahan na may maraming linya: Sa ilang itinalagang lugar ng negosyo o tirahan na may mga kalsadang maraming linya kung saan maaaring masikip ang (mga) kaliwang linya, maaaring payagan ng mga awtoridad ang pag-overtake sa kanang bahagi nang may pag-iingat. Gayunpaman, ito ay nakasalalay sa mga partikular na marka ng kalsada at signage na nagpapahintulot sa mga naturang maniobra.</v>
      </c>
      <c r="F1472" s="2">
        <f t="shared" si="1"/>
        <v>0</v>
      </c>
      <c r="G1472" s="2"/>
      <c r="H1472" s="2"/>
      <c r="I1472" s="2"/>
      <c r="J1472" s="2"/>
      <c r="K1472" s="2"/>
      <c r="L1472" s="2"/>
      <c r="M1472" s="2"/>
      <c r="N1472" s="2"/>
      <c r="O1472" s="2"/>
      <c r="P1472" s="2"/>
      <c r="Q1472" s="2"/>
      <c r="R1472" s="2"/>
      <c r="S1472" s="2"/>
      <c r="T1472" s="2"/>
      <c r="U1472" s="2"/>
      <c r="V1472" s="2"/>
      <c r="W1472" s="2"/>
      <c r="X1472" s="2"/>
      <c r="Y1472" s="2"/>
      <c r="Z1472" s="2"/>
      <c r="AA1472" s="2"/>
    </row>
    <row r="1473">
      <c r="A1473" s="3" t="s">
        <v>3972</v>
      </c>
      <c r="B1473" s="1" t="s">
        <v>4111</v>
      </c>
      <c r="C1473" s="1" t="s">
        <v>4112</v>
      </c>
      <c r="D1473" s="2" t="str">
        <f>IFERROR(__xludf.DUMMYFUNCTION("GOOGLETRANSLATE(B1473, ""en"", ""TL"")"),"Ano ang parusa para sa pagpapatakbo ng sasakyan na may hindi awtorisado o hindi karaniwang mga accessory?")</f>
        <v>Ano ang parusa para sa pagpapatakbo ng sasakyan na may hindi awtorisado o hindi karaniwang mga accessory?</v>
      </c>
      <c r="E1473" s="2" t="str">
        <f>IFERROR(__xludf.DUMMYFUNCTION("GOOGLETRANSLATE(C1473, ""en"", ""TL"")"),"Ang pagmamaneho ng kotse na may ilegal o hindi karaniwang mga accessory ay may mga parusa sa Pilipinas. Ang mga sumusunod ay ang mga naaangkop na parusa at resulta:
Pagpapatakbo ng sasakyan nang walang kinakailangan o inaprubahang kasangkapan, kagamita"&amp;"n, accessories, o piyesa ng sasakyan:
Bayad para sa Paglabag sa LTO: PHP 5,000.
Hanggang sa ang item, kagamitan, gadget, o accessory ay na-install, naayos, o naalis nang maayos, ang kotse ay maaaring agawin. Ang hindi angkop o hindi awtorisadong accesso"&amp;"ry ay kukunin pabor sa pamahalaan sa pagbabayad ng multa.")</f>
        <v>Ang pagmamaneho ng kotse na may ilegal o hindi karaniwang mga accessory ay may mga parusa sa Pilipinas. Ang mga sumusunod ay ang mga naaangkop na parusa at resulta:
Pagpapatakbo ng sasakyan nang walang kinakailangan o inaprubahang kasangkapan, kagamitan, accessories, o piyesa ng sasakyan:
Bayad para sa Paglabag sa LTO: PHP 5,000.
Hanggang sa ang item, kagamitan, gadget, o accessory ay na-install, naayos, o naalis nang maayos, ang kotse ay maaaring agawin. Ang hindi angkop o hindi awtorisadong accessory ay kukunin pabor sa pamahalaan sa pagbabayad ng multa.</v>
      </c>
      <c r="F1473" s="2">
        <f t="shared" si="1"/>
        <v>1</v>
      </c>
      <c r="G1473" s="2"/>
      <c r="H1473" s="2"/>
      <c r="I1473" s="2"/>
      <c r="J1473" s="2"/>
      <c r="K1473" s="2"/>
      <c r="L1473" s="2"/>
      <c r="M1473" s="2"/>
      <c r="N1473" s="2"/>
      <c r="O1473" s="2"/>
      <c r="P1473" s="2"/>
      <c r="Q1473" s="2"/>
      <c r="R1473" s="2"/>
      <c r="S1473" s="2"/>
      <c r="T1473" s="2"/>
      <c r="U1473" s="2"/>
      <c r="V1473" s="2"/>
      <c r="W1473" s="2"/>
      <c r="X1473" s="2"/>
      <c r="Y1473" s="2"/>
      <c r="Z1473" s="2"/>
      <c r="AA1473" s="2"/>
    </row>
    <row r="1474">
      <c r="A1474" s="3" t="s">
        <v>3972</v>
      </c>
      <c r="B1474" s="1" t="s">
        <v>4113</v>
      </c>
      <c r="C1474" s="1" t="s">
        <v>4110</v>
      </c>
      <c r="D1474" s="2" t="str">
        <f>IFERROR(__xludf.DUMMYFUNCTION("GOOGLETRANSLATE(B1474, ""en"", ""TL"")"),"Sa anong mga pangyayari maaaring gamitin ng isang driver ang center lane para sa pag-overtake?")</f>
        <v>Sa anong mga pangyayari maaaring gamitin ng isang driver ang center lane para sa pag-overtake?</v>
      </c>
      <c r="E1474" s="2" t="str">
        <f>IFERROR(__xludf.DUMMYFUNCTION("GOOGLETRANSLATE(C1474, ""en"", ""TL"")"),"Sa Pilipinas, hindi tulad ng ibang mga bansa, ang pagdaan sa kanang bahagi ng isa pang sasakyan ay karaniwang hindi legal. Narito ang isang breakdown ng mga regulasyon:
Karaniwang Panuntunan:
Pagdaan sa Kaliwa: Ang Land Transportation and Traffic Code (Re"&amp;"public Act No. 4136), partikular na ang Seksyon 39, ay nag-uutos na ang pag-overtake o pagdaan sa isa pang sasakyan na tumutuloy sa parehong direksyon ay dapat gawin sa kaliwang bahagi ng highway. Kapag nakumpleto na ang pag-overtake, ang driver ay dapat "&amp;"na bumalik sa kanang lane kapag ito ay ligtas at malinaw.
Maaaring Pahintulutan ang Mga Pagbubukod Kapag Nagpasa sa Kanan:
Mayroong ilang limitadong mga sitwasyon kung saan maaaring pinahihintulutan ang pagpasa sa kanan, ngunit mahalagang lapitan ang mga "&amp;"sitwasyong ito nang may matinding pag-iingat at kung talagang ligtas na gawin ito. Kasama sa mga sitwasyong ito ang:
Pag-overtake sa isang sasakyan na lumiko sa kaliwa: Maaari ka lang dumaan sa kanan kung ang sasakyan sa harap mo ay nagsenyas o malinaw na"&amp;" nilayon na lumiko pakaliwa at may sapat na espasyo upang ligtas na magmaniobra sa kanan nang walang paparating na trapiko o mga hadlang.
Mga distrito ng negosyo o tirahan na may maraming linya: Sa ilang itinalagang lugar ng negosyo o tirahan na may mga k"&amp;"alsadang maraming linya kung saan maaaring masikip ang (mga) kaliwang linya, maaaring payagan ng mga awtoridad ang pag-overtake sa kanang bahagi nang may pag-iingat. Gayunpaman, ito ay nakasalalay sa mga partikular na marka ng kalsada at signage na nagpap"&amp;"ahintulot sa mga naturang maniobra.")</f>
        <v>Sa Pilipinas, hindi tulad ng ibang mga bansa, ang pagdaan sa kanang bahagi ng isa pang sasakyan ay karaniwang hindi legal. Narito ang isang breakdown ng mga regulasyon:
Karaniwang Panuntunan:
Pagdaan sa Kaliwa: Ang Land Transportation and Traffic Code (Republic Act No. 4136), partikular na ang Seksyon 39, ay nag-uutos na ang pag-overtake o pagdaan sa isa pang sasakyan na tumutuloy sa parehong direksyon ay dapat gawin sa kaliwang bahagi ng highway. Kapag nakumpleto na ang pag-overtake, ang driver ay dapat na bumalik sa kanang lane kapag ito ay ligtas at malinaw.
Maaaring Pahintulutan ang Mga Pagbubukod Kapag Nagpasa sa Kanan:
Mayroong ilang limitadong mga sitwasyon kung saan maaaring pinahihintulutan ang pagpasa sa kanan, ngunit mahalagang lapitan ang mga sitwasyong ito nang may matinding pag-iingat at kung talagang ligtas na gawin ito. Kasama sa mga sitwasyong ito ang:
Pag-overtake sa isang sasakyan na lumiko sa kaliwa: Maaari ka lang dumaan sa kanan kung ang sasakyan sa harap mo ay nagsenyas o malinaw na nilayon na lumiko pakaliwa at may sapat na espasyo upang ligtas na magmaniobra sa kanan nang walang paparating na trapiko o mga hadlang.
Mga distrito ng negosyo o tirahan na may maraming linya: Sa ilang itinalagang lugar ng negosyo o tirahan na may mga kalsadang maraming linya kung saan maaaring masikip ang (mga) kaliwang linya, maaaring payagan ng mga awtoridad ang pag-overtake sa kanang bahagi nang may pag-iingat. Gayunpaman, ito ay nakasalalay sa mga partikular na marka ng kalsada at signage na nagpapahintulot sa mga naturang maniobra.</v>
      </c>
      <c r="F1474" s="2">
        <f t="shared" si="1"/>
        <v>0</v>
      </c>
      <c r="G1474" s="2"/>
      <c r="H1474" s="2"/>
      <c r="I1474" s="2"/>
      <c r="J1474" s="2"/>
      <c r="K1474" s="2"/>
      <c r="L1474" s="2"/>
      <c r="M1474" s="2"/>
      <c r="N1474" s="2"/>
      <c r="O1474" s="2"/>
      <c r="P1474" s="2"/>
      <c r="Q1474" s="2"/>
      <c r="R1474" s="2"/>
      <c r="S1474" s="2"/>
      <c r="T1474" s="2"/>
      <c r="U1474" s="2"/>
      <c r="V1474" s="2"/>
      <c r="W1474" s="2"/>
      <c r="X1474" s="2"/>
      <c r="Y1474" s="2"/>
      <c r="Z1474" s="2"/>
      <c r="AA1474" s="2"/>
    </row>
    <row r="1475">
      <c r="A1475" s="3" t="s">
        <v>3972</v>
      </c>
      <c r="B1475" s="1" t="s">
        <v>4114</v>
      </c>
      <c r="C1475" s="1" t="s">
        <v>4115</v>
      </c>
      <c r="D1475" s="2" t="str">
        <f>IFERROR(__xludf.DUMMYFUNCTION("GOOGLETRANSLATE(B1475, ""en"", ""TL"")"),"Ano ang multa para sa hindi pagsenyas kapag lumiliko o nagbabago ng mga lane?")</f>
        <v>Ano ang multa para sa hindi pagsenyas kapag lumiliko o nagbabago ng mga lane?</v>
      </c>
      <c r="E1475" s="2" t="str">
        <f>IFERROR(__xludf.DUMMYFUNCTION("GOOGLETRANSLATE(C1475, ""en"", ""TL"")"),"Papatawan ka ng Php 1,000 para sa unang pagkakasala, Php 2,000 para sa pangalawa, at Php 5,000 para sa ikatlo at kasunod na pagkakasala. Tandaan na ang pagsusuot ng seat belt ay hindi lamang nakakatipid sa iyong buhay kundi pati na rin sa sakit ng ulo ng "&amp;"pagbabayad ng bayad.")</f>
        <v>Papatawan ka ng Php 1,000 para sa unang pagkakasala, Php 2,000 para sa pangalawa, at Php 5,000 para sa ikatlo at kasunod na pagkakasala. Tandaan na ang pagsusuot ng seat belt ay hindi lamang nakakatipid sa iyong buhay kundi pati na rin sa sakit ng ulo ng pagbabayad ng bayad.</v>
      </c>
      <c r="F1475" s="2">
        <f t="shared" si="1"/>
        <v>0</v>
      </c>
      <c r="G1475" s="2"/>
      <c r="H1475" s="2"/>
      <c r="I1475" s="2"/>
      <c r="J1475" s="2"/>
      <c r="K1475" s="2"/>
      <c r="L1475" s="2"/>
      <c r="M1475" s="2"/>
      <c r="N1475" s="2"/>
      <c r="O1475" s="2"/>
      <c r="P1475" s="2"/>
      <c r="Q1475" s="2"/>
      <c r="R1475" s="2"/>
      <c r="S1475" s="2"/>
      <c r="T1475" s="2"/>
      <c r="U1475" s="2"/>
      <c r="V1475" s="2"/>
      <c r="W1475" s="2"/>
      <c r="X1475" s="2"/>
      <c r="Y1475" s="2"/>
      <c r="Z1475" s="2"/>
      <c r="AA1475" s="2"/>
    </row>
    <row r="1476">
      <c r="A1476" s="3" t="s">
        <v>3972</v>
      </c>
      <c r="B1476" s="1" t="s">
        <v>4116</v>
      </c>
      <c r="C1476" s="1" t="s">
        <v>4117</v>
      </c>
      <c r="D1476" s="2" t="str">
        <f>IFERROR(__xludf.DUMMYFUNCTION("GOOGLETRANSLATE(B1476, ""en"", ""TL"")"),"Ano ang parusa sa pakikialam o pagpapalit ng odometer ng sasakyan?")</f>
        <v>Ano ang parusa sa pakikialam o pagpapalit ng odometer ng sasakyan?</v>
      </c>
      <c r="E1476" s="2" t="str">
        <f>IFERROR(__xludf.DUMMYFUNCTION("GOOGLETRANSLATE(C1476, ""en"", ""TL"")"),"Pagmumultahin ka ng Php 2,000 sa unang paglabag, Php 3,000 sa pangalawa, at Php 10,000 sa pangatlo.")</f>
        <v>Pagmumultahin ka ng Php 2,000 sa unang paglabag, Php 3,000 sa pangalawa, at Php 10,000 sa pangatlo.</v>
      </c>
      <c r="F1476" s="2">
        <f t="shared" si="1"/>
        <v>2</v>
      </c>
      <c r="G1476" s="2"/>
      <c r="H1476" s="2"/>
      <c r="I1476" s="2"/>
      <c r="J1476" s="2"/>
      <c r="K1476" s="2"/>
      <c r="L1476" s="2"/>
      <c r="M1476" s="2"/>
      <c r="N1476" s="2"/>
      <c r="O1476" s="2"/>
      <c r="P1476" s="2"/>
      <c r="Q1476" s="2"/>
      <c r="R1476" s="2"/>
      <c r="S1476" s="2"/>
      <c r="T1476" s="2"/>
      <c r="U1476" s="2"/>
      <c r="V1476" s="2"/>
      <c r="W1476" s="2"/>
      <c r="X1476" s="2"/>
      <c r="Y1476" s="2"/>
      <c r="Z1476" s="2"/>
      <c r="AA1476" s="2"/>
    </row>
    <row r="1477">
      <c r="A1477" s="3" t="s">
        <v>3972</v>
      </c>
      <c r="B1477" s="1" t="s">
        <v>4118</v>
      </c>
      <c r="C1477" s="1" t="s">
        <v>4119</v>
      </c>
      <c r="D1477" s="2" t="str">
        <f>IFERROR(__xludf.DUMMYFUNCTION("GOOGLETRANSLATE(B1477, ""en"", ""TL"")"),"Maaari bang pagmultahin ang isang tsuper dahil sa pagtanggi na sumailalim sa isang mandatoryong pagsusuri sa droga at alkohol?")</f>
        <v>Maaari bang pagmultahin ang isang tsuper dahil sa pagtanggi na sumailalim sa isang mandatoryong pagsusuri sa droga at alkohol?</v>
      </c>
      <c r="E1477" s="2" t="str">
        <f>IFERROR(__xludf.DUMMYFUNCTION("GOOGLETRANSLATE(C1477, ""en"", ""TL"")"),"Ang aking nakaraang tugon tungkol sa parusa sa pagtanggi sa isang mandatoryong drug at alcohol test sa Pilipinas ay naglalaman ng ilang mga kamalian. Narito ang isang binagong at itinamang tugon:
Bagama't walang direktang multa para lamang sa pagtanggi sa"&amp;" isang mandatoryong pagsusuri sa droga at alkohol sa Pilipinas, ang pagtanggi sa pagsusulit ay maaaring magkaroon ng malalaking kahihinatnan, kabilang ang:
Pagkumpiska at awtomatikong pagbawi ng lisensya sa pagmamaneho: Ito ang pinaka-epektong resulta na "&amp;"nakabalangkas sa Seksyon 9 ng Republic Act No. 10586 (Anti-Drunk and Drugged Driving Act of 2013).
Mga potensyal na karagdagang parusa: Depende sa mga partikular na pangyayari at sa pagpapasya ng opisyal ng paghuli, maaaring kabilang sa iba pang mga parus"&amp;"a ang:
Mga multa: Para sa paunang paglabag sa trapiko na humantong sa hinala ng DUIA.
Pag-impound ng sasakyan: Sa ilang mga kaso, maaaring ma-impound ang sasakyan hanggang sa malutas ang sitwasyon.
Mga Pangunahing Punto na Dapat Tandaan:
Mandatoryong pags"&amp;"usuri sa ilalim ng hinala: Ang Seksyon 15 ng Batas ay nag-uutos ng mandatoryong pagsusuri sa kemikal para sa mga driver na pinaghihinalaang may DUIA. Nangangahulugan ito na ang opisyal ay dapat magkaroon ng makatwirang batayan upang maghinala na ang drive"&amp;"r ay nasa ilalim ng impluwensya bago kailanganin ang pagsusuri.
Karapatan sa legal na tagapayo: Ang mga driver ay may karapatang sumangguni sa isang abogado bago magpasya kung sasailalim o hindi sa pagsusulit.
Mga alternatibong paraan ng pagsusuri: Kung p"&amp;"isikal o medikal na walang kakayahan ang isang driver na kumuha ng partikular na pagsubok na inaalok (hal., breathalyzer), ang mga alternatibong paraan ng pagtukoy ng DUIA, gaya ng mga pagsusuri sa dugo, ay maaaring gamitin sa pagpapasya ng mga awtoridad.")</f>
        <v>Ang aking nakaraang tugon tungkol sa parusa sa pagtanggi sa isang mandatoryong drug at alcohol test sa Pilipinas ay naglalaman ng ilang mga kamalian. Narito ang isang binagong at itinamang tugon:
Bagama't walang direktang multa para lamang sa pagtanggi sa isang mandatoryong pagsusuri sa droga at alkohol sa Pilipinas, ang pagtanggi sa pagsusulit ay maaaring magkaroon ng malalaking kahihinatnan, kabilang ang:
Pagkumpiska at awtomatikong pagbawi ng lisensya sa pagmamaneho: Ito ang pinaka-epektong resulta na nakabalangkas sa Seksyon 9 ng Republic Act No. 10586 (Anti-Drunk and Drugged Driving Act of 2013).
Mga potensyal na karagdagang parusa: Depende sa mga partikular na pangyayari at sa pagpapasya ng opisyal ng paghuli, maaaring kabilang sa iba pang mga parusa ang:
Mga multa: Para sa paunang paglabag sa trapiko na humantong sa hinala ng DUIA.
Pag-impound ng sasakyan: Sa ilang mga kaso, maaaring ma-impound ang sasakyan hanggang sa malutas ang sitwasyon.
Mga Pangunahing Punto na Dapat Tandaan:
Mandatoryong pagsusuri sa ilalim ng hinala: Ang Seksyon 15 ng Batas ay nag-uutos ng mandatoryong pagsusuri sa kemikal para sa mga driver na pinaghihinalaang may DUIA. Nangangahulugan ito na ang opisyal ay dapat magkaroon ng makatwirang batayan upang maghinala na ang driver ay nasa ilalim ng impluwensya bago kailanganin ang pagsusuri.
Karapatan sa legal na tagapayo: Ang mga driver ay may karapatang sumangguni sa isang abogado bago magpasya kung sasailalim o hindi sa pagsusulit.
Mga alternatibong paraan ng pagsusuri: Kung pisikal o medikal na walang kakayahan ang isang driver na kumuha ng partikular na pagsubok na inaalok (hal., breathalyzer), ang mga alternatibong paraan ng pagtukoy ng DUIA, gaya ng mga pagsusuri sa dugo, ay maaaring gamitin sa pagpapasya ng mga awtoridad.</v>
      </c>
      <c r="F1477" s="2">
        <f t="shared" si="1"/>
        <v>1</v>
      </c>
      <c r="G1477" s="2"/>
      <c r="H1477" s="2"/>
      <c r="I1477" s="2"/>
      <c r="J1477" s="2"/>
      <c r="K1477" s="2"/>
      <c r="L1477" s="2"/>
      <c r="M1477" s="2"/>
      <c r="N1477" s="2"/>
      <c r="O1477" s="2"/>
      <c r="P1477" s="2"/>
      <c r="Q1477" s="2"/>
      <c r="R1477" s="2"/>
      <c r="S1477" s="2"/>
      <c r="T1477" s="2"/>
      <c r="U1477" s="2"/>
      <c r="V1477" s="2"/>
      <c r="W1477" s="2"/>
      <c r="X1477" s="2"/>
      <c r="Y1477" s="2"/>
      <c r="Z1477" s="2"/>
      <c r="AA1477" s="2"/>
    </row>
    <row r="1478">
      <c r="A1478" s="3" t="s">
        <v>3972</v>
      </c>
      <c r="B1478" s="1" t="s">
        <v>4120</v>
      </c>
      <c r="C1478" s="1" t="s">
        <v>4115</v>
      </c>
      <c r="D1478" s="2" t="str">
        <f>IFERROR(__xludf.DUMMYFUNCTION("GOOGLETRANSLATE(B1478, ""en"", ""TL"")"),"Ano ang parusa para sa pagpapatakbo ng sasakyan na may hindi awtorisado o labis na mga ilaw?")</f>
        <v>Ano ang parusa para sa pagpapatakbo ng sasakyan na may hindi awtorisado o labis na mga ilaw?</v>
      </c>
      <c r="E1478" s="2" t="str">
        <f>IFERROR(__xludf.DUMMYFUNCTION("GOOGLETRANSLATE(C1478, ""en"", ""TL"")"),"Papatawan ka ng Php 1,000 para sa unang pagkakasala, Php 2,000 para sa pangalawa, at Php 5,000 para sa ikatlo at kasunod na pagkakasala. Tandaan na ang pagsusuot ng seat belt ay hindi lamang nakakatipid sa iyong buhay kundi pati na rin sa sakit ng ulo ng "&amp;"pagbabayad ng bayad.")</f>
        <v>Papatawan ka ng Php 1,000 para sa unang pagkakasala, Php 2,000 para sa pangalawa, at Php 5,000 para sa ikatlo at kasunod na pagkakasala. Tandaan na ang pagsusuot ng seat belt ay hindi lamang nakakatipid sa iyong buhay kundi pati na rin sa sakit ng ulo ng pagbabayad ng bayad.</v>
      </c>
      <c r="F1478" s="2">
        <f t="shared" si="1"/>
        <v>0</v>
      </c>
      <c r="G1478" s="2"/>
      <c r="H1478" s="2"/>
      <c r="I1478" s="2"/>
      <c r="J1478" s="2"/>
      <c r="K1478" s="2"/>
      <c r="L1478" s="2"/>
      <c r="M1478" s="2"/>
      <c r="N1478" s="2"/>
      <c r="O1478" s="2"/>
      <c r="P1478" s="2"/>
      <c r="Q1478" s="2"/>
      <c r="R1478" s="2"/>
      <c r="S1478" s="2"/>
      <c r="T1478" s="2"/>
      <c r="U1478" s="2"/>
      <c r="V1478" s="2"/>
      <c r="W1478" s="2"/>
      <c r="X1478" s="2"/>
      <c r="Y1478" s="2"/>
      <c r="Z1478" s="2"/>
      <c r="AA1478" s="2"/>
    </row>
    <row r="1479">
      <c r="A1479" s="3" t="s">
        <v>3972</v>
      </c>
      <c r="B1479" s="1" t="s">
        <v>4121</v>
      </c>
      <c r="C1479" s="1" t="s">
        <v>4122</v>
      </c>
      <c r="D1479" s="2" t="str">
        <f>IFERROR(__xludf.DUMMYFUNCTION("GOOGLETRANSLATE(B1479, ""en"", ""TL"")"),"Ano ang parusa para sa pagpapatakbo ng sasakyan nang walang wastong sertipiko ng inspeksyon ng sasakyang de-motor?")</f>
        <v>Ano ang parusa para sa pagpapatakbo ng sasakyan nang walang wastong sertipiko ng inspeksyon ng sasakyang de-motor?</v>
      </c>
      <c r="E1479" s="2" t="str">
        <f>IFERROR(__xludf.DUMMYFUNCTION("GOOGLETRANSLATE(C1479, ""en"", ""TL"")"),"Sa Pilipinas, ang pagpapatakbo ng sasakyan nang walang wastong sertipiko ng Motor Vehicle Inspection (MVI) ay may maraming potensyal na kahihinatnan, na tumataas ang kalubhaan para sa mga paulit-ulit na pagkakasala. Narito ang isang breakdown ng mga pangu"&amp;"nahing punto:
Walang Direktang Pagmulta para sa Kakulangan ng MVI Certificate:
Hindi tulad ng ilang paglabag sa trapiko, walang partikular, standalone na multa para sa simpleng hindi pagkakaroon ng wastong MVI certificate.
Gayunpaman, ang kakulangan ng wa"&amp;"stong sertipiko ng MVI ay maaaring humantong sa iba pang mga kahihinatnan:
Apprehension and Impoundment: Kung nahuli ng mga awtoridad, maaaring ma-impound ang iyong sasakyan hanggang sa makuha ang valid MVI certificate [Source: LTO Portal PH].
Mga Multa p"&amp;"ara sa Mga Kaugnay na Paglabag: Sa panahon ng pagdakip, maaari kang mabigyan ng multa para sa iba pang mga paglabag sa trapiko na tinukoy ng opisyal, anuman ang kakulangan ng MVI.
Hindi pagkakapare-pareho sa Mga Kasanayan sa Pag-impound: Sa ilang pagkakat"&amp;"aon, depende sa partikular na lokasyon at pagpapasya ng opisyal, ang sasakyan ay maaaring hindi ma-impound kaagad. Gayunpaman, kakailanganin mo pa ring kumuha ng wastong sertipiko ng MVI upang maiwasan ang mga karagdagang kahihinatnan.
Mga Karagdagang Par"&amp;"usa para sa Paulit-ulit na Pagkakasala:
Ikalawang Pagkakasala: Ang pangalawang pagkakasala sa loob ng isang taon ng una ay maaaring humantong sa multang ₱2,000 at posibleng pagkakulong sa sasakyan hanggang sa makuha ang sertipiko ng MVI.
Ikatlo at Kasunod"&amp;" na Mga Pagkakasala: Para sa mga kasunod na pagkakasala sa loob ng isang taon, ang mga parusa ay nagiging mas matindi, na posibleng kabilang ang mas mataas na multa at mas mahabang panahon ng pagkakakulong sa sasakyan.")</f>
        <v>Sa Pilipinas, ang pagpapatakbo ng sasakyan nang walang wastong sertipiko ng Motor Vehicle Inspection (MVI) ay may maraming potensyal na kahihinatnan, na tumataas ang kalubhaan para sa mga paulit-ulit na pagkakasala. Narito ang isang breakdown ng mga pangunahing punto:
Walang Direktang Pagmulta para sa Kakulangan ng MVI Certificate:
Hindi tulad ng ilang paglabag sa trapiko, walang partikular, standalone na multa para sa simpleng hindi pagkakaroon ng wastong MVI certificate.
Gayunpaman, ang kakulangan ng wastong sertipiko ng MVI ay maaaring humantong sa iba pang mga kahihinatnan:
Apprehension and Impoundment: Kung nahuli ng mga awtoridad, maaaring ma-impound ang iyong sasakyan hanggang sa makuha ang valid MVI certificate [Source: LTO Portal PH].
Mga Multa para sa Mga Kaugnay na Paglabag: Sa panahon ng pagdakip, maaari kang mabigyan ng multa para sa iba pang mga paglabag sa trapiko na tinukoy ng opisyal, anuman ang kakulangan ng MVI.
Hindi pagkakapare-pareho sa Mga Kasanayan sa Pag-impound: Sa ilang pagkakataon, depende sa partikular na lokasyon at pagpapasya ng opisyal, ang sasakyan ay maaaring hindi ma-impound kaagad. Gayunpaman, kakailanganin mo pa ring kumuha ng wastong sertipiko ng MVI upang maiwasan ang mga karagdagang kahihinatnan.
Mga Karagdagang Parusa para sa Paulit-ulit na Pagkakasala:
Ikalawang Pagkakasala: Ang pangalawang pagkakasala sa loob ng isang taon ng una ay maaaring humantong sa multang ₱2,000 at posibleng pagkakulong sa sasakyan hanggang sa makuha ang sertipiko ng MVI.
Ikatlo at Kasunod na Mga Pagkakasala: Para sa mga kasunod na pagkakasala sa loob ng isang taon, ang mga parusa ay nagiging mas matindi, na posibleng kabilang ang mas mataas na multa at mas mahabang panahon ng pagkakakulong sa sasakyan.</v>
      </c>
      <c r="F1479" s="2">
        <f t="shared" si="1"/>
        <v>0</v>
      </c>
      <c r="G1479" s="2"/>
      <c r="H1479" s="2"/>
      <c r="I1479" s="2"/>
      <c r="J1479" s="2"/>
      <c r="K1479" s="2"/>
      <c r="L1479" s="2"/>
      <c r="M1479" s="2"/>
      <c r="N1479" s="2"/>
      <c r="O1479" s="2"/>
      <c r="P1479" s="2"/>
      <c r="Q1479" s="2"/>
      <c r="R1479" s="2"/>
      <c r="S1479" s="2"/>
      <c r="T1479" s="2"/>
      <c r="U1479" s="2"/>
      <c r="V1479" s="2"/>
      <c r="W1479" s="2"/>
      <c r="X1479" s="2"/>
      <c r="Y1479" s="2"/>
      <c r="Z1479" s="2"/>
      <c r="AA1479" s="2"/>
    </row>
    <row r="1480">
      <c r="A1480" s="3" t="s">
        <v>3972</v>
      </c>
      <c r="B1480" s="1" t="s">
        <v>4123</v>
      </c>
      <c r="C1480" s="1" t="s">
        <v>4124</v>
      </c>
      <c r="D1480" s="2" t="str">
        <f>IFERROR(__xludf.DUMMYFUNCTION("GOOGLETRANSLATE(B1480, ""en"", ""TL"")"),"Ano ang parusa para sa paradahan sa isang puwang na nakalaan para sa mga taong may kapansanan?")</f>
        <v>Ano ang parusa para sa paradahan sa isang puwang na nakalaan para sa mga taong may kapansanan?</v>
      </c>
      <c r="E1480" s="2" t="str">
        <f>IFERROR(__xludf.DUMMYFUNCTION("GOOGLETRANSLATE(C1480, ""en"", ""TL"")"),"Ang pinakamababang multa na P10,000 hanggang sa maximum na P40,000 ay ipapataw sa sinumang makikitang paradahan sa isang puwang na nakalaan para sa mga taong may kapansanan nang hindi nagpapakita ng handicapped parking placard, sa isang taong may kapansan"&amp;"an na nagpapahintulot sa isang taong hindi may kapansanan na gumamit. kanilang parking placard, at sa sinumang humaharang sa mga access point ng isang taong may kapansanan sa mga itinalagang parking space na may kapansanan.")</f>
        <v>Ang pinakamababang multa na P10,000 hanggang sa maximum na P40,000 ay ipapataw sa sinumang makikitang paradahan sa isang puwang na nakalaan para sa mga taong may kapansanan nang hindi nagpapakita ng handicapped parking placard, sa isang taong may kapansanan na nagpapahintulot sa isang taong hindi may kapansanan na gumamit. kanilang parking placard, at sa sinumang humaharang sa mga access point ng isang taong may kapansanan sa mga itinalagang parking space na may kapansanan.</v>
      </c>
      <c r="F1480" s="2">
        <f t="shared" si="1"/>
        <v>0</v>
      </c>
      <c r="G1480" s="2"/>
      <c r="H1480" s="2"/>
      <c r="I1480" s="2"/>
      <c r="J1480" s="2"/>
      <c r="K1480" s="2"/>
      <c r="L1480" s="2"/>
      <c r="M1480" s="2"/>
      <c r="N1480" s="2"/>
      <c r="O1480" s="2"/>
      <c r="P1480" s="2"/>
      <c r="Q1480" s="2"/>
      <c r="R1480" s="2"/>
      <c r="S1480" s="2"/>
      <c r="T1480" s="2"/>
      <c r="U1480" s="2"/>
      <c r="V1480" s="2"/>
      <c r="W1480" s="2"/>
      <c r="X1480" s="2"/>
      <c r="Y1480" s="2"/>
      <c r="Z1480" s="2"/>
      <c r="AA1480" s="2"/>
    </row>
    <row r="1481">
      <c r="A1481" s="3" t="s">
        <v>3972</v>
      </c>
      <c r="B1481" s="1" t="s">
        <v>4125</v>
      </c>
      <c r="C1481" s="1" t="s">
        <v>4126</v>
      </c>
      <c r="D1481" s="2" t="str">
        <f>IFERROR(__xludf.DUMMYFUNCTION("GOOGLETRANSLATE(B1481, ""en"", ""TL"")"),"Maaari bang pagmultahin ang isang tsuper para sa pagpayag sa isang tao na sumakay sa bubong o deck ng isang sasakyan?")</f>
        <v>Maaari bang pagmultahin ang isang tsuper para sa pagpayag sa isang tao na sumakay sa bubong o deck ng isang sasakyan?</v>
      </c>
      <c r="E1481" s="2" t="str">
        <f>IFERROR(__xludf.DUMMYFUNCTION("GOOGLETRANSLATE(C1481, ""en"", ""TL"")"),"Oo, sa Pilipinas, ang isang driver ay maaaring pagmultahin kapag pinayagan ang isang tao na sumakay sa bubong o deck ng isang sasakyan. Ang kasanayang ito ay itinuturing na isang malubhang paglabag sa trapiko at maaaring magresulta sa mga parusa at potens"&amp;"yal na legal na epekto.
Narito ang isang breakdown ng mga nauugnay na regulasyon at kahihinatnan:
Legal na Batayan:
Republic Act No. 4136 (Land Transportation and Traffic Code):
Seksyon 33: Ang seksyong ito ay partikular na nagbabawal sa pagdadala ng "&amp;"mga pasahero at kargamento sa ibabaw ng mga sasakyan. Kabilang dito ang bubong, deck, hood, o anumang iba pang bahagi ng sasakyan na hindi partikular na itinalaga para sa occupancy ng pasahero.
Mga parusa:
₱150 na multa: Ang karaniwang multa para sa una"&amp;"ng paglabag ng pagpayag sa isang pasahero na sumakay sa bubong o deck ng isang sasakyan ay ₱150.
Mga potensyal na karagdagang parusa: Depende sa mga partikular na pangyayari at sa pagpapasya ng opisyal ng paghuli, maaaring kabilang sa iba pang mga parusa"&amp;" ang:
Mga demerit point: Mga puntos na idinaragdag sa lisensya sa pagmamaneho, na maaaring humantong sa pagsususpinde kung makaipon sila ng isang tiyak na numero.
Pag-impound ng sasakyan: Sa matinding mga kaso, maaaring ma-impound ang sasakyan hanggang "&amp;"sa ligtas na maalis ang mga pasahero.")</f>
        <v>Oo, sa Pilipinas, ang isang driver ay maaaring pagmultahin kapag pinayagan ang isang tao na sumakay sa bubong o deck ng isang sasakyan. Ang kasanayang ito ay itinuturing na isang malubhang paglabag sa trapiko at maaaring magresulta sa mga parusa at potensyal na legal na epekto.
Narito ang isang breakdown ng mga nauugnay na regulasyon at kahihinatnan:
Legal na Batayan:
Republic Act No. 4136 (Land Transportation and Traffic Code):
Seksyon 33: Ang seksyong ito ay partikular na nagbabawal sa pagdadala ng mga pasahero at kargamento sa ibabaw ng mga sasakyan. Kabilang dito ang bubong, deck, hood, o anumang iba pang bahagi ng sasakyan na hindi partikular na itinalaga para sa occupancy ng pasahero.
Mga parusa:
₱150 na multa: Ang karaniwang multa para sa unang paglabag ng pagpayag sa isang pasahero na sumakay sa bubong o deck ng isang sasakyan ay ₱150.
Mga potensyal na karagdagang parusa: Depende sa mga partikular na pangyayari at sa pagpapasya ng opisyal ng paghuli, maaaring kabilang sa iba pang mga parusa ang:
Mga demerit point: Mga puntos na idinaragdag sa lisensya sa pagmamaneho, na maaaring humantong sa pagsususpinde kung makaipon sila ng isang tiyak na numero.
Pag-impound ng sasakyan: Sa matinding mga kaso, maaaring ma-impound ang sasakyan hanggang sa ligtas na maalis ang mga pasahero.</v>
      </c>
      <c r="F1481" s="2">
        <f t="shared" si="1"/>
        <v>1</v>
      </c>
      <c r="G1481" s="2"/>
      <c r="H1481" s="2"/>
      <c r="I1481" s="2"/>
      <c r="J1481" s="2"/>
      <c r="K1481" s="2"/>
      <c r="L1481" s="2"/>
      <c r="M1481" s="2"/>
      <c r="N1481" s="2"/>
      <c r="O1481" s="2"/>
      <c r="P1481" s="2"/>
      <c r="Q1481" s="2"/>
      <c r="R1481" s="2"/>
      <c r="S1481" s="2"/>
      <c r="T1481" s="2"/>
      <c r="U1481" s="2"/>
      <c r="V1481" s="2"/>
      <c r="W1481" s="2"/>
      <c r="X1481" s="2"/>
      <c r="Y1481" s="2"/>
      <c r="Z1481" s="2"/>
      <c r="AA1481" s="2"/>
    </row>
    <row r="1482">
      <c r="A1482" s="3" t="s">
        <v>3972</v>
      </c>
      <c r="B1482" s="1" t="s">
        <v>4127</v>
      </c>
      <c r="C1482" s="1" t="s">
        <v>4128</v>
      </c>
      <c r="D1482" s="2" t="str">
        <f>IFERROR(__xludf.DUMMYFUNCTION("GOOGLETRANSLATE(B1482, ""en"", ""TL"")"),"Ano ang parusa para sa pagpapatakbo ng sasakyan na may hindi awtorisado o hindi karaniwang mga busina?")</f>
        <v>Ano ang parusa para sa pagpapatakbo ng sasakyan na may hindi awtorisado o hindi karaniwang mga busina?</v>
      </c>
      <c r="E1482" s="2" t="str">
        <f>IFERROR(__xludf.DUMMYFUNCTION("GOOGLETRANSLATE(C1482, ""en"", ""TL"")"),"Unang pagkakasala: hanggang P2,000 multa; ikalawang pagkakasala: hanggang P4,000 multa; ikatlo at kasunod na mga pagkakasala: hanggang P6,000 na multa at isang taon na suspensiyon ng pagpaparehistro ng sasakyang de-motor")</f>
        <v>Unang pagkakasala: hanggang P2,000 multa; ikalawang pagkakasala: hanggang P4,000 multa; ikatlo at kasunod na mga pagkakasala: hanggang P6,000 na multa at isang taon na suspensiyon ng pagpaparehistro ng sasakyang de-motor</v>
      </c>
      <c r="F1482" s="2">
        <f t="shared" si="1"/>
        <v>0</v>
      </c>
      <c r="G1482" s="2"/>
      <c r="H1482" s="2"/>
      <c r="I1482" s="2"/>
      <c r="J1482" s="2"/>
      <c r="K1482" s="2"/>
      <c r="L1482" s="2"/>
      <c r="M1482" s="2"/>
      <c r="N1482" s="2"/>
      <c r="O1482" s="2"/>
      <c r="P1482" s="2"/>
      <c r="Q1482" s="2"/>
      <c r="R1482" s="2"/>
      <c r="S1482" s="2"/>
      <c r="T1482" s="2"/>
      <c r="U1482" s="2"/>
      <c r="V1482" s="2"/>
      <c r="W1482" s="2"/>
      <c r="X1482" s="2"/>
      <c r="Y1482" s="2"/>
      <c r="Z1482" s="2"/>
      <c r="AA1482" s="2"/>
    </row>
    <row r="1483">
      <c r="A1483" s="3" t="s">
        <v>3972</v>
      </c>
      <c r="B1483" s="1" t="s">
        <v>4129</v>
      </c>
      <c r="C1483" s="1" t="s">
        <v>4130</v>
      </c>
      <c r="D1483" s="2" t="str">
        <f>IFERROR(__xludf.DUMMYFUNCTION("GOOGLETRANSLATE(B1483, ""en"", ""TL"")"),"Kailan legal na magmaneho nang hindi nakabukas ang mga headlight?")</f>
        <v>Kailan legal na magmaneho nang hindi nakabukas ang mga headlight?</v>
      </c>
      <c r="E1483" s="2" t="str">
        <f>IFERROR(__xludf.DUMMYFUNCTION("GOOGLETRANSLATE(C1483, ""en"", ""TL"")"),"Sa Pilipinas, ang pagmamaneho nang walang headlight ay karaniwang ilegal at itinuturing na walang ingat na pagmamaneho. Narito ang isang breakdown ng mga regulasyon at kung bakit mahalagang palaging gumamit ng mga headlight:
Legal na Batayan:
Republic A"&amp;"ct No. 4136 (Land Transportation and Traffic Code):
Seksyon 15: Ang seksyong ito ay nag-uutos na ang lahat ng mga sasakyang de-motor ay dapat ""magdala ng dalawang headlight, isa sa bawat gilid, na may puti o madilaw-dilaw na liwanag na nakikita mula sa "&amp;"harap, na dapat sisindihan sa gabi.""
Karagdagang Paglilinaw:
Kahulugan sa Gabi: Bagama't ang partikular na kahulugan ng ""oras ng gabi"" ay hindi tahasang nakasaad sa batas, ito ay karaniwang nauunawaan bilang mga panahon ng mababang visibility, kabila"&amp;"ng ang:
Takipsilim at bukang-liwayway: Kapag ang natural na liwanag ay kumukupas o humihina.
Mga oras ng malakas na ulan, hamog na ulap, o iba pang mga kondisyon na makabuluhang nagpapababa ng visibility.
Samakatuwid, maliban kung sikat ng araw na may "&amp;"malinaw na visibility, dapat mong palaging naka-on ang iyong mga headlight kapag nagmamaneho sa Pilipinas.
Mga Bunga ng Pagmamaneho nang Walang Headlight:
Mga multa: Ang partikular na multa para sa pagmamaneho nang walang mga headlight ay maaaring mag-i"&amp;"ba depende sa lokasyon at sa pagpapasya ng nakahuli na opisyal. Gayunpaman, karaniwan itong nasa hanay na ₱500 hanggang ₱1,000.
Pagkumpiska ng Lisensya sa Pagmamaneho: Sa ilang mga kaso, maaaring kumpiskahin ang lisensya sa pagmamaneho hanggang sa dumalo"&amp;" sila sa isang seminar tungkol sa kaligtasan sa kalsada at magpakita ng wastong pag-unawa sa mga regulasyon sa trapiko.")</f>
        <v>Sa Pilipinas, ang pagmamaneho nang walang headlight ay karaniwang ilegal at itinuturing na walang ingat na pagmamaneho. Narito ang isang breakdown ng mga regulasyon at kung bakit mahalagang palaging gumamit ng mga headlight:
Legal na Batayan:
Republic Act No. 4136 (Land Transportation and Traffic Code):
Seksyon 15: Ang seksyong ito ay nag-uutos na ang lahat ng mga sasakyang de-motor ay dapat "magdala ng dalawang headlight, isa sa bawat gilid, na may puti o madilaw-dilaw na liwanag na nakikita mula sa harap, na dapat sisindihan sa gabi."
Karagdagang Paglilinaw:
Kahulugan sa Gabi: Bagama't ang partikular na kahulugan ng "oras ng gabi" ay hindi tahasang nakasaad sa batas, ito ay karaniwang nauunawaan bilang mga panahon ng mababang visibility, kabilang ang:
Takipsilim at bukang-liwayway: Kapag ang natural na liwanag ay kumukupas o humihina.
Mga oras ng malakas na ulan, hamog na ulap, o iba pang mga kondisyon na makabuluhang nagpapababa ng visibility.
Samakatuwid, maliban kung sikat ng araw na may malinaw na visibility, dapat mong palaging naka-on ang iyong mga headlight kapag nagmamaneho sa Pilipinas.
Mga Bunga ng Pagmamaneho nang Walang Headlight:
Mga multa: Ang partikular na multa para sa pagmamaneho nang walang mga headlight ay maaaring mag-iba depende sa lokasyon at sa pagpapasya ng nakahuli na opisyal. Gayunpaman, karaniwan itong nasa hanay na ₱500 hanggang ₱1,000.
Pagkumpiska ng Lisensya sa Pagmamaneho: Sa ilang mga kaso, maaaring kumpiskahin ang lisensya sa pagmamaneho hanggang sa dumalo sila sa isang seminar tungkol sa kaligtasan sa kalsada at magpakita ng wastong pag-unawa sa mga regulasyon sa trapiko.</v>
      </c>
      <c r="F1483" s="2">
        <f t="shared" si="1"/>
        <v>1</v>
      </c>
      <c r="G1483" s="2"/>
      <c r="H1483" s="2"/>
      <c r="I1483" s="2"/>
      <c r="J1483" s="2"/>
      <c r="K1483" s="2"/>
      <c r="L1483" s="2"/>
      <c r="M1483" s="2"/>
      <c r="N1483" s="2"/>
      <c r="O1483" s="2"/>
      <c r="P1483" s="2"/>
      <c r="Q1483" s="2"/>
      <c r="R1483" s="2"/>
      <c r="S1483" s="2"/>
      <c r="T1483" s="2"/>
      <c r="U1483" s="2"/>
      <c r="V1483" s="2"/>
      <c r="W1483" s="2"/>
      <c r="X1483" s="2"/>
      <c r="Y1483" s="2"/>
      <c r="Z1483" s="2"/>
      <c r="AA1483" s="2"/>
    </row>
    <row r="1484">
      <c r="A1484" s="3" t="s">
        <v>3972</v>
      </c>
      <c r="B1484" s="1" t="s">
        <v>4131</v>
      </c>
      <c r="C1484" s="1" t="s">
        <v>4132</v>
      </c>
      <c r="D1484" s="2" t="str">
        <f>IFERROR(__xludf.DUMMYFUNCTION("GOOGLETRANSLATE(B1484, ""en"", ""TL"")"),"Ano ang parusa sa paggamit ng helmet ng motorsiklo na hindi nakakatugon sa mga pamantayan sa kaligtasan?")</f>
        <v>Ano ang parusa sa paggamit ng helmet ng motorsiklo na hindi nakakatugon sa mga pamantayan sa kaligtasan?</v>
      </c>
      <c r="E1484" s="2" t="str">
        <f>IFERROR(__xludf.DUMMYFUNCTION("GOOGLETRANSLATE(C1484, ""en"", ""TL"")"),"Bilang karagdagan sa iba pang mga parusa na ipinataw ng Republic Act No. 7394, na kilala rin bilang ""Consumer Act of the Philippines,"" sinumang matagpuang gumagamit, nagbebenta, o namamahagi ng mga helmet ng motorsiklo na mababa sa pamantayan o walang s"&amp;"ertipiko ng ICC o ang marka ng PS ay nahaharap multang hindi bababa sa 3,000 pesos (Php3,000.00) para sa unang paglabag at 5,000 pesos (Php5,000.00) sa pangalawa.")</f>
        <v>Bilang karagdagan sa iba pang mga parusa na ipinataw ng Republic Act No. 7394, na kilala rin bilang "Consumer Act of the Philippines," sinumang matagpuang gumagamit, nagbebenta, o namamahagi ng mga helmet ng motorsiklo na mababa sa pamantayan o walang sertipiko ng ICC o ang marka ng PS ay nahaharap multang hindi bababa sa 3,000 pesos (Php3,000.00) para sa unang paglabag at 5,000 pesos (Php5,000.00) sa pangalawa.</v>
      </c>
      <c r="F1484" s="2">
        <f t="shared" si="1"/>
        <v>0</v>
      </c>
      <c r="G1484" s="2"/>
      <c r="H1484" s="2"/>
      <c r="I1484" s="2"/>
      <c r="J1484" s="2"/>
      <c r="K1484" s="2"/>
      <c r="L1484" s="2"/>
      <c r="M1484" s="2"/>
      <c r="N1484" s="2"/>
      <c r="O1484" s="2"/>
      <c r="P1484" s="2"/>
      <c r="Q1484" s="2"/>
      <c r="R1484" s="2"/>
      <c r="S1484" s="2"/>
      <c r="T1484" s="2"/>
      <c r="U1484" s="2"/>
      <c r="V1484" s="2"/>
      <c r="W1484" s="2"/>
      <c r="X1484" s="2"/>
      <c r="Y1484" s="2"/>
      <c r="Z1484" s="2"/>
      <c r="AA1484" s="2"/>
    </row>
    <row r="1485">
      <c r="A1485" s="3" t="s">
        <v>3972</v>
      </c>
      <c r="B1485" s="1" t="s">
        <v>4133</v>
      </c>
      <c r="C1485" s="1" t="s">
        <v>4134</v>
      </c>
      <c r="D1485" s="2" t="str">
        <f>IFERROR(__xludf.DUMMYFUNCTION("GOOGLETRANSLATE(B1485, ""en"", ""TL"")"),"Ano ang multa para sa pagmamaneho nang walang valid na lisensya ng konduktor para sa mga pampublikong sasakyan?")</f>
        <v>Ano ang multa para sa pagmamaneho nang walang valid na lisensya ng konduktor para sa mga pampublikong sasakyan?</v>
      </c>
      <c r="E1485" s="2" t="str">
        <f>IFERROR(__xludf.DUMMYFUNCTION("GOOGLETRANSLATE(C1485, ""en"", ""TL"")"),"Bagama't ang pagmamaneho nang walang valid conductor's license para sa mga public utility vehicle (PUV) ay itinuturing na isang paglabag sa Pilipinas, walang isang partikular na multa na nauugnay dito. Gayunpaman, may ilang mga potensyal na kahihinatnan n"&amp;"a maaaring magresulta mula sa paglabag na ito:
1. Pangangarap at mga Parusa:
Land Transportation Office (LTO) Apprehension: Kapag nahuli ng mga tauhan ng LTO, maaaring bigyan ng citation ang driver para sa paglabag.
Mga Parusa: Ang partikular na parusa"&amp;" ay maaaring mag-iba depende sa pagpapasya ng opisyal ng paghuli at sa mga partikular na pangyayari. Gayunpaman, maaaring kabilang dito ang:
Mga multa: Depende sa kalubhaan ng pagkakasala at pagpapasya ng opisyal, ang mga multa ay maaaring mula sa daan-d"&amp;"aan hanggang libu-libong piso.
Pagkumpiska ng Lisensya sa Pagmamaneho: Maaaring kumpiskahin ang lisensya sa pagmamaneho hanggang sa matugunan ang paglabag at maipakita ang isang balidong lisensya ng konduktor.
Pag-impound ng Sasakyan: Sa ilang mga kaso,"&amp;" ang PUV mismo ay maaaring ma-impound hanggang sa may lisensyadong konduktor o naresolba ang sitwasyon.
2. Karagdagang mga kahihinatnan:
Paglabag sa Franchise: Ang pagpapatakbo ng PUV nang walang lisensyadong konduktor ay maaari ding ituring na paglabag"&amp;" sa kasunduan ng prangkisa ng operator sa Land Transportation Franchising and Regulatory Board (LTFRB). Ito ay maaaring humantong sa karagdagang mga parusa o kahit na suspensyon ng prangkisa.
Mga Alalahanin sa Kaligtasan: Ang kakulangan ng isang kwalipik"&amp;"adong konduktor ay nagdudulot ng panganib sa kaligtasan sa mga pasahero at iba pang gumagamit ng kalsada. Ang mga pampublikong sasakyan ay kinakailangang magkaroon ng konduktor na tutulong sa driver sa pamamahala ng pasahero, pagkolekta ng pamasahe, at pa"&amp;"gtiyak sa pangkalahatang kaligtasan ng mga pasahero.
Samakatuwid, habang walang iisang, nakapirming multa para sa partikular na paglabag na ito, ang mga potensyal na kahihinatnan ay maaaring maging makabuluhan at maaaring kasangkot ang iba't ibang entity"&amp;" na higit pa sa LTO.")</f>
        <v>Bagama't ang pagmamaneho nang walang valid conductor's license para sa mga public utility vehicle (PUV) ay itinuturing na isang paglabag sa Pilipinas, walang isang partikular na multa na nauugnay dito. Gayunpaman, may ilang mga potensyal na kahihinatnan na maaaring magresulta mula sa paglabag na ito:
1. Pangangarap at mga Parusa:
Land Transportation Office (LTO) Apprehension: Kapag nahuli ng mga tauhan ng LTO, maaaring bigyan ng citation ang driver para sa paglabag.
Mga Parusa: Ang partikular na parusa ay maaaring mag-iba depende sa pagpapasya ng opisyal ng paghuli at sa mga partikular na pangyayari. Gayunpaman, maaaring kabilang dito ang:
Mga multa: Depende sa kalubhaan ng pagkakasala at pagpapasya ng opisyal, ang mga multa ay maaaring mula sa daan-daan hanggang libu-libong piso.
Pagkumpiska ng Lisensya sa Pagmamaneho: Maaaring kumpiskahin ang lisensya sa pagmamaneho hanggang sa matugunan ang paglabag at maipakita ang isang balidong lisensya ng konduktor.
Pag-impound ng Sasakyan: Sa ilang mga kaso, ang PUV mismo ay maaaring ma-impound hanggang sa may lisensyadong konduktor o naresolba ang sitwasyon.
2. Karagdagang mga kahihinatnan:
Paglabag sa Franchise: Ang pagpapatakbo ng PUV nang walang lisensyadong konduktor ay maaari ding ituring na paglabag sa kasunduan ng prangkisa ng operator sa Land Transportation Franchising and Regulatory Board (LTFRB). Ito ay maaaring humantong sa karagdagang mga parusa o kahit na suspensyon ng prangkisa.
Mga Alalahanin sa Kaligtasan: Ang kakulangan ng isang kwalipikadong konduktor ay nagdudulot ng panganib sa kaligtasan sa mga pasahero at iba pang gumagamit ng kalsada. Ang mga pampublikong sasakyan ay kinakailangang magkaroon ng konduktor na tutulong sa driver sa pamamahala ng pasahero, pagkolekta ng pamasahe, at pagtiyak sa pangkalahatang kaligtasan ng mga pasahero.
Samakatuwid, habang walang iisang, nakapirming multa para sa partikular na paglabag na ito, ang mga potensyal na kahihinatnan ay maaaring maging makabuluhan at maaaring kasangkot ang iba't ibang entity na higit pa sa LTO.</v>
      </c>
      <c r="F1485" s="2">
        <f t="shared" si="1"/>
        <v>0</v>
      </c>
      <c r="G1485" s="2"/>
      <c r="H1485" s="2"/>
      <c r="I1485" s="2"/>
      <c r="J1485" s="2"/>
      <c r="K1485" s="2"/>
      <c r="L1485" s="2"/>
      <c r="M1485" s="2"/>
      <c r="N1485" s="2"/>
      <c r="O1485" s="2"/>
      <c r="P1485" s="2"/>
      <c r="Q1485" s="2"/>
      <c r="R1485" s="2"/>
      <c r="S1485" s="2"/>
      <c r="T1485" s="2"/>
      <c r="U1485" s="2"/>
      <c r="V1485" s="2"/>
      <c r="W1485" s="2"/>
      <c r="X1485" s="2"/>
      <c r="Y1485" s="2"/>
      <c r="Z1485" s="2"/>
      <c r="AA1485" s="2"/>
    </row>
    <row r="1486">
      <c r="A1486" s="3" t="s">
        <v>3972</v>
      </c>
      <c r="B1486" s="1" t="s">
        <v>4135</v>
      </c>
      <c r="C1486" s="1" t="s">
        <v>4136</v>
      </c>
      <c r="D1486" s="2" t="str">
        <f>IFERROR(__xludf.DUMMYFUNCTION("GOOGLETRANSLATE(B1486, ""en"", ""TL"")"),"Maaari bang pagmultahin ang isang tsuper dahil sa hindi pagpansin sa mga karatula ng trapiko na nagsasaad ng no-left-turn o no-right-turn zone?")</f>
        <v>Maaari bang pagmultahin ang isang tsuper dahil sa hindi pagpansin sa mga karatula ng trapiko na nagsasaad ng no-left-turn o no-right-turn zone?</v>
      </c>
      <c r="E1486" s="2" t="str">
        <f>IFERROR(__xludf.DUMMYFUNCTION("GOOGLETRANSLATE(C1486, ""en"", ""TL"")"),"Bagama't ang LTO at ang mga tagapagpatupad nito ay malayang singilin ang sinumang hindi gumagalang sa mga palatandaan ng trapiko na lumalabag sa mga batas at regulasyon ng trapiko, na may multang P1,000.00, walang tiyak na bayad sa LTO upang bayaran ang m"&amp;"ga kaugnay na pagkakasala sa DTS.")</f>
        <v>Bagama't ang LTO at ang mga tagapagpatupad nito ay malayang singilin ang sinumang hindi gumagalang sa mga palatandaan ng trapiko na lumalabag sa mga batas at regulasyon ng trapiko, na may multang P1,000.00, walang tiyak na bayad sa LTO upang bayaran ang mga kaugnay na pagkakasala sa DTS.</v>
      </c>
      <c r="F1486" s="2">
        <f t="shared" si="1"/>
        <v>0</v>
      </c>
      <c r="G1486" s="2"/>
      <c r="H1486" s="2"/>
      <c r="I1486" s="2"/>
      <c r="J1486" s="2"/>
      <c r="K1486" s="2"/>
      <c r="L1486" s="2"/>
      <c r="M1486" s="2"/>
      <c r="N1486" s="2"/>
      <c r="O1486" s="2"/>
      <c r="P1486" s="2"/>
      <c r="Q1486" s="2"/>
      <c r="R1486" s="2"/>
      <c r="S1486" s="2"/>
      <c r="T1486" s="2"/>
      <c r="U1486" s="2"/>
      <c r="V1486" s="2"/>
      <c r="W1486" s="2"/>
      <c r="X1486" s="2"/>
      <c r="Y1486" s="2"/>
      <c r="Z1486" s="2"/>
      <c r="AA1486" s="2"/>
    </row>
    <row r="1487">
      <c r="A1487" s="3" t="s">
        <v>3972</v>
      </c>
      <c r="B1487" s="1" t="s">
        <v>4137</v>
      </c>
      <c r="C1487" s="1" t="s">
        <v>4138</v>
      </c>
      <c r="D1487" s="2" t="str">
        <f>IFERROR(__xludf.DUMMYFUNCTION("GOOGLETRANSLATE(B1487, ""en"", ""TL"")"),"Ano ang parusa para sa pagmamaneho na may suspendido o binawi na lisensya sa pagmamaneho?")</f>
        <v>Ano ang parusa para sa pagmamaneho na may suspendido o binawi na lisensya sa pagmamaneho?</v>
      </c>
      <c r="E1487" s="2" t="str">
        <f>IFERROR(__xludf.DUMMYFUNCTION("GOOGLETRANSLATE(C1487, ""en"", ""TL"")"),"Mga parusa:
₱10,000 na multa: Ito ang karaniwang multa para sa pagmamaneho na may sinuspinde o binawi na lisensya ayon sa Joint Administrative Order (JAO) No. 2014-01 na inisyu ng Land Transportation Office (LTO) at Department of Transportation (DOTr).
"&amp;"Karagdagang diskwalipikasyon sa pagmamaneho:
Binawi ang Lisensya: Kung ang iyong lisensya ay binawi, ikaw ay nahaharap sa walang hanggang diskwalipikasyon sa pagkuha ng lisensya sa pagmamaneho.
Nasuspinde na Lisensya: Kung nasuspinde ang iyong lisensya,"&amp;" mahaharap ka sa karagdagang panahon ng diskwalipikasyon mula sa pagmamaneho sa itaas ng unang panahon ng pagsususpinde. Ang tiyak na tagal ng karagdagang diskwalipikasyon na ito ay depende sa dahilan ng pagsususpinde.
Pag-impound ng sasakyan: Sa ilang m"&amp;"ga kaso, ang sasakyan na iyong minamaneho ay maaaring ma-impound hanggang sa malutas ang sitwasyon at isang wastong driver ang nagpapatakbo nito.
Mga Karagdagang Pagsasaalang-alang:
Pagkumpiska ng Lisensya sa Pagmamaneho: Ang iyong nasuspinde o binawi n"&amp;"a lisensya sa pagmamaneho ay maaaring kumpiskahin ng opisyal ng paghuli.
Mga kasong kriminal: Sa matinding kaso, lalo na kung ang pagmamaneho na may suspendido/binawi na lisensya ay humantong sa isang aksidente o iba pang malubhang kahihinatnan, maaaring"&amp;" magsampa ng mga kasong kriminal.")</f>
        <v>Mga parusa:
₱10,000 na multa: Ito ang karaniwang multa para sa pagmamaneho na may sinuspinde o binawi na lisensya ayon sa Joint Administrative Order (JAO) No. 2014-01 na inisyu ng Land Transportation Office (LTO) at Department of Transportation (DOTr).
Karagdagang diskwalipikasyon sa pagmamaneho:
Binawi ang Lisensya: Kung ang iyong lisensya ay binawi, ikaw ay nahaharap sa walang hanggang diskwalipikasyon sa pagkuha ng lisensya sa pagmamaneho.
Nasuspinde na Lisensya: Kung nasuspinde ang iyong lisensya, mahaharap ka sa karagdagang panahon ng diskwalipikasyon mula sa pagmamaneho sa itaas ng unang panahon ng pagsususpinde. Ang tiyak na tagal ng karagdagang diskwalipikasyon na ito ay depende sa dahilan ng pagsususpinde.
Pag-impound ng sasakyan: Sa ilang mga kaso, ang sasakyan na iyong minamaneho ay maaaring ma-impound hanggang sa malutas ang sitwasyon at isang wastong driver ang nagpapatakbo nito.
Mga Karagdagang Pagsasaalang-alang:
Pagkumpiska ng Lisensya sa Pagmamaneho: Ang iyong nasuspinde o binawi na lisensya sa pagmamaneho ay maaaring kumpiskahin ng opisyal ng paghuli.
Mga kasong kriminal: Sa matinding kaso, lalo na kung ang pagmamaneho na may suspendido/binawi na lisensya ay humantong sa isang aksidente o iba pang malubhang kahihinatnan, maaaring magsampa ng mga kasong kriminal.</v>
      </c>
      <c r="F1487" s="2">
        <f t="shared" si="1"/>
        <v>0</v>
      </c>
      <c r="G1487" s="2"/>
      <c r="H1487" s="2"/>
      <c r="I1487" s="2"/>
      <c r="J1487" s="2"/>
      <c r="K1487" s="2"/>
      <c r="L1487" s="2"/>
      <c r="M1487" s="2"/>
      <c r="N1487" s="2"/>
      <c r="O1487" s="2"/>
      <c r="P1487" s="2"/>
      <c r="Q1487" s="2"/>
      <c r="R1487" s="2"/>
      <c r="S1487" s="2"/>
      <c r="T1487" s="2"/>
      <c r="U1487" s="2"/>
      <c r="V1487" s="2"/>
      <c r="W1487" s="2"/>
      <c r="X1487" s="2"/>
      <c r="Y1487" s="2"/>
      <c r="Z1487" s="2"/>
      <c r="AA1487" s="2"/>
    </row>
    <row r="1488">
      <c r="A1488" s="3" t="s">
        <v>3972</v>
      </c>
      <c r="B1488" s="1" t="s">
        <v>4139</v>
      </c>
      <c r="C1488" s="1" t="s">
        <v>4140</v>
      </c>
      <c r="D1488" s="2" t="str">
        <f>IFERROR(__xludf.DUMMYFUNCTION("GOOGLETRANSLATE(B1488, ""en"", ""TL"")"),"Kailan maaaring gamitin ng tsuper ang balikat ng kalsada para huminto o magparada ng sasakyan?")</f>
        <v>Kailan maaaring gamitin ng tsuper ang balikat ng kalsada para huminto o magparada ng sasakyan?</v>
      </c>
      <c r="E1488" s="2" t="str">
        <f>IFERROR(__xludf.DUMMYFUNCTION("GOOGLETRANSLATE(C1488, ""en"", ""TL"")"),"May mga alituntunin at regulasyon sa Pilipinas tungkol sa paggamit ng balikat sa kalsada para sa pagparada o pagpapahinto ng sasakyan. Hatiin natin ito:
Batas sa Distracted Driving:
Ipinagbabawal ng Anti-Distracted Driving Act ang paggamit ng mga mo"&amp;"bile device para sa pag-text, pagtawag, o paglilibang habang nagpapatakbo ng sasakyang de-motor.
Dapat huminto ang isang driver sa balikat ng kalsada o malayo sa regular na daloy ng trapiko kung kailangan nilang gumamit ng gadget, mag-navigate, o sumagot"&amp;" o tumawag.
Ang mga tawag na ginawa sa isang emergency sa pulisya, kagawaran ng bumbero, kawani ng medikal, o iba pang mga serbisyong pang-emergency ay mga eksepsiyon.
Paggamit ng Road Shoulders:
Ang layunin ng mga balikat sa kalsada ay limitado sa mga"&amp;" emerhensiya.
Bukod sa mga sitwasyon kung saan talagang kinakailangan upang maiwasan ang isang aksidente o alisin ang isang may kapansanan na sasakyan mula sa kalsada, ang mga driver sa pangkalahatan ay dapat na iwasan ang paggamit ng balikat.
Kapag ang"&amp;" isang driver ay nakatagpo ng isang mekanikal na isyu, maaari silang huminto sa balikat ng kalsada, huminto, at ayusin ang problema. Sa ilang mga pagkakataon, maaari ding payuhan ng mga awtoridad ang mga driver na gamitin ang kanilang balikat.
Paradahan
"&amp;"
Sa pangkalahatan, ipinagbabawal ng NO PARKING SIGNAGE ang paradahan sa gilid ng kalsada.
Sa kabilang banda, hangga't ang kalye ay hindi pribado na may sarili nitong mga regulasyon sa paradahan, pinahihintulutan ang paradahan kahit na sa mga walang karat"&amp;"ula sa paradahan.
Dapat iwasan ang mga tawiran dahil bawal ang paradahan doon.")</f>
        <v>May mga alituntunin at regulasyon sa Pilipinas tungkol sa paggamit ng balikat sa kalsada para sa pagparada o pagpapahinto ng sasakyan. Hatiin natin ito:
Batas sa Distracted Driving:
Ipinagbabawal ng Anti-Distracted Driving Act ang paggamit ng mga mobile device para sa pag-text, pagtawag, o paglilibang habang nagpapatakbo ng sasakyang de-motor.
Dapat huminto ang isang driver sa balikat ng kalsada o malayo sa regular na daloy ng trapiko kung kailangan nilang gumamit ng gadget, mag-navigate, o sumagot o tumawag.
Ang mga tawag na ginawa sa isang emergency sa pulisya, kagawaran ng bumbero, kawani ng medikal, o iba pang mga serbisyong pang-emergency ay mga eksepsiyon.
Paggamit ng Road Shoulders:
Ang layunin ng mga balikat sa kalsada ay limitado sa mga emerhensiya.
Bukod sa mga sitwasyon kung saan talagang kinakailangan upang maiwasan ang isang aksidente o alisin ang isang may kapansanan na sasakyan mula sa kalsada, ang mga driver sa pangkalahatan ay dapat na iwasan ang paggamit ng balikat.
Kapag ang isang driver ay nakatagpo ng isang mekanikal na isyu, maaari silang huminto sa balikat ng kalsada, huminto, at ayusin ang problema. Sa ilang mga pagkakataon, maaari ding payuhan ng mga awtoridad ang mga driver na gamitin ang kanilang balikat.
Paradahan
Sa pangkalahatan, ipinagbabawal ng NO PARKING SIGNAGE ang paradahan sa gilid ng kalsada.
Sa kabilang banda, hangga't ang kalye ay hindi pribado na may sarili nitong mga regulasyon sa paradahan, pinahihintulutan ang paradahan kahit na sa mga walang karatula sa paradahan.
Dapat iwasan ang mga tawiran dahil bawal ang paradahan doon.</v>
      </c>
      <c r="F1488" s="2">
        <f t="shared" si="1"/>
        <v>0</v>
      </c>
      <c r="G1488" s="2"/>
      <c r="H1488" s="2"/>
      <c r="I1488" s="2"/>
      <c r="J1488" s="2"/>
      <c r="K1488" s="2"/>
      <c r="L1488" s="2"/>
      <c r="M1488" s="2"/>
      <c r="N1488" s="2"/>
      <c r="O1488" s="2"/>
      <c r="P1488" s="2"/>
      <c r="Q1488" s="2"/>
      <c r="R1488" s="2"/>
      <c r="S1488" s="2"/>
      <c r="T1488" s="2"/>
      <c r="U1488" s="2"/>
      <c r="V1488" s="2"/>
      <c r="W1488" s="2"/>
      <c r="X1488" s="2"/>
      <c r="Y1488" s="2"/>
      <c r="Z1488" s="2"/>
      <c r="AA1488" s="2"/>
    </row>
    <row r="1489">
      <c r="A1489" s="3" t="s">
        <v>3972</v>
      </c>
      <c r="B1489" s="1" t="s">
        <v>4141</v>
      </c>
      <c r="C1489" s="1" t="s">
        <v>4142</v>
      </c>
      <c r="D1489" s="2" t="str">
        <f>IFERROR(__xludf.DUMMYFUNCTION("GOOGLETRANSLATE(B1489, ""en"", ""TL"")"),"Ano ang multa para sa pagpapahintulot sa isang bata na umupo sa kandungan ng isang driver habang ang sasakyan ay umaandar?")</f>
        <v>Ano ang multa para sa pagpapahintulot sa isang bata na umupo sa kandungan ng isang driver habang ang sasakyan ay umaandar?</v>
      </c>
      <c r="E1489" s="2" t="str">
        <f>IFERROR(__xludf.DUMMYFUNCTION("GOOGLETRANSLATE(C1489, ""en"", ""TL"")"),"Bagama't walang partikular, nakapag-iisang multa sa Pilipinas para lamang sa pagpayag sa isang bata na umupo sa kandungan ng isang driver habang ang sasakyan ay umaandar, mahalagang maunawaan na ang kagawiang ito ay mahigpit na hindi hinihikayat at maaari"&amp;"ng humantong sa malubhang kahihinatnan. sa likas nitong panganib sa kaligtasan.
Narito kung bakit mapanganib ang pagpayag sa isang bata sa kandungan ng driver at kung bakit mahalagang sundin ang mga alternatibong hakbang sa kaligtasan:
Mga Alalahanin sa"&amp;" Kaligtasan:
Kakulangan ng wastong pagpigil: Ang mga batang nakaupo sa kandungan ay walang tamang pagpigil sa kaso ng biglaang paghinto, pag-swerve, o banggaan. Ito ay makabuluhang pinatataas ang kanilang panganib ng malubhang pinsala o kahit na mga pagk"&amp;"amatay sa panahon ng isang aksidente.
Obstruction of driver's control: Ang isang bata sa kandungan ay maaaring makahadlang sa kakayahan ng driver na kontrolin ang sasakyan sa pamamagitan ng pakikialam sa kanilang paggalaw o visibility.
Mga alternatibo s"&amp;"a Lap Sitting:
Child safety seat: Ang pinakaligtas na opsyon ay ang palaging gumamit ng maayos na naka-install at naaangkop sa edad na child safety seat para sa bawat bata sa sasakyan. Ito ay ipinag-uutos ng batas sa Pilipinas sa ilalim ng Republic Act N"&amp;"o. 11229 (Child Safety in Motor Vehicles Act).
Upuan sa likuran na may seat belt: Kung hindi available ang upuan para sa kaligtasan ng bata, tiyaking nakaupo ang bata sa likurang upuan at maayos na nakasabit ng seat belt na naaangkop sa kanilang edad at "&amp;"laki.
Mga Potensyal na Bunga:
Bagama't walang partikular na multa para lamang sa lap sitting, ang kakulangan ng child safety seat para sa mga bata sa ilalim ng isang partikular na edad at partikular na mga pangyayari ay may kaparusahan, gaya ng nakabala"&amp;"ngkas sa RA 11229:
Unang paglabag: ₱1,000 na multa
Pangalawang paglabag: ₱2,000 na multa
Ikatlo at kasunod na mga pagkakasala: ₱5,000 multa at posibleng suspensiyon ng lisensya sa pagmamaneho ng isang taon")</f>
        <v>Bagama't walang partikular, nakapag-iisang multa sa Pilipinas para lamang sa pagpayag sa isang bata na umupo sa kandungan ng isang driver habang ang sasakyan ay umaandar, mahalagang maunawaan na ang kagawiang ito ay mahigpit na hindi hinihikayat at maaaring humantong sa malubhang kahihinatnan. sa likas nitong panganib sa kaligtasan.
Narito kung bakit mapanganib ang pagpayag sa isang bata sa kandungan ng driver at kung bakit mahalagang sundin ang mga alternatibong hakbang sa kaligtasan:
Mga Alalahanin sa Kaligtasan:
Kakulangan ng wastong pagpigil: Ang mga batang nakaupo sa kandungan ay walang tamang pagpigil sa kaso ng biglaang paghinto, pag-swerve, o banggaan. Ito ay makabuluhang pinatataas ang kanilang panganib ng malubhang pinsala o kahit na mga pagkamatay sa panahon ng isang aksidente.
Obstruction of driver's control: Ang isang bata sa kandungan ay maaaring makahadlang sa kakayahan ng driver na kontrolin ang sasakyan sa pamamagitan ng pakikialam sa kanilang paggalaw o visibility.
Mga alternatibo sa Lap Sitting:
Child safety seat: Ang pinakaligtas na opsyon ay ang palaging gumamit ng maayos na naka-install at naaangkop sa edad na child safety seat para sa bawat bata sa sasakyan. Ito ay ipinag-uutos ng batas sa Pilipinas sa ilalim ng Republic Act No. 11229 (Child Safety in Motor Vehicles Act).
Upuan sa likuran na may seat belt: Kung hindi available ang upuan para sa kaligtasan ng bata, tiyaking nakaupo ang bata sa likurang upuan at maayos na nakasabit ng seat belt na naaangkop sa kanilang edad at laki.
Mga Potensyal na Bunga:
Bagama't walang partikular na multa para lamang sa lap sitting, ang kakulangan ng child safety seat para sa mga bata sa ilalim ng isang partikular na edad at partikular na mga pangyayari ay may kaparusahan, gaya ng nakabalangkas sa RA 11229:
Unang paglabag: ₱1,000 na multa
Pangalawang paglabag: ₱2,000 na multa
Ikatlo at kasunod na mga pagkakasala: ₱5,000 multa at posibleng suspensiyon ng lisensya sa pagmamaneho ng isang taon</v>
      </c>
      <c r="F1489" s="2">
        <f t="shared" si="1"/>
        <v>1</v>
      </c>
      <c r="G1489" s="2"/>
      <c r="H1489" s="2"/>
      <c r="I1489" s="2"/>
      <c r="J1489" s="2"/>
      <c r="K1489" s="2"/>
      <c r="L1489" s="2"/>
      <c r="M1489" s="2"/>
      <c r="N1489" s="2"/>
      <c r="O1489" s="2"/>
      <c r="P1489" s="2"/>
      <c r="Q1489" s="2"/>
      <c r="R1489" s="2"/>
      <c r="S1489" s="2"/>
      <c r="T1489" s="2"/>
      <c r="U1489" s="2"/>
      <c r="V1489" s="2"/>
      <c r="W1489" s="2"/>
      <c r="X1489" s="2"/>
      <c r="Y1489" s="2"/>
      <c r="Z1489" s="2"/>
      <c r="AA1489" s="2"/>
    </row>
    <row r="1490">
      <c r="A1490" s="3" t="s">
        <v>3972</v>
      </c>
      <c r="B1490" s="1" t="s">
        <v>4143</v>
      </c>
      <c r="C1490" s="1" t="s">
        <v>4144</v>
      </c>
      <c r="D1490" s="2" t="str">
        <f>IFERROR(__xludf.DUMMYFUNCTION("GOOGLETRANSLATE(B1490, ""en"", ""TL"")"),"Ano ang parusa para sa pagpapatakbo ng sasakyan nang walang kinakailangang mga kagamitan sa maagang babala?")</f>
        <v>Ano ang parusa para sa pagpapatakbo ng sasakyan nang walang kinakailangang mga kagamitan sa maagang babala?</v>
      </c>
      <c r="E1490" s="2" t="str">
        <f>IFERROR(__xludf.DUMMYFUNCTION("GOOGLETRANSLATE(C1490, ""en"", ""TL"")"),"Ayon sa LTO, talagang ilegal ang pagmamaneho ng sasakyan nang walang early warning device. Aling mga paglabag sa pagmamaneho ang resulta ng hindi pagkakaroon ng EWD? Mga driver na nakuhanan ng lisensya at pagmumultahin ng P500 dahil sa walang EWD.")</f>
        <v>Ayon sa LTO, talagang ilegal ang pagmamaneho ng sasakyan nang walang early warning device. Aling mga paglabag sa pagmamaneho ang resulta ng hindi pagkakaroon ng EWD? Mga driver na nakuhanan ng lisensya at pagmumultahin ng P500 dahil sa walang EWD.</v>
      </c>
      <c r="F1490" s="2">
        <f t="shared" si="1"/>
        <v>0</v>
      </c>
      <c r="G1490" s="2"/>
      <c r="H1490" s="2"/>
      <c r="I1490" s="2"/>
      <c r="J1490" s="2"/>
      <c r="K1490" s="2"/>
      <c r="L1490" s="2"/>
      <c r="M1490" s="2"/>
      <c r="N1490" s="2"/>
      <c r="O1490" s="2"/>
      <c r="P1490" s="2"/>
      <c r="Q1490" s="2"/>
      <c r="R1490" s="2"/>
      <c r="S1490" s="2"/>
      <c r="T1490" s="2"/>
      <c r="U1490" s="2"/>
      <c r="V1490" s="2"/>
      <c r="W1490" s="2"/>
      <c r="X1490" s="2"/>
      <c r="Y1490" s="2"/>
      <c r="Z1490" s="2"/>
      <c r="AA1490" s="2"/>
    </row>
    <row r="1491">
      <c r="A1491" s="3" t="s">
        <v>3972</v>
      </c>
      <c r="B1491" s="1" t="s">
        <v>4145</v>
      </c>
      <c r="C1491" s="1" t="s">
        <v>4146</v>
      </c>
      <c r="D1491" s="2" t="str">
        <f>IFERROR(__xludf.DUMMYFUNCTION("GOOGLETRANSLATE(B1491, ""en"", ""TL"")"),"Maaari bang pagmultahin ang isang tsuper dahil sa hindi pagsuko sa isang paparating na sasakyang pang-emergency na may sirena?")</f>
        <v>Maaari bang pagmultahin ang isang tsuper dahil sa hindi pagsuko sa isang paparating na sasakyang pang-emergency na may sirena?</v>
      </c>
      <c r="E1491" s="2" t="str">
        <f>IFERROR(__xludf.DUMMYFUNCTION("GOOGLETRANSLATE(C1491, ""en"", ""TL"")"),"Oo, sa Pilipinas, ang isang driver ay maaaring pagmultahin kapag hindi sumuko sa isang paparating na sasakyang pang-emergency na may sirena. Isa itong malubhang paglabag sa trapiko at maaaring magresulta sa mga parusa at potensyal na legal na epekto.
Nar"&amp;"ito ang isang breakdown ng mga regulasyon at kahihinatnan:
Legal na Batayan:
Republic Act No. 4136 (Land Transportation and Traffic Code):
Ang Seksyon 55(a) ay partikular na nagsasaad na ang mga driver ay dapat ""magbigay ng karapatan sa daan"" sa:
"""&amp;"Mga sasakyan ng pulisya, mga makina ng bumbero, mga ambulansya, at iba pang mga sasakyang pang-emergency""
""Kapag nagbibigay sila ng naririnig na mga senyales ng babala at ipinapakita ang kanilang mga kumikislap na ilaw""
Pagkabigong Magbigay:
Ang hin"&amp;"di pagsuko sa paparating na sasakyang pang-emergency na may sirena at kumikislap na mga ilaw ay itinuturing na isang paglabag sa Seksyon 55(a) ng Land Transportation and Traffic Code.
Mga parusa:
₱1,500 na multa: Ito ang karaniwang multa para sa hindi p"&amp;"agsuko sa isang sasakyang pang-emergency ayon sa Land Transportation Office (LTO) Memorandum Circular No. 2016-020.
Karagdagang mga parusa: Depende sa mga partikular na pangyayari at sa pagpapasya ng opisyal ng paghuli, maaaring kabilang sa iba pang mga "&amp;"parusa ang:
Mga demerit point: Mga puntos na idinaragdag sa lisensya sa pagmamaneho, na maaaring humantong sa pagsususpinde kung makaipon sila ng isang tiyak na numero.
Pag-impound ng sasakyan: Sa matinding mga kaso, maaaring ma-impound ang sasakyan han"&amp;"ggang sa malutas ang sitwasyon.
Kahalagahan ng Pagbibigay:
Ang pagsuko sa mga sasakyang pang-emergency ay nagbibigay-daan sa kanila na makarating sa kanilang mga destinasyon nang mabilis at ligtas, na posibleng magligtas ng mga buhay sa mga kritikal na "&amp;"sitwasyon. Nagpapakita ito ng responsableng pagmamaneho at tinitiyak ang kaligtasan ng mga emergency personnel at ng publiko.")</f>
        <v>Oo, sa Pilipinas, ang isang driver ay maaaring pagmultahin kapag hindi sumuko sa isang paparating na sasakyang pang-emergency na may sirena. Isa itong malubhang paglabag sa trapiko at maaaring magresulta sa mga parusa at potensyal na legal na epekto.
Narito ang isang breakdown ng mga regulasyon at kahihinatnan:
Legal na Batayan:
Republic Act No. 4136 (Land Transportation and Traffic Code):
Ang Seksyon 55(a) ay partikular na nagsasaad na ang mga driver ay dapat "magbigay ng karapatan sa daan" sa:
"Mga sasakyan ng pulisya, mga makina ng bumbero, mga ambulansya, at iba pang mga sasakyang pang-emergency"
"Kapag nagbibigay sila ng naririnig na mga senyales ng babala at ipinapakita ang kanilang mga kumikislap na ilaw"
Pagkabigong Magbigay:
Ang hindi pagsuko sa paparating na sasakyang pang-emergency na may sirena at kumikislap na mga ilaw ay itinuturing na isang paglabag sa Seksyon 55(a) ng Land Transportation and Traffic Code.
Mga parusa:
₱1,500 na multa: Ito ang karaniwang multa para sa hindi pagsuko sa isang sasakyang pang-emergency ayon sa Land Transportation Office (LTO) Memorandum Circular No. 2016-020.
Karagdagang mga parusa: Depende sa mga partikular na pangyayari at sa pagpapasya ng opisyal ng paghuli, maaaring kabilang sa iba pang mga parusa ang:
Mga demerit point: Mga puntos na idinaragdag sa lisensya sa pagmamaneho, na maaaring humantong sa pagsususpinde kung makaipon sila ng isang tiyak na numero.
Pag-impound ng sasakyan: Sa matinding mga kaso, maaaring ma-impound ang sasakyan hanggang sa malutas ang sitwasyon.
Kahalagahan ng Pagbibigay:
Ang pagsuko sa mga sasakyang pang-emergency ay nagbibigay-daan sa kanila na makarating sa kanilang mga destinasyon nang mabilis at ligtas, na posibleng magligtas ng mga buhay sa mga kritikal na sitwasyon. Nagpapakita ito ng responsableng pagmamaneho at tinitiyak ang kaligtasan ng mga emergency personnel at ng publiko.</v>
      </c>
      <c r="F1491" s="2">
        <f t="shared" si="1"/>
        <v>0</v>
      </c>
      <c r="G1491" s="2"/>
      <c r="H1491" s="2"/>
      <c r="I1491" s="2"/>
      <c r="J1491" s="2"/>
      <c r="K1491" s="2"/>
      <c r="L1491" s="2"/>
      <c r="M1491" s="2"/>
      <c r="N1491" s="2"/>
      <c r="O1491" s="2"/>
      <c r="P1491" s="2"/>
      <c r="Q1491" s="2"/>
      <c r="R1491" s="2"/>
      <c r="S1491" s="2"/>
      <c r="T1491" s="2"/>
      <c r="U1491" s="2"/>
      <c r="V1491" s="2"/>
      <c r="W1491" s="2"/>
      <c r="X1491" s="2"/>
      <c r="Y1491" s="2"/>
      <c r="Z1491" s="2"/>
      <c r="AA1491" s="2"/>
    </row>
    <row r="1492">
      <c r="A1492" s="3" t="s">
        <v>3972</v>
      </c>
      <c r="B1492" s="1" t="s">
        <v>4147</v>
      </c>
      <c r="C1492" s="1" t="s">
        <v>4148</v>
      </c>
      <c r="D1492" s="2" t="str">
        <f>IFERROR(__xludf.DUMMYFUNCTION("GOOGLETRANSLATE(B1492, ""en"", ""TL"")"),"Ano ang parusa sa pagmamaneho nang walang kinakailangang seguro sa sasakyang de-motor?")</f>
        <v>Ano ang parusa sa pagmamaneho nang walang kinakailangang seguro sa sasakyang de-motor?</v>
      </c>
      <c r="E1492" s="2" t="str">
        <f>IFERROR(__xludf.DUMMYFUNCTION("GOOGLETRANSLATE(C1492, ""en"", ""TL"")"),"Parusa para sa hindi pagsunod Nangangailangan ka ng mga multa mula sa gobyerno kung nagpapatakbo ka ng four-wheel drive na sasakyan nang walang third-party liability insurance policy. Isinasaad ng modified Motor Vehicles Act 2019 na ang unang paglabag ay "&amp;"may multa na ₱ 2,000, at ang pangalawang paglabag ay may multa na ₱ 4000.")</f>
        <v>Parusa para sa hindi pagsunod Nangangailangan ka ng mga multa mula sa gobyerno kung nagpapatakbo ka ng four-wheel drive na sasakyan nang walang third-party liability insurance policy. Isinasaad ng modified Motor Vehicles Act 2019 na ang unang paglabag ay may multa na ₱ 2,000, at ang pangalawang paglabag ay may multa na ₱ 4000.</v>
      </c>
      <c r="F1492" s="2">
        <f t="shared" si="1"/>
        <v>0</v>
      </c>
      <c r="G1492" s="2"/>
      <c r="H1492" s="2"/>
      <c r="I1492" s="2"/>
      <c r="J1492" s="2"/>
      <c r="K1492" s="2"/>
      <c r="L1492" s="2"/>
      <c r="M1492" s="2"/>
      <c r="N1492" s="2"/>
      <c r="O1492" s="2"/>
      <c r="P1492" s="2"/>
      <c r="Q1492" s="2"/>
      <c r="R1492" s="2"/>
      <c r="S1492" s="2"/>
      <c r="T1492" s="2"/>
      <c r="U1492" s="2"/>
      <c r="V1492" s="2"/>
      <c r="W1492" s="2"/>
      <c r="X1492" s="2"/>
      <c r="Y1492" s="2"/>
      <c r="Z1492" s="2"/>
      <c r="AA1492" s="2"/>
    </row>
    <row r="1493">
      <c r="A1493" s="3" t="s">
        <v>3972</v>
      </c>
      <c r="B1493" s="1" t="s">
        <v>4149</v>
      </c>
      <c r="C1493" s="1" t="s">
        <v>4150</v>
      </c>
      <c r="D1493" s="2" t="str">
        <f>IFERROR(__xludf.DUMMYFUNCTION("GOOGLETRANSLATE(B1493, ""en"", ""TL"")"),"Ano ang multa para sa pagmamaneho ng sasakyan na may sira na muffler o exhaust system?")</f>
        <v>Ano ang multa para sa pagmamaneho ng sasakyan na may sira na muffler o exhaust system?</v>
      </c>
      <c r="E1493" s="2" t="str">
        <f>IFERROR(__xludf.DUMMYFUNCTION("GOOGLETRANSLATE(C1493, ""en"", ""TL"")"),"Sa Pilipinas, ang pagmamaneho ng sasakyan na may sira na muffler o exhaust system ay maaaring magresulta sa multa at iba pang potensyal na kahihinatnan, depende sa kalubhaan ng isyu at sa mga partikular na regulasyon sa iyong lokasyon. Narito ang isang br"&amp;"eakdown ng kung ano ang maaari mong asahan:
Legal na Batayan:
Republic Act No. 4136 (Land Transportation and Traffic Code):
Ipinagbabawal ng Seksyon 20(k) ang pagpapatakbo ng mga sasakyang de-motor ""na may depekto o hindi awtorisadong mga accessory, k"&amp;"agamitan, kagamitan, at piyesa, kabilang ang muffler at mga tubo ng tambutso"".
Mga parusa:
₱5,000 na multa: Ito ang karaniwang multa para sa unang paglabag ng pagmamaneho ng sasakyan na may depektong muffler o exhaust system, ayon sa mga regulasyon ng "&amp;"Land Transportation Office (LTO).
Karagdagang mga parusa: Depende sa mga partikular na pangyayari at sa pagpapasya ng opisyal ng paghuli, maaaring kabilang sa iba pang mga parusa ang:
Pagkumpiska ng binagong muffler o exhaust pipe: Maaaring tanggalin ng"&amp;" mga awtoridad ang mga hindi sumusunod na bahagi at hilingin sa iyo na palitan ang mga ito ng isang standard, legal na muffler.
Pag-impound ng sasakyan: Sa ilang mga kaso, maaaring ma-impound ang sasakyan hanggang sa maayos o mapalitan ang muffler o exha"&amp;"ust system upang matugunan ang mga legal na pamantayan.
Mga demerit point: Mga puntos na idinaragdag sa lisensya sa pagmamaneho, na maaaring humantong sa pagsususpinde kung makaipon sila ng isang tiyak na numero.
Kahalagahan ng Wastong Muffler:
Ang isa"&amp;"ng maayos na gumaganang muffler ay gumaganap ng isang mahalagang papel sa:
Pagbabawas ng ingay: Ito ay makabuluhang binabawasan ang antas ng ingay ng makina ng sasakyan, na nag-aambag sa isang mas tahimik at hindi gaanong nakakagambalang kapaligiran.
Ko"&amp;"ntrol ng emisyon: Nakakatulong itong kontrolin ang mga emisyon ng tambutso, na nag-aambag sa mas malinis na hangin at proteksyon sa kapaligiran.")</f>
        <v>Sa Pilipinas, ang pagmamaneho ng sasakyan na may sira na muffler o exhaust system ay maaaring magresulta sa multa at iba pang potensyal na kahihinatnan, depende sa kalubhaan ng isyu at sa mga partikular na regulasyon sa iyong lokasyon. Narito ang isang breakdown ng kung ano ang maaari mong asahan:
Legal na Batayan:
Republic Act No. 4136 (Land Transportation and Traffic Code):
Ipinagbabawal ng Seksyon 20(k) ang pagpapatakbo ng mga sasakyang de-motor "na may depekto o hindi awtorisadong mga accessory, kagamitan, kagamitan, at piyesa, kabilang ang muffler at mga tubo ng tambutso".
Mga parusa:
₱5,000 na multa: Ito ang karaniwang multa para sa unang paglabag ng pagmamaneho ng sasakyan na may depektong muffler o exhaust system, ayon sa mga regulasyon ng Land Transportation Office (LTO).
Karagdagang mga parusa: Depende sa mga partikular na pangyayari at sa pagpapasya ng opisyal ng paghuli, maaaring kabilang sa iba pang mga parusa ang:
Pagkumpiska ng binagong muffler o exhaust pipe: Maaaring tanggalin ng mga awtoridad ang mga hindi sumusunod na bahagi at hilingin sa iyo na palitan ang mga ito ng isang standard, legal na muffler.
Pag-impound ng sasakyan: Sa ilang mga kaso, maaaring ma-impound ang sasakyan hanggang sa maayos o mapalitan ang muffler o exhaust system upang matugunan ang mga legal na pamantayan.
Mga demerit point: Mga puntos na idinaragdag sa lisensya sa pagmamaneho, na maaaring humantong sa pagsususpinde kung makaipon sila ng isang tiyak na numero.
Kahalagahan ng Wastong Muffler:
Ang isang maayos na gumaganang muffler ay gumaganap ng isang mahalagang papel sa:
Pagbabawas ng ingay: Ito ay makabuluhang binabawasan ang antas ng ingay ng makina ng sasakyan, na nag-aambag sa isang mas tahimik at hindi gaanong nakakagambalang kapaligiran.
Kontrol ng emisyon: Nakakatulong itong kontrolin ang mga emisyon ng tambutso, na nag-aambag sa mas malinis na hangin at proteksyon sa kapaligiran.</v>
      </c>
      <c r="F1493" s="2">
        <f t="shared" si="1"/>
        <v>0</v>
      </c>
      <c r="G1493" s="2"/>
      <c r="H1493" s="2"/>
      <c r="I1493" s="2"/>
      <c r="J1493" s="2"/>
      <c r="K1493" s="2"/>
      <c r="L1493" s="2"/>
      <c r="M1493" s="2"/>
      <c r="N1493" s="2"/>
      <c r="O1493" s="2"/>
      <c r="P1493" s="2"/>
      <c r="Q1493" s="2"/>
      <c r="R1493" s="2"/>
      <c r="S1493" s="2"/>
      <c r="T1493" s="2"/>
      <c r="U1493" s="2"/>
      <c r="V1493" s="2"/>
      <c r="W1493" s="2"/>
      <c r="X1493" s="2"/>
      <c r="Y1493" s="2"/>
      <c r="Z1493" s="2"/>
      <c r="AA1493" s="2"/>
    </row>
    <row r="1494">
      <c r="A1494" s="3" t="s">
        <v>3972</v>
      </c>
      <c r="B1494" s="1" t="s">
        <v>4151</v>
      </c>
      <c r="C1494" s="1" t="s">
        <v>4152</v>
      </c>
      <c r="D1494" s="2" t="str">
        <f>IFERROR(__xludf.DUMMYFUNCTION("GOOGLETRANSLATE(B1494, ""en"", ""TL"")"),"Kailan maaaring mag-U-turn ang isang driver sa isang T-intersection?")</f>
        <v>Kailan maaaring mag-U-turn ang isang driver sa isang T-intersection?</v>
      </c>
      <c r="E1494" s="2" t="str">
        <f>IFERROR(__xludf.DUMMYFUNCTION("GOOGLETRANSLATE(C1494, ""en"", ""TL"")"),"Ang ligtas na pagmamaneho sa Pilipinas ay nangangailangan ng pagsunod sa mga batas na namamahala sa U-turn at right-of-way sa T-intersections. Hatiin natin ito:
U-turn:
Sa pangkalahatan, pinahihintulutan kang lumiko kung:
Hindi ito ipinagbabawal ng isang"&amp;" palatandaan.
Mayroong berdeng ilaw o pakaliwa na arrow.
Ang dulong kaliwang lane ay kung nasaan ka.
May sign na ""U-turn lang"".
Kung ang paggawa nito ay parehong ligtas at ayon sa batas, ikaw ay tumatawid sa isang dobleng dilaw na linya.
Tandaan sa:
Sig"&amp;"uraduhing walang sagabal sa daan (ang mga papalapit na sasakyan ay dapat na hindi bababa sa 200 talampakan ang layo, at walang mga taong naglalakad sa tawiran).
I-on ang turn signal sa iyong kaliwa.
Panatilihin ang iyong paa sa preno habang nagpapatuloy k"&amp;"a sa unahan.
Sa T-intersections, ang right of way ay:
Ang karapatan sa daan ng driver ay nagdidikta kung kailan sila makakadaan sa isa pang sasakyan o kapag kailangan nilang sumuko sa isa.
Ito ang ilang mahahalagang alituntunin:
Ang isang kotse ay m"&amp;"ay karapatan sa daan kung ito ay makarating sa isang intersection bago mo ito gawin. Kung sino ang mayroon nito ay hindi gaanong nakasalalay sa bilis kaysa sa pagsuko sa sasakyan na naghihintay na.
Ang driver sa kanan ng isang intersection ay may right-o"&amp;"f-way kapag dumating ang dalawang sasakyan sa parehong oras.
Mayroon ka lang right-of-way habang kumaliwa sa mga intersection kung i-activate mo ang iyong turn signal nang hindi bababa sa tatlumpung metro bago ang intersection. Sumuko ka o huminto nang h"&amp;"usto kung ang ibang mga sasakyan ay masyadong malapit na.
Ang isang sasakyan na ganap na huminto sa isang gilid na kalye bago ang pagsasama ay may karapatang dumaan sa mga rotonda o habang lumilipat sa isang highway.
Kapag may papalapit na sasakyang p"&amp;"ang-emerhensiya, dapat kang palaging lumipat sa kanang bahagi ng kalsada at hintayin silang makadaan.
Sa isang pampublikong kalsada, bigyang-daan ang paparating na trapiko kapag umaalis sa iyong driveway; may karapatan silang daan.
Dapat magbigay daan a"&amp;"ng mga naglalakad sa sinumang tumatawid sa kalye.")</f>
        <v>Ang ligtas na pagmamaneho sa Pilipinas ay nangangailangan ng pagsunod sa mga batas na namamahala sa U-turn at right-of-way sa T-intersections. Hatiin natin ito:
U-turn:
Sa pangkalahatan, pinahihintulutan kang lumiko kung:
Hindi ito ipinagbabawal ng isang palatandaan.
Mayroong berdeng ilaw o pakaliwa na arrow.
Ang dulong kaliwang lane ay kung nasaan ka.
May sign na "U-turn lang".
Kung ang paggawa nito ay parehong ligtas at ayon sa batas, ikaw ay tumatawid sa isang dobleng dilaw na linya.
Tandaan sa:
Siguraduhing walang sagabal sa daan (ang mga papalapit na sasakyan ay dapat na hindi bababa sa 200 talampakan ang layo, at walang mga taong naglalakad sa tawiran).
I-on ang turn signal sa iyong kaliwa.
Panatilihin ang iyong paa sa preno habang nagpapatuloy ka sa unahan.
Sa T-intersections, ang right of way ay:
Ang karapatan sa daan ng driver ay nagdidikta kung kailan sila makakadaan sa isa pang sasakyan o kapag kailangan nilang sumuko sa isa.
Ito ang ilang mahahalagang alituntunin:
Ang isang kotse ay may karapatan sa daan kung ito ay makarating sa isang intersection bago mo ito gawin. Kung sino ang mayroon nito ay hindi gaanong nakasalalay sa bilis kaysa sa pagsuko sa sasakyan na naghihintay na.
Ang driver sa kanan ng isang intersection ay may right-of-way kapag dumating ang dalawang sasakyan sa parehong oras.
Mayroon ka lang right-of-way habang kumaliwa sa mga intersection kung i-activate mo ang iyong turn signal nang hindi bababa sa tatlumpung metro bago ang intersection. Sumuko ka o huminto nang husto kung ang ibang mga sasakyan ay masyadong malapit na.
Ang isang sasakyan na ganap na huminto sa isang gilid na kalye bago ang pagsasama ay may karapatang dumaan sa mga rotonda o habang lumilipat sa isang highway.
Kapag may papalapit na sasakyang pang-emerhensiya, dapat kang palaging lumipat sa kanang bahagi ng kalsada at hintayin silang makadaan.
Sa isang pampublikong kalsada, bigyang-daan ang paparating na trapiko kapag umaalis sa iyong driveway; may karapatan silang daan.
Dapat magbigay daan ang mga naglalakad sa sinumang tumatawid sa kalye.</v>
      </c>
      <c r="F1494" s="2">
        <f t="shared" si="1"/>
        <v>0</v>
      </c>
      <c r="G1494" s="2"/>
      <c r="H1494" s="2"/>
      <c r="I1494" s="2"/>
      <c r="J1494" s="2"/>
      <c r="K1494" s="2"/>
      <c r="L1494" s="2"/>
      <c r="M1494" s="2"/>
      <c r="N1494" s="2"/>
      <c r="O1494" s="2"/>
      <c r="P1494" s="2"/>
      <c r="Q1494" s="2"/>
      <c r="R1494" s="2"/>
      <c r="S1494" s="2"/>
      <c r="T1494" s="2"/>
      <c r="U1494" s="2"/>
      <c r="V1494" s="2"/>
      <c r="W1494" s="2"/>
      <c r="X1494" s="2"/>
      <c r="Y1494" s="2"/>
      <c r="Z1494" s="2"/>
      <c r="AA1494" s="2"/>
    </row>
    <row r="1495">
      <c r="A1495" s="3" t="s">
        <v>3972</v>
      </c>
      <c r="B1495" s="1" t="s">
        <v>4153</v>
      </c>
      <c r="C1495" s="1" t="s">
        <v>4154</v>
      </c>
      <c r="D1495" s="2" t="str">
        <f>IFERROR(__xludf.DUMMYFUNCTION("GOOGLETRANSLATE(B1495, ""en"", ""TL"")"),"Ano ang parusa para sa pagpapatakbo ng sasakyan na may sira o hindi gumaganang preno?")</f>
        <v>Ano ang parusa para sa pagpapatakbo ng sasakyan na may sira o hindi gumaganang preno?</v>
      </c>
      <c r="E1495" s="2" t="str">
        <f>IFERROR(__xludf.DUMMYFUNCTION("GOOGLETRANSLATE(C1495, ""en"", ""TL"")"),"Ang partikular na parusa para sa pagpapatakbo ng sasakyan na may sira o hindi gumaganang preno ay hindi direktang nakabalangkas sa Konstitusyon ng Pilipinas o Republic Acts (RA). Gayunpaman, maraming mga batas at regulasyon ang gumaganap sa ganitong sitwa"&amp;"syon. Narito ang kailangan mong isaalang-alang:
1. **Land Transportation Office (LTO) Batas Pambansa Bilang 68 (BP 68) o ang Revised Land Transportation and Traffic Code:** Ang batas na ito ay nagbibigay sa LTO ng awtoridad na hulihin ang mga sasakyang ma"&amp;"y mga depektong bahagi, kabilang ang mga preno. Bagama't hindi nito binabanggit ang mga partikular na parusa, binibigyang kapangyarihan nito ang LTO na magpataw ng mga multa at parusa batay sa bigat ng pagkakasala [https://www.officialgazette.gov.ph/1980/"&amp;"05/01/batas-pambansa-bilang-68 /](https://www.officialgazette.gov.ph/1980/05/01/batas-pambansa-bilang-68/).
2. **LTO Memorandum Circulars:** Ang LTO ay naglalabas ng memoranda na nagdedetalye ng mga partikular na paglabag at kaukulang mga parusa. Maaaring"&amp;" saklawin ng mga circular na ito ang mga parusa para sa mga may sira na preno. Maaari mong tingnan ang website ng LTO ([https://portal.lto.gov.ph/](https://portal.lto.gov.ph/)) para sa mga kamakailang circulars.
3. **Republic Act No. 10054 o ang Motorcycl"&amp;"e Helmet Act of 2009 (Seksyon 18):** Bagama't nakatutok ang batas na ito sa mga helmet ng motorsiklo, kabilang dito ang isang seksyon na nagbibigay ng kapangyarihan sa mga awtoridad na hulihin ang mga motorsiklo na may mga sira na preno. Maaaring may kasa"&amp;"mang multa o pagkumpiska sa motorsiklo ang parusa [https://lawphil.net/statutes/repacts/ra2010/ra_10054_2010.html](https://lawphil.net/statutes/repacts/ra2010/ra_10054_2010.html).
**Sa buod:** Walang iisang batas na tumutukoy sa parusa para sa mga preno. "&amp;"Gayunpaman, ang pagmamaneho na may sira ang preno ay lumalabag sa mga regulasyon ng LTO at maaaring magresulta sa mga multa, pagkahuli sa sasakyan, o kahit na pagkumpiska depende sa kalubhaan ng depekto at mga partikular na alituntunin ng LTO.
Para sa mas"&amp;" komprehensibong sagot, ipinapayong kumonsulta sa website ng LTO o direktang makipag-ugnayan sa kanila para sa pinakabagong impormasyon sa mga parusa na may kaugnayan sa mga sira na preno.")</f>
        <v>Ang partikular na parusa para sa pagpapatakbo ng sasakyan na may sira o hindi gumaganang preno ay hindi direktang nakabalangkas sa Konstitusyon ng Pilipinas o Republic Acts (RA). Gayunpaman, maraming mga batas at regulasyon ang gumaganap sa ganitong sitwasyon. Narito ang kailangan mong isaalang-alang:
1. **Land Transportation Office (LTO) Batas Pambansa Bilang 68 (BP 68) o ang Revised Land Transportation and Traffic Code:** Ang batas na ito ay nagbibigay sa LTO ng awtoridad na hulihin ang mga sasakyang may mga depektong bahagi, kabilang ang mga preno. Bagama't hindi nito binabanggit ang mga partikular na parusa, binibigyang kapangyarihan nito ang LTO na magpataw ng mga multa at parusa batay sa bigat ng pagkakasala [https://www.officialgazette.gov.ph/1980/05/01/batas-pambansa-bilang-68 /](https://www.officialgazette.gov.ph/1980/05/01/batas-pambansa-bilang-68/).
2. **LTO Memorandum Circulars:** Ang LTO ay naglalabas ng memoranda na nagdedetalye ng mga partikular na paglabag at kaukulang mga parusa. Maaaring saklawin ng mga circular na ito ang mga parusa para sa mga may sira na preno. Maaari mong tingnan ang website ng LTO ([https://portal.lto.gov.ph/](https://portal.lto.gov.ph/)) para sa mga kamakailang circulars.
3. **Republic Act No. 10054 o ang Motorcycle Helmet Act of 2009 (Seksyon 18):** Bagama't nakatutok ang batas na ito sa mga helmet ng motorsiklo, kabilang dito ang isang seksyon na nagbibigay ng kapangyarihan sa mga awtoridad na hulihin ang mga motorsiklo na may mga sira na preno. Maaaring may kasamang multa o pagkumpiska sa motorsiklo ang parusa [https://lawphil.net/statutes/repacts/ra2010/ra_10054_2010.html](https://lawphil.net/statutes/repacts/ra2010/ra_10054_2010.html).
**Sa buod:** Walang iisang batas na tumutukoy sa parusa para sa mga preno. Gayunpaman, ang pagmamaneho na may sira ang preno ay lumalabag sa mga regulasyon ng LTO at maaaring magresulta sa mga multa, pagkahuli sa sasakyan, o kahit na pagkumpiska depende sa kalubhaan ng depekto at mga partikular na alituntunin ng LTO.
Para sa mas komprehensibong sagot, ipinapayong kumonsulta sa website ng LTO o direktang makipag-ugnayan sa kanila para sa pinakabagong impormasyon sa mga parusa na may kaugnayan sa mga sira na preno.</v>
      </c>
      <c r="F1495" s="2">
        <f t="shared" si="1"/>
        <v>0</v>
      </c>
      <c r="G1495" s="2"/>
      <c r="H1495" s="2"/>
      <c r="I1495" s="2"/>
      <c r="J1495" s="2"/>
      <c r="K1495" s="2"/>
      <c r="L1495" s="2"/>
      <c r="M1495" s="2"/>
      <c r="N1495" s="2"/>
      <c r="O1495" s="2"/>
      <c r="P1495" s="2"/>
      <c r="Q1495" s="2"/>
      <c r="R1495" s="2"/>
      <c r="S1495" s="2"/>
      <c r="T1495" s="2"/>
      <c r="U1495" s="2"/>
      <c r="V1495" s="2"/>
      <c r="W1495" s="2"/>
      <c r="X1495" s="2"/>
      <c r="Y1495" s="2"/>
      <c r="Z1495" s="2"/>
      <c r="AA1495" s="2"/>
    </row>
    <row r="1496">
      <c r="A1496" s="3" t="s">
        <v>3972</v>
      </c>
      <c r="B1496" s="1" t="s">
        <v>4155</v>
      </c>
      <c r="C1496" s="1" t="s">
        <v>4156</v>
      </c>
      <c r="D1496" s="2" t="str">
        <f>IFERROR(__xludf.DUMMYFUNCTION("GOOGLETRANSLATE(B1496, ""en"", ""TL"")"),"Maaari bang pagmultahin ang isang driver para sa pakikialam o pagbabago sa tunog o ingay ng makina ng sasakyan?")</f>
        <v>Maaari bang pagmultahin ang isang driver para sa pakikialam o pagbabago sa tunog o ingay ng makina ng sasakyan?</v>
      </c>
      <c r="E1496" s="2" t="str">
        <f>IFERROR(__xludf.DUMMYFUNCTION("GOOGLETRANSLATE(C1496, ""en"", ""TL"")"),"Syempre! Sa Pilipinas, may mga multa at parusa para sa pakikialam o pagpapalit ng volume o tunog ng makina sa isang sasakyan. Ang mga nauugnay na detalye ay ang mga sumusunod:
Pagkakasala ng Binagong Exhaust System:
Ang sinumang nagpapatakbo ng sasaky"&amp;"ang de-motor na may binagong silencer na gumagawa ng mga antas ng ingay na mas mataas kaysa sa 99 dB pambansang pamantayan kapag ang makina ay tumatakbo sa pagitan ng 2,000 at 2,500 rpm ay labag sa batas.
Ang batas na ito ay ipinatutupad ng Philippine Na"&amp;"tional Police (PNP) at ng Manila Traffic and Parking Bureau (MTPB).
Ang mga sumusunod ay ang mga parusa sa paglabag sa ordinansang ito:
Unang paglabag: P1,000 multa at pagtanggal ng tambutso o modified silencer.
Pangalawang paglabag: P3,000 na multa at"&amp;" pagtanggal ng tambutso o modified silencer.
Ikatlong pagkakasala: limang araw na pansamantalang pahintulot, ang pagtanggal ng binagong exhaust pipe o silencer, at P5,000 na multa.
Matapos mabayaran ang mga multa at maipasa ang pangalawang pagsubok sa a"&amp;"ntas ng ingay, kukunin ang mga lisensya sa pagmamaneho at pagkatapos ay ibabalik. Kung sakaling hindi makapasa ang sasakyan sa pangalawang pagsubok, dapat pangasiwaan ng administrasyon ng lungsod ang mga kinakailangang pagkukumpuni.
Karagdagang Mga Pagla"&amp;"bag sa Paglipat:
Mayroon ding mga karagdagang paglabag na nauugnay sa kotse, tulad ng:
pagpapatakbo ng sasakyan nang walang tama o naaprubahang mga karagdagan, kagamitan, o piyesa.
Belching ng usok.
pagpapatakbo ng kotse na ang plate number ay nakakab"&amp;"it nang hindi tama o hindi wasto.
Paglabag sa sticker ng LTO.
pakikialam sa mga plaka")</f>
        <v>Syempre! Sa Pilipinas, may mga multa at parusa para sa pakikialam o pagpapalit ng volume o tunog ng makina sa isang sasakyan. Ang mga nauugnay na detalye ay ang mga sumusunod:
Pagkakasala ng Binagong Exhaust System:
Ang sinumang nagpapatakbo ng sasakyang de-motor na may binagong silencer na gumagawa ng mga antas ng ingay na mas mataas kaysa sa 99 dB pambansang pamantayan kapag ang makina ay tumatakbo sa pagitan ng 2,000 at 2,500 rpm ay labag sa batas.
Ang batas na ito ay ipinatutupad ng Philippine National Police (PNP) at ng Manila Traffic and Parking Bureau (MTPB).
Ang mga sumusunod ay ang mga parusa sa paglabag sa ordinansang ito:
Unang paglabag: P1,000 multa at pagtanggal ng tambutso o modified silencer.
Pangalawang paglabag: P3,000 na multa at pagtanggal ng tambutso o modified silencer.
Ikatlong pagkakasala: limang araw na pansamantalang pahintulot, ang pagtanggal ng binagong exhaust pipe o silencer, at P5,000 na multa.
Matapos mabayaran ang mga multa at maipasa ang pangalawang pagsubok sa antas ng ingay, kukunin ang mga lisensya sa pagmamaneho at pagkatapos ay ibabalik. Kung sakaling hindi makapasa ang sasakyan sa pangalawang pagsubok, dapat pangasiwaan ng administrasyon ng lungsod ang mga kinakailangang pagkukumpuni.
Karagdagang Mga Paglabag sa Paglipat:
Mayroon ding mga karagdagang paglabag na nauugnay sa kotse, tulad ng:
pagpapatakbo ng sasakyan nang walang tama o naaprubahang mga karagdagan, kagamitan, o piyesa.
Belching ng usok.
pagpapatakbo ng kotse na ang plate number ay nakakabit nang hindi tama o hindi wasto.
Paglabag sa sticker ng LTO.
pakikialam sa mga plaka</v>
      </c>
      <c r="F1496" s="2">
        <f t="shared" si="1"/>
        <v>0</v>
      </c>
      <c r="G1496" s="2"/>
      <c r="H1496" s="2"/>
      <c r="I1496" s="2"/>
      <c r="J1496" s="2"/>
      <c r="K1496" s="2"/>
      <c r="L1496" s="2"/>
      <c r="M1496" s="2"/>
      <c r="N1496" s="2"/>
      <c r="O1496" s="2"/>
      <c r="P1496" s="2"/>
      <c r="Q1496" s="2"/>
      <c r="R1496" s="2"/>
      <c r="S1496" s="2"/>
      <c r="T1496" s="2"/>
      <c r="U1496" s="2"/>
      <c r="V1496" s="2"/>
      <c r="W1496" s="2"/>
      <c r="X1496" s="2"/>
      <c r="Y1496" s="2"/>
      <c r="Z1496" s="2"/>
      <c r="AA1496" s="2"/>
    </row>
    <row r="1497">
      <c r="A1497" s="3" t="s">
        <v>3972</v>
      </c>
      <c r="B1497" s="1" t="s">
        <v>4157</v>
      </c>
      <c r="C1497" s="1" t="s">
        <v>4158</v>
      </c>
      <c r="D1497" s="2" t="str">
        <f>IFERROR(__xludf.DUMMYFUNCTION("GOOGLETRANSLATE(B1497, ""en"", ""TL"")"),"Ano ang parusa sa pagmamaneho ng motorsiklo nang walang maayos na helmet na naka-secure ng chin strap?")</f>
        <v>Ano ang parusa sa pagmamaneho ng motorsiklo nang walang maayos na helmet na naka-secure ng chin strap?</v>
      </c>
      <c r="E1497" s="2" t="str">
        <f>IFERROR(__xludf.DUMMYFUNCTION("GOOGLETRANSLATE(C1497, ""en"", ""TL"")"),"Sa Pilipinas, ang pagmamaneho ng motorsiklo nang walang wastong helmet na naka-secure ng chin strap ay isang malubhang paglabag sa trapiko at maaaring magresulta sa multa at iba pang potensyal na kahihinatnan. Narito ang isang breakdown ng mga parusa at r"&amp;"egulasyon:
Legal na Batayan:
Republic Act No. 10054 (Motorcycle Helmet Act of 2010):
Ang Seksyon 7(a) ay nagsasaad na ang sinumang taong mahuling ""hindi nakasuot ng karaniwang protective helmet ng motorsiklo"" na lumalabag sa Batas na ito ay parurusah"&amp;"an.
Wastong Pagsuot ng Helmet:
Malinaw na tinukoy ng batas ang ""pagsusuot ng karaniwang protective helmet ng motorsiklo"" upang isama ang pagkakaroon nito ng ""wastong pagkaka-secure ng strap sa baba."" Tinitiyak nito na ang helmet ay nananatili sa lug"&amp;"ar sa panahon ng isang aksidente, na nagbibigay ng maximum na proteksyon sa ulo ng rider ng motorsiklo.
Mga parusa:
Unang paglabag: ₱1,500 na multa
Pangalawang paglabag: ₱3,000 multa
Ikatlong pagkakasala: ₱5,000 na multa
Pang-apat at kasunod na pagka"&amp;"kasala: ₱10,000 na multa at pagkumpiska ng lisensya sa pagmamaneho
Kahalagahan ng Wastong Paggamit ng Helmet:
Ang pagsusuot ng isang maayos na naka-secure na helmet ng motorsiklo ay makabuluhang binabawasan ang panganib ng mga pinsala sa ulo sa kaso ng "&amp;"isang aksidente. Ayon sa Department of Transportation (DOTr), ang helmet ay 73% na epektibo sa pagpigil sa fatal head injuries para sa mga motorcycle riders.
Mga Karagdagang Pagsasaalang-alang:
Mga Pamantayan sa Helmet: Hindi lamang anumang helmet ang k"&amp;"uwalipikado bilang ""pamantayan"" sa ilalim ng batas. Ang helmet ay dapat may Philippine Standard (PS) mark o ang Import Commodity Clearance (ICC) certificate, na nagsasaad na nakakatugon ito sa safety standards na itinakda ng gobyerno.
Mga Alternatibong"&amp;" Parusa: Bagama't hindi tahasang nakasaad sa Batas, ang ilang lokalidad ay maaaring magkaroon ng karagdagang mga parusa o mas mahigpit na mga pamamaraan sa pagpapatupad para sa paglabag sa mga regulasyon ng helmet. Maipapayo na suriin sa iyong lokal na aw"&amp;"toridad para sa anumang partikular na mga pagkakaiba-iba.")</f>
        <v>Sa Pilipinas, ang pagmamaneho ng motorsiklo nang walang wastong helmet na naka-secure ng chin strap ay isang malubhang paglabag sa trapiko at maaaring magresulta sa multa at iba pang potensyal na kahihinatnan. Narito ang isang breakdown ng mga parusa at regulasyon:
Legal na Batayan:
Republic Act No. 10054 (Motorcycle Helmet Act of 2010):
Ang Seksyon 7(a) ay nagsasaad na ang sinumang taong mahuling "hindi nakasuot ng karaniwang protective helmet ng motorsiklo" na lumalabag sa Batas na ito ay parurusahan.
Wastong Pagsuot ng Helmet:
Malinaw na tinukoy ng batas ang "pagsusuot ng karaniwang protective helmet ng motorsiklo" upang isama ang pagkakaroon nito ng "wastong pagkaka-secure ng strap sa baba." Tinitiyak nito na ang helmet ay nananatili sa lugar sa panahon ng isang aksidente, na nagbibigay ng maximum na proteksyon sa ulo ng rider ng motorsiklo.
Mga parusa:
Unang paglabag: ₱1,500 na multa
Pangalawang paglabag: ₱3,000 multa
Ikatlong pagkakasala: ₱5,000 na multa
Pang-apat at kasunod na pagkakasala: ₱10,000 na multa at pagkumpiska ng lisensya sa pagmamaneho
Kahalagahan ng Wastong Paggamit ng Helmet:
Ang pagsusuot ng isang maayos na naka-secure na helmet ng motorsiklo ay makabuluhang binabawasan ang panganib ng mga pinsala sa ulo sa kaso ng isang aksidente. Ayon sa Department of Transportation (DOTr), ang helmet ay 73% na epektibo sa pagpigil sa fatal head injuries para sa mga motorcycle riders.
Mga Karagdagang Pagsasaalang-alang:
Mga Pamantayan sa Helmet: Hindi lamang anumang helmet ang kuwalipikado bilang "pamantayan" sa ilalim ng batas. Ang helmet ay dapat may Philippine Standard (PS) mark o ang Import Commodity Clearance (ICC) certificate, na nagsasaad na nakakatugon ito sa safety standards na itinakda ng gobyerno.
Mga Alternatibong Parusa: Bagama't hindi tahasang nakasaad sa Batas, ang ilang lokalidad ay maaaring magkaroon ng karagdagang mga parusa o mas mahigpit na mga pamamaraan sa pagpapatupad para sa paglabag sa mga regulasyon ng helmet. Maipapayo na suriin sa iyong lokal na awtoridad para sa anumang partikular na mga pagkakaiba-iba.</v>
      </c>
      <c r="F1497" s="2">
        <f t="shared" si="1"/>
        <v>1</v>
      </c>
      <c r="G1497" s="2"/>
      <c r="H1497" s="2"/>
      <c r="I1497" s="2"/>
      <c r="J1497" s="2"/>
      <c r="K1497" s="2"/>
      <c r="L1497" s="2"/>
      <c r="M1497" s="2"/>
      <c r="N1497" s="2"/>
      <c r="O1497" s="2"/>
      <c r="P1497" s="2"/>
      <c r="Q1497" s="2"/>
      <c r="R1497" s="2"/>
      <c r="S1497" s="2"/>
      <c r="T1497" s="2"/>
      <c r="U1497" s="2"/>
      <c r="V1497" s="2"/>
      <c r="W1497" s="2"/>
      <c r="X1497" s="2"/>
      <c r="Y1497" s="2"/>
      <c r="Z1497" s="2"/>
      <c r="AA1497" s="2"/>
    </row>
    <row r="1498">
      <c r="A1498" s="3" t="s">
        <v>3972</v>
      </c>
      <c r="B1498" s="1" t="s">
        <v>4159</v>
      </c>
      <c r="C1498" s="1" t="s">
        <v>4160</v>
      </c>
      <c r="D1498" s="2" t="str">
        <f>IFERROR(__xludf.DUMMYFUNCTION("GOOGLETRANSLATE(B1498, ""en"", ""TL"")"),"Ano ang multa para sa pagmamaneho na may expired na lisensya sa pagmamaneho na hindi na-renew ng higit sa dalawang taon?")</f>
        <v>Ano ang multa para sa pagmamaneho na may expired na lisensya sa pagmamaneho na hindi na-renew ng higit sa dalawang taon?</v>
      </c>
      <c r="E1498" s="2" t="str">
        <f>IFERROR(__xludf.DUMMYFUNCTION("GOOGLETRANSLATE(C1498, ""en"", ""TL"")"),"Ang pagmamaneho nang walang valid driving license ay may multa na Php3,000. Ang mga nagmamay-ari ng mali, hindi wasto, sinuspinde, o binawi na mga lisensya sa pagmamaneho ay sasailalim din sa mga parusang ito.")</f>
        <v>Ang pagmamaneho nang walang valid driving license ay may multa na Php3,000. Ang mga nagmamay-ari ng mali, hindi wasto, sinuspinde, o binawi na mga lisensya sa pagmamaneho ay sasailalim din sa mga parusang ito.</v>
      </c>
      <c r="F1498" s="2">
        <f t="shared" si="1"/>
        <v>0</v>
      </c>
      <c r="G1498" s="2"/>
      <c r="H1498" s="2"/>
      <c r="I1498" s="2"/>
      <c r="J1498" s="2"/>
      <c r="K1498" s="2"/>
      <c r="L1498" s="2"/>
      <c r="M1498" s="2"/>
      <c r="N1498" s="2"/>
      <c r="O1498" s="2"/>
      <c r="P1498" s="2"/>
      <c r="Q1498" s="2"/>
      <c r="R1498" s="2"/>
      <c r="S1498" s="2"/>
      <c r="T1498" s="2"/>
      <c r="U1498" s="2"/>
      <c r="V1498" s="2"/>
      <c r="W1498" s="2"/>
      <c r="X1498" s="2"/>
      <c r="Y1498" s="2"/>
      <c r="Z1498" s="2"/>
      <c r="AA1498" s="2"/>
    </row>
    <row r="1499">
      <c r="A1499" s="3" t="s">
        <v>3972</v>
      </c>
      <c r="B1499" s="1" t="s">
        <v>4161</v>
      </c>
      <c r="C1499" s="1" t="s">
        <v>4162</v>
      </c>
      <c r="D1499" s="2" t="str">
        <f>IFERROR(__xludf.DUMMYFUNCTION("GOOGLETRANSLATE(B1499, ""en"", ""TL"")"),"Kailan pinahihintulutang pumarada sa loob ng isang intersection?")</f>
        <v>Kailan pinahihintulutang pumarada sa loob ng isang intersection?</v>
      </c>
      <c r="E1499" s="2" t="str">
        <f>IFERROR(__xludf.DUMMYFUNCTION("GOOGLETRANSLATE(C1499, ""en"", ""TL"")"),"Sa Pilipinas, hindi kailanman pinahihintulutang pumarada sa loob ng intersection, anuman ang mga pangyayari. Ito ay isang mahigpit na paglabag sa trapiko at maaaring magresulta sa mga parusa at potensyal na legal na kahihinatnan.
Narito ang isang breakdo"&amp;"wn ng mga nauugnay na regulasyon at kung bakit ipinagbabawal ang paradahan sa loob ng intersection:
Legal na Batayan:
Republic Act No. 4136 (Land Transportation and Traffic Code):
Ang Seksyon 68(c) ay tahasang nagsasaad na ""walang tsuper ang dapat mag"&amp;"parada ng sasakyan, o pahintulutan itong tumayo, dinaluhan man o walang bantay, sa isang highway sa alinman sa mga sumusunod na lugar:
""Sa loob ng intersection.""
Mga Karagdagang Regulasyon:
Land Transportation Office (LTO) Memorandum Circular No. 201"&amp;"6-020: Ang memorandum na ito ay higit na nililinaw ang pagbabawal sa pagparada sa loob ng intersection at binibigyang-diin ang mga potensyal na kahihinatnan ng paglabag sa panuntunang ito.
Mga Dahilan ng Pagbabawal:
Ang paradahan sa loob ng intersection"&amp;" ay mahigpit na ipinagbabawal dahil maaari itong makabuluhang:
Makahahadlang sa daloy ng trapiko: Ang mga nakaparadang sasakyan ay humahadlang sa mga itinalagang daan at mga paggalaw ng pagliko, na nagdudulot ng pagsisikip at pagkaantala para sa iba pang"&amp;" mga driver.
Bawasan ang visibility: Maaaring hadlangan ng mga nakaparadang sasakyan ang paningin ng mga driver na papalapit sa intersection, na nagdaragdag ng panganib ng mga aksidente.
Lumikha ng mga panganib sa kaligtasan: Ang mga nakaparadang sasaky"&amp;"an sa loob ng intersection ay nagdudulot ng panganib sa kaligtasan sa mga pedestrian, siklista, at iba pang sasakyang nagna-navigate sa intersection.
Mga Parusa para sa Paglabag:
Mga multa: Ang partikular na halaga ng multa ay maaaring mag-iba depende s"&amp;"a lokasyon at pagpapasya ng opisyal ng paghuli. Gayunpaman, karaniwan itong nasa hanay na ₱1,000 hanggang ₱2,000.
Mga demerit point: Maaaring magdagdag ng mga puntos sa lisensya ng pagmamaneho, na maaaring humantong sa pagsususpinde kung sila ay makaipon"&amp;" ng isang tiyak na numero.
Pag-tow ng sasakyan: Sa ilang mga kaso, ang sasakyan ay maaaring ma-tow palayo sa intersection, na magkakaroon ng karagdagang mga bayad sa pag-tow at pag-iimbak.")</f>
        <v>Sa Pilipinas, hindi kailanman pinahihintulutang pumarada sa loob ng intersection, anuman ang mga pangyayari. Ito ay isang mahigpit na paglabag sa trapiko at maaaring magresulta sa mga parusa at potensyal na legal na kahihinatnan.
Narito ang isang breakdown ng mga nauugnay na regulasyon at kung bakit ipinagbabawal ang paradahan sa loob ng intersection:
Legal na Batayan:
Republic Act No. 4136 (Land Transportation and Traffic Code):
Ang Seksyon 68(c) ay tahasang nagsasaad na "walang tsuper ang dapat magparada ng sasakyan, o pahintulutan itong tumayo, dinaluhan man o walang bantay, sa isang highway sa alinman sa mga sumusunod na lugar:
"Sa loob ng intersection."
Mga Karagdagang Regulasyon:
Land Transportation Office (LTO) Memorandum Circular No. 2016-020: Ang memorandum na ito ay higit na nililinaw ang pagbabawal sa pagparada sa loob ng intersection at binibigyang-diin ang mga potensyal na kahihinatnan ng paglabag sa panuntunang ito.
Mga Dahilan ng Pagbabawal:
Ang paradahan sa loob ng intersection ay mahigpit na ipinagbabawal dahil maaari itong makabuluhang:
Makahahadlang sa daloy ng trapiko: Ang mga nakaparadang sasakyan ay humahadlang sa mga itinalagang daan at mga paggalaw ng pagliko, na nagdudulot ng pagsisikip at pagkaantala para sa iba pang mga driver.
Bawasan ang visibility: Maaaring hadlangan ng mga nakaparadang sasakyan ang paningin ng mga driver na papalapit sa intersection, na nagdaragdag ng panganib ng mga aksidente.
Lumikha ng mga panganib sa kaligtasan: Ang mga nakaparadang sasakyan sa loob ng intersection ay nagdudulot ng panganib sa kaligtasan sa mga pedestrian, siklista, at iba pang sasakyang nagna-navigate sa intersection.
Mga Parusa para sa Paglabag:
Mga multa: Ang partikular na halaga ng multa ay maaaring mag-iba depende sa lokasyon at pagpapasya ng opisyal ng paghuli. Gayunpaman, karaniwan itong nasa hanay na ₱1,000 hanggang ₱2,000.
Mga demerit point: Maaaring magdagdag ng mga puntos sa lisensya ng pagmamaneho, na maaaring humantong sa pagsususpinde kung sila ay makaipon ng isang tiyak na numero.
Pag-tow ng sasakyan: Sa ilang mga kaso, ang sasakyan ay maaaring ma-tow palayo sa intersection, na magkakaroon ng karagdagang mga bayad sa pag-tow at pag-iimbak.</v>
      </c>
      <c r="F1499" s="2">
        <f t="shared" si="1"/>
        <v>0</v>
      </c>
      <c r="G1499" s="2"/>
      <c r="H1499" s="2"/>
      <c r="I1499" s="2"/>
      <c r="J1499" s="2"/>
      <c r="K1499" s="2"/>
      <c r="L1499" s="2"/>
      <c r="M1499" s="2"/>
      <c r="N1499" s="2"/>
      <c r="O1499" s="2"/>
      <c r="P1499" s="2"/>
      <c r="Q1499" s="2"/>
      <c r="R1499" s="2"/>
      <c r="S1499" s="2"/>
      <c r="T1499" s="2"/>
      <c r="U1499" s="2"/>
      <c r="V1499" s="2"/>
      <c r="W1499" s="2"/>
      <c r="X1499" s="2"/>
      <c r="Y1499" s="2"/>
      <c r="Z1499" s="2"/>
      <c r="AA1499" s="2"/>
    </row>
    <row r="1500">
      <c r="A1500" s="3" t="s">
        <v>3972</v>
      </c>
      <c r="B1500" s="1" t="s">
        <v>4163</v>
      </c>
      <c r="C1500" s="1" t="s">
        <v>4164</v>
      </c>
      <c r="D1500" s="2" t="str">
        <f>IFERROR(__xludf.DUMMYFUNCTION("GOOGLETRANSLATE(B1500, ""en"", ""TL"")"),"Ano ang parusa para sa pagpapatakbo ng sasakyan nang walang kinakailangang patakaran sa seguro?")</f>
        <v>Ano ang parusa para sa pagpapatakbo ng sasakyan nang walang kinakailangang patakaran sa seguro?</v>
      </c>
      <c r="E1500" s="2" t="str">
        <f>IFERROR(__xludf.DUMMYFUNCTION("GOOGLETRANSLATE(C1500, ""en"", ""TL"")"),"Sa pangkalahatan, huwag magpatakbo ng sasakyan nang walang OR/CR ​​nito. Kung ikaw ay hinila para sa isang paglabag sa trapiko o nasangkot sa isang aksidente, awtomatiko kang tataya ng ₱10,000 na multa.")</f>
        <v>Sa pangkalahatan, huwag magpatakbo ng sasakyan nang walang OR/CR ​​nito. Kung ikaw ay hinila para sa isang paglabag sa trapiko o nasangkot sa isang aksidente, awtomatiko kang tataya ng ₱10,000 na multa.</v>
      </c>
      <c r="F1500" s="2">
        <f t="shared" si="1"/>
        <v>0</v>
      </c>
      <c r="G1500" s="2"/>
      <c r="H1500" s="2"/>
      <c r="I1500" s="2"/>
      <c r="J1500" s="2"/>
      <c r="K1500" s="2"/>
      <c r="L1500" s="2"/>
      <c r="M1500" s="2"/>
      <c r="N1500" s="2"/>
      <c r="O1500" s="2"/>
      <c r="P1500" s="2"/>
      <c r="Q1500" s="2"/>
      <c r="R1500" s="2"/>
      <c r="S1500" s="2"/>
      <c r="T1500" s="2"/>
      <c r="U1500" s="2"/>
      <c r="V1500" s="2"/>
      <c r="W1500" s="2"/>
      <c r="X1500" s="2"/>
      <c r="Y1500" s="2"/>
      <c r="Z1500" s="2"/>
      <c r="AA1500" s="2"/>
    </row>
    <row r="1501">
      <c r="A1501" s="3" t="s">
        <v>3972</v>
      </c>
      <c r="B1501" s="1" t="s">
        <v>4165</v>
      </c>
      <c r="C1501" s="1" t="s">
        <v>4166</v>
      </c>
      <c r="D1501" s="2" t="str">
        <f>IFERROR(__xludf.DUMMYFUNCTION("GOOGLETRANSLATE(B1501, ""en"", ""TL"")"),"Maaari bang pagmultahin ang isang driver para sa pagmamaneho nang walang wastong propesyonal na lisensya sa pagmamaneho?")</f>
        <v>Maaari bang pagmultahin ang isang driver para sa pagmamaneho nang walang wastong propesyonal na lisensya sa pagmamaneho?</v>
      </c>
      <c r="E1501" s="2" t="str">
        <f>IFERROR(__xludf.DUMMYFUNCTION("GOOGLETRANSLATE(C1501, ""en"", ""TL"")"),"Oo, ang pagmamaneho nang walang wastong propesyonal na lisensya sa pagmamaneho sa Pilipinas ay maaaring magresulta sa isang mabigat na multa at iba pang mga potensyal na kahihinatnan. Narito ang isang breakdown ng mga nauugnay na regulasyon at parusa:
Le"&amp;"gal na Batayan:
Republic Act No. 4136 (Land Transportation and Traffic Code):
Seksyon 18: Binabalangkas ng seksyong ito ang iba't ibang uri ng mga lisensya sa pagmamaneho at ang kanilang mga kaukulang klasipikasyon.
Land Transportation Office (LTO) Mem"&amp;"orandum Order No. 111 Series of 2019: Tinutukoy ng kautusang ito ang mga kinakailangan at pamamaraan para sa pagkuha ng iba't ibang lisensya sa pagmamaneho, kabilang ang mga propesyonal na lisensya.
Mga kahihinatnan para sa Pagmamaneho nang walang Propes"&amp;"yonal na Lisensya:
₱5,000 na multa: Ito ang karaniwang multa para sa pagmamaneho ng sasakyang de-motor na nangangailangan ng propesyonal na lisensya nang walang wastong propesyonal na lisensya.
Karagdagang mga parusa: Depende sa mga partikular na pangya"&amp;"yari at sa pagpapasya ng opisyal ng paghuli, maaaring kabilang sa iba pang mga parusa ang:
Pagkumpiska ng Lisensya sa Pagmamaneho: Maaaring kumpiskahin ang hindi propesyonal na lisensya ng pagmamaneho (kung mayroon) hanggang sa makuha nila ang naaangkop "&amp;"na lisensyang propesyonal.
Pag-impound ng sasakyan: Sa ilang mga kaso, ang sasakyan ay maaaring ma-impound hanggang sa malutas ang sitwasyon at isang driver na may wastong propesyonal na lisensya ang nagpapatakbo nito.
Mga demerit point: Maaaring magdag"&amp;"dag ng mga puntos sa lisensya ng pagmamaneho, na maaaring humantong sa pagsususpinde kung sila ay makaipon ng isang tiyak na numero.")</f>
        <v>Oo, ang pagmamaneho nang walang wastong propesyonal na lisensya sa pagmamaneho sa Pilipinas ay maaaring magresulta sa isang mabigat na multa at iba pang mga potensyal na kahihinatnan. Narito ang isang breakdown ng mga nauugnay na regulasyon at parusa:
Legal na Batayan:
Republic Act No. 4136 (Land Transportation and Traffic Code):
Seksyon 18: Binabalangkas ng seksyong ito ang iba't ibang uri ng mga lisensya sa pagmamaneho at ang kanilang mga kaukulang klasipikasyon.
Land Transportation Office (LTO) Memorandum Order No. 111 Series of 2019: Tinutukoy ng kautusang ito ang mga kinakailangan at pamamaraan para sa pagkuha ng iba't ibang lisensya sa pagmamaneho, kabilang ang mga propesyonal na lisensya.
Mga kahihinatnan para sa Pagmamaneho nang walang Propesyonal na Lisensya:
₱5,000 na multa: Ito ang karaniwang multa para sa pagmamaneho ng sasakyang de-motor na nangangailangan ng propesyonal na lisensya nang walang wastong propesyonal na lisensya.
Karagdagang mga parusa: Depende sa mga partikular na pangyayari at sa pagpapasya ng opisyal ng paghuli, maaaring kabilang sa iba pang mga parusa ang:
Pagkumpiska ng Lisensya sa Pagmamaneho: Maaaring kumpiskahin ang hindi propesyonal na lisensya ng pagmamaneho (kung mayroon) hanggang sa makuha nila ang naaangkop na lisensyang propesyonal.
Pag-impound ng sasakyan: Sa ilang mga kaso, ang sasakyan ay maaaring ma-impound hanggang sa malutas ang sitwasyon at isang driver na may wastong propesyonal na lisensya ang nagpapatakbo nito.
Mga demerit point: Maaaring magdagdag ng mga puntos sa lisensya ng pagmamaneho, na maaaring humantong sa pagsususpinde kung sila ay makaipon ng isang tiyak na numero.</v>
      </c>
      <c r="F1501" s="2">
        <f t="shared" si="1"/>
        <v>0</v>
      </c>
      <c r="G1501" s="2"/>
      <c r="H1501" s="2"/>
      <c r="I1501" s="2"/>
      <c r="J1501" s="2"/>
      <c r="K1501" s="2"/>
      <c r="L1501" s="2"/>
      <c r="M1501" s="2"/>
      <c r="N1501" s="2"/>
      <c r="O1501" s="2"/>
      <c r="P1501" s="2"/>
      <c r="Q1501" s="2"/>
      <c r="R1501" s="2"/>
      <c r="S1501" s="2"/>
      <c r="T1501" s="2"/>
      <c r="U1501" s="2"/>
      <c r="V1501" s="2"/>
      <c r="W1501" s="2"/>
      <c r="X1501" s="2"/>
      <c r="Y1501" s="2"/>
      <c r="Z1501" s="2"/>
      <c r="AA1501" s="2"/>
    </row>
    <row r="1502">
      <c r="A1502" s="3" t="s">
        <v>3972</v>
      </c>
      <c r="B1502" s="1" t="s">
        <v>4167</v>
      </c>
      <c r="C1502" s="1" t="s">
        <v>4168</v>
      </c>
      <c r="D1502" s="2" t="str">
        <f>IFERROR(__xludf.DUMMYFUNCTION("GOOGLETRANSLATE(B1502, ""en"", ""TL"")"),"Ano ang parusa para sa pagpapatakbo ng sasakyan na may hindi awtorisado o hindi karaniwang mga plaka ng lisensya?")</f>
        <v>Ano ang parusa para sa pagpapatakbo ng sasakyan na may hindi awtorisado o hindi karaniwang mga plaka ng lisensya?</v>
      </c>
      <c r="E1502" s="2" t="str">
        <f>IFERROR(__xludf.DUMMYFUNCTION("GOOGLETRANSLATE(C1502, ""en"", ""TL"")"),"Ang pagpapatakbo ng sasakyan na may hindi awtorisado o hindi karaniwang plaka ay isa sa maraming mga paglabag sa pagmamaneho na pinaparusahan ng Land Transportation Office (LTO) sa Pilipinas. Ang mga kaukulang parusa ay ang mga sumusunod:
Pagmamaneho n"&amp;"g Sasakyan na may Plate ng Lisensya ng Sasakyan na Hindi Pinahintulutan o Maling Pagkakabit:
Isang multa na PHP 5,000.
Ipinagbabawal na idikit o pakialaman ang mga iligal na plaka ng lisensya o maling mga sticker sa anumang nakikitang lokasyon sa isang "&amp;"sasakyan. Upang maiwasan ang multa na ito, siguraduhin na ang iyong plaka ng lisensya ay wastong awtorisado at nakakabit.
Pag-alis ng usok:
Paunang Paglabag: PHP 2,000
Recidivism: 4,000 PHP
Ikatlong Pagkakasala: Pagsuspinde sa pagpaparehistro ng sasak"&amp;"yang de-motor sa loob ng isang taon plus PHP 6,000.
Ang mga karaniwang antas ng emisyon para sa mga sasakyang pinapagana ng gasolina ay itinakda ng tanggapan ng LTO, at ang mataas na paglabas ng usok ay maaaring magresulta sa mga multa at pagsususpinde.")</f>
        <v>Ang pagpapatakbo ng sasakyan na may hindi awtorisado o hindi karaniwang plaka ay isa sa maraming mga paglabag sa pagmamaneho na pinaparusahan ng Land Transportation Office (LTO) sa Pilipinas. Ang mga kaukulang parusa ay ang mga sumusunod:
Pagmamaneho ng Sasakyan na may Plate ng Lisensya ng Sasakyan na Hindi Pinahintulutan o Maling Pagkakabit:
Isang multa na PHP 5,000.
Ipinagbabawal na idikit o pakialaman ang mga iligal na plaka ng lisensya o maling mga sticker sa anumang nakikitang lokasyon sa isang sasakyan. Upang maiwasan ang multa na ito, siguraduhin na ang iyong plaka ng lisensya ay wastong awtorisado at nakakabit.
Pag-alis ng usok:
Paunang Paglabag: PHP 2,000
Recidivism: 4,000 PHP
Ikatlong Pagkakasala: Pagsuspinde sa pagpaparehistro ng sasakyang de-motor sa loob ng isang taon plus PHP 6,000.
Ang mga karaniwang antas ng emisyon para sa mga sasakyang pinapagana ng gasolina ay itinakda ng tanggapan ng LTO, at ang mataas na paglabas ng usok ay maaaring magresulta sa mga multa at pagsususpinde.</v>
      </c>
      <c r="F1502" s="2">
        <f t="shared" si="1"/>
        <v>1</v>
      </c>
      <c r="G1502" s="2"/>
      <c r="H1502" s="2"/>
      <c r="I1502" s="2"/>
      <c r="J1502" s="2"/>
      <c r="K1502" s="2"/>
      <c r="L1502" s="2"/>
      <c r="M1502" s="2"/>
      <c r="N1502" s="2"/>
      <c r="O1502" s="2"/>
      <c r="P1502" s="2"/>
      <c r="Q1502" s="2"/>
      <c r="R1502" s="2"/>
      <c r="S1502" s="2"/>
      <c r="T1502" s="2"/>
      <c r="U1502" s="2"/>
      <c r="V1502" s="2"/>
      <c r="W1502" s="2"/>
      <c r="X1502" s="2"/>
      <c r="Y1502" s="2"/>
      <c r="Z1502" s="2"/>
      <c r="AA1502" s="2"/>
    </row>
    <row r="1503">
      <c r="A1503" s="3" t="s">
        <v>3972</v>
      </c>
      <c r="B1503" s="1" t="s">
        <v>4169</v>
      </c>
      <c r="C1503" s="1" t="s">
        <v>4170</v>
      </c>
      <c r="D1503" s="2" t="str">
        <f>IFERROR(__xludf.DUMMYFUNCTION("GOOGLETRANSLATE(B1503, ""en"", ""TL"")"),"Kailan legal para sa isang motorsiklo na magdala ng pasahero?")</f>
        <v>Kailan legal para sa isang motorsiklo na magdala ng pasahero?</v>
      </c>
      <c r="E1503" s="2" t="str">
        <f>IFERROR(__xludf.DUMMYFUNCTION("GOOGLETRANSLATE(C1503, ""en"", ""TL"")"),"Sa Pilipinas, legal para sa isang motorsiklo na magdala ng pasahero sa ilalim ng mga partikular na kondisyon, gaya ng nakabalangkas sa iba't ibang mga regulasyon:
Pangkalahatang Kundisyon:
Disenyo at Kapasidad ng Motorsiklo: Ang motorsiklo ay dapat na i"&amp;"dinisenyo upang magdala ng pasahero na may nakatalagang upuan ng pasahero at mga footrest.
Edad ng Pasahero: Ang pasahero ay dapat **hindi bababa sa 18 taong gulang. Ito ay nakasaad sa Republic Act No. 10666 (Children's Safety on Motorcycles Act 2015).
"&amp;"Helmet para sa Pasahero: Ang pasahero ay dapat magsuot ng karaniwang helmet na sinigurado ng chin strap, alinsunod sa Republic Act No. 10054 (Motorcycle Helmet Act of 2010).
Mga Karagdagang Pagsasaalang-alang:
Mga Exemption para sa mga Bata: Bagama't ip"&amp;"inagbabawal ng Batas sa Kaligtasan ng mga Bata sa Motorsiklo ang mga batang wala pang 18 taong gulang na maging mga pasahero, mayroong ilang mga pagbubukod:
Ang mga batang wala pang 18 taong gulang ay maaaring mga pasahero:
Kung komportableng maabot at "&amp;"magamit ng bata ang mga footrests.
Kung ang motorsiklo ay minamaneho ng magulang, legal na tagapag-alaga, o awtorisadong kinatawan.
Kung ang biyahe ay para sa mga medikal na emerhensiya o iba pang mga espesyal na kaso na awtorisado ng LTO.
Mga Lokal na"&amp;" Regulasyon: Bagama't ang mga pambansang regulasyon na nakabalangkas sa itaas ay nagbibigay ng pangkalahatang balangkas, ang ilang lokalidad ay maaaring may karagdagang mga regulasyon o mas mahigpit na mga pamamaraan sa pagpapatupad patungkol sa mga pasah"&amp;"ero ng motorsiklo. Laging ipinapayong suriin sa iyong lokal na tanggapan ng LTO para sa anumang partikular na mga pagkakaiba-iba na maaaring ilapat sa iyong lugar.")</f>
        <v>Sa Pilipinas, legal para sa isang motorsiklo na magdala ng pasahero sa ilalim ng mga partikular na kondisyon, gaya ng nakabalangkas sa iba't ibang mga regulasyon:
Pangkalahatang Kundisyon:
Disenyo at Kapasidad ng Motorsiklo: Ang motorsiklo ay dapat na idinisenyo upang magdala ng pasahero na may nakatalagang upuan ng pasahero at mga footrest.
Edad ng Pasahero: Ang pasahero ay dapat **hindi bababa sa 18 taong gulang. Ito ay nakasaad sa Republic Act No. 10666 (Children's Safety on Motorcycles Act 2015).
Helmet para sa Pasahero: Ang pasahero ay dapat magsuot ng karaniwang helmet na sinigurado ng chin strap, alinsunod sa Republic Act No. 10054 (Motorcycle Helmet Act of 2010).
Mga Karagdagang Pagsasaalang-alang:
Mga Exemption para sa mga Bata: Bagama't ipinagbabawal ng Batas sa Kaligtasan ng mga Bata sa Motorsiklo ang mga batang wala pang 18 taong gulang na maging mga pasahero, mayroong ilang mga pagbubukod:
Ang mga batang wala pang 18 taong gulang ay maaaring mga pasahero:
Kung komportableng maabot at magamit ng bata ang mga footrests.
Kung ang motorsiklo ay minamaneho ng magulang, legal na tagapag-alaga, o awtorisadong kinatawan.
Kung ang biyahe ay para sa mga medikal na emerhensiya o iba pang mga espesyal na kaso na awtorisado ng LTO.
Mga Lokal na Regulasyon: Bagama't ang mga pambansang regulasyon na nakabalangkas sa itaas ay nagbibigay ng pangkalahatang balangkas, ang ilang lokalidad ay maaaring may karagdagang mga regulasyon o mas mahigpit na mga pamamaraan sa pagpapatupad patungkol sa mga pasahero ng motorsiklo. Laging ipinapayong suriin sa iyong lokal na tanggapan ng LTO para sa anumang partikular na mga pagkakaiba-iba na maaaring ilapat sa iyong lugar.</v>
      </c>
      <c r="F1503" s="2">
        <f t="shared" si="1"/>
        <v>0</v>
      </c>
      <c r="G1503" s="2"/>
      <c r="H1503" s="2"/>
      <c r="I1503" s="2"/>
      <c r="J1503" s="2"/>
      <c r="K1503" s="2"/>
      <c r="L1503" s="2"/>
      <c r="M1503" s="2"/>
      <c r="N1503" s="2"/>
      <c r="O1503" s="2"/>
      <c r="P1503" s="2"/>
      <c r="Q1503" s="2"/>
      <c r="R1503" s="2"/>
      <c r="S1503" s="2"/>
      <c r="T1503" s="2"/>
      <c r="U1503" s="2"/>
      <c r="V1503" s="2"/>
      <c r="W1503" s="2"/>
      <c r="X1503" s="2"/>
      <c r="Y1503" s="2"/>
      <c r="Z1503" s="2"/>
      <c r="AA1503" s="2"/>
    </row>
    <row r="1504">
      <c r="A1504" s="3" t="s">
        <v>3972</v>
      </c>
      <c r="B1504" s="1" t="s">
        <v>4171</v>
      </c>
      <c r="C1504" s="1" t="s">
        <v>4172</v>
      </c>
      <c r="D1504" s="2" t="str">
        <f>IFERROR(__xludf.DUMMYFUNCTION("GOOGLETRANSLATE(B1504, ""en"", ""TL"")"),"Ano ang multa sa pagmamaneho ng motorsiklo nang walang tamang headlight at taillights?")</f>
        <v>Ano ang multa sa pagmamaneho ng motorsiklo nang walang tamang headlight at taillights?</v>
      </c>
      <c r="E1504" s="2" t="str">
        <f>IFERROR(__xludf.DUMMYFUNCTION("GOOGLETRANSLATE(C1504, ""en"", ""TL"")"),"P1,500 sa unang pagkakasala, P3,000 sa pangalawa, P5,000 sa ikatlo, at P10,000 sa pang-apat at kasunod na pagkakasala, kasama ang pagkumpiska ng lisensya sa pagmamaneho.")</f>
        <v>P1,500 sa unang pagkakasala, P3,000 sa pangalawa, P5,000 sa ikatlo, at P10,000 sa pang-apat at kasunod na pagkakasala, kasama ang pagkumpiska ng lisensya sa pagmamaneho.</v>
      </c>
      <c r="F1504" s="2">
        <f t="shared" si="1"/>
        <v>0</v>
      </c>
      <c r="G1504" s="2"/>
      <c r="H1504" s="2"/>
      <c r="I1504" s="2"/>
      <c r="J1504" s="2"/>
      <c r="K1504" s="2"/>
      <c r="L1504" s="2"/>
      <c r="M1504" s="2"/>
      <c r="N1504" s="2"/>
      <c r="O1504" s="2"/>
      <c r="P1504" s="2"/>
      <c r="Q1504" s="2"/>
      <c r="R1504" s="2"/>
      <c r="S1504" s="2"/>
      <c r="T1504" s="2"/>
      <c r="U1504" s="2"/>
      <c r="V1504" s="2"/>
      <c r="W1504" s="2"/>
      <c r="X1504" s="2"/>
      <c r="Y1504" s="2"/>
      <c r="Z1504" s="2"/>
      <c r="AA1504" s="2"/>
    </row>
    <row r="1505">
      <c r="A1505" s="3" t="s">
        <v>3972</v>
      </c>
      <c r="B1505" s="1" t="s">
        <v>4173</v>
      </c>
      <c r="C1505" s="1" t="s">
        <v>4174</v>
      </c>
      <c r="D1505" s="2" t="str">
        <f>IFERROR(__xludf.DUMMYFUNCTION("GOOGLETRANSLATE(B1505, ""en"", ""TL"")"),"Ano ang parusa sa paggamit ng sasakyan na may hindi awtorisado o hindi karaniwang mga sirena, kampana, o busina?")</f>
        <v>Ano ang parusa sa paggamit ng sasakyan na may hindi awtorisado o hindi karaniwang mga sirena, kampana, o busina?</v>
      </c>
      <c r="E1505" s="2" t="str">
        <f>IFERROR(__xludf.DUMMYFUNCTION("GOOGLETRANSLATE(C1505, ""en"", ""TL"")"),"Sa Pilipinas, ang paggamit ng sasakyang may hindi awtorisado o hindi karaniwang mga sirena, kampana, o busina ay isang paglabag sa trapiko at maaaring magresulta sa mga parusa. Narito ang isang breakdown ng mga nauugnay na regulasyon at kahihinatnan:
Leg"&amp;"al na Batayan:
Republic Act No. 4136 (Land Transportation and Traffic Code):
Seksyon 5(g): Ipinagbabawal ang paggamit ng ""mga kampana, sirena, sipol, o mga busina maliban sa mga kinakailangan o pinapayagan ng batas.""
Presidential Decree No. 96 (Pagba"&amp;"bawal sa Paggamit ng mga Sirena, Kampana, Blinker, at Katulad na Mga Device sa Ilang Sasakyang De-motor):
Seksyon 1: Ipinapahayag na labag sa batas ang paggamit o pag-attach ng ""mga sirena, kampana, at mga katulad na device na naglalabas ng napakalakas "&amp;"o nakakagulat na mga tunog.""
Seksyon 2: Hindi kasama ang ""mga awtorisadong sasakyang pang-emergency"" mula sa pagbabawal na ito.
Mga Hindi awtorisadong Device:
Pangunahing tinatarget ng mga regulasyon ang paggamit ng mga device na:
Hindi pamantayan "&amp;"o inaprubahan ng Land Transportation Office (LTO).
Maglabas ng malakas o nakakagulat na mga tunog na maaaring magdulot ng kaguluhan o pagkalito para sa ibang mga driver at pedestrian.
Mga parusa:
₱5,000 na multa: Ito ang karaniwang multa para sa paggam"&amp;"it ng hindi awtorisado o hindi karaniwang sirena, kampana, o busina ayon sa LTO Memorandum Circular No. 2016-020.")</f>
        <v>Sa Pilipinas, ang paggamit ng sasakyang may hindi awtorisado o hindi karaniwang mga sirena, kampana, o busina ay isang paglabag sa trapiko at maaaring magresulta sa mga parusa. Narito ang isang breakdown ng mga nauugnay na regulasyon at kahihinatnan:
Legal na Batayan:
Republic Act No. 4136 (Land Transportation and Traffic Code):
Seksyon 5(g): Ipinagbabawal ang paggamit ng "mga kampana, sirena, sipol, o mga busina maliban sa mga kinakailangan o pinapayagan ng batas."
Presidential Decree No. 96 (Pagbabawal sa Paggamit ng mga Sirena, Kampana, Blinker, at Katulad na Mga Device sa Ilang Sasakyang De-motor):
Seksyon 1: Ipinapahayag na labag sa batas ang paggamit o pag-attach ng "mga sirena, kampana, at mga katulad na device na naglalabas ng napakalakas o nakakagulat na mga tunog."
Seksyon 2: Hindi kasama ang "mga awtorisadong sasakyang pang-emergency" mula sa pagbabawal na ito.
Mga Hindi awtorisadong Device:
Pangunahing tinatarget ng mga regulasyon ang paggamit ng mga device na:
Hindi pamantayan o inaprubahan ng Land Transportation Office (LTO).
Maglabas ng malakas o nakakagulat na mga tunog na maaaring magdulot ng kaguluhan o pagkalito para sa ibang mga driver at pedestrian.
Mga parusa:
₱5,000 na multa: Ito ang karaniwang multa para sa paggamit ng hindi awtorisado o hindi karaniwang sirena, kampana, o busina ayon sa LTO Memorandum Circular No. 2016-020.</v>
      </c>
      <c r="F1505" s="2">
        <f t="shared" si="1"/>
        <v>0</v>
      </c>
      <c r="G1505" s="2"/>
      <c r="H1505" s="2"/>
      <c r="I1505" s="2"/>
      <c r="J1505" s="2"/>
      <c r="K1505" s="2"/>
      <c r="L1505" s="2"/>
      <c r="M1505" s="2"/>
      <c r="N1505" s="2"/>
      <c r="O1505" s="2"/>
      <c r="P1505" s="2"/>
      <c r="Q1505" s="2"/>
      <c r="R1505" s="2"/>
      <c r="S1505" s="2"/>
      <c r="T1505" s="2"/>
      <c r="U1505" s="2"/>
      <c r="V1505" s="2"/>
      <c r="W1505" s="2"/>
      <c r="X1505" s="2"/>
      <c r="Y1505" s="2"/>
      <c r="Z1505" s="2"/>
      <c r="AA1505" s="2"/>
    </row>
    <row r="1506">
      <c r="A1506" s="3" t="s">
        <v>3972</v>
      </c>
      <c r="B1506" s="1" t="s">
        <v>4175</v>
      </c>
      <c r="C1506" s="1" t="s">
        <v>4176</v>
      </c>
      <c r="D1506" s="2" t="str">
        <f>IFERROR(__xludf.DUMMYFUNCTION("GOOGLETRANSLATE(B1506, ""en"", ""TL"")"),"Maaari bang pagmultahin ang isang driver para sa paggamit ng isang pribadong sasakyan para sa pag-upa nang walang kinakailangang mga permit?")</f>
        <v>Maaari bang pagmultahin ang isang driver para sa paggamit ng isang pribadong sasakyan para sa pag-upa nang walang kinakailangang mga permit?</v>
      </c>
      <c r="E1506" s="2" t="str">
        <f>IFERROR(__xludf.DUMMYFUNCTION("GOOGLETRANSLATE(C1506, ""en"", ""TL"")"),"Syempre! Sa Pilipinas, may mga multa at parusa na nauugnay sa pag-upa ng pribadong sasakyan nang walang kinakailangang pahintulot. Ang mga nauugnay na detalye ay ang mga sumusunod:
Pagmamaneho nang walang kasalukuyang conductor's permit o lisensya sa p"&amp;"agmamaneho:
Parusa: ₱3,000
Ang karagdagang parusa ay isang taong pagbabawal sa pagkuha ng lisensya sa pagmamaneho.
Pagpapatakbo ng sasakyan na ginagamit para sa mga layuning kriminal (pagkatapos mapatunayang nagkasala ng isang regular na hukuman na may"&amp;" naaangkop na hurisdiksyon):
Parusa: ₱10,000
Kasama sa mga karagdagang parusa ang pagbawi ng lisensya at pag-agaw, pati na rin ang pag-impound sa sasakyan.
Pagpapatakbo ng de-motor na sasakyan habang nasa ilalim ng impluwensya ng mga mapanganib na drog"&amp;"a, alkohol, o iba pang mga sangkap (pagkatapos mapatunayang nagkasala sa isang regular na hukuman na may naaangkop na hurisdiksyon):
Parusa: Magsisimula sa ₱20,000
Karagdagang parusa: Isang taong pagkakasuspinde ng lisensya at pagkumpiska")</f>
        <v>Syempre! Sa Pilipinas, may mga multa at parusa na nauugnay sa pag-upa ng pribadong sasakyan nang walang kinakailangang pahintulot. Ang mga nauugnay na detalye ay ang mga sumusunod:
Pagmamaneho nang walang kasalukuyang conductor's permit o lisensya sa pagmamaneho:
Parusa: ₱3,000
Ang karagdagang parusa ay isang taong pagbabawal sa pagkuha ng lisensya sa pagmamaneho.
Pagpapatakbo ng sasakyan na ginagamit para sa mga layuning kriminal (pagkatapos mapatunayang nagkasala ng isang regular na hukuman na may naaangkop na hurisdiksyon):
Parusa: ₱10,000
Kasama sa mga karagdagang parusa ang pagbawi ng lisensya at pag-agaw, pati na rin ang pag-impound sa sasakyan.
Pagpapatakbo ng de-motor na sasakyan habang nasa ilalim ng impluwensya ng mga mapanganib na droga, alkohol, o iba pang mga sangkap (pagkatapos mapatunayang nagkasala sa isang regular na hukuman na may naaangkop na hurisdiksyon):
Parusa: Magsisimula sa ₱20,000
Karagdagang parusa: Isang taong pagkakasuspinde ng lisensya at pagkumpiska</v>
      </c>
      <c r="F1506" s="2">
        <f t="shared" si="1"/>
        <v>1</v>
      </c>
      <c r="G1506" s="2"/>
      <c r="H1506" s="2"/>
      <c r="I1506" s="2"/>
      <c r="J1506" s="2"/>
      <c r="K1506" s="2"/>
      <c r="L1506" s="2"/>
      <c r="M1506" s="2"/>
      <c r="N1506" s="2"/>
      <c r="O1506" s="2"/>
      <c r="P1506" s="2"/>
      <c r="Q1506" s="2"/>
      <c r="R1506" s="2"/>
      <c r="S1506" s="2"/>
      <c r="T1506" s="2"/>
      <c r="U1506" s="2"/>
      <c r="V1506" s="2"/>
      <c r="W1506" s="2"/>
      <c r="X1506" s="2"/>
      <c r="Y1506" s="2"/>
      <c r="Z1506" s="2"/>
      <c r="AA1506" s="2"/>
    </row>
    <row r="1507">
      <c r="A1507" s="3" t="s">
        <v>3972</v>
      </c>
      <c r="B1507" s="1" t="s">
        <v>4177</v>
      </c>
      <c r="C1507" s="1" t="s">
        <v>4178</v>
      </c>
      <c r="D1507" s="2" t="str">
        <f>IFERROR(__xludf.DUMMYFUNCTION("GOOGLETRANSLATE(B1507, ""en"", ""TL"")"),"Ano ang parusa sa pagmamaneho ng motorsiklo nang walang kaukulang plaka?")</f>
        <v>Ano ang parusa sa pagmamaneho ng motorsiklo nang walang kaukulang plaka?</v>
      </c>
      <c r="E1507" s="2" t="str">
        <f>IFERROR(__xludf.DUMMYFUNCTION("GOOGLETRANSLATE(C1507, ""en"", ""TL"")"),"Ang pagmamaneho ng motorsiklo sa Pilipinas nang walang wastong mga plaka ng rehistrasyon ay isang malubhang pagkakasala at maaaring magresulta sa maraming potensyal na kahihinatnan, depende sa partikular na mga pangyayari. Narito ang isang breakdown ng mg"&amp;"a nauugnay na regulasyon at potensyal na parusa:
Walang mga Plato o Hindi Nababasang mga Plato:
Itinuturing ng Land Transportation Office (LTO) ang parehong mga senaryo bilang mga paglabag:
Pagmamaneho ng motorsiklo nang walang anumang mga plaka ng reh"&amp;"istrasyon: Ito ay isang malinaw na paglabag sa batas.
Pagmamaneho ng motorsiklo na may mga plakang rehistrasyon na hindi nababasa, nakakubli, o nakikialam: Kabilang dito ang mga plate na marumi, nasira, o binago sa paraang nagpapahirap sa pagtukoy ng imp"&amp;"ormasyon.
Legal na Batayan:
Republic Act No. 4136 (Land Transportation and Traffic Code):
Seksyon 15: Nag-uutos na ang lahat ng mga sasakyang de-motor ay dapat magdala ng ""dalawang plaka ng rehistrasyon, isa sa bawat panig,"" na may mga partikular na "&amp;"kinakailangan para sa kanilang visibility at pagkakalagay.
2016-020 ng LTO Memorandum Circular No.
Mga parusa:
₱5,000 na multa: Ito ang karaniwang multa para sa pagmamaneho ng motorsiklo nang walang tamang registration plate, ayon sa LTO Memorandum Cir"&amp;"cular na nabanggit sa itaas.
Karagdagang mga parusa: Depende sa mga partikular na pangyayari at sa pagpapasya ng opisyal ng paghuli, maaaring kabilang sa iba pang mga parusa ang:
Pagkumpiska ng motorsiklo: Maaaring ma-impound ang motorsiklo hanggang sa "&amp;"maipakita ang wastong mga plaka ng rehistrasyon o ang sitwasyon ay naresolba.
Mga demerit point: Maaaring magdagdag ng mga puntos sa lisensya ng pagmamaneho, na maaaring humantong sa pagsususpinde kung sila ay makaipon ng isang tiyak na numero.
Karagdag"&amp;"ang legal na epekto: Sa matinding mga kaso, gaya ng paggamit ng mga pekeng o tampered plate, maaaring magsampa ng mga karagdagang legal na singil lampas sa mga paglabag sa trapiko.
Kahalagahan ng Wastong Pagpaparehistro:
Ang pagkakaroon ng wastong mga p"&amp;"laka ng pagpaparehistro sa iyong motorsiklo ay mahalaga para sa ilang kadahilanan:
Pagkakakilanlan: Ang mga plaka ng pagpaparehistro ay ang pangunahing paraan para makilala ng mga awtoridad ang sasakyan at ang may-ari nito.
Pagpapatupad ng batas: Ang wa"&amp;"stong pagpaparehistro ay nagbibigay-daan sa mga awtoridad na i-verify ang katayuan ng pagpaparehistro ng sasakyan at pagsunod sa iba't ibang mga regulasyon.
Kaligtasan at seguridad: Sa kaso ng isang aksidente o pagnanakaw, pinapadali ng wastong mga plaka"&amp;" ng pagpaparehistro ang proseso ng pagsisiyasat at maaaring makatulong sa pagbawi ng mga ninakaw na sasakyan.")</f>
        <v>Ang pagmamaneho ng motorsiklo sa Pilipinas nang walang wastong mga plaka ng rehistrasyon ay isang malubhang pagkakasala at maaaring magresulta sa maraming potensyal na kahihinatnan, depende sa partikular na mga pangyayari. Narito ang isang breakdown ng mga nauugnay na regulasyon at potensyal na parusa:
Walang mga Plato o Hindi Nababasang mga Plato:
Itinuturing ng Land Transportation Office (LTO) ang parehong mga senaryo bilang mga paglabag:
Pagmamaneho ng motorsiklo nang walang anumang mga plaka ng rehistrasyon: Ito ay isang malinaw na paglabag sa batas.
Pagmamaneho ng motorsiklo na may mga plakang rehistrasyon na hindi nababasa, nakakubli, o nakikialam: Kabilang dito ang mga plate na marumi, nasira, o binago sa paraang nagpapahirap sa pagtukoy ng impormasyon.
Legal na Batayan:
Republic Act No. 4136 (Land Transportation and Traffic Code):
Seksyon 15: Nag-uutos na ang lahat ng mga sasakyang de-motor ay dapat magdala ng "dalawang plaka ng rehistrasyon, isa sa bawat panig," na may mga partikular na kinakailangan para sa kanilang visibility at pagkakalagay.
2016-020 ng LTO Memorandum Circular No.
Mga parusa:
₱5,000 na multa: Ito ang karaniwang multa para sa pagmamaneho ng motorsiklo nang walang tamang registration plate, ayon sa LTO Memorandum Circular na nabanggit sa itaas.
Karagdagang mga parusa: Depende sa mga partikular na pangyayari at sa pagpapasya ng opisyal ng paghuli, maaaring kabilang sa iba pang mga parusa ang:
Pagkumpiska ng motorsiklo: Maaaring ma-impound ang motorsiklo hanggang sa maipakita ang wastong mga plaka ng rehistrasyon o ang sitwasyon ay naresolba.
Mga demerit point: Maaaring magdagdag ng mga puntos sa lisensya ng pagmamaneho, na maaaring humantong sa pagsususpinde kung sila ay makaipon ng isang tiyak na numero.
Karagdagang legal na epekto: Sa matinding mga kaso, gaya ng paggamit ng mga pekeng o tampered plate, maaaring magsampa ng mga karagdagang legal na singil lampas sa mga paglabag sa trapiko.
Kahalagahan ng Wastong Pagpaparehistro:
Ang pagkakaroon ng wastong mga plaka ng pagpaparehistro sa iyong motorsiklo ay mahalaga para sa ilang kadahilanan:
Pagkakakilanlan: Ang mga plaka ng pagpaparehistro ay ang pangunahing paraan para makilala ng mga awtoridad ang sasakyan at ang may-ari nito.
Pagpapatupad ng batas: Ang wastong pagpaparehistro ay nagbibigay-daan sa mga awtoridad na i-verify ang katayuan ng pagpaparehistro ng sasakyan at pagsunod sa iba't ibang mga regulasyon.
Kaligtasan at seguridad: Sa kaso ng isang aksidente o pagnanakaw, pinapadali ng wastong mga plaka ng pagpaparehistro ang proseso ng pagsisiyasat at maaaring makatulong sa pagbawi ng mga ninakaw na sasakyan.</v>
      </c>
      <c r="F1507" s="2">
        <f t="shared" si="1"/>
        <v>0</v>
      </c>
      <c r="G1507" s="2"/>
      <c r="H1507" s="2"/>
      <c r="I1507" s="2"/>
      <c r="J1507" s="2"/>
      <c r="K1507" s="2"/>
      <c r="L1507" s="2"/>
      <c r="M1507" s="2"/>
      <c r="N1507" s="2"/>
      <c r="O1507" s="2"/>
      <c r="P1507" s="2"/>
      <c r="Q1507" s="2"/>
      <c r="R1507" s="2"/>
      <c r="S1507" s="2"/>
      <c r="T1507" s="2"/>
      <c r="U1507" s="2"/>
      <c r="V1507" s="2"/>
      <c r="W1507" s="2"/>
      <c r="X1507" s="2"/>
      <c r="Y1507" s="2"/>
      <c r="Z1507" s="2"/>
      <c r="AA1507" s="2"/>
    </row>
    <row r="1508">
      <c r="A1508" s="3" t="s">
        <v>3972</v>
      </c>
      <c r="B1508" s="1" t="s">
        <v>4179</v>
      </c>
      <c r="C1508" s="1" t="s">
        <v>4180</v>
      </c>
      <c r="D1508" s="2" t="str">
        <f>IFERROR(__xludf.DUMMYFUNCTION("GOOGLETRANSLATE(B1508, ""en"", ""TL"")"),"Ano ang multa para sa hindi pagbigay sa mga naglalakad sa isang markadong tawiran?")</f>
        <v>Ano ang multa para sa hindi pagbigay sa mga naglalakad sa isang markadong tawiran?</v>
      </c>
      <c r="E1508" s="2" t="str">
        <f>IFERROR(__xludf.DUMMYFUNCTION("GOOGLETRANSLATE(C1508, ""en"", ""TL"")"),"Ang mga driver na hindi papansinin ang mga naglalakad ay nanganganib ng P3,000 na multa.")</f>
        <v>Ang mga driver na hindi papansinin ang mga naglalakad ay nanganganib ng P3,000 na multa.</v>
      </c>
      <c r="F1508" s="2">
        <f t="shared" si="1"/>
        <v>1</v>
      </c>
      <c r="G1508" s="2"/>
      <c r="H1508" s="2"/>
      <c r="I1508" s="2"/>
      <c r="J1508" s="2"/>
      <c r="K1508" s="2"/>
      <c r="L1508" s="2"/>
      <c r="M1508" s="2"/>
      <c r="N1508" s="2"/>
      <c r="O1508" s="2"/>
      <c r="P1508" s="2"/>
      <c r="Q1508" s="2"/>
      <c r="R1508" s="2"/>
      <c r="S1508" s="2"/>
      <c r="T1508" s="2"/>
      <c r="U1508" s="2"/>
      <c r="V1508" s="2"/>
      <c r="W1508" s="2"/>
      <c r="X1508" s="2"/>
      <c r="Y1508" s="2"/>
      <c r="Z1508" s="2"/>
      <c r="AA1508" s="2"/>
    </row>
    <row r="1509">
      <c r="A1509" s="3" t="s">
        <v>3972</v>
      </c>
      <c r="B1509" s="1" t="s">
        <v>4181</v>
      </c>
      <c r="C1509" s="1" t="s">
        <v>4182</v>
      </c>
      <c r="D1509" s="2" t="str">
        <f>IFERROR(__xludf.DUMMYFUNCTION("GOOGLETRANSLATE(B1509, ""en"", ""TL"")"),"Kailan legal na gumawa ng U-turn sa isang kurba o sa tuktok ng isang burol?")</f>
        <v>Kailan legal na gumawa ng U-turn sa isang kurba o sa tuktok ng isang burol?</v>
      </c>
      <c r="E1509" s="2" t="str">
        <f>IFERROR(__xludf.DUMMYFUNCTION("GOOGLETRANSLATE(C1509, ""en"", ""TL"")"),"Sa Pilipinas, hindi kailanman legal na mag-U-turn sa isang kurba o sa tuktok ng isang burol sa anumang pagkakataon. Ito ay dahil sa mga likas na panganib sa kaligtasan na nauugnay sa mga naturang maniobra sa mga lokasyong ito, gaya ng nakabalangkas sa mga"&amp;" sumusunod na regulasyon:
Legal na Batayan:
Republic Act No. 4136 (Land Transportation and Traffic Code):
Seksyon 61: Ipinagbabawal ang ""pakaliwa o pag-U-turn"" sa iba't ibang lokasyon, kabilang ang:
""Sa anumang kurba""
""Sa tuktok ng isang grado"""&amp;" (na maaaring bigyang-kahulugan bilang tuktok ng isang burol)
Mga Pagsasaalang-alang sa Kaligtasan:
Ang paggawa ng U-turn sa isang curve o sa tuktok ng isang burol ay mapanganib para sa ilang kadahilanan:
Limitadong visibility: Maaaring walang sapat na"&amp;" visibility ang mga driver na paparating mula sa alinmang direksyon upang mahulaan ang U-turn maneuver, na nagpapataas ng panganib ng mga banggaan.
Nabawasan ang kontrol: Ang pakikipag-ayos sa isang U-turn sa isang curve o crest ay maaaring maging mahira"&amp;"p, at maaaring mawalan ng kontrol ang mga driver sa kanilang mga sasakyan dahil sa hindi pantay na ibabaw ng kalsada o pagbabago sa grado.
Paparating na trapiko: Ang maniobra ay maaaring makabuluhang makahadlang sa paparating na trapiko at humantong sa m"&amp;"ga mapanganib na sitwasyon, lalo na sa mga blind curve o burol.")</f>
        <v>Sa Pilipinas, hindi kailanman legal na mag-U-turn sa isang kurba o sa tuktok ng isang burol sa anumang pagkakataon. Ito ay dahil sa mga likas na panganib sa kaligtasan na nauugnay sa mga naturang maniobra sa mga lokasyong ito, gaya ng nakabalangkas sa mga sumusunod na regulasyon:
Legal na Batayan:
Republic Act No. 4136 (Land Transportation and Traffic Code):
Seksyon 61: Ipinagbabawal ang "pakaliwa o pag-U-turn" sa iba't ibang lokasyon, kabilang ang:
"Sa anumang kurba"
"Sa tuktok ng isang grado" (na maaaring bigyang-kahulugan bilang tuktok ng isang burol)
Mga Pagsasaalang-alang sa Kaligtasan:
Ang paggawa ng U-turn sa isang curve o sa tuktok ng isang burol ay mapanganib para sa ilang kadahilanan:
Limitadong visibility: Maaaring walang sapat na visibility ang mga driver na paparating mula sa alinmang direksyon upang mahulaan ang U-turn maneuver, na nagpapataas ng panganib ng mga banggaan.
Nabawasan ang kontrol: Ang pakikipag-ayos sa isang U-turn sa isang curve o crest ay maaaring maging mahirap, at maaaring mawalan ng kontrol ang mga driver sa kanilang mga sasakyan dahil sa hindi pantay na ibabaw ng kalsada o pagbabago sa grado.
Paparating na trapiko: Ang maniobra ay maaaring makabuluhang makahadlang sa paparating na trapiko at humantong sa mga mapanganib na sitwasyon, lalo na sa mga blind curve o burol.</v>
      </c>
      <c r="F1509" s="2">
        <f t="shared" si="1"/>
        <v>1</v>
      </c>
      <c r="G1509" s="2"/>
      <c r="H1509" s="2"/>
      <c r="I1509" s="2"/>
      <c r="J1509" s="2"/>
      <c r="K1509" s="2"/>
      <c r="L1509" s="2"/>
      <c r="M1509" s="2"/>
      <c r="N1509" s="2"/>
      <c r="O1509" s="2"/>
      <c r="P1509" s="2"/>
      <c r="Q1509" s="2"/>
      <c r="R1509" s="2"/>
      <c r="S1509" s="2"/>
      <c r="T1509" s="2"/>
      <c r="U1509" s="2"/>
      <c r="V1509" s="2"/>
      <c r="W1509" s="2"/>
      <c r="X1509" s="2"/>
      <c r="Y1509" s="2"/>
      <c r="Z1509" s="2"/>
      <c r="AA1509" s="2"/>
    </row>
    <row r="1510">
      <c r="A1510" s="3" t="s">
        <v>3972</v>
      </c>
      <c r="B1510" s="1" t="s">
        <v>4183</v>
      </c>
      <c r="C1510" s="1" t="s">
        <v>4128</v>
      </c>
      <c r="D1510" s="2" t="str">
        <f>IFERROR(__xludf.DUMMYFUNCTION("GOOGLETRANSLATE(B1510, ""en"", ""TL"")"),"Ano ang parusa sa pagpapatakbo ng sasakyan nang walang valid na sertipiko ng pagpaparehistro?")</f>
        <v>Ano ang parusa sa pagpapatakbo ng sasakyan nang walang valid na sertipiko ng pagpaparehistro?</v>
      </c>
      <c r="E1510" s="2" t="str">
        <f>IFERROR(__xludf.DUMMYFUNCTION("GOOGLETRANSLATE(C1510, ""en"", ""TL"")"),"Unang pagkakasala: hanggang P2,000 multa; ikalawang pagkakasala: hanggang P4,000 multa; ikatlo at kasunod na mga pagkakasala: hanggang P6,000 na multa at isang taon na suspensiyon ng pagpaparehistro ng sasakyang de-motor")</f>
        <v>Unang pagkakasala: hanggang P2,000 multa; ikalawang pagkakasala: hanggang P4,000 multa; ikatlo at kasunod na mga pagkakasala: hanggang P6,000 na multa at isang taon na suspensiyon ng pagpaparehistro ng sasakyang de-motor</v>
      </c>
      <c r="F1510" s="2">
        <f t="shared" si="1"/>
        <v>1</v>
      </c>
      <c r="G1510" s="2"/>
      <c r="H1510" s="2"/>
      <c r="I1510" s="2"/>
      <c r="J1510" s="2"/>
      <c r="K1510" s="2"/>
      <c r="L1510" s="2"/>
      <c r="M1510" s="2"/>
      <c r="N1510" s="2"/>
      <c r="O1510" s="2"/>
      <c r="P1510" s="2"/>
      <c r="Q1510" s="2"/>
      <c r="R1510" s="2"/>
      <c r="S1510" s="2"/>
      <c r="T1510" s="2"/>
      <c r="U1510" s="2"/>
      <c r="V1510" s="2"/>
      <c r="W1510" s="2"/>
      <c r="X1510" s="2"/>
      <c r="Y1510" s="2"/>
      <c r="Z1510" s="2"/>
      <c r="AA1510" s="2"/>
    </row>
    <row r="1511">
      <c r="A1511" s="3" t="s">
        <v>3972</v>
      </c>
      <c r="B1511" s="1" t="s">
        <v>4184</v>
      </c>
      <c r="C1511" s="1" t="s">
        <v>4185</v>
      </c>
      <c r="D1511" s="2" t="str">
        <f>IFERROR(__xludf.DUMMYFUNCTION("GOOGLETRANSLATE(B1511, ""en"", ""TL"")"),"Maaari bang pagmultahin ang isang driver para sa pagpayag sa isang tao na sumakay sa labas o likurang bahagi ng sasakyan?")</f>
        <v>Maaari bang pagmultahin ang isang driver para sa pagpayag sa isang tao na sumakay sa labas o likurang bahagi ng sasakyan?</v>
      </c>
      <c r="E1511" s="2" t="str">
        <f>IFERROR(__xludf.DUMMYFUNCTION("GOOGLETRANSLATE(C1511, ""en"", ""TL"")"),"Oo, sa Pilipinas, ang isang driver ay maaaring pagmultahin para sa pagpayag sa isang tao na sumakay sa labas o likurang bahagi ng isang sasakyan. Isa itong malubhang paglabag sa trapiko at maaaring magresulta sa mga parusa at potensyal na legal na kahihin"&amp;"atnan para sa driver at pasahero.
Narito ang isang breakdown ng mga nauugnay na regulasyon at potensyal na kahihinatnan:
Legal na Batayan:
Republic Act No. 4136 (Land Transportation and Traffic Code):
Seksyon 51: Ipinagbabawal ang pagpapatakbo ng isan"&amp;"g sasakyang de-motor na may mga pasaherong ""nakasakay sa mga fender, hakbang, o iba pang mga delikadong bahagi nito.""
Seksyon 32: Nag-uutos na ang bilang ng mga pasahero ay hindi dapat ""higit sa rehistradong kapasidad ng pagdadala"" ng sasakyan.
Mga "&amp;"Karagdagang Regulasyon:
Land Transportation Office (LTO) Memorandum No. 2018-195: Ang memorandum na ito ay nagpapaalala sa lahat ng LTO regional directors na mahigpit na ipatupad ang pagbabawal sa mga pasaherong sumakay sa labas o sa likurang bahagi ng m"&amp;"ga sasakyan.
Mga parusa:
₱2,000 hanggang ₱3,000 na multa: Ito ang karaniwang multa para sa pagpapahintulot sa isang tao na sumakay sa labas o likurang bahagi ng sasakyan, ayon sa LTO Memorandum na binanggit sa itaas.
Suspension of Certificate of Public"&amp;" Convenience (CPC): Kung ang sasakyang kasangkot ay ginagamit para sa pampublikong sasakyan, maaaring masuspinde ang driver ng kanilang CPC bilang karagdagan sa multa.
Iba pang mga potensyal na kahihinatnan: Depende sa mga partikular na pangyayari at sa "&amp;"pagpapasya ng opisyal ng paghuli, maaaring kabilang sa iba pang mga kahihinatnan ang:
Mga demerit point: Mga puntos na idinaragdag sa lisensya sa pagmamaneho, na maaaring humantong sa pagsususpinde kung makaipon sila ng isang tiyak na numero.
Pag-impoun"&amp;"d ng sasakyan: Sa matinding mga kaso, maaaring ma-impound ang sasakyan hanggang sa malutas ang sitwasyon.")</f>
        <v>Oo, sa Pilipinas, ang isang driver ay maaaring pagmultahin para sa pagpayag sa isang tao na sumakay sa labas o likurang bahagi ng isang sasakyan. Isa itong malubhang paglabag sa trapiko at maaaring magresulta sa mga parusa at potensyal na legal na kahihinatnan para sa driver at pasahero.
Narito ang isang breakdown ng mga nauugnay na regulasyon at potensyal na kahihinatnan:
Legal na Batayan:
Republic Act No. 4136 (Land Transportation and Traffic Code):
Seksyon 51: Ipinagbabawal ang pagpapatakbo ng isang sasakyang de-motor na may mga pasaherong "nakasakay sa mga fender, hakbang, o iba pang mga delikadong bahagi nito."
Seksyon 32: Nag-uutos na ang bilang ng mga pasahero ay hindi dapat "higit sa rehistradong kapasidad ng pagdadala" ng sasakyan.
Mga Karagdagang Regulasyon:
Land Transportation Office (LTO) Memorandum No. 2018-195: Ang memorandum na ito ay nagpapaalala sa lahat ng LTO regional directors na mahigpit na ipatupad ang pagbabawal sa mga pasaherong sumakay sa labas o sa likurang bahagi ng mga sasakyan.
Mga parusa:
₱2,000 hanggang ₱3,000 na multa: Ito ang karaniwang multa para sa pagpapahintulot sa isang tao na sumakay sa labas o likurang bahagi ng sasakyan, ayon sa LTO Memorandum na binanggit sa itaas.
Suspension of Certificate of Public Convenience (CPC): Kung ang sasakyang kasangkot ay ginagamit para sa pampublikong sasakyan, maaaring masuspinde ang driver ng kanilang CPC bilang karagdagan sa multa.
Iba pang mga potensyal na kahihinatnan: Depende sa mga partikular na pangyayari at sa pagpapasya ng opisyal ng paghuli, maaaring kabilang sa iba pang mga kahihinatnan ang:
Mga demerit point: Mga puntos na idinaragdag sa lisensya sa pagmamaneho, na maaaring humantong sa pagsususpinde kung makaipon sila ng isang tiyak na numero.
Pag-impound ng sasakyan: Sa matinding mga kaso, maaaring ma-impound ang sasakyan hanggang sa malutas ang sitwasyon.</v>
      </c>
      <c r="F1511" s="2">
        <f t="shared" si="1"/>
        <v>1</v>
      </c>
      <c r="G1511" s="2"/>
      <c r="H1511" s="2"/>
      <c r="I1511" s="2"/>
      <c r="J1511" s="2"/>
      <c r="K1511" s="2"/>
      <c r="L1511" s="2"/>
      <c r="M1511" s="2"/>
      <c r="N1511" s="2"/>
      <c r="O1511" s="2"/>
      <c r="P1511" s="2"/>
      <c r="Q1511" s="2"/>
      <c r="R1511" s="2"/>
      <c r="S1511" s="2"/>
      <c r="T1511" s="2"/>
      <c r="U1511" s="2"/>
      <c r="V1511" s="2"/>
      <c r="W1511" s="2"/>
      <c r="X1511" s="2"/>
      <c r="Y1511" s="2"/>
      <c r="Z1511" s="2"/>
      <c r="AA1511" s="2"/>
    </row>
    <row r="1512">
      <c r="A1512" s="3" t="s">
        <v>3972</v>
      </c>
      <c r="B1512" s="1" t="s">
        <v>4186</v>
      </c>
      <c r="C1512" s="1" t="s">
        <v>4187</v>
      </c>
      <c r="D1512" s="2" t="str">
        <f>IFERROR(__xludf.DUMMYFUNCTION("GOOGLETRANSLATE(B1512, ""en"", ""TL"")"),"Ano ang multa para sa pagmamaneho nang walang kinakailangang mga headlight at taillight sa gabi?")</f>
        <v>Ano ang multa para sa pagmamaneho nang walang kinakailangang mga headlight at taillight sa gabi?</v>
      </c>
      <c r="E1512" s="2" t="str">
        <f>IFERROR(__xludf.DUMMYFUNCTION("GOOGLETRANSLATE(C1512, ""en"", ""TL"")"),"Malaking PHP 5,000 na multa ang ipapataw sa sinumang makikitang nagmamay-ari o gumagamit ng mga ipinagbabawal na ilaw at accessories na ito sa kanilang pagkakaaresto.")</f>
        <v>Malaking PHP 5,000 na multa ang ipapataw sa sinumang makikitang nagmamay-ari o gumagamit ng mga ipinagbabawal na ilaw at accessories na ito sa kanilang pagkakaaresto.</v>
      </c>
      <c r="F1512" s="2">
        <f t="shared" si="1"/>
        <v>1</v>
      </c>
      <c r="G1512" s="2"/>
      <c r="H1512" s="2"/>
      <c r="I1512" s="2"/>
      <c r="J1512" s="2"/>
      <c r="K1512" s="2"/>
      <c r="L1512" s="2"/>
      <c r="M1512" s="2"/>
      <c r="N1512" s="2"/>
      <c r="O1512" s="2"/>
      <c r="P1512" s="2"/>
      <c r="Q1512" s="2"/>
      <c r="R1512" s="2"/>
      <c r="S1512" s="2"/>
      <c r="T1512" s="2"/>
      <c r="U1512" s="2"/>
      <c r="V1512" s="2"/>
      <c r="W1512" s="2"/>
      <c r="X1512" s="2"/>
      <c r="Y1512" s="2"/>
      <c r="Z1512" s="2"/>
      <c r="AA1512" s="2"/>
    </row>
    <row r="1513">
      <c r="A1513" s="3" t="s">
        <v>3972</v>
      </c>
      <c r="B1513" s="1" t="s">
        <v>4188</v>
      </c>
      <c r="C1513" s="1" t="s">
        <v>4189</v>
      </c>
      <c r="D1513" s="2" t="str">
        <f>IFERROR(__xludf.DUMMYFUNCTION("GOOGLETRANSLATE(B1513, ""en"", ""TL"")"),"Ano ang parusa sa pagmamaneho ng motorsiklo nang walang kinakailangang helmet?")</f>
        <v>Ano ang parusa sa pagmamaneho ng motorsiklo nang walang kinakailangang helmet?</v>
      </c>
      <c r="E1513" s="2" t="str">
        <f>IFERROR(__xludf.DUMMYFUNCTION("GOOGLETRANSLATE(C1513, ""en"", ""TL"")"),"Isa sa mga paglabag sa pagmamaneho na pinaparusahan ng batas sa Pilipinas ay ang hindi pagsusuot ng helmet. Ang sinumang mapatunayang nagkasala sa paglabag na ito ay nahaharap sa multa na maaaring umabot sa P20,000.00.")</f>
        <v>Isa sa mga paglabag sa pagmamaneho na pinaparusahan ng batas sa Pilipinas ay ang hindi pagsusuot ng helmet. Ang sinumang mapatunayang nagkasala sa paglabag na ito ay nahaharap sa multa na maaaring umabot sa P20,000.00.</v>
      </c>
      <c r="F1513" s="2">
        <f t="shared" si="1"/>
        <v>0</v>
      </c>
      <c r="G1513" s="2"/>
      <c r="H1513" s="2"/>
      <c r="I1513" s="2"/>
      <c r="J1513" s="2"/>
      <c r="K1513" s="2"/>
      <c r="L1513" s="2"/>
      <c r="M1513" s="2"/>
      <c r="N1513" s="2"/>
      <c r="O1513" s="2"/>
      <c r="P1513" s="2"/>
      <c r="Q1513" s="2"/>
      <c r="R1513" s="2"/>
      <c r="S1513" s="2"/>
      <c r="T1513" s="2"/>
      <c r="U1513" s="2"/>
      <c r="V1513" s="2"/>
      <c r="W1513" s="2"/>
      <c r="X1513" s="2"/>
      <c r="Y1513" s="2"/>
      <c r="Z1513" s="2"/>
      <c r="AA1513" s="2"/>
    </row>
    <row r="1514">
      <c r="A1514" s="3" t="s">
        <v>3972</v>
      </c>
      <c r="B1514" s="1" t="s">
        <v>4190</v>
      </c>
      <c r="C1514" s="1" t="s">
        <v>4191</v>
      </c>
      <c r="D1514" s="2" t="str">
        <f>IFERROR(__xludf.DUMMYFUNCTION("GOOGLETRANSLATE(B1514, ""en"", ""TL"")"),"Ano ang multa sa pag-overtake sa intersection o pedestrian lane?")</f>
        <v>Ano ang multa sa pag-overtake sa intersection o pedestrian lane?</v>
      </c>
      <c r="E1514" s="2" t="str">
        <f>IFERROR(__xludf.DUMMYFUNCTION("GOOGLETRANSLATE(C1514, ""en"", ""TL"")"),"Sa Pilipinas, ang pag-overtake sa intersection o pedestrian lane ay isang seryosong paglabag sa trapiko at maaaring magresulta sa multa at iba pang potensyal na kahihinatnan. Narito ang isang breakdown ng mga nauugnay na regulasyon at parusa:
Legal na Ba"&amp;"tayan:
Republic Act No. 4136 (Land Transportation and Traffic Code):
Seksyon 44-C: Partikular na ipinagbabawal ang pag-overtake sa mga intersection at pedestrian lane. Ang seksyong ito ay nagsasaad:
""Sa tuwing huminto ang anumang sasakyan sa may marka"&amp;"ng crosswalk o sa anumang walang markang crosswalk sa intersection para pahintulutan ang isang pedestrian na tumawid sa kalsada, ang driver ng anumang sasakyang paparating mula sa likuran ay hindi dapat mag-overtake at dumaan sa tumigil na sasakyan.""
mg"&amp;"a multa:
₱1,500 na multa: Ito ang karaniwang multa para sa pag-overtake sa isang intersection o pedestrian lane, ayon sa Land Transportation Office (LTO) Memorandum Circular No. 2016-020.")</f>
        <v>Sa Pilipinas, ang pag-overtake sa intersection o pedestrian lane ay isang seryosong paglabag sa trapiko at maaaring magresulta sa multa at iba pang potensyal na kahihinatnan. Narito ang isang breakdown ng mga nauugnay na regulasyon at parusa:
Legal na Batayan:
Republic Act No. 4136 (Land Transportation and Traffic Code):
Seksyon 44-C: Partikular na ipinagbabawal ang pag-overtake sa mga intersection at pedestrian lane. Ang seksyong ito ay nagsasaad:
"Sa tuwing huminto ang anumang sasakyan sa may markang crosswalk o sa anumang walang markang crosswalk sa intersection para pahintulutan ang isang pedestrian na tumawid sa kalsada, ang driver ng anumang sasakyang paparating mula sa likuran ay hindi dapat mag-overtake at dumaan sa tumigil na sasakyan."
mga multa:
₱1,500 na multa: Ito ang karaniwang multa para sa pag-overtake sa isang intersection o pedestrian lane, ayon sa Land Transportation Office (LTO) Memorandum Circular No. 2016-020.</v>
      </c>
      <c r="F1514" s="2">
        <f t="shared" si="1"/>
        <v>0</v>
      </c>
      <c r="G1514" s="2"/>
      <c r="H1514" s="2"/>
      <c r="I1514" s="2"/>
      <c r="J1514" s="2"/>
      <c r="K1514" s="2"/>
      <c r="L1514" s="2"/>
      <c r="M1514" s="2"/>
      <c r="N1514" s="2"/>
      <c r="O1514" s="2"/>
      <c r="P1514" s="2"/>
      <c r="Q1514" s="2"/>
      <c r="R1514" s="2"/>
      <c r="S1514" s="2"/>
      <c r="T1514" s="2"/>
      <c r="U1514" s="2"/>
      <c r="V1514" s="2"/>
      <c r="W1514" s="2"/>
      <c r="X1514" s="2"/>
      <c r="Y1514" s="2"/>
      <c r="Z1514" s="2"/>
      <c r="AA1514" s="2"/>
    </row>
    <row r="1515">
      <c r="A1515" s="3" t="s">
        <v>3972</v>
      </c>
      <c r="B1515" s="1" t="s">
        <v>4192</v>
      </c>
      <c r="C1515" s="1" t="s">
        <v>4193</v>
      </c>
      <c r="D1515" s="2" t="str">
        <f>IFERROR(__xludf.DUMMYFUNCTION("GOOGLETRANSLATE(B1515, ""en"", ""TL"")"),"Maaari bang pagmultahin ang isang tsuper dahil sa pagtanggi na magsumite sa isang mandatoryong pagsusuri sa droga pagkatapos ng isang aksidente sa kalsada?")</f>
        <v>Maaari bang pagmultahin ang isang tsuper dahil sa pagtanggi na magsumite sa isang mandatoryong pagsusuri sa droga pagkatapos ng isang aksidente sa kalsada?</v>
      </c>
      <c r="E1515" s="2" t="str">
        <f>IFERROR(__xludf.DUMMYFUNCTION("GOOGLETRANSLATE(C1515, ""en"", ""TL"")"),"Sa Pilipinas, ang isang driver na tumangging kumuha ng kinakailangang drug test kasunod ng isang aksidente ay maaaring maharap sa mga kahihinatnan. Ang mga sumusunod na patakaran ay naaangkop alinsunod sa Republic Act No. 10586, na sikat na tinutukoy bila"&amp;"ng ""Anti-Drunk and Drugged Driving Act of 2013"":
Pagtanggi na Magsumite sa Mga Mandatoryong Pagsusuri: Alinsunod sa Seksyon 6, 7, at 15 ng Batas, ang mga driver ng mga sasakyang de-motor na tumangging sumailalim sa kinakailangang field sobriety at dr"&amp;"ug test ay nahaharap sa mga sumusunod na parusa:
pagkumpiska at awtomatikong pagbawi ng lisensya sa pagmamaneho.
Mga karagdagang parusa na itinakda ng batas.
Ang mga sumusunod ay ang mga parusa para sa pagpapatakbo ng sasakyan habang nakalalasing (DUI)"&amp;" o nasa ilalim ng impluwensya ng mga mapanganib na droga (DUID):
Kung sakaling ang paglabag ay hindi humantong sa anumang pisikal na pinsala o pagpatay, ang mga sumusunod na parusa ay nalalapat:
tatlong (3) buwan sa pagkakakulong.
multa sa pagitan ng 20"&amp;",000 at 80,000 PHP.
Karagdagang Parusa:
Ang pinakamababang tatlong buwan at maximum na dalawampung taon ay maaaring gugulin sa likod ng mga bar.
Ang halaga ng multa ay maaaring mag-iba mula 20,000 hanggang 500,000 PHP.
Kung ang isang hindi propesyonal"&amp;" na may hawak ng lisensya ay gumawa ng isang pagkakasala, ang kanilang lisensya ay permanenteng babawiin pagkatapos ng 12 buwang pagsususpinde.")</f>
        <v>Sa Pilipinas, ang isang driver na tumangging kumuha ng kinakailangang drug test kasunod ng isang aksidente ay maaaring maharap sa mga kahihinatnan. Ang mga sumusunod na patakaran ay naaangkop alinsunod sa Republic Act No. 10586, na sikat na tinutukoy bilang "Anti-Drunk and Drugged Driving Act of 2013":
Pagtanggi na Magsumite sa Mga Mandatoryong Pagsusuri: Alinsunod sa Seksyon 6, 7, at 15 ng Batas, ang mga driver ng mga sasakyang de-motor na tumangging sumailalim sa kinakailangang field sobriety at drug test ay nahaharap sa mga sumusunod na parusa:
pagkumpiska at awtomatikong pagbawi ng lisensya sa pagmamaneho.
Mga karagdagang parusa na itinakda ng batas.
Ang mga sumusunod ay ang mga parusa para sa pagpapatakbo ng sasakyan habang nakalalasing (DUI) o nasa ilalim ng impluwensya ng mga mapanganib na droga (DUID):
Kung sakaling ang paglabag ay hindi humantong sa anumang pisikal na pinsala o pagpatay, ang mga sumusunod na parusa ay nalalapat:
tatlong (3) buwan sa pagkakakulong.
multa sa pagitan ng 20,000 at 80,000 PHP.
Karagdagang Parusa:
Ang pinakamababang tatlong buwan at maximum na dalawampung taon ay maaaring gugulin sa likod ng mga bar.
Ang halaga ng multa ay maaaring mag-iba mula 20,000 hanggang 500,000 PHP.
Kung ang isang hindi propesyonal na may hawak ng lisensya ay gumawa ng isang pagkakasala, ang kanilang lisensya ay permanenteng babawiin pagkatapos ng 12 buwang pagsususpinde.</v>
      </c>
      <c r="F1515" s="2">
        <f t="shared" si="1"/>
        <v>0</v>
      </c>
      <c r="G1515" s="2"/>
      <c r="H1515" s="2"/>
      <c r="I1515" s="2"/>
      <c r="J1515" s="2"/>
      <c r="K1515" s="2"/>
      <c r="L1515" s="2"/>
      <c r="M1515" s="2"/>
      <c r="N1515" s="2"/>
      <c r="O1515" s="2"/>
      <c r="P1515" s="2"/>
      <c r="Q1515" s="2"/>
      <c r="R1515" s="2"/>
      <c r="S1515" s="2"/>
      <c r="T1515" s="2"/>
      <c r="U1515" s="2"/>
      <c r="V1515" s="2"/>
      <c r="W1515" s="2"/>
      <c r="X1515" s="2"/>
      <c r="Y1515" s="2"/>
      <c r="Z1515" s="2"/>
      <c r="AA1515" s="2"/>
    </row>
    <row r="1516">
      <c r="A1516" s="3" t="s">
        <v>3972</v>
      </c>
      <c r="B1516" s="1" t="s">
        <v>4194</v>
      </c>
      <c r="C1516" s="1" t="s">
        <v>4195</v>
      </c>
      <c r="D1516" s="2" t="str">
        <f>IFERROR(__xludf.DUMMYFUNCTION("GOOGLETRANSLATE(B1516, ""en"", ""TL"")"),"Ano ang parusa para sa pagpapatakbo ng sasakyan na may sira o hindi gumaganang signal lights?")</f>
        <v>Ano ang parusa para sa pagpapatakbo ng sasakyan na may sira o hindi gumaganang signal lights?</v>
      </c>
      <c r="E1516" s="2" t="str">
        <f>IFERROR(__xludf.DUMMYFUNCTION("GOOGLETRANSLATE(C1516, ""en"", ""TL"")"),"Sa Pilipinas, ang pagpapatakbo ng sasakyan na may sira o hindi gumaganang signal lights ay itinuturing na isang paglabag sa trapiko at maaaring magresulta sa multa, gaya ng nakabalangkas sa mga sumusunod na regulasyon:
Legal na Batayan:
Republic Act No."&amp;" 4136 (Land Transportation and Traffic Code):
Ang Seksyon 55(a) ay nagsasaad na ang mga driver ay dapat gumamit ng kanilang ""mga ilaw ng signal ng mga sasakyan"" kapag nagbabago ng mga linya o lumiliko.
Ipinagbabawal ng Seksyon 20(k) ang pagpapatakbo n"&amp;"g mga sasakyang de-motor na may ""depekto o hindi awtorisadong mga accessory, device, kagamitan, at piyesa,"" kabilang ang ""mga signal light.""
Mga parusa:
₱500 na multa: Ito ang karaniwang multa para sa pagpapatakbo ng sasakyan na may depekto o non-op"&amp;"erational signal lights ayon sa Land Transportation Office (LTO) Memorandum Circular No. 2016-020.")</f>
        <v>Sa Pilipinas, ang pagpapatakbo ng sasakyan na may sira o hindi gumaganang signal lights ay itinuturing na isang paglabag sa trapiko at maaaring magresulta sa multa, gaya ng nakabalangkas sa mga sumusunod na regulasyon:
Legal na Batayan:
Republic Act No. 4136 (Land Transportation and Traffic Code):
Ang Seksyon 55(a) ay nagsasaad na ang mga driver ay dapat gumamit ng kanilang "mga ilaw ng signal ng mga sasakyan" kapag nagbabago ng mga linya o lumiliko.
Ipinagbabawal ng Seksyon 20(k) ang pagpapatakbo ng mga sasakyang de-motor na may "depekto o hindi awtorisadong mga accessory, device, kagamitan, at piyesa," kabilang ang "mga signal light."
Mga parusa:
₱500 na multa: Ito ang karaniwang multa para sa pagpapatakbo ng sasakyan na may depekto o non-operational signal lights ayon sa Land Transportation Office (LTO) Memorandum Circular No. 2016-020.</v>
      </c>
      <c r="F1516" s="2">
        <f t="shared" si="1"/>
        <v>0</v>
      </c>
      <c r="G1516" s="2"/>
      <c r="H1516" s="2"/>
      <c r="I1516" s="2"/>
      <c r="J1516" s="2"/>
      <c r="K1516" s="2"/>
      <c r="L1516" s="2"/>
      <c r="M1516" s="2"/>
      <c r="N1516" s="2"/>
      <c r="O1516" s="2"/>
      <c r="P1516" s="2"/>
      <c r="Q1516" s="2"/>
      <c r="R1516" s="2"/>
      <c r="S1516" s="2"/>
      <c r="T1516" s="2"/>
      <c r="U1516" s="2"/>
      <c r="V1516" s="2"/>
      <c r="W1516" s="2"/>
      <c r="X1516" s="2"/>
      <c r="Y1516" s="2"/>
      <c r="Z1516" s="2"/>
      <c r="AA1516" s="2"/>
    </row>
    <row r="1517">
      <c r="A1517" s="3" t="s">
        <v>3972</v>
      </c>
      <c r="B1517" s="1" t="s">
        <v>4196</v>
      </c>
      <c r="C1517" s="1" t="s">
        <v>4197</v>
      </c>
      <c r="D1517" s="2" t="str">
        <f>IFERROR(__xludf.DUMMYFUNCTION("GOOGLETRANSLATE(B1517, ""en"", ""TL"")"),"Ano ang multa para sa pagmamaneho ng sasakyan nang walang wastong sertipiko ng pagsunod sa emisyon?")</f>
        <v>Ano ang multa para sa pagmamaneho ng sasakyan nang walang wastong sertipiko ng pagsunod sa emisyon?</v>
      </c>
      <c r="E1517" s="2" t="str">
        <f>IFERROR(__xludf.DUMMYFUNCTION("GOOGLETRANSLATE(C1517, ""en"", ""TL"")"),"Ang isang paglabag ay nagkakahalaga ng Php 2,000. Pangalawang pagkakasala: Php 3,000 kasama ang tatlong buwang pagkakasuspinde ng lisensya sa pagmamaneho. Ang parusa para sa pangatlo at kasunod na paglabag ay 10,000 PHP na may anim na buwang suspensiyon n"&amp;"g lisensya.")</f>
        <v>Ang isang paglabag ay nagkakahalaga ng Php 2,000. Pangalawang pagkakasala: Php 3,000 kasama ang tatlong buwang pagkakasuspinde ng lisensya sa pagmamaneho. Ang parusa para sa pangatlo at kasunod na paglabag ay 10,000 PHP na may anim na buwang suspensiyon ng lisensya.</v>
      </c>
      <c r="F1517" s="2">
        <f t="shared" si="1"/>
        <v>1</v>
      </c>
      <c r="G1517" s="2"/>
      <c r="H1517" s="2"/>
      <c r="I1517" s="2"/>
      <c r="J1517" s="2"/>
      <c r="K1517" s="2"/>
      <c r="L1517" s="2"/>
      <c r="M1517" s="2"/>
      <c r="N1517" s="2"/>
      <c r="O1517" s="2"/>
      <c r="P1517" s="2"/>
      <c r="Q1517" s="2"/>
      <c r="R1517" s="2"/>
      <c r="S1517" s="2"/>
      <c r="T1517" s="2"/>
      <c r="U1517" s="2"/>
      <c r="V1517" s="2"/>
      <c r="W1517" s="2"/>
      <c r="X1517" s="2"/>
      <c r="Y1517" s="2"/>
      <c r="Z1517" s="2"/>
      <c r="AA1517" s="2"/>
    </row>
    <row r="1518">
      <c r="A1518" s="3" t="s">
        <v>3972</v>
      </c>
      <c r="B1518" s="1" t="s">
        <v>4198</v>
      </c>
      <c r="C1518" s="1" t="s">
        <v>4199</v>
      </c>
      <c r="D1518" s="2" t="str">
        <f>IFERROR(__xludf.DUMMYFUNCTION("GOOGLETRANSLATE(B1518, ""en"", ""TL"")"),"Kailan legal na magmaneho nang nakabukas ang mga ilaw sa loob?")</f>
        <v>Kailan legal na magmaneho nang nakabukas ang mga ilaw sa loob?</v>
      </c>
      <c r="E1518" s="2" t="str">
        <f>IFERROR(__xludf.DUMMYFUNCTION("GOOGLETRANSLATE(C1518, ""en"", ""TL"")"),"Sa Pilipinas, walang partikular na batas na tahasang nagbabawal o nagpapahintulot sa pagmamaneho na nakabukas ang mga ilaw sa loob. Gayunpaman, may mga hindi direktang pagsasaalang-alang at mga potensyal na kahihinatnan na dapat malaman:
1. Distraction s"&amp;"a Driver:
Bagama't hindi tahasang labag sa batas, ang sobrang maliwanag o nakakagambalang mga ilaw sa loob ay maaaring makahadlang sa paningin ng nagmamaneho, lalo na sa gabi, at posibleng mag-ambag sa mga aksidente. Ito ay maaaring mapailalim sa mas mal"&amp;"awak na konsepto ng ""reckless driving"" na nakabalangkas sa Republic Act No. 4136 (Land Transportation and Traffic Code), na nagsasaad na ang mga driver ay dapat ""magsagawa ng nararapat na pag-iingat at pagsisikap upang maiwasan ang panganib sa buhay, p"&amp;"aa, at ari-arian ng kahit sinong tao.""
2. Pagpapasya sa Pagpapatupad ng Batas:
Bagama't hindi direktang pagkakasala, maaaring gamitin ng mga opisyal ng pagpapatupad ng batas ang kanilang pagpapasya upang hulihin ang mga driver kung naniniwala silang na"&amp;"gdudulot ng pagkagambala o pagkompromiso sa kaligtasan ang mga ilaw sa loob. Ito ay maaaring humantong sa isang pagsipi o babala, depende sa mga partikular na pangyayari at paghatol ng opisyal.
3. Mga Rekomendasyon at Pinakamahuhusay na Kasanayan:
Bagam"&amp;"a't hindi ipinag-uutos ng batas, karaniwang inirerekumenda na iwasan ang paggamit ng sobrang maliwanag o nakakagambalang mga ilaw sa loob habang nagmamaneho, lalo na sa gabi. Pangunahin ito para sa mga kadahilanang pangkaligtasan upang matiyak ang pinakam"&amp;"ainam na visibility para sa driver at maiwasan ang anumang mga potensyal na abala na maaaring mag-ambag sa mga aksidente.
Samakatuwid, kahit na hindi mahigpit na ilegal, ipinapayong gamitin ang iyong paghuhusga at iwasan ang paggamit ng sobrang maliwanag"&amp;" o nakakagambalang mga ilaw sa loob habang nagmamaneho sa Pilipinas upang unahin ang kaligtasan at mabawasan ang mga potensyal na alalahanin mula sa pagpapatupad ng batas o iba pang mga driver.")</f>
        <v>Sa Pilipinas, walang partikular na batas na tahasang nagbabawal o nagpapahintulot sa pagmamaneho na nakabukas ang mga ilaw sa loob. Gayunpaman, may mga hindi direktang pagsasaalang-alang at mga potensyal na kahihinatnan na dapat malaman:
1. Distraction sa Driver:
Bagama't hindi tahasang labag sa batas, ang sobrang maliwanag o nakakagambalang mga ilaw sa loob ay maaaring makahadlang sa paningin ng nagmamaneho, lalo na sa gabi, at posibleng mag-ambag sa mga aksidente. Ito ay maaaring mapailalim sa mas malawak na konsepto ng "reckless driving" na nakabalangkas sa Republic Act No. 4136 (Land Transportation and Traffic Code), na nagsasaad na ang mga driver ay dapat "magsagawa ng nararapat na pag-iingat at pagsisikap upang maiwasan ang panganib sa buhay, paa, at ari-arian ng kahit sinong tao."
2. Pagpapasya sa Pagpapatupad ng Batas:
Bagama't hindi direktang pagkakasala, maaaring gamitin ng mga opisyal ng pagpapatupad ng batas ang kanilang pagpapasya upang hulihin ang mga driver kung naniniwala silang nagdudulot ng pagkagambala o pagkompromiso sa kaligtasan ang mga ilaw sa loob. Ito ay maaaring humantong sa isang pagsipi o babala, depende sa mga partikular na pangyayari at paghatol ng opisyal.
3. Mga Rekomendasyon at Pinakamahuhusay na Kasanayan:
Bagama't hindi ipinag-uutos ng batas, karaniwang inirerekumenda na iwasan ang paggamit ng sobrang maliwanag o nakakagambalang mga ilaw sa loob habang nagmamaneho, lalo na sa gabi. Pangunahin ito para sa mga kadahilanang pangkaligtasan upang matiyak ang pinakamainam na visibility para sa driver at maiwasan ang anumang mga potensyal na abala na maaaring mag-ambag sa mga aksidente.
Samakatuwid, kahit na hindi mahigpit na ilegal, ipinapayong gamitin ang iyong paghuhusga at iwasan ang paggamit ng sobrang maliwanag o nakakagambalang mga ilaw sa loob habang nagmamaneho sa Pilipinas upang unahin ang kaligtasan at mabawasan ang mga potensyal na alalahanin mula sa pagpapatupad ng batas o iba pang mga driver.</v>
      </c>
      <c r="F1518" s="2">
        <f t="shared" si="1"/>
        <v>1</v>
      </c>
      <c r="G1518" s="2"/>
      <c r="H1518" s="2"/>
      <c r="I1518" s="2"/>
      <c r="J1518" s="2"/>
      <c r="K1518" s="2"/>
      <c r="L1518" s="2"/>
      <c r="M1518" s="2"/>
      <c r="N1518" s="2"/>
      <c r="O1518" s="2"/>
      <c r="P1518" s="2"/>
      <c r="Q1518" s="2"/>
      <c r="R1518" s="2"/>
      <c r="S1518" s="2"/>
      <c r="T1518" s="2"/>
      <c r="U1518" s="2"/>
      <c r="V1518" s="2"/>
      <c r="W1518" s="2"/>
      <c r="X1518" s="2"/>
      <c r="Y1518" s="2"/>
      <c r="Z1518" s="2"/>
      <c r="AA1518" s="2"/>
    </row>
    <row r="1519">
      <c r="A1519" s="3" t="s">
        <v>3972</v>
      </c>
      <c r="B1519" s="1" t="s">
        <v>4200</v>
      </c>
      <c r="C1519" s="1" t="s">
        <v>4201</v>
      </c>
      <c r="D1519" s="2" t="str">
        <f>IFERROR(__xludf.DUMMYFUNCTION("GOOGLETRANSLATE(B1519, ""en"", ""TL"")"),"Ano ang parusa para sa pagpapatakbo ng sasakyan na hindi gumagana o may depektong preno?")</f>
        <v>Ano ang parusa para sa pagpapatakbo ng sasakyan na hindi gumagana o may depektong preno?</v>
      </c>
      <c r="E1519" s="2" t="str">
        <f>IFERROR(__xludf.DUMMYFUNCTION("GOOGLETRANSLATE(C1519, ""en"", ""TL"")"),"Kung walang nasugatan o nasawi sa banggaan, ang multa para sa paglabag na ito ay Php 20,000 hanggang Php 80,000. Kung ang isang aksidente ay magresulta sa pinsala o pinsala, maaari kang maparusahan kahit saan sa pagitan ng Php 100,000 at Php 200,000.")</f>
        <v>Kung walang nasugatan o nasawi sa banggaan, ang multa para sa paglabag na ito ay Php 20,000 hanggang Php 80,000. Kung ang isang aksidente ay magresulta sa pinsala o pinsala, maaari kang maparusahan kahit saan sa pagitan ng Php 100,000 at Php 200,000.</v>
      </c>
      <c r="F1519" s="2">
        <f t="shared" si="1"/>
        <v>0</v>
      </c>
      <c r="G1519" s="2"/>
      <c r="H1519" s="2"/>
      <c r="I1519" s="2"/>
      <c r="J1519" s="2"/>
      <c r="K1519" s="2"/>
      <c r="L1519" s="2"/>
      <c r="M1519" s="2"/>
      <c r="N1519" s="2"/>
      <c r="O1519" s="2"/>
      <c r="P1519" s="2"/>
      <c r="Q1519" s="2"/>
      <c r="R1519" s="2"/>
      <c r="S1519" s="2"/>
      <c r="T1519" s="2"/>
      <c r="U1519" s="2"/>
      <c r="V1519" s="2"/>
      <c r="W1519" s="2"/>
      <c r="X1519" s="2"/>
      <c r="Y1519" s="2"/>
      <c r="Z1519" s="2"/>
      <c r="AA1519" s="2"/>
    </row>
    <row r="1520">
      <c r="A1520" s="3" t="s">
        <v>3972</v>
      </c>
      <c r="B1520" s="1" t="s">
        <v>4202</v>
      </c>
      <c r="C1520" s="1" t="s">
        <v>4203</v>
      </c>
      <c r="D1520" s="2" t="str">
        <f>IFERROR(__xludf.DUMMYFUNCTION("GOOGLETRANSLATE(B1520, ""en"", ""TL"")"),"Maaari bang pagmultahin ang isang tsuper dahil sa hindi pagpapadilim ng mga headlight sa loob ng 150 metro mula sa paparating na sasakyan?")</f>
        <v>Maaari bang pagmultahin ang isang tsuper dahil sa hindi pagpapadilim ng mga headlight sa loob ng 150 metro mula sa paparating na sasakyan?</v>
      </c>
      <c r="E1520" s="2" t="str">
        <f>IFERROR(__xludf.DUMMYFUNCTION("GOOGLETRANSLATE(C1520, ""en"", ""TL"")"),"Bagama't walang partikular na batas sa Pilipinas na nagbabanggit ng 150 metrong distansya para sa pagdidilim ng mga headlight, ang hindi pagpapadilim ng mga headlight kapag kinakailangan ay itinuturing na paglabag sa trapiko at maaaring magresulta sa mult"&amp;"a. Narito ang isang breakdown ng mga nauugnay na regulasyon at kahihinatnan:
Mga regulasyon:
Republic Act No. 4136 (Land Transportation and Traffic Code):
Seksyon 55(b): Ang seksyong ito ay nagsasaad na ang mga driver ay dapat ""gumamit ng mga dimmed n"&amp;"a headlight o fog light"" kung kinakailangan:
""Sa paglapit sa isang paparating na sasakyan sa loob ng makatwirang distansya""
""Sa pagsunod ng malapit sa isa pang sasakyan""
Makatwirang Distansya:
Hindi tinukoy ng batas ang eksaktong distansya para s"&amp;"a pagdidilim ng mga headlight. Sa halip, ginagamit nito ang terminong ""makatwirang distansya"", na nag-iiwan ng puwang para sa interpretasyon batay sa iba't ibang salik, kabilang ang:
Mga kondisyon ng visibility: Sa panahon ng mababang liwanag, ulan, o "&amp;"hamog, ang isang ""makatwirang distansya"" para sa pagdidilim ng mga headlight ay magiging mas maikli kaysa sa malinaw na mga kondisyon sa araw.
Bilis ng mga sasakyan: Kapag papalapit sa isa pang sasakyan sa matataas na bilis, ang mas mahabang distansya "&amp;"ay maaaring ituring na ""makatwiran"" upang bigyan ng oras ang ibang driver na makapag-react.")</f>
        <v>Bagama't walang partikular na batas sa Pilipinas na nagbabanggit ng 150 metrong distansya para sa pagdidilim ng mga headlight, ang hindi pagpapadilim ng mga headlight kapag kinakailangan ay itinuturing na paglabag sa trapiko at maaaring magresulta sa multa. Narito ang isang breakdown ng mga nauugnay na regulasyon at kahihinatnan:
Mga regulasyon:
Republic Act No. 4136 (Land Transportation and Traffic Code):
Seksyon 55(b): Ang seksyong ito ay nagsasaad na ang mga driver ay dapat "gumamit ng mga dimmed na headlight o fog light" kung kinakailangan:
"Sa paglapit sa isang paparating na sasakyan sa loob ng makatwirang distansya"
"Sa pagsunod ng malapit sa isa pang sasakyan"
Makatwirang Distansya:
Hindi tinukoy ng batas ang eksaktong distansya para sa pagdidilim ng mga headlight. Sa halip, ginagamit nito ang terminong "makatwirang distansya", na nag-iiwan ng puwang para sa interpretasyon batay sa iba't ibang salik, kabilang ang:
Mga kondisyon ng visibility: Sa panahon ng mababang liwanag, ulan, o hamog, ang isang "makatwirang distansya" para sa pagdidilim ng mga headlight ay magiging mas maikli kaysa sa malinaw na mga kondisyon sa araw.
Bilis ng mga sasakyan: Kapag papalapit sa isa pang sasakyan sa matataas na bilis, ang mas mahabang distansya ay maaaring ituring na "makatwiran" upang bigyan ng oras ang ibang driver na makapag-react.</v>
      </c>
      <c r="F1520" s="2">
        <f t="shared" si="1"/>
        <v>0</v>
      </c>
      <c r="G1520" s="2"/>
      <c r="H1520" s="2"/>
      <c r="I1520" s="2"/>
      <c r="J1520" s="2"/>
      <c r="K1520" s="2"/>
      <c r="L1520" s="2"/>
      <c r="M1520" s="2"/>
      <c r="N1520" s="2"/>
      <c r="O1520" s="2"/>
      <c r="P1520" s="2"/>
      <c r="Q1520" s="2"/>
      <c r="R1520" s="2"/>
      <c r="S1520" s="2"/>
      <c r="T1520" s="2"/>
      <c r="U1520" s="2"/>
      <c r="V1520" s="2"/>
      <c r="W1520" s="2"/>
      <c r="X1520" s="2"/>
      <c r="Y1520" s="2"/>
      <c r="Z1520" s="2"/>
      <c r="AA1520" s="2"/>
    </row>
    <row r="1521">
      <c r="A1521" s="3" t="s">
        <v>3972</v>
      </c>
      <c r="B1521" s="1" t="s">
        <v>4204</v>
      </c>
      <c r="C1521" s="1" t="s">
        <v>4205</v>
      </c>
      <c r="D1521" s="2" t="str">
        <f>IFERROR(__xludf.DUMMYFUNCTION("GOOGLETRANSLATE(B1521, ""en"", ""TL"")"),"Ano ang multa sa pagmamaneho ng motorsiklo nang walang wastong lisensya?")</f>
        <v>Ano ang multa sa pagmamaneho ng motorsiklo nang walang wastong lisensya?</v>
      </c>
      <c r="E1521" s="2" t="str">
        <f>IFERROR(__xludf.DUMMYFUNCTION("GOOGLETRANSLATE(C1521, ""en"", ""TL"")"),"Sa Pilipinas, ang pagmamaneho nang walang lisensya ay may matinding multa na 3,000. Ang mga nagtataglay ng delingkwente, nag-expire, nasuspinde, binawi, hindi naaangkop, o huwad na lisensya sa pagmamaneho ay napapailalim din sa multa para sa paglabag sa L"&amp;"TO na ito na may kaugnayan sa lisensya.")</f>
        <v>Sa Pilipinas, ang pagmamaneho nang walang lisensya ay may matinding multa na 3,000. Ang mga nagtataglay ng delingkwente, nag-expire, nasuspinde, binawi, hindi naaangkop, o huwad na lisensya sa pagmamaneho ay napapailalim din sa multa para sa paglabag sa LTO na ito na may kaugnayan sa lisensya.</v>
      </c>
      <c r="F1521" s="2">
        <f t="shared" si="1"/>
        <v>0</v>
      </c>
      <c r="G1521" s="2"/>
      <c r="H1521" s="2"/>
      <c r="I1521" s="2"/>
      <c r="J1521" s="2"/>
      <c r="K1521" s="2"/>
      <c r="L1521" s="2"/>
      <c r="M1521" s="2"/>
      <c r="N1521" s="2"/>
      <c r="O1521" s="2"/>
      <c r="P1521" s="2"/>
      <c r="Q1521" s="2"/>
      <c r="R1521" s="2"/>
      <c r="S1521" s="2"/>
      <c r="T1521" s="2"/>
      <c r="U1521" s="2"/>
      <c r="V1521" s="2"/>
      <c r="W1521" s="2"/>
      <c r="X1521" s="2"/>
      <c r="Y1521" s="2"/>
      <c r="Z1521" s="2"/>
      <c r="AA1521" s="2"/>
    </row>
    <row r="1522">
      <c r="A1522" s="3" t="s">
        <v>3972</v>
      </c>
      <c r="B1522" s="1" t="s">
        <v>4206</v>
      </c>
      <c r="C1522" s="1" t="s">
        <v>4207</v>
      </c>
      <c r="D1522" s="2" t="str">
        <f>IFERROR(__xludf.DUMMYFUNCTION("GOOGLETRANSLATE(B1522, ""en"", ""TL"")"),"Ano ang parusa sa pagpapatakbo ng sasakyan nang walang wasto at balidong prangkisa o permit?")</f>
        <v>Ano ang parusa sa pagpapatakbo ng sasakyan nang walang wasto at balidong prangkisa o permit?</v>
      </c>
      <c r="E1522" s="2" t="str">
        <f>IFERROR(__xludf.DUMMYFUNCTION("GOOGLETRANSLATE(C1522, ""en"", ""TL"")"),"Ang pagpapatakbo ng sasakyan sa Pilipinas nang walang wasto at balidong prangkisa o permit ay isang malubhang pagkakasala na maaaring magresulta sa maraming potensyal na kahihinatnan, depende sa partikular na mga pangyayari. Narito ang isang breakdown ng "&amp;"mga nauugnay na regulasyon at potensyal na parusa:
Legal na Batayan:
Republic Act No. 7652 (Isang Batas na Nagbibigay sa Land Transportation Franchising and Regulatory Board ng Kapangyarihan na Pangasiwaan at Pangasiwaan ang Mga Serbisyong Pampublikong "&amp;"Land Transportation):
Ang batas na ito ay nagtatatag ng Land Transportation Franchising and Regulatory Board (LTFRB) at nagbibigay ng kapangyarihan sa kanila na i-regulate ang mga serbisyo ng pampublikong transportasyon sa lupa, kabilang ang pagbibigay n"&amp;"g mga prangkisa at permit.
Mga Circular ng Memorandum ng LTFRB: Ang mga sirkular na ito ay nagbabalangkas ng mga partikular na regulasyon at kinakailangan para sa iba't ibang uri ng mga serbisyo ng pampublikong transportasyon sa lupa, kabilang ang mga ap"&amp;"likasyon ng prangkisa, proseso ng pag-renew, at mga parusa para sa hindi pagsunod.
Mga Uri ng Sasakyang Apektado:
Pangunahing nalalapat ang regulasyong ito sa mga public utility vehicle (PUV), kabilang ang:
Mga bus
Mga jeepney
Mga tricycle
Mga taxi
"&amp;"
Mga Van
Iba pang mga sasakyan na ginagamit para sa pampublikong sasakyan
Mga Bunga ng Pagpapatakbo nang Walang Wastong Permit:
Pag-impound: Ang sasakyan ay malamang na ma-impound ng mga awtoridad hanggang sa malutas ang sitwasyon at makuha ang naaangk"&amp;"op na prangkisa o permit.
Mga multa: Maaaring magpataw ng malaking multa, mula ₱5,000 hanggang ₱10,000 para sa unang paglabag, ayon sa iba't ibang memorandum circular ng LTFRB. Maaaring tumaas ang mga multa para sa mga kasunod na pagkakasala.
Cease and "&amp;"desist order: Maaaring maglabas ang LTFRB ng cease and desist order, na nagbabawal sa sasakyan na gumana bilang PUV hanggang sa matugunan ang mga kinakailangang kinakailangan.
Pagkansela ng umiiral na prangkisa (kung naaangkop): Kung ang sasakyan ay mayr"&amp;"oon nang prangkisa ngunit natagpuang gumagana sa labas ng mga itinalagang ruta nito o lumalabag sa ibang mga regulasyon, maaaring kanselahin ng LTFRB ang umiiral na prangkisa bilang karagdagan sa iba pang mga parusa.")</f>
        <v>Ang pagpapatakbo ng sasakyan sa Pilipinas nang walang wasto at balidong prangkisa o permit ay isang malubhang pagkakasala na maaaring magresulta sa maraming potensyal na kahihinatnan, depende sa partikular na mga pangyayari. Narito ang isang breakdown ng mga nauugnay na regulasyon at potensyal na parusa:
Legal na Batayan:
Republic Act No. 7652 (Isang Batas na Nagbibigay sa Land Transportation Franchising and Regulatory Board ng Kapangyarihan na Pangasiwaan at Pangasiwaan ang Mga Serbisyong Pampublikong Land Transportation):
Ang batas na ito ay nagtatatag ng Land Transportation Franchising and Regulatory Board (LTFRB) at nagbibigay ng kapangyarihan sa kanila na i-regulate ang mga serbisyo ng pampublikong transportasyon sa lupa, kabilang ang pagbibigay ng mga prangkisa at permit.
Mga Circular ng Memorandum ng LTFRB: Ang mga sirkular na ito ay nagbabalangkas ng mga partikular na regulasyon at kinakailangan para sa iba't ibang uri ng mga serbisyo ng pampublikong transportasyon sa lupa, kabilang ang mga aplikasyon ng prangkisa, proseso ng pag-renew, at mga parusa para sa hindi pagsunod.
Mga Uri ng Sasakyang Apektado:
Pangunahing nalalapat ang regulasyong ito sa mga public utility vehicle (PUV), kabilang ang:
Mga bus
Mga jeepney
Mga tricycle
Mga taxi
Mga Van
Iba pang mga sasakyan na ginagamit para sa pampublikong sasakyan
Mga Bunga ng Pagpapatakbo nang Walang Wastong Permit:
Pag-impound: Ang sasakyan ay malamang na ma-impound ng mga awtoridad hanggang sa malutas ang sitwasyon at makuha ang naaangkop na prangkisa o permit.
Mga multa: Maaaring magpataw ng malaking multa, mula ₱5,000 hanggang ₱10,000 para sa unang paglabag, ayon sa iba't ibang memorandum circular ng LTFRB. Maaaring tumaas ang mga multa para sa mga kasunod na pagkakasala.
Cease and desist order: Maaaring maglabas ang LTFRB ng cease and desist order, na nagbabawal sa sasakyan na gumana bilang PUV hanggang sa matugunan ang mga kinakailangang kinakailangan.
Pagkansela ng umiiral na prangkisa (kung naaangkop): Kung ang sasakyan ay mayroon nang prangkisa ngunit natagpuang gumagana sa labas ng mga itinalagang ruta nito o lumalabag sa ibang mga regulasyon, maaaring kanselahin ng LTFRB ang umiiral na prangkisa bilang karagdagan sa iba pang mga parusa.</v>
      </c>
      <c r="F1522" s="2">
        <f t="shared" si="1"/>
        <v>0</v>
      </c>
      <c r="G1522" s="2"/>
      <c r="H1522" s="2"/>
      <c r="I1522" s="2"/>
      <c r="J1522" s="2"/>
      <c r="K1522" s="2"/>
      <c r="L1522" s="2"/>
      <c r="M1522" s="2"/>
      <c r="N1522" s="2"/>
      <c r="O1522" s="2"/>
      <c r="P1522" s="2"/>
      <c r="Q1522" s="2"/>
      <c r="R1522" s="2"/>
      <c r="S1522" s="2"/>
      <c r="T1522" s="2"/>
      <c r="U1522" s="2"/>
      <c r="V1522" s="2"/>
      <c r="W1522" s="2"/>
      <c r="X1522" s="2"/>
      <c r="Y1522" s="2"/>
      <c r="Z1522" s="2"/>
      <c r="AA1522" s="2"/>
    </row>
    <row r="1523">
      <c r="A1523" s="3" t="s">
        <v>3972</v>
      </c>
      <c r="B1523" s="1" t="s">
        <v>4208</v>
      </c>
      <c r="C1523" s="1" t="s">
        <v>4209</v>
      </c>
      <c r="D1523" s="2" t="str">
        <f>IFERROR(__xludf.DUMMYFUNCTION("GOOGLETRANSLATE(B1523, ""en"", ""TL"")"),"Kailan legal na gumawa ng U-turn sa isang tawiran ng riles?")</f>
        <v>Kailan legal na gumawa ng U-turn sa isang tawiran ng riles?</v>
      </c>
      <c r="E1523" s="2" t="str">
        <f>IFERROR(__xludf.DUMMYFUNCTION("GOOGLETRANSLATE(C1523, ""en"", ""TL"")"),"Labag sa batas ang pag-ikot sa isang tawiran ng tren sa Pilipinas. Ang mga U-turn ay tahasang ipinagbabawal sa ilang mga pagkakataon ayon sa Land Transportation and Traffic Code (Republic Act No. 4136), na naglalatag din ng mga alituntunin para sa pagliko"&amp;" sa sangang-daan. Ang mga nauugnay na alituntunin ay ang mga sumusunod:
Pagliko sa Sangang-daan:
Ang linyang pinakamalapit sa kanang bahagi ng kalsada ay dapat gamitin ng sasakyan kapag papalapit sa isang intersection na may balak na lumiko sa kanan.
"&amp;"
Ang driver ay dapat manatili nang malapit sa kanang-kamay na gilid ng bangketa o sa gilid ng highway hangga't maaari kapag nagsasagawa ng pagliko.
Mga Partikular na Pagbabawal sa mga U-Turn:
Ang mga sumusunod na sitwasyon ay nagbabawal sa pag-u-turn:
"&amp;"Sa o malapit sa isang railway flyover.
sa pamamagitan ng isang one-way na gate.
sa harap ng firehouse.
Sa loob ng mga komersyal na lugar")</f>
        <v>Labag sa batas ang pag-ikot sa isang tawiran ng tren sa Pilipinas. Ang mga U-turn ay tahasang ipinagbabawal sa ilang mga pagkakataon ayon sa Land Transportation and Traffic Code (Republic Act No. 4136), na naglalatag din ng mga alituntunin para sa pagliko sa sangang-daan. Ang mga nauugnay na alituntunin ay ang mga sumusunod:
Pagliko sa Sangang-daan:
Ang linyang pinakamalapit sa kanang bahagi ng kalsada ay dapat gamitin ng sasakyan kapag papalapit sa isang intersection na may balak na lumiko sa kanan.
Ang driver ay dapat manatili nang malapit sa kanang-kamay na gilid ng bangketa o sa gilid ng highway hangga't maaari kapag nagsasagawa ng pagliko.
Mga Partikular na Pagbabawal sa mga U-Turn:
Ang mga sumusunod na sitwasyon ay nagbabawal sa pag-u-turn:
Sa o malapit sa isang railway flyover.
sa pamamagitan ng isang one-way na gate.
sa harap ng firehouse.
Sa loob ng mga komersyal na lugar</v>
      </c>
      <c r="F1523" s="2">
        <f t="shared" si="1"/>
        <v>0</v>
      </c>
      <c r="G1523" s="2"/>
      <c r="H1523" s="2"/>
      <c r="I1523" s="2"/>
      <c r="J1523" s="2"/>
      <c r="K1523" s="2"/>
      <c r="L1523" s="2"/>
      <c r="M1523" s="2"/>
      <c r="N1523" s="2"/>
      <c r="O1523" s="2"/>
      <c r="P1523" s="2"/>
      <c r="Q1523" s="2"/>
      <c r="R1523" s="2"/>
      <c r="S1523" s="2"/>
      <c r="T1523" s="2"/>
      <c r="U1523" s="2"/>
      <c r="V1523" s="2"/>
      <c r="W1523" s="2"/>
      <c r="X1523" s="2"/>
      <c r="Y1523" s="2"/>
      <c r="Z1523" s="2"/>
      <c r="AA1523" s="2"/>
    </row>
    <row r="1524">
      <c r="A1524" s="3" t="s">
        <v>3972</v>
      </c>
      <c r="B1524" s="1" t="s">
        <v>4210</v>
      </c>
      <c r="C1524" s="1" t="s">
        <v>4211</v>
      </c>
      <c r="D1524" s="2" t="str">
        <f>IFERROR(__xludf.DUMMYFUNCTION("GOOGLETRANSLATE(B1524, ""en"", ""TL"")"),"Ano ang parusa sa paggamit ng sasakyang may hindi awtorisado o hindi karaniwang mga busina?")</f>
        <v>Ano ang parusa sa paggamit ng sasakyang may hindi awtorisado o hindi karaniwang mga busina?</v>
      </c>
      <c r="E1524" s="2" t="str">
        <f>IFERROR(__xludf.DUMMYFUNCTION("GOOGLETRANSLATE(C1524, ""en"", ""TL"")"),"Gaya ng naunang nabanggit sa isang tugon noong Marso 3, 2024, ang paggamit ng sasakyang may hindi awtorisado o hindi karaniwang mga busina sa Pilipinas ay isang paglabag sa trapiko at maaaring magresulta sa mga parusa. Narito ang isang buod ng mga nauugna"&amp;"y na regulasyon at kahihinatnan:
Legal na Batayan:
Republic Act No. 4136 (Land Transportation and Traffic Code):
Seksyon 5(g): Ipinagbabawal ang paggamit ng ""mga kampana, sirena, sipol, o mga busina maliban sa mga kinakailangan o pinapayagan ng batas."&amp;"""
Presidential Decree No. 96 (Pagbabawal sa Paggamit ng mga Sirena, Kampana, Blinker, at Katulad na Mga Device sa Ilang Sasakyang De-motor):
Seksyon 1: Ipinapahayag na labag sa batas ang paggamit o pag-attach ng ""mga sirena, kampana, at mga katulad na"&amp;" device na naglalabas ng napakalakas o nakakagulat na mga tunog.""
Seksyon 2: Hindi kasama ang ""mga awtorisadong sasakyang pang-emergency"" mula sa pagbabawal na ito.
Mga Hindi awtorisadong Device:
Pangunahing tinatarget ng mga regulasyon ang paggamit"&amp;" ng mga device na:
Hindi pamantayan o inaprubahan ng Land Transportation Office (LTO).
Maglabas ng malakas o nakakagulat na mga tunog na maaaring magdulot ng kaguluhan o pagkalito para sa ibang mga driver at pedestrian.
Mga parusa:
₱5,000 na multa: It"&amp;"o ang karaniwang multa para sa paggamit ng hindi awtorisado o hindi karaniwang sirena, kampana, o busina ayon sa LTO Memorandum Circular No. 2016-020.")</f>
        <v>Gaya ng naunang nabanggit sa isang tugon noong Marso 3, 2024, ang paggamit ng sasakyang may hindi awtorisado o hindi karaniwang mga busina sa Pilipinas ay isang paglabag sa trapiko at maaaring magresulta sa mga parusa. Narito ang isang buod ng mga nauugnay na regulasyon at kahihinatnan:
Legal na Batayan:
Republic Act No. 4136 (Land Transportation and Traffic Code):
Seksyon 5(g): Ipinagbabawal ang paggamit ng "mga kampana, sirena, sipol, o mga busina maliban sa mga kinakailangan o pinapayagan ng batas."
Presidential Decree No. 96 (Pagbabawal sa Paggamit ng mga Sirena, Kampana, Blinker, at Katulad na Mga Device sa Ilang Sasakyang De-motor):
Seksyon 1: Ipinapahayag na labag sa batas ang paggamit o pag-attach ng "mga sirena, kampana, at mga katulad na device na naglalabas ng napakalakas o nakakagulat na mga tunog."
Seksyon 2: Hindi kasama ang "mga awtorisadong sasakyang pang-emergency" mula sa pagbabawal na ito.
Mga Hindi awtorisadong Device:
Pangunahing tinatarget ng mga regulasyon ang paggamit ng mga device na:
Hindi pamantayan o inaprubahan ng Land Transportation Office (LTO).
Maglabas ng malakas o nakakagulat na mga tunog na maaaring magdulot ng kaguluhan o pagkalito para sa ibang mga driver at pedestrian.
Mga parusa:
₱5,000 na multa: Ito ang karaniwang multa para sa paggamit ng hindi awtorisado o hindi karaniwang sirena, kampana, o busina ayon sa LTO Memorandum Circular No. 2016-020.</v>
      </c>
      <c r="F1524" s="2">
        <f t="shared" si="1"/>
        <v>0</v>
      </c>
      <c r="G1524" s="2"/>
      <c r="H1524" s="2"/>
      <c r="I1524" s="2"/>
      <c r="J1524" s="2"/>
      <c r="K1524" s="2"/>
      <c r="L1524" s="2"/>
      <c r="M1524" s="2"/>
      <c r="N1524" s="2"/>
      <c r="O1524" s="2"/>
      <c r="P1524" s="2"/>
      <c r="Q1524" s="2"/>
      <c r="R1524" s="2"/>
      <c r="S1524" s="2"/>
      <c r="T1524" s="2"/>
      <c r="U1524" s="2"/>
      <c r="V1524" s="2"/>
      <c r="W1524" s="2"/>
      <c r="X1524" s="2"/>
      <c r="Y1524" s="2"/>
      <c r="Z1524" s="2"/>
      <c r="AA1524" s="2"/>
    </row>
    <row r="1525">
      <c r="A1525" s="3" t="s">
        <v>3972</v>
      </c>
      <c r="B1525" s="1" t="s">
        <v>4212</v>
      </c>
      <c r="C1525" s="1" t="s">
        <v>4213</v>
      </c>
      <c r="D1525" s="2" t="str">
        <f>IFERROR(__xludf.DUMMYFUNCTION("GOOGLETRANSLATE(B1525, ""en"", ""TL"")"),"Ano ang multa sa pagmamaneho ng motorsiklo na walang plaka?")</f>
        <v>Ano ang multa sa pagmamaneho ng motorsiklo na walang plaka?</v>
      </c>
      <c r="E1525" s="2" t="str">
        <f>IFERROR(__xludf.DUMMYFUNCTION("GOOGLETRANSLATE(C1525, ""en"", ""TL"")"),"Ayon sa RA 11235: Ang pagpapatakbo ng sasakyan na walang plaka o hindi nababasa, gaya ng tinukoy ng Revised Penal Code, ay maaaring magresulta sa parusang hindi bababa sa P50,000.00 at hanggang P100,000.00, o pareho.")</f>
        <v>Ayon sa RA 11235: Ang pagpapatakbo ng sasakyan na walang plaka o hindi nababasa, gaya ng tinukoy ng Revised Penal Code, ay maaaring magresulta sa parusang hindi bababa sa P50,000.00 at hanggang P100,000.00, o pareho.</v>
      </c>
      <c r="F1525" s="2">
        <f t="shared" si="1"/>
        <v>0</v>
      </c>
      <c r="G1525" s="2"/>
      <c r="H1525" s="2"/>
      <c r="I1525" s="2"/>
      <c r="J1525" s="2"/>
      <c r="K1525" s="2"/>
      <c r="L1525" s="2"/>
      <c r="M1525" s="2"/>
      <c r="N1525" s="2"/>
      <c r="O1525" s="2"/>
      <c r="P1525" s="2"/>
      <c r="Q1525" s="2"/>
      <c r="R1525" s="2"/>
      <c r="S1525" s="2"/>
      <c r="T1525" s="2"/>
      <c r="U1525" s="2"/>
      <c r="V1525" s="2"/>
      <c r="W1525" s="2"/>
      <c r="X1525" s="2"/>
      <c r="Y1525" s="2"/>
      <c r="Z1525" s="2"/>
      <c r="AA1525" s="2"/>
    </row>
    <row r="1526">
      <c r="A1526" s="3" t="s">
        <v>3972</v>
      </c>
      <c r="B1526" s="1" t="s">
        <v>4214</v>
      </c>
      <c r="C1526" s="1" t="s">
        <v>4215</v>
      </c>
      <c r="D1526" s="2" t="str">
        <f>IFERROR(__xludf.DUMMYFUNCTION("GOOGLETRANSLATE(B1526, ""en"", ""TL"")"),"Maaari bang pagmultahin ang isang tsuper dahil sa pagtanggi na sumuko sa isang nag-overtaking na sasakyan?")</f>
        <v>Maaari bang pagmultahin ang isang tsuper dahil sa pagtanggi na sumuko sa isang nag-overtaking na sasakyan?</v>
      </c>
      <c r="E1526" s="2" t="str">
        <f>IFERROR(__xludf.DUMMYFUNCTION("GOOGLETRANSLATE(C1526, ""en"", ""TL"")"),"Oo, sa Pilipinas, ang isang driver ay maaaring pagmultahin para sa pagtanggi na sumuko sa isang nag-overtake na sasakyan sa ilalim ng ilang mga pangyayari. Narito ang isang breakdown ng mga nauugnay na regulasyon at potensyal na kahihinatnan:
Legal na Ba"&amp;"tayan:
Republic Act No. 4136 (Land Transportation and Traffic Code):
Seksyon 50: Binabalangkas ang iba't ibang sitwasyon kung saan ang mga driver ay dapat ""magbigay daan sa kanan ng daan"" sa ibang mga sasakyan.
Bagama't hindi tahasang binabanggit ang"&amp;" mga sitwasyon sa pag-overtak, ang Seksyon 55(d) ay nagsasaad na ang mga driver na ""naaabutan ng ibang sasakyan"" ay dapat ""magpanatili ng isang matatag na bilis"" at ""hindi taasan ang kanilang bilis upang maiwasan ang naturang pag-overtake."" Ito ay h"&amp;"indi direktang nagpapahiwatig ng obligasyon na sumuko sa nag-overtake na sasakyan sa ilalim ng mga partikular na kondisyon.
Mga Kondisyon para sa Pagbubunga:
Ang isang driver ay hindi obligadong sumuko sa lahat ng mga sitwasyon sa pag-overtake. Kailanga"&amp;"n lang nilang magbunga kapag natugunan ang mga sumusunod na kondisyon:
Ligtas na pag-overtak: Ang pag-overtak na maniobra ay dapat na ligtas at legal. Nangangahulugan ito na ang overtaking lane ay malinaw, may sapat na espasyo para sa parehong mga sasaky"&amp;"an, at ang overtaking na sasakyan ay hindi lumalabag sa anumang mga regulasyon sa trapiko.
Mga wastong senyales: Ang nag-overtake na sasakyan ay dapat gumamit ng naaangkop na turn signal upang ipahiwatig ang kanilang intensyon na mag-overtake.
Mga parus"&amp;"a:
₱150 na multa: Ito ang karaniwang multa para sa hindi pagbibigay daan sa isang nag-overtake na sasakyan kapag ang mga kondisyong nabanggit sa itaas ay natugunan, ayon sa Land Transportation Office (LTO) Memorandum Circular No. 2016-020.")</f>
        <v>Oo, sa Pilipinas, ang isang driver ay maaaring pagmultahin para sa pagtanggi na sumuko sa isang nag-overtake na sasakyan sa ilalim ng ilang mga pangyayari. Narito ang isang breakdown ng mga nauugnay na regulasyon at potensyal na kahihinatnan:
Legal na Batayan:
Republic Act No. 4136 (Land Transportation and Traffic Code):
Seksyon 50: Binabalangkas ang iba't ibang sitwasyon kung saan ang mga driver ay dapat "magbigay daan sa kanan ng daan" sa ibang mga sasakyan.
Bagama't hindi tahasang binabanggit ang mga sitwasyon sa pag-overtak, ang Seksyon 55(d) ay nagsasaad na ang mga driver na "naaabutan ng ibang sasakyan" ay dapat "magpanatili ng isang matatag na bilis" at "hindi taasan ang kanilang bilis upang maiwasan ang naturang pag-overtake." Ito ay hindi direktang nagpapahiwatig ng obligasyon na sumuko sa nag-overtake na sasakyan sa ilalim ng mga partikular na kondisyon.
Mga Kondisyon para sa Pagbubunga:
Ang isang driver ay hindi obligadong sumuko sa lahat ng mga sitwasyon sa pag-overtake. Kailangan lang nilang magbunga kapag natugunan ang mga sumusunod na kondisyon:
Ligtas na pag-overtak: Ang pag-overtak na maniobra ay dapat na ligtas at legal. Nangangahulugan ito na ang overtaking lane ay malinaw, may sapat na espasyo para sa parehong mga sasakyan, at ang overtaking na sasakyan ay hindi lumalabag sa anumang mga regulasyon sa trapiko.
Mga wastong senyales: Ang nag-overtake na sasakyan ay dapat gumamit ng naaangkop na turn signal upang ipahiwatig ang kanilang intensyon na mag-overtake.
Mga parusa:
₱150 na multa: Ito ang karaniwang multa para sa hindi pagbibigay daan sa isang nag-overtake na sasakyan kapag ang mga kondisyong nabanggit sa itaas ay natugunan, ayon sa Land Transportation Office (LTO) Memorandum Circular No. 2016-020.</v>
      </c>
      <c r="F1526" s="2">
        <f t="shared" si="1"/>
        <v>0</v>
      </c>
      <c r="G1526" s="2"/>
      <c r="H1526" s="2"/>
      <c r="I1526" s="2"/>
      <c r="J1526" s="2"/>
      <c r="K1526" s="2"/>
      <c r="L1526" s="2"/>
      <c r="M1526" s="2"/>
      <c r="N1526" s="2"/>
      <c r="O1526" s="2"/>
      <c r="P1526" s="2"/>
      <c r="Q1526" s="2"/>
      <c r="R1526" s="2"/>
      <c r="S1526" s="2"/>
      <c r="T1526" s="2"/>
      <c r="U1526" s="2"/>
      <c r="V1526" s="2"/>
      <c r="W1526" s="2"/>
      <c r="X1526" s="2"/>
      <c r="Y1526" s="2"/>
      <c r="Z1526" s="2"/>
      <c r="AA1526" s="2"/>
    </row>
    <row r="1527">
      <c r="A1527" s="3" t="s">
        <v>3972</v>
      </c>
      <c r="B1527" s="1" t="s">
        <v>4216</v>
      </c>
      <c r="C1527" s="1" t="s">
        <v>4201</v>
      </c>
      <c r="D1527" s="2" t="str">
        <f>IFERROR(__xludf.DUMMYFUNCTION("GOOGLETRANSLATE(B1527, ""en"", ""TL"")"),"Ano ang parusa para sa pagpapatakbo ng sasakyan na may hindi awtorisado o hindi karaniwang mga muffler?")</f>
        <v>Ano ang parusa para sa pagpapatakbo ng sasakyan na may hindi awtorisado o hindi karaniwang mga muffler?</v>
      </c>
      <c r="E1527" s="2" t="str">
        <f>IFERROR(__xludf.DUMMYFUNCTION("GOOGLETRANSLATE(C1527, ""en"", ""TL"")"),"Kung walang nasugatan o nasawi sa banggaan, ang multa para sa paglabag na ito ay Php 20,000 hanggang Php 80,000. Kung ang isang aksidente ay magresulta sa pinsala o pinsala, maaari kang maparusahan kahit saan sa pagitan ng Php 100,000 at Php 200,000.")</f>
        <v>Kung walang nasugatan o nasawi sa banggaan, ang multa para sa paglabag na ito ay Php 20,000 hanggang Php 80,000. Kung ang isang aksidente ay magresulta sa pinsala o pinsala, maaari kang maparusahan kahit saan sa pagitan ng Php 100,000 at Php 200,000.</v>
      </c>
      <c r="F1527" s="2">
        <f t="shared" si="1"/>
        <v>0</v>
      </c>
      <c r="G1527" s="2"/>
      <c r="H1527" s="2"/>
      <c r="I1527" s="2"/>
      <c r="J1527" s="2"/>
      <c r="K1527" s="2"/>
      <c r="L1527" s="2"/>
      <c r="M1527" s="2"/>
      <c r="N1527" s="2"/>
      <c r="O1527" s="2"/>
      <c r="P1527" s="2"/>
      <c r="Q1527" s="2"/>
      <c r="R1527" s="2"/>
      <c r="S1527" s="2"/>
      <c r="T1527" s="2"/>
      <c r="U1527" s="2"/>
      <c r="V1527" s="2"/>
      <c r="W1527" s="2"/>
      <c r="X1527" s="2"/>
      <c r="Y1527" s="2"/>
      <c r="Z1527" s="2"/>
      <c r="AA1527" s="2"/>
    </row>
    <row r="1528">
      <c r="A1528" s="3" t="s">
        <v>3972</v>
      </c>
      <c r="B1528" s="1" t="s">
        <v>4217</v>
      </c>
      <c r="C1528" s="1" t="s">
        <v>4218</v>
      </c>
      <c r="D1528" s="2" t="str">
        <f>IFERROR(__xludf.DUMMYFUNCTION("GOOGLETRANSLATE(B1528, ""en"", ""TL"")"),"Kailan legal na mag-park ng sasakyan sa loob ng itinalagang loading at unloading zone?")</f>
        <v>Kailan legal na mag-park ng sasakyan sa loob ng itinalagang loading at unloading zone?</v>
      </c>
      <c r="E1528" s="2" t="str">
        <f>IFERROR(__xludf.DUMMYFUNCTION("GOOGLETRANSLATE(C1528, ""en"", ""TL"")"),"Ang mga batas sa paradahan ay kinakailangan sa Pilipinas upang mapanatili ang daloy ng trapiko at magarantiya ang kaligtasan. Ngayon ay pag-usapan natin ang mga detalye ng paradahan sa mga aprubadong lugar para sa pag-load at pag-unload:
Mga sona para "&amp;"sa pagkarga at pagbabawas:
Ang mga lugar na ito ay nakalaan lalo na para sa mga sasakyan na huminto saglit upang makapag-load o mag-unload ng mga kargamento o pasahero.
Kadalasan, mayroon silang mga signage na nagpapakilala sa kanila at sa kanilang layu"&amp;"nin.
Kailan OK na Iparada sa isang Lugar na Itinakda para sa Pag-load at Pagbaba?:
Pinaganang Paradahan
Sa mga sumusunod na sitwasyon, pinahihintulutan ang paradahan sa isang itinalagang loading at unloading zone:
Mga aktibidad na may kaugnayan sa pag"&amp;"karga at pagbabawas: Maaari mong gamitin ang mga zone na ito kung ikaw ay aktibong naglo-load o nagbabawas ng mga kargamento o mga tao.
Limitasyon sa Oras: Ang paradahan ay dapat lamang tumagal hangga't kinakailangan upang mag-load o mag-unload, na kad"&amp;"alasang hindi hihigit sa 30 minuto.
Ilegal na Paradahan:
Pagtatawid: Iwasan ang pagparada sa o malapit sa isang junction.
Driveway: Mag-ingat na huwag makaharang sa mga biyahe.
Huwag kailanman pumarada sa dalawang lugar nang sabay-sabay.
Mga tawiran:"&amp;" Iwasan ang pagparada sa mga lugar ng tawiran.
Mga Footbridge at Overpass: Iwasan ang lugar sa paligid ng mga footbridge at overpass.
Mga Pangunahing Pambansang Kalsada: Ang mga pangunahing pambansang kalsada ay hindi limitado sa paradahan.
Mga Istasyo"&amp;"n ng Bumbero at Mga Hydrant ng Bumbero: Panatilihin ang hindi bababa sa 4 na metro sa pagitan mo at ng mga pasukan ng istasyon ng bumbero.
Mga intersection ng curb: Panatilihin ang hindi bababa sa anim na metro sa pagitan mo at ng intersection ng mga lin"&amp;"ya ng curb.
Mga Bangketa: Ang paradahan sa mga bangketa ay mapanganib at nakakasagabal sa trapiko ng pedestrian.
Mga Batas sa Paradahan ng Lugar ng Paninirahan:
Ang bawat lungsod ng Metro Manila ay maaaring magkaroon ng sarili nitong natatanging regulas"&amp;"yon sa paradahan.
Dahil sa kanilang maliliit na highway, ang mga upscale village at subdivision ay madalas na nagpapataw ng mahigpit na regulasyon.
Mag-ingat na huwag hadlangan ang mga daanan sa mga lugar na may mga tarangkahan.
Pangangalaga sa Harap n"&amp;"g Iyong Garahe:
Ang paradahan sa harap ng sarili mong garahe ay maaaring mukhang hindi nakapipinsala, ngunit maaari pa rin itong tingnan bilang isang sagabal ng pulisya ng trapiko.
Upang mabawasan ang anumang posibleng mga problema, pinakamahusay na iwa"&amp;"san ang paradahan sa harap ng iyong garahe.
Paradahan sa mga simento:
Hindi pinahihintulutan ang paradahan sa mga bangketa.
Siguraduhin na ang iyong naka-park na sasakyan ay hindi makahahadlang sa trapiko o maging sanhi ng mga pedestrian na maging mas "&amp;"hindi komportable.")</f>
        <v>Ang mga batas sa paradahan ay kinakailangan sa Pilipinas upang mapanatili ang daloy ng trapiko at magarantiya ang kaligtasan. Ngayon ay pag-usapan natin ang mga detalye ng paradahan sa mga aprubadong lugar para sa pag-load at pag-unload:
Mga sona para sa pagkarga at pagbabawas:
Ang mga lugar na ito ay nakalaan lalo na para sa mga sasakyan na huminto saglit upang makapag-load o mag-unload ng mga kargamento o pasahero.
Kadalasan, mayroon silang mga signage na nagpapakilala sa kanila at sa kanilang layunin.
Kailan OK na Iparada sa isang Lugar na Itinakda para sa Pag-load at Pagbaba?:
Pinaganang Paradahan
Sa mga sumusunod na sitwasyon, pinahihintulutan ang paradahan sa isang itinalagang loading at unloading zone:
Mga aktibidad na may kaugnayan sa pagkarga at pagbabawas: Maaari mong gamitin ang mga zone na ito kung ikaw ay aktibong naglo-load o nagbabawas ng mga kargamento o mga tao.
Limitasyon sa Oras: Ang paradahan ay dapat lamang tumagal hangga't kinakailangan upang mag-load o mag-unload, na kadalasang hindi hihigit sa 30 minuto.
Ilegal na Paradahan:
Pagtatawid: Iwasan ang pagparada sa o malapit sa isang junction.
Driveway: Mag-ingat na huwag makaharang sa mga biyahe.
Huwag kailanman pumarada sa dalawang lugar nang sabay-sabay.
Mga tawiran: Iwasan ang pagparada sa mga lugar ng tawiran.
Mga Footbridge at Overpass: Iwasan ang lugar sa paligid ng mga footbridge at overpass.
Mga Pangunahing Pambansang Kalsada: Ang mga pangunahing pambansang kalsada ay hindi limitado sa paradahan.
Mga Istasyon ng Bumbero at Mga Hydrant ng Bumbero: Panatilihin ang hindi bababa sa 4 na metro sa pagitan mo at ng mga pasukan ng istasyon ng bumbero.
Mga intersection ng curb: Panatilihin ang hindi bababa sa anim na metro sa pagitan mo at ng intersection ng mga linya ng curb.
Mga Bangketa: Ang paradahan sa mga bangketa ay mapanganib at nakakasagabal sa trapiko ng pedestrian.
Mga Batas sa Paradahan ng Lugar ng Paninirahan:
Ang bawat lungsod ng Metro Manila ay maaaring magkaroon ng sarili nitong natatanging regulasyon sa paradahan.
Dahil sa kanilang maliliit na highway, ang mga upscale village at subdivision ay madalas na nagpapataw ng mahigpit na regulasyon.
Mag-ingat na huwag hadlangan ang mga daanan sa mga lugar na may mga tarangkahan.
Pangangalaga sa Harap ng Iyong Garahe:
Ang paradahan sa harap ng sarili mong garahe ay maaaring mukhang hindi nakapipinsala, ngunit maaari pa rin itong tingnan bilang isang sagabal ng pulisya ng trapiko.
Upang mabawasan ang anumang posibleng mga problema, pinakamahusay na iwasan ang paradahan sa harap ng iyong garahe.
Paradahan sa mga simento:
Hindi pinahihintulutan ang paradahan sa mga bangketa.
Siguraduhin na ang iyong naka-park na sasakyan ay hindi makahahadlang sa trapiko o maging sanhi ng mga pedestrian na maging mas hindi komportable.</v>
      </c>
      <c r="F1528" s="2">
        <f t="shared" si="1"/>
        <v>1</v>
      </c>
      <c r="G1528" s="2"/>
      <c r="H1528" s="2"/>
      <c r="I1528" s="2"/>
      <c r="J1528" s="2"/>
      <c r="K1528" s="2"/>
      <c r="L1528" s="2"/>
      <c r="M1528" s="2"/>
      <c r="N1528" s="2"/>
      <c r="O1528" s="2"/>
      <c r="P1528" s="2"/>
      <c r="Q1528" s="2"/>
      <c r="R1528" s="2"/>
      <c r="S1528" s="2"/>
      <c r="T1528" s="2"/>
      <c r="U1528" s="2"/>
      <c r="V1528" s="2"/>
      <c r="W1528" s="2"/>
      <c r="X1528" s="2"/>
      <c r="Y1528" s="2"/>
      <c r="Z1528" s="2"/>
      <c r="AA1528" s="2"/>
    </row>
    <row r="1529">
      <c r="A1529" s="3" t="s">
        <v>3972</v>
      </c>
      <c r="B1529" s="1" t="s">
        <v>4219</v>
      </c>
      <c r="C1529" s="1" t="s">
        <v>4220</v>
      </c>
      <c r="D1529" s="2" t="str">
        <f>IFERROR(__xludf.DUMMYFUNCTION("GOOGLETRANSLATE(B1529, ""en"", ""TL"")"),"Ano ang parusa para sa pagpapatakbo ng sasakyan na may hindi awtorisado o hindi karaniwang mga ilaw?")</f>
        <v>Ano ang parusa para sa pagpapatakbo ng sasakyan na may hindi awtorisado o hindi karaniwang mga ilaw?</v>
      </c>
      <c r="E1529" s="2" t="str">
        <f>IFERROR(__xludf.DUMMYFUNCTION("GOOGLETRANSLATE(C1529, ""en"", ""TL"")"),"Katulad ng sitwasyon na may sira ang preno, walang kahit isang batas ng Pilipinas (Konstitusyon o RA) na tahasang nagbabalangkas ng parusa para sa hindi awtorisado o hindi karaniwang mga ilaw ng sasakyan. Gayunpaman, maaari naming tingnan ang mga nauugnay"&amp;" na regulasyon upang maunawaan ang mga epekto.
Narito ang iminumungkahi ng batas ng Pilipinas:
1. **Land Transportation Office (LTO) Batas Pambansa Bilang 68 (BP 68) o ang Revised Land Transportation and Traffic Code:** Ang batas na ito ay nagbibigay ng k"&amp;"apangyarihan sa LTO na hulihin ang mga sasakyang may mga paglabag sa kagamitan, na maaaring kabilang ang hindi awtorisado o hindi karaniwang mga ilaw . Bagama't hindi nito binanggit ang mga partikular na parusa, pinapayagan nito ang LTO na magpataw ng mga"&amp;" multa batay sa kalubhaan ng paglabag [https://www.officialgazette.gov.ph/1980/05/01/batas-pambansa-bilang-68/]( https://www.officialgazette.gov.ph/1980/05/01/batas-pambansa-bilang-68/).
2. **LTO Memorandum Circulars:** Ang LTO ay naglalabas ng memoranda "&amp;"na nagdedetalye ng mga partikular na paglabag at kaukulang mga parusa. Maaaring saklawin ng mga circular na ito ang mga parusa para sa hindi awtorisado o hindi karaniwang mga ilaw ng sasakyan. Maaari mong tingnan ang website ng LTO ([https://portal.lto.go"&amp;"v.ph/](https://portal.lto.gov.ph/)) para sa mga kamakailang circular sa paksang ito.
**Sa esensya:** Ang pagmamaneho na may hindi awtorisado o hindi karaniwang mga ilaw ay lumalabag sa mga regulasyon ng LTO at maaaring magresulta sa mga multa o pagkahuli "&amp;"sa sasakyan depende sa partikular na mga alituntunin ng LTO.
Para sa mas tiyak na sagot, inirerekumenda na kumonsulta sa website ng LTO o direktang makipag-ugnayan sa kanila para sa pinakabagong impormasyon sa mga parusa na may kaugnayan sa hindi awtorisa"&amp;"do o hindi karaniwang mga ilaw ng sasakyan.")</f>
        <v>Katulad ng sitwasyon na may sira ang preno, walang kahit isang batas ng Pilipinas (Konstitusyon o RA) na tahasang nagbabalangkas ng parusa para sa hindi awtorisado o hindi karaniwang mga ilaw ng sasakyan. Gayunpaman, maaari naming tingnan ang mga nauugnay na regulasyon upang maunawaan ang mga epekto.
Narito ang iminumungkahi ng batas ng Pilipinas:
1. **Land Transportation Office (LTO) Batas Pambansa Bilang 68 (BP 68) o ang Revised Land Transportation and Traffic Code:** Ang batas na ito ay nagbibigay ng kapangyarihan sa LTO na hulihin ang mga sasakyang may mga paglabag sa kagamitan, na maaaring kabilang ang hindi awtorisado o hindi karaniwang mga ilaw . Bagama't hindi nito binanggit ang mga partikular na parusa, pinapayagan nito ang LTO na magpataw ng mga multa batay sa kalubhaan ng paglabag [https://www.officialgazette.gov.ph/1980/05/01/batas-pambansa-bilang-68/]( https://www.officialgazette.gov.ph/1980/05/01/batas-pambansa-bilang-68/).
2. **LTO Memorandum Circulars:** Ang LTO ay naglalabas ng memoranda na nagdedetalye ng mga partikular na paglabag at kaukulang mga parusa. Maaaring saklawin ng mga circular na ito ang mga parusa para sa hindi awtorisado o hindi karaniwang mga ilaw ng sasakyan. Maaari mong tingnan ang website ng LTO ([https://portal.lto.gov.ph/](https://portal.lto.gov.ph/)) para sa mga kamakailang circular sa paksang ito.
**Sa esensya:** Ang pagmamaneho na may hindi awtorisado o hindi karaniwang mga ilaw ay lumalabag sa mga regulasyon ng LTO at maaaring magresulta sa mga multa o pagkahuli sa sasakyan depende sa partikular na mga alituntunin ng LTO.
Para sa mas tiyak na sagot, inirerekumenda na kumonsulta sa website ng LTO o direktang makipag-ugnayan sa kanila para sa pinakabagong impormasyon sa mga parusa na may kaugnayan sa hindi awtorisado o hindi karaniwang mga ilaw ng sasakyan.</v>
      </c>
      <c r="F1529" s="2">
        <f t="shared" si="1"/>
        <v>1</v>
      </c>
      <c r="G1529" s="2"/>
      <c r="H1529" s="2"/>
      <c r="I1529" s="2"/>
      <c r="J1529" s="2"/>
      <c r="K1529" s="2"/>
      <c r="L1529" s="2"/>
      <c r="M1529" s="2"/>
      <c r="N1529" s="2"/>
      <c r="O1529" s="2"/>
      <c r="P1529" s="2"/>
      <c r="Q1529" s="2"/>
      <c r="R1529" s="2"/>
      <c r="S1529" s="2"/>
      <c r="T1529" s="2"/>
      <c r="U1529" s="2"/>
      <c r="V1529" s="2"/>
      <c r="W1529" s="2"/>
      <c r="X1529" s="2"/>
      <c r="Y1529" s="2"/>
      <c r="Z1529" s="2"/>
      <c r="AA1529" s="2"/>
    </row>
    <row r="1530">
      <c r="A1530" s="3" t="s">
        <v>3972</v>
      </c>
      <c r="B1530" s="1" t="s">
        <v>4221</v>
      </c>
      <c r="C1530" s="1" t="s">
        <v>4222</v>
      </c>
      <c r="D1530" s="2" t="str">
        <f>IFERROR(__xludf.DUMMYFUNCTION("GOOGLETRANSLATE(B1530, ""en"", ""TL"")"),"Maaari bang pagmultahin ang isang driver kapag hindi gumamit ng seat belt habang nagmamaneho ng pribadong sasakyan?")</f>
        <v>Maaari bang pagmultahin ang isang driver kapag hindi gumamit ng seat belt habang nagmamaneho ng pribadong sasakyan?</v>
      </c>
      <c r="E1530" s="2" t="str">
        <f>IFERROR(__xludf.DUMMYFUNCTION("GOOGLETRANSLATE(C1530, ""en"", ""TL"")"),"Sa unang paglabag, ang driver ng pribadong sasakyan ay mahaharap sa multa na P1,000, at sa ikalawang paglabag, P2,000. Kung ang isang tao ay mapatunayang hindi nakasuot ng seat belt sa ikatlo o higit pang pagkakataon, pagmumultahin sila ng P5,000 at kukun"&amp;"in ang kanilang lisensya sa pagmamaneho.")</f>
        <v>Sa unang paglabag, ang driver ng pribadong sasakyan ay mahaharap sa multa na P1,000, at sa ikalawang paglabag, P2,000. Kung ang isang tao ay mapatunayang hindi nakasuot ng seat belt sa ikatlo o higit pang pagkakataon, pagmumultahin sila ng P5,000 at kukunin ang kanilang lisensya sa pagmamaneho.</v>
      </c>
      <c r="F1530" s="2">
        <f t="shared" si="1"/>
        <v>1</v>
      </c>
      <c r="G1530" s="2"/>
      <c r="H1530" s="2"/>
      <c r="I1530" s="2"/>
      <c r="J1530" s="2"/>
      <c r="K1530" s="2"/>
      <c r="L1530" s="2"/>
      <c r="M1530" s="2"/>
      <c r="N1530" s="2"/>
      <c r="O1530" s="2"/>
      <c r="P1530" s="2"/>
      <c r="Q1530" s="2"/>
      <c r="R1530" s="2"/>
      <c r="S1530" s="2"/>
      <c r="T1530" s="2"/>
      <c r="U1530" s="2"/>
      <c r="V1530" s="2"/>
      <c r="W1530" s="2"/>
      <c r="X1530" s="2"/>
      <c r="Y1530" s="2"/>
      <c r="Z1530" s="2"/>
      <c r="AA1530" s="2"/>
    </row>
    <row r="1531">
      <c r="A1531" s="3" t="s">
        <v>3972</v>
      </c>
      <c r="B1531" s="1" t="s">
        <v>4223</v>
      </c>
      <c r="C1531" s="1" t="s">
        <v>4224</v>
      </c>
      <c r="D1531" s="2" t="str">
        <f>IFERROR(__xludf.DUMMYFUNCTION("GOOGLETRANSLATE(B1531, ""en"", ""TL"")"),"Ano ang multa sa pagmamaneho ng motorsiklo nang walang tamang plaka?")</f>
        <v>Ano ang multa sa pagmamaneho ng motorsiklo nang walang tamang plaka?</v>
      </c>
      <c r="E1531" s="2" t="str">
        <f>IFERROR(__xludf.DUMMYFUNCTION("GOOGLETRANSLATE(C1531, ""en"", ""TL"")"),"Ang multa para sa pagmamaneho ng motorsiklo na walang tamang plaka sa Pilipinas ay nasa ilalim ng Republic Act No. 11235 o ang Motorcycle Rider Safety Act of 2019 (RA 11235) [https://lawphil.net/statutes/repacts/ra2019/ra_11235_2019. html](https://lawphil"&amp;".net/statutes/repacts/ra2019/ra_11235_2019.html).
Narito ang partikular na seksyon:
* **Seksyon 7. Pagmamaneho na Walang Plate ng Numero o Nababasang Plate ng Numero:** Nakasaad sa seksyong ito na ang pagmamaneho ng motorsiklo na walang plaka o hindi naba"&amp;"basang plaka ay maaaring parusahan ng:
* **Fine:** Hindi bababa sa Limampung Libong Piso (₱50,000.00) ngunit hindi hihigit sa Isang daang libong piso (₱100,000.00)
* **Karagdagang Parusa:** Ang motorsiklo ay maaari ding kunin ng mga alagad ng batas at isu"&amp;"ko sa Philippine National Police (PNP).
**Mahalagang Paalala:** Mahalagang makilala ang ""no plate"" at ""unreadable plate."" Parehong nagkakaroon ng mga parusa sa ilalim ng RA 11235, ngunit maaaring mag-iba ang kalubhaan batay sa pagpapasya sa pagpapatup"&amp;"ad.")</f>
        <v>Ang multa para sa pagmamaneho ng motorsiklo na walang tamang plaka sa Pilipinas ay nasa ilalim ng Republic Act No. 11235 o ang Motorcycle Rider Safety Act of 2019 (RA 11235) [https://lawphil.net/statutes/repacts/ra2019/ra_11235_2019. html](https://lawphil.net/statutes/repacts/ra2019/ra_11235_2019.html).
Narito ang partikular na seksyon:
* **Seksyon 7. Pagmamaneho na Walang Plate ng Numero o Nababasang Plate ng Numero:** Nakasaad sa seksyong ito na ang pagmamaneho ng motorsiklo na walang plaka o hindi nababasang plaka ay maaaring parusahan ng:
* **Fine:** Hindi bababa sa Limampung Libong Piso (₱50,000.00) ngunit hindi hihigit sa Isang daang libong piso (₱100,000.00)
* **Karagdagang Parusa:** Ang motorsiklo ay maaari ding kunin ng mga alagad ng batas at isuko sa Philippine National Police (PNP).
**Mahalagang Paalala:** Mahalagang makilala ang "no plate" at "unreadable plate." Parehong nagkakaroon ng mga parusa sa ilalim ng RA 11235, ngunit maaaring mag-iba ang kalubhaan batay sa pagpapasya sa pagpapatupad.</v>
      </c>
      <c r="F1531" s="2">
        <f t="shared" si="1"/>
        <v>0</v>
      </c>
      <c r="G1531" s="2"/>
      <c r="H1531" s="2"/>
      <c r="I1531" s="2"/>
      <c r="J1531" s="2"/>
      <c r="K1531" s="2"/>
      <c r="L1531" s="2"/>
      <c r="M1531" s="2"/>
      <c r="N1531" s="2"/>
      <c r="O1531" s="2"/>
      <c r="P1531" s="2"/>
      <c r="Q1531" s="2"/>
      <c r="R1531" s="2"/>
      <c r="S1531" s="2"/>
      <c r="T1531" s="2"/>
      <c r="U1531" s="2"/>
      <c r="V1531" s="2"/>
      <c r="W1531" s="2"/>
      <c r="X1531" s="2"/>
      <c r="Y1531" s="2"/>
      <c r="Z1531" s="2"/>
      <c r="AA1531" s="2"/>
    </row>
    <row r="1532">
      <c r="A1532" s="3" t="s">
        <v>3972</v>
      </c>
      <c r="B1532" s="1" t="s">
        <v>4225</v>
      </c>
      <c r="C1532" s="1" t="s">
        <v>4226</v>
      </c>
      <c r="D1532" s="2" t="str">
        <f>IFERROR(__xludf.DUMMYFUNCTION("GOOGLETRANSLATE(B1532, ""en"", ""TL"")"),"Ano ang parusa sa pagpapatakbo ng sasakyan nang walang valid na lisensya sa pagmamaneho?")</f>
        <v>Ano ang parusa sa pagpapatakbo ng sasakyan nang walang valid na lisensya sa pagmamaneho?</v>
      </c>
      <c r="E1532" s="2" t="str">
        <f>IFERROR(__xludf.DUMMYFUNCTION("GOOGLETRANSLATE(C1532, ""en"", ""TL"")"),"Kung ikaw ay natagpuang nagmamaneho sa Pilipinas nang walang valid na lisensya sa pagmamaneho, maaari kang mapailalim sa mga sumusunod na parusa:
pagmamaneho nang walang permit
Bayad para sa Paglabag: ₱3,000
Mga Detalye: Bago ka magsimulang magmaneho nang"&amp;" walang license card, pag-isipan itong mabuti. Aalisin, sususpindihin, o mawawalan ng bisa ang iyong lisensya sa pagmamaneho, at pagmumultahin ka ng hanggang ₱3,000 para sa paglabag. Babawalan ka rin mula sa pag-aplay para sa lisensya sa pagmamaneho at mu"&amp;"la sa pagpapatakbo ng isang sasakyang de-motor sa loob ng isang taon.
Hindi pinapansin ang seatbelt:
Paunang Infraction: ₱1,000
Ang pangalawang paglabag ay ₱2,000.
Ang ikatlong paglabag ay ₱5,000.
Mga Detalye: Parehong napapailalim sa batas ng seat belt a"&amp;"ng mga pasahero at driver. Ang mga multa ay maaaring lumitaw kahit na mula sa paglalagay ng mga kabataan na kasing edad ng anim na taong gulang sa upuan sa harap na walang seat belt. Bilang karagdagan sa pagpapanatiling ligtas sa iyo, ang paggamit ng seat"&amp;"belt habang nagmamaneho ay binabawasan din ang iyong panganib na makatanggap ng LTO1.
Pagmamaneho habang may kapansanan sa alkohol o iba pang mapanganib na droga:
Hindi Nagdudulot ng Kamatayan o Malubhang Pinsala: ₱20,000 hanggang ₱80,000.
Nagdudulot ng p"&amp;"insala: ₱100,000 hanggang ₱200,000
Kamatayan: Sa pagitan ng ₱300,000 at ₱500,000
Mga Detalye: Ang pagmamaneho pagkatapos na nasa ilalim ng impluwensya ng droga o alkohol ay maaaring magresulta sa mga sakuna na banggaan. Ang mga driver na nagmamaneho haban"&amp;"g lasing ay maaari ding mapatawan ng 12 buwang suspensiyon ng lisensya (para sa mga hindi propesyonal na may hawak ng lisensya) o pagkansela ng lisensya (para sa mga propesyonal na may hawak ng lisensya) para sa unang pagkakasala, bilang karagdagan sa mul"&amp;"ta.
Pagmamaneho Habang Lasing:
Paunang Hatol: ₱2,000
Conviction No. 2: ₱3,000
Paghatol Pagkatapos: ₱10,000")</f>
        <v>Kung ikaw ay natagpuang nagmamaneho sa Pilipinas nang walang valid na lisensya sa pagmamaneho, maaari kang mapailalim sa mga sumusunod na parusa:
pagmamaneho nang walang permit
Bayad para sa Paglabag: ₱3,000
Mga Detalye: Bago ka magsimulang magmaneho nang walang license card, pag-isipan itong mabuti. Aalisin, sususpindihin, o mawawalan ng bisa ang iyong lisensya sa pagmamaneho, at pagmumultahin ka ng hanggang ₱3,000 para sa paglabag. Babawalan ka rin mula sa pag-aplay para sa lisensya sa pagmamaneho at mula sa pagpapatakbo ng isang sasakyang de-motor sa loob ng isang taon.
Hindi pinapansin ang seatbelt:
Paunang Infraction: ₱1,000
Ang pangalawang paglabag ay ₱2,000.
Ang ikatlong paglabag ay ₱5,000.
Mga Detalye: Parehong napapailalim sa batas ng seat belt ang mga pasahero at driver. Ang mga multa ay maaaring lumitaw kahit na mula sa paglalagay ng mga kabataan na kasing edad ng anim na taong gulang sa upuan sa harap na walang seat belt. Bilang karagdagan sa pagpapanatiling ligtas sa iyo, ang paggamit ng seatbelt habang nagmamaneho ay binabawasan din ang iyong panganib na makatanggap ng LTO1.
Pagmamaneho habang may kapansanan sa alkohol o iba pang mapanganib na droga:
Hindi Nagdudulot ng Kamatayan o Malubhang Pinsala: ₱20,000 hanggang ₱80,000.
Nagdudulot ng pinsala: ₱100,000 hanggang ₱200,000
Kamatayan: Sa pagitan ng ₱300,000 at ₱500,000
Mga Detalye: Ang pagmamaneho pagkatapos na nasa ilalim ng impluwensya ng droga o alkohol ay maaaring magresulta sa mga sakuna na banggaan. Ang mga driver na nagmamaneho habang lasing ay maaari ding mapatawan ng 12 buwang suspensiyon ng lisensya (para sa mga hindi propesyonal na may hawak ng lisensya) o pagkansela ng lisensya (para sa mga propesyonal na may hawak ng lisensya) para sa unang pagkakasala, bilang karagdagan sa multa.
Pagmamaneho Habang Lasing:
Paunang Hatol: ₱2,000
Conviction No. 2: ₱3,000
Paghatol Pagkatapos: ₱10,000</v>
      </c>
      <c r="F1532" s="2">
        <f t="shared" si="1"/>
        <v>0</v>
      </c>
      <c r="G1532" s="2"/>
      <c r="H1532" s="2"/>
      <c r="I1532" s="2"/>
      <c r="J1532" s="2"/>
      <c r="K1532" s="2"/>
      <c r="L1532" s="2"/>
      <c r="M1532" s="2"/>
      <c r="N1532" s="2"/>
      <c r="O1532" s="2"/>
      <c r="P1532" s="2"/>
      <c r="Q1532" s="2"/>
      <c r="R1532" s="2"/>
      <c r="S1532" s="2"/>
      <c r="T1532" s="2"/>
      <c r="U1532" s="2"/>
      <c r="V1532" s="2"/>
      <c r="W1532" s="2"/>
      <c r="X1532" s="2"/>
      <c r="Y1532" s="2"/>
      <c r="Z1532" s="2"/>
      <c r="AA1532" s="2"/>
    </row>
    <row r="1533">
      <c r="A1533" s="3" t="s">
        <v>3972</v>
      </c>
      <c r="B1533" s="1" t="s">
        <v>4227</v>
      </c>
      <c r="C1533" s="1" t="s">
        <v>4228</v>
      </c>
      <c r="D1533" s="2" t="str">
        <f>IFERROR(__xludf.DUMMYFUNCTION("GOOGLETRANSLATE(B1533, ""en"", ""TL"")"),"Kailan legal na pumarada sa kaliwang bahagi ng isang two-way na kalsada?")</f>
        <v>Kailan legal na pumarada sa kaliwang bahagi ng isang two-way na kalsada?</v>
      </c>
      <c r="E1533" s="2" t="str">
        <f>IFERROR(__xludf.DUMMYFUNCTION("GOOGLETRANSLATE(C1533, ""en"", ""TL"")"),"Ang paradahan sa kaliwang bahagi ng isang two-way na kalsada ay karaniwang ilegal. Nalalapat ito sa karamihan ng mga sitwasyon upang maiwasan ang sagabal sa daloy ng trapiko at mga potensyal na aksidente.
Narito ang isang breakdown kung bakit ipinagbabawa"&amp;"l ang paradahan sa kaliwang bahagi:
Mga Batas sa Trapiko: Bagama't walang partikular na batas na tahasang binabanggit ang kaliwang bahagi ng isang two-way na kalsada, hindi ito hinihikayat ng mga pangkalahatang regulasyon sa paradahan. Karaniwang nakatuon"&amp;" ang Land Transportation Office (LTO) at mga lokal na ordinansa sa mga regulasyon sa paradahan tulad ng:
Paradahan sa kanang bahagi: Ang mga seksyon ng Land Transportation and Traffic Code (RA 4136) ay binibigyang-diin ang mga sasakyang paradahan ""sa abo"&amp;"t ng makakaya sa kanang hangganan ng daanan"" (Seksyon 6).
Walang karatulang paradahan: Ang mga itinalagang karatula na ""Walang Paradahan"" ay nagpapahiwatig ng mga lugar kung saan mahigpit na ipinagbabawal ang paradahan, anuman ang gilid ng kalsada.
Mga"&amp;" Alalahanin sa Kaligtasan: Ang paradahan sa kaliwang bahagi ay maaaring mapanganib sa ilang kadahilanan:
Paparating na trapiko: Maaaring hindi inaasahan ng mga sasakyang paparating mula sa kabilang direksyon ang mga nakaparadang sasakyan sa kaliwang bahag"&amp;"i, na nagdaragdag ng panganib ng mga banggaan.
Limitadong visibility: Maaaring hadlangan ng mga driver na nakaparada sa kaliwa ang pagtingin sa paparating na trapiko o mga naglalakad na tumatawid sa kalye.
Dobleng paradahan: Ang mga driver na sumusubok na"&amp;" pumarada sa kaliwang bahagi ay kadalasang nauuwi sa paglikha ng mga sitwasyong doble-parking, na lalong nakakaabala sa daloy ng trapiko.
Mga Pagbubukod (Gamitin nang May Pag-iingat):
Maaaring may mga bihirang pagkakataon kung saan ang paradahan sa kaliwa"&amp;"ng bahagi ay maaaring hindi maiiwasan, ngunit magpatuloy nang may matinding pag-iingat at kung talagang kinakailangan. Narito ang ilang halimbawa:
Mga Emerhensiya: Kung ang iyong sasakyan ay may mekanikal na isyu at hindi ka ligtas na huminto sa kanang ba"&amp;"likat, maaaring kailanganin mong huminto sandali sa kaliwang bahagi habang binubuksan ang iyong mga hazard light. Gayunpaman, unahin ang paglipat ng iyong sasakyan sa isang ligtas na lokasyon sa lalong madaling panahon.
Mga one-way na kalsada na may itina"&amp;"lagang paradahan: Sa mga bihirang kaso, ang ilang partikular na one-way na kalsada ay maaaring may mga itinalagang lugar ng paradahan sa kaliwang bahagi. Gayunpaman, ang mga lugar na ito ay malinaw na mamarkahan ng signage o pavement markings.")</f>
        <v>Ang paradahan sa kaliwang bahagi ng isang two-way na kalsada ay karaniwang ilegal. Nalalapat ito sa karamihan ng mga sitwasyon upang maiwasan ang sagabal sa daloy ng trapiko at mga potensyal na aksidente.
Narito ang isang breakdown kung bakit ipinagbabawal ang paradahan sa kaliwang bahagi:
Mga Batas sa Trapiko: Bagama't walang partikular na batas na tahasang binabanggit ang kaliwang bahagi ng isang two-way na kalsada, hindi ito hinihikayat ng mga pangkalahatang regulasyon sa paradahan. Karaniwang nakatuon ang Land Transportation Office (LTO) at mga lokal na ordinansa sa mga regulasyon sa paradahan tulad ng:
Paradahan sa kanang bahagi: Ang mga seksyon ng Land Transportation and Traffic Code (RA 4136) ay binibigyang-diin ang mga sasakyang paradahan "sa abot ng makakaya sa kanang hangganan ng daanan" (Seksyon 6).
Walang karatulang paradahan: Ang mga itinalagang karatula na "Walang Paradahan" ay nagpapahiwatig ng mga lugar kung saan mahigpit na ipinagbabawal ang paradahan, anuman ang gilid ng kalsada.
Mga Alalahanin sa Kaligtasan: Ang paradahan sa kaliwang bahagi ay maaaring mapanganib sa ilang kadahilanan:
Paparating na trapiko: Maaaring hindi inaasahan ng mga sasakyang paparating mula sa kabilang direksyon ang mga nakaparadang sasakyan sa kaliwang bahagi, na nagdaragdag ng panganib ng mga banggaan.
Limitadong visibility: Maaaring hadlangan ng mga driver na nakaparada sa kaliwa ang pagtingin sa paparating na trapiko o mga naglalakad na tumatawid sa kalye.
Dobleng paradahan: Ang mga driver na sumusubok na pumarada sa kaliwang bahagi ay kadalasang nauuwi sa paglikha ng mga sitwasyong doble-parking, na lalong nakakaabala sa daloy ng trapiko.
Mga Pagbubukod (Gamitin nang May Pag-iingat):
Maaaring may mga bihirang pagkakataon kung saan ang paradahan sa kaliwang bahagi ay maaaring hindi maiiwasan, ngunit magpatuloy nang may matinding pag-iingat at kung talagang kinakailangan. Narito ang ilang halimbawa:
Mga Emerhensiya: Kung ang iyong sasakyan ay may mekanikal na isyu at hindi ka ligtas na huminto sa kanang balikat, maaaring kailanganin mong huminto sandali sa kaliwang bahagi habang binubuksan ang iyong mga hazard light. Gayunpaman, unahin ang paglipat ng iyong sasakyan sa isang ligtas na lokasyon sa lalong madaling panahon.
Mga one-way na kalsada na may itinalagang paradahan: Sa mga bihirang kaso, ang ilang partikular na one-way na kalsada ay maaaring may mga itinalagang lugar ng paradahan sa kaliwang bahagi. Gayunpaman, ang mga lugar na ito ay malinaw na mamarkahan ng signage o pavement markings.</v>
      </c>
      <c r="F1533" s="2">
        <f t="shared" si="1"/>
        <v>1</v>
      </c>
      <c r="G1533" s="2"/>
      <c r="H1533" s="2"/>
      <c r="I1533" s="2"/>
      <c r="J1533" s="2"/>
      <c r="K1533" s="2"/>
      <c r="L1533" s="2"/>
      <c r="M1533" s="2"/>
      <c r="N1533" s="2"/>
      <c r="O1533" s="2"/>
      <c r="P1533" s="2"/>
      <c r="Q1533" s="2"/>
      <c r="R1533" s="2"/>
      <c r="S1533" s="2"/>
      <c r="T1533" s="2"/>
      <c r="U1533" s="2"/>
      <c r="V1533" s="2"/>
      <c r="W1533" s="2"/>
      <c r="X1533" s="2"/>
      <c r="Y1533" s="2"/>
      <c r="Z1533" s="2"/>
      <c r="AA1533" s="2"/>
    </row>
    <row r="1534">
      <c r="A1534" s="3" t="s">
        <v>3972</v>
      </c>
      <c r="B1534" s="1" t="s">
        <v>4229</v>
      </c>
      <c r="C1534" s="1" t="s">
        <v>4117</v>
      </c>
      <c r="D1534" s="2" t="str">
        <f>IFERROR(__xludf.DUMMYFUNCTION("GOOGLETRANSLATE(B1534, ""en"", ""TL"")"),"Ano ang parusa sa paggamit ng sasakyan na may sira o hindi gumagana ang mga headlight?")</f>
        <v>Ano ang parusa sa paggamit ng sasakyan na may sira o hindi gumagana ang mga headlight?</v>
      </c>
      <c r="E1534" s="2" t="str">
        <f>IFERROR(__xludf.DUMMYFUNCTION("GOOGLETRANSLATE(C1534, ""en"", ""TL"")"),"Pagmumultahin ka ng Php 2,000 sa unang paglabag, Php 3,000 sa pangalawa, at Php 10,000 sa pangatlo.")</f>
        <v>Pagmumultahin ka ng Php 2,000 sa unang paglabag, Php 3,000 sa pangalawa, at Php 10,000 sa pangatlo.</v>
      </c>
      <c r="F1534" s="2">
        <f t="shared" si="1"/>
        <v>0</v>
      </c>
      <c r="G1534" s="2"/>
      <c r="H1534" s="2"/>
      <c r="I1534" s="2"/>
      <c r="J1534" s="2"/>
      <c r="K1534" s="2"/>
      <c r="L1534" s="2"/>
      <c r="M1534" s="2"/>
      <c r="N1534" s="2"/>
      <c r="O1534" s="2"/>
      <c r="P1534" s="2"/>
      <c r="Q1534" s="2"/>
      <c r="R1534" s="2"/>
      <c r="S1534" s="2"/>
      <c r="T1534" s="2"/>
      <c r="U1534" s="2"/>
      <c r="V1534" s="2"/>
      <c r="W1534" s="2"/>
      <c r="X1534" s="2"/>
      <c r="Y1534" s="2"/>
      <c r="Z1534" s="2"/>
      <c r="AA1534" s="2"/>
    </row>
    <row r="1535">
      <c r="A1535" s="3" t="s">
        <v>3972</v>
      </c>
      <c r="B1535" s="1" t="s">
        <v>4230</v>
      </c>
      <c r="C1535" s="1" t="s">
        <v>4231</v>
      </c>
      <c r="D1535" s="2" t="str">
        <f>IFERROR(__xludf.DUMMYFUNCTION("GOOGLETRANSLATE(B1535, ""en"", ""TL"")"),"Maaari bang pagmultahin ang isang driver para sa paradahan sa loob ng intersection o pedestrian lane?")</f>
        <v>Maaari bang pagmultahin ang isang driver para sa paradahan sa loob ng intersection o pedestrian lane?</v>
      </c>
      <c r="E1535" s="2" t="str">
        <f>IFERROR(__xludf.DUMMYFUNCTION("GOOGLETRANSLATE(C1535, ""en"", ""TL"")"),"Syempre! Mahigpit ang mga regulasyon sa paradahan sa Pilipinas upang mapanatili ang daloy ng trapiko at kaligtasan sa kalsada. Hatiin natin ito:
Kapag pumarada sa isang tawiran:
Bawal pumarada ang mga sasakyan sa mga intersection.
Dahilan: Ang pag-park d"&amp;"ito ay nagpapahirap para sa ibang mga driver na makita ka at ang daloy ng trapiko.
Legal na Batayan: Ang paradahan sa loob ng intersection ay ipinagbabawal ng Republic Act No. 4136.
Paradahan sa isang pedestrian lane o malapit sa isa:
Ipinagbabawal na pum"&amp;"arada sa gilid ng pedestrian lane o ilang metro lamang ang layo mula dito.
Dahilan: Pinipigilan nito ang mga pedestrian na makita ang ibang mga sasakyan at humahadlang sa kanilang pagtingin sa kalsada.
Legal na Batayan: Dapat na iwasan ang paradahan malap"&amp;"it sa mga pedestrian lane kahit na walang partikular na batas na naglalagay ng lahat ng sisihin sa driver sa mga sitwasyong ito.
Higit pang Mga Alituntunin sa Paradahan:
Pagharang sa daanan ng ibang tao: Ito ay hindi magalang at maaaring pigilan ang mga"&amp;" sasakyang pang-emerhensiya sa pag-access sa daanan. Ito ay itinuturing na isang gumagalaw na paglabag.
Paradahan sa Bangketa: Ipinagbabawal ang paradahan sa mga bangketa dahil ito ay humahadlang sa daloy ng trapiko ng pedestrian at inilalagay sa pangani"&amp;"b ang kaligtasan ng mga tao.")</f>
        <v>Syempre! Mahigpit ang mga regulasyon sa paradahan sa Pilipinas upang mapanatili ang daloy ng trapiko at kaligtasan sa kalsada. Hatiin natin ito:
Kapag pumarada sa isang tawiran:
Bawal pumarada ang mga sasakyan sa mga intersection.
Dahilan: Ang pag-park dito ay nagpapahirap para sa ibang mga driver na makita ka at ang daloy ng trapiko.
Legal na Batayan: Ang paradahan sa loob ng intersection ay ipinagbabawal ng Republic Act No. 4136.
Paradahan sa isang pedestrian lane o malapit sa isa:
Ipinagbabawal na pumarada sa gilid ng pedestrian lane o ilang metro lamang ang layo mula dito.
Dahilan: Pinipigilan nito ang mga pedestrian na makita ang ibang mga sasakyan at humahadlang sa kanilang pagtingin sa kalsada.
Legal na Batayan: Dapat na iwasan ang paradahan malapit sa mga pedestrian lane kahit na walang partikular na batas na naglalagay ng lahat ng sisihin sa driver sa mga sitwasyong ito.
Higit pang Mga Alituntunin sa Paradahan:
Pagharang sa daanan ng ibang tao: Ito ay hindi magalang at maaaring pigilan ang mga sasakyang pang-emerhensiya sa pag-access sa daanan. Ito ay itinuturing na isang gumagalaw na paglabag.
Paradahan sa Bangketa: Ipinagbabawal ang paradahan sa mga bangketa dahil ito ay humahadlang sa daloy ng trapiko ng pedestrian at inilalagay sa panganib ang kaligtasan ng mga tao.</v>
      </c>
      <c r="F1535" s="2">
        <f t="shared" si="1"/>
        <v>1</v>
      </c>
      <c r="G1535" s="2"/>
      <c r="H1535" s="2"/>
      <c r="I1535" s="2"/>
      <c r="J1535" s="2"/>
      <c r="K1535" s="2"/>
      <c r="L1535" s="2"/>
      <c r="M1535" s="2"/>
      <c r="N1535" s="2"/>
      <c r="O1535" s="2"/>
      <c r="P1535" s="2"/>
      <c r="Q1535" s="2"/>
      <c r="R1535" s="2"/>
      <c r="S1535" s="2"/>
      <c r="T1535" s="2"/>
      <c r="U1535" s="2"/>
      <c r="V1535" s="2"/>
      <c r="W1535" s="2"/>
      <c r="X1535" s="2"/>
      <c r="Y1535" s="2"/>
      <c r="Z1535" s="2"/>
      <c r="AA1535" s="2"/>
    </row>
    <row r="1536">
      <c r="A1536" s="3" t="s">
        <v>3972</v>
      </c>
      <c r="B1536" s="1" t="s">
        <v>4232</v>
      </c>
      <c r="C1536" s="1" t="s">
        <v>4233</v>
      </c>
      <c r="D1536" s="2" t="str">
        <f>IFERROR(__xludf.DUMMYFUNCTION("GOOGLETRANSLATE(B1536, ""en"", ""TL"")"),"Ano ang parusa sa pagmamaneho ng sasakyan na may sira o hindi gumaganang mga wiper?")</f>
        <v>Ano ang parusa sa pagmamaneho ng sasakyan na may sira o hindi gumaganang mga wiper?</v>
      </c>
      <c r="E1536" s="2" t="str">
        <f>IFERROR(__xludf.DUMMYFUNCTION("GOOGLETRANSLATE(C1536, ""en"", ""TL"")"),"Sa Pilipinas, ang pagmamaneho ng sasakyan na may sira o hindi gumaganang mga wiper ay hindi tahasang binalangkas bilang paglabag sa trapiko sa pangunahing batas, ang Republic Act No. 4136 (Land Transportation and Traffic Code). Gayunpaman, maaari pa rin i"&amp;"tong humantong sa mga potensyal na kahihinatnan dahil sa mga sumusunod na kadahilanan:
Mga Alalahanin sa Kaligtasan:
Nabawasan ang visibility: Sa panahon ng pag-ulan, hamog na ulap, o iba pang mga kondisyon na may mahinang visibility, ang mga hindi guma"&amp;"ganang wiper ay maaaring makahadlang sa paningin ng driver, na nagdaragdag ng panganib ng mga aksidente.
Kapabayaan at Kaligtasan sa Kalsada: Ang pagpapatakbo ng sasakyan sa isang kondisyon na nakakakompromiso sa kaligtasan ay maaaring ituring na kapabay"&amp;"aan at isang paglabag sa pangkalahatang mga prinsipyo sa kaligtasan sa kalsada na nakabalangkas sa Memorandum Circular No. 2016-020 ng Land Transportation Office (LTO). Binigyang-diin ng memorandum na ito na dapat tiyakin ng mga driver na nasa ""good work"&amp;"ing order and proper condition"" ang kanilang mga sasakyan bago paandarin ang mga ito sa mga pampublikong kalsada.
Mga Potensyal na Bunga:
Pangangarap ng Pagpapatupad ng Batas: Bagama't hindi direktang paglabag, maaaring hulihin ng mga opisyal ng pagpap"&amp;"atupad ng batas ang mga driver na ang mga sasakyan ay may mga hindi gumaganang wiper sa panahon ng masamang kondisyon ng panahon dahil sa mga alalahanin sa kaligtasan na binanggit sa itaas. Ito ay maaaring humantong sa isang babala o pagsipi, depende sa p"&amp;"agpapasya ng opisyal at sa mga partikular na pangyayari.
Mga Aksidente at Legal na Repercussion: Kung ang isang driver na may hindi gumaganang mga wiper ay nasangkot sa isang aksidente, lalo na kapag ang mga wiper ay maaaring mag-ambag sa sitwasyon dahil"&amp;" sa mahinang visibility, maaari silang harapin ang mga legal na epekto sa kabila ng isang paglabag sa trapiko. Maaaring kabilang dito ang pananagutan para sa mga pinsala o pinsalang dulot ng aksidente.")</f>
        <v>Sa Pilipinas, ang pagmamaneho ng sasakyan na may sira o hindi gumaganang mga wiper ay hindi tahasang binalangkas bilang paglabag sa trapiko sa pangunahing batas, ang Republic Act No. 4136 (Land Transportation and Traffic Code). Gayunpaman, maaari pa rin itong humantong sa mga potensyal na kahihinatnan dahil sa mga sumusunod na kadahilanan:
Mga Alalahanin sa Kaligtasan:
Nabawasan ang visibility: Sa panahon ng pag-ulan, hamog na ulap, o iba pang mga kondisyon na may mahinang visibility, ang mga hindi gumaganang wiper ay maaaring makahadlang sa paningin ng driver, na nagdaragdag ng panganib ng mga aksidente.
Kapabayaan at Kaligtasan sa Kalsada: Ang pagpapatakbo ng sasakyan sa isang kondisyon na nakakakompromiso sa kaligtasan ay maaaring ituring na kapabayaan at isang paglabag sa pangkalahatang mga prinsipyo sa kaligtasan sa kalsada na nakabalangkas sa Memorandum Circular No. 2016-020 ng Land Transportation Office (LTO). Binigyang-diin ng memorandum na ito na dapat tiyakin ng mga driver na nasa "good working order and proper condition" ang kanilang mga sasakyan bago paandarin ang mga ito sa mga pampublikong kalsada.
Mga Potensyal na Bunga:
Pangangarap ng Pagpapatupad ng Batas: Bagama't hindi direktang paglabag, maaaring hulihin ng mga opisyal ng pagpapatupad ng batas ang mga driver na ang mga sasakyan ay may mga hindi gumaganang wiper sa panahon ng masamang kondisyon ng panahon dahil sa mga alalahanin sa kaligtasan na binanggit sa itaas. Ito ay maaaring humantong sa isang babala o pagsipi, depende sa pagpapasya ng opisyal at sa mga partikular na pangyayari.
Mga Aksidente at Legal na Repercussion: Kung ang isang driver na may hindi gumaganang mga wiper ay nasangkot sa isang aksidente, lalo na kapag ang mga wiper ay maaaring mag-ambag sa sitwasyon dahil sa mahinang visibility, maaari silang harapin ang mga legal na epekto sa kabila ng isang paglabag sa trapiko. Maaaring kabilang dito ang pananagutan para sa mga pinsala o pinsalang dulot ng aksidente.</v>
      </c>
      <c r="F1536" s="2">
        <f t="shared" si="1"/>
        <v>1</v>
      </c>
      <c r="G1536" s="2"/>
      <c r="H1536" s="2"/>
      <c r="I1536" s="2"/>
      <c r="J1536" s="2"/>
      <c r="K1536" s="2"/>
      <c r="L1536" s="2"/>
      <c r="M1536" s="2"/>
      <c r="N1536" s="2"/>
      <c r="O1536" s="2"/>
      <c r="P1536" s="2"/>
      <c r="Q1536" s="2"/>
      <c r="R1536" s="2"/>
      <c r="S1536" s="2"/>
      <c r="T1536" s="2"/>
      <c r="U1536" s="2"/>
      <c r="V1536" s="2"/>
      <c r="W1536" s="2"/>
      <c r="X1536" s="2"/>
      <c r="Y1536" s="2"/>
      <c r="Z1536" s="2"/>
      <c r="AA1536" s="2"/>
    </row>
    <row r="1537">
      <c r="A1537" s="3" t="s">
        <v>3972</v>
      </c>
      <c r="B1537" s="1" t="s">
        <v>4234</v>
      </c>
      <c r="C1537" s="1" t="s">
        <v>4197</v>
      </c>
      <c r="D1537" s="2" t="str">
        <f>IFERROR(__xludf.DUMMYFUNCTION("GOOGLETRANSLATE(B1537, ""en"", ""TL"")"),"Ano ang parusa para sa paggamit ng sasakyan na may hindi awtorisado o hindi karaniwang mga kagamitan sa babala?")</f>
        <v>Ano ang parusa para sa paggamit ng sasakyan na may hindi awtorisado o hindi karaniwang mga kagamitan sa babala?</v>
      </c>
      <c r="E1537" s="2" t="str">
        <f>IFERROR(__xludf.DUMMYFUNCTION("GOOGLETRANSLATE(C1537, ""en"", ""TL"")"),"Ang isang paglabag ay nagkakahalaga ng Php 2,000. Pangalawang pagkakasala: Php 3,000 kasama ang tatlong buwang pagkakasuspinde ng lisensya sa pagmamaneho. Ang parusa para sa pangatlo at kasunod na paglabag ay 10,000 PHP na may anim na buwang suspensiyon n"&amp;"g lisensya.")</f>
        <v>Ang isang paglabag ay nagkakahalaga ng Php 2,000. Pangalawang pagkakasala: Php 3,000 kasama ang tatlong buwang pagkakasuspinde ng lisensya sa pagmamaneho. Ang parusa para sa pangatlo at kasunod na paglabag ay 10,000 PHP na may anim na buwang suspensiyon ng lisensya.</v>
      </c>
      <c r="F1537" s="2">
        <f t="shared" si="1"/>
        <v>1</v>
      </c>
      <c r="G1537" s="2"/>
      <c r="H1537" s="2"/>
      <c r="I1537" s="2"/>
      <c r="J1537" s="2"/>
      <c r="K1537" s="2"/>
      <c r="L1537" s="2"/>
      <c r="M1537" s="2"/>
      <c r="N1537" s="2"/>
      <c r="O1537" s="2"/>
      <c r="P1537" s="2"/>
      <c r="Q1537" s="2"/>
      <c r="R1537" s="2"/>
      <c r="S1537" s="2"/>
      <c r="T1537" s="2"/>
      <c r="U1537" s="2"/>
      <c r="V1537" s="2"/>
      <c r="W1537" s="2"/>
      <c r="X1537" s="2"/>
      <c r="Y1537" s="2"/>
      <c r="Z1537" s="2"/>
      <c r="AA1537" s="2"/>
    </row>
    <row r="1538">
      <c r="A1538" s="3" t="s">
        <v>3972</v>
      </c>
      <c r="B1538" s="1" t="s">
        <v>4235</v>
      </c>
      <c r="C1538" s="1" t="s">
        <v>4236</v>
      </c>
      <c r="D1538" s="2" t="str">
        <f>IFERROR(__xludf.DUMMYFUNCTION("GOOGLETRANSLATE(B1538, ""en"", ""TL"")"),"Kailan pinahihintulutang magmaneho nang may pulang ilaw mula sa tambutso ng sasakyan?")</f>
        <v>Kailan pinahihintulutang magmaneho nang may pulang ilaw mula sa tambutso ng sasakyan?</v>
      </c>
      <c r="E1538" s="2" t="str">
        <f>IFERROR(__xludf.DUMMYFUNCTION("GOOGLETRANSLATE(C1538, ""en"", ""TL"")"),"Hindi kailanman pinahihintulutang magmaneho nang may pulang ilaw mula sa tambutso ng iyong sasakyan sa Pilipinas. Ang pulang ilaw na nagmumula sa tambutso ay karaniwang nagpapahiwatig ng isang seryosong problema, at ang patuloy na pagmamaneho ay maaaring "&amp;"magdulot ng karagdagang pinsala o magdulot ng mga panganib sa kaligtasan.")</f>
        <v>Hindi kailanman pinahihintulutang magmaneho nang may pulang ilaw mula sa tambutso ng iyong sasakyan sa Pilipinas. Ang pulang ilaw na nagmumula sa tambutso ay karaniwang nagpapahiwatig ng isang seryosong problema, at ang patuloy na pagmamaneho ay maaaring magdulot ng karagdagang pinsala o magdulot ng mga panganib sa kaligtasan.</v>
      </c>
      <c r="F1538" s="2">
        <f t="shared" si="1"/>
        <v>1</v>
      </c>
      <c r="G1538" s="2"/>
      <c r="H1538" s="2"/>
      <c r="I1538" s="2"/>
      <c r="J1538" s="2"/>
      <c r="K1538" s="2"/>
      <c r="L1538" s="2"/>
      <c r="M1538" s="2"/>
      <c r="N1538" s="2"/>
      <c r="O1538" s="2"/>
      <c r="P1538" s="2"/>
      <c r="Q1538" s="2"/>
      <c r="R1538" s="2"/>
      <c r="S1538" s="2"/>
      <c r="T1538" s="2"/>
      <c r="U1538" s="2"/>
      <c r="V1538" s="2"/>
      <c r="W1538" s="2"/>
      <c r="X1538" s="2"/>
      <c r="Y1538" s="2"/>
      <c r="Z1538" s="2"/>
      <c r="AA1538" s="2"/>
    </row>
    <row r="1539">
      <c r="A1539" s="3" t="s">
        <v>3972</v>
      </c>
      <c r="B1539" s="1" t="s">
        <v>4237</v>
      </c>
      <c r="C1539" s="1" t="s">
        <v>4238</v>
      </c>
      <c r="D1539" s="2" t="str">
        <f>IFERROR(__xludf.DUMMYFUNCTION("GOOGLETRANSLATE(B1539, ""en"", ""TL"")"),"Ano ang parusa para sa pagmamaneho ng sasakyan na may sira o hindi gumagana ang mga sungay?")</f>
        <v>Ano ang parusa para sa pagmamaneho ng sasakyan na may sira o hindi gumagana ang mga sungay?</v>
      </c>
      <c r="E1539" s="2" t="str">
        <f>IFERROR(__xludf.DUMMYFUNCTION("GOOGLETRANSLATE(C1539, ""en"", ""TL"")"),"Kung masusumpungan kang nagpapatakbo ng sasakyan sa Pilipinas na hindi gumagana o sira ang busina, ikaw ay pagmumultahin ng Php 1,078. Upang makasunod sa mga batas trapiko at mapangalagaan ang kaligtasan sa kalsada, dapat mong tiyakin na ang mga busina ng"&amp;" iyong sasakyan ay gumagana.")</f>
        <v>Kung masusumpungan kang nagpapatakbo ng sasakyan sa Pilipinas na hindi gumagana o sira ang busina, ikaw ay pagmumultahin ng Php 1,078. Upang makasunod sa mga batas trapiko at mapangalagaan ang kaligtasan sa kalsada, dapat mong tiyakin na ang mga busina ng iyong sasakyan ay gumagana.</v>
      </c>
      <c r="F1539" s="2">
        <f t="shared" si="1"/>
        <v>0</v>
      </c>
      <c r="G1539" s="2"/>
      <c r="H1539" s="2"/>
      <c r="I1539" s="2"/>
      <c r="J1539" s="2"/>
      <c r="K1539" s="2"/>
      <c r="L1539" s="2"/>
      <c r="M1539" s="2"/>
      <c r="N1539" s="2"/>
      <c r="O1539" s="2"/>
      <c r="P1539" s="2"/>
      <c r="Q1539" s="2"/>
      <c r="R1539" s="2"/>
      <c r="S1539" s="2"/>
      <c r="T1539" s="2"/>
      <c r="U1539" s="2"/>
      <c r="V1539" s="2"/>
      <c r="W1539" s="2"/>
      <c r="X1539" s="2"/>
      <c r="Y1539" s="2"/>
      <c r="Z1539" s="2"/>
      <c r="AA1539" s="2"/>
    </row>
    <row r="1540">
      <c r="A1540" s="3" t="s">
        <v>3972</v>
      </c>
      <c r="B1540" s="1" t="s">
        <v>4077</v>
      </c>
      <c r="C1540" s="1" t="s">
        <v>4239</v>
      </c>
      <c r="D1540" s="2" t="str">
        <f>IFERROR(__xludf.DUMMYFUNCTION("GOOGLETRANSLATE(B1540, ""en"", ""TL"")"),"Ano ang multa para sa pagpapatakbo ng sasakyan nang walang kinakailangang early warning device?")</f>
        <v>Ano ang multa para sa pagpapatakbo ng sasakyan nang walang kinakailangang early warning device?</v>
      </c>
      <c r="E1540" s="2" t="str">
        <f>IFERROR(__xludf.DUMMYFUNCTION("GOOGLETRANSLATE(C1540, ""en"", ""TL"")"),"Sa Pilipinas, ang pagpapatakbo ng sasakyang de-motor nang walang kinakailangang early warning device (EWD) ay magreresulta sa multang ₱500. Ang impormasyong ito ay batay sa mga sumusunod na regulasyon:
LTO Memorandum Circular No. VPT-2012-1609 (Mga Binag"&amp;"ong Panuntunan sa Pagpapatupad ng Kinakailangan sa Early Warning Device (EWD)):
Nakasaad sa Seksyon 6(a) na ""ang mga nahuling driver na nagpapatakbo ng sasakyang de-motor na walang pares ng EWD ay pagmumultahin ng ₱500.00.""
Mga karagdagang potensyal n"&amp;"a kahihinatnan:
Habang ang pangunahing multa ay ₱500, maaaring may mga karagdagang kahihinatnan para sa hindi pagkakaroon ng EWD:
Pagkumpiska ng lisensya: Maaaring kumpiskahin ang lisensya sa pagmamaneho hanggang sa maipakita nila ang isang pares ng EWD"&amp;" sa panahon ng paghatol ng kaso.
Pag-impound ng sasakyan: Kung ang sasakyan ay na-impound dahil sa walang EWD, ito ay hahawakan ng mga awtoridad hanggang ang driver ay magpakita ng isang pares ng EWD.
Karagdagang legal na epekto: Sa matinding mga kaso, "&amp;"gaya ng pagsanhi ng aksidente dahil sa walang functional na mga EWD, maaaring maharap ang driver ng mga karagdagang legal na singil na lampas sa paglabag sa trapiko.")</f>
        <v>Sa Pilipinas, ang pagpapatakbo ng sasakyang de-motor nang walang kinakailangang early warning device (EWD) ay magreresulta sa multang ₱500. Ang impormasyong ito ay batay sa mga sumusunod na regulasyon:
LTO Memorandum Circular No. VPT-2012-1609 (Mga Binagong Panuntunan sa Pagpapatupad ng Kinakailangan sa Early Warning Device (EWD)):
Nakasaad sa Seksyon 6(a) na "ang mga nahuling driver na nagpapatakbo ng sasakyang de-motor na walang pares ng EWD ay pagmumultahin ng ₱500.00."
Mga karagdagang potensyal na kahihinatnan:
Habang ang pangunahing multa ay ₱500, maaaring may mga karagdagang kahihinatnan para sa hindi pagkakaroon ng EWD:
Pagkumpiska ng lisensya: Maaaring kumpiskahin ang lisensya sa pagmamaneho hanggang sa maipakita nila ang isang pares ng EWD sa panahon ng paghatol ng kaso.
Pag-impound ng sasakyan: Kung ang sasakyan ay na-impound dahil sa walang EWD, ito ay hahawakan ng mga awtoridad hanggang ang driver ay magpakita ng isang pares ng EWD.
Karagdagang legal na epekto: Sa matinding mga kaso, gaya ng pagsanhi ng aksidente dahil sa walang functional na mga EWD, maaaring maharap ang driver ng mga karagdagang legal na singil na lampas sa paglabag sa trapiko.</v>
      </c>
      <c r="F1540" s="2">
        <f t="shared" si="1"/>
        <v>1</v>
      </c>
      <c r="G1540" s="2"/>
      <c r="H1540" s="2"/>
      <c r="I1540" s="2"/>
      <c r="J1540" s="2"/>
      <c r="K1540" s="2"/>
      <c r="L1540" s="2"/>
      <c r="M1540" s="2"/>
      <c r="N1540" s="2"/>
      <c r="O1540" s="2"/>
      <c r="P1540" s="2"/>
      <c r="Q1540" s="2"/>
      <c r="R1540" s="2"/>
      <c r="S1540" s="2"/>
      <c r="T1540" s="2"/>
      <c r="U1540" s="2"/>
      <c r="V1540" s="2"/>
      <c r="W1540" s="2"/>
      <c r="X1540" s="2"/>
      <c r="Y1540" s="2"/>
      <c r="Z1540" s="2"/>
      <c r="AA1540" s="2"/>
    </row>
    <row r="1541">
      <c r="A1541" s="3" t="s">
        <v>3972</v>
      </c>
      <c r="B1541" s="1" t="s">
        <v>4240</v>
      </c>
      <c r="C1541" s="1" t="s">
        <v>4241</v>
      </c>
      <c r="D1541" s="2" t="str">
        <f>IFERROR(__xludf.DUMMYFUNCTION("GOOGLETRANSLATE(B1541, ""en"", ""TL"")"),"Maaari bang pagmultahin ang isang driver para sa paggamit ng sasakyan na may sira o hindi gumagana ang mga ilaw ng preno?")</f>
        <v>Maaari bang pagmultahin ang isang driver para sa paggamit ng sasakyan na may sira o hindi gumagana ang mga ilaw ng preno?</v>
      </c>
      <c r="E1541" s="2" t="str">
        <f>IFERROR(__xludf.DUMMYFUNCTION("GOOGLETRANSLATE(C1541, ""en"", ""TL"")"),"Dahil pagmumultahin ka ng Php 3,000 kung wala ito sa iyo, mag-expire, masuspinde, o ma-revoke. Bilang karagdagan, maaaring hindi ka karapat-dapat para sa lisensya sa pagmamaneho at maaaring hindi ka makapagmaneho sa loob ng isang taon.")</f>
        <v>Dahil pagmumultahin ka ng Php 3,000 kung wala ito sa iyo, mag-expire, masuspinde, o ma-revoke. Bilang karagdagan, maaaring hindi ka karapat-dapat para sa lisensya sa pagmamaneho at maaaring hindi ka makapagmaneho sa loob ng isang taon.</v>
      </c>
      <c r="F1541" s="2">
        <f t="shared" si="1"/>
        <v>0</v>
      </c>
      <c r="G1541" s="2"/>
      <c r="H1541" s="2"/>
      <c r="I1541" s="2"/>
      <c r="J1541" s="2"/>
      <c r="K1541" s="2"/>
      <c r="L1541" s="2"/>
      <c r="M1541" s="2"/>
      <c r="N1541" s="2"/>
      <c r="O1541" s="2"/>
      <c r="P1541" s="2"/>
      <c r="Q1541" s="2"/>
      <c r="R1541" s="2"/>
      <c r="S1541" s="2"/>
      <c r="T1541" s="2"/>
      <c r="U1541" s="2"/>
      <c r="V1541" s="2"/>
      <c r="W1541" s="2"/>
      <c r="X1541" s="2"/>
      <c r="Y1541" s="2"/>
      <c r="Z1541" s="2"/>
      <c r="AA1541" s="2"/>
    </row>
    <row r="1542">
      <c r="A1542" s="3" t="s">
        <v>3972</v>
      </c>
      <c r="B1542" s="1" t="s">
        <v>4037</v>
      </c>
      <c r="C1542" s="1" t="s">
        <v>4242</v>
      </c>
      <c r="D1542" s="2" t="str">
        <f>IFERROR(__xludf.DUMMYFUNCTION("GOOGLETRANSLATE(B1542, ""en"", ""TL"")"),"Ano ang parusa sa pagmamaneho nang walang kinakailangang mga plaka ng sasakyan?")</f>
        <v>Ano ang parusa sa pagmamaneho nang walang kinakailangang mga plaka ng sasakyan?</v>
      </c>
      <c r="E1542" s="2" t="str">
        <f>IFERROR(__xludf.DUMMYFUNCTION("GOOGLETRANSLATE(C1542, ""en"", ""TL"")"),"Ang pagmamaneho sa Pilipinas nang walang kinakailangang mga plaka ng sasakyan ay isang malubhang pagkakasala na maaaring magresulta sa maraming potensyal na kahihinatnan, depende sa mga partikular na pangyayari. Narito ang isang breakdown ng mga nauugnay "&amp;"na regulasyon at potensyal na parusa:
Legal na Batayan:
Republic Act No. 4136 (Land Transportation and Traffic Code):
Seksyon 5(a): Isaad na ang mga driver ay dapat ""ipakita ang wastong mga plaka ng lisensya"" sa kanilang mga sasakyan.
Seksyon 69(a):"&amp;" Naglilista ng pagmamaneho ng sasakyang de-motor ""nang walang plate number"" bilang isang paglabag.
mga multa:
₱5,000 na multa: Ito ang karaniwang multa para sa pagmamaneho nang walang kinakailangang plaka ng sasakyan, ayon sa Land Transportation Offic"&amp;"e (LTO) Memorandum Circular No. 2016-020.")</f>
        <v>Ang pagmamaneho sa Pilipinas nang walang kinakailangang mga plaka ng sasakyan ay isang malubhang pagkakasala na maaaring magresulta sa maraming potensyal na kahihinatnan, depende sa mga partikular na pangyayari. Narito ang isang breakdown ng mga nauugnay na regulasyon at potensyal na parusa:
Legal na Batayan:
Republic Act No. 4136 (Land Transportation and Traffic Code):
Seksyon 5(a): Isaad na ang mga driver ay dapat "ipakita ang wastong mga plaka ng lisensya" sa kanilang mga sasakyan.
Seksyon 69(a): Naglilista ng pagmamaneho ng sasakyang de-motor "nang walang plate number" bilang isang paglabag.
mga multa:
₱5,000 na multa: Ito ang karaniwang multa para sa pagmamaneho nang walang kinakailangang plaka ng sasakyan, ayon sa Land Transportation Office (LTO) Memorandum Circular No. 2016-020.</v>
      </c>
      <c r="F1542" s="2">
        <f t="shared" si="1"/>
        <v>1</v>
      </c>
      <c r="G1542" s="2"/>
      <c r="H1542" s="2"/>
      <c r="I1542" s="2"/>
      <c r="J1542" s="2"/>
      <c r="K1542" s="2"/>
      <c r="L1542" s="2"/>
      <c r="M1542" s="2"/>
      <c r="N1542" s="2"/>
      <c r="O1542" s="2"/>
      <c r="P1542" s="2"/>
      <c r="Q1542" s="2"/>
      <c r="R1542" s="2"/>
      <c r="S1542" s="2"/>
      <c r="T1542" s="2"/>
      <c r="U1542" s="2"/>
      <c r="V1542" s="2"/>
      <c r="W1542" s="2"/>
      <c r="X1542" s="2"/>
      <c r="Y1542" s="2"/>
      <c r="Z1542" s="2"/>
      <c r="AA1542" s="2"/>
    </row>
    <row r="1543">
      <c r="A1543" s="3" t="s">
        <v>3972</v>
      </c>
      <c r="B1543" s="1" t="s">
        <v>4243</v>
      </c>
      <c r="C1543" s="1" t="s">
        <v>4128</v>
      </c>
      <c r="D1543" s="2" t="str">
        <f>IFERROR(__xludf.DUMMYFUNCTION("GOOGLETRANSLATE(B1543, ""en"", ""TL"")"),"Ano ang parusa sa pagmamaneho ng sasakyan nang walang valid na sertipiko ng inspeksyon ng sasakyang de-motor?")</f>
        <v>Ano ang parusa sa pagmamaneho ng sasakyan nang walang valid na sertipiko ng inspeksyon ng sasakyang de-motor?</v>
      </c>
      <c r="E1543" s="2" t="str">
        <f>IFERROR(__xludf.DUMMYFUNCTION("GOOGLETRANSLATE(C1543, ""en"", ""TL"")"),"Unang pagkakasala: hanggang P2,000 multa; ikalawang pagkakasala: hanggang P4,000 multa; ikatlo at kasunod na mga pagkakasala: hanggang P6,000 na multa at isang taon na suspensiyon ng pagpaparehistro ng sasakyang de-motor")</f>
        <v>Unang pagkakasala: hanggang P2,000 multa; ikalawang pagkakasala: hanggang P4,000 multa; ikatlo at kasunod na mga pagkakasala: hanggang P6,000 na multa at isang taon na suspensiyon ng pagpaparehistro ng sasakyang de-motor</v>
      </c>
      <c r="F1543" s="2">
        <f t="shared" si="1"/>
        <v>1</v>
      </c>
      <c r="G1543" s="2"/>
      <c r="H1543" s="2"/>
      <c r="I1543" s="2"/>
      <c r="J1543" s="2"/>
      <c r="K1543" s="2"/>
      <c r="L1543" s="2"/>
      <c r="M1543" s="2"/>
      <c r="N1543" s="2"/>
      <c r="O1543" s="2"/>
      <c r="P1543" s="2"/>
      <c r="Q1543" s="2"/>
      <c r="R1543" s="2"/>
      <c r="S1543" s="2"/>
      <c r="T1543" s="2"/>
      <c r="U1543" s="2"/>
      <c r="V1543" s="2"/>
      <c r="W1543" s="2"/>
      <c r="X1543" s="2"/>
      <c r="Y1543" s="2"/>
      <c r="Z1543" s="2"/>
      <c r="AA1543" s="2"/>
    </row>
    <row r="1544">
      <c r="A1544" s="3" t="s">
        <v>3972</v>
      </c>
      <c r="B1544" s="1" t="s">
        <v>4244</v>
      </c>
      <c r="C1544" s="1" t="s">
        <v>4245</v>
      </c>
      <c r="D1544" s="2" t="str">
        <f>IFERROR(__xludf.DUMMYFUNCTION("GOOGLETRANSLATE(B1544, ""en"", ""TL"")"),"Ano ang parusa sa pagmamaneho ng motorsiklo na walang helmet na naka-secure ng chin strap?")</f>
        <v>Ano ang parusa sa pagmamaneho ng motorsiklo na walang helmet na naka-secure ng chin strap?</v>
      </c>
      <c r="E1544" s="2" t="str">
        <f>IFERROR(__xludf.DUMMYFUNCTION("GOOGLETRANSLATE(C1544, ""en"", ""TL"")"),"Unang pagkakasala: P1,500.00; ikalawang pagkakasala: P3,000.00; ikatlong paglabag: P5,000.00; pang-apat at kasunod na pagkakasala: P10,000. Bilang karagdagan sa multa, ang pang-apat at kasunod na pagkakasala ay magreresulta sa pagkawala ng lisensya sa pag"&amp;"mamaneho ng nagkasala.")</f>
        <v>Unang pagkakasala: P1,500.00; ikalawang pagkakasala: P3,000.00; ikatlong paglabag: P5,000.00; pang-apat at kasunod na pagkakasala: P10,000. Bilang karagdagan sa multa, ang pang-apat at kasunod na pagkakasala ay magreresulta sa pagkawala ng lisensya sa pagmamaneho ng nagkasala.</v>
      </c>
      <c r="F1544" s="2">
        <f t="shared" si="1"/>
        <v>0</v>
      </c>
      <c r="G1544" s="2"/>
      <c r="H1544" s="2"/>
      <c r="I1544" s="2"/>
      <c r="J1544" s="2"/>
      <c r="K1544" s="2"/>
      <c r="L1544" s="2"/>
      <c r="M1544" s="2"/>
      <c r="N1544" s="2"/>
      <c r="O1544" s="2"/>
      <c r="P1544" s="2"/>
      <c r="Q1544" s="2"/>
      <c r="R1544" s="2"/>
      <c r="S1544" s="2"/>
      <c r="T1544" s="2"/>
      <c r="U1544" s="2"/>
      <c r="V1544" s="2"/>
      <c r="W1544" s="2"/>
      <c r="X1544" s="2"/>
      <c r="Y1544" s="2"/>
      <c r="Z1544" s="2"/>
      <c r="AA1544" s="2"/>
    </row>
    <row r="1545">
      <c r="A1545" s="3" t="s">
        <v>3972</v>
      </c>
      <c r="B1545" s="1" t="s">
        <v>4246</v>
      </c>
      <c r="C1545" s="1" t="s">
        <v>4247</v>
      </c>
      <c r="D1545" s="2" t="str">
        <f>IFERROR(__xludf.DUMMYFUNCTION("GOOGLETRANSLATE(B1545, ""en"", ""TL"")"),"Ano ang multa sa paggamit ng peke o hindi awtorisadong plaka ng lisensya?")</f>
        <v>Ano ang multa sa paggamit ng peke o hindi awtorisadong plaka ng lisensya?</v>
      </c>
      <c r="E1545" s="2" t="str">
        <f>IFERROR(__xludf.DUMMYFUNCTION("GOOGLETRANSLATE(C1545, ""en"", ""TL"")"),"Sa Pilipinas, ang paggamit ng peke o hindi awtorisadong plaka sa isang sasakyang de-motor ay isang malubhang pagkakasala na may iba't ibang potensyal na kahihinatnan, kabilang ang mga multa, pagkakulong, at pagkakakulong sa sasakyan. Narito ang isang brea"&amp;"kdown ng mga nauugnay na regulasyon at potensyal na parusa:
Legal na Batayan:
Republic Act No. 4136 (Land Transportation and Traffic Code):
Seksyon 5(a): Nag-uutos sa mga driver na ipakita ang ""mga tamang plaka ng lisensya"" sa kanilang mga sasakyan.
"&amp;"
Seksyon 69(a): Naglilista ng pagmamaneho ng sasakyang de-motor ""na may peke o hindi awtorisadong plate number"" bilang isang paglabag.
Artikulo 188 ng Binagong Kodigo Penal: Ang seksyong ito ay nagpaparusa sa ""palsipikasyon ng mga pampublikong dokumen"&amp;"to"", na maaaring ilapat sa ""falsified, peke, o binagong mga plaka ng lisensya.""
Mga parusa:
₱5,000 na multa: Ito ang karaniwang multa para sa paggamit ng peke o hindi awtorisadong plaka ayon sa Land Transportation Office (LTO) Memorandum Circular No."&amp;" 2016-020.
Pagkakulong: Depende sa partikular na mga pangyayari at ang layunin sa likod ng paggamit ng pekeng plato, ang driver ay maaaring mabilanggo ng hanggang anim na buwan. Ito ay batay sa Article 188 ng Revised Penal Code.
Pag-impound ng sasakyan:"&amp;" Ang sasakyan ay malamang na ma-impound ng mga awtoridad hanggang sa malutas ang isyu at maipakita ang wastong mga plaka.
Mga karagdagang legal na epekto: Kung ang paggamit ng pekeng plaka ay nauugnay sa kriminal na aktibidad, ang driver ay maaaring maha"&amp;"rap sa mas matinding legal na mga kaso na lampas sa paglabag sa trapiko at mga potensyal na parusa para sa pinagbabatayan na krimen.")</f>
        <v>Sa Pilipinas, ang paggamit ng peke o hindi awtorisadong plaka sa isang sasakyang de-motor ay isang malubhang pagkakasala na may iba't ibang potensyal na kahihinatnan, kabilang ang mga multa, pagkakulong, at pagkakakulong sa sasakyan. Narito ang isang breakdown ng mga nauugnay na regulasyon at potensyal na parusa:
Legal na Batayan:
Republic Act No. 4136 (Land Transportation and Traffic Code):
Seksyon 5(a): Nag-uutos sa mga driver na ipakita ang "mga tamang plaka ng lisensya" sa kanilang mga sasakyan.
Seksyon 69(a): Naglilista ng pagmamaneho ng sasakyang de-motor "na may peke o hindi awtorisadong plate number" bilang isang paglabag.
Artikulo 188 ng Binagong Kodigo Penal: Ang seksyong ito ay nagpaparusa sa "palsipikasyon ng mga pampublikong dokumento", na maaaring ilapat sa "falsified, peke, o binagong mga plaka ng lisensya."
Mga parusa:
₱5,000 na multa: Ito ang karaniwang multa para sa paggamit ng peke o hindi awtorisadong plaka ayon sa Land Transportation Office (LTO) Memorandum Circular No. 2016-020.
Pagkakulong: Depende sa partikular na mga pangyayari at ang layunin sa likod ng paggamit ng pekeng plato, ang driver ay maaaring mabilanggo ng hanggang anim na buwan. Ito ay batay sa Article 188 ng Revised Penal Code.
Pag-impound ng sasakyan: Ang sasakyan ay malamang na ma-impound ng mga awtoridad hanggang sa malutas ang isyu at maipakita ang wastong mga plaka.
Mga karagdagang legal na epekto: Kung ang paggamit ng pekeng plaka ay nauugnay sa kriminal na aktibidad, ang driver ay maaaring maharap sa mas matinding legal na mga kaso na lampas sa paglabag sa trapiko at mga potensyal na parusa para sa pinagbabatayan na krimen.</v>
      </c>
      <c r="F1545" s="2">
        <f t="shared" si="1"/>
        <v>0</v>
      </c>
      <c r="G1545" s="2"/>
      <c r="H1545" s="2"/>
      <c r="I1545" s="2"/>
      <c r="J1545" s="2"/>
      <c r="K1545" s="2"/>
      <c r="L1545" s="2"/>
      <c r="M1545" s="2"/>
      <c r="N1545" s="2"/>
      <c r="O1545" s="2"/>
      <c r="P1545" s="2"/>
      <c r="Q1545" s="2"/>
      <c r="R1545" s="2"/>
      <c r="S1545" s="2"/>
      <c r="T1545" s="2"/>
      <c r="U1545" s="2"/>
      <c r="V1545" s="2"/>
      <c r="W1545" s="2"/>
      <c r="X1545" s="2"/>
      <c r="Y1545" s="2"/>
      <c r="Z1545" s="2"/>
      <c r="AA1545" s="2"/>
    </row>
    <row r="1546">
      <c r="A1546" s="3" t="s">
        <v>3972</v>
      </c>
      <c r="B1546" s="1" t="s">
        <v>4248</v>
      </c>
      <c r="C1546" s="1" t="s">
        <v>4249</v>
      </c>
      <c r="D1546" s="2" t="str">
        <f>IFERROR(__xludf.DUMMYFUNCTION("GOOGLETRANSLATE(B1546, ""en"", ""TL"")"),"Maaari bang pagmultahin ang isang tsuper sa paggamit ng mobile phone habang nagpapatakbo ng sasakyan?")</f>
        <v>Maaari bang pagmultahin ang isang tsuper sa paggamit ng mobile phone habang nagpapatakbo ng sasakyan?</v>
      </c>
      <c r="E1546" s="2" t="str">
        <f>IFERROR(__xludf.DUMMYFUNCTION("GOOGLETRANSLATE(C1546, ""en"", ""TL"")"),"Ipinagbabawal ng Anti-Distracted Driving Act ang paggamit ng mga mobile phone habang nagpapatakbo ng sasakyan sa Pilipinas. Bilang karagdagan sa mga likas na panganib, ang paglabag sa batas na ito ay maaaring magresulta sa mga multa, parusa, at maging ang"&amp;" pagsususpinde ng kakayahang magmaneho ng isang tao.")</f>
        <v>Ipinagbabawal ng Anti-Distracted Driving Act ang paggamit ng mga mobile phone habang nagpapatakbo ng sasakyan sa Pilipinas. Bilang karagdagan sa mga likas na panganib, ang paglabag sa batas na ito ay maaaring magresulta sa mga multa, parusa, at maging ang pagsususpinde ng kakayahang magmaneho ng isang tao.</v>
      </c>
      <c r="F1546" s="2">
        <f t="shared" si="1"/>
        <v>1</v>
      </c>
      <c r="G1546" s="2"/>
      <c r="H1546" s="2"/>
      <c r="I1546" s="2"/>
      <c r="J1546" s="2"/>
      <c r="K1546" s="2"/>
      <c r="L1546" s="2"/>
      <c r="M1546" s="2"/>
      <c r="N1546" s="2"/>
      <c r="O1546" s="2"/>
      <c r="P1546" s="2"/>
      <c r="Q1546" s="2"/>
      <c r="R1546" s="2"/>
      <c r="S1546" s="2"/>
      <c r="T1546" s="2"/>
      <c r="U1546" s="2"/>
      <c r="V1546" s="2"/>
      <c r="W1546" s="2"/>
      <c r="X1546" s="2"/>
      <c r="Y1546" s="2"/>
      <c r="Z1546" s="2"/>
      <c r="AA1546" s="2"/>
    </row>
    <row r="1547">
      <c r="A1547" s="3" t="s">
        <v>3972</v>
      </c>
      <c r="B1547" s="1" t="s">
        <v>4111</v>
      </c>
      <c r="C1547" s="1" t="s">
        <v>4250</v>
      </c>
      <c r="D1547" s="2" t="str">
        <f>IFERROR(__xludf.DUMMYFUNCTION("GOOGLETRANSLATE(B1547, ""en"", ""TL"")"),"Ano ang parusa para sa pagpapatakbo ng sasakyan na may hindi awtorisado o hindi karaniwang mga accessory?")</f>
        <v>Ano ang parusa para sa pagpapatakbo ng sasakyan na may hindi awtorisado o hindi karaniwang mga accessory?</v>
      </c>
      <c r="E1547" s="2" t="str">
        <f>IFERROR(__xludf.DUMMYFUNCTION("GOOGLETRANSLATE(C1547, ""en"", ""TL"")"),"Gaya ng naunang nabanggit sa mga tugon noong Marso 3 at Marso 6, 2024, ang pagpapatakbo ng sasakyan na may hindi awtorisado o hindi karaniwang mga accessory sa Pilipinas ay isang paglabag sa trapiko at maaaring magresulta sa multa. Narito ang isang buod n"&amp;"g mga nauugnay na regulasyon at kahihinatnan:
Legal na Batayan:
Republic Act No. 4136 (Land Transportation and Traffic Code):
Seksyon 5(g): Ipinagbabawal ang paggamit ng ""mga kampana, sirena, sipol, o mga busina maliban sa mga kinakailangan o pinapaya"&amp;"gan ng batas.""
Seksyon 20(k): Ipinagbabawal ang pagpapatakbo ng mga sasakyang de-motor na may ""depekto o hindi awtorisadong mga aksesorya, kagamitan, kagamitan, at piyesa.""
Mga Hindi awtorisadong Device:
Pangunahing pinupuntirya ng mga regulasyon an"&amp;"g paggamit ng mga accessory na:
Hindi pamantayan o inaprubahan ng Land Transportation Office (LTO).
Maglabas ng malakas o nakakagulat na mga tunog na maaaring magdulot ng kaguluhan o pagkalito para sa ibang mga driver at pedestrian.
Palabuin ang paning"&amp;"in ng nagmamaneho o hadlangan ang pagpapatakbo ng sasakyan.
Maglagay ng panganib sa kaligtasan sa kanilang sarili o sa iba sa kalsada.
Mga Halimbawa ng Hindi Awtorisadong Accessory:
Mga hindi karaniwang headlight o taillight: Maaaring makaapekto ang mg"&amp;"a ito sa visibility at lumikha ng kalituhan para sa ibang mga driver.
Labis na malakas na busina o sirena: Maaari itong magdulot ng polusyon sa ingay at posibleng magulat ang ibang mga driver, na humahantong sa mga aksidente.
Window tinting na lumalampa"&amp;"s sa mga legal na limitasyon: Maaari itong makabuluhang bawasan ang visibility para sa driver, lalo na sa gabi.
Mga hindi awtorisadong pagbabago sa suspensyon o makina ng sasakyan: Maaaring makaapekto ang mga ito sa paghawak at katatagan ng sasakyan, na "&amp;"nagpapataas ng panganib ng mga aksidente.
Mga parusa:
₱5,000 na multa: Ito ang karaniwang multa para sa paggamit ng hindi awtorisado o hindi karaniwang mga accessory, kagamitan, kagamitan, at piyesa ayon sa LTO Memorandum Circular No. 2016-02")</f>
        <v>Gaya ng naunang nabanggit sa mga tugon noong Marso 3 at Marso 6, 2024, ang pagpapatakbo ng sasakyan na may hindi awtorisado o hindi karaniwang mga accessory sa Pilipinas ay isang paglabag sa trapiko at maaaring magresulta sa multa. Narito ang isang buod ng mga nauugnay na regulasyon at kahihinatnan:
Legal na Batayan:
Republic Act No. 4136 (Land Transportation and Traffic Code):
Seksyon 5(g): Ipinagbabawal ang paggamit ng "mga kampana, sirena, sipol, o mga busina maliban sa mga kinakailangan o pinapayagan ng batas."
Seksyon 20(k): Ipinagbabawal ang pagpapatakbo ng mga sasakyang de-motor na may "depekto o hindi awtorisadong mga aksesorya, kagamitan, kagamitan, at piyesa."
Mga Hindi awtorisadong Device:
Pangunahing pinupuntirya ng mga regulasyon ang paggamit ng mga accessory na:
Hindi pamantayan o inaprubahan ng Land Transportation Office (LTO).
Maglabas ng malakas o nakakagulat na mga tunog na maaaring magdulot ng kaguluhan o pagkalito para sa ibang mga driver at pedestrian.
Palabuin ang paningin ng nagmamaneho o hadlangan ang pagpapatakbo ng sasakyan.
Maglagay ng panganib sa kaligtasan sa kanilang sarili o sa iba sa kalsada.
Mga Halimbawa ng Hindi Awtorisadong Accessory:
Mga hindi karaniwang headlight o taillight: Maaaring makaapekto ang mga ito sa visibility at lumikha ng kalituhan para sa ibang mga driver.
Labis na malakas na busina o sirena: Maaari itong magdulot ng polusyon sa ingay at posibleng magulat ang ibang mga driver, na humahantong sa mga aksidente.
Window tinting na lumalampas sa mga legal na limitasyon: Maaari itong makabuluhang bawasan ang visibility para sa driver, lalo na sa gabi.
Mga hindi awtorisadong pagbabago sa suspensyon o makina ng sasakyan: Maaaring makaapekto ang mga ito sa paghawak at katatagan ng sasakyan, na nagpapataas ng panganib ng mga aksidente.
Mga parusa:
₱5,000 na multa: Ito ang karaniwang multa para sa paggamit ng hindi awtorisado o hindi karaniwang mga accessory, kagamitan, kagamitan, at piyesa ayon sa LTO Memorandum Circular No. 2016-02</v>
      </c>
      <c r="F1547" s="2">
        <f t="shared" si="1"/>
        <v>0</v>
      </c>
      <c r="G1547" s="2"/>
      <c r="H1547" s="2"/>
      <c r="I1547" s="2"/>
      <c r="J1547" s="2"/>
      <c r="K1547" s="2"/>
      <c r="L1547" s="2"/>
      <c r="M1547" s="2"/>
      <c r="N1547" s="2"/>
      <c r="O1547" s="2"/>
      <c r="P1547" s="2"/>
      <c r="Q1547" s="2"/>
      <c r="R1547" s="2"/>
      <c r="S1547" s="2"/>
      <c r="T1547" s="2"/>
      <c r="U1547" s="2"/>
      <c r="V1547" s="2"/>
      <c r="W1547" s="2"/>
      <c r="X1547" s="2"/>
      <c r="Y1547" s="2"/>
      <c r="Z1547" s="2"/>
      <c r="AA1547" s="2"/>
    </row>
    <row r="1548">
      <c r="A1548" s="3" t="s">
        <v>3972</v>
      </c>
      <c r="B1548" s="1" t="s">
        <v>4251</v>
      </c>
      <c r="C1548" s="1" t="s">
        <v>4252</v>
      </c>
      <c r="D1548" s="2" t="str">
        <f>IFERROR(__xludf.DUMMYFUNCTION("GOOGLETRANSLATE(B1548, ""en"", ""TL"")"),"Kailan pinahihintulutang gumamit ng motorsiklo upang magdala ng malalaki o mapanganib na mga materyales?")</f>
        <v>Kailan pinahihintulutang gumamit ng motorsiklo upang magdala ng malalaki o mapanganib na mga materyales?</v>
      </c>
      <c r="E1548" s="2" t="str">
        <f>IFERROR(__xludf.DUMMYFUNCTION("GOOGLETRANSLATE(C1548, ""en"", ""TL"")"),"Mayroong mga patakaran sa Pilipinas tungkol sa paggamit ng mga motorsiklo sa transportasyon ng mga mapanganib o malalaking bagay. Hatiin natin ito:
Mga Manlalakbay at Kalakal:
Mga Rider: Ang isang motorsiklo ay karaniwang pinahihintulutan lamang na ma"&amp;"gkaroon ng isang sakay, na kilala bilang isang back-rider.
Cargo: Ang mga motorsiklo ay maaari lamang maghatid ng mga kalakal gamit ang mga saddlebag o luggage carrier na nakatanggap ng pag-apruba ng Department of Trade and Industry (DTI).
Mga Mapanga"&amp;"nib na Sangkap:
Ang pangunahing layunin ng mga ilaw sa peligro ng motorsiklo ay upang alertuhan ang ibang mga driver ng isang partikular na panganib.
Sa partikular, posibleng i-on ang mga ilaw sa pag-iingat:
kapag ang isang sasakyan na naaksidente o na"&amp;"sira at hindi agad maigalaw, na nagdudulot ng panganib sa ibang mga driver.
Sa mga pagkakataon kung saan ang isang motorbike malfunction o aksidente ay ginagawang mapanganib
Batas sa Kaligtasan ng mga Motorsiklo:
Sa pamamagitan ng paglilimita sa pagpap"&amp;"arehistro at pagpapatakbo ng motorsiklo, ang Motorcycle Safety Riding Act ay naglalayong bawasan ang mga panganib at panganib.
Ang mahahalagang detalye ay binubuo ng:
Club Membership: Ang mga nagmomotorsiklo ay dapat kabilang sa isang club na opisyal na"&amp;" naaprubahan at kinikilala ng Land Transportation Office (LTO) upang magkaroon o magpatakbo ng motorsiklo.
Pagtuturo sa kaligtasan: Obligado para sa mga grupo ng rider ng motorsiklo na magbigay sa kanilang mga miyembro ng pagtuturo sa kaligtasan at etike"&amp;"ta sa kalsada.
Privacy ng Data: Ang mga club na nagtatago ng listahan ng mga lehitimong miyembro ay kinakailangang sumunod sa Data Privacy Act of 2012.")</f>
        <v>Mayroong mga patakaran sa Pilipinas tungkol sa paggamit ng mga motorsiklo sa transportasyon ng mga mapanganib o malalaking bagay. Hatiin natin ito:
Mga Manlalakbay at Kalakal:
Mga Rider: Ang isang motorsiklo ay karaniwang pinahihintulutan lamang na magkaroon ng isang sakay, na kilala bilang isang back-rider.
Cargo: Ang mga motorsiklo ay maaari lamang maghatid ng mga kalakal gamit ang mga saddlebag o luggage carrier na nakatanggap ng pag-apruba ng Department of Trade and Industry (DTI).
Mga Mapanganib na Sangkap:
Ang pangunahing layunin ng mga ilaw sa peligro ng motorsiklo ay upang alertuhan ang ibang mga driver ng isang partikular na panganib.
Sa partikular, posibleng i-on ang mga ilaw sa pag-iingat:
kapag ang isang sasakyan na naaksidente o nasira at hindi agad maigalaw, na nagdudulot ng panganib sa ibang mga driver.
Sa mga pagkakataon kung saan ang isang motorbike malfunction o aksidente ay ginagawang mapanganib
Batas sa Kaligtasan ng mga Motorsiklo:
Sa pamamagitan ng paglilimita sa pagpaparehistro at pagpapatakbo ng motorsiklo, ang Motorcycle Safety Riding Act ay naglalayong bawasan ang mga panganib at panganib.
Ang mahahalagang detalye ay binubuo ng:
Club Membership: Ang mga nagmomotorsiklo ay dapat kabilang sa isang club na opisyal na naaprubahan at kinikilala ng Land Transportation Office (LTO) upang magkaroon o magpatakbo ng motorsiklo.
Pagtuturo sa kaligtasan: Obligado para sa mga grupo ng rider ng motorsiklo na magbigay sa kanilang mga miyembro ng pagtuturo sa kaligtasan at etiketa sa kalsada.
Privacy ng Data: Ang mga club na nagtatago ng listahan ng mga lehitimong miyembro ay kinakailangang sumunod sa Data Privacy Act of 2012.</v>
      </c>
      <c r="F1548" s="2">
        <f t="shared" si="1"/>
        <v>1</v>
      </c>
      <c r="G1548" s="2"/>
      <c r="H1548" s="2"/>
      <c r="I1548" s="2"/>
      <c r="J1548" s="2"/>
      <c r="K1548" s="2"/>
      <c r="L1548" s="2"/>
      <c r="M1548" s="2"/>
      <c r="N1548" s="2"/>
      <c r="O1548" s="2"/>
      <c r="P1548" s="2"/>
      <c r="Q1548" s="2"/>
      <c r="R1548" s="2"/>
      <c r="S1548" s="2"/>
      <c r="T1548" s="2"/>
      <c r="U1548" s="2"/>
      <c r="V1548" s="2"/>
      <c r="W1548" s="2"/>
      <c r="X1548" s="2"/>
      <c r="Y1548" s="2"/>
      <c r="Z1548" s="2"/>
      <c r="AA1548" s="2"/>
    </row>
    <row r="1549">
      <c r="A1549" s="3" t="s">
        <v>3972</v>
      </c>
      <c r="B1549" s="1" t="s">
        <v>4253</v>
      </c>
      <c r="C1549" s="1" t="s">
        <v>4124</v>
      </c>
      <c r="D1549" s="2" t="str">
        <f>IFERROR(__xludf.DUMMYFUNCTION("GOOGLETRANSLATE(B1549, ""en"", ""TL"")"),"Ano ang multa para sa paradahan sa mga lugar na itinalaga para sa mga taong may kapansanan?")</f>
        <v>Ano ang multa para sa paradahan sa mga lugar na itinalaga para sa mga taong may kapansanan?</v>
      </c>
      <c r="E1549" s="2" t="str">
        <f>IFERROR(__xludf.DUMMYFUNCTION("GOOGLETRANSLATE(C1549, ""en"", ""TL"")"),"Ang pinakamababang multa na P10,000 hanggang sa maximum na P40,000 ay ipapataw sa sinumang makikitang paradahan sa isang puwang na nakalaan para sa mga taong may kapansanan nang hindi nagpapakita ng handicapped parking placard, sa isang taong may kapansan"&amp;"an na nagpapahintulot sa isang taong hindi may kapansanan na gumamit. kanilang parking placard, at sa sinumang humaharang sa mga access point ng isang taong may kapansanan sa mga itinalagang parking space na may kapansanan.")</f>
        <v>Ang pinakamababang multa na P10,000 hanggang sa maximum na P40,000 ay ipapataw sa sinumang makikitang paradahan sa isang puwang na nakalaan para sa mga taong may kapansanan nang hindi nagpapakita ng handicapped parking placard, sa isang taong may kapansanan na nagpapahintulot sa isang taong hindi may kapansanan na gumamit. kanilang parking placard, at sa sinumang humaharang sa mga access point ng isang taong may kapansanan sa mga itinalagang parking space na may kapansanan.</v>
      </c>
      <c r="F1549" s="2">
        <f t="shared" si="1"/>
        <v>1</v>
      </c>
      <c r="G1549" s="2"/>
      <c r="H1549" s="2"/>
      <c r="I1549" s="2"/>
      <c r="J1549" s="2"/>
      <c r="K1549" s="2"/>
      <c r="L1549" s="2"/>
      <c r="M1549" s="2"/>
      <c r="N1549" s="2"/>
      <c r="O1549" s="2"/>
      <c r="P1549" s="2"/>
      <c r="Q1549" s="2"/>
      <c r="R1549" s="2"/>
      <c r="S1549" s="2"/>
      <c r="T1549" s="2"/>
      <c r="U1549" s="2"/>
      <c r="V1549" s="2"/>
      <c r="W1549" s="2"/>
      <c r="X1549" s="2"/>
      <c r="Y1549" s="2"/>
      <c r="Z1549" s="2"/>
      <c r="AA1549" s="2"/>
    </row>
    <row r="1550">
      <c r="A1550" s="3" t="s">
        <v>3972</v>
      </c>
      <c r="B1550" s="1" t="s">
        <v>4254</v>
      </c>
      <c r="C1550" s="1" t="s">
        <v>4255</v>
      </c>
      <c r="D1550" s="2" t="str">
        <f>IFERROR(__xludf.DUMMYFUNCTION("GOOGLETRANSLATE(B1550, ""en"", ""TL"")"),"Ano ang parusa para sa pakikialam o pagpapalit ng engine o chassis number ng sasakyan?")</f>
        <v>Ano ang parusa para sa pakikialam o pagpapalit ng engine o chassis number ng sasakyan?</v>
      </c>
      <c r="E1550" s="2" t="str">
        <f>IFERROR(__xludf.DUMMYFUNCTION("GOOGLETRANSLATE(C1550, ""en"", ""TL"")"),"Ang pakikialam o pagpapalit ng numero ng makina o chassis ng isang sasakyan sa Pilipinas ay isang malubhang pagkakasala na may malalaking legal na kahihinatnan. Narito ang isang breakdown ng mga nauugnay na regulasyon at potensyal na parusa:
Legal na Bat"&amp;"ayan:
Batas Republika Blg. 6539 (Isang Batas na Pumipigil at Nagpaparusa sa Carnapping):
Seksyon 12: Ang seksyong ito ay tahasang nagbabawal sa sinumang tao sa ""defacing o kung hindi man ay pakikialaman ang orihinal o nakarehistrong serial number ng mg"&amp;"a makina ng sasakyang de-motor, bloke ng makina at tsasis.""
Seksyon 13: Binabalangkas ng seksyong ito ang mga parusa para sa paglabag sa anumang probisyon ng Batas, kabilang ang:
Pagkakulong: Hindi bababa sa dalawang taon o higit sa anim na taon.
Mult"&amp;"a: Isang halagang katumbas ng halaga ng pagkuha ng sasakyang de-motor, makina ng sasakyang de-motor, o anumang iba pang bahaging sangkot sa paglabag.")</f>
        <v>Ang pakikialam o pagpapalit ng numero ng makina o chassis ng isang sasakyan sa Pilipinas ay isang malubhang pagkakasala na may malalaking legal na kahihinatnan. Narito ang isang breakdown ng mga nauugnay na regulasyon at potensyal na parusa:
Legal na Batayan:
Batas Republika Blg. 6539 (Isang Batas na Pumipigil at Nagpaparusa sa Carnapping):
Seksyon 12: Ang seksyong ito ay tahasang nagbabawal sa sinumang tao sa "defacing o kung hindi man ay pakikialaman ang orihinal o nakarehistrong serial number ng mga makina ng sasakyang de-motor, bloke ng makina at tsasis."
Seksyon 13: Binabalangkas ng seksyong ito ang mga parusa para sa paglabag sa anumang probisyon ng Batas, kabilang ang:
Pagkakulong: Hindi bababa sa dalawang taon o higit sa anim na taon.
Multa: Isang halagang katumbas ng halaga ng pagkuha ng sasakyang de-motor, makina ng sasakyang de-motor, o anumang iba pang bahaging sangkot sa paglabag.</v>
      </c>
      <c r="F1550" s="2">
        <f t="shared" si="1"/>
        <v>1</v>
      </c>
      <c r="G1550" s="2"/>
      <c r="H1550" s="2"/>
      <c r="I1550" s="2"/>
      <c r="J1550" s="2"/>
      <c r="K1550" s="2"/>
      <c r="L1550" s="2"/>
      <c r="M1550" s="2"/>
      <c r="N1550" s="2"/>
      <c r="O1550" s="2"/>
      <c r="P1550" s="2"/>
      <c r="Q1550" s="2"/>
      <c r="R1550" s="2"/>
      <c r="S1550" s="2"/>
      <c r="T1550" s="2"/>
      <c r="U1550" s="2"/>
      <c r="V1550" s="2"/>
      <c r="W1550" s="2"/>
      <c r="X1550" s="2"/>
      <c r="Y1550" s="2"/>
      <c r="Z1550" s="2"/>
      <c r="AA1550" s="2"/>
    </row>
    <row r="1551">
      <c r="A1551" s="3" t="s">
        <v>3972</v>
      </c>
      <c r="B1551" s="1" t="s">
        <v>4256</v>
      </c>
      <c r="C1551" s="1" t="s">
        <v>4257</v>
      </c>
      <c r="D1551" s="2" t="str">
        <f>IFERROR(__xludf.DUMMYFUNCTION("GOOGLETRANSLATE(B1551, ""en"", ""TL"")"),"Maaari bang pagmultahin ang isang tsuper kapag hindi gumamit ng seat belt habang nagpapatakbo ng pampublikong sasakyan?")</f>
        <v>Maaari bang pagmultahin ang isang tsuper kapag hindi gumamit ng seat belt habang nagpapatakbo ng pampublikong sasakyan?</v>
      </c>
      <c r="E1551" s="2" t="str">
        <f>IFERROR(__xludf.DUMMYFUNCTION("GOOGLETRANSLATE(C1551, ""en"", ""TL"")"),"Ang mga parusa ay mas mahigpit para sa mga driver ng pampublikong utility vehicle na nagpapabaya sa pag-uutos na gamitin ng mga pasahero ang inirerekomendang seat belt. Para sa bawat paglabag, mayroong ₱3,000 na parusa na dapat bayaran ng tsuper at ng ope"&amp;"rator.")</f>
        <v>Ang mga parusa ay mas mahigpit para sa mga driver ng pampublikong utility vehicle na nagpapabaya sa pag-uutos na gamitin ng mga pasahero ang inirerekomendang seat belt. Para sa bawat paglabag, mayroong ₱3,000 na parusa na dapat bayaran ng tsuper at ng operator.</v>
      </c>
      <c r="F1551" s="2">
        <f t="shared" si="1"/>
        <v>1</v>
      </c>
      <c r="G1551" s="2"/>
      <c r="H1551" s="2"/>
      <c r="I1551" s="2"/>
      <c r="J1551" s="2"/>
      <c r="K1551" s="2"/>
      <c r="L1551" s="2"/>
      <c r="M1551" s="2"/>
      <c r="N1551" s="2"/>
      <c r="O1551" s="2"/>
      <c r="P1551" s="2"/>
      <c r="Q1551" s="2"/>
      <c r="R1551" s="2"/>
      <c r="S1551" s="2"/>
      <c r="T1551" s="2"/>
      <c r="U1551" s="2"/>
      <c r="V1551" s="2"/>
      <c r="W1551" s="2"/>
      <c r="X1551" s="2"/>
      <c r="Y1551" s="2"/>
      <c r="Z1551" s="2"/>
      <c r="AA1551" s="2"/>
    </row>
    <row r="1552">
      <c r="A1552" s="3" t="s">
        <v>3972</v>
      </c>
      <c r="B1552" s="1" t="s">
        <v>4258</v>
      </c>
      <c r="C1552" s="1" t="s">
        <v>4259</v>
      </c>
      <c r="D1552" s="2" t="str">
        <f>IFERROR(__xludf.DUMMYFUNCTION("GOOGLETRANSLATE(B1552, ""en"", ""TL"")"),"Ano ang multa para sa paggamit ng pribadong sasakyan para sa pag-upa nang walang kinakailangang mga permit?")</f>
        <v>Ano ang multa para sa paggamit ng pribadong sasakyan para sa pag-upa nang walang kinakailangang mga permit?</v>
      </c>
      <c r="E1552" s="2" t="str">
        <f>IFERROR(__xludf.DUMMYFUNCTION("GOOGLETRANSLATE(C1552, ""en"", ""TL"")"),"Ang paggamit ng pribadong sasakyan para umupa nang walang kinakailangang mga permit sa Pilipinas ay itinuturing na isang paglabag sa Land Transportation and Traffic Code (Republic Act No. 4136) at maaaring magresulta sa maraming potensyal na kahihinatnan,"&amp;" kabilang ang mga multa at pagsususpinde ng mga lisensya. Narito ang isang breakdown ng mga nauugnay na regulasyon at potensyal na parusa:
Legal na Batayan:
Republic Act No. 4136 (Land Transportation and Traffic Code):
Seksyon 7(a): Nagsasaad na ""ang "&amp;"mga pribadong sasakyang de-motor ay hindi dapat gamitin para sa pag-upa."" Direktang ipinagbabawal ng seksyong ito ang paggamit ng hindi rehistradong pribadong sasakyan para sa komersyal na layunin.
Seksyon 7(c): Nangangailangan ng ""mga sasakyang de-mot"&amp;"or na ginagamit para sa pag-upa upang makuha mula sa Komisyon sa Transportasyong Lupa o iba pang mga katawan na maaaring pahintulutan ng batas ang kinakailangang sertipiko ng pampublikong kaginhawahan o isang espesyal na permit."" Binibigyang-diin ng seks"&amp;"yong ito ang pangangailangan para sa wastong mga permit para sa pagpapatakbo ng mga sasakyang inuupahan.
Seksyon 54(k): Nagbibigay ng kapangyarihan sa Land Transportation Office (LTO) na ""magpataw ng mga multa at parusa para sa mga paglabag..."" ng Land"&amp;" Transportation and Traffic Code.
Mga parusa:
₱500 na multa: Ito ang karaniwang multa para sa paggamit ng pribadong sasakyan for hire nang walang kinakailangang permit ayon sa LTO Memorandum Circular No. 2016-020. Gayunpaman, ang aktwal na multa ay maaa"&amp;"ring mag-iba depende sa partikular na mga pangyayari at sa pagpapasya ng opisyal ng paghuli.
Pagsuspinde ng Lisensya sa Pagmamaneho: Bilang karagdagan sa multa, ang lisensya sa pagmamaneho ay maaaring masuspinde sa loob ng tatlong buwan para sa unang pag"&amp;"kakasala at posibleng mas matagal para sa mga kasunod na pagkakasala.
Pag-impound ng Sasakyan: Sa ilang mga kaso, ang sasakyan ay maaaring ma-impound ng mga awtoridad hanggang sa malutas ang sitwasyon at makuha ang naaangkop na mga permit.")</f>
        <v>Ang paggamit ng pribadong sasakyan para umupa nang walang kinakailangang mga permit sa Pilipinas ay itinuturing na isang paglabag sa Land Transportation and Traffic Code (Republic Act No. 4136) at maaaring magresulta sa maraming potensyal na kahihinatnan, kabilang ang mga multa at pagsususpinde ng mga lisensya. Narito ang isang breakdown ng mga nauugnay na regulasyon at potensyal na parusa:
Legal na Batayan:
Republic Act No. 4136 (Land Transportation and Traffic Code):
Seksyon 7(a): Nagsasaad na "ang mga pribadong sasakyang de-motor ay hindi dapat gamitin para sa pag-upa." Direktang ipinagbabawal ng seksyong ito ang paggamit ng hindi rehistradong pribadong sasakyan para sa komersyal na layunin.
Seksyon 7(c): Nangangailangan ng "mga sasakyang de-motor na ginagamit para sa pag-upa upang makuha mula sa Komisyon sa Transportasyong Lupa o iba pang mga katawan na maaaring pahintulutan ng batas ang kinakailangang sertipiko ng pampublikong kaginhawahan o isang espesyal na permit." Binibigyang-diin ng seksyong ito ang pangangailangan para sa wastong mga permit para sa pagpapatakbo ng mga sasakyang inuupahan.
Seksyon 54(k): Nagbibigay ng kapangyarihan sa Land Transportation Office (LTO) na "magpataw ng mga multa at parusa para sa mga paglabag..." ng Land Transportation and Traffic Code.
Mga parusa:
₱500 na multa: Ito ang karaniwang multa para sa paggamit ng pribadong sasakyan for hire nang walang kinakailangang permit ayon sa LTO Memorandum Circular No. 2016-020. Gayunpaman, ang aktwal na multa ay maaaring mag-iba depende sa partikular na mga pangyayari at sa pagpapasya ng opisyal ng paghuli.
Pagsuspinde ng Lisensya sa Pagmamaneho: Bilang karagdagan sa multa, ang lisensya sa pagmamaneho ay maaaring masuspinde sa loob ng tatlong buwan para sa unang pagkakasala at posibleng mas matagal para sa mga kasunod na pagkakasala.
Pag-impound ng Sasakyan: Sa ilang mga kaso, ang sasakyan ay maaaring ma-impound ng mga awtoridad hanggang sa malutas ang sitwasyon at makuha ang naaangkop na mga permit.</v>
      </c>
      <c r="F1552" s="2">
        <f t="shared" si="1"/>
        <v>1</v>
      </c>
      <c r="G1552" s="2"/>
      <c r="H1552" s="2"/>
      <c r="I1552" s="2"/>
      <c r="J1552" s="2"/>
      <c r="K1552" s="2"/>
      <c r="L1552" s="2"/>
      <c r="M1552" s="2"/>
      <c r="N1552" s="2"/>
      <c r="O1552" s="2"/>
      <c r="P1552" s="2"/>
      <c r="Q1552" s="2"/>
      <c r="R1552" s="2"/>
      <c r="S1552" s="2"/>
      <c r="T1552" s="2"/>
      <c r="U1552" s="2"/>
      <c r="V1552" s="2"/>
      <c r="W1552" s="2"/>
      <c r="X1552" s="2"/>
      <c r="Y1552" s="2"/>
      <c r="Z1552" s="2"/>
      <c r="AA1552" s="2"/>
    </row>
    <row r="1553">
      <c r="A1553" s="3" t="s">
        <v>3972</v>
      </c>
      <c r="B1553" s="1" t="s">
        <v>4093</v>
      </c>
      <c r="C1553" s="1" t="s">
        <v>4260</v>
      </c>
      <c r="D1553" s="2" t="str">
        <f>IFERROR(__xludf.DUMMYFUNCTION("GOOGLETRANSLATE(B1553, ""en"", ""TL"")"),"Ano ang parusa sa pagmamaneho na may bukas na lalagyan ng mga inuming nakalalasing?")</f>
        <v>Ano ang parusa sa pagmamaneho na may bukas na lalagyan ng mga inuming nakalalasing?</v>
      </c>
      <c r="E1553" s="2" t="str">
        <f>IFERROR(__xludf.DUMMYFUNCTION("GOOGLETRANSLATE(C1553, ""en"", ""TL"")"),"Ang Anti-Drunk and Drugged Driving Act of 2013 sa Pilipinas ay nagbabawal sa pagmamaneho habang nasa ilalim ng impluwensya ng alak, ipinagbabawal na droga, at mga kaugnay na sangkap. Ang batas ay nagpapataw ng matinding parusa para sa pagmamaneho habang l"&amp;"asing, kahit na ang batas ay hindi binanggit ang parusa para sa paghawak ng bukas na lalagyan ng alak.
Ang mga sumusunod ay ang mga pangunahing punto ng pagmamaneho kapag lasing:
Ipinagbabawal ng batas ang pagmamaneho kapag lasing sa alak, ipinagbabawal n"&amp;"a gamot, o mga katulad na sangkap.
Pananagutan: Maliban kung maipapakita nila na nagsagawa sila ng pambihirang pag-iingat sa pagpili at pagsubaybay sa mga driver, ang may-ari at operator ng sasakyang de-motor na ginamit ng kriminal ay maaaring managot par"&amp;"a sa mga multa at pinsalang sibil.
Ang mga multa, pagkakulong, at pagsususpinde o pagbawi ng lisensya ay ang mga kahihinatnan ng pagpapatakbo ng sasakyan habang lasing. Gayunpaman, walang malinaw na paglalarawan ng mga kahihinatnan para sa pagkakaroon ng "&amp;"isang bukas na lalagyan ng alkohol.
Ang labag sa batas na pagmamay-ari ng mga bukas na inuming may alkohol sa mga sasakyang de-motor ay tinukoy ng batas ng Open Container ng 2008, ngunit ang mga tiyak na parusa para sa paglabag na ito ay hindi nakasaad sa"&amp;" batas. Gayunpaman, upang maiwasan ang anumang posibleng mga sakuna, kailangang unahin ang kaligtasan ng publiko sa pamamagitan ng pag-iwas sa alak habang nagmamaneho at pagtiyak na ang lahat ng mga lalagyan ay pinananatiling naka-lock at nababantayan.")</f>
        <v>Ang Anti-Drunk and Drugged Driving Act of 2013 sa Pilipinas ay nagbabawal sa pagmamaneho habang nasa ilalim ng impluwensya ng alak, ipinagbabawal na droga, at mga kaugnay na sangkap. Ang batas ay nagpapataw ng matinding parusa para sa pagmamaneho habang lasing, kahit na ang batas ay hindi binanggit ang parusa para sa paghawak ng bukas na lalagyan ng alak.
Ang mga sumusunod ay ang mga pangunahing punto ng pagmamaneho kapag lasing:
Ipinagbabawal ng batas ang pagmamaneho kapag lasing sa alak, ipinagbabawal na gamot, o mga katulad na sangkap.
Pananagutan: Maliban kung maipapakita nila na nagsagawa sila ng pambihirang pag-iingat sa pagpili at pagsubaybay sa mga driver, ang may-ari at operator ng sasakyang de-motor na ginamit ng kriminal ay maaaring managot para sa mga multa at pinsalang sibil.
Ang mga multa, pagkakulong, at pagsususpinde o pagbawi ng lisensya ay ang mga kahihinatnan ng pagpapatakbo ng sasakyan habang lasing. Gayunpaman, walang malinaw na paglalarawan ng mga kahihinatnan para sa pagkakaroon ng isang bukas na lalagyan ng alkohol.
Ang labag sa batas na pagmamay-ari ng mga bukas na inuming may alkohol sa mga sasakyang de-motor ay tinukoy ng batas ng Open Container ng 2008, ngunit ang mga tiyak na parusa para sa paglabag na ito ay hindi nakasaad sa batas. Gayunpaman, upang maiwasan ang anumang posibleng mga sakuna, kailangang unahin ang kaligtasan ng publiko sa pamamagitan ng pag-iwas sa alak habang nagmamaneho at pagtiyak na ang lahat ng mga lalagyan ay pinananatiling naka-lock at nababantayan.</v>
      </c>
      <c r="F1553" s="2">
        <f t="shared" si="1"/>
        <v>0</v>
      </c>
      <c r="G1553" s="2"/>
      <c r="H1553" s="2"/>
      <c r="I1553" s="2"/>
      <c r="J1553" s="2"/>
      <c r="K1553" s="2"/>
      <c r="L1553" s="2"/>
      <c r="M1553" s="2"/>
      <c r="N1553" s="2"/>
      <c r="O1553" s="2"/>
      <c r="P1553" s="2"/>
      <c r="Q1553" s="2"/>
      <c r="R1553" s="2"/>
      <c r="S1553" s="2"/>
      <c r="T1553" s="2"/>
      <c r="U1553" s="2"/>
      <c r="V1553" s="2"/>
      <c r="W1553" s="2"/>
      <c r="X1553" s="2"/>
      <c r="Y1553" s="2"/>
      <c r="Z1553" s="2"/>
      <c r="AA1553" s="2"/>
    </row>
    <row r="1554">
      <c r="A1554" s="3" t="s">
        <v>3972</v>
      </c>
      <c r="B1554" s="1" t="s">
        <v>4116</v>
      </c>
      <c r="C1554" s="1" t="s">
        <v>4201</v>
      </c>
      <c r="D1554" s="2" t="str">
        <f>IFERROR(__xludf.DUMMYFUNCTION("GOOGLETRANSLATE(B1554, ""en"", ""TL"")"),"Ano ang parusa sa pakikialam o pagpapalit ng odometer ng sasakyan?")</f>
        <v>Ano ang parusa sa pakikialam o pagpapalit ng odometer ng sasakyan?</v>
      </c>
      <c r="E1554" s="2" t="str">
        <f>IFERROR(__xludf.DUMMYFUNCTION("GOOGLETRANSLATE(C1554, ""en"", ""TL"")"),"Kung walang nasugatan o nasawi sa banggaan, ang multa para sa paglabag na ito ay Php 20,000 hanggang Php 80,000. Kung ang isang aksidente ay magresulta sa pinsala o pinsala, maaari kang maparusahan kahit saan sa pagitan ng Php 100,000 at Php 200,000.")</f>
        <v>Kung walang nasugatan o nasawi sa banggaan, ang multa para sa paglabag na ito ay Php 20,000 hanggang Php 80,000. Kung ang isang aksidente ay magresulta sa pinsala o pinsala, maaari kang maparusahan kahit saan sa pagitan ng Php 100,000 at Php 200,000.</v>
      </c>
      <c r="F1554" s="2">
        <f t="shared" si="1"/>
        <v>1</v>
      </c>
      <c r="G1554" s="2"/>
      <c r="H1554" s="2"/>
      <c r="I1554" s="2"/>
      <c r="J1554" s="2"/>
      <c r="K1554" s="2"/>
      <c r="L1554" s="2"/>
      <c r="M1554" s="2"/>
      <c r="N1554" s="2"/>
      <c r="O1554" s="2"/>
      <c r="P1554" s="2"/>
      <c r="Q1554" s="2"/>
      <c r="R1554" s="2"/>
      <c r="S1554" s="2"/>
      <c r="T1554" s="2"/>
      <c r="U1554" s="2"/>
      <c r="V1554" s="2"/>
      <c r="W1554" s="2"/>
      <c r="X1554" s="2"/>
      <c r="Y1554" s="2"/>
      <c r="Z1554" s="2"/>
      <c r="AA1554" s="2"/>
    </row>
    <row r="1555">
      <c r="A1555" s="3" t="s">
        <v>3972</v>
      </c>
      <c r="B1555" s="1" t="s">
        <v>4261</v>
      </c>
      <c r="C1555" s="1" t="s">
        <v>4262</v>
      </c>
      <c r="D1555" s="2" t="str">
        <f>IFERROR(__xludf.DUMMYFUNCTION("GOOGLETRANSLATE(B1555, ""en"", ""TL"")"),"Ano ang multa para sa paradahan sa harap ng fire hydrant o sa loob ng emergency exit zone?")</f>
        <v>Ano ang multa para sa paradahan sa harap ng fire hydrant o sa loob ng emergency exit zone?</v>
      </c>
      <c r="E1555" s="2" t="str">
        <f>IFERROR(__xludf.DUMMYFUNCTION("GOOGLETRANSLATE(C1555, ""en"", ""TL"")"),"Sa Pilipinas, ang paradahan sa harap ng fire hydrant o sa loob ng emergency exit zone ay itinuturing na isang seryosong paglabag sa trapiko at maaaring magresulta sa maraming potensyal na kahihinatnan.
Narito ang isang breakdown ng mga nauugnay na regula"&amp;"syon at potensyal na parusa:
Legal na Batayan:
Republic Act No. 9514 (Fire Code of the Philippines):
Seksyon 15, talata (f): Ipinagbabawal ang ""pagparada, paghinto, o pagtayo ng anumang sasakyan sa loob ng limang (5) metrong radius mula sa base ng anu"&amp;"mang fire hydrant.""
Seksyon 16, talata (g): Ipinagbabawal ang ""pagbara sa anumang paraan ng mga fire exit, driveway, at kalsada.""
Mga parusa:
₱1,000 na multa: Ito ang karaniwang multa para sa paglabag sa mga nabanggit na seksyon ng Fire Code, ayon s"&amp;"a Metropolitan Manila Development Authority (MMDA) Regulation No. 10-17. Ang eksaktong parusa ay maaaring mag-iba depende sa partikular na lokasyon at sa pagpapasya ng nakahuli na opisyal.
Pag-tow at pag-impound: Maaaring hilahin at i-impound ng mga awto"&amp;"ridad ang sasakyan, na humahantong sa karagdagang bayad sa pag-tow at pag-iimbak.
Pagsuspinde ng lisensya sa pagmamaneho: Sa ilang mga kaso, ang lisensya ng pagmamaneho ay maaaring masuspinde para sa isang tiyak na panahon, lalo na para sa mga paulit-uli"&amp;"t na pagkakasala.")</f>
        <v>Sa Pilipinas, ang paradahan sa harap ng fire hydrant o sa loob ng emergency exit zone ay itinuturing na isang seryosong paglabag sa trapiko at maaaring magresulta sa maraming potensyal na kahihinatnan.
Narito ang isang breakdown ng mga nauugnay na regulasyon at potensyal na parusa:
Legal na Batayan:
Republic Act No. 9514 (Fire Code of the Philippines):
Seksyon 15, talata (f): Ipinagbabawal ang "pagparada, paghinto, o pagtayo ng anumang sasakyan sa loob ng limang (5) metrong radius mula sa base ng anumang fire hydrant."
Seksyon 16, talata (g): Ipinagbabawal ang "pagbara sa anumang paraan ng mga fire exit, driveway, at kalsada."
Mga parusa:
₱1,000 na multa: Ito ang karaniwang multa para sa paglabag sa mga nabanggit na seksyon ng Fire Code, ayon sa Metropolitan Manila Development Authority (MMDA) Regulation No. 10-17. Ang eksaktong parusa ay maaaring mag-iba depende sa partikular na lokasyon at sa pagpapasya ng nakahuli na opisyal.
Pag-tow at pag-impound: Maaaring hilahin at i-impound ng mga awtoridad ang sasakyan, na humahantong sa karagdagang bayad sa pag-tow at pag-iimbak.
Pagsuspinde ng lisensya sa pagmamaneho: Sa ilang mga kaso, ang lisensya ng pagmamaneho ay maaaring masuspinde para sa isang tiyak na panahon, lalo na para sa mga paulit-ulit na pagkakasala.</v>
      </c>
      <c r="F1555" s="2">
        <f t="shared" si="1"/>
        <v>1</v>
      </c>
      <c r="G1555" s="2"/>
      <c r="H1555" s="2"/>
      <c r="I1555" s="2"/>
      <c r="J1555" s="2"/>
      <c r="K1555" s="2"/>
      <c r="L1555" s="2"/>
      <c r="M1555" s="2"/>
      <c r="N1555" s="2"/>
      <c r="O1555" s="2"/>
      <c r="P1555" s="2"/>
      <c r="Q1555" s="2"/>
      <c r="R1555" s="2"/>
      <c r="S1555" s="2"/>
      <c r="T1555" s="2"/>
      <c r="U1555" s="2"/>
      <c r="V1555" s="2"/>
      <c r="W1555" s="2"/>
      <c r="X1555" s="2"/>
      <c r="Y1555" s="2"/>
      <c r="Z1555" s="2"/>
      <c r="AA1555" s="2"/>
    </row>
    <row r="1556">
      <c r="A1556" s="3" t="s">
        <v>3972</v>
      </c>
      <c r="B1556" s="1" t="s">
        <v>4263</v>
      </c>
      <c r="C1556" s="1" t="s">
        <v>4264</v>
      </c>
      <c r="D1556" s="2" t="str">
        <f>IFERROR(__xludf.DUMMYFUNCTION("GOOGLETRANSLATE(B1556, ""en"", ""TL"")"),"Maaari bang pagmultahin ang isang tsuper sa paggamit ng motorsiklo na walang tamang plaka?")</f>
        <v>Maaari bang pagmultahin ang isang tsuper sa paggamit ng motorsiklo na walang tamang plaka?</v>
      </c>
      <c r="E1556" s="2" t="str">
        <f>IFERROR(__xludf.DUMMYFUNCTION("GOOGLETRANSLATE(C1556, ""en"", ""TL"")"),"Syempre! Ang pagmamaneho ng motorsiklo sa Pilipinas na walang kinakailangang plaka ay maaaring magresulta sa mga multa. Ang mga kaukulang parusa ay ang mga sumusunod:
Pagmamaneho kapag hindi wasto ang iyong lisensya:
Parusa: ₱3,000
Bilang karagdagan sa mg"&amp;"a walang wastong lisensya, ang mga may hawak ng delingkwente, nag-expire, nasuspinde, binawi, mali, o mapanlinlang na lisensya sa pagmamaneho ay napapailalim din sa parusang ito. Upang maiwasan ang multa na ito, kahit na ang mga driver ng estudyante ay da"&amp;"pat na may kasamang driver na may valid na lisensya.
Nakakubli ang pagmamaneho na may nababasang plaka ng lisensya:
Pinakamataas na multa: ₱100,000; maximum na multa: ₱50,000; o pareho
Mga Paglabag Tungkol sa Mga Plate ng Numero:
Hindi Secure na Number Pl"&amp;"ate Attachment:
Parusa: ₱5,000
Upang maiwasan ang malaking multa na ito, tiyaking nakadikit nang husto ang iyong plaka sa iyong motorsiklo.
Nag-expire na ang Pagpaparehistro ng Motorsiklo:
Parusa: ₱10,000
Maaari kang pagmultahin ng 10,000 kung ang iyong m"&amp;"otorbike registration ay walang bisa o lipas na.")</f>
        <v>Syempre! Ang pagmamaneho ng motorsiklo sa Pilipinas na walang kinakailangang plaka ay maaaring magresulta sa mga multa. Ang mga kaukulang parusa ay ang mga sumusunod:
Pagmamaneho kapag hindi wasto ang iyong lisensya:
Parusa: ₱3,000
Bilang karagdagan sa mga walang wastong lisensya, ang mga may hawak ng delingkwente, nag-expire, nasuspinde, binawi, mali, o mapanlinlang na lisensya sa pagmamaneho ay napapailalim din sa parusang ito. Upang maiwasan ang multa na ito, kahit na ang mga driver ng estudyante ay dapat na may kasamang driver na may valid na lisensya.
Nakakubli ang pagmamaneho na may nababasang plaka ng lisensya:
Pinakamataas na multa: ₱100,000; maximum na multa: ₱50,000; o pareho
Mga Paglabag Tungkol sa Mga Plate ng Numero:
Hindi Secure na Number Plate Attachment:
Parusa: ₱5,000
Upang maiwasan ang malaking multa na ito, tiyaking nakadikit nang husto ang iyong plaka sa iyong motorsiklo.
Nag-expire na ang Pagpaparehistro ng Motorsiklo:
Parusa: ₱10,000
Maaari kang pagmultahin ng 10,000 kung ang iyong motorbike registration ay walang bisa o lipas na.</v>
      </c>
      <c r="F1556" s="2">
        <f t="shared" si="1"/>
        <v>0</v>
      </c>
      <c r="G1556" s="2"/>
      <c r="H1556" s="2"/>
      <c r="I1556" s="2"/>
      <c r="J1556" s="2"/>
      <c r="K1556" s="2"/>
      <c r="L1556" s="2"/>
      <c r="M1556" s="2"/>
      <c r="N1556" s="2"/>
      <c r="O1556" s="2"/>
      <c r="P1556" s="2"/>
      <c r="Q1556" s="2"/>
      <c r="R1556" s="2"/>
      <c r="S1556" s="2"/>
      <c r="T1556" s="2"/>
      <c r="U1556" s="2"/>
      <c r="V1556" s="2"/>
      <c r="W1556" s="2"/>
      <c r="X1556" s="2"/>
      <c r="Y1556" s="2"/>
      <c r="Z1556" s="2"/>
      <c r="AA1556" s="2"/>
    </row>
    <row r="1557">
      <c r="A1557" s="3" t="s">
        <v>3972</v>
      </c>
      <c r="B1557" s="1" t="s">
        <v>4265</v>
      </c>
      <c r="C1557" s="1" t="s">
        <v>4117</v>
      </c>
      <c r="D1557" s="2" t="str">
        <f>IFERROR(__xludf.DUMMYFUNCTION("GOOGLETRANSLATE(B1557, ""en"", ""TL"")"),"Ano ang multa para sa pagmamaneho nang walang kinakailangang seguro sa sasakyang de-motor?")</f>
        <v>Ano ang multa para sa pagmamaneho nang walang kinakailangang seguro sa sasakyang de-motor?</v>
      </c>
      <c r="E1557" s="2" t="str">
        <f>IFERROR(__xludf.DUMMYFUNCTION("GOOGLETRANSLATE(C1557, ""en"", ""TL"")"),"Pagmumultahin ka ng Php 2,000 sa unang paglabag, Php 3,000 sa pangalawa, at Php 10,000 sa pangatlo.")</f>
        <v>Pagmumultahin ka ng Php 2,000 sa unang paglabag, Php 3,000 sa pangalawa, at Php 10,000 sa pangatlo.</v>
      </c>
      <c r="F1557" s="2">
        <f t="shared" si="1"/>
        <v>1</v>
      </c>
      <c r="G1557" s="2"/>
      <c r="H1557" s="2"/>
      <c r="I1557" s="2"/>
      <c r="J1557" s="2"/>
      <c r="K1557" s="2"/>
      <c r="L1557" s="2"/>
      <c r="M1557" s="2"/>
      <c r="N1557" s="2"/>
      <c r="O1557" s="2"/>
      <c r="P1557" s="2"/>
      <c r="Q1557" s="2"/>
      <c r="R1557" s="2"/>
      <c r="S1557" s="2"/>
      <c r="T1557" s="2"/>
      <c r="U1557" s="2"/>
      <c r="V1557" s="2"/>
      <c r="W1557" s="2"/>
      <c r="X1557" s="2"/>
      <c r="Y1557" s="2"/>
      <c r="Z1557" s="2"/>
      <c r="AA1557" s="2"/>
    </row>
    <row r="1558">
      <c r="A1558" s="3" t="s">
        <v>3972</v>
      </c>
      <c r="B1558" s="1" t="s">
        <v>4219</v>
      </c>
      <c r="C1558" s="1" t="s">
        <v>4201</v>
      </c>
      <c r="D1558" s="2" t="str">
        <f>IFERROR(__xludf.DUMMYFUNCTION("GOOGLETRANSLATE(B1558, ""en"", ""TL"")"),"Ano ang parusa para sa pagpapatakbo ng sasakyan na may hindi awtorisado o hindi karaniwang mga ilaw?")</f>
        <v>Ano ang parusa para sa pagpapatakbo ng sasakyan na may hindi awtorisado o hindi karaniwang mga ilaw?</v>
      </c>
      <c r="E1558" s="2" t="str">
        <f>IFERROR(__xludf.DUMMYFUNCTION("GOOGLETRANSLATE(C1558, ""en"", ""TL"")"),"Kung walang nasugatan o nasawi sa banggaan, ang multa para sa paglabag na ito ay Php 20,000 hanggang Php 80,000. Kung ang isang aksidente ay magresulta sa pinsala o pinsala, maaari kang maparusahan kahit saan sa pagitan ng Php 100,000 at Php 200,000.")</f>
        <v>Kung walang nasugatan o nasawi sa banggaan, ang multa para sa paglabag na ito ay Php 20,000 hanggang Php 80,000. Kung ang isang aksidente ay magresulta sa pinsala o pinsala, maaari kang maparusahan kahit saan sa pagitan ng Php 100,000 at Php 200,000.</v>
      </c>
      <c r="F1558" s="2">
        <f t="shared" si="1"/>
        <v>0</v>
      </c>
      <c r="G1558" s="2"/>
      <c r="H1558" s="2"/>
      <c r="I1558" s="2"/>
      <c r="J1558" s="2"/>
      <c r="K1558" s="2"/>
      <c r="L1558" s="2"/>
      <c r="M1558" s="2"/>
      <c r="N1558" s="2"/>
      <c r="O1558" s="2"/>
      <c r="P1558" s="2"/>
      <c r="Q1558" s="2"/>
      <c r="R1558" s="2"/>
      <c r="S1558" s="2"/>
      <c r="T1558" s="2"/>
      <c r="U1558" s="2"/>
      <c r="V1558" s="2"/>
      <c r="W1558" s="2"/>
      <c r="X1558" s="2"/>
      <c r="Y1558" s="2"/>
      <c r="Z1558" s="2"/>
      <c r="AA1558" s="2"/>
    </row>
    <row r="1559">
      <c r="A1559" s="3" t="s">
        <v>3972</v>
      </c>
      <c r="B1559" s="1" t="s">
        <v>4266</v>
      </c>
      <c r="C1559" s="1" t="s">
        <v>4267</v>
      </c>
      <c r="D1559" s="2" t="str">
        <f>IFERROR(__xludf.DUMMYFUNCTION("GOOGLETRANSLATE(B1559, ""en"", ""TL"")"),"Ano ang multa para sa paggamit ng sasakyan na may hindi awtorisado o hindi karaniwang mga busina?")</f>
        <v>Ano ang multa para sa paggamit ng sasakyan na may hindi awtorisado o hindi karaniwang mga busina?</v>
      </c>
      <c r="E1559" s="2" t="str">
        <f>IFERROR(__xludf.DUMMYFUNCTION("GOOGLETRANSLATE(C1559, ""en"", ""TL"")"),"Mga parusa: Unang paglabag: hanggang P2,000 multa; ikalawang pagkakasala: hanggang P4,000 multa; ikatlo at kasunod na mga pagkakasala: hanggang P6,000 na multa at isang taon na suspensiyon ng pagpaparehistro ng sasakyang de-motor")</f>
        <v>Mga parusa: Unang paglabag: hanggang P2,000 multa; ikalawang pagkakasala: hanggang P4,000 multa; ikatlo at kasunod na mga pagkakasala: hanggang P6,000 na multa at isang taon na suspensiyon ng pagpaparehistro ng sasakyang de-motor</v>
      </c>
      <c r="F1559" s="2">
        <f t="shared" si="1"/>
        <v>0</v>
      </c>
      <c r="G1559" s="2"/>
      <c r="H1559" s="2"/>
      <c r="I1559" s="2"/>
      <c r="J1559" s="2"/>
      <c r="K1559" s="2"/>
      <c r="L1559" s="2"/>
      <c r="M1559" s="2"/>
      <c r="N1559" s="2"/>
      <c r="O1559" s="2"/>
      <c r="P1559" s="2"/>
      <c r="Q1559" s="2"/>
      <c r="R1559" s="2"/>
      <c r="S1559" s="2"/>
      <c r="T1559" s="2"/>
      <c r="U1559" s="2"/>
      <c r="V1559" s="2"/>
      <c r="W1559" s="2"/>
      <c r="X1559" s="2"/>
      <c r="Y1559" s="2"/>
      <c r="Z1559" s="2"/>
      <c r="AA1559" s="2"/>
    </row>
    <row r="1560">
      <c r="A1560" s="3" t="s">
        <v>3972</v>
      </c>
      <c r="B1560" s="1" t="s">
        <v>4268</v>
      </c>
      <c r="C1560" s="1" t="s">
        <v>4269</v>
      </c>
      <c r="D1560" s="2" t="str">
        <f>IFERROR(__xludf.DUMMYFUNCTION("GOOGLETRANSLATE(B1560, ""en"", ""TL"")"),"Kailan legal na pumarada sa kaliwang bahagi ng isang one-way na kalye?")</f>
        <v>Kailan legal na pumarada sa kaliwang bahagi ng isang one-way na kalye?</v>
      </c>
      <c r="E1560" s="2" t="str">
        <f>IFERROR(__xludf.DUMMYFUNCTION("GOOGLETRANSLATE(C1560, ""en"", ""TL"")"),"Ang mga patakaran sa paradahan ay kritikal sa Pilipinas para sa pagpapanatili ng kaligtasan sa kalsada. Narito ang ilang rekomendasyon para sa paradahan sa kaliwang bahagi ng isang one-way na daanan.
No Parking Zones: Huwag pumarada sa gilid ng kalsada ku"&amp;"ng saan may karatulang ""NO PARKING"". Ang mga palatandaang ito ay nagtatalaga ng mga lokasyon kung saan ganap na ipinagbabawal ang paradahan. Palaging sumunod sa mga paghihigpit na ito.
Mga pagbubukod:
Iwasan ang paradahan malapit o sa loob ng intersecti"&amp;"on. Ang pagharang sa visibility sa sangang-daan ay maaaring magresulta sa mga aksidente at pagsisikip ng trapiko.
Mga Driveway: Huwag kailanman hadlangan ang daanan ng sinuman. Ang paradahan sa harap ng gate ng isang tao ay itinuturing na hindi magalang a"&amp;"t hindi maginhawa. Iulat ang anumang sasakyang nakaparada sa harap ng iyong gate sa lokal na awtoridad.
Dobleng Paradahan: Iwasan ang dobleng paradahan. Nakakaapekto ito sa daloy ng trapiko at maaaring makaabala sa ibang mga sasakyan.
Mga tawiran: Huwag p"&amp;"umarada sa tawiran. Ang mga tawiran ay idinisenyo para sa mga pedestrian, at ang paghadlang sa kanila ay nagdudulot ng panganib sa kaligtasan.
Iwasan ang paradahan malapit sa mga overpass at footbridge upang maprotektahan ang kaligtasan ng pedestrian.
Ang"&amp;" paradahan ay madalas na ipinagbabawal sa mga pangunahing pambansang kalsada. Ang mga kalsadang ito ay kritikal para sa kadaliang mapakilos ng transportasyon.
Mga lugar ng tirahan at subdibisyon:
Ang mga paghihigpit sa paradahan ay nag-iiba-iba sa bawat l"&amp;"ungsod sa Metro Manila, at ang mga bayan o subdivision ay maaaring may sariling hanay ng mga alituntunin.
Dahil sa limitadong mga kalsada sa mga subdivision ng luxury real estate, mahigpit na ipinapatupad ang mga batas sa paradahan. Ang mga batas na namam"&amp;"ahala sa double parking at obstruction ay ipinapatupad.
Mag-ingat na huwag harangan ang mga daanan, lalo na sa mga gate na lugar.
Iparada sa harap ng sarili mong garahe:
Habang ang pagparada sa harap ng sarili mong garahe ay maaaring mukhang inosente, maa"&amp;"aring ituring ito ng mga opisyal ng trapiko na isang paglabag. Ito ay teknikal na hadlang.
Kung nagmamay-ari ka ng maraming sasakyan at hindi kasya ang lahat sa loob, isaalang-alang ang mga legal na opsyon gaya ng off-site na paradahan.
Paradahan sa Bangk"&amp;"eta:
Huwag kailanman iparada sa mga simento. Pinipigilan nito ang mga daanan ng pedestrian at inilalagay sa panganib ang mga indibidwal dahil sa pagmamaneho.")</f>
        <v>Ang mga patakaran sa paradahan ay kritikal sa Pilipinas para sa pagpapanatili ng kaligtasan sa kalsada. Narito ang ilang rekomendasyon para sa paradahan sa kaliwang bahagi ng isang one-way na daanan.
No Parking Zones: Huwag pumarada sa gilid ng kalsada kung saan may karatulang "NO PARKING". Ang mga palatandaang ito ay nagtatalaga ng mga lokasyon kung saan ganap na ipinagbabawal ang paradahan. Palaging sumunod sa mga paghihigpit na ito.
Mga pagbubukod:
Iwasan ang paradahan malapit o sa loob ng intersection. Ang pagharang sa visibility sa sangang-daan ay maaaring magresulta sa mga aksidente at pagsisikip ng trapiko.
Mga Driveway: Huwag kailanman hadlangan ang daanan ng sinuman. Ang paradahan sa harap ng gate ng isang tao ay itinuturing na hindi magalang at hindi maginhawa. Iulat ang anumang sasakyang nakaparada sa harap ng iyong gate sa lokal na awtoridad.
Dobleng Paradahan: Iwasan ang dobleng paradahan. Nakakaapekto ito sa daloy ng trapiko at maaaring makaabala sa ibang mga sasakyan.
Mga tawiran: Huwag pumarada sa tawiran. Ang mga tawiran ay idinisenyo para sa mga pedestrian, at ang paghadlang sa kanila ay nagdudulot ng panganib sa kaligtasan.
Iwasan ang paradahan malapit sa mga overpass at footbridge upang maprotektahan ang kaligtasan ng pedestrian.
Ang paradahan ay madalas na ipinagbabawal sa mga pangunahing pambansang kalsada. Ang mga kalsadang ito ay kritikal para sa kadaliang mapakilos ng transportasyon.
Mga lugar ng tirahan at subdibisyon:
Ang mga paghihigpit sa paradahan ay nag-iiba-iba sa bawat lungsod sa Metro Manila, at ang mga bayan o subdivision ay maaaring may sariling hanay ng mga alituntunin.
Dahil sa limitadong mga kalsada sa mga subdivision ng luxury real estate, mahigpit na ipinapatupad ang mga batas sa paradahan. Ang mga batas na namamahala sa double parking at obstruction ay ipinapatupad.
Mag-ingat na huwag harangan ang mga daanan, lalo na sa mga gate na lugar.
Iparada sa harap ng sarili mong garahe:
Habang ang pagparada sa harap ng sarili mong garahe ay maaaring mukhang inosente, maaaring ituring ito ng mga opisyal ng trapiko na isang paglabag. Ito ay teknikal na hadlang.
Kung nagmamay-ari ka ng maraming sasakyan at hindi kasya ang lahat sa loob, isaalang-alang ang mga legal na opsyon gaya ng off-site na paradahan.
Paradahan sa Bangketa:
Huwag kailanman iparada sa mga simento. Pinipigilan nito ang mga daanan ng pedestrian at inilalagay sa panganib ang mga indibidwal dahil sa pagmamaneho.</v>
      </c>
      <c r="F1560" s="2">
        <f t="shared" si="1"/>
        <v>1</v>
      </c>
      <c r="G1560" s="2"/>
      <c r="H1560" s="2"/>
      <c r="I1560" s="2"/>
      <c r="J1560" s="2"/>
      <c r="K1560" s="2"/>
      <c r="L1560" s="2"/>
      <c r="M1560" s="2"/>
      <c r="N1560" s="2"/>
      <c r="O1560" s="2"/>
      <c r="P1560" s="2"/>
      <c r="Q1560" s="2"/>
      <c r="R1560" s="2"/>
      <c r="S1560" s="2"/>
      <c r="T1560" s="2"/>
      <c r="U1560" s="2"/>
      <c r="V1560" s="2"/>
      <c r="W1560" s="2"/>
      <c r="X1560" s="2"/>
      <c r="Y1560" s="2"/>
      <c r="Z1560" s="2"/>
      <c r="AA1560" s="2"/>
    </row>
    <row r="1561">
      <c r="A1561" s="3" t="s">
        <v>3972</v>
      </c>
      <c r="B1561" s="1" t="s">
        <v>4270</v>
      </c>
      <c r="C1561" s="1" t="s">
        <v>4271</v>
      </c>
      <c r="D1561" s="2" t="str">
        <f>IFERROR(__xludf.DUMMYFUNCTION("GOOGLETRANSLATE(B1561, ""en"", ""TL"")"),"Ano ang parusa sa pagmamaneho ng motorsiklo nang walang kaukulang lisensya?")</f>
        <v>Ano ang parusa sa pagmamaneho ng motorsiklo nang walang kaukulang lisensya?</v>
      </c>
      <c r="E1561" s="2" t="str">
        <f>IFERROR(__xludf.DUMMYFUNCTION("GOOGLETRANSLATE(C1561, ""en"", ""TL"")"),"Ang pagmamaneho ng motor sa Pilipinas ay ilegal maliban kung mayroon kang balidong lisensya sa pagmamaneho o permiso ng konduktor. Kung ma-detect, ang multa ay Php 3,000.00. Upang maiwasan ang mga legal na kahihinatnan, dapat mong suriin kung mayroon kang"&amp;" wastong lisensya bago magpatakbo ng sasakyang de-motor.")</f>
        <v>Ang pagmamaneho ng motor sa Pilipinas ay ilegal maliban kung mayroon kang balidong lisensya sa pagmamaneho o permiso ng konduktor. Kung ma-detect, ang multa ay Php 3,000.00. Upang maiwasan ang mga legal na kahihinatnan, dapat mong suriin kung mayroon kang wastong lisensya bago magpatakbo ng sasakyang de-motor.</v>
      </c>
      <c r="F1561" s="2">
        <f t="shared" si="1"/>
        <v>0</v>
      </c>
      <c r="G1561" s="2"/>
      <c r="H1561" s="2"/>
      <c r="I1561" s="2"/>
      <c r="J1561" s="2"/>
      <c r="K1561" s="2"/>
      <c r="L1561" s="2"/>
      <c r="M1561" s="2"/>
      <c r="N1561" s="2"/>
      <c r="O1561" s="2"/>
      <c r="P1561" s="2"/>
      <c r="Q1561" s="2"/>
      <c r="R1561" s="2"/>
      <c r="S1561" s="2"/>
      <c r="T1561" s="2"/>
      <c r="U1561" s="2"/>
      <c r="V1561" s="2"/>
      <c r="W1561" s="2"/>
      <c r="X1561" s="2"/>
      <c r="Y1561" s="2"/>
      <c r="Z1561" s="2"/>
      <c r="AA1561" s="2"/>
    </row>
    <row r="1562">
      <c r="A1562" s="3" t="s">
        <v>3972</v>
      </c>
      <c r="B1562" s="1" t="s">
        <v>4272</v>
      </c>
      <c r="C1562" s="1" t="s">
        <v>4273</v>
      </c>
      <c r="D1562" s="2" t="str">
        <f>IFERROR(__xludf.DUMMYFUNCTION("GOOGLETRANSLATE(B1562, ""en"", ""TL"")"),"Maaari bang pagmultahin ang isang driver para sa pagpapatakbo ng isang sasakyan na may sira o hindi gumagana ang mga ilaw ng preno?")</f>
        <v>Maaari bang pagmultahin ang isang driver para sa pagpapatakbo ng isang sasakyan na may sira o hindi gumagana ang mga ilaw ng preno?</v>
      </c>
      <c r="E1562" s="2" t="str">
        <f>IFERROR(__xludf.DUMMYFUNCTION("GOOGLETRANSLATE(C1562, ""en"", ""TL"")"),"Oo, ang isang driver sa Pilipinas ay maaaring pagmultahin para sa pagpapatakbo ng isang sasakyan na may sira o hindi gumagana ang mga ilaw ng preno. Bagama't walang partikular na parusa na nakalista sa pangunahing batas, ang Land Transportation and Traffi"&amp;"c Code (Republic Act No. 4136), para sa pagmamaneho na may sira ang mga ilaw ng preno, maaari pa rin itong humantong sa mga kahihinatnan dahil sa mga sumusunod na dahilan:
Mga Alalahanin sa Kaligtasan: Ang mga may sira na ilaw ng preno ay nagdudulot ng m"&amp;"alaking panganib sa kaligtasan dahil ang mga ito ay:
Bawasan ang kakayahan ng sumusunod na driver na makita ang intensyon ng pagpepreno ng sasakyan sa unahan, na nagdaragdag ng panganib ng mga banggaan sa likuran.
Hadlangan ang ligtas na pagmamaneho sa "&amp;"mga kondisyong mababa ang visibility gaya ng ulan, hamog, o gabi.
Pangkalahatang Kaligtasan sa Daan: Ang pagpapatakbo ng sasakyan sa isang kundisyong nakakakompromiso sa kaligtasan ay maaaring ituring na kapabayaan at isang paglabag sa pangkalahatang mga"&amp;" prinsipyo sa kaligtasan sa kalsada na nakabalangkas sa Memorandum Circular No. 2016-020 ng Land Transportation Office (LTO). Binigyang-diin ng memorandum na ito na dapat tiyakin ng mga driver na nasa ""good working order and proper condition"" ang kanila"&amp;"ng mga sasakyan bago paandarin ang mga ito sa mga pampublikong kalsada.")</f>
        <v>Oo, ang isang driver sa Pilipinas ay maaaring pagmultahin para sa pagpapatakbo ng isang sasakyan na may sira o hindi gumagana ang mga ilaw ng preno. Bagama't walang partikular na parusa na nakalista sa pangunahing batas, ang Land Transportation and Traffic Code (Republic Act No. 4136), para sa pagmamaneho na may sira ang mga ilaw ng preno, maaari pa rin itong humantong sa mga kahihinatnan dahil sa mga sumusunod na dahilan:
Mga Alalahanin sa Kaligtasan: Ang mga may sira na ilaw ng preno ay nagdudulot ng malaking panganib sa kaligtasan dahil ang mga ito ay:
Bawasan ang kakayahan ng sumusunod na driver na makita ang intensyon ng pagpepreno ng sasakyan sa unahan, na nagdaragdag ng panganib ng mga banggaan sa likuran.
Hadlangan ang ligtas na pagmamaneho sa mga kondisyong mababa ang visibility gaya ng ulan, hamog, o gabi.
Pangkalahatang Kaligtasan sa Daan: Ang pagpapatakbo ng sasakyan sa isang kundisyong nakakakompromiso sa kaligtasan ay maaaring ituring na kapabayaan at isang paglabag sa pangkalahatang mga prinsipyo sa kaligtasan sa kalsada na nakabalangkas sa Memorandum Circular No. 2016-020 ng Land Transportation Office (LTO). Binigyang-diin ng memorandum na ito na dapat tiyakin ng mga driver na nasa "good working order and proper condition" ang kanilang mga sasakyan bago paandarin ang mga ito sa mga pampublikong kalsada.</v>
      </c>
      <c r="F1562" s="2">
        <f t="shared" si="1"/>
        <v>1</v>
      </c>
      <c r="G1562" s="2"/>
      <c r="H1562" s="2"/>
      <c r="I1562" s="2"/>
      <c r="J1562" s="2"/>
      <c r="K1562" s="2"/>
      <c r="L1562" s="2"/>
      <c r="M1562" s="2"/>
      <c r="N1562" s="2"/>
      <c r="O1562" s="2"/>
      <c r="P1562" s="2"/>
      <c r="Q1562" s="2"/>
      <c r="R1562" s="2"/>
      <c r="S1562" s="2"/>
      <c r="T1562" s="2"/>
      <c r="U1562" s="2"/>
      <c r="V1562" s="2"/>
      <c r="W1562" s="2"/>
      <c r="X1562" s="2"/>
      <c r="Y1562" s="2"/>
      <c r="Z1562" s="2"/>
      <c r="AA1562" s="2"/>
    </row>
    <row r="1563">
      <c r="A1563" s="3" t="s">
        <v>3972</v>
      </c>
      <c r="B1563" s="1" t="s">
        <v>4157</v>
      </c>
      <c r="C1563" s="1" t="s">
        <v>4274</v>
      </c>
      <c r="D1563" s="2" t="str">
        <f>IFERROR(__xludf.DUMMYFUNCTION("GOOGLETRANSLATE(B1563, ""en"", ""TL"")"),"Ano ang parusa sa pagmamaneho ng motorsiklo nang walang maayos na helmet na naka-secure ng chin strap?")</f>
        <v>Ano ang parusa sa pagmamaneho ng motorsiklo nang walang maayos na helmet na naka-secure ng chin strap?</v>
      </c>
      <c r="E1563" s="2" t="str">
        <f>IFERROR(__xludf.DUMMYFUNCTION("GOOGLETRANSLATE(C1563, ""en"", ""TL"")"),"Ayon sa RA 10054, madalas na kilala bilang Motorcycle Helmet Act of 2009, ang parusa sa hindi pagsusuot ng motorcycle-specific helmet ay P1,500. Kung hindi ka matututo sa iyong mga pagkakamali, ang parusa ay maaaring kasing taas ng P10,000, kabilang ang p"&amp;"agwawakas ng iyong lisensya sa pagmamaneho para sa mga paulit-ulit na pagkakasala.")</f>
        <v>Ayon sa RA 10054, madalas na kilala bilang Motorcycle Helmet Act of 2009, ang parusa sa hindi pagsusuot ng motorcycle-specific helmet ay P1,500. Kung hindi ka matututo sa iyong mga pagkakamali, ang parusa ay maaaring kasing taas ng P10,000, kabilang ang pagwawakas ng iyong lisensya sa pagmamaneho para sa mga paulit-ulit na pagkakasala.</v>
      </c>
      <c r="F1563" s="2">
        <f t="shared" si="1"/>
        <v>0</v>
      </c>
      <c r="G1563" s="2"/>
      <c r="H1563" s="2"/>
      <c r="I1563" s="2"/>
      <c r="J1563" s="2"/>
      <c r="K1563" s="2"/>
      <c r="L1563" s="2"/>
      <c r="M1563" s="2"/>
      <c r="N1563" s="2"/>
      <c r="O1563" s="2"/>
      <c r="P1563" s="2"/>
      <c r="Q1563" s="2"/>
      <c r="R1563" s="2"/>
      <c r="S1563" s="2"/>
      <c r="T1563" s="2"/>
      <c r="U1563" s="2"/>
      <c r="V1563" s="2"/>
      <c r="W1563" s="2"/>
      <c r="X1563" s="2"/>
      <c r="Y1563" s="2"/>
      <c r="Z1563" s="2"/>
      <c r="AA1563" s="2"/>
    </row>
    <row r="1564">
      <c r="A1564" s="3" t="s">
        <v>3972</v>
      </c>
      <c r="B1564" s="1" t="s">
        <v>4275</v>
      </c>
      <c r="C1564" s="1" t="s">
        <v>4276</v>
      </c>
      <c r="D1564" s="2" t="str">
        <f>IFERROR(__xludf.DUMMYFUNCTION("GOOGLETRANSLATE(B1564, ""en"", ""TL"")"),"Kailan pinahihintulutang gumamit ng motorsiklo para magsakay ng pasahero?")</f>
        <v>Kailan pinahihintulutang gumamit ng motorsiklo para magsakay ng pasahero?</v>
      </c>
      <c r="E1564" s="2" t="str">
        <f>IFERROR(__xludf.DUMMYFUNCTION("GOOGLETRANSLATE(C1564, ""en"", ""TL"")"),"Sa Pilipinas, sumusunod ang mga alituntunin sa pagdadala ng mga pasahero sa isang motorsiklo:
Ang mga biker na biker lamang ang dapat maghatid ng mga pasahero. Kung handa ka na, magsanay nang malayo sa trapiko at magdala ng taong tumitimbang ng 100 pou"&amp;"nds. O mas kaunti.
Siguraduhin na ang iyong motorbike ay may kagamitan para magsakay ng mga pasahero.
Ang upuan ay dapat na sapat na maluwang upang mapaunlakan ang kapwa mo at ng iyong kasama nang kumportable.
Ang iyong bisikleta ay dapat na may kasama"&amp;"ng foot pegs para sa iyong pasahero.
Palaging lagyan ng helmet ang iyong pasahero.
Baguhin ang suspensyon upang ma-accommodate ang dagdag na timbang. Kumonsulta sa manwal ng iyong may-ari para sa mga tagubilin, at siguraduhin na ang iyong mga gulong a"&amp;"y may tamang air pressure.
Bigyan ang iyong bisita ng mga detalyadong tagubilin bago simulan ang biyahe, lalo na kung sila ay isang bihasang rider. Huwag ipagpalagay na naiintindihan nila kung ano ang gagawin.
Payagan ang iyong pasahero na sumakay sa mo"&amp;"tor pagkatapos mong simulan ito at ituro ito sa direksyon na gusto mong puntahan. Mangyaring hilingin sa kanila na umupo sa malayo hangga't maaari nang hindi ka masikip.
Turuan ang iyong pasahero na humawak sa iyong baywang, balakang, o sinturon. Dapat s"&amp;"ilang manatili sa likod mo, nakasandal tulad ng ginagawa mo.
Maraming estado ang nag-uutos na ang mga paa ng pasahero ay mananatili sa mga foot peg sa lahat ng oras, kasama na kapag ang motorsiklo ay huminto sa isang intersection.
Babalaan ang iyong pas"&amp;"ahero na ang mga maiinit na muffler ay maaaring magdulot ng paso.
Upang mabayaran ang karagdagang timbang, gumana sa mas mabagal na bilis. Simulan ang pagbagal nang mas maaga kaysa sa karaniwan kapag papalapit sa isang stoplight.
Alalahanin na kapag mas"&amp;" mabigat ang pasahero, mas mahaba ang kinakailangan upang mapabilis, mabagal, o lumiko. Manatiling mapagbantay, panatilihin ang distansya mula sa iba pang mga sasakyan, at tiyakin ang kaligtasan ng kapwa mo at ng iyong pasahero habang nakasakay.")</f>
        <v>Sa Pilipinas, sumusunod ang mga alituntunin sa pagdadala ng mga pasahero sa isang motorsiklo:
Ang mga biker na biker lamang ang dapat maghatid ng mga pasahero. Kung handa ka na, magsanay nang malayo sa trapiko at magdala ng taong tumitimbang ng 100 pounds. O mas kaunti.
Siguraduhin na ang iyong motorbike ay may kagamitan para magsakay ng mga pasahero.
Ang upuan ay dapat na sapat na maluwang upang mapaunlakan ang kapwa mo at ng iyong kasama nang kumportable.
Ang iyong bisikleta ay dapat na may kasamang foot pegs para sa iyong pasahero.
Palaging lagyan ng helmet ang iyong pasahero.
Baguhin ang suspensyon upang ma-accommodate ang dagdag na timbang. Kumonsulta sa manwal ng iyong may-ari para sa mga tagubilin, at siguraduhin na ang iyong mga gulong ay may tamang air pressure.
Bigyan ang iyong bisita ng mga detalyadong tagubilin bago simulan ang biyahe, lalo na kung sila ay isang bihasang rider. Huwag ipagpalagay na naiintindihan nila kung ano ang gagawin.
Payagan ang iyong pasahero na sumakay sa motor pagkatapos mong simulan ito at ituro ito sa direksyon na gusto mong puntahan. Mangyaring hilingin sa kanila na umupo sa malayo hangga't maaari nang hindi ka masikip.
Turuan ang iyong pasahero na humawak sa iyong baywang, balakang, o sinturon. Dapat silang manatili sa likod mo, nakasandal tulad ng ginagawa mo.
Maraming estado ang nag-uutos na ang mga paa ng pasahero ay mananatili sa mga foot peg sa lahat ng oras, kasama na kapag ang motorsiklo ay huminto sa isang intersection.
Babalaan ang iyong pasahero na ang mga maiinit na muffler ay maaaring magdulot ng paso.
Upang mabayaran ang karagdagang timbang, gumana sa mas mabagal na bilis. Simulan ang pagbagal nang mas maaga kaysa sa karaniwan kapag papalapit sa isang stoplight.
Alalahanin na kapag mas mabigat ang pasahero, mas mahaba ang kinakailangan upang mapabilis, mabagal, o lumiko. Manatiling mapagbantay, panatilihin ang distansya mula sa iba pang mga sasakyan, at tiyakin ang kaligtasan ng kapwa mo at ng iyong pasahero habang nakasakay.</v>
      </c>
      <c r="F1564" s="2">
        <f t="shared" si="1"/>
        <v>1</v>
      </c>
      <c r="G1564" s="2"/>
      <c r="H1564" s="2"/>
      <c r="I1564" s="2"/>
      <c r="J1564" s="2"/>
      <c r="K1564" s="2"/>
      <c r="L1564" s="2"/>
      <c r="M1564" s="2"/>
      <c r="N1564" s="2"/>
      <c r="O1564" s="2"/>
      <c r="P1564" s="2"/>
      <c r="Q1564" s="2"/>
      <c r="R1564" s="2"/>
      <c r="S1564" s="2"/>
      <c r="T1564" s="2"/>
      <c r="U1564" s="2"/>
      <c r="V1564" s="2"/>
      <c r="W1564" s="2"/>
      <c r="X1564" s="2"/>
      <c r="Y1564" s="2"/>
      <c r="Z1564" s="2"/>
      <c r="AA1564" s="2"/>
    </row>
    <row r="1565">
      <c r="A1565" s="3" t="s">
        <v>3972</v>
      </c>
      <c r="B1565" s="1" t="s">
        <v>4099</v>
      </c>
      <c r="C1565" s="1" t="s">
        <v>4277</v>
      </c>
      <c r="D1565" s="2" t="str">
        <f>IFERROR(__xludf.DUMMYFUNCTION("GOOGLETRANSLATE(B1565, ""en"", ""TL"")"),"Ano ang multa sa pagmamaneho ng motorsiklo na may higit sa dalawang pasahero?")</f>
        <v>Ano ang multa sa pagmamaneho ng motorsiklo na may higit sa dalawang pasahero?</v>
      </c>
      <c r="E1565" s="2" t="str">
        <f>IFERROR(__xludf.DUMMYFUNCTION("GOOGLETRANSLATE(C1565, ""en"", ""TL"")"),"Ang sinumang tao na nagpapatakbo ng motorsiklo na lumalabag sa Seksyon 4 ng Batas na ito ay paparusahan ng P3,000.00 para sa unang pagkakasala, P5,000.00 para sa ikalawang pagkakasala, at P10,000.00 para sa ikatlo at kasunod na pagkakasala.")</f>
        <v>Ang sinumang tao na nagpapatakbo ng motorsiklo na lumalabag sa Seksyon 4 ng Batas na ito ay paparusahan ng P3,000.00 para sa unang pagkakasala, P5,000.00 para sa ikalawang pagkakasala, at P10,000.00 para sa ikatlo at kasunod na pagkakasala.</v>
      </c>
      <c r="F1565" s="2">
        <f t="shared" si="1"/>
        <v>0</v>
      </c>
      <c r="G1565" s="2"/>
      <c r="H1565" s="2"/>
      <c r="I1565" s="2"/>
      <c r="J1565" s="2"/>
      <c r="K1565" s="2"/>
      <c r="L1565" s="2"/>
      <c r="M1565" s="2"/>
      <c r="N1565" s="2"/>
      <c r="O1565" s="2"/>
      <c r="P1565" s="2"/>
      <c r="Q1565" s="2"/>
      <c r="R1565" s="2"/>
      <c r="S1565" s="2"/>
      <c r="T1565" s="2"/>
      <c r="U1565" s="2"/>
      <c r="V1565" s="2"/>
      <c r="W1565" s="2"/>
      <c r="X1565" s="2"/>
      <c r="Y1565" s="2"/>
      <c r="Z1565" s="2"/>
      <c r="AA1565" s="2"/>
    </row>
    <row r="1566">
      <c r="A1566" s="3" t="s">
        <v>3972</v>
      </c>
      <c r="B1566" s="1" t="s">
        <v>4278</v>
      </c>
      <c r="C1566" s="1" t="s">
        <v>4279</v>
      </c>
      <c r="D1566" s="2" t="str">
        <f>IFERROR(__xludf.DUMMYFUNCTION("GOOGLETRANSLATE(B1566, ""en"", ""TL"")"),"Maaari bang pagmultahin ang isang driver para sa pagmamaneho ng motorsiklo na may hindi awtorisado o hindi karaniwang muffler?")</f>
        <v>Maaari bang pagmultahin ang isang driver para sa pagmamaneho ng motorsiklo na may hindi awtorisado o hindi karaniwang muffler?</v>
      </c>
      <c r="E1566" s="2" t="str">
        <f>IFERROR(__xludf.DUMMYFUNCTION("GOOGLETRANSLATE(C1566, ""en"", ""TL"")"),"Oo, ang isang driver sa Pilipinas ay maaaring pagmultahin para sa pagmamaneho ng motorsiklo na may hindi awtorisado o hindi karaniwang muffler. Ito ay dahil sa mga regulasyon na naglalayong kontrolin ang polusyon ng ingay at tiyakin ang kaligtasan ng mga "&amp;"sasakyan. Narito ang isang breakdown ng mga nauugnay na regulasyon at potensyal na kahihinatnan:
Legal na Batayan:
Republic Act No. 4136 (Land Transportation and Traffic Code):
Seksyon 5(g): Ipinagbabawal ang paggamit ng ""mga kampana, sirena, sipol, o"&amp;" mga busina maliban sa mga kinakailangan o pinapayagan ng batas."" Maaaring bigyang-kahulugan ang seksyong ito na isama ang mga hindi awtorisado o hindi karaniwang mga muffler dahil maaari silang makabuo ng labis na ingay.
Seksyon 20(k): Ipinagbabawal an"&amp;"g pagpapatakbo ng mga sasakyang de-motor na may ""depekto o hindi awtorisadong mga aksesorya, kagamitan, kagamitan, at piyesa."" Direktang tinutugunan ng seksyong ito ang paggamit ng hindi awtorisado o hindi karaniwang mga muffler.
Mga Regulasyon ng LTO "&amp;"Muffler:
LTO Memorandum Circular No. 2015-121: Ang sirkular na ito ay nagbabalangkas sa ""Pambansang Pamantayan para sa Mga Limitasyon sa Antas ng Tunog para sa mga Sasakyang De-motor."" Nagtatakda ito ng mga partikular na limitasyon sa decibel para sa i"&amp;"ba't ibang uri ng motorsiklo at binibigyang-diin ang pangangailangan para sa ""mga muffler na sumusunod sa nabanggit na regulasyon.""
Mga parusa:
₱5,000 na multa: Ito ang karaniwang multa para sa paglabag sa mga regulasyon ng LTO sa hindi awtorisado o h"&amp;"indi karaniwang mga muffler, ayon sa LTO Memorandum Circular No. 2016-020. Gayunpaman, ang aktwal na parusa ay maaaring mag-iba depende sa partikular na mga pangyayari at sa pagpapasya ng opisyal ng paghuli.")</f>
        <v>Oo, ang isang driver sa Pilipinas ay maaaring pagmultahin para sa pagmamaneho ng motorsiklo na may hindi awtorisado o hindi karaniwang muffler. Ito ay dahil sa mga regulasyon na naglalayong kontrolin ang polusyon ng ingay at tiyakin ang kaligtasan ng mga sasakyan. Narito ang isang breakdown ng mga nauugnay na regulasyon at potensyal na kahihinatnan:
Legal na Batayan:
Republic Act No. 4136 (Land Transportation and Traffic Code):
Seksyon 5(g): Ipinagbabawal ang paggamit ng "mga kampana, sirena, sipol, o mga busina maliban sa mga kinakailangan o pinapayagan ng batas." Maaaring bigyang-kahulugan ang seksyong ito na isama ang mga hindi awtorisado o hindi karaniwang mga muffler dahil maaari silang makabuo ng labis na ingay.
Seksyon 20(k): Ipinagbabawal ang pagpapatakbo ng mga sasakyang de-motor na may "depekto o hindi awtorisadong mga aksesorya, kagamitan, kagamitan, at piyesa." Direktang tinutugunan ng seksyong ito ang paggamit ng hindi awtorisado o hindi karaniwang mga muffler.
Mga Regulasyon ng LTO Muffler:
LTO Memorandum Circular No. 2015-121: Ang sirkular na ito ay nagbabalangkas sa "Pambansang Pamantayan para sa Mga Limitasyon sa Antas ng Tunog para sa mga Sasakyang De-motor." Nagtatakda ito ng mga partikular na limitasyon sa decibel para sa iba't ibang uri ng motorsiklo at binibigyang-diin ang pangangailangan para sa "mga muffler na sumusunod sa nabanggit na regulasyon."
Mga parusa:
₱5,000 na multa: Ito ang karaniwang multa para sa paglabag sa mga regulasyon ng LTO sa hindi awtorisado o hindi karaniwang mga muffler, ayon sa LTO Memorandum Circular No. 2016-020. Gayunpaman, ang aktwal na parusa ay maaaring mag-iba depende sa partikular na mga pangyayari at sa pagpapasya ng opisyal ng paghuli.</v>
      </c>
      <c r="F1566" s="2">
        <f t="shared" si="1"/>
        <v>0</v>
      </c>
      <c r="G1566" s="2"/>
      <c r="H1566" s="2"/>
      <c r="I1566" s="2"/>
      <c r="J1566" s="2"/>
      <c r="K1566" s="2"/>
      <c r="L1566" s="2"/>
      <c r="M1566" s="2"/>
      <c r="N1566" s="2"/>
      <c r="O1566" s="2"/>
      <c r="P1566" s="2"/>
      <c r="Q1566" s="2"/>
      <c r="R1566" s="2"/>
      <c r="S1566" s="2"/>
      <c r="T1566" s="2"/>
      <c r="U1566" s="2"/>
      <c r="V1566" s="2"/>
      <c r="W1566" s="2"/>
      <c r="X1566" s="2"/>
      <c r="Y1566" s="2"/>
      <c r="Z1566" s="2"/>
      <c r="AA1566" s="2"/>
    </row>
    <row r="1567">
      <c r="A1567" s="3" t="s">
        <v>3972</v>
      </c>
      <c r="B1567" s="1" t="s">
        <v>4167</v>
      </c>
      <c r="C1567" s="1" t="s">
        <v>4280</v>
      </c>
      <c r="D1567" s="2" t="str">
        <f>IFERROR(__xludf.DUMMYFUNCTION("GOOGLETRANSLATE(B1567, ""en"", ""TL"")"),"Ano ang parusa para sa pagpapatakbo ng sasakyan na may hindi awtorisado o hindi karaniwang mga plaka ng lisensya?")</f>
        <v>Ano ang parusa para sa pagpapatakbo ng sasakyan na may hindi awtorisado o hindi karaniwang mga plaka ng lisensya?</v>
      </c>
      <c r="E1567" s="2" t="str">
        <f>IFERROR(__xludf.DUMMYFUNCTION("GOOGLETRANSLATE(C1567, ""en"", ""TL"")"),"Sa Pilipinas, ang pagmamaneho na may hindi awtorisado o hindi karaniwang mga plaka ng lisensya ay maaaring magresulta sa mga multa at parusa. Narito ang mga kinakailangang detalye:
Pagmamaneho ng kotse na may mali o hindi wastong pagkakabit ng plate numbe"&amp;"r:
Magmulta: ₱5,000.
Ang awtorisadong motor vehicle license plate o third plate sticker ay dapat na maayos na nakakabit, at anumang hindi awtorisadong plaka, accessory, o gadget ay dapat tanggalin at kumpiskahin para sa kapakinabangan ng gobyerno.")</f>
        <v>Sa Pilipinas, ang pagmamaneho na may hindi awtorisado o hindi karaniwang mga plaka ng lisensya ay maaaring magresulta sa mga multa at parusa. Narito ang mga kinakailangang detalye:
Pagmamaneho ng kotse na may mali o hindi wastong pagkakabit ng plate number:
Magmulta: ₱5,000.
Ang awtorisadong motor vehicle license plate o third plate sticker ay dapat na maayos na nakakabit, at anumang hindi awtorisadong plaka, accessory, o gadget ay dapat tanggalin at kumpiskahin para sa kapakinabangan ng gobyerno.</v>
      </c>
      <c r="F1567" s="2">
        <f t="shared" si="1"/>
        <v>0</v>
      </c>
      <c r="G1567" s="2"/>
      <c r="H1567" s="2"/>
      <c r="I1567" s="2"/>
      <c r="J1567" s="2"/>
      <c r="K1567" s="2"/>
      <c r="L1567" s="2"/>
      <c r="M1567" s="2"/>
      <c r="N1567" s="2"/>
      <c r="O1567" s="2"/>
      <c r="P1567" s="2"/>
      <c r="Q1567" s="2"/>
      <c r="R1567" s="2"/>
      <c r="S1567" s="2"/>
      <c r="T1567" s="2"/>
      <c r="U1567" s="2"/>
      <c r="V1567" s="2"/>
      <c r="W1567" s="2"/>
      <c r="X1567" s="2"/>
      <c r="Y1567" s="2"/>
      <c r="Z1567" s="2"/>
      <c r="AA1567" s="2"/>
    </row>
    <row r="1568">
      <c r="A1568" s="3" t="s">
        <v>3972</v>
      </c>
      <c r="B1568" s="1" t="s">
        <v>4129</v>
      </c>
      <c r="C1568" s="1" t="s">
        <v>4281</v>
      </c>
      <c r="D1568" s="2" t="str">
        <f>IFERROR(__xludf.DUMMYFUNCTION("GOOGLETRANSLATE(B1568, ""en"", ""TL"")"),"Kailan legal na magmaneho nang hindi nakabukas ang mga headlight?")</f>
        <v>Kailan legal na magmaneho nang hindi nakabukas ang mga headlight?</v>
      </c>
      <c r="E1568" s="2" t="str">
        <f>IFERROR(__xludf.DUMMYFUNCTION("GOOGLETRANSLATE(C1568, ""en"", ""TL"")"),"Sa Pilipinas, ito ay hindi lamang isang bagay ng kagandahang-loob ngunit isang legal na tungkulin din na madilim ang iyong mga headlight kapag sumusunod o papalapit sa ibang driver sa loob ng 200 metro. Binabawasan ng diskarteng ito ang liwanag na nakasis"&amp;"ilaw at lumilikha ng mas ligtas na kondisyon sa pagmamaneho para sa lahat.
Tandaan, ang pagmamaneho sa gabi ay nagpapakita ng sarili nitong hanay ng mga hadlang, kaya narito ang ilan pang mga alituntunin na dapat tandaan:
Buksan ang Iyong Mga Ilaw: Bago u"&amp;"malis sa parking lot, tiyaking naka-on ang iyong mga headlight. Madaling makalimutan, lalo na kapag lumilipat mula sa maliwanag na lugar patungo sa madilim na daanan.
Panatilihing Naka-off ang Cabin Lights: Maliban kung naghahanap ka ng partikular na baga"&amp;"y, panatilihing naka-off ang iyong mga ilaw sa cabin. Tumutok sa kung ano ang iluminado ng iyong mga headlight.")</f>
        <v>Sa Pilipinas, ito ay hindi lamang isang bagay ng kagandahang-loob ngunit isang legal na tungkulin din na madilim ang iyong mga headlight kapag sumusunod o papalapit sa ibang driver sa loob ng 200 metro. Binabawasan ng diskarteng ito ang liwanag na nakasisilaw at lumilikha ng mas ligtas na kondisyon sa pagmamaneho para sa lahat.
Tandaan, ang pagmamaneho sa gabi ay nagpapakita ng sarili nitong hanay ng mga hadlang, kaya narito ang ilan pang mga alituntunin na dapat tandaan:
Buksan ang Iyong Mga Ilaw: Bago umalis sa parking lot, tiyaking naka-on ang iyong mga headlight. Madaling makalimutan, lalo na kapag lumilipat mula sa maliwanag na lugar patungo sa madilim na daanan.
Panatilihing Naka-off ang Cabin Lights: Maliban kung naghahanap ka ng partikular na bagay, panatilihing naka-off ang iyong mga ilaw sa cabin. Tumutok sa kung ano ang iluminado ng iyong mga headlight.</v>
      </c>
      <c r="F1568" s="2">
        <f t="shared" si="1"/>
        <v>0</v>
      </c>
      <c r="G1568" s="2"/>
      <c r="H1568" s="2"/>
      <c r="I1568" s="2"/>
      <c r="J1568" s="2"/>
      <c r="K1568" s="2"/>
      <c r="L1568" s="2"/>
      <c r="M1568" s="2"/>
      <c r="N1568" s="2"/>
      <c r="O1568" s="2"/>
      <c r="P1568" s="2"/>
      <c r="Q1568" s="2"/>
      <c r="R1568" s="2"/>
      <c r="S1568" s="2"/>
      <c r="T1568" s="2"/>
      <c r="U1568" s="2"/>
      <c r="V1568" s="2"/>
      <c r="W1568" s="2"/>
      <c r="X1568" s="2"/>
      <c r="Y1568" s="2"/>
      <c r="Z1568" s="2"/>
      <c r="AA1568" s="2"/>
    </row>
    <row r="1569">
      <c r="A1569" s="3" t="s">
        <v>3972</v>
      </c>
      <c r="B1569" s="1" t="s">
        <v>4282</v>
      </c>
      <c r="C1569" s="1" t="s">
        <v>4283</v>
      </c>
      <c r="D1569" s="2" t="str">
        <f>IFERROR(__xludf.DUMMYFUNCTION("GOOGLETRANSLATE(B1569, ""en"", ""TL"")"),"Ano ang parusa para sa pagpapatakbo ng sasakyan na may hindi awtorisado o hindi karaniwang mga sirena, kampana, o busina?")</f>
        <v>Ano ang parusa para sa pagpapatakbo ng sasakyan na may hindi awtorisado o hindi karaniwang mga sirena, kampana, o busina?</v>
      </c>
      <c r="E1569" s="2" t="str">
        <f>IFERROR(__xludf.DUMMYFUNCTION("GOOGLETRANSLATE(C1569, ""en"", ""TL"")"),"Ang pagpapatakbo ng sasakyan na may hindi awtorisado o hindi karaniwang mga sirena, kampana, o busina sa Pilipinas ay isang malubhang paglabag sa trapiko na may mga partikular na parusa na nakabalangkas sa parehong pambansang batas at mga lokal na regulas"&amp;"yon.
Legal na Batayan:
Republic Act No. 4136 (Land Transportation and Traffic Code):
Seksyon 5(g): Ipinagbabawal ang paggamit ng ""mga kampana, sirena, sipol, o mga busina maliban sa mga kinakailangan o pinapayagan ng batas."" Direktang tinutugunan ng "&amp;"seksyong ito ang hindi awtorisadong paggamit ng mga device na ito sa mga sasakyan.
Mga Regulasyon ng LTO:
Ang ilang mga regulasyon ng Land Transportation Office (LTO) ay higit na nagpapatibay sa probisyong ito:
2016-020 ng LTO Memorandum Circular No. A"&amp;"ng paggamit ng hindi awtorisado o hindi karaniwang mga aparatong nagpapalabas ng ingay ay maituturing na isang paglabag sa prinsipyong ito.
LTO Advisory No. 2010-026: Ang advisory na ito ay tahasang ipinagbabawal ang paggamit at pag-install ng mga sirena"&amp;", kampana, at mga katulad na kagamitan sa mga pribadong sasakyang de-motor.
Mga parusa:
₱5,000 na multa: Ito ang karaniwang multa para sa paggamit ng hindi awtorisado o hindi karaniwang sirena, kampana, o busina, ayon sa LTO Memorandum Circular No. 2016"&amp;"-020. Gayunpaman, ang aktwal na parusa ay maaaring mag-iba depende sa partikular na mga pangyayari at sa pagpapasya ng opisyal ng paghuli.")</f>
        <v>Ang pagpapatakbo ng sasakyan na may hindi awtorisado o hindi karaniwang mga sirena, kampana, o busina sa Pilipinas ay isang malubhang paglabag sa trapiko na may mga partikular na parusa na nakabalangkas sa parehong pambansang batas at mga lokal na regulasyon.
Legal na Batayan:
Republic Act No. 4136 (Land Transportation and Traffic Code):
Seksyon 5(g): Ipinagbabawal ang paggamit ng "mga kampana, sirena, sipol, o mga busina maliban sa mga kinakailangan o pinapayagan ng batas." Direktang tinutugunan ng seksyong ito ang hindi awtorisadong paggamit ng mga device na ito sa mga sasakyan.
Mga Regulasyon ng LTO:
Ang ilang mga regulasyon ng Land Transportation Office (LTO) ay higit na nagpapatibay sa probisyong ito:
2016-020 ng LTO Memorandum Circular No. Ang paggamit ng hindi awtorisado o hindi karaniwang mga aparatong nagpapalabas ng ingay ay maituturing na isang paglabag sa prinsipyong ito.
LTO Advisory No. 2010-026: Ang advisory na ito ay tahasang ipinagbabawal ang paggamit at pag-install ng mga sirena, kampana, at mga katulad na kagamitan sa mga pribadong sasakyang de-motor.
Mga parusa:
₱5,000 na multa: Ito ang karaniwang multa para sa paggamit ng hindi awtorisado o hindi karaniwang sirena, kampana, o busina, ayon sa LTO Memorandum Circular No. 2016-020. Gayunpaman, ang aktwal na parusa ay maaaring mag-iba depende sa partikular na mga pangyayari at sa pagpapasya ng opisyal ng paghuli.</v>
      </c>
      <c r="F1569" s="2">
        <f t="shared" si="1"/>
        <v>0</v>
      </c>
      <c r="G1569" s="2"/>
      <c r="H1569" s="2"/>
      <c r="I1569" s="2"/>
      <c r="J1569" s="2"/>
      <c r="K1569" s="2"/>
      <c r="L1569" s="2"/>
      <c r="M1569" s="2"/>
      <c r="N1569" s="2"/>
      <c r="O1569" s="2"/>
      <c r="P1569" s="2"/>
      <c r="Q1569" s="2"/>
      <c r="R1569" s="2"/>
      <c r="S1569" s="2"/>
      <c r="T1569" s="2"/>
      <c r="U1569" s="2"/>
      <c r="V1569" s="2"/>
      <c r="W1569" s="2"/>
      <c r="X1569" s="2"/>
      <c r="Y1569" s="2"/>
      <c r="Z1569" s="2"/>
      <c r="AA1569" s="2"/>
    </row>
    <row r="1570">
      <c r="A1570" s="3" t="s">
        <v>3972</v>
      </c>
      <c r="B1570" s="1" t="s">
        <v>4125</v>
      </c>
      <c r="C1570" s="1" t="s">
        <v>4284</v>
      </c>
      <c r="D1570" s="2" t="str">
        <f>IFERROR(__xludf.DUMMYFUNCTION("GOOGLETRANSLATE(B1570, ""en"", ""TL"")"),"Maaari bang pagmultahin ang isang tsuper para sa pagpayag sa isang tao na sumakay sa bubong o deck ng isang sasakyan?")</f>
        <v>Maaari bang pagmultahin ang isang tsuper para sa pagpayag sa isang tao na sumakay sa bubong o deck ng isang sasakyan?</v>
      </c>
      <c r="E1570" s="2" t="str">
        <f>IFERROR(__xludf.DUMMYFUNCTION("GOOGLETRANSLATE(C1570, ""en"", ""TL"")"),"Oo, sa Pilipinas, ang isang driver ay maaaring maharap sa multa para sa pagpapahintulot sa isang tao na sumakay sa bubong o deck ng isang sasakyang de-motor. Narito ang ilang nauugnay na paglabag sa trapiko:
Ang pagpayag sa mga pasahero na sumakay sa bubo"&amp;"ng o takip ng sasakyang de-motor (MV) ay isang paglabag, maliban sa tulong sa trak. Ang multa para sa paglabag na ito ay P1,000.
Ang pagpayag sa mga pasahero na sumakay sa mga tumatakbong board, step board, o mudguard ng gumagalaw na sasakyan ay isa ring "&amp;"paglabag.
Pagkabigong madilim ang mga headlight kapag papalapit sa isa pang sasakyang de-motor: Dapat i-dim ng mga driver ang kanilang mga headlight upang maiwasang mabulag ang ibang motorista.")</f>
        <v>Oo, sa Pilipinas, ang isang driver ay maaaring maharap sa multa para sa pagpapahintulot sa isang tao na sumakay sa bubong o deck ng isang sasakyang de-motor. Narito ang ilang nauugnay na paglabag sa trapiko:
Ang pagpayag sa mga pasahero na sumakay sa bubong o takip ng sasakyang de-motor (MV) ay isang paglabag, maliban sa tulong sa trak. Ang multa para sa paglabag na ito ay P1,000.
Ang pagpayag sa mga pasahero na sumakay sa mga tumatakbong board, step board, o mudguard ng gumagalaw na sasakyan ay isa ring paglabag.
Pagkabigong madilim ang mga headlight kapag papalapit sa isa pang sasakyang de-motor: Dapat i-dim ng mga driver ang kanilang mga headlight upang maiwasang mabulag ang ibang motorista.</v>
      </c>
      <c r="F1570" s="2">
        <f t="shared" si="1"/>
        <v>0</v>
      </c>
      <c r="G1570" s="2"/>
      <c r="H1570" s="2"/>
      <c r="I1570" s="2"/>
      <c r="J1570" s="2"/>
      <c r="K1570" s="2"/>
      <c r="L1570" s="2"/>
      <c r="M1570" s="2"/>
      <c r="N1570" s="2"/>
      <c r="O1570" s="2"/>
      <c r="P1570" s="2"/>
      <c r="Q1570" s="2"/>
      <c r="R1570" s="2"/>
      <c r="S1570" s="2"/>
      <c r="T1570" s="2"/>
      <c r="U1570" s="2"/>
      <c r="V1570" s="2"/>
      <c r="W1570" s="2"/>
      <c r="X1570" s="2"/>
      <c r="Y1570" s="2"/>
      <c r="Z1570" s="2"/>
      <c r="AA1570" s="2"/>
    </row>
    <row r="1571">
      <c r="A1571" s="3" t="s">
        <v>3972</v>
      </c>
      <c r="B1571" s="1" t="s">
        <v>4285</v>
      </c>
      <c r="C1571" s="1" t="s">
        <v>4286</v>
      </c>
      <c r="D1571" s="2" t="str">
        <f>IFERROR(__xludf.DUMMYFUNCTION("GOOGLETRANSLATE(B1571, ""en"", ""TL"")"),"Ano ang parusa para sa paggamit ng sasakyan na may hindi awtorisado o hindi karaniwang mga accessory?")</f>
        <v>Ano ang parusa para sa paggamit ng sasakyan na may hindi awtorisado o hindi karaniwang mga accessory?</v>
      </c>
      <c r="E1571" s="2" t="str">
        <f>IFERROR(__xludf.DUMMYFUNCTION("GOOGLETRANSLATE(C1571, ""en"", ""TL"")"),"Ang pagpapatakbo ng sasakyan sa Pilipinas na may hindi awtorisado o hindi karaniwang mga accessory ay isang paglabag sa trapiko at maaaring magresulta sa multa. Narito ang isang buod ng mga nauugnay na regulasyon at kahihinatnan:
Legal na Batayan:
Repub"&amp;"lic Act No. 4136 (Land Transportation and Traffic Code):
Seksyon 5(g): Ipinagbabawal ang paggamit ng ""mga kampana, sirena, sipol, o mga busina maliban sa mga kinakailangan o pinapayagan ng batas.""
Seksyon 20(k): Ipinagbabawal ang pagpapatakbo ng mga s"&amp;"asakyang de-motor na may ""depekto o hindi awtorisadong mga aksesorya, kagamitan, kagamitan, at piyesa.""
Mga Hindi awtorisadong Device:
Pangunahing pinupuntirya ng mga regulasyon ang paggamit ng mga accessory na:
Hindi pamantayan o inaprubahan ng Land"&amp;" Transportation Office (LTO).
Maglabas ng malakas o nakakagulat na mga tunog na maaaring magdulot ng kaguluhan o pagkalito para sa ibang mga driver at pedestrian.
Palabuin ang paningin ng nagmamaneho o hadlangan ang pagpapatakbo ng sasakyan.
Maglagay n"&amp;"g panganib sa kaligtasan sa kanilang sarili o sa iba sa kalsada.
Mga Halimbawa ng Hindi Awtorisadong Accessory:
Mga hindi karaniwang headlight o taillight: Maaaring makaapekto ang mga ito sa visibility at lumikha ng kalituhan para sa ibang mga driver.
"&amp;"Labis na malakas na busina o sirena: Maaari itong magdulot ng polusyon sa ingay at posibleng magulat ang ibang mga driver, na humahantong sa mga aksidente.
Window tinting na lumalampas sa mga legal na limitasyon: Maaari itong makabuluhang bawasan ang vis"&amp;"ibility para sa driver, lalo na sa gabi.
Mga hindi awtorisadong pagbabago sa suspensyon o makina ng sasakyan: Maaaring makaapekto ang mga ito sa paghawak at katatagan ng sasakyan, na nagpapataas ng panganib ng mga aksidente.
Mga parusa:
₱5,000 na multa"&amp;": Ito ang karaniwang multa para sa paggamit ng hindi awtorisado o hindi karaniwang mga accessory, kagamitan, kagamitan, at piyesa ayon sa LTO Memorandum Circular No. 2016-020.")</f>
        <v>Ang pagpapatakbo ng sasakyan sa Pilipinas na may hindi awtorisado o hindi karaniwang mga accessory ay isang paglabag sa trapiko at maaaring magresulta sa multa. Narito ang isang buod ng mga nauugnay na regulasyon at kahihinatnan:
Legal na Batayan:
Republic Act No. 4136 (Land Transportation and Traffic Code):
Seksyon 5(g): Ipinagbabawal ang paggamit ng "mga kampana, sirena, sipol, o mga busina maliban sa mga kinakailangan o pinapayagan ng batas."
Seksyon 20(k): Ipinagbabawal ang pagpapatakbo ng mga sasakyang de-motor na may "depekto o hindi awtorisadong mga aksesorya, kagamitan, kagamitan, at piyesa."
Mga Hindi awtorisadong Device:
Pangunahing pinupuntirya ng mga regulasyon ang paggamit ng mga accessory na:
Hindi pamantayan o inaprubahan ng Land Transportation Office (LTO).
Maglabas ng malakas o nakakagulat na mga tunog na maaaring magdulot ng kaguluhan o pagkalito para sa ibang mga driver at pedestrian.
Palabuin ang paningin ng nagmamaneho o hadlangan ang pagpapatakbo ng sasakyan.
Maglagay ng panganib sa kaligtasan sa kanilang sarili o sa iba sa kalsada.
Mga Halimbawa ng Hindi Awtorisadong Accessory:
Mga hindi karaniwang headlight o taillight: Maaaring makaapekto ang mga ito sa visibility at lumikha ng kalituhan para sa ibang mga driver.
Labis na malakas na busina o sirena: Maaari itong magdulot ng polusyon sa ingay at posibleng magulat ang ibang mga driver, na humahantong sa mga aksidente.
Window tinting na lumalampas sa mga legal na limitasyon: Maaari itong makabuluhang bawasan ang visibility para sa driver, lalo na sa gabi.
Mga hindi awtorisadong pagbabago sa suspensyon o makina ng sasakyan: Maaaring makaapekto ang mga ito sa paghawak at katatagan ng sasakyan, na nagpapataas ng panganib ng mga aksidente.
Mga parusa:
₱5,000 na multa: Ito ang karaniwang multa para sa paggamit ng hindi awtorisado o hindi karaniwang mga accessory, kagamitan, kagamitan, at piyesa ayon sa LTO Memorandum Circular No. 2016-020.</v>
      </c>
      <c r="F1571" s="2">
        <f t="shared" si="1"/>
        <v>0</v>
      </c>
      <c r="G1571" s="2"/>
      <c r="H1571" s="2"/>
      <c r="I1571" s="2"/>
      <c r="J1571" s="2"/>
      <c r="K1571" s="2"/>
      <c r="L1571" s="2"/>
      <c r="M1571" s="2"/>
      <c r="N1571" s="2"/>
      <c r="O1571" s="2"/>
      <c r="P1571" s="2"/>
      <c r="Q1571" s="2"/>
      <c r="R1571" s="2"/>
      <c r="S1571" s="2"/>
      <c r="T1571" s="2"/>
      <c r="U1571" s="2"/>
      <c r="V1571" s="2"/>
      <c r="W1571" s="2"/>
      <c r="X1571" s="2"/>
      <c r="Y1571" s="2"/>
      <c r="Z1571" s="2"/>
      <c r="AA1571" s="2"/>
    </row>
    <row r="1572">
      <c r="A1572" s="3" t="s">
        <v>3972</v>
      </c>
      <c r="B1572" s="1" t="s">
        <v>4186</v>
      </c>
      <c r="C1572" s="1" t="s">
        <v>4287</v>
      </c>
      <c r="D1572" s="2" t="str">
        <f>IFERROR(__xludf.DUMMYFUNCTION("GOOGLETRANSLATE(B1572, ""en"", ""TL"")"),"Ano ang multa para sa pagmamaneho nang walang kinakailangang mga headlight at taillight sa gabi?")</f>
        <v>Ano ang multa para sa pagmamaneho nang walang kinakailangang mga headlight at taillight sa gabi?</v>
      </c>
      <c r="E1572" s="2" t="str">
        <f>IFERROR(__xludf.DUMMYFUNCTION("GOOGLETRANSLATE(C1572, ""en"", ""TL"")"),"ayos lang. Php. 50,000.00, na-impound ang sasakyang de-motor.")</f>
        <v>ayos lang. Php. 50,000.00, na-impound ang sasakyang de-motor.</v>
      </c>
      <c r="F1572" s="2">
        <f t="shared" si="1"/>
        <v>0</v>
      </c>
      <c r="G1572" s="2"/>
      <c r="H1572" s="2"/>
      <c r="I1572" s="2"/>
      <c r="J1572" s="2"/>
      <c r="K1572" s="2"/>
      <c r="L1572" s="2"/>
      <c r="M1572" s="2"/>
      <c r="N1572" s="2"/>
      <c r="O1572" s="2"/>
      <c r="P1572" s="2"/>
      <c r="Q1572" s="2"/>
      <c r="R1572" s="2"/>
      <c r="S1572" s="2"/>
      <c r="T1572" s="2"/>
      <c r="U1572" s="2"/>
      <c r="V1572" s="2"/>
      <c r="W1572" s="2"/>
      <c r="X1572" s="2"/>
      <c r="Y1572" s="2"/>
      <c r="Z1572" s="2"/>
      <c r="AA1572" s="2"/>
    </row>
    <row r="1573">
      <c r="A1573" s="3" t="s">
        <v>3972</v>
      </c>
      <c r="B1573" s="1" t="s">
        <v>4288</v>
      </c>
      <c r="C1573" s="1" t="s">
        <v>4289</v>
      </c>
      <c r="D1573" s="2" t="str">
        <f>IFERROR(__xludf.DUMMYFUNCTION("GOOGLETRANSLATE(B1573, ""en"", ""TL"")"),"Kailan maaaring lumiko sa kaliwa ang isang driver sa isang pulang ilaw ng trapiko?")</f>
        <v>Kailan maaaring lumiko sa kaliwa ang isang driver sa isang pulang ilaw ng trapiko?</v>
      </c>
      <c r="E1573" s="2" t="str">
        <f>IFERROR(__xludf.DUMMYFUNCTION("GOOGLETRANSLATE(C1573, ""en"", ""TL"")"),"Sa Pilipinas, hindi tulad ng ibang mga bansa kung saan ang pinahihintulutang pagliko sa pulang ilaw ay maaaring ipahiwatig ng berdeng arrow na may kumikislap na dilaw na ilaw, karaniwang hindi pinapayagan ang mga driver na lumiko pakaliwa sa isang pulang "&amp;"traffic light.
Narito ang isang breakdown ng karaniwang pagpapatakbo ng ilaw ng trapiko at mga pamamaraan sa kaliwa:
Pulang Ilaw: Ito ay nagpapahiwatig ng kumpletong paghinto para sa lahat ng direksyon ng trapiko. Dapat na ganap na huminto ang mga drive"&amp;"r sa likod ng stop line at hintaying maging berde ang ilaw bago magpatuloy.
Green Light: Ito ay nagpapahiwatig na ang trapiko ay maaaring magpatuloy sa itinalagang direksyon, kabilang ang paggawa ng kaliwa kung walang paparating na mga sasakyan at ang pa"&amp;"gliko ay maaaring gawin nang ligtas.
Mga Pamamaraan sa Pagliko sa Kaliwa:
Turn Signal: Bago lumiko sa kaliwa, kahit sa berdeng ilaw, dapat palaging i-activate ng mga driver ang kanilang left-turn signal upang alertuhan ang ibang mga driver ng kanilang i"&amp;"ntensyon.
Magbigay ng Priyoridad: Ang mga nagmamanehong lumiliko sa kaliwa, kahit na may berdeng ilaw, ay dapat magbigay sa kanan ng daan patungo sa paparating na trapiko na may berdeng ilaw o nasa intersection na.
Ligtas na Pagliko sa Kaliwa: Lumiko la"&amp;"mang sa kaliwa kapag ligtas nang gawin ito, na tinitiyak na walang paparating na sasakyan at mga naglalakad na tumatawid sa landas.")</f>
        <v>Sa Pilipinas, hindi tulad ng ibang mga bansa kung saan ang pinahihintulutang pagliko sa pulang ilaw ay maaaring ipahiwatig ng berdeng arrow na may kumikislap na dilaw na ilaw, karaniwang hindi pinapayagan ang mga driver na lumiko pakaliwa sa isang pulang traffic light.
Narito ang isang breakdown ng karaniwang pagpapatakbo ng ilaw ng trapiko at mga pamamaraan sa kaliwa:
Pulang Ilaw: Ito ay nagpapahiwatig ng kumpletong paghinto para sa lahat ng direksyon ng trapiko. Dapat na ganap na huminto ang mga driver sa likod ng stop line at hintaying maging berde ang ilaw bago magpatuloy.
Green Light: Ito ay nagpapahiwatig na ang trapiko ay maaaring magpatuloy sa itinalagang direksyon, kabilang ang paggawa ng kaliwa kung walang paparating na mga sasakyan at ang pagliko ay maaaring gawin nang ligtas.
Mga Pamamaraan sa Pagliko sa Kaliwa:
Turn Signal: Bago lumiko sa kaliwa, kahit sa berdeng ilaw, dapat palaging i-activate ng mga driver ang kanilang left-turn signal upang alertuhan ang ibang mga driver ng kanilang intensyon.
Magbigay ng Priyoridad: Ang mga nagmamanehong lumiliko sa kaliwa, kahit na may berdeng ilaw, ay dapat magbigay sa kanan ng daan patungo sa paparating na trapiko na may berdeng ilaw o nasa intersection na.
Ligtas na Pagliko sa Kaliwa: Lumiko lamang sa kaliwa kapag ligtas nang gawin ito, na tinitiyak na walang paparating na sasakyan at mga naglalakad na tumatawid sa landas.</v>
      </c>
      <c r="F1573" s="2">
        <f t="shared" si="1"/>
        <v>0</v>
      </c>
      <c r="G1573" s="2"/>
      <c r="H1573" s="2"/>
      <c r="I1573" s="2"/>
      <c r="J1573" s="2"/>
      <c r="K1573" s="2"/>
      <c r="L1573" s="2"/>
      <c r="M1573" s="2"/>
      <c r="N1573" s="2"/>
      <c r="O1573" s="2"/>
      <c r="P1573" s="2"/>
      <c r="Q1573" s="2"/>
      <c r="R1573" s="2"/>
      <c r="S1573" s="2"/>
      <c r="T1573" s="2"/>
      <c r="U1573" s="2"/>
      <c r="V1573" s="2"/>
      <c r="W1573" s="2"/>
      <c r="X1573" s="2"/>
      <c r="Y1573" s="2"/>
      <c r="Z1573" s="2"/>
      <c r="AA1573" s="2"/>
    </row>
    <row r="1574">
      <c r="A1574" s="3" t="s">
        <v>3972</v>
      </c>
      <c r="B1574" s="1" t="s">
        <v>4290</v>
      </c>
      <c r="C1574" s="1" t="s">
        <v>4291</v>
      </c>
      <c r="D1574" s="2" t="str">
        <f>IFERROR(__xludf.DUMMYFUNCTION("GOOGLETRANSLATE(B1574, ""en"", ""TL"")"),"Maaari bang pagmultahin ang isang driver kapag hindi sumuko sa isang nag-overtake na sasakyan?")</f>
        <v>Maaari bang pagmultahin ang isang driver kapag hindi sumuko sa isang nag-overtake na sasakyan?</v>
      </c>
      <c r="E1574" s="2" t="str">
        <f>IFERROR(__xludf.DUMMYFUNCTION("GOOGLETRANSLATE(C1574, ""en"", ""TL"")"),"Huminto ang pagtugon.
Oo, sa Pilipinas, ang isang tsuper ay maaaring parusahan kapag hindi sumuko sa isang nag-overtake na sasakyan. Kapag ang isang driver ay hindi sumuko sa isang nag-overtake na sasakyan, maaari silang mapatawan ng Php 1,000 na parusa."&amp;" Upang maiwasan ang mga parusa, ang mga driver ay dapat na ipaalam sa mga patakaran sa trapiko at magmaneho nang ligtas. Tandaan na ang kaligtasan sa kalsada ay nakakatulong sa lahat.")</f>
        <v>Huminto ang pagtugon.
Oo, sa Pilipinas, ang isang tsuper ay maaaring parusahan kapag hindi sumuko sa isang nag-overtake na sasakyan. Kapag ang isang driver ay hindi sumuko sa isang nag-overtake na sasakyan, maaari silang mapatawan ng Php 1,000 na parusa. Upang maiwasan ang mga parusa, ang mga driver ay dapat na ipaalam sa mga patakaran sa trapiko at magmaneho nang ligtas. Tandaan na ang kaligtasan sa kalsada ay nakakatulong sa lahat.</v>
      </c>
      <c r="F1574" s="2">
        <f t="shared" si="1"/>
        <v>0</v>
      </c>
      <c r="G1574" s="2"/>
      <c r="H1574" s="2"/>
      <c r="I1574" s="2"/>
      <c r="J1574" s="2"/>
      <c r="K1574" s="2"/>
      <c r="L1574" s="2"/>
      <c r="M1574" s="2"/>
      <c r="N1574" s="2"/>
      <c r="O1574" s="2"/>
      <c r="P1574" s="2"/>
      <c r="Q1574" s="2"/>
      <c r="R1574" s="2"/>
      <c r="S1574" s="2"/>
      <c r="T1574" s="2"/>
      <c r="U1574" s="2"/>
      <c r="V1574" s="2"/>
      <c r="W1574" s="2"/>
      <c r="X1574" s="2"/>
      <c r="Y1574" s="2"/>
      <c r="Z1574" s="2"/>
      <c r="AA1574" s="2"/>
    </row>
    <row r="1575">
      <c r="A1575" s="3" t="s">
        <v>3972</v>
      </c>
      <c r="B1575" s="1" t="s">
        <v>4196</v>
      </c>
      <c r="C1575" s="1" t="s">
        <v>4292</v>
      </c>
      <c r="D1575" s="2" t="str">
        <f>IFERROR(__xludf.DUMMYFUNCTION("GOOGLETRANSLATE(B1575, ""en"", ""TL"")"),"Ano ang multa para sa pagmamaneho ng sasakyan nang walang wastong sertipiko ng pagsunod sa emisyon?")</f>
        <v>Ano ang multa para sa pagmamaneho ng sasakyan nang walang wastong sertipiko ng pagsunod sa emisyon?</v>
      </c>
      <c r="E1575" s="2" t="str">
        <f>IFERROR(__xludf.DUMMYFUNCTION("GOOGLETRANSLATE(C1575, ""en"", ""TL"")"),"Ang unang paglabag ay may multang Php 3,000. Ang ikalawang paglabag ay may multang Php 5,000.")</f>
        <v>Ang unang paglabag ay may multang Php 3,000. Ang ikalawang paglabag ay may multang Php 5,000.</v>
      </c>
      <c r="F1575" s="2">
        <f t="shared" si="1"/>
        <v>0</v>
      </c>
      <c r="G1575" s="2"/>
      <c r="H1575" s="2"/>
      <c r="I1575" s="2"/>
      <c r="J1575" s="2"/>
      <c r="K1575" s="2"/>
      <c r="L1575" s="2"/>
      <c r="M1575" s="2"/>
      <c r="N1575" s="2"/>
      <c r="O1575" s="2"/>
      <c r="P1575" s="2"/>
      <c r="Q1575" s="2"/>
      <c r="R1575" s="2"/>
      <c r="S1575" s="2"/>
      <c r="T1575" s="2"/>
      <c r="U1575" s="2"/>
      <c r="V1575" s="2"/>
      <c r="W1575" s="2"/>
      <c r="X1575" s="2"/>
      <c r="Y1575" s="2"/>
      <c r="Z1575" s="2"/>
      <c r="AA1575" s="2"/>
    </row>
    <row r="1576">
      <c r="A1576" s="3" t="s">
        <v>3972</v>
      </c>
      <c r="B1576" s="1" t="s">
        <v>4198</v>
      </c>
      <c r="C1576" s="1" t="s">
        <v>4293</v>
      </c>
      <c r="D1576" s="2" t="str">
        <f>IFERROR(__xludf.DUMMYFUNCTION("GOOGLETRANSLATE(B1576, ""en"", ""TL"")"),"Kailan legal na magmaneho nang nakabukas ang mga ilaw sa loob?")</f>
        <v>Kailan legal na magmaneho nang nakabukas ang mga ilaw sa loob?</v>
      </c>
      <c r="E1576" s="2" t="str">
        <f>IFERROR(__xludf.DUMMYFUNCTION("GOOGLETRANSLATE(C1576, ""en"", ""TL"")"),"Land Transportation and Traffic Code (Republic Act No. 4136), na tahasang nagbabawal o nagpapahintulot sa paggamit ng interior lights habang nagmamaneho. Gayunpaman, may mga hindi direktang pagsasaalang-alang at mga potensyal na kahihinatnan na dapat mala"&amp;"man:
Pagkagambala: Ang sobrang liwanag mula sa mga panloob na ilaw ay maaaring makagambala sa driver at makakaapekto sa kanilang visibility, lalo na sa gabi. Isa itong alalahanin sa kaligtasan at dapat tiyakin ng mga responsableng driver na ang antas ng "&amp;"panloob na ilaw ay hindi makahahadlang sa kanilang kakayahang tumuon sa kalsada.
Pagpapasya sa Pagpapatupad ng Batas: Bagama't hindi tahasang labag sa batas, maaaring gamitin ng mga opisyal ng pagpapatupad ng batas ang kanilang paghuhusga upang hulihin a"&amp;"ng mga driver kung ang ilaw sa loob ay itinuring na masyadong maliwanag o nakakagambala at posibleng mag-ambag sa isang panganib sa kaligtasan.")</f>
        <v>Land Transportation and Traffic Code (Republic Act No. 4136), na tahasang nagbabawal o nagpapahintulot sa paggamit ng interior lights habang nagmamaneho. Gayunpaman, may mga hindi direktang pagsasaalang-alang at mga potensyal na kahihinatnan na dapat malaman:
Pagkagambala: Ang sobrang liwanag mula sa mga panloob na ilaw ay maaaring makagambala sa driver at makakaapekto sa kanilang visibility, lalo na sa gabi. Isa itong alalahanin sa kaligtasan at dapat tiyakin ng mga responsableng driver na ang antas ng panloob na ilaw ay hindi makahahadlang sa kanilang kakayahang tumuon sa kalsada.
Pagpapasya sa Pagpapatupad ng Batas: Bagama't hindi tahasang labag sa batas, maaaring gamitin ng mga opisyal ng pagpapatupad ng batas ang kanilang paghuhusga upang hulihin ang mga driver kung ang ilaw sa loob ay itinuring na masyadong maliwanag o nakakagambala at posibleng mag-ambag sa isang panganib sa kaligtasan.</v>
      </c>
      <c r="F1576" s="2">
        <f t="shared" si="1"/>
        <v>0</v>
      </c>
      <c r="G1576" s="2"/>
      <c r="H1576" s="2"/>
      <c r="I1576" s="2"/>
      <c r="J1576" s="2"/>
      <c r="K1576" s="2"/>
      <c r="L1576" s="2"/>
      <c r="M1576" s="2"/>
      <c r="N1576" s="2"/>
      <c r="O1576" s="2"/>
      <c r="P1576" s="2"/>
      <c r="Q1576" s="2"/>
      <c r="R1576" s="2"/>
      <c r="S1576" s="2"/>
      <c r="T1576" s="2"/>
      <c r="U1576" s="2"/>
      <c r="V1576" s="2"/>
      <c r="W1576" s="2"/>
      <c r="X1576" s="2"/>
      <c r="Y1576" s="2"/>
      <c r="Z1576" s="2"/>
      <c r="AA1576" s="2"/>
    </row>
    <row r="1577">
      <c r="A1577" s="3" t="s">
        <v>3972</v>
      </c>
      <c r="B1577" s="1" t="s">
        <v>4107</v>
      </c>
      <c r="C1577" s="1" t="s">
        <v>4294</v>
      </c>
      <c r="D1577" s="2" t="str">
        <f>IFERROR(__xludf.DUMMYFUNCTION("GOOGLETRANSLATE(B1577, ""en"", ""TL"")"),"Ano ang parusa para sa paggamit ng mapanlinlang o tampered driver's license?")</f>
        <v>Ano ang parusa para sa paggamit ng mapanlinlang o tampered driver's license?</v>
      </c>
      <c r="E1577" s="2" t="str">
        <f>IFERROR(__xludf.DUMMYFUNCTION("GOOGLETRANSLATE(C1577, ""en"", ""TL"")"),"Ayon sa DOTr Joint Administrative Order No. 2014-01, ang isang motorista na mayroon at gumagamit ng mapanlinlang na lisensya sa pagmamaneho ay mahaharap sa P3,000 na multa at pagbabawalan sa pagkuha ng lisensya at pagpapatakbo ng sasakyan sa loob ng isang"&amp;" taon pagkatapos mabayaran ang singil.")</f>
        <v>Ayon sa DOTr Joint Administrative Order No. 2014-01, ang isang motorista na mayroon at gumagamit ng mapanlinlang na lisensya sa pagmamaneho ay mahaharap sa P3,000 na multa at pagbabawalan sa pagkuha ng lisensya at pagpapatakbo ng sasakyan sa loob ng isang taon pagkatapos mabayaran ang singil.</v>
      </c>
      <c r="F1577" s="2">
        <f t="shared" si="1"/>
        <v>0</v>
      </c>
      <c r="G1577" s="2"/>
      <c r="H1577" s="2"/>
      <c r="I1577" s="2"/>
      <c r="J1577" s="2"/>
      <c r="K1577" s="2"/>
      <c r="L1577" s="2"/>
      <c r="M1577" s="2"/>
      <c r="N1577" s="2"/>
      <c r="O1577" s="2"/>
      <c r="P1577" s="2"/>
      <c r="Q1577" s="2"/>
      <c r="R1577" s="2"/>
      <c r="S1577" s="2"/>
      <c r="T1577" s="2"/>
      <c r="U1577" s="2"/>
      <c r="V1577" s="2"/>
      <c r="W1577" s="2"/>
      <c r="X1577" s="2"/>
      <c r="Y1577" s="2"/>
      <c r="Z1577" s="2"/>
      <c r="AA1577" s="2"/>
    </row>
    <row r="1578">
      <c r="A1578" s="3" t="s">
        <v>3972</v>
      </c>
      <c r="B1578" s="1" t="s">
        <v>4175</v>
      </c>
      <c r="C1578" s="1" t="s">
        <v>4295</v>
      </c>
      <c r="D1578" s="2" t="str">
        <f>IFERROR(__xludf.DUMMYFUNCTION("GOOGLETRANSLATE(B1578, ""en"", ""TL"")"),"Maaari bang pagmultahin ang isang driver para sa paggamit ng isang pribadong sasakyan para sa pag-upa nang walang kinakailangang mga permit?")</f>
        <v>Maaari bang pagmultahin ang isang driver para sa paggamit ng isang pribadong sasakyan para sa pag-upa nang walang kinakailangang mga permit?</v>
      </c>
      <c r="E1578" s="2" t="str">
        <f>IFERROR(__xludf.DUMMYFUNCTION("GOOGLETRANSLATE(C1578, ""en"", ""TL"")"),"Oo, ang isang driver sa Pilipinas ay maaaring pagmultahin para sa paggamit ng isang pribadong sasakyan para sa pag-upa nang walang kinakailangang mga permit. Ito ay isang paglabag sa Land Transportation and Traffic Code (Republic Act No. 4136) at maaaring"&amp;" magresulta sa iba't ibang parusa.
Narito ang isang breakdown ng mga nauugnay na regulasyon at potensyal na kahihinatnan:
Legal na Batayan:
Republic Act No. 4136 (Land Transportation and Traffic Code):
Seksyon 7(a): Nagsasaad na ""ang mga pribadong sa"&amp;"sakyang de-motor ay hindi dapat gamitin para sa pag-upa."" Direktang ipinagbabawal ng seksyong ito ang paggamit ng hindi rehistradong pribadong sasakyan para sa komersyal na layunin.
Seksyon 7(c): Nangangailangan ng ""mga sasakyang de-motor na ginagamit "&amp;"para sa pag-upa upang makuha mula sa Komisyon sa Transportasyong Lupa o iba pang mga katawan na maaaring pahintulutan ng batas ang kinakailangang sertipiko ng pampublikong kaginhawahan o isang espesyal na permit."" Binibigyang-diin ng seksyong ito ang pan"&amp;"gangailangan para sa wastong mga permit para sa pagpapatakbo ng mga sasakyang inuupahan.
Seksyon 54(k): Nagbibigay ng kapangyarihan sa Land Transportation Office (LTO) na ""magpataw ng mga multa at parusa para sa mga paglabag..."" ng Land Transportation "&amp;"and Traffic Code.
Mga parusa:
₱500 na multa: Ito ang karaniwang multa para sa paggamit ng pribadong sasakyan for hire nang walang kinakailangang permit ayon sa LTO Memorandum Circular No. 2016-020. Gayunpaman, ang aktwal na multa ay maaaring mag-iba dep"&amp;"ende sa partikular na mga pangyayari at sa pagpapasya ng opisyal ng paghuli.
Pagsuspinde ng Lisensya sa Pagmamaneho: Bilang karagdagan sa multa, ang lisensya sa pagmamaneho ay maaaring masuspinde sa loob ng tatlong buwan para sa unang pagkakasala at posi"&amp;"bleng mas matagal para sa mga kasunod na pagkakasala.
Pag-impound ng Sasakyan: Sa ilang mga kaso, ang sasakyan ay maaaring ma-impound ng mga awtoridad hanggang sa malutas ang sitwasyon at makuha ang naaangkop na mga permit.")</f>
        <v>Oo, ang isang driver sa Pilipinas ay maaaring pagmultahin para sa paggamit ng isang pribadong sasakyan para sa pag-upa nang walang kinakailangang mga permit. Ito ay isang paglabag sa Land Transportation and Traffic Code (Republic Act No. 4136) at maaaring magresulta sa iba't ibang parusa.
Narito ang isang breakdown ng mga nauugnay na regulasyon at potensyal na kahihinatnan:
Legal na Batayan:
Republic Act No. 4136 (Land Transportation and Traffic Code):
Seksyon 7(a): Nagsasaad na "ang mga pribadong sasakyang de-motor ay hindi dapat gamitin para sa pag-upa." Direktang ipinagbabawal ng seksyong ito ang paggamit ng hindi rehistradong pribadong sasakyan para sa komersyal na layunin.
Seksyon 7(c): Nangangailangan ng "mga sasakyang de-motor na ginagamit para sa pag-upa upang makuha mula sa Komisyon sa Transportasyong Lupa o iba pang mga katawan na maaaring pahintulutan ng batas ang kinakailangang sertipiko ng pampublikong kaginhawahan o isang espesyal na permit." Binibigyang-diin ng seksyong ito ang pangangailangan para sa wastong mga permit para sa pagpapatakbo ng mga sasakyang inuupahan.
Seksyon 54(k): Nagbibigay ng kapangyarihan sa Land Transportation Office (LTO) na "magpataw ng mga multa at parusa para sa mga paglabag..." ng Land Transportation and Traffic Code.
Mga parusa:
₱500 na multa: Ito ang karaniwang multa para sa paggamit ng pribadong sasakyan for hire nang walang kinakailangang permit ayon sa LTO Memorandum Circular No. 2016-020. Gayunpaman, ang aktwal na multa ay maaaring mag-iba depende sa partikular na mga pangyayari at sa pagpapasya ng opisyal ng paghuli.
Pagsuspinde ng Lisensya sa Pagmamaneho: Bilang karagdagan sa multa, ang lisensya sa pagmamaneho ay maaaring masuspinde sa loob ng tatlong buwan para sa unang pagkakasala at posibleng mas matagal para sa mga kasunod na pagkakasala.
Pag-impound ng Sasakyan: Sa ilang mga kaso, ang sasakyan ay maaaring ma-impound ng mga awtoridad hanggang sa malutas ang sitwasyon at makuha ang naaangkop na mga permit.</v>
      </c>
      <c r="F1578" s="2">
        <f t="shared" si="1"/>
        <v>0</v>
      </c>
      <c r="G1578" s="2"/>
      <c r="H1578" s="2"/>
      <c r="I1578" s="2"/>
      <c r="J1578" s="2"/>
      <c r="K1578" s="2"/>
      <c r="L1578" s="2"/>
      <c r="M1578" s="2"/>
      <c r="N1578" s="2"/>
      <c r="O1578" s="2"/>
      <c r="P1578" s="2"/>
      <c r="Q1578" s="2"/>
      <c r="R1578" s="2"/>
      <c r="S1578" s="2"/>
      <c r="T1578" s="2"/>
      <c r="U1578" s="2"/>
      <c r="V1578" s="2"/>
      <c r="W1578" s="2"/>
      <c r="X1578" s="2"/>
      <c r="Y1578" s="2"/>
      <c r="Z1578" s="2"/>
      <c r="AA1578" s="2"/>
    </row>
    <row r="1579">
      <c r="A1579" s="3" t="s">
        <v>3972</v>
      </c>
      <c r="B1579" s="1" t="s">
        <v>4296</v>
      </c>
      <c r="C1579" s="1" t="s">
        <v>4297</v>
      </c>
      <c r="D1579" s="2" t="str">
        <f>IFERROR(__xludf.DUMMYFUNCTION("GOOGLETRANSLATE(B1579, ""en"", ""TL"")"),"Ano ang parusa sa pagmamaneho ng motorsiklo nang walang tamang plaka?")</f>
        <v>Ano ang parusa sa pagmamaneho ng motorsiklo nang walang tamang plaka?</v>
      </c>
      <c r="E1579" s="2" t="str">
        <f>IFERROR(__xludf.DUMMYFUNCTION("GOOGLETRANSLATE(C1579, ""en"", ""TL"")"),"Kung mahuling walang plate number, maaaring kunin ng pulisya ang motorsiklo at parusahan ang may-ari sa pagitan ng Php50,000 at Php100,000.")</f>
        <v>Kung mahuling walang plate number, maaaring kunin ng pulisya ang motorsiklo at parusahan ang may-ari sa pagitan ng Php50,000 at Php100,000.</v>
      </c>
      <c r="F1579" s="2">
        <f t="shared" si="1"/>
        <v>0</v>
      </c>
      <c r="G1579" s="2"/>
      <c r="H1579" s="2"/>
      <c r="I1579" s="2"/>
      <c r="J1579" s="2"/>
      <c r="K1579" s="2"/>
      <c r="L1579" s="2"/>
      <c r="M1579" s="2"/>
      <c r="N1579" s="2"/>
      <c r="O1579" s="2"/>
      <c r="P1579" s="2"/>
      <c r="Q1579" s="2"/>
      <c r="R1579" s="2"/>
      <c r="S1579" s="2"/>
      <c r="T1579" s="2"/>
      <c r="U1579" s="2"/>
      <c r="V1579" s="2"/>
      <c r="W1579" s="2"/>
      <c r="X1579" s="2"/>
      <c r="Y1579" s="2"/>
      <c r="Z1579" s="2"/>
      <c r="AA1579" s="2"/>
    </row>
    <row r="1580">
      <c r="A1580" s="3" t="s">
        <v>3972</v>
      </c>
      <c r="B1580" s="1" t="s">
        <v>4179</v>
      </c>
      <c r="C1580" s="1" t="s">
        <v>4298</v>
      </c>
      <c r="D1580" s="2" t="str">
        <f>IFERROR(__xludf.DUMMYFUNCTION("GOOGLETRANSLATE(B1580, ""en"", ""TL"")"),"Ano ang multa para sa hindi pagbigay sa mga naglalakad sa isang markadong tawiran?")</f>
        <v>Ano ang multa para sa hindi pagbigay sa mga naglalakad sa isang markadong tawiran?</v>
      </c>
      <c r="E1580" s="2" t="str">
        <f>IFERROR(__xludf.DUMMYFUNCTION("GOOGLETRANSLATE(C1580, ""en"", ""TL"")"),"Walang isang batas sa Pilipinas na nagsasaad ng isang nakapirming multa para sa hindi pagsuko sa mga pedestrian sa isang markadong tawiran. Gayunpaman, dalawang Republic Acts (RA) ang tumutugon sa paglabag na ito:
1. **Republic Act No. 4117 o ang Land Tra"&amp;"nsportation Code (LTC):** Bagama't ang LTC mismo ay hindi nagbabanggit ng mga partikular na multa, binibigyan nito ang Land Transportation Office (LTO) ng awtoridad na hulihin ang mga tsuper na lumalabag sa mga tuntunin sa trapiko [ inalis ang hindi wasto"&amp;"ng URL].
2. **Republic Act No. 10585 o ang Anti-Distracted Driving Act (ADDA):** Seksyon 22(f) ng Act na ito ay nagbabawal sa mga driver na gumamit ng mga elektronikong device habang nagpapatakbo ng sasakyan sa paraang humahadlang sa ligtas na pagmamaneho"&amp;". Ito ay maaaring hindi direktang nalalapat sa hindi pagsuko sa mga pedestrian dahil sa maabala sa pagmamaneho. Ang parusa para sa paglabag sa Seksyon 22(f) ay maaaring:**
* **Unang pagkakasala:** PhP5,000 na multa
* **Ikalawang paglabag:** PhP10,000 na m"&amp;"ulta at pagsususpinde ng lisensya sa pagmamaneho ng isang buwan
* **Ikatlong paglabag:** PhP15,000 na multa at pagsususpinde ng lisensya sa pagmamaneho ng tatlong buwan
**Narito kung paano nakikipag-ugnayan ang mga RA na ito:**
* Ang LTO, batay sa awtorid"&amp;"ad nito sa ilalim ng LTC, ay malamang na naglabas ng mga memorandum circular na nagsasaad ng mga parusa para sa hindi pagsuko sa mga pedestrian sa mga tawiran. Maaaring kabilang dito ang mga multa o demerit point sa lisensya ng pagmamaneho. * Nalalapat an"&amp;"g parusa ng ADDA kung ang hindi pagsuko ay napatunayang sanhi ng paggamit ng mga elektronikong kagamitan habang nagmamaneho.
**Sa esensya:** Ang eksaktong parusa ay nakasalalay sa mga partikular na alituntunin ng LTO at kung ang paglabag ay may kinalaman "&amp;"sa nakakagambalang pagmamaneho. Para sa mas tiyak na sagot, inirerekumenda na kumonsulta sa website ng LTO o direktang makipag-ugnayan sa kanila para sa pinakabagong impormasyon sa mga parusa na may kaugnayan sa hindi pagsuko sa mga pedestrian sa mga mark"&amp;"adong crosswalk.")</f>
        <v>Walang isang batas sa Pilipinas na nagsasaad ng isang nakapirming multa para sa hindi pagsuko sa mga pedestrian sa isang markadong tawiran. Gayunpaman, dalawang Republic Acts (RA) ang tumutugon sa paglabag na ito:
1. **Republic Act No. 4117 o ang Land Transportation Code (LTC):** Bagama't ang LTC mismo ay hindi nagbabanggit ng mga partikular na multa, binibigyan nito ang Land Transportation Office (LTO) ng awtoridad na hulihin ang mga tsuper na lumalabag sa mga tuntunin sa trapiko [ inalis ang hindi wastong URL].
2. **Republic Act No. 10585 o ang Anti-Distracted Driving Act (ADDA):** Seksyon 22(f) ng Act na ito ay nagbabawal sa mga driver na gumamit ng mga elektronikong device habang nagpapatakbo ng sasakyan sa paraang humahadlang sa ligtas na pagmamaneho. Ito ay maaaring hindi direktang nalalapat sa hindi pagsuko sa mga pedestrian dahil sa maabala sa pagmamaneho. Ang parusa para sa paglabag sa Seksyon 22(f) ay maaaring:**
* **Unang pagkakasala:** PhP5,000 na multa
* **Ikalawang paglabag:** PhP10,000 na multa at pagsususpinde ng lisensya sa pagmamaneho ng isang buwan
* **Ikatlong paglabag:** PhP15,000 na multa at pagsususpinde ng lisensya sa pagmamaneho ng tatlong buwan
**Narito kung paano nakikipag-ugnayan ang mga RA na ito:**
* Ang LTO, batay sa awtoridad nito sa ilalim ng LTC, ay malamang na naglabas ng mga memorandum circular na nagsasaad ng mga parusa para sa hindi pagsuko sa mga pedestrian sa mga tawiran. Maaaring kabilang dito ang mga multa o demerit point sa lisensya ng pagmamaneho. * Nalalapat ang parusa ng ADDA kung ang hindi pagsuko ay napatunayang sanhi ng paggamit ng mga elektronikong kagamitan habang nagmamaneho.
**Sa esensya:** Ang eksaktong parusa ay nakasalalay sa mga partikular na alituntunin ng LTO at kung ang paglabag ay may kinalaman sa nakakagambalang pagmamaneho. Para sa mas tiyak na sagot, inirerekumenda na kumonsulta sa website ng LTO o direktang makipag-ugnayan sa kanila para sa pinakabagong impormasyon sa mga parusa na may kaugnayan sa hindi pagsuko sa mga pedestrian sa mga markadong crosswalk.</v>
      </c>
      <c r="F1580" s="2">
        <f t="shared" si="1"/>
        <v>0</v>
      </c>
      <c r="G1580" s="2"/>
      <c r="H1580" s="2"/>
      <c r="I1580" s="2"/>
      <c r="J1580" s="2"/>
      <c r="K1580" s="2"/>
      <c r="L1580" s="2"/>
      <c r="M1580" s="2"/>
      <c r="N1580" s="2"/>
      <c r="O1580" s="2"/>
      <c r="P1580" s="2"/>
      <c r="Q1580" s="2"/>
      <c r="R1580" s="2"/>
      <c r="S1580" s="2"/>
      <c r="T1580" s="2"/>
      <c r="U1580" s="2"/>
      <c r="V1580" s="2"/>
      <c r="W1580" s="2"/>
      <c r="X1580" s="2"/>
      <c r="Y1580" s="2"/>
      <c r="Z1580" s="2"/>
      <c r="AA1580" s="2"/>
    </row>
    <row r="1581">
      <c r="A1581" s="3" t="s">
        <v>3972</v>
      </c>
      <c r="B1581" s="1" t="s">
        <v>4181</v>
      </c>
      <c r="C1581" s="1" t="s">
        <v>4299</v>
      </c>
      <c r="D1581" s="2" t="str">
        <f>IFERROR(__xludf.DUMMYFUNCTION("GOOGLETRANSLATE(B1581, ""en"", ""TL"")"),"Kailan legal na gumawa ng U-turn sa isang kurba o sa tuktok ng isang burol?")</f>
        <v>Kailan legal na gumawa ng U-turn sa isang kurba o sa tuktok ng isang burol?</v>
      </c>
      <c r="E1581" s="2" t="str">
        <f>IFERROR(__xludf.DUMMYFUNCTION("GOOGLETRANSLATE(C1581, ""en"", ""TL"")"),"Sa Pilipinas, ang paggawa ng U-turn sa isang kurba o sa tuktok ng isang burol ay napapailalim sa mahigpit na mga batas at pangyayari. Hatiin natin ito:
Mga kurba at burol:
Ilegal na Pagliko: Iligal na gumawa ng U-turn sa isang kurba o burol na may lim"&amp;"itadong visibility. Dahil sa limitadong visibility, ang pagsasagawa ng U-turn ay mapanganib sa ilang partikular na sitwasyon.
Tamang Diskarte: Kapag papalapit sa isang intersection na may layuning mag-U-turn, magmaneho sa lane na pinakamalapit sa kanang "&amp;"bahagi ng daanan. Sa pagliko, manatili hangga't maaari sa kanang kurba o gilid ng kalsada.
Mga pagbubukod:
Maaari kang mag-U-turn kung:
Walang mga palatandaan na pumipigil dito.
Mayroong berdeng left-turn arrow o berdeng ilaw.
Nasa dulong kaliwang lan"&amp;"e ka.
May sign na ""U-turn Only"".
Tatawid ka lamang sa dobleng dilaw na linya kung ligtas at legal na gawin ito.
Tandaan na ang kaligtasan ay dapat palaging mauna kapag isinasaalang-alang ang isang U-turn. Iwasang mag-U-turn sa mga mapanganib na kondi"&amp;"syon, lalo na sa mga abalang kalsada o sa oras ng trapiko.")</f>
        <v>Sa Pilipinas, ang paggawa ng U-turn sa isang kurba o sa tuktok ng isang burol ay napapailalim sa mahigpit na mga batas at pangyayari. Hatiin natin ito:
Mga kurba at burol:
Ilegal na Pagliko: Iligal na gumawa ng U-turn sa isang kurba o burol na may limitadong visibility. Dahil sa limitadong visibility, ang pagsasagawa ng U-turn ay mapanganib sa ilang partikular na sitwasyon.
Tamang Diskarte: Kapag papalapit sa isang intersection na may layuning mag-U-turn, magmaneho sa lane na pinakamalapit sa kanang bahagi ng daanan. Sa pagliko, manatili hangga't maaari sa kanang kurba o gilid ng kalsada.
Mga pagbubukod:
Maaari kang mag-U-turn kung:
Walang mga palatandaan na pumipigil dito.
Mayroong berdeng left-turn arrow o berdeng ilaw.
Nasa dulong kaliwang lane ka.
May sign na "U-turn Only".
Tatawid ka lamang sa dobleng dilaw na linya kung ligtas at legal na gawin ito.
Tandaan na ang kaligtasan ay dapat palaging mauna kapag isinasaalang-alang ang isang U-turn. Iwasang mag-U-turn sa mga mapanganib na kondisyon, lalo na sa mga abalang kalsada o sa oras ng trapiko.</v>
      </c>
      <c r="F1581" s="2">
        <f t="shared" si="1"/>
        <v>0</v>
      </c>
      <c r="G1581" s="2"/>
      <c r="H1581" s="2"/>
      <c r="I1581" s="2"/>
      <c r="J1581" s="2"/>
      <c r="K1581" s="2"/>
      <c r="L1581" s="2"/>
      <c r="M1581" s="2"/>
      <c r="N1581" s="2"/>
      <c r="O1581" s="2"/>
      <c r="P1581" s="2"/>
      <c r="Q1581" s="2"/>
      <c r="R1581" s="2"/>
      <c r="S1581" s="2"/>
      <c r="T1581" s="2"/>
      <c r="U1581" s="2"/>
      <c r="V1581" s="2"/>
      <c r="W1581" s="2"/>
      <c r="X1581" s="2"/>
      <c r="Y1581" s="2"/>
      <c r="Z1581" s="2"/>
      <c r="AA1581" s="2"/>
    </row>
    <row r="1582">
      <c r="A1582" s="3" t="s">
        <v>3972</v>
      </c>
      <c r="B1582" s="1" t="s">
        <v>4183</v>
      </c>
      <c r="C1582" s="1" t="s">
        <v>4300</v>
      </c>
      <c r="D1582" s="2" t="str">
        <f>IFERROR(__xludf.DUMMYFUNCTION("GOOGLETRANSLATE(B1582, ""en"", ""TL"")"),"Ano ang parusa sa pagpapatakbo ng sasakyan nang walang valid na sertipiko ng pagpaparehistro?")</f>
        <v>Ano ang parusa sa pagpapatakbo ng sasakyan nang walang valid na sertipiko ng pagpaparehistro?</v>
      </c>
      <c r="E1582" s="2" t="str">
        <f>IFERROR(__xludf.DUMMYFUNCTION("GOOGLETRANSLATE(C1582, ""en"", ""TL"")"),"Ang pagpapatakbo ng sasakyan sa Pilipinas nang walang wastong sertipiko ng pagpaparehistro ay isang malubhang pagkakasala at maaaring magresulta sa ilang mga parusa, depende sa mga partikular na pangyayari at sa pagpapasya ng opisyal ng paghuli. Narito an"&amp;"g isang breakdown ng mga nauugnay na regulasyon at potensyal na kahihinatnan:
Legal na Batayan:
Republic Act No. 4136 (Land Transportation and Traffic Code):
Seksyon 5(a): Nagsasaad na ""walang sasakyang de-motor ang dapat paandarin sa anumang pampubli"&amp;"kong haywey maliban kung ito ay nakarehistro..."" Ang seksyong ito ay tahasang nagbabawal sa pagpapatakbo ng hindi rehistradong sasakyan sa mga pampublikong kalsada.
Seksyon 20(d): Nag-aatas sa mga sasakyang de-motor na magkaroon ng ""wastong sertipiko n"&amp;"g pagpaparehistro"" upang mapatakbo sa mga pampublikong kalsada.
Seksyon 54(k): Nagbibigay ng kapangyarihan sa Land Transportation Office (LTO) na ""magpataw ng mga multa at parusa para sa mga paglabag..."" ng Land Transportation and Traffic Code.
Mga p"&amp;"arusa:
₱10,000 na multa: Ito ang karaniwang parusa para sa pagpapatakbo ng sasakyan nang walang valid na sertipiko ng pagpaparehistro, ayon sa Binagong Iskedyul ng mga multa at Parusa para sa mga Paglabag sa Mga Batas, Panuntunan at Regulasyon na Namamah"&amp;"ala sa Land Transportation (LTFRB Memorandum Circular No. 2017-21) .
Mga Karagdagang Singilin: Depende sa partikular na sitwasyon, maaaring may mga karagdagang singil, gaya ng:
₱5,000 na multa: Para sa pagpapatakbo ng sasakyan na may hindi wastong rehis"&amp;"tradong sasakyan (hal., expired na pagpaparehistro)
Pag-impound ng Sasakyan: Maaaring ma-impound ng mga awtoridad ang sasakyan hanggang sa malutas ang sitwasyon at maipakita ang wastong pagpaparehistro.
Pagkumpiska ng Lisensya sa Pagmamaneho: Sa matindi"&amp;"ng mga kaso, maaaring kumpiskahin ang lisensya sa pagmamaneho at nangangailangan ng isang partikular na pamamaraan para sa pagkuha.")</f>
        <v>Ang pagpapatakbo ng sasakyan sa Pilipinas nang walang wastong sertipiko ng pagpaparehistro ay isang malubhang pagkakasala at maaaring magresulta sa ilang mga parusa, depende sa mga partikular na pangyayari at sa pagpapasya ng opisyal ng paghuli. Narito ang isang breakdown ng mga nauugnay na regulasyon at potensyal na kahihinatnan:
Legal na Batayan:
Republic Act No. 4136 (Land Transportation and Traffic Code):
Seksyon 5(a): Nagsasaad na "walang sasakyang de-motor ang dapat paandarin sa anumang pampublikong haywey maliban kung ito ay nakarehistro..." Ang seksyong ito ay tahasang nagbabawal sa pagpapatakbo ng hindi rehistradong sasakyan sa mga pampublikong kalsada.
Seksyon 20(d): Nag-aatas sa mga sasakyang de-motor na magkaroon ng "wastong sertipiko ng pagpaparehistro" upang mapatakbo sa mga pampublikong kalsada.
Seksyon 54(k): Nagbibigay ng kapangyarihan sa Land Transportation Office (LTO) na "magpataw ng mga multa at parusa para sa mga paglabag..." ng Land Transportation and Traffic Code.
Mga parusa:
₱10,000 na multa: Ito ang karaniwang parusa para sa pagpapatakbo ng sasakyan nang walang valid na sertipiko ng pagpaparehistro, ayon sa Binagong Iskedyul ng mga multa at Parusa para sa mga Paglabag sa Mga Batas, Panuntunan at Regulasyon na Namamahala sa Land Transportation (LTFRB Memorandum Circular No. 2017-21) .
Mga Karagdagang Singilin: Depende sa partikular na sitwasyon, maaaring may mga karagdagang singil, gaya ng:
₱5,000 na multa: Para sa pagpapatakbo ng sasakyan na may hindi wastong rehistradong sasakyan (hal., expired na pagpaparehistro)
Pag-impound ng Sasakyan: Maaaring ma-impound ng mga awtoridad ang sasakyan hanggang sa malutas ang sitwasyon at maipakita ang wastong pagpaparehistro.
Pagkumpiska ng Lisensya sa Pagmamaneho: Sa matinding mga kaso, maaaring kumpiskahin ang lisensya sa pagmamaneho at nangangailangan ng isang partikular na pamamaraan para sa pagkuha.</v>
      </c>
      <c r="F1582" s="2">
        <f t="shared" si="1"/>
        <v>0</v>
      </c>
      <c r="G1582" s="2"/>
      <c r="H1582" s="2"/>
      <c r="I1582" s="2"/>
      <c r="J1582" s="2"/>
      <c r="K1582" s="2"/>
      <c r="L1582" s="2"/>
      <c r="M1582" s="2"/>
      <c r="N1582" s="2"/>
      <c r="O1582" s="2"/>
      <c r="P1582" s="2"/>
      <c r="Q1582" s="2"/>
      <c r="R1582" s="2"/>
      <c r="S1582" s="2"/>
      <c r="T1582" s="2"/>
      <c r="U1582" s="2"/>
      <c r="V1582" s="2"/>
      <c r="W1582" s="2"/>
      <c r="X1582" s="2"/>
      <c r="Y1582" s="2"/>
      <c r="Z1582" s="2"/>
      <c r="AA1582" s="2"/>
    </row>
    <row r="1583">
      <c r="A1583" s="3" t="s">
        <v>3972</v>
      </c>
      <c r="B1583" s="1" t="s">
        <v>4184</v>
      </c>
      <c r="C1583" s="1" t="s">
        <v>4301</v>
      </c>
      <c r="D1583" s="2" t="str">
        <f>IFERROR(__xludf.DUMMYFUNCTION("GOOGLETRANSLATE(B1583, ""en"", ""TL"")"),"Maaari bang pagmultahin ang isang driver para sa pagpayag sa isang tao na sumakay sa labas o likurang bahagi ng sasakyan?")</f>
        <v>Maaari bang pagmultahin ang isang driver para sa pagpayag sa isang tao na sumakay sa labas o likurang bahagi ng sasakyan?</v>
      </c>
      <c r="E1583" s="2" t="str">
        <f>IFERROR(__xludf.DUMMYFUNCTION("GOOGLETRANSLATE(C1583, ""en"", ""TL"")"),"Huminto ang pagtugon.
Sa Pilipinas, bawal ang driver na payagan ang pasahero na sumakay sa labas o likod ng sasakyan. Sa partikular, ang Republic Act No. 4136 ay nagsasaad:
""Walang sinuman ang dapat kumapit o sumakay sa labas o likurang bahagi ng anu"&amp;"mang sasakyan, at walang taong nakasakay sa bisikleta, roller skate, o iba pang katulad na kagamitan ang dapat kumapit o kumapit sa anumang gumagalaw na sasakyan. pinahihintulutan ang sinumang tao na kumapit o sumakay sa labas o hulihan ng kanilang sasaky"&amp;"an, at hindi rin dapat humawak o humawak ang sinumang taong nakasakay sa bisikleta, roller skate, o iba pang katulad na kagamitan sa kanilang sasakyan."" 
Ang pagbabawal na ito ay naaangkop sa lahat ng sasakyan, kabilang ang mga pickup truck. Ang pagsaka"&amp;"y sa kama ng isang pickup truck ay parehong hindi ligtas at labag sa batas. Ang mga paglabag ay maaaring magresulta sa mga parusa, kabilang ang mga multa. Upang unahin ang kaligtasan at sumunod sa batas, tiyaking ang mga pasahero ay nakaupo sa loob ng cab"&amp;"in ng sasakyan.")</f>
        <v>Huminto ang pagtugon.
Sa Pilipinas, bawal ang driver na payagan ang pasahero na sumakay sa labas o likod ng sasakyan. Sa partikular, ang Republic Act No. 4136 ay nagsasaad:
"Walang sinuman ang dapat kumapit o sumakay sa labas o likurang bahagi ng anumang sasakyan, at walang taong nakasakay sa bisikleta, roller skate, o iba pang katulad na kagamitan ang dapat kumapit o kumapit sa anumang gumagalaw na sasakyan. pinahihintulutan ang sinumang tao na kumapit o sumakay sa labas o hulihan ng kanilang sasakyan, at hindi rin dapat humawak o humawak ang sinumang taong nakasakay sa bisikleta, roller skate, o iba pang katulad na kagamitan sa kanilang sasakyan." 
Ang pagbabawal na ito ay naaangkop sa lahat ng sasakyan, kabilang ang mga pickup truck. Ang pagsakay sa kama ng isang pickup truck ay parehong hindi ligtas at labag sa batas. Ang mga paglabag ay maaaring magresulta sa mga parusa, kabilang ang mga multa. Upang unahin ang kaligtasan at sumunod sa batas, tiyaking ang mga pasahero ay nakaupo sa loob ng cabin ng sasakyan.</v>
      </c>
      <c r="F1583" s="2">
        <f t="shared" si="1"/>
        <v>0</v>
      </c>
      <c r="G1583" s="2"/>
      <c r="H1583" s="2"/>
      <c r="I1583" s="2"/>
      <c r="J1583" s="2"/>
      <c r="K1583" s="2"/>
      <c r="L1583" s="2"/>
      <c r="M1583" s="2"/>
      <c r="N1583" s="2"/>
      <c r="O1583" s="2"/>
      <c r="P1583" s="2"/>
      <c r="Q1583" s="2"/>
      <c r="R1583" s="2"/>
      <c r="S1583" s="2"/>
      <c r="T1583" s="2"/>
      <c r="U1583" s="2"/>
      <c r="V1583" s="2"/>
      <c r="W1583" s="2"/>
      <c r="X1583" s="2"/>
      <c r="Y1583" s="2"/>
      <c r="Z1583" s="2"/>
      <c r="AA1583" s="2"/>
    </row>
    <row r="1584">
      <c r="A1584" s="3" t="s">
        <v>3972</v>
      </c>
      <c r="B1584" s="1" t="s">
        <v>4302</v>
      </c>
      <c r="C1584" s="1" t="s">
        <v>4303</v>
      </c>
      <c r="D1584" s="2" t="str">
        <f>IFERROR(__xludf.DUMMYFUNCTION("GOOGLETRANSLATE(B1584, ""en"", ""TL"")"),"Ano ang multa para sa pagmamaneho nang walang kinakailangang early warning device?")</f>
        <v>Ano ang multa para sa pagmamaneho nang walang kinakailangang early warning device?</v>
      </c>
      <c r="E1584" s="2" t="str">
        <f>IFERROR(__xludf.DUMMYFUNCTION("GOOGLETRANSLATE(C1584, ""en"", ""TL"")"),"Ang multa sa pagmamaneho sa Pilipinas nang walang kinakailangang early warning device (EWD) ay ₱500. Bukod pa rito, ang lisensya sa pagmamaneho ay maaaring masuspinde ng 30 araw.
Narito ang isang buod ng mga nauugnay na regulasyon at parusa:
Legal na Ba"&amp;"tayan:
Liham ng Pagtuturo Blg. 229: Ang direktiba na ito ay nag-uutos na ang lahat ng mga sasakyang de-motor, maliban sa mga motorsiklo, ay dapat magkaroon ng isang set ng mga kagamitang maagang babala.
LTO Memorandum Circular No. RTL-MC-02412: Binibigy"&amp;"ang-diin ng memorandum na ito ang pangangailangan para sa pag-install ng EWD at binabalangkas ang mga parusa para sa hindi pagsunod.
Mga parusa:
₱500 na multa: Para sa hindi pag-install ng EWD sa tuwing ang sasakyang de-motor ay natigil o na-disable sa "&amp;"kahabaan ng nilakbay na bahagi ng kalye o highway.
Pagsuspinde ng lisensya sa pagmamaneho sa loob ng 30 araw: Para sa nabanggit na pagkakasala.
Mas matitinding parusa: Kung ang hindi pag-install ng EWD ay magreresulta sa isang aksidente, ang driver ay m"&amp;"aaaring masuspinde ng lisensya nang hanggang dalawang taon o kahit na mabawi, depende sa mga pangyayari.")</f>
        <v>Ang multa sa pagmamaneho sa Pilipinas nang walang kinakailangang early warning device (EWD) ay ₱500. Bukod pa rito, ang lisensya sa pagmamaneho ay maaaring masuspinde ng 30 araw.
Narito ang isang buod ng mga nauugnay na regulasyon at parusa:
Legal na Batayan:
Liham ng Pagtuturo Blg. 229: Ang direktiba na ito ay nag-uutos na ang lahat ng mga sasakyang de-motor, maliban sa mga motorsiklo, ay dapat magkaroon ng isang set ng mga kagamitang maagang babala.
LTO Memorandum Circular No. RTL-MC-02412: Binibigyang-diin ng memorandum na ito ang pangangailangan para sa pag-install ng EWD at binabalangkas ang mga parusa para sa hindi pagsunod.
Mga parusa:
₱500 na multa: Para sa hindi pag-install ng EWD sa tuwing ang sasakyang de-motor ay natigil o na-disable sa kahabaan ng nilakbay na bahagi ng kalye o highway.
Pagsuspinde ng lisensya sa pagmamaneho sa loob ng 30 araw: Para sa nabanggit na pagkakasala.
Mas matitinding parusa: Kung ang hindi pag-install ng EWD ay magreresulta sa isang aksidente, ang driver ay maaaring masuspinde ng lisensya nang hanggang dalawang taon o kahit na mabawi, depende sa mga pangyayari.</v>
      </c>
      <c r="F1584" s="2">
        <f t="shared" si="1"/>
        <v>0</v>
      </c>
      <c r="G1584" s="2"/>
      <c r="H1584" s="2"/>
      <c r="I1584" s="2"/>
      <c r="J1584" s="2"/>
      <c r="K1584" s="2"/>
      <c r="L1584" s="2"/>
      <c r="M1584" s="2"/>
      <c r="N1584" s="2"/>
      <c r="O1584" s="2"/>
      <c r="P1584" s="2"/>
      <c r="Q1584" s="2"/>
      <c r="R1584" s="2"/>
      <c r="S1584" s="2"/>
      <c r="T1584" s="2"/>
      <c r="U1584" s="2"/>
      <c r="V1584" s="2"/>
      <c r="W1584" s="2"/>
      <c r="X1584" s="2"/>
      <c r="Y1584" s="2"/>
      <c r="Z1584" s="2"/>
      <c r="AA1584" s="2"/>
    </row>
    <row r="1585">
      <c r="A1585" s="3" t="s">
        <v>3972</v>
      </c>
      <c r="B1585" s="1" t="s">
        <v>4217</v>
      </c>
      <c r="C1585" s="1" t="s">
        <v>4304</v>
      </c>
      <c r="D1585" s="2" t="str">
        <f>IFERROR(__xludf.DUMMYFUNCTION("GOOGLETRANSLATE(B1585, ""en"", ""TL"")"),"Kailan legal na mag-park ng sasakyan sa loob ng itinalagang loading at unloading zone?")</f>
        <v>Kailan legal na mag-park ng sasakyan sa loob ng itinalagang loading at unloading zone?</v>
      </c>
      <c r="E1585" s="2" t="str">
        <f>IFERROR(__xludf.DUMMYFUNCTION("GOOGLETRANSLATE(C1585, ""en"", ""TL"")"),"Ang mga batas sa paradahan sa Pilipinas ay kritikal para sa paggarantiya ng daloy ng trapiko at kaligtasan. Tingnan natin ang mga alituntunin para sa paradahan sa loob ng awtorisadong loading at unloading zones:
Mga zone ng paglo-load at pagbabawas:
A"&amp;"ng mga lugar na ito ay partikular na itinalaga para sa mga sasakyan na magkarga at magbaba ng mga pasahero o mga kalakal.
Karaniwang matatagpuan ang mga ito sa paligid ng mga komersyal na distrito, pamilihan, at hub ng transportasyon.
Ang paradahan sa m"&amp;"ga lugar na ito ay mahigpit na binabantayan upang maiwasan ang traffic jam.
Kailan legal na pumarada sa isang loading at unloading zone?:
Legal na paradahan:
Maaari kang pumarada sa isang itinalagang loading at unloading zone kung ikaw ay aktibong nags"&amp;"u-sundo o nagpapababa ng mga pasahero o kargamento.
Ang limitasyon ng oras para sa paradahan sa mga zone na ito ay karaniwang 30 minuto.
Ilegal na paradahan:
junction: Huwag pumarada malapit o sa loob ng isang junction.
Iwasang humarang sa mga daanan, "&amp;"lalo na sa ibang tao. Ito ay parehong walang galang at nakakagambala.
Huwag mag-double park; nakakaabala ito sa daloy ng trapiko.
Mga tawiran: Huwag pumarada sa tawiran.
Panatilihin ang isang ligtas na distansya mula sa mga overpass o footbridge.
Hind"&amp;"i pinapayagan ang paradahan sa mahahalagang pambansang kalsada.
Mga Fire Hydrant at Fire Station: Manatili ng hindi bababa sa 4 na metro ang layo mula sa mga fire hydrant at mga pintuan ng fire station.
Panatilihin ang hindi bababa sa 6 na metro ang lay"&amp;"o mula sa intersection ng mga linya ng curb.
Residential at Luxury Subdivisions:
Ang mga regulasyon sa paradahan ay nag-iiba ayon sa lungsod at kapitbahayan.
Dahil sa limitadong mga kalsada sa mga mararangyang komunidad, ang mga mahigpit na limitasyon "&amp;"ay madalas na ipinapatupad.
Magkaroon ng kamalayan sa double parking at obstruction na mga batas sa gated neighborhood.
Iparada sa harap ng sarili mong garahe:
Ang paradahan sa harap ng iyong sariling garahe ay maaaring mukhang inosente, ngunit maaari "&amp;"pa rin itong ituring na isang sagabal.
Inirerekomenda na iwasan ang paggawa nito dahil maaaring ituring ito ng mga opisyal ng trapiko bilang isang paglabag.
Paradahan sa bangketa
Huwag kailanman pumarada malapit sa simento. Pinipigilan nito ang sirkula"&amp;"syon ng pedestrian at nanganganib sa kaligtasan ng publiko.
Tandaan na ang responsableng paradahan ay nagtataguyod ng mas maayos na daloy ng trapiko at mas ligtas na mga kalye. Upang maiwasan ang mga multa at inis, palaging sundin ang lokal na batas.")</f>
        <v>Ang mga batas sa paradahan sa Pilipinas ay kritikal para sa paggarantiya ng daloy ng trapiko at kaligtasan. Tingnan natin ang mga alituntunin para sa paradahan sa loob ng awtorisadong loading at unloading zones:
Mga zone ng paglo-load at pagbabawas:
Ang mga lugar na ito ay partikular na itinalaga para sa mga sasakyan na magkarga at magbaba ng mga pasahero o mga kalakal.
Karaniwang matatagpuan ang mga ito sa paligid ng mga komersyal na distrito, pamilihan, at hub ng transportasyon.
Ang paradahan sa mga lugar na ito ay mahigpit na binabantayan upang maiwasan ang traffic jam.
Kailan legal na pumarada sa isang loading at unloading zone?:
Legal na paradahan:
Maaari kang pumarada sa isang itinalagang loading at unloading zone kung ikaw ay aktibong nagsu-sundo o nagpapababa ng mga pasahero o kargamento.
Ang limitasyon ng oras para sa paradahan sa mga zone na ito ay karaniwang 30 minuto.
Ilegal na paradahan:
junction: Huwag pumarada malapit o sa loob ng isang junction.
Iwasang humarang sa mga daanan, lalo na sa ibang tao. Ito ay parehong walang galang at nakakagambala.
Huwag mag-double park; nakakaabala ito sa daloy ng trapiko.
Mga tawiran: Huwag pumarada sa tawiran.
Panatilihin ang isang ligtas na distansya mula sa mga overpass o footbridge.
Hindi pinapayagan ang paradahan sa mahahalagang pambansang kalsada.
Mga Fire Hydrant at Fire Station: Manatili ng hindi bababa sa 4 na metro ang layo mula sa mga fire hydrant at mga pintuan ng fire station.
Panatilihin ang hindi bababa sa 6 na metro ang layo mula sa intersection ng mga linya ng curb.
Residential at Luxury Subdivisions:
Ang mga regulasyon sa paradahan ay nag-iiba ayon sa lungsod at kapitbahayan.
Dahil sa limitadong mga kalsada sa mga mararangyang komunidad, ang mga mahigpit na limitasyon ay madalas na ipinapatupad.
Magkaroon ng kamalayan sa double parking at obstruction na mga batas sa gated neighborhood.
Iparada sa harap ng sarili mong garahe:
Ang paradahan sa harap ng iyong sariling garahe ay maaaring mukhang inosente, ngunit maaari pa rin itong ituring na isang sagabal.
Inirerekomenda na iwasan ang paggawa nito dahil maaaring ituring ito ng mga opisyal ng trapiko bilang isang paglabag.
Paradahan sa bangketa
Huwag kailanman pumarada malapit sa simento. Pinipigilan nito ang sirkulasyon ng pedestrian at nanganganib sa kaligtasan ng publiko.
Tandaan na ang responsableng paradahan ay nagtataguyod ng mas maayos na daloy ng trapiko at mas ligtas na mga kalye. Upang maiwasan ang mga multa at inis, palaging sundin ang lokal na batas.</v>
      </c>
      <c r="F1585" s="2">
        <f t="shared" si="1"/>
        <v>0</v>
      </c>
      <c r="G1585" s="2"/>
      <c r="H1585" s="2"/>
      <c r="I1585" s="2"/>
      <c r="J1585" s="2"/>
      <c r="K1585" s="2"/>
      <c r="L1585" s="2"/>
      <c r="M1585" s="2"/>
      <c r="N1585" s="2"/>
      <c r="O1585" s="2"/>
      <c r="P1585" s="2"/>
      <c r="Q1585" s="2"/>
      <c r="R1585" s="2"/>
      <c r="S1585" s="2"/>
      <c r="T1585" s="2"/>
      <c r="U1585" s="2"/>
      <c r="V1585" s="2"/>
      <c r="W1585" s="2"/>
      <c r="X1585" s="2"/>
      <c r="Y1585" s="2"/>
      <c r="Z1585" s="2"/>
      <c r="AA1585" s="2"/>
    </row>
    <row r="1586">
      <c r="A1586" s="3" t="s">
        <v>3972</v>
      </c>
      <c r="B1586" s="1" t="s">
        <v>4221</v>
      </c>
      <c r="C1586" s="1" t="s">
        <v>4305</v>
      </c>
      <c r="D1586" s="2" t="str">
        <f>IFERROR(__xludf.DUMMYFUNCTION("GOOGLETRANSLATE(B1586, ""en"", ""TL"")"),"Maaari bang pagmultahin ang isang driver kapag hindi gumamit ng seat belt habang nagmamaneho ng pribadong sasakyan?")</f>
        <v>Maaari bang pagmultahin ang isang driver kapag hindi gumamit ng seat belt habang nagmamaneho ng pribadong sasakyan?</v>
      </c>
      <c r="E1586" s="2" t="str">
        <f>IFERROR(__xludf.DUMMYFUNCTION("GOOGLETRANSLATE(C1586, ""en"", ""TL"")"),"Oo, ang mga nagmamaneho ng pribadong sasakyan sa Pilipinas ay maaaring maharap sa multa dahil sa pagpapabaya sa paggamit ng mga seat belt. Narito ang mga detalye:
Unang pagkakasala: Ang isang driver na hindi nakasuot ng seat belt o pinahintulutan ang i"&amp;"sang batang wala pang 6 taong gulang na maupo sa upuan ng pasahero sa harap ay mahaharap sa ₱1,000 na multa.
Ang ikalawang paglabag ay may multang ₱2,000.
Ang ikatlong paglabag ay may parusang ₱5,000.")</f>
        <v>Oo, ang mga nagmamaneho ng pribadong sasakyan sa Pilipinas ay maaaring maharap sa multa dahil sa pagpapabaya sa paggamit ng mga seat belt. Narito ang mga detalye:
Unang pagkakasala: Ang isang driver na hindi nakasuot ng seat belt o pinahintulutan ang isang batang wala pang 6 taong gulang na maupo sa upuan ng pasahero sa harap ay mahaharap sa ₱1,000 na multa.
Ang ikalawang paglabag ay may multang ₱2,000.
Ang ikatlong paglabag ay may parusang ₱5,000.</v>
      </c>
      <c r="F1586" s="2">
        <f t="shared" si="1"/>
        <v>0</v>
      </c>
      <c r="G1586" s="2"/>
      <c r="H1586" s="2"/>
      <c r="I1586" s="2"/>
      <c r="J1586" s="2"/>
      <c r="K1586" s="2"/>
      <c r="L1586" s="2"/>
      <c r="M1586" s="2"/>
      <c r="N1586" s="2"/>
      <c r="O1586" s="2"/>
      <c r="P1586" s="2"/>
      <c r="Q1586" s="2"/>
      <c r="R1586" s="2"/>
      <c r="S1586" s="2"/>
      <c r="T1586" s="2"/>
      <c r="U1586" s="2"/>
      <c r="V1586" s="2"/>
      <c r="W1586" s="2"/>
      <c r="X1586" s="2"/>
      <c r="Y1586" s="2"/>
      <c r="Z1586" s="2"/>
      <c r="AA1586" s="2"/>
    </row>
    <row r="1587">
      <c r="A1587" s="3" t="s">
        <v>3972</v>
      </c>
      <c r="B1587" s="1" t="s">
        <v>4227</v>
      </c>
      <c r="C1587" s="1" t="s">
        <v>4306</v>
      </c>
      <c r="D1587" s="2" t="str">
        <f>IFERROR(__xludf.DUMMYFUNCTION("GOOGLETRANSLATE(B1587, ""en"", ""TL"")"),"Kailan legal na pumarada sa kaliwang bahagi ng isang two-way na kalsada?")</f>
        <v>Kailan legal na pumarada sa kaliwang bahagi ng isang two-way na kalsada?</v>
      </c>
      <c r="E1587" s="2" t="str">
        <f>IFERROR(__xludf.DUMMYFUNCTION("GOOGLETRANSLATE(C1587, ""en"", ""TL"")"),"Sa Pilipinas, ang mga batas sa paradahan ay kritikal para sa pagpapanatili ng kaayusan sa kalsada at pagtiyak ng kaligtasan ng lahat. Narito ang mga pangunahing alituntunin para sa paradahan sa kaliwang bahagi ng isang two-way na kalye:
No Parking Zones: "&amp;"Huwag pumarada sa gilid ng kalsada kung saan may karatulang ""NO PARKING"". Ang mga palatandaang ito ay nagtatalaga ng mga lokasyon kung saan ganap na ipinagbabawal ang paradahan. Palaging sumunod sa mga paghihigpit na ito.
Mga pagbubukod sa mga no-parkin"&amp;"g zone:
Iwasan ang paradahan malapit o sa loob ng mga junction. Ang paghadlang sa visibility sa mga intersection ay maaaring magresulta sa mga aksidente.
Access sa Driveway: Huwag kailanman hadlangan ang daanan ng ibang tao. Ito ay hindi lamang impolite, "&amp;"ngunit humahadlang din sa emergency na pag-access.
Dobleng paradahan: Hindi pinahihintulutan ang pagparada ng isang sasakyan sa likod ng isa pa. Ang dobleng paradahan ay nakakaabala sa daloy ng trapiko.
Panatilihing malinaw ang mga tawiran para sa mga ped"&amp;"estrian.
Ang paradahan malapit sa mga overpass o footbridge ay maaaring makahadlang sa paggalaw ng pedestrian.
Pangunahing Pambansang Kalsada: Iwasan ang pagparada sa mga pangunahing highway at pambansang kalsada.
Panatilihin ang isang minimum na distansy"&amp;"a na 4 na metro mula sa mga fire hydrant at mga pasukan ng fire station.
Huwag pumarada sa loob ng 6 na metro mula sa intersection ng mga linya ng curb.
Paradahan sa Harap ng Iyong Sariling Garahe: Habang ang pagparada sa harap ng sarili mong garahe ay ma"&amp;"aaring mukhang isang maliit na pagkakasala, gayunpaman, maaaring ituring ito ng mga opisyal ng trapiko bilang isang paglabag. Pinakamabuting iwasan ang pagharang sa iyong sariling daanan.
Paradahan sa Bangketa: Huwag pumarada sa mga bangketa. Ang pagharan"&amp;"g sa mga pavement ay nagdudulot ng abala para sa mga tao at nagpapataas ng mga panganib sa kaligtasan ng trapiko.")</f>
        <v>Sa Pilipinas, ang mga batas sa paradahan ay kritikal para sa pagpapanatili ng kaayusan sa kalsada at pagtiyak ng kaligtasan ng lahat. Narito ang mga pangunahing alituntunin para sa paradahan sa kaliwang bahagi ng isang two-way na kalye:
No Parking Zones: Huwag pumarada sa gilid ng kalsada kung saan may karatulang "NO PARKING". Ang mga palatandaang ito ay nagtatalaga ng mga lokasyon kung saan ganap na ipinagbabawal ang paradahan. Palaging sumunod sa mga paghihigpit na ito.
Mga pagbubukod sa mga no-parking zone:
Iwasan ang paradahan malapit o sa loob ng mga junction. Ang paghadlang sa visibility sa mga intersection ay maaaring magresulta sa mga aksidente.
Access sa Driveway: Huwag kailanman hadlangan ang daanan ng ibang tao. Ito ay hindi lamang impolite, ngunit humahadlang din sa emergency na pag-access.
Dobleng paradahan: Hindi pinahihintulutan ang pagparada ng isang sasakyan sa likod ng isa pa. Ang dobleng paradahan ay nakakaabala sa daloy ng trapiko.
Panatilihing malinaw ang mga tawiran para sa mga pedestrian.
Ang paradahan malapit sa mga overpass o footbridge ay maaaring makahadlang sa paggalaw ng pedestrian.
Pangunahing Pambansang Kalsada: Iwasan ang pagparada sa mga pangunahing highway at pambansang kalsada.
Panatilihin ang isang minimum na distansya na 4 na metro mula sa mga fire hydrant at mga pasukan ng fire station.
Huwag pumarada sa loob ng 6 na metro mula sa intersection ng mga linya ng curb.
Paradahan sa Harap ng Iyong Sariling Garahe: Habang ang pagparada sa harap ng sarili mong garahe ay maaaring mukhang isang maliit na pagkakasala, gayunpaman, maaaring ituring ito ng mga opisyal ng trapiko bilang isang paglabag. Pinakamabuting iwasan ang pagharang sa iyong sariling daanan.
Paradahan sa Bangketa: Huwag pumarada sa mga bangketa. Ang pagharang sa mga pavement ay nagdudulot ng abala para sa mga tao at nagpapataas ng mga panganib sa kaligtasan ng trapiko.</v>
      </c>
      <c r="F1587" s="2">
        <f t="shared" si="1"/>
        <v>0</v>
      </c>
      <c r="G1587" s="2"/>
      <c r="H1587" s="2"/>
      <c r="I1587" s="2"/>
      <c r="J1587" s="2"/>
      <c r="K1587" s="2"/>
      <c r="L1587" s="2"/>
      <c r="M1587" s="2"/>
      <c r="N1587" s="2"/>
      <c r="O1587" s="2"/>
      <c r="P1587" s="2"/>
      <c r="Q1587" s="2"/>
      <c r="R1587" s="2"/>
      <c r="S1587" s="2"/>
      <c r="T1587" s="2"/>
      <c r="U1587" s="2"/>
      <c r="V1587" s="2"/>
      <c r="W1587" s="2"/>
      <c r="X1587" s="2"/>
      <c r="Y1587" s="2"/>
      <c r="Z1587" s="2"/>
      <c r="AA1587" s="2"/>
    </row>
    <row r="1588">
      <c r="A1588" s="3" t="s">
        <v>3972</v>
      </c>
      <c r="B1588" s="1" t="s">
        <v>4307</v>
      </c>
      <c r="C1588" s="1" t="s">
        <v>4308</v>
      </c>
      <c r="D1588" s="2" t="str">
        <f>IFERROR(__xludf.DUMMYFUNCTION("GOOGLETRANSLATE(B1588, ""en"", ""TL"")"),"Ano ang multa sa pagmamaneho ng motorsiklo nang walang maayos na helmet?")</f>
        <v>Ano ang multa sa pagmamaneho ng motorsiklo nang walang maayos na helmet?</v>
      </c>
      <c r="E1588" s="2" t="str">
        <f>IFERROR(__xludf.DUMMYFUNCTION("GOOGLETRANSLATE(C1588, ""en"", ""TL"")"),"Ano ang bayad o parusa para sa paglabag sa walang helmet? Sa Pilipinas, ang hindi pagsusuot ng helmet ay may parusa mula Php1,500 hanggang Php10,000.")</f>
        <v>Ano ang bayad o parusa para sa paglabag sa walang helmet? Sa Pilipinas, ang hindi pagsusuot ng helmet ay may parusa mula Php1,500 hanggang Php10,000.</v>
      </c>
      <c r="F1588" s="2">
        <f t="shared" si="1"/>
        <v>0</v>
      </c>
      <c r="G1588" s="2"/>
      <c r="H1588" s="2"/>
      <c r="I1588" s="2"/>
      <c r="J1588" s="2"/>
      <c r="K1588" s="2"/>
      <c r="L1588" s="2"/>
      <c r="M1588" s="2"/>
      <c r="N1588" s="2"/>
      <c r="O1588" s="2"/>
      <c r="P1588" s="2"/>
      <c r="Q1588" s="2"/>
      <c r="R1588" s="2"/>
      <c r="S1588" s="2"/>
      <c r="T1588" s="2"/>
      <c r="U1588" s="2"/>
      <c r="V1588" s="2"/>
      <c r="W1588" s="2"/>
      <c r="X1588" s="2"/>
      <c r="Y1588" s="2"/>
      <c r="Z1588" s="2"/>
      <c r="AA1588" s="2"/>
    </row>
    <row r="1589">
      <c r="A1589" s="3" t="s">
        <v>3972</v>
      </c>
      <c r="B1589" s="1" t="s">
        <v>4230</v>
      </c>
      <c r="C1589" s="1" t="s">
        <v>4309</v>
      </c>
      <c r="D1589" s="2" t="str">
        <f>IFERROR(__xludf.DUMMYFUNCTION("GOOGLETRANSLATE(B1589, ""en"", ""TL"")"),"Maaari bang pagmultahin ang isang driver para sa paradahan sa loob ng intersection o pedestrian lane?")</f>
        <v>Maaari bang pagmultahin ang isang driver para sa paradahan sa loob ng intersection o pedestrian lane?</v>
      </c>
      <c r="E1589" s="2" t="str">
        <f>IFERROR(__xludf.DUMMYFUNCTION("GOOGLETRANSLATE(C1589, ""en"", ""TL"")"),"Oo, sa Pilipinas, ang isang driver ay maaaring pagmultahin para sa paradahan sa loob ng intersection o pedestrian lane. Ito ay itinuturing na isang malubhang paglabag sa trapiko at maaaring magresulta sa mga parusa dahil sa mga panganib sa kaligtasan na d"&amp;"ulot nito.
Narito ang isang breakdown ng mga nauugnay na regulasyon at potensyal na kahihinatnan:
Legal na Batayan:
Republic Act No. 4136 (Land Transportation and Traffic Code):
Seksyon 20(h): Ipinagbabawal ang pagparada sa ""mga lugar kung saan hahad"&amp;"langan nito ang malayang daloy ng trapiko."" Ang paradahan sa isang intersection o pedestrian lane ay malinaw na nakahahadlang sa daloy ng trapiko at nakakaabala sa itinalagang paggamit ng mga espasyong ito.
Seksyon 21: Binabalangkas ang partikular na """&amp;"mga lugar na ipinagbabawal na paradahan,"" na kinabibilangan ng ""mga tawiran"" at ""mga intersection.""")</f>
        <v>Oo, sa Pilipinas, ang isang driver ay maaaring pagmultahin para sa paradahan sa loob ng intersection o pedestrian lane. Ito ay itinuturing na isang malubhang paglabag sa trapiko at maaaring magresulta sa mga parusa dahil sa mga panganib sa kaligtasan na dulot nito.
Narito ang isang breakdown ng mga nauugnay na regulasyon at potensyal na kahihinatnan:
Legal na Batayan:
Republic Act No. 4136 (Land Transportation and Traffic Code):
Seksyon 20(h): Ipinagbabawal ang pagparada sa "mga lugar kung saan hahadlangan nito ang malayang daloy ng trapiko." Ang paradahan sa isang intersection o pedestrian lane ay malinaw na nakahahadlang sa daloy ng trapiko at nakakaabala sa itinalagang paggamit ng mga espasyong ito.
Seksyon 21: Binabalangkas ang partikular na "mga lugar na ipinagbabawal na paradahan," na kinabibilangan ng "mga tawiran" at "mga intersection."</v>
      </c>
      <c r="F1589" s="2">
        <f t="shared" si="1"/>
        <v>0</v>
      </c>
      <c r="G1589" s="2"/>
      <c r="H1589" s="2"/>
      <c r="I1589" s="2"/>
      <c r="J1589" s="2"/>
      <c r="K1589" s="2"/>
      <c r="L1589" s="2"/>
      <c r="M1589" s="2"/>
      <c r="N1589" s="2"/>
      <c r="O1589" s="2"/>
      <c r="P1589" s="2"/>
      <c r="Q1589" s="2"/>
      <c r="R1589" s="2"/>
      <c r="S1589" s="2"/>
      <c r="T1589" s="2"/>
      <c r="U1589" s="2"/>
      <c r="V1589" s="2"/>
      <c r="W1589" s="2"/>
      <c r="X1589" s="2"/>
      <c r="Y1589" s="2"/>
      <c r="Z1589" s="2"/>
      <c r="AA1589" s="2"/>
    </row>
    <row r="1590">
      <c r="A1590" s="3" t="s">
        <v>3972</v>
      </c>
      <c r="B1590" s="1" t="s">
        <v>4232</v>
      </c>
      <c r="C1590" s="1" t="s">
        <v>4310</v>
      </c>
      <c r="D1590" s="2" t="str">
        <f>IFERROR(__xludf.DUMMYFUNCTION("GOOGLETRANSLATE(B1590, ""en"", ""TL"")"),"Ano ang parusa sa pagmamaneho ng sasakyan na may sira o hindi gumaganang mga wiper?")</f>
        <v>Ano ang parusa sa pagmamaneho ng sasakyan na may sira o hindi gumaganang mga wiper?</v>
      </c>
      <c r="E1590" s="2" t="str">
        <f>IFERROR(__xludf.DUMMYFUNCTION("GOOGLETRANSLATE(C1590, ""en"", ""TL"")"),"Ang unang paglabag ay magreresulta sa parusang Php 2,000, ang pangalawang paglabag ay Php 3,000, at ang ikatlong paglabag ay Php 10,000.")</f>
        <v>Ang unang paglabag ay magreresulta sa parusang Php 2,000, ang pangalawang paglabag ay Php 3,000, at ang ikatlong paglabag ay Php 10,000.</v>
      </c>
      <c r="F1590" s="2">
        <f t="shared" si="1"/>
        <v>0</v>
      </c>
      <c r="G1590" s="2"/>
      <c r="H1590" s="2"/>
      <c r="I1590" s="2"/>
      <c r="J1590" s="2"/>
      <c r="K1590" s="2"/>
      <c r="L1590" s="2"/>
      <c r="M1590" s="2"/>
      <c r="N1590" s="2"/>
      <c r="O1590" s="2"/>
      <c r="P1590" s="2"/>
      <c r="Q1590" s="2"/>
      <c r="R1590" s="2"/>
      <c r="S1590" s="2"/>
      <c r="T1590" s="2"/>
      <c r="U1590" s="2"/>
      <c r="V1590" s="2"/>
      <c r="W1590" s="2"/>
      <c r="X1590" s="2"/>
      <c r="Y1590" s="2"/>
      <c r="Z1590" s="2"/>
      <c r="AA1590" s="2"/>
    </row>
    <row r="1591">
      <c r="A1591" s="3" t="s">
        <v>3972</v>
      </c>
      <c r="B1591" s="1" t="s">
        <v>4234</v>
      </c>
      <c r="C1591" s="1" t="s">
        <v>4311</v>
      </c>
      <c r="D1591" s="2" t="str">
        <f>IFERROR(__xludf.DUMMYFUNCTION("GOOGLETRANSLATE(B1591, ""en"", ""TL"")"),"Ano ang parusa para sa paggamit ng sasakyan na may hindi awtorisado o hindi karaniwang mga kagamitan sa babala?")</f>
        <v>Ano ang parusa para sa paggamit ng sasakyan na may hindi awtorisado o hindi karaniwang mga kagamitan sa babala?</v>
      </c>
      <c r="E1591" s="2" t="str">
        <f>IFERROR(__xludf.DUMMYFUNCTION("GOOGLETRANSLATE(C1591, ""en"", ""TL"")"),"ang paggamit ng sasakyan na may hindi awtorisado o hindi karaniwang mga babala na device ay itinuturing na isang paglabag sa trapiko at maaaring magresulta sa ilang potensyal na kahihinatnan. Narito ang isang breakdown ng mga nauugnay na regulasyon at pot"&amp;"ensyal na parusa:
Legal na Batayan:
Republic Act No. 4136 (Land Transportation and Traffic Code):
Seksyon 5(g): Ipinagbabawal ang paggamit ng ""mga kampana, sirena, sipol, o mga busina maliban sa mga kinakailangan o pinapayagan ng batas."" Maaaring big"&amp;"yang-kahulugan ang seksyong ito na isama ang mga hindi awtorisado o hindi karaniwang mga babala na device dahil maaari silang gumana nang katulad ng mga ipinagbabawal na device.
Seksyon 20(k): Ipinagbabawal ang pagpapatakbo ng mga sasakyang de-motor na m"&amp;"ay ""depekto o hindi awtorisadong mga aksesorya, kagamitan, kagamitan, at piyesa."" Direktang tinutugunan ng seksyong ito ang paggamit ng hindi awtorisado o hindi karaniwang mga babala na device.")</f>
        <v>ang paggamit ng sasakyan na may hindi awtorisado o hindi karaniwang mga babala na device ay itinuturing na isang paglabag sa trapiko at maaaring magresulta sa ilang potensyal na kahihinatnan. Narito ang isang breakdown ng mga nauugnay na regulasyon at potensyal na parusa:
Legal na Batayan:
Republic Act No. 4136 (Land Transportation and Traffic Code):
Seksyon 5(g): Ipinagbabawal ang paggamit ng "mga kampana, sirena, sipol, o mga busina maliban sa mga kinakailangan o pinapayagan ng batas." Maaaring bigyang-kahulugan ang seksyong ito na isama ang mga hindi awtorisado o hindi karaniwang mga babala na device dahil maaari silang gumana nang katulad ng mga ipinagbabawal na device.
Seksyon 20(k): Ipinagbabawal ang pagpapatakbo ng mga sasakyang de-motor na may "depekto o hindi awtorisadong mga aksesorya, kagamitan, kagamitan, at piyesa." Direktang tinutugunan ng seksyong ito ang paggamit ng hindi awtorisado o hindi karaniwang mga babala na device.</v>
      </c>
      <c r="F1591" s="2">
        <f t="shared" si="1"/>
        <v>0</v>
      </c>
      <c r="G1591" s="2"/>
      <c r="H1591" s="2"/>
      <c r="I1591" s="2"/>
      <c r="J1591" s="2"/>
      <c r="K1591" s="2"/>
      <c r="L1591" s="2"/>
      <c r="M1591" s="2"/>
      <c r="N1591" s="2"/>
      <c r="O1591" s="2"/>
      <c r="P1591" s="2"/>
      <c r="Q1591" s="2"/>
      <c r="R1591" s="2"/>
      <c r="S1591" s="2"/>
      <c r="T1591" s="2"/>
      <c r="U1591" s="2"/>
      <c r="V1591" s="2"/>
      <c r="W1591" s="2"/>
      <c r="X1591" s="2"/>
      <c r="Y1591" s="2"/>
      <c r="Z1591" s="2"/>
      <c r="AA1591" s="2"/>
    </row>
    <row r="1592">
      <c r="A1592" s="3" t="s">
        <v>3972</v>
      </c>
      <c r="B1592" s="1" t="s">
        <v>4235</v>
      </c>
      <c r="C1592" s="1" t="s">
        <v>4312</v>
      </c>
      <c r="D1592" s="2" t="str">
        <f>IFERROR(__xludf.DUMMYFUNCTION("GOOGLETRANSLATE(B1592, ""en"", ""TL"")"),"Kailan pinahihintulutang magmaneho nang may pulang ilaw mula sa tambutso ng sasakyan?")</f>
        <v>Kailan pinahihintulutang magmaneho nang may pulang ilaw mula sa tambutso ng sasakyan?</v>
      </c>
      <c r="E1592" s="2" t="str">
        <f>IFERROR(__xludf.DUMMYFUNCTION("GOOGLETRANSLATE(C1592, ""en"", ""TL"")"),"Sa Pilipinas, ang mga signal ng trapiko ay kritikal sa kaligtasan sa kalsada. Tingnan natin ang kahalagahan ng iba't ibang signal light:
Matatag at Kumikislap na Pulang Ilaw:
Kapag naging pula ang ilaw ng trapiko, dapat na ganap na huminto ang mga dri"&amp;"ver.
Payagan ang mga pedestrian na ligtas na tumawid.
Kung walang tao o iba pang sasakyan at walang karatulang nagbabawal dito, maaari kang kumanan sa harap ng pulang ilaw.
Gayunpaman, kung makakita ka ng karatula na may nakasulat na ""No Turn on Red,"&amp;""" huwag lumiko.
Sa buod, ang pulang ilaw ay nagpapahiwatig ng paghinto.
Pulang Arrow Light:
Katulad ng isang regular na pulang ilaw, ang isang pulang ilaw na may indikasyon ng arrow ay nagpapahiwatig na hindi ka pinapayagang magpatuloy sa direksyon na "&amp;"ipinahiwatig ng arrow.
Hindi ka maaaring lumiko laban sa isang pulang ilaw ng arrow.
Kapag ang pulang arrow ay kumikislap, kailangan mong ganap na huminto bago magpatuloy.
Maghintay hanggang lumitaw ang berdeng arrow bago magpatuloy.
Matatag at Kumiki"&amp;"slap na Dilaw na Ilaw:
Ang dilaw na ilaw ay karaniwang hindi nauunawaan.
Ito ay nagpapahiwatig na ang pulang ilaw (na nagpapahiwatig ng ""stop"") ay malapit nang lumabas.
Kung makita mo ang iyong sarili sa gitna ng isang intersection, bumagal at mainga"&amp;"t na suriin kung may paparating na trapiko.
Magmaneho nang ligtas bago lumitaw ang pulang ilaw.
Tandaan na huminto (kung saan ligtas) o bumagal habang wala sa intersection.
Higit pa rito, ang Republic Act 10913, na madalas na kilala bilang Anti-Distrac"&amp;"ted Driving Act of 2016, ay naghihigpit sa mga driver sa paggamit ng mga electronic at communication device habang ang kanilang sasakyan ay umaandar o humihinto sa pulang ilaw.")</f>
        <v>Sa Pilipinas, ang mga signal ng trapiko ay kritikal sa kaligtasan sa kalsada. Tingnan natin ang kahalagahan ng iba't ibang signal light:
Matatag at Kumikislap na Pulang Ilaw:
Kapag naging pula ang ilaw ng trapiko, dapat na ganap na huminto ang mga driver.
Payagan ang mga pedestrian na ligtas na tumawid.
Kung walang tao o iba pang sasakyan at walang karatulang nagbabawal dito, maaari kang kumanan sa harap ng pulang ilaw.
Gayunpaman, kung makakita ka ng karatula na may nakasulat na "No Turn on Red," huwag lumiko.
Sa buod, ang pulang ilaw ay nagpapahiwatig ng paghinto.
Pulang Arrow Light:
Katulad ng isang regular na pulang ilaw, ang isang pulang ilaw na may indikasyon ng arrow ay nagpapahiwatig na hindi ka pinapayagang magpatuloy sa direksyon na ipinahiwatig ng arrow.
Hindi ka maaaring lumiko laban sa isang pulang ilaw ng arrow.
Kapag ang pulang arrow ay kumikislap, kailangan mong ganap na huminto bago magpatuloy.
Maghintay hanggang lumitaw ang berdeng arrow bago magpatuloy.
Matatag at Kumikislap na Dilaw na Ilaw:
Ang dilaw na ilaw ay karaniwang hindi nauunawaan.
Ito ay nagpapahiwatig na ang pulang ilaw (na nagpapahiwatig ng "stop") ay malapit nang lumabas.
Kung makita mo ang iyong sarili sa gitna ng isang intersection, bumagal at maingat na suriin kung may paparating na trapiko.
Magmaneho nang ligtas bago lumitaw ang pulang ilaw.
Tandaan na huminto (kung saan ligtas) o bumagal habang wala sa intersection.
Higit pa rito, ang Republic Act 10913, na madalas na kilala bilang Anti-Distracted Driving Act of 2016, ay naghihigpit sa mga driver sa paggamit ng mga electronic at communication device habang ang kanilang sasakyan ay umaandar o humihinto sa pulang ilaw.</v>
      </c>
      <c r="F1592" s="2">
        <f t="shared" si="1"/>
        <v>0</v>
      </c>
      <c r="G1592" s="2"/>
      <c r="H1592" s="2"/>
      <c r="I1592" s="2"/>
      <c r="J1592" s="2"/>
      <c r="K1592" s="2"/>
      <c r="L1592" s="2"/>
      <c r="M1592" s="2"/>
      <c r="N1592" s="2"/>
      <c r="O1592" s="2"/>
      <c r="P1592" s="2"/>
      <c r="Q1592" s="2"/>
      <c r="R1592" s="2"/>
      <c r="S1592" s="2"/>
      <c r="T1592" s="2"/>
      <c r="U1592" s="2"/>
      <c r="V1592" s="2"/>
      <c r="W1592" s="2"/>
      <c r="X1592" s="2"/>
      <c r="Y1592" s="2"/>
      <c r="Z1592" s="2"/>
      <c r="AA1592" s="2"/>
    </row>
    <row r="1593">
      <c r="A1593" s="3" t="s">
        <v>3972</v>
      </c>
      <c r="B1593" s="1" t="s">
        <v>4077</v>
      </c>
      <c r="C1593" s="1" t="s">
        <v>4313</v>
      </c>
      <c r="D1593" s="2" t="str">
        <f>IFERROR(__xludf.DUMMYFUNCTION("GOOGLETRANSLATE(B1593, ""en"", ""TL"")"),"Ano ang multa para sa pagpapatakbo ng sasakyan nang walang kinakailangang early warning device?")</f>
        <v>Ano ang multa para sa pagpapatakbo ng sasakyan nang walang kinakailangang early warning device?</v>
      </c>
      <c r="E1593" s="2" t="str">
        <f>IFERROR(__xludf.DUMMYFUNCTION("GOOGLETRANSLATE(C1593, ""en"", ""TL"")"),"Ang mga driver na makikitang walang EWD ay mahaharap sa P500 na multa at pagkumpiska ng lisensya.")</f>
        <v>Ang mga driver na makikitang walang EWD ay mahaharap sa P500 na multa at pagkumpiska ng lisensya.</v>
      </c>
      <c r="F1593" s="2">
        <f t="shared" si="1"/>
        <v>0</v>
      </c>
      <c r="G1593" s="2"/>
      <c r="H1593" s="2"/>
      <c r="I1593" s="2"/>
      <c r="J1593" s="2"/>
      <c r="K1593" s="2"/>
      <c r="L1593" s="2"/>
      <c r="M1593" s="2"/>
      <c r="N1593" s="2"/>
      <c r="O1593" s="2"/>
      <c r="P1593" s="2"/>
      <c r="Q1593" s="2"/>
      <c r="R1593" s="2"/>
      <c r="S1593" s="2"/>
      <c r="T1593" s="2"/>
      <c r="U1593" s="2"/>
      <c r="V1593" s="2"/>
      <c r="W1593" s="2"/>
      <c r="X1593" s="2"/>
      <c r="Y1593" s="2"/>
      <c r="Z1593" s="2"/>
      <c r="AA1593" s="2"/>
    </row>
    <row r="1594">
      <c r="A1594" s="3" t="s">
        <v>3972</v>
      </c>
      <c r="B1594" s="1" t="s">
        <v>4037</v>
      </c>
      <c r="C1594" s="1" t="s">
        <v>4314</v>
      </c>
      <c r="D1594" s="2" t="str">
        <f>IFERROR(__xludf.DUMMYFUNCTION("GOOGLETRANSLATE(B1594, ""en"", ""TL"")"),"Ano ang parusa sa pagmamaneho nang walang kinakailangang mga plaka ng sasakyan?")</f>
        <v>Ano ang parusa sa pagmamaneho nang walang kinakailangang mga plaka ng sasakyan?</v>
      </c>
      <c r="E1594" s="2" t="str">
        <f>IFERROR(__xludf.DUMMYFUNCTION("GOOGLETRANSLATE(C1594, ""en"", ""TL"")"),"Nagkakahalaga ng P5,000 ang pagmamaneho ng sasakyan na may hindi awtorisado o hindi maganda ang pagkakabit ng plaka ng sasakyang de-motor.")</f>
        <v>Nagkakahalaga ng P5,000 ang pagmamaneho ng sasakyan na may hindi awtorisado o hindi maganda ang pagkakabit ng plaka ng sasakyang de-motor.</v>
      </c>
      <c r="F1594" s="2">
        <f t="shared" si="1"/>
        <v>0</v>
      </c>
      <c r="G1594" s="2"/>
      <c r="H1594" s="2"/>
      <c r="I1594" s="2"/>
      <c r="J1594" s="2"/>
      <c r="K1594" s="2"/>
      <c r="L1594" s="2"/>
      <c r="M1594" s="2"/>
      <c r="N1594" s="2"/>
      <c r="O1594" s="2"/>
      <c r="P1594" s="2"/>
      <c r="Q1594" s="2"/>
      <c r="R1594" s="2"/>
      <c r="S1594" s="2"/>
      <c r="T1594" s="2"/>
      <c r="U1594" s="2"/>
      <c r="V1594" s="2"/>
      <c r="W1594" s="2"/>
      <c r="X1594" s="2"/>
      <c r="Y1594" s="2"/>
      <c r="Z1594" s="2"/>
      <c r="AA1594" s="2"/>
    </row>
    <row r="1595">
      <c r="A1595" s="3" t="s">
        <v>3972</v>
      </c>
      <c r="B1595" s="1" t="s">
        <v>4243</v>
      </c>
      <c r="C1595" s="1" t="s">
        <v>4315</v>
      </c>
      <c r="D1595" s="2" t="str">
        <f>IFERROR(__xludf.DUMMYFUNCTION("GOOGLETRANSLATE(B1595, ""en"", ""TL"")"),"Ano ang parusa sa pagmamaneho ng sasakyan nang walang valid na sertipiko ng inspeksyon ng sasakyang de-motor?")</f>
        <v>Ano ang parusa sa pagmamaneho ng sasakyan nang walang valid na sertipiko ng inspeksyon ng sasakyang de-motor?</v>
      </c>
      <c r="E1595" s="2" t="str">
        <f>IFERROR(__xludf.DUMMYFUNCTION("GOOGLETRANSLATE(C1595, ""en"", ""TL"")"),"Sa Pilipinas, ang pagmamaneho ng sasakyan na walang valid na motor vehicle inspection certificate ay isang paglabag sa trapiko at maaaring magresulta sa maraming parusa. Narito ang isang breakdown ng mga nauugnay na regulasyon at potensyal na kahihinatnan"&amp;":
Legal na Batayan:
Republic Act No. 4136 (Land Transportation and Traffic Code):
Seksyon 5(g): Ipinagbabawal ang pagpapatakbo ng mga sasakyang de-motor ""nang walang wastong sertipiko ng inspeksyon."" Direktang tinutugunan ng seksyong ito ang panganga"&amp;"ilangan para sa isang balidong sertipiko ng inspeksyon ng sasakyang de-motor.
Seksyon 20(k): Ipinagbabawal ang pagpapatakbo ng mga sasakyang de-motor na may ""depekto o hindi awtorisadong mga aksesorya, kagamitan, kagamitan, at piyesa."" Masasabing, ang "&amp;"isang sasakyan na walang wastong sertipiko ng inspeksyon ay maaaring ituring na hindi sumusunod sa mga pamantayan sa kaligtasan at samakatuwid ay nasa ilalim ng seksyong ito.
Mga Regulasyon ng LTO:
LTO Memorandum Circular No. 2016-020: Ang memorandum na"&amp;" ito ay nagbibigay-diin sa pangangailangan para sa isang ""valid certificate of inspection"" at kasama ito sa listahan ng mga kinakailangang dokumento para sa pagpapatakbo ng sasakyan.
Mga parusa:
₱1,000 na multa: Ito ang karaniwang multa para sa pagmam"&amp;"aneho ng sasakyan nang walang valid na motor vehicle inspection certificate, ayon sa LTO Memorandum Circular No. 2019-20. Gayunpaman, ang aktwal na parusa ay maaaring mag-iba depende sa partikular na mga pangyayari at sa pagpapasya ng opisyal ng paghuli.
"&amp;"
Pag-aresto sa sasakyan: Maaaring hulihin ng mga awtoridad ang sasakyan hanggang sa malutas ang sitwasyon at maipakita ang valid na sertipiko ng inspeksyon.")</f>
        <v>Sa Pilipinas, ang pagmamaneho ng sasakyan na walang valid na motor vehicle inspection certificate ay isang paglabag sa trapiko at maaaring magresulta sa maraming parusa. Narito ang isang breakdown ng mga nauugnay na regulasyon at potensyal na kahihinatnan:
Legal na Batayan:
Republic Act No. 4136 (Land Transportation and Traffic Code):
Seksyon 5(g): Ipinagbabawal ang pagpapatakbo ng mga sasakyang de-motor "nang walang wastong sertipiko ng inspeksyon." Direktang tinutugunan ng seksyong ito ang pangangailangan para sa isang balidong sertipiko ng inspeksyon ng sasakyang de-motor.
Seksyon 20(k): Ipinagbabawal ang pagpapatakbo ng mga sasakyang de-motor na may "depekto o hindi awtorisadong mga aksesorya, kagamitan, kagamitan, at piyesa." Masasabing, ang isang sasakyan na walang wastong sertipiko ng inspeksyon ay maaaring ituring na hindi sumusunod sa mga pamantayan sa kaligtasan at samakatuwid ay nasa ilalim ng seksyong ito.
Mga Regulasyon ng LTO:
LTO Memorandum Circular No. 2016-020: Ang memorandum na ito ay nagbibigay-diin sa pangangailangan para sa isang "valid certificate of inspection" at kasama ito sa listahan ng mga kinakailangang dokumento para sa pagpapatakbo ng sasakyan.
Mga parusa:
₱1,000 na multa: Ito ang karaniwang multa para sa pagmamaneho ng sasakyan nang walang valid na motor vehicle inspection certificate, ayon sa LTO Memorandum Circular No. 2019-20. Gayunpaman, ang aktwal na parusa ay maaaring mag-iba depende sa partikular na mga pangyayari at sa pagpapasya ng opisyal ng paghuli.
Pag-aresto sa sasakyan: Maaaring hulihin ng mga awtoridad ang sasakyan hanggang sa malutas ang sitwasyon at maipakita ang valid na sertipiko ng inspeksyon.</v>
      </c>
      <c r="F1595" s="2">
        <f t="shared" si="1"/>
        <v>0</v>
      </c>
      <c r="G1595" s="2"/>
      <c r="H1595" s="2"/>
      <c r="I1595" s="2"/>
      <c r="J1595" s="2"/>
      <c r="K1595" s="2"/>
      <c r="L1595" s="2"/>
      <c r="M1595" s="2"/>
      <c r="N1595" s="2"/>
      <c r="O1595" s="2"/>
      <c r="P1595" s="2"/>
      <c r="Q1595" s="2"/>
      <c r="R1595" s="2"/>
      <c r="S1595" s="2"/>
      <c r="T1595" s="2"/>
      <c r="U1595" s="2"/>
      <c r="V1595" s="2"/>
      <c r="W1595" s="2"/>
      <c r="X1595" s="2"/>
      <c r="Y1595" s="2"/>
      <c r="Z1595" s="2"/>
      <c r="AA1595" s="2"/>
    </row>
    <row r="1596">
      <c r="A1596" s="3" t="s">
        <v>3972</v>
      </c>
      <c r="B1596" s="1" t="s">
        <v>4248</v>
      </c>
      <c r="C1596" s="1" t="s">
        <v>4316</v>
      </c>
      <c r="D1596" s="2" t="str">
        <f>IFERROR(__xludf.DUMMYFUNCTION("GOOGLETRANSLATE(B1596, ""en"", ""TL"")"),"Maaari bang pagmultahin ang isang tsuper sa paggamit ng mobile phone habang nagpapatakbo ng sasakyan?")</f>
        <v>Maaari bang pagmultahin ang isang tsuper sa paggamit ng mobile phone habang nagpapatakbo ng sasakyan?</v>
      </c>
      <c r="E1596" s="2" t="str">
        <f>IFERROR(__xludf.DUMMYFUNCTION("GOOGLETRANSLATE(C1596, ""en"", ""TL"")"),"Sa Pilipinas, ipinagbabawal ng Anti-Distracted Driving Act ang paggamit ng mga mobile communication device habang nagmamaneho. Ang paglabag sa batas na ito ay maaaring magresulta sa mga multa, parusa, at maging ang pagsususpinde ng mga pribilehiyo sa pagm"&amp;"amaneho, pagdaragdag ng mga legal na implikasyon sa mga likas na panganib.")</f>
        <v>Sa Pilipinas, ipinagbabawal ng Anti-Distracted Driving Act ang paggamit ng mga mobile communication device habang nagmamaneho. Ang paglabag sa batas na ito ay maaaring magresulta sa mga multa, parusa, at maging ang pagsususpinde ng mga pribilehiyo sa pagmamaneho, pagdaragdag ng mga legal na implikasyon sa mga likas na panganib.</v>
      </c>
      <c r="F1596" s="2">
        <f t="shared" si="1"/>
        <v>0</v>
      </c>
      <c r="G1596" s="2"/>
      <c r="H1596" s="2"/>
      <c r="I1596" s="2"/>
      <c r="J1596" s="2"/>
      <c r="K1596" s="2"/>
      <c r="L1596" s="2"/>
      <c r="M1596" s="2"/>
      <c r="N1596" s="2"/>
      <c r="O1596" s="2"/>
      <c r="P1596" s="2"/>
      <c r="Q1596" s="2"/>
      <c r="R1596" s="2"/>
      <c r="S1596" s="2"/>
      <c r="T1596" s="2"/>
      <c r="U1596" s="2"/>
      <c r="V1596" s="2"/>
      <c r="W1596" s="2"/>
      <c r="X1596" s="2"/>
      <c r="Y1596" s="2"/>
      <c r="Z1596" s="2"/>
      <c r="AA1596" s="2"/>
    </row>
    <row r="1597">
      <c r="A1597" s="3" t="s">
        <v>3972</v>
      </c>
      <c r="B1597" s="1" t="s">
        <v>4251</v>
      </c>
      <c r="C1597" s="1" t="s">
        <v>4317</v>
      </c>
      <c r="D1597" s="2" t="str">
        <f>IFERROR(__xludf.DUMMYFUNCTION("GOOGLETRANSLATE(B1597, ""en"", ""TL"")"),"Kailan pinahihintulutang gumamit ng motorsiklo upang magdala ng malalaki o mapanganib na mga materyales?")</f>
        <v>Kailan pinahihintulutang gumamit ng motorsiklo upang magdala ng malalaki o mapanganib na mga materyales?</v>
      </c>
      <c r="E1597" s="2" t="str">
        <f>IFERROR(__xludf.DUMMYFUNCTION("GOOGLETRANSLATE(C1597, ""en"", ""TL"")"),"Sa Pilipinas, pinamamahalaan ng mga alituntunin ang paggamit ng mga motorsiklo para sa pasahero, kargamento, at mapanganib na materyal na transportasyon. Ang mga motorsiklo ay sinadya upang magdala lamang ng isang sakay at isang pasahero. Ang mga saddleba"&amp;"g o luggage carrier na ginagamit para sa freight transport ay dapat lisensyado ng Department of Trade and Industry. Ang mga hazard lights sa mga motorsiklo ay nag-aalerto sa ibang mga gumagamit ng kalsada sa ilang partikular na banta, tulad ng kapag ang s"&amp;"asakyan ay nasira o nasangkot sa isang aksidente na humahadlang sa trapiko. Dagdag pa rito, ang Motorcycle Safety Riding Act ay naglalayong mapabuti ang kaligtasan sa pamamagitan ng pag-regulate ng pagpaparehistro at pagpapatakbo ng motorsiklo. Ang mga sa"&amp;"kay ay dapat magparehistro sa LTO-accredited motorcycle clubs, na nagbibigay ng safety instruction at namamahala sa mga member registration. Ang mga club na ito ay dapat mag-aplay para sa pagkilala at sertipikasyon mula sa Land Transport Office (LTO). Hab"&amp;"ang sinusuportahan din ang mga panuntunan sa privacy ng data at pagsuporta sa mga ahensyang nagpapatupad ng batas na may mga pagsisiyasat. Ang mga akreditadong paaralan sa pagmamaneho sa kaligtasan ng motorsiklo ay nakikipagtulungan sa mga club ng motorsi"&amp;"klo upang magbigay ng pagsasanay sa kaligtasan na sumusunod sa pamantayan ng LTO. Sa pangkalahatan, ang kaligtasan ay mahalaga, at ang pagsunod sa lokal na batas ay kritikal para sa kaligtasan ng mga sakay ng motorsiklo at iba pang gumagamit ng kalsada.")</f>
        <v>Sa Pilipinas, pinamamahalaan ng mga alituntunin ang paggamit ng mga motorsiklo para sa pasahero, kargamento, at mapanganib na materyal na transportasyon. Ang mga motorsiklo ay sinadya upang magdala lamang ng isang sakay at isang pasahero. Ang mga saddlebag o luggage carrier na ginagamit para sa freight transport ay dapat lisensyado ng Department of Trade and Industry. Ang mga hazard lights sa mga motorsiklo ay nag-aalerto sa ibang mga gumagamit ng kalsada sa ilang partikular na banta, tulad ng kapag ang sasakyan ay nasira o nasangkot sa isang aksidente na humahadlang sa trapiko. Dagdag pa rito, ang Motorcycle Safety Riding Act ay naglalayong mapabuti ang kaligtasan sa pamamagitan ng pag-regulate ng pagpaparehistro at pagpapatakbo ng motorsiklo. Ang mga sakay ay dapat magparehistro sa LTO-accredited motorcycle clubs, na nagbibigay ng safety instruction at namamahala sa mga member registration. Ang mga club na ito ay dapat mag-aplay para sa pagkilala at sertipikasyon mula sa Land Transport Office (LTO). Habang sinusuportahan din ang mga panuntunan sa privacy ng data at pagsuporta sa mga ahensyang nagpapatupad ng batas na may mga pagsisiyasat. Ang mga akreditadong paaralan sa pagmamaneho sa kaligtasan ng motorsiklo ay nakikipagtulungan sa mga club ng motorsiklo upang magbigay ng pagsasanay sa kaligtasan na sumusunod sa pamantayan ng LTO. Sa pangkalahatan, ang kaligtasan ay mahalaga, at ang pagsunod sa lokal na batas ay kritikal para sa kaligtasan ng mga sakay ng motorsiklo at iba pang gumagamit ng kalsada.</v>
      </c>
      <c r="F1597" s="2">
        <f t="shared" si="1"/>
        <v>0</v>
      </c>
      <c r="G1597" s="2"/>
      <c r="H1597" s="2"/>
      <c r="I1597" s="2"/>
      <c r="J1597" s="2"/>
      <c r="K1597" s="2"/>
      <c r="L1597" s="2"/>
      <c r="M1597" s="2"/>
      <c r="N1597" s="2"/>
      <c r="O1597" s="2"/>
      <c r="P1597" s="2"/>
      <c r="Q1597" s="2"/>
      <c r="R1597" s="2"/>
      <c r="S1597" s="2"/>
      <c r="T1597" s="2"/>
      <c r="U1597" s="2"/>
      <c r="V1597" s="2"/>
      <c r="W1597" s="2"/>
      <c r="X1597" s="2"/>
      <c r="Y1597" s="2"/>
      <c r="Z1597" s="2"/>
      <c r="AA1597" s="2"/>
    </row>
    <row r="1598">
      <c r="A1598" s="3" t="s">
        <v>3972</v>
      </c>
      <c r="B1598" s="1" t="s">
        <v>4253</v>
      </c>
      <c r="C1598" s="1" t="s">
        <v>4318</v>
      </c>
      <c r="D1598" s="2" t="str">
        <f>IFERROR(__xludf.DUMMYFUNCTION("GOOGLETRANSLATE(B1598, ""en"", ""TL"")"),"Ano ang multa para sa paradahan sa mga lugar na itinalaga para sa mga taong may kapansanan?")</f>
        <v>Ano ang multa para sa paradahan sa mga lugar na itinalaga para sa mga taong may kapansanan?</v>
      </c>
      <c r="E1598" s="2" t="str">
        <f>IFERROR(__xludf.DUMMYFUNCTION("GOOGLETRANSLATE(C1598, ""en"", ""TL"")"),"Ang sinumang pumarada sa isang puwang na nakalaan para sa mga PWD na walang plakard para sa mga may kapansanan, isang taong may kapansanan na nagpapahintulot sa isang taong hindi may kapansanan na gamitin ang kanyang placard sa paradahan, o sinumang humah"&amp;"adlang sa mga access point ng mga taong may kapansanan sa mga itinalagang lugar ng paradahan ng mga may kapansanan ay mahaharap sa pinakamababang multa ng P10,000 at maximum na multa na P40,000.")</f>
        <v>Ang sinumang pumarada sa isang puwang na nakalaan para sa mga PWD na walang plakard para sa mga may kapansanan, isang taong may kapansanan na nagpapahintulot sa isang taong hindi may kapansanan na gamitin ang kanyang placard sa paradahan, o sinumang humahadlang sa mga access point ng mga taong may kapansanan sa mga itinalagang lugar ng paradahan ng mga may kapansanan ay mahaharap sa pinakamababang multa ng P10,000 at maximum na multa na P40,000.</v>
      </c>
      <c r="F1598" s="2">
        <f t="shared" si="1"/>
        <v>0</v>
      </c>
      <c r="G1598" s="2"/>
      <c r="H1598" s="2"/>
      <c r="I1598" s="2"/>
      <c r="J1598" s="2"/>
      <c r="K1598" s="2"/>
      <c r="L1598" s="2"/>
      <c r="M1598" s="2"/>
      <c r="N1598" s="2"/>
      <c r="O1598" s="2"/>
      <c r="P1598" s="2"/>
      <c r="Q1598" s="2"/>
      <c r="R1598" s="2"/>
      <c r="S1598" s="2"/>
      <c r="T1598" s="2"/>
      <c r="U1598" s="2"/>
      <c r="V1598" s="2"/>
      <c r="W1598" s="2"/>
      <c r="X1598" s="2"/>
      <c r="Y1598" s="2"/>
      <c r="Z1598" s="2"/>
      <c r="AA1598" s="2"/>
    </row>
    <row r="1599">
      <c r="A1599" s="3" t="s">
        <v>3972</v>
      </c>
      <c r="B1599" s="1" t="s">
        <v>4254</v>
      </c>
      <c r="C1599" s="1" t="s">
        <v>4319</v>
      </c>
      <c r="D1599" s="2" t="str">
        <f>IFERROR(__xludf.DUMMYFUNCTION("GOOGLETRANSLATE(B1599, ""en"", ""TL"")"),"Ano ang parusa para sa pakikialam o pagpapalit ng engine o chassis number ng sasakyan?")</f>
        <v>Ano ang parusa para sa pakikialam o pagpapalit ng engine o chassis number ng sasakyan?</v>
      </c>
      <c r="E1599" s="2" t="str">
        <f>IFERROR(__xludf.DUMMYFUNCTION("GOOGLETRANSLATE(C1599, ""en"", ""TL"")"),"Ang pakikialam o pagpapalit ng numero ng makina o chassis ng isang sasakyan sa Pilipinas ay isang malubhang pagkakasala na may malalaking legal na kahihinatnan. Narito ang isang breakdown ng mga nauugnay na regulasyon at potensyal na parusa:
Legal na Bat"&amp;"ayan:
Republic Act No. 6539 (Anti-Carnapping Act of 2016):
Seksyon 12: Ang seksyong ito ay tahasang nagsasaad na ito ay ""labag sa batas para sa sinumang tao na sirain o pakialaman ang orihinal o nakarehistrong serial number ng mga makina ng sasakyang d"&amp;"e-motor, bloke ng makina at tsasis."" Direktang tinutugunan nito ang pagkilos ng pagbabago ng mga numero ng pagkakakilanlan ng sasakyan.
Seksyon 13: Binabalangkas ng seksyong ito ang mga parusa para sa paglabag sa anumang probisyon ng Batas, kabilang ang"&amp;":
Pagkakulong ng hindi bababa sa dalawang taon o higit sa anim na taon.
Isang multa na katumbas ng halaga sa halaga ng pagbili ng sasakyang de-motor, makina ng sasakyang de-motor o anumang iba pang bahaging sangkot sa paglabag.
Seksyon 16: Binibigyang-"&amp;"diin ng seksyong ito na ang paglilipat ng mga plate ng pagkakakilanlan o mga numero ng isang ""kabuuang pagkawasak"" (idineklara na hindi na maaayos) sa isa pang sasakyan ay itinuturing ding isang paglabag, na higit na binibigyang-diin ang kahalagahan ng "&amp;"pag-iingat ng orihinal na mga numero ng pagkakakilanlan ng sasakyan.")</f>
        <v>Ang pakikialam o pagpapalit ng numero ng makina o chassis ng isang sasakyan sa Pilipinas ay isang malubhang pagkakasala na may malalaking legal na kahihinatnan. Narito ang isang breakdown ng mga nauugnay na regulasyon at potensyal na parusa:
Legal na Batayan:
Republic Act No. 6539 (Anti-Carnapping Act of 2016):
Seksyon 12: Ang seksyong ito ay tahasang nagsasaad na ito ay "labag sa batas para sa sinumang tao na sirain o pakialaman ang orihinal o nakarehistrong serial number ng mga makina ng sasakyang de-motor, bloke ng makina at tsasis." Direktang tinutugunan nito ang pagkilos ng pagbabago ng mga numero ng pagkakakilanlan ng sasakyan.
Seksyon 13: Binabalangkas ng seksyong ito ang mga parusa para sa paglabag sa anumang probisyon ng Batas, kabilang ang:
Pagkakulong ng hindi bababa sa dalawang taon o higit sa anim na taon.
Isang multa na katumbas ng halaga sa halaga ng pagbili ng sasakyang de-motor, makina ng sasakyang de-motor o anumang iba pang bahaging sangkot sa paglabag.
Seksyon 16: Binibigyang-diin ng seksyong ito na ang paglilipat ng mga plate ng pagkakakilanlan o mga numero ng isang "kabuuang pagkawasak" (idineklara na hindi na maaayos) sa isa pang sasakyan ay itinuturing ding isang paglabag, na higit na binibigyang-diin ang kahalagahan ng pag-iingat ng orihinal na mga numero ng pagkakakilanlan ng sasakyan.</v>
      </c>
      <c r="F1599" s="2">
        <f t="shared" si="1"/>
        <v>0</v>
      </c>
      <c r="G1599" s="2"/>
      <c r="H1599" s="2"/>
      <c r="I1599" s="2"/>
      <c r="J1599" s="2"/>
      <c r="K1599" s="2"/>
      <c r="L1599" s="2"/>
      <c r="M1599" s="2"/>
      <c r="N1599" s="2"/>
      <c r="O1599" s="2"/>
      <c r="P1599" s="2"/>
      <c r="Q1599" s="2"/>
      <c r="R1599" s="2"/>
      <c r="S1599" s="2"/>
      <c r="T1599" s="2"/>
      <c r="U1599" s="2"/>
      <c r="V1599" s="2"/>
      <c r="W1599" s="2"/>
      <c r="X1599" s="2"/>
      <c r="Y1599" s="2"/>
      <c r="Z1599" s="2"/>
      <c r="AA1599" s="2"/>
    </row>
    <row r="1600">
      <c r="A1600" s="3" t="s">
        <v>3972</v>
      </c>
      <c r="B1600" s="1" t="s">
        <v>4256</v>
      </c>
      <c r="C1600" s="1" t="s">
        <v>4320</v>
      </c>
      <c r="D1600" s="2" t="str">
        <f>IFERROR(__xludf.DUMMYFUNCTION("GOOGLETRANSLATE(B1600, ""en"", ""TL"")"),"Maaari bang pagmultahin ang isang tsuper kapag hindi gumamit ng seat belt habang nagpapatakbo ng pampublikong sasakyan?")</f>
        <v>Maaari bang pagmultahin ang isang tsuper kapag hindi gumamit ng seat belt habang nagpapatakbo ng pampublikong sasakyan?</v>
      </c>
      <c r="E1600" s="2" t="str">
        <f>IFERROR(__xludf.DUMMYFUNCTION("GOOGLETRANSLATE(C1600, ""en"", ""TL"")"),"Ang mga nagmamaneho ng mga pampublikong sasakyan ay nahaharap sa mas mabigat na parusa kapag hindi nila hinihiling sa mga pasahero na magsuot ng sapilitang seat belt. Nahaharap ang mga driver at operator ng ₱3,000 na parusa para sa bawat paglabag.")</f>
        <v>Ang mga nagmamaneho ng mga pampublikong sasakyan ay nahaharap sa mas mabigat na parusa kapag hindi nila hinihiling sa mga pasahero na magsuot ng sapilitang seat belt. Nahaharap ang mga driver at operator ng ₱3,000 na parusa para sa bawat paglabag.</v>
      </c>
      <c r="F1600" s="2">
        <f t="shared" si="1"/>
        <v>0</v>
      </c>
      <c r="G1600" s="2"/>
      <c r="H1600" s="2"/>
      <c r="I1600" s="2"/>
      <c r="J1600" s="2"/>
      <c r="K1600" s="2"/>
      <c r="L1600" s="2"/>
      <c r="M1600" s="2"/>
      <c r="N1600" s="2"/>
      <c r="O1600" s="2"/>
      <c r="P1600" s="2"/>
      <c r="Q1600" s="2"/>
      <c r="R1600" s="2"/>
      <c r="S1600" s="2"/>
      <c r="T1600" s="2"/>
      <c r="U1600" s="2"/>
      <c r="V1600" s="2"/>
      <c r="W1600" s="2"/>
      <c r="X1600" s="2"/>
      <c r="Y1600" s="2"/>
      <c r="Z1600" s="2"/>
      <c r="AA1600" s="2"/>
    </row>
    <row r="1601">
      <c r="A1601" s="3" t="s">
        <v>3972</v>
      </c>
      <c r="B1601" s="1" t="s">
        <v>4258</v>
      </c>
      <c r="C1601" s="1" t="s">
        <v>4321</v>
      </c>
      <c r="D1601" s="2" t="str">
        <f>IFERROR(__xludf.DUMMYFUNCTION("GOOGLETRANSLATE(B1601, ""en"", ""TL"")"),"Ano ang multa para sa paggamit ng pribadong sasakyan para sa pag-upa nang walang kinakailangang mga permit?")</f>
        <v>Ano ang multa para sa paggamit ng pribadong sasakyan para sa pag-upa nang walang kinakailangang mga permit?</v>
      </c>
      <c r="E1601" s="2" t="str">
        <f>IFERROR(__xludf.DUMMYFUNCTION("GOOGLETRANSLATE(C1601, ""en"", ""TL"")"),"ang paggamit ng pribadong sasakyan na inupahan sa Pilipinas nang walang kinakailangang permit ay isang seryosong paglabag na may potensyal na parusa. Narito ang isang buod:
Legal na Batayan:
Republic Act No. 4136 (Land Transportation and Traffic Code):
Se"&amp;"ksyon 7(a): Nagsasaad na ""ang mga pribadong sasakyang de-motor ay hindi dapat gamitin para sa pag-upa."" Direktang ipinagbabawal ng seksyong ito ang paggamit ng hindi rehistradong pribadong sasakyan para sa komersyal na layunin.
Seksyon 7(c): Nangangaila"&amp;"ngan ng ""mga sasakyang de-motor na ginagamit para sa pag-upa upang makuha mula sa Komisyon sa Transportasyong Lupa o iba pang mga katawan na maaaring pahintulutan ng batas ang kinakailangang sertipiko ng pampublikong kaginhawahan o isang espesyal na perm"&amp;"it."" Binibigyang-diin ng seksyong ito ang pangangailangan para sa wastong mga permit para sa pagpapatakbo ng mga sasakyang inuupahan.
Seksyon 54(k): Nagbibigay ng kapangyarihan sa Land Transportation Office (LTO) na ""magpataw ng mga multa at parusa para"&amp;" sa mga paglabag..."" ng Land Transportation and Traffic Code.
Mga parusa:
₱500 na multa: Ito ang karaniwang multa para sa paggamit ng pribadong sasakyan for hire nang walang kinakailangang permit ayon sa LTO Memorandum Circular No. 2016-020. Gayunpaman, "&amp;"ang aktwal na multa ay maaaring mag-iba depende sa partikular na mga pangyayari at sa pagpapasya ng opisyal ng paghuli.
Pagsuspinde ng Lisensya sa Pagmamaneho: Bilang karagdagan sa multa, ang lisensya ng pagmamaneho ay maaaring masuspinde ng tatlong buwan"&amp;" para sa unang pagkakasala at posibleng mas matagal para sa mga kasunod na pagkakasala.
Pag-impound ng Sasakyan: Sa ilang mga kaso, ang sasakyan ay maaaring ma-impound ng mga awtoridad hanggang sa malutas ang sitwasyon at makuha ang naaangkop na mga permi"&amp;"t.")</f>
        <v>ang paggamit ng pribadong sasakyan na inupahan sa Pilipinas nang walang kinakailangang permit ay isang seryosong paglabag na may potensyal na parusa. Narito ang isang buod:
Legal na Batayan:
Republic Act No. 4136 (Land Transportation and Traffic Code):
Seksyon 7(a): Nagsasaad na "ang mga pribadong sasakyang de-motor ay hindi dapat gamitin para sa pag-upa." Direktang ipinagbabawal ng seksyong ito ang paggamit ng hindi rehistradong pribadong sasakyan para sa komersyal na layunin.
Seksyon 7(c): Nangangailangan ng "mga sasakyang de-motor na ginagamit para sa pag-upa upang makuha mula sa Komisyon sa Transportasyong Lupa o iba pang mga katawan na maaaring pahintulutan ng batas ang kinakailangang sertipiko ng pampublikong kaginhawahan o isang espesyal na permit." Binibigyang-diin ng seksyong ito ang pangangailangan para sa wastong mga permit para sa pagpapatakbo ng mga sasakyang inuupahan.
Seksyon 54(k): Nagbibigay ng kapangyarihan sa Land Transportation Office (LTO) na "magpataw ng mga multa at parusa para sa mga paglabag..." ng Land Transportation and Traffic Code.
Mga parusa:
₱500 na multa: Ito ang karaniwang multa para sa paggamit ng pribadong sasakyan for hire nang walang kinakailangang permit ayon sa LTO Memorandum Circular No. 2016-020. Gayunpaman, ang aktwal na multa ay maaaring mag-iba depende sa partikular na mga pangyayari at sa pagpapasya ng opisyal ng paghuli.
Pagsuspinde ng Lisensya sa Pagmamaneho: Bilang karagdagan sa multa, ang lisensya ng pagmamaneho ay maaaring masuspinde ng tatlong buwan para sa unang pagkakasala at posibleng mas matagal para sa mga kasunod na pagkakasala.
Pag-impound ng Sasakyan: Sa ilang mga kaso, ang sasakyan ay maaaring ma-impound ng mga awtoridad hanggang sa malutas ang sitwasyon at makuha ang naaangkop na mga permit.</v>
      </c>
      <c r="F1601" s="2">
        <f t="shared" si="1"/>
        <v>0</v>
      </c>
      <c r="G1601" s="2"/>
      <c r="H1601" s="2"/>
      <c r="I1601" s="2"/>
      <c r="J1601" s="2"/>
      <c r="K1601" s="2"/>
      <c r="L1601" s="2"/>
      <c r="M1601" s="2"/>
      <c r="N1601" s="2"/>
      <c r="O1601" s="2"/>
      <c r="P1601" s="2"/>
      <c r="Q1601" s="2"/>
      <c r="R1601" s="2"/>
      <c r="S1601" s="2"/>
      <c r="T1601" s="2"/>
      <c r="U1601" s="2"/>
      <c r="V1601" s="2"/>
      <c r="W1601" s="2"/>
      <c r="X1601" s="2"/>
      <c r="Y1601" s="2"/>
      <c r="Z1601" s="2"/>
      <c r="AA1601" s="2"/>
    </row>
    <row r="1602">
      <c r="A1602" s="3" t="s">
        <v>3972</v>
      </c>
      <c r="B1602" s="1" t="s">
        <v>4322</v>
      </c>
      <c r="C1602" s="1" t="s">
        <v>4323</v>
      </c>
      <c r="D1602" s="2" t="str">
        <f>IFERROR(__xludf.DUMMYFUNCTION("GOOGLETRANSLATE(B1602, ""en"", ""TL"")"),"Kailan legal na mag-U-turn sa isang kalsada na may karatulang ""No U-Turn""?")</f>
        <v>Kailan legal na mag-U-turn sa isang kalsada na may karatulang "No U-Turn"?</v>
      </c>
      <c r="E1602" s="2" t="str">
        <f>IFERROR(__xludf.DUMMYFUNCTION("GOOGLETRANSLATE(C1602, ""en"", ""TL"")"),"Sa Pilipinas, hindi ka maaaring mag-U-turn kapag may ""No U-Turn"" sign, sa one-way na mga kalye, o kapag mahina ang visibility. Gayunpaman, kung mayroong karatulang ""Walang Kumaliwa"" sa isang intersection, maaari kang mag-U-turn kung ligtas ito at wala"&amp;"ng mga palatandaang laban dito. Laging maging maingat at sundin ang mga patakaran sa kalsada para sa kaligtasan.")</f>
        <v>Sa Pilipinas, hindi ka maaaring mag-U-turn kapag may "No U-Turn" sign, sa one-way na mga kalye, o kapag mahina ang visibility. Gayunpaman, kung mayroong karatulang "Walang Kumaliwa" sa isang intersection, maaari kang mag-U-turn kung ligtas ito at walang mga palatandaang laban dito. Laging maging maingat at sundin ang mga patakaran sa kalsada para sa kaligtasan.</v>
      </c>
      <c r="F1602" s="2">
        <f t="shared" si="1"/>
        <v>0</v>
      </c>
      <c r="G1602" s="2"/>
      <c r="H1602" s="2"/>
      <c r="I1602" s="2"/>
      <c r="J1602" s="2"/>
      <c r="K1602" s="2"/>
      <c r="L1602" s="2"/>
      <c r="M1602" s="2"/>
      <c r="N1602" s="2"/>
      <c r="O1602" s="2"/>
      <c r="P1602" s="2"/>
      <c r="Q1602" s="2"/>
      <c r="R1602" s="2"/>
      <c r="S1602" s="2"/>
      <c r="T1602" s="2"/>
      <c r="U1602" s="2"/>
      <c r="V1602" s="2"/>
      <c r="W1602" s="2"/>
      <c r="X1602" s="2"/>
      <c r="Y1602" s="2"/>
      <c r="Z1602" s="2"/>
      <c r="AA1602" s="2"/>
    </row>
    <row r="1603">
      <c r="A1603" s="3" t="s">
        <v>3972</v>
      </c>
      <c r="B1603" s="1" t="s">
        <v>4116</v>
      </c>
      <c r="C1603" s="1" t="s">
        <v>4324</v>
      </c>
      <c r="D1603" s="2" t="str">
        <f>IFERROR(__xludf.DUMMYFUNCTION("GOOGLETRANSLATE(B1603, ""en"", ""TL"")"),"Ano ang parusa sa pakikialam o pagpapalit ng odometer ng sasakyan?")</f>
        <v>Ano ang parusa sa pakikialam o pagpapalit ng odometer ng sasakyan?</v>
      </c>
      <c r="E1603" s="2" t="str">
        <f>IFERROR(__xludf.DUMMYFUNCTION("GOOGLETRANSLATE(C1603, ""en"", ""TL"")"),"Sa Pilipinas, ang pakikialam o pagpapalit ng odometer ng sasakyan ay isang seryosong paglabag na may malalaking legal na kahihinatnan. Narito ang isang breakdown ng mga nauugnay na regulasyon at potensyal na parusa:
Legal na Batayan:
Consumer Act of the"&amp;" Philippines (Republic Act No. 7394):
Seksyon 55: Ipinagbabawal ang ""anumang gawa o kasanayan na may epekto ng panlilinlang, panlilinlang o pagkalito sa mamimili kaugnay ng kalikasan, katangian, kalidad o kaligtasan ng mga produkto o serbisyo."" Ang pak"&amp;"ikialam sa odometer ay napapailalim sa kategoryang ito, dahil mali itong kinakatawan ang mileage ng sasakyan at nililinlang ang mga potensyal na mamimili.
Republic Act No. 8424 (Consumer Product Safety and Hazardous Substance Act):
Seksyon 15: Ipinagbab"&amp;"awal ang ""pagbebenta, alok para sa pagbebenta, o pamamahagi"" ng anumang produkto ng consumer na ""kilalang may depekto"" o ""na hindi sumusunod sa mga pamantayan sa kaligtasan ng produkto ng consumer."" Sa kontekstong ito, ang isang sasakyan na may tamp"&amp;"ered odometer ay maaaring ituring na may sira at ang pagbebenta nito ay lalabag sa probisyong ito.")</f>
        <v>Sa Pilipinas, ang pakikialam o pagpapalit ng odometer ng sasakyan ay isang seryosong paglabag na may malalaking legal na kahihinatnan. Narito ang isang breakdown ng mga nauugnay na regulasyon at potensyal na parusa:
Legal na Batayan:
Consumer Act of the Philippines (Republic Act No. 7394):
Seksyon 55: Ipinagbabawal ang "anumang gawa o kasanayan na may epekto ng panlilinlang, panlilinlang o pagkalito sa mamimili kaugnay ng kalikasan, katangian, kalidad o kaligtasan ng mga produkto o serbisyo." Ang pakikialam sa odometer ay napapailalim sa kategoryang ito, dahil mali itong kinakatawan ang mileage ng sasakyan at nililinlang ang mga potensyal na mamimili.
Republic Act No. 8424 (Consumer Product Safety and Hazardous Substance Act):
Seksyon 15: Ipinagbabawal ang "pagbebenta, alok para sa pagbebenta, o pamamahagi" ng anumang produkto ng consumer na "kilalang may depekto" o "na hindi sumusunod sa mga pamantayan sa kaligtasan ng produkto ng consumer." Sa kontekstong ito, ang isang sasakyan na may tampered odometer ay maaaring ituring na may sira at ang pagbebenta nito ay lalabag sa probisyong ito.</v>
      </c>
      <c r="F1603" s="2">
        <f t="shared" si="1"/>
        <v>0</v>
      </c>
      <c r="G1603" s="2"/>
      <c r="H1603" s="2"/>
      <c r="I1603" s="2"/>
      <c r="J1603" s="2"/>
      <c r="K1603" s="2"/>
      <c r="L1603" s="2"/>
      <c r="M1603" s="2"/>
      <c r="N1603" s="2"/>
      <c r="O1603" s="2"/>
      <c r="P1603" s="2"/>
      <c r="Q1603" s="2"/>
      <c r="R1603" s="2"/>
      <c r="S1603" s="2"/>
      <c r="T1603" s="2"/>
      <c r="U1603" s="2"/>
      <c r="V1603" s="2"/>
      <c r="W1603" s="2"/>
      <c r="X1603" s="2"/>
      <c r="Y1603" s="2"/>
      <c r="Z1603" s="2"/>
      <c r="AA1603" s="2"/>
    </row>
    <row r="1604">
      <c r="A1604" s="3" t="s">
        <v>3972</v>
      </c>
      <c r="B1604" s="1" t="s">
        <v>4261</v>
      </c>
      <c r="C1604" s="1" t="s">
        <v>4325</v>
      </c>
      <c r="D1604" s="2" t="str">
        <f>IFERROR(__xludf.DUMMYFUNCTION("GOOGLETRANSLATE(B1604, ""en"", ""TL"")"),"Ano ang multa para sa paradahan sa harap ng fire hydrant o sa loob ng emergency exit zone?")</f>
        <v>Ano ang multa para sa paradahan sa harap ng fire hydrant o sa loob ng emergency exit zone?</v>
      </c>
      <c r="E1604" s="2" t="str">
        <f>IFERROR(__xludf.DUMMYFUNCTION("GOOGLETRANSLATE(C1604, ""en"", ""TL"")"),"Ayon sa listahan ng mga paglabag at multa sa trapiko ng Land Transportation Office, ang pagparada ""sa loob ng 4m mula sa isang fire hydrant"" ay nangangailangan ng P200 na parusa. Dalawang daang dolyar. Iyon lang ang aabutin mo kung ikaw ay tanga para ha"&amp;"rangan ang daan patungo sa isang hydrant.")</f>
        <v>Ayon sa listahan ng mga paglabag at multa sa trapiko ng Land Transportation Office, ang pagparada "sa loob ng 4m mula sa isang fire hydrant" ay nangangailangan ng P200 na parusa. Dalawang daang dolyar. Iyon lang ang aabutin mo kung ikaw ay tanga para harangan ang daan patungo sa isang hydrant.</v>
      </c>
      <c r="F1604" s="2">
        <f t="shared" si="1"/>
        <v>0</v>
      </c>
      <c r="G1604" s="2"/>
      <c r="H1604" s="2"/>
      <c r="I1604" s="2"/>
      <c r="J1604" s="2"/>
      <c r="K1604" s="2"/>
      <c r="L1604" s="2"/>
      <c r="M1604" s="2"/>
      <c r="N1604" s="2"/>
      <c r="O1604" s="2"/>
      <c r="P1604" s="2"/>
      <c r="Q1604" s="2"/>
      <c r="R1604" s="2"/>
      <c r="S1604" s="2"/>
      <c r="T1604" s="2"/>
      <c r="U1604" s="2"/>
      <c r="V1604" s="2"/>
      <c r="W1604" s="2"/>
      <c r="X1604" s="2"/>
      <c r="Y1604" s="2"/>
      <c r="Z1604" s="2"/>
      <c r="AA1604" s="2"/>
    </row>
    <row r="1605">
      <c r="A1605" s="3" t="s">
        <v>3972</v>
      </c>
      <c r="B1605" s="1" t="s">
        <v>4326</v>
      </c>
      <c r="C1605" s="1" t="s">
        <v>4327</v>
      </c>
      <c r="D1605" s="2" t="str">
        <f>IFERROR(__xludf.DUMMYFUNCTION("GOOGLETRANSLATE(B1605, ""en"", ""TL"")"),"Ano ang parusa sa pagmamaneho na may sira o hindi gumaganang signal lights?")</f>
        <v>Ano ang parusa sa pagmamaneho na may sira o hindi gumaganang signal lights?</v>
      </c>
      <c r="E1605" s="2" t="str">
        <f>IFERROR(__xludf.DUMMYFUNCTION("GOOGLETRANSLATE(C1605, ""en"", ""TL"")"),"Ang pagmamaneho na may sira o hindi gumaganang signal lights ay may parusa sa Pilipinas. Narito ang mga naaangkop na multa at kahihinatnan:
Walang ingat na pagmamaneho (hindi gumagamit ng mga signal light, hindi binibigyang pansin ang kalidad ng kalsad"&amp;"a at visibility):
Ang unang paglabag ay may kaparusahan na Php 2,000.
Ang ikalawang paglabag ay may parusang Php 3,000.
Kasunod na Conviction: Isang malaking multa na Php 10,000.")</f>
        <v>Ang pagmamaneho na may sira o hindi gumaganang signal lights ay may parusa sa Pilipinas. Narito ang mga naaangkop na multa at kahihinatnan:
Walang ingat na pagmamaneho (hindi gumagamit ng mga signal light, hindi binibigyang pansin ang kalidad ng kalsada at visibility):
Ang unang paglabag ay may kaparusahan na Php 2,000.
Ang ikalawang paglabag ay may parusang Php 3,000.
Kasunod na Conviction: Isang malaking multa na Php 10,000.</v>
      </c>
      <c r="F1605" s="2">
        <f t="shared" si="1"/>
        <v>0</v>
      </c>
      <c r="G1605" s="2"/>
      <c r="H1605" s="2"/>
      <c r="I1605" s="2"/>
      <c r="J1605" s="2"/>
      <c r="K1605" s="2"/>
      <c r="L1605" s="2"/>
      <c r="M1605" s="2"/>
      <c r="N1605" s="2"/>
      <c r="O1605" s="2"/>
      <c r="P1605" s="2"/>
      <c r="Q1605" s="2"/>
      <c r="R1605" s="2"/>
      <c r="S1605" s="2"/>
      <c r="T1605" s="2"/>
      <c r="U1605" s="2"/>
      <c r="V1605" s="2"/>
      <c r="W1605" s="2"/>
      <c r="X1605" s="2"/>
      <c r="Y1605" s="2"/>
      <c r="Z1605" s="2"/>
      <c r="AA1605" s="2"/>
    </row>
    <row r="1606">
      <c r="A1606" s="3" t="s">
        <v>3972</v>
      </c>
      <c r="B1606" s="1" t="s">
        <v>4265</v>
      </c>
      <c r="C1606" s="1" t="s">
        <v>4328</v>
      </c>
      <c r="D1606" s="2" t="str">
        <f>IFERROR(__xludf.DUMMYFUNCTION("GOOGLETRANSLATE(B1606, ""en"", ""TL"")"),"Ano ang multa para sa pagmamaneho nang walang kinakailangang seguro sa sasakyang de-motor?")</f>
        <v>Ano ang multa para sa pagmamaneho nang walang kinakailangang seguro sa sasakyang de-motor?</v>
      </c>
      <c r="E1606" s="2" t="str">
        <f>IFERROR(__xludf.DUMMYFUNCTION("GOOGLETRANSLATE(C1606, ""en"", ""TL"")"),"Ang pagmamaneho nang walang kinakailangang seguro sa sasakyan ay isang seryosong bagay. Sa Pilipinas, ipinag-uutos ng batas na magkaroon ng hindi bababa sa Compulsory Third-Party Liability (CTPL) insurance para makapagmaneho. Narito ang mga kahihinatnan k"&amp;"ung nahuli kang nagmamaneho nang walang wastong insurance:
Seguro ng CTPL: Ang CTPL ay ang pinakapangunahing insurance ng kotse na kinakailangan para sa pagmamaneho sa Pilipinas. Sinasaklaw nito ang mga obligasyong pinansyal sa mga ikatlong partidong san"&amp;"gkot sa isang aksidente, kabilang ang mga pinsala sa katawan o kamatayan. Gayunpaman, hindi ka saklaw nito, ang may hawak ng insurance. Ikaw ang mananagot para sa iyong sariling mga gastos mula sa iyong bulsa.
Mga Legal na Bunga: Kung hindi mo mabayaran "&amp;"ang mga pinsalang idinulot mo, maaari kang humarap sa mga legal na singil. Kahit na wala kang kasalanan, ang pagmamaneho nang walang insurance ay maaaring humantong sa legal na problema. Ang pinakamaliit na singil na maaari mong harapin ay reckless imprud"&amp;"ence na nagreresulta sa pinsala sa ari-arian. Kung may napatay, lalong nagiging problema ang sitwasyon.
Abala: Ang pag-aayos ng iyong sasakyan nang walang insurance ay maaaring maging mahirap. Kung kapos ka sa badyet, maaaring maipit ang iyong sasakyan s"&amp;"a garahe o repair shop, na magdulot ng pagkaantala sa iyong pang-araw-araw na gawain.")</f>
        <v>Ang pagmamaneho nang walang kinakailangang seguro sa sasakyan ay isang seryosong bagay. Sa Pilipinas, ipinag-uutos ng batas na magkaroon ng hindi bababa sa Compulsory Third-Party Liability (CTPL) insurance para makapagmaneho. Narito ang mga kahihinatnan kung nahuli kang nagmamaneho nang walang wastong insurance:
Seguro ng CTPL: Ang CTPL ay ang pinakapangunahing insurance ng kotse na kinakailangan para sa pagmamaneho sa Pilipinas. Sinasaklaw nito ang mga obligasyong pinansyal sa mga ikatlong partidong sangkot sa isang aksidente, kabilang ang mga pinsala sa katawan o kamatayan. Gayunpaman, hindi ka saklaw nito, ang may hawak ng insurance. Ikaw ang mananagot para sa iyong sariling mga gastos mula sa iyong bulsa.
Mga Legal na Bunga: Kung hindi mo mabayaran ang mga pinsalang idinulot mo, maaari kang humarap sa mga legal na singil. Kahit na wala kang kasalanan, ang pagmamaneho nang walang insurance ay maaaring humantong sa legal na problema. Ang pinakamaliit na singil na maaari mong harapin ay reckless imprudence na nagreresulta sa pinsala sa ari-arian. Kung may napatay, lalong nagiging problema ang sitwasyon.
Abala: Ang pag-aayos ng iyong sasakyan nang walang insurance ay maaaring maging mahirap. Kung kapos ka sa badyet, maaaring maipit ang iyong sasakyan sa garahe o repair shop, na magdulot ng pagkaantala sa iyong pang-araw-araw na gawain.</v>
      </c>
      <c r="F1606" s="2">
        <f t="shared" si="1"/>
        <v>0</v>
      </c>
      <c r="G1606" s="2"/>
      <c r="H1606" s="2"/>
      <c r="I1606" s="2"/>
      <c r="J1606" s="2"/>
      <c r="K1606" s="2"/>
      <c r="L1606" s="2"/>
      <c r="M1606" s="2"/>
      <c r="N1606" s="2"/>
      <c r="O1606" s="2"/>
      <c r="P1606" s="2"/>
      <c r="Q1606" s="2"/>
      <c r="R1606" s="2"/>
      <c r="S1606" s="2"/>
      <c r="T1606" s="2"/>
      <c r="U1606" s="2"/>
      <c r="V1606" s="2"/>
      <c r="W1606" s="2"/>
      <c r="X1606" s="2"/>
      <c r="Y1606" s="2"/>
      <c r="Z1606" s="2"/>
      <c r="AA1606" s="2"/>
    </row>
    <row r="1607">
      <c r="A1607" s="3" t="s">
        <v>3972</v>
      </c>
      <c r="B1607" s="1" t="s">
        <v>4329</v>
      </c>
      <c r="C1607" s="1" t="s">
        <v>4330</v>
      </c>
      <c r="D1607" s="2" t="str">
        <f>IFERROR(__xludf.DUMMYFUNCTION("GOOGLETRANSLATE(B1607, ""en"", ""TL"")"),"Kailan pinahihintulutang mag-park ng sasakyan sa loob ng intersection?")</f>
        <v>Kailan pinahihintulutang mag-park ng sasakyan sa loob ng intersection?</v>
      </c>
      <c r="E1607" s="2" t="str">
        <f>IFERROR(__xludf.DUMMYFUNCTION("GOOGLETRANSLATE(C1607, ""en"", ""TL"")"),"Ang paradahan malapit o sa loob ng intersection ay ilegal. Kung isasaalang-alang mo ang pagparada ng kotse sa kanto ng isang intersection na kontrolado ng liwanag, dapat kang pumarada nang hindi lalampas sa 6 na metro mula sa stop line ng tawiran.")</f>
        <v>Ang paradahan malapit o sa loob ng intersection ay ilegal. Kung isasaalang-alang mo ang pagparada ng kotse sa kanto ng isang intersection na kontrolado ng liwanag, dapat kang pumarada nang hindi lalampas sa 6 na metro mula sa stop line ng tawiran.</v>
      </c>
      <c r="F1607" s="2">
        <f t="shared" si="1"/>
        <v>0</v>
      </c>
      <c r="G1607" s="2"/>
      <c r="H1607" s="2"/>
      <c r="I1607" s="2"/>
      <c r="J1607" s="2"/>
      <c r="K1607" s="2"/>
      <c r="L1607" s="2"/>
      <c r="M1607" s="2"/>
      <c r="N1607" s="2"/>
      <c r="O1607" s="2"/>
      <c r="P1607" s="2"/>
      <c r="Q1607" s="2"/>
      <c r="R1607" s="2"/>
      <c r="S1607" s="2"/>
      <c r="T1607" s="2"/>
      <c r="U1607" s="2"/>
      <c r="V1607" s="2"/>
      <c r="W1607" s="2"/>
      <c r="X1607" s="2"/>
      <c r="Y1607" s="2"/>
      <c r="Z1607" s="2"/>
      <c r="AA1607" s="2"/>
    </row>
    <row r="1608">
      <c r="A1608" s="3" t="s">
        <v>3972</v>
      </c>
      <c r="B1608" s="1" t="s">
        <v>4118</v>
      </c>
      <c r="C1608" s="1" t="s">
        <v>4331</v>
      </c>
      <c r="D1608" s="2" t="str">
        <f>IFERROR(__xludf.DUMMYFUNCTION("GOOGLETRANSLATE(B1608, ""en"", ""TL"")"),"Maaari bang pagmultahin ang isang tsuper dahil sa pagtanggi na sumailalim sa isang mandatoryong pagsusuri sa droga at alkohol?")</f>
        <v>Maaari bang pagmultahin ang isang tsuper dahil sa pagtanggi na sumailalim sa isang mandatoryong pagsusuri sa droga at alkohol?</v>
      </c>
      <c r="E1608" s="2" t="str">
        <f>IFERROR(__xludf.DUMMYFUNCTION("GOOGLETRANSLATE(C1608, ""en"", ""TL"")"),"Ang isang driver ng isang de-motor na sasakyan na tumangging kumuha ng ipinag-uutos na field sobriety at mga drug test na iniaatas ng Seksyon 6, 7, at 15 ng Batas na ito ay kukumpiskahin ang kanyang lisensya sa pagmamaneho at awtomatikong babawiin, bilang"&amp;" karagdagan sa anumang iba pang mga parusang ibinigay dito at /o iba pang naaangkop na batas.")</f>
        <v>Ang isang driver ng isang de-motor na sasakyan na tumangging kumuha ng ipinag-uutos na field sobriety at mga drug test na iniaatas ng Seksyon 6, 7, at 15 ng Batas na ito ay kukumpiskahin ang kanyang lisensya sa pagmamaneho at awtomatikong babawiin, bilang karagdagan sa anumang iba pang mga parusang ibinigay dito at /o iba pang naaangkop na batas.</v>
      </c>
      <c r="F1608" s="2">
        <f t="shared" si="1"/>
        <v>0</v>
      </c>
      <c r="G1608" s="2"/>
      <c r="H1608" s="2"/>
      <c r="I1608" s="2"/>
      <c r="J1608" s="2"/>
      <c r="K1608" s="2"/>
      <c r="L1608" s="2"/>
      <c r="M1608" s="2"/>
      <c r="N1608" s="2"/>
      <c r="O1608" s="2"/>
      <c r="P1608" s="2"/>
      <c r="Q1608" s="2"/>
      <c r="R1608" s="2"/>
      <c r="S1608" s="2"/>
      <c r="T1608" s="2"/>
      <c r="U1608" s="2"/>
      <c r="V1608" s="2"/>
      <c r="W1608" s="2"/>
      <c r="X1608" s="2"/>
      <c r="Y1608" s="2"/>
      <c r="Z1608" s="2"/>
      <c r="AA1608" s="2"/>
    </row>
    <row r="1609">
      <c r="A1609" s="3" t="s">
        <v>3972</v>
      </c>
      <c r="B1609" s="1" t="s">
        <v>4332</v>
      </c>
      <c r="C1609" s="1" t="s">
        <v>4333</v>
      </c>
      <c r="D1609" s="2" t="str">
        <f>IFERROR(__xludf.DUMMYFUNCTION("GOOGLETRANSLATE(B1609, ""en"", ""TL"")"),"Ano ang parusa sa pagpapatakbo ng sasakyan nang walang valid na lisensya ng konduktor para sa mga pampublikong sasakyan?")</f>
        <v>Ano ang parusa sa pagpapatakbo ng sasakyan nang walang valid na lisensya ng konduktor para sa mga pampublikong sasakyan?</v>
      </c>
      <c r="E1609" s="2" t="str">
        <f>IFERROR(__xludf.DUMMYFUNCTION("GOOGLETRANSLATE(C1609, ""en"", ""TL"")"),"Sa Pilipinas, ang pagpapatakbo ng pampublikong sasakyan na walang valid na lisensya ng konduktor ay maaaring humantong sa malalaking parusa. Ang mga mahuhuli ay may multang ₱3,000 at maaari ding madiskuwalipika sa pagkuha ng lisensya sa pagmamaneho sa loo"&amp;"b ng isang taon. Ang pagtiyak na ang lahat ng kinakailangang kredensyal ay napapanahon ay mahalaga upang maiwasan ang mga kahihinatnan na ito. Ang ligtas na pagmamaneho at pagsunod sa mga regulasyon ay pinakamahalaga para sa kapakanan ng lahat ng gumagami"&amp;"t ng kalsada.")</f>
        <v>Sa Pilipinas, ang pagpapatakbo ng pampublikong sasakyan na walang valid na lisensya ng konduktor ay maaaring humantong sa malalaking parusa. Ang mga mahuhuli ay may multang ₱3,000 at maaari ding madiskuwalipika sa pagkuha ng lisensya sa pagmamaneho sa loob ng isang taon. Ang pagtiyak na ang lahat ng kinakailangang kredensyal ay napapanahon ay mahalaga upang maiwasan ang mga kahihinatnan na ito. Ang ligtas na pagmamaneho at pagsunod sa mga regulasyon ay pinakamahalaga para sa kapakanan ng lahat ng gumagamit ng kalsada.</v>
      </c>
      <c r="F1609" s="2">
        <f t="shared" si="1"/>
        <v>0</v>
      </c>
      <c r="G1609" s="2"/>
      <c r="H1609" s="2"/>
      <c r="I1609" s="2"/>
      <c r="J1609" s="2"/>
      <c r="K1609" s="2"/>
      <c r="L1609" s="2"/>
      <c r="M1609" s="2"/>
      <c r="N1609" s="2"/>
      <c r="O1609" s="2"/>
      <c r="P1609" s="2"/>
      <c r="Q1609" s="2"/>
      <c r="R1609" s="2"/>
      <c r="S1609" s="2"/>
      <c r="T1609" s="2"/>
      <c r="U1609" s="2"/>
      <c r="V1609" s="2"/>
      <c r="W1609" s="2"/>
      <c r="X1609" s="2"/>
      <c r="Y1609" s="2"/>
      <c r="Z1609" s="2"/>
      <c r="AA1609" s="2"/>
    </row>
    <row r="1610">
      <c r="A1610" s="3" t="s">
        <v>3972</v>
      </c>
      <c r="B1610" s="1" t="s">
        <v>4268</v>
      </c>
      <c r="C1610" s="1" t="s">
        <v>4334</v>
      </c>
      <c r="D1610" s="2" t="str">
        <f>IFERROR(__xludf.DUMMYFUNCTION("GOOGLETRANSLATE(B1610, ""en"", ""TL"")"),"Kailan legal na pumarada sa kaliwang bahagi ng isang one-way na kalye?")</f>
        <v>Kailan legal na pumarada sa kaliwang bahagi ng isang one-way na kalye?</v>
      </c>
      <c r="E1610" s="2" t="str">
        <f>IFERROR(__xludf.DUMMYFUNCTION("GOOGLETRANSLATE(C1610, ""en"", ""TL"")"),"Sa Pilipinas, maaari kang legal na pumarada sa kaliwang bahagi ng isang one-way na kalye sa ilalim ng ilang mga kundisyon. Narito ang mga alituntunin:
Parallel Parking: Maaari mong iparada ang iyong sasakyan parallel sa curb, sa kaliwang bahagi ng kalsada"&amp;", na nakaharap sa parehong direksyon ng trapiko.
Mga Pagbubukod: Gayunpaman, magkaroon ng kamalayan sa mga partikular na paghihigpit:
Malapit o sa loob ng mga interseksyon: Iwasan ang paradahan malapit sa mga interseksyon.
Pagharang sa mga daanan: Huwag h"&amp;"adlangan ang mga daanan.
Dobleng Paradahan: Iwasang magparada ng dalawang sasakyan na magkatabi sa kalsada.
Sa loob ng mga tawiran: Panatilihing malinaw ang mga tawiran.
Malapit sa mga overpass o footbridge: Huwag pumarada ng masyadong malapit sa mga istr"&amp;"ukturang ito.
Sa mga pangunahing pambansang kalsada: Maging maingat kapag pumarada sa mga pangunahing kalsada.
Panatilihin ang kinakailangang distansya mula sa mga fire hydrant at mga pasukan ng fire station: Panatilihin ang hindi bababa sa 4 na metro ang"&amp;" layo mula sa mga fire hydrant at 6 na metro mula sa intersection ng mga linya ng curb.")</f>
        <v>Sa Pilipinas, maaari kang legal na pumarada sa kaliwang bahagi ng isang one-way na kalye sa ilalim ng ilang mga kundisyon. Narito ang mga alituntunin:
Parallel Parking: Maaari mong iparada ang iyong sasakyan parallel sa curb, sa kaliwang bahagi ng kalsada, na nakaharap sa parehong direksyon ng trapiko.
Mga Pagbubukod: Gayunpaman, magkaroon ng kamalayan sa mga partikular na paghihigpit:
Malapit o sa loob ng mga interseksyon: Iwasan ang paradahan malapit sa mga interseksyon.
Pagharang sa mga daanan: Huwag hadlangan ang mga daanan.
Dobleng Paradahan: Iwasang magparada ng dalawang sasakyan na magkatabi sa kalsada.
Sa loob ng mga tawiran: Panatilihing malinaw ang mga tawiran.
Malapit sa mga overpass o footbridge: Huwag pumarada ng masyadong malapit sa mga istrukturang ito.
Sa mga pangunahing pambansang kalsada: Maging maingat kapag pumarada sa mga pangunahing kalsada.
Panatilihin ang kinakailangang distansya mula sa mga fire hydrant at mga pasukan ng fire station: Panatilihin ang hindi bababa sa 4 na metro ang layo mula sa mga fire hydrant at 6 na metro mula sa intersection ng mga linya ng curb.</v>
      </c>
      <c r="F1610" s="2">
        <f t="shared" si="1"/>
        <v>0</v>
      </c>
      <c r="G1610" s="2"/>
      <c r="H1610" s="2"/>
      <c r="I1610" s="2"/>
      <c r="J1610" s="2"/>
      <c r="K1610" s="2"/>
      <c r="L1610" s="2"/>
      <c r="M1610" s="2"/>
      <c r="N1610" s="2"/>
      <c r="O1610" s="2"/>
      <c r="P1610" s="2"/>
      <c r="Q1610" s="2"/>
      <c r="R1610" s="2"/>
      <c r="S1610" s="2"/>
      <c r="T1610" s="2"/>
      <c r="U1610" s="2"/>
      <c r="V1610" s="2"/>
      <c r="W1610" s="2"/>
      <c r="X1610" s="2"/>
      <c r="Y1610" s="2"/>
      <c r="Z1610" s="2"/>
      <c r="AA1610" s="2"/>
    </row>
    <row r="1611">
      <c r="A1611" s="3" t="s">
        <v>3972</v>
      </c>
      <c r="B1611" s="1" t="s">
        <v>4141</v>
      </c>
      <c r="C1611" s="1" t="s">
        <v>4331</v>
      </c>
      <c r="D1611" s="2" t="str">
        <f>IFERROR(__xludf.DUMMYFUNCTION("GOOGLETRANSLATE(B1611, ""en"", ""TL"")"),"Ano ang multa para sa pagpapahintulot sa isang bata na umupo sa kandungan ng isang driver habang ang sasakyan ay umaandar?")</f>
        <v>Ano ang multa para sa pagpapahintulot sa isang bata na umupo sa kandungan ng isang driver habang ang sasakyan ay umaandar?</v>
      </c>
      <c r="E1611" s="2" t="str">
        <f>IFERROR(__xludf.DUMMYFUNCTION("GOOGLETRANSLATE(C1611, ""en"", ""TL"")"),"Ang isang driver ng isang de-motor na sasakyan na tumangging kumuha ng ipinag-uutos na field sobriety at mga drug test na iniaatas ng Seksyon 6, 7, at 15 ng Batas na ito ay kukumpiskahin ang kanyang lisensya sa pagmamaneho at awtomatikong babawiin, bilang"&amp;" karagdagan sa anumang iba pang mga parusang ibinigay dito at /o iba pang naaangkop na batas.")</f>
        <v>Ang isang driver ng isang de-motor na sasakyan na tumangging kumuha ng ipinag-uutos na field sobriety at mga drug test na iniaatas ng Seksyon 6, 7, at 15 ng Batas na ito ay kukumpiskahin ang kanyang lisensya sa pagmamaneho at awtomatikong babawiin, bilang karagdagan sa anumang iba pang mga parusang ibinigay dito at /o iba pang naaangkop na batas.</v>
      </c>
      <c r="F1611" s="2">
        <f t="shared" si="1"/>
        <v>0</v>
      </c>
      <c r="G1611" s="2"/>
      <c r="H1611" s="2"/>
      <c r="I1611" s="2"/>
      <c r="J1611" s="2"/>
      <c r="K1611" s="2"/>
      <c r="L1611" s="2"/>
      <c r="M1611" s="2"/>
      <c r="N1611" s="2"/>
      <c r="O1611" s="2"/>
      <c r="P1611" s="2"/>
      <c r="Q1611" s="2"/>
      <c r="R1611" s="2"/>
      <c r="S1611" s="2"/>
      <c r="T1611" s="2"/>
      <c r="U1611" s="2"/>
      <c r="V1611" s="2"/>
      <c r="W1611" s="2"/>
      <c r="X1611" s="2"/>
      <c r="Y1611" s="2"/>
      <c r="Z1611" s="2"/>
      <c r="AA1611" s="2"/>
    </row>
    <row r="1612">
      <c r="A1612" s="3" t="s">
        <v>3972</v>
      </c>
      <c r="B1612" s="1" t="s">
        <v>4272</v>
      </c>
      <c r="C1612" s="1" t="s">
        <v>4335</v>
      </c>
      <c r="D1612" s="2" t="str">
        <f>IFERROR(__xludf.DUMMYFUNCTION("GOOGLETRANSLATE(B1612, ""en"", ""TL"")"),"Maaari bang pagmultahin ang isang driver para sa pagpapatakbo ng isang sasakyan na may sira o hindi gumagana ang mga ilaw ng preno?")</f>
        <v>Maaari bang pagmultahin ang isang driver para sa pagpapatakbo ng isang sasakyan na may sira o hindi gumagana ang mga ilaw ng preno?</v>
      </c>
      <c r="E1612" s="2" t="str">
        <f>IFERROR(__xludf.DUMMYFUNCTION("GOOGLETRANSLATE(C1612, ""en"", ""TL"")"),"Ang mga multa ay ipinapataw sa Pilipinas para sa iba't ibang paglabag sa trapiko, tulad ng pagmamaneho na may hindi gumaganang mga ilaw ng preno, pagmamaneho nang walang lisensya, hindi pagsusuot ng seatbelt, pagmamaneho nang nasa ilalim ng impluwensya, a"&amp;"t pagmamaneho nang walang ingat. Ang pagmamaneho na may non-functional brake lights ay may parusang Php 1,078. Ang iba pang mga paglabag ay nagreresulta sa mga multa mula Php 1,000 para sa hindi pagsusuot ng seatbelt hanggang Php 500,000 para sa sanhi ng "&amp;"kamatayan habang nagmamaneho sa ilalim ng impluwensya. Kasama sa mga karagdagang parusa ang diskwalipikasyon ng lisensya, pagsususpinde, o pagkansela. Ang mga ligtas na diskarte sa pagmamaneho, tulad ng paggamit ng mga turn signal at pagsunod sa mga traff"&amp;"ic sign, ay kritikal para maiwasan ang mga aksidente at multa.")</f>
        <v>Ang mga multa ay ipinapataw sa Pilipinas para sa iba't ibang paglabag sa trapiko, tulad ng pagmamaneho na may hindi gumaganang mga ilaw ng preno, pagmamaneho nang walang lisensya, hindi pagsusuot ng seatbelt, pagmamaneho nang nasa ilalim ng impluwensya, at pagmamaneho nang walang ingat. Ang pagmamaneho na may non-functional brake lights ay may parusang Php 1,078. Ang iba pang mga paglabag ay nagreresulta sa mga multa mula Php 1,000 para sa hindi pagsusuot ng seatbelt hanggang Php 500,000 para sa sanhi ng kamatayan habang nagmamaneho sa ilalim ng impluwensya. Kasama sa mga karagdagang parusa ang diskwalipikasyon ng lisensya, pagsususpinde, o pagkansela. Ang mga ligtas na diskarte sa pagmamaneho, tulad ng paggamit ng mga turn signal at pagsunod sa mga traffic sign, ay kritikal para maiwasan ang mga aksidente at multa.</v>
      </c>
      <c r="F1612" s="2">
        <f t="shared" si="1"/>
        <v>0</v>
      </c>
      <c r="G1612" s="2"/>
      <c r="H1612" s="2"/>
      <c r="I1612" s="2"/>
      <c r="J1612" s="2"/>
      <c r="K1612" s="2"/>
      <c r="L1612" s="2"/>
      <c r="M1612" s="2"/>
      <c r="N1612" s="2"/>
      <c r="O1612" s="2"/>
      <c r="P1612" s="2"/>
      <c r="Q1612" s="2"/>
      <c r="R1612" s="2"/>
      <c r="S1612" s="2"/>
      <c r="T1612" s="2"/>
      <c r="U1612" s="2"/>
      <c r="V1612" s="2"/>
      <c r="W1612" s="2"/>
      <c r="X1612" s="2"/>
      <c r="Y1612" s="2"/>
      <c r="Z1612" s="2"/>
      <c r="AA1612" s="2"/>
    </row>
    <row r="1613">
      <c r="A1613" s="3" t="s">
        <v>3972</v>
      </c>
      <c r="B1613" s="1" t="s">
        <v>4275</v>
      </c>
      <c r="C1613" s="1" t="s">
        <v>4336</v>
      </c>
      <c r="D1613" s="2" t="str">
        <f>IFERROR(__xludf.DUMMYFUNCTION("GOOGLETRANSLATE(B1613, ""en"", ""TL"")"),"Kailan pinahihintulutang gumamit ng motorsiklo para magsakay ng pasahero?")</f>
        <v>Kailan pinahihintulutang gumamit ng motorsiklo para magsakay ng pasahero?</v>
      </c>
      <c r="E1613" s="2" t="str">
        <f>IFERROR(__xludf.DUMMYFUNCTION("GOOGLETRANSLATE(C1613, ""en"", ""TL"")"),"Sa Pilipinas, idinidikta ng mga alituntunin ang ligtas na transportasyon ng mga pasahero sa mga motorsiklo, na nagbibigay-diin sa kahalagahan ng mga may karanasang sakay at tamang kagamitan. Bago magsakay ng pasahero, dapat tiyakin ng mga nagmomotorsiklo "&amp;"na ang kanilang bisikleta ay nilagyan ng angkop na upuan, foot pegs, at naaangkop na suspensyon. Ang pagbibigay ng helmet para sa pasahero ay ipinag-uutos, kasama ang pagbabago sa suspensyon upang ma-accommodate ang sobrang timbang. Ang mga malinaw na tag"&amp;"ubilin ay dapat ibigay sa mga pasahero bago sumakay, na nagbibigay-diin sa mga hakbang sa kaligtasan tulad ng tamang pag-upo at paghawak sa sakay. Dapat palaging panatilihin ng mga pasahero ang kanilang mga paa sa mga peg ng paa, kahit na huminto sa mga i"&amp;"ntersection, at magkaroon ng kamalayan sa mga maiinit na muffler upang maiwasan ang pagkasunog. Ang mga nagmomotorsiklo ay pinapayuhan na ayusin ang kanilang bilis at distansya ng pagpepreno upang mapaunlakan ang dagdag na timbang at matiyak ang isang lig"&amp;"tas na paglalakbay para sa kanilang sarili at sa kanilang mga pasahero.")</f>
        <v>Sa Pilipinas, idinidikta ng mga alituntunin ang ligtas na transportasyon ng mga pasahero sa mga motorsiklo, na nagbibigay-diin sa kahalagahan ng mga may karanasang sakay at tamang kagamitan. Bago magsakay ng pasahero, dapat tiyakin ng mga nagmomotorsiklo na ang kanilang bisikleta ay nilagyan ng angkop na upuan, foot pegs, at naaangkop na suspensyon. Ang pagbibigay ng helmet para sa pasahero ay ipinag-uutos, kasama ang pagbabago sa suspensyon upang ma-accommodate ang sobrang timbang. Ang mga malinaw na tagubilin ay dapat ibigay sa mga pasahero bago sumakay, na nagbibigay-diin sa mga hakbang sa kaligtasan tulad ng tamang pag-upo at paghawak sa sakay. Dapat palaging panatilihin ng mga pasahero ang kanilang mga paa sa mga peg ng paa, kahit na huminto sa mga intersection, at magkaroon ng kamalayan sa mga maiinit na muffler upang maiwasan ang pagkasunog. Ang mga nagmomotorsiklo ay pinapayuhan na ayusin ang kanilang bilis at distansya ng pagpepreno upang mapaunlakan ang dagdag na timbang at matiyak ang isang ligtas na paglalakbay para sa kanilang sarili at sa kanilang mga pasahero.</v>
      </c>
      <c r="F1613" s="2">
        <f t="shared" si="1"/>
        <v>0</v>
      </c>
      <c r="G1613" s="2"/>
      <c r="H1613" s="2"/>
      <c r="I1613" s="2"/>
      <c r="J1613" s="2"/>
      <c r="K1613" s="2"/>
      <c r="L1613" s="2"/>
      <c r="M1613" s="2"/>
      <c r="N1613" s="2"/>
      <c r="O1613" s="2"/>
      <c r="P1613" s="2"/>
      <c r="Q1613" s="2"/>
      <c r="R1613" s="2"/>
      <c r="S1613" s="2"/>
      <c r="T1613" s="2"/>
      <c r="U1613" s="2"/>
      <c r="V1613" s="2"/>
      <c r="W1613" s="2"/>
      <c r="X1613" s="2"/>
      <c r="Y1613" s="2"/>
      <c r="Z1613" s="2"/>
      <c r="AA1613" s="2"/>
    </row>
    <row r="1614">
      <c r="A1614" s="1" t="s">
        <v>4337</v>
      </c>
      <c r="B1614" s="1" t="s">
        <v>4338</v>
      </c>
      <c r="C1614" s="1" t="s">
        <v>4339</v>
      </c>
      <c r="D1614" s="2" t="str">
        <f>IFERROR(__xludf.DUMMYFUNCTION("GOOGLETRANSLATE(B1614, ""en"", ""TL"")"),"Ano ang pangunahing legal na balangkas na namamahala sa medikal na kasanayan sa Pilipinas?")</f>
        <v>Ano ang pangunahing legal na balangkas na namamahala sa medikal na kasanayan sa Pilipinas?</v>
      </c>
      <c r="E1614" s="2" t="str">
        <f>IFERROR(__xludf.DUMMYFUNCTION("GOOGLETRANSLATE(C1614, ""en"", ""TL"")"),"Legal na Pangkalahatang-ideya Sa Pilipinas, ang Medical Act of 1959, gayundin ang ilang mga etikal na prinsipyo na itinatag ng Philippine Medical Association, ay tumutukoy sa mga pamantayan para sa medikal na kasanayan, kabilang ang pagbibigay ng impormas"&amp;"yon sa mga pasyente.")</f>
        <v>Legal na Pangkalahatang-ideya Sa Pilipinas, ang Medical Act of 1959, gayundin ang ilang mga etikal na prinsipyo na itinatag ng Philippine Medical Association, ay tumutukoy sa mga pamantayan para sa medikal na kasanayan, kabilang ang pagbibigay ng impormasyon sa mga pasyente.</v>
      </c>
      <c r="F1614" s="2">
        <f t="shared" si="1"/>
        <v>0</v>
      </c>
      <c r="G1614" s="2"/>
      <c r="H1614" s="2"/>
      <c r="I1614" s="2"/>
      <c r="J1614" s="2"/>
      <c r="K1614" s="2"/>
      <c r="L1614" s="2"/>
      <c r="M1614" s="2"/>
      <c r="N1614" s="2"/>
      <c r="O1614" s="2"/>
      <c r="P1614" s="2"/>
      <c r="Q1614" s="2"/>
      <c r="R1614" s="2"/>
      <c r="S1614" s="2"/>
      <c r="T1614" s="2"/>
      <c r="U1614" s="2"/>
      <c r="V1614" s="2"/>
      <c r="W1614" s="2"/>
      <c r="X1614" s="2"/>
      <c r="Y1614" s="2"/>
      <c r="Z1614" s="2"/>
      <c r="AA1614" s="2"/>
    </row>
    <row r="1615">
      <c r="A1615" s="1" t="s">
        <v>4337</v>
      </c>
      <c r="B1615" s="1" t="s">
        <v>4340</v>
      </c>
      <c r="C1615" s="1" t="s">
        <v>4341</v>
      </c>
      <c r="D1615" s="2" t="str">
        <f>IFERROR(__xludf.DUMMYFUNCTION("GOOGLETRANSLATE(B1615, ""en"", ""TL"")"),"Ano ang legal na edad para makakuha ng pahintulot para sa medikal na paggamot nang walang pag-apruba ng magulang o tagapag-alaga?")</f>
        <v>Ano ang legal na edad para makakuha ng pahintulot para sa medikal na paggamot nang walang pag-apruba ng magulang o tagapag-alaga?</v>
      </c>
      <c r="E1615" s="2" t="str">
        <f>IFERROR(__xludf.DUMMYFUNCTION("GOOGLETRANSLATE(C1615, ""en"", ""TL"")"),"Isang menor de edad na 14 taong gulang o mas matanda na nakatira nang hiwalay at hiwalay sa kanyang magulang, magulang, o legal na tagapag-alaga, nang may pahintulot nila o wala, at namamahala sa sarili niyang mga usapin sa pananalapi, anuman ang pinagmul"&amp;"an ng kanyang kita, maaaring pumayag sa pagbibigay ng ospital, medikal, dental, pang-emerhensiyang kalusugan, at pag-opera sa kanyang sarili.")</f>
        <v>Isang menor de edad na 14 taong gulang o mas matanda na nakatira nang hiwalay at hiwalay sa kanyang magulang, magulang, o legal na tagapag-alaga, nang may pahintulot nila o wala, at namamahala sa sarili niyang mga usapin sa pananalapi, anuman ang pinagmulan ng kanyang kita, maaaring pumayag sa pagbibigay ng ospital, medikal, dental, pang-emerhensiyang kalusugan, at pag-opera sa kanyang sarili.</v>
      </c>
      <c r="F1615" s="2">
        <f t="shared" si="1"/>
        <v>0</v>
      </c>
      <c r="G1615" s="2"/>
      <c r="H1615" s="2"/>
      <c r="I1615" s="2"/>
      <c r="J1615" s="2"/>
      <c r="K1615" s="2"/>
      <c r="L1615" s="2"/>
      <c r="M1615" s="2"/>
      <c r="N1615" s="2"/>
      <c r="O1615" s="2"/>
      <c r="P1615" s="2"/>
      <c r="Q1615" s="2"/>
      <c r="R1615" s="2"/>
      <c r="S1615" s="2"/>
      <c r="T1615" s="2"/>
      <c r="U1615" s="2"/>
      <c r="V1615" s="2"/>
      <c r="W1615" s="2"/>
      <c r="X1615" s="2"/>
      <c r="Y1615" s="2"/>
      <c r="Z1615" s="2"/>
      <c r="AA1615" s="2"/>
    </row>
    <row r="1616">
      <c r="A1616" s="1" t="s">
        <v>4337</v>
      </c>
      <c r="B1616" s="1" t="s">
        <v>4342</v>
      </c>
      <c r="C1616" s="1" t="s">
        <v>4343</v>
      </c>
      <c r="D1616" s="2" t="str">
        <f>IFERROR(__xludf.DUMMYFUNCTION("GOOGLETRANSLATE(B1616, ""en"", ""TL"")"),"Sa ilalim ng anong mga pangyayari maaaring ibunyag ang mga medikal na rekord nang walang pahintulot ng pasyente?")</f>
        <v>Sa ilalim ng anong mga pangyayari maaaring ibunyag ang mga medikal na rekord nang walang pahintulot ng pasyente?</v>
      </c>
      <c r="E1616" s="2" t="str">
        <f>IFERROR(__xludf.DUMMYFUNCTION("GOOGLETRANSLATE(C1616, ""en"", ""TL"")"),"Ang sinumang tagapagbigay ng pangangalagang pangkalusugan o practitioner na kasangkot sa paggamot ng isang pasyente, gayundin ang mga may lehitimong access sa rekord ng pasyente, ay hindi awtorisadong magbunyag ng anumang impormasyon sa isang ikatlong par"&amp;"tido na walang pakialam sa pangangalaga at kapakanan ng pasyente nang wala ang kanyang pahintulot, maliban sa: a) kapag ang nasabing pagsisiwalat ay makikinabang sa kalusugan at kaligtasan ng publiko; b) kapag ito ay para sa interes ng hustisya at sa utos"&amp;" ng karampatang hukuman; at c) kapag tumalikod ang pasyente")</f>
        <v>Ang sinumang tagapagbigay ng pangangalagang pangkalusugan o practitioner na kasangkot sa paggamot ng isang pasyente, gayundin ang mga may lehitimong access sa rekord ng pasyente, ay hindi awtorisadong magbunyag ng anumang impormasyon sa isang ikatlong partido na walang pakialam sa pangangalaga at kapakanan ng pasyente nang wala ang kanyang pahintulot, maliban sa: a) kapag ang nasabing pagsisiwalat ay makikinabang sa kalusugan at kaligtasan ng publiko; b) kapag ito ay para sa interes ng hustisya at sa utos ng karampatang hukuman; at c) kapag tumalikod ang pasyente</v>
      </c>
      <c r="F1616" s="2">
        <f t="shared" si="1"/>
        <v>0</v>
      </c>
      <c r="G1616" s="2"/>
      <c r="H1616" s="2"/>
      <c r="I1616" s="2"/>
      <c r="J1616" s="2"/>
      <c r="K1616" s="2"/>
      <c r="L1616" s="2"/>
      <c r="M1616" s="2"/>
      <c r="N1616" s="2"/>
      <c r="O1616" s="2"/>
      <c r="P1616" s="2"/>
      <c r="Q1616" s="2"/>
      <c r="R1616" s="2"/>
      <c r="S1616" s="2"/>
      <c r="T1616" s="2"/>
      <c r="U1616" s="2"/>
      <c r="V1616" s="2"/>
      <c r="W1616" s="2"/>
      <c r="X1616" s="2"/>
      <c r="Y1616" s="2"/>
      <c r="Z1616" s="2"/>
      <c r="AA1616" s="2"/>
    </row>
    <row r="1617">
      <c r="A1617" s="1" t="s">
        <v>4337</v>
      </c>
      <c r="B1617" s="1" t="s">
        <v>4344</v>
      </c>
      <c r="C1617" s="1" t="s">
        <v>4345</v>
      </c>
      <c r="D1617" s="2" t="str">
        <f>IFERROR(__xludf.DUMMYFUNCTION("GOOGLETRANSLATE(B1617, ""en"", ""TL"")"),"Anong mga batas ang kumokontrol sa pagtatatag at pagpapatakbo ng mga medikal na klinika at ospital sa Pilipinas?")</f>
        <v>Anong mga batas ang kumokontrol sa pagtatatag at pagpapatakbo ng mga medikal na klinika at ospital sa Pilipinas?</v>
      </c>
      <c r="E1617" s="2" t="str">
        <f>IFERROR(__xludf.DUMMYFUNCTION("GOOGLETRANSLATE(C1617, ""en"", ""TL"")"),"Sa Pilipinas, ang pagtatayo at pagpapatakbo ng mga medikal na klinika at ospital ay pinamamahalaan ng iba't ibang batas na naglalayong tiyakin ang kalidad ng pangangalagang pangkalusugan at pantay na pag-access para sa lahat ng mamamayan. Ang Universal He"&amp;"alth Care Act of 2019, na kilala rin bilang Republic Act No. 11223, ay nagbibigay-diin sa pangkalahatang saklaw sa kalusugan at proteksyon laban sa mga panganib sa pananalapi, na nagsusulong ng isang komprehensibong diskarte sa pangangalagang pangkalusuga"&amp;"n. Binabalangkas ng Medical Act of 1959 (Republic Act No. 2382) ang mga regulasyon para sa mga medikal na practitioner, kabilang ang mga kwalipikasyon at paglilisensya. Dagdag pa rito, ang mga batas tulad ng Philippine Midwifery Act, ang Law on Reporting "&amp;"of Communicable Diseases, at ang Liberalized Treatment of Leprosy Act ay higit na nakakatulong sa regulasyon ng pangangalagang pangkalusugan at pamamahala ng sakit. Ang mga hakbangin ni Pangulong Rodrigo R. Duterte na magtatag at mag-upgrade ng mga lokal "&amp;"na ospital ay may mahalagang papel din sa pagpapahusay ng sistema ng pangangalaga sa kalusugan ng bansa. Sama-sama, ang mga batas na ito ay naglalayong pahusayin ang kalidad ng pangangalagang pangkalusugan, pagiging naa-access, at pagiging epektibo sa buo"&amp;"ng bansa. 🇵🇭")</f>
        <v>Sa Pilipinas, ang pagtatayo at pagpapatakbo ng mga medikal na klinika at ospital ay pinamamahalaan ng iba't ibang batas na naglalayong tiyakin ang kalidad ng pangangalagang pangkalusugan at pantay na pag-access para sa lahat ng mamamayan. Ang Universal Health Care Act of 2019, na kilala rin bilang Republic Act No. 11223, ay nagbibigay-diin sa pangkalahatang saklaw sa kalusugan at proteksyon laban sa mga panganib sa pananalapi, na nagsusulong ng isang komprehensibong diskarte sa pangangalagang pangkalusugan. Binabalangkas ng Medical Act of 1959 (Republic Act No. 2382) ang mga regulasyon para sa mga medikal na practitioner, kabilang ang mga kwalipikasyon at paglilisensya. Dagdag pa rito, ang mga batas tulad ng Philippine Midwifery Act, ang Law on Reporting of Communicable Diseases, at ang Liberalized Treatment of Leprosy Act ay higit na nakakatulong sa regulasyon ng pangangalagang pangkalusugan at pamamahala ng sakit. Ang mga hakbangin ni Pangulong Rodrigo R. Duterte na magtatag at mag-upgrade ng mga lokal na ospital ay may mahalagang papel din sa pagpapahusay ng sistema ng pangangalaga sa kalusugan ng bansa. Sama-sama, ang mga batas na ito ay naglalayong pahusayin ang kalidad ng pangangalagang pangkalusugan, pagiging naa-access, at pagiging epektibo sa buong bansa. 🇵🇭</v>
      </c>
      <c r="F1617" s="2">
        <f t="shared" si="1"/>
        <v>0</v>
      </c>
      <c r="G1617" s="2"/>
      <c r="H1617" s="2"/>
      <c r="I1617" s="2"/>
      <c r="J1617" s="2"/>
      <c r="K1617" s="2"/>
      <c r="L1617" s="2"/>
      <c r="M1617" s="2"/>
      <c r="N1617" s="2"/>
      <c r="O1617" s="2"/>
      <c r="P1617" s="2"/>
      <c r="Q1617" s="2"/>
      <c r="R1617" s="2"/>
      <c r="S1617" s="2"/>
      <c r="T1617" s="2"/>
      <c r="U1617" s="2"/>
      <c r="V1617" s="2"/>
      <c r="W1617" s="2"/>
      <c r="X1617" s="2"/>
      <c r="Y1617" s="2"/>
      <c r="Z1617" s="2"/>
      <c r="AA1617" s="2"/>
    </row>
    <row r="1618">
      <c r="A1618" s="1" t="s">
        <v>4337</v>
      </c>
      <c r="B1618" s="1" t="s">
        <v>4346</v>
      </c>
      <c r="C1618" s="1" t="s">
        <v>4347</v>
      </c>
      <c r="D1618" s="2" t="str">
        <f>IFERROR(__xludf.DUMMYFUNCTION("GOOGLETRANSLATE(B1618, ""en"", ""TL"")"),"Paano binibigyang kahulugan ang medikal na malpractice sa ilalim ng batas ng Pilipinas?")</f>
        <v>Paano binibigyang kahulugan ang medikal na malpractice sa ilalim ng batas ng Pilipinas?</v>
      </c>
      <c r="E1618" s="2" t="str">
        <f>IFERROR(__xludf.DUMMYFUNCTION("GOOGLETRANSLATE(C1618, ""en"", ""TL"")"),"Ang sinumang nagpraktis ng medisina sa Pilipinas nang hindi nakakuha ng kinakailangang sertipiko ng pagpaparehistro na inisyu ng Board of Medical Examiners ay itinuring na nagkasala ng medical malpractice. Para maging maaksyunan ang medikal na malpractice"&amp;", dapat itong mapatunayan na mayroong medikal na kapabayaan.")</f>
        <v>Ang sinumang nagpraktis ng medisina sa Pilipinas nang hindi nakakuha ng kinakailangang sertipiko ng pagpaparehistro na inisyu ng Board of Medical Examiners ay itinuring na nagkasala ng medical malpractice. Para maging maaksyunan ang medikal na malpractice, dapat itong mapatunayan na mayroong medikal na kapabayaan.</v>
      </c>
      <c r="F1618" s="2">
        <f t="shared" si="1"/>
        <v>0</v>
      </c>
      <c r="G1618" s="2"/>
      <c r="H1618" s="2"/>
      <c r="I1618" s="2"/>
      <c r="J1618" s="2"/>
      <c r="K1618" s="2"/>
      <c r="L1618" s="2"/>
      <c r="M1618" s="2"/>
      <c r="N1618" s="2"/>
      <c r="O1618" s="2"/>
      <c r="P1618" s="2"/>
      <c r="Q1618" s="2"/>
      <c r="R1618" s="2"/>
      <c r="S1618" s="2"/>
      <c r="T1618" s="2"/>
      <c r="U1618" s="2"/>
      <c r="V1618" s="2"/>
      <c r="W1618" s="2"/>
      <c r="X1618" s="2"/>
      <c r="Y1618" s="2"/>
      <c r="Z1618" s="2"/>
      <c r="AA1618" s="2"/>
    </row>
    <row r="1619">
      <c r="A1619" s="1" t="s">
        <v>4337</v>
      </c>
      <c r="B1619" s="1" t="s">
        <v>4348</v>
      </c>
      <c r="C1619" s="1" t="s">
        <v>4349</v>
      </c>
      <c r="D1619" s="2" t="str">
        <f>IFERROR(__xludf.DUMMYFUNCTION("GOOGLETRANSLATE(B1619, ""en"", ""TL"")"),"Ano ang mga legal na kinakailangan para sa pagkuha at pag-renew ng lisensyang medikal sa Pilipinas?")</f>
        <v>Ano ang mga legal na kinakailangan para sa pagkuha at pag-renew ng lisensyang medikal sa Pilipinas?</v>
      </c>
      <c r="E1619" s="2" t="str">
        <f>IFERROR(__xludf.DUMMYFUNCTION("GOOGLETRANSLATE(C1619, ""en"", ""TL"")"),"Walang sinumang tao ang dapat magpraktis ng medisina sa Pilipinas maliban kung siya ay hindi bababa sa dalawampu't isang taong gulang, nakapasa sa katumbas na Lupon ng Pagsusuri, at may hawak na balidong Sertipiko ng Pagpaparehistro na inisyu ng Lupon ng "&amp;"mga Tagasuri ng Medikal.")</f>
        <v>Walang sinumang tao ang dapat magpraktis ng medisina sa Pilipinas maliban kung siya ay hindi bababa sa dalawampu't isang taong gulang, nakapasa sa katumbas na Lupon ng Pagsusuri, at may hawak na balidong Sertipiko ng Pagpaparehistro na inisyu ng Lupon ng mga Tagasuri ng Medikal.</v>
      </c>
      <c r="F1619" s="2">
        <f t="shared" si="1"/>
        <v>0</v>
      </c>
      <c r="G1619" s="2"/>
      <c r="H1619" s="2"/>
      <c r="I1619" s="2"/>
      <c r="J1619" s="2"/>
      <c r="K1619" s="2"/>
      <c r="L1619" s="2"/>
      <c r="M1619" s="2"/>
      <c r="N1619" s="2"/>
      <c r="O1619" s="2"/>
      <c r="P1619" s="2"/>
      <c r="Q1619" s="2"/>
      <c r="R1619" s="2"/>
      <c r="S1619" s="2"/>
      <c r="T1619" s="2"/>
      <c r="U1619" s="2"/>
      <c r="V1619" s="2"/>
      <c r="W1619" s="2"/>
      <c r="X1619" s="2"/>
      <c r="Y1619" s="2"/>
      <c r="Z1619" s="2"/>
      <c r="AA1619" s="2"/>
    </row>
    <row r="1620">
      <c r="A1620" s="1" t="s">
        <v>4337</v>
      </c>
      <c r="B1620" s="1" t="s">
        <v>4350</v>
      </c>
      <c r="C1620" s="1" t="s">
        <v>4351</v>
      </c>
      <c r="D1620" s="2" t="str">
        <f>IFERROR(__xludf.DUMMYFUNCTION("GOOGLETRANSLATE(B1620, ""en"", ""TL"")"),"Maaari bang tanggihan ng isang pasyente ang medikal na paggamot kahit na sa mga sitwasyong nagbabanta sa buhay, at anong mga legal na implikasyon ang mayroon ito para sa mga tagapagbigay ng pangangalagang pangkalusugan?")</f>
        <v>Maaari bang tanggihan ng isang pasyente ang medikal na paggamot kahit na sa mga sitwasyong nagbabanta sa buhay, at anong mga legal na implikasyon ang mayroon ito para sa mga tagapagbigay ng pangangalagang pangkalusugan?</v>
      </c>
      <c r="E1620" s="2" t="str">
        <f>IFERROR(__xludf.DUMMYFUNCTION("GOOGLETRANSLATE(C1620, ""en"", ""TL"")"),"Sa Pilipinas, ang mga pasyente ay may karapatan sa mga pangunahing karapatan kapag nag-access sa mga serbisyo ng pangangalagang pangkalusugan, at dapat itaguyod ng mga tagapagbigay ng pangangalagang pangkalusugan ang mga karapatang ito ayon sa batas. Una,"&amp;" ang mga pasyente ay may karapatan na ma-access ang pangangalagang pangkalusugan nang walang diskriminasyon batay sa socioeconomic status, edad, kasarian, o iba pang personal na salik. Pangalawa, sila ay may karapatan sa may-kaalamang pahintulot, na kinab"&amp;"ibilangan ng ganap na kaalaman tungkol sa kanilang kondisyong medikal, mga opsyon sa paggamot, at mga nauugnay na panganib. Pangatlo, ang mga pasyente ay may karapatan sa pagkapribado at pagiging kumpidensyal tungkol sa kanilang medikal na impormasyon. Hi"&amp;"git pa rito, may karapatan silang tumanggap ng de-kalidad na pangangalaga batay sa tinatanggap na mga medikal na pamantayan at tumanggi sa medikal na paggamot kung ito ay salungat sa kanilang mga paniniwala o pinahahalagahan. Gayunpaman, dapat balansehin "&amp;"ng mga tagapagbigay ng pangangalagang pangkalusugan ang mga karapatang ito sa kanilang tungkulin na magbigay ng ligtas at de-kalidad na pangangalaga, tinitiyak ang kapakanan ng mga pasyente habang iginagalang ang kanilang awtonomiya at kapasidad sa paggaw"&amp;"a ng desisyon. Ang pag-unawa at pagtataguyod ng mga karapatan at responsibilidad na ito ay mahalaga para sa parehong mga pasyente at tagapagbigay ng pangangalagang pangkalusugan sa Pilipinas.")</f>
        <v>Sa Pilipinas, ang mga pasyente ay may karapatan sa mga pangunahing karapatan kapag nag-access sa mga serbisyo ng pangangalagang pangkalusugan, at dapat itaguyod ng mga tagapagbigay ng pangangalagang pangkalusugan ang mga karapatang ito ayon sa batas. Una, ang mga pasyente ay may karapatan na ma-access ang pangangalagang pangkalusugan nang walang diskriminasyon batay sa socioeconomic status, edad, kasarian, o iba pang personal na salik. Pangalawa, sila ay may karapatan sa may-kaalamang pahintulot, na kinabibilangan ng ganap na kaalaman tungkol sa kanilang kondisyong medikal, mga opsyon sa paggamot, at mga nauugnay na panganib. Pangatlo, ang mga pasyente ay may karapatan sa pagkapribado at pagiging kumpidensyal tungkol sa kanilang medikal na impormasyon. Higit pa rito, may karapatan silang tumanggap ng de-kalidad na pangangalaga batay sa tinatanggap na mga medikal na pamantayan at tumanggi sa medikal na paggamot kung ito ay salungat sa kanilang mga paniniwala o pinahahalagahan. Gayunpaman, dapat balansehin ng mga tagapagbigay ng pangangalagang pangkalusugan ang mga karapatang ito sa kanilang tungkulin na magbigay ng ligtas at de-kalidad na pangangalaga, tinitiyak ang kapakanan ng mga pasyente habang iginagalang ang kanilang awtonomiya at kapasidad sa paggawa ng desisyon. Ang pag-unawa at pagtataguyod ng mga karapatan at responsibilidad na ito ay mahalaga para sa parehong mga pasyente at tagapagbigay ng pangangalagang pangkalusugan sa Pilipinas.</v>
      </c>
      <c r="F1620" s="2">
        <f t="shared" si="1"/>
        <v>5</v>
      </c>
      <c r="G1620" s="2"/>
      <c r="H1620" s="2"/>
      <c r="I1620" s="2"/>
      <c r="J1620" s="2"/>
      <c r="K1620" s="2"/>
      <c r="L1620" s="2"/>
      <c r="M1620" s="2"/>
      <c r="N1620" s="2"/>
      <c r="O1620" s="2"/>
      <c r="P1620" s="2"/>
      <c r="Q1620" s="2"/>
      <c r="R1620" s="2"/>
      <c r="S1620" s="2"/>
      <c r="T1620" s="2"/>
      <c r="U1620" s="2"/>
      <c r="V1620" s="2"/>
      <c r="W1620" s="2"/>
      <c r="X1620" s="2"/>
      <c r="Y1620" s="2"/>
      <c r="Z1620" s="2"/>
      <c r="AA1620" s="2"/>
    </row>
    <row r="1621">
      <c r="A1621" s="1" t="s">
        <v>4337</v>
      </c>
      <c r="B1621" s="1" t="s">
        <v>4352</v>
      </c>
      <c r="C1621" s="1" t="s">
        <v>4353</v>
      </c>
      <c r="D1621" s="2" t="str">
        <f>IFERROR(__xludf.DUMMYFUNCTION("GOOGLETRANSLATE(B1621, ""en"", ""TL"")"),"Ano ang tungkulin ng Professional Regulation Commission (PRC) sa pagsasaayos ng mga medikal na practitioner?")</f>
        <v>Ano ang tungkulin ng Professional Regulation Commission (PRC) sa pagsasaayos ng mga medikal na practitioner?</v>
      </c>
      <c r="E1621" s="2" t="str">
        <f>IFERROR(__xludf.DUMMYFUNCTION("GOOGLETRANSLATE(C1621, ""en"", ""TL"")"),"Ang mandato nito ay pamahalaan at pangasiwaan ang pagsasagawa ng mga propesyonal (maliban sa mga abogado, na pinangangasiwaan ng Korte Suprema ng Pilipinas) na bumubuo sa lubos na sinanay na lakas paggawa ng bansa.")</f>
        <v>Ang mandato nito ay pamahalaan at pangasiwaan ang pagsasagawa ng mga propesyonal (maliban sa mga abogado, na pinangangasiwaan ng Korte Suprema ng Pilipinas) na bumubuo sa lubos na sinanay na lakas paggawa ng bansa.</v>
      </c>
      <c r="F1621" s="2">
        <f t="shared" si="1"/>
        <v>0</v>
      </c>
      <c r="G1621" s="2"/>
      <c r="H1621" s="2"/>
      <c r="I1621" s="2"/>
      <c r="J1621" s="2"/>
      <c r="K1621" s="2"/>
      <c r="L1621" s="2"/>
      <c r="M1621" s="2"/>
      <c r="N1621" s="2"/>
      <c r="O1621" s="2"/>
      <c r="P1621" s="2"/>
      <c r="Q1621" s="2"/>
      <c r="R1621" s="2"/>
      <c r="S1621" s="2"/>
      <c r="T1621" s="2"/>
      <c r="U1621" s="2"/>
      <c r="V1621" s="2"/>
      <c r="W1621" s="2"/>
      <c r="X1621" s="2"/>
      <c r="Y1621" s="2"/>
      <c r="Z1621" s="2"/>
      <c r="AA1621" s="2"/>
    </row>
    <row r="1622">
      <c r="A1622" s="1" t="s">
        <v>4337</v>
      </c>
      <c r="B1622" s="1" t="s">
        <v>4354</v>
      </c>
      <c r="C1622" s="1" t="s">
        <v>4355</v>
      </c>
      <c r="D1622" s="2" t="str">
        <f>IFERROR(__xludf.DUMMYFUNCTION("GOOGLETRANSLATE(B1622, ""en"", ""TL"")"),"Anong mga legal na probisyon ang namamahala sa pagiging kumpidensyal ng impormasyon ng pasyente sa mga setting ng pangangalagang pangkalusugan?")</f>
        <v>Anong mga legal na probisyon ang namamahala sa pagiging kumpidensyal ng impormasyon ng pasyente sa mga setting ng pangangalagang pangkalusugan?</v>
      </c>
      <c r="E1622" s="2" t="str">
        <f>IFERROR(__xludf.DUMMYFUNCTION("GOOGLETRANSLATE(C1622, ""en"", ""TL"")"),"Sa Pilipinas, ang pagkapribado at pagiging kumpidensyal ng pasyente sa mga setting ng pangangalagang pangkalusugan ay protektado ng mga legal na probisyon, na tinitiyak ang mga sumusunod na pangunahing karapatan at responsibilidad. Una, ang bawat indibidw"&amp;"al ay may karapatan na ma-access ang mga serbisyo sa pangangalagang pangkalusugan nang walang diskriminasyon batay sa socioeconomic status, edad, kasarian, o relihiyon. Pangalawa, ang mga pasyente ay may karapatan sa kaalamang pahintulot, na nangangailang"&amp;"an ng mga tagapagbigay ng pangangalagang pangkalusugan na magbigay ng komprehensibong impormasyon tungkol sa kanilang kondisyong medikal at mga opsyon sa paggamot. Pangatlo, ang impormasyong medikal ng mga pasyente ay dapat manatiling kumpidensyal, na may"&amp;" legal na obligasyon ang mga tagapagbigay ng pangangalagang pangkalusugan na pangalagaan ang privacy ng pasyente. Bukod pa rito, ang mga pasyente ay may karapatan sa de-kalidad na pangangalaga, na kinabibilangan ng wastong pagsusuri, paggamot na batay sa "&amp;"ebidensya, at magalang na paggamot ng mga tagapagbigay ng pangangalagang pangkalusugan. Ang pagtataguyod ng mga karapatan at responsibilidad na ito ay mahalaga para matiyak ang kapakanan ng pasyente at mapanatili ang tiwala sa sistema ng pangangalagang pa"&amp;"ngkalusugan.")</f>
        <v>Sa Pilipinas, ang pagkapribado at pagiging kumpidensyal ng pasyente sa mga setting ng pangangalagang pangkalusugan ay protektado ng mga legal na probisyon, na tinitiyak ang mga sumusunod na pangunahing karapatan at responsibilidad. Una, ang bawat indibidwal ay may karapatan na ma-access ang mga serbisyo sa pangangalagang pangkalusugan nang walang diskriminasyon batay sa socioeconomic status, edad, kasarian, o relihiyon. Pangalawa, ang mga pasyente ay may karapatan sa kaalamang pahintulot, na nangangailangan ng mga tagapagbigay ng pangangalagang pangkalusugan na magbigay ng komprehensibong impormasyon tungkol sa kanilang kondisyong medikal at mga opsyon sa paggamot. Pangatlo, ang impormasyong medikal ng mga pasyente ay dapat manatiling kumpidensyal, na may legal na obligasyon ang mga tagapagbigay ng pangangalagang pangkalusugan na pangalagaan ang privacy ng pasyente. Bukod pa rito, ang mga pasyente ay may karapatan sa de-kalidad na pangangalaga, na kinabibilangan ng wastong pagsusuri, paggamot na batay sa ebidensya, at magalang na paggamot ng mga tagapagbigay ng pangangalagang pangkalusugan. Ang pagtataguyod ng mga karapatan at responsibilidad na ito ay mahalaga para matiyak ang kapakanan ng pasyente at mapanatili ang tiwala sa sistema ng pangangalagang pangkalusugan.</v>
      </c>
      <c r="F1622" s="2">
        <f t="shared" si="1"/>
        <v>0</v>
      </c>
      <c r="G1622" s="2"/>
      <c r="H1622" s="2"/>
      <c r="I1622" s="2"/>
      <c r="J1622" s="2"/>
      <c r="K1622" s="2"/>
      <c r="L1622" s="2"/>
      <c r="M1622" s="2"/>
      <c r="N1622" s="2"/>
      <c r="O1622" s="2"/>
      <c r="P1622" s="2"/>
      <c r="Q1622" s="2"/>
      <c r="R1622" s="2"/>
      <c r="S1622" s="2"/>
      <c r="T1622" s="2"/>
      <c r="U1622" s="2"/>
      <c r="V1622" s="2"/>
      <c r="W1622" s="2"/>
      <c r="X1622" s="2"/>
      <c r="Y1622" s="2"/>
      <c r="Z1622" s="2"/>
      <c r="AA1622" s="2"/>
    </row>
    <row r="1623">
      <c r="A1623" s="1" t="s">
        <v>4337</v>
      </c>
      <c r="B1623" s="1" t="s">
        <v>4356</v>
      </c>
      <c r="C1623" s="1" t="s">
        <v>4357</v>
      </c>
      <c r="D1623" s="2" t="str">
        <f>IFERROR(__xludf.DUMMYFUNCTION("GOOGLETRANSLATE(B1623, ""en"", ""TL"")"),"Ano ang mga legal na kinakailangan para sa pagkuha ng may-kaalamang pahintulot mula sa mga pasyente bago ang mga medikal na pamamaraan?")</f>
        <v>Ano ang mga legal na kinakailangan para sa pagkuha ng may-kaalamang pahintulot mula sa mga pasyente bago ang mga medikal na pamamaraan?</v>
      </c>
      <c r="E1623" s="2" t="str">
        <f>IFERROR(__xludf.DUMMYFUNCTION("GOOGLETRANSLATE(C1623, ""en"", ""TL"")"),"Sa Pilipinas, kinokontrol ng batas sa pangangalagang pangkalusugan at medikal ang mga karapatan at responsibilidad ng mga pasyente at tagapagbigay ng pangangalagang pangkalusugan, partikular na tungkol sa may-kaalamang pahintulot bago ang mga medikal na p"&amp;"amamaraan. Una, ang bawat indibidwal ay may karapatan na ma-access ang mga serbisyo sa pangangalagang pangkalusugan nang walang diskriminasyon batay sa iba't ibang mga kadahilanan. Pangalawa, ang may-kaalamang pahintulot ay isang pangunahing prinsipyo, ti"&amp;"nitiyak na ang mga pasyente ay ganap na alam ang tungkol sa kanilang medikal na kondisyon, mga opsyon sa paggamot, mga panganib, at mga benepisyo bago ang anumang pamamaraan. Ang mga tagapagbigay ng pangangalagang pangkalusugan ay dapat magbigay ng tumpak"&amp;" na impormasyon sa wikang naiintindihan ng mga pasyente, na nagpapahintulot sa kanila na gumawa ng matalinong mga desisyon tungkol sa kanilang pangangalaga. Karagdagan pa, ang mga pasyente ay may karapatan sa pagkapribado at pagiging kumpidensyal ng kanil"&amp;"ang medikal na impormasyon, na may legal na obligadong tagapagbigay ng pangangalagang pangkalusugan na panatilihin ang pagiging kumpidensyal. Panghuli, ang mga pasyente ay may karapatan sa mga de-kalidad na serbisyo sa pangangalagang pangkalusugan na sumu"&amp;"sunod sa tinatanggap na mga medikal na pamantayan, kabilang ang tamang pagsusuri at magalang na paggamot. Ang paggalang sa may-kaalamang pahintulot ay hindi lamang tumutupad sa isang legal na kinakailangan ngunit nirerespeto din ang awtonomiya ng mga pasy"&amp;"ente at binibigyang kapangyarihan sila sa kanilang mga desisyon sa pangangalagang pangkalusugan.")</f>
        <v>Sa Pilipinas, kinokontrol ng batas sa pangangalagang pangkalusugan at medikal ang mga karapatan at responsibilidad ng mga pasyente at tagapagbigay ng pangangalagang pangkalusugan, partikular na tungkol sa may-kaalamang pahintulot bago ang mga medikal na pamamaraan. Una, ang bawat indibidwal ay may karapatan na ma-access ang mga serbisyo sa pangangalagang pangkalusugan nang walang diskriminasyon batay sa iba't ibang mga kadahilanan. Pangalawa, ang may-kaalamang pahintulot ay isang pangunahing prinsipyo, tinitiyak na ang mga pasyente ay ganap na alam ang tungkol sa kanilang medikal na kondisyon, mga opsyon sa paggamot, mga panganib, at mga benepisyo bago ang anumang pamamaraan. Ang mga tagapagbigay ng pangangalagang pangkalusugan ay dapat magbigay ng tumpak na impormasyon sa wikang naiintindihan ng mga pasyente, na nagpapahintulot sa kanila na gumawa ng matalinong mga desisyon tungkol sa kanilang pangangalaga. Karagdagan pa, ang mga pasyente ay may karapatan sa pagkapribado at pagiging kumpidensyal ng kanilang medikal na impormasyon, na may legal na obligadong tagapagbigay ng pangangalagang pangkalusugan na panatilihin ang pagiging kumpidensyal. Panghuli, ang mga pasyente ay may karapatan sa mga de-kalidad na serbisyo sa pangangalagang pangkalusugan na sumusunod sa tinatanggap na mga medikal na pamantayan, kabilang ang tamang pagsusuri at magalang na paggamot. Ang paggalang sa may-kaalamang pahintulot ay hindi lamang tumutupad sa isang legal na kinakailangan ngunit nirerespeto din ang awtonomiya ng mga pasyente at binibigyang kapangyarihan sila sa kanilang mga desisyon sa pangangalagang pangkalusugan.</v>
      </c>
      <c r="F1623" s="2">
        <f t="shared" si="1"/>
        <v>0</v>
      </c>
      <c r="G1623" s="2"/>
      <c r="H1623" s="2"/>
      <c r="I1623" s="2"/>
      <c r="J1623" s="2"/>
      <c r="K1623" s="2"/>
      <c r="L1623" s="2"/>
      <c r="M1623" s="2"/>
      <c r="N1623" s="2"/>
      <c r="O1623" s="2"/>
      <c r="P1623" s="2"/>
      <c r="Q1623" s="2"/>
      <c r="R1623" s="2"/>
      <c r="S1623" s="2"/>
      <c r="T1623" s="2"/>
      <c r="U1623" s="2"/>
      <c r="V1623" s="2"/>
      <c r="W1623" s="2"/>
      <c r="X1623" s="2"/>
      <c r="Y1623" s="2"/>
      <c r="Z1623" s="2"/>
      <c r="AA1623" s="2"/>
    </row>
    <row r="1624">
      <c r="A1624" s="1" t="s">
        <v>4337</v>
      </c>
      <c r="B1624" s="1" t="s">
        <v>4358</v>
      </c>
      <c r="C1624" s="1" t="s">
        <v>4359</v>
      </c>
      <c r="D1624" s="2" t="str">
        <f>IFERROR(__xludf.DUMMYFUNCTION("GOOGLETRANSLATE(B1624, ""en"", ""TL"")"),"Paano tinutugunan ng batas ang pagsasagawa ng telemedicine sa Pilipinas?")</f>
        <v>Paano tinutugunan ng batas ang pagsasagawa ng telemedicine sa Pilipinas?</v>
      </c>
      <c r="E1624" s="2" t="str">
        <f>IFERROR(__xludf.DUMMYFUNCTION("GOOGLETRANSLATE(C1624, ""en"", ""TL"")"),"Ang batas ng telemedicine sa Pilipinas ay umuunlad bilang tugon sa mga pagpapabuti ng teknolohiya. Ang privacy ng pasyente, seguridad ng data, paglilisensya ng healthcare provider, at ang legalidad ng mga online na konsultasyon at reseta medikal ay kabila"&amp;"ng sa pinakamahalagang legal na problema.")</f>
        <v>Ang batas ng telemedicine sa Pilipinas ay umuunlad bilang tugon sa mga pagpapabuti ng teknolohiya. Ang privacy ng pasyente, seguridad ng data, paglilisensya ng healthcare provider, at ang legalidad ng mga online na konsultasyon at reseta medikal ay kabilang sa pinakamahalagang legal na problema.</v>
      </c>
      <c r="F1624" s="2">
        <f t="shared" si="1"/>
        <v>0</v>
      </c>
      <c r="G1624" s="2"/>
      <c r="H1624" s="2"/>
      <c r="I1624" s="2"/>
      <c r="J1624" s="2"/>
      <c r="K1624" s="2"/>
      <c r="L1624" s="2"/>
      <c r="M1624" s="2"/>
      <c r="N1624" s="2"/>
      <c r="O1624" s="2"/>
      <c r="P1624" s="2"/>
      <c r="Q1624" s="2"/>
      <c r="R1624" s="2"/>
      <c r="S1624" s="2"/>
      <c r="T1624" s="2"/>
      <c r="U1624" s="2"/>
      <c r="V1624" s="2"/>
      <c r="W1624" s="2"/>
      <c r="X1624" s="2"/>
      <c r="Y1624" s="2"/>
      <c r="Z1624" s="2"/>
      <c r="AA1624" s="2"/>
    </row>
    <row r="1625">
      <c r="A1625" s="1" t="s">
        <v>4337</v>
      </c>
      <c r="B1625" s="1" t="s">
        <v>4360</v>
      </c>
      <c r="C1625" s="1" t="s">
        <v>4361</v>
      </c>
      <c r="D1625" s="2" t="str">
        <f>IFERROR(__xludf.DUMMYFUNCTION("GOOGLETRANSLATE(B1625, ""en"", ""TL"")"),"Anong mga legal na proteksyon ang umiiral para sa mga tagapagbigay ng pangangalagang pangkalusugan na nagbibigay ng emerhensiyang tulong medikal nang may mabuting loob?")</f>
        <v>Anong mga legal na proteksyon ang umiiral para sa mga tagapagbigay ng pangangalagang pangkalusugan na nagbibigay ng emerhensiyang tulong medikal nang may mabuting loob?</v>
      </c>
      <c r="E1625" s="2" t="str">
        <f>IFERROR(__xludf.DUMMYFUNCTION("GOOGLETRANSLATE(C1625, ""en"", ""TL"")"),"Sa Pilipinas, inilalagay ang mga legal na proteksyon upang pangalagaan ang mga tagapagbigay ng pangangalagang pangkalusugan na nag-aalok ng emerhensiyang tulong medikal nang may mabuting loob. Ang Republic Act No. 11712, na pinagtibay noong Abril 2022, ay"&amp;" kinikilala ang kritikal na papel ng mga manggagawa sa pangangalagang pangkalusugan sa panahon ng mga emerhensiyang pampublikong kalusugan, na nagbibigay ng mga mandatoryong benepisyo at allowance para sa kanilang kapakanan. Ang mga benepisyong ito ay uma"&amp;"abot sa parehong healthcare at non-healthcare na mga manggagawa na nalantad sa mga banta tulad ng COVID-19. Bukod pa rito, ang Health &amp; Safety Code § 1799.106 ay nagsasaad na ang mga indibidwal na nagbibigay ng mga serbisyong medikal na pang-emergency ay "&amp;"hindi mananagot para sa mga aksyon na ginawa nang may mabuting loob. Ang Republic Act No. 6615 ay nag-uutos sa gobyerno at pribadong ospital na magbigay ng agarang tulong medikal sa mga pasyenteng nasa kritikal na kondisyon. Higit pa rito, binibigyang-dii"&amp;"n ng Philippine Medical Association's Code of Ethics ang tungkulin ng mga manggagamot na kumilos nang may mabuting pananampalataya at katapatan, paggalang sa mga karapatan ng mga pasyente at pagbibigay ng napapanahong impormasyon tungkol sa kanilang kondi"&amp;"syong medikal. Ang mga legal na probisyon na ito ay sama-samang naglalayong protektahan ang mga tagapagbigay ng pangangalagang pangkalusugan na kumikilos sa mga emerhensiya habang itinataguyod ang mga karapatan at kaligtasan ng pasyente.")</f>
        <v>Sa Pilipinas, inilalagay ang mga legal na proteksyon upang pangalagaan ang mga tagapagbigay ng pangangalagang pangkalusugan na nag-aalok ng emerhensiyang tulong medikal nang may mabuting loob. Ang Republic Act No. 11712, na pinagtibay noong Abril 2022, ay kinikilala ang kritikal na papel ng mga manggagawa sa pangangalagang pangkalusugan sa panahon ng mga emerhensiyang pampublikong kalusugan, na nagbibigay ng mga mandatoryong benepisyo at allowance para sa kanilang kapakanan. Ang mga benepisyong ito ay umaabot sa parehong healthcare at non-healthcare na mga manggagawa na nalantad sa mga banta tulad ng COVID-19. Bukod pa rito, ang Health &amp; Safety Code § 1799.106 ay nagsasaad na ang mga indibidwal na nagbibigay ng mga serbisyong medikal na pang-emergency ay hindi mananagot para sa mga aksyon na ginawa nang may mabuting loob. Ang Republic Act No. 6615 ay nag-uutos sa gobyerno at pribadong ospital na magbigay ng agarang tulong medikal sa mga pasyenteng nasa kritikal na kondisyon. Higit pa rito, binibigyang-diin ng Philippine Medical Association's Code of Ethics ang tungkulin ng mga manggagamot na kumilos nang may mabuting pananampalataya at katapatan, paggalang sa mga karapatan ng mga pasyente at pagbibigay ng napapanahong impormasyon tungkol sa kanilang kondisyong medikal. Ang mga legal na probisyon na ito ay sama-samang naglalayong protektahan ang mga tagapagbigay ng pangangalagang pangkalusugan na kumikilos sa mga emerhensiya habang itinataguyod ang mga karapatan at kaligtasan ng pasyente.</v>
      </c>
      <c r="F1625" s="2">
        <f t="shared" si="1"/>
        <v>2</v>
      </c>
      <c r="G1625" s="2"/>
      <c r="H1625" s="2"/>
      <c r="I1625" s="2"/>
      <c r="J1625" s="2"/>
      <c r="K1625" s="2"/>
      <c r="L1625" s="2"/>
      <c r="M1625" s="2"/>
      <c r="N1625" s="2"/>
      <c r="O1625" s="2"/>
      <c r="P1625" s="2"/>
      <c r="Q1625" s="2"/>
      <c r="R1625" s="2"/>
      <c r="S1625" s="2"/>
      <c r="T1625" s="2"/>
      <c r="U1625" s="2"/>
      <c r="V1625" s="2"/>
      <c r="W1625" s="2"/>
      <c r="X1625" s="2"/>
      <c r="Y1625" s="2"/>
      <c r="Z1625" s="2"/>
      <c r="AA1625" s="2"/>
    </row>
    <row r="1626">
      <c r="A1626" s="1" t="s">
        <v>4337</v>
      </c>
      <c r="B1626" s="1" t="s">
        <v>4362</v>
      </c>
      <c r="C1626" s="1" t="s">
        <v>4363</v>
      </c>
      <c r="D1626" s="2" t="str">
        <f>IFERROR(__xludf.DUMMYFUNCTION("GOOGLETRANSLATE(B1626, ""en"", ""TL"")"),"Sa ilalim ng anong mga kalagayan maaaring managot ng kriminal ang isang medikal na practitioner para sa kapabayaan o malpractice?")</f>
        <v>Sa ilalim ng anong mga kalagayan maaaring managot ng kriminal ang isang medikal na practitioner para sa kapabayaan o malpractice?</v>
      </c>
      <c r="E1626" s="2" t="str">
        <f>IFERROR(__xludf.DUMMYFUNCTION("GOOGLETRANSLATE(C1626, ""en"", ""TL"")"),"Sa Pilipinas, ang mga medikal na practitioner ay maaaring humarap sa kriminal na pananagutan para sa kapabayaan o malpractice sa ilalim ng mga partikular na pangyayari na pinamamahalaan ng iba't ibang mga batas at regulasyon. Ang malpractice sa medisina a"&amp;"y napapailalim sa parehong sibil at kriminal na pananagutan, kung saan tahasan na tinutugunan ng Anti-Malpractice Act ang mga naturang kaso. Ang batas na ito ay nagsasaad ng parusa, kabilang ang pagkakulong, multa, o pagkansela ng lisensya, para sa mga pr"&amp;"actitioner na napatunayang nagkasala ng medikal na malpractice o ilegal na mga kasanayan sa operasyon. Ang pagpapabaya sa medikal ay dapat na maitatag para maaksyunan ang malpractice, kung saan ang pagsasanay sa medisina nang walang wastong sertipikasyon "&amp;"ay itinuturing na isang uri ng malpractice. Ang isang kapansin-pansing kaso na kinasasangkutan ng San Juan de Dios Hospital at dalawang doktor ay nagha-highlight sa mga kahihinatnan ng kapabayaang medikal na kasanayan, na nagbibigay-diin sa kahalagahan ng"&amp;" paghingi ng legal na payo kaagad sa mga kaso ng pinaghihinalaang malpractice. Ang bawat kaso ay natatangi, at ang mga partikular na pangyayari ay tumutukoy sa potensyal na kriminal na pananagutan ng mga medikal na practitioner.")</f>
        <v>Sa Pilipinas, ang mga medikal na practitioner ay maaaring humarap sa kriminal na pananagutan para sa kapabayaan o malpractice sa ilalim ng mga partikular na pangyayari na pinamamahalaan ng iba't ibang mga batas at regulasyon. Ang malpractice sa medisina ay napapailalim sa parehong sibil at kriminal na pananagutan, kung saan tahasan na tinutugunan ng Anti-Malpractice Act ang mga naturang kaso. Ang batas na ito ay nagsasaad ng parusa, kabilang ang pagkakulong, multa, o pagkansela ng lisensya, para sa mga practitioner na napatunayang nagkasala ng medikal na malpractice o ilegal na mga kasanayan sa operasyon. Ang pagpapabaya sa medikal ay dapat na maitatag para maaksyunan ang malpractice, kung saan ang pagsasanay sa medisina nang walang wastong sertipikasyon ay itinuturing na isang uri ng malpractice. Ang isang kapansin-pansing kaso na kinasasangkutan ng San Juan de Dios Hospital at dalawang doktor ay nagha-highlight sa mga kahihinatnan ng kapabayaang medikal na kasanayan, na nagbibigay-diin sa kahalagahan ng paghingi ng legal na payo kaagad sa mga kaso ng pinaghihinalaang malpractice. Ang bawat kaso ay natatangi, at ang mga partikular na pangyayari ay tumutukoy sa potensyal na kriminal na pananagutan ng mga medikal na practitioner.</v>
      </c>
      <c r="F1626" s="2">
        <f t="shared" si="1"/>
        <v>5</v>
      </c>
      <c r="G1626" s="2"/>
      <c r="H1626" s="2"/>
      <c r="I1626" s="2"/>
      <c r="J1626" s="2"/>
      <c r="K1626" s="2"/>
      <c r="L1626" s="2"/>
      <c r="M1626" s="2"/>
      <c r="N1626" s="2"/>
      <c r="O1626" s="2"/>
      <c r="P1626" s="2"/>
      <c r="Q1626" s="2"/>
      <c r="R1626" s="2"/>
      <c r="S1626" s="2"/>
      <c r="T1626" s="2"/>
      <c r="U1626" s="2"/>
      <c r="V1626" s="2"/>
      <c r="W1626" s="2"/>
      <c r="X1626" s="2"/>
      <c r="Y1626" s="2"/>
      <c r="Z1626" s="2"/>
      <c r="AA1626" s="2"/>
    </row>
    <row r="1627">
      <c r="A1627" s="1" t="s">
        <v>4337</v>
      </c>
      <c r="B1627" s="1" t="s">
        <v>4364</v>
      </c>
      <c r="C1627" s="1" t="s">
        <v>4365</v>
      </c>
      <c r="D1627" s="2" t="str">
        <f>IFERROR(__xludf.DUMMYFUNCTION("GOOGLETRANSLATE(B1627, ""en"", ""TL"")"),"Anong mga batas ang kumokontrol sa pag-advertise at pag-promote ng mga produktong parmasyutiko at serbisyong medikal?")</f>
        <v>Anong mga batas ang kumokontrol sa pag-advertise at pag-promote ng mga produktong parmasyutiko at serbisyong medikal?</v>
      </c>
      <c r="E1627" s="2" t="str">
        <f>IFERROR(__xludf.DUMMYFUNCTION("GOOGLETRANSLATE(C1627, ""en"", ""TL"")"),"Ang Republic Act No. 3720, na sinususugan ng Republic Act 9711, o ang Food and Drug Administration (""FDA"") Act (""FDA Act""), ay namamahala sa produksyon, pag-aangkat, pamamahagi, pagbebenta, marketing, promosyon, at advertisement ng mga gamot o mga gam"&amp;"ot sa Pilipinas.")</f>
        <v>Ang Republic Act No. 3720, na sinususugan ng Republic Act 9711, o ang Food and Drug Administration ("FDA") Act ("FDA Act"), ay namamahala sa produksyon, pag-aangkat, pamamahagi, pagbebenta, marketing, promosyon, at advertisement ng mga gamot o mga gamot sa Pilipinas.</v>
      </c>
      <c r="F1627" s="2">
        <f t="shared" si="1"/>
        <v>0</v>
      </c>
      <c r="G1627" s="2"/>
      <c r="H1627" s="2"/>
      <c r="I1627" s="2"/>
      <c r="J1627" s="2"/>
      <c r="K1627" s="2"/>
      <c r="L1627" s="2"/>
      <c r="M1627" s="2"/>
      <c r="N1627" s="2"/>
      <c r="O1627" s="2"/>
      <c r="P1627" s="2"/>
      <c r="Q1627" s="2"/>
      <c r="R1627" s="2"/>
      <c r="S1627" s="2"/>
      <c r="T1627" s="2"/>
      <c r="U1627" s="2"/>
      <c r="V1627" s="2"/>
      <c r="W1627" s="2"/>
      <c r="X1627" s="2"/>
      <c r="Y1627" s="2"/>
      <c r="Z1627" s="2"/>
      <c r="AA1627" s="2"/>
    </row>
    <row r="1628">
      <c r="A1628" s="1" t="s">
        <v>4337</v>
      </c>
      <c r="B1628" s="1" t="s">
        <v>4366</v>
      </c>
      <c r="C1628" s="1" t="s">
        <v>4367</v>
      </c>
      <c r="D1628" s="2" t="str">
        <f>IFERROR(__xludf.DUMMYFUNCTION("GOOGLETRANSLATE(B1628, ""en"", ""TL"")"),"Paano karaniwang nareresolba ang mga medikal na alitan sa ilalim ng batas ng Pilipinas?")</f>
        <v>Paano karaniwang nareresolba ang mga medikal na alitan sa ilalim ng batas ng Pilipinas?</v>
      </c>
      <c r="E1628" s="2" t="str">
        <f>IFERROR(__xludf.DUMMYFUNCTION("GOOGLETRANSLATE(C1628, ""en"", ""TL"")"),"Sa Pilipinas, ang mga medikal na hindi pagkakaunawaan ay tinutugunan sa pamamagitan ng kumbinasyon ng mga legal na prinsipyo, regulasyon, at mga alternatibong mekanismo ng paglutas ng dispute (ADR). Kasama sa legal na balangkas ang Civil Code, ang Medical"&amp;" Act of 1959, at iba pang nauugnay na batas na namamahala sa medikal na kasanayan, na tinitiyak ang pananagutan at proteksyon ng pasyente. Ang mga pasyente ay may mga karapatan na ma-access ang pangangalagang pangkalusugan nang walang diskriminasyon, may "&amp;"kaalamang pahintulot, privacy, pagiging kumpidensyal, at de-kalidad na pangangalaga. Ang mga mekanismo ng ADR, na itinatag ng Alternative Dispute Resolution Act of 2004, ay nag-aalok ng mga proseso tulad ng arbitrasyon at pamamagitan upang malutas ang mga"&amp;" hindi pagkakaunawaan sa labas ng pormal na sistema ng hukuman, na nagtataguyod ng awtonomiya ng partido at mabilis na hustisya. Ang arbitrasyon, isang boluntaryong proseso na pinadali ng mga arbitrator, ay nagbibigay ng alternatibo sa paglilitis sa korte"&amp;". Kasama sa mga hakbang para sa paglutas ng mga hindi pagkakaunawaan ang bukas na komunikasyon, pamamagitan, kompromiso, at paghingi ng legal na payo kung kinakailangan.")</f>
        <v>Sa Pilipinas, ang mga medikal na hindi pagkakaunawaan ay tinutugunan sa pamamagitan ng kumbinasyon ng mga legal na prinsipyo, regulasyon, at mga alternatibong mekanismo ng paglutas ng dispute (ADR). Kasama sa legal na balangkas ang Civil Code, ang Medical Act of 1959, at iba pang nauugnay na batas na namamahala sa medikal na kasanayan, na tinitiyak ang pananagutan at proteksyon ng pasyente. Ang mga pasyente ay may mga karapatan na ma-access ang pangangalagang pangkalusugan nang walang diskriminasyon, may kaalamang pahintulot, privacy, pagiging kumpidensyal, at de-kalidad na pangangalaga. Ang mga mekanismo ng ADR, na itinatag ng Alternative Dispute Resolution Act of 2004, ay nag-aalok ng mga proseso tulad ng arbitrasyon at pamamagitan upang malutas ang mga hindi pagkakaunawaan sa labas ng pormal na sistema ng hukuman, na nagtataguyod ng awtonomiya ng partido at mabilis na hustisya. Ang arbitrasyon, isang boluntaryong proseso na pinadali ng mga arbitrator, ay nagbibigay ng alternatibo sa paglilitis sa korte. Kasama sa mga hakbang para sa paglutas ng mga hindi pagkakaunawaan ang bukas na komunikasyon, pamamagitan, kompromiso, at paghingi ng legal na payo kung kinakailangan.</v>
      </c>
      <c r="F1628" s="2">
        <f t="shared" si="1"/>
        <v>2</v>
      </c>
      <c r="G1628" s="2"/>
      <c r="H1628" s="2"/>
      <c r="I1628" s="2"/>
      <c r="J1628" s="2"/>
      <c r="K1628" s="2"/>
      <c r="L1628" s="2"/>
      <c r="M1628" s="2"/>
      <c r="N1628" s="2"/>
      <c r="O1628" s="2"/>
      <c r="P1628" s="2"/>
      <c r="Q1628" s="2"/>
      <c r="R1628" s="2"/>
      <c r="S1628" s="2"/>
      <c r="T1628" s="2"/>
      <c r="U1628" s="2"/>
      <c r="V1628" s="2"/>
      <c r="W1628" s="2"/>
      <c r="X1628" s="2"/>
      <c r="Y1628" s="2"/>
      <c r="Z1628" s="2"/>
      <c r="AA1628" s="2"/>
    </row>
    <row r="1629">
      <c r="A1629" s="1" t="s">
        <v>4337</v>
      </c>
      <c r="B1629" s="1" t="s">
        <v>4368</v>
      </c>
      <c r="C1629" s="1" t="s">
        <v>4369</v>
      </c>
      <c r="D1629" s="2" t="str">
        <f>IFERROR(__xludf.DUMMYFUNCTION("GOOGLETRANSLATE(B1629, ""en"", ""TL"")"),"Anong mga legal na probisyon ang tumutugon sa paglipat ng organ at donasyon sa Pilipinas?")</f>
        <v>Anong mga legal na probisyon ang tumutugon sa paglipat ng organ at donasyon sa Pilipinas?</v>
      </c>
      <c r="E1629" s="2" t="str">
        <f>IFERROR(__xludf.DUMMYFUNCTION("GOOGLETRANSLATE(C1629, ""en"", ""TL"")"),"Sa Pilipinas, ang mga legal na probisyon ay namamahala sa paglipat at donasyon ng organ, na pangunahing nakabalangkas sa Republic Act No. 7170, na kilala bilang Organ Donation Act of 1991. Ang batas na ito ay nagpapahintulot sa donasyon ng mga katawan o b"&amp;"ahagi ng tao pagkatapos ng kamatayan para sa mga partikular na layunin, na tumutukoy sa mga pangunahing termino tulad ng bilang organ bank storage facility, decedent, donor, at part. Tinitiyak nito na ang donasyon ng organ ay isinasagawa nang etikal at le"&amp;"gal. Bukod pa rito, pinangangasiwaan ng Philippine Organ and Tissue Donation and Transplantation Board (POTDTB) ang mga pagsisikap sa donasyon at paglipat, habang ang Administrative Order No. 2010-0019 ay nagtatatag ng isang Pambansang Programa para sa Pa"&amp;"gbabahagi ng mga Organ mula sa mga Namayapang Donor. Mayroong patuloy na pagsisikap na amyendahan ang Republic Act No. 7170 upang isulong ang isang ""opt-out"" na sistema ng donasyon at paglipat ng organ, na nagbibigay-diin sa karapatan sa kalusugan at na"&amp;"gpapakilala ng mga parusa para sa hindi pagsunod.")</f>
        <v>Sa Pilipinas, ang mga legal na probisyon ay namamahala sa paglipat at donasyon ng organ, na pangunahing nakabalangkas sa Republic Act No. 7170, na kilala bilang Organ Donation Act of 1991. Ang batas na ito ay nagpapahintulot sa donasyon ng mga katawan o bahagi ng tao pagkatapos ng kamatayan para sa mga partikular na layunin, na tumutukoy sa mga pangunahing termino tulad ng bilang organ bank storage facility, decedent, donor, at part. Tinitiyak nito na ang donasyon ng organ ay isinasagawa nang etikal at legal. Bukod pa rito, pinangangasiwaan ng Philippine Organ and Tissue Donation and Transplantation Board (POTDTB) ang mga pagsisikap sa donasyon at paglipat, habang ang Administrative Order No. 2010-0019 ay nagtatatag ng isang Pambansang Programa para sa Pagbabahagi ng mga Organ mula sa mga Namayapang Donor. Mayroong patuloy na pagsisikap na amyendahan ang Republic Act No. 7170 upang isulong ang isang "opt-out" na sistema ng donasyon at paglipat ng organ, na nagbibigay-diin sa karapatan sa kalusugan at nagpapakilala ng mga parusa para sa hindi pagsunod.</v>
      </c>
      <c r="F1629" s="2">
        <f t="shared" si="1"/>
        <v>2</v>
      </c>
      <c r="G1629" s="2"/>
      <c r="H1629" s="2"/>
      <c r="I1629" s="2"/>
      <c r="J1629" s="2"/>
      <c r="K1629" s="2"/>
      <c r="L1629" s="2"/>
      <c r="M1629" s="2"/>
      <c r="N1629" s="2"/>
      <c r="O1629" s="2"/>
      <c r="P1629" s="2"/>
      <c r="Q1629" s="2"/>
      <c r="R1629" s="2"/>
      <c r="S1629" s="2"/>
      <c r="T1629" s="2"/>
      <c r="U1629" s="2"/>
      <c r="V1629" s="2"/>
      <c r="W1629" s="2"/>
      <c r="X1629" s="2"/>
      <c r="Y1629" s="2"/>
      <c r="Z1629" s="2"/>
      <c r="AA1629" s="2"/>
    </row>
    <row r="1630">
      <c r="A1630" s="1" t="s">
        <v>4337</v>
      </c>
      <c r="B1630" s="1" t="s">
        <v>4370</v>
      </c>
      <c r="C1630" s="1" t="s">
        <v>4371</v>
      </c>
      <c r="D1630" s="2" t="str">
        <f>IFERROR(__xludf.DUMMYFUNCTION("GOOGLETRANSLATE(B1630, ""en"", ""TL"")"),"Maaari bang ma-access ng isang pasyente ang kanilang mga medikal na rekord, at anong mga legal na karapatan ang mayroon sila sa bagay na ito?")</f>
        <v>Maaari bang ma-access ng isang pasyente ang kanilang mga medikal na rekord, at anong mga legal na karapatan ang mayroon sila sa bagay na ito?</v>
      </c>
      <c r="E1630" s="2" t="str">
        <f>IFERROR(__xludf.DUMMYFUNCTION("GOOGLETRANSLATE(C1630, ""en"", ""TL"")"),"Sa Pilipinas, may karapatan ang mga pasyente na i-access ang kanilang mga medikal na rekord, na itinuturing na kumpidensyal at protektado ng mga legal na alituntunin. Pinamamahalaan ng mga batas tulad ng Data Privacy Act of 2012 at Medical Act of 1959, ti"&amp;"nitiyak ng mga regulasyong ito ang pagiging kumpidensyal ng medikal na impormasyon habang binibigyan ang mga pasyente ng karapatang ma-access ang kanilang sariling mga rekord ng kalusugan. Upang makuha ang kanilang mga medikal na rekord, ang mga pasyente "&amp;"ay karaniwang kailangang magsumite ng isang pormal na nakasulat na kahilingan sa kanilang tagapagbigay ng pangangalagang pangkalusugan. Mahalaga para sa mga pasyente na maunawaan ang kanilang mga karapatan sa ilalim ng mga batas na ito, kabilang ang kung "&amp;"paano pinoprotektahan at ginagamit ang kanilang medikal na data. Sa kaso ng anumang pagkaantala o pagtanggi sa pag-access sa mga medikal na rekord, hinihikayat ang mga pasyente na mag-follow up sa kanilang tagapagbigay ng pangangalagang pangkalusugan upan"&amp;"g malutas kaagad ang anumang mga isyu.")</f>
        <v>Sa Pilipinas, may karapatan ang mga pasyente na i-access ang kanilang mga medikal na rekord, na itinuturing na kumpidensyal at protektado ng mga legal na alituntunin. Pinamamahalaan ng mga batas tulad ng Data Privacy Act of 2012 at Medical Act of 1959, tinitiyak ng mga regulasyong ito ang pagiging kumpidensyal ng medikal na impormasyon habang binibigyan ang mga pasyente ng karapatang ma-access ang kanilang sariling mga rekord ng kalusugan. Upang makuha ang kanilang mga medikal na rekord, ang mga pasyente ay karaniwang kailangang magsumite ng isang pormal na nakasulat na kahilingan sa kanilang tagapagbigay ng pangangalagang pangkalusugan. Mahalaga para sa mga pasyente na maunawaan ang kanilang mga karapatan sa ilalim ng mga batas na ito, kabilang ang kung paano pinoprotektahan at ginagamit ang kanilang medikal na data. Sa kaso ng anumang pagkaantala o pagtanggi sa pag-access sa mga medikal na rekord, hinihikayat ang mga pasyente na mag-follow up sa kanilang tagapagbigay ng pangangalagang pangkalusugan upang malutas kaagad ang anumang mga isyu.</v>
      </c>
      <c r="F1630" s="2">
        <f t="shared" si="1"/>
        <v>0</v>
      </c>
      <c r="G1630" s="2"/>
      <c r="H1630" s="2"/>
      <c r="I1630" s="2"/>
      <c r="J1630" s="2"/>
      <c r="K1630" s="2"/>
      <c r="L1630" s="2"/>
      <c r="M1630" s="2"/>
      <c r="N1630" s="2"/>
      <c r="O1630" s="2"/>
      <c r="P1630" s="2"/>
      <c r="Q1630" s="2"/>
      <c r="R1630" s="2"/>
      <c r="S1630" s="2"/>
      <c r="T1630" s="2"/>
      <c r="U1630" s="2"/>
      <c r="V1630" s="2"/>
      <c r="W1630" s="2"/>
      <c r="X1630" s="2"/>
      <c r="Y1630" s="2"/>
      <c r="Z1630" s="2"/>
      <c r="AA1630" s="2"/>
    </row>
    <row r="1631">
      <c r="A1631" s="1" t="s">
        <v>4337</v>
      </c>
      <c r="B1631" s="1" t="s">
        <v>4372</v>
      </c>
      <c r="C1631" s="1" t="s">
        <v>4373</v>
      </c>
      <c r="D1631" s="2" t="str">
        <f>IFERROR(__xludf.DUMMYFUNCTION("GOOGLETRANSLATE(B1631, ""en"", ""TL"")"),"Anong mga legal na obligasyon ang mayroon ang mga tagapagbigay ng pangangalagang pangkalusugan sa pag-uulat ng mga nakakaalam na sakit sa mga awtoridad sa kalusugan?")</f>
        <v>Anong mga legal na obligasyon ang mayroon ang mga tagapagbigay ng pangangalagang pangkalusugan sa pag-uulat ng mga nakakaalam na sakit sa mga awtoridad sa kalusugan?</v>
      </c>
      <c r="E1631" s="2" t="str">
        <f>IFERROR(__xludf.DUMMYFUNCTION("GOOGLETRANSLATE(C1631, ""en"", ""TL"")"),"Sa Pilipinas, ang Republic Act No. 11332, na kilala rin bilang ""Mandatory Reporting of Notifiable Diseases and Health Events of Public Health Concern Act,"" ay nag-uutos sa mga tagapagbigay ng pangangalagang pangkalusugan na agad na mag-ulat ng mga mapap"&amp;"ansing sakit at pampublikong kalusugan. Ang batas na ito ay naglalayong magtatag ng isang mahusay na sistema ng pagsubaybay sa sakit upang protektahan at itaguyod ang pampublikong kalusugan. Ang lahat ng pampubliko at pribadong propesyonal sa pangangalaga"&amp;"ng pangkalusugan, pasilidad, at laboratoryo ay obligadong iulat ang mga naturang sakit at pangyayari sa Kagawaran ng Kalusugan para sa napapanahong pagtugon at mga hakbang sa pagkontrol. Ang Kagawaran ng Kalusugan at ang mga lokal na katapat nito ay may p"&amp;"ananagutan sa pagpapatupad at pagpapanatili ng sistema ng pag-uulat upang pangalagaan ang kalusugan ng publiko at pambansang seguridad.")</f>
        <v>Sa Pilipinas, ang Republic Act No. 11332, na kilala rin bilang "Mandatory Reporting of Notifiable Diseases and Health Events of Public Health Concern Act," ay nag-uutos sa mga tagapagbigay ng pangangalagang pangkalusugan na agad na mag-ulat ng mga mapapansing sakit at pampublikong kalusugan. Ang batas na ito ay naglalayong magtatag ng isang mahusay na sistema ng pagsubaybay sa sakit upang protektahan at itaguyod ang pampublikong kalusugan. Ang lahat ng pampubliko at pribadong propesyonal sa pangangalagang pangkalusugan, pasilidad, at laboratoryo ay obligadong iulat ang mga naturang sakit at pangyayari sa Kagawaran ng Kalusugan para sa napapanahong pagtugon at mga hakbang sa pagkontrol. Ang Kagawaran ng Kalusugan at ang mga lokal na katapat nito ay may pananagutan sa pagpapatupad at pagpapanatili ng sistema ng pag-uulat upang pangalagaan ang kalusugan ng publiko at pambansang seguridad.</v>
      </c>
      <c r="F1631" s="2">
        <f t="shared" si="1"/>
        <v>0</v>
      </c>
      <c r="G1631" s="2"/>
      <c r="H1631" s="2"/>
      <c r="I1631" s="2"/>
      <c r="J1631" s="2"/>
      <c r="K1631" s="2"/>
      <c r="L1631" s="2"/>
      <c r="M1631" s="2"/>
      <c r="N1631" s="2"/>
      <c r="O1631" s="2"/>
      <c r="P1631" s="2"/>
      <c r="Q1631" s="2"/>
      <c r="R1631" s="2"/>
      <c r="S1631" s="2"/>
      <c r="T1631" s="2"/>
      <c r="U1631" s="2"/>
      <c r="V1631" s="2"/>
      <c r="W1631" s="2"/>
      <c r="X1631" s="2"/>
      <c r="Y1631" s="2"/>
      <c r="Z1631" s="2"/>
      <c r="AA1631" s="2"/>
    </row>
    <row r="1632">
      <c r="A1632" s="1" t="s">
        <v>4337</v>
      </c>
      <c r="B1632" s="1" t="s">
        <v>4374</v>
      </c>
      <c r="C1632" s="1" t="s">
        <v>4375</v>
      </c>
      <c r="D1632" s="2" t="str">
        <f>IFERROR(__xludf.DUMMYFUNCTION("GOOGLETRANSLATE(B1632, ""en"", ""TL"")"),"Paano kinokontrol ng batas ang pagrereseta at pagbibigay ng mga kinokontrol na sangkap ng mga medikal na practitioner?")</f>
        <v>Paano kinokontrol ng batas ang pagrereseta at pagbibigay ng mga kinokontrol na sangkap ng mga medikal na practitioner?</v>
      </c>
      <c r="E1632" s="2" t="str">
        <f>IFERROR(__xludf.DUMMYFUNCTION("GOOGLETRANSLATE(C1632, ""en"", ""TL"")"),"Sa Pilipinas, ang regulasyon ng reseta at dispensing ng mga kinokontrol na sangkap ng mga medikal na practitioner ay nagsasangkot ng ilang pangunahing legal na probisyon. Ang Republic Act No. 10918, ang Philippine Pharmacy Act, ay nagmo-modernize at nagre"&amp;"regula ng gawi sa parmasya, na nagbibigay-diin sa papel ng mga parmasyutiko sa mga serbisyo sa pangangalagang pangkalusugan. Ang mga parmasyutiko ay may pananagutan para sa iba't ibang aktibidad, kabilang ang paghahanda, pagsasama-sama, at pagbibigay ng m"&amp;"ga produktong parmasyutiko, pagtiyak ng pagsunod sa mga pamantayan sa kalidad at kaligtasan. Ang Republic Act No. 5921, na kumokontrol sa pagsasagawa ng pharmacy, ay nagtatakda ng mga pamantayan para sa pharmaceutical education at naglalayong tiyakin ang "&amp;"kakayahan ng parmasyutiko at etikal na pag-uugali, bagama't ito ay pinawalang-bisa ng RA 10918. Board Regulation No. 1 Series of 2014 ng Dangerous Drugs Board ( Tinutukoy ng DDB) ang mga terminong nauugnay sa mga kinokontrol na substance at hindi kasama a"&amp;"ng ilang partikular na aktibidad ng dispensing ng mga awtorisadong practitioner, habang ang ibang dispensing ay dapat sumunod sa mga regulasyon. Ang mga legal na probisyon na ito ay sama-samang namamahala sa pagrereseta at pagbibigay ng mga kinokontrol na"&amp;" sangkap sa Pilipinas, na tinitiyak ang kalidad, kaligtasan, at mga pamantayang etikal sa pagsasanay sa pangangalagang pangkalusugan.")</f>
        <v>Sa Pilipinas, ang regulasyon ng reseta at dispensing ng mga kinokontrol na sangkap ng mga medikal na practitioner ay nagsasangkot ng ilang pangunahing legal na probisyon. Ang Republic Act No. 10918, ang Philippine Pharmacy Act, ay nagmo-modernize at nagreregula ng gawi sa parmasya, na nagbibigay-diin sa papel ng mga parmasyutiko sa mga serbisyo sa pangangalagang pangkalusugan. Ang mga parmasyutiko ay may pananagutan para sa iba't ibang aktibidad, kabilang ang paghahanda, pagsasama-sama, at pagbibigay ng mga produktong parmasyutiko, pagtiyak ng pagsunod sa mga pamantayan sa kalidad at kaligtasan. Ang Republic Act No. 5921, na kumokontrol sa pagsasagawa ng pharmacy, ay nagtatakda ng mga pamantayan para sa pharmaceutical education at naglalayong tiyakin ang kakayahan ng parmasyutiko at etikal na pag-uugali, bagama't ito ay pinawalang-bisa ng RA 10918. Board Regulation No. 1 Series of 2014 ng Dangerous Drugs Board ( Tinutukoy ng DDB) ang mga terminong nauugnay sa mga kinokontrol na substance at hindi kasama ang ilang partikular na aktibidad ng dispensing ng mga awtorisadong practitioner, habang ang ibang dispensing ay dapat sumunod sa mga regulasyon. Ang mga legal na probisyon na ito ay sama-samang namamahala sa pagrereseta at pagbibigay ng mga kinokontrol na sangkap sa Pilipinas, na tinitiyak ang kalidad, kaligtasan, at mga pamantayang etikal sa pagsasanay sa pangangalagang pangkalusugan.</v>
      </c>
      <c r="F1632" s="2">
        <f t="shared" si="1"/>
        <v>1</v>
      </c>
      <c r="G1632" s="2"/>
      <c r="H1632" s="2"/>
      <c r="I1632" s="2"/>
      <c r="J1632" s="2"/>
      <c r="K1632" s="2"/>
      <c r="L1632" s="2"/>
      <c r="M1632" s="2"/>
      <c r="N1632" s="2"/>
      <c r="O1632" s="2"/>
      <c r="P1632" s="2"/>
      <c r="Q1632" s="2"/>
      <c r="R1632" s="2"/>
      <c r="S1632" s="2"/>
      <c r="T1632" s="2"/>
      <c r="U1632" s="2"/>
      <c r="V1632" s="2"/>
      <c r="W1632" s="2"/>
      <c r="X1632" s="2"/>
      <c r="Y1632" s="2"/>
      <c r="Z1632" s="2"/>
      <c r="AA1632" s="2"/>
    </row>
    <row r="1633">
      <c r="A1633" s="1" t="s">
        <v>4337</v>
      </c>
      <c r="B1633" s="1" t="s">
        <v>4376</v>
      </c>
      <c r="C1633" s="1" t="s">
        <v>4377</v>
      </c>
      <c r="D1633" s="2" t="str">
        <f>IFERROR(__xludf.DUMMYFUNCTION("GOOGLETRANSLATE(B1633, ""en"", ""TL"")"),"Anong mga legal na probisyon ang namamahala sa pagsasagawa ng alternatibong gamot o tradisyonal na pagpapagaling sa Pilipinas?")</f>
        <v>Anong mga legal na probisyon ang namamahala sa pagsasagawa ng alternatibong gamot o tradisyonal na pagpapagaling sa Pilipinas?</v>
      </c>
      <c r="E1633" s="2" t="str">
        <f>IFERROR(__xludf.DUMMYFUNCTION("GOOGLETRANSLATE(C1633, ""en"", ""TL"")"),"Dahil sa lumalaking pandaigdigang pangangailangan para sa tradisyunal na gamot, unti-unting isinama ng maraming pamahalaan ang regulasyon sa kanilang mga pambansang patakaran. Ang Republic Act No. 8423, o ang ""Traditional and Alternative Medicine Act (TA"&amp;"MA) of 1997,"" ay nagsasama ng tradisyonal at alternatibong gamot sa ating pambansang sistema ng pangangalaga sa kalusugan.")</f>
        <v>Dahil sa lumalaking pandaigdigang pangangailangan para sa tradisyunal na gamot, unti-unting isinama ng maraming pamahalaan ang regulasyon sa kanilang mga pambansang patakaran. Ang Republic Act No. 8423, o ang "Traditional and Alternative Medicine Act (TAMA) of 1997," ay nagsasama ng tradisyonal at alternatibong gamot sa ating pambansang sistema ng pangangalaga sa kalusugan.</v>
      </c>
      <c r="F1633" s="2">
        <f t="shared" si="1"/>
        <v>0</v>
      </c>
      <c r="G1633" s="2"/>
      <c r="H1633" s="2"/>
      <c r="I1633" s="2"/>
      <c r="J1633" s="2"/>
      <c r="K1633" s="2"/>
      <c r="L1633" s="2"/>
      <c r="M1633" s="2"/>
      <c r="N1633" s="2"/>
      <c r="O1633" s="2"/>
      <c r="P1633" s="2"/>
      <c r="Q1633" s="2"/>
      <c r="R1633" s="2"/>
      <c r="S1633" s="2"/>
      <c r="T1633" s="2"/>
      <c r="U1633" s="2"/>
      <c r="V1633" s="2"/>
      <c r="W1633" s="2"/>
      <c r="X1633" s="2"/>
      <c r="Y1633" s="2"/>
      <c r="Z1633" s="2"/>
      <c r="AA1633" s="2"/>
    </row>
    <row r="1634">
      <c r="A1634" s="1" t="s">
        <v>4337</v>
      </c>
      <c r="B1634" s="1" t="s">
        <v>4378</v>
      </c>
      <c r="C1634" s="1" t="s">
        <v>4379</v>
      </c>
      <c r="D1634" s="2" t="str">
        <f>IFERROR(__xludf.DUMMYFUNCTION("GOOGLETRANSLATE(B1634, ""en"", ""TL"")"),"Ano ang legal na kahalagahan ng isang Do-Not-Resuscitate (DNR) order sa medikal na paggamot?")</f>
        <v>Ano ang legal na kahalagahan ng isang Do-Not-Resuscitate (DNR) order sa medikal na paggamot?</v>
      </c>
      <c r="E1634" s="2" t="str">
        <f>IFERROR(__xludf.DUMMYFUNCTION("GOOGLETRANSLATE(C1634, ""en"", ""TL"")"),"Ang utos na Do-Not-Resuscitate (DNR) ay isang legal na kinikilalang direktiba, karaniwang nilagdaan ng isang doktor sa kahilingan ng isang pasyente, na nagsasaad na ang pasyente ay hindi gustong ma-resuscitate kung sakaling magkaroon ng biglaang pag-arest"&amp;"o sa puso o respiratory failure. Nagbibigay ito ng kontrol sa mga indibidwal na may karamdaman sa wakas sa kanilang mga desisyon sa katapusan ng buhay at kadalasang tinatalakay sa panahon ng pagpasok sa pasilidad ng pangangalagang pangkalusugan. Kung wala"&amp;"ng utos ng DNR, susubukan ng mga tagapagbigay ng pangangalagang pangkalusugan ang mga hakbang na nagliligtas-buhay sa mga ganitong sitwasyon. Ang isang DNR order ay tahasang nagsasaad ng pagtanggi ng pasyente sa chest compression, intubation, cardioversio"&amp;"n, o IV na mga gamot sa panahon ng cardiac o respiratory arrest. Tinutukoy nito ang pagkakaiba sa pagitan ng mga senaryo ng respiratory at cardiac arrest, na ang una ay posibleng humahantong sa huli kung hindi ginagamot. Sa etika, ang isang wastong utos n"&amp;"g DNR ay legal na may bisa, at dapat itong igalang ng mga tagapagbigay ng pangangalagang pangkalusugan. Gayunpaman, hindi ito nagpapahiwatig ng pagtigil sa lahat ng paggamot; ang iba pang mga hakbang sa pagpapahaba ng buhay ay maaari pa ring ibigay. Sa Pi"&amp;"lipinas, tulad ng sa maraming iba pang mga bansa, ang paggalang sa DNR order ng isang pasyente ay nirerespeto ang kanilang awtonomiya at tinitiyak na ang kanilang mga kagustuhan tungkol sa resuscitation ay iginagalang.")</f>
        <v>Ang utos na Do-Not-Resuscitate (DNR) ay isang legal na kinikilalang direktiba, karaniwang nilagdaan ng isang doktor sa kahilingan ng isang pasyente, na nagsasaad na ang pasyente ay hindi gustong ma-resuscitate kung sakaling magkaroon ng biglaang pag-aresto sa puso o respiratory failure. Nagbibigay ito ng kontrol sa mga indibidwal na may karamdaman sa wakas sa kanilang mga desisyon sa katapusan ng buhay at kadalasang tinatalakay sa panahon ng pagpasok sa pasilidad ng pangangalagang pangkalusugan. Kung walang utos ng DNR, susubukan ng mga tagapagbigay ng pangangalagang pangkalusugan ang mga hakbang na nagliligtas-buhay sa mga ganitong sitwasyon. Ang isang DNR order ay tahasang nagsasaad ng pagtanggi ng pasyente sa chest compression, intubation, cardioversion, o IV na mga gamot sa panahon ng cardiac o respiratory arrest. Tinutukoy nito ang pagkakaiba sa pagitan ng mga senaryo ng respiratory at cardiac arrest, na ang una ay posibleng humahantong sa huli kung hindi ginagamot. Sa etika, ang isang wastong utos ng DNR ay legal na may bisa, at dapat itong igalang ng mga tagapagbigay ng pangangalagang pangkalusugan. Gayunpaman, hindi ito nagpapahiwatig ng pagtigil sa lahat ng paggamot; ang iba pang mga hakbang sa pagpapahaba ng buhay ay maaari pa ring ibigay. Sa Pilipinas, tulad ng sa maraming iba pang mga bansa, ang paggalang sa DNR order ng isang pasyente ay nirerespeto ang kanilang awtonomiya at tinitiyak na ang kanilang mga kagustuhan tungkol sa resuscitation ay iginagalang.</v>
      </c>
      <c r="F1634" s="2">
        <f t="shared" si="1"/>
        <v>0</v>
      </c>
      <c r="G1634" s="2"/>
      <c r="H1634" s="2"/>
      <c r="I1634" s="2"/>
      <c r="J1634" s="2"/>
      <c r="K1634" s="2"/>
      <c r="L1634" s="2"/>
      <c r="M1634" s="2"/>
      <c r="N1634" s="2"/>
      <c r="O1634" s="2"/>
      <c r="P1634" s="2"/>
      <c r="Q1634" s="2"/>
      <c r="R1634" s="2"/>
      <c r="S1634" s="2"/>
      <c r="T1634" s="2"/>
      <c r="U1634" s="2"/>
      <c r="V1634" s="2"/>
      <c r="W1634" s="2"/>
      <c r="X1634" s="2"/>
      <c r="Y1634" s="2"/>
      <c r="Z1634" s="2"/>
      <c r="AA1634" s="2"/>
    </row>
    <row r="1635">
      <c r="A1635" s="1" t="s">
        <v>4337</v>
      </c>
      <c r="B1635" s="1" t="s">
        <v>4380</v>
      </c>
      <c r="C1635" s="1" t="s">
        <v>4381</v>
      </c>
      <c r="D1635" s="2" t="str">
        <f>IFERROR(__xludf.DUMMYFUNCTION("GOOGLETRANSLATE(B1635, ""en"", ""TL"")"),"Paano kinokontrol ang mga medikal na practitioner sa mga tuntunin ng patuloy na medikal na edukasyon at propesyonal na pag-unlad?")</f>
        <v>Paano kinokontrol ang mga medikal na practitioner sa mga tuntunin ng patuloy na medikal na edukasyon at propesyonal na pag-unlad?</v>
      </c>
      <c r="E1635" s="2" t="str">
        <f>IFERROR(__xludf.DUMMYFUNCTION("GOOGLETRANSLATE(C1635, ""en"", ""TL"")"),"Sa Pilipinas, ang patuloy na edukasyong medikal (CME) at propesyonal na pag-unlad ng mga medikal na practitioner ay kinokontrol ng mga partikular na alituntunin at regulasyon. Itinatag ng Philippine Medical Association (PMA) ang Kodigo ng PMA para sa Patu"&amp;"loy na Edukasyong Medikal, na nagbabalangkas ng mga tuntunin, regulasyon, at prinsipyong may kaugnayan sa CME para sa mga manggagamot. Ang code na ito ay sumasaklaw sa mga konsepto, mga alituntunin sa akreditasyon, at ang papel ng PMA Commission on Contin"&amp;"uing Medical Education. Bukod pa rito, pinangangasiwaan ng Professional Regulation Commission (PRC) ang regulasyon ng iba't ibang propesyon, kabilang ang medisina, na tinitiyak na ang mga practitioner ay nakakatugon sa mga partikular na kinakailangan at n"&amp;"agpapanatili ng mga propesyonal na pamantayan. Ang CME ay mahalaga para sa mga doktor na manatiling updated sa mga medikal na pagsulong at pahusayin ang kanilang mga kasanayan para sa mas mahusay na pangangalaga sa pasyente. Habang ang mga regulatory body"&amp;" ay nag-uutos ng mga kredito sa CME taun-taon, ang paglahok sa propesyonal na pag-unlad sa huli ay nakasalalay sa personal na responsibilidad ng bawat manggagamot. Sa pangkalahatan, binibigyang-diin ng Pilipinas ang CME bilang integral sa medikal na kasan"&amp;"ayan, nagtataguyod ng panghabambuhay na pag-aaral at kahusayan sa pangangalagang pangkalusugan.")</f>
        <v>Sa Pilipinas, ang patuloy na edukasyong medikal (CME) at propesyonal na pag-unlad ng mga medikal na practitioner ay kinokontrol ng mga partikular na alituntunin at regulasyon. Itinatag ng Philippine Medical Association (PMA) ang Kodigo ng PMA para sa Patuloy na Edukasyong Medikal, na nagbabalangkas ng mga tuntunin, regulasyon, at prinsipyong may kaugnayan sa CME para sa mga manggagamot. Ang code na ito ay sumasaklaw sa mga konsepto, mga alituntunin sa akreditasyon, at ang papel ng PMA Commission on Continuing Medical Education. Bukod pa rito, pinangangasiwaan ng Professional Regulation Commission (PRC) ang regulasyon ng iba't ibang propesyon, kabilang ang medisina, na tinitiyak na ang mga practitioner ay nakakatugon sa mga partikular na kinakailangan at nagpapanatili ng mga propesyonal na pamantayan. Ang CME ay mahalaga para sa mga doktor na manatiling updated sa mga medikal na pagsulong at pahusayin ang kanilang mga kasanayan para sa mas mahusay na pangangalaga sa pasyente. Habang ang mga regulatory body ay nag-uutos ng mga kredito sa CME taun-taon, ang paglahok sa propesyonal na pag-unlad sa huli ay nakasalalay sa personal na responsibilidad ng bawat manggagamot. Sa pangkalahatan, binibigyang-diin ng Pilipinas ang CME bilang integral sa medikal na kasanayan, nagtataguyod ng panghabambuhay na pag-aaral at kahusayan sa pangangalagang pangkalusugan.</v>
      </c>
      <c r="F1635" s="2">
        <f t="shared" si="1"/>
        <v>0</v>
      </c>
      <c r="G1635" s="2"/>
      <c r="H1635" s="2"/>
      <c r="I1635" s="2"/>
      <c r="J1635" s="2"/>
      <c r="K1635" s="2"/>
      <c r="L1635" s="2"/>
      <c r="M1635" s="2"/>
      <c r="N1635" s="2"/>
      <c r="O1635" s="2"/>
      <c r="P1635" s="2"/>
      <c r="Q1635" s="2"/>
      <c r="R1635" s="2"/>
      <c r="S1635" s="2"/>
      <c r="T1635" s="2"/>
      <c r="U1635" s="2"/>
      <c r="V1635" s="2"/>
      <c r="W1635" s="2"/>
      <c r="X1635" s="2"/>
      <c r="Y1635" s="2"/>
      <c r="Z1635" s="2"/>
      <c r="AA1635" s="2"/>
    </row>
    <row r="1636">
      <c r="A1636" s="1" t="s">
        <v>4337</v>
      </c>
      <c r="B1636" s="1" t="s">
        <v>4382</v>
      </c>
      <c r="C1636" s="1" t="s">
        <v>4383</v>
      </c>
      <c r="D1636" s="2" t="str">
        <f>IFERROR(__xludf.DUMMYFUNCTION("GOOGLETRANSLATE(B1636, ""en"", ""TL"")"),"Anong mga legal na karapatan ang mayroon ang mga pasyente sa paghahain ng mga reklamo laban sa mga tagapagbigay ng pangangalagang pangkalusugan para sa substandard na pangangalaga?")</f>
        <v>Anong mga legal na karapatan ang mayroon ang mga pasyente sa paghahain ng mga reklamo laban sa mga tagapagbigay ng pangangalagang pangkalusugan para sa substandard na pangangalaga?</v>
      </c>
      <c r="E1636" s="2" t="str">
        <f>IFERROR(__xludf.DUMMYFUNCTION("GOOGLETRANSLATE(C1636, ""en"", ""TL"")"),"Sa Pilipinas, ang mga pasyente ay may hawak na mahahalagang legal na karapatan tungkol sa mga serbisyo sa pangangalagang pangkalusugan at paghahain ng mga reklamo laban sa substandard na pangangalaga. Kasama sa mga karapatang ito ang karapatang ma-access "&amp;"ang pangangalagang pangkalusugan nang walang diskriminasyon batay sa socioeconomic status o iba pang mga salik, ang karapatan sa may-kaalamang pahintulot na tinitiyak ang buong pag-unawa sa mga medikal na pamamaraan, mga panganib, at mga alternatibo, ang "&amp;"karapatan sa pagkapribado at pagiging kumpidensyal ng medikal na impormasyon, at ang karapatang tumanggap tinatanggap na mga medikal na pamantayan ang pulong ng pangangalaga sa kalidad. Ang mga pasyente ay dapat tratuhin nang may dignidad at paggalang, at"&amp;" ang mga tagapagbigay ng pangangalagang pangkalusugan ay obligado na magbigay ng tumpak na impormasyon at panatilihin ang pagiging kumpidensyal. Ang pagsunod sa mga karapatan at responsibilidad na ito ay mahalaga para sa paghahatid ng ligtas at de-kalidad"&amp;" na serbisyo sa pangangalagang pangkalusugan sa Pilipinas.")</f>
        <v>Sa Pilipinas, ang mga pasyente ay may hawak na mahahalagang legal na karapatan tungkol sa mga serbisyo sa pangangalagang pangkalusugan at paghahain ng mga reklamo laban sa substandard na pangangalaga. Kasama sa mga karapatang ito ang karapatang ma-access ang pangangalagang pangkalusugan nang walang diskriminasyon batay sa socioeconomic status o iba pang mga salik, ang karapatan sa may-kaalamang pahintulot na tinitiyak ang buong pag-unawa sa mga medikal na pamamaraan, mga panganib, at mga alternatibo, ang karapatan sa pagkapribado at pagiging kumpidensyal ng medikal na impormasyon, at ang karapatang tumanggap tinatanggap na mga medikal na pamantayan ang pulong ng pangangalaga sa kalidad. Ang mga pasyente ay dapat tratuhin nang may dignidad at paggalang, at ang mga tagapagbigay ng pangangalagang pangkalusugan ay obligado na magbigay ng tumpak na impormasyon at panatilihin ang pagiging kumpidensyal. Ang pagsunod sa mga karapatan at responsibilidad na ito ay mahalaga para sa paghahatid ng ligtas at de-kalidad na serbisyo sa pangangalagang pangkalusugan sa Pilipinas.</v>
      </c>
      <c r="F1636" s="2">
        <f t="shared" si="1"/>
        <v>3</v>
      </c>
      <c r="G1636" s="2"/>
      <c r="H1636" s="2"/>
      <c r="I1636" s="2"/>
      <c r="J1636" s="2"/>
      <c r="K1636" s="2"/>
      <c r="L1636" s="2"/>
      <c r="M1636" s="2"/>
      <c r="N1636" s="2"/>
      <c r="O1636" s="2"/>
      <c r="P1636" s="2"/>
      <c r="Q1636" s="2"/>
      <c r="R1636" s="2"/>
      <c r="S1636" s="2"/>
      <c r="T1636" s="2"/>
      <c r="U1636" s="2"/>
      <c r="V1636" s="2"/>
      <c r="W1636" s="2"/>
      <c r="X1636" s="2"/>
      <c r="Y1636" s="2"/>
      <c r="Z1636" s="2"/>
      <c r="AA1636" s="2"/>
    </row>
    <row r="1637">
      <c r="A1637" s="1" t="s">
        <v>4337</v>
      </c>
      <c r="B1637" s="1" t="s">
        <v>4384</v>
      </c>
      <c r="C1637" s="1" t="s">
        <v>4385</v>
      </c>
      <c r="D1637" s="2" t="str">
        <f>IFERROR(__xludf.DUMMYFUNCTION("GOOGLETRANSLATE(B1637, ""en"", ""TL"")"),"Maaari bang humiling ang isang pasyente ng pangalawang opinyon, at anong mga legal na pagsasaalang-alang ang pumapalibot sa kahilingang ito?")</f>
        <v>Maaari bang humiling ang isang pasyente ng pangalawang opinyon, at anong mga legal na pagsasaalang-alang ang pumapalibot sa kahilingang ito?</v>
      </c>
      <c r="E1637" s="2" t="str">
        <f>IFERROR(__xludf.DUMMYFUNCTION("GOOGLETRANSLATE(C1637, ""en"", ""TL"")"),"Sa Pilipinas, ang mga pasyente ay nagtataglay ng mahahalagang karapatan tungkol sa pangangalagang pangkalusugan, kabilang ang pag-access sa mga serbisyo nang walang diskriminasyon, may-kaalamang pahintulot, privacy, at de-kalidad na pangangalaga. Karagdag"&amp;"an pa, ang mga pasyente ay may karapatang humingi ng pangalawang opinyon mula sa ibang tagapagbigay ng pangangalagang pangkalusugan, na kadalasang hinihikayat at iginagalang ng mga medikal na propesyonal. Ang paghanap ng pangalawang opinyon ay nakikita bi"&amp;"lang isang paraan upang mapahusay ang pag-unawa at matalinong paggawa ng desisyon, sa halip na isang pagkasira sa relasyon ng doktor-pasyente. Sa pangkalahatan, binibigyang kapangyarihan ng mga karapatang ito ang mga pasyente na gumawa ng matalinong mga p"&amp;"agpipilian tungkol sa kanilang pangangalagang pangkalusugan.")</f>
        <v>Sa Pilipinas, ang mga pasyente ay nagtataglay ng mahahalagang karapatan tungkol sa pangangalagang pangkalusugan, kabilang ang pag-access sa mga serbisyo nang walang diskriminasyon, may-kaalamang pahintulot, privacy, at de-kalidad na pangangalaga. Karagdagan pa, ang mga pasyente ay may karapatang humingi ng pangalawang opinyon mula sa ibang tagapagbigay ng pangangalagang pangkalusugan, na kadalasang hinihikayat at iginagalang ng mga medikal na propesyonal. Ang paghanap ng pangalawang opinyon ay nakikita bilang isang paraan upang mapahusay ang pag-unawa at matalinong paggawa ng desisyon, sa halip na isang pagkasira sa relasyon ng doktor-pasyente. Sa pangkalahatan, binibigyang kapangyarihan ng mga karapatang ito ang mga pasyente na gumawa ng matalinong mga pagpipilian tungkol sa kanilang pangangalagang pangkalusugan.</v>
      </c>
      <c r="F1637" s="2">
        <f t="shared" si="1"/>
        <v>3</v>
      </c>
      <c r="G1637" s="2"/>
      <c r="H1637" s="2"/>
      <c r="I1637" s="2"/>
      <c r="J1637" s="2"/>
      <c r="K1637" s="2"/>
      <c r="L1637" s="2"/>
      <c r="M1637" s="2"/>
      <c r="N1637" s="2"/>
      <c r="O1637" s="2"/>
      <c r="P1637" s="2"/>
      <c r="Q1637" s="2"/>
      <c r="R1637" s="2"/>
      <c r="S1637" s="2"/>
      <c r="T1637" s="2"/>
      <c r="U1637" s="2"/>
      <c r="V1637" s="2"/>
      <c r="W1637" s="2"/>
      <c r="X1637" s="2"/>
      <c r="Y1637" s="2"/>
      <c r="Z1637" s="2"/>
      <c r="AA1637" s="2"/>
    </row>
    <row r="1638">
      <c r="A1638" s="1" t="s">
        <v>4337</v>
      </c>
      <c r="B1638" s="1" t="s">
        <v>4386</v>
      </c>
      <c r="C1638" s="1" t="s">
        <v>4387</v>
      </c>
      <c r="D1638" s="2" t="str">
        <f>IFERROR(__xludf.DUMMYFUNCTION("GOOGLETRANSLATE(B1638, ""en"", ""TL"")"),"Anong mga legal na proteksyon ang umiiral para sa mga medikal na practitioner na nag-uulat ng mga hindi etikal o ilegal na gawain sa loob ng kanilang mga institusyon?")</f>
        <v>Anong mga legal na proteksyon ang umiiral para sa mga medikal na practitioner na nag-uulat ng mga hindi etikal o ilegal na gawain sa loob ng kanilang mga institusyon?</v>
      </c>
      <c r="E1638" s="2" t="str">
        <f>IFERROR(__xludf.DUMMYFUNCTION("GOOGLETRANSLATE(C1638, ""en"", ""TL"")"),"Sa Pilipinas, ang mga medikal na practitioner ay may tungkulin na mag-ulat ng mga hindi etikal o ilegal na gawain sa loob ng kanilang mga institusyon upang maprotektahan ang kalusugan at kapakanan ng mga pasyente. Hinihikayat ng Kodigo ng Etika ng Samahan"&amp;"g Medikal ng Pilipinas ang mga manggagamot na ilantad ang mga ganitong gawain. Pinoprotektahan ng mga batas sa proteksyon ng whistleblower ang mga indibidwal na nag-uulat ng maling gawain mula sa paghihiganti o masamang kahihinatnan. Binibigyang-diin ng m"&amp;"ga kamakailang desisyon ng korte ang kahalagahan ng etikal na pag-uugali sa mga institusyong pangangalaga sa kalusugan. Bukod pa rito, ang mga doktor ay karaniwang protektado mula sa legal na pananagutan kapag kumikilos nang etikal sa loob ng kanilang mga"&amp;" propesyonal na responsibilidad. Ang paghikayat sa transparency at pananagutan ay mga benepisyo ng parehong mga pasyente at ang sistema ng pangangalagang pangkalusugan.")</f>
        <v>Sa Pilipinas, ang mga medikal na practitioner ay may tungkulin na mag-ulat ng mga hindi etikal o ilegal na gawain sa loob ng kanilang mga institusyon upang maprotektahan ang kalusugan at kapakanan ng mga pasyente. Hinihikayat ng Kodigo ng Etika ng Samahang Medikal ng Pilipinas ang mga manggagamot na ilantad ang mga ganitong gawain. Pinoprotektahan ng mga batas sa proteksyon ng whistleblower ang mga indibidwal na nag-uulat ng maling gawain mula sa paghihiganti o masamang kahihinatnan. Binibigyang-diin ng mga kamakailang desisyon ng korte ang kahalagahan ng etikal na pag-uugali sa mga institusyong pangangalaga sa kalusugan. Bukod pa rito, ang mga doktor ay karaniwang protektado mula sa legal na pananagutan kapag kumikilos nang etikal sa loob ng kanilang mga propesyonal na responsibilidad. Ang paghikayat sa transparency at pananagutan ay mga benepisyo ng parehong mga pasyente at ang sistema ng pangangalagang pangkalusugan.</v>
      </c>
      <c r="F1638" s="2">
        <f t="shared" si="1"/>
        <v>2</v>
      </c>
      <c r="G1638" s="2"/>
      <c r="H1638" s="2"/>
      <c r="I1638" s="2"/>
      <c r="J1638" s="2"/>
      <c r="K1638" s="2"/>
      <c r="L1638" s="2"/>
      <c r="M1638" s="2"/>
      <c r="N1638" s="2"/>
      <c r="O1638" s="2"/>
      <c r="P1638" s="2"/>
      <c r="Q1638" s="2"/>
      <c r="R1638" s="2"/>
      <c r="S1638" s="2"/>
      <c r="T1638" s="2"/>
      <c r="U1638" s="2"/>
      <c r="V1638" s="2"/>
      <c r="W1638" s="2"/>
      <c r="X1638" s="2"/>
      <c r="Y1638" s="2"/>
      <c r="Z1638" s="2"/>
      <c r="AA1638" s="2"/>
    </row>
    <row r="1639">
      <c r="A1639" s="1" t="s">
        <v>4337</v>
      </c>
      <c r="B1639" s="1" t="s">
        <v>4388</v>
      </c>
      <c r="C1639" s="1" t="s">
        <v>4389</v>
      </c>
      <c r="D1639" s="2" t="str">
        <f>IFERROR(__xludf.DUMMYFUNCTION("GOOGLETRANSLATE(B1639, ""en"", ""TL"")"),"Sa ilalim ng anong mga pangyayari ang isang medikal na practitioner ay maaaring isailalim sa aksyong pandisiplina ng Professional Regulation Commission?")</f>
        <v>Sa ilalim ng anong mga pangyayari ang isang medikal na practitioner ay maaaring isailalim sa aksyong pandisiplina ng Professional Regulation Commission?</v>
      </c>
      <c r="E1639" s="2" t="str">
        <f>IFERROR(__xludf.DUMMYFUNCTION("GOOGLETRANSLATE(C1639, ""en"", ""TL"")"),"Sa Pilipinas, maaaring harapin ng mga medikal na practitioner ang aksyong pandisiplina ng Professional Regulation Commission (PRC) para sa iba't ibang dahilan, kabilang ang medikal na malpractice, sekswal na maling pag-uugali, pagpapabaya sa pasyente, hin"&amp;"di wastong reseta ng mga gamot, pagpapatakbo sa ilalim ng tinatanggap na mga pamantayan, pag-abuso sa droga, at hindi etikal na pag-uugali. Ang PRC ay nag-iimbestiga sa mga reklamo at nagsasagawa ng mga pagdinig upang matukoy ang mga naaangkop na parusa, "&amp;"na maaaring kabilang ang pagsususpinde ng lisensya, pagbawi, multa, o iba pang mga parusa. Mahalaga para sa mga propesyonal sa pangangalagang pangkalusugan na itaguyod ang matataas na pamantayan ng pangangalaga at etika upang maiwasan ang mga ganitong kah"&amp;"ihinatnan.")</f>
        <v>Sa Pilipinas, maaaring harapin ng mga medikal na practitioner ang aksyong pandisiplina ng Professional Regulation Commission (PRC) para sa iba't ibang dahilan, kabilang ang medikal na malpractice, sekswal na maling pag-uugali, pagpapabaya sa pasyente, hindi wastong reseta ng mga gamot, pagpapatakbo sa ilalim ng tinatanggap na mga pamantayan, pag-abuso sa droga, at hindi etikal na pag-uugali. Ang PRC ay nag-iimbestiga sa mga reklamo at nagsasagawa ng mga pagdinig upang matukoy ang mga naaangkop na parusa, na maaaring kabilang ang pagsususpinde ng lisensya, pagbawi, multa, o iba pang mga parusa. Mahalaga para sa mga propesyonal sa pangangalagang pangkalusugan na itaguyod ang matataas na pamantayan ng pangangalaga at etika upang maiwasan ang mga ganitong kahihinatnan.</v>
      </c>
      <c r="F1639" s="2">
        <f t="shared" si="1"/>
        <v>0</v>
      </c>
      <c r="G1639" s="2"/>
      <c r="H1639" s="2"/>
      <c r="I1639" s="2"/>
      <c r="J1639" s="2"/>
      <c r="K1639" s="2"/>
      <c r="L1639" s="2"/>
      <c r="M1639" s="2"/>
      <c r="N1639" s="2"/>
      <c r="O1639" s="2"/>
      <c r="P1639" s="2"/>
      <c r="Q1639" s="2"/>
      <c r="R1639" s="2"/>
      <c r="S1639" s="2"/>
      <c r="T1639" s="2"/>
      <c r="U1639" s="2"/>
      <c r="V1639" s="2"/>
      <c r="W1639" s="2"/>
      <c r="X1639" s="2"/>
      <c r="Y1639" s="2"/>
      <c r="Z1639" s="2"/>
      <c r="AA1639" s="2"/>
    </row>
    <row r="1640">
      <c r="A1640" s="1" t="s">
        <v>4337</v>
      </c>
      <c r="B1640" s="1" t="s">
        <v>4390</v>
      </c>
      <c r="C1640" s="1" t="s">
        <v>4391</v>
      </c>
      <c r="D1640" s="2" t="str">
        <f>IFERROR(__xludf.DUMMYFUNCTION("GOOGLETRANSLATE(B1640, ""en"", ""TL"")"),"Paano pinapanagot ang mga medikal na practitioner para sa mga paglabag sa pagiging kumpidensyal ng pasyente?")</f>
        <v>Paano pinapanagot ang mga medikal na practitioner para sa mga paglabag sa pagiging kumpidensyal ng pasyente?</v>
      </c>
      <c r="E1640" s="2" t="str">
        <f>IFERROR(__xludf.DUMMYFUNCTION("GOOGLETRANSLATE(C1640, ""en"", ""TL"")"),"Sa Pilipinas, mananagot ang mga medikal na practitioner para sa mga paglabag sa pagiging kumpidensyal ng pasyente sa pamamagitan ng mga parusang sibil, kriminal, at administratibo, kabilang ang mga multa, mga kasong kriminal, at pagbawi ng lisensya. Upang"&amp;" maiwasan ang mga naturang paglabag, ang mga institusyong pangkalusugan ay nagpapatupad ng mga hakbang sa seguridad tulad ng mga paalala sa etika, kontrol sa pag-access, mga kontrol sa pisikal na pag-access, mga kasunduan sa hindi pagsisiwalat, at mga awt"&amp;"orisadong protocol ng pagsisiwalat. Ang mga hakbang na ito ay mahalaga para sa pagpapanatili ng tiwala sa pagitan ng mga pasyente, tagapagbigay ng pangangalagang pangkalusugan, at mga awtoridad, lalo na sa mga kritikal na sitwasyon tulad ng pandemya ng CO"&amp;"VID-19.")</f>
        <v>Sa Pilipinas, mananagot ang mga medikal na practitioner para sa mga paglabag sa pagiging kumpidensyal ng pasyente sa pamamagitan ng mga parusang sibil, kriminal, at administratibo, kabilang ang mga multa, mga kasong kriminal, at pagbawi ng lisensya. Upang maiwasan ang mga naturang paglabag, ang mga institusyong pangkalusugan ay nagpapatupad ng mga hakbang sa seguridad tulad ng mga paalala sa etika, kontrol sa pag-access, mga kontrol sa pisikal na pag-access, mga kasunduan sa hindi pagsisiwalat, at mga awtorisadong protocol ng pagsisiwalat. Ang mga hakbang na ito ay mahalaga para sa pagpapanatili ng tiwala sa pagitan ng mga pasyente, tagapagbigay ng pangangalagang pangkalusugan, at mga awtoridad, lalo na sa mga kritikal na sitwasyon tulad ng pandemya ng COVID-19.</v>
      </c>
      <c r="F1640" s="2">
        <f t="shared" si="1"/>
        <v>5</v>
      </c>
      <c r="G1640" s="2"/>
      <c r="H1640" s="2"/>
      <c r="I1640" s="2"/>
      <c r="J1640" s="2"/>
      <c r="K1640" s="2"/>
      <c r="L1640" s="2"/>
      <c r="M1640" s="2"/>
      <c r="N1640" s="2"/>
      <c r="O1640" s="2"/>
      <c r="P1640" s="2"/>
      <c r="Q1640" s="2"/>
      <c r="R1640" s="2"/>
      <c r="S1640" s="2"/>
      <c r="T1640" s="2"/>
      <c r="U1640" s="2"/>
      <c r="V1640" s="2"/>
      <c r="W1640" s="2"/>
      <c r="X1640" s="2"/>
      <c r="Y1640" s="2"/>
      <c r="Z1640" s="2"/>
      <c r="AA1640" s="2"/>
    </row>
    <row r="1641">
      <c r="A1641" s="1" t="s">
        <v>4337</v>
      </c>
      <c r="B1641" s="1" t="s">
        <v>4392</v>
      </c>
      <c r="C1641" s="1" t="s">
        <v>4393</v>
      </c>
      <c r="D1641" s="2" t="str">
        <f>IFERROR(__xludf.DUMMYFUNCTION("GOOGLETRANSLATE(B1641, ""en"", ""TL"")"),"Anong mga legal na probisyon ang tumutugon sa tungkulin at responsibilidad ng mga ekspertong medikal sa mga paglilitis sa korte?")</f>
        <v>Anong mga legal na probisyon ang tumutugon sa tungkulin at responsibilidad ng mga ekspertong medikal sa mga paglilitis sa korte?</v>
      </c>
      <c r="E1641" s="2" t="str">
        <f>IFERROR(__xludf.DUMMYFUNCTION("GOOGLETRANSLATE(C1641, ""en"", ""TL"")"),"Sa Pilipinas, ang mga paghahabla sa medikal na malpractice ay pangunahing kontrolado ng Civil Code, Medical Act of 1959, at iba pang naaangkop na mga batas at regulasyon. Tinutukoy ng mga batas na ito ang mga obligasyon at responsibilidad ng mga healthcar"&amp;"e practitioner, mga karapatan ng mga pasyente, at mga legal na remedyo sa mga kaso ng medikal na kapabayaan.")</f>
        <v>Sa Pilipinas, ang mga paghahabla sa medikal na malpractice ay pangunahing kontrolado ng Civil Code, Medical Act of 1959, at iba pang naaangkop na mga batas at regulasyon. Tinutukoy ng mga batas na ito ang mga obligasyon at responsibilidad ng mga healthcare practitioner, mga karapatan ng mga pasyente, at mga legal na remedyo sa mga kaso ng medikal na kapabayaan.</v>
      </c>
      <c r="F1641" s="2">
        <f t="shared" si="1"/>
        <v>2</v>
      </c>
      <c r="G1641" s="2"/>
      <c r="H1641" s="2"/>
      <c r="I1641" s="2"/>
      <c r="J1641" s="2"/>
      <c r="K1641" s="2"/>
      <c r="L1641" s="2"/>
      <c r="M1641" s="2"/>
      <c r="N1641" s="2"/>
      <c r="O1641" s="2"/>
      <c r="P1641" s="2"/>
      <c r="Q1641" s="2"/>
      <c r="R1641" s="2"/>
      <c r="S1641" s="2"/>
      <c r="T1641" s="2"/>
      <c r="U1641" s="2"/>
      <c r="V1641" s="2"/>
      <c r="W1641" s="2"/>
      <c r="X1641" s="2"/>
      <c r="Y1641" s="2"/>
      <c r="Z1641" s="2"/>
      <c r="AA1641" s="2"/>
    </row>
    <row r="1642">
      <c r="A1642" s="1" t="s">
        <v>4337</v>
      </c>
      <c r="B1642" s="1" t="s">
        <v>4394</v>
      </c>
      <c r="C1642" s="1" t="s">
        <v>4395</v>
      </c>
      <c r="D1642" s="2" t="str">
        <f>IFERROR(__xludf.DUMMYFUNCTION("GOOGLETRANSLATE(B1642, ""en"", ""TL"")"),"Maaari bang tumanggi ang isang pasyente na sumailalim sa mga medikal na pagsusuri, at ano ang mga legal na implikasyon para sa mga tagapagbigay ng pangangalagang pangkalusugan?")</f>
        <v>Maaari bang tumanggi ang isang pasyente na sumailalim sa mga medikal na pagsusuri, at ano ang mga legal na implikasyon para sa mga tagapagbigay ng pangangalagang pangkalusugan?</v>
      </c>
      <c r="E1642" s="2" t="str">
        <f>IFERROR(__xludf.DUMMYFUNCTION("GOOGLETRANSLATE(C1642, ""en"", ""TL"")"),"Sa Pilipinas, ang mga pasyente ay may karapatang tumanggi sa medikal na paggamot batay sa kanilang awtonomiya at personal na paniniwala. Dapat igalang ng mga tagapagbigay ng pangangalagang pangkalusugan ang mga desisyong ito, ganap na ipaalam sa mga pasye"&amp;"nte ang tungkol sa mga opsyon sa paggamot, mga panganib, at mga benepisyo, at mga pagtanggi sa dokumento sa mga rekord ng medikal. Gayunpaman, may mga pagbubukod, tulad ng sa mga kaso ng mga nakakahawang sakit o emerhensiya. Ang mga ospital ay maaaring hu"&amp;"marap sa mga parusa para sa pagtanggi sa mga pasyente nang walang tamang pagtatasa at payo. Ang mga karapatan at responsibilidad ng pasyente ay mahalaga para sa pagpapanatili ng etikal na relasyon ng doktor-pasyente.")</f>
        <v>Sa Pilipinas, ang mga pasyente ay may karapatang tumanggi sa medikal na paggamot batay sa kanilang awtonomiya at personal na paniniwala. Dapat igalang ng mga tagapagbigay ng pangangalagang pangkalusugan ang mga desisyong ito, ganap na ipaalam sa mga pasyente ang tungkol sa mga opsyon sa paggamot, mga panganib, at mga benepisyo, at mga pagtanggi sa dokumento sa mga rekord ng medikal. Gayunpaman, may mga pagbubukod, tulad ng sa mga kaso ng mga nakakahawang sakit o emerhensiya. Ang mga ospital ay maaaring humarap sa mga parusa para sa pagtanggi sa mga pasyente nang walang tamang pagtatasa at payo. Ang mga karapatan at responsibilidad ng pasyente ay mahalaga para sa pagpapanatili ng etikal na relasyon ng doktor-pasyente.</v>
      </c>
      <c r="F1642" s="2">
        <f t="shared" si="1"/>
        <v>1</v>
      </c>
      <c r="G1642" s="2"/>
      <c r="H1642" s="2"/>
      <c r="I1642" s="2"/>
      <c r="J1642" s="2"/>
      <c r="K1642" s="2"/>
      <c r="L1642" s="2"/>
      <c r="M1642" s="2"/>
      <c r="N1642" s="2"/>
      <c r="O1642" s="2"/>
      <c r="P1642" s="2"/>
      <c r="Q1642" s="2"/>
      <c r="R1642" s="2"/>
      <c r="S1642" s="2"/>
      <c r="T1642" s="2"/>
      <c r="U1642" s="2"/>
      <c r="V1642" s="2"/>
      <c r="W1642" s="2"/>
      <c r="X1642" s="2"/>
      <c r="Y1642" s="2"/>
      <c r="Z1642" s="2"/>
      <c r="AA1642" s="2"/>
    </row>
    <row r="1643">
      <c r="A1643" s="1" t="s">
        <v>4337</v>
      </c>
      <c r="B1643" s="1" t="s">
        <v>4396</v>
      </c>
      <c r="C1643" s="1" t="s">
        <v>4397</v>
      </c>
      <c r="D1643" s="2" t="str">
        <f>IFERROR(__xludf.DUMMYFUNCTION("GOOGLETRANSLATE(B1643, ""en"", ""TL"")"),"Anong mga batas ang kumokontrol sa pag-aangkat, pamamahagi, at pagbebenta ng mga kagamitang medikal sa Pilipinas?")</f>
        <v>Anong mga batas ang kumokontrol sa pag-aangkat, pamamahagi, at pagbebenta ng mga kagamitang medikal sa Pilipinas?</v>
      </c>
      <c r="E1643" s="2" t="str">
        <f>IFERROR(__xludf.DUMMYFUNCTION("GOOGLETRANSLATE(C1643, ""en"", ""TL"")"),"Ang Republic Act No. 9711, na kilala rin bilang ""Food and Drug Administration Act of 2009,"" ay malinaw na nagbabawal sa produksyon, pag-aangkat, pag-export, pagbebenta, pag-aalok para sa pagbebenta, pamamahagi, paglilipat, paggamit ng hindi pang-konsumo"&amp;", promosyon, advertising, o sponsorship. ng mga produktong pangkalusugan (kabilang ang mga medikal na kagamitan at suplay) nang walang wastong pahintulot.")</f>
        <v>Ang Republic Act No. 9711, na kilala rin bilang "Food and Drug Administration Act of 2009," ay malinaw na nagbabawal sa produksyon, pag-aangkat, pag-export, pagbebenta, pag-aalok para sa pagbebenta, pamamahagi, paglilipat, paggamit ng hindi pang-konsumo, promosyon, advertising, o sponsorship. ng mga produktong pangkalusugan (kabilang ang mga medikal na kagamitan at suplay) nang walang wastong pahintulot.</v>
      </c>
      <c r="F1643" s="2">
        <f t="shared" si="1"/>
        <v>1</v>
      </c>
      <c r="G1643" s="2"/>
      <c r="H1643" s="2"/>
      <c r="I1643" s="2"/>
      <c r="J1643" s="2"/>
      <c r="K1643" s="2"/>
      <c r="L1643" s="2"/>
      <c r="M1643" s="2"/>
      <c r="N1643" s="2"/>
      <c r="O1643" s="2"/>
      <c r="P1643" s="2"/>
      <c r="Q1643" s="2"/>
      <c r="R1643" s="2"/>
      <c r="S1643" s="2"/>
      <c r="T1643" s="2"/>
      <c r="U1643" s="2"/>
      <c r="V1643" s="2"/>
      <c r="W1643" s="2"/>
      <c r="X1643" s="2"/>
      <c r="Y1643" s="2"/>
      <c r="Z1643" s="2"/>
      <c r="AA1643" s="2"/>
    </row>
    <row r="1644">
      <c r="A1644" s="1" t="s">
        <v>4337</v>
      </c>
      <c r="B1644" s="1" t="s">
        <v>4398</v>
      </c>
      <c r="C1644" s="1" t="s">
        <v>4399</v>
      </c>
      <c r="D1644" s="2" t="str">
        <f>IFERROR(__xludf.DUMMYFUNCTION("GOOGLETRANSLATE(B1644, ""en"", ""TL"")"),"Paano tinutugunan ng batas ang isyu ng medikal na pahintulot para sa mga menor de edad na naghahanap ng mga serbisyo sa kalusugan ng reproduktibo?")</f>
        <v>Paano tinutugunan ng batas ang isyu ng medikal na pahintulot para sa mga menor de edad na naghahanap ng mga serbisyo sa kalusugan ng reproduktibo?</v>
      </c>
      <c r="E1644" s="2" t="str">
        <f>IFERROR(__xludf.DUMMYFUNCTION("GOOGLETRANSLATE(C1644, ""en"", ""TL"")"),"Sa Pilipinas, ang Responsible Parenthood and Reproductive Health (RH) Act ay tumutugon sa medikal na pahintulot para sa mga menor de edad na naghahanap ng mga serbisyo sa kalusugan ng reproduktibo. Ang mga menor de edad ay kinakailangang kumuha ng pahintu"&amp;"lot ng magulang para sa mga serbisyo sa pagpaplano ng pamilya, ngunit tinanggal ng Korte Suprema ang mga eksepsiyon para sa mga menor de edad na may mga anak na o nagkaroon ng pagkakuha. Ang pangangailangang ito ay nagdulot ng kontrobersiya, dahil ang ila"&amp;"n ay hindi makatotohanan at nagsusulong para sa komprehensibong sexuality education (CSE) upang matugunan nang epektibo ang teenage pregnancy. Sa kabila ng pagiging aktibo ng RH law mula noong 2012, ang komprehensibong edukasyon sa sekswalidad ay hindi pa"&amp;" ganap na naipapatupad sa mga paaralan. Nakatuon ang mga patuloy na talakayan sa pagbabalanse ng pangangailangan para sa pahintulot ng magulang sa pagpigil sa mga paulit-ulit na pagbubuntis at pagbibigay ng tumpak na edukasyong pangkalusugan sa sekswal.")</f>
        <v>Sa Pilipinas, ang Responsible Parenthood and Reproductive Health (RH) Act ay tumutugon sa medikal na pahintulot para sa mga menor de edad na naghahanap ng mga serbisyo sa kalusugan ng reproduktibo. Ang mga menor de edad ay kinakailangang kumuha ng pahintulot ng magulang para sa mga serbisyo sa pagpaplano ng pamilya, ngunit tinanggal ng Korte Suprema ang mga eksepsiyon para sa mga menor de edad na may mga anak na o nagkaroon ng pagkakuha. Ang pangangailangang ito ay nagdulot ng kontrobersiya, dahil ang ilan ay hindi makatotohanan at nagsusulong para sa komprehensibong sexuality education (CSE) upang matugunan nang epektibo ang teenage pregnancy. Sa kabila ng pagiging aktibo ng RH law mula noong 2012, ang komprehensibong edukasyon sa sekswalidad ay hindi pa ganap na naipapatupad sa mga paaralan. Nakatuon ang mga patuloy na talakayan sa pagbabalanse ng pangangailangan para sa pahintulot ng magulang sa pagpigil sa mga paulit-ulit na pagbubuntis at pagbibigay ng tumpak na edukasyong pangkalusugan sa sekswal.</v>
      </c>
      <c r="F1644" s="2">
        <f t="shared" si="1"/>
        <v>0</v>
      </c>
      <c r="G1644" s="2"/>
      <c r="H1644" s="2"/>
      <c r="I1644" s="2"/>
      <c r="J1644" s="2"/>
      <c r="K1644" s="2"/>
      <c r="L1644" s="2"/>
      <c r="M1644" s="2"/>
      <c r="N1644" s="2"/>
      <c r="O1644" s="2"/>
      <c r="P1644" s="2"/>
      <c r="Q1644" s="2"/>
      <c r="R1644" s="2"/>
      <c r="S1644" s="2"/>
      <c r="T1644" s="2"/>
      <c r="U1644" s="2"/>
      <c r="V1644" s="2"/>
      <c r="W1644" s="2"/>
      <c r="X1644" s="2"/>
      <c r="Y1644" s="2"/>
      <c r="Z1644" s="2"/>
      <c r="AA1644" s="2"/>
    </row>
    <row r="1645">
      <c r="A1645" s="1" t="s">
        <v>4337</v>
      </c>
      <c r="B1645" s="1" t="s">
        <v>4400</v>
      </c>
      <c r="C1645" s="1" t="s">
        <v>4401</v>
      </c>
      <c r="D1645" s="2" t="str">
        <f>IFERROR(__xludf.DUMMYFUNCTION("GOOGLETRANSLATE(B1645, ""en"", ""TL"")"),"Anong mga legal na pagsasaalang-alang ang naaangkop sa medikal na pananaliksik na kinasasangkutan ng mga paksa ng tao sa Pilipinas?")</f>
        <v>Anong mga legal na pagsasaalang-alang ang naaangkop sa medikal na pananaliksik na kinasasangkutan ng mga paksa ng tao sa Pilipinas?</v>
      </c>
      <c r="E1645" s="2" t="str">
        <f>IFERROR(__xludf.DUMMYFUNCTION("GOOGLETRANSLATE(C1645, ""en"", ""TL"")"),"Sa Pilipinas, ang medikal na pananaliksik na kinasasangkutan ng mga paksa ng tao ay kinokontrol ng mga etikal na alituntunin at legal na mga balangkas upang maprotektahan ang kapakanan ng mga kalahok. Ang 2022 National Ethical Guidelines for Research ng P"&amp;"hilippine Health Research Ethics Board (PHREB) ay nagbibigay-diin sa dignidad at mga karapatan, na nangangailangan ng mga mananaliksik na igalang ang may-kaalamang pahintulot, pagiging kumpidensyal, at privacy. Ang Philippine National Health Research Syst"&amp;"em (PNHRS) Law ay nag-uutos ng pagsunod sa mga unibersal na prinsipyo, na pinangangasiwaan ng Philippine Council for Health Research and Development (PCHRD). Ang mga mananaliksik ay dapat kumuha ng kaalamang pahintulot, humingi ng etikal na pag-apruba, at"&amp;" tiyakin ang malinaw na pag-uulat habang sumusunod sa mas malawak na pangangalagang pangkalusugan at mga medikal na batas. Ang mga hakbang na ito ay nagtataguyod ng mga pamantayang etikal at pinangangalagaan ang mga karapatan ng mga kalahok sa medikal na "&amp;"pananaliksik sa Pilipinas.")</f>
        <v>Sa Pilipinas, ang medikal na pananaliksik na kinasasangkutan ng mga paksa ng tao ay kinokontrol ng mga etikal na alituntunin at legal na mga balangkas upang maprotektahan ang kapakanan ng mga kalahok. Ang 2022 National Ethical Guidelines for Research ng Philippine Health Research Ethics Board (PHREB) ay nagbibigay-diin sa dignidad at mga karapatan, na nangangailangan ng mga mananaliksik na igalang ang may-kaalamang pahintulot, pagiging kumpidensyal, at privacy. Ang Philippine National Health Research System (PNHRS) Law ay nag-uutos ng pagsunod sa mga unibersal na prinsipyo, na pinangangasiwaan ng Philippine Council for Health Research and Development (PCHRD). Ang mga mananaliksik ay dapat kumuha ng kaalamang pahintulot, humingi ng etikal na pag-apruba, at tiyakin ang malinaw na pag-uulat habang sumusunod sa mas malawak na pangangalagang pangkalusugan at mga medikal na batas. Ang mga hakbang na ito ay nagtataguyod ng mga pamantayang etikal at pinangangalagaan ang mga karapatan ng mga kalahok sa medikal na pananaliksik sa Pilipinas.</v>
      </c>
      <c r="F1645" s="2">
        <f t="shared" si="1"/>
        <v>1</v>
      </c>
      <c r="G1645" s="2"/>
      <c r="H1645" s="2"/>
      <c r="I1645" s="2"/>
      <c r="J1645" s="2"/>
      <c r="K1645" s="2"/>
      <c r="L1645" s="2"/>
      <c r="M1645" s="2"/>
      <c r="N1645" s="2"/>
      <c r="O1645" s="2"/>
      <c r="P1645" s="2"/>
      <c r="Q1645" s="2"/>
      <c r="R1645" s="2"/>
      <c r="S1645" s="2"/>
      <c r="T1645" s="2"/>
      <c r="U1645" s="2"/>
      <c r="V1645" s="2"/>
      <c r="W1645" s="2"/>
      <c r="X1645" s="2"/>
      <c r="Y1645" s="2"/>
      <c r="Z1645" s="2"/>
      <c r="AA1645" s="2"/>
    </row>
    <row r="1646">
      <c r="A1646" s="1" t="s">
        <v>4337</v>
      </c>
      <c r="B1646" s="1" t="s">
        <v>4402</v>
      </c>
      <c r="C1646" s="1" t="s">
        <v>4403</v>
      </c>
      <c r="D1646" s="2" t="str">
        <f>IFERROR(__xludf.DUMMYFUNCTION("GOOGLETRANSLATE(B1646, ""en"", ""TL"")"),"Anong mga legal na obligasyon ang mayroon ang mga healthcare provider sa pag-abiso sa mga pasyente tungkol sa mga panganib at benepisyo ng mga medikal na paggamot?")</f>
        <v>Anong mga legal na obligasyon ang mayroon ang mga healthcare provider sa pag-abiso sa mga pasyente tungkol sa mga panganib at benepisyo ng mga medikal na paggamot?</v>
      </c>
      <c r="E1646" s="2" t="str">
        <f>IFERROR(__xludf.DUMMYFUNCTION("GOOGLETRANSLATE(C1646, ""en"", ""TL"")"),"Mga Karapatan ng Mga Tagabigay ng Pangangalagang Pangkalusugan:
Karapatang magbigay ng pangangalaga batay sa mga propesyonal na pamantayan
Ang mga healthcare practitioner ay may karapatang mag-alok ng pangangalaga alinsunod sa itinatag na mga medikal na p"&amp;"amantayan at pinakamahusay na kasanayan. Ipinahihiwatig nito na mayroon silang kalayaang gumawa ng mga klinikal na desisyon, magreseta ng naaangkop na mga therapy, at maghatid ng pangangalaga na para sa pinakamabuting interes ng kanilang mga pasyente, nan"&amp;"g walang labis na panghihimasok mula sa labas ng mga mapagkukunan. Dapat na magamit ng mga tagapagbigay ng pangangalagang pangkalusugan ang kanilang propesyonal na paghuhusga batay sa kanilang kadalubhasaan at kaalaman upang matiyak na ang mga pasyente ay"&amp;" makakatanggap ng ligtas at epektibong pangangalaga.
Karapatan sa paggalang at propesyonal na kagandahang-loob.
Ang mga pasyente, pamilya, at katrabaho ay may karapatang tratuhin ang mga tagapagbigay ng pangangalagang pangkalusugan nang may paggalang at p"&amp;"ropesyonalismo. Kabilang dito ang pagtrato sa paraang walang pagkiling, panliligalig, at karahasan. Dapat ding pahintulutan ang mga tagapagbigay ng pangangalagang pangkalusugan na gumana sa isang ligtas at kaaya-ayang kapaligiran kung saan maibibigay nila"&amp;" ang pinakamahusay na pangangalagang posible.
Mga responsibilidad ng mga tagapagbigay ng pangangalagang pangkalusugan:
Magbigay ng Ligtas at De-kalidad na Pangangalaga.
Ang mga propesyonal sa pangangalagang pangkalusugan ay may pananagutan sa pagbibigay n"&amp;"g ligtas at mataas na kalidad na pangangalaga sa kanilang mga pasyente. Kabilang dito ang pagsunod sa mga propesyonal na pamantayan, pagsunod sa mga panuntunang nakabatay sa ebidensya, at pagtatrabaho sa loob ng kanilang lugar ng karanasan at kakayahan. A"&amp;"ng mga tagapagbigay ng pangangalagang pangkalusugan ay dapat ding patuloy na i-refresh ang kanilang kaalaman at kakayahan upang magarantiya na sila ay naghahatid ng pinakamahusay na paggamot sa kanilang mga pasyente.
Igalang ang mga karapatan at awtonomiy"&amp;"a ng mga pasyente.
Ang mga healthcare practitioner ay may pananagutan sa paggalang at pagtataguyod ng mga karapatan at awtonomiya ng kanilang mga pasyente. Kabilang dito ang pagkakaroon ng kaalamang pahintulot, pagpapanatili ng privacy at pagiging kumpide"&amp;"nsyal ng mga pasyente, at paggalang sa kanilang mga kagustuhan at desisyon sa pangangalagang pangkalusugan. Ang mga tagapagbigay ng pangangalagang pangkalusugan ay dapat ding makipag-usap sa mga pasyente sa isang nakikiramay at magalang na paraan, na kina"&amp;"sasangkutan sila sa paggawa ng desisyon hanggang sa pinakamalawak na posible.
Mabisang makipag-usap sa mga pasyente.
Ang mga tagapagbigay ng pangangalagang pangkalusugan ay may pananagutan para sa epektibong pakikipag-usap sa kanilang mga pasyente. Kabila"&amp;"ng dito ang pagbibigay ng impormasyon sa mga pasyente sa isang wika at paraan na maaari nilang maunawaan, pakikinig sa kanilang mga alalahanin, at pagsagot sa kanilang mga tanong at kawalan ng katiyakan. Dapat ding bigyan ng mga healthcare practitioner an"&amp;"g mga pasyente ng malinaw na impormasyon tungkol sa mga plano sa paggamot, mga gamot, at mga hakbang sa pangangalaga sa sarili, at hikayatin silang magtanong at humingi ng paglilinaw.
Makipagtulungan sa mga kasamahan at pangkat ng pangangalagang pangkalus"&amp;"ugan.
Ang mga tagapagbigay ng pangangalagang pangkalusugan ay may pananagutan sa pakikipagtulungan sa kanilang mga kasamahan at sa pangkat ng pangangalagang pangkalusugan upang matiyak na ang mga pasyente ay makakatanggap ng maayos at kumpletong pangangal"&amp;"aga. Kabilang dito ang mabuting komunikasyon, pagpapalitan ng mahalagang impormasyon, at pakikipagtulungan upang magtatag at magpatupad ng angkop na mga diskarte sa paggamot. Upang mapabuti ang pangangalaga sa pasyente, dapat pahalagahan at kilalanin ng m"&amp;"ga tagapagbigay ng pangangalagang pangkalusugan ang mga kontribusyon ng iba pang mga propesyonal sa pangangalagang pangkalusugan, gayundin ang pagtutulungan at transdisciplinary.")</f>
        <v>Mga Karapatan ng Mga Tagabigay ng Pangangalagang Pangkalusugan:
Karapatang magbigay ng pangangalaga batay sa mga propesyonal na pamantayan
Ang mga healthcare practitioner ay may karapatang mag-alok ng pangangalaga alinsunod sa itinatag na mga medikal na pamantayan at pinakamahusay na kasanayan. Ipinahihiwatig nito na mayroon silang kalayaang gumawa ng mga klinikal na desisyon, magreseta ng naaangkop na mga therapy, at maghatid ng pangangalaga na para sa pinakamabuting interes ng kanilang mga pasyente, nang walang labis na panghihimasok mula sa labas ng mga mapagkukunan. Dapat na magamit ng mga tagapagbigay ng pangangalagang pangkalusugan ang kanilang propesyonal na paghuhusga batay sa kanilang kadalubhasaan at kaalaman upang matiyak na ang mga pasyente ay makakatanggap ng ligtas at epektibong pangangalaga.
Karapatan sa paggalang at propesyonal na kagandahang-loob.
Ang mga pasyente, pamilya, at katrabaho ay may karapatang tratuhin ang mga tagapagbigay ng pangangalagang pangkalusugan nang may paggalang at propesyonalismo. Kabilang dito ang pagtrato sa paraang walang pagkiling, panliligalig, at karahasan. Dapat ding pahintulutan ang mga tagapagbigay ng pangangalagang pangkalusugan na gumana sa isang ligtas at kaaya-ayang kapaligiran kung saan maibibigay nila ang pinakamahusay na pangangalagang posible.
Mga responsibilidad ng mga tagapagbigay ng pangangalagang pangkalusugan:
Magbigay ng Ligtas at De-kalidad na Pangangalaga.
Ang mga propesyonal sa pangangalagang pangkalusugan ay may pananagutan sa pagbibigay ng ligtas at mataas na kalidad na pangangalaga sa kanilang mga pasyente. Kabilang dito ang pagsunod sa mga propesyonal na pamantayan, pagsunod sa mga panuntunang nakabatay sa ebidensya, at pagtatrabaho sa loob ng kanilang lugar ng karanasan at kakayahan. Ang mga tagapagbigay ng pangangalagang pangkalusugan ay dapat ding patuloy na i-refresh ang kanilang kaalaman at kakayahan upang magarantiya na sila ay naghahatid ng pinakamahusay na paggamot sa kanilang mga pasyente.
Igalang ang mga karapatan at awtonomiya ng mga pasyente.
Ang mga healthcare practitioner ay may pananagutan sa paggalang at pagtataguyod ng mga karapatan at awtonomiya ng kanilang mga pasyente. Kabilang dito ang pagkakaroon ng kaalamang pahintulot, pagpapanatili ng privacy at pagiging kumpidensyal ng mga pasyente, at paggalang sa kanilang mga kagustuhan at desisyon sa pangangalagang pangkalusugan. Ang mga tagapagbigay ng pangangalagang pangkalusugan ay dapat ding makipag-usap sa mga pasyente sa isang nakikiramay at magalang na paraan, na kinasasangkutan sila sa paggawa ng desisyon hanggang sa pinakamalawak na posible.
Mabisang makipag-usap sa mga pasyente.
Ang mga tagapagbigay ng pangangalagang pangkalusugan ay may pananagutan para sa epektibong pakikipag-usap sa kanilang mga pasyente. Kabilang dito ang pagbibigay ng impormasyon sa mga pasyente sa isang wika at paraan na maaari nilang maunawaan, pakikinig sa kanilang mga alalahanin, at pagsagot sa kanilang mga tanong at kawalan ng katiyakan. Dapat ding bigyan ng mga healthcare practitioner ang mga pasyente ng malinaw na impormasyon tungkol sa mga plano sa paggamot, mga gamot, at mga hakbang sa pangangalaga sa sarili, at hikayatin silang magtanong at humingi ng paglilinaw.
Makipagtulungan sa mga kasamahan at pangkat ng pangangalagang pangkalusugan.
Ang mga tagapagbigay ng pangangalagang pangkalusugan ay may pananagutan sa pakikipagtulungan sa kanilang mga kasamahan at sa pangkat ng pangangalagang pangkalusugan upang matiyak na ang mga pasyente ay makakatanggap ng maayos at kumpletong pangangalaga. Kabilang dito ang mabuting komunikasyon, pagpapalitan ng mahalagang impormasyon, at pakikipagtulungan upang magtatag at magpatupad ng angkop na mga diskarte sa paggamot. Upang mapabuti ang pangangalaga sa pasyente, dapat pahalagahan at kilalanin ng mga tagapagbigay ng pangangalagang pangkalusugan ang mga kontribusyon ng iba pang mga propesyonal sa pangangalagang pangkalusugan, gayundin ang pagtutulungan at transdisciplinary.</v>
      </c>
      <c r="F1646" s="2">
        <f t="shared" si="1"/>
        <v>0</v>
      </c>
      <c r="G1646" s="2"/>
      <c r="H1646" s="2"/>
      <c r="I1646" s="2"/>
      <c r="J1646" s="2"/>
      <c r="K1646" s="2"/>
      <c r="L1646" s="2"/>
      <c r="M1646" s="2"/>
      <c r="N1646" s="2"/>
      <c r="O1646" s="2"/>
      <c r="P1646" s="2"/>
      <c r="Q1646" s="2"/>
      <c r="R1646" s="2"/>
      <c r="S1646" s="2"/>
      <c r="T1646" s="2"/>
      <c r="U1646" s="2"/>
      <c r="V1646" s="2"/>
      <c r="W1646" s="2"/>
      <c r="X1646" s="2"/>
      <c r="Y1646" s="2"/>
      <c r="Z1646" s="2"/>
      <c r="AA1646" s="2"/>
    </row>
    <row r="1647">
      <c r="A1647" s="1" t="s">
        <v>4337</v>
      </c>
      <c r="B1647" s="1" t="s">
        <v>4404</v>
      </c>
      <c r="C1647" s="1" t="s">
        <v>4405</v>
      </c>
      <c r="D1647" s="2" t="str">
        <f>IFERROR(__xludf.DUMMYFUNCTION("GOOGLETRANSLATE(B1647, ""en"", ""TL"")"),"Sa ilalim ng anong mga pangyayari maaaring panagutin ang isang medikal na practitioner para sa hindi pagtanggap ng may-kaalamang pahintulot?")</f>
        <v>Sa ilalim ng anong mga pangyayari maaaring panagutin ang isang medikal na practitioner para sa hindi pagtanggap ng may-kaalamang pahintulot?</v>
      </c>
      <c r="E1647" s="2" t="str">
        <f>IFERROR(__xludf.DUMMYFUNCTION("GOOGLETRANSLATE(C1647, ""en"", ""TL"")"),"1. Kapag ang pasyente ay nasa legal na edad at nasa mabuting pag-iisip:
Pinoprotektahan ng batas ang karapatan ng pasyente sa pagpapasya sa sarili, na kinabibilangan ng karapatang maabisuhan tungkol sa anumang iminungkahing operasyong medikal at ang mga p"&amp;"otensyal na panganib at benepisyo nito bago magpatuloy dito. (Mga Karapatan ng Pasyente, Kagawaran ng Kalusugan)
2. Kapag hindi emergency ang operasyon.
Sa mga sitwasyong pang-emergency, hindi kailangan ang may alam na pahintulot kung ang pasyente ay nasa"&amp;" agarang panganib ng pisikal na pinsala o kamatayan at ang pagpapaliban ng paggamot ay makakasama. (G.R. No. 234851)
3. Kapag ang impormasyong itinatago ay materyal.
Ang impormasyong ibinigay sa pasyente ay dapat na malinaw, makatotohanan, at matibay, na "&amp;"sumasaklaw sa mga paksa tulad ng likas na katangian ng operasyon, mga potensyal na panganib at masamang epekto, mga alternatibong paggamot, at ang posibilidad na magtagumpay. (Mga Karapatan ng Pasyente, Kagawaran ng Kalusugan)
Ang pinigilan na impormasyon"&amp;" ay dapat na materyal, na nangangahulugan na kung alam ito ng pasyente, magkakaroon ito ng malaking epekto sa kanilang paggawa ng desisyon.
4. Kapag napinsala ang pasyente bilang resulta:
Upang mapatunayang may pananagutan, ang isang medikal na practition"&amp;"er ay dapat na nagdulot ng pinsala sa pasyente bilang resulta ng kawalan ng kaalamang pahintulot. Ang pinsalang ito ay maaaring pisikal, emosyonal, o sikolohikal.")</f>
        <v>1. Kapag ang pasyente ay nasa legal na edad at nasa mabuting pag-iisip:
Pinoprotektahan ng batas ang karapatan ng pasyente sa pagpapasya sa sarili, na kinabibilangan ng karapatang maabisuhan tungkol sa anumang iminungkahing operasyong medikal at ang mga potensyal na panganib at benepisyo nito bago magpatuloy dito. (Mga Karapatan ng Pasyente, Kagawaran ng Kalusugan)
2. Kapag hindi emergency ang operasyon.
Sa mga sitwasyong pang-emergency, hindi kailangan ang may alam na pahintulot kung ang pasyente ay nasa agarang panganib ng pisikal na pinsala o kamatayan at ang pagpapaliban ng paggamot ay makakasama. (G.R. No. 234851)
3. Kapag ang impormasyong itinatago ay materyal.
Ang impormasyong ibinigay sa pasyente ay dapat na malinaw, makatotohanan, at matibay, na sumasaklaw sa mga paksa tulad ng likas na katangian ng operasyon, mga potensyal na panganib at masamang epekto, mga alternatibong paggamot, at ang posibilidad na magtagumpay. (Mga Karapatan ng Pasyente, Kagawaran ng Kalusugan)
Ang pinigilan na impormasyon ay dapat na materyal, na nangangahulugan na kung alam ito ng pasyente, magkakaroon ito ng malaking epekto sa kanilang paggawa ng desisyon.
4. Kapag napinsala ang pasyente bilang resulta:
Upang mapatunayang may pananagutan, ang isang medikal na practitioner ay dapat na nagdulot ng pinsala sa pasyente bilang resulta ng kawalan ng kaalamang pahintulot. Ang pinsalang ito ay maaaring pisikal, emosyonal, o sikolohikal.</v>
      </c>
      <c r="F1647" s="2">
        <f t="shared" si="1"/>
        <v>3</v>
      </c>
      <c r="G1647" s="2"/>
      <c r="H1647" s="2"/>
      <c r="I1647" s="2"/>
      <c r="J1647" s="2"/>
      <c r="K1647" s="2"/>
      <c r="L1647" s="2"/>
      <c r="M1647" s="2"/>
      <c r="N1647" s="2"/>
      <c r="O1647" s="2"/>
      <c r="P1647" s="2"/>
      <c r="Q1647" s="2"/>
      <c r="R1647" s="2"/>
      <c r="S1647" s="2"/>
      <c r="T1647" s="2"/>
      <c r="U1647" s="2"/>
      <c r="V1647" s="2"/>
      <c r="W1647" s="2"/>
      <c r="X1647" s="2"/>
      <c r="Y1647" s="2"/>
      <c r="Z1647" s="2"/>
      <c r="AA1647" s="2"/>
    </row>
    <row r="1648">
      <c r="A1648" s="1" t="s">
        <v>4337</v>
      </c>
      <c r="B1648" s="1" t="s">
        <v>4406</v>
      </c>
      <c r="C1648" s="1" t="s">
        <v>4407</v>
      </c>
      <c r="D1648" s="2" t="str">
        <f>IFERROR(__xludf.DUMMYFUNCTION("GOOGLETRANSLATE(B1648, ""en"", ""TL"")"),"Paano tinutugunan ang mga salungatan ng interes sa medikal na propesyon, partikular sa pananaliksik at pangangalaga sa pasyente?")</f>
        <v>Paano tinutugunan ang mga salungatan ng interes sa medikal na propesyon, partikular sa pananaliksik at pangangalaga sa pasyente?</v>
      </c>
      <c r="E1648" s="2" t="str">
        <f>IFERROR(__xludf.DUMMYFUNCTION("GOOGLETRANSLATE(C1648, ""en"", ""TL"")"),"Ang pamamahala sa mga salungatan ng interes (COI) ay kritikal sa larangan ng medikal sa Pilipinas para sa pagpapanatili ng tiwala ng pasyente at mga etikal na pamamaraan. Narito kung paano ito tinutugunan sa parehong pananaliksik at klinikal na pangangala"&amp;"ga:
Pangkalahatang Prinsipyo:
Transparency: Dapat ibunyag ng mga doktor ang anumang mga salungatan ng interes na maaaring makaimpluwensya sa kanilang paghatol. Maaaring may kinalaman ito sa mga pinansiyal na ugnayan sa mga korporasyong parmasyutiko, pagma"&amp;"may-ari ng kagamitang medikal, o personal na relasyon sa mga sponsor ng pananaliksik. (Kodigo ng Etika ng Samahang Medikal sa Pilipinas).
Pinakamahusay na Interes ng Pasyente: Anuman ang salungatan ng interes, ang mga desisyon sa pagsasaliksik at panganga"&amp;"laga ng pasyente ay dapat unahin ang kalusugan ng pasyente. Ang pakinabang sa pananalapi o iba pang personal na interes ay hindi dapat makaimpluwensya sa propesyonal na paghuhusga.
Mga Tukoy na Pagsukat:
Pananaliksik:
Mga Kinakailangan sa Pagbubunyag: Kap"&amp;"ag nagsusumite ng mga panukala sa pag-aaral sa mga komite ng etika o naglalathala sa mga medikal na publikasyon, ang mga mananaliksik ay dapat magsaad ng anumang mga salungatan ng interes.
Mga Blind Studies: Sa ilang mga kaso, ginagawa ang mga ""bulag na "&amp;"pag-aaral"" kung saan hindi alam ng mga mananaliksik kung saang grupo ng therapy kabilang ang isang pasyente, na nagpapababa ng bias kung ang mga mananaliksik ay may kaugnayan sa pananalapi sa isang partikular na paggamot.
Mga Lupon ng Independiyenteng Pa"&amp;"gsusuri: Sinusuri ng mga independiyenteng komite ng etika ang mga panukala sa pananaliksik upang masuri ang mga salungatan ng interes at matiyak ang mga kasanayan sa etikal na pananaliksik.
Pangangalaga sa Pasyente:
Pagbubunyag sa mga Pasyente: Dapat turu"&amp;"an ng mga doktor ang mga pasyente tungkol sa mga potensyal na salungatan ng interes at kung paano ito maaaring makaimpluwensya sa kanilang mga rekomendasyon. Ang mga pasyente ay maaaring gumawa ng matalinong mga desisyon tungkol sa kanilang mga opsyon sa "&amp;"paggamot.
Mga Sistema ng Referral: Kung ang isang doktor ay may malubhang salungatan ng interes na maaaring makapinsala sa kanilang kawalang-kinikilingan, dapat nilang i-refer ang pasyente sa ibang doktor upang maiwasan ang pagkompromiso sa pangangalaga.
"&amp;"Mga Patakaran sa Institusyon: Ang mga ospital at institusyong medikal ay madalas na may sariling mga patakaran sa COI na nagdedetalye ng mga paraan ng pagbubunyag at mga diskarte sa pamamahala.")</f>
        <v>Ang pamamahala sa mga salungatan ng interes (COI) ay kritikal sa larangan ng medikal sa Pilipinas para sa pagpapanatili ng tiwala ng pasyente at mga etikal na pamamaraan. Narito kung paano ito tinutugunan sa parehong pananaliksik at klinikal na pangangalaga:
Pangkalahatang Prinsipyo:
Transparency: Dapat ibunyag ng mga doktor ang anumang mga salungatan ng interes na maaaring makaimpluwensya sa kanilang paghatol. Maaaring may kinalaman ito sa mga pinansiyal na ugnayan sa mga korporasyong parmasyutiko, pagmamay-ari ng kagamitang medikal, o personal na relasyon sa mga sponsor ng pananaliksik. (Kodigo ng Etika ng Samahang Medikal sa Pilipinas).
Pinakamahusay na Interes ng Pasyente: Anuman ang salungatan ng interes, ang mga desisyon sa pagsasaliksik at pangangalaga ng pasyente ay dapat unahin ang kalusugan ng pasyente. Ang pakinabang sa pananalapi o iba pang personal na interes ay hindi dapat makaimpluwensya sa propesyonal na paghuhusga.
Mga Tukoy na Pagsukat:
Pananaliksik:
Mga Kinakailangan sa Pagbubunyag: Kapag nagsusumite ng mga panukala sa pag-aaral sa mga komite ng etika o naglalathala sa mga medikal na publikasyon, ang mga mananaliksik ay dapat magsaad ng anumang mga salungatan ng interes.
Mga Blind Studies: Sa ilang mga kaso, ginagawa ang mga "bulag na pag-aaral" kung saan hindi alam ng mga mananaliksik kung saang grupo ng therapy kabilang ang isang pasyente, na nagpapababa ng bias kung ang mga mananaliksik ay may kaugnayan sa pananalapi sa isang partikular na paggamot.
Mga Lupon ng Independiyenteng Pagsusuri: Sinusuri ng mga independiyenteng komite ng etika ang mga panukala sa pananaliksik upang masuri ang mga salungatan ng interes at matiyak ang mga kasanayan sa etikal na pananaliksik.
Pangangalaga sa Pasyente:
Pagbubunyag sa mga Pasyente: Dapat turuan ng mga doktor ang mga pasyente tungkol sa mga potensyal na salungatan ng interes at kung paano ito maaaring makaimpluwensya sa kanilang mga rekomendasyon. Ang mga pasyente ay maaaring gumawa ng matalinong mga desisyon tungkol sa kanilang mga opsyon sa paggamot.
Mga Sistema ng Referral: Kung ang isang doktor ay may malubhang salungatan ng interes na maaaring makapinsala sa kanilang kawalang-kinikilingan, dapat nilang i-refer ang pasyente sa ibang doktor upang maiwasan ang pagkompromiso sa pangangalaga.
Mga Patakaran sa Institusyon: Ang mga ospital at institusyong medikal ay madalas na may sariling mga patakaran sa COI na nagdedetalye ng mga paraan ng pagbubunyag at mga diskarte sa pamamahala.</v>
      </c>
      <c r="F1648" s="2">
        <f t="shared" si="1"/>
        <v>2</v>
      </c>
      <c r="G1648" s="2"/>
      <c r="H1648" s="2"/>
      <c r="I1648" s="2"/>
      <c r="J1648" s="2"/>
      <c r="K1648" s="2"/>
      <c r="L1648" s="2"/>
      <c r="M1648" s="2"/>
      <c r="N1648" s="2"/>
      <c r="O1648" s="2"/>
      <c r="P1648" s="2"/>
      <c r="Q1648" s="2"/>
      <c r="R1648" s="2"/>
      <c r="S1648" s="2"/>
      <c r="T1648" s="2"/>
      <c r="U1648" s="2"/>
      <c r="V1648" s="2"/>
      <c r="W1648" s="2"/>
      <c r="X1648" s="2"/>
      <c r="Y1648" s="2"/>
      <c r="Z1648" s="2"/>
      <c r="AA1648" s="2"/>
    </row>
    <row r="1649">
      <c r="A1649" s="1" t="s">
        <v>4337</v>
      </c>
      <c r="B1649" s="1" t="s">
        <v>4408</v>
      </c>
      <c r="C1649" s="1" t="s">
        <v>4409</v>
      </c>
      <c r="D1649" s="2" t="str">
        <f>IFERROR(__xludf.DUMMYFUNCTION("GOOGLETRANSLATE(B1649, ""en"", ""TL"")"),"Anong mga legal na probisyon ang namamahala sa paggamit ng medikal na marijuana o cannabis para sa mga layuning panggamot?")</f>
        <v>Anong mga legal na probisyon ang namamahala sa paggamit ng medikal na marijuana o cannabis para sa mga layuning panggamot?</v>
      </c>
      <c r="E1649" s="2" t="str">
        <f>IFERROR(__xludf.DUMMYFUNCTION("GOOGLETRANSLATE(C1649, ""en"", ""TL"")"),"Sa ngayon, Marso 7, 2024, ang Pilipinas ay walang mga legal na regulasyon na malinaw na naghihigpit sa paggamit ng medikal na marijuana o cannabis para sa mga layuning panggamot.
Habang ang Comprehensive Dangerous Drugs Act of 2002 (Republic Act No. 91"&amp;"65) ay tumutukoy sa cannabis bilang Schedule I narcotic, na naglilimita sa paggamit nito sa ""mga layuning medikal at siyentipiko,"" sa kasalukuyan ay walang malinaw na batas na tumutukoy sa legal na balangkas para sa pag-access o paggamit ng medicinal ca"&amp;"nnabis .
Gayunpaman, iba't ibang mga pagtatangka ang ginawa upang gawing legal ang medikal na cannabis sa Pilipinas:
Ang House Bill 180, na kilala bilang ""Philippine Compassionate Medical Cannabis Act,"" ay muling inihain para sa 2023. Ang panukala"&amp;"ng-batas na ito ay magiging legal at magkokontrol sa paggamit ng medikal na cannabis para sa mga partikular na medikal na karamdaman.
Ang House Bill 6783, na iminungkahi noong 2023, ay naglalayong puksain ang cannabis.")</f>
        <v>Sa ngayon, Marso 7, 2024, ang Pilipinas ay walang mga legal na regulasyon na malinaw na naghihigpit sa paggamit ng medikal na marijuana o cannabis para sa mga layuning panggamot.
Habang ang Comprehensive Dangerous Drugs Act of 2002 (Republic Act No. 9165) ay tumutukoy sa cannabis bilang Schedule I narcotic, na naglilimita sa paggamit nito sa "mga layuning medikal at siyentipiko," sa kasalukuyan ay walang malinaw na batas na tumutukoy sa legal na balangkas para sa pag-access o paggamit ng medicinal cannabis .
Gayunpaman, iba't ibang mga pagtatangka ang ginawa upang gawing legal ang medikal na cannabis sa Pilipinas:
Ang House Bill 180, na kilala bilang "Philippine Compassionate Medical Cannabis Act," ay muling inihain para sa 2023. Ang panukalang-batas na ito ay magiging legal at magkokontrol sa paggamit ng medikal na cannabis para sa mga partikular na medikal na karamdaman.
Ang House Bill 6783, na iminungkahi noong 2023, ay naglalayong puksain ang cannabis.</v>
      </c>
      <c r="F1649" s="2">
        <f t="shared" si="1"/>
        <v>1</v>
      </c>
      <c r="G1649" s="2"/>
      <c r="H1649" s="2"/>
      <c r="I1649" s="2"/>
      <c r="J1649" s="2"/>
      <c r="K1649" s="2"/>
      <c r="L1649" s="2"/>
      <c r="M1649" s="2"/>
      <c r="N1649" s="2"/>
      <c r="O1649" s="2"/>
      <c r="P1649" s="2"/>
      <c r="Q1649" s="2"/>
      <c r="R1649" s="2"/>
      <c r="S1649" s="2"/>
      <c r="T1649" s="2"/>
      <c r="U1649" s="2"/>
      <c r="V1649" s="2"/>
      <c r="W1649" s="2"/>
      <c r="X1649" s="2"/>
      <c r="Y1649" s="2"/>
      <c r="Z1649" s="2"/>
      <c r="AA1649" s="2"/>
    </row>
    <row r="1650">
      <c r="A1650" s="1" t="s">
        <v>4337</v>
      </c>
      <c r="B1650" s="1" t="s">
        <v>4410</v>
      </c>
      <c r="C1650" s="1" t="s">
        <v>4411</v>
      </c>
      <c r="D1650" s="2" t="str">
        <f>IFERROR(__xludf.DUMMYFUNCTION("GOOGLETRANSLATE(B1650, ""en"", ""TL"")"),"Maaari bang humiling ang isang pasyente ng kopya ng kanilang mga medikal na rekord, at anong mga legal na karapatan ang mayroon sila sa bagay na ito?")</f>
        <v>Maaari bang humiling ang isang pasyente ng kopya ng kanilang mga medikal na rekord, at anong mga legal na karapatan ang mayroon sila sa bagay na ito?</v>
      </c>
      <c r="E1650" s="2" t="str">
        <f>IFERROR(__xludf.DUMMYFUNCTION("GOOGLETRANSLATE(C1650, ""en"", ""TL"")"),"Sa Pilipinas, ang karapatang ma-access ang mga personal na rekord ng medikal ay protektado ng ilang mga batas, lalo na ang Data Privacy Act of 2012 at ang Medical Act of 1959. Pinoprotektahan ng mga panuntunang ito ang pagiging kompidensiyal at privacy ng"&amp;" mga medikal na rekord habang pinapayagan ang mga pasyente na ma-access ang kanilang sariling impormasyon sa kalusugan .")</f>
        <v>Sa Pilipinas, ang karapatang ma-access ang mga personal na rekord ng medikal ay protektado ng ilang mga batas, lalo na ang Data Privacy Act of 2012 at ang Medical Act of 1959. Pinoprotektahan ng mga panuntunang ito ang pagiging kompidensiyal at privacy ng mga medikal na rekord habang pinapayagan ang mga pasyente na ma-access ang kanilang sariling impormasyon sa kalusugan .</v>
      </c>
      <c r="F1650" s="2">
        <f t="shared" si="1"/>
        <v>1</v>
      </c>
      <c r="G1650" s="2"/>
      <c r="H1650" s="2"/>
      <c r="I1650" s="2"/>
      <c r="J1650" s="2"/>
      <c r="K1650" s="2"/>
      <c r="L1650" s="2"/>
      <c r="M1650" s="2"/>
      <c r="N1650" s="2"/>
      <c r="O1650" s="2"/>
      <c r="P1650" s="2"/>
      <c r="Q1650" s="2"/>
      <c r="R1650" s="2"/>
      <c r="S1650" s="2"/>
      <c r="T1650" s="2"/>
      <c r="U1650" s="2"/>
      <c r="V1650" s="2"/>
      <c r="W1650" s="2"/>
      <c r="X1650" s="2"/>
      <c r="Y1650" s="2"/>
      <c r="Z1650" s="2"/>
      <c r="AA1650" s="2"/>
    </row>
    <row r="1651">
      <c r="A1651" s="1" t="s">
        <v>4337</v>
      </c>
      <c r="B1651" s="1" t="s">
        <v>4412</v>
      </c>
      <c r="C1651" s="1" t="s">
        <v>4413</v>
      </c>
      <c r="D1651" s="2" t="str">
        <f>IFERROR(__xludf.DUMMYFUNCTION("GOOGLETRANSLATE(B1651, ""en"", ""TL"")"),"Paano tinutugunan ng batas ang medikal na turismo at ang paggamot sa mga dayuhang pasyente sa Pilipinas?")</f>
        <v>Paano tinutugunan ng batas ang medikal na turismo at ang paggamot sa mga dayuhang pasyente sa Pilipinas?</v>
      </c>
      <c r="E1651" s="2" t="str">
        <f>IFERROR(__xludf.DUMMYFUNCTION("GOOGLETRANSLATE(C1651, ""en"", ""TL"")"),"Mula noong 2006, isang panukalang batas ang inaprubahan sa Kongreso ng Pilipinas na nagtatag ng Medical Tourism Bureau, na nag-udyok sa bansa na simulan ang marketing ng turismo sa kalusugan. Ang unang ilang taon ay lubhang matagumpay, na nagtulak sa Pili"&amp;"pinas sa tuktok ng listahan ng industriya ng mga gustong destinasyon. Nalaman ng mga manlalakbay na pangkalusugan na bumibisita sa bansa na totoo ito, dahil sinusuportahan sila ng mga taong may mataas na kasanayan, nagsasalita ng Ingles, at sinanay sa Kan"&amp;"luran na mga medikal na tauhan sa mahigit 2,000 ospital.
Mahigit sa 313 health education institutes sa Pilipinas ang gumagawa ng mga propesyonal sa kalusugan, na may 60% hanggang 80% ay nagpapatuloy sa trabaho o pagsasanay sa ibang bansa at nakakakuha ng "&amp;"mga internasyonal na sertipiko ng medikal. Sa katunayan, ang mga Pilipino ang bumubuo sa pangalawang pinakamalaking grupo ng mga internasyonal na mag-aaral na nagtapos sa mga medikal na paaralan sa Estados Unidos. Ang ilan sa mga propesyonal na ito na umu"&amp;"uwi upang magsanay ng kanilang propesyon ay magbabalik ng pinakabagong mga teknolohiya, diskarte, at kadalubhasaan at bumuo ng kanilang sariling pang-mundo na kasanayang medikal.")</f>
        <v>Mula noong 2006, isang panukalang batas ang inaprubahan sa Kongreso ng Pilipinas na nagtatag ng Medical Tourism Bureau, na nag-udyok sa bansa na simulan ang marketing ng turismo sa kalusugan. Ang unang ilang taon ay lubhang matagumpay, na nagtulak sa Pilipinas sa tuktok ng listahan ng industriya ng mga gustong destinasyon. Nalaman ng mga manlalakbay na pangkalusugan na bumibisita sa bansa na totoo ito, dahil sinusuportahan sila ng mga taong may mataas na kasanayan, nagsasalita ng Ingles, at sinanay sa Kanluran na mga medikal na tauhan sa mahigit 2,000 ospital.
Mahigit sa 313 health education institutes sa Pilipinas ang gumagawa ng mga propesyonal sa kalusugan, na may 60% hanggang 80% ay nagpapatuloy sa trabaho o pagsasanay sa ibang bansa at nakakakuha ng mga internasyonal na sertipiko ng medikal. Sa katunayan, ang mga Pilipino ang bumubuo sa pangalawang pinakamalaking grupo ng mga internasyonal na mag-aaral na nagtapos sa mga medikal na paaralan sa Estados Unidos. Ang ilan sa mga propesyonal na ito na umuuwi upang magsanay ng kanilang propesyon ay magbabalik ng pinakabagong mga teknolohiya, diskarte, at kadalubhasaan at bumuo ng kanilang sariling pang-mundo na kasanayang medikal.</v>
      </c>
      <c r="F1651" s="2">
        <f t="shared" si="1"/>
        <v>0</v>
      </c>
      <c r="G1651" s="2"/>
      <c r="H1651" s="2"/>
      <c r="I1651" s="2"/>
      <c r="J1651" s="2"/>
      <c r="K1651" s="2"/>
      <c r="L1651" s="2"/>
      <c r="M1651" s="2"/>
      <c r="N1651" s="2"/>
      <c r="O1651" s="2"/>
      <c r="P1651" s="2"/>
      <c r="Q1651" s="2"/>
      <c r="R1651" s="2"/>
      <c r="S1651" s="2"/>
      <c r="T1651" s="2"/>
      <c r="U1651" s="2"/>
      <c r="V1651" s="2"/>
      <c r="W1651" s="2"/>
      <c r="X1651" s="2"/>
      <c r="Y1651" s="2"/>
      <c r="Z1651" s="2"/>
      <c r="AA1651" s="2"/>
    </row>
    <row r="1652">
      <c r="A1652" s="1" t="s">
        <v>4337</v>
      </c>
      <c r="B1652" s="1" t="s">
        <v>4414</v>
      </c>
      <c r="C1652" s="1" t="s">
        <v>4415</v>
      </c>
      <c r="D1652" s="2" t="str">
        <f>IFERROR(__xludf.DUMMYFUNCTION("GOOGLETRANSLATE(B1652, ""en"", ""TL"")"),"Anong mga legal na probisyon ang kumokontrol sa pagsasagawa ng mga medical ethics committee sa mga institusyong pangangalaga sa kalusugan?")</f>
        <v>Anong mga legal na probisyon ang kumokontrol sa pagsasagawa ng mga medical ethics committee sa mga institusyong pangangalaga sa kalusugan?</v>
      </c>
      <c r="E1652" s="2" t="str">
        <f>IFERROR(__xludf.DUMMYFUNCTION("GOOGLETRANSLATE(C1652, ""en"", ""TL"")"),"Ang Pilipinas ay walang iisang batas na namamahala sa mga medical ethics committee (MECs) sa mga institusyong pangangalaga sa kalusugan. Gayunpaman, maraming mga regulasyon at alituntunin ang humuhubog sa kanilang pag-iral at trabaho.
Ang Department of"&amp;" Health (DOH) ay nangangailangan ng mga functional MEC sa mga partikular na ospital at binabalangkas ang kanilang mga pangunahing tungkulin, tulad ng pagrepaso sa pananaliksik at pagtiyak ng may-kaalamang pahintulot. Bukod pa rito, ang DOH ay nagbibigay n"&amp;"g detalyadong patnubay sa komposisyon, istruktura, at mga operasyon ng MEC, na nagbibigay-diin sa mga prinsipyong etikal sa mga desisyon sa pangangalagang pangkalusugan.
Ang Philippine Medical Association (PMA) ay nagtatakda ng mga pamantayang etikal p"&amp;"ara sa mga doktor, kabilang ang mga alituntunin sa pananaliksik at may-kaalamang pahintulot. Bagama't hindi direktang tinutugunan ang mga MEC, inilalatag nito ang pundasyon para sa etikal na paggawa ng desisyon, mahalaga para sa mga aktibidad ng MEC.
A"&amp;"ng Kagawaran ng Agham at Teknolohiya (DOST) ay mayroong Philippine Health Research Ethics Board (PHREB) na kinikilala ang mga MEC, tinitiyak na mayroon silang kadalubhasaan at sumusunod sa mga prinsipyo ng etikal na pananaliksik.
Sa wakas, habang hindi"&amp;" direktang binabanggit ang mga MEC, binibigyang-diin ng ""Universal Health Care Act"" ang mga karapatan ng pasyente at may kaalamang pahintulot, na siyang mga pangunahing alalahanin para sa mga komiteng ito.
Mahalagang tandaan na ang mga partikular na "&amp;"regulasyon ay maaaring mag-iba depende sa institusyon ng pangangalagang pangkalusugan, at ang mga legal na interpretasyon at mga pagbabago sa hinaharap ay maaaring makaimpluwensya sa legal na tanawin na nakapalibot sa mga MEC sa Pilipinas.")</f>
        <v>Ang Pilipinas ay walang iisang batas na namamahala sa mga medical ethics committee (MECs) sa mga institusyong pangangalaga sa kalusugan. Gayunpaman, maraming mga regulasyon at alituntunin ang humuhubog sa kanilang pag-iral at trabaho.
Ang Department of Health (DOH) ay nangangailangan ng mga functional MEC sa mga partikular na ospital at binabalangkas ang kanilang mga pangunahing tungkulin, tulad ng pagrepaso sa pananaliksik at pagtiyak ng may-kaalamang pahintulot. Bukod pa rito, ang DOH ay nagbibigay ng detalyadong patnubay sa komposisyon, istruktura, at mga operasyon ng MEC, na nagbibigay-diin sa mga prinsipyong etikal sa mga desisyon sa pangangalagang pangkalusugan.
Ang Philippine Medical Association (PMA) ay nagtatakda ng mga pamantayang etikal para sa mga doktor, kabilang ang mga alituntunin sa pananaliksik at may-kaalamang pahintulot. Bagama't hindi direktang tinutugunan ang mga MEC, inilalatag nito ang pundasyon para sa etikal na paggawa ng desisyon, mahalaga para sa mga aktibidad ng MEC.
Ang Kagawaran ng Agham at Teknolohiya (DOST) ay mayroong Philippine Health Research Ethics Board (PHREB) na kinikilala ang mga MEC, tinitiyak na mayroon silang kadalubhasaan at sumusunod sa mga prinsipyo ng etikal na pananaliksik.
Sa wakas, habang hindi direktang binabanggit ang mga MEC, binibigyang-diin ng "Universal Health Care Act" ang mga karapatan ng pasyente at may kaalamang pahintulot, na siyang mga pangunahing alalahanin para sa mga komiteng ito.
Mahalagang tandaan na ang mga partikular na regulasyon ay maaaring mag-iba depende sa institusyon ng pangangalagang pangkalusugan, at ang mga legal na interpretasyon at mga pagbabago sa hinaharap ay maaaring makaimpluwensya sa legal na tanawin na nakapalibot sa mga MEC sa Pilipinas.</v>
      </c>
      <c r="F1652" s="2">
        <f t="shared" si="1"/>
        <v>1</v>
      </c>
      <c r="G1652" s="2"/>
      <c r="H1652" s="2"/>
      <c r="I1652" s="2"/>
      <c r="J1652" s="2"/>
      <c r="K1652" s="2"/>
      <c r="L1652" s="2"/>
      <c r="M1652" s="2"/>
      <c r="N1652" s="2"/>
      <c r="O1652" s="2"/>
      <c r="P1652" s="2"/>
      <c r="Q1652" s="2"/>
      <c r="R1652" s="2"/>
      <c r="S1652" s="2"/>
      <c r="T1652" s="2"/>
      <c r="U1652" s="2"/>
      <c r="V1652" s="2"/>
      <c r="W1652" s="2"/>
      <c r="X1652" s="2"/>
      <c r="Y1652" s="2"/>
      <c r="Z1652" s="2"/>
      <c r="AA1652" s="2"/>
    </row>
    <row r="1653">
      <c r="A1653" s="1" t="s">
        <v>4337</v>
      </c>
      <c r="B1653" s="1" t="s">
        <v>4390</v>
      </c>
      <c r="C1653" s="1" t="s">
        <v>4416</v>
      </c>
      <c r="D1653" s="2" t="str">
        <f>IFERROR(__xludf.DUMMYFUNCTION("GOOGLETRANSLATE(B1653, ""en"", ""TL"")"),"Paano pinapanagot ang mga medikal na practitioner para sa mga paglabag sa pagiging kumpidensyal ng pasyente?")</f>
        <v>Paano pinapanagot ang mga medikal na practitioner para sa mga paglabag sa pagiging kumpidensyal ng pasyente?</v>
      </c>
      <c r="E1653" s="2" t="str">
        <f>IFERROR(__xludf.DUMMYFUNCTION("GOOGLETRANSLATE(C1653, ""en"", ""TL"")"),"Ang mga medikal na propesyonal sa Pilipinas ay nahaharap sa mga kahihinatnan para sa paglabag sa pagiging kumpidensyal ng pasyente, depende sa kabigatan ng paglabag at epekto nito.
Mga Isyu sa Sibil: Maaaring magdemanda ang mga pasyente para sa mga pinsal"&amp;"a, kabilang ang emosyonal na pagkabalisa, pinsala sa reputasyon, o kahit na pagkalugi sa pananalapi kung nagdulot ng diskriminasyon o iba pang negatibong kahihinatnan ang inihayag na impormasyon.
Disciplinary Action: Ang regulatory body (PRC) ay maaaring "&amp;"magpataw ng mga parusa, mula sa mga pagsaway hanggang sa pagbawi ng lisensya, sa mga doktor na lumalabag sa Code of Professional Conduct, na kinabibilangan ng pagiging kumpidensyal.
Mga Potensyal na Pagsingil sa Kriminal: Sa ilang mga kaso, depende sa ibi"&amp;"nunyag na impormasyon at layunin, ang mga paglabag ay maaaring humantong sa mga kasong kriminal. Ang pagsisiwalat ng status ng HIV/AIDS ng pasyente nang walang pahintulot ay maaaring isang paglabag sa Anti-Discrimination Act.
Maraming aspeto ang nagpapati"&amp;"bay sa pananagutan ng mga medikal na propesyonal:
Karapatan sa Konstitusyon: Ginagarantiyahan ng Konstitusyon ng Pilipinas ang karapatan sa pagkapribado, kabilang ang pagiging kumpidensyal ng komunikasyon at pagsusulatan.
Mga Legal na Proteksyon: Kinikila"&amp;"la ng mga batas tulad ng Civil Code at Data Privacy Act ang karapatan sa privacy at pagkapribado ng impormasyon, na nag-aalok ng legal na paraan para sa mga nilabag ang privacy.
Mga Etikal na Kodigo: Parehong binibigyang-diin ng Kodigo ng Etika ng PMA at "&amp;"ng Kodigo ng Etika ng Lupon ng Medisina ang kahalagahan ng pagpapanatili ng pagiging kumpidensyal ng pasyente.")</f>
        <v>Ang mga medikal na propesyonal sa Pilipinas ay nahaharap sa mga kahihinatnan para sa paglabag sa pagiging kumpidensyal ng pasyente, depende sa kabigatan ng paglabag at epekto nito.
Mga Isyu sa Sibil: Maaaring magdemanda ang mga pasyente para sa mga pinsala, kabilang ang emosyonal na pagkabalisa, pinsala sa reputasyon, o kahit na pagkalugi sa pananalapi kung nagdulot ng diskriminasyon o iba pang negatibong kahihinatnan ang inihayag na impormasyon.
Disciplinary Action: Ang regulatory body (PRC) ay maaaring magpataw ng mga parusa, mula sa mga pagsaway hanggang sa pagbawi ng lisensya, sa mga doktor na lumalabag sa Code of Professional Conduct, na kinabibilangan ng pagiging kumpidensyal.
Mga Potensyal na Pagsingil sa Kriminal: Sa ilang mga kaso, depende sa ibinunyag na impormasyon at layunin, ang mga paglabag ay maaaring humantong sa mga kasong kriminal. Ang pagsisiwalat ng status ng HIV/AIDS ng pasyente nang walang pahintulot ay maaaring isang paglabag sa Anti-Discrimination Act.
Maraming aspeto ang nagpapatibay sa pananagutan ng mga medikal na propesyonal:
Karapatan sa Konstitusyon: Ginagarantiyahan ng Konstitusyon ng Pilipinas ang karapatan sa pagkapribado, kabilang ang pagiging kumpidensyal ng komunikasyon at pagsusulatan.
Mga Legal na Proteksyon: Kinikilala ng mga batas tulad ng Civil Code at Data Privacy Act ang karapatan sa privacy at pagkapribado ng impormasyon, na nag-aalok ng legal na paraan para sa mga nilabag ang privacy.
Mga Etikal na Kodigo: Parehong binibigyang-diin ng Kodigo ng Etika ng PMA at ng Kodigo ng Etika ng Lupon ng Medisina ang kahalagahan ng pagpapanatili ng pagiging kumpidensyal ng pasyente.</v>
      </c>
      <c r="F1653" s="2">
        <f t="shared" si="1"/>
        <v>4</v>
      </c>
      <c r="G1653" s="2"/>
      <c r="H1653" s="2"/>
      <c r="I1653" s="2"/>
      <c r="J1653" s="2"/>
      <c r="K1653" s="2"/>
      <c r="L1653" s="2"/>
      <c r="M1653" s="2"/>
      <c r="N1653" s="2"/>
      <c r="O1653" s="2"/>
      <c r="P1653" s="2"/>
      <c r="Q1653" s="2"/>
      <c r="R1653" s="2"/>
      <c r="S1653" s="2"/>
      <c r="T1653" s="2"/>
      <c r="U1653" s="2"/>
      <c r="V1653" s="2"/>
      <c r="W1653" s="2"/>
      <c r="X1653" s="2"/>
      <c r="Y1653" s="2"/>
      <c r="Z1653" s="2"/>
      <c r="AA1653" s="2"/>
    </row>
    <row r="1654">
      <c r="A1654" s="1" t="s">
        <v>4337</v>
      </c>
      <c r="B1654" s="1" t="s">
        <v>4417</v>
      </c>
      <c r="C1654" s="1" t="s">
        <v>4418</v>
      </c>
      <c r="D1654" s="2" t="str">
        <f>IFERROR(__xludf.DUMMYFUNCTION("GOOGLETRANSLATE(B1654, ""en"", ""TL"")"),"Anong mga legal na karapatan ang mayroon ang mga pasyente sa pagkuha ng pangalawang opinyon mula sa ibang medikal na propesyonal?")</f>
        <v>Anong mga legal na karapatan ang mayroon ang mga pasyente sa pagkuha ng pangalawang opinyon mula sa ibang medikal na propesyonal?</v>
      </c>
      <c r="E1654" s="2" t="str">
        <f>IFERROR(__xludf.DUMMYFUNCTION("GOOGLETRANSLATE(C1654, ""en"", ""TL"")"),"Mahigpit na sinusuportahan ng batas ng Pilipinas ang iyong karapatang humingi ng pangalawang opinyon mula sa ibang doktor. Narito kung bakit:
Kalayaan na Pumili: Mayroon kang legal na karapatang pumili ng iyong tagapagbigay ng pangangalagang pangkalusuga"&amp;"n, kabilang ang pagkonsulta sa ibang doktor para sa pangalawang opinyon. (DOH)
Paggawa ng Iyong Sariling mga Desisyon: May karapatan kang gumawa ng matalinong mga pagpipilian tungkol sa iyong pangangalagang pangkalusugan. Ang pangalawang opinyon ay nagbib"&amp;"igay-daan sa iyo na ihambing ang mga opsyon sa paggamot at mangalap ng higit pang impormasyon bago magpasya. (DOH)
May Kaalaman na Pahintulot: Upang magbigay ng wastong pahintulot para sa paggamot, kailangan mong maunawaan ang iyong kondisyon, mga posible"&amp;"ng paggamot, at ang kanilang mga panganib at benepisyo. Ang pangalawang opinyon ay makakatulong sa iyo na magkaroon ng mas malinaw na pag-unawa.
Narito kung paano pinoprotektahan ang karapatang ito:
Hindi ka maaaring pigilan ng mga doktor: Hindi maaaring"&amp;" pigilan ng mga doktor ang iyong mga medikal na rekord o ipilit kang iwasang humingi ng pangalawang opinyon. Dapat ding igalang ng mga ospital at klinika ang iyong karapatan.
Magbabayad ka para sa dagdag na konsulta: Bagama't may karapatan ka sa pangalawa"&amp;"ng opinyon, karaniwan mong pananagutan ang mga gastos na nauugnay sa pagpapatingin sa ibang doktor.")</f>
        <v>Mahigpit na sinusuportahan ng batas ng Pilipinas ang iyong karapatang humingi ng pangalawang opinyon mula sa ibang doktor. Narito kung bakit:
Kalayaan na Pumili: Mayroon kang legal na karapatang pumili ng iyong tagapagbigay ng pangangalagang pangkalusugan, kabilang ang pagkonsulta sa ibang doktor para sa pangalawang opinyon. (DOH)
Paggawa ng Iyong Sariling mga Desisyon: May karapatan kang gumawa ng matalinong mga pagpipilian tungkol sa iyong pangangalagang pangkalusugan. Ang pangalawang opinyon ay nagbibigay-daan sa iyo na ihambing ang mga opsyon sa paggamot at mangalap ng higit pang impormasyon bago magpasya. (DOH)
May Kaalaman na Pahintulot: Upang magbigay ng wastong pahintulot para sa paggamot, kailangan mong maunawaan ang iyong kondisyon, mga posibleng paggamot, at ang kanilang mga panganib at benepisyo. Ang pangalawang opinyon ay makakatulong sa iyo na magkaroon ng mas malinaw na pag-unawa.
Narito kung paano pinoprotektahan ang karapatang ito:
Hindi ka maaaring pigilan ng mga doktor: Hindi maaaring pigilan ng mga doktor ang iyong mga medikal na rekord o ipilit kang iwasang humingi ng pangalawang opinyon. Dapat ding igalang ng mga ospital at klinika ang iyong karapatan.
Magbabayad ka para sa dagdag na konsulta: Bagama't may karapatan ka sa pangalawang opinyon, karaniwan mong pananagutan ang mga gastos na nauugnay sa pagpapatingin sa ibang doktor.</v>
      </c>
      <c r="F1654" s="2">
        <f t="shared" si="1"/>
        <v>0</v>
      </c>
      <c r="G1654" s="2"/>
      <c r="H1654" s="2"/>
      <c r="I1654" s="2"/>
      <c r="J1654" s="2"/>
      <c r="K1654" s="2"/>
      <c r="L1654" s="2"/>
      <c r="M1654" s="2"/>
      <c r="N1654" s="2"/>
      <c r="O1654" s="2"/>
      <c r="P1654" s="2"/>
      <c r="Q1654" s="2"/>
      <c r="R1654" s="2"/>
      <c r="S1654" s="2"/>
      <c r="T1654" s="2"/>
      <c r="U1654" s="2"/>
      <c r="V1654" s="2"/>
      <c r="W1654" s="2"/>
      <c r="X1654" s="2"/>
      <c r="Y1654" s="2"/>
      <c r="Z1654" s="2"/>
      <c r="AA1654" s="2"/>
    </row>
    <row r="1655">
      <c r="A1655" s="1" t="s">
        <v>4337</v>
      </c>
      <c r="B1655" s="1" t="s">
        <v>4362</v>
      </c>
      <c r="C1655" s="1" t="s">
        <v>4419</v>
      </c>
      <c r="D1655" s="2" t="str">
        <f>IFERROR(__xludf.DUMMYFUNCTION("GOOGLETRANSLATE(B1655, ""en"", ""TL"")"),"Sa ilalim ng anong mga kalagayan maaaring managot ng kriminal ang isang medikal na practitioner para sa kapabayaan o malpractice?")</f>
        <v>Sa ilalim ng anong mga kalagayan maaaring managot ng kriminal ang isang medikal na practitioner para sa kapabayaan o malpractice?</v>
      </c>
      <c r="E1655" s="2" t="str">
        <f>IFERROR(__xludf.DUMMYFUNCTION("GOOGLETRANSLATE(C1655, ""en"", ""TL"")"),"Sa Pilipinas, mahirap patunayan ang criminal negligence laban sa isang medikal na propesyonal. Upang magtagumpay, kailangan mong ipakita ang:
Ang doktor ay lumihis mula sa karaniwang pangangalaga: Nangangahulugan ito na nagkamali sila ng isang kwalipik"&amp;"adong doktor na hindi magkakaroon ng katulad na sitwasyon. Ang mga ekspertong saksi ay madalas na tumutulong sa pagtatatag nito.
Ang kanilang kapabayaan ay direktang nagdulot ng pinsala: Dapat mong patunayan, nang walang makatwirang pagdududa, na ang pag"&amp;"kakamali ng doktor ay direktang humantong sa iyong pinsala o kamatayan. Ang pasanin ng patunay na ito ay mas mataas kaysa sa mga kasong sibil.
Nalalapat ang isang partikular na krimen: Depende sa kalubhaan ng pinsala, ang mga potensyal na singil ay kinab"&amp;"ibilangan ng pagdudulot ng mga pisikal na pinsala o kahit homicide sa pamamagitan ng kawalang-ingat, o palsipikasyon ng mga medikal na rekord upang pagtakpan ang kapabayaan.
Habang binabalangkas ng 1959 Medical Malpractice Act ang mga parusa para sa malp"&amp;"ractice, hindi ito puro kriminal. Mahalagang tandaan ang pagkakaiba sa pagitan ng mga kasong sibil at kriminal. Ang mga kasong sibil, na may mas mababang pasanin ng patunay, ay naglalayon ng kabayaran, habang ang mga kasong kriminal ay humihingi ng kaparu"&amp;"sahan.")</f>
        <v>Sa Pilipinas, mahirap patunayan ang criminal negligence laban sa isang medikal na propesyonal. Upang magtagumpay, kailangan mong ipakita ang:
Ang doktor ay lumihis mula sa karaniwang pangangalaga: Nangangahulugan ito na nagkamali sila ng isang kwalipikadong doktor na hindi magkakaroon ng katulad na sitwasyon. Ang mga ekspertong saksi ay madalas na tumutulong sa pagtatatag nito.
Ang kanilang kapabayaan ay direktang nagdulot ng pinsala: Dapat mong patunayan, nang walang makatwirang pagdududa, na ang pagkakamali ng doktor ay direktang humantong sa iyong pinsala o kamatayan. Ang pasanin ng patunay na ito ay mas mataas kaysa sa mga kasong sibil.
Nalalapat ang isang partikular na krimen: Depende sa kalubhaan ng pinsala, ang mga potensyal na singil ay kinabibilangan ng pagdudulot ng mga pisikal na pinsala o kahit homicide sa pamamagitan ng kawalang-ingat, o palsipikasyon ng mga medikal na rekord upang pagtakpan ang kapabayaan.
Habang binabalangkas ng 1959 Medical Malpractice Act ang mga parusa para sa malpractice, hindi ito puro kriminal. Mahalagang tandaan ang pagkakaiba sa pagitan ng mga kasong sibil at kriminal. Ang mga kasong sibil, na may mas mababang pasanin ng patunay, ay naglalayon ng kabayaran, habang ang mga kasong kriminal ay humihingi ng kaparusahan.</v>
      </c>
      <c r="F1655" s="2">
        <f t="shared" si="1"/>
        <v>4</v>
      </c>
      <c r="G1655" s="2"/>
      <c r="H1655" s="2"/>
      <c r="I1655" s="2"/>
      <c r="J1655" s="2"/>
      <c r="K1655" s="2"/>
      <c r="L1655" s="2"/>
      <c r="M1655" s="2"/>
      <c r="N1655" s="2"/>
      <c r="O1655" s="2"/>
      <c r="P1655" s="2"/>
      <c r="Q1655" s="2"/>
      <c r="R1655" s="2"/>
      <c r="S1655" s="2"/>
      <c r="T1655" s="2"/>
      <c r="U1655" s="2"/>
      <c r="V1655" s="2"/>
      <c r="W1655" s="2"/>
      <c r="X1655" s="2"/>
      <c r="Y1655" s="2"/>
      <c r="Z1655" s="2"/>
      <c r="AA1655" s="2"/>
    </row>
    <row r="1656">
      <c r="A1656" s="1" t="s">
        <v>4337</v>
      </c>
      <c r="B1656" s="1" t="s">
        <v>4420</v>
      </c>
      <c r="C1656" s="1" t="s">
        <v>4421</v>
      </c>
      <c r="D1656" s="2" t="str">
        <f>IFERROR(__xludf.DUMMYFUNCTION("GOOGLETRANSLATE(B1656, ""en"", ""TL"")"),"Maaari bang tanggihan ng mga tagapagbigay ng pangangalagang pangkalusugan ang paggamot batay sa hindi pagsunod ng pasyente sa mga iniresetang medikal na regimen?")</f>
        <v>Maaari bang tanggihan ng mga tagapagbigay ng pangangalagang pangkalusugan ang paggamot batay sa hindi pagsunod ng pasyente sa mga iniresetang medikal na regimen?</v>
      </c>
      <c r="E1656" s="2" t="str">
        <f>IFERROR(__xludf.DUMMYFUNCTION("GOOGLETRANSLATE(C1656, ""en"", ""TL"")"),"Karapatang tumanggi sa paggamot.
Ang mga pasyente ay may kalayaang tumanggi sa medikal na paggamot, maliban sa mga pagkakataong ito ay pinahihintulutan ng batas. Nangangahulugan ito na ang mga pasyente ay may karapatang gumawa ng kanilang sariling mga des"&amp;"isyon sa pangangalagang pangkalusugan at maaaring tumanggi sa mga paggamot na hindi nila gusto o sumasalungat sa kanilang mga personal na pananaw o halaga. Gayunpaman, may ilang limitasyon sa karapatang ito, tulad ng kapag ang kondisyon ng pasyente ay nag"&amp;"babanta sa buhay o kapag ang pagtanggi sa paggamot ay magdudulot ng pinsala sa iba. Dapat igalang at suriin ng mga healthcare practitioner ang desisyon ng pasyente, gayundin ang magbigay ng sapat na impormasyon at tulong upang tulungan ang mga pasyente sa"&amp;" paggawa ng mga desisyon sa pangangalagang pangkalusugan.")</f>
        <v>Karapatang tumanggi sa paggamot.
Ang mga pasyente ay may kalayaang tumanggi sa medikal na paggamot, maliban sa mga pagkakataong ito ay pinahihintulutan ng batas. Nangangahulugan ito na ang mga pasyente ay may karapatang gumawa ng kanilang sariling mga desisyon sa pangangalagang pangkalusugan at maaaring tumanggi sa mga paggamot na hindi nila gusto o sumasalungat sa kanilang mga personal na pananaw o halaga. Gayunpaman, may ilang limitasyon sa karapatang ito, tulad ng kapag ang kondisyon ng pasyente ay nagbabanta sa buhay o kapag ang pagtanggi sa paggamot ay magdudulot ng pinsala sa iba. Dapat igalang at suriin ng mga healthcare practitioner ang desisyon ng pasyente, gayundin ang magbigay ng sapat na impormasyon at tulong upang tulungan ang mga pasyente sa paggawa ng mga desisyon sa pangangalagang pangkalusugan.</v>
      </c>
      <c r="F1656" s="2">
        <f t="shared" si="1"/>
        <v>0</v>
      </c>
      <c r="G1656" s="2"/>
      <c r="H1656" s="2"/>
      <c r="I1656" s="2"/>
      <c r="J1656" s="2"/>
      <c r="K1656" s="2"/>
      <c r="L1656" s="2"/>
      <c r="M1656" s="2"/>
      <c r="N1656" s="2"/>
      <c r="O1656" s="2"/>
      <c r="P1656" s="2"/>
      <c r="Q1656" s="2"/>
      <c r="R1656" s="2"/>
      <c r="S1656" s="2"/>
      <c r="T1656" s="2"/>
      <c r="U1656" s="2"/>
      <c r="V1656" s="2"/>
      <c r="W1656" s="2"/>
      <c r="X1656" s="2"/>
      <c r="Y1656" s="2"/>
      <c r="Z1656" s="2"/>
      <c r="AA1656" s="2"/>
    </row>
    <row r="1657">
      <c r="A1657" s="1" t="s">
        <v>4337</v>
      </c>
      <c r="B1657" s="1" t="s">
        <v>4360</v>
      </c>
      <c r="C1657" s="1" t="s">
        <v>4422</v>
      </c>
      <c r="D1657" s="2" t="str">
        <f>IFERROR(__xludf.DUMMYFUNCTION("GOOGLETRANSLATE(B1657, ""en"", ""TL"")"),"Anong mga legal na proteksyon ang umiiral para sa mga tagapagbigay ng pangangalagang pangkalusugan na nagbibigay ng emerhensiyang tulong medikal nang may mabuting loob?")</f>
        <v>Anong mga legal na proteksyon ang umiiral para sa mga tagapagbigay ng pangangalagang pangkalusugan na nagbibigay ng emerhensiyang tulong medikal nang may mabuting loob?</v>
      </c>
      <c r="E1657" s="2" t="str">
        <f>IFERROR(__xludf.DUMMYFUNCTION("GOOGLETRANSLATE(C1657, ""en"", ""TL"")"),"Sa Pilipinas, pinoprotektahan ng ilang legal na probisyon ang mga tagapagbigay ng pangangalagang pangkalusugan na nag-aalok ng emerhensiyang tulong medikal nang may mabuting loob:
1. RA 11712: Kinikilala ng batas na ito ng 2022 ang kahalagahan ng mga m"&amp;"anggagawa sa pangangalagang pangkalusugan sa panahon ng mga emerhensiya sa pampublikong kalusugan at nag-aalok sa kanila ng mga mandatoryong benepisyo at allowance.
2. Kodigo sa Kalusugan at Kaligtasan § 1799.106: Pinoprotektahan ng seksyong ito ang mg"&amp;"a indibidwal tulad ng mga doktor, nars, at mga tagatugon sa emerhensiya mula sa pananagutan para sa mga aksyong ginawa nang may mabuting loob habang nagbibigay ng mga serbisyong medikal na pang-emergency.
3. RA 6615: Ang batas na ito ay nag-uutos sa la"&amp;"hat ng mga lisensyadong ospital at klinika na magbigay ng agarang emerhensiyang tulong medikal sa mga pasyente sa mga kritikal na sitwasyon.
4. Philippine Medical Association Code of Ethics: Binibigyang-diin ng code na ito ang kahalagahan ng mabuting p"&amp;"ananampalataya at katapatan sa medikal na kasanayan, kabilang ang paggalang sa mga karapatan ng pasyente tungkol sa mga desisyon sa paggamot.")</f>
        <v>Sa Pilipinas, pinoprotektahan ng ilang legal na probisyon ang mga tagapagbigay ng pangangalagang pangkalusugan na nag-aalok ng emerhensiyang tulong medikal nang may mabuting loob:
1. RA 11712: Kinikilala ng batas na ito ng 2022 ang kahalagahan ng mga manggagawa sa pangangalagang pangkalusugan sa panahon ng mga emerhensiya sa pampublikong kalusugan at nag-aalok sa kanila ng mga mandatoryong benepisyo at allowance.
2. Kodigo sa Kalusugan at Kaligtasan § 1799.106: Pinoprotektahan ng seksyong ito ang mga indibidwal tulad ng mga doktor, nars, at mga tagatugon sa emerhensiya mula sa pananagutan para sa mga aksyong ginawa nang may mabuting loob habang nagbibigay ng mga serbisyong medikal na pang-emergency.
3. RA 6615: Ang batas na ito ay nag-uutos sa lahat ng mga lisensyadong ospital at klinika na magbigay ng agarang emerhensiyang tulong medikal sa mga pasyente sa mga kritikal na sitwasyon.
4. Philippine Medical Association Code of Ethics: Binibigyang-diin ng code na ito ang kahalagahan ng mabuting pananampalataya at katapatan sa medikal na kasanayan, kabilang ang paggalang sa mga karapatan ng pasyente tungkol sa mga desisyon sa paggamot.</v>
      </c>
      <c r="F1657" s="2">
        <f t="shared" si="1"/>
        <v>1</v>
      </c>
      <c r="G1657" s="2"/>
      <c r="H1657" s="2"/>
      <c r="I1657" s="2"/>
      <c r="J1657" s="2"/>
      <c r="K1657" s="2"/>
      <c r="L1657" s="2"/>
      <c r="M1657" s="2"/>
      <c r="N1657" s="2"/>
      <c r="O1657" s="2"/>
      <c r="P1657" s="2"/>
      <c r="Q1657" s="2"/>
      <c r="R1657" s="2"/>
      <c r="S1657" s="2"/>
      <c r="T1657" s="2"/>
      <c r="U1657" s="2"/>
      <c r="V1657" s="2"/>
      <c r="W1657" s="2"/>
      <c r="X1657" s="2"/>
      <c r="Y1657" s="2"/>
      <c r="Z1657" s="2"/>
      <c r="AA1657" s="2"/>
    </row>
    <row r="1658">
      <c r="A1658" s="1" t="s">
        <v>4337</v>
      </c>
      <c r="B1658" s="1" t="s">
        <v>4374</v>
      </c>
      <c r="C1658" s="1" t="s">
        <v>4423</v>
      </c>
      <c r="D1658" s="2" t="str">
        <f>IFERROR(__xludf.DUMMYFUNCTION("GOOGLETRANSLATE(B1658, ""en"", ""TL"")"),"Paano kinokontrol ng batas ang pagrereseta at pagbibigay ng mga kinokontrol na sangkap ng mga medikal na practitioner?")</f>
        <v>Paano kinokontrol ng batas ang pagrereseta at pagbibigay ng mga kinokontrol na sangkap ng mga medikal na practitioner?</v>
      </c>
      <c r="E1658" s="2" t="str">
        <f>IFERROR(__xludf.DUMMYFUNCTION("GOOGLETRANSLATE(C1658, ""en"", ""TL"")"),"Sa Pilipinas, mahigpit na kinokontrol ng batas ang pagrereseta at pagbibigay ng mga kinokontrol na sangkap ng mga medikal na practitioner upang maiwasan ang maling paggamit at pagdepende. Narito ang isang breakdown ng mga pangunahing legal na probisyon:
"&amp;"
1. Comprehensive Dangerous Drugs Act of 2002 (Republic Act No. 9165):
Ang pangunahing batas na ito ay nag-uuri ng iba't ibang mga gamot bilang mga kinokontrol na sangkap batay sa kanilang potensyal para sa pang-aabuso at pag-asa.
Binabalangkas nito "&amp;"ang mga kinakailangan para sa mga propesyonal sa pangangalagang pangkalusugan na magparehistro sa Philippine Drug Enforcement Agency (PDEA) upang mabigyang pahintulot na magreseta at magbigay ng mga kontroladong sangkap.
2. Mga Regulasyon ng Dangerous Dr"&amp;"ugs Board (DDB):
Ang DDB, sa ilalim ng PDEA, ay naglalabas ng mga partikular na regulasyon para sa mga kinokontrol na sangkap, kabilang ang:
Mga Iskedyul: Pag-uri-uriin ang mga kinokontrol na sangkap sa iba't ibang kategorya batay sa kanilang kalubhaa"&amp;"n ng potensyal na pang-aabuso.
Mga kinakailangan sa reseta: Tukuyin ang mga uri ng mga form ng reseta na kailangan para sa bawat iskedyul ng mga kinokontrol na sangkap.
Recordkeeping: Atasan ang mga propesyonal sa pangangalagang pangkalusugan na panatil"&amp;"ihin ang mga detalyadong talaan ng mga kinokontrol na sangkap na inireseta at ibinibigay.
3. Mga Regulasyon ng Department of Health (DOH):
Ang DOH ay naglalabas ng mga karagdagang regulasyon na nakatuon sa naaangkop na paggamit ng mga kinokontrol na s"&amp;"angkap sa medikal na pagsasanay, kabilang ang:
Mga alituntunin para sa pagrereseta: Bigyang-diin ang pangangailangan para sa mga lehitimong kadahilanang medikal at pagsunod sa itinatag na mga protocol ng paggamot.
Patuloy na edukasyong medikal: Isulong "&amp;"ang pagsasanay para sa mga propesyonal sa pangangalagang pangkalusugan sa mga responsableng kasanayan sa pagrereseta at ang mga panganib ng pag-abuso sa droga.
4. Professional Regulations Commission (PRC):
Ang PRC, na kumokontrol sa pagsasagawa ng med"&amp;"isina, ay maaaring magpataw ng mga aksyong pandisiplina sa mga doktor na lumalabag sa mga regulasyon o nakikibahagi sa mga hindi etikal na gawi na may kaugnayan sa mga kinokontrol na sangkap. Ang mga pagkilos na ito ay maaaring mula sa pagsaway hanggang s"&amp;"a pagbawi ng lisensya.
5. Iba pang Mga Kaugnay na Batas:
Batas Republika Blg. 5921 (Batas sa Parmasya): Nag-uutos sa pagsasagawa ng parmasya at nag-uutos na ang mga lisensyadong parmasyutiko lamang ang makakapagbigay ng mga kontroladong substance kapa"&amp;"g nakatanggap ng wastong reseta mula sa isang rehistradong propesyonal sa pangangalagang pangkalusugan.
Republic Act No. 6425 (Dangerous Drugs Act): Habang pinawalang-bisa ng RA 9165, ang ilang mga probisyon ay nananatiling may kaugnayan, tulad ng mga pa"&amp;"rusa para sa iligal na pagmamay-ari o pamamahagi ng mga kontroladong sangkap.
Sa pangkalahatan, isang komprehensibong legal na balangkas ang namamahala sa pagrereseta at pagbibigay ng mga kinokontrol na sangkap sa Pilipinas. Ang balangkas na ito ay nagla"&amp;"layong tiyakin ang ligtas at responsableng paggamit ng mga gamot na ito habang pinipigilan ang kanilang maling paggamit at iligal na paglilipat.")</f>
        <v>Sa Pilipinas, mahigpit na kinokontrol ng batas ang pagrereseta at pagbibigay ng mga kinokontrol na sangkap ng mga medikal na practitioner upang maiwasan ang maling paggamit at pagdepende. Narito ang isang breakdown ng mga pangunahing legal na probisyon:
1. Comprehensive Dangerous Drugs Act of 2002 (Republic Act No. 9165):
Ang pangunahing batas na ito ay nag-uuri ng iba't ibang mga gamot bilang mga kinokontrol na sangkap batay sa kanilang potensyal para sa pang-aabuso at pag-asa.
Binabalangkas nito ang mga kinakailangan para sa mga propesyonal sa pangangalagang pangkalusugan na magparehistro sa Philippine Drug Enforcement Agency (PDEA) upang mabigyang pahintulot na magreseta at magbigay ng mga kontroladong sangkap.
2. Mga Regulasyon ng Dangerous Drugs Board (DDB):
Ang DDB, sa ilalim ng PDEA, ay naglalabas ng mga partikular na regulasyon para sa mga kinokontrol na sangkap, kabilang ang:
Mga Iskedyul: Pag-uri-uriin ang mga kinokontrol na sangkap sa iba't ibang kategorya batay sa kanilang kalubhaan ng potensyal na pang-aabuso.
Mga kinakailangan sa reseta: Tukuyin ang mga uri ng mga form ng reseta na kailangan para sa bawat iskedyul ng mga kinokontrol na sangkap.
Recordkeeping: Atasan ang mga propesyonal sa pangangalagang pangkalusugan na panatilihin ang mga detalyadong talaan ng mga kinokontrol na sangkap na inireseta at ibinibigay.
3. Mga Regulasyon ng Department of Health (DOH):
Ang DOH ay naglalabas ng mga karagdagang regulasyon na nakatuon sa naaangkop na paggamit ng mga kinokontrol na sangkap sa medikal na pagsasanay, kabilang ang:
Mga alituntunin para sa pagrereseta: Bigyang-diin ang pangangailangan para sa mga lehitimong kadahilanang medikal at pagsunod sa itinatag na mga protocol ng paggamot.
Patuloy na edukasyong medikal: Isulong ang pagsasanay para sa mga propesyonal sa pangangalagang pangkalusugan sa mga responsableng kasanayan sa pagrereseta at ang mga panganib ng pag-abuso sa droga.
4. Professional Regulations Commission (PRC):
Ang PRC, na kumokontrol sa pagsasagawa ng medisina, ay maaaring magpataw ng mga aksyong pandisiplina sa mga doktor na lumalabag sa mga regulasyon o nakikibahagi sa mga hindi etikal na gawi na may kaugnayan sa mga kinokontrol na sangkap. Ang mga pagkilos na ito ay maaaring mula sa pagsaway hanggang sa pagbawi ng lisensya.
5. Iba pang Mga Kaugnay na Batas:
Batas Republika Blg. 5921 (Batas sa Parmasya): Nag-uutos sa pagsasagawa ng parmasya at nag-uutos na ang mga lisensyadong parmasyutiko lamang ang makakapagbigay ng mga kontroladong substance kapag nakatanggap ng wastong reseta mula sa isang rehistradong propesyonal sa pangangalagang pangkalusugan.
Republic Act No. 6425 (Dangerous Drugs Act): Habang pinawalang-bisa ng RA 9165, ang ilang mga probisyon ay nananatiling may kaugnayan, tulad ng mga parusa para sa iligal na pagmamay-ari o pamamahagi ng mga kontroladong sangkap.
Sa pangkalahatan, isang komprehensibong legal na balangkas ang namamahala sa pagrereseta at pagbibigay ng mga kinokontrol na sangkap sa Pilipinas. Ang balangkas na ito ay naglalayong tiyakin ang ligtas at responsableng paggamit ng mga gamot na ito habang pinipigilan ang kanilang maling paggamit at iligal na paglilipat.</v>
      </c>
      <c r="F1658" s="2">
        <f t="shared" si="1"/>
        <v>0</v>
      </c>
      <c r="G1658" s="2"/>
      <c r="H1658" s="2"/>
      <c r="I1658" s="2"/>
      <c r="J1658" s="2"/>
      <c r="K1658" s="2"/>
      <c r="L1658" s="2"/>
      <c r="M1658" s="2"/>
      <c r="N1658" s="2"/>
      <c r="O1658" s="2"/>
      <c r="P1658" s="2"/>
      <c r="Q1658" s="2"/>
      <c r="R1658" s="2"/>
      <c r="S1658" s="2"/>
      <c r="T1658" s="2"/>
      <c r="U1658" s="2"/>
      <c r="V1658" s="2"/>
      <c r="W1658" s="2"/>
      <c r="X1658" s="2"/>
      <c r="Y1658" s="2"/>
      <c r="Z1658" s="2"/>
      <c r="AA1658" s="2"/>
    </row>
    <row r="1659">
      <c r="A1659" s="1" t="s">
        <v>4337</v>
      </c>
      <c r="B1659" s="1" t="s">
        <v>4424</v>
      </c>
      <c r="C1659" s="1" t="s">
        <v>4425</v>
      </c>
      <c r="D1659" s="2" t="str">
        <f>IFERROR(__xludf.DUMMYFUNCTION("GOOGLETRANSLATE(B1659, ""en"", ""TL"")"),"Anong mga legal na pagsasaalang-alang ang naaangkop sa paggamit ng medikal na data para sa pananaliksik at mga layuning pang-akademiko?")</f>
        <v>Anong mga legal na pagsasaalang-alang ang naaangkop sa paggamit ng medikal na data para sa pananaliksik at mga layuning pang-akademiko?</v>
      </c>
      <c r="E1659" s="2" t="str">
        <f>IFERROR(__xludf.DUMMYFUNCTION("GOOGLETRANSLATE(C1659, ""en"", ""TL"")"),"Sa Pilipinas, ang paggamit ng medikal na data para sa pananaliksik ay nangangailangan ng maingat na pagsasaalang-alang sa ilang legal na aspeto upang mapangalagaan ang privacy ng pasyente at seguridad ng data.
Una, ang karapatan sa pagkapribado, na nak"&amp;"asaad sa Konstitusyon at pinoprotektahan ng Data Privacy Act, ay nangangailangan ng pagkuha ng kaalamang pahintulot mula sa mga indibidwal bago gamitin ang kanilang medikal na data sa pananaliksik. Dagdag pa rito, ang mga institusyon ng pananaliksik ay da"&amp;"pat magtatag ng mga review board upang matiyak ang etikal na pag-uugali at kapakanan ng kalahok.
Hangga't maaari, dapat na anonymize o pseudonymize ang data upang mabawasan ang mga panganib sa privacy. Higit pa rito, ang mga mananaliksik ay may pananag"&amp;"utan sa pagpapatupad ng matatag na mga hakbang sa seguridad upang maprotektahan ang data na kanilang kinokolekta at iniimbak. Sa wakas, ang mga partikular na regulasyon mula sa Department of Health at Food and Drug Administration ay maaaring mag-apply dep"&amp;"ende sa uri ng pananaliksik at data na ginamit.")</f>
        <v>Sa Pilipinas, ang paggamit ng medikal na data para sa pananaliksik ay nangangailangan ng maingat na pagsasaalang-alang sa ilang legal na aspeto upang mapangalagaan ang privacy ng pasyente at seguridad ng data.
Una, ang karapatan sa pagkapribado, na nakasaad sa Konstitusyon at pinoprotektahan ng Data Privacy Act, ay nangangailangan ng pagkuha ng kaalamang pahintulot mula sa mga indibidwal bago gamitin ang kanilang medikal na data sa pananaliksik. Dagdag pa rito, ang mga institusyon ng pananaliksik ay dapat magtatag ng mga review board upang matiyak ang etikal na pag-uugali at kapakanan ng kalahok.
Hangga't maaari, dapat na anonymize o pseudonymize ang data upang mabawasan ang mga panganib sa privacy. Higit pa rito, ang mga mananaliksik ay may pananagutan sa pagpapatupad ng matatag na mga hakbang sa seguridad upang maprotektahan ang data na kanilang kinokolekta at iniimbak. Sa wakas, ang mga partikular na regulasyon mula sa Department of Health at Food and Drug Administration ay maaaring mag-apply depende sa uri ng pananaliksik at data na ginamit.</v>
      </c>
      <c r="F1659" s="2">
        <f t="shared" si="1"/>
        <v>0</v>
      </c>
      <c r="G1659" s="2"/>
      <c r="H1659" s="2"/>
      <c r="I1659" s="2"/>
      <c r="J1659" s="2"/>
      <c r="K1659" s="2"/>
      <c r="L1659" s="2"/>
      <c r="M1659" s="2"/>
      <c r="N1659" s="2"/>
      <c r="O1659" s="2"/>
      <c r="P1659" s="2"/>
      <c r="Q1659" s="2"/>
      <c r="R1659" s="2"/>
      <c r="S1659" s="2"/>
      <c r="T1659" s="2"/>
      <c r="U1659" s="2"/>
      <c r="V1659" s="2"/>
      <c r="W1659" s="2"/>
      <c r="X1659" s="2"/>
      <c r="Y1659" s="2"/>
      <c r="Z1659" s="2"/>
      <c r="AA1659" s="2"/>
    </row>
    <row r="1660">
      <c r="A1660" s="1" t="s">
        <v>4337</v>
      </c>
      <c r="B1660" s="1" t="s">
        <v>4350</v>
      </c>
      <c r="C1660" s="1" t="s">
        <v>4426</v>
      </c>
      <c r="D1660" s="2" t="str">
        <f>IFERROR(__xludf.DUMMYFUNCTION("GOOGLETRANSLATE(B1660, ""en"", ""TL"")"),"Maaari bang tanggihan ng isang pasyente ang medikal na paggamot kahit na sa mga sitwasyong nagbabanta sa buhay, at anong mga legal na implikasyon ang mayroon ito para sa mga tagapagbigay ng pangangalagang pangkalusugan?")</f>
        <v>Maaari bang tanggihan ng isang pasyente ang medikal na paggamot kahit na sa mga sitwasyong nagbabanta sa buhay, at anong mga legal na implikasyon ang mayroon ito para sa mga tagapagbigay ng pangangalagang pangkalusugan?</v>
      </c>
      <c r="E1660" s="2" t="str">
        <f>IFERROR(__xludf.DUMMYFUNCTION("GOOGLETRANSLATE(C1660, ""en"", ""TL"")"),"Karapatan na Tanggihan ang Paggamot sa Pilipinas:
Oo, sa Pilipinas, ang mga pasyente na maaaring gumawa ng sarili nilang mga desisyon ay may kalayaang tumanggi sa pangangalagang medikal, kahit na sa mga sitwasyong nagbabanta sa buhay. Ang karapatang ito a"&amp;"y sinusuportahan ng iba't ibang paniniwala.
Ang mga indibidwal ay may karapatan sa pagpapasya sa sarili, na kinabibilangan ng kakayahang tanggihan ang paggamot na pinaniniwalaan nilang hindi gusto, kahit na naglalaman ito ng mga panganib.
Paggalang sa Aut"&amp;"onomy ng Pasyente: Dapat igalang ng mga tagapagbigay ng pangangalagang pangkalusugan ang mga kakayahan ng pasyente sa paggawa ng desisyon at iwasang magpataw ng kanilang sariling mga pananaw o ideya.
May Kaalaman na Pahintulot: Para sa wastong may-kaalama"&amp;"ng pahintulot, dapat na maunawaan ng mga pasyente ang kanilang karamdaman, mga alternatibong paggamot, at ang mga panganib at pakinabang ng bawat isa. Nagbibigay-daan ito sa mga indibidwal na gumawa ng matalinong mga desisyon, tulad ng pagtanggi sa therap"&amp;"y.
Sa Pilipinas, ang mga pasyente ay nagtataglay ng ilang pangunahing mga karapatan kapag naghahanap ng mga serbisyo sa pangangalagang pangkalusugan. Ang mga karapatang ito ay may malaking legal na implikasyon para sa mga tagapagbigay ng pangangalagang pa"&amp;"ngkalusugan:
Karapatan sa Access sa Pangangalagang Pangkalusugan:
Ang bawat tao ay may karapatan sa mga serbisyo sa pangangalagang pangkalusugan nang walang diskriminasyon, anuman ang kanilang katayuan sa pananalapi o mga personal na katangian.
Dapat tiya"&amp;"kin ng mga tagapagbigay ng pangangalagang pangkalusugan ang pantay na pagkakataon para sa lahat ng indibidwal na makatanggap ng kinakailangang pangangalagang medikal.
Karapatan sa May Kaalaman na Pahintulot:
Ang mga pasyente ay may karapatang tumanggap ng"&amp;" komprehensibong impormasyon tungkol sa kanilang kondisyong medikal, mga opsyon sa paggamot, mga nauugnay na panganib, benepisyo, at mga alternatibo bago sumailalim sa anumang medikal na pamamaraan.
Iginagalang ng may kaalamang pahintulot ang awtonomiya a"&amp;"t kakayahan ng mga pasyente na gumawa ng mga desisyon, na nangangailangan ng mga tagapagbigay ng pangangalagang pangkalusugan na mag-alok ng tumpak na impormasyon sa isang wikang naiintindihan ng pasyente.
Karapatan sa Pagkapribado at Pagkakumpidensyal:
A"&amp;"ng medikal na impormasyon ng mga pasyente ay dapat panatilihing kumpidensyal, na may legal na obligadong tagapagbigay ng pangangalagang pangkalusugan na pangalagaan ang kanilang privacy.
Ang pagbubunyag ng medikal na impormasyon ay dapat lamang mangyari s"&amp;"a mga awtorisadong indibidwal para sa mga layuning nauugnay sa pangangalagang pangkalusugan.
Karapatan sa De-kalidad na Pangangalaga:
Ang mga pasyente ay may karapatan na makatanggap ng mga de-kalidad na serbisyo sa pangangalagang pangkalusugan na sumusun"&amp;"od sa mga tinatanggap na pamantayang medikal, kabilang ang tumpak na diagnosis, naaangkop na paggamot, at follow-up na pangangalaga.
Ang dignidad at paggalang mula sa mga tagapagbigay ng pangangalagang pangkalusugan ay pinakamahalaga, anuman ang backgroun"&amp;"d o kondisyon ng pasyente.
Karapatan na Tanggihan ang Medikal na Paggamot:
Ang mga pasyente ay may awtonomiya na tumanggi sa medikal na paggamot, kahit na sa mga sitwasyong nagbabanta sa buhay, kung ito ay sumasalungat sa kanilang mga personal na paniniwa"&amp;"la o mga halaga.
Gayunpaman, umiiral ang mga legal na hadlang; halimbawa, kung ang hukuman ay nagpasiya na ang isang pasyente ay kulang sa kakayahang magdesisyon, ang kanilang pagtanggi ay maaaring ma-override.")</f>
        <v>Karapatan na Tanggihan ang Paggamot sa Pilipinas:
Oo, sa Pilipinas, ang mga pasyente na maaaring gumawa ng sarili nilang mga desisyon ay may kalayaang tumanggi sa pangangalagang medikal, kahit na sa mga sitwasyong nagbabanta sa buhay. Ang karapatang ito ay sinusuportahan ng iba't ibang paniniwala.
Ang mga indibidwal ay may karapatan sa pagpapasya sa sarili, na kinabibilangan ng kakayahang tanggihan ang paggamot na pinaniniwalaan nilang hindi gusto, kahit na naglalaman ito ng mga panganib.
Paggalang sa Autonomy ng Pasyente: Dapat igalang ng mga tagapagbigay ng pangangalagang pangkalusugan ang mga kakayahan ng pasyente sa paggawa ng desisyon at iwasang magpataw ng kanilang sariling mga pananaw o ideya.
May Kaalaman na Pahintulot: Para sa wastong may-kaalamang pahintulot, dapat na maunawaan ng mga pasyente ang kanilang karamdaman, mga alternatibong paggamot, at ang mga panganib at pakinabang ng bawat isa. Nagbibigay-daan ito sa mga indibidwal na gumawa ng matalinong mga desisyon, tulad ng pagtanggi sa therapy.
Sa Pilipinas, ang mga pasyente ay nagtataglay ng ilang pangunahing mga karapatan kapag naghahanap ng mga serbisyo sa pangangalagang pangkalusugan. Ang mga karapatang ito ay may malaking legal na implikasyon para sa mga tagapagbigay ng pangangalagang pangkalusugan:
Karapatan sa Access sa Pangangalagang Pangkalusugan:
Ang bawat tao ay may karapatan sa mga serbisyo sa pangangalagang pangkalusugan nang walang diskriminasyon, anuman ang kanilang katayuan sa pananalapi o mga personal na katangian.
Dapat tiyakin ng mga tagapagbigay ng pangangalagang pangkalusugan ang pantay na pagkakataon para sa lahat ng indibidwal na makatanggap ng kinakailangang pangangalagang medikal.
Karapatan sa May Kaalaman na Pahintulot:
Ang mga pasyente ay may karapatang tumanggap ng komprehensibong impormasyon tungkol sa kanilang kondisyong medikal, mga opsyon sa paggamot, mga nauugnay na panganib, benepisyo, at mga alternatibo bago sumailalim sa anumang medikal na pamamaraan.
Iginagalang ng may kaalamang pahintulot ang awtonomiya at kakayahan ng mga pasyente na gumawa ng mga desisyon, na nangangailangan ng mga tagapagbigay ng pangangalagang pangkalusugan na mag-alok ng tumpak na impormasyon sa isang wikang naiintindihan ng pasyente.
Karapatan sa Pagkapribado at Pagkakumpidensyal:
Ang medikal na impormasyon ng mga pasyente ay dapat panatilihing kumpidensyal, na may legal na obligadong tagapagbigay ng pangangalagang pangkalusugan na pangalagaan ang kanilang privacy.
Ang pagbubunyag ng medikal na impormasyon ay dapat lamang mangyari sa mga awtorisadong indibidwal para sa mga layuning nauugnay sa pangangalagang pangkalusugan.
Karapatan sa De-kalidad na Pangangalaga:
Ang mga pasyente ay may karapatan na makatanggap ng mga de-kalidad na serbisyo sa pangangalagang pangkalusugan na sumusunod sa mga tinatanggap na pamantayang medikal, kabilang ang tumpak na diagnosis, naaangkop na paggamot, at follow-up na pangangalaga.
Ang dignidad at paggalang mula sa mga tagapagbigay ng pangangalagang pangkalusugan ay pinakamahalaga, anuman ang background o kondisyon ng pasyente.
Karapatan na Tanggihan ang Medikal na Paggamot:
Ang mga pasyente ay may awtonomiya na tumanggi sa medikal na paggamot, kahit na sa mga sitwasyong nagbabanta sa buhay, kung ito ay sumasalungat sa kanilang mga personal na paniniwala o mga halaga.
Gayunpaman, umiiral ang mga legal na hadlang; halimbawa, kung ang hukuman ay nagpasiya na ang isang pasyente ay kulang sa kakayahang magdesisyon, ang kanilang pagtanggi ay maaaring ma-override.</v>
      </c>
      <c r="F1660" s="2">
        <f t="shared" si="1"/>
        <v>4</v>
      </c>
      <c r="G1660" s="2"/>
      <c r="H1660" s="2"/>
      <c r="I1660" s="2"/>
      <c r="J1660" s="2"/>
      <c r="K1660" s="2"/>
      <c r="L1660" s="2"/>
      <c r="M1660" s="2"/>
      <c r="N1660" s="2"/>
      <c r="O1660" s="2"/>
      <c r="P1660" s="2"/>
      <c r="Q1660" s="2"/>
      <c r="R1660" s="2"/>
      <c r="S1660" s="2"/>
      <c r="T1660" s="2"/>
      <c r="U1660" s="2"/>
      <c r="V1660" s="2"/>
      <c r="W1660" s="2"/>
      <c r="X1660" s="2"/>
      <c r="Y1660" s="2"/>
      <c r="Z1660" s="2"/>
      <c r="AA1660" s="2"/>
    </row>
    <row r="1661">
      <c r="A1661" s="1" t="s">
        <v>4337</v>
      </c>
      <c r="B1661" s="1" t="s">
        <v>4366</v>
      </c>
      <c r="C1661" s="1" t="s">
        <v>4427</v>
      </c>
      <c r="D1661" s="2" t="str">
        <f>IFERROR(__xludf.DUMMYFUNCTION("GOOGLETRANSLATE(B1661, ""en"", ""TL"")"),"Paano karaniwang nareresolba ang mga medikal na alitan sa ilalim ng batas ng Pilipinas?")</f>
        <v>Paano karaniwang nareresolba ang mga medikal na alitan sa ilalim ng batas ng Pilipinas?</v>
      </c>
      <c r="E1661" s="2" t="str">
        <f>IFERROR(__xludf.DUMMYFUNCTION("GOOGLETRANSLATE(C1661, ""en"", ""TL"")"),"Sa ilalim ng batas ng Pilipinas, ang mga hindi pagkakaunawaan na may kaugnayan sa mga isyung medikal ay karaniwang nareresolba sa pamamagitan ng kumbinasyon ng mga legal na prinsipyo, regulasyon, at mga alternatibong mekanismo sa paglutas ng dispute (ADR)"&amp;". Narito ang isang pangkalahatang-ideya:
Legal na Balangkas:
Civil Code: Isinasaalang-alang ang mga kaso ng medical malpractice sa ilalim ng tort law, kung minsan ay may kasamang mga elemento ng kriminal na batas. Binabalangkas ng mga batas na ito ang mga"&amp;" tungkulin ng mga propesyonal sa pangangalagang pangkalusugan at ang mga karapatan ng mga pasyente.
Medical Act of 1959: Ang batas na ito ay partikular na tumutugon sa medikal na kasanayan at nag-aalok ng mga alituntunin para sa mga propesyonal sa pangang"&amp;"alagang pangkalusugan.
Iba pang mga Batas at Regulasyon: Iba't ibang mga batas at regulasyon ang namamahala sa medikal na kasanayan upang matiyak ang pananagutan at protektahan ang mga karapatan ng mga pasyente.
Mga Karapatan ng Pasyente:
Access sa Health"&amp;"care: Ang bawat tao ay may karapatan sa mga serbisyo sa pangangalagang pangkalusugan nang walang diskriminasyon batay sa socioeconomic status o iba pang mga katangian. Ang pagtanggi sa mga serbisyo dahil sa kawalan ng kakayahang magbayad ay hindi pinapaya"&amp;"gan.
May Kaalaman na Pahintulot: Ang mga pasyente ay may karapatan sa komprehensibong impormasyon tungkol sa kanilang kondisyong medikal at mga opsyon sa paggamot bago ang anumang interbensyon.
Pagkapribado at Pagiging Kompidensyal: Ang impormasyong medik"&amp;"al ay dapat panatilihing kumpidensyal, na may obligasyon ang mga tagapagbigay ng pangangalagang pangkalusugan na protektahan ang privacy ng mga pasyente.
De-kalidad na Pangangalaga: Ang mga pasyente ay may karapatang tumanggap ng mga de-kalidad na serbisy"&amp;"o sa pangangalagang pangkalusugan alinsunod sa mga tinatanggap na pamantayang medikal.
Alternatibong Resolusyon sa Dispute (ADR):
Itinataguyod ng Alternative Dispute Resolution Act of 2004 ang paggamit ng mga pamamaraan ng ADR gaya ng arbitrasyon, pamamag"&amp;"itan, at pagkakasundo.
Pinapadali ng ADR ang mas mabilis na pagresolba sa labas ng pormal na sistema ng hukuman, na nagsusulong ng awtonomiya ng partido at pinapawi ang pagsisikip ng hukuman.
Ang mga akreditadong tagapagbigay ng ADR ay gumaganap ng isang "&amp;"mahalagang papel sa pagpapadali ng paglutas.
Arbitrasyon:
Ang arbitrasyon ay isang boluntaryong proseso kung saan niresolba ng mga arbitrator ang mga hindi pagkakaunawaan sa pamamagitan ng pagbibigay ng mga parangal, na nagsisilbing alternatibo sa paglili"&amp;"tis sa korte.
Ang mga partido ay maaaring sumang-ayon sa arbitrasyon sa pamamagitan ng mga sugnay na kontraktwal o mutual na pahintulot.
Mga Hakbang para sa Pagresolba sa mga Hindi pagkakaunawaan:
Bukas na Komunikasyon: Ang malinaw na komunikasyon sa pagi"&amp;"tan ng mga partido ay mahalaga.
Pamamagitan: Ang pagsali sa isang neutral na tagapamagitan ay maaaring makatulong sa paghahanap ng karaniwang batayan.
Kompromiso: Ang mga partido ay dapat na handang maabot ang gitnang lupa.
Humingi ng Legal na Payo: Ang m"&amp;"ga kumplikadong hindi pagkakaunawaan ay maaaring mangailangan ng legal na payo.")</f>
        <v>Sa ilalim ng batas ng Pilipinas, ang mga hindi pagkakaunawaan na may kaugnayan sa mga isyung medikal ay karaniwang nareresolba sa pamamagitan ng kumbinasyon ng mga legal na prinsipyo, regulasyon, at mga alternatibong mekanismo sa paglutas ng dispute (ADR). Narito ang isang pangkalahatang-ideya:
Legal na Balangkas:
Civil Code: Isinasaalang-alang ang mga kaso ng medical malpractice sa ilalim ng tort law, kung minsan ay may kasamang mga elemento ng kriminal na batas. Binabalangkas ng mga batas na ito ang mga tungkulin ng mga propesyonal sa pangangalagang pangkalusugan at ang mga karapatan ng mga pasyente.
Medical Act of 1959: Ang batas na ito ay partikular na tumutugon sa medikal na kasanayan at nag-aalok ng mga alituntunin para sa mga propesyonal sa pangangalagang pangkalusugan.
Iba pang mga Batas at Regulasyon: Iba't ibang mga batas at regulasyon ang namamahala sa medikal na kasanayan upang matiyak ang pananagutan at protektahan ang mga karapatan ng mga pasyente.
Mga Karapatan ng Pasyente:
Access sa Healthcare: Ang bawat tao ay may karapatan sa mga serbisyo sa pangangalagang pangkalusugan nang walang diskriminasyon batay sa socioeconomic status o iba pang mga katangian. Ang pagtanggi sa mga serbisyo dahil sa kawalan ng kakayahang magbayad ay hindi pinapayagan.
May Kaalaman na Pahintulot: Ang mga pasyente ay may karapatan sa komprehensibong impormasyon tungkol sa kanilang kondisyong medikal at mga opsyon sa paggamot bago ang anumang interbensyon.
Pagkapribado at Pagiging Kompidensyal: Ang impormasyong medikal ay dapat panatilihing kumpidensyal, na may obligasyon ang mga tagapagbigay ng pangangalagang pangkalusugan na protektahan ang privacy ng mga pasyente.
De-kalidad na Pangangalaga: Ang mga pasyente ay may karapatang tumanggap ng mga de-kalidad na serbisyo sa pangangalagang pangkalusugan alinsunod sa mga tinatanggap na pamantayang medikal.
Alternatibong Resolusyon sa Dispute (ADR):
Itinataguyod ng Alternative Dispute Resolution Act of 2004 ang paggamit ng mga pamamaraan ng ADR gaya ng arbitrasyon, pamamagitan, at pagkakasundo.
Pinapadali ng ADR ang mas mabilis na pagresolba sa labas ng pormal na sistema ng hukuman, na nagsusulong ng awtonomiya ng partido at pinapawi ang pagsisikip ng hukuman.
Ang mga akreditadong tagapagbigay ng ADR ay gumaganap ng isang mahalagang papel sa pagpapadali ng paglutas.
Arbitrasyon:
Ang arbitrasyon ay isang boluntaryong proseso kung saan niresolba ng mga arbitrator ang mga hindi pagkakaunawaan sa pamamagitan ng pagbibigay ng mga parangal, na nagsisilbing alternatibo sa paglilitis sa korte.
Ang mga partido ay maaaring sumang-ayon sa arbitrasyon sa pamamagitan ng mga sugnay na kontraktwal o mutual na pahintulot.
Mga Hakbang para sa Pagresolba sa mga Hindi pagkakaunawaan:
Bukas na Komunikasyon: Ang malinaw na komunikasyon sa pagitan ng mga partido ay mahalaga.
Pamamagitan: Ang pagsali sa isang neutral na tagapamagitan ay maaaring makatulong sa paghahanap ng karaniwang batayan.
Kompromiso: Ang mga partido ay dapat na handang maabot ang gitnang lupa.
Humingi ng Legal na Payo: Ang mga kumplikadong hindi pagkakaunawaan ay maaaring mangailangan ng legal na payo.</v>
      </c>
      <c r="F1661" s="2">
        <f t="shared" si="1"/>
        <v>1</v>
      </c>
      <c r="G1661" s="2"/>
      <c r="H1661" s="2"/>
      <c r="I1661" s="2"/>
      <c r="J1661" s="2"/>
      <c r="K1661" s="2"/>
      <c r="L1661" s="2"/>
      <c r="M1661" s="2"/>
      <c r="N1661" s="2"/>
      <c r="O1661" s="2"/>
      <c r="P1661" s="2"/>
      <c r="Q1661" s="2"/>
      <c r="R1661" s="2"/>
      <c r="S1661" s="2"/>
      <c r="T1661" s="2"/>
      <c r="U1661" s="2"/>
      <c r="V1661" s="2"/>
      <c r="W1661" s="2"/>
      <c r="X1661" s="2"/>
      <c r="Y1661" s="2"/>
      <c r="Z1661" s="2"/>
      <c r="AA1661" s="2"/>
    </row>
    <row r="1662">
      <c r="A1662" s="1" t="s">
        <v>4337</v>
      </c>
      <c r="B1662" s="1" t="s">
        <v>4428</v>
      </c>
      <c r="C1662" s="1" t="s">
        <v>4411</v>
      </c>
      <c r="D1662" s="2" t="str">
        <f>IFERROR(__xludf.DUMMYFUNCTION("GOOGLETRANSLATE(B1662, ""en"", ""TL"")"),"Anong mga batas ang namamahala sa mga karapatan ng mga pasyente na ma-access ang kanilang mga medikal na rekord at impormasyon?")</f>
        <v>Anong mga batas ang namamahala sa mga karapatan ng mga pasyente na ma-access ang kanilang mga medikal na rekord at impormasyon?</v>
      </c>
      <c r="E1662" s="2" t="str">
        <f>IFERROR(__xludf.DUMMYFUNCTION("GOOGLETRANSLATE(C1662, ""en"", ""TL"")"),"Sa Pilipinas, ang karapatang ma-access ang mga personal na rekord ng medikal ay protektado ng ilang mga batas, lalo na ang Data Privacy Act of 2012 at ang Medical Act of 1959. Pinoprotektahan ng mga panuntunang ito ang pagiging kompidensiyal at privacy ng"&amp;" mga medikal na rekord habang pinapayagan ang mga pasyente na ma-access ang kanilang sariling impormasyon sa kalusugan .")</f>
        <v>Sa Pilipinas, ang karapatang ma-access ang mga personal na rekord ng medikal ay protektado ng ilang mga batas, lalo na ang Data Privacy Act of 2012 at ang Medical Act of 1959. Pinoprotektahan ng mga panuntunang ito ang pagiging kompidensiyal at privacy ng mga medikal na rekord habang pinapayagan ang mga pasyente na ma-access ang kanilang sariling impormasyon sa kalusugan .</v>
      </c>
      <c r="F1662" s="2">
        <f t="shared" si="1"/>
        <v>3</v>
      </c>
      <c r="G1662" s="2"/>
      <c r="H1662" s="2"/>
      <c r="I1662" s="2"/>
      <c r="J1662" s="2"/>
      <c r="K1662" s="2"/>
      <c r="L1662" s="2"/>
      <c r="M1662" s="2"/>
      <c r="N1662" s="2"/>
      <c r="O1662" s="2"/>
      <c r="P1662" s="2"/>
      <c r="Q1662" s="2"/>
      <c r="R1662" s="2"/>
      <c r="S1662" s="2"/>
      <c r="T1662" s="2"/>
      <c r="U1662" s="2"/>
      <c r="V1662" s="2"/>
      <c r="W1662" s="2"/>
      <c r="X1662" s="2"/>
      <c r="Y1662" s="2"/>
      <c r="Z1662" s="2"/>
      <c r="AA1662" s="2"/>
    </row>
    <row r="1663">
      <c r="A1663" s="1" t="s">
        <v>4337</v>
      </c>
      <c r="B1663" s="1" t="s">
        <v>4429</v>
      </c>
      <c r="C1663" s="1" t="s">
        <v>4430</v>
      </c>
      <c r="D1663" s="2" t="str">
        <f>IFERROR(__xludf.DUMMYFUNCTION("GOOGLETRANSLATE(B1663, ""en"", ""TL"")"),"Sa ilalim ng anong mga pangyayari ang mga medikal na practitioner ay maaaring sumailalim sa mga parusang administratibo ng mga katawan ng regulasyong pangkalusugan?")</f>
        <v>Sa ilalim ng anong mga pangyayari ang mga medikal na practitioner ay maaaring sumailalim sa mga parusang administratibo ng mga katawan ng regulasyong pangkalusugan?</v>
      </c>
      <c r="E1663" s="2" t="str">
        <f>IFERROR(__xludf.DUMMYFUNCTION("GOOGLETRANSLATE(C1663, ""en"", ""TL"")"),"Sa Pilipinas, ang mga medikal na practitioner ay napapailalim sa mga parusang administratibo ng mga katawan ng regulasyong pangkalusugan sa iba't ibang mga sitwasyon:
Paglabag sa Mga Panuntunan sa Akreditasyon:
Ang mga tagapagbigay ng pangangalagang pangk"&amp;"alusugan ay dapat sumunod sa mga alituntunin sa akreditasyon na itinatag ng mga entity tulad ng PhilHealth. Ang pagkabigong sumunod, tulad ng paglabag sa mga tuntunin sa pamamaraan o mga warranty sa akreditasyon, ay maaaring humantong sa mga parusa.
Hindi"&amp;" Pagsunod sa Mga Batas sa Pangangalagang Pangkalusugan:
Ang pagsunod sa mga batas tulad ng Universal Health Care Act, Data Privacy Act, at Medical Act of 1959 ay sapilitan para sa mga medikal na practitioner. Ang mga paglabag ay maaaring magresulta sa mga"&amp;" parusang administratibo.
Etikal na Maling Pag-uugali:
Ang Code of Ethics for Physicians ay naglalarawan ng mga propesyonal na tungkulin. Ang anumang paglabag sa mga pamantayang ito sa etika ay maaaring mag-trigger ng mga hakbang sa pagdidisiplina ng mga "&amp;"regulatory body.
Mga Alalahanin sa Kalidad ng Pangangalaga:
Maaaring magkaroon ng mga parusa kung ang isang practitioner ay naghahatid ng substandard na pangangalaga, gumawa ng maling gawain, o lumalabag sa mga karapatan ng pasyente. Iniimbestigahan ng mg"&amp;"a regulatory body ang mga reklamo tungkol sa kaligtasan ng pasyente, kapabayaan, o mga etikal na pagkalugi.
Mga Mapanlinlang na Aktibidad:
Ang mga practitioner ay nagsasagawa ng mga mapanlinlang na kasanayan tulad ng pagsusumite ng mga maling claim o labi"&amp;"s na pagsingil ay nahaharap sa mga parusa. Mahigpit na sinusubaybayan ng mga regulatory body ang mga kasanayan sa pagsingil at sinisiyasat ang mga iregularidad.
Pagkabigong matugunan ang mga obligasyon sa pag-uulat:
Ang mga medikal na propesyonal ay oblig"&amp;"ado na agad na mag-ulat ng mga insidente tulad ng mga nakakaalam na sakit o masamang kaganapan sa mga awtoridad sa kalusugan. Ang pagpapabaya sa mga kinakailangan sa pag-uulat ay maaaring humantong sa mga parusa.
Hindi Propesyonal na Pag-uugali:
Ang mga p"&amp;"agkakataon ng hindi propesyonal na pag-uugali tulad ng panliligalig, pag-abuso sa droga, o pagkakasangkot sa mga kriminal na aktibidad ay maaaring magresulta sa mga aksyong pandisiplina. Pinaninindigan ng mga regulatory body ang mga propesyonal na pamanta"&amp;"yan at pinapanagutan ang mga practitioner para sa kanilang mga aksyon.")</f>
        <v>Sa Pilipinas, ang mga medikal na practitioner ay napapailalim sa mga parusang administratibo ng mga katawan ng regulasyong pangkalusugan sa iba't ibang mga sitwasyon:
Paglabag sa Mga Panuntunan sa Akreditasyon:
Ang mga tagapagbigay ng pangangalagang pangkalusugan ay dapat sumunod sa mga alituntunin sa akreditasyon na itinatag ng mga entity tulad ng PhilHealth. Ang pagkabigong sumunod, tulad ng paglabag sa mga tuntunin sa pamamaraan o mga warranty sa akreditasyon, ay maaaring humantong sa mga parusa.
Hindi Pagsunod sa Mga Batas sa Pangangalagang Pangkalusugan:
Ang pagsunod sa mga batas tulad ng Universal Health Care Act, Data Privacy Act, at Medical Act of 1959 ay sapilitan para sa mga medikal na practitioner. Ang mga paglabag ay maaaring magresulta sa mga parusang administratibo.
Etikal na Maling Pag-uugali:
Ang Code of Ethics for Physicians ay naglalarawan ng mga propesyonal na tungkulin. Ang anumang paglabag sa mga pamantayang ito sa etika ay maaaring mag-trigger ng mga hakbang sa pagdidisiplina ng mga regulatory body.
Mga Alalahanin sa Kalidad ng Pangangalaga:
Maaaring magkaroon ng mga parusa kung ang isang practitioner ay naghahatid ng substandard na pangangalaga, gumawa ng maling gawain, o lumalabag sa mga karapatan ng pasyente. Iniimbestigahan ng mga regulatory body ang mga reklamo tungkol sa kaligtasan ng pasyente, kapabayaan, o mga etikal na pagkalugi.
Mga Mapanlinlang na Aktibidad:
Ang mga practitioner ay nagsasagawa ng mga mapanlinlang na kasanayan tulad ng pagsusumite ng mga maling claim o labis na pagsingil ay nahaharap sa mga parusa. Mahigpit na sinusubaybayan ng mga regulatory body ang mga kasanayan sa pagsingil at sinisiyasat ang mga iregularidad.
Pagkabigong matugunan ang mga obligasyon sa pag-uulat:
Ang mga medikal na propesyonal ay obligado na agad na mag-ulat ng mga insidente tulad ng mga nakakaalam na sakit o masamang kaganapan sa mga awtoridad sa kalusugan. Ang pagpapabaya sa mga kinakailangan sa pag-uulat ay maaaring humantong sa mga parusa.
Hindi Propesyonal na Pag-uugali:
Ang mga pagkakataon ng hindi propesyonal na pag-uugali tulad ng panliligalig, pag-abuso sa droga, o pagkakasangkot sa mga kriminal na aktibidad ay maaaring magresulta sa mga aksyong pandisiplina. Pinaninindigan ng mga regulatory body ang mga propesyonal na pamantayan at pinapanagutan ang mga practitioner para sa kanilang mga aksyon.</v>
      </c>
      <c r="F1663" s="2">
        <f t="shared" si="1"/>
        <v>1</v>
      </c>
      <c r="G1663" s="2"/>
      <c r="H1663" s="2"/>
      <c r="I1663" s="2"/>
      <c r="J1663" s="2"/>
      <c r="K1663" s="2"/>
      <c r="L1663" s="2"/>
      <c r="M1663" s="2"/>
      <c r="N1663" s="2"/>
      <c r="O1663" s="2"/>
      <c r="P1663" s="2"/>
      <c r="Q1663" s="2"/>
      <c r="R1663" s="2"/>
      <c r="S1663" s="2"/>
      <c r="T1663" s="2"/>
      <c r="U1663" s="2"/>
      <c r="V1663" s="2"/>
      <c r="W1663" s="2"/>
      <c r="X1663" s="2"/>
      <c r="Y1663" s="2"/>
      <c r="Z1663" s="2"/>
      <c r="AA1663" s="2"/>
    </row>
    <row r="1664">
      <c r="A1664" s="1" t="s">
        <v>4337</v>
      </c>
      <c r="B1664" s="1" t="s">
        <v>4431</v>
      </c>
      <c r="C1664" s="1" t="s">
        <v>4432</v>
      </c>
      <c r="D1664" s="2" t="str">
        <f>IFERROR(__xludf.DUMMYFUNCTION("GOOGLETRANSLATE(B1664, ""en"", ""TL"")"),"Anong mga legal na obligasyon ang mayroon ang mga tagapagbigay ng pangangalagang pangkalusugan sa pag-uulat ng mga kaso ng medikal na pandaraya o pag-abuso sa insurance?")</f>
        <v>Anong mga legal na obligasyon ang mayroon ang mga tagapagbigay ng pangangalagang pangkalusugan sa pag-uulat ng mga kaso ng medikal na pandaraya o pag-abuso sa insurance?</v>
      </c>
      <c r="E1664" s="2" t="str">
        <f>IFERROR(__xludf.DUMMYFUNCTION("GOOGLETRANSLATE(C1664, ""en"", ""TL"")"),"Sa Pilipinas, ang mga tagapagbigay ng pangangalagang pangkalusugan ay may mga legal na responsibilidad tungkol sa pag-uulat ng mga pagkakataon ng medikal na pandaraya at pag-abuso sa insurance. Narito ang mga pangunahing punto:
Philippine Health Insurance"&amp;" Corporation (PhilHealth):
Upcasing of Claims: Nagbabala ang PhilHealth laban sa mga hindi etikal na gawi tulad ng upcasing claims, kung saan ang kalubhaan ng kondisyon ng isang pasyente ay pinalalaki upang makakuha ng mas mataas na reimbursement.
Pakikip"&amp;"agsabwatan sa mga Pasyente: May mga ulat ng sabwatan sa pagitan ng mga tagapagbigay ng pangangalagang pangkalusugan at mga pasyente, na nagpapalaki ng mga menor de edad na sintomas upang maangkin ang mga kaso ng COVID-19 para sa pinakamataas na benepisyo."&amp;"
Pag-uulat at Pagpupuyat: Hinihikayat ng PhilHealth ang direktang pag-uulat ng mga ilegal na aktibidad ng mga pasyente at pamilya. Hinihimok ang publiko na maging mapagbantay at magbigay ng ebidensya para sa mga imbestigasyon.
Pagiging Kumpidensyal at Pro"&amp;"teksyon: Ang mga whistleblower na nag-uulat ng pandaraya ay pinapangako ng kumpletong pagiging kompidensyal at legal na proteksyon.
Mga Batas sa Medikal na Malpractice:
Ang mga kaso ng malpractice sa medikal ay pinamamahalaan ng Civil Code, Medical Act of"&amp;" 1959, at iba pang nauugnay na batas.
Tinukoy ng mga batas na ito ang mga tungkulin at obligasyon ng mga propesyonal sa pangangalagang pangkalusugan, ang mga karapatan ng mga pasyente, at ang legal na paraan sa mga kaso ng pagpapabaya sa medikal.
Pansaman"&amp;"talang Pagsuspinde ng Pagbabayad ng mga Claim (TSPC):
Ang PhilHealth ay nagpasimula ng pansamantalang pagsususpinde ng pagbabayad ng mga claim laban sa mga tagapagbigay ng pangangalagang pangkalusugan na sinisiyasat para sa mga mapanlinlang na claim.
Ang "&amp;"panukalang ito ay naglalayong labanan ang mga mapanlinlang na gawain at pangalagaan ang integridad ng National Health Insurance fund.
Pag-uulat ng Mga Mapanlinlang na Gawain:
Maaaring mag-ulat ang publiko ng mga mapanlinlang na gawain sa pamamagitan ng pa"&amp;"g-email sa PhilHealth sa whistleblower@philhealth.gov.ph, actioncenter@philhealth.gov.ph, o opceo@philhealth.gov.ph.
Ang mga ulat ay maaari ding isumite sa pamamagitan ng koreo sa Office of the Corporate Secretary sa Room 1711, 17th Floor Citystate Center"&amp;", 709 Shaw Blvd., Pasig City.")</f>
        <v>Sa Pilipinas, ang mga tagapagbigay ng pangangalagang pangkalusugan ay may mga legal na responsibilidad tungkol sa pag-uulat ng mga pagkakataon ng medikal na pandaraya at pag-abuso sa insurance. Narito ang mga pangunahing punto:
Philippine Health Insurance Corporation (PhilHealth):
Upcasing of Claims: Nagbabala ang PhilHealth laban sa mga hindi etikal na gawi tulad ng upcasing claims, kung saan ang kalubhaan ng kondisyon ng isang pasyente ay pinalalaki upang makakuha ng mas mataas na reimbursement.
Pakikipagsabwatan sa mga Pasyente: May mga ulat ng sabwatan sa pagitan ng mga tagapagbigay ng pangangalagang pangkalusugan at mga pasyente, na nagpapalaki ng mga menor de edad na sintomas upang maangkin ang mga kaso ng COVID-19 para sa pinakamataas na benepisyo.
Pag-uulat at Pagpupuyat: Hinihikayat ng PhilHealth ang direktang pag-uulat ng mga ilegal na aktibidad ng mga pasyente at pamilya. Hinihimok ang publiko na maging mapagbantay at magbigay ng ebidensya para sa mga imbestigasyon.
Pagiging Kumpidensyal at Proteksyon: Ang mga whistleblower na nag-uulat ng pandaraya ay pinapangako ng kumpletong pagiging kompidensyal at legal na proteksyon.
Mga Batas sa Medikal na Malpractice:
Ang mga kaso ng malpractice sa medikal ay pinamamahalaan ng Civil Code, Medical Act of 1959, at iba pang nauugnay na batas.
Tinukoy ng mga batas na ito ang mga tungkulin at obligasyon ng mga propesyonal sa pangangalagang pangkalusugan, ang mga karapatan ng mga pasyente, at ang legal na paraan sa mga kaso ng pagpapabaya sa medikal.
Pansamantalang Pagsuspinde ng Pagbabayad ng mga Claim (TSPC):
Ang PhilHealth ay nagpasimula ng pansamantalang pagsususpinde ng pagbabayad ng mga claim laban sa mga tagapagbigay ng pangangalagang pangkalusugan na sinisiyasat para sa mga mapanlinlang na claim.
Ang panukalang ito ay naglalayong labanan ang mga mapanlinlang na gawain at pangalagaan ang integridad ng National Health Insurance fund.
Pag-uulat ng Mga Mapanlinlang na Gawain:
Maaaring mag-ulat ang publiko ng mga mapanlinlang na gawain sa pamamagitan ng pag-email sa PhilHealth sa whistleblower@philhealth.gov.ph, actioncenter@philhealth.gov.ph, o opceo@philhealth.gov.ph.
Ang mga ulat ay maaari ding isumite sa pamamagitan ng koreo sa Office of the Corporate Secretary sa Room 1711, 17th Floor Citystate Center, 709 Shaw Blvd., Pasig City.</v>
      </c>
      <c r="F1664" s="2">
        <f t="shared" si="1"/>
        <v>1</v>
      </c>
      <c r="G1664" s="2"/>
      <c r="H1664" s="2"/>
      <c r="I1664" s="2"/>
      <c r="J1664" s="2"/>
      <c r="K1664" s="2"/>
      <c r="L1664" s="2"/>
      <c r="M1664" s="2"/>
      <c r="N1664" s="2"/>
      <c r="O1664" s="2"/>
      <c r="P1664" s="2"/>
      <c r="Q1664" s="2"/>
      <c r="R1664" s="2"/>
      <c r="S1664" s="2"/>
      <c r="T1664" s="2"/>
      <c r="U1664" s="2"/>
      <c r="V1664" s="2"/>
      <c r="W1664" s="2"/>
      <c r="X1664" s="2"/>
      <c r="Y1664" s="2"/>
      <c r="Z1664" s="2"/>
      <c r="AA1664" s="2"/>
    </row>
    <row r="1665">
      <c r="A1665" s="1" t="s">
        <v>4337</v>
      </c>
      <c r="B1665" s="1" t="s">
        <v>4382</v>
      </c>
      <c r="C1665" s="1" t="s">
        <v>4433</v>
      </c>
      <c r="D1665" s="2" t="str">
        <f>IFERROR(__xludf.DUMMYFUNCTION("GOOGLETRANSLATE(B1665, ""en"", ""TL"")"),"Anong mga legal na karapatan ang mayroon ang mga pasyente sa paghahain ng mga reklamo laban sa mga tagapagbigay ng pangangalagang pangkalusugan para sa substandard na pangangalaga?")</f>
        <v>Anong mga legal na karapatan ang mayroon ang mga pasyente sa paghahain ng mga reklamo laban sa mga tagapagbigay ng pangangalagang pangkalusugan para sa substandard na pangangalaga?</v>
      </c>
      <c r="E1665" s="2" t="str">
        <f>IFERROR(__xludf.DUMMYFUNCTION("GOOGLETRANSLATE(C1665, ""en"", ""TL"")"),"Sa Pilipinas, ang mga pasyente ay nagtataglay ng makabuluhang legal na mga karapatan tungkol sa paghahain ng mga reklamo laban sa mga healthcare provider para sa hindi sapat na pangangalaga. Narito ang mga karapatang ito na nakabalangkas:
Karapatan na Ma-"&amp;"access ang Pangangalagang Pangkalusugan:
Ang bawat indibidwal ay may karapatan sa napapanahon at angkop na mga serbisyo sa pangangalagang pangkalusugan nang walang diskriminasyon batay sa katayuan sa pananalapi, edad, kasarian, relihiyon, o anumang iba pa"&amp;"ng kadahilanan.
Ang mga serbisyo sa pangangalagang pangkalusugan ay dapat na maibigay kaagad at naaangkop, na tinitiyak na walang sinuman ang pagkakaitan ng pangangalaga dahil sa mga personal na katangian.
Karapatan sa May Kaalaman na Pahintulot:
Ang mga "&amp;"pasyente ay may karapatan sa komprehensibong impormasyon tungkol sa kanilang kondisyong medikal, mga opsyon sa paggamot, mga nauugnay na panganib, benepisyo, at mga alternatibo bago ang anumang medikal na pamamaraan.
Pinanindigan ng may-alam na pahintulot"&amp;" ang awtonomiya at kakayahan ng mga pasyente na gumawa ng mga desisyon, na nangangailangan ng mga tagapagbigay ng pangangalagang pangkalusugan na magbigay ng malinaw at kumpletong impormasyon sa isang wika at paraang naiintindihan ng pasyente.
Karapatan s"&amp;"a Pagkapribado at Pagkakumpidensyal:
Ang mga pasyente ay may karapatan sa pagkapribado at pagiging kumpidensyal tungkol sa kanilang medikal na impormasyon.
Ang mga tagapagbigay ng pangangalagang pangkalusugan ay legal na obligado na pangalagaan ang imporm"&amp;"asyon ng pasyente at dapat lamang magbunyag ng medikal na data sa mga awtorisadong indibidwal para sa mga layunin ng pangangalagang pangkalusugan.
Karapatan sa De-kalidad na Pangangalaga:
Ang mga pasyente ay may karapatang tumanggap ng mga serbisyo sa pan"&amp;"gangalagang pangkalusugan na may mataas na kalidad, na sumusunod sa mga itinatag na pamantayang medikal.
Sinasaklaw nito ang tumpak na diagnosis, naaangkop na paggamot, at follow-up na pangangalaga batay sa mga alituntunin na nakabatay sa ebidensya at pin"&amp;"akamahuhusay na kagawian.
Ang dignidad at paggalang ay dapat ibigay sa mga pasyente ng mga tagapagbigay ng pangangalagang pangkalusugan, anuman ang kanilang background o kondisyon ng kalusugan.
Ang pag-unawa at pagtataguyod ng mga karapatan at responsibil"&amp;"idad na ito ay mahalaga para matiyak ang pagkakaloob ng ligtas at mataas na kalidad na mga serbisyo sa pangangalagang pangkalusugan sa Pilipinas.")</f>
        <v>Sa Pilipinas, ang mga pasyente ay nagtataglay ng makabuluhang legal na mga karapatan tungkol sa paghahain ng mga reklamo laban sa mga healthcare provider para sa hindi sapat na pangangalaga. Narito ang mga karapatang ito na nakabalangkas:
Karapatan na Ma-access ang Pangangalagang Pangkalusugan:
Ang bawat indibidwal ay may karapatan sa napapanahon at angkop na mga serbisyo sa pangangalagang pangkalusugan nang walang diskriminasyon batay sa katayuan sa pananalapi, edad, kasarian, relihiyon, o anumang iba pang kadahilanan.
Ang mga serbisyo sa pangangalagang pangkalusugan ay dapat na maibigay kaagad at naaangkop, na tinitiyak na walang sinuman ang pagkakaitan ng pangangalaga dahil sa mga personal na katangian.
Karapatan sa May Kaalaman na Pahintulot:
Ang mga pasyente ay may karapatan sa komprehensibong impormasyon tungkol sa kanilang kondisyong medikal, mga opsyon sa paggamot, mga nauugnay na panganib, benepisyo, at mga alternatibo bago ang anumang medikal na pamamaraan.
Pinanindigan ng may-alam na pahintulot ang awtonomiya at kakayahan ng mga pasyente na gumawa ng mga desisyon, na nangangailangan ng mga tagapagbigay ng pangangalagang pangkalusugan na magbigay ng malinaw at kumpletong impormasyon sa isang wika at paraang naiintindihan ng pasyente.
Karapatan sa Pagkapribado at Pagkakumpidensyal:
Ang mga pasyente ay may karapatan sa pagkapribado at pagiging kumpidensyal tungkol sa kanilang medikal na impormasyon.
Ang mga tagapagbigay ng pangangalagang pangkalusugan ay legal na obligado na pangalagaan ang impormasyon ng pasyente at dapat lamang magbunyag ng medikal na data sa mga awtorisadong indibidwal para sa mga layunin ng pangangalagang pangkalusugan.
Karapatan sa De-kalidad na Pangangalaga:
Ang mga pasyente ay may karapatang tumanggap ng mga serbisyo sa pangangalagang pangkalusugan na may mataas na kalidad, na sumusunod sa mga itinatag na pamantayang medikal.
Sinasaklaw nito ang tumpak na diagnosis, naaangkop na paggamot, at follow-up na pangangalaga batay sa mga alituntunin na nakabatay sa ebidensya at pinakamahuhusay na kagawian.
Ang dignidad at paggalang ay dapat ibigay sa mga pasyente ng mga tagapagbigay ng pangangalagang pangkalusugan, anuman ang kanilang background o kondisyon ng kalusugan.
Ang pag-unawa at pagtataguyod ng mga karapatan at responsibilidad na ito ay mahalaga para matiyak ang pagkakaloob ng ligtas at mataas na kalidad na mga serbisyo sa pangangalagang pangkalusugan sa Pilipinas.</v>
      </c>
      <c r="F1665" s="2">
        <f t="shared" si="1"/>
        <v>2</v>
      </c>
      <c r="G1665" s="2"/>
      <c r="H1665" s="2"/>
      <c r="I1665" s="2"/>
      <c r="J1665" s="2"/>
      <c r="K1665" s="2"/>
      <c r="L1665" s="2"/>
      <c r="M1665" s="2"/>
      <c r="N1665" s="2"/>
      <c r="O1665" s="2"/>
      <c r="P1665" s="2"/>
      <c r="Q1665" s="2"/>
      <c r="R1665" s="2"/>
      <c r="S1665" s="2"/>
      <c r="T1665" s="2"/>
      <c r="U1665" s="2"/>
      <c r="V1665" s="2"/>
      <c r="W1665" s="2"/>
      <c r="X1665" s="2"/>
      <c r="Y1665" s="2"/>
      <c r="Z1665" s="2"/>
      <c r="AA1665" s="2"/>
    </row>
    <row r="1666">
      <c r="A1666" s="1" t="s">
        <v>4337</v>
      </c>
      <c r="B1666" s="1" t="s">
        <v>4384</v>
      </c>
      <c r="C1666" s="1" t="s">
        <v>4434</v>
      </c>
      <c r="D1666" s="2" t="str">
        <f>IFERROR(__xludf.DUMMYFUNCTION("GOOGLETRANSLATE(B1666, ""en"", ""TL"")"),"Maaari bang humiling ang isang pasyente ng pangalawang opinyon, at anong mga legal na pagsasaalang-alang ang pumapalibot sa kahilingang ito?")</f>
        <v>Maaari bang humiling ang isang pasyente ng pangalawang opinyon, at anong mga legal na pagsasaalang-alang ang pumapalibot sa kahilingang ito?</v>
      </c>
      <c r="E1666" s="2" t="str">
        <f>IFERROR(__xludf.DUMMYFUNCTION("GOOGLETRANSLATE(C1666, ""en"", ""TL"")"),"Sa Pilipinas, ang mga pasyente ay nagtataglay ng mahahalagang karapatan tungkol sa kanilang pag-access sa mga serbisyo ng pangangalagang pangkalusugan. Kabilang sa mga karapatang ito ang:
Karapatan na Ma-access ang Pangangalagang Pangkalusugan:
Ang "&amp;"lahat ng mga indibidwal ay may karapatan na makatanggap ng napapanahon at naaangkop na mga serbisyo sa pangangalagang pangkalusugan nang hindi nahaharap sa diskriminasyon batay sa iba't ibang salik tulad ng katayuan sa socioeconomic o mga personal na kata"&amp;"ngian.
Karapatan sa May Kaalaman na Pahintulot:
Ang mga pasyente ay may karapatang makatanggap ng komprehensibong impormasyon tungkol sa kanilang kondisyong medikal, mga opsyon sa paggamot, mga nauugnay na panganib, benepisyo, at mga alternatibo bago "&amp;"sumailalim sa anumang medikal na pamamaraan. Tinitiyak nito na ang mga pasyente ay makakagawa ng matalinong mga desisyon tungkol sa kanilang pangangalagang pangkalusugan.
Karapatan sa Pagkapribado at Pagkakumpidensyal:
Ang mga pasyente ay may karapata"&amp;"n sa pagkapribado at pagiging kumpidensyal tungkol sa kanilang medikal na impormasyon. Ang mga tagapagbigay ng pangangalagang pangkalusugan ay obligado na panatilihin ang pagiging kumpidensyal at ibunyag lamang ang medikal na impormasyon sa mga awtorisado"&amp;"ng indibidwal para sa mga layunin ng pangangalagang pangkalusugan.
Karapatan sa De-kalidad na Pangangalaga:
Ang mga pasyente ay may karapatang tumanggap ng mga serbisyo sa pangangalagang pangkalusugan na nakakatugon sa mga itinatag na pamantayang medi"&amp;"kal, kabilang ang tumpak na diagnosis, naaangkop na paggamot, at follow-up na pangangalaga batay sa mga alituntuning batay sa ebidensya. Bukod pa rito, ang mga pasyente ay dapat tratuhin nang may dignidad at paggalang ng mga tagapagbigay ng pangangalagang"&amp;" pangkalusugan, anuman ang kanilang background o kondisyon ng kalusugan.
Tungkol sa pangalawang opinyon:
Habang ang mga pasyente ay walang legal na karapatan sa pangalawang opinyon, mayroon silang opsyon na humiling ng isa.
Ang paghanap ng pangalawan"&amp;"g opinyon ay hindi dapat ituring bilang isang pagkasira sa relasyon ng doktor-pasyente ngunit bilang isang paraan para sa mga pasyente na makakuha ng karagdagang mga insight o kumpirmahin ang kanilang paunang diagnosis o plano ng paggamot.
Karaniwan, ang"&amp;" opinyon ng pangalawang doktor ay susuportahan ang paunang opinyon o mag-aalok ng mga karagdagang pananaw upang matugunan ang mga alalahanin ng pasyente.")</f>
        <v>Sa Pilipinas, ang mga pasyente ay nagtataglay ng mahahalagang karapatan tungkol sa kanilang pag-access sa mga serbisyo ng pangangalagang pangkalusugan. Kabilang sa mga karapatang ito ang:
Karapatan na Ma-access ang Pangangalagang Pangkalusugan:
Ang lahat ng mga indibidwal ay may karapatan na makatanggap ng napapanahon at naaangkop na mga serbisyo sa pangangalagang pangkalusugan nang hindi nahaharap sa diskriminasyon batay sa iba't ibang salik tulad ng katayuan sa socioeconomic o mga personal na katangian.
Karapatan sa May Kaalaman na Pahintulot:
Ang mga pasyente ay may karapatang makatanggap ng komprehensibong impormasyon tungkol sa kanilang kondisyong medikal, mga opsyon sa paggamot, mga nauugnay na panganib, benepisyo, at mga alternatibo bago sumailalim sa anumang medikal na pamamaraan. Tinitiyak nito na ang mga pasyente ay makakagawa ng matalinong mga desisyon tungkol sa kanilang pangangalagang pangkalusugan.
Karapatan sa Pagkapribado at Pagkakumpidensyal:
Ang mga pasyente ay may karapatan sa pagkapribado at pagiging kumpidensyal tungkol sa kanilang medikal na impormasyon. Ang mga tagapagbigay ng pangangalagang pangkalusugan ay obligado na panatilihin ang pagiging kumpidensyal at ibunyag lamang ang medikal na impormasyon sa mga awtorisadong indibidwal para sa mga layunin ng pangangalagang pangkalusugan.
Karapatan sa De-kalidad na Pangangalaga:
Ang mga pasyente ay may karapatang tumanggap ng mga serbisyo sa pangangalagang pangkalusugan na nakakatugon sa mga itinatag na pamantayang medikal, kabilang ang tumpak na diagnosis, naaangkop na paggamot, at follow-up na pangangalaga batay sa mga alituntuning batay sa ebidensya. Bukod pa rito, ang mga pasyente ay dapat tratuhin nang may dignidad at paggalang ng mga tagapagbigay ng pangangalagang pangkalusugan, anuman ang kanilang background o kondisyon ng kalusugan.
Tungkol sa pangalawang opinyon:
Habang ang mga pasyente ay walang legal na karapatan sa pangalawang opinyon, mayroon silang opsyon na humiling ng isa.
Ang paghanap ng pangalawang opinyon ay hindi dapat ituring bilang isang pagkasira sa relasyon ng doktor-pasyente ngunit bilang isang paraan para sa mga pasyente na makakuha ng karagdagang mga insight o kumpirmahin ang kanilang paunang diagnosis o plano ng paggamot.
Karaniwan, ang opinyon ng pangalawang doktor ay susuportahan ang paunang opinyon o mag-aalok ng mga karagdagang pananaw upang matugunan ang mga alalahanin ng pasyente.</v>
      </c>
      <c r="F1666" s="2">
        <f t="shared" si="1"/>
        <v>2</v>
      </c>
      <c r="G1666" s="2"/>
      <c r="H1666" s="2"/>
      <c r="I1666" s="2"/>
      <c r="J1666" s="2"/>
      <c r="K1666" s="2"/>
      <c r="L1666" s="2"/>
      <c r="M1666" s="2"/>
      <c r="N1666" s="2"/>
      <c r="O1666" s="2"/>
      <c r="P1666" s="2"/>
      <c r="Q1666" s="2"/>
      <c r="R1666" s="2"/>
      <c r="S1666" s="2"/>
      <c r="T1666" s="2"/>
      <c r="U1666" s="2"/>
      <c r="V1666" s="2"/>
      <c r="W1666" s="2"/>
      <c r="X1666" s="2"/>
      <c r="Y1666" s="2"/>
      <c r="Z1666" s="2"/>
      <c r="AA1666" s="2"/>
    </row>
    <row r="1667">
      <c r="A1667" s="1" t="s">
        <v>4337</v>
      </c>
      <c r="B1667" s="1" t="s">
        <v>4435</v>
      </c>
      <c r="C1667" s="1" t="s">
        <v>4436</v>
      </c>
      <c r="D1667" s="2" t="str">
        <f>IFERROR(__xludf.DUMMYFUNCTION("GOOGLETRANSLATE(B1667, ""en"", ""TL"")"),"Anong mga batas ang kumokontrol sa paggamit ng mga elektronikong rekord ng kalusugan at mga sistema ng impormasyon sa larangang medikal?")</f>
        <v>Anong mga batas ang kumokontrol sa paggamit ng mga elektronikong rekord ng kalusugan at mga sistema ng impormasyon sa larangang medikal?</v>
      </c>
      <c r="E1667" s="2" t="str">
        <f>IFERROR(__xludf.DUMMYFUNCTION("GOOGLETRANSLATE(C1667, ""en"", ""TL"")"),"Sa Pilipinas, ang paggamit ng mga electronic health records (EHRs) at mga sistema ng impormasyon sa sektor ng medikal ay pinamamahalaan ng ilang mga panukalang batas:
Universal Health Care Act (Republic Act No. 11223):
Naisabatas noong 2019, ang batas na "&amp;"ito ay naglalayong magtatag ng pangkalahatang pangangalagang pangkalusugan para sa lahat ng Pilipino, magdala ng mga reporma sa sistema ng pangangalagang pangkalusugan at maglaan ng mga pondo para sa pagpapatupad nito.
Ang mga nauugnay na probisyon na may"&amp;" kaugnayan sa mga EHR at mga sistema ng impormasyon ay nag-uutos na ang mga tagapagbigay ng serbisyong pangkalusugan at mga tagaseguro ay magpanatili ng isang komprehensibong sistema ng impormasyon sa kalusugan, kabilang ang mga elektronikong talaan ng ka"&amp;"lusugan at mga tala ng reseta, na sumusunod sa mga pamantayan ng Department of Health (DOH). Kinakailangan ang mga regular na electronic update ng data na ito.
Binibigyang-diin ng batas ang pinagsama-sama at komprehensibong mga diskarte sa kaalaman sa kal"&amp;"usugan, kondisyon ng pamumuhay, at proteksyon mula sa mga panganib sa kalusugan, na inuuna ang pagbibigay ng serbisyong pangkalusugan na nakasentro sa mga tao.
Batas sa Privacy ng Data ng 2012:
Bagama't hindi partikular sa pangangalagang pangkalusugan, ki"&amp;"nokontrol ng batas na ito ang pagproseso ng personal na data, kabilang ang impormasyong pangkalusugan. Tinitiyak nito ang pagiging kumpidensyal at pagkapribado ng mga medikal na rekord habang binibigyan ang mga pasyente ng access sa kanilang data ng kalus"&amp;"ugan.
Batas Medikal ng 1959:
Bagama't hindi direktang tinutugunan ang mga EHR, ang batas na ito ay nagtatakda ng mga pamantayang etikal at propesyonal para sa mga medikal na practitioner sa Pilipinas, na hindi direktang nakakaimpluwensya sa kung paano pin"&amp;"angangasiwaan ang impormasyon at mga rekord ng pasyente.
Mga Patakaran at Alituntunin sa Ospital:
Ang mga indibidwal na ospital at institusyon ng pangangalagang pangkalusugan ay madalas na nagtatatag ng kanilang sariling mga protocol tungkol sa mga EHR at"&amp;" mga sistema ng impormasyon, kabilang ang mga hakbang para sa seguridad ng data, kontrol sa pag-access, at mga kasanayan sa dokumentasyon.
Sa esensya, malaki ang impluwensya ng Universal Health Care Act sa pagpapatibay ng mga EHR at mga sistema ng imporma"&amp;"syon sa Pilipinas, na nagbibigay-diin sa pagiging naa-access, kalidad, at proteksyon ng data ng pasyente. Bukod pa rito, tinitiyak ng Data Privacy Act ang pagiging kumpidensyal ng mga rekord ng kalusugan at binibigyan ang mga pasyente ng access sa kanilan"&amp;"g impormasyon. Ang mga patakaran sa panloob na ospital ay higit na tinitiyak ang epektibo at ligtas na paggamit ng mga EHR.")</f>
        <v>Sa Pilipinas, ang paggamit ng mga electronic health records (EHRs) at mga sistema ng impormasyon sa sektor ng medikal ay pinamamahalaan ng ilang mga panukalang batas:
Universal Health Care Act (Republic Act No. 11223):
Naisabatas noong 2019, ang batas na ito ay naglalayong magtatag ng pangkalahatang pangangalagang pangkalusugan para sa lahat ng Pilipino, magdala ng mga reporma sa sistema ng pangangalagang pangkalusugan at maglaan ng mga pondo para sa pagpapatupad nito.
Ang mga nauugnay na probisyon na may kaugnayan sa mga EHR at mga sistema ng impormasyon ay nag-uutos na ang mga tagapagbigay ng serbisyong pangkalusugan at mga tagaseguro ay magpanatili ng isang komprehensibong sistema ng impormasyon sa kalusugan, kabilang ang mga elektronikong talaan ng kalusugan at mga tala ng reseta, na sumusunod sa mga pamantayan ng Department of Health (DOH). Kinakailangan ang mga regular na electronic update ng data na ito.
Binibigyang-diin ng batas ang pinagsama-sama at komprehensibong mga diskarte sa kaalaman sa kalusugan, kondisyon ng pamumuhay, at proteksyon mula sa mga panganib sa kalusugan, na inuuna ang pagbibigay ng serbisyong pangkalusugan na nakasentro sa mga tao.
Batas sa Privacy ng Data ng 2012:
Bagama't hindi partikular sa pangangalagang pangkalusugan, kinokontrol ng batas na ito ang pagproseso ng personal na data, kabilang ang impormasyong pangkalusugan. Tinitiyak nito ang pagiging kumpidensyal at pagkapribado ng mga medikal na rekord habang binibigyan ang mga pasyente ng access sa kanilang data ng kalusugan.
Batas Medikal ng 1959:
Bagama't hindi direktang tinutugunan ang mga EHR, ang batas na ito ay nagtatakda ng mga pamantayang etikal at propesyonal para sa mga medikal na practitioner sa Pilipinas, na hindi direktang nakakaimpluwensya sa kung paano pinangangasiwaan ang impormasyon at mga rekord ng pasyente.
Mga Patakaran at Alituntunin sa Ospital:
Ang mga indibidwal na ospital at institusyon ng pangangalagang pangkalusugan ay madalas na nagtatatag ng kanilang sariling mga protocol tungkol sa mga EHR at mga sistema ng impormasyon, kabilang ang mga hakbang para sa seguridad ng data, kontrol sa pag-access, at mga kasanayan sa dokumentasyon.
Sa esensya, malaki ang impluwensya ng Universal Health Care Act sa pagpapatibay ng mga EHR at mga sistema ng impormasyon sa Pilipinas, na nagbibigay-diin sa pagiging naa-access, kalidad, at proteksyon ng data ng pasyente. Bukod pa rito, tinitiyak ng Data Privacy Act ang pagiging kumpidensyal ng mga rekord ng kalusugan at binibigyan ang mga pasyente ng access sa kanilang impormasyon. Ang mga patakaran sa panloob na ospital ay higit na tinitiyak ang epektibo at ligtas na paggamit ng mga EHR.</v>
      </c>
      <c r="F1667" s="2">
        <f t="shared" si="1"/>
        <v>1</v>
      </c>
      <c r="G1667" s="2"/>
      <c r="H1667" s="2"/>
      <c r="I1667" s="2"/>
      <c r="J1667" s="2"/>
      <c r="K1667" s="2"/>
      <c r="L1667" s="2"/>
      <c r="M1667" s="2"/>
      <c r="N1667" s="2"/>
      <c r="O1667" s="2"/>
      <c r="P1667" s="2"/>
      <c r="Q1667" s="2"/>
      <c r="R1667" s="2"/>
      <c r="S1667" s="2"/>
      <c r="T1667" s="2"/>
      <c r="U1667" s="2"/>
      <c r="V1667" s="2"/>
      <c r="W1667" s="2"/>
      <c r="X1667" s="2"/>
      <c r="Y1667" s="2"/>
      <c r="Z1667" s="2"/>
      <c r="AA1667" s="2"/>
    </row>
    <row r="1668">
      <c r="A1668" s="1" t="s">
        <v>4337</v>
      </c>
      <c r="B1668" s="1" t="s">
        <v>4406</v>
      </c>
      <c r="C1668" s="1" t="s">
        <v>4437</v>
      </c>
      <c r="D1668" s="2" t="str">
        <f>IFERROR(__xludf.DUMMYFUNCTION("GOOGLETRANSLATE(B1668, ""en"", ""TL"")"),"Paano tinutugunan ang mga salungatan ng interes sa medikal na propesyon, partikular sa pananaliksik at pangangalaga sa pasyente?")</f>
        <v>Paano tinutugunan ang mga salungatan ng interes sa medikal na propesyon, partikular sa pananaliksik at pangangalaga sa pasyente?</v>
      </c>
      <c r="E1668" s="2" t="str">
        <f>IFERROR(__xludf.DUMMYFUNCTION("GOOGLETRANSLATE(C1668, ""en"", ""TL"")"),"Sa Pilipinas, kinikilala ang mga conflict of interest (COI) sa loob ng medikal na propesyon bilang mga potensyal na banta sa kapakanan ng pasyente at integridad ng propesyonal. Narito kung paano sila tinutugunan:
Regulatory Framework:
Professional R"&amp;"egulation Commission (PRC)'s Code of Ethics: Nag-uutos sa mga doktor, gaya ng binalangkas ng Philippine Medical Association (PMA), na kilalanin at ibunyag ang mga COI sa iba't ibang sitwasyon, kabilang ang mga aktibidad sa pananaliksik at pakikipag-ugnaya"&amp;"n ng pasyente.
Mga Patakaran sa Institusyon:
Ang mga ospital at institusyong medikal ay karaniwang nagtatatag ng kanilang sariling mga patakaran sa COI, na tumutukoy sa mga potensyal na sitwasyon ng salungatan at nagbabalangkas ng mga pamamaraan para "&amp;"sa mga healthcare provider upang pamahalaan ang mga ito. Maaaring kabilang sa mga patakarang ito ang mga kinakailangan para sa pagsisiwalat at mga hakbang upang mabawasan ang mga potensyal na bias.
Pagtugon sa COI sa Pananaliksik at Pangangalaga sa Pasye"&amp;"nte:
Pananaliksik: Binibigyang-diin ang kahalagahan ng pagsisiwalat ng mga COI sa mga publikasyong pananaliksik at mga klinikal na pagsubok upang bigyang-daan ang transparency at pagtatasa ng potensyal na bias sa mga natuklasan sa pananaliksik.
Pangan"&amp;"galaga sa Pasyente: Tinutukoy ang mga partikular na sitwasyon sa pangangalaga ng pasyente na maaaring humantong sa mga COI, gaya ng pinansyal na kaugnayan ng doktor sa mga pasilidad ng pangangalagang pangkalusugan o impluwensya mula sa industriya ng parma"&amp;"syutiko. Itinatampok ng mga sitwasyong ito ang kahalagahan ng transparency at walang pinapanigan na paggawa ng desisyon sa pangangalaga ng pasyente.
Mga Hamon at Pasulong:
Habang ang mga regulasyon at patakaran ay nasa lugar, ang epektibong pagpapatup"&amp;"ad ng mga ito ay nananatiling isang patuloy na hamon. May pangangailangan na palakasin ang transparency at pagyamanin ang tiwala sa pagitan ng mga doktor at pasyente upang matugunan nang epektibo ang COI.")</f>
        <v>Sa Pilipinas, kinikilala ang mga conflict of interest (COI) sa loob ng medikal na propesyon bilang mga potensyal na banta sa kapakanan ng pasyente at integridad ng propesyonal. Narito kung paano sila tinutugunan:
Regulatory Framework:
Professional Regulation Commission (PRC)'s Code of Ethics: Nag-uutos sa mga doktor, gaya ng binalangkas ng Philippine Medical Association (PMA), na kilalanin at ibunyag ang mga COI sa iba't ibang sitwasyon, kabilang ang mga aktibidad sa pananaliksik at pakikipag-ugnayan ng pasyente.
Mga Patakaran sa Institusyon:
Ang mga ospital at institusyong medikal ay karaniwang nagtatatag ng kanilang sariling mga patakaran sa COI, na tumutukoy sa mga potensyal na sitwasyon ng salungatan at nagbabalangkas ng mga pamamaraan para sa mga healthcare provider upang pamahalaan ang mga ito. Maaaring kabilang sa mga patakarang ito ang mga kinakailangan para sa pagsisiwalat at mga hakbang upang mabawasan ang mga potensyal na bias.
Pagtugon sa COI sa Pananaliksik at Pangangalaga sa Pasyente:
Pananaliksik: Binibigyang-diin ang kahalagahan ng pagsisiwalat ng mga COI sa mga publikasyong pananaliksik at mga klinikal na pagsubok upang bigyang-daan ang transparency at pagtatasa ng potensyal na bias sa mga natuklasan sa pananaliksik.
Pangangalaga sa Pasyente: Tinutukoy ang mga partikular na sitwasyon sa pangangalaga ng pasyente na maaaring humantong sa mga COI, gaya ng pinansyal na kaugnayan ng doktor sa mga pasilidad ng pangangalagang pangkalusugan o impluwensya mula sa industriya ng parmasyutiko. Itinatampok ng mga sitwasyong ito ang kahalagahan ng transparency at walang pinapanigan na paggawa ng desisyon sa pangangalaga ng pasyente.
Mga Hamon at Pasulong:
Habang ang mga regulasyon at patakaran ay nasa lugar, ang epektibong pagpapatupad ng mga ito ay nananatiling isang patuloy na hamon. May pangangailangan na palakasin ang transparency at pagyamanin ang tiwala sa pagitan ng mga doktor at pasyente upang matugunan nang epektibo ang COI.</v>
      </c>
      <c r="F1668" s="2">
        <f t="shared" si="1"/>
        <v>1</v>
      </c>
      <c r="G1668" s="2"/>
      <c r="H1668" s="2"/>
      <c r="I1668" s="2"/>
      <c r="J1668" s="2"/>
      <c r="K1668" s="2"/>
      <c r="L1668" s="2"/>
      <c r="M1668" s="2"/>
      <c r="N1668" s="2"/>
      <c r="O1668" s="2"/>
      <c r="P1668" s="2"/>
      <c r="Q1668" s="2"/>
      <c r="R1668" s="2"/>
      <c r="S1668" s="2"/>
      <c r="T1668" s="2"/>
      <c r="U1668" s="2"/>
      <c r="V1668" s="2"/>
      <c r="W1668" s="2"/>
      <c r="X1668" s="2"/>
      <c r="Y1668" s="2"/>
      <c r="Z1668" s="2"/>
      <c r="AA1668" s="2"/>
    </row>
    <row r="1669">
      <c r="A1669" s="1" t="s">
        <v>4337</v>
      </c>
      <c r="B1669" s="1" t="s">
        <v>4386</v>
      </c>
      <c r="C1669" s="1" t="s">
        <v>4438</v>
      </c>
      <c r="D1669" s="2" t="str">
        <f>IFERROR(__xludf.DUMMYFUNCTION("GOOGLETRANSLATE(B1669, ""en"", ""TL"")"),"Anong mga legal na proteksyon ang umiiral para sa mga medikal na practitioner na nag-uulat ng mga hindi etikal o ilegal na gawain sa loob ng kanilang mga institusyon?")</f>
        <v>Anong mga legal na proteksyon ang umiiral para sa mga medikal na practitioner na nag-uulat ng mga hindi etikal o ilegal na gawain sa loob ng kanilang mga institusyon?</v>
      </c>
      <c r="E1669" s="2" t="str">
        <f>IFERROR(__xludf.DUMMYFUNCTION("GOOGLETRANSLATE(C1669, ""en"", ""TL"")"),"Sa Pilipinas, ang mga tagapagbigay ng pangangalagang pangkalusugan, tulad ng mga pasyente, ay may mga karapatan at responsibilidad na tinukoy ng mga batas sa pangangalagang pangkalusugan at medikal. Dito, nakatuon kami sa mga legal na pananggalang para sa"&amp;" mga medikal na practitioner na nagbubunyag ng hindi etikal o ilegal na pag-uugali sa loob ng kanilang mga institusyon:
Tungkulin na Mag-ulat ng Mga Hindi Etikal na Kasanayan:
Hinihimok ng Philippine Medical Association (PMA) Code of Ethics ang mga mangga"&amp;"gamot na ilantad at iulat ang mga walang lisensyang practitioner, charlatan, at pandaraya. Ang obligasyong ito ay nagmumula sa potensyal na pinsala na maaaring idulot ng gayong mga kasanayan sa kalusugan at buhay. Pinapayuhan ang mga doktor laban sa pagku"&amp;"nsinti o pakikipagtulungan sa mga mapanlinlang na tagapagbigay ng kalusugan.
Proteksyon ng mga Whistleblower:
Bagama't hindi partikular na iniakma para sa mga medikal na practitioner, karaniwang pinoprotektahan ng batas ng Pilipinas ang mga whistleblower."&amp;" Ang mga propesyonal sa pangangalagang pangkalusugan na nagsisiwalat ng hindi etikal o ilegal na mga gawi sa loob ng kanilang lugar ng trabaho ay pinangangalagaan mula sa paghihiganti, diskriminasyon, o masamang epekto.
Ang mga batas sa proteksyon ng whis"&amp;"tleblower ay naglalayon na pasiglahin ang isang kapaligiran kung saan ang mga indibidwal ay maaaring mag-ulat ng maling gawain nang walang takot sa paghihiganti.
Pagpapasya ng Court of Appeals:
Binigyang-diin ng isang kamakailang desisyon ng Court of Appe"&amp;"als (CA) na ang mga institusyong pangkalusugan at mga medikal na practitioner ay dapat umiwas sa paglahok sa mga labag sa batas na aktibidad para samantalahin ang mga benepisyong ibinibigay ng Philippine Health Insurance Corporation (PhilHealth). Binibigy"&amp;"ang-diin ng desisyong ito ang kahalagahan ng etikal na pag-uugali at hindi hinihikayat ang paglahok sa mga ipinagbabawal na gawain.
Medikal na Malpractice at Legal na Immunity:
Bagama't hindi direktang nauugnay sa pag-uulat ng mga hindi etikal na gawi, ma"&amp;"halagang tandaan na ang mga manggagamot sa Pilipinas ay nakikinabang sa legal na kaligtasan sa ilalim ng mga partikular na batas.
Bagama't walang pananagutan ang mga doktor para sa mga partikular na resulta, inaasahang susunod sila sa mga itinatag na pama"&amp;"ntayang medikal at maghahatid ng mga de-kalidad na serbisyo sa pangangalagang pangkalusugan. Ang pagkilos sa etika at sa loob ng mga propesyonal na hangganan ay karaniwang pinoprotektahan ang mga medikal na practitioner mula sa legal na pananagutan.
Sa es"&amp;"ensya, ang mga medikal na practitioner na nagsisiwalat ng hindi etikal o ilegal na mga kasanayan ay tumatanggap ng legal na suporta sa pamamagitan ng mga umiiral na batas, mga alituntunin sa etika, at mga proteksyon ng whistleblower. Ang pagpapaunlad ng t"&amp;"ransparency at pananagutan ay mga benepisyo ng parehong mga pasyente at ang sistema ng pangangalagang pangkalusugan sa pangkalahatan.")</f>
        <v>Sa Pilipinas, ang mga tagapagbigay ng pangangalagang pangkalusugan, tulad ng mga pasyente, ay may mga karapatan at responsibilidad na tinukoy ng mga batas sa pangangalagang pangkalusugan at medikal. Dito, nakatuon kami sa mga legal na pananggalang para sa mga medikal na practitioner na nagbubunyag ng hindi etikal o ilegal na pag-uugali sa loob ng kanilang mga institusyon:
Tungkulin na Mag-ulat ng Mga Hindi Etikal na Kasanayan:
Hinihimok ng Philippine Medical Association (PMA) Code of Ethics ang mga manggagamot na ilantad at iulat ang mga walang lisensyang practitioner, charlatan, at pandaraya. Ang obligasyong ito ay nagmumula sa potensyal na pinsala na maaaring idulot ng gayong mga kasanayan sa kalusugan at buhay. Pinapayuhan ang mga doktor laban sa pagkunsinti o pakikipagtulungan sa mga mapanlinlang na tagapagbigay ng kalusugan.
Proteksyon ng mga Whistleblower:
Bagama't hindi partikular na iniakma para sa mga medikal na practitioner, karaniwang pinoprotektahan ng batas ng Pilipinas ang mga whistleblower. Ang mga propesyonal sa pangangalagang pangkalusugan na nagsisiwalat ng hindi etikal o ilegal na mga gawi sa loob ng kanilang lugar ng trabaho ay pinangangalagaan mula sa paghihiganti, diskriminasyon, o masamang epekto.
Ang mga batas sa proteksyon ng whistleblower ay naglalayon na pasiglahin ang isang kapaligiran kung saan ang mga indibidwal ay maaaring mag-ulat ng maling gawain nang walang takot sa paghihiganti.
Pagpapasya ng Court of Appeals:
Binigyang-diin ng isang kamakailang desisyon ng Court of Appeals (CA) na ang mga institusyong pangkalusugan at mga medikal na practitioner ay dapat umiwas sa paglahok sa mga labag sa batas na aktibidad para samantalahin ang mga benepisyong ibinibigay ng Philippine Health Insurance Corporation (PhilHealth). Binibigyang-diin ng desisyong ito ang kahalagahan ng etikal na pag-uugali at hindi hinihikayat ang paglahok sa mga ipinagbabawal na gawain.
Medikal na Malpractice at Legal na Immunity:
Bagama't hindi direktang nauugnay sa pag-uulat ng mga hindi etikal na gawi, mahalagang tandaan na ang mga manggagamot sa Pilipinas ay nakikinabang sa legal na kaligtasan sa ilalim ng mga partikular na batas.
Bagama't walang pananagutan ang mga doktor para sa mga partikular na resulta, inaasahang susunod sila sa mga itinatag na pamantayang medikal at maghahatid ng mga de-kalidad na serbisyo sa pangangalagang pangkalusugan. Ang pagkilos sa etika at sa loob ng mga propesyonal na hangganan ay karaniwang pinoprotektahan ang mga medikal na practitioner mula sa legal na pananagutan.
Sa esensya, ang mga medikal na practitioner na nagsisiwalat ng hindi etikal o ilegal na mga kasanayan ay tumatanggap ng legal na suporta sa pamamagitan ng mga umiiral na batas, mga alituntunin sa etika, at mga proteksyon ng whistleblower. Ang pagpapaunlad ng transparency at pananagutan ay mga benepisyo ng parehong mga pasyente at ang sistema ng pangangalagang pangkalusugan sa pangkalahatan.</v>
      </c>
      <c r="F1669" s="2">
        <f t="shared" si="1"/>
        <v>1</v>
      </c>
      <c r="G1669" s="2"/>
      <c r="H1669" s="2"/>
      <c r="I1669" s="2"/>
      <c r="J1669" s="2"/>
      <c r="K1669" s="2"/>
      <c r="L1669" s="2"/>
      <c r="M1669" s="2"/>
      <c r="N1669" s="2"/>
      <c r="O1669" s="2"/>
      <c r="P1669" s="2"/>
      <c r="Q1669" s="2"/>
      <c r="R1669" s="2"/>
      <c r="S1669" s="2"/>
      <c r="T1669" s="2"/>
      <c r="U1669" s="2"/>
      <c r="V1669" s="2"/>
      <c r="W1669" s="2"/>
      <c r="X1669" s="2"/>
      <c r="Y1669" s="2"/>
      <c r="Z1669" s="2"/>
      <c r="AA1669" s="2"/>
    </row>
    <row r="1670">
      <c r="A1670" s="1" t="s">
        <v>4337</v>
      </c>
      <c r="B1670" s="1" t="s">
        <v>4368</v>
      </c>
      <c r="C1670" s="1" t="s">
        <v>4439</v>
      </c>
      <c r="D1670" s="2" t="str">
        <f>IFERROR(__xludf.DUMMYFUNCTION("GOOGLETRANSLATE(B1670, ""en"", ""TL"")"),"Anong mga legal na probisyon ang tumutugon sa paglipat ng organ at donasyon sa Pilipinas?")</f>
        <v>Anong mga legal na probisyon ang tumutugon sa paglipat ng organ at donasyon sa Pilipinas?</v>
      </c>
      <c r="E1670" s="2" t="str">
        <f>IFERROR(__xludf.DUMMYFUNCTION("GOOGLETRANSLATE(C1670, ""en"", ""TL"")"),"Sa Pilipinas, ang mga legal na probisyon ay namamahala sa paglipat ng organ at donasyon, kabilang ang mga sumusunod:
Republic Act No. 7170 (Organ Donation Act of 1991):
- Pinahihintulutan ng batas na ito ang pamana o donasyon ng lahat o bahagi ng kata"&amp;"wan ng tao pagkatapos ng kamatayan para sa mga partikular na layunin.
- Tinutukoy nito ang mga termino tulad ng Organ Bank Storage Facility, Decedent, Donor, Part, at Death, na tinitiyak na ang donasyon ng organ ay isinasagawa nang etikal at legal.
Ph"&amp;"ilippine Organ and Tissue Donation and Transplantation Board (POTDTB):
- Pinangangasiwaan ng lupon na ito ang donasyon ng organ at tissue at mga aktibidad sa paglipat sa bansa.
Administrative Order No. 2010-0019:
- Ang kautusang ito ay nagtatatag ng "&amp;"isang Pambansang Programa para sa Pagbabahagi ng mga Organo mula sa mga Namayapang Donor.
Iminungkahing Batas:
- Mayroong patuloy na inisyatiba upang amyendahan ang Republic Act No. 7170 upang isulong ang isang ""opt-out"" na sistema ng organ donation"&amp;" at transplantation. Binibigyang-diin nito ang karapatan sa kalusugan at nagpapataw ng mga parusa para sa hindi pagsunod.")</f>
        <v>Sa Pilipinas, ang mga legal na probisyon ay namamahala sa paglipat ng organ at donasyon, kabilang ang mga sumusunod:
Republic Act No. 7170 (Organ Donation Act of 1991):
- Pinahihintulutan ng batas na ito ang pamana o donasyon ng lahat o bahagi ng katawan ng tao pagkatapos ng kamatayan para sa mga partikular na layunin.
- Tinutukoy nito ang mga termino tulad ng Organ Bank Storage Facility, Decedent, Donor, Part, at Death, na tinitiyak na ang donasyon ng organ ay isinasagawa nang etikal at legal.
Philippine Organ and Tissue Donation and Transplantation Board (POTDTB):
- Pinangangasiwaan ng lupon na ito ang donasyon ng organ at tissue at mga aktibidad sa paglipat sa bansa.
Administrative Order No. 2010-0019:
- Ang kautusang ito ay nagtatatag ng isang Pambansang Programa para sa Pagbabahagi ng mga Organo mula sa mga Namayapang Donor.
Iminungkahing Batas:
- Mayroong patuloy na inisyatiba upang amyendahan ang Republic Act No. 7170 upang isulong ang isang "opt-out" na sistema ng organ donation at transplantation. Binibigyang-diin nito ang karapatan sa kalusugan at nagpapataw ng mga parusa para sa hindi pagsunod.</v>
      </c>
      <c r="F1670" s="2">
        <f t="shared" si="1"/>
        <v>1</v>
      </c>
      <c r="G1670" s="2"/>
      <c r="H1670" s="2"/>
      <c r="I1670" s="2"/>
      <c r="J1670" s="2"/>
      <c r="K1670" s="2"/>
      <c r="L1670" s="2"/>
      <c r="M1670" s="2"/>
      <c r="N1670" s="2"/>
      <c r="O1670" s="2"/>
      <c r="P1670" s="2"/>
      <c r="Q1670" s="2"/>
      <c r="R1670" s="2"/>
      <c r="S1670" s="2"/>
      <c r="T1670" s="2"/>
      <c r="U1670" s="2"/>
      <c r="V1670" s="2"/>
      <c r="W1670" s="2"/>
      <c r="X1670" s="2"/>
      <c r="Y1670" s="2"/>
      <c r="Z1670" s="2"/>
      <c r="AA1670" s="2"/>
    </row>
    <row r="1671">
      <c r="A1671" s="1" t="s">
        <v>4337</v>
      </c>
      <c r="B1671" s="1" t="s">
        <v>4440</v>
      </c>
      <c r="C1671" s="1" t="s">
        <v>4441</v>
      </c>
      <c r="D1671" s="2" t="str">
        <f>IFERROR(__xludf.DUMMYFUNCTION("GOOGLETRANSLATE(B1671, ""en"", ""TL"")"),"Paano tinutugunan ng batas ang isyu ng medikal na pahintulot para sa mga indibidwal na may pinaliit na kakayahan sa pag-iisip?")</f>
        <v>Paano tinutugunan ng batas ang isyu ng medikal na pahintulot para sa mga indibidwal na may pinaliit na kakayahan sa pag-iisip?</v>
      </c>
      <c r="E1671" s="2" t="str">
        <f>IFERROR(__xludf.DUMMYFUNCTION("GOOGLETRANSLATE(C1671, ""en"", ""TL"")"),"Ayon sa CODE OF ETHICS OF THE PHILIPPINE MEDICAL ASSOCIATION. Ang isang manggagamot ay dapat humingi ng libre at kaalamang pahintulot ng pasyente. Kung sakaling mawalan ng malay o kakulangan sa pag-iisip, ang may-katuturang pahintulot ay maaaring ibigay n"&amp;"g isang asawa o malapit na kamag-anak, o kung wala silang dalawa, ng partidong pinahintulutan sa ilalim ng paunang direktiba ng pasyente.")</f>
        <v>Ayon sa CODE OF ETHICS OF THE PHILIPPINE MEDICAL ASSOCIATION. Ang isang manggagamot ay dapat humingi ng libre at kaalamang pahintulot ng pasyente. Kung sakaling mawalan ng malay o kakulangan sa pag-iisip, ang may-katuturang pahintulot ay maaaring ibigay ng isang asawa o malapit na kamag-anak, o kung wala silang dalawa, ng partidong pinahintulutan sa ilalim ng paunang direktiba ng pasyente.</v>
      </c>
      <c r="F1671" s="2">
        <f t="shared" si="1"/>
        <v>0</v>
      </c>
      <c r="G1671" s="2"/>
      <c r="H1671" s="2"/>
      <c r="I1671" s="2"/>
      <c r="J1671" s="2"/>
      <c r="K1671" s="2"/>
      <c r="L1671" s="2"/>
      <c r="M1671" s="2"/>
      <c r="N1671" s="2"/>
      <c r="O1671" s="2"/>
      <c r="P1671" s="2"/>
      <c r="Q1671" s="2"/>
      <c r="R1671" s="2"/>
      <c r="S1671" s="2"/>
      <c r="T1671" s="2"/>
      <c r="U1671" s="2"/>
      <c r="V1671" s="2"/>
      <c r="W1671" s="2"/>
      <c r="X1671" s="2"/>
      <c r="Y1671" s="2"/>
      <c r="Z1671" s="2"/>
      <c r="AA1671" s="2"/>
    </row>
    <row r="1672">
      <c r="A1672" s="1" t="s">
        <v>4337</v>
      </c>
      <c r="B1672" s="1" t="s">
        <v>4442</v>
      </c>
      <c r="C1672" s="1" t="s">
        <v>4411</v>
      </c>
      <c r="D1672" s="2" t="str">
        <f>IFERROR(__xludf.DUMMYFUNCTION("GOOGLETRANSLATE(B1672, ""en"", ""TL"")"),"Anong mga legal na karapatan ang mayroon ang mga pasyente sa pagkuha ng kopya ng kanilang mga medikal na rekord para sa mga legal na layunin?")</f>
        <v>Anong mga legal na karapatan ang mayroon ang mga pasyente sa pagkuha ng kopya ng kanilang mga medikal na rekord para sa mga legal na layunin?</v>
      </c>
      <c r="E1672" s="2" t="str">
        <f>IFERROR(__xludf.DUMMYFUNCTION("GOOGLETRANSLATE(C1672, ""en"", ""TL"")"),"Sa Pilipinas, ang karapatang ma-access ang mga personal na rekord ng medikal ay protektado ng ilang mga batas, lalo na ang Data Privacy Act of 2012 at ang Medical Act of 1959. Pinoprotektahan ng mga panuntunang ito ang pagiging kompidensiyal at privacy ng"&amp;" mga medikal na rekord habang pinapayagan ang mga pasyente na ma-access ang kanilang sariling impormasyon sa kalusugan .")</f>
        <v>Sa Pilipinas, ang karapatang ma-access ang mga personal na rekord ng medikal ay protektado ng ilang mga batas, lalo na ang Data Privacy Act of 2012 at ang Medical Act of 1959. Pinoprotektahan ng mga panuntunang ito ang pagiging kompidensiyal at privacy ng mga medikal na rekord habang pinapayagan ang mga pasyente na ma-access ang kanilang sariling impormasyon sa kalusugan .</v>
      </c>
      <c r="F1672" s="2">
        <f t="shared" si="1"/>
        <v>1</v>
      </c>
      <c r="G1672" s="2"/>
      <c r="H1672" s="2"/>
      <c r="I1672" s="2"/>
      <c r="J1672" s="2"/>
      <c r="K1672" s="2"/>
      <c r="L1672" s="2"/>
      <c r="M1672" s="2"/>
      <c r="N1672" s="2"/>
      <c r="O1672" s="2"/>
      <c r="P1672" s="2"/>
      <c r="Q1672" s="2"/>
      <c r="R1672" s="2"/>
      <c r="S1672" s="2"/>
      <c r="T1672" s="2"/>
      <c r="U1672" s="2"/>
      <c r="V1672" s="2"/>
      <c r="W1672" s="2"/>
      <c r="X1672" s="2"/>
      <c r="Y1672" s="2"/>
      <c r="Z1672" s="2"/>
      <c r="AA1672" s="2"/>
    </row>
    <row r="1673">
      <c r="A1673" s="1" t="s">
        <v>4337</v>
      </c>
      <c r="B1673" s="1" t="s">
        <v>4362</v>
      </c>
      <c r="C1673" s="1" t="s">
        <v>4443</v>
      </c>
      <c r="D1673" s="2" t="str">
        <f>IFERROR(__xludf.DUMMYFUNCTION("GOOGLETRANSLATE(B1673, ""en"", ""TL"")"),"Sa ilalim ng anong mga kalagayan maaaring managot ng kriminal ang isang medikal na practitioner para sa kapabayaan o malpractice?")</f>
        <v>Sa ilalim ng anong mga kalagayan maaaring managot ng kriminal ang isang medikal na practitioner para sa kapabayaan o malpractice?</v>
      </c>
      <c r="E1673" s="2" t="str">
        <f>IFERROR(__xludf.DUMMYFUNCTION("GOOGLETRANSLATE(C1673, ""en"", ""TL"")"),"Sa Pilipinas, ang mga medikal na practitioner ay maaaring humarap sa kriminal na pananagutan para sa kapabayaan o malpractice sa ilalim ng mga partikular na kondisyon, gaya ng nakabalangkas sa ibaba:
Mga Batas at Regulasyon sa Malpractice ng Medikal:
"&amp;"- Ang malpractice sa medikal ay sumasaklaw sa parehong kriminal at sibil na pananagutan at pinamamahalaan ng iba't ibang batas, kabilang ang Medical Act of 1959 at Civil Code of the Philippines.
- Ang Anti-Malpractice Act ay tahasang tinutugunan ang medi"&amp;"kal na malpractice, na nagsasaad na ang mga medikal na practitioner na nagsasagawa ng mga gawaing bumubuo ng malpractice o iligal na operasyon ay maaaring maharap sa pagkakulong, multa, o pagbawi ng kanilang medikal na lisensya.
Mga Elemento ng Medikal"&amp;" na Kapabayaan:
- Upang maitaguyod ang medikal na malpractice, dapat na mapatunayan na ang medikal na kapabayaan ay nangyari.
- Ang pagsasagawa ng medisina sa Pilipinas nang walang wastong sertipikasyon mula sa Lupon ng mga Medical Examiner ay bubuo ng "&amp;"medikal na malpractice.
Halimbawa ng Kaso:
- Sa isang makabuluhang kaso, ang Ospital ng San Juan de Dios at dalawang doktor ay sama-samang napatunayang mananagot para sa pabaya na medikal na pagsasanay. Iginawad ng korte ang danyos sa nagsasakdal kasu"&amp;"nod ng maling pagkamatay ng kanyang anak, dahil umano sa kapabayaan ng mga doktor at ospital.")</f>
        <v>Sa Pilipinas, ang mga medikal na practitioner ay maaaring humarap sa kriminal na pananagutan para sa kapabayaan o malpractice sa ilalim ng mga partikular na kondisyon, gaya ng nakabalangkas sa ibaba:
Mga Batas at Regulasyon sa Malpractice ng Medikal:
- Ang malpractice sa medikal ay sumasaklaw sa parehong kriminal at sibil na pananagutan at pinamamahalaan ng iba't ibang batas, kabilang ang Medical Act of 1959 at Civil Code of the Philippines.
- Ang Anti-Malpractice Act ay tahasang tinutugunan ang medikal na malpractice, na nagsasaad na ang mga medikal na practitioner na nagsasagawa ng mga gawaing bumubuo ng malpractice o iligal na operasyon ay maaaring maharap sa pagkakulong, multa, o pagbawi ng kanilang medikal na lisensya.
Mga Elemento ng Medikal na Kapabayaan:
- Upang maitaguyod ang medikal na malpractice, dapat na mapatunayan na ang medikal na kapabayaan ay nangyari.
- Ang pagsasagawa ng medisina sa Pilipinas nang walang wastong sertipikasyon mula sa Lupon ng mga Medical Examiner ay bubuo ng medikal na malpractice.
Halimbawa ng Kaso:
- Sa isang makabuluhang kaso, ang Ospital ng San Juan de Dios at dalawang doktor ay sama-samang napatunayang mananagot para sa pabaya na medikal na pagsasanay. Iginawad ng korte ang danyos sa nagsasakdal kasunod ng maling pagkamatay ng kanyang anak, dahil umano sa kapabayaan ng mga doktor at ospital.</v>
      </c>
      <c r="F1673" s="2">
        <f t="shared" si="1"/>
        <v>3</v>
      </c>
      <c r="G1673" s="2"/>
      <c r="H1673" s="2"/>
      <c r="I1673" s="2"/>
      <c r="J1673" s="2"/>
      <c r="K1673" s="2"/>
      <c r="L1673" s="2"/>
      <c r="M1673" s="2"/>
      <c r="N1673" s="2"/>
      <c r="O1673" s="2"/>
      <c r="P1673" s="2"/>
      <c r="Q1673" s="2"/>
      <c r="R1673" s="2"/>
      <c r="S1673" s="2"/>
      <c r="T1673" s="2"/>
      <c r="U1673" s="2"/>
      <c r="V1673" s="2"/>
      <c r="W1673" s="2"/>
      <c r="X1673" s="2"/>
      <c r="Y1673" s="2"/>
      <c r="Z1673" s="2"/>
      <c r="AA1673" s="2"/>
    </row>
    <row r="1674">
      <c r="A1674" s="1" t="s">
        <v>4337</v>
      </c>
      <c r="B1674" s="1" t="s">
        <v>4444</v>
      </c>
      <c r="C1674" s="1" t="s">
        <v>4445</v>
      </c>
      <c r="D1674" s="2" t="str">
        <f>IFERROR(__xludf.DUMMYFUNCTION("GOOGLETRANSLATE(B1674, ""en"", ""TL"")"),"Anong mga legal na obligasyon ang mayroon ang mga healthcare provider sa pagprotekta sa data at privacy ng pasyente?")</f>
        <v>Anong mga legal na obligasyon ang mayroon ang mga healthcare provider sa pagprotekta sa data at privacy ng pasyente?</v>
      </c>
      <c r="E1674" s="2" t="str">
        <f>IFERROR(__xludf.DUMMYFUNCTION("GOOGLETRANSLATE(C1674, ""en"", ""TL"")"),"Dapat nilang tiyakin na ang mga kasunduan sa hindi paglalahad at mga kaugnay na kontrata ay nasa lugar at ipinapatupad. Gumawa ng mga kontrol sa pag-access para sa data ng pasyente depende sa hindi bababa sa mga pribilehiyo. Payagan lamang ang ""kailangan"&amp;"-ma-alam"" na pag-access. Nangangahulugan ito na ang mga tauhan ng kalusugan ay binibigyan lamang ng kaunting access na kinakailangan upang maisagawa ang kanilang mga tungkulin.")</f>
        <v>Dapat nilang tiyakin na ang mga kasunduan sa hindi paglalahad at mga kaugnay na kontrata ay nasa lugar at ipinapatupad. Gumawa ng mga kontrol sa pag-access para sa data ng pasyente depende sa hindi bababa sa mga pribilehiyo. Payagan lamang ang "kailangan-ma-alam" na pag-access. Nangangahulugan ito na ang mga tauhan ng kalusugan ay binibigyan lamang ng kaunting access na kinakailangan upang maisagawa ang kanilang mga tungkulin.</v>
      </c>
      <c r="F1674" s="2">
        <f t="shared" si="1"/>
        <v>2</v>
      </c>
      <c r="G1674" s="2"/>
      <c r="H1674" s="2"/>
      <c r="I1674" s="2"/>
      <c r="J1674" s="2"/>
      <c r="K1674" s="2"/>
      <c r="L1674" s="2"/>
      <c r="M1674" s="2"/>
      <c r="N1674" s="2"/>
      <c r="O1674" s="2"/>
      <c r="P1674" s="2"/>
      <c r="Q1674" s="2"/>
      <c r="R1674" s="2"/>
      <c r="S1674" s="2"/>
      <c r="T1674" s="2"/>
      <c r="U1674" s="2"/>
      <c r="V1674" s="2"/>
      <c r="W1674" s="2"/>
      <c r="X1674" s="2"/>
      <c r="Y1674" s="2"/>
      <c r="Z1674" s="2"/>
      <c r="AA1674" s="2"/>
    </row>
    <row r="1675">
      <c r="A1675" s="1" t="s">
        <v>4337</v>
      </c>
      <c r="B1675" s="1" t="s">
        <v>4350</v>
      </c>
      <c r="C1675" s="1" t="s">
        <v>4446</v>
      </c>
      <c r="D1675" s="2" t="str">
        <f>IFERROR(__xludf.DUMMYFUNCTION("GOOGLETRANSLATE(B1675, ""en"", ""TL"")"),"Maaari bang tanggihan ng isang pasyente ang medikal na paggamot kahit na sa mga sitwasyong nagbabanta sa buhay, at anong mga legal na implikasyon ang mayroon ito para sa mga tagapagbigay ng pangangalagang pangkalusugan?")</f>
        <v>Maaari bang tanggihan ng isang pasyente ang medikal na paggamot kahit na sa mga sitwasyong nagbabanta sa buhay, at anong mga legal na implikasyon ang mayroon ito para sa mga tagapagbigay ng pangangalagang pangkalusugan?</v>
      </c>
      <c r="E1675" s="2" t="str">
        <f>IFERROR(__xludf.DUMMYFUNCTION("GOOGLETRANSLATE(C1675, ""en"", ""TL"")"),"Sa Pilipinas, ang mga pasyente ay may pangunahing mga karapatan kapag naghahanap ng mga serbisyo sa pangangalagang pangkalusugan, kabilang ang:
1. Karapatan na Ma-access ang Pangangalagang Pangkalusugan:
- Ang mga pasyente ay may karapatan na makatanggap "&amp;"ng mga kinakailangang serbisyo sa pangangalagang pangkalusugan nang walang diskriminasyon batay sa kanilang kakayahang magbayad o mga personal na katangian.
2. Karapatan sa May Kaalaman na Pahintulot:
- Ang mga pasyente ay may karapatan na ganap na malama"&amp;"n ang tungkol sa kanilang kondisyong medikal, mga opsyon sa paggamot, mga panganib, benepisyo, at mga alternatibo bago sumailalim sa anumang interbensyong medikal. Tinitiyak nito ang paggalang sa kanilang awtonomiya at kapasidad sa paggawa ng desisyon.
3."&amp;" Karapatan sa Pagkapribado at Pagkakumpidensyal:
- Ang medikal na impormasyon ng mga pasyente ay dapat panatilihing kumpidensyal, at ang mga tagapagbigay ng pangangalagang pangkalusugan ay legal na obligado na pangalagaan ang kanilang pagkapribado, na nag"&amp;"sisiwalat ng impormasyon lamang sa mga awtorisadong indibidwal para sa mga layunin ng pangangalagang pangkalusugan.
4. Karapatan sa De-kalidad na Pangangalaga:
- Ang mga pasyente ay may karapatang tumanggap ng mga serbisyo sa pangangalagang pangkalusugan "&amp;"na may mataas na kalidad, kabilang ang tumpak na diagnosis, naaangkop na paggamot, at follow-up na pangangalaga. Dapat silang tratuhin nang may dignidad at paggalang, anuman ang kanilang pinagmulan o kalagayan.
5. Karapatan na Tanggihan ang Medikal na Pag"&amp;"gamot:
- Ang mga pasyente ay may awtonomiya na tumanggi sa medikal na paggamot, kahit na sa mga sitwasyong nagbabanta sa buhay, kung salungat ito sa kanilang mga personal na paniniwala o pinahahalagahan. Gayunpaman, umiiral ang mga legal na limitasyon, tu"&amp;"lad ng kapag natukoy ng isang hukuman na ang isang pasyente ay walang kapasidad sa pagpapasya.
Sa kabuuan, habang pinananatili ng mga pasyente ang karapatang tumanggi sa paggamot, dapat tiyakin ng mga tagapagbigay ng pangangalagang pangkalusugan ang balan"&amp;"se sa pagitan ng paggalang sa awtonomiya ng mga pasyente at paghahatid ng ligtas at de-kalidad na pangangalaga. Ang pag-unawa at pagtataguyod ng mga karapatan at responsibilidad na ito ay mahalaga para sa parehong mga pasyente at provider sa proseso ng pa"&amp;"ghahatid ng pangangalagang pangkalusugan sa Pilipinas.")</f>
        <v>Sa Pilipinas, ang mga pasyente ay may pangunahing mga karapatan kapag naghahanap ng mga serbisyo sa pangangalagang pangkalusugan, kabilang ang:
1. Karapatan na Ma-access ang Pangangalagang Pangkalusugan:
- Ang mga pasyente ay may karapatan na makatanggap ng mga kinakailangang serbisyo sa pangangalagang pangkalusugan nang walang diskriminasyon batay sa kanilang kakayahang magbayad o mga personal na katangian.
2. Karapatan sa May Kaalaman na Pahintulot:
- Ang mga pasyente ay may karapatan na ganap na malaman ang tungkol sa kanilang kondisyong medikal, mga opsyon sa paggamot, mga panganib, benepisyo, at mga alternatibo bago sumailalim sa anumang interbensyong medikal. Tinitiyak nito ang paggalang sa kanilang awtonomiya at kapasidad sa paggawa ng desisyon.
3. Karapatan sa Pagkapribado at Pagkakumpidensyal:
- Ang medikal na impormasyon ng mga pasyente ay dapat panatilihing kumpidensyal, at ang mga tagapagbigay ng pangangalagang pangkalusugan ay legal na obligado na pangalagaan ang kanilang pagkapribado, na nagsisiwalat ng impormasyon lamang sa mga awtorisadong indibidwal para sa mga layunin ng pangangalagang pangkalusugan.
4. Karapatan sa De-kalidad na Pangangalaga:
- Ang mga pasyente ay may karapatang tumanggap ng mga serbisyo sa pangangalagang pangkalusugan na may mataas na kalidad, kabilang ang tumpak na diagnosis, naaangkop na paggamot, at follow-up na pangangalaga. Dapat silang tratuhin nang may dignidad at paggalang, anuman ang kanilang pinagmulan o kalagayan.
5. Karapatan na Tanggihan ang Medikal na Paggamot:
- Ang mga pasyente ay may awtonomiya na tumanggi sa medikal na paggamot, kahit na sa mga sitwasyong nagbabanta sa buhay, kung salungat ito sa kanilang mga personal na paniniwala o pinahahalagahan. Gayunpaman, umiiral ang mga legal na limitasyon, tulad ng kapag natukoy ng isang hukuman na ang isang pasyente ay walang kapasidad sa pagpapasya.
Sa kabuuan, habang pinananatili ng mga pasyente ang karapatang tumanggi sa paggamot, dapat tiyakin ng mga tagapagbigay ng pangangalagang pangkalusugan ang balanse sa pagitan ng paggalang sa awtonomiya ng mga pasyente at paghahatid ng ligtas at de-kalidad na pangangalaga. Ang pag-unawa at pagtataguyod ng mga karapatan at responsibilidad na ito ay mahalaga para sa parehong mga pasyente at provider sa proseso ng paghahatid ng pangangalagang pangkalusugan sa Pilipinas.</v>
      </c>
      <c r="F1675" s="2">
        <f t="shared" si="1"/>
        <v>3</v>
      </c>
      <c r="G1675" s="2"/>
      <c r="H1675" s="2"/>
      <c r="I1675" s="2"/>
      <c r="J1675" s="2"/>
      <c r="K1675" s="2"/>
      <c r="L1675" s="2"/>
      <c r="M1675" s="2"/>
      <c r="N1675" s="2"/>
      <c r="O1675" s="2"/>
      <c r="P1675" s="2"/>
      <c r="Q1675" s="2"/>
      <c r="R1675" s="2"/>
      <c r="S1675" s="2"/>
      <c r="T1675" s="2"/>
      <c r="U1675" s="2"/>
      <c r="V1675" s="2"/>
      <c r="W1675" s="2"/>
      <c r="X1675" s="2"/>
      <c r="Y1675" s="2"/>
      <c r="Z1675" s="2"/>
      <c r="AA1675" s="2"/>
    </row>
    <row r="1676">
      <c r="A1676" s="1" t="s">
        <v>4337</v>
      </c>
      <c r="B1676" s="1" t="s">
        <v>4447</v>
      </c>
      <c r="C1676" s="1" t="s">
        <v>4448</v>
      </c>
      <c r="D1676" s="2" t="str">
        <f>IFERROR(__xludf.DUMMYFUNCTION("GOOGLETRANSLATE(B1676, ""en"", ""TL"")"),"Paano tinutugunan ng batas ang pagsasagawa ng cosmetic surgery at aesthetic procedures sa Pilipinas?")</f>
        <v>Paano tinutugunan ng batas ang pagsasagawa ng cosmetic surgery at aesthetic procedures sa Pilipinas?</v>
      </c>
      <c r="E1676" s="2" t="str">
        <f>IFERROR(__xludf.DUMMYFUNCTION("GOOGLETRANSLATE(C1676, ""en"", ""TL"")"),"Sa Pilipinas, ang mga operasyong kosmetiko ay pinamamahalaan ng batas medikal at kalusugan upang pangalagaan ang kaligtasan at mga karapatan ng pasyente. Ang Department of Health (DOH) at ang Philippine Food and Drug Administration (FDA) ay nagtatag ng mg"&amp;"a panuntunan para sa mga operasyon ng klinika at sertipikasyon ng practitioner.")</f>
        <v>Sa Pilipinas, ang mga operasyong kosmetiko ay pinamamahalaan ng batas medikal at kalusugan upang pangalagaan ang kaligtasan at mga karapatan ng pasyente. Ang Department of Health (DOH) at ang Philippine Food and Drug Administration (FDA) ay nagtatag ng mga panuntunan para sa mga operasyon ng klinika at sertipikasyon ng practitioner.</v>
      </c>
      <c r="F1676" s="2">
        <f t="shared" si="1"/>
        <v>1</v>
      </c>
      <c r="G1676" s="2"/>
      <c r="H1676" s="2"/>
      <c r="I1676" s="2"/>
      <c r="J1676" s="2"/>
      <c r="K1676" s="2"/>
      <c r="L1676" s="2"/>
      <c r="M1676" s="2"/>
      <c r="N1676" s="2"/>
      <c r="O1676" s="2"/>
      <c r="P1676" s="2"/>
      <c r="Q1676" s="2"/>
      <c r="R1676" s="2"/>
      <c r="S1676" s="2"/>
      <c r="T1676" s="2"/>
      <c r="U1676" s="2"/>
      <c r="V1676" s="2"/>
      <c r="W1676" s="2"/>
      <c r="X1676" s="2"/>
      <c r="Y1676" s="2"/>
      <c r="Z1676" s="2"/>
      <c r="AA1676" s="2"/>
    </row>
    <row r="1677">
      <c r="A1677" s="1" t="s">
        <v>4337</v>
      </c>
      <c r="B1677" s="1" t="s">
        <v>4449</v>
      </c>
      <c r="C1677" s="1" t="s">
        <v>4450</v>
      </c>
      <c r="D1677" s="2" t="str">
        <f>IFERROR(__xludf.DUMMYFUNCTION("GOOGLETRANSLATE(B1677, ""en"", ""TL"")"),"Anong mga legal na karapatan ang mayroon ang mga pasyente sa paghingi ng kabayaran para sa medikal na malpractice o kapabayaan?")</f>
        <v>Anong mga legal na karapatan ang mayroon ang mga pasyente sa paghingi ng kabayaran para sa medikal na malpractice o kapabayaan?</v>
      </c>
      <c r="E1677" s="2" t="str">
        <f>IFERROR(__xludf.DUMMYFUNCTION("GOOGLETRANSLATE(C1677, ""en"", ""TL"")"),"Para sa isang matagumpay na paghahabol sa ilalim ng batas ng Pilipinas, apat na bahagi ang dapat mapatunayan: tungkulin, paglabag, pinsala, at sanhi. Kasama sa legal na balangkas ang pananagutan ng sibil (mga pinsala) at, sa matitinding sitwasyon, pananag"&amp;"utan sa kriminal. Ang mga kasong ito ay maaaring magresulta sa iba't ibang resulta, kabilang ang kabayaran para sa biktima at propesyonal na parusa laban sa tagapagbigay ng pangangalagang pangkalusugan.")</f>
        <v>Para sa isang matagumpay na paghahabol sa ilalim ng batas ng Pilipinas, apat na bahagi ang dapat mapatunayan: tungkulin, paglabag, pinsala, at sanhi. Kasama sa legal na balangkas ang pananagutan ng sibil (mga pinsala) at, sa matitinding sitwasyon, pananagutan sa kriminal. Ang mga kasong ito ay maaaring magresulta sa iba't ibang resulta, kabilang ang kabayaran para sa biktima at propesyonal na parusa laban sa tagapagbigay ng pangangalagang pangkalusugan.</v>
      </c>
      <c r="F1677" s="2">
        <f t="shared" si="1"/>
        <v>2</v>
      </c>
      <c r="G1677" s="2"/>
      <c r="H1677" s="2"/>
      <c r="I1677" s="2"/>
      <c r="J1677" s="2"/>
      <c r="K1677" s="2"/>
      <c r="L1677" s="2"/>
      <c r="M1677" s="2"/>
      <c r="N1677" s="2"/>
      <c r="O1677" s="2"/>
      <c r="P1677" s="2"/>
      <c r="Q1677" s="2"/>
      <c r="R1677" s="2"/>
      <c r="S1677" s="2"/>
      <c r="T1677" s="2"/>
      <c r="U1677" s="2"/>
      <c r="V1677" s="2"/>
      <c r="W1677" s="2"/>
      <c r="X1677" s="2"/>
      <c r="Y1677" s="2"/>
      <c r="Z1677" s="2"/>
      <c r="AA1677" s="2"/>
    </row>
    <row r="1678">
      <c r="A1678" s="1" t="s">
        <v>4337</v>
      </c>
      <c r="B1678" s="1" t="s">
        <v>4451</v>
      </c>
      <c r="C1678" s="1" t="s">
        <v>4452</v>
      </c>
      <c r="D1678" s="2" t="str">
        <f>IFERROR(__xludf.DUMMYFUNCTION("GOOGLETRANSLATE(B1678, ""en"", ""TL"")"),"Anong mga batas ang kumokontrol sa pagsasagawa ng medikal na turismo sa Pilipinas?")</f>
        <v>Anong mga batas ang kumokontrol sa pagsasagawa ng medikal na turismo sa Pilipinas?</v>
      </c>
      <c r="E1678" s="2" t="str">
        <f>IFERROR(__xludf.DUMMYFUNCTION("GOOGLETRANSLATE(C1678, ""en"", ""TL"")"),"Sa Pilipinas, ang medikal na turismo ay pinamamahalaan ng iba't ibang mga batas at regulasyon. Pumasok tayo sa mga pangunahing legal na aspeto:
Ang Tourism Act of 2009 (Republic Act No. 9593) ay nagtatatag ng turismo bilang isang mahalagang bahagi ng p"&amp;"ambansang ekonomiya at isang industriya ng pambansang kahalagahan. Nilalayon nitong gamitin ang turismo bilang driver ng socioeconomic development, cultural affirmation, at investment. Kabilang sa ilan sa mga layunin nito ang paglikha ng isang pambansang "&amp;"plano sa pagkilos ng turista, pagtataguyod ng napapanatiling turismo, at pagtaas ng pakikilahok ng pribadong sektor.
Pangkalahatang Legal na Pangkalahatang-ideya: Bilang karagdagan sa Batas para sa turista, ang legal na tanawin ng Pilipinas ay namamahala"&amp;" sa mga industriya ng turista at mabuting pakikitungo sa pamamagitan ng iba't ibang mga batas at regulasyon. Kabilang dito ang mga lisensya sa negosyo, mga kinakailangan sa kalusugan at kaligtasan, pagsunod sa kapaligiran, at proteksyon ng consumer.")</f>
        <v>Sa Pilipinas, ang medikal na turismo ay pinamamahalaan ng iba't ibang mga batas at regulasyon. Pumasok tayo sa mga pangunahing legal na aspeto:
Ang Tourism Act of 2009 (Republic Act No. 9593) ay nagtatatag ng turismo bilang isang mahalagang bahagi ng pambansang ekonomiya at isang industriya ng pambansang kahalagahan. Nilalayon nitong gamitin ang turismo bilang driver ng socioeconomic development, cultural affirmation, at investment. Kabilang sa ilan sa mga layunin nito ang paglikha ng isang pambansang plano sa pagkilos ng turista, pagtataguyod ng napapanatiling turismo, at pagtaas ng pakikilahok ng pribadong sektor.
Pangkalahatang Legal na Pangkalahatang-ideya: Bilang karagdagan sa Batas para sa turista, ang legal na tanawin ng Pilipinas ay namamahala sa mga industriya ng turista at mabuting pakikitungo sa pamamagitan ng iba't ibang mga batas at regulasyon. Kabilang dito ang mga lisensya sa negosyo, mga kinakailangan sa kalusugan at kaligtasan, pagsunod sa kapaligiran, at proteksyon ng consumer.</v>
      </c>
      <c r="F1678" s="2">
        <f t="shared" si="1"/>
        <v>1</v>
      </c>
      <c r="G1678" s="2"/>
      <c r="H1678" s="2"/>
      <c r="I1678" s="2"/>
      <c r="J1678" s="2"/>
      <c r="K1678" s="2"/>
      <c r="L1678" s="2"/>
      <c r="M1678" s="2"/>
      <c r="N1678" s="2"/>
      <c r="O1678" s="2"/>
      <c r="P1678" s="2"/>
      <c r="Q1678" s="2"/>
      <c r="R1678" s="2"/>
      <c r="S1678" s="2"/>
      <c r="T1678" s="2"/>
      <c r="U1678" s="2"/>
      <c r="V1678" s="2"/>
      <c r="W1678" s="2"/>
      <c r="X1678" s="2"/>
      <c r="Y1678" s="2"/>
      <c r="Z1678" s="2"/>
      <c r="AA1678" s="2"/>
    </row>
    <row r="1679">
      <c r="A1679" s="1" t="s">
        <v>4337</v>
      </c>
      <c r="B1679" s="1" t="s">
        <v>4453</v>
      </c>
      <c r="C1679" s="1" t="s">
        <v>4454</v>
      </c>
      <c r="D1679" s="2" t="str">
        <f>IFERROR(__xludf.DUMMYFUNCTION("GOOGLETRANSLATE(B1679, ""en"", ""TL"")"),"Anong mga legal na obligasyon ang mayroon ang mga tagapagbigay ng pangangalagang pangkalusugan sa pagkuha ng may-kaalamang pahintulot mula sa mga pasyente para sa mga pamamaraan ng operasyon?")</f>
        <v>Anong mga legal na obligasyon ang mayroon ang mga tagapagbigay ng pangangalagang pangkalusugan sa pagkuha ng may-kaalamang pahintulot mula sa mga pasyente para sa mga pamamaraan ng operasyon?</v>
      </c>
      <c r="E1679" s="2" t="str">
        <f>IFERROR(__xludf.DUMMYFUNCTION("GOOGLETRANSLATE(C1679, ""en"", ""TL"")"),"Ang isang manggagamot ay dapat humingi ng libre at kaalamang pahintulot ng pasyente. Kung sakaling mawalan ng malay o kakulangan sa pag-iisip, ang may-katuturang pahintulot ay maaaring ibigay ng isang asawa o malapit na kamag-anak, o kung wala silang dala"&amp;"wa, ng partidong pinahintulutan sa ilalim ng paunang direktiba ng pasyente.")</f>
        <v>Ang isang manggagamot ay dapat humingi ng libre at kaalamang pahintulot ng pasyente. Kung sakaling mawalan ng malay o kakulangan sa pag-iisip, ang may-katuturang pahintulot ay maaaring ibigay ng isang asawa o malapit na kamag-anak, o kung wala silang dalawa, ng partidong pinahintulutan sa ilalim ng paunang direktiba ng pasyente.</v>
      </c>
      <c r="F1679" s="2">
        <f t="shared" si="1"/>
        <v>2</v>
      </c>
      <c r="G1679" s="2"/>
      <c r="H1679" s="2"/>
      <c r="I1679" s="2"/>
      <c r="J1679" s="2"/>
      <c r="K1679" s="2"/>
      <c r="L1679" s="2"/>
      <c r="M1679" s="2"/>
      <c r="N1679" s="2"/>
      <c r="O1679" s="2"/>
      <c r="P1679" s="2"/>
      <c r="Q1679" s="2"/>
      <c r="R1679" s="2"/>
      <c r="S1679" s="2"/>
      <c r="T1679" s="2"/>
      <c r="U1679" s="2"/>
      <c r="V1679" s="2"/>
      <c r="W1679" s="2"/>
      <c r="X1679" s="2"/>
      <c r="Y1679" s="2"/>
      <c r="Z1679" s="2"/>
      <c r="AA1679" s="2"/>
    </row>
    <row r="1680">
      <c r="A1680" s="1" t="s">
        <v>4337</v>
      </c>
      <c r="B1680" s="1" t="s">
        <v>4390</v>
      </c>
      <c r="C1680" s="1" t="s">
        <v>4455</v>
      </c>
      <c r="D1680" s="2" t="str">
        <f>IFERROR(__xludf.DUMMYFUNCTION("GOOGLETRANSLATE(B1680, ""en"", ""TL"")"),"Paano pinapanagot ang mga medikal na practitioner para sa mga paglabag sa pagiging kumpidensyal ng pasyente?")</f>
        <v>Paano pinapanagot ang mga medikal na practitioner para sa mga paglabag sa pagiging kumpidensyal ng pasyente?</v>
      </c>
      <c r="E1680" s="2" t="str">
        <f>IFERROR(__xludf.DUMMYFUNCTION("GOOGLETRANSLATE(C1680, ""en"", ""TL"")"),"Sa Pilipinas, may pananagutan ang mga medikal na practitioner para sa mga paglabag sa pagiging kumpidensyal ng pasyente sa pamamagitan ng kumbinasyon ng mga legal, etikal, at mga hakbang sa organisasyon. Narito ang isang pangkalahatang-ideya ng mga mekani"&amp;"smong ito:
Legal na Balangkas:
- Ang Data Privacy Act of 2012 (Republic Act No. 10173) ay kinokontrol ang proteksyon ng personal na data, kabilang ang impormasyon ng pasyente, na nagpapataw ng mahigpit na obligasyon sa mga humahawak ng sensitibong dat"&amp;"a.
- Ipinagbabawal ng Mandatoryong Pag-uulat ng Mga Nababatid na Sakit at Mga Pangyayaring Pangkalusugan ng Pampublikong Pag-aalala sa Kalusugan (Republic Act No. 11332) ang hindi awtorisadong pagsisiwalat ng data ng pasyente.
- Ang mga administratibong"&amp;" utos at ordinansa ay maaari ding tumugon sa mga partikular na aspeto ng pagiging kumpidensyal ng pasyente.
Mga Etikal na Obligasyon:
- Binibigyang-diin ng Code of Ethics ng Medikal na Propesyon ang pagkapribado at pagiging kumpidensyal ng impormasyon"&amp;" ng pasyente. Obligado ang mga doktor na ituring ang mga detalye ng pasyente bilang lubos na kumpidensyal, kahit na pagkamatay ng pasyente, na may mga pagbubukod lamang kapag kinakailangan ng batas, kaligtasan, hustisya, o kalusugan ng publiko.
Nationa"&amp;"l Privacy Commission (NPC):
- Nag-isyu ang NPC ng mga alituntunin at bulletin para protektahan ang data ng pasyente mula sa hindi awtorisadong pagsisiwalat, kasama ng mga institusyong pangkalusugan at kanilang mga Data Protection Officer (DPO) na tinitiy"&amp;"ak ang pagsunod sa pamamagitan ng mga hakbang tulad ng mga regular na paalala, kasunduan sa hindi pagsisiwalat, kontrol sa pag-access, at mga hakbang sa pisikal na seguridad.
Mga Institusyong Pangkalusugan:
- Ang mga establisimiyento na ito ay dapat m"&amp;"agpatupad ng mga hakbang sa seguridad upang mapangalagaan ang data ng pasyente, na ang tiwala sa isa't isa sa pagitan ng mga pasyente, institusyong pangkalusugan, at awtoridad ay napakahalaga, lalo na sa panahon ng pandemya ng COVID-19.")</f>
        <v>Sa Pilipinas, may pananagutan ang mga medikal na practitioner para sa mga paglabag sa pagiging kumpidensyal ng pasyente sa pamamagitan ng kumbinasyon ng mga legal, etikal, at mga hakbang sa organisasyon. Narito ang isang pangkalahatang-ideya ng mga mekanismong ito:
Legal na Balangkas:
- Ang Data Privacy Act of 2012 (Republic Act No. 10173) ay kinokontrol ang proteksyon ng personal na data, kabilang ang impormasyon ng pasyente, na nagpapataw ng mahigpit na obligasyon sa mga humahawak ng sensitibong data.
- Ipinagbabawal ng Mandatoryong Pag-uulat ng Mga Nababatid na Sakit at Mga Pangyayaring Pangkalusugan ng Pampublikong Pag-aalala sa Kalusugan (Republic Act No. 11332) ang hindi awtorisadong pagsisiwalat ng data ng pasyente.
- Ang mga administratibong utos at ordinansa ay maaari ding tumugon sa mga partikular na aspeto ng pagiging kumpidensyal ng pasyente.
Mga Etikal na Obligasyon:
- Binibigyang-diin ng Code of Ethics ng Medikal na Propesyon ang pagkapribado at pagiging kumpidensyal ng impormasyon ng pasyente. Obligado ang mga doktor na ituring ang mga detalye ng pasyente bilang lubos na kumpidensyal, kahit na pagkamatay ng pasyente, na may mga pagbubukod lamang kapag kinakailangan ng batas, kaligtasan, hustisya, o kalusugan ng publiko.
National Privacy Commission (NPC):
- Nag-isyu ang NPC ng mga alituntunin at bulletin para protektahan ang data ng pasyente mula sa hindi awtorisadong pagsisiwalat, kasama ng mga institusyong pangkalusugan at kanilang mga Data Protection Officer (DPO) na tinitiyak ang pagsunod sa pamamagitan ng mga hakbang tulad ng mga regular na paalala, kasunduan sa hindi pagsisiwalat, kontrol sa pag-access, at mga hakbang sa pisikal na seguridad.
Mga Institusyong Pangkalusugan:
- Ang mga establisimiyento na ito ay dapat magpatupad ng mga hakbang sa seguridad upang mapangalagaan ang data ng pasyente, na ang tiwala sa isa't isa sa pagitan ng mga pasyente, institusyong pangkalusugan, at awtoridad ay napakahalaga, lalo na sa panahon ng pandemya ng COVID-19.</v>
      </c>
      <c r="F1680" s="2">
        <f t="shared" si="1"/>
        <v>3</v>
      </c>
      <c r="G1680" s="2"/>
      <c r="H1680" s="2"/>
      <c r="I1680" s="2"/>
      <c r="J1680" s="2"/>
      <c r="K1680" s="2"/>
      <c r="L1680" s="2"/>
      <c r="M1680" s="2"/>
      <c r="N1680" s="2"/>
      <c r="O1680" s="2"/>
      <c r="P1680" s="2"/>
      <c r="Q1680" s="2"/>
      <c r="R1680" s="2"/>
      <c r="S1680" s="2"/>
      <c r="T1680" s="2"/>
      <c r="U1680" s="2"/>
      <c r="V1680" s="2"/>
      <c r="W1680" s="2"/>
      <c r="X1680" s="2"/>
      <c r="Y1680" s="2"/>
      <c r="Z1680" s="2"/>
      <c r="AA1680" s="2"/>
    </row>
    <row r="1681">
      <c r="A1681" s="1" t="s">
        <v>4337</v>
      </c>
      <c r="B1681" s="1" t="s">
        <v>4384</v>
      </c>
      <c r="C1681" s="1" t="s">
        <v>4456</v>
      </c>
      <c r="D1681" s="2" t="str">
        <f>IFERROR(__xludf.DUMMYFUNCTION("GOOGLETRANSLATE(B1681, ""en"", ""TL"")"),"Maaari bang humiling ang isang pasyente ng pangalawang opinyon, at anong mga legal na pagsasaalang-alang ang pumapalibot sa kahilingang ito?")</f>
        <v>Maaari bang humiling ang isang pasyente ng pangalawang opinyon, at anong mga legal na pagsasaalang-alang ang pumapalibot sa kahilingang ito?</v>
      </c>
      <c r="E1681" s="2" t="str">
        <f>IFERROR(__xludf.DUMMYFUNCTION("GOOGLETRANSLATE(C1681, ""en"", ""TL"")"),"Sa Pilipinas, ang mga pasyente ay nagtataglay ng mga partikular na karapatan at legal na pagsasaalang-alang kapag naghahanap ng pangalawang opinyon:
Karapatan na Ma-access ang Pangangalagang Pangkalusugan:
- Ang bawat indibidwal ay may karapatan na ma"&amp;"-access ang mga serbisyo sa pangangalagang pangkalusugan nang walang diskriminasyon batay sa mga personal na katangian o katayuan sa pananalapi.
Karapatan sa May Kaalaman na Pahintulot:
- May karapatan ang mga pasyente na makatanggap ng komprehensibon"&amp;"g impormasyon tungkol sa kanilang kondisyong medikal, mga opsyon sa paggamot, mga panganib, benepisyo, at mga alternatibo bago sumailalim sa anumang medikal na pamamaraan.
- Ang mga tagapagbigay ng pangangalagang pangkalusugan ay dapat na mabisang makipa"&amp;"g-usap ng impormasyon, tinitiyak na nauunawaan ng mga pasyente ang kanilang mga opsyon at makakagawa ng matalinong mga desisyon.
Karapatan sa Pagkapribado at Pagkakumpidensyal:
- Ang impormasyong medikal ng pasyente ay dapat manatiling kumpidensyal, n"&amp;"a may obligasyon ang mga tagapagbigay ng pangangalagang pangkalusugan na protektahan ang privacy ng pasyente sa pamamagitan ng paglilimita sa pagsisiwalat sa mga awtorisadong indibidwal para sa mga layunin ng pangangalagang pangkalusugan.
Karapatan sa "&amp;"De-kalidad na Pangangalaga:
- Ang mga pasyente ay may karapatang tumanggap ng mataas na kalidad na mga serbisyo sa pangangalagang pangkalusugan na sumusunod sa mga tinatanggap na pamantayang medikal, na may dignidad at paggalang mula sa mga tagapagbigay "&amp;"ng pangangalagang pangkalusugan na mahalaga anuman ang background o kondisyon.
Tungkol sa Pangalawang Opinyon:
- Bagama't ang mga pasyente ay walang legal na karapatan sa pangalawang opinyon, pananatilihin nila ang opsyon na humiling ng isa.
- Ang pa"&amp;"ghanap ng pangalawang opinyon ay hindi dapat bigyang-kahulugan bilang isang pagkasira sa relasyon ng doktor-pasyente.
- Karaniwan, ang mga kahilingan para sa pangalawang opinyon ay iginagalang, at ang pananaw ng pangalawang manggagamot ay maaaring kumpir"&amp;"mahin ang paunang pagsusuri o plano ng paggamot.")</f>
        <v>Sa Pilipinas, ang mga pasyente ay nagtataglay ng mga partikular na karapatan at legal na pagsasaalang-alang kapag naghahanap ng pangalawang opinyon:
Karapatan na Ma-access ang Pangangalagang Pangkalusugan:
- Ang bawat indibidwal ay may karapatan na ma-access ang mga serbisyo sa pangangalagang pangkalusugan nang walang diskriminasyon batay sa mga personal na katangian o katayuan sa pananalapi.
Karapatan sa May Kaalaman na Pahintulot:
- May karapatan ang mga pasyente na makatanggap ng komprehensibong impormasyon tungkol sa kanilang kondisyong medikal, mga opsyon sa paggamot, mga panganib, benepisyo, at mga alternatibo bago sumailalim sa anumang medikal na pamamaraan.
- Ang mga tagapagbigay ng pangangalagang pangkalusugan ay dapat na mabisang makipag-usap ng impormasyon, tinitiyak na nauunawaan ng mga pasyente ang kanilang mga opsyon at makakagawa ng matalinong mga desisyon.
Karapatan sa Pagkapribado at Pagkakumpidensyal:
- Ang impormasyong medikal ng pasyente ay dapat manatiling kumpidensyal, na may obligasyon ang mga tagapagbigay ng pangangalagang pangkalusugan na protektahan ang privacy ng pasyente sa pamamagitan ng paglilimita sa pagsisiwalat sa mga awtorisadong indibidwal para sa mga layunin ng pangangalagang pangkalusugan.
Karapatan sa De-kalidad na Pangangalaga:
- Ang mga pasyente ay may karapatang tumanggap ng mataas na kalidad na mga serbisyo sa pangangalagang pangkalusugan na sumusunod sa mga tinatanggap na pamantayang medikal, na may dignidad at paggalang mula sa mga tagapagbigay ng pangangalagang pangkalusugan na mahalaga anuman ang background o kondisyon.
Tungkol sa Pangalawang Opinyon:
- Bagama't ang mga pasyente ay walang legal na karapatan sa pangalawang opinyon, pananatilihin nila ang opsyon na humiling ng isa.
- Ang paghanap ng pangalawang opinyon ay hindi dapat bigyang-kahulugan bilang isang pagkasira sa relasyon ng doktor-pasyente.
- Karaniwan, ang mga kahilingan para sa pangalawang opinyon ay iginagalang, at ang pananaw ng pangalawang manggagamot ay maaaring kumpirmahin ang paunang pagsusuri o plano ng paggamot.</v>
      </c>
      <c r="F1681" s="2">
        <f t="shared" si="1"/>
        <v>1</v>
      </c>
      <c r="G1681" s="2"/>
      <c r="H1681" s="2"/>
      <c r="I1681" s="2"/>
      <c r="J1681" s="2"/>
      <c r="K1681" s="2"/>
      <c r="L1681" s="2"/>
      <c r="M1681" s="2"/>
      <c r="N1681" s="2"/>
      <c r="O1681" s="2"/>
      <c r="P1681" s="2"/>
      <c r="Q1681" s="2"/>
      <c r="R1681" s="2"/>
      <c r="S1681" s="2"/>
      <c r="T1681" s="2"/>
      <c r="U1681" s="2"/>
      <c r="V1681" s="2"/>
      <c r="W1681" s="2"/>
      <c r="X1681" s="2"/>
      <c r="Y1681" s="2"/>
      <c r="Z1681" s="2"/>
      <c r="AA1681" s="2"/>
    </row>
    <row r="1682">
      <c r="A1682" s="1" t="s">
        <v>4337</v>
      </c>
      <c r="B1682" s="1" t="s">
        <v>4404</v>
      </c>
      <c r="C1682" s="1" t="s">
        <v>4457</v>
      </c>
      <c r="D1682" s="2" t="str">
        <f>IFERROR(__xludf.DUMMYFUNCTION("GOOGLETRANSLATE(B1682, ""en"", ""TL"")"),"Sa ilalim ng anong mga pangyayari maaaring panagutin ang isang medikal na practitioner para sa hindi pagtanggap ng may-kaalamang pahintulot?")</f>
        <v>Sa ilalim ng anong mga pangyayari maaaring panagutin ang isang medikal na practitioner para sa hindi pagtanggap ng may-kaalamang pahintulot?</v>
      </c>
      <c r="E1682" s="2" t="str">
        <f>IFERROR(__xludf.DUMMYFUNCTION("GOOGLETRANSLATE(C1682, ""en"", ""TL"")"),"Sa Pilipinas, ang mga medikal na practitioner ay maaaring managot sa hindi pagkuha ng kaalamang pahintulot sa ilalim ng mga partikular na pangyayari. Narito ang isang paggalugad ng paksang ito:
Tungkulin na Kumuha ng May Kaalaman na Pahintulot:
Ang mga do"&amp;"ktor ay may pananagutan sa pagkuha ng kaalamang pahintulot mula sa mga pasyente, at ang tungkuling ito ay hindi maaaring italaga. Kahit na ang ibang mga propesyonal sa pangangalagang pangkalusugan o pasilidad ay tumulong sa pagkuha ng pahintulot, ang mga "&amp;"manggagamot ay nananatiling may pananagutan sa huli.
Para maging wasto ang pahintulot, dapat itong boluntaryo, ibinigay ng isang karampatang indibidwal, at batay sa sapat na impormasyon.
Mga Legal na Implikasyon:
Ang pagkabigong makakuha ng wastong pahint"&amp;"ulot na may kaalaman ay maaaring magresulta sa parehong mga kaso ng malpractice at mga singil ng propesyonal na maling pag-uugali.
Sa mga kaso kung saan ang medikal na pananagutan ay batay sa hindi sapat na pagsisiwalat ng mga panganib, ang mga batayan pa"&amp;"ra sa legal na paraan ay karaniwang nakasentro sa kapabayaan sa pagsisiwalat ng impormasyong mahalaga para sa proseso ng paggawa ng desisyon ng isang pasyente.
Sa buod, ang mga medikal na practitioner ay dapat na masigasig na kumuha ng kaalamang pahintulo"&amp;"t mula sa mga pasyente, na nagpapanatili ng transparency at epektibong komunikasyon tungkol sa mga potensyal na panganib. Ang pagpapabaya sa tungkuling ito ay maaaring humantong sa mga legal na epekto. Para sa partikular na patnubay sa pananagutan sa medi"&amp;"kal at mga usapin ng may-kaalamang pahintulot sa Pilipinas, ipinapayong kumunsulta sa mga eksperto sa batas.")</f>
        <v>Sa Pilipinas, ang mga medikal na practitioner ay maaaring managot sa hindi pagkuha ng kaalamang pahintulot sa ilalim ng mga partikular na pangyayari. Narito ang isang paggalugad ng paksang ito:
Tungkulin na Kumuha ng May Kaalaman na Pahintulot:
Ang mga doktor ay may pananagutan sa pagkuha ng kaalamang pahintulot mula sa mga pasyente, at ang tungkuling ito ay hindi maaaring italaga. Kahit na ang ibang mga propesyonal sa pangangalagang pangkalusugan o pasilidad ay tumulong sa pagkuha ng pahintulot, ang mga manggagamot ay nananatiling may pananagutan sa huli.
Para maging wasto ang pahintulot, dapat itong boluntaryo, ibinigay ng isang karampatang indibidwal, at batay sa sapat na impormasyon.
Mga Legal na Implikasyon:
Ang pagkabigong makakuha ng wastong pahintulot na may kaalaman ay maaaring magresulta sa parehong mga kaso ng malpractice at mga singil ng propesyonal na maling pag-uugali.
Sa mga kaso kung saan ang medikal na pananagutan ay batay sa hindi sapat na pagsisiwalat ng mga panganib, ang mga batayan para sa legal na paraan ay karaniwang nakasentro sa kapabayaan sa pagsisiwalat ng impormasyong mahalaga para sa proseso ng paggawa ng desisyon ng isang pasyente.
Sa buod, ang mga medikal na practitioner ay dapat na masigasig na kumuha ng kaalamang pahintulot mula sa mga pasyente, na nagpapanatili ng transparency at epektibong komunikasyon tungkol sa mga potensyal na panganib. Ang pagpapabaya sa tungkuling ito ay maaaring humantong sa mga legal na epekto. Para sa partikular na patnubay sa pananagutan sa medikal at mga usapin ng may-kaalamang pahintulot sa Pilipinas, ipinapayong kumunsulta sa mga eksperto sa batas.</v>
      </c>
      <c r="F1682" s="2">
        <f t="shared" si="1"/>
        <v>2</v>
      </c>
      <c r="G1682" s="2"/>
      <c r="H1682" s="2"/>
      <c r="I1682" s="2"/>
      <c r="J1682" s="2"/>
      <c r="K1682" s="2"/>
      <c r="L1682" s="2"/>
      <c r="M1682" s="2"/>
      <c r="N1682" s="2"/>
      <c r="O1682" s="2"/>
      <c r="P1682" s="2"/>
      <c r="Q1682" s="2"/>
      <c r="R1682" s="2"/>
      <c r="S1682" s="2"/>
      <c r="T1682" s="2"/>
      <c r="U1682" s="2"/>
      <c r="V1682" s="2"/>
      <c r="W1682" s="2"/>
      <c r="X1682" s="2"/>
      <c r="Y1682" s="2"/>
      <c r="Z1682" s="2"/>
      <c r="AA1682" s="2"/>
    </row>
    <row r="1683">
      <c r="A1683" s="1" t="s">
        <v>4337</v>
      </c>
      <c r="B1683" s="1" t="s">
        <v>4400</v>
      </c>
      <c r="C1683" s="1" t="s">
        <v>4458</v>
      </c>
      <c r="D1683" s="2" t="str">
        <f>IFERROR(__xludf.DUMMYFUNCTION("GOOGLETRANSLATE(B1683, ""en"", ""TL"")"),"Anong mga legal na pagsasaalang-alang ang naaangkop sa medikal na pananaliksik na kinasasangkutan ng mga paksa ng tao sa Pilipinas?")</f>
        <v>Anong mga legal na pagsasaalang-alang ang naaangkop sa medikal na pananaliksik na kinasasangkutan ng mga paksa ng tao sa Pilipinas?</v>
      </c>
      <c r="E1683" s="2" t="str">
        <f>IFERROR(__xludf.DUMMYFUNCTION("GOOGLETRANSLATE(C1683, ""en"", ""TL"")"),"Sa Pilipinas, ang medikal na pananaliksik na kinasasangkutan ng mga paksa ng tao ay kinokontrol ng mga etikal na alituntunin at mga legal na balangkas upang pangalagaan ang kapakanan ng mga kalahok. Narito ang ilang mahahalagang puntong dapat isaalang-ala"&amp;"ng:
Mga Pambansang Alituntunin sa Etikal para sa Pananaliksik na Kinasasangkutan ng mga Kalahok ng Tao (2022):
- Ang Philippine Health Research Ethics Board (PHREB) ay nagtatag ng komprehensibong mga alituntunin para sa pananaliksik na kinasasangkutan"&amp;" ng mga paksa ng tao, na nagbibigay-diin sa mga unibersal na prinsipyong etikal na nagtataguyod ng dignidad at karapatan ng mga kalahok.
- Ang pagsunod sa mga alituntuning ito ay sapilitan sa lahat ng yugto ng pananaliksik sa kalusugan.
Batas ng Phili"&amp;"ppine National Health Research System (PNHRS):
- Ang Batas ng PNHRS ay nag-uutos ng pagsunod sa mga unibersal na prinsipyo para sa pagprotekta sa mga kalahok ng tao sa pananaliksik, na pinangangasiwaan ng Philippine Council for Health Research and Develo"&amp;"pment (PCHRD) sa ilalim ng Department of Science and Technology (DOST).
Mga Karapatan at Pananagutan:
- Obligado ang mga mananaliksik na igalang ang mga karapatan ng mga kalahok, kabilang ang kaalamang pahintulot, pagiging kumpidensyal, at privacy, ha"&amp;"bang sumusunod sa mga prinsipyo ng beneficence at non-maleficence.
- Ang pantay na pamamahagi ng mga benepisyo at patas na pagtrato sa mga kalahok ay pinakamahalagang pagsasaalang-alang.
May Kaalaman na Pahintulot:
- Ang mga mananaliksik ay dapat kum"&amp;"uha ng kaalamang pahintulot mula sa mga kalahok, na tinitiyak na lubos nilang nauunawaan ang layunin ng pag-aaral, mga pamamaraan, mga panganib, at mga benepisyo bago ang kanilang paglahok.
Pag-apruba at Pangangasiwa ng Pananaliksik:
- Ang etikal na p"&amp;"ag-apruba mula sa institutional review boards (IRBs) o ethics committee ay sapilitan, kasama ng IRBs na tinitiyak na ang mga protocol ng pananaliksik ay sumusunod sa mga etikal na pamantayan.
Pag-uulat at Transparency:
- Ang malinaw at tumpak na pag-u"&amp;"ulat ng mga natuklasan sa pag-aaral ay mahalaga upang mapanatili ang integridad ng siyensya at matiyak ang transparency sa mga kasanayan sa pananaliksik.
Batas sa Pangangalagang Pangkalusugan at Medikal:
- Dapat ding pamilyar ang mga mananaliksik at t"&amp;"agapagbigay ng pangangalagang pangkalusugan sa mas malawak na mga batas sa pangangalagang pangkalusugan at medikal sa Pilipinas upang matiyak ang pagsunod na lampas sa mga patnubay na partikular sa pananaliksik.")</f>
        <v>Sa Pilipinas, ang medikal na pananaliksik na kinasasangkutan ng mga paksa ng tao ay kinokontrol ng mga etikal na alituntunin at mga legal na balangkas upang pangalagaan ang kapakanan ng mga kalahok. Narito ang ilang mahahalagang puntong dapat isaalang-alang:
Mga Pambansang Alituntunin sa Etikal para sa Pananaliksik na Kinasasangkutan ng mga Kalahok ng Tao (2022):
- Ang Philippine Health Research Ethics Board (PHREB) ay nagtatag ng komprehensibong mga alituntunin para sa pananaliksik na kinasasangkutan ng mga paksa ng tao, na nagbibigay-diin sa mga unibersal na prinsipyong etikal na nagtataguyod ng dignidad at karapatan ng mga kalahok.
- Ang pagsunod sa mga alituntuning ito ay sapilitan sa lahat ng yugto ng pananaliksik sa kalusugan.
Batas ng Philippine National Health Research System (PNHRS):
- Ang Batas ng PNHRS ay nag-uutos ng pagsunod sa mga unibersal na prinsipyo para sa pagprotekta sa mga kalahok ng tao sa pananaliksik, na pinangangasiwaan ng Philippine Council for Health Research and Development (PCHRD) sa ilalim ng Department of Science and Technology (DOST).
Mga Karapatan at Pananagutan:
- Obligado ang mga mananaliksik na igalang ang mga karapatan ng mga kalahok, kabilang ang kaalamang pahintulot, pagiging kumpidensyal, at privacy, habang sumusunod sa mga prinsipyo ng beneficence at non-maleficence.
- Ang pantay na pamamahagi ng mga benepisyo at patas na pagtrato sa mga kalahok ay pinakamahalagang pagsasaalang-alang.
May Kaalaman na Pahintulot:
- Ang mga mananaliksik ay dapat kumuha ng kaalamang pahintulot mula sa mga kalahok, na tinitiyak na lubos nilang nauunawaan ang layunin ng pag-aaral, mga pamamaraan, mga panganib, at mga benepisyo bago ang kanilang paglahok.
Pag-apruba at Pangangasiwa ng Pananaliksik:
- Ang etikal na pag-apruba mula sa institutional review boards (IRBs) o ethics committee ay sapilitan, kasama ng IRBs na tinitiyak na ang mga protocol ng pananaliksik ay sumusunod sa mga etikal na pamantayan.
Pag-uulat at Transparency:
- Ang malinaw at tumpak na pag-uulat ng mga natuklasan sa pag-aaral ay mahalaga upang mapanatili ang integridad ng siyensya at matiyak ang transparency sa mga kasanayan sa pananaliksik.
Batas sa Pangangalagang Pangkalusugan at Medikal:
- Dapat ding pamilyar ang mga mananaliksik at tagapagbigay ng pangangalagang pangkalusugan sa mas malawak na mga batas sa pangangalagang pangkalusugan at medikal sa Pilipinas upang matiyak ang pagsunod na lampas sa mga patnubay na partikular sa pananaliksik.</v>
      </c>
      <c r="F1683" s="2">
        <f t="shared" si="1"/>
        <v>0</v>
      </c>
      <c r="G1683" s="2"/>
      <c r="H1683" s="2"/>
      <c r="I1683" s="2"/>
      <c r="J1683" s="2"/>
      <c r="K1683" s="2"/>
      <c r="L1683" s="2"/>
      <c r="M1683" s="2"/>
      <c r="N1683" s="2"/>
      <c r="O1683" s="2"/>
      <c r="P1683" s="2"/>
      <c r="Q1683" s="2"/>
      <c r="R1683" s="2"/>
      <c r="S1683" s="2"/>
      <c r="T1683" s="2"/>
      <c r="U1683" s="2"/>
      <c r="V1683" s="2"/>
      <c r="W1683" s="2"/>
      <c r="X1683" s="2"/>
      <c r="Y1683" s="2"/>
      <c r="Z1683" s="2"/>
      <c r="AA1683" s="2"/>
    </row>
    <row r="1684">
      <c r="A1684" s="1" t="s">
        <v>4337</v>
      </c>
      <c r="B1684" s="1" t="s">
        <v>4394</v>
      </c>
      <c r="C1684" s="1" t="s">
        <v>4459</v>
      </c>
      <c r="D1684" s="2" t="str">
        <f>IFERROR(__xludf.DUMMYFUNCTION("GOOGLETRANSLATE(B1684, ""en"", ""TL"")"),"Maaari bang tumanggi ang isang pasyente na sumailalim sa mga medikal na pagsusuri, at ano ang mga legal na implikasyon para sa mga tagapagbigay ng pangangalagang pangkalusugan?")</f>
        <v>Maaari bang tumanggi ang isang pasyente na sumailalim sa mga medikal na pagsusuri, at ano ang mga legal na implikasyon para sa mga tagapagbigay ng pangangalagang pangkalusugan?</v>
      </c>
      <c r="E1684" s="2" t="str">
        <f>IFERROR(__xludf.DUMMYFUNCTION("GOOGLETRANSLATE(C1684, ""en"", ""TL"")"),"Sa Pilipinas, ang mga pasyente ay may karapatang tumanggi sa medikal na paggamot, maliban sa mga kaso kung saan ito ay pinahihintulutan ng batas. Nangangahulugan ito na ang mga pasyente ay may awtonomiya na gumawa ng mga desisyon tungkol sa kanilang panga"&amp;"ngalagang pangkalusugan at maaaring tumanggi sa mga paggamot na hindi nila gusto o na sumasalungat sa kanilang mga personal na paniniwala o mga halaga.
Narito ang ilang mahahalagang punto tungkol sa pagtanggi ng pasyente sa mga medikal na pagsusuri at ang"&amp;" mga legal na implikasyon para sa mga tagapagbigay ng pangangalagang pangkalusugan:
May Kaalaman na Pahintulot: Ang may-alam na pahintulot ay isang pangunahing prinsipyo sa pangangalagang pangkalusugan. Ang mga pasyente ay may karapatan na ganap na malama"&amp;"n ang tungkol sa kanilang kondisyong medikal, mga opsyon sa paggamot, mga panganib, mga benepisyo, at mga alternatibo bago sumailalim sa anumang interbensyong medikal o paggamot. Ang mga tagapagbigay ng pangangalagang pangkalusugan ay dapat magbigay ng tu"&amp;"mpak at kumpletong impormasyon sa isang wika at paraan na mauunawaan ng mga pasyente. Ang mga pasyente ay maaaring magtanong, humingi ng mga paglilinaw, at gumawa ng matalinong mga desisyon tungkol sa kanilang pangangalagang pangkalusugan.
Autonomy ng Pas"&amp;"yente: Ang awtonomiya ng mga pasyente at kapasidad sa paggawa ng desisyon ay iginagalang. Kung tumanggi ang isang pasyente sa isang medikal na pagsusuri, dapat igalang ng tagapagbigay ng pangangalagang pangkalusugan ang desisyong iyon. Ang mga doktor ay i"&amp;"pinagbabawal na magpatuloy sa anumang interbensyon kung ang pasyente ay tumanggi pagkatapos ng buong pagsisiwalat.
Dokumentasyon: Kung tumanggi ang isang pasyente sa pagsusuri dahil sa pananalapi o iba pang mga kadahilanan, napakahalaga para sa mga tagapa"&amp;"gbigay ng pangangalagang pangkalusugan na idokumento ang pagtanggi na ito. Ang mga mapagkakatiwalaang clinical tracking system ay mahalaga upang maiwasan ang mga paratang ng pagkaantala sa diagnosis o pagkabigo sa pangangasiwa ng pangangalaga.
Legal na De"&amp;"pensa: Ang wastong dokumentasyon ng pagtanggi ng pasyente ay maaaring magsilbing isang malakas na legal na depensa para sa mga tagapagbigay ng pangangalagang pangkalusugan. Ito ay nagpapakita na ang desisyon ng pasyente ay iginagalang at ang tagapagbigay "&amp;"ng serbisyo ay kumilos nang etikal at sa loob ng mga legal na hangganan.")</f>
        <v>Sa Pilipinas, ang mga pasyente ay may karapatang tumanggi sa medikal na paggamot, maliban sa mga kaso kung saan ito ay pinahihintulutan ng batas. Nangangahulugan ito na ang mga pasyente ay may awtonomiya na gumawa ng mga desisyon tungkol sa kanilang pangangalagang pangkalusugan at maaaring tumanggi sa mga paggamot na hindi nila gusto o na sumasalungat sa kanilang mga personal na paniniwala o mga halaga.
Narito ang ilang mahahalagang punto tungkol sa pagtanggi ng pasyente sa mga medikal na pagsusuri at ang mga legal na implikasyon para sa mga tagapagbigay ng pangangalagang pangkalusugan:
May Kaalaman na Pahintulot: Ang may-alam na pahintulot ay isang pangunahing prinsipyo sa pangangalagang pangkalusugan. Ang mga pasyente ay may karapatan na ganap na malaman ang tungkol sa kanilang kondisyong medikal, mga opsyon sa paggamot, mga panganib, mga benepisyo, at mga alternatibo bago sumailalim sa anumang interbensyong medikal o paggamot. Ang mga tagapagbigay ng pangangalagang pangkalusugan ay dapat magbigay ng tumpak at kumpletong impormasyon sa isang wika at paraan na mauunawaan ng mga pasyente. Ang mga pasyente ay maaaring magtanong, humingi ng mga paglilinaw, at gumawa ng matalinong mga desisyon tungkol sa kanilang pangangalagang pangkalusugan.
Autonomy ng Pasyente: Ang awtonomiya ng mga pasyente at kapasidad sa paggawa ng desisyon ay iginagalang. Kung tumanggi ang isang pasyente sa isang medikal na pagsusuri, dapat igalang ng tagapagbigay ng pangangalagang pangkalusugan ang desisyong iyon. Ang mga doktor ay ipinagbabawal na magpatuloy sa anumang interbensyon kung ang pasyente ay tumanggi pagkatapos ng buong pagsisiwalat.
Dokumentasyon: Kung tumanggi ang isang pasyente sa pagsusuri dahil sa pananalapi o iba pang mga kadahilanan, napakahalaga para sa mga tagapagbigay ng pangangalagang pangkalusugan na idokumento ang pagtanggi na ito. Ang mga mapagkakatiwalaang clinical tracking system ay mahalaga upang maiwasan ang mga paratang ng pagkaantala sa diagnosis o pagkabigo sa pangangasiwa ng pangangalaga.
Legal na Depensa: Ang wastong dokumentasyon ng pagtanggi ng pasyente ay maaaring magsilbing isang malakas na legal na depensa para sa mga tagapagbigay ng pangangalagang pangkalusugan. Ito ay nagpapakita na ang desisyon ng pasyente ay iginagalang at ang tagapagbigay ng serbisyo ay kumilos nang etikal at sa loob ng mga legal na hangganan.</v>
      </c>
      <c r="F1684" s="2">
        <f t="shared" si="1"/>
        <v>0</v>
      </c>
      <c r="G1684" s="2"/>
      <c r="H1684" s="2"/>
      <c r="I1684" s="2"/>
      <c r="J1684" s="2"/>
      <c r="K1684" s="2"/>
      <c r="L1684" s="2"/>
      <c r="M1684" s="2"/>
      <c r="N1684" s="2"/>
      <c r="O1684" s="2"/>
      <c r="P1684" s="2"/>
      <c r="Q1684" s="2"/>
      <c r="R1684" s="2"/>
      <c r="S1684" s="2"/>
      <c r="T1684" s="2"/>
      <c r="U1684" s="2"/>
      <c r="V1684" s="2"/>
      <c r="W1684" s="2"/>
      <c r="X1684" s="2"/>
      <c r="Y1684" s="2"/>
      <c r="Z1684" s="2"/>
      <c r="AA1684" s="2"/>
    </row>
    <row r="1685">
      <c r="A1685" s="1" t="s">
        <v>4337</v>
      </c>
      <c r="B1685" s="1" t="s">
        <v>4396</v>
      </c>
      <c r="C1685" s="1" t="s">
        <v>4460</v>
      </c>
      <c r="D1685" s="2" t="str">
        <f>IFERROR(__xludf.DUMMYFUNCTION("GOOGLETRANSLATE(B1685, ""en"", ""TL"")"),"Anong mga batas ang kumokontrol sa pag-aangkat, pamamahagi, at pagbebenta ng mga kagamitang medikal sa Pilipinas?")</f>
        <v>Anong mga batas ang kumokontrol sa pag-aangkat, pamamahagi, at pagbebenta ng mga kagamitang medikal sa Pilipinas?</v>
      </c>
      <c r="E1685" s="2" t="str">
        <f>IFERROR(__xludf.DUMMYFUNCTION("GOOGLETRANSLATE(C1685, ""en"", ""TL"")"),"Sa Pilipinas, ang pag-aangkat, pamamahagi, at pagbebenta ng mga medikal na kagamitan ay kinokontrol ng ilang mga batas at alituntunin. Tuklasin natin sila:
Republic Act No. 9711 (FDA Act of 2009): Ang batas na ito ay nag-uutos sa Food and Drug Administrat"&amp;"ion (FDA) na bumuo ng mga patakaran, alituntunin, at pamantayan para sa pag-regulate ng mga produktong pangkalusugan, kabilang ang mga medikal na kagamitan. Tinitiyak nito ang kaligtasan, kalidad, at bisa ng mga medikal na aparato sa merkado. Sa ilalim ng"&amp;" batas na ito, kinakailangan ang License to Operate (LTO) para sa mga establisyimento na nakikibahagi sa pagbebenta, pag-aalok para sa pagbebenta, o pagtitingi ng anumang kagamitang medikal, kabilang ang mga in-vitro diagnostic device.
FDA Circular No. 20"&amp;"21-0021: Ang circular na ito ay nagbibigay ng mga partikular na alituntunin sa paglilisensya ng mga retailer ng mga medikal na kagamitan sa Pilipinas. Sinasaklaw nito ang mga establisyimento tulad ng:
Mga retail na tindahan para sa mga medikal na kagamita"&amp;"n
Mga klinika na nagbebenta ng mga medikal na kagamitan (maliban sa mga saklaw ng DOH One Stop Shop Licensing System)
Mga nagbebenta na gumagamit ng mga online na platform (mga website, social media, TV shopping) upang direktang magbenta ng mga medikal na"&amp;" device sa pangkalahatang publiko.
Certificate of Medical Device Notification (CMDN) at Certificate of Medical Device Registration (CMDR):
Ang Panganib na Class A na mga medikal na device ay nangangailangan ng CMDN.
Ang Risk Class B, C, at D na mga medika"&amp;"l na device ay nangangailangan ng CMDR para ma-import at mailagay sa merkado sa Pilipinas.
Dokumentasyon at Pagsunod:
Ang mga rehistradong kagamitang medikal lamang ang maaaring ma-import sa Pilipinas. Ang mga device na ito ay dapat na nakarehistro sa FDA"&amp;"'s Center for Device Regulation, Radiation, Health, and Research (CDRRHR) at nabigyan ng CMDN, CMDR, o Certificate of Product Registration (CPR) maliban kung exempted sa pagpaparehistro")</f>
        <v>Sa Pilipinas, ang pag-aangkat, pamamahagi, at pagbebenta ng mga medikal na kagamitan ay kinokontrol ng ilang mga batas at alituntunin. Tuklasin natin sila:
Republic Act No. 9711 (FDA Act of 2009): Ang batas na ito ay nag-uutos sa Food and Drug Administration (FDA) na bumuo ng mga patakaran, alituntunin, at pamantayan para sa pag-regulate ng mga produktong pangkalusugan, kabilang ang mga medikal na kagamitan. Tinitiyak nito ang kaligtasan, kalidad, at bisa ng mga medikal na aparato sa merkado. Sa ilalim ng batas na ito, kinakailangan ang License to Operate (LTO) para sa mga establisyimento na nakikibahagi sa pagbebenta, pag-aalok para sa pagbebenta, o pagtitingi ng anumang kagamitang medikal, kabilang ang mga in-vitro diagnostic device.
FDA Circular No. 2021-0021: Ang circular na ito ay nagbibigay ng mga partikular na alituntunin sa paglilisensya ng mga retailer ng mga medikal na kagamitan sa Pilipinas. Sinasaklaw nito ang mga establisyimento tulad ng:
Mga retail na tindahan para sa mga medikal na kagamitan
Mga klinika na nagbebenta ng mga medikal na kagamitan (maliban sa mga saklaw ng DOH One Stop Shop Licensing System)
Mga nagbebenta na gumagamit ng mga online na platform (mga website, social media, TV shopping) upang direktang magbenta ng mga medikal na device sa pangkalahatang publiko.
Certificate of Medical Device Notification (CMDN) at Certificate of Medical Device Registration (CMDR):
Ang Panganib na Class A na mga medikal na device ay nangangailangan ng CMDN.
Ang Risk Class B, C, at D na mga medikal na device ay nangangailangan ng CMDR para ma-import at mailagay sa merkado sa Pilipinas.
Dokumentasyon at Pagsunod:
Ang mga rehistradong kagamitang medikal lamang ang maaaring ma-import sa Pilipinas. Ang mga device na ito ay dapat na nakarehistro sa FDA's Center for Device Regulation, Radiation, Health, and Research (CDRRHR) at nabigyan ng CMDN, CMDR, o Certificate of Product Registration (CPR) maliban kung exempted sa pagpaparehistro</v>
      </c>
      <c r="F1685" s="2">
        <f t="shared" si="1"/>
        <v>0</v>
      </c>
      <c r="G1685" s="2"/>
      <c r="H1685" s="2"/>
      <c r="I1685" s="2"/>
      <c r="J1685" s="2"/>
      <c r="K1685" s="2"/>
      <c r="L1685" s="2"/>
      <c r="M1685" s="2"/>
      <c r="N1685" s="2"/>
      <c r="O1685" s="2"/>
      <c r="P1685" s="2"/>
      <c r="Q1685" s="2"/>
      <c r="R1685" s="2"/>
      <c r="S1685" s="2"/>
      <c r="T1685" s="2"/>
      <c r="U1685" s="2"/>
      <c r="V1685" s="2"/>
      <c r="W1685" s="2"/>
      <c r="X1685" s="2"/>
      <c r="Y1685" s="2"/>
      <c r="Z1685" s="2"/>
      <c r="AA1685" s="2"/>
    </row>
    <row r="1686">
      <c r="A1686" s="1" t="s">
        <v>4337</v>
      </c>
      <c r="B1686" s="1" t="s">
        <v>4406</v>
      </c>
      <c r="C1686" s="1" t="s">
        <v>4461</v>
      </c>
      <c r="D1686" s="2" t="str">
        <f>IFERROR(__xludf.DUMMYFUNCTION("GOOGLETRANSLATE(B1686, ""en"", ""TL"")"),"Paano tinutugunan ang mga salungatan ng interes sa medikal na propesyon, partikular sa pananaliksik at pangangalaga sa pasyente?")</f>
        <v>Paano tinutugunan ang mga salungatan ng interes sa medikal na propesyon, partikular sa pananaliksik at pangangalaga sa pasyente?</v>
      </c>
      <c r="E1686" s="2" t="str">
        <f>IFERROR(__xludf.DUMMYFUNCTION("GOOGLETRANSLATE(C1686, ""en"", ""TL"")"),"Kahulugan ng Conflict of Interest:
Lumilitaw ang isang salungatan ng interes kapag may panganib na ang propesyonal na paghuhusga o mga aksyon patungkol sa isang pangunahing interes (tulad ng kapakanan ng pasyente, integridad ng pananaliksik, o edukasyong"&amp;" medikal) ay labis na maimpluwensyahan ng pangalawang interes (na maaaring kabilang ang pinansyal na pakinabang, propesyonal na pagsulong, o personal na pagkilala).
Mga Alituntunin para sa Pagtugon sa Mga Salungatan ng Interes:
Transparency: Dapat ibuny"&amp;"ag ng mga propesyonal at mananaliksik sa pangangalagang pangkalusugan ang anumang potensyal na salungatan ng interes. Ang transparency ay bumubuo ng tiwala at nagbibigay-daan sa mga stakeholder na masuri ang epekto ng mga salungatan na ito.
May Kaalaman "&amp;"na Pahintulot: Sa pangangalaga ng pasyente, ang mga talakayan ng may-kaalamang pahintulot ay dapat magsama ng impormasyon tungkol sa anumang nauugnay na salungatan ng interes. Ang mga pasyente ay may karapatang malaman kung ang isang manggagamot ay may ka"&amp;"ugnayan sa pananalapi sa mga partikular na paggamot o mga interbensyon.
Integridad ng Pananaliksik: Dapat na ipahayag ng mga mananaliksik ang anumang mga relasyon sa pananalapi o mga kaugnayan na maaaring makaimpluwensya sa kanilang pananaliksik. Ang mga"&amp;" journal at institusyon ay madalas na nangangailangan ng mga pahayag ng pagsisiwalat.
Mga Alituntunin at Patakaran: Ang mga propesyonal na organisasyon, institusyon, at mga katawan ng regulasyon ay nagbibigay ng mga alituntunin at patakaran upang pamahal"&amp;"aan ang mga salungatan ng interes. Kabilang dito ang mga panuntunan para sa pagtanggap ng mga regalo, bayad sa pagkonsulta, at pananaliksik na inisponsor ng industriya.
Independent Oversight: Ang mga independent review board at ethics committee ay tinata"&amp;"sa ang mga panukala sa pananaliksik at sinusubaybayan ang mga patuloy na pag-aaral upang matiyak ang objectivity at kaligtasan ng pasyente.
Pag-iwas at Pagbabawas: Kung maaari, iwasan ang mga sitwasyon kung saan maaaring lumitaw ang mga salungatan ng int"&amp;"eres. Kung hindi maiiwasan, magpatupad ng mga estratehiya upang mabawasan ang epekto nito.
Edukasyon: Ang mga propesyonal sa pangangalagang pangkalusugan at mga mananaliksik ay dapat makatanggap ng edukasyon sa pagkilala, pamamahala, at pagsisiwalat ng m"&amp;"ga salungatan ng interes.
Pangangalaga sa Pasyente:
Dapat unahin ng mga doktor ang kapakanan ng pasyente kaysa sa mga interes sa pananalapi. Ang mga desisyon sa paggamot ay dapat na nakabatay sa ebidensya, klinikal na paghuhusga, at mga pangangailangan "&amp;"ng pasyente, hindi pinansiyal na pakinabang.
Ang AMA Code of Medical Ethics ay binibigyang-diin na ang mga doktor ay hindi dapat magbigay ng aksaya o hindi kinakailangang paggamot para lamang sa pinansiyal na benepisyo.
Pananaliksik:
Pagbabawas at Pagb"&amp;"abawas ng Mga Salungatan: Dapat bawasan at ibunyag ng mga mananaliksik ang mga salungatan ng interes. Tinitiyak ng transparency na ang mga natuklasan sa pananaliksik ay hindi nakompromiso.
Peer Review: Ang mahigpit na peer review ay nakakatulong na matuk"&amp;"oy ang mga potensyal na bias at salungatan.
Mga Alituntunin sa Klinikal na Practice: Ang pagbuo ng mga alituntunin ay dapat na may kasamang mga eksperto na walang makabuluhang salungatan ng interes.
Mga Relasyon sa Industriya:
Mga Industriya ng Pharmac"&amp;"eutical at Device: Ang malapit na relasyon sa mga industriyang ito ay maaaring makaimpluwensya sa medikal na kasanayan, pananaliksik, at edukasyon. Ang pagkakaroon ng balanse sa pagitan ng pakikipagtulungan at pagsasarili ay mahalaga.")</f>
        <v>Kahulugan ng Conflict of Interest:
Lumilitaw ang isang salungatan ng interes kapag may panganib na ang propesyonal na paghuhusga o mga aksyon patungkol sa isang pangunahing interes (tulad ng kapakanan ng pasyente, integridad ng pananaliksik, o edukasyong medikal) ay labis na maimpluwensyahan ng pangalawang interes (na maaaring kabilang ang pinansyal na pakinabang, propesyonal na pagsulong, o personal na pagkilala).
Mga Alituntunin para sa Pagtugon sa Mga Salungatan ng Interes:
Transparency: Dapat ibunyag ng mga propesyonal at mananaliksik sa pangangalagang pangkalusugan ang anumang potensyal na salungatan ng interes. Ang transparency ay bumubuo ng tiwala at nagbibigay-daan sa mga stakeholder na masuri ang epekto ng mga salungatan na ito.
May Kaalaman na Pahintulot: Sa pangangalaga ng pasyente, ang mga talakayan ng may-kaalamang pahintulot ay dapat magsama ng impormasyon tungkol sa anumang nauugnay na salungatan ng interes. Ang mga pasyente ay may karapatang malaman kung ang isang manggagamot ay may kaugnayan sa pananalapi sa mga partikular na paggamot o mga interbensyon.
Integridad ng Pananaliksik: Dapat na ipahayag ng mga mananaliksik ang anumang mga relasyon sa pananalapi o mga kaugnayan na maaaring makaimpluwensya sa kanilang pananaliksik. Ang mga journal at institusyon ay madalas na nangangailangan ng mga pahayag ng pagsisiwalat.
Mga Alituntunin at Patakaran: Ang mga propesyonal na organisasyon, institusyon, at mga katawan ng regulasyon ay nagbibigay ng mga alituntunin at patakaran upang pamahalaan ang mga salungatan ng interes. Kabilang dito ang mga panuntunan para sa pagtanggap ng mga regalo, bayad sa pagkonsulta, at pananaliksik na inisponsor ng industriya.
Independent Oversight: Ang mga independent review board at ethics committee ay tinatasa ang mga panukala sa pananaliksik at sinusubaybayan ang mga patuloy na pag-aaral upang matiyak ang objectivity at kaligtasan ng pasyente.
Pag-iwas at Pagbabawas: Kung maaari, iwasan ang mga sitwasyon kung saan maaaring lumitaw ang mga salungatan ng interes. Kung hindi maiiwasan, magpatupad ng mga estratehiya upang mabawasan ang epekto nito.
Edukasyon: Ang mga propesyonal sa pangangalagang pangkalusugan at mga mananaliksik ay dapat makatanggap ng edukasyon sa pagkilala, pamamahala, at pagsisiwalat ng mga salungatan ng interes.
Pangangalaga sa Pasyente:
Dapat unahin ng mga doktor ang kapakanan ng pasyente kaysa sa mga interes sa pananalapi. Ang mga desisyon sa paggamot ay dapat na nakabatay sa ebidensya, klinikal na paghuhusga, at mga pangangailangan ng pasyente, hindi pinansiyal na pakinabang.
Ang AMA Code of Medical Ethics ay binibigyang-diin na ang mga doktor ay hindi dapat magbigay ng aksaya o hindi kinakailangang paggamot para lamang sa pinansiyal na benepisyo.
Pananaliksik:
Pagbabawas at Pagbabawas ng Mga Salungatan: Dapat bawasan at ibunyag ng mga mananaliksik ang mga salungatan ng interes. Tinitiyak ng transparency na ang mga natuklasan sa pananaliksik ay hindi nakompromiso.
Peer Review: Ang mahigpit na peer review ay nakakatulong na matukoy ang mga potensyal na bias at salungatan.
Mga Alituntunin sa Klinikal na Practice: Ang pagbuo ng mga alituntunin ay dapat na may kasamang mga eksperto na walang makabuluhang salungatan ng interes.
Mga Relasyon sa Industriya:
Mga Industriya ng Pharmaceutical at Device: Ang malapit na relasyon sa mga industriyang ito ay maaaring makaimpluwensya sa medikal na kasanayan, pananaliksik, at edukasyon. Ang pagkakaroon ng balanse sa pagitan ng pakikipagtulungan at pagsasarili ay mahalaga.</v>
      </c>
      <c r="F1686" s="2">
        <f t="shared" si="1"/>
        <v>0</v>
      </c>
      <c r="G1686" s="2"/>
      <c r="H1686" s="2"/>
      <c r="I1686" s="2"/>
      <c r="J1686" s="2"/>
      <c r="K1686" s="2"/>
      <c r="L1686" s="2"/>
      <c r="M1686" s="2"/>
      <c r="N1686" s="2"/>
      <c r="O1686" s="2"/>
      <c r="P1686" s="2"/>
      <c r="Q1686" s="2"/>
      <c r="R1686" s="2"/>
      <c r="S1686" s="2"/>
      <c r="T1686" s="2"/>
      <c r="U1686" s="2"/>
      <c r="V1686" s="2"/>
      <c r="W1686" s="2"/>
      <c r="X1686" s="2"/>
      <c r="Y1686" s="2"/>
      <c r="Z1686" s="2"/>
      <c r="AA1686" s="2"/>
    </row>
    <row r="1687">
      <c r="A1687" s="1" t="s">
        <v>4337</v>
      </c>
      <c r="B1687" s="1" t="s">
        <v>4408</v>
      </c>
      <c r="C1687" s="1" t="s">
        <v>4462</v>
      </c>
      <c r="D1687" s="2" t="str">
        <f>IFERROR(__xludf.DUMMYFUNCTION("GOOGLETRANSLATE(B1687, ""en"", ""TL"")"),"Anong mga legal na probisyon ang namamahala sa paggamit ng medikal na marijuana o cannabis para sa mga layuning panggamot?")</f>
        <v>Anong mga legal na probisyon ang namamahala sa paggamit ng medikal na marijuana o cannabis para sa mga layuning panggamot?</v>
      </c>
      <c r="E1687" s="2" t="str">
        <f>IFERROR(__xludf.DUMMYFUNCTION("GOOGLETRANSLATE(C1687, ""en"", ""TL"")"),"hindi ginawang legal ng Pilipinas ang paggamit ng medikal na marijuana o cannabis para sa mga layuning panggamot. Ang bansa ay may mahigpit na batas sa droga, at ang paggamit, pagmamay-ari, pagbebenta, at pagtatanim ng marijuana ay ilegal sa ilalim ng Rep"&amp;"ublic Act No. 9165, na kilala rin bilang Comprehensive Dangerous Drugs Act of 2002.")</f>
        <v>hindi ginawang legal ng Pilipinas ang paggamit ng medikal na marijuana o cannabis para sa mga layuning panggamot. Ang bansa ay may mahigpit na batas sa droga, at ang paggamit, pagmamay-ari, pagbebenta, at pagtatanim ng marijuana ay ilegal sa ilalim ng Republic Act No. 9165, na kilala rin bilang Comprehensive Dangerous Drugs Act of 2002.</v>
      </c>
      <c r="F1687" s="2">
        <f t="shared" si="1"/>
        <v>0</v>
      </c>
      <c r="G1687" s="2"/>
      <c r="H1687" s="2"/>
      <c r="I1687" s="2"/>
      <c r="J1687" s="2"/>
      <c r="K1687" s="2"/>
      <c r="L1687" s="2"/>
      <c r="M1687" s="2"/>
      <c r="N1687" s="2"/>
      <c r="O1687" s="2"/>
      <c r="P1687" s="2"/>
      <c r="Q1687" s="2"/>
      <c r="R1687" s="2"/>
      <c r="S1687" s="2"/>
      <c r="T1687" s="2"/>
      <c r="U1687" s="2"/>
      <c r="V1687" s="2"/>
      <c r="W1687" s="2"/>
      <c r="X1687" s="2"/>
      <c r="Y1687" s="2"/>
      <c r="Z1687" s="2"/>
      <c r="AA1687" s="2"/>
    </row>
    <row r="1688">
      <c r="A1688" s="1" t="s">
        <v>4337</v>
      </c>
      <c r="B1688" s="1" t="s">
        <v>4410</v>
      </c>
      <c r="C1688" s="1" t="s">
        <v>4463</v>
      </c>
      <c r="D1688" s="2" t="str">
        <f>IFERROR(__xludf.DUMMYFUNCTION("GOOGLETRANSLATE(B1688, ""en"", ""TL"")"),"Maaari bang humiling ang isang pasyente ng kopya ng kanilang mga medikal na rekord, at anong mga legal na karapatan ang mayroon sila sa bagay na ito?")</f>
        <v>Maaari bang humiling ang isang pasyente ng kopya ng kanilang mga medikal na rekord, at anong mga legal na karapatan ang mayroon sila sa bagay na ito?</v>
      </c>
      <c r="E1688" s="2" t="str">
        <f>IFERROR(__xludf.DUMMYFUNCTION("GOOGLETRANSLATE(C1688, ""en"", ""TL"")"),"Sa Pilipinas, may karapatan ang mga tao na tingnan ang kanilang mga medikal na rekord, na itinuturing na kumpidensyal. Ang kalayaang ito ay pinoprotektahan ng ilang mga batas, lalo na ang Data Privacy Act of 2012 at ang Medical Act of 19591. Pinoprotektah"&amp;"an ng mga panuntunang ito ang pagiging kumpidensyal at privacy ng mga medikal na rekord habang pinapayagan ang mga pasyente na ma-access ang kanilang sariling impormasyon sa kalusugan.")</f>
        <v>Sa Pilipinas, may karapatan ang mga tao na tingnan ang kanilang mga medikal na rekord, na itinuturing na kumpidensyal. Ang kalayaang ito ay pinoprotektahan ng ilang mga batas, lalo na ang Data Privacy Act of 2012 at ang Medical Act of 19591. Pinoprotektahan ng mga panuntunang ito ang pagiging kumpidensyal at privacy ng mga medikal na rekord habang pinapayagan ang mga pasyente na ma-access ang kanilang sariling impormasyon sa kalusugan.</v>
      </c>
      <c r="F1688" s="2">
        <f t="shared" si="1"/>
        <v>0</v>
      </c>
      <c r="G1688" s="2"/>
      <c r="H1688" s="2"/>
      <c r="I1688" s="2"/>
      <c r="J1688" s="2"/>
      <c r="K1688" s="2"/>
      <c r="L1688" s="2"/>
      <c r="M1688" s="2"/>
      <c r="N1688" s="2"/>
      <c r="O1688" s="2"/>
      <c r="P1688" s="2"/>
      <c r="Q1688" s="2"/>
      <c r="R1688" s="2"/>
      <c r="S1688" s="2"/>
      <c r="T1688" s="2"/>
      <c r="U1688" s="2"/>
      <c r="V1688" s="2"/>
      <c r="W1688" s="2"/>
      <c r="X1688" s="2"/>
      <c r="Y1688" s="2"/>
      <c r="Z1688" s="2"/>
      <c r="AA1688" s="2"/>
    </row>
    <row r="1689">
      <c r="A1689" s="1" t="s">
        <v>4337</v>
      </c>
      <c r="B1689" s="1" t="s">
        <v>4414</v>
      </c>
      <c r="C1689" s="1" t="s">
        <v>4464</v>
      </c>
      <c r="D1689" s="2" t="str">
        <f>IFERROR(__xludf.DUMMYFUNCTION("GOOGLETRANSLATE(B1689, ""en"", ""TL"")"),"Anong mga legal na probisyon ang kumokontrol sa pagsasagawa ng mga medical ethics committee sa mga institusyong pangangalaga sa kalusugan?")</f>
        <v>Anong mga legal na probisyon ang kumokontrol sa pagsasagawa ng mga medical ethics committee sa mga institusyong pangangalaga sa kalusugan?</v>
      </c>
      <c r="E1689" s="2" t="str">
        <f>IFERROR(__xludf.DUMMYFUNCTION("GOOGLETRANSLATE(C1689, ""en"", ""TL"")"),"Sa Pilipinas, ang pagpapatakbo ng mga medical ethics committee sa mga institusyong pangkalusugan ay pinamamahalaan ng iba't ibang mga legal na probisyon. Narito ang mga pangunahing regulasyon:
The Medical Act of 1959 (Republic Act No. 2382): Ang batas "&amp;"na ito ay nagbibigay ng pundasyon para sa pangangasiwa at pag-regulate ng medikal na kasanayan sa bansa. Inilalarawan nito ang mga tungkulin at obligasyon ng mga medikal na propesyonal, kabilang ang pagsunod sa mga pamantayang etikal.
Sa partikular, it"&amp;"inatampok ng Artikulo III, Seksyon 22 (3) ng RA No. 2382 ang responsibilidad ng Board of Medical Examiners na itaguyod ang mga pamantayang etikal at propesyonal sa loob ng medikal na komunidad.
Ang PRC Modernization Act of 2000 (Republic Act No. 8981):"&amp;" Ang batas na ito ay nagbibigay ng kapangyarihan sa Professional Regulatory Boards (PRBs) na pangasiwaan ang iba't ibang propesyon, kabilang ang medisina. Ang mga PRB ay may tungkulin sa pagsubaybay sa mga propesyonal na pamantayan, pagpapatupad ng mga ha"&amp;"kbang para sa propesyonal na pagpapahusay, at pagsisiyasat ng mga paglabag sa mga propesyonal na batas at mga code ng etika.
Ang Samahang Medikal ng Pilipinas (PMA): Bilang Accredited Professional Organization (APO) para sa sektor ng medisina, ang PMA "&amp;"ay gumaganap ng isang mahalagang papel. Itinatag at inaaprubahan nito ang Code of Ethics para sa Medical Profession, na namamahala sa pag-uugali, desisyon, at propesyonal na kasanayan ng mga doktor, na binabalangkas ang kanilang mga obligasyon sa mga pasy"&amp;"ente, sistema ng pangangalagang pangkalusugan, komunidad, mga kasamahan, kaalyadong propesyonal sa kalusugan, at industriya ng produktong pangkalusugan.
Batas sa Mga Karapatan at Obligasyon ng mga Pasyente: Bagama't hindi direktang nauugnay sa mga komi"&amp;"te ng etikang medikal, ang batas na ito ay nag-aalok ng mga alituntunin sa kaalamang pahintulot, pagiging kumpidensyal, at karapatan ng mga pasyente sa etikal na pangangalagang medikal, na nag-aambag sa mas malawak na etikal na balangkas sa loob ng mga pa"&amp;"silidad ng pangangalagang pangkalusugan.
Ang Philippine Health Research Ethics Board (PHREB): Ang PHREB ay nagtatakda ng mga pamantayan at protocol para sa Ethics Review Committees (ERCs) na kasangkot sa pananaliksik ng tao. Ang mga komiteng ito ay may"&amp;" mahalagang papel sa pagtiyak ng mga etikal na kasanayan sa mga pagsisikap sa pananaliksik.
Sa esensya, ang mga legal na probisyon na ito ay sama-samang nagtataguyod ng mga pamantayang etikal, pinangangalagaan ang mga karapatan ng pasyente, at nagtatag"&amp;"uyod ng propesyonal na integridad sa loob ng medikal na larangan sa Pilipinas.")</f>
        <v>Sa Pilipinas, ang pagpapatakbo ng mga medical ethics committee sa mga institusyong pangkalusugan ay pinamamahalaan ng iba't ibang mga legal na probisyon. Narito ang mga pangunahing regulasyon:
The Medical Act of 1959 (Republic Act No. 2382): Ang batas na ito ay nagbibigay ng pundasyon para sa pangangasiwa at pag-regulate ng medikal na kasanayan sa bansa. Inilalarawan nito ang mga tungkulin at obligasyon ng mga medikal na propesyonal, kabilang ang pagsunod sa mga pamantayang etikal.
Sa partikular, itinatampok ng Artikulo III, Seksyon 22 (3) ng RA No. 2382 ang responsibilidad ng Board of Medical Examiners na itaguyod ang mga pamantayang etikal at propesyonal sa loob ng medikal na komunidad.
Ang PRC Modernization Act of 2000 (Republic Act No. 8981): Ang batas na ito ay nagbibigay ng kapangyarihan sa Professional Regulatory Boards (PRBs) na pangasiwaan ang iba't ibang propesyon, kabilang ang medisina. Ang mga PRB ay may tungkulin sa pagsubaybay sa mga propesyonal na pamantayan, pagpapatupad ng mga hakbang para sa propesyonal na pagpapahusay, at pagsisiyasat ng mga paglabag sa mga propesyonal na batas at mga code ng etika.
Ang Samahang Medikal ng Pilipinas (PMA): Bilang Accredited Professional Organization (APO) para sa sektor ng medisina, ang PMA ay gumaganap ng isang mahalagang papel. Itinatag at inaaprubahan nito ang Code of Ethics para sa Medical Profession, na namamahala sa pag-uugali, desisyon, at propesyonal na kasanayan ng mga doktor, na binabalangkas ang kanilang mga obligasyon sa mga pasyente, sistema ng pangangalagang pangkalusugan, komunidad, mga kasamahan, kaalyadong propesyonal sa kalusugan, at industriya ng produktong pangkalusugan.
Batas sa Mga Karapatan at Obligasyon ng mga Pasyente: Bagama't hindi direktang nauugnay sa mga komite ng etikang medikal, ang batas na ito ay nag-aalok ng mga alituntunin sa kaalamang pahintulot, pagiging kumpidensyal, at karapatan ng mga pasyente sa etikal na pangangalagang medikal, na nag-aambag sa mas malawak na etikal na balangkas sa loob ng mga pasilidad ng pangangalagang pangkalusugan.
Ang Philippine Health Research Ethics Board (PHREB): Ang PHREB ay nagtatakda ng mga pamantayan at protocol para sa Ethics Review Committees (ERCs) na kasangkot sa pananaliksik ng tao. Ang mga komiteng ito ay may mahalagang papel sa pagtiyak ng mga etikal na kasanayan sa mga pagsisikap sa pananaliksik.
Sa esensya, ang mga legal na probisyon na ito ay sama-samang nagtataguyod ng mga pamantayang etikal, pinangangalagaan ang mga karapatan ng pasyente, at nagtataguyod ng propesyonal na integridad sa loob ng medikal na larangan sa Pilipinas.</v>
      </c>
      <c r="F1689" s="2">
        <f t="shared" si="1"/>
        <v>0</v>
      </c>
      <c r="G1689" s="2"/>
      <c r="H1689" s="2"/>
      <c r="I1689" s="2"/>
      <c r="J1689" s="2"/>
      <c r="K1689" s="2"/>
      <c r="L1689" s="2"/>
      <c r="M1689" s="2"/>
      <c r="N1689" s="2"/>
      <c r="O1689" s="2"/>
      <c r="P1689" s="2"/>
      <c r="Q1689" s="2"/>
      <c r="R1689" s="2"/>
      <c r="S1689" s="2"/>
      <c r="T1689" s="2"/>
      <c r="U1689" s="2"/>
      <c r="V1689" s="2"/>
      <c r="W1689" s="2"/>
      <c r="X1689" s="2"/>
      <c r="Y1689" s="2"/>
      <c r="Z1689" s="2"/>
      <c r="AA1689" s="2"/>
    </row>
    <row r="1690">
      <c r="A1690" s="1" t="s">
        <v>4337</v>
      </c>
      <c r="B1690" s="1" t="s">
        <v>4360</v>
      </c>
      <c r="C1690" s="1" t="s">
        <v>4465</v>
      </c>
      <c r="D1690" s="2" t="str">
        <f>IFERROR(__xludf.DUMMYFUNCTION("GOOGLETRANSLATE(B1690, ""en"", ""TL"")"),"Anong mga legal na proteksyon ang umiiral para sa mga tagapagbigay ng pangangalagang pangkalusugan na nagbibigay ng emerhensiyang tulong medikal nang may mabuting loob?")</f>
        <v>Anong mga legal na proteksyon ang umiiral para sa mga tagapagbigay ng pangangalagang pangkalusugan na nagbibigay ng emerhensiyang tulong medikal nang may mabuting loob?</v>
      </c>
      <c r="E1690" s="2" t="str">
        <f>IFERROR(__xludf.DUMMYFUNCTION("GOOGLETRANSLATE(C1690, ""en"", ""TL"")"),"Ang mga legal na proteksyon ay inilagay sa Pilipinas para sa mga tagapagbigay ng pangangalagang pangkalusugan na nag-aalok ng emergency na tulong medikal nang may mabuting loob. Narito ang mga kaugnay na detalye:
Ang Republic Act No. 11712, na pinagtib"&amp;"ay noong Abril 27, 2022, bilang Public Health Emergency Benefits and Allowances for Health Care Workers Act, ay kinikilala ang mahalagang papel ng mga manggagawa sa pangangalagang pangkalusugan sa paghahatid ng de-kalidad na pangangalagang pangkalusugan a"&amp;"t pag-iwas sa sakit, partikular sa gitna ng mga pandemya. Layunin ng batas na ito na pahusayin ang kapakanan ng mga manggagawa sa pangangalagang pangkalusugan sa pamamagitan ng pagtiyak na agad silang makakatanggap ng mga mandatoryong benepisyo at allowan"&amp;"ce. Sinasaklaw nito ang parehong mga manggagawa sa pangangalagang pangkalusugan at hindi pangkalusugan na nalantad sa COVID-19 o mga katulad na banta sa panahon ng mga krisis sa pampublikong kalusugan. Ang mga benepisyo ay naaangkop sa tagal ng emerhensiy"&amp;"ang pangkalusugan ng publiko, na epektibo mula Hulyo 1, 2021, hanggang sa alisin ng Pangulo. Ang terminong ""emergency sa pampublikong kalusugan"" ay sumasaklaw sa mga kaganapan tulad ng bioterrorism, natural na kalamidad, kemikal na pag-atake, at paglaga"&amp;"nap ng mga nakakahawang sakit.
Ang Kodigo sa Kalusugan at Kaligtasan § 1799.106 ay pinoprotektahan ang mga indibidwal—na binubuo ng mga bumbero, mga opisyal ng pulisya, mga EMT, RN, at mga pampublikong ahensyang nagpapatrabaho sa kanila—mula sa pananag"&amp;"utan para sa mga aksyon na isinagawa nang may mabuting loob habang nagbibigay ng mga emerhensiyang serbisyong medikal.
Ang Republic Act No. 6615 ay nag-uutos sa lahat ng lisensiyadong gobyerno at pribadong ospital o klinika na magbigay ng agarang pang-"&amp;"emerhensiyang tulong medikal sa mga pasyenteng nasa panganib ng kamatayan o sa mga nagtamo ng matinding pisikal na pinsala.
Ang Code of Ethics ng Philippine Medical Association ay nagsasaad na ang mga manggagamot ay dapat kumilos nang may mabuting loob"&amp;" at katapatan kapag nagpapahayag ng mga opinyon tungkol sa diagnosis, pagbabala, at paggamot. Bukod dito, ang mga karapatan ng mga pasyente na tanggihan ang medikal na paggamot ay dapat na igalang, at ang napapanahong abiso ng paglala ng sakit ay dapat ib"&amp;"igay sa mga pasyente at kanilang mga pamilya.")</f>
        <v>Ang mga legal na proteksyon ay inilagay sa Pilipinas para sa mga tagapagbigay ng pangangalagang pangkalusugan na nag-aalok ng emergency na tulong medikal nang may mabuting loob. Narito ang mga kaugnay na detalye:
Ang Republic Act No. 11712, na pinagtibay noong Abril 27, 2022, bilang Public Health Emergency Benefits and Allowances for Health Care Workers Act, ay kinikilala ang mahalagang papel ng mga manggagawa sa pangangalagang pangkalusugan sa paghahatid ng de-kalidad na pangangalagang pangkalusugan at pag-iwas sa sakit, partikular sa gitna ng mga pandemya. Layunin ng batas na ito na pahusayin ang kapakanan ng mga manggagawa sa pangangalagang pangkalusugan sa pamamagitan ng pagtiyak na agad silang makakatanggap ng mga mandatoryong benepisyo at allowance. Sinasaklaw nito ang parehong mga manggagawa sa pangangalagang pangkalusugan at hindi pangkalusugan na nalantad sa COVID-19 o mga katulad na banta sa panahon ng mga krisis sa pampublikong kalusugan. Ang mga benepisyo ay naaangkop sa tagal ng emerhensiyang pangkalusugan ng publiko, na epektibo mula Hulyo 1, 2021, hanggang sa alisin ng Pangulo. Ang terminong "emergency sa pampublikong kalusugan" ay sumasaklaw sa mga kaganapan tulad ng bioterrorism, natural na kalamidad, kemikal na pag-atake, at paglaganap ng mga nakakahawang sakit.
Ang Kodigo sa Kalusugan at Kaligtasan § 1799.106 ay pinoprotektahan ang mga indibidwal—na binubuo ng mga bumbero, mga opisyal ng pulisya, mga EMT, RN, at mga pampublikong ahensyang nagpapatrabaho sa kanila—mula sa pananagutan para sa mga aksyon na isinagawa nang may mabuting loob habang nagbibigay ng mga emerhensiyang serbisyong medikal.
Ang Republic Act No. 6615 ay nag-uutos sa lahat ng lisensiyadong gobyerno at pribadong ospital o klinika na magbigay ng agarang pang-emerhensiyang tulong medikal sa mga pasyenteng nasa panganib ng kamatayan o sa mga nagtamo ng matinding pisikal na pinsala.
Ang Code of Ethics ng Philippine Medical Association ay nagsasaad na ang mga manggagamot ay dapat kumilos nang may mabuting loob at katapatan kapag nagpapahayag ng mga opinyon tungkol sa diagnosis, pagbabala, at paggamot. Bukod dito, ang mga karapatan ng mga pasyente na tanggihan ang medikal na paggamot ay dapat na igalang, at ang napapanahong abiso ng paglala ng sakit ay dapat ibigay sa mga pasyente at kanilang mga pamilya.</v>
      </c>
      <c r="F1690" s="2">
        <f t="shared" si="1"/>
        <v>0</v>
      </c>
      <c r="G1690" s="2"/>
      <c r="H1690" s="2"/>
      <c r="I1690" s="2"/>
      <c r="J1690" s="2"/>
      <c r="K1690" s="2"/>
      <c r="L1690" s="2"/>
      <c r="M1690" s="2"/>
      <c r="N1690" s="2"/>
      <c r="O1690" s="2"/>
      <c r="P1690" s="2"/>
      <c r="Q1690" s="2"/>
      <c r="R1690" s="2"/>
      <c r="S1690" s="2"/>
      <c r="T1690" s="2"/>
      <c r="U1690" s="2"/>
      <c r="V1690" s="2"/>
      <c r="W1690" s="2"/>
      <c r="X1690" s="2"/>
      <c r="Y1690" s="2"/>
      <c r="Z1690" s="2"/>
      <c r="AA1690" s="2"/>
    </row>
    <row r="1691">
      <c r="A1691" s="1" t="s">
        <v>4337</v>
      </c>
      <c r="B1691" s="1" t="s">
        <v>4366</v>
      </c>
      <c r="C1691" s="1" t="s">
        <v>4466</v>
      </c>
      <c r="D1691" s="2" t="str">
        <f>IFERROR(__xludf.DUMMYFUNCTION("GOOGLETRANSLATE(B1691, ""en"", ""TL"")"),"Paano karaniwang nareresolba ang mga medikal na alitan sa ilalim ng batas ng Pilipinas?")</f>
        <v>Paano karaniwang nareresolba ang mga medikal na alitan sa ilalim ng batas ng Pilipinas?</v>
      </c>
      <c r="E1691" s="2" t="str">
        <f>IFERROR(__xludf.DUMMYFUNCTION("GOOGLETRANSLATE(C1691, ""en"", ""TL"")"),"Sa Pilipinas, kapag may hindi pagkakaunawaan sa larangang medikal, karaniwan itong inaayos sa pamamagitan ng pagsasama-sama ng mga legal na tuntunin, regulasyon, at mga alternatibong pamamaraan ng paglutas ng dispute (ADR). Narito ang hitsura nito:
Leg"&amp;"al na Bagay:
Isipin ang Civil Code at ang Medical Act of 1959 bilang pangunahing gabay. Inilalagay nila ang mga dapat at hindi dapat gawin para sa mga pro at pasyente sa pangangalagang pangkalusugan. Dagdag pa rito, may iba pang mga patakaran na tinitiya"&amp;"k na ang lahat ay gumaganap ng patas at ang mga pasyente ay mananatiling ligtas.
Mga Karapatan ng Pasyente:
Ang mga pasyente ay may ilang mga karapatan din, tulad ng:
Access sa Pangangalaga: Walang sinuman ang dapat tanggihan ng pangangalagang pang"&amp;"kalusugan dahil lamang sa hindi sila makakapagbayad.
Mga Maalam na Pagpipilian: Dapat malaman ng mga pasyente kung ano ang nangyayari sa kanilang mga opsyon sa paggamot, kabilang ang mga panganib at benepisyo.
Mahalaga sa Privacy: Ang iyong medikal na i"&amp;"mpormasyon ay pribado, at kailangang panatilihin ito ng mga doktor sa ganoong paraan.
Nangungunang Pangangalaga: Karapat-dapat ka sa kalidad ng pangangalagang pangkalusugan na nakakatugon sa mga pamantayan.
Paghahanap ng mga Solusyon:
Kapag patagilid a"&amp;"ng mga bagay-bagay, may mga paraan para ayusin ito na hindi kasama ang pagpunta sa korte:
ADR: Kabilang dito ang mga bagay tulad ng pamamagitan at arbitrasyon. Ito ay tulad ng pagkuha ng isang referee upang tulungan ka at ang kabilang panig na ayusin a"&amp;"ng mga bagay-bagay.
Arbitrasyon: Isipin ito bilang isang pribadong hukuman kung saan ang magkabilang panig ay sumasang-ayon na sundin ang desisyon ng arbitrator.
Mahalaga ang Komunikasyon: Ang pakikipag-usap nang bukas at tapat ay kadalasang makakalutas"&amp;" ng maraming problema.
Legal na Payo: Minsan kailangan mo ng abogado para mag-navigate sa mga nakakalito na sitwasyon.")</f>
        <v>Sa Pilipinas, kapag may hindi pagkakaunawaan sa larangang medikal, karaniwan itong inaayos sa pamamagitan ng pagsasama-sama ng mga legal na tuntunin, regulasyon, at mga alternatibong pamamaraan ng paglutas ng dispute (ADR). Narito ang hitsura nito:
Legal na Bagay:
Isipin ang Civil Code at ang Medical Act of 1959 bilang pangunahing gabay. Inilalagay nila ang mga dapat at hindi dapat gawin para sa mga pro at pasyente sa pangangalagang pangkalusugan. Dagdag pa rito, may iba pang mga patakaran na tinitiyak na ang lahat ay gumaganap ng patas at ang mga pasyente ay mananatiling ligtas.
Mga Karapatan ng Pasyente:
Ang mga pasyente ay may ilang mga karapatan din, tulad ng:
Access sa Pangangalaga: Walang sinuman ang dapat tanggihan ng pangangalagang pangkalusugan dahil lamang sa hindi sila makakapagbayad.
Mga Maalam na Pagpipilian: Dapat malaman ng mga pasyente kung ano ang nangyayari sa kanilang mga opsyon sa paggamot, kabilang ang mga panganib at benepisyo.
Mahalaga sa Privacy: Ang iyong medikal na impormasyon ay pribado, at kailangang panatilihin ito ng mga doktor sa ganoong paraan.
Nangungunang Pangangalaga: Karapat-dapat ka sa kalidad ng pangangalagang pangkalusugan na nakakatugon sa mga pamantayan.
Paghahanap ng mga Solusyon:
Kapag patagilid ang mga bagay-bagay, may mga paraan para ayusin ito na hindi kasama ang pagpunta sa korte:
ADR: Kabilang dito ang mga bagay tulad ng pamamagitan at arbitrasyon. Ito ay tulad ng pagkuha ng isang referee upang tulungan ka at ang kabilang panig na ayusin ang mga bagay-bagay.
Arbitrasyon: Isipin ito bilang isang pribadong hukuman kung saan ang magkabilang panig ay sumasang-ayon na sundin ang desisyon ng arbitrator.
Mahalaga ang Komunikasyon: Ang pakikipag-usap nang bukas at tapat ay kadalasang makakalutas ng maraming problema.
Legal na Payo: Minsan kailangan mo ng abogado para mag-navigate sa mga nakakalito na sitwasyon.</v>
      </c>
      <c r="F1691" s="2">
        <f t="shared" si="1"/>
        <v>0</v>
      </c>
      <c r="G1691" s="2"/>
      <c r="H1691" s="2"/>
      <c r="I1691" s="2"/>
      <c r="J1691" s="2"/>
      <c r="K1691" s="2"/>
      <c r="L1691" s="2"/>
      <c r="M1691" s="2"/>
      <c r="N1691" s="2"/>
      <c r="O1691" s="2"/>
      <c r="P1691" s="2"/>
      <c r="Q1691" s="2"/>
      <c r="R1691" s="2"/>
      <c r="S1691" s="2"/>
      <c r="T1691" s="2"/>
      <c r="U1691" s="2"/>
      <c r="V1691" s="2"/>
      <c r="W1691" s="2"/>
      <c r="X1691" s="2"/>
      <c r="Y1691" s="2"/>
      <c r="Z1691" s="2"/>
      <c r="AA1691" s="2"/>
    </row>
    <row r="1692">
      <c r="A1692" s="1" t="s">
        <v>4337</v>
      </c>
      <c r="B1692" s="1" t="s">
        <v>4429</v>
      </c>
      <c r="C1692" s="1" t="s">
        <v>4467</v>
      </c>
      <c r="D1692" s="2" t="str">
        <f>IFERROR(__xludf.DUMMYFUNCTION("GOOGLETRANSLATE(B1692, ""en"", ""TL"")"),"Sa ilalim ng anong mga pangyayari ang mga medikal na practitioner ay maaaring sumailalim sa mga parusang administratibo ng mga katawan ng regulasyong pangkalusugan?")</f>
        <v>Sa ilalim ng anong mga pangyayari ang mga medikal na practitioner ay maaaring sumailalim sa mga parusang administratibo ng mga katawan ng regulasyong pangkalusugan?</v>
      </c>
      <c r="E1692" s="2" t="str">
        <f>IFERROR(__xludf.DUMMYFUNCTION("GOOGLETRANSLATE(C1692, ""en"", ""TL"")"),"Sa Pilipinas, maaaring harapin ng mga doktor ang malubhang kahihinatnan mula sa mga katawan ng regulasyon sa kalusugan sa iba't ibang dahilan. Narito ang lowdown:
Paglalaro ayon sa Mga Panuntunan: Kailangang sundin ng mga doktor ang mga tuntunin sa akredi"&amp;"tasyon na itinakda ng mga awtoridad sa kalusugan. Kung hindi, maaari silang nasa mainit na tubig.
Crossing the T's and Dotting the I's: Kapag nakikitungo sa mga claim sa health insurance, may tamang pamamaraan na dapat sundin. Kung guluhin iyon ng mga dok"&amp;"tor, maaari silang maharap sa mga kahihinatnan.
Pananatiling Etikal: Ang paglabag sa Code of Ethics ay isang malaking no-no. Binabaybay ng code na ito kung ano ang dapat at hindi dapat gawin ng mga doktor, at ang paglabag dito ay maaaring magdulot sa kani"&amp;"la ng problema.
Paglabag sa Batas: Ang mga batas tulad ng Universal Health Care Act ay nariyan upang protektahan ang mga pasyente at mapanatili ang mga pamantayan ng kalidad. Ang mga doktor na lumalabag sa mga batas na ito ay maaaring maharap sa mga parus"&amp;"a.
Mga Bilang ng Kalidad: Kailangang panatilihin ng mga doktor ang mataas na pamantayan ng pangangalaga. Kung sila ay kulang o magulo, maaari nilang harapin ang musika.
Hindi Pinahihintulutan ang Pandaraya: Anumang nakakatawang negosyo tulad ng pagsusumit"&amp;"e ng mga pekeng claim o pagsisinungaling tungkol sa mga serbisyo ay maaaring humantong sa problema.
Pag-una sa mga Pasyente: Kailangang panatilihing ligtas ng mga doktor ang mga pasyente at igalang ang kanilang mga karapatan. Kung hindi nila gagawin, maaa"&amp;"ri silang harapin ang mga kahihinatnan.")</f>
        <v>Sa Pilipinas, maaaring harapin ng mga doktor ang malubhang kahihinatnan mula sa mga katawan ng regulasyon sa kalusugan sa iba't ibang dahilan. Narito ang lowdown:
Paglalaro ayon sa Mga Panuntunan: Kailangang sundin ng mga doktor ang mga tuntunin sa akreditasyon na itinakda ng mga awtoridad sa kalusugan. Kung hindi, maaari silang nasa mainit na tubig.
Crossing the T's and Dotting the I's: Kapag nakikitungo sa mga claim sa health insurance, may tamang pamamaraan na dapat sundin. Kung guluhin iyon ng mga doktor, maaari silang maharap sa mga kahihinatnan.
Pananatiling Etikal: Ang paglabag sa Code of Ethics ay isang malaking no-no. Binabaybay ng code na ito kung ano ang dapat at hindi dapat gawin ng mga doktor, at ang paglabag dito ay maaaring magdulot sa kanila ng problema.
Paglabag sa Batas: Ang mga batas tulad ng Universal Health Care Act ay nariyan upang protektahan ang mga pasyente at mapanatili ang mga pamantayan ng kalidad. Ang mga doktor na lumalabag sa mga batas na ito ay maaaring maharap sa mga parusa.
Mga Bilang ng Kalidad: Kailangang panatilihin ng mga doktor ang mataas na pamantayan ng pangangalaga. Kung sila ay kulang o magulo, maaari nilang harapin ang musika.
Hindi Pinahihintulutan ang Pandaraya: Anumang nakakatawang negosyo tulad ng pagsusumite ng mga pekeng claim o pagsisinungaling tungkol sa mga serbisyo ay maaaring humantong sa problema.
Pag-una sa mga Pasyente: Kailangang panatilihing ligtas ng mga doktor ang mga pasyente at igalang ang kanilang mga karapatan. Kung hindi nila gagawin, maaari silang harapin ang mga kahihinatnan.</v>
      </c>
      <c r="F1692" s="2">
        <f t="shared" si="1"/>
        <v>0</v>
      </c>
      <c r="G1692" s="2"/>
      <c r="H1692" s="2"/>
      <c r="I1692" s="2"/>
      <c r="J1692" s="2"/>
      <c r="K1692" s="2"/>
      <c r="L1692" s="2"/>
      <c r="M1692" s="2"/>
      <c r="N1692" s="2"/>
      <c r="O1692" s="2"/>
      <c r="P1692" s="2"/>
      <c r="Q1692" s="2"/>
      <c r="R1692" s="2"/>
      <c r="S1692" s="2"/>
      <c r="T1692" s="2"/>
      <c r="U1692" s="2"/>
      <c r="V1692" s="2"/>
      <c r="W1692" s="2"/>
      <c r="X1692" s="2"/>
      <c r="Y1692" s="2"/>
      <c r="Z1692" s="2"/>
      <c r="AA1692" s="2"/>
    </row>
    <row r="1693">
      <c r="A1693" s="1" t="s">
        <v>4337</v>
      </c>
      <c r="B1693" s="1" t="s">
        <v>4431</v>
      </c>
      <c r="C1693" s="1" t="s">
        <v>4468</v>
      </c>
      <c r="D1693" s="2" t="str">
        <f>IFERROR(__xludf.DUMMYFUNCTION("GOOGLETRANSLATE(B1693, ""en"", ""TL"")"),"Anong mga legal na obligasyon ang mayroon ang mga tagapagbigay ng pangangalagang pangkalusugan sa pag-uulat ng mga kaso ng medikal na pandaraya o pag-abuso sa insurance?")</f>
        <v>Anong mga legal na obligasyon ang mayroon ang mga tagapagbigay ng pangangalagang pangkalusugan sa pag-uulat ng mga kaso ng medikal na pandaraya o pag-abuso sa insurance?</v>
      </c>
      <c r="E1693" s="2" t="str">
        <f>IFERROR(__xludf.DUMMYFUNCTION("GOOGLETRANSLATE(C1693, ""en"", ""TL"")"),"Sa Pilipinas, ang mga tagapagbigay ng pangangalagang pangkalusugan ay may malaking legal na responsibilidad tungkol sa pag-uulat ng medikal na pandaraya o pag-abuso sa insurance. Narito ang isang breakdown:
Mga Alituntunin ng PhilHealth:
Nagbabala ang"&amp;" PhilHealth laban sa mga hindi etikal na gawi tulad ng upcasing of claims, kung saan ang kalubhaan ng kondisyon ng isang pasyente ay pinalalaki upang makatanggap ng mas mataas na reimbursement.
Ang mga pagkakataon ng pagsasabwatan sa pagitan ng mga tagap"&amp;"agbigay ng pangangalagang pangkalusugan at mga pasyente upang palakihin ang mga benepisyo, lalo na sa panahon ng pandemya ng COVID-19, ay naiulat.
Ang mga propesyonal sa pangangalagang pangkalusugan ay hinihimok na direktang iulat ang mga mapanlinlang na"&amp;" aktibidad sa PhilHealth, na tinitiyak ang pagiging kumpidensyal at legal na proteksyon para sa mga whistleblower.
Nakikipagtulungan ang PhilHealth sa mga ahensyang nagpapatupad ng batas tulad ng National Bureau of Investigation upang tukuyin at usigin a"&amp;"ng mga mapanlinlang na aktibidad ng mga ospital at mga propesyonal.
Isang zero-tolerance approach ang binibigyang-diin ng Pangulo ng PhilHealth, na may malubhang kahihinatnan na ipinangako para sa mga sangkot sa mapanlinlang na gawain.
Legal na Balangka"&amp;"s:
Ang mga kaso ng malpractice sa medikal ay nasa ilalim ng saklaw ng iba't ibang batas kabilang ang Civil Code at ang Medical Act of 1959, na naglalarawan sa mga responsibilidad ng mga propesyonal sa pangangalagang pangkalusugan at mga karapatan ng pasy"&amp;"ente.
Mga Mekanismo ng Pag-uulat:
Ang mga miyembro ng publiko ay maaaring mag-ulat ng mga pagkakataon ng mapanlinlang na claim sa kalusugan sa pamamagitan ng pag-email sa mga itinalagang PhilHealth address o pagpapadala ng mga ulat sa koreo sa Office of"&amp;" the Corporate Secretary.
Sa esensya, ang mga healthcare provider ay legal na obligado na mag-ulat ng mga pagkakataon ng medikal na pandaraya o pag-abuso sa insurance, na tinitiyak ang integridad ng mga sistema ng pangangalagang pangkalusugan sa Pilipi"&amp;"nas.")</f>
        <v>Sa Pilipinas, ang mga tagapagbigay ng pangangalagang pangkalusugan ay may malaking legal na responsibilidad tungkol sa pag-uulat ng medikal na pandaraya o pag-abuso sa insurance. Narito ang isang breakdown:
Mga Alituntunin ng PhilHealth:
Nagbabala ang PhilHealth laban sa mga hindi etikal na gawi tulad ng upcasing of claims, kung saan ang kalubhaan ng kondisyon ng isang pasyente ay pinalalaki upang makatanggap ng mas mataas na reimbursement.
Ang mga pagkakataon ng pagsasabwatan sa pagitan ng mga tagapagbigay ng pangangalagang pangkalusugan at mga pasyente upang palakihin ang mga benepisyo, lalo na sa panahon ng pandemya ng COVID-19, ay naiulat.
Ang mga propesyonal sa pangangalagang pangkalusugan ay hinihimok na direktang iulat ang mga mapanlinlang na aktibidad sa PhilHealth, na tinitiyak ang pagiging kumpidensyal at legal na proteksyon para sa mga whistleblower.
Nakikipagtulungan ang PhilHealth sa mga ahensyang nagpapatupad ng batas tulad ng National Bureau of Investigation upang tukuyin at usigin ang mga mapanlinlang na aktibidad ng mga ospital at mga propesyonal.
Isang zero-tolerance approach ang binibigyang-diin ng Pangulo ng PhilHealth, na may malubhang kahihinatnan na ipinangako para sa mga sangkot sa mapanlinlang na gawain.
Legal na Balangkas:
Ang mga kaso ng malpractice sa medikal ay nasa ilalim ng saklaw ng iba't ibang batas kabilang ang Civil Code at ang Medical Act of 1959, na naglalarawan sa mga responsibilidad ng mga propesyonal sa pangangalagang pangkalusugan at mga karapatan ng pasyente.
Mga Mekanismo ng Pag-uulat:
Ang mga miyembro ng publiko ay maaaring mag-ulat ng mga pagkakataon ng mapanlinlang na claim sa kalusugan sa pamamagitan ng pag-email sa mga itinalagang PhilHealth address o pagpapadala ng mga ulat sa koreo sa Office of the Corporate Secretary.
Sa esensya, ang mga healthcare provider ay legal na obligado na mag-ulat ng mga pagkakataon ng medikal na pandaraya o pag-abuso sa insurance, na tinitiyak ang integridad ng mga sistema ng pangangalagang pangkalusugan sa Pilipinas.</v>
      </c>
      <c r="F1693" s="2">
        <f t="shared" si="1"/>
        <v>0</v>
      </c>
      <c r="G1693" s="2"/>
      <c r="H1693" s="2"/>
      <c r="I1693" s="2"/>
      <c r="J1693" s="2"/>
      <c r="K1693" s="2"/>
      <c r="L1693" s="2"/>
      <c r="M1693" s="2"/>
      <c r="N1693" s="2"/>
      <c r="O1693" s="2"/>
      <c r="P1693" s="2"/>
      <c r="Q1693" s="2"/>
      <c r="R1693" s="2"/>
      <c r="S1693" s="2"/>
      <c r="T1693" s="2"/>
      <c r="U1693" s="2"/>
      <c r="V1693" s="2"/>
      <c r="W1693" s="2"/>
      <c r="X1693" s="2"/>
      <c r="Y1693" s="2"/>
      <c r="Z1693" s="2"/>
      <c r="AA1693" s="2"/>
    </row>
    <row r="1694">
      <c r="A1694" s="1" t="s">
        <v>4337</v>
      </c>
      <c r="B1694" s="1" t="s">
        <v>4435</v>
      </c>
      <c r="C1694" s="1" t="s">
        <v>4469</v>
      </c>
      <c r="D1694" s="2" t="str">
        <f>IFERROR(__xludf.DUMMYFUNCTION("GOOGLETRANSLATE(B1694, ""en"", ""TL"")"),"Anong mga batas ang kumokontrol sa paggamit ng mga elektronikong rekord ng kalusugan at mga sistema ng impormasyon sa larangang medikal?")</f>
        <v>Anong mga batas ang kumokontrol sa paggamit ng mga elektronikong rekord ng kalusugan at mga sistema ng impormasyon sa larangang medikal?</v>
      </c>
      <c r="E1694" s="2" t="str">
        <f>IFERROR(__xludf.DUMMYFUNCTION("GOOGLETRANSLATE(C1694, ""en"", ""TL"")"),"Sa Pilipinas, ang paggamit ng electronic health records (EHRs) at mga sistema ng impormasyon sa loob ng medikal na sektor ay pinamamahalaan ng iba't ibang batas at regulasyon. Narito ang mga susi:
Universal Health Care Act (Republic Act No. 11223):
Na"&amp;"isabatas noong 2019, ang batas na ito ay naglalayong magtatag ng pangkalahatang pangangalagang pangkalusugan para sa lahat ng Pilipino, magpasimula ng mga reporma sa sistema ng pangangalagang pangkalusugan at magbigay ng pondo para sa pagpapatupad nito.
"&amp;"Itinatampok nito ang karapatan ng mga mamamayan sa kalusugan at hinihikayat ang kamalayan sa kalusugan.
Ang Batas ay nag-uutos ng pagpapanatili ng isang Sistema ng Impormasyong Pangkalusugan ng mga tagapagbigay ng serbisyong pangkalusugan at mga tagasegu"&amp;"ro, kabilang ang mga bahagi tulad ng mga rekord ng elektronikong kalusugan, pagpaplano ng mapagkukunan ng negosyo, at mga log ng elektronikong reseta, na sumusunod sa mga pamantayan ng Department of Health (DOH).
Batas sa Privacy ng Data ng 2012:
Bagama"&amp;"'t hindi partikular sa pangangalagang pangkalusugan, pinangangalagaan ng batas na ito ang personal na data, kabilang ang impormasyong pangkalusugan, na tinitiyak ang pagiging kumpidensyal at pagkapribado ng mga medikal na rekord.
Ang mga institusyon ng p"&amp;"angangalagang pangkalusugan na humahawak sa mga EHR ay dapat sumunod sa mga regulasyon sa privacy ng data upang maprotektahan ang impormasyon ng pasyente.
Batas Medikal ng 1959:
Ang batas na ito ay namamahala sa medikal na kasanayan sa Pilipinas at bini"&amp;"bigyang-diin ang kahalagahan ng pagpapanatili ng tumpak at kumpidensyal na mga medikal na rekord.
Bagama't hindi nito direktang tinutugunan ang mga EHR, ang mga pasyente ay binibigyan ng karapatang ma-access ang kanilang impormasyon sa kalusugan sa ilali"&amp;"m ng batas na ito.
Iba pang Kaugnay na Regulasyon:
Ang Department of Health (DOH) ay naglalabas ng mga alituntunin at pamantayan tungkol sa mga EHR at mga sistema ng impormasyon sa kalusugan.
Ang mga pribado at pampublikong ospital ay hinihikayat na ma"&amp;"gpatibay ng mga electronic medical record (EMRs) upang mapahusay ang mga serbisyo sa pangangalagang pangkalusugan, na umaayon sa mga probisyon ng Universal Health Care Act.")</f>
        <v>Sa Pilipinas, ang paggamit ng electronic health records (EHRs) at mga sistema ng impormasyon sa loob ng medikal na sektor ay pinamamahalaan ng iba't ibang batas at regulasyon. Narito ang mga susi:
Universal Health Care Act (Republic Act No. 11223):
Naisabatas noong 2019, ang batas na ito ay naglalayong magtatag ng pangkalahatang pangangalagang pangkalusugan para sa lahat ng Pilipino, magpasimula ng mga reporma sa sistema ng pangangalagang pangkalusugan at magbigay ng pondo para sa pagpapatupad nito.
Itinatampok nito ang karapatan ng mga mamamayan sa kalusugan at hinihikayat ang kamalayan sa kalusugan.
Ang Batas ay nag-uutos ng pagpapanatili ng isang Sistema ng Impormasyong Pangkalusugan ng mga tagapagbigay ng serbisyong pangkalusugan at mga tagaseguro, kabilang ang mga bahagi tulad ng mga rekord ng elektronikong kalusugan, pagpaplano ng mapagkukunan ng negosyo, at mga log ng elektronikong reseta, na sumusunod sa mga pamantayan ng Department of Health (DOH).
Batas sa Privacy ng Data ng 2012:
Bagama't hindi partikular sa pangangalagang pangkalusugan, pinangangalagaan ng batas na ito ang personal na data, kabilang ang impormasyong pangkalusugan, na tinitiyak ang pagiging kumpidensyal at pagkapribado ng mga medikal na rekord.
Ang mga institusyon ng pangangalagang pangkalusugan na humahawak sa mga EHR ay dapat sumunod sa mga regulasyon sa privacy ng data upang maprotektahan ang impormasyon ng pasyente.
Batas Medikal ng 1959:
Ang batas na ito ay namamahala sa medikal na kasanayan sa Pilipinas at binibigyang-diin ang kahalagahan ng pagpapanatili ng tumpak at kumpidensyal na mga medikal na rekord.
Bagama't hindi nito direktang tinutugunan ang mga EHR, ang mga pasyente ay binibigyan ng karapatang ma-access ang kanilang impormasyon sa kalusugan sa ilalim ng batas na ito.
Iba pang Kaugnay na Regulasyon:
Ang Department of Health (DOH) ay naglalabas ng mga alituntunin at pamantayan tungkol sa mga EHR at mga sistema ng impormasyon sa kalusugan.
Ang mga pribado at pampublikong ospital ay hinihikayat na magpatibay ng mga electronic medical record (EMRs) upang mapahusay ang mga serbisyo sa pangangalagang pangkalusugan, na umaayon sa mga probisyon ng Universal Health Care Act.</v>
      </c>
      <c r="F1694" s="2">
        <f t="shared" si="1"/>
        <v>0</v>
      </c>
      <c r="G1694" s="2"/>
      <c r="H1694" s="2"/>
      <c r="I1694" s="2"/>
      <c r="J1694" s="2"/>
      <c r="K1694" s="2"/>
      <c r="L1694" s="2"/>
      <c r="M1694" s="2"/>
      <c r="N1694" s="2"/>
      <c r="O1694" s="2"/>
      <c r="P1694" s="2"/>
      <c r="Q1694" s="2"/>
      <c r="R1694" s="2"/>
      <c r="S1694" s="2"/>
      <c r="T1694" s="2"/>
      <c r="U1694" s="2"/>
      <c r="V1694" s="2"/>
      <c r="W1694" s="2"/>
      <c r="X1694" s="2"/>
      <c r="Y1694" s="2"/>
      <c r="Z1694" s="2"/>
      <c r="AA1694" s="2"/>
    </row>
    <row r="1695">
      <c r="A1695" s="1" t="s">
        <v>4337</v>
      </c>
      <c r="B1695" s="1" t="s">
        <v>4386</v>
      </c>
      <c r="C1695" s="1" t="s">
        <v>4470</v>
      </c>
      <c r="D1695" s="2" t="str">
        <f>IFERROR(__xludf.DUMMYFUNCTION("GOOGLETRANSLATE(B1695, ""en"", ""TL"")"),"Anong mga legal na proteksyon ang umiiral para sa mga medikal na practitioner na nag-uulat ng mga hindi etikal o ilegal na gawain sa loob ng kanilang mga institusyon?")</f>
        <v>Anong mga legal na proteksyon ang umiiral para sa mga medikal na practitioner na nag-uulat ng mga hindi etikal o ilegal na gawain sa loob ng kanilang mga institusyon?</v>
      </c>
      <c r="E1695" s="2" t="str">
        <f>IFERROR(__xludf.DUMMYFUNCTION("GOOGLETRANSLATE(C1695, ""en"", ""TL"")"),"Sa Pilipinas, ang mga propesyonal sa pangangalagang pangkalusugan ay may mga legal na proteksyon kapag nag-uulat ng mga hindi etikal o ilegal na gawain sa loob ng kanilang mga institusyon. Narito ang isang breakdown:
Tungkulin na Mag-ulat ng Mga Hindi Eti"&amp;"kal na Kasanayan:
Hinihimok ng Kodigo ng Etika ng Philippine Medical Association (PMA) ang mga manggagamot na ilantad at iulat ang mga walang lisensyang practitioner at mapanlinlang na aktibidad. Ito ay mahalaga upang maiwasan ang pinsala sa mga pasyente "&amp;"at mapanatili ang propesyonal na integridad.
Proteksyon ng Whistleblower:
Bagama't hindi partikular sa larangang medikal, pinoprotektahan ng mga batas ng Pilipinas ang mga whistleblower mula sa paghihiganti kapag nag-uulat ng mga hindi etikal o ilegal na "&amp;"gawain. Hinihikayat nito ang mga indibidwal na magsalita nang walang takot sa masamang kahihinatnan.
Pagpapasya ng Court of Appeals:
Ang isang kamakailang desisyon ng Court of Appeals ay nagbigay-diin sa kahalagahan ng etikal na pag-uugali, nagbabala laba"&amp;"n sa pagsasagawa ng mga ilegal na aktibidad, lalo na tungkol sa mga benepisyo mula sa mga institusyon tulad ng Philippine Health Insurance Corporation (PhilHealth).
Medikal na Malpractice at Legal na Immunity:
Bagama't hindi direktang nauugnay sa pag-uula"&amp;"t ng mga hindi etikal na kasanayan, ang mga tagapagbigay ng pangangalagang pangkalusugan ay karaniwang pinangangalagaan mula sa legal na pananagutan kung sila ay sumusunod sa tinatanggap na mga medikal na pamantayan at kumikilos sa loob ng kanilang mga pr"&amp;"opesyonal na responsibilidad.")</f>
        <v>Sa Pilipinas, ang mga propesyonal sa pangangalagang pangkalusugan ay may mga legal na proteksyon kapag nag-uulat ng mga hindi etikal o ilegal na gawain sa loob ng kanilang mga institusyon. Narito ang isang breakdown:
Tungkulin na Mag-ulat ng Mga Hindi Etikal na Kasanayan:
Hinihimok ng Kodigo ng Etika ng Philippine Medical Association (PMA) ang mga manggagamot na ilantad at iulat ang mga walang lisensyang practitioner at mapanlinlang na aktibidad. Ito ay mahalaga upang maiwasan ang pinsala sa mga pasyente at mapanatili ang propesyonal na integridad.
Proteksyon ng Whistleblower:
Bagama't hindi partikular sa larangang medikal, pinoprotektahan ng mga batas ng Pilipinas ang mga whistleblower mula sa paghihiganti kapag nag-uulat ng mga hindi etikal o ilegal na gawain. Hinihikayat nito ang mga indibidwal na magsalita nang walang takot sa masamang kahihinatnan.
Pagpapasya ng Court of Appeals:
Ang isang kamakailang desisyon ng Court of Appeals ay nagbigay-diin sa kahalagahan ng etikal na pag-uugali, nagbabala laban sa pagsasagawa ng mga ilegal na aktibidad, lalo na tungkol sa mga benepisyo mula sa mga institusyon tulad ng Philippine Health Insurance Corporation (PhilHealth).
Medikal na Malpractice at Legal na Immunity:
Bagama't hindi direktang nauugnay sa pag-uulat ng mga hindi etikal na kasanayan, ang mga tagapagbigay ng pangangalagang pangkalusugan ay karaniwang pinangangalagaan mula sa legal na pananagutan kung sila ay sumusunod sa tinatanggap na mga medikal na pamantayan at kumikilos sa loob ng kanilang mga propesyonal na responsibilidad.</v>
      </c>
      <c r="F1695" s="2">
        <f t="shared" si="1"/>
        <v>0</v>
      </c>
      <c r="G1695" s="2"/>
      <c r="H1695" s="2"/>
      <c r="I1695" s="2"/>
      <c r="J1695" s="2"/>
      <c r="K1695" s="2"/>
      <c r="L1695" s="2"/>
      <c r="M1695" s="2"/>
      <c r="N1695" s="2"/>
      <c r="O1695" s="2"/>
      <c r="P1695" s="2"/>
      <c r="Q1695" s="2"/>
      <c r="R1695" s="2"/>
      <c r="S1695" s="2"/>
      <c r="T1695" s="2"/>
      <c r="U1695" s="2"/>
      <c r="V1695" s="2"/>
      <c r="W1695" s="2"/>
      <c r="X1695" s="2"/>
      <c r="Y1695" s="2"/>
      <c r="Z1695" s="2"/>
      <c r="AA1695" s="2"/>
    </row>
    <row r="1696">
      <c r="A1696" s="1" t="s">
        <v>4337</v>
      </c>
      <c r="B1696" s="1" t="s">
        <v>4368</v>
      </c>
      <c r="C1696" s="1" t="s">
        <v>4471</v>
      </c>
      <c r="D1696" s="2" t="str">
        <f>IFERROR(__xludf.DUMMYFUNCTION("GOOGLETRANSLATE(B1696, ""en"", ""TL"")"),"Anong mga legal na probisyon ang tumutugon sa paglipat ng organ at donasyon sa Pilipinas?")</f>
        <v>Anong mga legal na probisyon ang tumutugon sa paglipat ng organ at donasyon sa Pilipinas?</v>
      </c>
      <c r="E1696" s="2" t="str">
        <f>IFERROR(__xludf.DUMMYFUNCTION("GOOGLETRANSLATE(C1696, ""en"", ""TL"")"),"Sa Pilipinas, ang paglipat ng organ at donasyon ay pinamamahalaan ng iba't ibang batas at regulasyon na naglalayong i-regulate ang proseso upang matiyak ang etikal, ligtas, at pantay na mga gawi. Ang ilan sa mga pangunahing legal na probisyon na tumutugon"&amp;" sa paglipat ng organ at donasyon ay kinabibilangan ng:
Organ Donation Act of 1991 (Republic Act No. 7170):
Ang batas na ito ay nagpapahintulot sa donasyon ng lahat o bahagi ng katawan ng tao pagkatapos ng kamatayan para sa mga tiyak na layunin.
Tinutu"&amp;"koy nito ang mga termino tulad ng pasilidad ng imbakan ng organ bank, decedent, donor, bahagi, at kamatayan.
Tinitiyak ng Batas na ang donasyon ng organ ay isinasagawa nang etikal at legal.
Philippine Organ and Tissue Donation and Transplantation Board "&amp;"(POTDTB):
Ang POTDTB ay responsable para sa pangangasiwa sa donasyon ng organ at tissue at mga pagsisikap sa paglipat sa bansa.
Ito ay gumaganap ng isang mahalagang papel sa pagsasaayos at pag-uugnay ng mga aktibidad sa pagkuha at paglipat ng organ.
Ad"&amp;"ministrative Order No. 2010-0019:
Ang administratibong utos na ito ay nagtatatag ng isang Pambansang Programa para sa Pagbabahagi ng mga Organo mula sa mga Namayapang Donor.
Nagbibigay ito ng mga patnubay at pamamaraan para sa paglalaan at pagbabahagi n"&amp;"g mga organo mula sa mga namatay na donor sa iba't ibang institusyon ng pangangalagang pangkalusugan sa Pilipinas.
Iminungkahing Batas:
May mga patuloy na pagsisikap na amyendahan ang mga umiiral nang batas o ipakilala ang bagong batas para higit pang a"&amp;"yusin ang paglipat ng organ at mga kasanayan sa donasyon.
Ang ilang iminungkahing panukalang batas ay naglalayon na pahusayin ang legal na balangkas na nakapalibot sa donasyon at paglipat ng organ, kabilang ang mga probisyon para sa pagtatatag ng mga org"&amp;"anisasyon sa pagkuha ng organ at ang proteksyon ng mga karapatan ng mga donor.")</f>
        <v>Sa Pilipinas, ang paglipat ng organ at donasyon ay pinamamahalaan ng iba't ibang batas at regulasyon na naglalayong i-regulate ang proseso upang matiyak ang etikal, ligtas, at pantay na mga gawi. Ang ilan sa mga pangunahing legal na probisyon na tumutugon sa paglipat ng organ at donasyon ay kinabibilangan ng:
Organ Donation Act of 1991 (Republic Act No. 7170):
Ang batas na ito ay nagpapahintulot sa donasyon ng lahat o bahagi ng katawan ng tao pagkatapos ng kamatayan para sa mga tiyak na layunin.
Tinutukoy nito ang mga termino tulad ng pasilidad ng imbakan ng organ bank, decedent, donor, bahagi, at kamatayan.
Tinitiyak ng Batas na ang donasyon ng organ ay isinasagawa nang etikal at legal.
Philippine Organ and Tissue Donation and Transplantation Board (POTDTB):
Ang POTDTB ay responsable para sa pangangasiwa sa donasyon ng organ at tissue at mga pagsisikap sa paglipat sa bansa.
Ito ay gumaganap ng isang mahalagang papel sa pagsasaayos at pag-uugnay ng mga aktibidad sa pagkuha at paglipat ng organ.
Administrative Order No. 2010-0019:
Ang administratibong utos na ito ay nagtatatag ng isang Pambansang Programa para sa Pagbabahagi ng mga Organo mula sa mga Namayapang Donor.
Nagbibigay ito ng mga patnubay at pamamaraan para sa paglalaan at pagbabahagi ng mga organo mula sa mga namatay na donor sa iba't ibang institusyon ng pangangalagang pangkalusugan sa Pilipinas.
Iminungkahing Batas:
May mga patuloy na pagsisikap na amyendahan ang mga umiiral nang batas o ipakilala ang bagong batas para higit pang ayusin ang paglipat ng organ at mga kasanayan sa donasyon.
Ang ilang iminungkahing panukalang batas ay naglalayon na pahusayin ang legal na balangkas na nakapalibot sa donasyon at paglipat ng organ, kabilang ang mga probisyon para sa pagtatatag ng mga organisasyon sa pagkuha ng organ at ang proteksyon ng mga karapatan ng mga donor.</v>
      </c>
      <c r="F1696" s="2">
        <f t="shared" si="1"/>
        <v>0</v>
      </c>
      <c r="G1696" s="2"/>
      <c r="H1696" s="2"/>
      <c r="I1696" s="2"/>
      <c r="J1696" s="2"/>
      <c r="K1696" s="2"/>
      <c r="L1696" s="2"/>
      <c r="M1696" s="2"/>
      <c r="N1696" s="2"/>
      <c r="O1696" s="2"/>
      <c r="P1696" s="2"/>
      <c r="Q1696" s="2"/>
      <c r="R1696" s="2"/>
      <c r="S1696" s="2"/>
      <c r="T1696" s="2"/>
      <c r="U1696" s="2"/>
      <c r="V1696" s="2"/>
      <c r="W1696" s="2"/>
      <c r="X1696" s="2"/>
      <c r="Y1696" s="2"/>
      <c r="Z1696" s="2"/>
      <c r="AA1696" s="2"/>
    </row>
    <row r="1697">
      <c r="A1697" s="1" t="s">
        <v>4337</v>
      </c>
      <c r="B1697" s="1" t="s">
        <v>4442</v>
      </c>
      <c r="C1697" s="1" t="s">
        <v>4472</v>
      </c>
      <c r="D1697" s="2" t="str">
        <f>IFERROR(__xludf.DUMMYFUNCTION("GOOGLETRANSLATE(B1697, ""en"", ""TL"")"),"Anong mga legal na karapatan ang mayroon ang mga pasyente sa pagkuha ng kopya ng kanilang mga medikal na rekord para sa mga legal na layunin?")</f>
        <v>Anong mga legal na karapatan ang mayroon ang mga pasyente sa pagkuha ng kopya ng kanilang mga medikal na rekord para sa mga legal na layunin?</v>
      </c>
      <c r="E1697" s="2" t="str">
        <f>IFERROR(__xludf.DUMMYFUNCTION("GOOGLETRANSLATE(C1697, ""en"", ""TL"")"),"Sa Pilipinas, ang mga pasyente ay may karapatang humiling at ma-access ang kanilang mga medikal na rekord, na itinuturing na kumpidensyal at dapat na ligtas na mapanatili ng mga tagapagbigay ng pangangalagang pangkalusugan. Narito ang ilang hakbang na dap"&amp;"at sundin kapag kinukuha ang iyong mga medikal na rekord:
1. Makipag-ugnayan sa Iyong Tagabigay ng Pangangalagang Pangkalusugan: Simulan ang proseso sa pamamagitan ng pagsusumite ng isang pormal na nakasulat na kahilingan sa iyong tagapagbigay ng panga"&amp;"ngalagang pangkalusugan para sa isang kopya ng iyong mga medikal na rekord.
2. Unawain ang Iyong Mga Karapatan: Magkaroon ng kamalayan sa Data Privacy Act of 2012 at iba pang nauugnay na batas sa kalusugan na nagpoprotekta sa pagiging kumpidensyal ng m"&amp;"ga medikal na rekord habang binibigyan ang mga pasyente ng access sa kanilang sariling impormasyon sa kalusugan.
3. Igalang ang Privacy at Confidentiality: Kilalanin ang kahalagahan ng mga regulasyon sa privacy na namamahala sa medikal na data. Ang mga"&amp;" tagapagbigay ng pangangalagang pangkalusugan ay obligado na panindigan ang mahigpit na mga pamantayan sa pagiging kumpidensyal kapag pinangangasiwaan ang mga rekord ng pasyente.
4. Pagsubaybay: Kung mayroong anumang mga pagkaantala o pagtanggi sa pagb"&amp;"ibigay ng iyong mga medikal na rekord, magtanong tungkol sa mga dahilan sa likod ng mga ito at pagsikapang malutas ang anumang mga isyu na maaaring lumitaw.
Tandaan na ang pag-access sa iyong mga medikal na tala ay mahalaga para sa epektibong pamamahal"&amp;"a sa iyong kalusugan at pagtiyak na ang iyong mga legal na karapatan ay protektado. Humingi ng propesyonal na patnubay kung nakatagpo ka ng anumang mga hamon sa panahon ng proseso.")</f>
        <v>Sa Pilipinas, ang mga pasyente ay may karapatang humiling at ma-access ang kanilang mga medikal na rekord, na itinuturing na kumpidensyal at dapat na ligtas na mapanatili ng mga tagapagbigay ng pangangalagang pangkalusugan. Narito ang ilang hakbang na dapat sundin kapag kinukuha ang iyong mga medikal na rekord:
1. Makipag-ugnayan sa Iyong Tagabigay ng Pangangalagang Pangkalusugan: Simulan ang proseso sa pamamagitan ng pagsusumite ng isang pormal na nakasulat na kahilingan sa iyong tagapagbigay ng pangangalagang pangkalusugan para sa isang kopya ng iyong mga medikal na rekord.
2. Unawain ang Iyong Mga Karapatan: Magkaroon ng kamalayan sa Data Privacy Act of 2012 at iba pang nauugnay na batas sa kalusugan na nagpoprotekta sa pagiging kumpidensyal ng mga medikal na rekord habang binibigyan ang mga pasyente ng access sa kanilang sariling impormasyon sa kalusugan.
3. Igalang ang Privacy at Confidentiality: Kilalanin ang kahalagahan ng mga regulasyon sa privacy na namamahala sa medikal na data. Ang mga tagapagbigay ng pangangalagang pangkalusugan ay obligado na panindigan ang mahigpit na mga pamantayan sa pagiging kumpidensyal kapag pinangangasiwaan ang mga rekord ng pasyente.
4. Pagsubaybay: Kung mayroong anumang mga pagkaantala o pagtanggi sa pagbibigay ng iyong mga medikal na rekord, magtanong tungkol sa mga dahilan sa likod ng mga ito at pagsikapang malutas ang anumang mga isyu na maaaring lumitaw.
Tandaan na ang pag-access sa iyong mga medikal na tala ay mahalaga para sa epektibong pamamahala sa iyong kalusugan at pagtiyak na ang iyong mga legal na karapatan ay protektado. Humingi ng propesyonal na patnubay kung nakatagpo ka ng anumang mga hamon sa panahon ng proseso.</v>
      </c>
      <c r="F1697" s="2">
        <f t="shared" si="1"/>
        <v>0</v>
      </c>
      <c r="G1697" s="2"/>
      <c r="H1697" s="2"/>
      <c r="I1697" s="2"/>
      <c r="J1697" s="2"/>
      <c r="K1697" s="2"/>
      <c r="L1697" s="2"/>
      <c r="M1697" s="2"/>
      <c r="N1697" s="2"/>
      <c r="O1697" s="2"/>
      <c r="P1697" s="2"/>
      <c r="Q1697" s="2"/>
      <c r="R1697" s="2"/>
      <c r="S1697" s="2"/>
      <c r="T1697" s="2"/>
      <c r="U1697" s="2"/>
      <c r="V1697" s="2"/>
      <c r="W1697" s="2"/>
      <c r="X1697" s="2"/>
      <c r="Y1697" s="2"/>
      <c r="Z1697" s="2"/>
      <c r="AA1697" s="2"/>
    </row>
    <row r="1698">
      <c r="A1698" s="1" t="s">
        <v>4337</v>
      </c>
      <c r="B1698" s="1" t="s">
        <v>4362</v>
      </c>
      <c r="C1698" s="1" t="s">
        <v>4473</v>
      </c>
      <c r="D1698" s="2" t="str">
        <f>IFERROR(__xludf.DUMMYFUNCTION("GOOGLETRANSLATE(B1698, ""en"", ""TL"")"),"Sa ilalim ng anong mga kalagayan maaaring managot ng kriminal ang isang medikal na practitioner para sa kapabayaan o malpractice?")</f>
        <v>Sa ilalim ng anong mga kalagayan maaaring managot ng kriminal ang isang medikal na practitioner para sa kapabayaan o malpractice?</v>
      </c>
      <c r="E1698" s="2" t="str">
        <f>IFERROR(__xludf.DUMMYFUNCTION("GOOGLETRANSLATE(C1698, ""en"", ""TL"")"),"Sa Pilipinas, ang mga medikal na propesyonal ay maaaring humarap sa kriminal na pananagutan para sa kapabayaan o malpractice sa ilang mga sitwasyon. Narito ang isang pangkalahatang-ideya ng mga legal na aspeto:
**Mga Batas sa Medikal na Malpractice:**
"&amp;"
- Ang parehong sibil at kriminal na pananagutan ay nalalapat sa medikal na malpractice.
- Ang mga batas tulad ng Medical Act of 1959 at Civil Code ay namamahala sa mga pananagutan na ito.
**Karapatang Magdemanda ng Pasyente:**
- Oo, may karapatan an"&amp;"g mga pasyente na idemanda ang mga doktor para sa malpractice na medikal.
**Mga Elemento ng Medikal na Kapabayaan:**
- Ang pagsasanay nang walang wastong sertipikasyon ay itinuturing na malpractice.
- Kinakailangang magtatag ng medikal na kapabayaan "&amp;"para maging wasto ang claim sa malpractice.
**Mga Parusa sa Kriminal:**
- Ang Anti-Malpractice Act ay nagpapataw ng mga parusa, kabilang ang pagkakulong at mga multa, para sa medikal na malpractice.
- Maaari ding harapin ng mga practitioner ang pagka"&amp;"nsela ng lisensya.
**Halimbawa ng Kaso:**
- Sa isang partikular na kaso, ang isang doktor at ospital ay pinanagot para sa medikal na kapabayaan, na humahantong sa maling pagkamatay ng pasyente. Ang mga pinsala ay iginawad sa pamilya ng biktima.
Ang"&amp;" mga legal na probisyon na ito ay naglalayong itaguyod ang mga pamantayan ng pangangalaga at protektahan ang mga karapatan ng mga pasyente sa larangang medikal.")</f>
        <v>Sa Pilipinas, ang mga medikal na propesyonal ay maaaring humarap sa kriminal na pananagutan para sa kapabayaan o malpractice sa ilang mga sitwasyon. Narito ang isang pangkalahatang-ideya ng mga legal na aspeto:
**Mga Batas sa Medikal na Malpractice:**
- Ang parehong sibil at kriminal na pananagutan ay nalalapat sa medikal na malpractice.
- Ang mga batas tulad ng Medical Act of 1959 at Civil Code ay namamahala sa mga pananagutan na ito.
**Karapatang Magdemanda ng Pasyente:**
- Oo, may karapatan ang mga pasyente na idemanda ang mga doktor para sa malpractice na medikal.
**Mga Elemento ng Medikal na Kapabayaan:**
- Ang pagsasanay nang walang wastong sertipikasyon ay itinuturing na malpractice.
- Kinakailangang magtatag ng medikal na kapabayaan para maging wasto ang claim sa malpractice.
**Mga Parusa sa Kriminal:**
- Ang Anti-Malpractice Act ay nagpapataw ng mga parusa, kabilang ang pagkakulong at mga multa, para sa medikal na malpractice.
- Maaari ding harapin ng mga practitioner ang pagkansela ng lisensya.
**Halimbawa ng Kaso:**
- Sa isang partikular na kaso, ang isang doktor at ospital ay pinanagot para sa medikal na kapabayaan, na humahantong sa maling pagkamatay ng pasyente. Ang mga pinsala ay iginawad sa pamilya ng biktima.
Ang mga legal na probisyon na ito ay naglalayong itaguyod ang mga pamantayan ng pangangalaga at protektahan ang mga karapatan ng mga pasyente sa larangang medikal.</v>
      </c>
      <c r="F1698" s="2">
        <f t="shared" si="1"/>
        <v>2</v>
      </c>
      <c r="G1698" s="2"/>
      <c r="H1698" s="2"/>
      <c r="I1698" s="2"/>
      <c r="J1698" s="2"/>
      <c r="K1698" s="2"/>
      <c r="L1698" s="2"/>
      <c r="M1698" s="2"/>
      <c r="N1698" s="2"/>
      <c r="O1698" s="2"/>
      <c r="P1698" s="2"/>
      <c r="Q1698" s="2"/>
      <c r="R1698" s="2"/>
      <c r="S1698" s="2"/>
      <c r="T1698" s="2"/>
      <c r="U1698" s="2"/>
      <c r="V1698" s="2"/>
      <c r="W1698" s="2"/>
      <c r="X1698" s="2"/>
      <c r="Y1698" s="2"/>
      <c r="Z1698" s="2"/>
      <c r="AA1698" s="2"/>
    </row>
    <row r="1699">
      <c r="A1699" s="1" t="s">
        <v>4337</v>
      </c>
      <c r="B1699" s="1" t="s">
        <v>4444</v>
      </c>
      <c r="C1699" s="1" t="s">
        <v>4474</v>
      </c>
      <c r="D1699" s="2" t="str">
        <f>IFERROR(__xludf.DUMMYFUNCTION("GOOGLETRANSLATE(B1699, ""en"", ""TL"")"),"Anong mga legal na obligasyon ang mayroon ang mga healthcare provider sa pagprotekta sa data at privacy ng pasyente?")</f>
        <v>Anong mga legal na obligasyon ang mayroon ang mga healthcare provider sa pagprotekta sa data at privacy ng pasyente?</v>
      </c>
      <c r="E1699" s="2" t="str">
        <f>IFERROR(__xludf.DUMMYFUNCTION("GOOGLETRANSLATE(C1699, ""en"", ""TL"")"),"Ang mga tagapagbigay ng pangangalagang pangkalusugan sa Pilipinas ay may ilang legal na obligasyon na protektahan ang data at privacy ng pasyente. Ang mga obligasyong ito ay pangunahing pinamamahalaan ng Data Privacy Act of 2012 (Republic Act No. 10173), "&amp;"na nagtatakda ng mga pamantayan para sa pagproseso ng personal na impormasyon, kabilang ang data ng pangangalagang pangkalusugan. Ang ilang pangunahing legal na obligasyon ay kinabibilangan ng:
Pagsunod sa Privacy ng Data:
Ang mga tagapagbigay ng pangan"&amp;"galagang pangkalusugan ay dapat sumunod sa mga probisyon ng Data Privacy Act, na kinabibilangan ng pagpapatupad ng mga hakbang sa seguridad upang protektahan ang data ng pasyente mula sa hindi awtorisadong pag-access, pagsisiwalat, pagbabago, o pagkasira."&amp;"
Dapat silang magtalaga ng Data Protection Officer (DPO) na responsable sa pagtiyak ng pagsunod sa mga batas at regulasyon sa privacy ng data.
Pahintulot ng Pasyente:
Ang mga tagapagbigay ng pangangalagang pangkalusugan ay dapat kumuha ng pahintulot ng"&amp;" pasyente bago kolektahin, iproseso, o ibunyag ang kanilang personal at impormasyong pangkalusugan.
Ang mga pasyente ay dapat na ganap na malaman ang tungkol sa layunin ng pangongolekta ng data at kung paano gagamitin o ibabahagi ang kanilang impormasyon"&amp;".
Pagkakumpidensyal:
Ang mga tagapagbigay ng pangangalagang pangkalusugan ay legal na nakatali na panatilihin ang pagiging kumpidensyal ng impormasyon ng pasyente at ipinagbabawal na ibunyag ito sa mga hindi awtorisadong indibidwal o entity.
Dapat sila"&amp;"ng magpatupad ng mga pananggalang upang maiwasan ang hindi awtorisadong pag-access sa mga rekord ng pasyente, kapwa sa pisikal at elektronikong mga format.
Mga Panukala sa Seguridad:
Ang mga tagapagbigay ng pangangalagang pangkalusugan ay dapat magpatup"&amp;"ad ng mga hakbang sa seguridad upang protektahan ang data ng pasyente, tulad ng pag-encrypt, mga kontrol sa pag-access, at regular na mga pagtatasa ng seguridad.
Dapat din nilang tiyakin ang integridad at pagkakaroon ng impormasyon ng pasyente upang maiw"&amp;"asan ang mga paglabag o pagkawala ng data.
Notification ng Data Breach:
Sa kaganapan ng isang paglabag sa data o hindi awtorisadong pagbubunyag ng impormasyon ng pasyente, ang mga tagapagbigay ng pangangalagang pangkalusugan ay kinakailangan na abisuhan"&amp;" ang mga apektadong indibidwal at ang National Privacy Commission (NPC) sa loob ng isang tinukoy na takdang panahon.
Dapat din silang gumawa ng agarang aksyon upang mapagaan ang mga epekto ng paglabag at maiwasan ang karagdagang hindi awtorisadong pag-ac"&amp;"cess sa data ng pasyente.")</f>
        <v>Ang mga tagapagbigay ng pangangalagang pangkalusugan sa Pilipinas ay may ilang legal na obligasyon na protektahan ang data at privacy ng pasyente. Ang mga obligasyong ito ay pangunahing pinamamahalaan ng Data Privacy Act of 2012 (Republic Act No. 10173), na nagtatakda ng mga pamantayan para sa pagproseso ng personal na impormasyon, kabilang ang data ng pangangalagang pangkalusugan. Ang ilang pangunahing legal na obligasyon ay kinabibilangan ng:
Pagsunod sa Privacy ng Data:
Ang mga tagapagbigay ng pangangalagang pangkalusugan ay dapat sumunod sa mga probisyon ng Data Privacy Act, na kinabibilangan ng pagpapatupad ng mga hakbang sa seguridad upang protektahan ang data ng pasyente mula sa hindi awtorisadong pag-access, pagsisiwalat, pagbabago, o pagkasira.
Dapat silang magtalaga ng Data Protection Officer (DPO) na responsable sa pagtiyak ng pagsunod sa mga batas at regulasyon sa privacy ng data.
Pahintulot ng Pasyente:
Ang mga tagapagbigay ng pangangalagang pangkalusugan ay dapat kumuha ng pahintulot ng pasyente bago kolektahin, iproseso, o ibunyag ang kanilang personal at impormasyong pangkalusugan.
Ang mga pasyente ay dapat na ganap na malaman ang tungkol sa layunin ng pangongolekta ng data at kung paano gagamitin o ibabahagi ang kanilang impormasyon.
Pagkakumpidensyal:
Ang mga tagapagbigay ng pangangalagang pangkalusugan ay legal na nakatali na panatilihin ang pagiging kumpidensyal ng impormasyon ng pasyente at ipinagbabawal na ibunyag ito sa mga hindi awtorisadong indibidwal o entity.
Dapat silang magpatupad ng mga pananggalang upang maiwasan ang hindi awtorisadong pag-access sa mga rekord ng pasyente, kapwa sa pisikal at elektronikong mga format.
Mga Panukala sa Seguridad:
Ang mga tagapagbigay ng pangangalagang pangkalusugan ay dapat magpatupad ng mga hakbang sa seguridad upang protektahan ang data ng pasyente, tulad ng pag-encrypt, mga kontrol sa pag-access, at regular na mga pagtatasa ng seguridad.
Dapat din nilang tiyakin ang integridad at pagkakaroon ng impormasyon ng pasyente upang maiwasan ang mga paglabag o pagkawala ng data.
Notification ng Data Breach:
Sa kaganapan ng isang paglabag sa data o hindi awtorisadong pagbubunyag ng impormasyon ng pasyente, ang mga tagapagbigay ng pangangalagang pangkalusugan ay kinakailangan na abisuhan ang mga apektadong indibidwal at ang National Privacy Commission (NPC) sa loob ng isang tinukoy na takdang panahon.
Dapat din silang gumawa ng agarang aksyon upang mapagaan ang mga epekto ng paglabag at maiwasan ang karagdagang hindi awtorisadong pag-access sa data ng pasyente.</v>
      </c>
      <c r="F1699" s="2">
        <f t="shared" si="1"/>
        <v>1</v>
      </c>
      <c r="G1699" s="2"/>
      <c r="H1699" s="2"/>
      <c r="I1699" s="2"/>
      <c r="J1699" s="2"/>
      <c r="K1699" s="2"/>
      <c r="L1699" s="2"/>
      <c r="M1699" s="2"/>
      <c r="N1699" s="2"/>
      <c r="O1699" s="2"/>
      <c r="P1699" s="2"/>
      <c r="Q1699" s="2"/>
      <c r="R1699" s="2"/>
      <c r="S1699" s="2"/>
      <c r="T1699" s="2"/>
      <c r="U1699" s="2"/>
      <c r="V1699" s="2"/>
      <c r="W1699" s="2"/>
      <c r="X1699" s="2"/>
      <c r="Y1699" s="2"/>
      <c r="Z1699" s="2"/>
      <c r="AA1699" s="2"/>
    </row>
    <row r="1700">
      <c r="A1700" s="1" t="s">
        <v>4337</v>
      </c>
      <c r="B1700" s="1" t="s">
        <v>4350</v>
      </c>
      <c r="C1700" s="1" t="s">
        <v>4475</v>
      </c>
      <c r="D1700" s="2" t="str">
        <f>IFERROR(__xludf.DUMMYFUNCTION("GOOGLETRANSLATE(B1700, ""en"", ""TL"")"),"Maaari bang tanggihan ng isang pasyente ang medikal na paggamot kahit na sa mga sitwasyong nagbabanta sa buhay, at anong mga legal na implikasyon ang mayroon ito para sa mga tagapagbigay ng pangangalagang pangkalusugan?")</f>
        <v>Maaari bang tanggihan ng isang pasyente ang medikal na paggamot kahit na sa mga sitwasyong nagbabanta sa buhay, at anong mga legal na implikasyon ang mayroon ito para sa mga tagapagbigay ng pangangalagang pangkalusugan?</v>
      </c>
      <c r="E1700" s="2" t="str">
        <f>IFERROR(__xludf.DUMMYFUNCTION("GOOGLETRANSLATE(C1700, ""en"", ""TL"")"),"Oo, ang isang pasyente sa pangkalahatan ay may karapatang tumanggi sa medikal na paggamot, kahit na sa mga sitwasyong nagbabanta sa buhay. Ang prinsipyong ito ay batay sa konsepto ng awtonomiya ng pasyente, na nagbibigay sa mga indibidwal ng karapatang gu"&amp;"mawa ng mga desisyon tungkol sa kanilang sariling pangangalagang medikal.
Gayunpaman, ang mga legal na implikasyon para sa mga tagapagbigay ng pangangalagang pangkalusugan kapag ang isang pasyente ay tumanggi sa paggamot sa isang sitwasyong nagbabanta sa"&amp;" buhay ay maaaring maging kumplikado at mag-iba depende sa hurisdiksyon at partikular na mga pangyayari. Ang ilang mahahalagang puntong dapat isaalang-alang ay kinabibilangan ng:
May Kaalaman na Pahintulot: Ang mga tagapagbigay ng pangangalagang pangkalu"&amp;"sugan ay may legal at etikal na obligasyon na tiyaking ganap na alam ng mga pasyente ang tungkol sa kanilang kondisyong medikal, ang mga iminungkahing opsyon sa paggamot, at ang mga potensyal na panganib at benepisyo ng bawat opsyon. Dapat maunawaan ng mg"&amp;"a pasyente ang mga kahihinatnan ng pagtanggi sa paggamot bago gumawa ng matalinong desisyon.
Kakayahang Magpapahintulot: Maaaring tasahin ng mga tagapagbigay ng pangangalagang pangkalusugan kung ang pasyente ay may kapasidad na gumawa ng mga desisyon tun"&amp;"gkol sa kanilang pangangalagang medikal. Kung ang isang pasyente ay walang kapasidad sa paggawa ng desisyon dahil sa mga salik tulad ng kapansanan sa pag-iisip o kawalan ng kakayahan, maaaring kailanganin ng mga tagapagbigay ng pangangalagang pangkalusuga"&amp;"n na tuklasin ang mga alternatibong paraan sa paggawa ng desisyon, tulad ng pagsali sa isang legal na tagapag-alaga o pagkuha ng utos ng hukuman.
Tungkulin na Magbigay ng Pangangalaga: Habang ang mga pasyente ay may karapatang tumanggi sa paggamot, ang m"&amp;"ga tagapagbigay ng pangangalagang pangkalusugan ay may tungkulin ding magbigay ng pangangalaga sa kanilang mga pasyente. Sa ilang mga kaso, ang mga tagapagbigay ng pangangalagang pangkalusugan ay maaaring may legal at etikal na obligasyon na mamagitan at "&amp;"magbigay ng nakapagliligtas-buhay na paggamot kung naniniwala sila na ang desisyon ng pasyente na tumanggi sa paggamot ay nagdudulot ng agarang panganib sa kanilang buhay o kalusugan.
Dokumentasyon: Dapat na maingat na idokumento ng mga tagapagbigay ng p"&amp;"angangalagang pangkalusugan ang lahat ng pakikipag-ugnayan sa pasyente tungkol sa kanilang pagtanggi sa paggamot, kabilang ang anumang mga talakayan tungkol sa mga panganib at benepisyo ng paggamot at mga dahilan ng pagtanggi ng pasyente. Ang dokumentasyo"&amp;"ng ito ay mahalaga para sa pagtiyak ng transparency at pananagutan at maaaring maging mahalaga sa mga legal na paglilitis o mga hindi pagkakaunawaan.")</f>
        <v>Oo, ang isang pasyente sa pangkalahatan ay may karapatang tumanggi sa medikal na paggamot, kahit na sa mga sitwasyong nagbabanta sa buhay. Ang prinsipyong ito ay batay sa konsepto ng awtonomiya ng pasyente, na nagbibigay sa mga indibidwal ng karapatang gumawa ng mga desisyon tungkol sa kanilang sariling pangangalagang medikal.
Gayunpaman, ang mga legal na implikasyon para sa mga tagapagbigay ng pangangalagang pangkalusugan kapag ang isang pasyente ay tumanggi sa paggamot sa isang sitwasyong nagbabanta sa buhay ay maaaring maging kumplikado at mag-iba depende sa hurisdiksyon at partikular na mga pangyayari. Ang ilang mahahalagang puntong dapat isaalang-alang ay kinabibilangan ng:
May Kaalaman na Pahintulot: Ang mga tagapagbigay ng pangangalagang pangkalusugan ay may legal at etikal na obligasyon na tiyaking ganap na alam ng mga pasyente ang tungkol sa kanilang kondisyong medikal, ang mga iminungkahing opsyon sa paggamot, at ang mga potensyal na panganib at benepisyo ng bawat opsyon. Dapat maunawaan ng mga pasyente ang mga kahihinatnan ng pagtanggi sa paggamot bago gumawa ng matalinong desisyon.
Kakayahang Magpapahintulot: Maaaring tasahin ng mga tagapagbigay ng pangangalagang pangkalusugan kung ang pasyente ay may kapasidad na gumawa ng mga desisyon tungkol sa kanilang pangangalagang medikal. Kung ang isang pasyente ay walang kapasidad sa paggawa ng desisyon dahil sa mga salik tulad ng kapansanan sa pag-iisip o kawalan ng kakayahan, maaaring kailanganin ng mga tagapagbigay ng pangangalagang pangkalusugan na tuklasin ang mga alternatibong paraan sa paggawa ng desisyon, tulad ng pagsali sa isang legal na tagapag-alaga o pagkuha ng utos ng hukuman.
Tungkulin na Magbigay ng Pangangalaga: Habang ang mga pasyente ay may karapatang tumanggi sa paggamot, ang mga tagapagbigay ng pangangalagang pangkalusugan ay may tungkulin ding magbigay ng pangangalaga sa kanilang mga pasyente. Sa ilang mga kaso, ang mga tagapagbigay ng pangangalagang pangkalusugan ay maaaring may legal at etikal na obligasyon na mamagitan at magbigay ng nakapagliligtas-buhay na paggamot kung naniniwala sila na ang desisyon ng pasyente na tumanggi sa paggamot ay nagdudulot ng agarang panganib sa kanilang buhay o kalusugan.
Dokumentasyon: Dapat na maingat na idokumento ng mga tagapagbigay ng pangangalagang pangkalusugan ang lahat ng pakikipag-ugnayan sa pasyente tungkol sa kanilang pagtanggi sa paggamot, kabilang ang anumang mga talakayan tungkol sa mga panganib at benepisyo ng paggamot at mga dahilan ng pagtanggi ng pasyente. Ang dokumentasyong ito ay mahalaga para sa pagtiyak ng transparency at pananagutan at maaaring maging mahalaga sa mga legal na paglilitis o mga hindi pagkakaunawaan.</v>
      </c>
      <c r="F1700" s="2">
        <f t="shared" si="1"/>
        <v>2</v>
      </c>
      <c r="G1700" s="2"/>
      <c r="H1700" s="2"/>
      <c r="I1700" s="2"/>
      <c r="J1700" s="2"/>
      <c r="K1700" s="2"/>
      <c r="L1700" s="2"/>
      <c r="M1700" s="2"/>
      <c r="N1700" s="2"/>
      <c r="O1700" s="2"/>
      <c r="P1700" s="2"/>
      <c r="Q1700" s="2"/>
      <c r="R1700" s="2"/>
      <c r="S1700" s="2"/>
      <c r="T1700" s="2"/>
      <c r="U1700" s="2"/>
      <c r="V1700" s="2"/>
      <c r="W1700" s="2"/>
      <c r="X1700" s="2"/>
      <c r="Y1700" s="2"/>
      <c r="Z1700" s="2"/>
      <c r="AA1700" s="2"/>
    </row>
    <row r="1701">
      <c r="A1701" s="1" t="s">
        <v>4337</v>
      </c>
      <c r="B1701" s="1" t="s">
        <v>4390</v>
      </c>
      <c r="C1701" s="1" t="s">
        <v>4476</v>
      </c>
      <c r="D1701" s="2" t="str">
        <f>IFERROR(__xludf.DUMMYFUNCTION("GOOGLETRANSLATE(B1701, ""en"", ""TL"")"),"Paano pinapanagot ang mga medikal na practitioner para sa mga paglabag sa pagiging kumpidensyal ng pasyente?")</f>
        <v>Paano pinapanagot ang mga medikal na practitioner para sa mga paglabag sa pagiging kumpidensyal ng pasyente?</v>
      </c>
      <c r="E1701" s="2" t="str">
        <f>IFERROR(__xludf.DUMMYFUNCTION("GOOGLETRANSLATE(C1701, ""en"", ""TL"")"),"Sa Pilipinas, ang mga paglabag sa pagiging kumpidensyal ng pasyente ay natutugunan ng legal, administratibo, at propesyonal na mga kahihinatnan. Narito kung paano inilalapat ang mga hakbang na ito:
**Mga Parusa sa Sibil:**
- Ang mga multa ng pera ay m"&amp;"aaaring ipataw laban sa mga indibidwal na responsable para sa hindi awtorisadong pagsisiwalat ng impormasyon ng pasyente.
**Mga Parusa sa Kriminal:**
- Sa malalang kaso, ang hindi awtorisadong pagsisiwalat ay maaaring magresulta sa mga kasong kriminal"&amp;".
**Mga Parusa sa Administratibo:**
- Ang mga propesyonal na aksyong pandisiplina, kabilang ang pagbawi ng lisensya, ay maaaring gawin laban sa mga tagapagbigay ng pangangalagang pangkalusugan.
**Mga Alituntunin ng National Privacy Commission (NPC)"&amp;":**
- Mga regular na paalala sa mga kawani tungkol sa kanilang legal at etikal na tungkulin na protektahan ang data ng pasyente.
- Pagpapatupad ng mga kontrol sa pag-access batay sa prinsipyong ""kailangang malaman"".
- Pag-install ng mga pisikal na ko"&amp;"ntrol sa pag-access tulad ng mga lock at alarm upang maiwasan ang hindi awtorisadong pagpasok.
- Pag-secure ng mga dokumentong naglalaman ng data ng pasyente sa mga naka-lock na cabinet o kwarto.
- Pagpapatupad ng mga kasunduan sa hindi pagsisiwalat at "&amp;"mga kaugnay na kontrata.
Ang mga hakbang na ito ay naglalayong tiyakin ang pagiging kumpidensyal at seguridad ng impormasyon ng pasyente, na pinangangalagaan ang kanilang mga karapatan sa pagkapribado.")</f>
        <v>Sa Pilipinas, ang mga paglabag sa pagiging kumpidensyal ng pasyente ay natutugunan ng legal, administratibo, at propesyonal na mga kahihinatnan. Narito kung paano inilalapat ang mga hakbang na ito:
**Mga Parusa sa Sibil:**
- Ang mga multa ng pera ay maaaring ipataw laban sa mga indibidwal na responsable para sa hindi awtorisadong pagsisiwalat ng impormasyon ng pasyente.
**Mga Parusa sa Kriminal:**
- Sa malalang kaso, ang hindi awtorisadong pagsisiwalat ay maaaring magresulta sa mga kasong kriminal.
**Mga Parusa sa Administratibo:**
- Ang mga propesyonal na aksyong pandisiplina, kabilang ang pagbawi ng lisensya, ay maaaring gawin laban sa mga tagapagbigay ng pangangalagang pangkalusugan.
**Mga Alituntunin ng National Privacy Commission (NPC):**
- Mga regular na paalala sa mga kawani tungkol sa kanilang legal at etikal na tungkulin na protektahan ang data ng pasyente.
- Pagpapatupad ng mga kontrol sa pag-access batay sa prinsipyong "kailangang malaman".
- Pag-install ng mga pisikal na kontrol sa pag-access tulad ng mga lock at alarm upang maiwasan ang hindi awtorisadong pagpasok.
- Pag-secure ng mga dokumentong naglalaman ng data ng pasyente sa mga naka-lock na cabinet o kwarto.
- Pagpapatupad ng mga kasunduan sa hindi pagsisiwalat at mga kaugnay na kontrata.
Ang mga hakbang na ito ay naglalayong tiyakin ang pagiging kumpidensyal at seguridad ng impormasyon ng pasyente, na pinangangalagaan ang kanilang mga karapatan sa pagkapribado.</v>
      </c>
      <c r="F1701" s="2">
        <f t="shared" si="1"/>
        <v>2</v>
      </c>
      <c r="G1701" s="2"/>
      <c r="H1701" s="2"/>
      <c r="I1701" s="2"/>
      <c r="J1701" s="2"/>
      <c r="K1701" s="2"/>
      <c r="L1701" s="2"/>
      <c r="M1701" s="2"/>
      <c r="N1701" s="2"/>
      <c r="O1701" s="2"/>
      <c r="P1701" s="2"/>
      <c r="Q1701" s="2"/>
      <c r="R1701" s="2"/>
      <c r="S1701" s="2"/>
      <c r="T1701" s="2"/>
      <c r="U1701" s="2"/>
      <c r="V1701" s="2"/>
      <c r="W1701" s="2"/>
      <c r="X1701" s="2"/>
      <c r="Y1701" s="2"/>
      <c r="Z1701" s="2"/>
      <c r="AA1701" s="2"/>
    </row>
    <row r="1702">
      <c r="A1702" s="1" t="s">
        <v>4337</v>
      </c>
      <c r="B1702" s="1" t="s">
        <v>4404</v>
      </c>
      <c r="C1702" s="1" t="s">
        <v>4477</v>
      </c>
      <c r="D1702" s="2" t="str">
        <f>IFERROR(__xludf.DUMMYFUNCTION("GOOGLETRANSLATE(B1702, ""en"", ""TL"")"),"Sa ilalim ng anong mga pangyayari maaaring panagutin ang isang medikal na practitioner para sa hindi pagtanggap ng may-kaalamang pahintulot?")</f>
        <v>Sa ilalim ng anong mga pangyayari maaaring panagutin ang isang medikal na practitioner para sa hindi pagtanggap ng may-kaalamang pahintulot?</v>
      </c>
      <c r="E1702" s="2" t="str">
        <f>IFERROR(__xludf.DUMMYFUNCTION("GOOGLETRANSLATE(C1702, ""en"", ""TL"")"),"Sa Pilipinas, ang mga medikal na practitioner ay may legal na obligasyon na kumuha ng kaalamang pahintulot mula sa mga pasyente sa ilalim ng mga partikular na kondisyon. Narito ang mga pangunahing punto:
**Responsibilidad para sa Pagkuha ng May Kaalaman n"&amp;"a Pahintulot:**
- Ang mga doktor ay tanging responsable para sa pagkuha ng may-kaalamang pahintulot mula sa mga pasyente, at ang tungkuling ito ay hindi maaaring italaga. Kahit na ang ibang mga tauhan ng pangangalagang pangkalusugan ay tumulong sa proseso"&amp;", ang tunay na responsibilidad ay nasa manggagamot.
- Ang pahintulot ng pasyente ay dapat na boluntaryo, may kakayahan, at batay sa sapat na impormasyon.
**Mga Legal na Bunga:**
- Ang pagkabigong makakuha ng may-kaalamang pahintulot ay maaaring magresulta"&amp;" sa parehong mga kaso ng malpractice at mga singil ng propesyonal na maling pag-uugali.
- Sa mga kaso kung saan ang pananagutan ay nagmumula sa hindi sapat na pagsisiwalat ng mga panganib at panganib na nauugnay sa mga medikal na pamamaraan, ang kapabayaa"&amp;"n sa hindi paglalahad ng mga panganib na ito ay nagiging batayan para sa legal na aksyon.")</f>
        <v>Sa Pilipinas, ang mga medikal na practitioner ay may legal na obligasyon na kumuha ng kaalamang pahintulot mula sa mga pasyente sa ilalim ng mga partikular na kondisyon. Narito ang mga pangunahing punto:
**Responsibilidad para sa Pagkuha ng May Kaalaman na Pahintulot:**
- Ang mga doktor ay tanging responsable para sa pagkuha ng may-kaalamang pahintulot mula sa mga pasyente, at ang tungkuling ito ay hindi maaaring italaga. Kahit na ang ibang mga tauhan ng pangangalagang pangkalusugan ay tumulong sa proseso, ang tunay na responsibilidad ay nasa manggagamot.
- Ang pahintulot ng pasyente ay dapat na boluntaryo, may kakayahan, at batay sa sapat na impormasyon.
**Mga Legal na Bunga:**
- Ang pagkabigong makakuha ng may-kaalamang pahintulot ay maaaring magresulta sa parehong mga kaso ng malpractice at mga singil ng propesyonal na maling pag-uugali.
- Sa mga kaso kung saan ang pananagutan ay nagmumula sa hindi sapat na pagsisiwalat ng mga panganib at panganib na nauugnay sa mga medikal na pamamaraan, ang kapabayaan sa hindi paglalahad ng mga panganib na ito ay nagiging batayan para sa legal na aksyon.</v>
      </c>
      <c r="F1702" s="2">
        <f t="shared" si="1"/>
        <v>1</v>
      </c>
      <c r="G1702" s="2"/>
      <c r="H1702" s="2"/>
      <c r="I1702" s="2"/>
      <c r="J1702" s="2"/>
      <c r="K1702" s="2"/>
      <c r="L1702" s="2"/>
      <c r="M1702" s="2"/>
      <c r="N1702" s="2"/>
      <c r="O1702" s="2"/>
      <c r="P1702" s="2"/>
      <c r="Q1702" s="2"/>
      <c r="R1702" s="2"/>
      <c r="S1702" s="2"/>
      <c r="T1702" s="2"/>
      <c r="U1702" s="2"/>
      <c r="V1702" s="2"/>
      <c r="W1702" s="2"/>
      <c r="X1702" s="2"/>
      <c r="Y1702" s="2"/>
      <c r="Z1702" s="2"/>
      <c r="AA1702" s="2"/>
    </row>
    <row r="1703">
      <c r="A1703" s="1" t="s">
        <v>4337</v>
      </c>
      <c r="B1703" s="1" t="s">
        <v>4449</v>
      </c>
      <c r="C1703" s="1" t="s">
        <v>4478</v>
      </c>
      <c r="D1703" s="2" t="str">
        <f>IFERROR(__xludf.DUMMYFUNCTION("GOOGLETRANSLATE(B1703, ""en"", ""TL"")"),"Anong mga legal na karapatan ang mayroon ang mga pasyente sa paghingi ng kabayaran para sa medikal na malpractice o kapabayaan?")</f>
        <v>Anong mga legal na karapatan ang mayroon ang mga pasyente sa paghingi ng kabayaran para sa medikal na malpractice o kapabayaan?</v>
      </c>
      <c r="E1703" s="2" t="str">
        <f>IFERROR(__xludf.DUMMYFUNCTION("GOOGLETRANSLATE(C1703, ""en"", ""TL"")"),"Sa Pilipinas, ang mga pasyente ay may karapatang humingi ng kabayaran para sa malpractice na medikal o kapabayaan sa ilalim ng konsepto ng **quasi-delict** na nakasaad sa Civil Code (Artikulo 2176). Nangangahulugan ito na kung ang isang propesyonal sa pan"&amp;"gangalagang pangkalusugan ay hindi tumupad sa kanilang tungkulin sa pangangalaga, na nagdudulot ng pinsala sa pasyente, maaari silang managot.
Narito ang isang breakdown ng legal na balangkas:
* **Tungkulin ng Pangangalaga:** Ang relasyon ng doktor-pasyen"&amp;"te ay nagtatatag ng tungkulin ng pangangalaga. Dapat gamitin ng doktor ang **antas ng pangangalaga at kasanayan** na gagawin ng isang **makatwirang maingat na manggagamot** sa ilalim ng katulad na mga pangyayari (Artikulo 2176).
* **Paglabag sa Tungkulin:"&amp;"** Kailangang patunayan ng pasyente na nilabag ng propesyonal sa pangangalagang pangkalusugan ang tungkuling ito. Maaaring kabilang dito ang:
* Nabigong masuri ang isang kondisyon nang maayos
* Pagrereseta ng maling gamot
* Maling pagsasagawa ng operasyon"&amp;"
* Pagkabigong magbigay ng babala sa mga potensyal na panganib
* **Pinsala:** Ang pasyente ay dapat na nakaranas ng ilang uri ng pinsala dahil sa paglabag sa tungkulin. Ito ay maaaring pisikal na pinsala, emosyonal na pagkabalisa, o pagkalugi sa pananalap"&amp;"i. * **Malapit na Dahilan:** Ang paglabag sa tungkulin ay dapat na **direktang sanhi** ng pinsala ng pasyente.
**Upang matagumpay na ma-claim ang kabayaran, kailangang itatag ng pasyente ang lahat ng apat na elementong nabanggit sa itaas.**
Narito ang ila"&amp;"ng karagdagang punto na dapat isaalang-alang:
* **Ebidensya:** Ang patotoong medikal ng eksperto ay mahalaga upang maitaguyod ang paglabag sa tungkulin. Nakakatulong ito na matukoy kung sinunod ng propesyonal sa pangangalagang pangkalusugan ang naaangkop "&amp;"na pamantayan ng pangangalaga.
* **Walang Partikular na Batas:** Hindi tulad ng ilang bansa, ang Pilipinas ay walang partikular na batas para lamang sa medikal na malpractice. Gayunpaman, ang mga probisyon ng Civil Code sa quasi-delict ay nagbibigay ng le"&amp;"gal na batayan para sa mga naturang claim.
* **Alternative Dispute Resolution (ADR):** Bago pumunta sa korte, maaaring tuklasin ng mga pasyente ang mga opsyon sa ADR tulad ng pamamagitan o arbitrasyon upang malutas ang hindi pagkakaunawaan nang maayos. **"&amp;"Mahalagang kumunsulta sa isang abogado na dalubhasa sa medikal na malpractice** upang maunawaan ang iyong partikular na sitwasyon at ang mga legal na opsyon na magagamit. Maaari ka nilang gabayan sa proseso ng pangangalap ng ebidensya, paghahain ng claim,"&amp;" at pag-navigate sa legal na sistema.")</f>
        <v>Sa Pilipinas, ang mga pasyente ay may karapatang humingi ng kabayaran para sa malpractice na medikal o kapabayaan sa ilalim ng konsepto ng **quasi-delict** na nakasaad sa Civil Code (Artikulo 2176). Nangangahulugan ito na kung ang isang propesyonal sa pangangalagang pangkalusugan ay hindi tumupad sa kanilang tungkulin sa pangangalaga, na nagdudulot ng pinsala sa pasyente, maaari silang managot.
Narito ang isang breakdown ng legal na balangkas:
* **Tungkulin ng Pangangalaga:** Ang relasyon ng doktor-pasyente ay nagtatatag ng tungkulin ng pangangalaga. Dapat gamitin ng doktor ang **antas ng pangangalaga at kasanayan** na gagawin ng isang **makatwirang maingat na manggagamot** sa ilalim ng katulad na mga pangyayari (Artikulo 2176).
* **Paglabag sa Tungkulin:** Kailangang patunayan ng pasyente na nilabag ng propesyonal sa pangangalagang pangkalusugan ang tungkuling ito. Maaaring kabilang dito ang:
* Nabigong masuri ang isang kondisyon nang maayos
* Pagrereseta ng maling gamot
* Maling pagsasagawa ng operasyon
* Pagkabigong magbigay ng babala sa mga potensyal na panganib
* **Pinsala:** Ang pasyente ay dapat na nakaranas ng ilang uri ng pinsala dahil sa paglabag sa tungkulin. Ito ay maaaring pisikal na pinsala, emosyonal na pagkabalisa, o pagkalugi sa pananalapi. * **Malapit na Dahilan:** Ang paglabag sa tungkulin ay dapat na **direktang sanhi** ng pinsala ng pasyente.
**Upang matagumpay na ma-claim ang kabayaran, kailangang itatag ng pasyente ang lahat ng apat na elementong nabanggit sa itaas.**
Narito ang ilang karagdagang punto na dapat isaalang-alang:
* **Ebidensya:** Ang patotoong medikal ng eksperto ay mahalaga upang maitaguyod ang paglabag sa tungkulin. Nakakatulong ito na matukoy kung sinunod ng propesyonal sa pangangalagang pangkalusugan ang naaangkop na pamantayan ng pangangalaga.
* **Walang Partikular na Batas:** Hindi tulad ng ilang bansa, ang Pilipinas ay walang partikular na batas para lamang sa medikal na malpractice. Gayunpaman, ang mga probisyon ng Civil Code sa quasi-delict ay nagbibigay ng legal na batayan para sa mga naturang claim.
* **Alternative Dispute Resolution (ADR):** Bago pumunta sa korte, maaaring tuklasin ng mga pasyente ang mga opsyon sa ADR tulad ng pamamagitan o arbitrasyon upang malutas ang hindi pagkakaunawaan nang maayos. **Mahalagang kumunsulta sa isang abogado na dalubhasa sa medikal na malpractice** upang maunawaan ang iyong partikular na sitwasyon at ang mga legal na opsyon na magagamit. Maaari ka nilang gabayan sa proseso ng pangangalap ng ebidensya, paghahain ng claim, at pag-navigate sa legal na sistema.</v>
      </c>
      <c r="F1703" s="2">
        <f t="shared" si="1"/>
        <v>1</v>
      </c>
      <c r="G1703" s="2"/>
      <c r="H1703" s="2"/>
      <c r="I1703" s="2"/>
      <c r="J1703" s="2"/>
      <c r="K1703" s="2"/>
      <c r="L1703" s="2"/>
      <c r="M1703" s="2"/>
      <c r="N1703" s="2"/>
      <c r="O1703" s="2"/>
      <c r="P1703" s="2"/>
      <c r="Q1703" s="2"/>
      <c r="R1703" s="2"/>
      <c r="S1703" s="2"/>
      <c r="T1703" s="2"/>
      <c r="U1703" s="2"/>
      <c r="V1703" s="2"/>
      <c r="W1703" s="2"/>
      <c r="X1703" s="2"/>
      <c r="Y1703" s="2"/>
      <c r="Z1703" s="2"/>
      <c r="AA1703" s="2"/>
    </row>
    <row r="1704">
      <c r="A1704" s="1" t="s">
        <v>4337</v>
      </c>
      <c r="B1704" s="1" t="s">
        <v>4451</v>
      </c>
      <c r="C1704" s="1" t="s">
        <v>4479</v>
      </c>
      <c r="D1704" s="2" t="str">
        <f>IFERROR(__xludf.DUMMYFUNCTION("GOOGLETRANSLATE(B1704, ""en"", ""TL"")"),"Anong mga batas ang kumokontrol sa pagsasagawa ng medikal na turismo sa Pilipinas?")</f>
        <v>Anong mga batas ang kumokontrol sa pagsasagawa ng medikal na turismo sa Pilipinas?</v>
      </c>
      <c r="E1704" s="2" t="str">
        <f>IFERROR(__xludf.DUMMYFUNCTION("GOOGLETRANSLATE(C1704, ""en"", ""TL"")"),"Sa Pilipinas, ang medikal na turismo, na kinabibilangan ng mga indibidwal na naglalakbay sa bansa para sa medikal na paggamot, ay kinokontrol ng iba't ibang mga batas at regulasyon na namamahala sa pangangalagang pangkalusugan, turismo, at mga kaugnay na "&amp;"industriya. Ang ilang mahahalagang batas at regulasyon na maaaring ilapat sa pagsasagawa ng medikal na turismo sa Pilipinas ay kinabibilangan ng:
Philippine Tourism Act of 2009 (Republic Act No. 9593): Ang batas na ito ay nagtataguyod ng pag-unlad ng turi"&amp;"smo sa Pilipinas at nagtatakda ng mga patakaran at regulasyon para sa industriya ng turismo. Bagama't pangunahing nakatuon ito sa pagtataguyod ng turismo sa paglilibang, maaari rin itong ilapat sa mga aktibidad sa medikal na turismo, partikular sa mga tun"&amp;"tunin ng pagtataguyod ng bansa bilang isang destinasyon para sa medikal na paggamot at pagtatatag ng mga pamantayan para sa mga serbisyong nauugnay sa turismo.
Philippine Medical Tourism Program: Ang Department of Health (DOH) at ang Department of Tourism"&amp;" (DOT) ay may mga inisyatiba na naglalayong isulong ang Pilipinas bilang isang medical tourism destination. Ang mga programang ito ay maaaring may kasamang pakikipagtulungan sa mga tagapagbigay ng pangangalagang pangkalusugan, mga stakeholder ng turismo, "&amp;"at iba pang may-katuturang ahensya upang mapahusay ang pagiging mapagkumpitensya ng bansa sa pandaigdigang merkado ng medikal na turismo.
Mga Regulasyon sa Kalusugan: Iba't ibang mga regulasyon at pamantayan sa kalusugan na itinakda ng DOH at iba pang mga"&amp;" regulatory body ang namamahala sa pagsasagawa ng mga pasilidad at propesyonal sa pangangalagang pangkalusugan sa Pilipinas. Maaaring kabilang sa mga regulasyong ito ang mga kinakailangan sa paglilisensya, mga pamantayan sa kalidad, at mga alituntunin par"&amp;"a sa mga medikal na pamamaraan, na naaangkop sa parehong mga domestic at internasyonal na pasyente na naghahanap ng medikal na paggamot sa bansa.
Professional Regulation Commission (PRC): Kinokontrol ng PRC ang pagsasagawa ng mga propesyon sa pangangalaga"&amp;"ng pangkalusugan sa Pilipinas, kabilang ang mga medikal na practitioner, nars, at iba pang kaalyadong propesyonal sa kalusugan. Ang mga propesyonal na kasangkot sa pagbibigay ng mga serbisyong medikal sa mga internasyonal na pasyente ay dapat sumunod sa m"&amp;"ga etikal na pamantayan at regulasyon na itinakda ng kani-kanilang mga regulatory board.
Mga Batas sa Foreign Investment: Ang mga batas at regulasyon ng dayuhang pamumuhunan ay maaari ding makaapekto sa pagsasagawa ng medikal na turismo sa Pilipinas, lalo"&amp;" na sa mga tuntunin ng mga paghihigpit sa pagmamay-ari ng dayuhan, mga insentibo sa pamumuhunan, at iba pang mga patakaran na nakakaapekto sa mga pasilidad at serbisyo ng pangangalagang pangkalusugan na nagbibigay ng serbisyo sa mga internasyonal na pasye"&amp;"nte.")</f>
        <v>Sa Pilipinas, ang medikal na turismo, na kinabibilangan ng mga indibidwal na naglalakbay sa bansa para sa medikal na paggamot, ay kinokontrol ng iba't ibang mga batas at regulasyon na namamahala sa pangangalagang pangkalusugan, turismo, at mga kaugnay na industriya. Ang ilang mahahalagang batas at regulasyon na maaaring ilapat sa pagsasagawa ng medikal na turismo sa Pilipinas ay kinabibilangan ng:
Philippine Tourism Act of 2009 (Republic Act No. 9593): Ang batas na ito ay nagtataguyod ng pag-unlad ng turismo sa Pilipinas at nagtatakda ng mga patakaran at regulasyon para sa industriya ng turismo. Bagama't pangunahing nakatuon ito sa pagtataguyod ng turismo sa paglilibang, maaari rin itong ilapat sa mga aktibidad sa medikal na turismo, partikular sa mga tuntunin ng pagtataguyod ng bansa bilang isang destinasyon para sa medikal na paggamot at pagtatatag ng mga pamantayan para sa mga serbisyong nauugnay sa turismo.
Philippine Medical Tourism Program: Ang Department of Health (DOH) at ang Department of Tourism (DOT) ay may mga inisyatiba na naglalayong isulong ang Pilipinas bilang isang medical tourism destination. Ang mga programang ito ay maaaring may kasamang pakikipagtulungan sa mga tagapagbigay ng pangangalagang pangkalusugan, mga stakeholder ng turismo, at iba pang may-katuturang ahensya upang mapahusay ang pagiging mapagkumpitensya ng bansa sa pandaigdigang merkado ng medikal na turismo.
Mga Regulasyon sa Kalusugan: Iba't ibang mga regulasyon at pamantayan sa kalusugan na itinakda ng DOH at iba pang mga regulatory body ang namamahala sa pagsasagawa ng mga pasilidad at propesyonal sa pangangalagang pangkalusugan sa Pilipinas. Maaaring kabilang sa mga regulasyong ito ang mga kinakailangan sa paglilisensya, mga pamantayan sa kalidad, at mga alituntunin para sa mga medikal na pamamaraan, na naaangkop sa parehong mga domestic at internasyonal na pasyente na naghahanap ng medikal na paggamot sa bansa.
Professional Regulation Commission (PRC): Kinokontrol ng PRC ang pagsasagawa ng mga propesyon sa pangangalagang pangkalusugan sa Pilipinas, kabilang ang mga medikal na practitioner, nars, at iba pang kaalyadong propesyonal sa kalusugan. Ang mga propesyonal na kasangkot sa pagbibigay ng mga serbisyong medikal sa mga internasyonal na pasyente ay dapat sumunod sa mga etikal na pamantayan at regulasyon na itinakda ng kani-kanilang mga regulatory board.
Mga Batas sa Foreign Investment: Ang mga batas at regulasyon ng dayuhang pamumuhunan ay maaari ding makaapekto sa pagsasagawa ng medikal na turismo sa Pilipinas, lalo na sa mga tuntunin ng mga paghihigpit sa pagmamay-ari ng dayuhan, mga insentibo sa pamumuhunan, at iba pang mga patakaran na nakakaapekto sa mga pasilidad at serbisyo ng pangangalagang pangkalusugan na nagbibigay ng serbisyo sa mga internasyonal na pasyente.</v>
      </c>
      <c r="F1704" s="2">
        <f t="shared" si="1"/>
        <v>0</v>
      </c>
      <c r="G1704" s="2"/>
      <c r="H1704" s="2"/>
      <c r="I1704" s="2"/>
      <c r="J1704" s="2"/>
      <c r="K1704" s="2"/>
      <c r="L1704" s="2"/>
      <c r="M1704" s="2"/>
      <c r="N1704" s="2"/>
      <c r="O1704" s="2"/>
      <c r="P1704" s="2"/>
      <c r="Q1704" s="2"/>
      <c r="R1704" s="2"/>
      <c r="S1704" s="2"/>
      <c r="T1704" s="2"/>
      <c r="U1704" s="2"/>
      <c r="V1704" s="2"/>
      <c r="W1704" s="2"/>
      <c r="X1704" s="2"/>
      <c r="Y1704" s="2"/>
      <c r="Z1704" s="2"/>
      <c r="AA1704" s="2"/>
    </row>
    <row r="1705">
      <c r="A1705" s="1" t="s">
        <v>4337</v>
      </c>
      <c r="B1705" s="1" t="s">
        <v>4453</v>
      </c>
      <c r="C1705" s="1" t="s">
        <v>4480</v>
      </c>
      <c r="D1705" s="2" t="str">
        <f>IFERROR(__xludf.DUMMYFUNCTION("GOOGLETRANSLATE(B1705, ""en"", ""TL"")"),"Anong mga legal na obligasyon ang mayroon ang mga tagapagbigay ng pangangalagang pangkalusugan sa pagkuha ng may-kaalamang pahintulot mula sa mga pasyente para sa mga pamamaraan ng operasyon?")</f>
        <v>Anong mga legal na obligasyon ang mayroon ang mga tagapagbigay ng pangangalagang pangkalusugan sa pagkuha ng may-kaalamang pahintulot mula sa mga pasyente para sa mga pamamaraan ng operasyon?</v>
      </c>
      <c r="E1705" s="2" t="str">
        <f>IFERROR(__xludf.DUMMYFUNCTION("GOOGLETRANSLATE(C1705, ""en"", ""TL"")"),"Ang mga tagapagbigay ng pangangalagang pangkalusugan ay may ilang legal na obligasyon kapag kumukuha ng may-kaalamang pahintulot mula sa mga pasyente para sa mga pamamaraan ng operasyon. Ang mga obligasyong ito ay idinisenyo upang matiyak na ang mga pasye"&amp;"nte ay may kinakailangang impormasyon upang makagawa ng matalinong mga desisyon tungkol sa kanilang pangangalagang medikal. Ang ilang pangunahing legal na obligasyon ay kinabibilangan ng:
Pagpapaliwanag ng Pamamaraan: Dapat ipaliwanag ng mga tagapagbigay"&amp;" ng pangangalagang pangkalusugan ang katangian ng pamamaraan ng operasyon sa pasyente, kabilang ang layunin ng operasyon, kung ano ang kaakibat nito, at anumang potensyal na panganib o komplikasyon na nauugnay sa pamamaraan.
Talakayan ng mga Panganib at "&amp;"Mga Benepisyo: Dapat talakayin ng mga tagapagbigay ng pangangalagang pangkalusugan ang mga potensyal na panganib at benepisyo ng pamamaraan ng operasyon kasama ng pasyente, kabilang ang anumang nakikinita na masamang resulta. Ang talakayang ito ay dapat n"&amp;"a iayon sa mga partikular na kalagayan ng pasyente, na isinasaalang-alang ang mga salik gaya ng kasaysayan ng medikal ng pasyente at mga indibidwal na kagustuhan.
Mga Alternatibo sa Surgery: Dapat ipaalam ng mga tagapagbigay ng pangangalagang pangkalusug"&amp;"an ang mga pasyente tungkol sa anumang alternatibong opsyon sa paggamot na magagamit, kabilang ang mga non-surgical approach o alternatibong surgical procedure. Dapat na maunawaan ng mga pasyente ang mga potensyal na benepisyo at panganib ng bawat alterna"&amp;"tibo upang makagawa sila ng matalinong desisyon tungkol sa kanilang paggamot.
Pagkakataon para sa Mga Tanong: Ang mga tagapagbigay ng pangangalagang pangkalusugan ay dapat magbigay sa mga pasyente ng pagkakataong magtanong tungkol sa iminungkahing pamama"&amp;"raan ng operasyon at anumang mga kaugnay na isyu. Ang mga pasyente ay dapat maging komportable na ipahayag ang mga alalahanin o humingi ng paglilinaw tungkol sa anumang aspeto ng kanilang plano sa paggamot.
Dokumentasyon: Dapat idokumento ng mga tagapagb"&amp;"igay ng pangangalagang pangkalusugan ang proseso ng kaalamang pahintulot sa mga medikal na rekord ng pasyente. Ang dokumentasyong ito ay dapat magsama ng mga detalye tungkol sa impormasyong ibinigay sa pasyente, ang pag-unawa ng pasyente sa impormasyon, a"&amp;"t ang desisyon ng pasyente na pumayag o tumanggi sa iminungkahing paggamot.
Kakayahang Magpapahintulot: Dapat tiyakin ng mga tagapagbigay ng pangangalagang pangkalusugan na ang mga pasyente ay may kakayahang magbigay ng kaalamang pahintulot para sa pamam"&amp;"araan ng operasyon. Dapat na maunawaan ng mga pasyente ang impormasyong ibinigay sa kanila, pahalagahan ang mga kahihinatnan ng kanilang desisyon, at kusang-loob na ipaalam ang kanilang desisyon.")</f>
        <v>Ang mga tagapagbigay ng pangangalagang pangkalusugan ay may ilang legal na obligasyon kapag kumukuha ng may-kaalamang pahintulot mula sa mga pasyente para sa mga pamamaraan ng operasyon. Ang mga obligasyong ito ay idinisenyo upang matiyak na ang mga pasyente ay may kinakailangang impormasyon upang makagawa ng matalinong mga desisyon tungkol sa kanilang pangangalagang medikal. Ang ilang pangunahing legal na obligasyon ay kinabibilangan ng:
Pagpapaliwanag ng Pamamaraan: Dapat ipaliwanag ng mga tagapagbigay ng pangangalagang pangkalusugan ang katangian ng pamamaraan ng operasyon sa pasyente, kabilang ang layunin ng operasyon, kung ano ang kaakibat nito, at anumang potensyal na panganib o komplikasyon na nauugnay sa pamamaraan.
Talakayan ng mga Panganib at Mga Benepisyo: Dapat talakayin ng mga tagapagbigay ng pangangalagang pangkalusugan ang mga potensyal na panganib at benepisyo ng pamamaraan ng operasyon kasama ng pasyente, kabilang ang anumang nakikinita na masamang resulta. Ang talakayang ito ay dapat na iayon sa mga partikular na kalagayan ng pasyente, na isinasaalang-alang ang mga salik gaya ng kasaysayan ng medikal ng pasyente at mga indibidwal na kagustuhan.
Mga Alternatibo sa Surgery: Dapat ipaalam ng mga tagapagbigay ng pangangalagang pangkalusugan ang mga pasyente tungkol sa anumang alternatibong opsyon sa paggamot na magagamit, kabilang ang mga non-surgical approach o alternatibong surgical procedure. Dapat na maunawaan ng mga pasyente ang mga potensyal na benepisyo at panganib ng bawat alternatibo upang makagawa sila ng matalinong desisyon tungkol sa kanilang paggamot.
Pagkakataon para sa Mga Tanong: Ang mga tagapagbigay ng pangangalagang pangkalusugan ay dapat magbigay sa mga pasyente ng pagkakataong magtanong tungkol sa iminungkahing pamamaraan ng operasyon at anumang mga kaugnay na isyu. Ang mga pasyente ay dapat maging komportable na ipahayag ang mga alalahanin o humingi ng paglilinaw tungkol sa anumang aspeto ng kanilang plano sa paggamot.
Dokumentasyon: Dapat idokumento ng mga tagapagbigay ng pangangalagang pangkalusugan ang proseso ng kaalamang pahintulot sa mga medikal na rekord ng pasyente. Ang dokumentasyong ito ay dapat magsama ng mga detalye tungkol sa impormasyong ibinigay sa pasyente, ang pag-unawa ng pasyente sa impormasyon, at ang desisyon ng pasyente na pumayag o tumanggi sa iminungkahing paggamot.
Kakayahang Magpapahintulot: Dapat tiyakin ng mga tagapagbigay ng pangangalagang pangkalusugan na ang mga pasyente ay may kakayahang magbigay ng kaalamang pahintulot para sa pamamaraan ng operasyon. Dapat na maunawaan ng mga pasyente ang impormasyong ibinigay sa kanila, pahalagahan ang mga kahihinatnan ng kanilang desisyon, at kusang-loob na ipaalam ang kanilang desisyon.</v>
      </c>
      <c r="F1705" s="2">
        <f t="shared" si="1"/>
        <v>1</v>
      </c>
      <c r="G1705" s="2"/>
      <c r="H1705" s="2"/>
      <c r="I1705" s="2"/>
      <c r="J1705" s="2"/>
      <c r="K1705" s="2"/>
      <c r="L1705" s="2"/>
      <c r="M1705" s="2"/>
      <c r="N1705" s="2"/>
      <c r="O1705" s="2"/>
      <c r="P1705" s="2"/>
      <c r="Q1705" s="2"/>
      <c r="R1705" s="2"/>
      <c r="S1705" s="2"/>
      <c r="T1705" s="2"/>
      <c r="U1705" s="2"/>
      <c r="V1705" s="2"/>
      <c r="W1705" s="2"/>
      <c r="X1705" s="2"/>
      <c r="Y1705" s="2"/>
      <c r="Z1705" s="2"/>
      <c r="AA1705" s="2"/>
    </row>
    <row r="1706">
      <c r="A1706" s="1" t="s">
        <v>4337</v>
      </c>
      <c r="B1706" s="1" t="s">
        <v>4384</v>
      </c>
      <c r="C1706" s="1" t="s">
        <v>4481</v>
      </c>
      <c r="D1706" s="2" t="str">
        <f>IFERROR(__xludf.DUMMYFUNCTION("GOOGLETRANSLATE(B1706, ""en"", ""TL"")"),"Maaari bang humiling ang isang pasyente ng pangalawang opinyon, at anong mga legal na pagsasaalang-alang ang pumapalibot sa kahilingang ito?")</f>
        <v>Maaari bang humiling ang isang pasyente ng pangalawang opinyon, at anong mga legal na pagsasaalang-alang ang pumapalibot sa kahilingang ito?</v>
      </c>
      <c r="E1706" s="2" t="str">
        <f>IFERROR(__xludf.DUMMYFUNCTION("GOOGLETRANSLATE(C1706, ""en"", ""TL"")"),"Sa Pilipinas, ang mga pasyente ay may mga partikular na karapatan tungkol sa paghingi ng pangalawang opinyon, na legal na protektado:
Karapatang Humingi ng Pangalawang Opinyon:
Ang mga pasyente ay may karapatang humiling ng pangalawang opinyon mula sa isa"&amp;" pang tagapagbigay ng pangangalagang pangkalusugan nang walang anumang implikasyon ng pagkasira sa relasyon ng doktor-pasyente.
Nasa loob ng mga karapatan ng isang pasyente na humingi ng karagdagang mga pananaw sa kanilang medikal na kondisyon o paggamot "&amp;"kung hindi sila sigurado o nagnanais ng karagdagang kalinawan.
May Kaalaman na Pahintulot at Transparency:
Bago sumailalim sa anumang interbensyong medikal o paggamot, ang mga pasyente ay may karapatan sa may-kaalamang pahintulot.
Ang mga tagapagbigay ng "&amp;"pangangalagang pangkalusugan ay dapat magbigay ng komprehensibong impormasyon tungkol sa kondisyong medikal ng pasyente, mga opsyon sa paggamot, mga panganib, benepisyo, at mga alternatibo.
Ang mga pasyente ay maaaring magtanong, humingi ng mga paglilinaw"&amp;", at gumawa ng matalinong mga desisyon batay sa impormasyong ito.
Pagkapribado at Pagkakumpidensyal:
Ang pagkapribado at pagiging kompidensiyal ng mga pasyente tungkol sa medikal na impormasyon ay legal na protektado.
Ang mga tagapagbigay ng pangangalagan"&amp;"g pangkalusugan ay obligado na panatilihin ang pagiging kumpidensyal ng data ng pasyente at ibunyag ang medikal na impormasyon lamang sa mga awtorisadong indibidwal para sa mga layunin ng pangangalagang pangkalusugan.
De-kalidad na Pangangalaga at Dignida"&amp;"d:
Ang mga pasyente ay may karapatang tumanggap ng mga de-kalidad na serbisyo sa pangangalagang pangkalusugan alinsunod sa mga tinatanggap na pamantayang medikal.
Sinasaklaw nito ang naaangkop na diagnosis, paggamot, at follow-up na pangangalaga batay sa "&amp;"mga alituntuning batay sa ebidensya.
Dapat tratuhin ng mga tagapagbigay ng pangangalagang pangkalusugan ang mga pasyente nang may dignidad at paggalang, anuman ang kanilang background o kondisyon.
Mahalagang tandaan na habang ang mga pasyente ay may karap"&amp;"atang humingi ng pangalawang opinyon, walang legal na karapatan sa isa.")</f>
        <v>Sa Pilipinas, ang mga pasyente ay may mga partikular na karapatan tungkol sa paghingi ng pangalawang opinyon, na legal na protektado:
Karapatang Humingi ng Pangalawang Opinyon:
Ang mga pasyente ay may karapatang humiling ng pangalawang opinyon mula sa isa pang tagapagbigay ng pangangalagang pangkalusugan nang walang anumang implikasyon ng pagkasira sa relasyon ng doktor-pasyente.
Nasa loob ng mga karapatan ng isang pasyente na humingi ng karagdagang mga pananaw sa kanilang medikal na kondisyon o paggamot kung hindi sila sigurado o nagnanais ng karagdagang kalinawan.
May Kaalaman na Pahintulot at Transparency:
Bago sumailalim sa anumang interbensyong medikal o paggamot, ang mga pasyente ay may karapatan sa may-kaalamang pahintulot.
Ang mga tagapagbigay ng pangangalagang pangkalusugan ay dapat magbigay ng komprehensibong impormasyon tungkol sa kondisyong medikal ng pasyente, mga opsyon sa paggamot, mga panganib, benepisyo, at mga alternatibo.
Ang mga pasyente ay maaaring magtanong, humingi ng mga paglilinaw, at gumawa ng matalinong mga desisyon batay sa impormasyong ito.
Pagkapribado at Pagkakumpidensyal:
Ang pagkapribado at pagiging kompidensiyal ng mga pasyente tungkol sa medikal na impormasyon ay legal na protektado.
Ang mga tagapagbigay ng pangangalagang pangkalusugan ay obligado na panatilihin ang pagiging kumpidensyal ng data ng pasyente at ibunyag ang medikal na impormasyon lamang sa mga awtorisadong indibidwal para sa mga layunin ng pangangalagang pangkalusugan.
De-kalidad na Pangangalaga at Dignidad:
Ang mga pasyente ay may karapatang tumanggap ng mga de-kalidad na serbisyo sa pangangalagang pangkalusugan alinsunod sa mga tinatanggap na pamantayang medikal.
Sinasaklaw nito ang naaangkop na diagnosis, paggamot, at follow-up na pangangalaga batay sa mga alituntuning batay sa ebidensya.
Dapat tratuhin ng mga tagapagbigay ng pangangalagang pangkalusugan ang mga pasyente nang may dignidad at paggalang, anuman ang kanilang background o kondisyon.
Mahalagang tandaan na habang ang mga pasyente ay may karapatang humingi ng pangalawang opinyon, walang legal na karapatan sa isa.</v>
      </c>
      <c r="F1706" s="2">
        <f t="shared" si="1"/>
        <v>0</v>
      </c>
      <c r="G1706" s="2"/>
      <c r="H1706" s="2"/>
      <c r="I1706" s="2"/>
      <c r="J1706" s="2"/>
      <c r="K1706" s="2"/>
      <c r="L1706" s="2"/>
      <c r="M1706" s="2"/>
      <c r="N1706" s="2"/>
      <c r="O1706" s="2"/>
      <c r="P1706" s="2"/>
      <c r="Q1706" s="2"/>
      <c r="R1706" s="2"/>
      <c r="S1706" s="2"/>
      <c r="T1706" s="2"/>
      <c r="U1706" s="2"/>
      <c r="V1706" s="2"/>
      <c r="W1706" s="2"/>
      <c r="X1706" s="2"/>
      <c r="Y1706" s="2"/>
      <c r="Z1706" s="2"/>
      <c r="AA1706" s="2"/>
    </row>
    <row r="1707">
      <c r="A1707" s="1" t="s">
        <v>4337</v>
      </c>
      <c r="B1707" s="1" t="s">
        <v>4482</v>
      </c>
      <c r="C1707" s="1" t="s">
        <v>4483</v>
      </c>
      <c r="D1707" s="2" t="str">
        <f>IFERROR(__xludf.DUMMYFUNCTION("GOOGLETRANSLATE(B1707, ""en"", ""TL"")"),"Anong mga legal na probisyon ang tumutugon sa paggamit ng medikal na data para sa mga layunin ng pananaliksik at mga publikasyon?")</f>
        <v>Anong mga legal na probisyon ang tumutugon sa paggamit ng medikal na data para sa mga layunin ng pananaliksik at mga publikasyon?</v>
      </c>
      <c r="E1707" s="2" t="str">
        <f>IFERROR(__xludf.DUMMYFUNCTION("GOOGLETRANSLATE(C1707, ""en"", ""TL"")"),"Sa Pilipinas, ang paggamit ng medikal na data para sa mga layunin ng pananaliksik at mga publikasyon ay pinamamahalaan ng iba't ibang mga legal na probisyon at mga alituntuning etikal. Ang ilang pangunahing legal na probisyon at regulasyon na tumutugon sa"&amp;" usaping ito ay kinabibilangan ng:
Data Privacy Act of 2012 (Republic Act No. 10173): Kinokontrol ng batas na ito ang pagproseso ng personal na impormasyon, kabilang ang medikal na data, at nagtatakda ng mga prinsipyo para sa pangongolekta, paggamit, pag-"&amp;"iimbak, at pagsisiwalat ng naturang data. Ang mga mananaliksik at institusyong humahawak ng medikal na data para sa mga layunin ng pananaliksik ay dapat sumunod sa mga kinakailangan at pamantayang nakabalangkas sa batas na ito upang matiyak ang pagkapriba"&amp;"do at seguridad ng personal na impormasyon ng mga indibidwal.
Mga Alituntuning Etikal para sa Biomedical na Pananaliksik na Kinasasangkutan ng mga Paksa ng Tao: Ang Philippine Health Research Ethics Board (PHREB) ay nagbibigay ng mga etikal na alituntunin"&amp;" para sa biomedical na pananaliksik na kinasasangkutan ng mga paksa ng tao. Ang mga alituntuning ito ay nagbabalangkas ng mga prinsipyo at pamantayan para sa pagsasagawa ng pananaliksik, kabilang ang mga kinakailangan para sa kaalamang pahintulot, pagigin"&amp;"g kumpidensyal, at proteksyon ng mga karapatan at kapakanan ng mga kalahok. Ang mga mananaliksik ay dapat kumuha ng etikal na clearance mula sa PHREB bago magsagawa ng pananaliksik na kinasasangkutan ng mga paksa ng tao, kabilang ang paggamit ng medikal n"&amp;"a data.
Mga Kinakailangan sa Institutional Review Board (IRB): Maraming mga institusyong pananaliksik at mga organisasyong pang-akademiko ang may sariling mga IRB o komite sa etika na responsable sa pagrepaso ng mga panukala sa pananaliksik na kinasasangk"&amp;"utan ng mga paksa ng tao. Tinitiyak ng mga IRB na ito na ang mga protocol ng pananaliksik ay sumusunod sa mga etikal at legal na pamantayan, kabilang ang proteksyon ng privacy at pagiging kumpidensyal ng mga kalahok. Maaaring kailanganin ng mga mananaliks"&amp;"ik na kumuha ng pag-apruba mula sa IRB ng kanilang institusyon bago mangolekta o gumamit ng medikal na data para sa mga layunin ng pananaliksik.
Mga Batas sa Intelektwal na Ari-arian: Dapat ding isaalang-alang ng mga mananaliksik ang mga batas sa intelekt"&amp;"wal na ari-arian kapag nag-publish ng mga natuklasan sa pananaliksik na nagmula sa medikal na data. Ang mga batas na ito ay namamahala sa pagmamay-ari, paggamit, at pagpapakalat ng intelektwal na ari-arian, kabilang ang mga patent, copyright, at trademark"&amp;". Dapat tiyakin ng mga mananaliksik na mayroon silang mga kinakailangang karapatan o pahintulot na gumamit at mag-publish ng medikal na data, lalo na kung ang data ay pagmamay-ari o napapailalim sa mga karapatan ng third-party.")</f>
        <v>Sa Pilipinas, ang paggamit ng medikal na data para sa mga layunin ng pananaliksik at mga publikasyon ay pinamamahalaan ng iba't ibang mga legal na probisyon at mga alituntuning etikal. Ang ilang pangunahing legal na probisyon at regulasyon na tumutugon sa usaping ito ay kinabibilangan ng:
Data Privacy Act of 2012 (Republic Act No. 10173): Kinokontrol ng batas na ito ang pagproseso ng personal na impormasyon, kabilang ang medikal na data, at nagtatakda ng mga prinsipyo para sa pangongolekta, paggamit, pag-iimbak, at pagsisiwalat ng naturang data. Ang mga mananaliksik at institusyong humahawak ng medikal na data para sa mga layunin ng pananaliksik ay dapat sumunod sa mga kinakailangan at pamantayang nakabalangkas sa batas na ito upang matiyak ang pagkapribado at seguridad ng personal na impormasyon ng mga indibidwal.
Mga Alituntuning Etikal para sa Biomedical na Pananaliksik na Kinasasangkutan ng mga Paksa ng Tao: Ang Philippine Health Research Ethics Board (PHREB) ay nagbibigay ng mga etikal na alituntunin para sa biomedical na pananaliksik na kinasasangkutan ng mga paksa ng tao. Ang mga alituntuning ito ay nagbabalangkas ng mga prinsipyo at pamantayan para sa pagsasagawa ng pananaliksik, kabilang ang mga kinakailangan para sa kaalamang pahintulot, pagiging kumpidensyal, at proteksyon ng mga karapatan at kapakanan ng mga kalahok. Ang mga mananaliksik ay dapat kumuha ng etikal na clearance mula sa PHREB bago magsagawa ng pananaliksik na kinasasangkutan ng mga paksa ng tao, kabilang ang paggamit ng medikal na data.
Mga Kinakailangan sa Institutional Review Board (IRB): Maraming mga institusyong pananaliksik at mga organisasyong pang-akademiko ang may sariling mga IRB o komite sa etika na responsable sa pagrepaso ng mga panukala sa pananaliksik na kinasasangkutan ng mga paksa ng tao. Tinitiyak ng mga IRB na ito na ang mga protocol ng pananaliksik ay sumusunod sa mga etikal at legal na pamantayan, kabilang ang proteksyon ng privacy at pagiging kumpidensyal ng mga kalahok. Maaaring kailanganin ng mga mananaliksik na kumuha ng pag-apruba mula sa IRB ng kanilang institusyon bago mangolekta o gumamit ng medikal na data para sa mga layunin ng pananaliksik.
Mga Batas sa Intelektwal na Ari-arian: Dapat ding isaalang-alang ng mga mananaliksik ang mga batas sa intelektwal na ari-arian kapag nag-publish ng mga natuklasan sa pananaliksik na nagmula sa medikal na data. Ang mga batas na ito ay namamahala sa pagmamay-ari, paggamit, at pagpapakalat ng intelektwal na ari-arian, kabilang ang mga patent, copyright, at trademark. Dapat tiyakin ng mga mananaliksik na mayroon silang mga kinakailangang karapatan o pahintulot na gumamit at mag-publish ng medikal na data, lalo na kung ang data ay pagmamay-ari o napapailalim sa mga karapatan ng third-party.</v>
      </c>
      <c r="F1707" s="2">
        <f t="shared" si="1"/>
        <v>0</v>
      </c>
      <c r="G1707" s="2"/>
      <c r="H1707" s="2"/>
      <c r="I1707" s="2"/>
      <c r="J1707" s="2"/>
      <c r="K1707" s="2"/>
      <c r="L1707" s="2"/>
      <c r="M1707" s="2"/>
      <c r="N1707" s="2"/>
      <c r="O1707" s="2"/>
      <c r="P1707" s="2"/>
      <c r="Q1707" s="2"/>
      <c r="R1707" s="2"/>
      <c r="S1707" s="2"/>
      <c r="T1707" s="2"/>
      <c r="U1707" s="2"/>
      <c r="V1707" s="2"/>
      <c r="W1707" s="2"/>
      <c r="X1707" s="2"/>
      <c r="Y1707" s="2"/>
      <c r="Z1707" s="2"/>
      <c r="AA1707" s="2"/>
    </row>
    <row r="1708">
      <c r="A1708" s="1" t="s">
        <v>4337</v>
      </c>
      <c r="B1708" s="1" t="s">
        <v>4390</v>
      </c>
      <c r="C1708" s="1" t="s">
        <v>4484</v>
      </c>
      <c r="D1708" s="2" t="str">
        <f>IFERROR(__xludf.DUMMYFUNCTION("GOOGLETRANSLATE(B1708, ""en"", ""TL"")"),"Paano pinapanagot ang mga medikal na practitioner para sa mga paglabag sa pagiging kumpidensyal ng pasyente?")</f>
        <v>Paano pinapanagot ang mga medikal na practitioner para sa mga paglabag sa pagiging kumpidensyal ng pasyente?</v>
      </c>
      <c r="E1708" s="2" t="str">
        <f>IFERROR(__xludf.DUMMYFUNCTION("GOOGLETRANSLATE(C1708, ""en"", ""TL"")"),"Sa Pilipinas, ang mga medikal na practitioner ay maaaring panagutin para sa mga paglabag sa pagiging kumpidensyal ng pasyente sa pamamagitan ng iba't ibang legal, etikal, at organisasyonal na mga hakbang. Ang ilan sa mga mekanismo para sa pananagutan sa m"&amp;"ga medikal na practitioner para sa mga paglabag sa pagiging kumpidensyal ng pasyente ay kinabibilangan ng:
Legal na Framework: Ang mga medikal na practitioner ay napapailalim sa mga batas at regulasyon na namamahala sa pagiging kumpidensyal at privacy ng"&amp;" impormasyon ng pasyente. Isa sa mga pangunahing batas sa bagay na ito ay ang Data Privacy Act of 2012 (Republic Act No. 10173), na nagtatakda ng mga prinsipyo at pamantayan para sa pagproseso, pangangasiwa, at proteksyon ng personal na data, kabilang ang"&amp;" medikal na impormasyon. Ang mga medikal na practitioner na lumalabag sa pagiging kumpidensyal ng pasyente ay maaaring sumailalim sa mga legal na parusa sa ilalim ng batas na ito.
Mga Pamantayan sa Etikal: Ang mga propesyonal na organisasyon, tulad ng Ph"&amp;"ilippine Medical Association (PMA) at iba pang mga regulatory body, ay nagtatatag ng mga etikal na alituntunin at mga code ng pag-uugali para sa mga medikal na practitioner. Binibigyang-diin ng mga alituntuning ito ang kahalagahan ng pagpapanatili ng pagi"&amp;"ging kumpidensyal at privacy ng pasyente bilang mga pangunahing aspeto ng medikal na kasanayan. Ang mga medikal na practitioner na lumalabag sa pagiging kumpidensyal ng pasyente ay maaaring humarap sa aksyong pandisiplina o mga parusa mula sa kanilang mga"&amp;" propesyonal na organisasyon.
Mga Patakaran sa Organisasyon: Ang mga institusyong pangkalusugan ay kadalasang may sariling mga patakaran at pamamaraan para sa pagprotekta sa pagiging kumpidensyal ng pasyente. Kinakailangan ng mga medikal na practitioner "&amp;"na sumunod sa mga patakarang ito, na maaaring kabilang ang mga protocol para sa paghawak at pag-iingat ng impormasyon ng pasyente, pagkuha ng may-kaalamang pahintulot, at pagpapanatili ng seguridad ng mga medikal na rekord. Ang mga paglabag sa pagiging ku"&amp;"mpidensyal ng pasyente ay maaaring magresulta sa mga hakbang sa pagdidisiplina o pagwawakas ng trabaho sa loob ng institusyon ng pangangalagang pangkalusugan.
Pananagutan ng Sibil: Ang mga pasyenteng dumaranas ng pinsala bilang resulta ng paglabag sa pag"&amp;"iging kumpidensyal ng pasyente ay maaaring magsagawa ng sibil na legal na aksyon laban sa responsableng medikal na practitioner. Ang mga kasong sibil ay maaaring humingi ng kabayaran para sa mga pinsala, kabilang ang mga pagkalugi sa pananalapi, emosyonal"&amp;" na pagkabalisa, at pinsala sa reputasyon na dulot ng paglabag sa pagiging kumpidensyal.")</f>
        <v>Sa Pilipinas, ang mga medikal na practitioner ay maaaring panagutin para sa mga paglabag sa pagiging kumpidensyal ng pasyente sa pamamagitan ng iba't ibang legal, etikal, at organisasyonal na mga hakbang. Ang ilan sa mga mekanismo para sa pananagutan sa mga medikal na practitioner para sa mga paglabag sa pagiging kumpidensyal ng pasyente ay kinabibilangan ng:
Legal na Framework: Ang mga medikal na practitioner ay napapailalim sa mga batas at regulasyon na namamahala sa pagiging kumpidensyal at privacy ng impormasyon ng pasyente. Isa sa mga pangunahing batas sa bagay na ito ay ang Data Privacy Act of 2012 (Republic Act No. 10173), na nagtatakda ng mga prinsipyo at pamantayan para sa pagproseso, pangangasiwa, at proteksyon ng personal na data, kabilang ang medikal na impormasyon. Ang mga medikal na practitioner na lumalabag sa pagiging kumpidensyal ng pasyente ay maaaring sumailalim sa mga legal na parusa sa ilalim ng batas na ito.
Mga Pamantayan sa Etikal: Ang mga propesyonal na organisasyon, tulad ng Philippine Medical Association (PMA) at iba pang mga regulatory body, ay nagtatatag ng mga etikal na alituntunin at mga code ng pag-uugali para sa mga medikal na practitioner. Binibigyang-diin ng mga alituntuning ito ang kahalagahan ng pagpapanatili ng pagiging kumpidensyal at privacy ng pasyente bilang mga pangunahing aspeto ng medikal na kasanayan. Ang mga medikal na practitioner na lumalabag sa pagiging kumpidensyal ng pasyente ay maaaring humarap sa aksyong pandisiplina o mga parusa mula sa kanilang mga propesyonal na organisasyon.
Mga Patakaran sa Organisasyon: Ang mga institusyong pangkalusugan ay kadalasang may sariling mga patakaran at pamamaraan para sa pagprotekta sa pagiging kumpidensyal ng pasyente. Kinakailangan ng mga medikal na practitioner na sumunod sa mga patakarang ito, na maaaring kabilang ang mga protocol para sa paghawak at pag-iingat ng impormasyon ng pasyente, pagkuha ng may-kaalamang pahintulot, at pagpapanatili ng seguridad ng mga medikal na rekord. Ang mga paglabag sa pagiging kumpidensyal ng pasyente ay maaaring magresulta sa mga hakbang sa pagdidisiplina o pagwawakas ng trabaho sa loob ng institusyon ng pangangalagang pangkalusugan.
Pananagutan ng Sibil: Ang mga pasyenteng dumaranas ng pinsala bilang resulta ng paglabag sa pagiging kumpidensyal ng pasyente ay maaaring magsagawa ng sibil na legal na aksyon laban sa responsableng medikal na practitioner. Ang mga kasong sibil ay maaaring humingi ng kabayaran para sa mga pinsala, kabilang ang mga pagkalugi sa pananalapi, emosyonal na pagkabalisa, at pinsala sa reputasyon na dulot ng paglabag sa pagiging kumpidensyal.</v>
      </c>
      <c r="F1708" s="2">
        <f t="shared" si="1"/>
        <v>1</v>
      </c>
      <c r="G1708" s="2"/>
      <c r="H1708" s="2"/>
      <c r="I1708" s="2"/>
      <c r="J1708" s="2"/>
      <c r="K1708" s="2"/>
      <c r="L1708" s="2"/>
      <c r="M1708" s="2"/>
      <c r="N1708" s="2"/>
      <c r="O1708" s="2"/>
      <c r="P1708" s="2"/>
      <c r="Q1708" s="2"/>
      <c r="R1708" s="2"/>
      <c r="S1708" s="2"/>
      <c r="T1708" s="2"/>
      <c r="U1708" s="2"/>
      <c r="V1708" s="2"/>
      <c r="W1708" s="2"/>
      <c r="X1708" s="2"/>
      <c r="Y1708" s="2"/>
      <c r="Z1708" s="2"/>
      <c r="AA1708" s="2"/>
    </row>
    <row r="1709">
      <c r="A1709" s="1" t="s">
        <v>4337</v>
      </c>
      <c r="B1709" s="1" t="s">
        <v>4350</v>
      </c>
      <c r="C1709" s="1" t="s">
        <v>4481</v>
      </c>
      <c r="D1709" s="2" t="str">
        <f>IFERROR(__xludf.DUMMYFUNCTION("GOOGLETRANSLATE(B1709, ""en"", ""TL"")"),"Maaari bang tanggihan ng isang pasyente ang medikal na paggamot kahit na sa mga sitwasyong nagbabanta sa buhay, at anong mga legal na implikasyon ang mayroon ito para sa mga tagapagbigay ng pangangalagang pangkalusugan?")</f>
        <v>Maaari bang tanggihan ng isang pasyente ang medikal na paggamot kahit na sa mga sitwasyong nagbabanta sa buhay, at anong mga legal na implikasyon ang mayroon ito para sa mga tagapagbigay ng pangangalagang pangkalusugan?</v>
      </c>
      <c r="E1709" s="2" t="str">
        <f>IFERROR(__xludf.DUMMYFUNCTION("GOOGLETRANSLATE(C1709, ""en"", ""TL"")"),"Sa Pilipinas, ang mga pasyente ay may mga partikular na karapatan tungkol sa paghingi ng pangalawang opinyon, na legal na protektado:
Karapatang Humingi ng Pangalawang Opinyon:
Ang mga pasyente ay may karapatang humiling ng pangalawang opinyon mula sa isa"&amp;" pang tagapagbigay ng pangangalagang pangkalusugan nang walang anumang implikasyon ng pagkasira sa relasyon ng doktor-pasyente.
Nasa loob ng mga karapatan ng isang pasyente na humingi ng karagdagang mga pananaw sa kanilang medikal na kondisyon o paggamot "&amp;"kung hindi sila sigurado o nagnanais ng karagdagang kalinawan.
May Kaalaman na Pahintulot at Transparency:
Bago sumailalim sa anumang interbensyong medikal o paggamot, ang mga pasyente ay may karapatan sa may-kaalamang pahintulot.
Ang mga tagapagbigay ng "&amp;"pangangalagang pangkalusugan ay dapat magbigay ng komprehensibong impormasyon tungkol sa kondisyong medikal ng pasyente, mga opsyon sa paggamot, mga panganib, benepisyo, at mga alternatibo.
Ang mga pasyente ay maaaring magtanong, humingi ng mga paglilinaw"&amp;", at gumawa ng matalinong mga desisyon batay sa impormasyong ito.
Pagkapribado at Pagkakumpidensyal:
Ang pagkapribado at pagiging kompidensiyal ng mga pasyente tungkol sa medikal na impormasyon ay legal na protektado.
Ang mga tagapagbigay ng pangangalagan"&amp;"g pangkalusugan ay obligado na panatilihin ang pagiging kumpidensyal ng data ng pasyente at ibunyag ang medikal na impormasyon lamang sa mga awtorisadong indibidwal para sa mga layunin ng pangangalagang pangkalusugan.
De-kalidad na Pangangalaga at Dignida"&amp;"d:
Ang mga pasyente ay may karapatang tumanggap ng mga de-kalidad na serbisyo sa pangangalagang pangkalusugan alinsunod sa mga tinatanggap na pamantayang medikal.
Sinasaklaw nito ang naaangkop na diagnosis, paggamot, at follow-up na pangangalaga batay sa "&amp;"mga alituntuning batay sa ebidensya.
Dapat tratuhin ng mga tagapagbigay ng pangangalagang pangkalusugan ang mga pasyente nang may dignidad at paggalang, anuman ang kanilang background o kondisyon.
Mahalagang tandaan na habang ang mga pasyente ay may karap"&amp;"atang humingi ng pangalawang opinyon, walang legal na karapatan sa isa.")</f>
        <v>Sa Pilipinas, ang mga pasyente ay may mga partikular na karapatan tungkol sa paghingi ng pangalawang opinyon, na legal na protektado:
Karapatang Humingi ng Pangalawang Opinyon:
Ang mga pasyente ay may karapatang humiling ng pangalawang opinyon mula sa isa pang tagapagbigay ng pangangalagang pangkalusugan nang walang anumang implikasyon ng pagkasira sa relasyon ng doktor-pasyente.
Nasa loob ng mga karapatan ng isang pasyente na humingi ng karagdagang mga pananaw sa kanilang medikal na kondisyon o paggamot kung hindi sila sigurado o nagnanais ng karagdagang kalinawan.
May Kaalaman na Pahintulot at Transparency:
Bago sumailalim sa anumang interbensyong medikal o paggamot, ang mga pasyente ay may karapatan sa may-kaalamang pahintulot.
Ang mga tagapagbigay ng pangangalagang pangkalusugan ay dapat magbigay ng komprehensibong impormasyon tungkol sa kondisyong medikal ng pasyente, mga opsyon sa paggamot, mga panganib, benepisyo, at mga alternatibo.
Ang mga pasyente ay maaaring magtanong, humingi ng mga paglilinaw, at gumawa ng matalinong mga desisyon batay sa impormasyong ito.
Pagkapribado at Pagkakumpidensyal:
Ang pagkapribado at pagiging kompidensiyal ng mga pasyente tungkol sa medikal na impormasyon ay legal na protektado.
Ang mga tagapagbigay ng pangangalagang pangkalusugan ay obligado na panatilihin ang pagiging kumpidensyal ng data ng pasyente at ibunyag ang medikal na impormasyon lamang sa mga awtorisadong indibidwal para sa mga layunin ng pangangalagang pangkalusugan.
De-kalidad na Pangangalaga at Dignidad:
Ang mga pasyente ay may karapatang tumanggap ng mga de-kalidad na serbisyo sa pangangalagang pangkalusugan alinsunod sa mga tinatanggap na pamantayang medikal.
Sinasaklaw nito ang naaangkop na diagnosis, paggamot, at follow-up na pangangalaga batay sa mga alituntuning batay sa ebidensya.
Dapat tratuhin ng mga tagapagbigay ng pangangalagang pangkalusugan ang mga pasyente nang may dignidad at paggalang, anuman ang kanilang background o kondisyon.
Mahalagang tandaan na habang ang mga pasyente ay may karapatang humingi ng pangalawang opinyon, walang legal na karapatan sa isa.</v>
      </c>
      <c r="F1709" s="2">
        <f t="shared" si="1"/>
        <v>1</v>
      </c>
      <c r="G1709" s="2"/>
      <c r="H1709" s="2"/>
      <c r="I1709" s="2"/>
      <c r="J1709" s="2"/>
      <c r="K1709" s="2"/>
      <c r="L1709" s="2"/>
      <c r="M1709" s="2"/>
      <c r="N1709" s="2"/>
      <c r="O1709" s="2"/>
      <c r="P1709" s="2"/>
      <c r="Q1709" s="2"/>
      <c r="R1709" s="2"/>
      <c r="S1709" s="2"/>
      <c r="T1709" s="2"/>
      <c r="U1709" s="2"/>
      <c r="V1709" s="2"/>
      <c r="W1709" s="2"/>
      <c r="X1709" s="2"/>
      <c r="Y1709" s="2"/>
      <c r="Z1709" s="2"/>
      <c r="AA1709" s="2"/>
    </row>
    <row r="1710">
      <c r="A1710" s="1" t="s">
        <v>4337</v>
      </c>
      <c r="B1710" s="1" t="s">
        <v>4485</v>
      </c>
      <c r="C1710" s="1" t="s">
        <v>4486</v>
      </c>
      <c r="D1710" s="2" t="str">
        <f>IFERROR(__xludf.DUMMYFUNCTION("GOOGLETRANSLATE(B1710, ""en"", ""TL"")"),"Paano tinutugunan ng batas ang pagsasagawa ng telemedicine at online na mga medikal na konsultasyon?")</f>
        <v>Paano tinutugunan ng batas ang pagsasagawa ng telemedicine at online na mga medikal na konsultasyon?</v>
      </c>
      <c r="E1710" s="2" t="str">
        <f>IFERROR(__xludf.DUMMYFUNCTION("GOOGLETRANSLATE(C1710, ""en"", ""TL"")"),"Sa Pilipinas, ang pagsasagawa ng telemedicine at online na mga medikal na konsultasyon ay tinutugunan ng iba't ibang mga batas, regulasyon, at mga alituntunin na naglalayong tiyakin ang kalidad, kaligtasan, at legalidad ng mga serbisyo sa pangangalagang p"&amp;"angkalusugan na ibinibigay nang malayuan. Ang ilang mahahalagang aspeto kung paano tinutugunan ng batas ang telemedicine at online na mga konsultasyon sa medikal ay kinabibilangan ng:
Batas Medikal ng 1959: Ang Batas Medikal ng 1959 ay namamahala sa pagsa"&amp;"sagawa ng medisina sa Pilipinas. Bagama't nauna ang batas na ito sa mga modernong kasanayan sa telemedicine, nagbibigay ito ng legal na balangkas kung saan dapat gumana ang mga serbisyo ng telemedicine. Ang mga medikal na practitioner na nag-aalok ng mga "&amp;"serbisyo ng telemedicine ay kinakailangang sumunod sa parehong mga pamantayan ng pangangalaga, etika, at propesyonalismo tulad ng sa tradisyonal na medikal na kasanayan.
Telemedicine Act: Noong 2020, ipinakilala ng gobyerno ng Pilipinas ang Telemedicine A"&amp;"ct (Republic Act No. 10927), na naglalayong isulong at i-regulate ang paggamit ng telemedicine sa bansa. Ang batas ay nagbibigay ng mga alituntunin para sa pagsasagawa ng telemedicine, kabilang ang mga kinakailangan para sa paglilisensya, akreditasyon, at"&amp;" mga pamantayan ng pangangalaga. Tinutugunan din nito ang mga isyu tulad ng privacy ng pasyente, seguridad ng data, at may-kaalamang pahintulot sa mga konsultasyon sa telemedicine.
Data Privacy Act of 2012: Ang Data Privacy Act (Republic Act No. 10173) ay"&amp;" nagtatakda ng mga prinsipyo at pamantayan para sa pagproseso, pangangasiwa, at proteksyon ng personal na data, kabilang ang medikal na impormasyon. Dapat sumunod ang mga provider ng telemedicine sa mga kinakailangan ng batas na ito upang matiyak ang pagi"&amp;"ging kumpidensyal at seguridad ng data ng pasyente na ipinadala at iniimbak sa mga online na konsultasyon.
Mga Alituntunin at Pamantayan: Ang Department of Health (DOH) at iba pang regulatory body ay maaaring mag-isyu ng mga alituntunin at pamantayan para"&amp;" sa telemedicine practice upang matiyak ang kalidad at kaligtasan. Maaaring saklawin ng mga alituntuning ito ang iba't ibang aspeto ng telemedicine, kabilang ang mga kinakailangan sa teknolohiya, mga klinikal na protocol, mga pamantayan sa dokumentasyon, "&amp;"at propesyonal na pag-uugali.
Paglilisensya at Akreditasyon: Maaaring kailanganin ng mga medikal na practitioner na nag-aalok ng mga serbisyo ng telemedicine na kumuha ng naaangkop na mga lisensya o akreditasyon mula sa mga regulatory body. Tinitiyak nito"&amp;" na ang mga practitioner ay nakakatugon sa ilang partikular na kwalipikasyon, sumusunod sa mga propesyonal na pamantayan, at sumusunod sa mga legal at etikal na kinakailangan para sa telemedicine practice.")</f>
        <v>Sa Pilipinas, ang pagsasagawa ng telemedicine at online na mga medikal na konsultasyon ay tinutugunan ng iba't ibang mga batas, regulasyon, at mga alituntunin na naglalayong tiyakin ang kalidad, kaligtasan, at legalidad ng mga serbisyo sa pangangalagang pangkalusugan na ibinibigay nang malayuan. Ang ilang mahahalagang aspeto kung paano tinutugunan ng batas ang telemedicine at online na mga konsultasyon sa medikal ay kinabibilangan ng:
Batas Medikal ng 1959: Ang Batas Medikal ng 1959 ay namamahala sa pagsasagawa ng medisina sa Pilipinas. Bagama't nauna ang batas na ito sa mga modernong kasanayan sa telemedicine, nagbibigay ito ng legal na balangkas kung saan dapat gumana ang mga serbisyo ng telemedicine. Ang mga medikal na practitioner na nag-aalok ng mga serbisyo ng telemedicine ay kinakailangang sumunod sa parehong mga pamantayan ng pangangalaga, etika, at propesyonalismo tulad ng sa tradisyonal na medikal na kasanayan.
Telemedicine Act: Noong 2020, ipinakilala ng gobyerno ng Pilipinas ang Telemedicine Act (Republic Act No. 10927), na naglalayong isulong at i-regulate ang paggamit ng telemedicine sa bansa. Ang batas ay nagbibigay ng mga alituntunin para sa pagsasagawa ng telemedicine, kabilang ang mga kinakailangan para sa paglilisensya, akreditasyon, at mga pamantayan ng pangangalaga. Tinutugunan din nito ang mga isyu tulad ng privacy ng pasyente, seguridad ng data, at may-kaalamang pahintulot sa mga konsultasyon sa telemedicine.
Data Privacy Act of 2012: Ang Data Privacy Act (Republic Act No. 10173) ay nagtatakda ng mga prinsipyo at pamantayan para sa pagproseso, pangangasiwa, at proteksyon ng personal na data, kabilang ang medikal na impormasyon. Dapat sumunod ang mga provider ng telemedicine sa mga kinakailangan ng batas na ito upang matiyak ang pagiging kumpidensyal at seguridad ng data ng pasyente na ipinadala at iniimbak sa mga online na konsultasyon.
Mga Alituntunin at Pamantayan: Ang Department of Health (DOH) at iba pang regulatory body ay maaaring mag-isyu ng mga alituntunin at pamantayan para sa telemedicine practice upang matiyak ang kalidad at kaligtasan. Maaaring saklawin ng mga alituntuning ito ang iba't ibang aspeto ng telemedicine, kabilang ang mga kinakailangan sa teknolohiya, mga klinikal na protocol, mga pamantayan sa dokumentasyon, at propesyonal na pag-uugali.
Paglilisensya at Akreditasyon: Maaaring kailanganin ng mga medikal na practitioner na nag-aalok ng mga serbisyo ng telemedicine na kumuha ng naaangkop na mga lisensya o akreditasyon mula sa mga regulatory body. Tinitiyak nito na ang mga practitioner ay nakakatugon sa ilang partikular na kwalipikasyon, sumusunod sa mga propesyonal na pamantayan, at sumusunod sa mga legal at etikal na kinakailangan para sa telemedicine practice.</v>
      </c>
      <c r="F1710" s="2">
        <f t="shared" si="1"/>
        <v>1</v>
      </c>
      <c r="G1710" s="2"/>
      <c r="H1710" s="2"/>
      <c r="I1710" s="2"/>
      <c r="J1710" s="2"/>
      <c r="K1710" s="2"/>
      <c r="L1710" s="2"/>
      <c r="M1710" s="2"/>
      <c r="N1710" s="2"/>
      <c r="O1710" s="2"/>
      <c r="P1710" s="2"/>
      <c r="Q1710" s="2"/>
      <c r="R1710" s="2"/>
      <c r="S1710" s="2"/>
      <c r="T1710" s="2"/>
      <c r="U1710" s="2"/>
      <c r="V1710" s="2"/>
      <c r="W1710" s="2"/>
      <c r="X1710" s="2"/>
      <c r="Y1710" s="2"/>
      <c r="Z1710" s="2"/>
      <c r="AA1710" s="2"/>
    </row>
    <row r="1711">
      <c r="A1711" s="1" t="s">
        <v>4337</v>
      </c>
      <c r="B1711" s="1" t="s">
        <v>4382</v>
      </c>
      <c r="C1711" s="1" t="s">
        <v>4487</v>
      </c>
      <c r="D1711" s="2" t="str">
        <f>IFERROR(__xludf.DUMMYFUNCTION("GOOGLETRANSLATE(B1711, ""en"", ""TL"")"),"Anong mga legal na karapatan ang mayroon ang mga pasyente sa paghahain ng mga reklamo laban sa mga tagapagbigay ng pangangalagang pangkalusugan para sa substandard na pangangalaga?")</f>
        <v>Anong mga legal na karapatan ang mayroon ang mga pasyente sa paghahain ng mga reklamo laban sa mga tagapagbigay ng pangangalagang pangkalusugan para sa substandard na pangangalaga?</v>
      </c>
      <c r="E1711" s="2" t="str">
        <f>IFERROR(__xludf.DUMMYFUNCTION("GOOGLETRANSLATE(C1711, ""en"", ""TL"")"),"Sa Pilipinas, may mga legal na karapatan ang mga pasyente kapag nagsampa ng mga reklamo laban sa mga tagapagbigay ng pangangalagang pangkalusugan para sa substandard na pangangalaga. Ang mga karapatang ito ay protektado ng iba't ibang batas, regulasyon, a"&amp;"t mga alituntuning etikal. Ang ilang pangunahing legal na karapatan na mayroon ang mga pasyente sa paghahain ng mga reklamo laban sa mga tagapagbigay ng pangangalagang pangkalusugan para sa substandard na pangangalaga ay kinabibilangan ng:
Karapatan na M"&amp;"a-access ang Pangangalagang Pangkalusugan: Ang mga pasyente ay may karapatang ma-access ang mga serbisyo ng pangangalagang pangkalusugan na nakakatugon sa mga tinatanggap na pamantayang medikal. Kung ang isang pasyente ay tumatanggap ng substandard na pan"&amp;"gangalaga o nakaranas ng medikal na kapabayaan, sila ay may karapatang humingi ng lunas at magsampa ng reklamo laban sa responsableng tagapagbigay ng pangangalagang pangkalusugan.
Karapatan sa May Kaalaman na Pahintulot: Ang mga pasyente ay may karapatan"&amp;" na ganap na malaman ang tungkol sa kanilang kondisyong medikal, mga opsyon sa paggamot, mga panganib, benepisyo, at mga alternatibo bago sumailalim sa anumang interbensyong medikal. Kung naniniwala ang isang pasyente na hindi sila nabigyan ng sapat na ka"&amp;"alaman o pinahintulutan sa isang paggamot na nagresulta sa substandard na pangangalaga, may karapatan silang magsampa ng reklamo.
Karapatan sa De-kalidad na Pangangalaga: Ang mga pasyente ay may karapatang tumanggap ng mga de-kalidad na serbisyo sa panga"&amp;"ngalagang pangkalusugan batay sa mga tinatanggap na pamantayang medikal at mga alituntuning batay sa ebidensya. Kung ang isang pasyente ay tumatanggap ng substandard na pangangalaga na nagreresulta sa pinsala o pinsala, sila ay may karapatang magsampa ng "&amp;"reklamo at humingi ng kabayaran para sa mga pinsala.
Karapatan sa Privacy at Confidentiality: Ang medikal na impormasyon ng mga pasyente ay dapat manatiling kumpidensyal, at ang mga tagapagbigay ng pangangalagang pangkalusugan ay legal na obligado na pro"&amp;"tektahan ang privacy ng mga pasyente. Kung nilabag ang pagkapribado o pagiging kumpidensyal ng pasyente sa proseso ng pagtanggap ng substandard na pangangalaga, may karapatan silang magsampa ng reklamo at humingi ng lunas.
Karapatan sa Redress at Remedie"&amp;"s: Ang mga pasyente na naniniwalang nakatanggap sila ng substandard na pangangalaga ay may karapatang humingi ng redress at mga remedyo sa pamamagitan ng iba't ibang mga channel, kabilang ang paghahain ng mga reklamo sa mga regulatory body, propesyonal na"&amp;" asosasyon, o legal na awtoridad. Ang mga pasyente ay maaari ding magkaroon ng karapatan na humingi ng kabayaran para sa mga pinsala sa pamamagitan ng civil litigation kung ang substandard na pangangalaga ay nagreresulta sa pinsala o pinsala.")</f>
        <v>Sa Pilipinas, may mga legal na karapatan ang mga pasyente kapag nagsampa ng mga reklamo laban sa mga tagapagbigay ng pangangalagang pangkalusugan para sa substandard na pangangalaga. Ang mga karapatang ito ay protektado ng iba't ibang batas, regulasyon, at mga alituntuning etikal. Ang ilang pangunahing legal na karapatan na mayroon ang mga pasyente sa paghahain ng mga reklamo laban sa mga tagapagbigay ng pangangalagang pangkalusugan para sa substandard na pangangalaga ay kinabibilangan ng:
Karapatan na Ma-access ang Pangangalagang Pangkalusugan: Ang mga pasyente ay may karapatang ma-access ang mga serbisyo ng pangangalagang pangkalusugan na nakakatugon sa mga tinatanggap na pamantayang medikal. Kung ang isang pasyente ay tumatanggap ng substandard na pangangalaga o nakaranas ng medikal na kapabayaan, sila ay may karapatang humingi ng lunas at magsampa ng reklamo laban sa responsableng tagapagbigay ng pangangalagang pangkalusugan.
Karapatan sa May Kaalaman na Pahintulot: Ang mga pasyente ay may karapatan na ganap na malaman ang tungkol sa kanilang kondisyong medikal, mga opsyon sa paggamot, mga panganib, benepisyo, at mga alternatibo bago sumailalim sa anumang interbensyong medikal. Kung naniniwala ang isang pasyente na hindi sila nabigyan ng sapat na kaalaman o pinahintulutan sa isang paggamot na nagresulta sa substandard na pangangalaga, may karapatan silang magsampa ng reklamo.
Karapatan sa De-kalidad na Pangangalaga: Ang mga pasyente ay may karapatang tumanggap ng mga de-kalidad na serbisyo sa pangangalagang pangkalusugan batay sa mga tinatanggap na pamantayang medikal at mga alituntuning batay sa ebidensya. Kung ang isang pasyente ay tumatanggap ng substandard na pangangalaga na nagreresulta sa pinsala o pinsala, sila ay may karapatang magsampa ng reklamo at humingi ng kabayaran para sa mga pinsala.
Karapatan sa Privacy at Confidentiality: Ang medikal na impormasyon ng mga pasyente ay dapat manatiling kumpidensyal, at ang mga tagapagbigay ng pangangalagang pangkalusugan ay legal na obligado na protektahan ang privacy ng mga pasyente. Kung nilabag ang pagkapribado o pagiging kumpidensyal ng pasyente sa proseso ng pagtanggap ng substandard na pangangalaga, may karapatan silang magsampa ng reklamo at humingi ng lunas.
Karapatan sa Redress at Remedies: Ang mga pasyente na naniniwalang nakatanggap sila ng substandard na pangangalaga ay may karapatang humingi ng redress at mga remedyo sa pamamagitan ng iba't ibang mga channel, kabilang ang paghahain ng mga reklamo sa mga regulatory body, propesyonal na asosasyon, o legal na awtoridad. Ang mga pasyente ay maaari ding magkaroon ng karapatan na humingi ng kabayaran para sa mga pinsala sa pamamagitan ng civil litigation kung ang substandard na pangangalaga ay nagreresulta sa pinsala o pinsala.</v>
      </c>
      <c r="F1711" s="2">
        <f t="shared" si="1"/>
        <v>1</v>
      </c>
      <c r="G1711" s="2"/>
      <c r="H1711" s="2"/>
      <c r="I1711" s="2"/>
      <c r="J1711" s="2"/>
      <c r="K1711" s="2"/>
      <c r="L1711" s="2"/>
      <c r="M1711" s="2"/>
      <c r="N1711" s="2"/>
      <c r="O1711" s="2"/>
      <c r="P1711" s="2"/>
      <c r="Q1711" s="2"/>
      <c r="R1711" s="2"/>
      <c r="S1711" s="2"/>
      <c r="T1711" s="2"/>
      <c r="U1711" s="2"/>
      <c r="V1711" s="2"/>
      <c r="W1711" s="2"/>
      <c r="X1711" s="2"/>
      <c r="Y1711" s="2"/>
      <c r="Z1711" s="2"/>
      <c r="AA1711" s="2"/>
    </row>
    <row r="1712">
      <c r="A1712" s="1" t="s">
        <v>4337</v>
      </c>
      <c r="B1712" s="1" t="s">
        <v>4428</v>
      </c>
      <c r="C1712" s="1" t="s">
        <v>4488</v>
      </c>
      <c r="D1712" s="2" t="str">
        <f>IFERROR(__xludf.DUMMYFUNCTION("GOOGLETRANSLATE(B1712, ""en"", ""TL"")"),"Anong mga batas ang namamahala sa mga karapatan ng mga pasyente na ma-access ang kanilang mga medikal na rekord at impormasyon?")</f>
        <v>Anong mga batas ang namamahala sa mga karapatan ng mga pasyente na ma-access ang kanilang mga medikal na rekord at impormasyon?</v>
      </c>
      <c r="E1712" s="2" t="str">
        <f>IFERROR(__xludf.DUMMYFUNCTION("GOOGLETRANSLATE(C1712, ""en"", ""TL"")"),"Dalawang pangunahing mapagkukunan ang namamahala sa mga karapatan ng mga pasyente na ma-access ang kanilang mga medikal na rekord at impormasyon sa Pilipinas:
Republic Act No. 10057, na kilala rin bilang ""National Health Insurance Act of 2013"": Itina"&amp;"tag ng batas na ito ang pangunahing karapatan ng mga pasyente na ma-access ang kanilang mga medikal na rekord kapag hiniling, na nagbibigay ng legal na balangkas para makontrol ng mga pasyente ang kanilang medikal na impormasyon.
Mga pagpapalabas ng De"&amp;"partment of Health (DOH): Ang DOH ay naglalabas ng mga partikular na alituntunin na nagdedetalye kung paano magagamit ng mga pasyente ang kanilang karapatan na ma-access ang mga medikal na rekord. Kapansin-pansin, binabalangkas ng Department of Health Adm"&amp;"inistrative Order No. 2016-0008 ang proseso para sa paghiling at pagkuha ng mga medikal na rekord mula sa mga tagapagbigay ng pangangalagang pangkalusugan, na tinitiyak ang isang standardized at streamline na karanasan para sa mga pasyente na naghahanap n"&amp;"g kanilang medikal na impormasyon.")</f>
        <v>Dalawang pangunahing mapagkukunan ang namamahala sa mga karapatan ng mga pasyente na ma-access ang kanilang mga medikal na rekord at impormasyon sa Pilipinas:
Republic Act No. 10057, na kilala rin bilang "National Health Insurance Act of 2013": Itinatag ng batas na ito ang pangunahing karapatan ng mga pasyente na ma-access ang kanilang mga medikal na rekord kapag hiniling, na nagbibigay ng legal na balangkas para makontrol ng mga pasyente ang kanilang medikal na impormasyon.
Mga pagpapalabas ng Department of Health (DOH): Ang DOH ay naglalabas ng mga partikular na alituntunin na nagdedetalye kung paano magagamit ng mga pasyente ang kanilang karapatan na ma-access ang mga medikal na rekord. Kapansin-pansin, binabalangkas ng Department of Health Administrative Order No. 2016-0008 ang proseso para sa paghiling at pagkuha ng mga medikal na rekord mula sa mga tagapagbigay ng pangangalagang pangkalusugan, na tinitiyak ang isang standardized at streamline na karanasan para sa mga pasyente na naghahanap ng kanilang medikal na impormasyon.</v>
      </c>
      <c r="F1712" s="2">
        <f t="shared" si="1"/>
        <v>2</v>
      </c>
      <c r="G1712" s="2"/>
      <c r="H1712" s="2"/>
      <c r="I1712" s="2"/>
      <c r="J1712" s="2"/>
      <c r="K1712" s="2"/>
      <c r="L1712" s="2"/>
      <c r="M1712" s="2"/>
      <c r="N1712" s="2"/>
      <c r="O1712" s="2"/>
      <c r="P1712" s="2"/>
      <c r="Q1712" s="2"/>
      <c r="R1712" s="2"/>
      <c r="S1712" s="2"/>
      <c r="T1712" s="2"/>
      <c r="U1712" s="2"/>
      <c r="V1712" s="2"/>
      <c r="W1712" s="2"/>
      <c r="X1712" s="2"/>
      <c r="Y1712" s="2"/>
      <c r="Z1712" s="2"/>
      <c r="AA1712" s="2"/>
    </row>
    <row r="1713">
      <c r="A1713" s="1" t="s">
        <v>4337</v>
      </c>
      <c r="B1713" s="1" t="s">
        <v>4362</v>
      </c>
      <c r="C1713" s="1" t="s">
        <v>4489</v>
      </c>
      <c r="D1713" s="2" t="str">
        <f>IFERROR(__xludf.DUMMYFUNCTION("GOOGLETRANSLATE(B1713, ""en"", ""TL"")"),"Sa ilalim ng anong mga kalagayan maaaring managot ng kriminal ang isang medikal na practitioner para sa kapabayaan o malpractice?")</f>
        <v>Sa ilalim ng anong mga kalagayan maaaring managot ng kriminal ang isang medikal na practitioner para sa kapabayaan o malpractice?</v>
      </c>
      <c r="E1713" s="2" t="str">
        <f>IFERROR(__xludf.DUMMYFUNCTION("GOOGLETRANSLATE(C1713, ""en"", ""TL"")"),"Sa Pilipinas, ang mga medikal na practitioner ay maaaring humarap sa criminal liability sa ilalim ng Revised Penal Code para sa reckless imprudence leading to injury or homicide. Upang makabuo ng kaso ng malpractice sa medikal, kailangang magtatag ng mga "&amp;"partikular na elemento, tulad ng pagkakaroon ng relasyon ng doktor-pasyente, paglabag sa pamantayan ng pangangalaga ng tagapagbigay ng pangangalagang pangkalusugan, direktang koneksyon sa pagitan ng kapabayaan at pinsala ng pasyente, at mga pinsala dinana"&amp;"s ng pasyente. Bukod pa rito, may awtoridad ang Professional Regulation Commission (PRC) na suspindihin o bawiin ang lisensya ng doktor.")</f>
        <v>Sa Pilipinas, ang mga medikal na practitioner ay maaaring humarap sa criminal liability sa ilalim ng Revised Penal Code para sa reckless imprudence leading to injury or homicide. Upang makabuo ng kaso ng malpractice sa medikal, kailangang magtatag ng mga partikular na elemento, tulad ng pagkakaroon ng relasyon ng doktor-pasyente, paglabag sa pamantayan ng pangangalaga ng tagapagbigay ng pangangalagang pangkalusugan, direktang koneksyon sa pagitan ng kapabayaan at pinsala ng pasyente, at mga pinsala dinanas ng pasyente. Bukod pa rito, may awtoridad ang Professional Regulation Commission (PRC) na suspindihin o bawiin ang lisensya ng doktor.</v>
      </c>
      <c r="F1713" s="2">
        <f t="shared" si="1"/>
        <v>1</v>
      </c>
      <c r="G1713" s="2"/>
      <c r="H1713" s="2"/>
      <c r="I1713" s="2"/>
      <c r="J1713" s="2"/>
      <c r="K1713" s="2"/>
      <c r="L1713" s="2"/>
      <c r="M1713" s="2"/>
      <c r="N1713" s="2"/>
      <c r="O1713" s="2"/>
      <c r="P1713" s="2"/>
      <c r="Q1713" s="2"/>
      <c r="R1713" s="2"/>
      <c r="S1713" s="2"/>
      <c r="T1713" s="2"/>
      <c r="U1713" s="2"/>
      <c r="V1713" s="2"/>
      <c r="W1713" s="2"/>
      <c r="X1713" s="2"/>
      <c r="Y1713" s="2"/>
      <c r="Z1713" s="2"/>
      <c r="AA1713" s="2"/>
    </row>
    <row r="1714">
      <c r="A1714" s="1" t="s">
        <v>4337</v>
      </c>
      <c r="B1714" s="1" t="s">
        <v>4428</v>
      </c>
      <c r="C1714" s="1" t="s">
        <v>4490</v>
      </c>
      <c r="D1714" s="2" t="str">
        <f>IFERROR(__xludf.DUMMYFUNCTION("GOOGLETRANSLATE(B1714, ""en"", ""TL"")"),"Anong mga batas ang namamahala sa mga karapatan ng mga pasyente na ma-access ang kanilang mga medikal na rekord at impormasyon?")</f>
        <v>Anong mga batas ang namamahala sa mga karapatan ng mga pasyente na ma-access ang kanilang mga medikal na rekord at impormasyon?</v>
      </c>
      <c r="E1714" s="2" t="str">
        <f>IFERROR(__xludf.DUMMYFUNCTION("GOOGLETRANSLATE(C1714, ""en"", ""TL"")"),"Sa Pilipinas, ang pag-access ng mga pasyente sa kanilang mga medikal na rekord ay pinangangalagaan ng mga batas tulad ng Data Privacy Act of 2012 at ang Medical Act of 1959. Ang mga batas na ito ay inuuna ang pagiging kumpidensyal at pagkapribado ng mga m"&amp;"edikal na rekord habang binibigyan ang mga indibidwal ng karapatang makuha ang kanilang impormasyon sa kalusugan .")</f>
        <v>Sa Pilipinas, ang pag-access ng mga pasyente sa kanilang mga medikal na rekord ay pinangangalagaan ng mga batas tulad ng Data Privacy Act of 2012 at ang Medical Act of 1959. Ang mga batas na ito ay inuuna ang pagiging kumpidensyal at pagkapribado ng mga medikal na rekord habang binibigyan ang mga indibidwal ng karapatang makuha ang kanilang impormasyon sa kalusugan .</v>
      </c>
      <c r="F1714" s="2">
        <f t="shared" si="1"/>
        <v>1</v>
      </c>
      <c r="G1714" s="2"/>
      <c r="H1714" s="2"/>
      <c r="I1714" s="2"/>
      <c r="J1714" s="2"/>
      <c r="K1714" s="2"/>
      <c r="L1714" s="2"/>
      <c r="M1714" s="2"/>
      <c r="N1714" s="2"/>
      <c r="O1714" s="2"/>
      <c r="P1714" s="2"/>
      <c r="Q1714" s="2"/>
      <c r="R1714" s="2"/>
      <c r="S1714" s="2"/>
      <c r="T1714" s="2"/>
      <c r="U1714" s="2"/>
      <c r="V1714" s="2"/>
      <c r="W1714" s="2"/>
      <c r="X1714" s="2"/>
      <c r="Y1714" s="2"/>
      <c r="Z1714" s="2"/>
      <c r="AA1714" s="2"/>
    </row>
    <row r="1715">
      <c r="A1715" s="1" t="s">
        <v>4337</v>
      </c>
      <c r="B1715" s="1" t="s">
        <v>4392</v>
      </c>
      <c r="C1715" s="1" t="s">
        <v>4491</v>
      </c>
      <c r="D1715" s="2" t="str">
        <f>IFERROR(__xludf.DUMMYFUNCTION("GOOGLETRANSLATE(B1715, ""en"", ""TL"")"),"Anong mga legal na probisyon ang tumutugon sa tungkulin at responsibilidad ng mga ekspertong medikal sa mga paglilitis sa korte?")</f>
        <v>Anong mga legal na probisyon ang tumutugon sa tungkulin at responsibilidad ng mga ekspertong medikal sa mga paglilitis sa korte?</v>
      </c>
      <c r="E1715" s="2" t="str">
        <f>IFERROR(__xludf.DUMMYFUNCTION("GOOGLETRANSLATE(C1715, ""en"", ""TL"")"),"Sa Pilipinas, ang mga kaso ng medical malpractice ay kinokontrol ng mga batas tulad ng Civil Code, Medical Act of 1959, at iba pang nauugnay na regulasyon. Ang mga batas na ito ay naglalarawan sa mga obligasyon ng mga healthcare practitioner, ang mga kara"&amp;"patan ng mga pasyente, at ang legal na paraan sa mga pagkakataon ng medikal na kapabayaan.")</f>
        <v>Sa Pilipinas, ang mga kaso ng medical malpractice ay kinokontrol ng mga batas tulad ng Civil Code, Medical Act of 1959, at iba pang nauugnay na regulasyon. Ang mga batas na ito ay naglalarawan sa mga obligasyon ng mga healthcare practitioner, ang mga karapatan ng mga pasyente, at ang legal na paraan sa mga pagkakataon ng medikal na kapabayaan.</v>
      </c>
      <c r="F1715" s="2">
        <f t="shared" si="1"/>
        <v>1</v>
      </c>
      <c r="G1715" s="2"/>
      <c r="H1715" s="2"/>
      <c r="I1715" s="2"/>
      <c r="J1715" s="2"/>
      <c r="K1715" s="2"/>
      <c r="L1715" s="2"/>
      <c r="M1715" s="2"/>
      <c r="N1715" s="2"/>
      <c r="O1715" s="2"/>
      <c r="P1715" s="2"/>
      <c r="Q1715" s="2"/>
      <c r="R1715" s="2"/>
      <c r="S1715" s="2"/>
      <c r="T1715" s="2"/>
      <c r="U1715" s="2"/>
      <c r="V1715" s="2"/>
      <c r="W1715" s="2"/>
      <c r="X1715" s="2"/>
      <c r="Y1715" s="2"/>
      <c r="Z1715" s="2"/>
      <c r="AA1715" s="2"/>
    </row>
    <row r="1716">
      <c r="A1716" s="1" t="s">
        <v>4337</v>
      </c>
      <c r="B1716" s="1" t="s">
        <v>4404</v>
      </c>
      <c r="C1716" s="1" t="s">
        <v>4492</v>
      </c>
      <c r="D1716" s="2" t="str">
        <f>IFERROR(__xludf.DUMMYFUNCTION("GOOGLETRANSLATE(B1716, ""en"", ""TL"")"),"Sa ilalim ng anong mga pangyayari maaaring panagutin ang isang medikal na practitioner para sa hindi pagtanggap ng may-kaalamang pahintulot?")</f>
        <v>Sa ilalim ng anong mga pangyayari maaaring panagutin ang isang medikal na practitioner para sa hindi pagtanggap ng may-kaalamang pahintulot?</v>
      </c>
      <c r="E1716" s="2" t="str">
        <f>IFERROR(__xludf.DUMMYFUNCTION("GOOGLETRANSLATE(C1716, ""en"", ""TL"")"),"Ang mga medikal na practitioner sa Pilipinas ay may legal na obligasyon na kumuha ng kaalamang pahintulot mula sa mga pasyente bago magsagawa ng mga medikal na pamamaraan. Ang tungkuling ito ay hindi delegado at umaabot sa mga manggagamot, ospital, at nar"&amp;"s. Ang pahintulot ng pasyente ay dapat na boluntaryo, may kakayahan, at may kaalaman. Ang pagkabigong makakuha ng sapat na may-kaalamang pahintulot ay maaaring magresulta sa malpractice litigation at mga singil ng propesyonal na maling pag-uugali. Sa mga "&amp;"kaso kung saan ang hindi paglalahad ng mga panganib ay humahantong sa pinsala, ang kapabayaan ay maaaring maitatag. Ang isang kapansin-pansing kaso ay nagpapakita ng mga legal na epekto ng hindi sapat na kaalamang pahintulot, na nagbibigay-diin sa kahalag"&amp;"ahan ng malinaw na komunikasyon. Sa pangkalahatan, ang pagtiyak ng wastong kaalamang pahintulot ay mahalaga para sa mga medikal na practitioner upang maiwasan ang mga legal na kahihinatnan. Maipapayo na humingi ng patnubay mula sa mga legal na propesyonal"&amp;" para sa partikular na payo tungkol sa pananagutan sa medikal at may-kaalamang pahintulot sa Pilipinas.")</f>
        <v>Ang mga medikal na practitioner sa Pilipinas ay may legal na obligasyon na kumuha ng kaalamang pahintulot mula sa mga pasyente bago magsagawa ng mga medikal na pamamaraan. Ang tungkuling ito ay hindi delegado at umaabot sa mga manggagamot, ospital, at nars. Ang pahintulot ng pasyente ay dapat na boluntaryo, may kakayahan, at may kaalaman. Ang pagkabigong makakuha ng sapat na may-kaalamang pahintulot ay maaaring magresulta sa malpractice litigation at mga singil ng propesyonal na maling pag-uugali. Sa mga kaso kung saan ang hindi paglalahad ng mga panganib ay humahantong sa pinsala, ang kapabayaan ay maaaring maitatag. Ang isang kapansin-pansing kaso ay nagpapakita ng mga legal na epekto ng hindi sapat na kaalamang pahintulot, na nagbibigay-diin sa kahalagahan ng malinaw na komunikasyon. Sa pangkalahatan, ang pagtiyak ng wastong kaalamang pahintulot ay mahalaga para sa mga medikal na practitioner upang maiwasan ang mga legal na kahihinatnan. Maipapayo na humingi ng patnubay mula sa mga legal na propesyonal para sa partikular na payo tungkol sa pananagutan sa medikal at may-kaalamang pahintulot sa Pilipinas.</v>
      </c>
      <c r="F1716" s="2">
        <f t="shared" si="1"/>
        <v>0</v>
      </c>
      <c r="G1716" s="2"/>
      <c r="H1716" s="2"/>
      <c r="I1716" s="2"/>
      <c r="J1716" s="2"/>
      <c r="K1716" s="2"/>
      <c r="L1716" s="2"/>
      <c r="M1716" s="2"/>
      <c r="N1716" s="2"/>
      <c r="O1716" s="2"/>
      <c r="P1716" s="2"/>
      <c r="Q1716" s="2"/>
      <c r="R1716" s="2"/>
      <c r="S1716" s="2"/>
      <c r="T1716" s="2"/>
      <c r="U1716" s="2"/>
      <c r="V1716" s="2"/>
      <c r="W1716" s="2"/>
      <c r="X1716" s="2"/>
      <c r="Y1716" s="2"/>
      <c r="Z1716" s="2"/>
      <c r="AA1716" s="2"/>
    </row>
    <row r="1717">
      <c r="A1717" s="1" t="s">
        <v>4337</v>
      </c>
      <c r="B1717" s="1" t="s">
        <v>4447</v>
      </c>
      <c r="C1717" s="1" t="s">
        <v>4493</v>
      </c>
      <c r="D1717" s="2" t="str">
        <f>IFERROR(__xludf.DUMMYFUNCTION("GOOGLETRANSLATE(B1717, ""en"", ""TL"")"),"Paano tinutugunan ng batas ang pagsasagawa ng cosmetic surgery at aesthetic procedures sa Pilipinas?")</f>
        <v>Paano tinutugunan ng batas ang pagsasagawa ng cosmetic surgery at aesthetic procedures sa Pilipinas?</v>
      </c>
      <c r="E1717" s="2" t="str">
        <f>IFERROR(__xludf.DUMMYFUNCTION("GOOGLETRANSLATE(C1717, ""en"", ""TL"")"),"Sa Pilipinas, ang pagsasagawa ng cosmetic surgery at mga aesthetic na pamamaraan ay kinokontrol ng iba't ibang batas, regulasyon, at alituntunin na naglalayong tiyakin ang kaligtasan ng pasyente, kalidad ng pangangalaga, at mga pamantayan sa etika. Ang il"&amp;"ang mahahalagang aspeto kung paano tinutugunan ng batas ang cosmetic surgery at mga aesthetic na pamamaraan ay kinabibilangan ng:
Batas Medikal ng 1959: Ang Batas Medikal ng 1959 ay namamahala sa pagsasagawa ng medisina sa Pilipinas, kabilang ang cosmeti"&amp;"c surgery at mga aesthetic na pamamaraan. Ang mga medikal na practitioner na nagsasagawa ng mga pamamaraang ito ay kinakailangang maging mga lisensyadong manggagamot na nakarehistro sa Philippine Regulatory Commission (PRC). Dapat silang sumunod sa pareho"&amp;"ng mga pamantayan ng pangangalaga, etika, at propesyonalismo tulad ng sa ibang mga medikal na espesyalidad.
Mga Alituntunin ng Philippine Medical Association (PMA): Ang PMA at iba pang mga propesyonal na organisasyon ay maaaring maglabas ng mga alituntun"&amp;"in at pamantayan ng pagsasanay para sa cosmetic surgery at mga aesthetic na pamamaraan. Ang mga alituntuning ito ay sumasaklaw sa iba't ibang aspeto ng pagtatasa ng pasyente, mga pamamaraan ng operasyon, mga protocol sa kaligtasan, at pangangalaga pagkata"&amp;"pos ng operasyon upang matiyak ang kalidad at kaligtasan.
Mga Regulasyon ng Department of Health (DOH): Maaaring maglabas ang DOH ng mga regulasyon at pamantayan para sa cosmetic surgery at mga aesthetic na pamamaraan upang maprotektahan ang kalusugan at"&amp;" kaligtasan ng publiko. Maaaring kabilang sa mga regulasyong ito ang mga kinakailangan para sa akreditasyon ng pasilidad, mga pamantayan ng kagamitan, mga protocol sa pagkontrol sa impeksyon, at mga kwalipikasyon para sa mga medikal na practitioner na nag"&amp;"sasagawa ng mga pamamaraang ito.
May Kaalaman na Pahintulot: Tulad ng lahat ng medikal na pamamaraan, ang cosmetic surgery at aesthetic na pamamaraan ay nangangailangan ng kaalamang pahintulot mula sa mga pasyente. Ang mga medikal na practitioner ay dapa"&amp;"t magbigay sa mga pasyente ng komprehensibong impormasyon tungkol sa mga panganib, benepisyo, mga alternatibo, at inaasahang resulta ng pamamaraan upang bigyang-daan silang makagawa ng matalinong mga desisyon.
Mga Regulasyon sa Advertising at Marketing: "&amp;"Ang pag-advertise at marketing ng cosmetic surgery at mga aesthetic na pamamaraan ay napapailalim sa mga regulasyon upang maiwasan ang mga mali o mapanlinlang na claim at matiyak ang transparency. Ang mga medikal na practitioner ay ipinagbabawal na gumawa"&amp;" ng labis na pag-aangkin o mga pangako tungkol sa mga resulta ng mga pamamaraang ito.
Mga Batas sa Medikal na Malpractice: Ang mga pasyenteng dumaranas ng pinsala o pinsala bilang resulta ng kapabayaan o malpractice sa panahon ng cosmetic surgery o aesth"&amp;"etic procedure ay maaaring magsagawa ng legal na aksyon laban sa responsableng medikal na practitioner. Maaaring managot ang mga medikal na practitioner para sa mga pinsala kung hindi nila matugunan ang pamantayan ng pangangalaga na inaasahan sa mga pamam"&amp;"araang ito.")</f>
        <v>Sa Pilipinas, ang pagsasagawa ng cosmetic surgery at mga aesthetic na pamamaraan ay kinokontrol ng iba't ibang batas, regulasyon, at alituntunin na naglalayong tiyakin ang kaligtasan ng pasyente, kalidad ng pangangalaga, at mga pamantayan sa etika. Ang ilang mahahalagang aspeto kung paano tinutugunan ng batas ang cosmetic surgery at mga aesthetic na pamamaraan ay kinabibilangan ng:
Batas Medikal ng 1959: Ang Batas Medikal ng 1959 ay namamahala sa pagsasagawa ng medisina sa Pilipinas, kabilang ang cosmetic surgery at mga aesthetic na pamamaraan. Ang mga medikal na practitioner na nagsasagawa ng mga pamamaraang ito ay kinakailangang maging mga lisensyadong manggagamot na nakarehistro sa Philippine Regulatory Commission (PRC). Dapat silang sumunod sa parehong mga pamantayan ng pangangalaga, etika, at propesyonalismo tulad ng sa ibang mga medikal na espesyalidad.
Mga Alituntunin ng Philippine Medical Association (PMA): Ang PMA at iba pang mga propesyonal na organisasyon ay maaaring maglabas ng mga alituntunin at pamantayan ng pagsasanay para sa cosmetic surgery at mga aesthetic na pamamaraan. Ang mga alituntuning ito ay sumasaklaw sa iba't ibang aspeto ng pagtatasa ng pasyente, mga pamamaraan ng operasyon, mga protocol sa kaligtasan, at pangangalaga pagkatapos ng operasyon upang matiyak ang kalidad at kaligtasan.
Mga Regulasyon ng Department of Health (DOH): Maaaring maglabas ang DOH ng mga regulasyon at pamantayan para sa cosmetic surgery at mga aesthetic na pamamaraan upang maprotektahan ang kalusugan at kaligtasan ng publiko. Maaaring kabilang sa mga regulasyong ito ang mga kinakailangan para sa akreditasyon ng pasilidad, mga pamantayan ng kagamitan, mga protocol sa pagkontrol sa impeksyon, at mga kwalipikasyon para sa mga medikal na practitioner na nagsasagawa ng mga pamamaraang ito.
May Kaalaman na Pahintulot: Tulad ng lahat ng medikal na pamamaraan, ang cosmetic surgery at aesthetic na pamamaraan ay nangangailangan ng kaalamang pahintulot mula sa mga pasyente. Ang mga medikal na practitioner ay dapat magbigay sa mga pasyente ng komprehensibong impormasyon tungkol sa mga panganib, benepisyo, mga alternatibo, at inaasahang resulta ng pamamaraan upang bigyang-daan silang makagawa ng matalinong mga desisyon.
Mga Regulasyon sa Advertising at Marketing: Ang pag-advertise at marketing ng cosmetic surgery at mga aesthetic na pamamaraan ay napapailalim sa mga regulasyon upang maiwasan ang mga mali o mapanlinlang na claim at matiyak ang transparency. Ang mga medikal na practitioner ay ipinagbabawal na gumawa ng labis na pag-aangkin o mga pangako tungkol sa mga resulta ng mga pamamaraang ito.
Mga Batas sa Medikal na Malpractice: Ang mga pasyenteng dumaranas ng pinsala o pinsala bilang resulta ng kapabayaan o malpractice sa panahon ng cosmetic surgery o aesthetic procedure ay maaaring magsagawa ng legal na aksyon laban sa responsableng medikal na practitioner. Maaaring managot ang mga medikal na practitioner para sa mga pinsala kung hindi nila matugunan ang pamantayan ng pangangalaga na inaasahan sa mga pamamaraang ito.</v>
      </c>
      <c r="F1717" s="2">
        <f t="shared" si="1"/>
        <v>0</v>
      </c>
      <c r="G1717" s="2"/>
      <c r="H1717" s="2"/>
      <c r="I1717" s="2"/>
      <c r="J1717" s="2"/>
      <c r="K1717" s="2"/>
      <c r="L1717" s="2"/>
      <c r="M1717" s="2"/>
      <c r="N1717" s="2"/>
      <c r="O1717" s="2"/>
      <c r="P1717" s="2"/>
      <c r="Q1717" s="2"/>
      <c r="R1717" s="2"/>
      <c r="S1717" s="2"/>
      <c r="T1717" s="2"/>
      <c r="U1717" s="2"/>
      <c r="V1717" s="2"/>
      <c r="W1717" s="2"/>
      <c r="X1717" s="2"/>
      <c r="Y1717" s="2"/>
      <c r="Z1717" s="2"/>
      <c r="AA1717" s="2"/>
    </row>
    <row r="1718">
      <c r="A1718" s="1" t="s">
        <v>4337</v>
      </c>
      <c r="B1718" s="1" t="s">
        <v>4449</v>
      </c>
      <c r="C1718" s="1" t="s">
        <v>4494</v>
      </c>
      <c r="D1718" s="2" t="str">
        <f>IFERROR(__xludf.DUMMYFUNCTION("GOOGLETRANSLATE(B1718, ""en"", ""TL"")"),"Anong mga legal na karapatan ang mayroon ang mga pasyente sa paghingi ng kabayaran para sa medikal na malpractice o kapabayaan?")</f>
        <v>Anong mga legal na karapatan ang mayroon ang mga pasyente sa paghingi ng kabayaran para sa medikal na malpractice o kapabayaan?</v>
      </c>
      <c r="E1718" s="2" t="str">
        <f>IFERROR(__xludf.DUMMYFUNCTION("GOOGLETRANSLATE(C1718, ""en"", ""TL"")"),"Sa Pilipinas, ang mga pasyente ay may legal na karapatan kapag humihingi ng kabayaran para sa medikal na malpractice o kapabayaan. Ang ilan sa mga karapatang ito ay kinabibilangan ng:
Karapatan sa De-kalidad na Pangangalagang Pangkalusugan: Ang mga pasye"&amp;"nte ay may karapatang tumanggap ng mga de-kalidad na serbisyo sa pangangalagang pangkalusugan na nakakatugon sa mga tinatanggap na pamantayang medikal. Kung ang isang pasyente ay dumanas ng pinsala o pinsala dahil sa medikal na malpractice o kapabayaan, s"&amp;"ila ay may karapatang humingi ng kabayaran para sa mga pinsala.
Karapatan sa May Kaalaman na Pahintulot: Ang mga pasyente ay may karapatan na ganap na malaman ang tungkol sa kanilang kondisyong medikal, mga opsyon sa paggamot, mga panganib, benepisyo, at"&amp;" mga alternatibo bago sumailalim sa anumang interbensyong medikal. Kung ang isang pasyente ay hindi nagbigay ng kaalamang pahintulot para sa isang pamamaraan na nagresulta sa pinsala o pinsala, maaari silang magkaroon ng mga batayan para humingi ng kabaya"&amp;"ran.
Karapatan sa Redress at Remedies: Ang mga pasyente na dumaranas ng pinsala o pinsala dahil sa medikal na malpractice o kapabayaan ay may karapatang humingi ng lunas at mga remedyo sa pamamagitan ng iba't ibang mga channel. Maaaring kabilang dito ang"&amp;" paghahain ng reklamo sa mga regulatory body, propesyonal na asosasyon, o legal na awtoridad, pati na rin ang paghahabol ng civil litigation upang humingi ng kabayaran para sa mga pinsala.
Karapatan sa Legal na Representasyon: Ang mga pasyente ay may kar"&amp;"apatan sa legal na representasyon kapag naghahabol ng kabayaran para sa medikal na malpractice o kapabayaan. Matutulungan sila ng isang kwalipikadong abogado na maunawaan ang kanilang mga karapatan, masuri ang mga merito ng kanilang kaso, at mabisang mag-"&amp;"navigate sa legal na proseso.
Karapatan sa Makatarungang Kabayaran: Ang mga pasyente na nagpapatunay na sila ay nakaranas ng pinsala o pinsala dahil sa medikal na malpractice o kapabayaan ay may karapatan sa patas na kabayaran para sa kanilang mga pagkal"&amp;"ugi. Maaaring kabilang dito ang kabayaran para sa mga gastusing medikal, nawalang kita, sakit at pagdurusa, kapansanan, at iba pang kaugnay na pinsala.
Karapatan sa Nararapat na Proseso: Ang mga pasyente ay may karapatan sa angkop na proseso kapag naghah"&amp;"abol ng kabayaran para sa medikal na malpractice o kapabayaan. Kabilang dito ang karapatan sa isang patas at walang kinikilingan na pagdinig, ang pagkakataong magpakita ng ebidensya at mga argumento bilang suporta sa kanilang paghahabol, at ang karapatang"&amp;" mag-apela sa anumang masamang desisyon.")</f>
        <v>Sa Pilipinas, ang mga pasyente ay may legal na karapatan kapag humihingi ng kabayaran para sa medikal na malpractice o kapabayaan. Ang ilan sa mga karapatang ito ay kinabibilangan ng:
Karapatan sa De-kalidad na Pangangalagang Pangkalusugan: Ang mga pasyente ay may karapatang tumanggap ng mga de-kalidad na serbisyo sa pangangalagang pangkalusugan na nakakatugon sa mga tinatanggap na pamantayang medikal. Kung ang isang pasyente ay dumanas ng pinsala o pinsala dahil sa medikal na malpractice o kapabayaan, sila ay may karapatang humingi ng kabayaran para sa mga pinsala.
Karapatan sa May Kaalaman na Pahintulot: Ang mga pasyente ay may karapatan na ganap na malaman ang tungkol sa kanilang kondisyong medikal, mga opsyon sa paggamot, mga panganib, benepisyo, at mga alternatibo bago sumailalim sa anumang interbensyong medikal. Kung ang isang pasyente ay hindi nagbigay ng kaalamang pahintulot para sa isang pamamaraan na nagresulta sa pinsala o pinsala, maaari silang magkaroon ng mga batayan para humingi ng kabayaran.
Karapatan sa Redress at Remedies: Ang mga pasyente na dumaranas ng pinsala o pinsala dahil sa medikal na malpractice o kapabayaan ay may karapatang humingi ng lunas at mga remedyo sa pamamagitan ng iba't ibang mga channel. Maaaring kabilang dito ang paghahain ng reklamo sa mga regulatory body, propesyonal na asosasyon, o legal na awtoridad, pati na rin ang paghahabol ng civil litigation upang humingi ng kabayaran para sa mga pinsala.
Karapatan sa Legal na Representasyon: Ang mga pasyente ay may karapatan sa legal na representasyon kapag naghahabol ng kabayaran para sa medikal na malpractice o kapabayaan. Matutulungan sila ng isang kwalipikadong abogado na maunawaan ang kanilang mga karapatan, masuri ang mga merito ng kanilang kaso, at mabisang mag-navigate sa legal na proseso.
Karapatan sa Makatarungang Kabayaran: Ang mga pasyente na nagpapatunay na sila ay nakaranas ng pinsala o pinsala dahil sa medikal na malpractice o kapabayaan ay may karapatan sa patas na kabayaran para sa kanilang mga pagkalugi. Maaaring kabilang dito ang kabayaran para sa mga gastusing medikal, nawalang kita, sakit at pagdurusa, kapansanan, at iba pang kaugnay na pinsala.
Karapatan sa Nararapat na Proseso: Ang mga pasyente ay may karapatan sa angkop na proseso kapag naghahabol ng kabayaran para sa medikal na malpractice o kapabayaan. Kabilang dito ang karapatan sa isang patas at walang kinikilingan na pagdinig, ang pagkakataong magpakita ng ebidensya at mga argumento bilang suporta sa kanilang paghahabol, at ang karapatang mag-apela sa anumang masamang desisyon.</v>
      </c>
      <c r="F1718" s="2">
        <f t="shared" si="1"/>
        <v>0</v>
      </c>
      <c r="G1718" s="2"/>
      <c r="H1718" s="2"/>
      <c r="I1718" s="2"/>
      <c r="J1718" s="2"/>
      <c r="K1718" s="2"/>
      <c r="L1718" s="2"/>
      <c r="M1718" s="2"/>
      <c r="N1718" s="2"/>
      <c r="O1718" s="2"/>
      <c r="P1718" s="2"/>
      <c r="Q1718" s="2"/>
      <c r="R1718" s="2"/>
      <c r="S1718" s="2"/>
      <c r="T1718" s="2"/>
      <c r="U1718" s="2"/>
      <c r="V1718" s="2"/>
      <c r="W1718" s="2"/>
      <c r="X1718" s="2"/>
      <c r="Y1718" s="2"/>
      <c r="Z1718" s="2"/>
      <c r="AA1718" s="2"/>
    </row>
    <row r="1719">
      <c r="A1719" s="1" t="s">
        <v>4337</v>
      </c>
      <c r="B1719" s="1" t="s">
        <v>4453</v>
      </c>
      <c r="C1719" s="1" t="s">
        <v>4495</v>
      </c>
      <c r="D1719" s="2" t="str">
        <f>IFERROR(__xludf.DUMMYFUNCTION("GOOGLETRANSLATE(B1719, ""en"", ""TL"")"),"Anong mga legal na obligasyon ang mayroon ang mga tagapagbigay ng pangangalagang pangkalusugan sa pagkuha ng may-kaalamang pahintulot mula sa mga pasyente para sa mga pamamaraan ng operasyon?")</f>
        <v>Anong mga legal na obligasyon ang mayroon ang mga tagapagbigay ng pangangalagang pangkalusugan sa pagkuha ng may-kaalamang pahintulot mula sa mga pasyente para sa mga pamamaraan ng operasyon?</v>
      </c>
      <c r="E1719" s="2" t="str">
        <f>IFERROR(__xludf.DUMMYFUNCTION("GOOGLETRANSLATE(C1719, ""en"", ""TL"")"),"Ang mga tagapagbigay ng pangangalagang pangkalusugan sa Pilipinas ay may mga legal na obligasyon kapag kumukuha ng kaalamang pahintulot mula sa mga pasyente para sa mga pamamaraan ng operasyon. Ang mga obligasyong ito ay nakabalangkas sa iba't ibang batas"&amp;", regulasyon, at mga alituntuning etikal, kabilang ang:
Medical Act of 1959: Itinatakda ng Medical Act of 1959 ang mga propesyonal na pamantayan at responsibilidad ng mga healthcare provider, kabilang ang mga surgeon, sa pagkuha ng may-kaalamang pahintul"&amp;"ot mula sa mga pasyente. Binibigyang-diin nito ang kahalagahan ng paggalang sa awtonomiya ng mga pasyente at pagtiyak na lubos nilang nauunawaan ang mga panganib, benepisyo, at mga alternatibo ng mga pamamaraan ng operasyon bago magbigay ng pahintulot.
K"&amp;"odigo Sibil ng Pilipinas: Kinikilala ng Kodigo Sibil ng Pilipinas ang karapatan ng mga indibidwal sa awtonomiya at pagpapasya sa sarili sa kanilang mga katawan. Ang mga tagapagbigay ng pangangalagang pangkalusugan ay dapat kumuha ng boluntaryo at may kaal"&amp;"amang pahintulot mula sa mga pasyente bago magsagawa ng mga pamamaraan ng operasyon, na tinitiyak na nauunawaan ng mga pasyente ang kalikasan at layunin ng operasyon, pati na rin ang mga potensyal na panganib at komplikasyon nito.
Mga Regulasyon ng Depar"&amp;"tment of Health (DOH): Maaaring maglabas ang DOH ng mga regulasyon at alituntunin na namamahala sa proseso ng kaalamang pagpapahintulot para sa mga pamamaraan ng operasyon. Maaaring tukuyin ng mga regulasyong ito ang impormasyong dapat ibigay sa mga pasye"&amp;"nte, ang paraan kung saan dapat makuha ang pahintulot, at ang mga kinakailangan sa dokumentasyon para sa may-kaalamang pahintulot.
Mga Alituntuning Etikal: Ang mga propesyonal na organisasyon gaya ng Philippine Medical Association (PMA) ay maaaring magla"&amp;"bas ng mga etikal na alituntunin at pamantayan ng pagsasanay para sa mga tagapagbigay ng pangangalagang pangkalusugan tungkol sa may-kaalamang pahintulot. Binibigyang-diin ng mga alituntuning ito ang kahalagahan ng tapat at malinaw na komunikasyon sa mga "&amp;"pasyente, na iginagalang ang kanilang karapatang gumawa ng matalinong mga desisyon tungkol sa kanilang pangangalagang pangkalusugan.
Batas sa Kaso: Ang mga desisyon ng korte at mga legal na simulain ay maaari ding humubog sa mga legal na obligasyon ng mg"&amp;"a tagapagbigay ng pangangalagang pangkalusugan sa pagkuha ng may-kaalamang pahintulot para sa mga pamamaraan ng operasyon. Maaaring isaalang-alang ng mga korte ang mga salik tulad ng kasapatan ng impormasyong ibinigay sa mga pasyente, ang pagiging kusang "&amp;"loob ng pagpayag, at ang pagkakaroon ng anumang pamimilit o hindi nararapat na impluwensya.")</f>
        <v>Ang mga tagapagbigay ng pangangalagang pangkalusugan sa Pilipinas ay may mga legal na obligasyon kapag kumukuha ng kaalamang pahintulot mula sa mga pasyente para sa mga pamamaraan ng operasyon. Ang mga obligasyong ito ay nakabalangkas sa iba't ibang batas, regulasyon, at mga alituntuning etikal, kabilang ang:
Medical Act of 1959: Itinatakda ng Medical Act of 1959 ang mga propesyonal na pamantayan at responsibilidad ng mga healthcare provider, kabilang ang mga surgeon, sa pagkuha ng may-kaalamang pahintulot mula sa mga pasyente. Binibigyang-diin nito ang kahalagahan ng paggalang sa awtonomiya ng mga pasyente at pagtiyak na lubos nilang nauunawaan ang mga panganib, benepisyo, at mga alternatibo ng mga pamamaraan ng operasyon bago magbigay ng pahintulot.
Kodigo Sibil ng Pilipinas: Kinikilala ng Kodigo Sibil ng Pilipinas ang karapatan ng mga indibidwal sa awtonomiya at pagpapasya sa sarili sa kanilang mga katawan. Ang mga tagapagbigay ng pangangalagang pangkalusugan ay dapat kumuha ng boluntaryo at may kaalamang pahintulot mula sa mga pasyente bago magsagawa ng mga pamamaraan ng operasyon, na tinitiyak na nauunawaan ng mga pasyente ang kalikasan at layunin ng operasyon, pati na rin ang mga potensyal na panganib at komplikasyon nito.
Mga Regulasyon ng Department of Health (DOH): Maaaring maglabas ang DOH ng mga regulasyon at alituntunin na namamahala sa proseso ng kaalamang pagpapahintulot para sa mga pamamaraan ng operasyon. Maaaring tukuyin ng mga regulasyong ito ang impormasyong dapat ibigay sa mga pasyente, ang paraan kung saan dapat makuha ang pahintulot, at ang mga kinakailangan sa dokumentasyon para sa may-kaalamang pahintulot.
Mga Alituntuning Etikal: Ang mga propesyonal na organisasyon gaya ng Philippine Medical Association (PMA) ay maaaring maglabas ng mga etikal na alituntunin at pamantayan ng pagsasanay para sa mga tagapagbigay ng pangangalagang pangkalusugan tungkol sa may-kaalamang pahintulot. Binibigyang-diin ng mga alituntuning ito ang kahalagahan ng tapat at malinaw na komunikasyon sa mga pasyente, na iginagalang ang kanilang karapatang gumawa ng matalinong mga desisyon tungkol sa kanilang pangangalagang pangkalusugan.
Batas sa Kaso: Ang mga desisyon ng korte at mga legal na simulain ay maaari ding humubog sa mga legal na obligasyon ng mga tagapagbigay ng pangangalagang pangkalusugan sa pagkuha ng may-kaalamang pahintulot para sa mga pamamaraan ng operasyon. Maaaring isaalang-alang ng mga korte ang mga salik tulad ng kasapatan ng impormasyong ibinigay sa mga pasyente, ang pagiging kusang loob ng pagpayag, at ang pagkakaroon ng anumang pamimilit o hindi nararapat na impluwensya.</v>
      </c>
      <c r="F1719" s="2">
        <f t="shared" si="1"/>
        <v>0</v>
      </c>
      <c r="G1719" s="2"/>
      <c r="H1719" s="2"/>
      <c r="I1719" s="2"/>
      <c r="J1719" s="2"/>
      <c r="K1719" s="2"/>
      <c r="L1719" s="2"/>
      <c r="M1719" s="2"/>
      <c r="N1719" s="2"/>
      <c r="O1719" s="2"/>
      <c r="P1719" s="2"/>
      <c r="Q1719" s="2"/>
      <c r="R1719" s="2"/>
      <c r="S1719" s="2"/>
      <c r="T1719" s="2"/>
      <c r="U1719" s="2"/>
      <c r="V1719" s="2"/>
      <c r="W1719" s="2"/>
      <c r="X1719" s="2"/>
      <c r="Y1719" s="2"/>
      <c r="Z1719" s="2"/>
      <c r="AA1719" s="2"/>
    </row>
    <row r="1720">
      <c r="A1720" s="1" t="s">
        <v>4337</v>
      </c>
      <c r="B1720" s="1" t="s">
        <v>4390</v>
      </c>
      <c r="C1720" s="1" t="s">
        <v>4496</v>
      </c>
      <c r="D1720" s="2" t="str">
        <f>IFERROR(__xludf.DUMMYFUNCTION("GOOGLETRANSLATE(B1720, ""en"", ""TL"")"),"Paano pinapanagot ang mga medikal na practitioner para sa mga paglabag sa pagiging kumpidensyal ng pasyente?")</f>
        <v>Paano pinapanagot ang mga medikal na practitioner para sa mga paglabag sa pagiging kumpidensyal ng pasyente?</v>
      </c>
      <c r="E1720" s="2" t="str">
        <f>IFERROR(__xludf.DUMMYFUNCTION("GOOGLETRANSLATE(C1720, ""en"", ""TL"")"),"Sa Pilipinas, ang mga paglabag sa pagiging kumpidensyal ng pasyente ng mga medikal na practitioner ay tinutugunan sa pamamagitan ng iba't ibang legal, administratibo, at propesyonal na mga hakbang. Kabilang dito ang pagpapataw ng mga parusang sibil, tulad"&amp;" ng mga multa sa pananalapi, bilang isang pagpigil laban sa hindi awtorisadong pagsisiwalat. Sa mga matitinding kaso, maaaring ihabol ang mga kasong kriminal, at maaaring ipatupad ang mga parusang administratibo tulad ng pagbawi ng lisensya. Ang National "&amp;"Privacy Commission ay naglabas din ng mga alituntunin upang protektahan ang data ng pasyente, na binibigyang-diin ang kahalagahan ng mga regular na paalala, mga kontrol sa pag-access, mga hakbang sa pisikal na seguridad, at mga kontratang kasunduan. Ang m"&amp;"ga pagkilos na ito ay naglalayong itaguyod ang tiwala, pagiging kumpidensyal, at integridad ng data ng pasyente, lalo na sa gitna ng pandemya ng COVID-19.")</f>
        <v>Sa Pilipinas, ang mga paglabag sa pagiging kumpidensyal ng pasyente ng mga medikal na practitioner ay tinutugunan sa pamamagitan ng iba't ibang legal, administratibo, at propesyonal na mga hakbang. Kabilang dito ang pagpapataw ng mga parusang sibil, tulad ng mga multa sa pananalapi, bilang isang pagpigil laban sa hindi awtorisadong pagsisiwalat. Sa mga matitinding kaso, maaaring ihabol ang mga kasong kriminal, at maaaring ipatupad ang mga parusang administratibo tulad ng pagbawi ng lisensya. Ang National Privacy Commission ay naglabas din ng mga alituntunin upang protektahan ang data ng pasyente, na binibigyang-diin ang kahalagahan ng mga regular na paalala, mga kontrol sa pag-access, mga hakbang sa pisikal na seguridad, at mga kontratang kasunduan. Ang mga pagkilos na ito ay naglalayong itaguyod ang tiwala, pagiging kumpidensyal, at integridad ng data ng pasyente, lalo na sa gitna ng pandemya ng COVID-19.</v>
      </c>
      <c r="F1720" s="2">
        <f t="shared" si="1"/>
        <v>0</v>
      </c>
      <c r="G1720" s="2"/>
      <c r="H1720" s="2"/>
      <c r="I1720" s="2"/>
      <c r="J1720" s="2"/>
      <c r="K1720" s="2"/>
      <c r="L1720" s="2"/>
      <c r="M1720" s="2"/>
      <c r="N1720" s="2"/>
      <c r="O1720" s="2"/>
      <c r="P1720" s="2"/>
      <c r="Q1720" s="2"/>
      <c r="R1720" s="2"/>
      <c r="S1720" s="2"/>
      <c r="T1720" s="2"/>
      <c r="U1720" s="2"/>
      <c r="V1720" s="2"/>
      <c r="W1720" s="2"/>
      <c r="X1720" s="2"/>
      <c r="Y1720" s="2"/>
      <c r="Z1720" s="2"/>
      <c r="AA1720" s="2"/>
    </row>
    <row r="1721">
      <c r="A1721" s="1" t="s">
        <v>4337</v>
      </c>
      <c r="B1721" s="1" t="s">
        <v>4350</v>
      </c>
      <c r="C1721" s="1" t="s">
        <v>4497</v>
      </c>
      <c r="D1721" s="2" t="str">
        <f>IFERROR(__xludf.DUMMYFUNCTION("GOOGLETRANSLATE(B1721, ""en"", ""TL"")"),"Maaari bang tanggihan ng isang pasyente ang medikal na paggamot kahit na sa mga sitwasyong nagbabanta sa buhay, at anong mga legal na implikasyon ang mayroon ito para sa mga tagapagbigay ng pangangalagang pangkalusugan?")</f>
        <v>Maaari bang tanggihan ng isang pasyente ang medikal na paggamot kahit na sa mga sitwasyong nagbabanta sa buhay, at anong mga legal na implikasyon ang mayroon ito para sa mga tagapagbigay ng pangangalagang pangkalusugan?</v>
      </c>
      <c r="E1721" s="2" t="str">
        <f>IFERROR(__xludf.DUMMYFUNCTION("GOOGLETRANSLATE(C1721, ""en"", ""TL"")"),"Oo, ang isang pasyente sa pangkalahatan ay may karapatang tumanggi sa medikal na paggamot, kahit na sa mga sitwasyong nagbabanta sa buhay, batay sa mga prinsipyo ng awtonomiya at pagpapasya sa sarili. Ang karapatang ito ay kinikilala sa iba't ibang legal "&amp;"at etikal na balangkas, kabilang ang:
Mga Kalayaan sa Sibil: Ang karapatang tumanggi sa medikal na paggamot ay nakabatay sa mga kalayaang sibil, na nagpoprotekta sa awtonomiya at pagpapasya sa sarili ng mga indibidwal sa kanilang mga katawan. Ang mga pas"&amp;"yente ay may legal na karapatan na gumawa ng mga desisyon tungkol sa kanilang sariling pangangalagang pangkalusugan, kabilang ang desisyon na tanggapin o tanggihan ang medikal na paggamot, kahit na ito ay maaaring magresulta sa pinsala o kamatayan.
May K"&amp;"aalaman na Pahintulot: Ang may-alam na pagpayag ay isang pangunahing prinsipyo ng medikal na etika at batas. Ang mga tagapagbigay ng pangangalagang pangkalusugan ay kinakailangang kumuha ng may-kaalamang pahintulot mula sa mga pasyente bago magsagawa ng m"&amp;"ga medikal na pamamaraan o paggamot. Kabilang dito ang pagbibigay sa mga pasyente ng may-katuturang impormasyon tungkol sa iminungkahing paggamot, pagtalakay sa mga potensyal na panganib at benepisyo, at pagtiyak na nauunawaan ng mga pasyente ang kanilang"&amp;" mga opsyon bago gumawa ng desisyon. Kung ang isang pasyente ay tumanggi sa paggamot pagkatapos na ipaalam sa mga panganib at benepisyo, ang mga tagapagbigay ng pangangalagang pangkalusugan ay karaniwang obligado na igalang ang kanilang desisyon.
Mga Leg"&amp;"al na Implikasyon para sa Mga Provider ng Pangangalagang Pangkalusugan: Habang ang mga pasyente ay may karapatang tumanggi sa medikal na paggamot, ang mga tagapagbigay ng pangangalagang pangkalusugan ay maaaring humarap sa mga legal at etikal na problema "&amp;"sa mga ganitong sitwasyon. Ang mga tagapagbigay ng pangangalagang pangkalusugan ay may tungkulin na kumilos para sa ikabubuti ng kanilang mga pasyente at magbigay ng naaangkop na pangangalagang medikal. Kung ang isang pasyente ay tumanggi sa paggamot na k"&amp;"inakailangan upang maiwasan ang napipintong pinsala o kamatayan, ang mga tagapagbigay ng pangangalagang pangkalusugan ay maaaring humarap sa etikal na salungatan sa pagitan ng paggalang sa awtonomiya ng pasyente at pagtupad sa kanilang tungkulin na magbig"&amp;"ay ng pangangalaga. Sa ilang mga kaso, ang mga tagapagbigay ng pangangalagang pangkalusugan ay maaaring humingi ng legal na patnubay o interbensyon, tulad ng pagkuha ng utos ng hukuman o pagkonsulta sa komite ng etika, upang matukoy ang naaangkop na paraa"&amp;"n ng pagkilos.")</f>
        <v>Oo, ang isang pasyente sa pangkalahatan ay may karapatang tumanggi sa medikal na paggamot, kahit na sa mga sitwasyong nagbabanta sa buhay, batay sa mga prinsipyo ng awtonomiya at pagpapasya sa sarili. Ang karapatang ito ay kinikilala sa iba't ibang legal at etikal na balangkas, kabilang ang:
Mga Kalayaan sa Sibil: Ang karapatang tumanggi sa medikal na paggamot ay nakabatay sa mga kalayaang sibil, na nagpoprotekta sa awtonomiya at pagpapasya sa sarili ng mga indibidwal sa kanilang mga katawan. Ang mga pasyente ay may legal na karapatan na gumawa ng mga desisyon tungkol sa kanilang sariling pangangalagang pangkalusugan, kabilang ang desisyon na tanggapin o tanggihan ang medikal na paggamot, kahit na ito ay maaaring magresulta sa pinsala o kamatayan.
May Kaalaman na Pahintulot: Ang may-alam na pagpayag ay isang pangunahing prinsipyo ng medikal na etika at batas. Ang mga tagapagbigay ng pangangalagang pangkalusugan ay kinakailangang kumuha ng may-kaalamang pahintulot mula sa mga pasyente bago magsagawa ng mga medikal na pamamaraan o paggamot. Kabilang dito ang pagbibigay sa mga pasyente ng may-katuturang impormasyon tungkol sa iminungkahing paggamot, pagtalakay sa mga potensyal na panganib at benepisyo, at pagtiyak na nauunawaan ng mga pasyente ang kanilang mga opsyon bago gumawa ng desisyon. Kung ang isang pasyente ay tumanggi sa paggamot pagkatapos na ipaalam sa mga panganib at benepisyo, ang mga tagapagbigay ng pangangalagang pangkalusugan ay karaniwang obligado na igalang ang kanilang desisyon.
Mga Legal na Implikasyon para sa Mga Provider ng Pangangalagang Pangkalusugan: Habang ang mga pasyente ay may karapatang tumanggi sa medikal na paggamot, ang mga tagapagbigay ng pangangalagang pangkalusugan ay maaaring humarap sa mga legal at etikal na problema sa mga ganitong sitwasyon. Ang mga tagapagbigay ng pangangalagang pangkalusugan ay may tungkulin na kumilos para sa ikabubuti ng kanilang mga pasyente at magbigay ng naaangkop na pangangalagang medikal. Kung ang isang pasyente ay tumanggi sa paggamot na kinakailangan upang maiwasan ang napipintong pinsala o kamatayan, ang mga tagapagbigay ng pangangalagang pangkalusugan ay maaaring humarap sa etikal na salungatan sa pagitan ng paggalang sa awtonomiya ng pasyente at pagtupad sa kanilang tungkulin na magbigay ng pangangalaga. Sa ilang mga kaso, ang mga tagapagbigay ng pangangalagang pangkalusugan ay maaaring humingi ng legal na patnubay o interbensyon, tulad ng pagkuha ng utos ng hukuman o pagkonsulta sa komite ng etika, upang matukoy ang naaangkop na paraan ng pagkilos.</v>
      </c>
      <c r="F1721" s="2">
        <f t="shared" si="1"/>
        <v>0</v>
      </c>
      <c r="G1721" s="2"/>
      <c r="H1721" s="2"/>
      <c r="I1721" s="2"/>
      <c r="J1721" s="2"/>
      <c r="K1721" s="2"/>
      <c r="L1721" s="2"/>
      <c r="M1721" s="2"/>
      <c r="N1721" s="2"/>
      <c r="O1721" s="2"/>
      <c r="P1721" s="2"/>
      <c r="Q1721" s="2"/>
      <c r="R1721" s="2"/>
      <c r="S1721" s="2"/>
      <c r="T1721" s="2"/>
      <c r="U1721" s="2"/>
      <c r="V1721" s="2"/>
      <c r="W1721" s="2"/>
      <c r="X1721" s="2"/>
      <c r="Y1721" s="2"/>
      <c r="Z1721" s="2"/>
      <c r="AA1721" s="2"/>
    </row>
    <row r="1722">
      <c r="A1722" s="1" t="s">
        <v>4337</v>
      </c>
      <c r="B1722" s="1" t="s">
        <v>4485</v>
      </c>
      <c r="C1722" s="1" t="s">
        <v>4359</v>
      </c>
      <c r="D1722" s="2" t="str">
        <f>IFERROR(__xludf.DUMMYFUNCTION("GOOGLETRANSLATE(B1722, ""en"", ""TL"")"),"Paano tinutugunan ng batas ang pagsasagawa ng telemedicine at online na mga medikal na konsultasyon?")</f>
        <v>Paano tinutugunan ng batas ang pagsasagawa ng telemedicine at online na mga medikal na konsultasyon?</v>
      </c>
      <c r="E1722" s="2" t="str">
        <f>IFERROR(__xludf.DUMMYFUNCTION("GOOGLETRANSLATE(C1722, ""en"", ""TL"")"),"Ang batas ng telemedicine sa Pilipinas ay umuunlad bilang tugon sa mga pagpapabuti ng teknolohiya. Ang privacy ng pasyente, seguridad ng data, paglilisensya ng healthcare provider, at ang legalidad ng mga online na konsultasyon at reseta medikal ay kabila"&amp;"ng sa pinakamahalagang legal na problema.")</f>
        <v>Ang batas ng telemedicine sa Pilipinas ay umuunlad bilang tugon sa mga pagpapabuti ng teknolohiya. Ang privacy ng pasyente, seguridad ng data, paglilisensya ng healthcare provider, at ang legalidad ng mga online na konsultasyon at reseta medikal ay kabilang sa pinakamahalagang legal na problema.</v>
      </c>
      <c r="F1722" s="2">
        <f t="shared" si="1"/>
        <v>0</v>
      </c>
      <c r="G1722" s="2"/>
      <c r="H1722" s="2"/>
      <c r="I1722" s="2"/>
      <c r="J1722" s="2"/>
      <c r="K1722" s="2"/>
      <c r="L1722" s="2"/>
      <c r="M1722" s="2"/>
      <c r="N1722" s="2"/>
      <c r="O1722" s="2"/>
      <c r="P1722" s="2"/>
      <c r="Q1722" s="2"/>
      <c r="R1722" s="2"/>
      <c r="S1722" s="2"/>
      <c r="T1722" s="2"/>
      <c r="U1722" s="2"/>
      <c r="V1722" s="2"/>
      <c r="W1722" s="2"/>
      <c r="X1722" s="2"/>
      <c r="Y1722" s="2"/>
      <c r="Z1722" s="2"/>
      <c r="AA1722" s="2"/>
    </row>
    <row r="1723">
      <c r="A1723" s="1" t="s">
        <v>4337</v>
      </c>
      <c r="B1723" s="1" t="s">
        <v>4382</v>
      </c>
      <c r="C1723" s="1" t="s">
        <v>4498</v>
      </c>
      <c r="D1723" s="2" t="str">
        <f>IFERROR(__xludf.DUMMYFUNCTION("GOOGLETRANSLATE(B1723, ""en"", ""TL"")"),"Anong mga legal na karapatan ang mayroon ang mga pasyente sa paghahain ng mga reklamo laban sa mga tagapagbigay ng pangangalagang pangkalusugan para sa substandard na pangangalaga?")</f>
        <v>Anong mga legal na karapatan ang mayroon ang mga pasyente sa paghahain ng mga reklamo laban sa mga tagapagbigay ng pangangalagang pangkalusugan para sa substandard na pangangalaga?</v>
      </c>
      <c r="E1723" s="2" t="str">
        <f>IFERROR(__xludf.DUMMYFUNCTION("GOOGLETRANSLATE(C1723, ""en"", ""TL"")"),"Ang mga pasyente sa Pilipinas ay may ilang legal na karapatan kapag nagsampa ng mga reklamo laban sa mga healthcare provider para sa substandard na pangangalaga. Ang mga karapatang ito ay itinatag upang matiyak ang pananagutan, kaligtasan ng pasyente, at "&amp;"kalidad ng pangangalaga. Ang ilan sa mga pangunahing legal na karapatan ay kinabibilangan ng:
Karapatan na Ma-access ang Mga Serbisyo sa Pangangalagang Pangkalusugan: Ang mga pasyente ay may karapatang ma-access ang mga serbisyo ng pangangalagang pangkal"&amp;"usugan nang walang diskriminasyon. Kabilang dito ang karapatang tumanggap ng mga de-kalidad na serbisyo sa pangangalagang pangkalusugan batay sa mga tinatanggap na pamantayang medikal.
Karapatan sa May Kaalaman na Pahintulot: Ang mga pasyente ay may kara"&amp;"patan na ganap na malaman ang tungkol sa kanilang kondisyong medikal, mga opsyon sa paggamot, mga panganib, benepisyo, at mga alternatibo bago sumailalim sa anumang interbensyong medikal. Nirerespeto ng may kaalamang pahintulot ang awtonomiya at kakayahan"&amp;" ng mga pasyente sa paggawa ng desisyon.
Karapatan sa Pagkapribado at Pagkakumpidensyal: Ang mga pasyente ay may karapatan sa pagkapribado at pagiging kumpidensyal ng kanilang medikal na impormasyon. Ang mga tagapagbigay ng pangangalagang pangkalusugan a"&amp;"y legal na obligado na protektahan ang privacy ng mga pasyente, at ang pagbubunyag ng medikal na impormasyon ay dapat lamang mangyari sa mga awtorisadong indibidwal para sa mga layunin ng pangangalagang pangkalusugan.
Karapatan sa De-kalidad na Pangangal"&amp;"aga: Ang mga pasyente ay may karapatang tumanggap ng mga de-kalidad na serbisyo sa pangangalagang pangkalusugan batay sa mga tinatanggap na pamantayang medikal. Kabilang dito ang naaangkop na diagnosis, paggamot, at follow-up na pangangalaga.
Karapatan n"&amp;"a Tanggihan ang Medikal na Paggamot: Ang mga pasyente ay may awtonomiya na gumawa ng mga desisyon tungkol sa kanilang pangangalagang pangkalusugan, kabilang ang karapatang tumanggi sa medikal na paggamot. Kahit na sa mga sitwasyong nagbabanta sa buhay, ma"&amp;"aaring tanggihan ng mga pasyente ang mga paggamot na sumasalungat sa kanilang mga personal na paniniwala o halaga, bagama't may mga legal na limitasyon sa karapatang ito.
Karapatan na Magsampa ng Mga Reklamo: Ang mga pasyente ay may karapatang magsampa n"&amp;"g mga reklamo laban sa mga tagapagbigay ng pangangalagang pangkalusugan para sa hindi pamantayang pangangalaga o hindi etikal na paggawi. Maaari silang magsampa ng mga reklamo sa mga regulatory body, tulad ng Professional Regulation Commission (PRC), Depa"&amp;"rtment of Health (DOH), o mga propesyonal na asosasyon tulad ng Philippine Medical Association (PMA).
Legal na Recourse: Ang mga pasyente ay may karapatang humingi ng legal na tulong kung naniniwala sila na sila ay nasaktan dahil sa substandard na pangan"&amp;"galaga o medikal na kapabayaan. Maaari nilang ituloy ang paglilitis sa sibil upang humingi ng kabayaran para sa mga pinsala, kabilang ang mga medikal na gastos, nawalang sahod, at sakit at pagdurusa.")</f>
        <v>Ang mga pasyente sa Pilipinas ay may ilang legal na karapatan kapag nagsampa ng mga reklamo laban sa mga healthcare provider para sa substandard na pangangalaga. Ang mga karapatang ito ay itinatag upang matiyak ang pananagutan, kaligtasan ng pasyente, at kalidad ng pangangalaga. Ang ilan sa mga pangunahing legal na karapatan ay kinabibilangan ng:
Karapatan na Ma-access ang Mga Serbisyo sa Pangangalagang Pangkalusugan: Ang mga pasyente ay may karapatang ma-access ang mga serbisyo ng pangangalagang pangkalusugan nang walang diskriminasyon. Kabilang dito ang karapatang tumanggap ng mga de-kalidad na serbisyo sa pangangalagang pangkalusugan batay sa mga tinatanggap na pamantayang medikal.
Karapatan sa May Kaalaman na Pahintulot: Ang mga pasyente ay may karapatan na ganap na malaman ang tungkol sa kanilang kondisyong medikal, mga opsyon sa paggamot, mga panganib, benepisyo, at mga alternatibo bago sumailalim sa anumang interbensyong medikal. Nirerespeto ng may kaalamang pahintulot ang awtonomiya at kakayahan ng mga pasyente sa paggawa ng desisyon.
Karapatan sa Pagkapribado at Pagkakumpidensyal: Ang mga pasyente ay may karapatan sa pagkapribado at pagiging kumpidensyal ng kanilang medikal na impormasyon. Ang mga tagapagbigay ng pangangalagang pangkalusugan ay legal na obligado na protektahan ang privacy ng mga pasyente, at ang pagbubunyag ng medikal na impormasyon ay dapat lamang mangyari sa mga awtorisadong indibidwal para sa mga layunin ng pangangalagang pangkalusugan.
Karapatan sa De-kalidad na Pangangalaga: Ang mga pasyente ay may karapatang tumanggap ng mga de-kalidad na serbisyo sa pangangalagang pangkalusugan batay sa mga tinatanggap na pamantayang medikal. Kabilang dito ang naaangkop na diagnosis, paggamot, at follow-up na pangangalaga.
Karapatan na Tanggihan ang Medikal na Paggamot: Ang mga pasyente ay may awtonomiya na gumawa ng mga desisyon tungkol sa kanilang pangangalagang pangkalusugan, kabilang ang karapatang tumanggi sa medikal na paggamot. Kahit na sa mga sitwasyong nagbabanta sa buhay, maaaring tanggihan ng mga pasyente ang mga paggamot na sumasalungat sa kanilang mga personal na paniniwala o halaga, bagama't may mga legal na limitasyon sa karapatang ito.
Karapatan na Magsampa ng Mga Reklamo: Ang mga pasyente ay may karapatang magsampa ng mga reklamo laban sa mga tagapagbigay ng pangangalagang pangkalusugan para sa hindi pamantayang pangangalaga o hindi etikal na paggawi. Maaari silang magsampa ng mga reklamo sa mga regulatory body, tulad ng Professional Regulation Commission (PRC), Department of Health (DOH), o mga propesyonal na asosasyon tulad ng Philippine Medical Association (PMA).
Legal na Recourse: Ang mga pasyente ay may karapatang humingi ng legal na tulong kung naniniwala sila na sila ay nasaktan dahil sa substandard na pangangalaga o medikal na kapabayaan. Maaari nilang ituloy ang paglilitis sa sibil upang humingi ng kabayaran para sa mga pinsala, kabilang ang mga medikal na gastos, nawalang sahod, at sakit at pagdurusa.</v>
      </c>
      <c r="F1723" s="2">
        <f t="shared" si="1"/>
        <v>0</v>
      </c>
      <c r="G1723" s="2"/>
      <c r="H1723" s="2"/>
      <c r="I1723" s="2"/>
      <c r="J1723" s="2"/>
      <c r="K1723" s="2"/>
      <c r="L1723" s="2"/>
      <c r="M1723" s="2"/>
      <c r="N1723" s="2"/>
      <c r="O1723" s="2"/>
      <c r="P1723" s="2"/>
      <c r="Q1723" s="2"/>
      <c r="R1723" s="2"/>
      <c r="S1723" s="2"/>
      <c r="T1723" s="2"/>
      <c r="U1723" s="2"/>
      <c r="V1723" s="2"/>
      <c r="W1723" s="2"/>
      <c r="X1723" s="2"/>
      <c r="Y1723" s="2"/>
      <c r="Z1723" s="2"/>
      <c r="AA1723" s="2"/>
    </row>
    <row r="1724">
      <c r="A1724" s="1" t="s">
        <v>4337</v>
      </c>
      <c r="B1724" s="1" t="s">
        <v>4428</v>
      </c>
      <c r="C1724" s="1" t="s">
        <v>4499</v>
      </c>
      <c r="D1724" s="2" t="str">
        <f>IFERROR(__xludf.DUMMYFUNCTION("GOOGLETRANSLATE(B1724, ""en"", ""TL"")"),"Anong mga batas ang namamahala sa mga karapatan ng mga pasyente na ma-access ang kanilang mga medikal na rekord at impormasyon?")</f>
        <v>Anong mga batas ang namamahala sa mga karapatan ng mga pasyente na ma-access ang kanilang mga medikal na rekord at impormasyon?</v>
      </c>
      <c r="E1724" s="2" t="str">
        <f>IFERROR(__xludf.DUMMYFUNCTION("GOOGLETRANSLATE(C1724, ""en"", ""TL"")"),"Sa Pilipinas, ang mga karapatan ng mga pasyente na ma-access ang kanilang mga medikal na rekord ay pinangangalagaan ng mga batas gaya ng Data Privacy Act of 2012 at Medical Act of 1959. Narito ang isang maikling pangkalahatang-ideya:
- **Data Privacy A"&amp;"ct of 2012:** Tinitiyak ng batas na ito ang pagiging kumpidensyal at pagkapribado ng mga medikal na rekord habang binibigyan ang mga pasyente ng karapatang ma-access ang kanilang impormasyon sa kalusugan.
- **Medical Act of 1959:** Ang batas na ito ay hi"&amp;"git pang sumusuporta sa mga karapatan ng mga pasyente na ma-access ang kanilang mga medikal na rekord.
Narito ang ilang praktikal na hakbang na dapat sundin kapag humihiling ng iyong mga medikal na rekord:
1. **Pormal na Kahilingan:** Magsumite ng n"&amp;"akasulat na kahilingan sa iyong healthcare provider para sa isang kopya ng iyong mga medikal na rekord.
2. **Alamin ang Iyong Mga Karapatan:** Unawain ang Data Privacy Act of 2012 at mga kaugnay na batas sa kalusugan upang mabisang igiit ang iyong mga ka"&amp;"rapatan.
3. **Privacy at Confidentiality:** Magkaroon ng kamalayan sa kung paano pinoprotektahan at pinangangasiwaan ang iyong medikal na data.
4. **Follow Up:** Sa kaso ng mga pagkaantala o pagtanggi, magtanong tungkol sa mga dahilan at magtrabaho patu"&amp;"ngo sa paglutas ng anumang mga isyu.
Ang pag-access sa iyong mga medikal na tala ay mahalaga para sa pamamahala ng iyong kalusugan at pagprotekta sa iyong mga legal na karapatan. Kung nahihirapan ka, ipinapayong humingi ng legal na tulong mula sa mga p"&amp;"ropesyonal na may kaalaman tungkol sa mga batas sa pangangalagang pangkalusugan sa Pilipinas.")</f>
        <v>Sa Pilipinas, ang mga karapatan ng mga pasyente na ma-access ang kanilang mga medikal na rekord ay pinangangalagaan ng mga batas gaya ng Data Privacy Act of 2012 at Medical Act of 1959. Narito ang isang maikling pangkalahatang-ideya:
- **Data Privacy Act of 2012:** Tinitiyak ng batas na ito ang pagiging kumpidensyal at pagkapribado ng mga medikal na rekord habang binibigyan ang mga pasyente ng karapatang ma-access ang kanilang impormasyon sa kalusugan.
- **Medical Act of 1959:** Ang batas na ito ay higit pang sumusuporta sa mga karapatan ng mga pasyente na ma-access ang kanilang mga medikal na rekord.
Narito ang ilang praktikal na hakbang na dapat sundin kapag humihiling ng iyong mga medikal na rekord:
1. **Pormal na Kahilingan:** Magsumite ng nakasulat na kahilingan sa iyong healthcare provider para sa isang kopya ng iyong mga medikal na rekord.
2. **Alamin ang Iyong Mga Karapatan:** Unawain ang Data Privacy Act of 2012 at mga kaugnay na batas sa kalusugan upang mabisang igiit ang iyong mga karapatan.
3. **Privacy at Confidentiality:** Magkaroon ng kamalayan sa kung paano pinoprotektahan at pinangangasiwaan ang iyong medikal na data.
4. **Follow Up:** Sa kaso ng mga pagkaantala o pagtanggi, magtanong tungkol sa mga dahilan at magtrabaho patungo sa paglutas ng anumang mga isyu.
Ang pag-access sa iyong mga medikal na tala ay mahalaga para sa pamamahala ng iyong kalusugan at pagprotekta sa iyong mga legal na karapatan. Kung nahihirapan ka, ipinapayong humingi ng legal na tulong mula sa mga propesyonal na may kaalaman tungkol sa mga batas sa pangangalagang pangkalusugan sa Pilipinas.</v>
      </c>
      <c r="F1724" s="2">
        <f t="shared" si="1"/>
        <v>0</v>
      </c>
      <c r="G1724" s="2"/>
      <c r="H1724" s="2"/>
      <c r="I1724" s="2"/>
      <c r="J1724" s="2"/>
      <c r="K1724" s="2"/>
      <c r="L1724" s="2"/>
      <c r="M1724" s="2"/>
      <c r="N1724" s="2"/>
      <c r="O1724" s="2"/>
      <c r="P1724" s="2"/>
      <c r="Q1724" s="2"/>
      <c r="R1724" s="2"/>
      <c r="S1724" s="2"/>
      <c r="T1724" s="2"/>
      <c r="U1724" s="2"/>
      <c r="V1724" s="2"/>
      <c r="W1724" s="2"/>
      <c r="X1724" s="2"/>
      <c r="Y1724" s="2"/>
      <c r="Z1724" s="2"/>
      <c r="AA1724" s="2"/>
    </row>
    <row r="1725">
      <c r="A1725" s="1" t="s">
        <v>4337</v>
      </c>
      <c r="B1725" s="1" t="s">
        <v>4362</v>
      </c>
      <c r="C1725" s="1" t="s">
        <v>4500</v>
      </c>
      <c r="D1725" s="2" t="str">
        <f>IFERROR(__xludf.DUMMYFUNCTION("GOOGLETRANSLATE(B1725, ""en"", ""TL"")"),"Sa ilalim ng anong mga kalagayan maaaring managot ng kriminal ang isang medikal na practitioner para sa kapabayaan o malpractice?")</f>
        <v>Sa ilalim ng anong mga kalagayan maaaring managot ng kriminal ang isang medikal na practitioner para sa kapabayaan o malpractice?</v>
      </c>
      <c r="E1725" s="2" t="str">
        <f>IFERROR(__xludf.DUMMYFUNCTION("GOOGLETRANSLATE(C1725, ""en"", ""TL"")"),"Sa Pilipinas, ang mga medikal na practitioner ay maaaring managot sa kriminal para sa kapabayaan o malpractice sa ilalim ng ilang mga pangyayari. Ang ilan sa mga pangunahing salik na maaaring humantong sa kriminal na pananagutan para sa medikal na kapabay"&amp;"aan o malpractice ay kinabibilangan ng:
Malaking Kapabayaan: Ang mga medikal na practitioner ay maaaring managot sa kriminal kung nagpapakita sila ng walang ingat na pagwawalang-bahala sa kaligtasan at kapakanan ng kanilang mga pasyente. Ito ay karaniwan"&amp;"g nagsasangkot ng pag-uugali na higit pa sa karaniwang kapabayaan at nagreresulta sa malubhang pinsala o kamatayan sa isang pasyente.
Paglabag sa Propesyonal na Pamantayan: Ang mga medikal na practitioner ay inaasahang susunod sa tinatanggap na mga medik"&amp;"al na pamantayan at mga alituntunin sa kanilang pagsasanay. Kung ang isang practitioner ay lumihis sa mga pamantayang ito at ang kanilang mga aksyon ay nagreresulta sa pinsala sa isang pasyente, sila ay maaaring managot sa kriminal para sa propesyonal na "&amp;"maling pag-uugali o kapabayaan.
Ilegal na Pag-uugali: Ang pagsali sa mga ilegal na aktibidad o pagsasagawa ng mga hindi awtorisadong pamamaraang medikal ay maaaring humantong sa pananagutan sa kriminal para sa mga medikal na practitioner. Kabilang dito a"&amp;"ng pagsasagawa ng medisina nang walang wastong lisensya, pagsasagawa ng mga ilegal na operasyon, o pagsali sa mga mapanlinlang na gawi sa pagsingil.
Kakulangan ng May Kaalaman na Pahintulot: Ang pagkabigong makakuha ng may-kaalamang pahintulot mula sa is"&amp;"ang pasyente bago magsagawa ng medikal na pamamaraan ay maaaring magresulta sa pananagutan ng kriminal. Ang may-alam na pahintulot ay isang pangunahing prinsipyo ng medikal na etika at batas, at ang mga tagapagbigay ng pangangalagang pangkalusugan ay kina"&amp;"kailangan na kumuha ng pahintulot mula sa mga pasyente bago simulan ang paggamot o operasyon.
Sinadyang Pananakit: Sa mga bihirang kaso, ang mga medikal na practitioner ay maaaring managot sa kriminal para sa sadyang pagdudulot ng pinsala sa isang pasyen"&amp;"te. Maaaring kabilang dito ang mga aksyon gaya ng pagbibigay ng hindi kailangan o mapaminsalang paggamot, palsipikasyon ng mga medikal na rekord, o pagsasagawa ng mapang-abusong pag-uugali sa mga pasyente.
Pagkabigong Mag-ulat: Ang mga medikal na practit"&amp;"ioner ay maaari ding humarap sa kriminal na pananagutan para sa hindi pag-uulat ng ilang partikular na insidente, tulad ng mga naabisuhan na sakit o masamang pangyayari, sa mga awtoridad sa kalusugan kaagad. Ang hindi pagsunod sa mga obligasyon sa pag-uul"&amp;"at ay maaaring humantong sa mga kasong kriminal.")</f>
        <v>Sa Pilipinas, ang mga medikal na practitioner ay maaaring managot sa kriminal para sa kapabayaan o malpractice sa ilalim ng ilang mga pangyayari. Ang ilan sa mga pangunahing salik na maaaring humantong sa kriminal na pananagutan para sa medikal na kapabayaan o malpractice ay kinabibilangan ng:
Malaking Kapabayaan: Ang mga medikal na practitioner ay maaaring managot sa kriminal kung nagpapakita sila ng walang ingat na pagwawalang-bahala sa kaligtasan at kapakanan ng kanilang mga pasyente. Ito ay karaniwang nagsasangkot ng pag-uugali na higit pa sa karaniwang kapabayaan at nagreresulta sa malubhang pinsala o kamatayan sa isang pasyente.
Paglabag sa Propesyonal na Pamantayan: Ang mga medikal na practitioner ay inaasahang susunod sa tinatanggap na mga medikal na pamantayan at mga alituntunin sa kanilang pagsasanay. Kung ang isang practitioner ay lumihis sa mga pamantayang ito at ang kanilang mga aksyon ay nagreresulta sa pinsala sa isang pasyente, sila ay maaaring managot sa kriminal para sa propesyonal na maling pag-uugali o kapabayaan.
Ilegal na Pag-uugali: Ang pagsali sa mga ilegal na aktibidad o pagsasagawa ng mga hindi awtorisadong pamamaraang medikal ay maaaring humantong sa pananagutan sa kriminal para sa mga medikal na practitioner. Kabilang dito ang pagsasagawa ng medisina nang walang wastong lisensya, pagsasagawa ng mga ilegal na operasyon, o pagsali sa mga mapanlinlang na gawi sa pagsingil.
Kakulangan ng May Kaalaman na Pahintulot: Ang pagkabigong makakuha ng may-kaalamang pahintulot mula sa isang pasyente bago magsagawa ng medikal na pamamaraan ay maaaring magresulta sa pananagutan ng kriminal. Ang may-alam na pahintulot ay isang pangunahing prinsipyo ng medikal na etika at batas, at ang mga tagapagbigay ng pangangalagang pangkalusugan ay kinakailangan na kumuha ng pahintulot mula sa mga pasyente bago simulan ang paggamot o operasyon.
Sinadyang Pananakit: Sa mga bihirang kaso, ang mga medikal na practitioner ay maaaring managot sa kriminal para sa sadyang pagdudulot ng pinsala sa isang pasyente. Maaaring kabilang dito ang mga aksyon gaya ng pagbibigay ng hindi kailangan o mapaminsalang paggamot, palsipikasyon ng mga medikal na rekord, o pagsasagawa ng mapang-abusong pag-uugali sa mga pasyente.
Pagkabigong Mag-ulat: Ang mga medikal na practitioner ay maaari ding humarap sa kriminal na pananagutan para sa hindi pag-uulat ng ilang partikular na insidente, tulad ng mga naabisuhan na sakit o masamang pangyayari, sa mga awtoridad sa kalusugan kaagad. Ang hindi pagsunod sa mga obligasyon sa pag-uulat ay maaaring humantong sa mga kasong kriminal.</v>
      </c>
      <c r="F1725" s="2">
        <f t="shared" si="1"/>
        <v>0</v>
      </c>
      <c r="G1725" s="2"/>
      <c r="H1725" s="2"/>
      <c r="I1725" s="2"/>
      <c r="J1725" s="2"/>
      <c r="K1725" s="2"/>
      <c r="L1725" s="2"/>
      <c r="M1725" s="2"/>
      <c r="N1725" s="2"/>
      <c r="O1725" s="2"/>
      <c r="P1725" s="2"/>
      <c r="Q1725" s="2"/>
      <c r="R1725" s="2"/>
      <c r="S1725" s="2"/>
      <c r="T1725" s="2"/>
      <c r="U1725" s="2"/>
      <c r="V1725" s="2"/>
      <c r="W1725" s="2"/>
      <c r="X1725" s="2"/>
      <c r="Y1725" s="2"/>
      <c r="Z1725" s="2"/>
      <c r="AA1725" s="2"/>
    </row>
    <row r="1726">
      <c r="A1726" s="1" t="s">
        <v>4337</v>
      </c>
      <c r="B1726" s="1" t="s">
        <v>4444</v>
      </c>
      <c r="C1726" s="1" t="s">
        <v>4501</v>
      </c>
      <c r="D1726" s="2" t="str">
        <f>IFERROR(__xludf.DUMMYFUNCTION("GOOGLETRANSLATE(B1726, ""en"", ""TL"")"),"Anong mga legal na obligasyon ang mayroon ang mga healthcare provider sa pagprotekta sa data at privacy ng pasyente?")</f>
        <v>Anong mga legal na obligasyon ang mayroon ang mga healthcare provider sa pagprotekta sa data at privacy ng pasyente?</v>
      </c>
      <c r="E1726" s="2" t="str">
        <f>IFERROR(__xludf.DUMMYFUNCTION("GOOGLETRANSLATE(C1726, ""en"", ""TL"")"),"Sa Pilipinas, ang mga medikal na practitioner ay maaaring managot sa kriminal para sa kapabayaan o malpractice sa ilalim ng ilang mga pangyayari. Ang ilan sa mga pangunahing salik na maaaring humantong sa kriminal na pananagutan para sa medikal na kapabay"&amp;"aan o malpractice ay kinabibilangan ng:
Malaking Kapabayaan: Kung ang isang medikal na practitioner ay nagpapakita ng walang ingat na pagwawalang-bahala sa kaligtasan at kapakanan ng kanilang mga pasyente, maaari silang managot sa kriminal para sa matind"&amp;"ing kapabayaan. Ito ay karaniwang nagsasangkot ng pag-uugali na higit pa sa karaniwang kapabayaan at nagreresulta sa malubhang pinsala o kamatayan sa isang pasyente.
Paglabag sa Propesyonal na Pamantayan: Ang mga medikal na practitioner ay inaasahang sus"&amp;"unod sa tinatanggap na mga medikal na pamantayan at mga alituntunin sa kanilang pagsasanay. Kung ang isang practitioner ay lumihis sa mga pamantayang ito at ang kanilang mga aksyon ay nagreresulta sa pinsala sa isang pasyente, sila ay maaaring managot sa "&amp;"kriminal para sa propesyonal na maling pag-uugali o kapabayaan.
Ilegal na Pag-uugali: Ang pagsali sa mga ilegal na aktibidad o pagsasagawa ng mga hindi awtorisadong pamamaraang medikal ay maaari ding humantong sa pananagutan sa kriminal para sa mga medik"&amp;"al na practitioner. Kabilang dito ang pagsasagawa ng medisina nang walang wastong lisensya, pagsasagawa ng mga ilegal na operasyon, o pagsali sa mga mapanlinlang na gawi sa pagsingil.
Kakulangan ng May Kaalaman na Pahintulot: Ang pagkabigong makakuha ng "&amp;"may-kaalamang pahintulot mula sa isang pasyente bago magsagawa ng medikal na pamamaraan ay maaaring magresulta sa pananagutan ng kriminal. Ang may-alam na pahintulot ay isang pangunahing prinsipyo ng medikal na etika at batas, at ang mga tagapagbigay ng p"&amp;"angangalagang pangkalusugan ay kinakailangan na kumuha ng pahintulot mula sa mga pasyente bago simulan ang paggamot o operasyon.
Sinadyang Pananakit: Sa mga bihirang kaso, ang mga medikal na practitioner ay maaaring managot sa kriminal para sa sadyang pa"&amp;"gdudulot ng pinsala sa isang pasyente. Maaaring kabilang dito ang mga aksyon gaya ng pagbibigay ng hindi kailangan o mapaminsalang paggamot, palsipikasyon ng mga medikal na rekord, o pagsasagawa ng mapang-abusong pag-uugali sa mga pasyente.
Pagkabigong M"&amp;"ag-ulat: Ang mga medikal na practitioner ay maaari ding humarap sa kriminal na pananagutan para sa hindi pag-uulat ng ilang partikular na insidente, tulad ng mga naabisuhan na sakit o masamang pangyayari, sa mga awtoridad sa kalusugan kaagad. Ang hindi pa"&amp;"gsunod sa mga obligasyon sa pag-uulat ay maaaring humantong sa mga kasong kriminal.")</f>
        <v>Sa Pilipinas, ang mga medikal na practitioner ay maaaring managot sa kriminal para sa kapabayaan o malpractice sa ilalim ng ilang mga pangyayari. Ang ilan sa mga pangunahing salik na maaaring humantong sa kriminal na pananagutan para sa medikal na kapabayaan o malpractice ay kinabibilangan ng:
Malaking Kapabayaan: Kung ang isang medikal na practitioner ay nagpapakita ng walang ingat na pagwawalang-bahala sa kaligtasan at kapakanan ng kanilang mga pasyente, maaari silang managot sa kriminal para sa matinding kapabayaan. Ito ay karaniwang nagsasangkot ng pag-uugali na higit pa sa karaniwang kapabayaan at nagreresulta sa malubhang pinsala o kamatayan sa isang pasyente.
Paglabag sa Propesyonal na Pamantayan: Ang mga medikal na practitioner ay inaasahang susunod sa tinatanggap na mga medikal na pamantayan at mga alituntunin sa kanilang pagsasanay. Kung ang isang practitioner ay lumihis sa mga pamantayang ito at ang kanilang mga aksyon ay nagreresulta sa pinsala sa isang pasyente, sila ay maaaring managot sa kriminal para sa propesyonal na maling pag-uugali o kapabayaan.
Ilegal na Pag-uugali: Ang pagsali sa mga ilegal na aktibidad o pagsasagawa ng mga hindi awtorisadong pamamaraang medikal ay maaari ding humantong sa pananagutan sa kriminal para sa mga medikal na practitioner. Kabilang dito ang pagsasagawa ng medisina nang walang wastong lisensya, pagsasagawa ng mga ilegal na operasyon, o pagsali sa mga mapanlinlang na gawi sa pagsingil.
Kakulangan ng May Kaalaman na Pahintulot: Ang pagkabigong makakuha ng may-kaalamang pahintulot mula sa isang pasyente bago magsagawa ng medikal na pamamaraan ay maaaring magresulta sa pananagutan ng kriminal. Ang may-alam na pahintulot ay isang pangunahing prinsipyo ng medikal na etika at batas, at ang mga tagapagbigay ng pangangalagang pangkalusugan ay kinakailangan na kumuha ng pahintulot mula sa mga pasyente bago simulan ang paggamot o operasyon.
Sinadyang Pananakit: Sa mga bihirang kaso, ang mga medikal na practitioner ay maaaring managot sa kriminal para sa sadyang pagdudulot ng pinsala sa isang pasyente. Maaaring kabilang dito ang mga aksyon gaya ng pagbibigay ng hindi kailangan o mapaminsalang paggamot, palsipikasyon ng mga medikal na rekord, o pagsasagawa ng mapang-abusong pag-uugali sa mga pasyente.
Pagkabigong Mag-ulat: Ang mga medikal na practitioner ay maaari ding humarap sa kriminal na pananagutan para sa hindi pag-uulat ng ilang partikular na insidente, tulad ng mga naabisuhan na sakit o masamang pangyayari, sa mga awtoridad sa kalusugan kaagad. Ang hindi pagsunod sa mga obligasyon sa pag-uulat ay maaaring humantong sa mga kasong kriminal.</v>
      </c>
      <c r="F1726" s="2">
        <f t="shared" si="1"/>
        <v>0</v>
      </c>
      <c r="G1726" s="2"/>
      <c r="H1726" s="2"/>
      <c r="I1726" s="2"/>
      <c r="J1726" s="2"/>
      <c r="K1726" s="2"/>
      <c r="L1726" s="2"/>
      <c r="M1726" s="2"/>
      <c r="N1726" s="2"/>
      <c r="O1726" s="2"/>
      <c r="P1726" s="2"/>
      <c r="Q1726" s="2"/>
      <c r="R1726" s="2"/>
      <c r="S1726" s="2"/>
      <c r="T1726" s="2"/>
      <c r="U1726" s="2"/>
      <c r="V1726" s="2"/>
      <c r="W1726" s="2"/>
      <c r="X1726" s="2"/>
      <c r="Y1726" s="2"/>
      <c r="Z1726" s="2"/>
      <c r="AA1726" s="2"/>
    </row>
    <row r="1727">
      <c r="A1727" s="1" t="s">
        <v>4337</v>
      </c>
      <c r="B1727" s="1" t="s">
        <v>4392</v>
      </c>
      <c r="C1727" s="1" t="s">
        <v>4502</v>
      </c>
      <c r="D1727" s="2" t="str">
        <f>IFERROR(__xludf.DUMMYFUNCTION("GOOGLETRANSLATE(B1727, ""en"", ""TL"")"),"Anong mga legal na probisyon ang tumutugon sa tungkulin at responsibilidad ng mga ekspertong medikal sa mga paglilitis sa korte?")</f>
        <v>Anong mga legal na probisyon ang tumutugon sa tungkulin at responsibilidad ng mga ekspertong medikal sa mga paglilitis sa korte?</v>
      </c>
      <c r="E1727" s="2" t="str">
        <f>IFERROR(__xludf.DUMMYFUNCTION("GOOGLETRANSLATE(C1727, ""en"", ""TL"")"),"Sa Pilipinas, ang tungkulin at responsibilidad ng mga ekspertong medikal sa paglilitis sa korte ay pinamamahalaan ng iba't ibang mga legal na probisyon at mga tuntunin sa pamamaraan. Ang ilan sa mga pangunahing legal na probisyon na tumutugon dito ay kina"&amp;"bibilangan ng:
Mga Panuntunan ng Hukuman: Ang Mga Panuntunan ng Hukuman ay namamahala sa mga pamamaraan at kasanayan sa mga hukuman sa Pilipinas, kabilang ang mga tuntuning nauugnay sa testimonya ng dalubhasa. Ang Rule 132, Seksyon 49 ay partikular na tu"&amp;"mutugon sa mga kwalipikasyon ng mga ekspertong saksi at ang pagiging matanggap ng kanilang testimonya. Ito ay nagsasaad na ang isang saksi ay maaaring maging kwalipikado bilang isang eksperto kung sila ay nagtataglay ng espesyal na kaalaman, kasanayan, ka"&amp;"ranasan, o pagsasanay sa isang partikular na larangan na nauugnay sa kaso.
Judicial Affidavit Rule: Ang Judicial Affidavit Rule, na ipinatupad noong 2012, ay kinokontrol ang paggamit ng mga affidavit bilang direktang testimonya ng mga testigo, kabilang a"&amp;"ng mga ekspertong saksi. Itinakda nito ang mga kinakailangan para sa pagsusumite ng mga judicial affidavit, kabilang ang mga inihanda ng mga medikal na eksperto. Nilalayon ng panuntunang ito na pabilisin ang mga paglilitis sa korte sa pamamagitan ng pagli"&amp;"limita sa pangangailangan para sa direktang pagsusuri at cross-examination ng mga testigo sa panahon ng paglilitis.
Kodigo Sibil ng Pilipinas: Ang Kodigo Sibil ay naglalaman ng mga probisyon na may kaugnayan sa mga opinyon ng eksperto sa mga kasong sibil"&amp;". Ang Artikulo 1957 ay nagpapahintulot sa korte na magtalaga ng isa o higit pang mga eksperto upang suriin ang paksa ng kontrobersya at magsumite ng isang ulat sa kanilang mga natuklasan. Maaari ding utusan ng korte ang mga partido na magsumite ng mga par"&amp;"tikular na katanungan sa mga eksperto para sa kanilang opinyon.
Batas Medikal ng 1959: Ang Batas Medikal ay kinokontrol ang pagsasagawa ng medisina sa Pilipinas at itinakda ang mga pamantayan ng propesyonal na pag-uugali para sa mga medikal na practition"&amp;"er. Bagama't hindi nito partikular na tinutugunan ang papel ng mga ekspertong medikal sa mga paglilitis sa korte, hindi direktang naiimpluwensyahan nito ang mga kwalipikasyon at etikal na responsibilidad ng mga ekspertong medikal na nagbibigay ng patotoo "&amp;"sa mga legal na kaso.
Mga Panuntunan ng Katibayan: Ang Mga Panuntunan ng Katibayan ay nagbibigay ng mga patnubay para sa pagtanggap at paglalahad ng ebidensya sa mga paglilitis sa korte, kabilang ang testimonya ng eksperto. Binabalangkas ng Rule 130, Sec"&amp;"tion 44 ang pangkalahatang tuntunin sa testimonya ng eksperto, na nagsasaad na ang opinyon ng isang ekspertong testigo ay karaniwang tinatanggap upang tulungan ang hukuman sa pag-unawa sa ebidensya o pagtukoy sa isang katotohanang pinag-uusapan.")</f>
        <v>Sa Pilipinas, ang tungkulin at responsibilidad ng mga ekspertong medikal sa paglilitis sa korte ay pinamamahalaan ng iba't ibang mga legal na probisyon at mga tuntunin sa pamamaraan. Ang ilan sa mga pangunahing legal na probisyon na tumutugon dito ay kinabibilangan ng:
Mga Panuntunan ng Hukuman: Ang Mga Panuntunan ng Hukuman ay namamahala sa mga pamamaraan at kasanayan sa mga hukuman sa Pilipinas, kabilang ang mga tuntuning nauugnay sa testimonya ng dalubhasa. Ang Rule 132, Seksyon 49 ay partikular na tumutugon sa mga kwalipikasyon ng mga ekspertong saksi at ang pagiging matanggap ng kanilang testimonya. Ito ay nagsasaad na ang isang saksi ay maaaring maging kwalipikado bilang isang eksperto kung sila ay nagtataglay ng espesyal na kaalaman, kasanayan, karanasan, o pagsasanay sa isang partikular na larangan na nauugnay sa kaso.
Judicial Affidavit Rule: Ang Judicial Affidavit Rule, na ipinatupad noong 2012, ay kinokontrol ang paggamit ng mga affidavit bilang direktang testimonya ng mga testigo, kabilang ang mga ekspertong saksi. Itinakda nito ang mga kinakailangan para sa pagsusumite ng mga judicial affidavit, kabilang ang mga inihanda ng mga medikal na eksperto. Nilalayon ng panuntunang ito na pabilisin ang mga paglilitis sa korte sa pamamagitan ng paglilimita sa pangangailangan para sa direktang pagsusuri at cross-examination ng mga testigo sa panahon ng paglilitis.
Kodigo Sibil ng Pilipinas: Ang Kodigo Sibil ay naglalaman ng mga probisyon na may kaugnayan sa mga opinyon ng eksperto sa mga kasong sibil. Ang Artikulo 1957 ay nagpapahintulot sa korte na magtalaga ng isa o higit pang mga eksperto upang suriin ang paksa ng kontrobersya at magsumite ng isang ulat sa kanilang mga natuklasan. Maaari ding utusan ng korte ang mga partido na magsumite ng mga partikular na katanungan sa mga eksperto para sa kanilang opinyon.
Batas Medikal ng 1959: Ang Batas Medikal ay kinokontrol ang pagsasagawa ng medisina sa Pilipinas at itinakda ang mga pamantayan ng propesyonal na pag-uugali para sa mga medikal na practitioner. Bagama't hindi nito partikular na tinutugunan ang papel ng mga ekspertong medikal sa mga paglilitis sa korte, hindi direktang naiimpluwensyahan nito ang mga kwalipikasyon at etikal na responsibilidad ng mga ekspertong medikal na nagbibigay ng patotoo sa mga legal na kaso.
Mga Panuntunan ng Katibayan: Ang Mga Panuntunan ng Katibayan ay nagbibigay ng mga patnubay para sa pagtanggap at paglalahad ng ebidensya sa mga paglilitis sa korte, kabilang ang testimonya ng eksperto. Binabalangkas ng Rule 130, Section 44 ang pangkalahatang tuntunin sa testimonya ng eksperto, na nagsasaad na ang opinyon ng isang ekspertong testigo ay karaniwang tinatanggap upang tulungan ang hukuman sa pag-unawa sa ebidensya o pagtukoy sa isang katotohanang pinag-uusapan.</v>
      </c>
      <c r="F1727" s="2">
        <f t="shared" si="1"/>
        <v>0</v>
      </c>
      <c r="G1727" s="2"/>
      <c r="H1727" s="2"/>
      <c r="I1727" s="2"/>
      <c r="J1727" s="2"/>
      <c r="K1727" s="2"/>
      <c r="L1727" s="2"/>
      <c r="M1727" s="2"/>
      <c r="N1727" s="2"/>
      <c r="O1727" s="2"/>
      <c r="P1727" s="2"/>
      <c r="Q1727" s="2"/>
      <c r="R1727" s="2"/>
      <c r="S1727" s="2"/>
      <c r="T1727" s="2"/>
      <c r="U1727" s="2"/>
      <c r="V1727" s="2"/>
      <c r="W1727" s="2"/>
      <c r="X1727" s="2"/>
      <c r="Y1727" s="2"/>
      <c r="Z1727" s="2"/>
      <c r="AA1727" s="2"/>
    </row>
    <row r="1728">
      <c r="A1728" s="1" t="s">
        <v>4337</v>
      </c>
      <c r="B1728" s="1" t="s">
        <v>4503</v>
      </c>
      <c r="C1728" s="1" t="s">
        <v>4504</v>
      </c>
      <c r="D1728" s="2" t="str">
        <f>IFERROR(__xludf.DUMMYFUNCTION("GOOGLETRANSLATE(B1728, ""en"", ""TL"")"),"Ano ang iba't ibang uri ng medikal na propesyonal na kinikilala ng batas ng Pilipinas?")</f>
        <v>Ano ang iba't ibang uri ng medikal na propesyonal na kinikilala ng batas ng Pilipinas?</v>
      </c>
      <c r="E1728" s="2" t="str">
        <f>IFERROR(__xludf.DUMMYFUNCTION("GOOGLETRANSLATE(C1728, ""en"", ""TL"")"),"Sa Pilipinas, kinikilala ang iba't ibang kategorya ng mga medikal na propesyonal, bawat isa ay may natatanging mga tungkulin at responsibilidad na pinamamahalaan ng mga partikular na batas at regulasyon:
1. Mga Lisensyadong Manggagamot:
- Doctors of Medic"&amp;"ine (MD): Mga may hawak ng Doctor of Medicine degree na nakapasa sa Philippine Physician Licensure Examination. Maaari silang mag-isa na magsanay ng medisina sa magkakaibang mga setting tulad ng mga ospital, klinika, at pribadong mga kasanayan.
- Mga Espe"&amp;"syalista: Mga manggagamot na nakatapos ng pagsasanay sa paninirahan sa isang partikular na espesyalidad at nakakuha ng sertipikasyon ng board mula sa mga specialty board tulad ng Philippine Board of Surgery o Philippine Board of Pediatrics, na nagpapahint"&amp;"ulot sa kanila na magsanay sa loob ng kanilang espesyal na lugar.
2. Allied Medical Professionals:
- Mga Nars: Ang mga Registered Nurses (RN) at Registered Midwives (RM) ay nagbibigay ng mahahalagang pangangalaga sa tabi ng kama, edukasyon sa pasyente, at"&amp;" suporta sa mga doktor. Dapat silang magtapos mula sa mga akreditadong programa sa nursing at pumasa sa board examination.
- Iba pang Allied Professionals: Kasama sa kategoryang ito ang mga parmasyutiko, dentista, physical therapist, occupational therapis"&amp;"t, at medical technologist, bawat isa ay napapailalim sa mga partikular na kinakailangan sa lisensya na itinakda ng kani-kanilang mga regulatory body.
3. Mga Complementary and Alternative Medicine (CAM) Practitioner:
- Bagama't hindi mainstream, ang ilang"&amp;" CAM practitioner ay kinikilala sa ilalim ng mga partikular na batas:
- Traditional and Alternative Medicine Act (RA 8423): Kinokontrol ang pagsasagawa ng tradisyonal at alternatibong gamot (TAM), na nangangailangan ng mga practitioner na magparehistro sa"&amp;" Philippine Institute of Traditional and Alternative Health Care (PITAHC).
- Barbero Act (RA 10248): Kinikilala ang pagsasagawa ng barbering at cosmetology, na sumasaklaw sa mga diskarte tulad ng pag-aayos ng buhok, pag-ahit, at pangunahing pangangalaga s"&amp;"a balat.")</f>
        <v>Sa Pilipinas, kinikilala ang iba't ibang kategorya ng mga medikal na propesyonal, bawat isa ay may natatanging mga tungkulin at responsibilidad na pinamamahalaan ng mga partikular na batas at regulasyon:
1. Mga Lisensyadong Manggagamot:
- Doctors of Medicine (MD): Mga may hawak ng Doctor of Medicine degree na nakapasa sa Philippine Physician Licensure Examination. Maaari silang mag-isa na magsanay ng medisina sa magkakaibang mga setting tulad ng mga ospital, klinika, at pribadong mga kasanayan.
- Mga Espesyalista: Mga manggagamot na nakatapos ng pagsasanay sa paninirahan sa isang partikular na espesyalidad at nakakuha ng sertipikasyon ng board mula sa mga specialty board tulad ng Philippine Board of Surgery o Philippine Board of Pediatrics, na nagpapahintulot sa kanila na magsanay sa loob ng kanilang espesyal na lugar.
2. Allied Medical Professionals:
- Mga Nars: Ang mga Registered Nurses (RN) at Registered Midwives (RM) ay nagbibigay ng mahahalagang pangangalaga sa tabi ng kama, edukasyon sa pasyente, at suporta sa mga doktor. Dapat silang magtapos mula sa mga akreditadong programa sa nursing at pumasa sa board examination.
- Iba pang Allied Professionals: Kasama sa kategoryang ito ang mga parmasyutiko, dentista, physical therapist, occupational therapist, at medical technologist, bawat isa ay napapailalim sa mga partikular na kinakailangan sa lisensya na itinakda ng kani-kanilang mga regulatory body.
3. Mga Complementary and Alternative Medicine (CAM) Practitioner:
- Bagama't hindi mainstream, ang ilang CAM practitioner ay kinikilala sa ilalim ng mga partikular na batas:
- Traditional and Alternative Medicine Act (RA 8423): Kinokontrol ang pagsasagawa ng tradisyonal at alternatibong gamot (TAM), na nangangailangan ng mga practitioner na magparehistro sa Philippine Institute of Traditional and Alternative Health Care (PITAHC).
- Barbero Act (RA 10248): Kinikilala ang pagsasagawa ng barbering at cosmetology, na sumasaklaw sa mga diskarte tulad ng pag-aayos ng buhok, pag-ahit, at pangunahing pangangalaga sa balat.</v>
      </c>
      <c r="F1728" s="2">
        <f t="shared" si="1"/>
        <v>0</v>
      </c>
      <c r="G1728" s="2"/>
      <c r="H1728" s="2"/>
      <c r="I1728" s="2"/>
      <c r="J1728" s="2"/>
      <c r="K1728" s="2"/>
      <c r="L1728" s="2"/>
      <c r="M1728" s="2"/>
      <c r="N1728" s="2"/>
      <c r="O1728" s="2"/>
      <c r="P1728" s="2"/>
      <c r="Q1728" s="2"/>
      <c r="R1728" s="2"/>
      <c r="S1728" s="2"/>
      <c r="T1728" s="2"/>
      <c r="U1728" s="2"/>
      <c r="V1728" s="2"/>
      <c r="W1728" s="2"/>
      <c r="X1728" s="2"/>
      <c r="Y1728" s="2"/>
      <c r="Z1728" s="2"/>
      <c r="AA1728" s="2"/>
    </row>
    <row r="1729">
      <c r="A1729" s="1" t="s">
        <v>4337</v>
      </c>
      <c r="B1729" s="1" t="s">
        <v>4505</v>
      </c>
      <c r="C1729" s="1" t="s">
        <v>4506</v>
      </c>
      <c r="D1729" s="2" t="str">
        <f>IFERROR(__xludf.DUMMYFUNCTION("GOOGLETRANSLATE(B1729, ""en"", ""TL"")"),"Ano ang mga pangunahing prinsipyo ng awtonomiya ng pasyente sa ilalim ng batas medikal ng Pilipinas?")</f>
        <v>Ano ang mga pangunahing prinsipyo ng awtonomiya ng pasyente sa ilalim ng batas medikal ng Pilipinas?</v>
      </c>
      <c r="E1729" s="2" t="str">
        <f>IFERROR(__xludf.DUMMYFUNCTION("GOOGLETRANSLATE(C1729, ""en"", ""TL"")"),"Ang paggalang sa awtonomiya ng pasyente, ang karapatan para sa mga indibidwal na magpasya sa kanilang pangangalagang pangkalusugan, ay isang pangunahing prinsipyo sa batas medikal ng Pilipinas. Narito ang mga pangunahing aspeto nito:
1. Pagbibigay-diin sa"&amp;" awtonomiya ng pasyente:
- Ang Philippine Medical Association's Code of Ethics ay binibigyang-diin ang tungkulin ng doktor na igalang ang awtonomiya ng pasyente sa pamamagitan ng paghingi ng kanilang kaalamang pahintulot bago ang anumang pamamaraang medik"&amp;"al.
- Ang may-alam na pahintulot ay mahalaga, na nangangailangan ng:
- Sapat na pagbibigay ng impormasyon: Ang mga tagapagbigay ng pangangalagang pangkalusugan ay dapat mag-alok ng mga komprehensibong detalye tungkol sa kondisyon ng kalusugan ng pasyente,"&amp;" mga opsyon sa paggamot, mga panganib, benepisyo, at mga alternatibo sa isang nauunawaang paraan.
- Pagsusuri ng kapasidad: Ang mga pasyente ay dapat magkaroon ng kakayahan sa pag-iisip upang maunawaan at magpasya sa kanilang pangangalagang pangkalusugan."&amp;" Kung hindi, dapat na kasangkot ang isang legal na awtorisadong kinatawan.
- Kusang-loob na paggawa ng desisyon: Ang pahintulot ay dapat malayang ibigay nang walang pamimilit o pamimilit.
2. Mga pagbubukod sa may-kaalamang pahintulot:
- Ang ilang partikul"&amp;"ar na pangyayari ay maaaring maggarantiya ng paglihis mula sa kaalamang pahintulot, na ginagabayan ng mga partikular na legal at etikal na prinsipyo:
- Mga Emergency: Ang agarang paggamot ay pinahihintulutan kapag ang isang pasyente ay walang malay o wala"&amp;"ng kakayahang magdesisyon dahil sa isang emergency na nagbabanta sa kanilang buhay o kapakanan.
- Waiver: Bihirang-bihira, ang isang pasyente ay maaaring hayagang talikdan ang kanilang karapatan na ganap na malaman ang tungkol sa ilang aspeto ng kanilang "&amp;"paggamot.
- Legal na awtorisadong representasyon: Kung ang isang pasyente ay walang kapasidad sa paggawa ng desisyon, ang kanilang awtorisadong kinatawan, tulad ng isang magulang o tagapag-alaga na hinirang ng hukuman, ay maaaring pumayag sa kanilang ngal"&amp;"an.
3. Pagbalanse ng awtonomiya ng pasyente sa iba pang alalahanin:
- Habang itinataguyod ang awtonomiya ng pasyente, ang mga tagapagbigay ng pangangalagang pangkalusugan ay dapat ding:
- Pangalagaan ang kalusugan ng publiko: Maaaring kailanganin nito ang"&amp;" mandatoryong pag-uulat ng mga nakakahawang sakit o pagsasagawa ng mga hakbang sa pag-iwas sa kabila ng pagtutol ng pasyente.
- Protektahan ang mga mahihinang indibidwal: Sa mga kaso ng pang-aabuso sa bata, maaaring may legal na tungkulin ang mga tagapagb"&amp;"igay ng pangangalagang pangkalusugan na mag-ulat, kahit na tumutol ang pasyente.
Sa kabuuan, binibigyang-diin ng batas medikal ng Pilipinas ang kahalagahan ng paggalang sa awtonomiya ng pasyente habang isinasaalang-alang ang mas malawak na interes ng pamp"&amp;"ublikong kalusugan at pag-iingat sa mga mahihinang populasyon. Ang pag-unawa sa mga prinsipyong ito ay mahalaga para sa parehong mga tagapagbigay ng pangangalagang pangkalusugan at mga pasyente sa pag-navigate sa paggawa ng medikal na desisyon.")</f>
        <v>Ang paggalang sa awtonomiya ng pasyente, ang karapatan para sa mga indibidwal na magpasya sa kanilang pangangalagang pangkalusugan, ay isang pangunahing prinsipyo sa batas medikal ng Pilipinas. Narito ang mga pangunahing aspeto nito:
1. Pagbibigay-diin sa awtonomiya ng pasyente:
- Ang Philippine Medical Association's Code of Ethics ay binibigyang-diin ang tungkulin ng doktor na igalang ang awtonomiya ng pasyente sa pamamagitan ng paghingi ng kanilang kaalamang pahintulot bago ang anumang pamamaraang medikal.
- Ang may-alam na pahintulot ay mahalaga, na nangangailangan ng:
- Sapat na pagbibigay ng impormasyon: Ang mga tagapagbigay ng pangangalagang pangkalusugan ay dapat mag-alok ng mga komprehensibong detalye tungkol sa kondisyon ng kalusugan ng pasyente, mga opsyon sa paggamot, mga panganib, benepisyo, at mga alternatibo sa isang nauunawaang paraan.
- Pagsusuri ng kapasidad: Ang mga pasyente ay dapat magkaroon ng kakayahan sa pag-iisip upang maunawaan at magpasya sa kanilang pangangalagang pangkalusugan. Kung hindi, dapat na kasangkot ang isang legal na awtorisadong kinatawan.
- Kusang-loob na paggawa ng desisyon: Ang pahintulot ay dapat malayang ibigay nang walang pamimilit o pamimilit.
2. Mga pagbubukod sa may-kaalamang pahintulot:
- Ang ilang partikular na pangyayari ay maaaring maggarantiya ng paglihis mula sa kaalamang pahintulot, na ginagabayan ng mga partikular na legal at etikal na prinsipyo:
- Mga Emergency: Ang agarang paggamot ay pinahihintulutan kapag ang isang pasyente ay walang malay o walang kakayahang magdesisyon dahil sa isang emergency na nagbabanta sa kanilang buhay o kapakanan.
- Waiver: Bihirang-bihira, ang isang pasyente ay maaaring hayagang talikdan ang kanilang karapatan na ganap na malaman ang tungkol sa ilang aspeto ng kanilang paggamot.
- Legal na awtorisadong representasyon: Kung ang isang pasyente ay walang kapasidad sa paggawa ng desisyon, ang kanilang awtorisadong kinatawan, tulad ng isang magulang o tagapag-alaga na hinirang ng hukuman, ay maaaring pumayag sa kanilang ngalan.
3. Pagbalanse ng awtonomiya ng pasyente sa iba pang alalahanin:
- Habang itinataguyod ang awtonomiya ng pasyente, ang mga tagapagbigay ng pangangalagang pangkalusugan ay dapat ding:
- Pangalagaan ang kalusugan ng publiko: Maaaring kailanganin nito ang mandatoryong pag-uulat ng mga nakakahawang sakit o pagsasagawa ng mga hakbang sa pag-iwas sa kabila ng pagtutol ng pasyente.
- Protektahan ang mga mahihinang indibidwal: Sa mga kaso ng pang-aabuso sa bata, maaaring may legal na tungkulin ang mga tagapagbigay ng pangangalagang pangkalusugan na mag-ulat, kahit na tumutol ang pasyente.
Sa kabuuan, binibigyang-diin ng batas medikal ng Pilipinas ang kahalagahan ng paggalang sa awtonomiya ng pasyente habang isinasaalang-alang ang mas malawak na interes ng pampublikong kalusugan at pag-iingat sa mga mahihinang populasyon. Ang pag-unawa sa mga prinsipyong ito ay mahalaga para sa parehong mga tagapagbigay ng pangangalagang pangkalusugan at mga pasyente sa pag-navigate sa paggawa ng medikal na desisyon.</v>
      </c>
      <c r="F1729" s="2">
        <f t="shared" si="1"/>
        <v>0</v>
      </c>
      <c r="G1729" s="2"/>
      <c r="H1729" s="2"/>
      <c r="I1729" s="2"/>
      <c r="J1729" s="2"/>
      <c r="K1729" s="2"/>
      <c r="L1729" s="2"/>
      <c r="M1729" s="2"/>
      <c r="N1729" s="2"/>
      <c r="O1729" s="2"/>
      <c r="P1729" s="2"/>
      <c r="Q1729" s="2"/>
      <c r="R1729" s="2"/>
      <c r="S1729" s="2"/>
      <c r="T1729" s="2"/>
      <c r="U1729" s="2"/>
      <c r="V1729" s="2"/>
      <c r="W1729" s="2"/>
      <c r="X1729" s="2"/>
      <c r="Y1729" s="2"/>
      <c r="Z1729" s="2"/>
      <c r="AA1729" s="2"/>
    </row>
    <row r="1730">
      <c r="A1730" s="1" t="s">
        <v>4337</v>
      </c>
      <c r="B1730" s="1" t="s">
        <v>4507</v>
      </c>
      <c r="C1730" s="1" t="s">
        <v>4508</v>
      </c>
      <c r="D1730" s="2" t="str">
        <f>IFERROR(__xludf.DUMMYFUNCTION("GOOGLETRANSLATE(B1730, ""en"", ""TL"")"),"Kailan maaaring lumihis ang isang tagapagbigay ng pangangalagang pangkalusugan mula sa kaalamang pahintulot?")</f>
        <v>Kailan maaaring lumihis ang isang tagapagbigay ng pangangalagang pangkalusugan mula sa kaalamang pahintulot?</v>
      </c>
      <c r="E1730" s="2" t="str">
        <f>IFERROR(__xludf.DUMMYFUNCTION("GOOGLETRANSLATE(C1730, ""en"", ""TL"")"),"Sa Pilipinas, ang mga tagapagbigay ng pangangalagang pangkalusugan ay inaatasan ng mga etikal at legal na prinsipyo na sumunod sa mga alituntunin ng may-kaalamang pahintulot. Narito ang isang pangkalahatang-ideya:
Voluntary Informed Consent:
- Dapat kumuh"&amp;"a ang mga doktor ng boluntaryong pahintulot mula sa mga pasyente bago magsagawa ng anumang medikal na pamamaraan o paggamot.
- Sa mga sitwasyon kung saan ang pasyente ay walang kakayahan, ang pahintulot ay maaaring ibigay ng isang asawa, mga malapit na ka"&amp;"mag-anak, o isang partido na pinahintulutan ng advanced na direktiba ng pasyente.
Mga Emergency na Sitwasyon:
- Sa mga emerhensiya kung saan ang pagkuha ng may-kaalamang pahintulot ay hindi praktikal, ang mga tagapagbigay ng pangangalagang pangkalusugan a"&amp;"y maaaring magpatuloy sa mga interbensyon na nagliligtas-buhay kung ang buhay ng pasyente ay nasa agarang panganib at malapit na kamag-anak ay hindi magagamit.
Mga Karapatan ng Pasyente:
- Ang mga pasyente ay may ilang partikular na karapatan, kabilang an"&amp;"g:
- Pag-access sa mga serbisyo ng pangangalagang pangkalusugan nang walang diskriminasyon.
- Buong pagsisiwalat ng medikal na impormasyon, mga opsyon sa paggamot, at mga nauugnay na panganib.
- Pagkapribado at pagiging kompidensyal ng kanilang mga medika"&amp;"l na rekord.
- Pagtanggap ng mga de-kalidad na serbisyo sa pangangalagang pangkalusugan na sumusunod sa itinatag na mga medikal na pamantayan.
Kahalagahan ng May Kaalaman na Pahintulot:
- Ang may-alam na pahintulot ay hindi lamang isang legal na obligasyo"&amp;"n kundi isang etikal na kinakailangan para sa mga propesyonal sa pangangalagang pangkalusugan.
- Ang pagkabigong makakuha ng may-kaalamang pahintulot ay maaaring humantong sa mga legal na epekto at mga paglabag sa etika, na nakakasira sa awtonomiya at dig"&amp;"nidad ng pasyente.
Dapat itaguyod ng mga tagapagbigay ng pangangalagang pangkalusugan ang mga karapatan at responsibilidad na ito upang matiyak ang paghahatid ng ligtas at magalang na mga serbisyo sa pangangalagang pangkalusugan.")</f>
        <v>Sa Pilipinas, ang mga tagapagbigay ng pangangalagang pangkalusugan ay inaatasan ng mga etikal at legal na prinsipyo na sumunod sa mga alituntunin ng may-kaalamang pahintulot. Narito ang isang pangkalahatang-ideya:
Voluntary Informed Consent:
- Dapat kumuha ang mga doktor ng boluntaryong pahintulot mula sa mga pasyente bago magsagawa ng anumang medikal na pamamaraan o paggamot.
- Sa mga sitwasyon kung saan ang pasyente ay walang kakayahan, ang pahintulot ay maaaring ibigay ng isang asawa, mga malapit na kamag-anak, o isang partido na pinahintulutan ng advanced na direktiba ng pasyente.
Mga Emergency na Sitwasyon:
- Sa mga emerhensiya kung saan ang pagkuha ng may-kaalamang pahintulot ay hindi praktikal, ang mga tagapagbigay ng pangangalagang pangkalusugan ay maaaring magpatuloy sa mga interbensyon na nagliligtas-buhay kung ang buhay ng pasyente ay nasa agarang panganib at malapit na kamag-anak ay hindi magagamit.
Mga Karapatan ng Pasyente:
- Ang mga pasyente ay may ilang partikular na karapatan, kabilang ang:
- Pag-access sa mga serbisyo ng pangangalagang pangkalusugan nang walang diskriminasyon.
- Buong pagsisiwalat ng medikal na impormasyon, mga opsyon sa paggamot, at mga nauugnay na panganib.
- Pagkapribado at pagiging kompidensyal ng kanilang mga medikal na rekord.
- Pagtanggap ng mga de-kalidad na serbisyo sa pangangalagang pangkalusugan na sumusunod sa itinatag na mga medikal na pamantayan.
Kahalagahan ng May Kaalaman na Pahintulot:
- Ang may-alam na pahintulot ay hindi lamang isang legal na obligasyon kundi isang etikal na kinakailangan para sa mga propesyonal sa pangangalagang pangkalusugan.
- Ang pagkabigong makakuha ng may-kaalamang pahintulot ay maaaring humantong sa mga legal na epekto at mga paglabag sa etika, na nakakasira sa awtonomiya at dignidad ng pasyente.
Dapat itaguyod ng mga tagapagbigay ng pangangalagang pangkalusugan ang mga karapatan at responsibilidad na ito upang matiyak ang paghahatid ng ligtas at magalang na mga serbisyo sa pangangalagang pangkalusugan.</v>
      </c>
      <c r="F1730" s="2">
        <f t="shared" si="1"/>
        <v>0</v>
      </c>
      <c r="G1730" s="2"/>
      <c r="H1730" s="2"/>
      <c r="I1730" s="2"/>
      <c r="J1730" s="2"/>
      <c r="K1730" s="2"/>
      <c r="L1730" s="2"/>
      <c r="M1730" s="2"/>
      <c r="N1730" s="2"/>
      <c r="O1730" s="2"/>
      <c r="P1730" s="2"/>
      <c r="Q1730" s="2"/>
      <c r="R1730" s="2"/>
      <c r="S1730" s="2"/>
      <c r="T1730" s="2"/>
      <c r="U1730" s="2"/>
      <c r="V1730" s="2"/>
      <c r="W1730" s="2"/>
      <c r="X1730" s="2"/>
      <c r="Y1730" s="2"/>
      <c r="Z1730" s="2"/>
      <c r="AA1730" s="2"/>
    </row>
    <row r="1731">
      <c r="A1731" s="1" t="s">
        <v>4337</v>
      </c>
      <c r="B1731" s="1" t="s">
        <v>4509</v>
      </c>
      <c r="C1731" s="1" t="s">
        <v>4450</v>
      </c>
      <c r="D1731" s="2" t="str">
        <f>IFERROR(__xludf.DUMMYFUNCTION("GOOGLETRANSLATE(B1731, ""en"", ""TL"")"),"Ano ang mga legal na kahihinatnan ng medikal na malpractice sa Pilipinas?")</f>
        <v>Ano ang mga legal na kahihinatnan ng medikal na malpractice sa Pilipinas?</v>
      </c>
      <c r="E1731" s="2" t="str">
        <f>IFERROR(__xludf.DUMMYFUNCTION("GOOGLETRANSLATE(C1731, ""en"", ""TL"")"),"Para sa isang matagumpay na paghahabol sa ilalim ng batas ng Pilipinas, apat na bahagi ang dapat mapatunayan: tungkulin, paglabag, pinsala, at sanhi. Kasama sa legal na balangkas ang pananagutan ng sibil (mga pinsala) at, sa matitinding sitwasyon, pananag"&amp;"utan sa kriminal. Ang mga kasong ito ay maaaring magresulta sa iba't ibang resulta, kabilang ang kabayaran para sa biktima at propesyonal na parusa laban sa tagapagbigay ng pangangalagang pangkalusugan.")</f>
        <v>Para sa isang matagumpay na paghahabol sa ilalim ng batas ng Pilipinas, apat na bahagi ang dapat mapatunayan: tungkulin, paglabag, pinsala, at sanhi. Kasama sa legal na balangkas ang pananagutan ng sibil (mga pinsala) at, sa matitinding sitwasyon, pananagutan sa kriminal. Ang mga kasong ito ay maaaring magresulta sa iba't ibang resulta, kabilang ang kabayaran para sa biktima at propesyonal na parusa laban sa tagapagbigay ng pangangalagang pangkalusugan.</v>
      </c>
      <c r="F1731" s="2">
        <f t="shared" si="1"/>
        <v>0</v>
      </c>
      <c r="G1731" s="2"/>
      <c r="H1731" s="2"/>
      <c r="I1731" s="2"/>
      <c r="J1731" s="2"/>
      <c r="K1731" s="2"/>
      <c r="L1731" s="2"/>
      <c r="M1731" s="2"/>
      <c r="N1731" s="2"/>
      <c r="O1731" s="2"/>
      <c r="P1731" s="2"/>
      <c r="Q1731" s="2"/>
      <c r="R1731" s="2"/>
      <c r="S1731" s="2"/>
      <c r="T1731" s="2"/>
      <c r="U1731" s="2"/>
      <c r="V1731" s="2"/>
      <c r="W1731" s="2"/>
      <c r="X1731" s="2"/>
      <c r="Y1731" s="2"/>
      <c r="Z1731" s="2"/>
      <c r="AA1731" s="2"/>
    </row>
    <row r="1732">
      <c r="A1732" s="1" t="s">
        <v>4337</v>
      </c>
      <c r="B1732" s="1" t="s">
        <v>4510</v>
      </c>
      <c r="C1732" s="1" t="s">
        <v>4511</v>
      </c>
      <c r="D1732" s="2" t="str">
        <f>IFERROR(__xludf.DUMMYFUNCTION("GOOGLETRANSLATE(B1732, ""en"", ""TL"")"),"Paano isinama ang etikang medikal sa legal na balangkas ng Pilipinas para sa pangangalagang pangkalusugan?")</f>
        <v>Paano isinama ang etikang medikal sa legal na balangkas ng Pilipinas para sa pangangalagang pangkalusugan?</v>
      </c>
      <c r="E1732" s="2" t="str">
        <f>IFERROR(__xludf.DUMMYFUNCTION("GOOGLETRANSLATE(C1732, ""en"", ""TL"")"),"Legal na Pangkalahatang-ideya: Ang medikal na etika ay pinamamahalaan ng batas ng Pilipinas, na kinabibilangan ng mga hakbang tulad ng Medical Act of 1959 at Patients' Rights and Obligations Act. Sinasaklaw nito ang mga prinsipyo para sa kaalamang pahintu"&amp;"lot, pagiging kumpidensyal, at karapatan sa etikal na pangangalagang medikal. Sa Pilipinas, ang etikang medikal ay malalim na isinama sa legal na balangkas na namamahala sa pangangalagang pangkalusugan. Narito ang isang pangkalahatang-ideya:
1. Ang Med"&amp;"ical Act of 1959 (Republic Act No. 2382): Ang batas na ito ay nagtatakda ng mga pamantayan at regulasyon para sa medikal na kasanayan sa bansa. Binabalangkas nito ang mga obligasyong etikal na inaasahan ng mga manggagamot, na nagiging batayan ng etikang m"&amp;"edikal sa Pilipinas.
2. Professional Regulatory Boards (PRBs): Sa ilalim ng PRC Modernization Act of 2000 (Republic Act No. 8981), ang PRBs ay may tungkuling mangasiwa at mag-regulate ng iba't ibang propesyon, kabilang ang medisina. Gumaganap sila ng m"&amp;"ahalagang papel sa pagtataguyod ng mga pamantayang etikal, pagsisiyasat ng mga paglabag, at pagtiyak ng pagsunod sa Kodigo ng Etika ng propesyon.
3. Philippine Medical Association (PMA): Bilang Akreditadong Propesyonal na Organisasyon para sa mga mangg"&amp;"agamot, ang PMA ay nagtatatag ng Kodigo ng Etika para sa Propesyon ng Medikal. Inilalarawan ng code na ito ang mga prinsipyong etikal na namamahala sa pag-uugali ng mga manggagamot sa iba't ibang aspeto ng kanilang pagsasanay, kabilang ang mga pakikipag-u"&amp;"gnayan sa mga pasyente, kasamahan, at sistema ng pangangalagang pangkalusugan.
4. Batas sa Mga Karapatan at Obligasyon ng Pasyente: Bagama't hindi tahasang binanggit sa mga ibinigay na mapagkukunan, binibigyang-diin ng batas na ito ang mga karapatan ng"&amp;" pasyente, kabilang ang may-kaalamang pahintulot, pagiging kumpidensyal, at karapatang tumanggap ng etikal na medikal na paggamot. Kinukumpleto nito ang legal na balangkas sa pamamagitan ng pagbibigay-diin sa kahalagahan ng mga etikal na pagsasaalang-alan"&amp;"g sa paghahatid ng pangangalagang pangkalusugan.
Sa esensya, ang batas ng Pilipinas, sa pamamagitan ng iba't ibang mga batas at regulasyon, ay nagbibigay ng matibay na ligal na pundasyon para sa medikal na etika. Tinitiyak ng mga regulasyong ito na iti"&amp;"nataguyod ng mga propesyonal sa pangangalagang pangkalusugan ang mga pamantayang etikal, inuuna ang kapakanan ng pasyente, at pinapanatili ang integridad ng medikal na propesyon.")</f>
        <v>Legal na Pangkalahatang-ideya: Ang medikal na etika ay pinamamahalaan ng batas ng Pilipinas, na kinabibilangan ng mga hakbang tulad ng Medical Act of 1959 at Patients' Rights and Obligations Act. Sinasaklaw nito ang mga prinsipyo para sa kaalamang pahintulot, pagiging kumpidensyal, at karapatan sa etikal na pangangalagang medikal. Sa Pilipinas, ang etikang medikal ay malalim na isinama sa legal na balangkas na namamahala sa pangangalagang pangkalusugan. Narito ang isang pangkalahatang-ideya:
1. Ang Medical Act of 1959 (Republic Act No. 2382): Ang batas na ito ay nagtatakda ng mga pamantayan at regulasyon para sa medikal na kasanayan sa bansa. Binabalangkas nito ang mga obligasyong etikal na inaasahan ng mga manggagamot, na nagiging batayan ng etikang medikal sa Pilipinas.
2. Professional Regulatory Boards (PRBs): Sa ilalim ng PRC Modernization Act of 2000 (Republic Act No. 8981), ang PRBs ay may tungkuling mangasiwa at mag-regulate ng iba't ibang propesyon, kabilang ang medisina. Gumaganap sila ng mahalagang papel sa pagtataguyod ng mga pamantayang etikal, pagsisiyasat ng mga paglabag, at pagtiyak ng pagsunod sa Kodigo ng Etika ng propesyon.
3. Philippine Medical Association (PMA): Bilang Akreditadong Propesyonal na Organisasyon para sa mga manggagamot, ang PMA ay nagtatatag ng Kodigo ng Etika para sa Propesyon ng Medikal. Inilalarawan ng code na ito ang mga prinsipyong etikal na namamahala sa pag-uugali ng mga manggagamot sa iba't ibang aspeto ng kanilang pagsasanay, kabilang ang mga pakikipag-ugnayan sa mga pasyente, kasamahan, at sistema ng pangangalagang pangkalusugan.
4. Batas sa Mga Karapatan at Obligasyon ng Pasyente: Bagama't hindi tahasang binanggit sa mga ibinigay na mapagkukunan, binibigyang-diin ng batas na ito ang mga karapatan ng pasyente, kabilang ang may-kaalamang pahintulot, pagiging kumpidensyal, at karapatang tumanggap ng etikal na medikal na paggamot. Kinukumpleto nito ang legal na balangkas sa pamamagitan ng pagbibigay-diin sa kahalagahan ng mga etikal na pagsasaalang-alang sa paghahatid ng pangangalagang pangkalusugan.
Sa esensya, ang batas ng Pilipinas, sa pamamagitan ng iba't ibang mga batas at regulasyon, ay nagbibigay ng matibay na ligal na pundasyon para sa medikal na etika. Tinitiyak ng mga regulasyong ito na itinataguyod ng mga propesyonal sa pangangalagang pangkalusugan ang mga pamantayang etikal, inuuna ang kapakanan ng pasyente, at pinapanatili ang integridad ng medikal na propesyon.</v>
      </c>
      <c r="F1732" s="2">
        <f t="shared" si="1"/>
        <v>0</v>
      </c>
      <c r="G1732" s="2"/>
      <c r="H1732" s="2"/>
      <c r="I1732" s="2"/>
      <c r="J1732" s="2"/>
      <c r="K1732" s="2"/>
      <c r="L1732" s="2"/>
      <c r="M1732" s="2"/>
      <c r="N1732" s="2"/>
      <c r="O1732" s="2"/>
      <c r="P1732" s="2"/>
      <c r="Q1732" s="2"/>
      <c r="R1732" s="2"/>
      <c r="S1732" s="2"/>
      <c r="T1732" s="2"/>
      <c r="U1732" s="2"/>
      <c r="V1732" s="2"/>
      <c r="W1732" s="2"/>
      <c r="X1732" s="2"/>
      <c r="Y1732" s="2"/>
      <c r="Z1732" s="2"/>
      <c r="AA1732" s="2"/>
    </row>
    <row r="1733">
      <c r="A1733" s="1" t="s">
        <v>4337</v>
      </c>
      <c r="B1733" s="1" t="s">
        <v>4512</v>
      </c>
      <c r="C1733" s="1" t="s">
        <v>4513</v>
      </c>
      <c r="D1733" s="2" t="str">
        <f>IFERROR(__xludf.DUMMYFUNCTION("GOOGLETRANSLATE(B1733, ""en"", ""TL"")"),"Ano ang mga tiyak na regulasyon na namamahala sa telemedicine sa Pilipinas?")</f>
        <v>Ano ang mga tiyak na regulasyon na namamahala sa telemedicine sa Pilipinas?</v>
      </c>
      <c r="E1733" s="2" t="str">
        <f>IFERROR(__xludf.DUMMYFUNCTION("GOOGLETRANSLATE(C1733, ""en"", ""TL"")"),"Ang Telemedicine, ang pagkakaloob ng mga serbisyo sa pangangalagang pangkalusugan mula sa malayo sa pamamagitan ng teknolohiya ng telekomunikasyon, ay nakakakuha ng traksyon sa Pilipinas. Bagama't walang nakatalagang batas para sa telemedicine, ang pagsas"&amp;"agawa nito ay kinokontrol ng kumbinasyon ng mga umiiral na batas, regulasyon, at alituntunin:
1. Pinagsanib na Mga Alituntunin sa Telemedicine Practice (DOH-UPM-JMC No. 2020-0001):
- Inisyu ng Department of Health (DOH) at University of the Philippines Ma"&amp;"nila (UPM).
- Sinasaklaw ang mga kahulugan, kwalipikasyon, pamantayan ng pangangalaga, may alam na pahintulot, at pagiging kumpidensyal.
- Binibigyang-diin ang pagsunod sa mga propesyonal na pamantayan at mga batas sa privacy ng data.
2. Iba pang Mga Kaug"&amp;"nay na Batas at Regulasyon:
- Telecommunications Act of 1997: Nagtatatag ng legal na balangkas para sa imprastraktura ng telekomunikasyon.
- Medical Act of 1959: Tinutukoy ang medikal na kasanayan at mga kwalipikasyon para sa mga doktor.
- Data Privacy Ac"&amp;"t of 2012: Pinoprotektahan ang personal na impormasyon, kabilang ang data ng kalusugan.
- Philippine Medical Association (PMA) Code of Ethics: Nagbibigay ng etikal na patnubay para sa mga manggagamot, kabilang ang telemedicine.
Mga Pangunahing Punto:
- Na"&amp;"gpupuno ang Telemedicine ngunit hindi pinapalitan ang mga personal na konsultasyon.
- Ang pagdokumento ng mga konsultasyon sa telemedicine sa mga rekord ng pasyente ay mahalaga.
- Ang mga kinakailangan ng may kaalamang pahintulot para sa telemedicine ay t"&amp;"inukoy sa Pinagsamang Mga Alituntunin.
- Ang pagkonsulta sa mga kwalipikadong propesyonal sa pangangalagang pangkalusugan na pamilyar sa mga regulasyon ng telemedicine ay ipinapayong para sa gabay.
Ang mga regulasyong ito ay naglalayong tiyakin ang kalida"&amp;"d ng pangangalaga, kaligtasan ng pasyente, at pagkapribado ng data sa mga kasanayan sa telemedicine sa loob ng Pilipinas.")</f>
        <v>Ang Telemedicine, ang pagkakaloob ng mga serbisyo sa pangangalagang pangkalusugan mula sa malayo sa pamamagitan ng teknolohiya ng telekomunikasyon, ay nakakakuha ng traksyon sa Pilipinas. Bagama't walang nakatalagang batas para sa telemedicine, ang pagsasagawa nito ay kinokontrol ng kumbinasyon ng mga umiiral na batas, regulasyon, at alituntunin:
1. Pinagsanib na Mga Alituntunin sa Telemedicine Practice (DOH-UPM-JMC No. 2020-0001):
- Inisyu ng Department of Health (DOH) at University of the Philippines Manila (UPM).
- Sinasaklaw ang mga kahulugan, kwalipikasyon, pamantayan ng pangangalaga, may alam na pahintulot, at pagiging kumpidensyal.
- Binibigyang-diin ang pagsunod sa mga propesyonal na pamantayan at mga batas sa privacy ng data.
2. Iba pang Mga Kaugnay na Batas at Regulasyon:
- Telecommunications Act of 1997: Nagtatatag ng legal na balangkas para sa imprastraktura ng telekomunikasyon.
- Medical Act of 1959: Tinutukoy ang medikal na kasanayan at mga kwalipikasyon para sa mga doktor.
- Data Privacy Act of 2012: Pinoprotektahan ang personal na impormasyon, kabilang ang data ng kalusugan.
- Philippine Medical Association (PMA) Code of Ethics: Nagbibigay ng etikal na patnubay para sa mga manggagamot, kabilang ang telemedicine.
Mga Pangunahing Punto:
- Nagpupuno ang Telemedicine ngunit hindi pinapalitan ang mga personal na konsultasyon.
- Ang pagdokumento ng mga konsultasyon sa telemedicine sa mga rekord ng pasyente ay mahalaga.
- Ang mga kinakailangan ng may kaalamang pahintulot para sa telemedicine ay tinukoy sa Pinagsamang Mga Alituntunin.
- Ang pagkonsulta sa mga kwalipikadong propesyonal sa pangangalagang pangkalusugan na pamilyar sa mga regulasyon ng telemedicine ay ipinapayong para sa gabay.
Ang mga regulasyong ito ay naglalayong tiyakin ang kalidad ng pangangalaga, kaligtasan ng pasyente, at pagkapribado ng data sa mga kasanayan sa telemedicine sa loob ng Pilipinas.</v>
      </c>
      <c r="F1733" s="2">
        <f t="shared" si="1"/>
        <v>0</v>
      </c>
      <c r="G1733" s="2"/>
      <c r="H1733" s="2"/>
      <c r="I1733" s="2"/>
      <c r="J1733" s="2"/>
      <c r="K1733" s="2"/>
      <c r="L1733" s="2"/>
      <c r="M1733" s="2"/>
      <c r="N1733" s="2"/>
      <c r="O1733" s="2"/>
      <c r="P1733" s="2"/>
      <c r="Q1733" s="2"/>
      <c r="R1733" s="2"/>
      <c r="S1733" s="2"/>
      <c r="T1733" s="2"/>
      <c r="U1733" s="2"/>
      <c r="V1733" s="2"/>
      <c r="W1733" s="2"/>
      <c r="X1733" s="2"/>
      <c r="Y1733" s="2"/>
      <c r="Z1733" s="2"/>
      <c r="AA1733" s="2"/>
    </row>
    <row r="1734">
      <c r="A1734" s="1" t="s">
        <v>4337</v>
      </c>
      <c r="B1734" s="1" t="s">
        <v>4514</v>
      </c>
      <c r="C1734" s="1" t="s">
        <v>4515</v>
      </c>
      <c r="D1734" s="2" t="str">
        <f>IFERROR(__xludf.DUMMYFUNCTION("GOOGLETRANSLATE(B1734, ""en"", ""TL"")"),"Paano tinutugunan ng batas ng Pilipinas ang paggamit ng mga assisted reproductive technologies (ART)?")</f>
        <v>Paano tinutugunan ng batas ng Pilipinas ang paggamit ng mga assisted reproductive technologies (ART)?</v>
      </c>
      <c r="E1734" s="2" t="str">
        <f>IFERROR(__xludf.DUMMYFUNCTION("GOOGLETRANSLATE(C1734, ""en"", ""TL"")"),"Sa Pilipinas, ang Assisted Reproductive Technologies (ART) ay hindi komprehensibong kinokontrol ng partikular na batas. Gayunpaman, ang mga kasalukuyang legal na balangkas at mga alituntuning etikal ay tumutugon sa ilang aspeto ng ART:
1. Ang Family Code "&amp;"of the Philippines (Executive Order No. 220): Ang batas na ito, na pinagtibay noong 1987, ay kumikilala sa pagiging lehitimo at filiation batay sa natural na kapanganakan at artipisyal na insemination na may nakasulat na pahintulot ng mga asawa. Gayunpama"&amp;"n, hindi ito nagbibigay ng malinaw na mga regulasyon para sa iba pang mga pamamaraan ng ART tulad ng in vitro fertilization (IVF) o surrogacy.
2. Mga Kautusan at Alituntunin sa Administratibo ng Department of Health (DOH):
- Ang DOH Administrative Order N"&amp;"o. 2012-0012 (AO 2012-0012) ay nagtatatag ng mga pamantayang etikal para sa tinulungang pagpaparami, kabilang ang mga kinakailangan para sa may-kaalaman na pahintulot, pagiging kumpidensyal, at ang pagbabawal sa pagpili ng kasarian na hindi medikal. Ipina"&amp;"g-uutos nito na ang mga lisensyadong manggagamot ay magsagawa ng mga pamamaraan ng ART sa mga akreditadong pasilidad.
- Ang DOH Memorandum Order No. 2013-0015 (MO 2013-0015) ay nagbibigay ng mga patnubay para sa pagtatatag at pagpapatakbo ng mga klinika n"&amp;"g ART, na nagsasaad ng mga minimum na kinakailangan para sa imprastraktura, kagamitan, at tauhan.
3. Philippine Medical Association (PMA) Code of Ethics: Ang PMA Code ay gumagabay sa mga manggagamot na nagsasagawa ng mga pamamaraan ng ART, na binibigyang-"&amp;"diin ang awtonomiya ng pasyente, may kaalamang pahintulot, responsableng pagsasanay ayon sa kanilang kakayahan, at hindi pagkomersyal ng ART.
Mga Limitasyon at Hamon:
- Ang mga pagsasaayos ng surrogacy, donasyon ng itlog at tamud, at disposisyon ng embryo"&amp;" ay walang malinaw na legal na mga balangkas, na humahantong sa mga kawalan ng katiyakan tungkol sa mga karapatan ng magulang, kabayaran, at ang kapalaran ng hindi nagamit na mga embryo.
Sa pangkalahatan, habang ang mga umiiral na batas at alituntunin ay "&amp;"nagbibigay ng ilang regulasyon at etikal na patnubay para sa ART sa Pilipinas, ang isang komprehensibong batas ay kinakailangan upang matugunan ang mga umuusbong na isyu at matiyak ang responsableng kasanayan, na makikinabang sa parehong mga pasyente at t"&amp;"agapagbigay ng pangangalagang pangkalusugan.")</f>
        <v>Sa Pilipinas, ang Assisted Reproductive Technologies (ART) ay hindi komprehensibong kinokontrol ng partikular na batas. Gayunpaman, ang mga kasalukuyang legal na balangkas at mga alituntuning etikal ay tumutugon sa ilang aspeto ng ART:
1. Ang Family Code of the Philippines (Executive Order No. 220): Ang batas na ito, na pinagtibay noong 1987, ay kumikilala sa pagiging lehitimo at filiation batay sa natural na kapanganakan at artipisyal na insemination na may nakasulat na pahintulot ng mga asawa. Gayunpaman, hindi ito nagbibigay ng malinaw na mga regulasyon para sa iba pang mga pamamaraan ng ART tulad ng in vitro fertilization (IVF) o surrogacy.
2. Mga Kautusan at Alituntunin sa Administratibo ng Department of Health (DOH):
- Ang DOH Administrative Order No. 2012-0012 (AO 2012-0012) ay nagtatatag ng mga pamantayang etikal para sa tinulungang pagpaparami, kabilang ang mga kinakailangan para sa may-kaalaman na pahintulot, pagiging kumpidensyal, at ang pagbabawal sa pagpili ng kasarian na hindi medikal. Ipinag-uutos nito na ang mga lisensyadong manggagamot ay magsagawa ng mga pamamaraan ng ART sa mga akreditadong pasilidad.
- Ang DOH Memorandum Order No. 2013-0015 (MO 2013-0015) ay nagbibigay ng mga patnubay para sa pagtatatag at pagpapatakbo ng mga klinika ng ART, na nagsasaad ng mga minimum na kinakailangan para sa imprastraktura, kagamitan, at tauhan.
3. Philippine Medical Association (PMA) Code of Ethics: Ang PMA Code ay gumagabay sa mga manggagamot na nagsasagawa ng mga pamamaraan ng ART, na binibigyang-diin ang awtonomiya ng pasyente, may kaalamang pahintulot, responsableng pagsasanay ayon sa kanilang kakayahan, at hindi pagkomersyal ng ART.
Mga Limitasyon at Hamon:
- Ang mga pagsasaayos ng surrogacy, donasyon ng itlog at tamud, at disposisyon ng embryo ay walang malinaw na legal na mga balangkas, na humahantong sa mga kawalan ng katiyakan tungkol sa mga karapatan ng magulang, kabayaran, at ang kapalaran ng hindi nagamit na mga embryo.
Sa pangkalahatan, habang ang mga umiiral na batas at alituntunin ay nagbibigay ng ilang regulasyon at etikal na patnubay para sa ART sa Pilipinas, ang isang komprehensibong batas ay kinakailangan upang matugunan ang mga umuusbong na isyu at matiyak ang responsableng kasanayan, na makikinabang sa parehong mga pasyente at tagapagbigay ng pangangalagang pangkalusugan.</v>
      </c>
      <c r="F1734" s="2">
        <f t="shared" si="1"/>
        <v>0</v>
      </c>
      <c r="G1734" s="2"/>
      <c r="H1734" s="2"/>
      <c r="I1734" s="2"/>
      <c r="J1734" s="2"/>
      <c r="K1734" s="2"/>
      <c r="L1734" s="2"/>
      <c r="M1734" s="2"/>
      <c r="N1734" s="2"/>
      <c r="O1734" s="2"/>
      <c r="P1734" s="2"/>
      <c r="Q1734" s="2"/>
      <c r="R1734" s="2"/>
      <c r="S1734" s="2"/>
      <c r="T1734" s="2"/>
      <c r="U1734" s="2"/>
      <c r="V1734" s="2"/>
      <c r="W1734" s="2"/>
      <c r="X1734" s="2"/>
      <c r="Y1734" s="2"/>
      <c r="Z1734" s="2"/>
      <c r="AA1734" s="2"/>
    </row>
    <row r="1735">
      <c r="A1735" s="1" t="s">
        <v>4337</v>
      </c>
      <c r="B1735" s="1" t="s">
        <v>4516</v>
      </c>
      <c r="C1735" s="1" t="s">
        <v>4517</v>
      </c>
      <c r="D1735" s="2" t="str">
        <f>IFERROR(__xludf.DUMMYFUNCTION("GOOGLETRANSLATE(B1735, ""en"", ""TL"")"),"Ano ang mga legal na kinakailangan para sa pagsasagawa ng medikal na pananaliksik na kinasasangkutan ng mga paksa ng tao sa Pilipinas?")</f>
        <v>Ano ang mga legal na kinakailangan para sa pagsasagawa ng medikal na pananaliksik na kinasasangkutan ng mga paksa ng tao sa Pilipinas?</v>
      </c>
      <c r="E1735" s="2" t="str">
        <f>IFERROR(__xludf.DUMMYFUNCTION("GOOGLETRANSLATE(C1735, ""en"", ""TL"")"),"Ang PHREB, ayon sa itinatadhana ng Republic Act No. 10532, ay nag-uutos sa lahat ng pananaliksik na may kaugnayan sa mga paksa ng tao na sumailalim sa isang etikal na pagsusuri at clearance mula sa isang PHREB-accredited Research Ethics Committee bago isa"&amp;"gawa.")</f>
        <v>Ang PHREB, ayon sa itinatadhana ng Republic Act No. 10532, ay nag-uutos sa lahat ng pananaliksik na may kaugnayan sa mga paksa ng tao na sumailalim sa isang etikal na pagsusuri at clearance mula sa isang PHREB-accredited Research Ethics Committee bago isagawa.</v>
      </c>
      <c r="F1735" s="2">
        <f t="shared" si="1"/>
        <v>0</v>
      </c>
      <c r="G1735" s="2"/>
      <c r="H1735" s="2"/>
      <c r="I1735" s="2"/>
      <c r="J1735" s="2"/>
      <c r="K1735" s="2"/>
      <c r="L1735" s="2"/>
      <c r="M1735" s="2"/>
      <c r="N1735" s="2"/>
      <c r="O1735" s="2"/>
      <c r="P1735" s="2"/>
      <c r="Q1735" s="2"/>
      <c r="R1735" s="2"/>
      <c r="S1735" s="2"/>
      <c r="T1735" s="2"/>
      <c r="U1735" s="2"/>
      <c r="V1735" s="2"/>
      <c r="W1735" s="2"/>
      <c r="X1735" s="2"/>
      <c r="Y1735" s="2"/>
      <c r="Z1735" s="2"/>
      <c r="AA1735" s="2"/>
    </row>
    <row r="1736">
      <c r="A1736" s="1" t="s">
        <v>4337</v>
      </c>
      <c r="B1736" s="1" t="s">
        <v>4518</v>
      </c>
      <c r="C1736" s="1" t="s">
        <v>4519</v>
      </c>
      <c r="D1736" s="2" t="str">
        <f>IFERROR(__xludf.DUMMYFUNCTION("GOOGLETRANSLATE(B1736, ""en"", ""TL"")"),"Paano tinutugunan ng batas ang pagiging kumpidensyal ng mga rekord ng medikal ng pasyente sa Pilipinas?")</f>
        <v>Paano tinutugunan ng batas ang pagiging kumpidensyal ng mga rekord ng medikal ng pasyente sa Pilipinas?</v>
      </c>
      <c r="E1736" s="2" t="str">
        <f>IFERROR(__xludf.DUMMYFUNCTION("GOOGLETRANSLATE(C1736, ""en"", ""TL"")"),"Legal na Pangkalahatang-ideya: Sa Pilipinas, ang pagiging kumpidensyal ng rekord ng medikal ay pinamamahalaan ng Data Privacy Act of 2012 at ng Medical Act of 1959. Ang mga regulasyong ito ay nangangailangan na ang impormasyong pangkalusugan ay panatilihi"&amp;"ng pribado at lihim maliban kung ang pasyente ay tahasang pumayag na ibunyag.")</f>
        <v>Legal na Pangkalahatang-ideya: Sa Pilipinas, ang pagiging kumpidensyal ng rekord ng medikal ay pinamamahalaan ng Data Privacy Act of 2012 at ng Medical Act of 1959. Ang mga regulasyong ito ay nangangailangan na ang impormasyong pangkalusugan ay panatilihing pribado at lihim maliban kung ang pasyente ay tahasang pumayag na ibunyag.</v>
      </c>
      <c r="F1736" s="2">
        <f t="shared" si="1"/>
        <v>0</v>
      </c>
      <c r="G1736" s="2"/>
      <c r="H1736" s="2"/>
      <c r="I1736" s="2"/>
      <c r="J1736" s="2"/>
      <c r="K1736" s="2"/>
      <c r="L1736" s="2"/>
      <c r="M1736" s="2"/>
      <c r="N1736" s="2"/>
      <c r="O1736" s="2"/>
      <c r="P1736" s="2"/>
      <c r="Q1736" s="2"/>
      <c r="R1736" s="2"/>
      <c r="S1736" s="2"/>
      <c r="T1736" s="2"/>
      <c r="U1736" s="2"/>
      <c r="V1736" s="2"/>
      <c r="W1736" s="2"/>
      <c r="X1736" s="2"/>
      <c r="Y1736" s="2"/>
      <c r="Z1736" s="2"/>
      <c r="AA1736" s="2"/>
    </row>
    <row r="1737">
      <c r="A1737" s="1" t="s">
        <v>4337</v>
      </c>
      <c r="B1737" s="1" t="s">
        <v>4520</v>
      </c>
      <c r="C1737" s="1" t="s">
        <v>4521</v>
      </c>
      <c r="D1737" s="2" t="str">
        <f>IFERROR(__xludf.DUMMYFUNCTION("GOOGLETRANSLATE(B1737, ""en"", ""TL"")"),"Paano pinangangasiwaan ng batas ng Pilipinas ang mga desisyon sa katapusan ng buhay at mga paunang direktiba?")</f>
        <v>Paano pinangangasiwaan ng batas ng Pilipinas ang mga desisyon sa katapusan ng buhay at mga paunang direktiba?</v>
      </c>
      <c r="E1737" s="2" t="str">
        <f>IFERROR(__xludf.DUMMYFUNCTION("GOOGLETRANSLATE(C1737, ""en"", ""TL"")"),"Sa Pilipinas, ang legal na tanawin tungkol sa mga desisyon sa katapusan ng buhay at mga paunang direktiba ay napapailalim sa talakayan at paggalugad. Narito ang mga pangunahing punto:
Limitadong Legal na Pag-unlad: Sa kabila ng mga pagsisikap mula noon"&amp;"g pagtibayin ang kasalukuyang konstitusyon noong 1987, ang batas tungkol sa dulo-ng-buhay na advance na mga direktiba ay nakakita ng kaunting tagumpay.
Mga Kamakailang Pag-unlad: Ang National Mental Health Act ay gumawa ng mga hakbang sa pagkilala sa mga"&amp;" karapatan ng mga pasyente na ipahayag ang mga kagustuhan sa paggamot sa pamamagitan ng mga paunang direktiba, lalo na sa mga konteksto ng pangangalaga sa kalusugan ng isip.
Mga Impluwensya sa Relihiyoso at Sociocultural: Ang pag-aatubili ng mga pinuno s"&amp;"a pulitika na tugunan ang mga direktiba sa pagtatapos ng buhay ay kadalasang iniuugnay sa mga salik sa relihiyon at sosyokultural.
Mga Alternatibong Panukala: Sa kabila ng kawalan ng pormal na batas, ang ilang institusyong medikal ay nag-aalok ng nakasul"&amp;"at na mga opsyon sa paunang direktiba sa mga pasyente, na nagbibigay-daan sa kanila na makipag-usap sa mga kagustuhan sa paggamot.
Epekto ng COVID-19: Ang pandemya ay nag-udyok sa mga talakayan tungkol sa kaugnayan ng mga paunang direktiba sa pagtiyak na"&amp;" ang mga kahilingan ng pasyente ay iginagalang sa mga kritikal na sitwasyon sa kalusugan.
Pagkilala sa Korte Suprema: Noong 2018, kinilala ng Korte Suprema ang konsepto ng ""advance medical directives,"" na nagpapahintulot sa passive euthanasia sa ilalim"&amp;" ng mahigpit na mga pananggalang. Binibigyang-diin ng pagkilalang ito ang awtonomiya ng pasyente sa mga desisyon sa katapusan ng buhay.
Kahulugan ng Mga Paunang Direktiba: Ang mga dokumentong ito ay nagpapahintulot sa mga indibidwal na balangkasin ang ka"&amp;"nilang mga kagustuhan sa pangangalagang pangkalusugan nang maaga, na nagbibigay-daan sa mga pamilya na tuparin ang mga kagustuhang iyon kapag ang indibidwal ay hindi makapagsalita.
Sa esensya, habang ang komprehensibong legal na balangkas para sa end-of-"&amp;"life advance na mga direktiba ay kulang sa Pilipinas, ang mga kamakailang legal na pagkilala at patuloy na mga diyalogo ay nagpapakita ng kahalagahan ng pagtataguyod ng mga kagustuhan at dignidad ng pasyente sa mga kritikal na sitwasyon sa pangangalaga sa"&amp;" kalusugan.")</f>
        <v>Sa Pilipinas, ang legal na tanawin tungkol sa mga desisyon sa katapusan ng buhay at mga paunang direktiba ay napapailalim sa talakayan at paggalugad. Narito ang mga pangunahing punto:
Limitadong Legal na Pag-unlad: Sa kabila ng mga pagsisikap mula noong pagtibayin ang kasalukuyang konstitusyon noong 1987, ang batas tungkol sa dulo-ng-buhay na advance na mga direktiba ay nakakita ng kaunting tagumpay.
Mga Kamakailang Pag-unlad: Ang National Mental Health Act ay gumawa ng mga hakbang sa pagkilala sa mga karapatan ng mga pasyente na ipahayag ang mga kagustuhan sa paggamot sa pamamagitan ng mga paunang direktiba, lalo na sa mga konteksto ng pangangalaga sa kalusugan ng isip.
Mga Impluwensya sa Relihiyoso at Sociocultural: Ang pag-aatubili ng mga pinuno sa pulitika na tugunan ang mga direktiba sa pagtatapos ng buhay ay kadalasang iniuugnay sa mga salik sa relihiyon at sosyokultural.
Mga Alternatibong Panukala: Sa kabila ng kawalan ng pormal na batas, ang ilang institusyong medikal ay nag-aalok ng nakasulat na mga opsyon sa paunang direktiba sa mga pasyente, na nagbibigay-daan sa kanila na makipag-usap sa mga kagustuhan sa paggamot.
Epekto ng COVID-19: Ang pandemya ay nag-udyok sa mga talakayan tungkol sa kaugnayan ng mga paunang direktiba sa pagtiyak na ang mga kahilingan ng pasyente ay iginagalang sa mga kritikal na sitwasyon sa kalusugan.
Pagkilala sa Korte Suprema: Noong 2018, kinilala ng Korte Suprema ang konsepto ng "advance medical directives," na nagpapahintulot sa passive euthanasia sa ilalim ng mahigpit na mga pananggalang. Binibigyang-diin ng pagkilalang ito ang awtonomiya ng pasyente sa mga desisyon sa katapusan ng buhay.
Kahulugan ng Mga Paunang Direktiba: Ang mga dokumentong ito ay nagpapahintulot sa mga indibidwal na balangkasin ang kanilang mga kagustuhan sa pangangalagang pangkalusugan nang maaga, na nagbibigay-daan sa mga pamilya na tuparin ang mga kagustuhang iyon kapag ang indibidwal ay hindi makapagsalita.
Sa esensya, habang ang komprehensibong legal na balangkas para sa end-of-life advance na mga direktiba ay kulang sa Pilipinas, ang mga kamakailang legal na pagkilala at patuloy na mga diyalogo ay nagpapakita ng kahalagahan ng pagtataguyod ng mga kagustuhan at dignidad ng pasyente sa mga kritikal na sitwasyon sa pangangalaga sa kalusugan.</v>
      </c>
      <c r="F1737" s="2">
        <f t="shared" si="1"/>
        <v>0</v>
      </c>
      <c r="G1737" s="2"/>
      <c r="H1737" s="2"/>
      <c r="I1737" s="2"/>
      <c r="J1737" s="2"/>
      <c r="K1737" s="2"/>
      <c r="L1737" s="2"/>
      <c r="M1737" s="2"/>
      <c r="N1737" s="2"/>
      <c r="O1737" s="2"/>
      <c r="P1737" s="2"/>
      <c r="Q1737" s="2"/>
      <c r="R1737" s="2"/>
      <c r="S1737" s="2"/>
      <c r="T1737" s="2"/>
      <c r="U1737" s="2"/>
      <c r="V1737" s="2"/>
      <c r="W1737" s="2"/>
      <c r="X1737" s="2"/>
      <c r="Y1737" s="2"/>
      <c r="Z1737" s="2"/>
      <c r="AA1737" s="2"/>
    </row>
    <row r="1738">
      <c r="A1738" s="1" t="s">
        <v>4337</v>
      </c>
      <c r="B1738" s="1" t="s">
        <v>4522</v>
      </c>
      <c r="C1738" s="1" t="s">
        <v>4523</v>
      </c>
      <c r="D1738" s="2" t="str">
        <f>IFERROR(__xludf.DUMMYFUNCTION("GOOGLETRANSLATE(B1738, ""en"", ""TL"")"),"Ano ang mga legal na karapatan at responsibilidad ng mga magulang tungkol sa pangangalagang medikal ng kanilang mga anak?")</f>
        <v>Ano ang mga legal na karapatan at responsibilidad ng mga magulang tungkol sa pangangalagang medikal ng kanilang mga anak?</v>
      </c>
      <c r="E1738" s="2" t="str">
        <f>IFERROR(__xludf.DUMMYFUNCTION("GOOGLETRANSLATE(C1738, ""en"", ""TL"")"),"Sa Pilipinas, ang mga magulang ay pinagkatiwalaan ng parehong mga karapatan at responsibilidad tungkol sa pangangalagang medikal ng kanilang mga anak. Narito ang mga pangunahing punto:
Karapatan sa Pahintulot: Ang mga magulang ay may awtoridad na magbi"&amp;"gay o magpigil ng pahintulot para sa mga medikal na paggamot at pamamaraan sa ngalan ng kanilang mga anak, na sumasaklaw sa mga pagbabakuna, operasyon, gamot, at iba pang mga interbensyon. Gayunpaman, ang mga desisyon ay dapat unahin ang pinakamahusay na "&amp;"interes ng bata.
Access sa Health Records: Ang mga magulang na may pananagutan ng magulang ay may karapatan na ma-access ang mga rekord ng kalusugan ng kanilang mga anak, maliban sa mga kaso kung saan ang bata ay nakapag-iisa na makapagbigay ng pahintu"&amp;"lot.
Tungkulin na Magbigay ng Pangangalaga: Ang mga magulang, tagapag-alaga, o tagapag-alaga ay obligado na tiyakin na ang kanilang mga anak ay makakatanggap ng kinakailangang pangangalagang medikal upang maiwasan ang malubhang pinsala sa kanilang pisi"&amp;"kal o mental na kalusugan o ang kaligtasan ng iba.
Parent Effectiveness Service (PES) Program: Ang inisyatiba na ito ay naglalayong pahusayin ang pakikilahok ng magulang sa pag-unlad at pag-aaral ng mga bata sa pamamagitan ng pagbibigay ng edukasyon at"&amp;" suporta sa iba't ibang aspeto ng pagiging magulang, kabilang ang pangangalaga sa kalusugan ng bata.
Mga Karapatan ng mga Batang Pilipino: Ang bawat bata sa Pilipinas ay may karapatang tumanggap ng wastong medikal na atensyon mula sa paglilihi hanggang"&amp;" pagkabata, na nagbibigay-diin sa responsibilidad ng mga magulang na lumikha ng ligtas na kapaligiran para sa kanilang hindi pa isinisilang na anak.
Ang mga karapatan at responsibilidad na ito ay nagsisilbing mahahalagang haligi sa pagtataguyod ng kaga"&amp;"lingan at kalusugan ng mga bata sa buong Pilipinas.")</f>
        <v>Sa Pilipinas, ang mga magulang ay pinagkatiwalaan ng parehong mga karapatan at responsibilidad tungkol sa pangangalagang medikal ng kanilang mga anak. Narito ang mga pangunahing punto:
Karapatan sa Pahintulot: Ang mga magulang ay may awtoridad na magbigay o magpigil ng pahintulot para sa mga medikal na paggamot at pamamaraan sa ngalan ng kanilang mga anak, na sumasaklaw sa mga pagbabakuna, operasyon, gamot, at iba pang mga interbensyon. Gayunpaman, ang mga desisyon ay dapat unahin ang pinakamahusay na interes ng bata.
Access sa Health Records: Ang mga magulang na may pananagutan ng magulang ay may karapatan na ma-access ang mga rekord ng kalusugan ng kanilang mga anak, maliban sa mga kaso kung saan ang bata ay nakapag-iisa na makapagbigay ng pahintulot.
Tungkulin na Magbigay ng Pangangalaga: Ang mga magulang, tagapag-alaga, o tagapag-alaga ay obligado na tiyakin na ang kanilang mga anak ay makakatanggap ng kinakailangang pangangalagang medikal upang maiwasan ang malubhang pinsala sa kanilang pisikal o mental na kalusugan o ang kaligtasan ng iba.
Parent Effectiveness Service (PES) Program: Ang inisyatiba na ito ay naglalayong pahusayin ang pakikilahok ng magulang sa pag-unlad at pag-aaral ng mga bata sa pamamagitan ng pagbibigay ng edukasyon at suporta sa iba't ibang aspeto ng pagiging magulang, kabilang ang pangangalaga sa kalusugan ng bata.
Mga Karapatan ng mga Batang Pilipino: Ang bawat bata sa Pilipinas ay may karapatang tumanggap ng wastong medikal na atensyon mula sa paglilihi hanggang pagkabata, na nagbibigay-diin sa responsibilidad ng mga magulang na lumikha ng ligtas na kapaligiran para sa kanilang hindi pa isinisilang na anak.
Ang mga karapatan at responsibilidad na ito ay nagsisilbing mahahalagang haligi sa pagtataguyod ng kagalingan at kalusugan ng mga bata sa buong Pilipinas.</v>
      </c>
      <c r="F1738" s="2">
        <f t="shared" si="1"/>
        <v>0</v>
      </c>
      <c r="G1738" s="2"/>
      <c r="H1738" s="2"/>
      <c r="I1738" s="2"/>
      <c r="J1738" s="2"/>
      <c r="K1738" s="2"/>
      <c r="L1738" s="2"/>
      <c r="M1738" s="2"/>
      <c r="N1738" s="2"/>
      <c r="O1738" s="2"/>
      <c r="P1738" s="2"/>
      <c r="Q1738" s="2"/>
      <c r="R1738" s="2"/>
      <c r="S1738" s="2"/>
      <c r="T1738" s="2"/>
      <c r="U1738" s="2"/>
      <c r="V1738" s="2"/>
      <c r="W1738" s="2"/>
      <c r="X1738" s="2"/>
      <c r="Y1738" s="2"/>
      <c r="Z1738" s="2"/>
      <c r="AA1738" s="2"/>
    </row>
    <row r="1739">
      <c r="A1739" s="1" t="s">
        <v>4337</v>
      </c>
      <c r="B1739" s="1" t="s">
        <v>4524</v>
      </c>
      <c r="C1739" s="1" t="s">
        <v>4525</v>
      </c>
      <c r="D1739" s="2" t="str">
        <f>IFERROR(__xludf.DUMMYFUNCTION("GOOGLETRANSLATE(B1739, ""en"", ""TL"")"),"Paano tinutugunan ng batas ng Pilipinas ang donasyon at paglipat ng organ?")</f>
        <v>Paano tinutugunan ng batas ng Pilipinas ang donasyon at paglipat ng organ?</v>
      </c>
      <c r="E1739" s="2" t="str">
        <f>IFERROR(__xludf.DUMMYFUNCTION("GOOGLETRANSLATE(C1739, ""en"", ""TL"")"),"Sa Pilipinas, ang donasyon at paglipat ng organ ay pinamamahalaan ng Organ Donation Act of 1991 (Republic Act No. 7170). Narito ang mga pangunahing probisyon ng batas na ito:
Pamagat at Kahulugan:
Ang batas ay opisyal na pinamagatang ""Organ Donation "&amp;"Act of 1991"" at tumutukoy sa mahahalagang termino tulad ng organ bank storage facility, decedent, donor, at mga bahagi ng katawan.
Awtorisasyon para sa Donasyon ng Organ:
Ang mga indibidwal ay pinahihintulutan na legal na ibigay ang lahat o bahagi ng k"&amp;"anilang katawan pagkatapos ng kamatayan para sa mga partikular na layunin, at ang awtorisasyon na ito ay maaaring ibigay ng isang testator.
Medikal na Pagpapasiya ng Kamatayan:
Ang kamatayan ay tinutukoy batay sa mga medikal na pamantayan, kabilang ang "&amp;"hindi maibabalik na pagtigil ng sirkulasyon at paghinga o hindi maibabalik na paghinto ng lahat ng mga pag-andar ng utak, na independiyenteng nasuri ng dalawang kwalipikadong manggagamot.
Agad na Pahintulot ng Pamilya:
Ang pahintulot para sa donasyon ng"&amp;" organ ay maaari ding ibigay ng agarang pamilya ng namatay, gaya ng tinukoy sa Batas.
Mga Tungkulin sa Ospital at Manggagamot:
Ang mga ospital, parehong lisensyado at pinamamahalaan ng gobyerno, ay gumaganap ng isang mahalagang papel sa pagpapadali ng d"&amp;"onasyon ng organ, at ang mga lisensyadong manggagamot o surgeon ay kasangkot sa proseso.
Legacy o Donasyon:
May opsyon ang mga indibidwal na gumawa ng legacy ng lahat o bahagi ng kanilang katawan para sa mga partikular na layunin, gaya ng organ transpla"&amp;"nt o medikal na pananaliksik.
Mga Parusa at Pagpapatupad:
Kasama sa Batas ang mga parusa para sa mga paglabag upang matiyak ang pagsunod at naglalayong itaguyod ang karapatan sa kalusugan at hikayatin ang donasyon ng organ.
Mga Kamakailang Pag-unlad:
"&amp;"Nagkaroon ng mga talakayan tungkol sa pag-amyenda sa Batas upang ipakilala ang isang ""opt-out"" na sistema para sa donasyon at paglipat ng organ.
Sa kabuuan, ang Organ Donation Act of 1991 ay nagtatatag ng legal na balangkas para sa donasyon at paglipat"&amp;" ng organ sa Pilipinas, na nagbibigay-diin sa pagpayag, mga pamantayang medikal, at pagpapatupad.")</f>
        <v>Sa Pilipinas, ang donasyon at paglipat ng organ ay pinamamahalaan ng Organ Donation Act of 1991 (Republic Act No. 7170). Narito ang mga pangunahing probisyon ng batas na ito:
Pamagat at Kahulugan:
Ang batas ay opisyal na pinamagatang "Organ Donation Act of 1991" at tumutukoy sa mahahalagang termino tulad ng organ bank storage facility, decedent, donor, at mga bahagi ng katawan.
Awtorisasyon para sa Donasyon ng Organ:
Ang mga indibidwal ay pinahihintulutan na legal na ibigay ang lahat o bahagi ng kanilang katawan pagkatapos ng kamatayan para sa mga partikular na layunin, at ang awtorisasyon na ito ay maaaring ibigay ng isang testator.
Medikal na Pagpapasiya ng Kamatayan:
Ang kamatayan ay tinutukoy batay sa mga medikal na pamantayan, kabilang ang hindi maibabalik na pagtigil ng sirkulasyon at paghinga o hindi maibabalik na paghinto ng lahat ng mga pag-andar ng utak, na independiyenteng nasuri ng dalawang kwalipikadong manggagamot.
Agad na Pahintulot ng Pamilya:
Ang pahintulot para sa donasyon ng organ ay maaari ding ibigay ng agarang pamilya ng namatay, gaya ng tinukoy sa Batas.
Mga Tungkulin sa Ospital at Manggagamot:
Ang mga ospital, parehong lisensyado at pinamamahalaan ng gobyerno, ay gumaganap ng isang mahalagang papel sa pagpapadali ng donasyon ng organ, at ang mga lisensyadong manggagamot o surgeon ay kasangkot sa proseso.
Legacy o Donasyon:
May opsyon ang mga indibidwal na gumawa ng legacy ng lahat o bahagi ng kanilang katawan para sa mga partikular na layunin, gaya ng organ transplant o medikal na pananaliksik.
Mga Parusa at Pagpapatupad:
Kasama sa Batas ang mga parusa para sa mga paglabag upang matiyak ang pagsunod at naglalayong itaguyod ang karapatan sa kalusugan at hikayatin ang donasyon ng organ.
Mga Kamakailang Pag-unlad:
Nagkaroon ng mga talakayan tungkol sa pag-amyenda sa Batas upang ipakilala ang isang "opt-out" na sistema para sa donasyon at paglipat ng organ.
Sa kabuuan, ang Organ Donation Act of 1991 ay nagtatatag ng legal na balangkas para sa donasyon at paglipat ng organ sa Pilipinas, na nagbibigay-diin sa pagpayag, mga pamantayang medikal, at pagpapatupad.</v>
      </c>
      <c r="F1739" s="2">
        <f t="shared" si="1"/>
        <v>0</v>
      </c>
      <c r="G1739" s="2"/>
      <c r="H1739" s="2"/>
      <c r="I1739" s="2"/>
      <c r="J1739" s="2"/>
      <c r="K1739" s="2"/>
      <c r="L1739" s="2"/>
      <c r="M1739" s="2"/>
      <c r="N1739" s="2"/>
      <c r="O1739" s="2"/>
      <c r="P1739" s="2"/>
      <c r="Q1739" s="2"/>
      <c r="R1739" s="2"/>
      <c r="S1739" s="2"/>
      <c r="T1739" s="2"/>
      <c r="U1739" s="2"/>
      <c r="V1739" s="2"/>
      <c r="W1739" s="2"/>
      <c r="X1739" s="2"/>
      <c r="Y1739" s="2"/>
      <c r="Z1739" s="2"/>
      <c r="AA1739" s="2"/>
    </row>
    <row r="1740">
      <c r="A1740" s="1" t="s">
        <v>4337</v>
      </c>
      <c r="B1740" s="1" t="s">
        <v>4526</v>
      </c>
      <c r="C1740" s="1" t="s">
        <v>4527</v>
      </c>
      <c r="D1740" s="2" t="str">
        <f>IFERROR(__xludf.DUMMYFUNCTION("GOOGLETRANSLATE(B1740, ""en"", ""TL"")"),"Ano ang mga legal na limitasyon sa mga tagapagbigay ng pangangalagang pangkalusugan na nakikibahagi sa mga komersyal na transaksyon sa mga pasyente?")</f>
        <v>Ano ang mga legal na limitasyon sa mga tagapagbigay ng pangangalagang pangkalusugan na nakikibahagi sa mga komersyal na transaksyon sa mga pasyente?</v>
      </c>
      <c r="E1740" s="2" t="str">
        <f>IFERROR(__xludf.DUMMYFUNCTION("GOOGLETRANSLATE(C1740, ""en"", ""TL"")"),"Sa Pilipinas, ang mga tagapagbigay ng pangangalagang pangkalusugan ay nagpapatakbo sa loob ng isang legal na balangkas na naglalarawan ng kanilang mga karapatan at obligasyon sa komersyal na pakikitungo sa mga pasyente. Narito ang mga pangunahing elemento"&amp;":
Karapatan sa Access sa Pangangalagang Pangkalusugan:
Ang bawat indibidwal ay may karapatan sa mga serbisyo sa pangangalagang pangkalusugan nang walang anumang anyo ng diskriminasyon. Nangangahulugan ito na dapat ibigay ang pangangalagang pangkalusug"&amp;"an anuman ang kakayahan ng pasyente sa pananalapi o mga personal na katangian.
May Kaalaman na Pahintulot:
Ang mga pasyente ay may karapatang tumanggap ng komprehensibong impormasyon tungkol sa kanilang kondisyong medikal, mga opsyon sa paggamot, mga na"&amp;"uugnay na panganib, benepisyo, at mga alternatibo bago sumailalim sa anumang medikal na pamamaraan.
Pinaninindigan ng may kaalamang pahintulot ang awtonomiya at mga kakayahan sa paggawa ng desisyon ng mga pasyente, na nangangailangan na ang mga tagapagbi"&amp;"gay ng pangangalagang pangkalusugan ay maghatid ng impormasyon nang malinaw at naiintindihan.
Pagkapribado at Pagkakumpidensyal:
Ang mga pasyente ay nagtataglay ng karapatan sa pagkapribado at pagiging kumpidensyal tungkol sa kanilang medikal na data.
"&amp;"Ang mga tagapagbigay ng pangangalagang pangkalusugan ay legal na obligado na pangalagaan ang impormasyon ng pasyente at ibunyag lamang ito sa mga awtorisadong indibidwal para sa mga layunin ng pangangalagang pangkalusugan.
De-kalidad na Pangangalaga:
An"&amp;"g mga pasyente ay may karapatan na makatanggap ng mga serbisyo sa pangangalagang pangkalusugan na may mataas na pamantayan, na sumasaklaw sa tumpak na diagnosis, naaangkop na paggamot, at follow-up na pangangalaga batay sa itinatag na mga alituntuning med"&amp;"ikal.
Ang mga tagapagbigay ng pangangalagang pangkalusugan ay inaasahang tratuhin ang mga pasyente nang may dignidad at paggalang, anuman ang kanilang mga personal na kalagayan.
Mga Komersyal na Transaksyon:
Ang mga tagapagbigay ng pangangalagang pangk"&amp;"alusugan ay dapat sumunod sa mga etikal at legal na prinsipyo sa mga komersyal na transaksyon sa mga pasyente.
Ang transparency ay pinakamahalaga, na nangangailangan ng malinaw na komunikasyon ng mga bayarin, singilin, at mga tuntunin sa pagbabayad.
Dap"&amp;"at iwasan ng mga provider ang mga salungatan ng interes na maaaring makakompromiso sa pangangalaga ng pasyente, tulad ng pagrekomenda ng mga hindi kinakailangang pamamaraan para sa pinansyal na kita.
Ang mga kasanayan sa pagsingil ay dapat na patas, tump"&amp;"ak, at sumusunod sa mga nauugnay na batas at regulasyon.
Ang mga karapatan at responsibilidad na ito ay nagsisilbing pundasyon para sa pagpapaunlad ng tiwala, pagtiyak ng kapakanan ng pasyente, at pagtataguyod ng mga pamantayan sa pangangalagang pangkalu"&amp;"sugan sa Pilipinas.")</f>
        <v>Sa Pilipinas, ang mga tagapagbigay ng pangangalagang pangkalusugan ay nagpapatakbo sa loob ng isang legal na balangkas na naglalarawan ng kanilang mga karapatan at obligasyon sa komersyal na pakikitungo sa mga pasyente. Narito ang mga pangunahing elemento:
Karapatan sa Access sa Pangangalagang Pangkalusugan:
Ang bawat indibidwal ay may karapatan sa mga serbisyo sa pangangalagang pangkalusugan nang walang anumang anyo ng diskriminasyon. Nangangahulugan ito na dapat ibigay ang pangangalagang pangkalusugan anuman ang kakayahan ng pasyente sa pananalapi o mga personal na katangian.
May Kaalaman na Pahintulot:
Ang mga pasyente ay may karapatang tumanggap ng komprehensibong impormasyon tungkol sa kanilang kondisyong medikal, mga opsyon sa paggamot, mga nauugnay na panganib, benepisyo, at mga alternatibo bago sumailalim sa anumang medikal na pamamaraan.
Pinaninindigan ng may kaalamang pahintulot ang awtonomiya at mga kakayahan sa paggawa ng desisyon ng mga pasyente, na nangangailangan na ang mga tagapagbigay ng pangangalagang pangkalusugan ay maghatid ng impormasyon nang malinaw at naiintindihan.
Pagkapribado at Pagkakumpidensyal:
Ang mga pasyente ay nagtataglay ng karapatan sa pagkapribado at pagiging kumpidensyal tungkol sa kanilang medikal na data.
Ang mga tagapagbigay ng pangangalagang pangkalusugan ay legal na obligado na pangalagaan ang impormasyon ng pasyente at ibunyag lamang ito sa mga awtorisadong indibidwal para sa mga layunin ng pangangalagang pangkalusugan.
De-kalidad na Pangangalaga:
Ang mga pasyente ay may karapatan na makatanggap ng mga serbisyo sa pangangalagang pangkalusugan na may mataas na pamantayan, na sumasaklaw sa tumpak na diagnosis, naaangkop na paggamot, at follow-up na pangangalaga batay sa itinatag na mga alituntuning medikal.
Ang mga tagapagbigay ng pangangalagang pangkalusugan ay inaasahang tratuhin ang mga pasyente nang may dignidad at paggalang, anuman ang kanilang mga personal na kalagayan.
Mga Komersyal na Transaksyon:
Ang mga tagapagbigay ng pangangalagang pangkalusugan ay dapat sumunod sa mga etikal at legal na prinsipyo sa mga komersyal na transaksyon sa mga pasyente.
Ang transparency ay pinakamahalaga, na nangangailangan ng malinaw na komunikasyon ng mga bayarin, singilin, at mga tuntunin sa pagbabayad.
Dapat iwasan ng mga provider ang mga salungatan ng interes na maaaring makakompromiso sa pangangalaga ng pasyente, tulad ng pagrekomenda ng mga hindi kinakailangang pamamaraan para sa pinansyal na kita.
Ang mga kasanayan sa pagsingil ay dapat na patas, tumpak, at sumusunod sa mga nauugnay na batas at regulasyon.
Ang mga karapatan at responsibilidad na ito ay nagsisilbing pundasyon para sa pagpapaunlad ng tiwala, pagtiyak ng kapakanan ng pasyente, at pagtataguyod ng mga pamantayan sa pangangalagang pangkalusugan sa Pilipinas.</v>
      </c>
      <c r="F1740" s="2">
        <f t="shared" si="1"/>
        <v>0</v>
      </c>
      <c r="G1740" s="2"/>
      <c r="H1740" s="2"/>
      <c r="I1740" s="2"/>
      <c r="J1740" s="2"/>
      <c r="K1740" s="2"/>
      <c r="L1740" s="2"/>
      <c r="M1740" s="2"/>
      <c r="N1740" s="2"/>
      <c r="O1740" s="2"/>
      <c r="P1740" s="2"/>
      <c r="Q1740" s="2"/>
      <c r="R1740" s="2"/>
      <c r="S1740" s="2"/>
      <c r="T1740" s="2"/>
      <c r="U1740" s="2"/>
      <c r="V1740" s="2"/>
      <c r="W1740" s="2"/>
      <c r="X1740" s="2"/>
      <c r="Y1740" s="2"/>
      <c r="Z1740" s="2"/>
      <c r="AA1740" s="2"/>
    </row>
    <row r="1741">
      <c r="A1741" s="1" t="s">
        <v>4337</v>
      </c>
      <c r="B1741" s="1" t="s">
        <v>4528</v>
      </c>
      <c r="C1741" s="1" t="s">
        <v>4529</v>
      </c>
      <c r="D1741" s="2" t="str">
        <f>IFERROR(__xludf.DUMMYFUNCTION("GOOGLETRANSLATE(B1741, ""en"", ""TL"")"),"Ano ang mga regulasyon na pumapalibot sa advertising at marketing sa pangangalagang pangkalusugan sa Pilipinas?")</f>
        <v>Ano ang mga regulasyon na pumapalibot sa advertising at marketing sa pangangalagang pangkalusugan sa Pilipinas?</v>
      </c>
      <c r="E1741" s="2" t="str">
        <f>IFERROR(__xludf.DUMMYFUNCTION("GOOGLETRANSLATE(C1741, ""en"", ""TL"")"),"Sa Pilipinas, ang advertising ng produktong pangkalusugan ay karaniwang pinamamahalaan ng Republic Act No. 9711, na kilala rin bilang Food and Drug Administration Act of 2009 (""FDA Act""), ang FDA Implementing Rules and Regulations (""FDA IRR""), at mga "&amp;"regulasyon at mga alituntuning inilabas ng Philippine Food and Drug Administration (""FDA"") at ng Department of Health (""DOH"").")</f>
        <v>Sa Pilipinas, ang advertising ng produktong pangkalusugan ay karaniwang pinamamahalaan ng Republic Act No. 9711, na kilala rin bilang Food and Drug Administration Act of 2009 ("FDA Act"), ang FDA Implementing Rules and Regulations ("FDA IRR"), at mga regulasyon at mga alituntuning inilabas ng Philippine Food and Drug Administration ("FDA") at ng Department of Health ("DOH").</v>
      </c>
      <c r="F1741" s="2">
        <f t="shared" si="1"/>
        <v>0</v>
      </c>
      <c r="G1741" s="2"/>
      <c r="H1741" s="2"/>
      <c r="I1741" s="2"/>
      <c r="J1741" s="2"/>
      <c r="K1741" s="2"/>
      <c r="L1741" s="2"/>
      <c r="M1741" s="2"/>
      <c r="N1741" s="2"/>
      <c r="O1741" s="2"/>
      <c r="P1741" s="2"/>
      <c r="Q1741" s="2"/>
      <c r="R1741" s="2"/>
      <c r="S1741" s="2"/>
      <c r="T1741" s="2"/>
      <c r="U1741" s="2"/>
      <c r="V1741" s="2"/>
      <c r="W1741" s="2"/>
      <c r="X1741" s="2"/>
      <c r="Y1741" s="2"/>
      <c r="Z1741" s="2"/>
      <c r="AA1741" s="2"/>
    </row>
    <row r="1742">
      <c r="A1742" s="1" t="s">
        <v>4337</v>
      </c>
      <c r="B1742" s="1" t="s">
        <v>4530</v>
      </c>
      <c r="C1742" s="1" t="s">
        <v>4531</v>
      </c>
      <c r="D1742" s="2" t="str">
        <f>IFERROR(__xludf.DUMMYFUNCTION("GOOGLETRANSLATE(B1742, ""en"", ""TL"")"),"Paano pinoprotektahan ng batas ang mga medikal na propesyonal mula sa karahasan at panliligalig sa lugar ng trabaho?")</f>
        <v>Paano pinoprotektahan ng batas ang mga medikal na propesyonal mula sa karahasan at panliligalig sa lugar ng trabaho?</v>
      </c>
      <c r="E1742" s="2" t="str">
        <f>IFERROR(__xludf.DUMMYFUNCTION("GOOGLETRANSLATE(C1742, ""en"", ""TL"")"),"Sa Pilipinas, may mga batas at regulasyon para protektahan ang mga medikal na propesyonal mula sa karahasan at panliligalig sa lugar ng trabaho. Narito ang mga pangunahing probisyon:
1. Anti-Sexual Harassment Act of 1995 (Republic Act No. 7877):
- Tinutuk"&amp;"oy at ipinagbabawal ng batas na ito ang sekswal na panliligalig sa mga setting ng edukasyon at trabaho, kabilang ang mga institusyon ng pangangalagang pangkalusugan.
- Kinakailangan ng mga employer na magtatag ng mga patakaran at pamamaraan upang maiwasan"&amp;" at matugunan ang sekswal na panliligalig, at ang mga medikal na propesyonal ay maaaring mag-ulat ng mga insidente sa kanilang mga tagapag-empleyo o direkta sa Department of Labor and Employment (DOLE).
2. Kodigo sa Paggawa ng Pilipinas:
- Ang Labor Code "&amp;"ay nagbibigay ng mga pangkalahatang proteksyon para sa lahat ng manggagawa, kabilang ang mga medikal na propesyonal, laban sa pisikal na karahasan, pagbabanta, pananakot, at pamimilit sa lugar ng trabaho.
- Ang mga medikal na propesyonal na nakakaranas ng"&amp;" karahasan o panliligalig ay maaaring humingi ng mga legal na remedyo sa pamamagitan ng DOLE o maghain ng mga reklamo sa National Labor Relations Commission (NLRC).
3. Mga Regulasyon ng Professional Regulation Commission (PRC):
- Ang PRC ay may mga alitun"&amp;"tunin at etikal na pamantayan para sa mga healthcare practitioner na nagbibigay-diin sa propesyonal na pag-uugali, paggalang, at walang diskriminasyon.
- Ang mga paglabag ay maaaring humantong sa mga aksyong pandisiplina laban sa lumalabag na propesyonal."&amp;"
4. Mga Patakaran at Protokol ng Ospital:
- Karaniwang may mga panloob na patakaran at protocol ang mga institusyon ng pangangalagang pangkalusugan upang matugunan ang karahasan at panliligalig sa lugar ng trabaho.
- Dapat na pamilyar ang mga medikal na p"&amp;"ropesyonal sa mga alituntuning ito at agad na mag-ulat ng mga insidente, na may mga ospital na nag-aalok ng pagpapayo, tulong na legal, at mga hakbang sa proteksyon.
5. Mga Batas sa Kriminal:
- Ang mga kriminal na pagkakasala na may kaugnayan sa karahasan"&amp;" (hal., pag-atake, pisikal na pananakit, o pagbabanta) ay mapaparusahan sa ilalim ng Binagong Kodigo Penal.
- Ang mga medikal na propesyonal ay may opsyon na magsampa ng mga reklamong kriminal laban sa mga may kasalanan, na may mga ahensyang nagpapatupad "&amp;"ng batas at mga korte na humahawak sa mga naturang kaso.
Mahalaga para sa mga medikal na propesyonal na malaman ang kanilang mga karapatan at humingi ng suporta mula sa kanilang mga institusyon, propesyonal na organisasyon, o legal na awtoridad kung sila "&amp;"ay makatagpo ng karahasan o panliligalig sa lugar ng trabaho.")</f>
        <v>Sa Pilipinas, may mga batas at regulasyon para protektahan ang mga medikal na propesyonal mula sa karahasan at panliligalig sa lugar ng trabaho. Narito ang mga pangunahing probisyon:
1. Anti-Sexual Harassment Act of 1995 (Republic Act No. 7877):
- Tinutukoy at ipinagbabawal ng batas na ito ang sekswal na panliligalig sa mga setting ng edukasyon at trabaho, kabilang ang mga institusyon ng pangangalagang pangkalusugan.
- Kinakailangan ng mga employer na magtatag ng mga patakaran at pamamaraan upang maiwasan at matugunan ang sekswal na panliligalig, at ang mga medikal na propesyonal ay maaaring mag-ulat ng mga insidente sa kanilang mga tagapag-empleyo o direkta sa Department of Labor and Employment (DOLE).
2. Kodigo sa Paggawa ng Pilipinas:
- Ang Labor Code ay nagbibigay ng mga pangkalahatang proteksyon para sa lahat ng manggagawa, kabilang ang mga medikal na propesyonal, laban sa pisikal na karahasan, pagbabanta, pananakot, at pamimilit sa lugar ng trabaho.
- Ang mga medikal na propesyonal na nakakaranas ng karahasan o panliligalig ay maaaring humingi ng mga legal na remedyo sa pamamagitan ng DOLE o maghain ng mga reklamo sa National Labor Relations Commission (NLRC).
3. Mga Regulasyon ng Professional Regulation Commission (PRC):
- Ang PRC ay may mga alituntunin at etikal na pamantayan para sa mga healthcare practitioner na nagbibigay-diin sa propesyonal na pag-uugali, paggalang, at walang diskriminasyon.
- Ang mga paglabag ay maaaring humantong sa mga aksyong pandisiplina laban sa lumalabag na propesyonal.
4. Mga Patakaran at Protokol ng Ospital:
- Karaniwang may mga panloob na patakaran at protocol ang mga institusyon ng pangangalagang pangkalusugan upang matugunan ang karahasan at panliligalig sa lugar ng trabaho.
- Dapat na pamilyar ang mga medikal na propesyonal sa mga alituntuning ito at agad na mag-ulat ng mga insidente, na may mga ospital na nag-aalok ng pagpapayo, tulong na legal, at mga hakbang sa proteksyon.
5. Mga Batas sa Kriminal:
- Ang mga kriminal na pagkakasala na may kaugnayan sa karahasan (hal., pag-atake, pisikal na pananakit, o pagbabanta) ay mapaparusahan sa ilalim ng Binagong Kodigo Penal.
- Ang mga medikal na propesyonal ay may opsyon na magsampa ng mga reklamong kriminal laban sa mga may kasalanan, na may mga ahensyang nagpapatupad ng batas at mga korte na humahawak sa mga naturang kaso.
Mahalaga para sa mga medikal na propesyonal na malaman ang kanilang mga karapatan at humingi ng suporta mula sa kanilang mga institusyon, propesyonal na organisasyon, o legal na awtoridad kung sila ay makatagpo ng karahasan o panliligalig sa lugar ng trabaho.</v>
      </c>
      <c r="F1742" s="2">
        <f t="shared" si="1"/>
        <v>0</v>
      </c>
      <c r="G1742" s="2"/>
      <c r="H1742" s="2"/>
      <c r="I1742" s="2"/>
      <c r="J1742" s="2"/>
      <c r="K1742" s="2"/>
      <c r="L1742" s="2"/>
      <c r="M1742" s="2"/>
      <c r="N1742" s="2"/>
      <c r="O1742" s="2"/>
      <c r="P1742" s="2"/>
      <c r="Q1742" s="2"/>
      <c r="R1742" s="2"/>
      <c r="S1742" s="2"/>
      <c r="T1742" s="2"/>
      <c r="U1742" s="2"/>
      <c r="V1742" s="2"/>
      <c r="W1742" s="2"/>
      <c r="X1742" s="2"/>
      <c r="Y1742" s="2"/>
      <c r="Z1742" s="2"/>
      <c r="AA1742" s="2"/>
    </row>
    <row r="1743">
      <c r="A1743" s="1" t="s">
        <v>4337</v>
      </c>
      <c r="B1743" s="1" t="s">
        <v>4532</v>
      </c>
      <c r="C1743" s="1" t="s">
        <v>4533</v>
      </c>
      <c r="D1743" s="2" t="str">
        <f>IFERROR(__xludf.DUMMYFUNCTION("GOOGLETRANSLATE(B1743, ""en"", ""TL"")"),"Ano ang mga legal na kinakailangan para sa pag-uulat at pamamahala ng mga nakakahawang sakit sa Pilipinas?")</f>
        <v>Ano ang mga legal na kinakailangan para sa pag-uulat at pamamahala ng mga nakakahawang sakit sa Pilipinas?</v>
      </c>
      <c r="E1743" s="2" t="str">
        <f>IFERROR(__xludf.DUMMYFUNCTION("GOOGLETRANSLATE(C1743, ""en"", ""TL"")"),"Sa Pilipinas, ang Mandatory Reporting of Notifiable Diseases and Health Events of Public Health Concern Act (Republic Act No. 11332) ay nagtatatag ng mga protocol para sa pagsubaybay at pagtugon sa mga nakakahawang sakit at mga kaganapang pangkalusugan. N"&amp;"arito ang mga pangunahing highlight:
1. Pamagat at Deklarasyon ng Patakaran:
- Ang Batas ay pinamagatang ""Mandatoryong Pag-uulat ng Mga Nababatid na Sakit at Mga Kaganapang Pangkalusugan ng Batas sa Pag-aalala sa Pampublikong Kalusugan.""
- Binibigyang-d"&amp;"iin nito ang pangako ng pamahalaan na pangalagaan ang karapatan ng mga mamamayan sa kalusugan at tiyakin ang maagap na pagsubaybay sa sakit, lalo na para sa mga umuusbong na nakakahawang sakit at epidemya.
2. Kahulugan ng mga Termino:
- Sakit: Tumutukoy s"&amp;"a mga sakit na dulot ng mga partikular na nakakalason na sangkap, pagkakalantad sa trabaho, o mga nakakahawang ahente.
- Pagkontrol sa Sakit: Naglalayong bawasan ang saklaw ng sakit, pagkalat, morbidity, o mortalidad.
- Pagsubaybay sa Sakit: Kinasasangkut"&amp;"an ng sistematikong pagkolekta, pagsusuri, at pagpapakalat ng data para sa pagpaplano at pagsusuri ng pampublikong kalusugan.
- Umuusbong o Muling umuusbong na mga Nakakahawang Sakit: Sumasaklaw sa mga sakit na dati nang hindi nakikita sa mga tao, nakakaa"&amp;"pekto sa maliliit na populasyon, o dulot ng dati nang hindi natukoy na mga ahente.
3. Mga Responsibilidad:
- Ang Kagawaran ng Kalusugan (DOH) at ang mga lokal na katapat nito ay naatasang magpatupad ng mandatoryong pag-uulat ng mga nakakaalam na sakit at "&amp;"mga kaganapang pangkalusugan.
- Nagtatag at nagpapanatili sila ng isang gumaganang sistema ng pagsubaybay at pagtugon sa sakit.
- Ang pag-uulat ay pinadali sa pamamagitan ng paggamit ng Case Investigation Forms (CIF) para sa Kategorya I na mga sakit/syndr"&amp;"ome at Case Report Forms (CRF) para sa Kategorya II na mga sakit/syndrome.
Mahalagang sumunod sa mga kinakailangan sa pag-uulat na ito upang matiyak ang napapanahong pagtuklas at pamamahala ng mga nakakahawang sakit, sa gayon ay mapangalagaan ang kalusuga"&amp;"n at kaligtasan ng publiko sa Pilipinas.")</f>
        <v>Sa Pilipinas, ang Mandatory Reporting of Notifiable Diseases and Health Events of Public Health Concern Act (Republic Act No. 11332) ay nagtatatag ng mga protocol para sa pagsubaybay at pagtugon sa mga nakakahawang sakit at mga kaganapang pangkalusugan. Narito ang mga pangunahing highlight:
1. Pamagat at Deklarasyon ng Patakaran:
- Ang Batas ay pinamagatang "Mandatoryong Pag-uulat ng Mga Nababatid na Sakit at Mga Kaganapang Pangkalusugan ng Batas sa Pag-aalala sa Pampublikong Kalusugan."
- Binibigyang-diin nito ang pangako ng pamahalaan na pangalagaan ang karapatan ng mga mamamayan sa kalusugan at tiyakin ang maagap na pagsubaybay sa sakit, lalo na para sa mga umuusbong na nakakahawang sakit at epidemya.
2. Kahulugan ng mga Termino:
- Sakit: Tumutukoy sa mga sakit na dulot ng mga partikular na nakakalason na sangkap, pagkakalantad sa trabaho, o mga nakakahawang ahente.
- Pagkontrol sa Sakit: Naglalayong bawasan ang saklaw ng sakit, pagkalat, morbidity, o mortalidad.
- Pagsubaybay sa Sakit: Kinasasangkutan ng sistematikong pagkolekta, pagsusuri, at pagpapakalat ng data para sa pagpaplano at pagsusuri ng pampublikong kalusugan.
- Umuusbong o Muling umuusbong na mga Nakakahawang Sakit: Sumasaklaw sa mga sakit na dati nang hindi nakikita sa mga tao, nakakaapekto sa maliliit na populasyon, o dulot ng dati nang hindi natukoy na mga ahente.
3. Mga Responsibilidad:
- Ang Kagawaran ng Kalusugan (DOH) at ang mga lokal na katapat nito ay naatasang magpatupad ng mandatoryong pag-uulat ng mga nakakaalam na sakit at mga kaganapang pangkalusugan.
- Nagtatag at nagpapanatili sila ng isang gumaganang sistema ng pagsubaybay at pagtugon sa sakit.
- Ang pag-uulat ay pinadali sa pamamagitan ng paggamit ng Case Investigation Forms (CIF) para sa Kategorya I na mga sakit/syndrome at Case Report Forms (CRF) para sa Kategorya II na mga sakit/syndrome.
Mahalagang sumunod sa mga kinakailangan sa pag-uulat na ito upang matiyak ang napapanahong pagtuklas at pamamahala ng mga nakakahawang sakit, sa gayon ay mapangalagaan ang kalusugan at kaligtasan ng publiko sa Pilipinas.</v>
      </c>
      <c r="F1743" s="2">
        <f t="shared" si="1"/>
        <v>0</v>
      </c>
      <c r="G1743" s="2"/>
      <c r="H1743" s="2"/>
      <c r="I1743" s="2"/>
      <c r="J1743" s="2"/>
      <c r="K1743" s="2"/>
      <c r="L1743" s="2"/>
      <c r="M1743" s="2"/>
      <c r="N1743" s="2"/>
      <c r="O1743" s="2"/>
      <c r="P1743" s="2"/>
      <c r="Q1743" s="2"/>
      <c r="R1743" s="2"/>
      <c r="S1743" s="2"/>
      <c r="T1743" s="2"/>
      <c r="U1743" s="2"/>
      <c r="V1743" s="2"/>
      <c r="W1743" s="2"/>
      <c r="X1743" s="2"/>
      <c r="Y1743" s="2"/>
      <c r="Z1743" s="2"/>
      <c r="AA1743" s="2"/>
    </row>
    <row r="1744">
      <c r="A1744" s="1" t="s">
        <v>4337</v>
      </c>
      <c r="B1744" s="1" t="s">
        <v>4534</v>
      </c>
      <c r="C1744" s="1" t="s">
        <v>4535</v>
      </c>
      <c r="D1744" s="2" t="str">
        <f>IFERROR(__xludf.DUMMYFUNCTION("GOOGLETRANSLATE(B1744, ""en"", ""TL"")"),"Paano pinoprotektahan ng batas ng Pilipinas ang mga karapatan ng mga manggagawa sa pangangalagang pangkalusugan na nahawahan ng sakit sa tungkulin?")</f>
        <v>Paano pinoprotektahan ng batas ng Pilipinas ang mga karapatan ng mga manggagawa sa pangangalagang pangkalusugan na nahawahan ng sakit sa tungkulin?</v>
      </c>
      <c r="E1744" s="2" t="str">
        <f>IFERROR(__xludf.DUMMYFUNCTION("GOOGLETRANSLATE(C1744, ""en"", ""TL"")"),"Sa Pilipinas, ang iba't ibang batas at regulasyon ay inilalagay upang itaguyod ang mga karapatan ng mga manggagawa sa pangangalagang pangkalusugan, lalo na sa mga kaso kung saan sila ay nagkakasakit habang ginagampanan ang kanilang mga tungkulin. Tuklasin"&amp;" natin ang ilan sa mga probisyong ito:
1. **Universal Health Care Act (Republic Act No. 11223)**:
- Ang batas na ito ay naglalayong magbigay ng komprehensibong saklaw ng kalusugan para sa lahat ng mga Pilipino, na nagbibigay-diin sa pantay na pag-access s"&amp;"a mga de-kalidad na serbisyo sa pangangalagang pangkalusugan.
- Ang mga manggagawa sa pangangalagang pangkalusugan ay may mahalagang papel sa sistemang ito, at tinitiyak ng Batas na ang kanilang mga karapatan ay protektado, na inuuna ang mga hindi kayang "&amp;"bayaran ang mga serbisyo sa pangangalagang pangkalusugan¹.
2. **Proteksyon mula sa Mga Sakit na Walang Gamot**:
- Ang mga tagapag-empleyo ay binibigyang kapangyarihan na paghiwalayin ang isang empleyado kung sila ay masuri na may sakit na walang lunas sa "&amp;"loob ng anim na buwan, na sertipikado ng isang pampublikong awtoridad sa kalusugan.
- Sa mga kaso kung saan ang sakit ay magagamot sa loob ng tinukoy na takdang panahon, ang mga empleyado ay maaaring bigyan ng leave of absence kaysa sa pagwawakas²⁶.
3. **"&amp;"PhilHealth Coverage para sa Healthcare Workers**:
- Ang Philippine Health Insurance Corporation (PhilHealth) ay nagpapalawak ng buong hospitalization coverage sa mga medikal na frontliner at kaalyadong manggagawa na may COVID-19 sa panahon ng patuloy na p"&amp;"andemya³.
4. **Occupational Safety and Health Standards Act (Republic Act No. 11058)**:
- Ang batas na ito ay idinisenyo upang matiyak ang kalusugan at kaligtasan ng mga manggagawa sa iba't ibang industriya, kabilang ang pangangalagang pangkalusugan.
- Ti"&amp;"nutugunan nito ang mga panganib sa kalusugan at mga pinsalang nauugnay sa mga kapaligiran sa lugar ng trabaho, na nag-aalok ng mga proteksyon sa mga manggagawa sa pangangalagang pangkalusugan⁷.
5. **Mandatoryong Pag-uulat ng Mga Nababatid na Sakit at Pang"&amp;"kalusugan na mga Pangyayari (Republic Act No. 11332)**:
- Ang Batas na ito ay nagtatatag ng isang mekanismo para sa pag-uulat ng mga sakit na mapapansin at mga kaganapan sa pampublikong kalusugan.
- Nakakatulong ito sa pangangalaga sa kalusugan ng publiko"&amp;" sa pamamagitan ng pagpapadali sa mga napapanahong pagtugon sa mga banta sa kalusugan⁴.
6. **Mga Karapatan na Kaugnay ng HIV (Republic Act No. 11166)**:
- Bagama't hindi partikular sa mga nakakahawang sakit, binibigyang-diin ng batas na ito ang responsibi"&amp;"lidad ng mga tagapagbigay ng pangangalagang pangkalusugan sa pagpigil at pamamahala sa pagkalat ng HIV at AIDS.
- Kasama rin dito ang mga probisyon na tumutugon sa mga etikal na pagsasaalang-alang na may kaugnayan sa HIV⁵.
Ang mga batas na ito ay sama-sam"&amp;"ang gumaganap ng mahalagang papel sa pagtiyak ng mga karapatan at kapakanan ng mga manggagawa sa pangangalagang pangkalusugan sa buong Pilipinas.")</f>
        <v>Sa Pilipinas, ang iba't ibang batas at regulasyon ay inilalagay upang itaguyod ang mga karapatan ng mga manggagawa sa pangangalagang pangkalusugan, lalo na sa mga kaso kung saan sila ay nagkakasakit habang ginagampanan ang kanilang mga tungkulin. Tuklasin natin ang ilan sa mga probisyong ito:
1. **Universal Health Care Act (Republic Act No. 11223)**:
- Ang batas na ito ay naglalayong magbigay ng komprehensibong saklaw ng kalusugan para sa lahat ng mga Pilipino, na nagbibigay-diin sa pantay na pag-access sa mga de-kalidad na serbisyo sa pangangalagang pangkalusugan.
- Ang mga manggagawa sa pangangalagang pangkalusugan ay may mahalagang papel sa sistemang ito, at tinitiyak ng Batas na ang kanilang mga karapatan ay protektado, na inuuna ang mga hindi kayang bayaran ang mga serbisyo sa pangangalagang pangkalusugan¹.
2. **Proteksyon mula sa Mga Sakit na Walang Gamot**:
- Ang mga tagapag-empleyo ay binibigyang kapangyarihan na paghiwalayin ang isang empleyado kung sila ay masuri na may sakit na walang lunas sa loob ng anim na buwan, na sertipikado ng isang pampublikong awtoridad sa kalusugan.
- Sa mga kaso kung saan ang sakit ay magagamot sa loob ng tinukoy na takdang panahon, ang mga empleyado ay maaaring bigyan ng leave of absence kaysa sa pagwawakas²⁶.
3. **PhilHealth Coverage para sa Healthcare Workers**:
- Ang Philippine Health Insurance Corporation (PhilHealth) ay nagpapalawak ng buong hospitalization coverage sa mga medikal na frontliner at kaalyadong manggagawa na may COVID-19 sa panahon ng patuloy na pandemya³.
4. **Occupational Safety and Health Standards Act (Republic Act No. 11058)**:
- Ang batas na ito ay idinisenyo upang matiyak ang kalusugan at kaligtasan ng mga manggagawa sa iba't ibang industriya, kabilang ang pangangalagang pangkalusugan.
- Tinutugunan nito ang mga panganib sa kalusugan at mga pinsalang nauugnay sa mga kapaligiran sa lugar ng trabaho, na nag-aalok ng mga proteksyon sa mga manggagawa sa pangangalagang pangkalusugan⁷.
5. **Mandatoryong Pag-uulat ng Mga Nababatid na Sakit at Pangkalusugan na mga Pangyayari (Republic Act No. 11332)**:
- Ang Batas na ito ay nagtatatag ng isang mekanismo para sa pag-uulat ng mga sakit na mapapansin at mga kaganapan sa pampublikong kalusugan.
- Nakakatulong ito sa pangangalaga sa kalusugan ng publiko sa pamamagitan ng pagpapadali sa mga napapanahong pagtugon sa mga banta sa kalusugan⁴.
6. **Mga Karapatan na Kaugnay ng HIV (Republic Act No. 11166)**:
- Bagama't hindi partikular sa mga nakakahawang sakit, binibigyang-diin ng batas na ito ang responsibilidad ng mga tagapagbigay ng pangangalagang pangkalusugan sa pagpigil at pamamahala sa pagkalat ng HIV at AIDS.
- Kasama rin dito ang mga probisyon na tumutugon sa mga etikal na pagsasaalang-alang na may kaugnayan sa HIV⁵.
Ang mga batas na ito ay sama-samang gumaganap ng mahalagang papel sa pagtiyak ng mga karapatan at kapakanan ng mga manggagawa sa pangangalagang pangkalusugan sa buong Pilipinas.</v>
      </c>
      <c r="F1744" s="2">
        <f t="shared" si="1"/>
        <v>0</v>
      </c>
      <c r="G1744" s="2"/>
      <c r="H1744" s="2"/>
      <c r="I1744" s="2"/>
      <c r="J1744" s="2"/>
      <c r="K1744" s="2"/>
      <c r="L1744" s="2"/>
      <c r="M1744" s="2"/>
      <c r="N1744" s="2"/>
      <c r="O1744" s="2"/>
      <c r="P1744" s="2"/>
      <c r="Q1744" s="2"/>
      <c r="R1744" s="2"/>
      <c r="S1744" s="2"/>
      <c r="T1744" s="2"/>
      <c r="U1744" s="2"/>
      <c r="V1744" s="2"/>
      <c r="W1744" s="2"/>
      <c r="X1744" s="2"/>
      <c r="Y1744" s="2"/>
      <c r="Z1744" s="2"/>
      <c r="AA1744" s="2"/>
    </row>
    <row r="1745">
      <c r="A1745" s="1" t="s">
        <v>4337</v>
      </c>
      <c r="B1745" s="1" t="s">
        <v>4536</v>
      </c>
      <c r="C1745" s="1" t="s">
        <v>4537</v>
      </c>
      <c r="D1745" s="2" t="str">
        <f>IFERROR(__xludf.DUMMYFUNCTION("GOOGLETRANSLATE(B1745, ""en"", ""TL"")"),"Ano ang mga partikular na legal na obligasyon ng mga institusyong pangkalusugan tungkol sa kaligtasan ng pasyente at kalidad ng pangangalaga?")</f>
        <v>Ano ang mga partikular na legal na obligasyon ng mga institusyong pangkalusugan tungkol sa kaligtasan ng pasyente at kalidad ng pangangalaga?</v>
      </c>
      <c r="E1745" s="2" t="str">
        <f>IFERROR(__xludf.DUMMYFUNCTION("GOOGLETRANSLATE(C1745, ""en"", ""TL"")"),"Sa Pilipinas, legal na obligado ang mga institusyong pangkalusugan na tiyakin ang kaligtasan ng pasyente at magbigay ng de-kalidad na pangangalaga. Tuklasin natin ang mga karapatan at responsibilidad ng parehong mga pasyente at tagapagbigay ng pangangalag"&amp;"ang pangkalusugan:
Mga Karapatan ng Pasyente:
1. Karapatan na Ma-access ang Pangangalagang Pangkalusugan: Ang bawat indibidwal ay may karapatan na ma-access ang mga serbisyo ng pangangalagang pangkalusugan nang hindi nahaharap sa diskriminasyon batay sa i"&amp;"ba't ibang salik, kabilang ang katayuan sa socioeconomic o relihiyon. Dapat ibigay ang pangangalagang pangkalusugan anuman ang kakayahan ng pasyente na magbayad.
2. Karapatan sa May Kaalaman na Pahintulot: Ang mga pasyente ay dapat makatanggap ng kumpleto"&amp;"ng impormasyon tungkol sa kanilang kondisyong medikal, mga opsyon sa paggamot, mga panganib, mga benepisyo, at mga alternatibo bago sumailalim sa anumang medikal na pamamaraan. Nirerespeto ng may kaalamang pahintulot ang awtonomiya at kakayahan ng mga pas"&amp;"yente sa paggawa ng desisyon.
3. Karapatan sa Pagkapribado at Pagiging Kompidensyal: Ang medikal na impormasyon ng mga pasyente ay dapat panatilihing kumpidensyal, at ang mga tagapagbigay ng pangangalagang pangkalusugan ay legal na obligado na pangalagaan"&amp;" ang privacy ng mga pasyente sa pamamagitan ng pagsisiwalat ng impormasyon lamang sa mga awtorisadong indibidwal para sa mga layunin ng pangangalagang pangkalusugan.
4. Karapatan sa De-kalidad na Pangangalaga: Ang mga pasyente ay may karapatan na makatang"&amp;"gap ng mga serbisyo sa pangangalagang pangkalusugan na nakakatugon sa mga tinatanggap na pamantayang medikal, kabilang ang tumpak na pagsusuri, paggamot na nakabatay sa ebidensya, at magalang na paggamot ng mga tagapagbigay ng pangangalagang pangkalusugan"&amp;".
Mga Responsibilidad ng Tagapagbigay ng Pangangalagang Pangkalusugan:
1. Igalang ang Mga Karapatan ng Pasyente: Dapat igalang ng mga tagapagbigay ng pangangalagang pangkalusugan ang awtonomiya ng mga pasyente, kumuha ng kaalamang pahintulot, protektahan "&amp;"ang privacy, at igalang ang mga desisyon ng mga pasyente.
2. Magbigay ng Ligtas at De-kalidad na Pangangalaga: Ang mga tagapagbigay ng pangangalagang pangkalusugan ay may pananagutan sa pagsunod sa mga propesyonal na pamantayan, pagsunod sa mga alituntuni"&amp;"n na nakabatay sa ebidensya, at pagsasanay sa loob ng kanilang kadalubhasaan at kakayahan upang matiyak ang kaligtasan ng pasyente at maghatid ng de-kalidad na pangangalaga.
Bukod pa rito, ang iba't ibang mga batas at regulasyon sa Pilipinas ay direktang "&amp;"nakakaapekto sa mga institusyon ng pangangalagang pangkalusugan, tulad ng Philippine Hospital Licensing Act, Magna Carta for Public Health Workers, at ang Mandatory Reporting of Notifiable Diseases and Health Events of Public Health Concern Act. Tinutugun"&amp;"an ng mga batas na ito ang mga kinakailangan sa paglilisensya, mga karapatan ng pasyente, at ang mga responsibilidad ng mga manggagawa sa pangangalagang pangkalusugan.
Bukod dito, ang Universal Health Care Act (Republic Act No. 11223) ay pinagtibay upang "&amp;"magtatag ng pangkalahatang pangangalagang pangkalusugan para sa lahat ng Pilipino, magpatupad ng mga reporma sa sistema ng pangangalagang pangkalusugan, at maglaan ng mga pondo para sa mga layuning ito.")</f>
        <v>Sa Pilipinas, legal na obligado ang mga institusyong pangkalusugan na tiyakin ang kaligtasan ng pasyente at magbigay ng de-kalidad na pangangalaga. Tuklasin natin ang mga karapatan at responsibilidad ng parehong mga pasyente at tagapagbigay ng pangangalagang pangkalusugan:
Mga Karapatan ng Pasyente:
1. Karapatan na Ma-access ang Pangangalagang Pangkalusugan: Ang bawat indibidwal ay may karapatan na ma-access ang mga serbisyo ng pangangalagang pangkalusugan nang hindi nahaharap sa diskriminasyon batay sa iba't ibang salik, kabilang ang katayuan sa socioeconomic o relihiyon. Dapat ibigay ang pangangalagang pangkalusugan anuman ang kakayahan ng pasyente na magbayad.
2. Karapatan sa May Kaalaman na Pahintulot: Ang mga pasyente ay dapat makatanggap ng kumpletong impormasyon tungkol sa kanilang kondisyong medikal, mga opsyon sa paggamot, mga panganib, mga benepisyo, at mga alternatibo bago sumailalim sa anumang medikal na pamamaraan. Nirerespeto ng may kaalamang pahintulot ang awtonomiya at kakayahan ng mga pasyente sa paggawa ng desisyon.
3. Karapatan sa Pagkapribado at Pagiging Kompidensyal: Ang medikal na impormasyon ng mga pasyente ay dapat panatilihing kumpidensyal, at ang mga tagapagbigay ng pangangalagang pangkalusugan ay legal na obligado na pangalagaan ang privacy ng mga pasyente sa pamamagitan ng pagsisiwalat ng impormasyon lamang sa mga awtorisadong indibidwal para sa mga layunin ng pangangalagang pangkalusugan.
4. Karapatan sa De-kalidad na Pangangalaga: Ang mga pasyente ay may karapatan na makatanggap ng mga serbisyo sa pangangalagang pangkalusugan na nakakatugon sa mga tinatanggap na pamantayang medikal, kabilang ang tumpak na pagsusuri, paggamot na nakabatay sa ebidensya, at magalang na paggamot ng mga tagapagbigay ng pangangalagang pangkalusugan.
Mga Responsibilidad ng Tagapagbigay ng Pangangalagang Pangkalusugan:
1. Igalang ang Mga Karapatan ng Pasyente: Dapat igalang ng mga tagapagbigay ng pangangalagang pangkalusugan ang awtonomiya ng mga pasyente, kumuha ng kaalamang pahintulot, protektahan ang privacy, at igalang ang mga desisyon ng mga pasyente.
2. Magbigay ng Ligtas at De-kalidad na Pangangalaga: Ang mga tagapagbigay ng pangangalagang pangkalusugan ay may pananagutan sa pagsunod sa mga propesyonal na pamantayan, pagsunod sa mga alituntunin na nakabatay sa ebidensya, at pagsasanay sa loob ng kanilang kadalubhasaan at kakayahan upang matiyak ang kaligtasan ng pasyente at maghatid ng de-kalidad na pangangalaga.
Bukod pa rito, ang iba't ibang mga batas at regulasyon sa Pilipinas ay direktang nakakaapekto sa mga institusyon ng pangangalagang pangkalusugan, tulad ng Philippine Hospital Licensing Act, Magna Carta for Public Health Workers, at ang Mandatory Reporting of Notifiable Diseases and Health Events of Public Health Concern Act. Tinutugunan ng mga batas na ito ang mga kinakailangan sa paglilisensya, mga karapatan ng pasyente, at ang mga responsibilidad ng mga manggagawa sa pangangalagang pangkalusugan.
Bukod dito, ang Universal Health Care Act (Republic Act No. 11223) ay pinagtibay upang magtatag ng pangkalahatang pangangalagang pangkalusugan para sa lahat ng Pilipino, magpatupad ng mga reporma sa sistema ng pangangalagang pangkalusugan, at maglaan ng mga pondo para sa mga layuning ito.</v>
      </c>
      <c r="F1745" s="2">
        <f t="shared" si="1"/>
        <v>0</v>
      </c>
      <c r="G1745" s="2"/>
      <c r="H1745" s="2"/>
      <c r="I1745" s="2"/>
      <c r="J1745" s="2"/>
      <c r="K1745" s="2"/>
      <c r="L1745" s="2"/>
      <c r="M1745" s="2"/>
      <c r="N1745" s="2"/>
      <c r="O1745" s="2"/>
      <c r="P1745" s="2"/>
      <c r="Q1745" s="2"/>
      <c r="R1745" s="2"/>
      <c r="S1745" s="2"/>
      <c r="T1745" s="2"/>
      <c r="U1745" s="2"/>
      <c r="V1745" s="2"/>
      <c r="W1745" s="2"/>
      <c r="X1745" s="2"/>
      <c r="Y1745" s="2"/>
      <c r="Z1745" s="2"/>
      <c r="AA1745" s="2"/>
    </row>
    <row r="1746">
      <c r="A1746" s="1" t="s">
        <v>4337</v>
      </c>
      <c r="B1746" s="1" t="s">
        <v>4538</v>
      </c>
      <c r="C1746" s="1" t="s">
        <v>4539</v>
      </c>
      <c r="D1746" s="2" t="str">
        <f>IFERROR(__xludf.DUMMYFUNCTION("GOOGLETRANSLATE(B1746, ""en"", ""TL"")"),"Ano ang mga espesipikong legal na kinakailangan para sa mga manggagamot upang makapagsagawa ng medisina sa Pilipinas?")</f>
        <v>Ano ang mga espesipikong legal na kinakailangan para sa mga manggagamot upang makapagsagawa ng medisina sa Pilipinas?</v>
      </c>
      <c r="E1746" s="2" t="str">
        <f>IFERROR(__xludf.DUMMYFUNCTION("GOOGLETRANSLATE(C1746, ""en"", ""TL"")"),"Sa Pilipinas, ang mga manggagamot ay kinakailangang tuparin ang mga partikular na legal na pamantayan para magsanay ng medisina, kabilang ang:
Mga Pamantayan sa Pagiging Karapat-dapat:
1. Kinakailangang Edad: Ang mga aplikante ay dapat na hindi bababa"&amp;" sa dalawampu't isang taong gulang.
2. Pagpasa sa Board Examination: Dapat silang pumasa sa kaukulang Board Examination para sa medisina.
3. Sertipiko ng Pagpaparehistro: Ang mga aplikante ay dapat magkaroon ng wastong Sertipiko ng Pagpaparehistro na in"&amp;"isyu ng Lupon ng mga Medical Examiner.
Mga Karagdagang Kinakailangan para sa Lisensya ng Doktor:
1. PSA Birth Certificate: Katibayan ng kapanganakan mula sa Philippine Statistics Authority (PSA).
2. Kontrata sa Kasal ng PSA (para sa mga babaeng may a"&amp;"sawang aplikante): Kailangan para sa mga aplikanteng may asawang babae.
3. Mga Sertipiko ng Magandang Moral: Ang mga aplikante ay dapat kumuha ng dalawang sertipiko mula sa alinman sa kanilang medikal na paaralan o sa ospital/institusyon kung saan sila n"&amp;"agtapos ng kanilang internship.
Tinitiyak ng mga kinakailangang ito na ang mga manggagamot sa Pilipinas ay nakakatugon sa mga kinakailangang kwalipikasyon at pamantayang etikal para sa medikal na kasanayan.")</f>
        <v>Sa Pilipinas, ang mga manggagamot ay kinakailangang tuparin ang mga partikular na legal na pamantayan para magsanay ng medisina, kabilang ang:
Mga Pamantayan sa Pagiging Karapat-dapat:
1. Kinakailangang Edad: Ang mga aplikante ay dapat na hindi bababa sa dalawampu't isang taong gulang.
2. Pagpasa sa Board Examination: Dapat silang pumasa sa kaukulang Board Examination para sa medisina.
3. Sertipiko ng Pagpaparehistro: Ang mga aplikante ay dapat magkaroon ng wastong Sertipiko ng Pagpaparehistro na inisyu ng Lupon ng mga Medical Examiner.
Mga Karagdagang Kinakailangan para sa Lisensya ng Doktor:
1. PSA Birth Certificate: Katibayan ng kapanganakan mula sa Philippine Statistics Authority (PSA).
2. Kontrata sa Kasal ng PSA (para sa mga babaeng may asawang aplikante): Kailangan para sa mga aplikanteng may asawang babae.
3. Mga Sertipiko ng Magandang Moral: Ang mga aplikante ay dapat kumuha ng dalawang sertipiko mula sa alinman sa kanilang medikal na paaralan o sa ospital/institusyon kung saan sila nagtapos ng kanilang internship.
Tinitiyak ng mga kinakailangang ito na ang mga manggagamot sa Pilipinas ay nakakatugon sa mga kinakailangang kwalipikasyon at pamantayang etikal para sa medikal na kasanayan.</v>
      </c>
      <c r="F1746" s="2">
        <f t="shared" si="1"/>
        <v>0</v>
      </c>
      <c r="G1746" s="2"/>
      <c r="H1746" s="2"/>
      <c r="I1746" s="2"/>
      <c r="J1746" s="2"/>
      <c r="K1746" s="2"/>
      <c r="L1746" s="2"/>
      <c r="M1746" s="2"/>
      <c r="N1746" s="2"/>
      <c r="O1746" s="2"/>
      <c r="P1746" s="2"/>
      <c r="Q1746" s="2"/>
      <c r="R1746" s="2"/>
      <c r="S1746" s="2"/>
      <c r="T1746" s="2"/>
      <c r="U1746" s="2"/>
      <c r="V1746" s="2"/>
      <c r="W1746" s="2"/>
      <c r="X1746" s="2"/>
      <c r="Y1746" s="2"/>
      <c r="Z1746" s="2"/>
      <c r="AA1746" s="2"/>
    </row>
    <row r="1747">
      <c r="A1747" s="1" t="s">
        <v>4337</v>
      </c>
      <c r="B1747" s="1" t="s">
        <v>4540</v>
      </c>
      <c r="C1747" s="1" t="s">
        <v>4541</v>
      </c>
      <c r="D1747" s="2" t="str">
        <f>IFERROR(__xludf.DUMMYFUNCTION("GOOGLETRANSLATE(B1747, ""en"", ""TL"")"),"Ano ang mga etikal at legal na limitasyon sa mga nars na nakikibahagi sa mga itinalagang gawaing medikal?")</f>
        <v>Ano ang mga etikal at legal na limitasyon sa mga nars na nakikibahagi sa mga itinalagang gawaing medikal?</v>
      </c>
      <c r="E1747" s="2" t="str">
        <f>IFERROR(__xludf.DUMMYFUNCTION("GOOGLETRANSLATE(C1747, ""en"", ""TL"")"),"Sa Pilipinas, ang mga nars ay may mahalagang papel sa paghahatid ng pangangalagang pangkalusugan, ngunit ang kanilang paglahok sa mga itinalagang responsibilidad sa medikal ay pinamamahalaan ng parehong mga prinsipyong etikal at mga legal na regulasyon. T"&amp;"uklasin natin ang mga hadlang na ito:
Mga Etikal na Hangganan:
1. Kakayahan: Ang mga nars ay dapat gumana sa loob ng kanilang hanay ng kasanayan at kadalubhasaan, umiiwas sa mga gawaing lampas sa kanilang pagsasanay.
2. May Kaalaman na Pahintulot: Ang pag"&amp;"tiyak na nauunawaan ng mga pasyente ang mga pamamaraang kanilang pinagdaraanan ay kinakailangan upang igalang ang kanilang awtonomiya.
3. Pagiging Kumpidensyal: Dapat itaguyod ng mga nars ang privacy ng pasyente, na umiiwas sa pagbabahagi ng sensitibong i"&amp;"mpormasyon nang walang wastong pahintulot.
4. Non-Maleficence: Dapat iwasan ng mga nars ang mga aksyon na maaaring makapinsala sa mga pasyente sa pisikal, emosyonal, o mental.
5. Beneficence: Ang pagkilos para sa pinakamahusay na interes ng mga pasyente a"&amp;"y mahalaga para sa pagtataguyod ng kanilang pangkalahatang kagalingan.
6. Pagtataguyod: Ang mga nars ay mga tagapagtaguyod para sa mga pasyente, na tinitiyak na natatanggap nila ang marangal na pangangalaga at naitaguyod ang kanilang mga karapatan.
Mga Le"&amp;"gal na Limitasyon:
1. Republic Act No. 4224: Ang batas na ito ay nagsususog sa ilang mga aspeto ng ""Medical Act of 1959,"" na nagbabalangkas sa komposisyon at mga tungkulin ng Board of Medical Education, na nakakaimpluwensya sa mga kinakailangan at kurik"&amp;"ulum ng medikal na edukasyon.
2. Delegasyon ng Medikal na Awtoridad: Ang mga nars ay maaaring magsagawa ng mga itinalagang gawaing medikal ngunit dapat sumunod sa mga partikular na alituntunin:
- Pangangasiwa: Nagtatrabaho ang mga nars sa ilalim ng pangan"&amp;"gasiwa ng mga lisensyadong doktor o awtorisadong propesyonal sa pangangalagang pangkalusugan.
- Depinisyon ng Gawain: Ang mga itinalagang responsibilidad ay dapat na malinaw na nakabalangkas at nakadokumento.
- Pagsasanay at Kakayahan: Ang mga nars ay dap"&amp;"at makatanggap ng angkop na pagsasanay at magpakita ng kakayahan sa mga itinalagang gawain.
- Legal na Pananagutan: Ang mga nars ay nananatiling legal na may pananagutan para sa kanilang mga aksyon, kahit na iniatas ng iba.
- Saklaw ng Pagsasanay: Dapat n"&amp;"a maunawaan at sundin ng mga nars ang kanilang saklaw ng pagsasanay upang maiwasan ang paglampas sa kanilang mga hangganang propesyonal.
- Kaligtasan ng Pasyente: Ang pagbibigay-priyoridad sa kaligtasan ng pasyente ay pinakamahalaga para sa mga nars kapag"&amp;" gumaganap ng mga itinalagang tungkuling medikal.
Ang pagsunod sa mga limitasyong ito ay nagsisiguro sa pagpapanatili ng mataas na pamantayan ng pangangalaga, pinangangalagaan ang mga interes ng pasyente, at itinataguyod ang integridad ng propesyon ng nar"&amp;"s sa Pilipinas.")</f>
        <v>Sa Pilipinas, ang mga nars ay may mahalagang papel sa paghahatid ng pangangalagang pangkalusugan, ngunit ang kanilang paglahok sa mga itinalagang responsibilidad sa medikal ay pinamamahalaan ng parehong mga prinsipyong etikal at mga legal na regulasyon. Tuklasin natin ang mga hadlang na ito:
Mga Etikal na Hangganan:
1. Kakayahan: Ang mga nars ay dapat gumana sa loob ng kanilang hanay ng kasanayan at kadalubhasaan, umiiwas sa mga gawaing lampas sa kanilang pagsasanay.
2. May Kaalaman na Pahintulot: Ang pagtiyak na nauunawaan ng mga pasyente ang mga pamamaraang kanilang pinagdaraanan ay kinakailangan upang igalang ang kanilang awtonomiya.
3. Pagiging Kumpidensyal: Dapat itaguyod ng mga nars ang privacy ng pasyente, na umiiwas sa pagbabahagi ng sensitibong impormasyon nang walang wastong pahintulot.
4. Non-Maleficence: Dapat iwasan ng mga nars ang mga aksyon na maaaring makapinsala sa mga pasyente sa pisikal, emosyonal, o mental.
5. Beneficence: Ang pagkilos para sa pinakamahusay na interes ng mga pasyente ay mahalaga para sa pagtataguyod ng kanilang pangkalahatang kagalingan.
6. Pagtataguyod: Ang mga nars ay mga tagapagtaguyod para sa mga pasyente, na tinitiyak na natatanggap nila ang marangal na pangangalaga at naitaguyod ang kanilang mga karapatan.
Mga Legal na Limitasyon:
1. Republic Act No. 4224: Ang batas na ito ay nagsususog sa ilang mga aspeto ng "Medical Act of 1959," na nagbabalangkas sa komposisyon at mga tungkulin ng Board of Medical Education, na nakakaimpluwensya sa mga kinakailangan at kurikulum ng medikal na edukasyon.
2. Delegasyon ng Medikal na Awtoridad: Ang mga nars ay maaaring magsagawa ng mga itinalagang gawaing medikal ngunit dapat sumunod sa mga partikular na alituntunin:
- Pangangasiwa: Nagtatrabaho ang mga nars sa ilalim ng pangangasiwa ng mga lisensyadong doktor o awtorisadong propesyonal sa pangangalagang pangkalusugan.
- Depinisyon ng Gawain: Ang mga itinalagang responsibilidad ay dapat na malinaw na nakabalangkas at nakadokumento.
- Pagsasanay at Kakayahan: Ang mga nars ay dapat makatanggap ng angkop na pagsasanay at magpakita ng kakayahan sa mga itinalagang gawain.
- Legal na Pananagutan: Ang mga nars ay nananatiling legal na may pananagutan para sa kanilang mga aksyon, kahit na iniatas ng iba.
- Saklaw ng Pagsasanay: Dapat na maunawaan at sundin ng mga nars ang kanilang saklaw ng pagsasanay upang maiwasan ang paglampas sa kanilang mga hangganang propesyonal.
- Kaligtasan ng Pasyente: Ang pagbibigay-priyoridad sa kaligtasan ng pasyente ay pinakamahalaga para sa mga nars kapag gumaganap ng mga itinalagang tungkuling medikal.
Ang pagsunod sa mga limitasyong ito ay nagsisiguro sa pagpapanatili ng mataas na pamantayan ng pangangalaga, pinangangalagaan ang mga interes ng pasyente, at itinataguyod ang integridad ng propesyon ng nars sa Pilipinas.</v>
      </c>
      <c r="F1747" s="2">
        <f t="shared" si="1"/>
        <v>0</v>
      </c>
      <c r="G1747" s="2"/>
      <c r="H1747" s="2"/>
      <c r="I1747" s="2"/>
      <c r="J1747" s="2"/>
      <c r="K1747" s="2"/>
      <c r="L1747" s="2"/>
      <c r="M1747" s="2"/>
      <c r="N1747" s="2"/>
      <c r="O1747" s="2"/>
      <c r="P1747" s="2"/>
      <c r="Q1747" s="2"/>
      <c r="R1747" s="2"/>
      <c r="S1747" s="2"/>
      <c r="T1747" s="2"/>
      <c r="U1747" s="2"/>
      <c r="V1747" s="2"/>
      <c r="W1747" s="2"/>
      <c r="X1747" s="2"/>
      <c r="Y1747" s="2"/>
      <c r="Z1747" s="2"/>
      <c r="AA1747" s="2"/>
    </row>
    <row r="1748">
      <c r="A1748" s="1" t="s">
        <v>4337</v>
      </c>
      <c r="B1748" s="1" t="s">
        <v>4542</v>
      </c>
      <c r="C1748" s="1" t="s">
        <v>4543</v>
      </c>
      <c r="D1748" s="2" t="str">
        <f>IFERROR(__xludf.DUMMYFUNCTION("GOOGLETRANSLATE(B1748, ""en"", ""TL"")"),"Paano kinokontrol ng batas ang pagsasagawa ng mga kaalyadong medikal na propesyonal tulad ng mga parmasyutiko at mga physical therapist?")</f>
        <v>Paano kinokontrol ng batas ang pagsasagawa ng mga kaalyadong medikal na propesyonal tulad ng mga parmasyutiko at mga physical therapist?</v>
      </c>
      <c r="E1748" s="2" t="str">
        <f>IFERROR(__xludf.DUMMYFUNCTION("GOOGLETRANSLATE(C1748, ""en"", ""TL"")"),"Sa Pilipinas, pinamamahalaan ng mga batas at regulasyon ang pagsasagawa ng mga kaalyadong medikal na propesyonal tulad ng mga parmasyutiko at mga physical therapist, na tinitiyak ang pagsunod sa mga partikular na pamantayan at alituntunin. Tuklasin natin "&amp;"ang mga regulasyong ito:
Universal Health Care Act (Republic Act No. 11223):
- Ang batas na ito, na kilala bilang ""Universal Health Care Act,"" ay binibigyang-diin ang pangako ng pamahalaan na pangalagaan ang karapatan sa kalusugan para sa lahat ng mamam"&amp;"ayan.
- Binibigyang-diin nito ang mga prinsipyo tulad ng komprehensibong accessibility sa serbisyong pangkalusugan, collaborative healthcare system, at people-centered service delivery para makamit ang pangkalahatang saklaw ng kalusugan.
- Ang Batas ay ma"&amp;"y malawak na implikasyon para sa mga propesyonal sa pangangalagang pangkalusugan, kabilang ang mga parmasyutiko at pisikal na therapist, sa pagtiyak ng pantay na pag-access sa de-kalidad na pangangalagang pangkalusugan habang pinapagaan ang mga panganib s"&amp;"a pananalapi.
Regulasyon ng Physical Therapy:
- Ang Professional Regulation Commission (PRC) ang nangangasiwa sa pagsasagawa ng physical therapy sa Pilipinas sa pamamagitan ng Professional Regulatory Board (PRB) para sa Physical Therapy.
- Binibigyan ng R"&amp;"epublic Act 5680 ang PRC ng awtoridad na pangasiwaan at pangasiwaan ang pagsasanay sa physical therapy.
- Upang magsagawa ng physical therapy nang legal, ang mga indibidwal ay dapat kumuha ng reseta mula sa isang rehistradong manggagamot at humawak ng isa"&amp;"ng balidong sertipiko ng pagpaparehistro na inisyu ng Board of Examiners para sa Physical Therapist.
Regulasyon ng Parmasya:
- Ang Philippine Pharmacy Act, na kilala rin bilang Republic Act No. 10918, ay kumokontrol sa pagsasagawa ng parmasya sa bansa.
- "&amp;"Itinatag ng batas na ito ang pangangasiwa, kontrol, at regulasyon ng kasanayan sa parmasya upang matiyak ang pagsunod sa mga pamantayan.
- Kinakailangan ng mga parmasyutiko na sumunod sa mga nauugnay na batas, regulasyon, at Kodigo ng Etika ng propesyon u"&amp;"pang mapanatili ang integridad ng kasanayan sa parmasya.
Ang mga regulasyong ito ay mahalaga para sa pagpapanatili ng mga propesyonal na pamantayan, pag-iingat sa kapakanan ng pasyente, at pagtiyak ng kalidad ng mga serbisyo sa pangangalagang pangkalusuga"&amp;"n na ibinibigay ng mga kaalyadong medikal na propesyonal sa Pilipinas.")</f>
        <v>Sa Pilipinas, pinamamahalaan ng mga batas at regulasyon ang pagsasagawa ng mga kaalyadong medikal na propesyonal tulad ng mga parmasyutiko at mga physical therapist, na tinitiyak ang pagsunod sa mga partikular na pamantayan at alituntunin. Tuklasin natin ang mga regulasyong ito:
Universal Health Care Act (Republic Act No. 11223):
- Ang batas na ito, na kilala bilang "Universal Health Care Act," ay binibigyang-diin ang pangako ng pamahalaan na pangalagaan ang karapatan sa kalusugan para sa lahat ng mamamayan.
- Binibigyang-diin nito ang mga prinsipyo tulad ng komprehensibong accessibility sa serbisyong pangkalusugan, collaborative healthcare system, at people-centered service delivery para makamit ang pangkalahatang saklaw ng kalusugan.
- Ang Batas ay may malawak na implikasyon para sa mga propesyonal sa pangangalagang pangkalusugan, kabilang ang mga parmasyutiko at pisikal na therapist, sa pagtiyak ng pantay na pag-access sa de-kalidad na pangangalagang pangkalusugan habang pinapagaan ang mga panganib sa pananalapi.
Regulasyon ng Physical Therapy:
- Ang Professional Regulation Commission (PRC) ang nangangasiwa sa pagsasagawa ng physical therapy sa Pilipinas sa pamamagitan ng Professional Regulatory Board (PRB) para sa Physical Therapy.
- Binibigyan ng Republic Act 5680 ang PRC ng awtoridad na pangasiwaan at pangasiwaan ang pagsasanay sa physical therapy.
- Upang magsagawa ng physical therapy nang legal, ang mga indibidwal ay dapat kumuha ng reseta mula sa isang rehistradong manggagamot at humawak ng isang balidong sertipiko ng pagpaparehistro na inisyu ng Board of Examiners para sa Physical Therapist.
Regulasyon ng Parmasya:
- Ang Philippine Pharmacy Act, na kilala rin bilang Republic Act No. 10918, ay kumokontrol sa pagsasagawa ng parmasya sa bansa.
- Itinatag ng batas na ito ang pangangasiwa, kontrol, at regulasyon ng kasanayan sa parmasya upang matiyak ang pagsunod sa mga pamantayan.
- Kinakailangan ng mga parmasyutiko na sumunod sa mga nauugnay na batas, regulasyon, at Kodigo ng Etika ng propesyon upang mapanatili ang integridad ng kasanayan sa parmasya.
Ang mga regulasyong ito ay mahalaga para sa pagpapanatili ng mga propesyonal na pamantayan, pag-iingat sa kapakanan ng pasyente, at pagtiyak ng kalidad ng mga serbisyo sa pangangalagang pangkalusugan na ibinibigay ng mga kaalyadong medikal na propesyonal sa Pilipinas.</v>
      </c>
      <c r="F1748" s="2">
        <f t="shared" si="1"/>
        <v>0</v>
      </c>
      <c r="G1748" s="2"/>
      <c r="H1748" s="2"/>
      <c r="I1748" s="2"/>
      <c r="J1748" s="2"/>
      <c r="K1748" s="2"/>
      <c r="L1748" s="2"/>
      <c r="M1748" s="2"/>
      <c r="N1748" s="2"/>
      <c r="O1748" s="2"/>
      <c r="P1748" s="2"/>
      <c r="Q1748" s="2"/>
      <c r="R1748" s="2"/>
      <c r="S1748" s="2"/>
      <c r="T1748" s="2"/>
      <c r="U1748" s="2"/>
      <c r="V1748" s="2"/>
      <c r="W1748" s="2"/>
      <c r="X1748" s="2"/>
      <c r="Y1748" s="2"/>
      <c r="Z1748" s="2"/>
      <c r="AA1748" s="2"/>
    </row>
    <row r="1749">
      <c r="A1749" s="1" t="s">
        <v>4337</v>
      </c>
      <c r="B1749" s="1" t="s">
        <v>4544</v>
      </c>
      <c r="C1749" s="1" t="s">
        <v>4545</v>
      </c>
      <c r="D1749" s="2" t="str">
        <f>IFERROR(__xludf.DUMMYFUNCTION("GOOGLETRANSLATE(B1749, ""en"", ""TL"")"),"Ano ang mga legal na implikasyon ng isang medikal na estudyante o residente na nakikibahagi sa pangangalaga ng pasyente?")</f>
        <v>Ano ang mga legal na implikasyon ng isang medikal na estudyante o residente na nakikibahagi sa pangangalaga ng pasyente?</v>
      </c>
      <c r="E1749" s="2" t="str">
        <f>IFERROR(__xludf.DUMMYFUNCTION("GOOGLETRANSLATE(C1749, ""en"", ""TL"")"),"Sa Pilipinas, ang batas sa pangangalagang pangkalusugan at medikal ay may mahalagang papel sa pagtukoy sa mga karapatan at tungkulin ng mga pasyente gayundin ng mga healthcare practitioner, kabilang ang mga medikal na estudyante at residenteng sangkot sa "&amp;"pangangalaga ng pasyente. Tuklasin natin ang mga legal na implikasyon para sa mga medikal na estudyante at residente sa pangangalaga ng pasyente:
Mga Karapatan ng Pasyente:
Access sa Pangangalagang Pangkalusugan: Ang bawat indibidwal ay may karapatan "&amp;"sa mga serbisyo sa pangangalagang pangkalusugan nang walang diskriminasyon, anuman ang katayuan sa socioeconomic o iba pang mga kadahilanan.
May Kaalaman na Pahintulot: Ang mga pasyente ay dapat na ganap na malaman ang tungkol sa kanilang medikal na kond"&amp;"isyon, mga opsyon sa paggamot, mga panganib, at mga alternatibo bago pumayag sa anumang medikal na pamamaraan.
Pagkapribado at Pagiging Kompidensyal: Ang impormasyon ng pasyente ay dapat panatilihing kumpidensyal, at ang pag-access ay dapat na limitado s"&amp;"a mga awtorisadong tauhan para sa mga layunin ng pangangalagang pangkalusugan lamang.
De-kalidad na Pangangalaga: Ang mga pasyente ay karapat-dapat sa kalidad ng pangangalagang pangkalusugan na sumusunod sa itinatag na mga medikal na pamantayan, na may d"&amp;"ignidad at paggalang mula sa mga tagapagbigay ng pangangalagang pangkalusugan.
Mga Legal na Pagsasaalang-alang para sa mga Medikal na Estudyante at Residente:
Kakayahan: Ang mga medikal na estudyante at residente ay dapat gumana sa loob ng kanilang an"&amp;"tas ng kakayahan, na naghahanap ng patnubay kung kinakailangan upang maiwasan ang pinsala sa kanilang sarili o sa mga pasyente.
May Kaalaman na Pahintulot: Kapag nakikilahok sa pangangalaga ng pasyente, ang pagkuha ng may-kaalamang pahintulot ay mahalaga"&amp;", tinitiyak na nauunawaan ng mga pasyente ang mga pamamaraan at ang mga implikasyon nito.
Pagiging Kompidensyal: Ang mga medikal na estudyante at residente ay dapat na itaguyod ang pagiging kompidensiyal ng pasyente, na umiiwas sa hindi awtorisadong pagb"&amp;"ubunyag ng medikal na impormasyon.
Propesyonalismo: Dapat silang mapanatili ang propesyonal na pag-uugali, sumunod sa mga pamantayang etikal, at magpakita ng paggalang sa lahat ng pakikipag-ugnayan sa mga pasyente, kasamahan, at superyor.
Pangangasiwa: "&amp;"Ang pagtatrabaho sa ilalim ng naaangkop na pangangasiwa ay mahalaga upang matiyak ang kaligtasan ng pasyente at pagsunod sa mga legal na pamantayan.
Pananagutan: Sa kabila ng kanilang katayuan sa pag-aaral, ang mga medikal na estudyante at residente ay m"&amp;"aaaring managot para sa kapabayaan o malpractice, na nangangailangan ng malinaw na pag-unawa sa kanilang mga legal na responsibilidad.
Mga Hamon at Limitasyon:
Mga Programang Internship sa Komunidad: Ang mga programang ito ay nagbibigay ng mga partiku"&amp;"lar na hamon na may kaugnayan sa propesyonalismo, pagiging kompidensiyal, may-kaalamang pahintulot, at interpersonal na dinamika sa loob ng medikal na pangkat.
Ang pagsunod sa legal at etikal na mga prinsipyo ay mahalaga para sa mga medikal na estudyan"&amp;"te at residente upang makapagbigay ng ligtas at mataas na kalidad na pangangalagang pangkalusugan. Ang paghanap ng patnubay, pagbibigay-priyoridad sa kapakanan ng pasyente, at pagtataguyod ng mga propesyonal na pamantayan ay pinakamahalaga sa kanilang pag"&amp;"sasanay.")</f>
        <v>Sa Pilipinas, ang batas sa pangangalagang pangkalusugan at medikal ay may mahalagang papel sa pagtukoy sa mga karapatan at tungkulin ng mga pasyente gayundin ng mga healthcare practitioner, kabilang ang mga medikal na estudyante at residenteng sangkot sa pangangalaga ng pasyente. Tuklasin natin ang mga legal na implikasyon para sa mga medikal na estudyante at residente sa pangangalaga ng pasyente:
Mga Karapatan ng Pasyente:
Access sa Pangangalagang Pangkalusugan: Ang bawat indibidwal ay may karapatan sa mga serbisyo sa pangangalagang pangkalusugan nang walang diskriminasyon, anuman ang katayuan sa socioeconomic o iba pang mga kadahilanan.
May Kaalaman na Pahintulot: Ang mga pasyente ay dapat na ganap na malaman ang tungkol sa kanilang medikal na kondisyon, mga opsyon sa paggamot, mga panganib, at mga alternatibo bago pumayag sa anumang medikal na pamamaraan.
Pagkapribado at Pagiging Kompidensyal: Ang impormasyon ng pasyente ay dapat panatilihing kumpidensyal, at ang pag-access ay dapat na limitado sa mga awtorisadong tauhan para sa mga layunin ng pangangalagang pangkalusugan lamang.
De-kalidad na Pangangalaga: Ang mga pasyente ay karapat-dapat sa kalidad ng pangangalagang pangkalusugan na sumusunod sa itinatag na mga medikal na pamantayan, na may dignidad at paggalang mula sa mga tagapagbigay ng pangangalagang pangkalusugan.
Mga Legal na Pagsasaalang-alang para sa mga Medikal na Estudyante at Residente:
Kakayahan: Ang mga medikal na estudyante at residente ay dapat gumana sa loob ng kanilang antas ng kakayahan, na naghahanap ng patnubay kung kinakailangan upang maiwasan ang pinsala sa kanilang sarili o sa mga pasyente.
May Kaalaman na Pahintulot: Kapag nakikilahok sa pangangalaga ng pasyente, ang pagkuha ng may-kaalamang pahintulot ay mahalaga, tinitiyak na nauunawaan ng mga pasyente ang mga pamamaraan at ang mga implikasyon nito.
Pagiging Kompidensyal: Ang mga medikal na estudyante at residente ay dapat na itaguyod ang pagiging kompidensiyal ng pasyente, na umiiwas sa hindi awtorisadong pagbubunyag ng medikal na impormasyon.
Propesyonalismo: Dapat silang mapanatili ang propesyonal na pag-uugali, sumunod sa mga pamantayang etikal, at magpakita ng paggalang sa lahat ng pakikipag-ugnayan sa mga pasyente, kasamahan, at superyor.
Pangangasiwa: Ang pagtatrabaho sa ilalim ng naaangkop na pangangasiwa ay mahalaga upang matiyak ang kaligtasan ng pasyente at pagsunod sa mga legal na pamantayan.
Pananagutan: Sa kabila ng kanilang katayuan sa pag-aaral, ang mga medikal na estudyante at residente ay maaaring managot para sa kapabayaan o malpractice, na nangangailangan ng malinaw na pag-unawa sa kanilang mga legal na responsibilidad.
Mga Hamon at Limitasyon:
Mga Programang Internship sa Komunidad: Ang mga programang ito ay nagbibigay ng mga partikular na hamon na may kaugnayan sa propesyonalismo, pagiging kompidensiyal, may-kaalamang pahintulot, at interpersonal na dinamika sa loob ng medikal na pangkat.
Ang pagsunod sa legal at etikal na mga prinsipyo ay mahalaga para sa mga medikal na estudyante at residente upang makapagbigay ng ligtas at mataas na kalidad na pangangalagang pangkalusugan. Ang paghanap ng patnubay, pagbibigay-priyoridad sa kapakanan ng pasyente, at pagtataguyod ng mga propesyonal na pamantayan ay pinakamahalaga sa kanilang pagsasanay.</v>
      </c>
      <c r="F1749" s="2">
        <f t="shared" si="1"/>
        <v>0</v>
      </c>
      <c r="G1749" s="2"/>
      <c r="H1749" s="2"/>
      <c r="I1749" s="2"/>
      <c r="J1749" s="2"/>
      <c r="K1749" s="2"/>
      <c r="L1749" s="2"/>
      <c r="M1749" s="2"/>
      <c r="N1749" s="2"/>
      <c r="O1749" s="2"/>
      <c r="P1749" s="2"/>
      <c r="Q1749" s="2"/>
      <c r="R1749" s="2"/>
      <c r="S1749" s="2"/>
      <c r="T1749" s="2"/>
      <c r="U1749" s="2"/>
      <c r="V1749" s="2"/>
      <c r="W1749" s="2"/>
      <c r="X1749" s="2"/>
      <c r="Y1749" s="2"/>
      <c r="Z1749" s="2"/>
      <c r="AA1749" s="2"/>
    </row>
    <row r="1750">
      <c r="A1750" s="1" t="s">
        <v>4337</v>
      </c>
      <c r="B1750" s="1" t="s">
        <v>4546</v>
      </c>
      <c r="C1750" s="1" t="s">
        <v>4547</v>
      </c>
      <c r="D1750" s="2" t="str">
        <f>IFERROR(__xludf.DUMMYFUNCTION("GOOGLETRANSLATE(B1750, ""en"", ""TL"")"),"Paano tinutugunan ng batas ang tungkulin at responsibilidad ng mga tradisyunal at alternatibong mga practitioner ng medisina?")</f>
        <v>Paano tinutugunan ng batas ang tungkulin at responsibilidad ng mga tradisyunal at alternatibong mga practitioner ng medisina?</v>
      </c>
      <c r="E1750" s="2" t="str">
        <f>IFERROR(__xludf.DUMMYFUNCTION("GOOGLETRANSLATE(C1750, ""en"", ""TL"")"),"Ang Traditional and Alternative Medicine Act (TAMA) ng 1997 (Republic Act No. 8423) ay nagbibigay ng legal na balangkas para sa mga tradisyunal at alternatibong medisina sa Pilipinas. Narito ang mga pangunahing punto:
Deklarasyon ng Patakaran:
Ang bat"&amp;"as ay naglalayon na isama ang tradisyonal at alternatibong pangangalagang pangkalusugan sa pambansang sistema ng pangangalagang pangkalusugan upang mapabuti ang mga serbisyo para sa mga Pilipino.
Nilalayon din nitong magtatag ng legal na batayan para sa "&amp;"mga katutubong komunidad na magkaroon ng kanilang kaalaman sa tradisyonal na gamot. Kabilang dito ang pag-aatas ng pagkilala at kabayaran sa pananalapi para sa awtorisadong komersyal na paggamit ng kanilang kaalaman ng mga tagalabas.
Layunin:
Hikayatin "&amp;"ang siyentipikong pananaliksik sa tradisyonal at alternatibong mga sistema ng pangangalagang pangkalusugan upang makinabang sa kalusugan ng publiko.
Isulong ang paggamit ng ligtas, epektibo, at cost-effective na tradisyonal at alternatibong mga kasanayan"&amp;" sa pangangalagang pangkalusugan na nakakatugon sa mga pamantayan ng pamahalaan.
Mag-alok ng mga kurso sa pagsasanay sa kasanayan para sa iba't ibang tradisyonal at alternatibong mga modalidad sa pangangalagang pangkalusugan.
Magtatag ng mga pamantayan,"&amp;" alituntunin, at mga etikal na code para sa pagsasanay at paggawa ng mga materyales sa pangangalagang pangkalusugan.
Protektahan ang mga katutubong at likas na yaman ng kalusugan mula sa pagsasamantala.
Pahusayin ang papel ng tradisyonal at alternatibon"&amp;"g mga sistema ng paghahatid ng pangangalagang pangkalusugan.
Isulong ang tradisyonal at alternatibong pangangalagang pangkalusugan sa pambansa at internasyonal na konteksto.
Philippine Institute of Traditional and Alternative Health Care (PITAHC):
Itin"&amp;"atag ng TAMA, ang PITAHC ay may tungkuling isulong ang tradisyonal at alternatibong pagpapaunlad ng pangangalagang pangkalusugan sa Pilipinas.
Ang PITAHC ay nagsasagawa ng mga programa sa pagsasanay para sa mga propesyonal sa kalusugan, mga siyentipiko, "&amp;"at mga manggagawa sa extension sa larangang ito.
Sa esensya, kinikilala ng batas ang kahalagahan ng tradisyonal at alternatibong gamot, sumusuporta sa pananaliksik, at nagtatakda ng mga alituntunin upang matiyak ang ligtas at epektibong mga kasanayan sa "&amp;"loob ng sistema ng pangangalagang pangkalusugan. Para sa mas detalyadong impormasyon, ang buong teksto ng Traditional and Alternative Medicine Act of 1997 ay available para sanggunian.")</f>
        <v>Ang Traditional and Alternative Medicine Act (TAMA) ng 1997 (Republic Act No. 8423) ay nagbibigay ng legal na balangkas para sa mga tradisyunal at alternatibong medisina sa Pilipinas. Narito ang mga pangunahing punto:
Deklarasyon ng Patakaran:
Ang batas ay naglalayon na isama ang tradisyonal at alternatibong pangangalagang pangkalusugan sa pambansang sistema ng pangangalagang pangkalusugan upang mapabuti ang mga serbisyo para sa mga Pilipino.
Nilalayon din nitong magtatag ng legal na batayan para sa mga katutubong komunidad na magkaroon ng kanilang kaalaman sa tradisyonal na gamot. Kabilang dito ang pag-aatas ng pagkilala at kabayaran sa pananalapi para sa awtorisadong komersyal na paggamit ng kanilang kaalaman ng mga tagalabas.
Layunin:
Hikayatin ang siyentipikong pananaliksik sa tradisyonal at alternatibong mga sistema ng pangangalagang pangkalusugan upang makinabang sa kalusugan ng publiko.
Isulong ang paggamit ng ligtas, epektibo, at cost-effective na tradisyonal at alternatibong mga kasanayan sa pangangalagang pangkalusugan na nakakatugon sa mga pamantayan ng pamahalaan.
Mag-alok ng mga kurso sa pagsasanay sa kasanayan para sa iba't ibang tradisyonal at alternatibong mga modalidad sa pangangalagang pangkalusugan.
Magtatag ng mga pamantayan, alituntunin, at mga etikal na code para sa pagsasanay at paggawa ng mga materyales sa pangangalagang pangkalusugan.
Protektahan ang mga katutubong at likas na yaman ng kalusugan mula sa pagsasamantala.
Pahusayin ang papel ng tradisyonal at alternatibong mga sistema ng paghahatid ng pangangalagang pangkalusugan.
Isulong ang tradisyonal at alternatibong pangangalagang pangkalusugan sa pambansa at internasyonal na konteksto.
Philippine Institute of Traditional and Alternative Health Care (PITAHC):
Itinatag ng TAMA, ang PITAHC ay may tungkuling isulong ang tradisyonal at alternatibong pagpapaunlad ng pangangalagang pangkalusugan sa Pilipinas.
Ang PITAHC ay nagsasagawa ng mga programa sa pagsasanay para sa mga propesyonal sa kalusugan, mga siyentipiko, at mga manggagawa sa extension sa larangang ito.
Sa esensya, kinikilala ng batas ang kahalagahan ng tradisyonal at alternatibong gamot, sumusuporta sa pananaliksik, at nagtatakda ng mga alituntunin upang matiyak ang ligtas at epektibong mga kasanayan sa loob ng sistema ng pangangalagang pangkalusugan. Para sa mas detalyadong impormasyon, ang buong teksto ng Traditional and Alternative Medicine Act of 1997 ay available para sanggunian.</v>
      </c>
      <c r="F1750" s="2">
        <f t="shared" si="1"/>
        <v>0</v>
      </c>
      <c r="G1750" s="2"/>
      <c r="H1750" s="2"/>
      <c r="I1750" s="2"/>
      <c r="J1750" s="2"/>
      <c r="K1750" s="2"/>
      <c r="L1750" s="2"/>
      <c r="M1750" s="2"/>
      <c r="N1750" s="2"/>
      <c r="O1750" s="2"/>
      <c r="P1750" s="2"/>
      <c r="Q1750" s="2"/>
      <c r="R1750" s="2"/>
      <c r="S1750" s="2"/>
      <c r="T1750" s="2"/>
      <c r="U1750" s="2"/>
      <c r="V1750" s="2"/>
      <c r="W1750" s="2"/>
      <c r="X1750" s="2"/>
      <c r="Y1750" s="2"/>
      <c r="Z1750" s="2"/>
      <c r="AA1750" s="2"/>
    </row>
    <row r="1751">
      <c r="A1751" s="1" t="s">
        <v>4337</v>
      </c>
      <c r="B1751" s="1" t="s">
        <v>4548</v>
      </c>
      <c r="C1751" s="1" t="s">
        <v>4549</v>
      </c>
      <c r="D1751" s="2" t="str">
        <f>IFERROR(__xludf.DUMMYFUNCTION("GOOGLETRANSLATE(B1751, ""en"", ""TL"")"),"Ano ang mga legal na hakbang na kasangkot sa paghahain ng reklamo laban sa isang medikal na propesyonal sa Pilipinas?")</f>
        <v>Ano ang mga legal na hakbang na kasangkot sa paghahain ng reklamo laban sa isang medikal na propesyonal sa Pilipinas?</v>
      </c>
      <c r="E1751" s="2" t="str">
        <f>IFERROR(__xludf.DUMMYFUNCTION("GOOGLETRANSLATE(C1751, ""en"", ""TL"")"),"Humingi ng Legal na Payo: Inirerekomenda na kumunsulta sa isang abogado na may kadalubhasaan sa paghawak ng mga kaso ng malpractice sa medikal, dahil sa kanilang mga pagkasalimuot.
Magtipon ng Ebidensya: Kabilang dito ang pagkolekta ng mga nauugnay na ebi"&amp;"densya gaya ng mga medikal na rekord, mga account ng saksi, at mga opinyon ng eksperto upang suportahan ang iyong kaso.
Magsumite ng Pormal na Reklamo: Maghain ng opisyal na reklamo sa Philippine Medical Association (PMA) o direkta sa korte, ayon sa patnu"&amp;"bay na ibinigay ng iyong legal na tagapayo.")</f>
        <v>Humingi ng Legal na Payo: Inirerekomenda na kumunsulta sa isang abogado na may kadalubhasaan sa paghawak ng mga kaso ng malpractice sa medikal, dahil sa kanilang mga pagkasalimuot.
Magtipon ng Ebidensya: Kabilang dito ang pagkolekta ng mga nauugnay na ebidensya gaya ng mga medikal na rekord, mga account ng saksi, at mga opinyon ng eksperto upang suportahan ang iyong kaso.
Magsumite ng Pormal na Reklamo: Maghain ng opisyal na reklamo sa Philippine Medical Association (PMA) o direkta sa korte, ayon sa patnubay na ibinigay ng iyong legal na tagapayo.</v>
      </c>
      <c r="F1751" s="2">
        <f t="shared" si="1"/>
        <v>0</v>
      </c>
      <c r="G1751" s="2"/>
      <c r="H1751" s="2"/>
      <c r="I1751" s="2"/>
      <c r="J1751" s="2"/>
      <c r="K1751" s="2"/>
      <c r="L1751" s="2"/>
      <c r="M1751" s="2"/>
      <c r="N1751" s="2"/>
      <c r="O1751" s="2"/>
      <c r="P1751" s="2"/>
      <c r="Q1751" s="2"/>
      <c r="R1751" s="2"/>
      <c r="S1751" s="2"/>
      <c r="T1751" s="2"/>
      <c r="U1751" s="2"/>
      <c r="V1751" s="2"/>
      <c r="W1751" s="2"/>
      <c r="X1751" s="2"/>
      <c r="Y1751" s="2"/>
      <c r="Z1751" s="2"/>
      <c r="AA1751" s="2"/>
    </row>
    <row r="1752">
      <c r="A1752" s="1" t="s">
        <v>4337</v>
      </c>
      <c r="B1752" s="1" t="s">
        <v>4550</v>
      </c>
      <c r="C1752" s="1" t="s">
        <v>4551</v>
      </c>
      <c r="D1752" s="2" t="str">
        <f>IFERROR(__xludf.DUMMYFUNCTION("GOOGLETRANSLATE(B1752, ""en"", ""TL"")"),"Paano pinangangasiwaan ng legal na sistema sa Pilipinas ang mga demanda sa medical malpractice?")</f>
        <v>Paano pinangangasiwaan ng legal na sistema sa Pilipinas ang mga demanda sa medical malpractice?</v>
      </c>
      <c r="E1752" s="2" t="str">
        <f>IFERROR(__xludf.DUMMYFUNCTION("GOOGLETRANSLATE(C1752, ""en"", ""TL"")"),"Sa Pilipinas, ang mga kaso ng malpractice sa medikal ay karaniwang kinokontrol ng Civil Code, Medical Act of 1959, at iba pang naaangkop na batas at regulasyon. Tinutukoy ng mga batas na ito ang mga obligasyon at responsibilidad ng mga healthcare practiti"&amp;"oner, mga karapatan ng pasyente, at mga legal na remedyo sa mga kaso ng pagpapabaya sa medikal.")</f>
        <v>Sa Pilipinas, ang mga kaso ng malpractice sa medikal ay karaniwang kinokontrol ng Civil Code, Medical Act of 1959, at iba pang naaangkop na batas at regulasyon. Tinutukoy ng mga batas na ito ang mga obligasyon at responsibilidad ng mga healthcare practitioner, mga karapatan ng pasyente, at mga legal na remedyo sa mga kaso ng pagpapabaya sa medikal.</v>
      </c>
      <c r="F1752" s="2">
        <f t="shared" si="1"/>
        <v>0</v>
      </c>
      <c r="G1752" s="2"/>
      <c r="H1752" s="2"/>
      <c r="I1752" s="2"/>
      <c r="J1752" s="2"/>
      <c r="K1752" s="2"/>
      <c r="L1752" s="2"/>
      <c r="M1752" s="2"/>
      <c r="N1752" s="2"/>
      <c r="O1752" s="2"/>
      <c r="P1752" s="2"/>
      <c r="Q1752" s="2"/>
      <c r="R1752" s="2"/>
      <c r="S1752" s="2"/>
      <c r="T1752" s="2"/>
      <c r="U1752" s="2"/>
      <c r="V1752" s="2"/>
      <c r="W1752" s="2"/>
      <c r="X1752" s="2"/>
      <c r="Y1752" s="2"/>
      <c r="Z1752" s="2"/>
      <c r="AA1752" s="2"/>
    </row>
    <row r="1753">
      <c r="A1753" s="1" t="s">
        <v>4337</v>
      </c>
      <c r="B1753" s="1" t="s">
        <v>4552</v>
      </c>
      <c r="C1753" s="1" t="s">
        <v>4553</v>
      </c>
      <c r="D1753" s="2" t="str">
        <f>IFERROR(__xludf.DUMMYFUNCTION("GOOGLETRANSLATE(B1753, ""en"", ""TL"")"),"Ano ang iba't ibang mga paraan na magagamit para sa paglutas ng mga hindi pagkakaunawaan sa pagitan ng mga pasyente at mga tagapagbigay ng pangangalagang pangkalusugan?")</f>
        <v>Ano ang iba't ibang mga paraan na magagamit para sa paglutas ng mga hindi pagkakaunawaan sa pagitan ng mga pasyente at mga tagapagbigay ng pangangalagang pangkalusugan?</v>
      </c>
      <c r="E1753" s="2" t="str">
        <f>IFERROR(__xludf.DUMMYFUNCTION("GOOGLETRANSLATE(C1753, ""en"", ""TL"")"),"Komunikasyon: Ang paglutas ng salungatan ay nangangailangan ng bukas at tapat na komunikasyon. Pamamagitan: Isaalang-alang ang pagsali sa isang neutral na ikatlong partido upang malutas ang salungatan. Kompromiso: Maging handa na maabot ang gitnang lugar "&amp;"at gumawa ng mga konsesyon. Humingi ng Legal na Payo: Kung ikaw ay nasasangkot sa isang kumplikado o legal na usapin, kumunsulta sa isang abogado.")</f>
        <v>Komunikasyon: Ang paglutas ng salungatan ay nangangailangan ng bukas at tapat na komunikasyon. Pamamagitan: Isaalang-alang ang pagsali sa isang neutral na ikatlong partido upang malutas ang salungatan. Kompromiso: Maging handa na maabot ang gitnang lugar at gumawa ng mga konsesyon. Humingi ng Legal na Payo: Kung ikaw ay nasasangkot sa isang kumplikado o legal na usapin, kumunsulta sa isang abogado.</v>
      </c>
      <c r="F1753" s="2">
        <f t="shared" si="1"/>
        <v>0</v>
      </c>
      <c r="G1753" s="2"/>
      <c r="H1753" s="2"/>
      <c r="I1753" s="2"/>
      <c r="J1753" s="2"/>
      <c r="K1753" s="2"/>
      <c r="L1753" s="2"/>
      <c r="M1753" s="2"/>
      <c r="N1753" s="2"/>
      <c r="O1753" s="2"/>
      <c r="P1753" s="2"/>
      <c r="Q1753" s="2"/>
      <c r="R1753" s="2"/>
      <c r="S1753" s="2"/>
      <c r="T1753" s="2"/>
      <c r="U1753" s="2"/>
      <c r="V1753" s="2"/>
      <c r="W1753" s="2"/>
      <c r="X1753" s="2"/>
      <c r="Y1753" s="2"/>
      <c r="Z1753" s="2"/>
      <c r="AA1753" s="2"/>
    </row>
    <row r="1754">
      <c r="A1754" s="1" t="s">
        <v>4337</v>
      </c>
      <c r="B1754" s="1" t="s">
        <v>4554</v>
      </c>
      <c r="C1754" s="1" t="s">
        <v>4555</v>
      </c>
      <c r="D1754" s="2" t="str">
        <f>IFERROR(__xludf.DUMMYFUNCTION("GOOGLETRANSLATE(B1754, ""en"", ""TL"")"),"Ano ang papel na ginagampanan ng mga ekspertong saksi sa mga kasong medikal na paglilitis sa Pilipinas?")</f>
        <v>Ano ang papel na ginagampanan ng mga ekspertong saksi sa mga kasong medikal na paglilitis sa Pilipinas?</v>
      </c>
      <c r="E1754" s="2" t="str">
        <f>IFERROR(__xludf.DUMMYFUNCTION("GOOGLETRANSLATE(C1754, ""en"", ""TL"")"),"Legal na Pangkalahatang-ideya: Sa Pilipinas, ang mga pagsubok sa medikal na kapabayaan ay madalas na umaasa sa patotoo ng mga ekspertong saksi upang ipakita ang pamantayan ng pangangalaga at kung paano ito nilabag. Ang kawalan ng naturang patotoo ay maaar"&amp;"ing magresulta sa pagtanggi dahil sa kawalan ng malamang na dahilan, dahil ang teknikal na katangian ng mga medikal na kasanayan ay nangangailangan ng espesyal na kaalaman upang hatulan.")</f>
        <v>Legal na Pangkalahatang-ideya: Sa Pilipinas, ang mga pagsubok sa medikal na kapabayaan ay madalas na umaasa sa patotoo ng mga ekspertong saksi upang ipakita ang pamantayan ng pangangalaga at kung paano ito nilabag. Ang kawalan ng naturang patotoo ay maaaring magresulta sa pagtanggi dahil sa kawalan ng malamang na dahilan, dahil ang teknikal na katangian ng mga medikal na kasanayan ay nangangailangan ng espesyal na kaalaman upang hatulan.</v>
      </c>
      <c r="F1754" s="2">
        <f t="shared" si="1"/>
        <v>0</v>
      </c>
      <c r="G1754" s="2"/>
      <c r="H1754" s="2"/>
      <c r="I1754" s="2"/>
      <c r="J1754" s="2"/>
      <c r="K1754" s="2"/>
      <c r="L1754" s="2"/>
      <c r="M1754" s="2"/>
      <c r="N1754" s="2"/>
      <c r="O1754" s="2"/>
      <c r="P1754" s="2"/>
      <c r="Q1754" s="2"/>
      <c r="R1754" s="2"/>
      <c r="S1754" s="2"/>
      <c r="T1754" s="2"/>
      <c r="U1754" s="2"/>
      <c r="V1754" s="2"/>
      <c r="W1754" s="2"/>
      <c r="X1754" s="2"/>
      <c r="Y1754" s="2"/>
      <c r="Z1754" s="2"/>
      <c r="AA1754" s="2"/>
    </row>
    <row r="1755">
      <c r="A1755" s="1" t="s">
        <v>4337</v>
      </c>
      <c r="B1755" s="1" t="s">
        <v>4556</v>
      </c>
      <c r="C1755" s="1" t="s">
        <v>4557</v>
      </c>
      <c r="D1755" s="2" t="str">
        <f>IFERROR(__xludf.DUMMYFUNCTION("GOOGLETRANSLATE(B1755, ""en"", ""TL"")"),"Ano ang mga legal na implikasyon ng palsipikasyon ng mga medikal na rekord sa Pilipinas?")</f>
        <v>Ano ang mga legal na implikasyon ng palsipikasyon ng mga medikal na rekord sa Pilipinas?</v>
      </c>
      <c r="E1755" s="2" t="str">
        <f>IFERROR(__xludf.DUMMYFUNCTION("GOOGLETRANSLATE(C1755, ""en"", ""TL"")"),"Ang pamemeke ng mga medikal na rekord sa Pilipinas ay may malaking legal na kahihinatnan, gaya ng nakabalangkas sa mga nauugnay na batas:
1. Mga Batas sa Falsification: Tinutugunan ng Revised Penal Code ang iba't ibang anyo ng palsipikasyon ng dokument"&amp;"o, anuman ang motibo sa likod nito. Depende sa kalubhaan at epekto ng palsipikasyon, ang mga indibidwal ay maaaring maharap sa mga kasong kriminal o pananagutan sibil.
2. Mga Tukoy na Legal na Probisyon: Ang mga Artikulo 171 at 172 ng Binagong Kodigo P"&amp;"enal ay sumasaklaw sa palsipikasyon ng mga pampublikong opisyal, empleyado, notaryo, at mga ministro ng simbahan, gayundin ang paggamit ng mga huwad na dokumento. Ang mga probisyong ito ay sumasaklaw sa paglikha at paggamit ng mga pekeng medikal na sertip"&amp;"iko, na humahantong sa potensyal na pagkakulong at mga multa.
3. Kamakailang Mga Pagsisikap sa Pambatasan: Sa liwanag ng pandemya ng COVID-19, nagkaroon ng partikular na pagtuon sa mga medikal na sertipiko. Ang iminungkahing batas ay naglalayong pataas"&amp;"in ang mga parusa para sa pamemeke ng mga medikal na sertipiko sa panahon ng pambansang emerhensiya sa kalusugan, kabilang ang mga resulta ng pagsusulit at mga card sa pagbabakuna.
Napakahalagang kilalanin na ang pamemeke ng mga medikal na rekord ay su"&amp;"misira sa tiwala, nagdudulot ng mga panganib sa kalusugan ng publiko, at nagdadala ng malubhang legal na epekto. Ang pagtaguyod ng integridad at katumpakan sa dokumentasyon ng pangangalagang pangkalusugan ay pinakamahalaga.")</f>
        <v>Ang pamemeke ng mga medikal na rekord sa Pilipinas ay may malaking legal na kahihinatnan, gaya ng nakabalangkas sa mga nauugnay na batas:
1. Mga Batas sa Falsification: Tinutugunan ng Revised Penal Code ang iba't ibang anyo ng palsipikasyon ng dokumento, anuman ang motibo sa likod nito. Depende sa kalubhaan at epekto ng palsipikasyon, ang mga indibidwal ay maaaring maharap sa mga kasong kriminal o pananagutan sibil.
2. Mga Tukoy na Legal na Probisyon: Ang mga Artikulo 171 at 172 ng Binagong Kodigo Penal ay sumasaklaw sa palsipikasyon ng mga pampublikong opisyal, empleyado, notaryo, at mga ministro ng simbahan, gayundin ang paggamit ng mga huwad na dokumento. Ang mga probisyong ito ay sumasaklaw sa paglikha at paggamit ng mga pekeng medikal na sertipiko, na humahantong sa potensyal na pagkakulong at mga multa.
3. Kamakailang Mga Pagsisikap sa Pambatasan: Sa liwanag ng pandemya ng COVID-19, nagkaroon ng partikular na pagtuon sa mga medikal na sertipiko. Ang iminungkahing batas ay naglalayong pataasin ang mga parusa para sa pamemeke ng mga medikal na sertipiko sa panahon ng pambansang emerhensiya sa kalusugan, kabilang ang mga resulta ng pagsusulit at mga card sa pagbabakuna.
Napakahalagang kilalanin na ang pamemeke ng mga medikal na rekord ay sumisira sa tiwala, nagdudulot ng mga panganib sa kalusugan ng publiko, at nagdadala ng malubhang legal na epekto. Ang pagtaguyod ng integridad at katumpakan sa dokumentasyon ng pangangalagang pangkalusugan ay pinakamahalaga.</v>
      </c>
      <c r="F1755" s="2">
        <f t="shared" si="1"/>
        <v>0</v>
      </c>
      <c r="G1755" s="2"/>
      <c r="H1755" s="2"/>
      <c r="I1755" s="2"/>
      <c r="J1755" s="2"/>
      <c r="K1755" s="2"/>
      <c r="L1755" s="2"/>
      <c r="M1755" s="2"/>
      <c r="N1755" s="2"/>
      <c r="O1755" s="2"/>
      <c r="P1755" s="2"/>
      <c r="Q1755" s="2"/>
      <c r="R1755" s="2"/>
      <c r="S1755" s="2"/>
      <c r="T1755" s="2"/>
      <c r="U1755" s="2"/>
      <c r="V1755" s="2"/>
      <c r="W1755" s="2"/>
      <c r="X1755" s="2"/>
      <c r="Y1755" s="2"/>
      <c r="Z1755" s="2"/>
      <c r="AA1755" s="2"/>
    </row>
    <row r="1756">
      <c r="A1756" s="1" t="s">
        <v>4337</v>
      </c>
      <c r="B1756" s="1" t="s">
        <v>4558</v>
      </c>
      <c r="C1756" s="1" t="s">
        <v>4559</v>
      </c>
      <c r="D1756" s="2" t="str">
        <f>IFERROR(__xludf.DUMMYFUNCTION("GOOGLETRANSLATE(B1756, ""en"", ""TL"")"),"Paano tinutugunan ng batas ng Pilipinas ang dumaraming paggamit ng artificial intelligence at iba pang mga bagong teknolohiya sa pangangalagang pangkalusugan?")</f>
        <v>Paano tinutugunan ng batas ng Pilipinas ang dumaraming paggamit ng artificial intelligence at iba pang mga bagong teknolohiya sa pangangalagang pangkalusugan?</v>
      </c>
      <c r="E1756" s="2" t="str">
        <f>IFERROR(__xludf.DUMMYFUNCTION("GOOGLETRANSLATE(C1756, ""en"", ""TL"")"),"Kasalukuyang hinahabol ng batas ng Pilipinas ang pagtaas ng paggamit ng artificial intelligence (AI) at iba pang mga bagong teknolohiya sa pangangalagang pangkalusugan. Walang isa, komprehensibong batas na namamahala sa mga teknolohiyang ito, ngunit may m"&amp;"ga patuloy na pagsisikap at umiiral na mga legal na balangkas na bahagyang tumutugon sa espasyong ito.
Narito ang isang breakdown ng kasalukuyang sitwasyon:
* **Mga Inisyatiba sa Pambatasan:**
* **House Bill No. 7396 (inihain noong Marso 1, 2023):** Ang p"&amp;"anukalang batas na ito ay naglalayong itatag ang **Artificial Intelligence Development Authority (AIDA)**. Ang ahensyang ito ay magiging responsable para sa pagbuo at pagpapatupad ng isang pambansang diskarte sa AI. Nilalayon ng panukalang batas na isulon"&amp;"g at i-regulate ang deployment ng mga teknolohiya ng AI sa paraang nagsisiguro sa etikal na paggamit, nagpoprotekta sa mga karapatang pantao, at nagsisilbi sa kabutihan ng publiko.
* **Resolusyon ng Senado Blg. 344 (inihain noong Abril 18, 2017):** Nanawa"&amp;"gan ang resolusyong ito ng pagsisiyasat ng Senado sa mga plano at hakbangin ng pamahalaan para sa pag-maximize ng mga benepisyo ng AI para sa mga Pilipino. * **Mga Umiiral na Kaugnay na Batas:**
* **Ang Konstitusyon ng Pilipinas (1987):** Ginagarantiyahan"&amp;" ng Konstitusyon ang karapatan sa kalusugan (Artikulo II, Seksyon 15) at ang karapatan sa pagkapribado ng impormasyon (Artikulo III, Seksyon 1). Maaaring ilapat ang mga prinsipyong ito upang matiyak na ang AI sa pangangalagang pangkalusugan ay ginagamit s"&amp;"a etika at nirerespeto ang privacy ng pasyente.
* **Republic Act No. 10057 o ang Data Privacy Act of 2012 (DPA):** Pinoprotektahan ng batas na ito ang privacy ng personal na impormasyon, kabilang ang medikal na data. Ito ay gumaganap ng isang papel sa pag"&amp;"tiyak na ang data ng pasyente na nakolekta ng mga AI system ay pinangangasiwaan nang responsable.
**Bagama't walang partikular na batas na direktang kumokontrol sa AI sa pangangalagang pangkalusugan, ang mga hakbangin na ito at mga kasalukuyang batas ay n"&amp;"aglalatag ng batayan para sa mga regulasyon sa hinaharap.** Narito ang ilang potensyal na lugar kung saan maaaring kailanganin ng batas ng Pilipinas na umangkop sa hinaharap:
* **Mga Pamantayan at Sertipikasyon:** Maaaring magtatag ang mga batas ng mga pa"&amp;"mantayan at proseso ng certification para sa mga medikal na device at software na pinapagana ng AI upang matiyak ang kanilang kaligtasan at pagiging epektibo.
* **Panagutan at Transparency:** Maaaring kailanganin ng mga legal na framework na tugunan ang m"&amp;"ga tanong ng pananagutan sa mga kaso kung saan nag-aambag ang AI sa mga medikal na error. Bukod pa rito, maaaring kailanganin ang transparency sa kung paano ginagawa ang mga desisyon ng AI. * **Mga Etikal na Pagsasaalang-alang:** Maaaring kailanganin ng m"&amp;"ga batas na tugunan ang mga etikal na alalahanin na nakapalibot sa AI sa pangangalagang pangkalusugan, gaya ng potensyal na bias sa mga algorithm o diskriminasyon laban sa ilang partikular na pangkat ng pasyente.
Ang legal na tanawin ng Pilipinas tungkol "&amp;"sa AI sa pangangalagang pangkalusugan ay umuunlad. Mahalagang manatiling updated sa mga pag-unlad habang ang mga teknolohiyang ito ay nagiging mas pinagsama sa sistema ng pangangalagang pangkalusugan.")</f>
        <v>Kasalukuyang hinahabol ng batas ng Pilipinas ang pagtaas ng paggamit ng artificial intelligence (AI) at iba pang mga bagong teknolohiya sa pangangalagang pangkalusugan. Walang isa, komprehensibong batas na namamahala sa mga teknolohiyang ito, ngunit may mga patuloy na pagsisikap at umiiral na mga legal na balangkas na bahagyang tumutugon sa espasyong ito.
Narito ang isang breakdown ng kasalukuyang sitwasyon:
* **Mga Inisyatiba sa Pambatasan:**
* **House Bill No. 7396 (inihain noong Marso 1, 2023):** Ang panukalang batas na ito ay naglalayong itatag ang **Artificial Intelligence Development Authority (AIDA)**. Ang ahensyang ito ay magiging responsable para sa pagbuo at pagpapatupad ng isang pambansang diskarte sa AI. Nilalayon ng panukalang batas na isulong at i-regulate ang deployment ng mga teknolohiya ng AI sa paraang nagsisiguro sa etikal na paggamit, nagpoprotekta sa mga karapatang pantao, at nagsisilbi sa kabutihan ng publiko.
* **Resolusyon ng Senado Blg. 344 (inihain noong Abril 18, 2017):** Nanawagan ang resolusyong ito ng pagsisiyasat ng Senado sa mga plano at hakbangin ng pamahalaan para sa pag-maximize ng mga benepisyo ng AI para sa mga Pilipino. * **Mga Umiiral na Kaugnay na Batas:**
* **Ang Konstitusyon ng Pilipinas (1987):** Ginagarantiyahan ng Konstitusyon ang karapatan sa kalusugan (Artikulo II, Seksyon 15) at ang karapatan sa pagkapribado ng impormasyon (Artikulo III, Seksyon 1). Maaaring ilapat ang mga prinsipyong ito upang matiyak na ang AI sa pangangalagang pangkalusugan ay ginagamit sa etika at nirerespeto ang privacy ng pasyente.
* **Republic Act No. 10057 o ang Data Privacy Act of 2012 (DPA):** Pinoprotektahan ng batas na ito ang privacy ng personal na impormasyon, kabilang ang medikal na data. Ito ay gumaganap ng isang papel sa pagtiyak na ang data ng pasyente na nakolekta ng mga AI system ay pinangangasiwaan nang responsable.
**Bagama't walang partikular na batas na direktang kumokontrol sa AI sa pangangalagang pangkalusugan, ang mga hakbangin na ito at mga kasalukuyang batas ay naglalatag ng batayan para sa mga regulasyon sa hinaharap.** Narito ang ilang potensyal na lugar kung saan maaaring kailanganin ng batas ng Pilipinas na umangkop sa hinaharap:
* **Mga Pamantayan at Sertipikasyon:** Maaaring magtatag ang mga batas ng mga pamantayan at proseso ng certification para sa mga medikal na device at software na pinapagana ng AI upang matiyak ang kanilang kaligtasan at pagiging epektibo.
* **Panagutan at Transparency:** Maaaring kailanganin ng mga legal na framework na tugunan ang mga tanong ng pananagutan sa mga kaso kung saan nag-aambag ang AI sa mga medikal na error. Bukod pa rito, maaaring kailanganin ang transparency sa kung paano ginagawa ang mga desisyon ng AI. * **Mga Etikal na Pagsasaalang-alang:** Maaaring kailanganin ng mga batas na tugunan ang mga etikal na alalahanin na nakapalibot sa AI sa pangangalagang pangkalusugan, gaya ng potensyal na bias sa mga algorithm o diskriminasyon laban sa ilang partikular na pangkat ng pasyente.
Ang legal na tanawin ng Pilipinas tungkol sa AI sa pangangalagang pangkalusugan ay umuunlad. Mahalagang manatiling updated sa mga pag-unlad habang ang mga teknolohiyang ito ay nagiging mas pinagsama sa sistema ng pangangalagang pangkalusugan.</v>
      </c>
      <c r="F1756" s="2">
        <f t="shared" si="1"/>
        <v>0</v>
      </c>
      <c r="G1756" s="2"/>
      <c r="H1756" s="2"/>
      <c r="I1756" s="2"/>
      <c r="J1756" s="2"/>
      <c r="K1756" s="2"/>
      <c r="L1756" s="2"/>
      <c r="M1756" s="2"/>
      <c r="N1756" s="2"/>
      <c r="O1756" s="2"/>
      <c r="P1756" s="2"/>
      <c r="Q1756" s="2"/>
      <c r="R1756" s="2"/>
      <c r="S1756" s="2"/>
      <c r="T1756" s="2"/>
      <c r="U1756" s="2"/>
      <c r="V1756" s="2"/>
      <c r="W1756" s="2"/>
      <c r="X1756" s="2"/>
      <c r="Y1756" s="2"/>
      <c r="Z1756" s="2"/>
      <c r="AA1756" s="2"/>
    </row>
    <row r="1757">
      <c r="A1757" s="1" t="s">
        <v>4337</v>
      </c>
      <c r="B1757" s="1" t="s">
        <v>4560</v>
      </c>
      <c r="C1757" s="1" t="s">
        <v>4561</v>
      </c>
      <c r="D1757" s="2" t="str">
        <f>IFERROR(__xludf.DUMMYFUNCTION("GOOGLETRANSLATE(B1757, ""en"", ""TL"")"),"Ano ang mga legal na aspeto ng privacy at seguridad ng data sa konteksto ng mga elektronikong medikal na rekord?")</f>
        <v>Ano ang mga legal na aspeto ng privacy at seguridad ng data sa konteksto ng mga elektronikong medikal na rekord?</v>
      </c>
      <c r="E1757" s="2" t="str">
        <f>IFERROR(__xludf.DUMMYFUNCTION("GOOGLETRANSLATE(C1757, ""en"", ""TL"")"),"Ang Pilipinas ay may ilang legal na aspeto na dapat isaalang-alang hinggil sa data privacy at seguridad ng electronic medical records (EMRs). Narito ang isang breakdown ng mga pangunahing punto:
**Mga Batas sa Privacy ng Data:**
* **Republic Act No. 10173"&amp;" o ang Data Privacy Act of 2012 (DPA):** Ang batas na ito ang pundasyon ng proteksyon sa privacy ng data sa Pilipinas. Nalalapat ito sa pagproseso ng lahat ng personal na impormasyon, kabilang ang data ng kalusugan. Inaatasan ng DPA ang mga tagapagbigay n"&amp;"g pangangalagang pangkalusugan at institusyon na humahawak sa mga EMR na sumunod sa ilang prinsipyo:
* **Lehitimong layunin:** Ang mga EMR ay maaari lamang iproseso para sa mga lehitimong layuning nauugnay sa pangangalagang pangkalusugan, tulad ng pagsusu"&amp;"ri, paggamot, at pananaliksik (na may pahintulot ng pasyente).
* **Kailangan sa pagproseso:** Ang koleksyon at pagproseso ng data ng EMR ay dapat na limitado sa kung ano ang kinakailangan para sa nilalayon na layunin.
* **Informed consent:** Ang mga pasye"&amp;"nte sa pangkalahatan ay dapat magbigay ng kaalamang pahintulot bago kolektahin, gamitin, o ibunyag ang kanilang medikal na data. Maaaring may mga pagbubukod para sa mga emerhensiya o mga kadahilanang pangkalusugan ng publiko.
* **Mga pananggalang sa segur"&amp;"idad:** Ang mga tagapagbigay ng pangangalagang pangkalusugan ay dapat magpatupad ng naaangkop na mga pananggalang sa seguridad upang maprotektahan ang mga EMR mula sa hindi awtorisadong pag-access, paggamit, pagsisiwalat, pagbabago, o pagkasira.
* **Abiso"&amp;" sa paglabag sa data:** Sa kaso ng paglabag sa data na kinasasangkutan ng mga EMR, dapat na agad na abisuhan ng healthcare provider ang mga apektadong pasyente.
**Ibang Kaugnay na Batas:**
* **Ang Konstitusyon ng Pilipinas (1987):** Ginagarantiyahan ng Ar"&amp;"tikulo III, Seksyon 1 ang karapatan sa pagkapribado, na umaabot sa personal na impormasyon, kabilang ang data ng kalusugan.
* **Sibil na Kodigo:** Ang mga Artikulo 26, 19, at 290 ay maaaring bigyang-kahulugan upang itaguyod ang pagiging kompidensiyal ng i"&amp;"mpormasyon ng pasyente ng mga tagapagbigay ng pangangalagang pangkalusugan.
**Mga Hamon at Pagsasaalang-alang:**
* **Kakulangan ng Mga Partikular na Regulasyon para sa mga EMR:** Ang Pilipinas ay walang partikular na batas na nakatuon lamang sa seguridad "&amp;"at privacy ng data ng EMR. * **Mga Teknolohikal na Pagsulong:** Maaaring kailanganin ng mga batas na umangkop upang matugunan ang mga bagong teknolohiyang ginagamit upang mag-imbak at mag-access ng mga EMR.
**Mga Rekomendasyon:**
* **Ang mga tagapagbigay "&amp;"ng pangangalagang pangkalusugan ay dapat:**
* Bumuo at magpatupad ng mga patakaran at pamamaraan sa privacy ng data na sumusunod sa DPA.
* Magsagawa ng mga regular na pagtatasa ng panganib sa seguridad ng data at ipatupad ang mga naaangkop na pananggalang"&amp;".
* Sanayin ang mga kawani sa mga pinakamahuhusay na kagawian sa privacy at seguridad ng data**.
* **Ang mga pasyente ay dapat:**
* Pamilyar sa kanilang mga sarili ang kanilang mga karapatan tungkol sa kanilang EMR data.
* Magtanong tungkol sa kung paano "&amp;"kinokolekta, ginagamit, at sini-secure ang kanilang data.
* Magbigay ng kaalamang pahintulot kung kinakailangan.
**Sa pangkalahatan, ang Pilipinas ay may legal na balangkas para sa data privacy at seguridad ng mga EMR. Gayunpaman, ang patuloy na pag-unlad"&amp;" sa teknolohiya at mga potensyal na gaps sa mga partikular na regulasyon ay nangangahulugan na ang lugar na ito ay maaaring mangailangan ng karagdagang legal na atensyon.**")</f>
        <v>Ang Pilipinas ay may ilang legal na aspeto na dapat isaalang-alang hinggil sa data privacy at seguridad ng electronic medical records (EMRs). Narito ang isang breakdown ng mga pangunahing punto:
**Mga Batas sa Privacy ng Data:**
* **Republic Act No. 10173 o ang Data Privacy Act of 2012 (DPA):** Ang batas na ito ang pundasyon ng proteksyon sa privacy ng data sa Pilipinas. Nalalapat ito sa pagproseso ng lahat ng personal na impormasyon, kabilang ang data ng kalusugan. Inaatasan ng DPA ang mga tagapagbigay ng pangangalagang pangkalusugan at institusyon na humahawak sa mga EMR na sumunod sa ilang prinsipyo:
* **Lehitimong layunin:** Ang mga EMR ay maaari lamang iproseso para sa mga lehitimong layuning nauugnay sa pangangalagang pangkalusugan, tulad ng pagsusuri, paggamot, at pananaliksik (na may pahintulot ng pasyente).
* **Kailangan sa pagproseso:** Ang koleksyon at pagproseso ng data ng EMR ay dapat na limitado sa kung ano ang kinakailangan para sa nilalayon na layunin.
* **Informed consent:** Ang mga pasyente sa pangkalahatan ay dapat magbigay ng kaalamang pahintulot bago kolektahin, gamitin, o ibunyag ang kanilang medikal na data. Maaaring may mga pagbubukod para sa mga emerhensiya o mga kadahilanang pangkalusugan ng publiko.
* **Mga pananggalang sa seguridad:** Ang mga tagapagbigay ng pangangalagang pangkalusugan ay dapat magpatupad ng naaangkop na mga pananggalang sa seguridad upang maprotektahan ang mga EMR mula sa hindi awtorisadong pag-access, paggamit, pagsisiwalat, pagbabago, o pagkasira.
* **Abiso sa paglabag sa data:** Sa kaso ng paglabag sa data na kinasasangkutan ng mga EMR, dapat na agad na abisuhan ng healthcare provider ang mga apektadong pasyente.
**Ibang Kaugnay na Batas:**
* **Ang Konstitusyon ng Pilipinas (1987):** Ginagarantiyahan ng Artikulo III, Seksyon 1 ang karapatan sa pagkapribado, na umaabot sa personal na impormasyon, kabilang ang data ng kalusugan.
* **Sibil na Kodigo:** Ang mga Artikulo 26, 19, at 290 ay maaaring bigyang-kahulugan upang itaguyod ang pagiging kompidensiyal ng impormasyon ng pasyente ng mga tagapagbigay ng pangangalagang pangkalusugan.
**Mga Hamon at Pagsasaalang-alang:**
* **Kakulangan ng Mga Partikular na Regulasyon para sa mga EMR:** Ang Pilipinas ay walang partikular na batas na nakatuon lamang sa seguridad at privacy ng data ng EMR. * **Mga Teknolohikal na Pagsulong:** Maaaring kailanganin ng mga batas na umangkop upang matugunan ang mga bagong teknolohiyang ginagamit upang mag-imbak at mag-access ng mga EMR.
**Mga Rekomendasyon:**
* **Ang mga tagapagbigay ng pangangalagang pangkalusugan ay dapat:**
* Bumuo at magpatupad ng mga patakaran at pamamaraan sa privacy ng data na sumusunod sa DPA.
* Magsagawa ng mga regular na pagtatasa ng panganib sa seguridad ng data at ipatupad ang mga naaangkop na pananggalang.
* Sanayin ang mga kawani sa mga pinakamahuhusay na kagawian sa privacy at seguridad ng data**.
* **Ang mga pasyente ay dapat:**
* Pamilyar sa kanilang mga sarili ang kanilang mga karapatan tungkol sa kanilang EMR data.
* Magtanong tungkol sa kung paano kinokolekta, ginagamit, at sini-secure ang kanilang data.
* Magbigay ng kaalamang pahintulot kung kinakailangan.
**Sa pangkalahatan, ang Pilipinas ay may legal na balangkas para sa data privacy at seguridad ng mga EMR. Gayunpaman, ang patuloy na pag-unlad sa teknolohiya at mga potensyal na gaps sa mga partikular na regulasyon ay nangangahulugan na ang lugar na ito ay maaaring mangailangan ng karagdagang legal na atensyon.**</v>
      </c>
      <c r="F1757" s="2">
        <f t="shared" si="1"/>
        <v>0</v>
      </c>
      <c r="G1757" s="2"/>
      <c r="H1757" s="2"/>
      <c r="I1757" s="2"/>
      <c r="J1757" s="2"/>
      <c r="K1757" s="2"/>
      <c r="L1757" s="2"/>
      <c r="M1757" s="2"/>
      <c r="N1757" s="2"/>
      <c r="O1757" s="2"/>
      <c r="P1757" s="2"/>
      <c r="Q1757" s="2"/>
      <c r="R1757" s="2"/>
      <c r="S1757" s="2"/>
      <c r="T1757" s="2"/>
      <c r="U1757" s="2"/>
      <c r="V1757" s="2"/>
      <c r="W1757" s="2"/>
      <c r="X1757" s="2"/>
      <c r="Y1757" s="2"/>
      <c r="Z1757" s="2"/>
      <c r="AA1757" s="2"/>
    </row>
    <row r="1758">
      <c r="A1758" s="1" t="s">
        <v>4337</v>
      </c>
      <c r="B1758" s="1" t="s">
        <v>4562</v>
      </c>
      <c r="C1758" s="1" t="s">
        <v>4563</v>
      </c>
      <c r="D1758" s="2" t="str">
        <f>IFERROR(__xludf.DUMMYFUNCTION("GOOGLETRANSLATE(B1758, ""en"", ""TL"")"),"Paano umaangkop ang batas ng Pilipinas upang tugunan ang mga hamon ng antimicrobial resistance at access sa mahahalagang gamot?")</f>
        <v>Paano umaangkop ang batas ng Pilipinas upang tugunan ang mga hamon ng antimicrobial resistance at access sa mahahalagang gamot?</v>
      </c>
      <c r="E1758" s="2" t="str">
        <f>IFERROR(__xludf.DUMMYFUNCTION("GOOGLETRANSLATE(C1758, ""en"", ""TL"")"),"Gumagawa ang Pilipinas ng mga hakbang upang tugunan ang mga hamon ng antimicrobial resistance (AMR) at pag-access sa mga mahahalagang gamot, ngunit walang isa, komprehensibong batas na tumatalakay sa parehong isyu. Narito ang isang breakdown ng legal na t"&amp;"anawin:
**Pagtugon sa Antimicrobial Resistance (AMR):**
* **Philippine National Action Plan on Antimicrobial Resistance (2019-2023):** Binabalangkas ng planong ito ang isang multi-sectoral na diskarte na nakatuon sa pitong pangunahing estratehiya:
1. Pang"&amp;"ako sa isang pambansang plano na may pananagutan.
2. Pagpapalakas ng surveillance at kapasidad ng laboratoryo.
3. Pagtiyak ng walang patid na pag-access sa mga mahahalagang gamot na may tiyak na kalidad.
4. Pag-regulate at pagtataguyod ng makatwirang pagg"&amp;"amit ng mga gamot sa mga tao at hayop.
5. Pagpapahusay ng pag-iwas at pagkontrol sa impeksiyon.
6. Pagpapaunlad ng pagbabago at pananaliksik.
7. Pagbuo ng plano sa pakikipagtalastasan sa panganib.
* **Mga Patakaran at Programa:** Ang Kagawaran ng Kalusuga"&amp;"n (DOH) ay nagpapatupad ng iba't ibang mga patakaran at programa na nakahanay sa National Action Plan. Kabilang dito ang:
* **Antimicrobial Stewardship Programs sa mga Ospital:** Hikayatin ang mga doktor na magreseta ng mga antibiotic nang naaangkop.
* **"&amp;"Pagpapalakas ng AMR Surveillance:** Subaybayan ang mga uso sa paglaban sa antibiotic.
* **Mga Kampanya sa Pampublikong Kamalayan:** Turuan ang publiko sa responsableng paggamit ng antibiotic.
**Legal na Framework:** Bagama't walang iisang batas na direkta"&amp;"ng nagta-target sa AMR, ang mga kasalukuyang batas at regulasyon ay nakakatulong sa pagsisikap:
* **Republic Act No. 9711 o ang Food and Drug Administration (FDA) Act of 2009:** Binibigyan ng kapangyarihan ang FDA na i-regulate ang kalidad, kaligtasan, at"&amp;" bisa ng mga gamot, kabilang ang mga antibiotic.
* **Veterinary Drugs and Animal Feed Additives Act:** Kinokontrol ang paggamit ng mga antimicrobial sa mga hayop upang maiwasan ang pagbuo ng lumalaban na bakterya sa food chain.
**Mga Hamon:**
* **Pagpapat"&amp;"upad:** Nananatiling hamon ang epektibong pagpapatupad ng mga kasalukuyang regulasyon sa iba't ibang sektor. * **Public Awareness:** Ang pagpapahusay ng pampublikong pag-unawa sa AMR at responsableng paggamit ng antibiotic ay napakahalaga.
**Access sa Mah"&amp;"ahalagang Gamot:**
* **Ang Konstitusyon ng Pilipinas (1987):** Ang Artikulo II, Seksyon 15 ay ginagarantiyahan ang karapatan sa kalusugan. Ito ay maaaring bigyang-kahulugan na isama ang access sa mga mahahalagang gamot.
* **Republic Act No. 6675 o ang Gen"&amp;"erics Act of 1988:** Itinataguyod ang paggamit ng mga generic na gamot, na ginagawang mas abot-kaya at naa-access ang mga ito.
* **Mga Programa ng DOH:** Ang DOH ay nagpapatupad ng iba't ibang mga programa upang mapabuti ang access sa mga mahahalagang gam"&amp;"ot, kabilang ang:
* **Botika ng Bayan (Drugstores of the People):** Magbigay ng abot-kayang generic na gamot sa mga komunidad.
* **Essential Drug List (EDL):** Isang listahan ng mga priority na gamot na itinuturing na mahalaga para sa healthcare system. *"&amp;"*Mga Hamon:**
* **Mataas na Halaga ng Mga Gamot:** Sa kabila ng Generics Act, maaaring mahal pa rin ang ilang mahahalagang gamot para sa ilang Pilipino.
* **Mga Isyu sa Supply Chain:** Ang pagtiyak ng pare-parehong supply ng mahahalagang gamot sa buong ba"&amp;"nsa ay maaaring maging mahirap.
**Sa pangkalahatan, ang Pilipinas ay nagsusumikap tungo sa paglaban sa AMR at pagpapabuti ng access sa mga mahahalagang gamot sa pamamagitan ng kumbinasyon ng mga patakaran, programa, at umiiral na mga legal na balangkas. G"&amp;"ayunpaman, ang mga hamon sa pagpapatupad at ang pangangailangan para sa mas partikular na batas ay mga lugar para sa karagdagang pagsasaalang-alang.**")</f>
        <v>Gumagawa ang Pilipinas ng mga hakbang upang tugunan ang mga hamon ng antimicrobial resistance (AMR) at pag-access sa mga mahahalagang gamot, ngunit walang isa, komprehensibong batas na tumatalakay sa parehong isyu. Narito ang isang breakdown ng legal na tanawin:
**Pagtugon sa Antimicrobial Resistance (AMR):**
* **Philippine National Action Plan on Antimicrobial Resistance (2019-2023):** Binabalangkas ng planong ito ang isang multi-sectoral na diskarte na nakatuon sa pitong pangunahing estratehiya:
1. Pangako sa isang pambansang plano na may pananagutan.
2. Pagpapalakas ng surveillance at kapasidad ng laboratoryo.
3. Pagtiyak ng walang patid na pag-access sa mga mahahalagang gamot na may tiyak na kalidad.
4. Pag-regulate at pagtataguyod ng makatwirang paggamit ng mga gamot sa mga tao at hayop.
5. Pagpapahusay ng pag-iwas at pagkontrol sa impeksiyon.
6. Pagpapaunlad ng pagbabago at pananaliksik.
7. Pagbuo ng plano sa pakikipagtalastasan sa panganib.
* **Mga Patakaran at Programa:** Ang Kagawaran ng Kalusugan (DOH) ay nagpapatupad ng iba't ibang mga patakaran at programa na nakahanay sa National Action Plan. Kabilang dito ang:
* **Antimicrobial Stewardship Programs sa mga Ospital:** Hikayatin ang mga doktor na magreseta ng mga antibiotic nang naaangkop.
* **Pagpapalakas ng AMR Surveillance:** Subaybayan ang mga uso sa paglaban sa antibiotic.
* **Mga Kampanya sa Pampublikong Kamalayan:** Turuan ang publiko sa responsableng paggamit ng antibiotic.
**Legal na Framework:** Bagama't walang iisang batas na direktang nagta-target sa AMR, ang mga kasalukuyang batas at regulasyon ay nakakatulong sa pagsisikap:
* **Republic Act No. 9711 o ang Food and Drug Administration (FDA) Act of 2009:** Binibigyan ng kapangyarihan ang FDA na i-regulate ang kalidad, kaligtasan, at bisa ng mga gamot, kabilang ang mga antibiotic.
* **Veterinary Drugs and Animal Feed Additives Act:** Kinokontrol ang paggamit ng mga antimicrobial sa mga hayop upang maiwasan ang pagbuo ng lumalaban na bakterya sa food chain.
**Mga Hamon:**
* **Pagpapatupad:** Nananatiling hamon ang epektibong pagpapatupad ng mga kasalukuyang regulasyon sa iba't ibang sektor. * **Public Awareness:** Ang pagpapahusay ng pampublikong pag-unawa sa AMR at responsableng paggamit ng antibiotic ay napakahalaga.
**Access sa Mahahalagang Gamot:**
* **Ang Konstitusyon ng Pilipinas (1987):** Ang Artikulo II, Seksyon 15 ay ginagarantiyahan ang karapatan sa kalusugan. Ito ay maaaring bigyang-kahulugan na isama ang access sa mga mahahalagang gamot.
* **Republic Act No. 6675 o ang Generics Act of 1988:** Itinataguyod ang paggamit ng mga generic na gamot, na ginagawang mas abot-kaya at naa-access ang mga ito.
* **Mga Programa ng DOH:** Ang DOH ay nagpapatupad ng iba't ibang mga programa upang mapabuti ang access sa mga mahahalagang gamot, kabilang ang:
* **Botika ng Bayan (Drugstores of the People):** Magbigay ng abot-kayang generic na gamot sa mga komunidad.
* **Essential Drug List (EDL):** Isang listahan ng mga priority na gamot na itinuturing na mahalaga para sa healthcare system. **Mga Hamon:**
* **Mataas na Halaga ng Mga Gamot:** Sa kabila ng Generics Act, maaaring mahal pa rin ang ilang mahahalagang gamot para sa ilang Pilipino.
* **Mga Isyu sa Supply Chain:** Ang pagtiyak ng pare-parehong supply ng mahahalagang gamot sa buong bansa ay maaaring maging mahirap.
**Sa pangkalahatan, ang Pilipinas ay nagsusumikap tungo sa paglaban sa AMR at pagpapabuti ng access sa mga mahahalagang gamot sa pamamagitan ng kumbinasyon ng mga patakaran, programa, at umiiral na mga legal na balangkas. Gayunpaman, ang mga hamon sa pagpapatupad at ang pangangailangan para sa mas partikular na batas ay mga lugar para sa karagdagang pagsasaalang-alang.**</v>
      </c>
      <c r="F1758" s="2">
        <f t="shared" si="1"/>
        <v>0</v>
      </c>
      <c r="G1758" s="2"/>
      <c r="H1758" s="2"/>
      <c r="I1758" s="2"/>
      <c r="J1758" s="2"/>
      <c r="K1758" s="2"/>
      <c r="L1758" s="2"/>
      <c r="M1758" s="2"/>
      <c r="N1758" s="2"/>
      <c r="O1758" s="2"/>
      <c r="P1758" s="2"/>
      <c r="Q1758" s="2"/>
      <c r="R1758" s="2"/>
      <c r="S1758" s="2"/>
      <c r="T1758" s="2"/>
      <c r="U1758" s="2"/>
      <c r="V1758" s="2"/>
      <c r="W1758" s="2"/>
      <c r="X1758" s="2"/>
      <c r="Y1758" s="2"/>
      <c r="Z1758" s="2"/>
      <c r="AA1758" s="2"/>
    </row>
    <row r="1759">
      <c r="A1759" s="1" t="s">
        <v>4337</v>
      </c>
      <c r="B1759" s="1" t="s">
        <v>4564</v>
      </c>
      <c r="C1759" s="1" t="s">
        <v>4565</v>
      </c>
      <c r="D1759" s="2" t="str">
        <f>IFERROR(__xludf.DUMMYFUNCTION("GOOGLETRANSLATE(B1759, ""en"", ""TL"")"),"Ano ang mga legal at etikal na pagsasaalang-alang na nakapalibot sa paggamit ng telemedicine sa panahon ng mga emerhensiya at pandemya?")</f>
        <v>Ano ang mga legal at etikal na pagsasaalang-alang na nakapalibot sa paggamit ng telemedicine sa panahon ng mga emerhensiya at pandemya?</v>
      </c>
      <c r="E1759" s="2" t="str">
        <f>IFERROR(__xludf.DUMMYFUNCTION("GOOGLETRANSLATE(C1759, ""en"", ""TL"")"),"Bagama't walang partikular na batas lamang sa telemedicine sa mga emerhensiya at pandemya sa Pilipinas, maaari nating tingnan ang mga kasalukuyang batas at alituntuning etikal para maunawaan ang mga pagsasaalang-alang:
**Mga Legal na Pagsasaalang-alang:**"&amp;"
* **Republic Act No. 10028 o ang Electronic Commerce Act of 2000 (E-Commerce Act):** Kinikilala ng batas na ito ang bisa at pagpapatupad ng mga kontratang nabuo sa elektronikong paraan. Maaari itong ilapat sa mga transaksyong telemedicine tulad ng mga on"&amp;"line na konsultasyon at e-reseta. * **Republic Act No. 10173 o ang Data Privacy Act of 2012 (DPA):** Pinoprotektahan ng batas na ito ang privacy ng medikal na data ng isang pasyente. Dapat tiyakin ng mga provider ng telemedicine ang pagiging kumpidensyal "&amp;"ng data ng pasyente at secure na imbakan gaya ng ipinag-uutos ng DPA.
* **Mga pagpapalabas ng Department of Health (DOH):** Maaaring maglabas ang DOH ng mga partikular na alituntunin o regulasyon na may kaugnayan sa telemedicine sa panahon ng mga emerhens"&amp;"iya at pandemya. Ang mga pagpapalabas na ito ay malamang na tumutuon sa pagtiyak ng kalidad ng pangangalaga at naaangkop na paggamit ng telemedicine sa mga ganitong sitwasyon.
**Mga Etikal na Pagsasaalang-alang:**
* **Propesyonal na obligasyon ng mga dokt"&amp;"or:** Ang mga doktor ay nakatali sa Philippine Medical Association (PMA) Code of Ethics. Binibigyang-diin ng code na ito ang kapakanan ng pasyente, may kaalamang pahintulot, at propesyonal na kakayahan. Ang mga konsultasyon sa telemedicine ay dapat sumuno"&amp;"d sa mga prinsipyong ito.
* **Informed consent:** Dapat na ganap na ipaalam sa mga pasyente ang tungkol sa mga limitasyon at benepisyo ng telemedicine consultations bago magpatuloy. Kabilang dito ang pag-unawa na maaaring kailanganin ang pisikal na pagsus"&amp;"uri at maaaring mangailangan ng personal na pagbisita.
* **Access at equity:** Telemedicine ay hindi dapat magpalala ng mga umiiral na pagkakaiba sa pag-access sa pangangalagang pangkalusugan. Ang mga pagsisikap ay dapat gawin upang matiyak na ang mga nas"&amp;"a malalayong lugar o may limitadong teknolohikal na mapagkukunan ay maaari pa ring makinabang mula sa mga serbisyo ng telemedicine.
**Mga Karagdagang Pagsasaalang-alang:**
* **Mamalpractice at pananagutan:** Ang mga legal na framework na nakapalibot sa te"&amp;"lemedicine at potensyal na malpractice ay umuunlad pa rin. Dapat malaman ng mga doktor ang mga potensyal na panganib at tiyaking nagsasanay sila sa loob ng kanilang saklaw ng kakayahan sa panahon ng mga teleconsultation.
Tandaan, isa itong umuunlad na lar"&amp;"angan, at maaaring magbago ang mga batas at regulasyon. Maipapayo na kumunsulta sa mga nauugnay na organisasyon tulad ng DOH o PMA para sa pinakabagong impormasyon.")</f>
        <v>Bagama't walang partikular na batas lamang sa telemedicine sa mga emerhensiya at pandemya sa Pilipinas, maaari nating tingnan ang mga kasalukuyang batas at alituntuning etikal para maunawaan ang mga pagsasaalang-alang:
**Mga Legal na Pagsasaalang-alang:**
* **Republic Act No. 10028 o ang Electronic Commerce Act of 2000 (E-Commerce Act):** Kinikilala ng batas na ito ang bisa at pagpapatupad ng mga kontratang nabuo sa elektronikong paraan. Maaari itong ilapat sa mga transaksyong telemedicine tulad ng mga online na konsultasyon at e-reseta. * **Republic Act No. 10173 o ang Data Privacy Act of 2012 (DPA):** Pinoprotektahan ng batas na ito ang privacy ng medikal na data ng isang pasyente. Dapat tiyakin ng mga provider ng telemedicine ang pagiging kumpidensyal ng data ng pasyente at secure na imbakan gaya ng ipinag-uutos ng DPA.
* **Mga pagpapalabas ng Department of Health (DOH):** Maaaring maglabas ang DOH ng mga partikular na alituntunin o regulasyon na may kaugnayan sa telemedicine sa panahon ng mga emerhensiya at pandemya. Ang mga pagpapalabas na ito ay malamang na tumutuon sa pagtiyak ng kalidad ng pangangalaga at naaangkop na paggamit ng telemedicine sa mga ganitong sitwasyon.
**Mga Etikal na Pagsasaalang-alang:**
* **Propesyonal na obligasyon ng mga doktor:** Ang mga doktor ay nakatali sa Philippine Medical Association (PMA) Code of Ethics. Binibigyang-diin ng code na ito ang kapakanan ng pasyente, may kaalamang pahintulot, at propesyonal na kakayahan. Ang mga konsultasyon sa telemedicine ay dapat sumunod sa mga prinsipyong ito.
* **Informed consent:** Dapat na ganap na ipaalam sa mga pasyente ang tungkol sa mga limitasyon at benepisyo ng telemedicine consultations bago magpatuloy. Kabilang dito ang pag-unawa na maaaring kailanganin ang pisikal na pagsusuri at maaaring mangailangan ng personal na pagbisita.
* **Access at equity:** Telemedicine ay hindi dapat magpalala ng mga umiiral na pagkakaiba sa pag-access sa pangangalagang pangkalusugan. Ang mga pagsisikap ay dapat gawin upang matiyak na ang mga nasa malalayong lugar o may limitadong teknolohikal na mapagkukunan ay maaari pa ring makinabang mula sa mga serbisyo ng telemedicine.
**Mga Karagdagang Pagsasaalang-alang:**
* **Mamalpractice at pananagutan:** Ang mga legal na framework na nakapalibot sa telemedicine at potensyal na malpractice ay umuunlad pa rin. Dapat malaman ng mga doktor ang mga potensyal na panganib at tiyaking nagsasanay sila sa loob ng kanilang saklaw ng kakayahan sa panahon ng mga teleconsultation.
Tandaan, isa itong umuunlad na larangan, at maaaring magbago ang mga batas at regulasyon. Maipapayo na kumunsulta sa mga nauugnay na organisasyon tulad ng DOH o PMA para sa pinakabagong impormasyon.</v>
      </c>
      <c r="F1759" s="2">
        <f t="shared" si="1"/>
        <v>0</v>
      </c>
      <c r="G1759" s="2"/>
      <c r="H1759" s="2"/>
      <c r="I1759" s="2"/>
      <c r="J1759" s="2"/>
      <c r="K1759" s="2"/>
      <c r="L1759" s="2"/>
      <c r="M1759" s="2"/>
      <c r="N1759" s="2"/>
      <c r="O1759" s="2"/>
      <c r="P1759" s="2"/>
      <c r="Q1759" s="2"/>
      <c r="R1759" s="2"/>
      <c r="S1759" s="2"/>
      <c r="T1759" s="2"/>
      <c r="U1759" s="2"/>
      <c r="V1759" s="2"/>
      <c r="W1759" s="2"/>
      <c r="X1759" s="2"/>
      <c r="Y1759" s="2"/>
      <c r="Z1759" s="2"/>
      <c r="AA1759" s="2"/>
    </row>
    <row r="1760">
      <c r="A1760" s="1" t="s">
        <v>4337</v>
      </c>
      <c r="B1760" s="1" t="s">
        <v>4566</v>
      </c>
      <c r="C1760" s="1" t="s">
        <v>4567</v>
      </c>
      <c r="D1760" s="2" t="str">
        <f>IFERROR(__xludf.DUMMYFUNCTION("GOOGLETRANSLATE(B1760, ""en"", ""TL"")"),"Paano mas mabubuo ang legal na sistema ng Pilipinas upang matiyak ang pantay na pag-access sa de-kalidad na pangangalagang pangkalusugan para sa lahat ng mamamayan?")</f>
        <v>Paano mas mabubuo ang legal na sistema ng Pilipinas upang matiyak ang pantay na pag-access sa de-kalidad na pangangalagang pangkalusugan para sa lahat ng mamamayan?</v>
      </c>
      <c r="E1760" s="2" t="str">
        <f>IFERROR(__xludf.DUMMYFUNCTION("GOOGLETRANSLATE(C1760, ""en"", ""TL"")"),"Narito kung paano mapapaunlad ang legal na sistema ng Pilipinas upang matiyak ang pantay na pag-access sa de-kalidad na pangangalagang pangkalusugan para sa lahat ng mamamayan, kung isasaalang-alang ang Philippine RA, ang Konstitusyon, at ang mga potensya"&amp;"l na ALW:
**Pagpapalakas sa Universal Health Care Act (UHC Act - RA 11223):**
* **Pagpopondo at paglalaan ng mapagkukunan:** Ang UHC Act ay nagbibigay-diin sa progresibong pagsasakatuparan, ibig sabihin, ang buong pagpapatupad ay maaaring mangailangan ng "&amp;"mga pagsasaayos. Maaaring tukuyin ng mga ALW ng Department of Health (DOH) ang mga mekanismo ng pagpopondo at mga diskarte sa paglalaan ng mapagkukunan na nagbibigay-priyoridad sa mga lugar at populasyon na kulang sa serbisyo. * **Mga pakete ng benepisyo "&amp;"at paghahatid ng serbisyo:** Ang DOH, sa pamamagitan ng mga ALW, ay maaaring higit pang tukuyin ang saklaw ng mga serbisyong saklaw sa ilalim ng PhilHealth upang matiyak na matutugunan ng mga ito ang pinakalaganap na pangangailangang pangkalusugan at isaa"&amp;"lang-alang ang mga pagkakaiba-iba ng rehiyon. * **Pagsubaybay at pagsusuri:** Ang DOH ay maaaring mag-isyu ng mga ALW na nagtatatag ng malinaw na sukatan at malinaw na mga mekanismo sa pag-uulat upang masuri ang pagiging epektibo ng UHC Act sa pag-abot sa"&amp;" mga Pilipino, lalo na sa mga nasa marginalized na komunidad.
**Pagtugon sa Geographic at Socioeconomic Disparities:**
* **Telehealth at mobile clinic:** Maaaring hikayatin ng mga ALW ng DOH ang pagbuo ng mga alituntunin at imprastraktura upang suportahan"&amp;" ang mga konsultasyon sa telehealth at mga mobile clinic sa malalayong lugar. Mapapabuti nito ang pag-access sa mga espesyalista at pangunahing pangangalaga para sa mga komunidad na nakahiwalay sa heograpiya.
* **Scholarship at manpower allocation:** Ang "&amp;"pamahalaan ay maaaring gumawa ng mga batas o ang DOH ay maaaring lumikha ng mga ALW na nag-uudyok sa mga medikal na propesyonal na magsanay sa mga lugar na kulang sa serbisyo. Maaaring kabilang dito ang mga scholarship o mga programa sa pagbabayad ng utan"&amp;"g para sa mga doktor at nars na handang maglingkod sa malalayong komunidad. * **Pagsasama-sama ng social safety net:** Ang mga batas o ALW ay maaaring mag-explore ng mga paraan upang maisama ang PhilHealth sa mga umiiral nang social safety net program, tu"&amp;"lad ng Pantawid Pamilyang Pilipino Program (4Ps). Makakatulong ito na matiyak ang mga premium na kontribusyon ng PhilHealth para sa mga pamilyang mababa ang kita.
**Pagpapahusay ng Pampublikong Kamalayan at Edukasyon:**
* **Mga kampanya para sa benepisyo "&amp;"ng PhilHealth:** Ang DOH o PhilHealth ay maaaring lumikha ng mga ALW na nag-uutos ng mga kampanya ng impormasyon upang turuan ang mga Pilipino tungkol sa kanilang mga benepisyo sa PhilHealth at kung paano ma-access ang mga ito. Magagawa ito sa pamamagitan"&amp;" ng local media, community outreach programs, at barangay-level na mga hakbangin. * **Preventive healthcare education:** Ang mga batas o ALW ay maaaring magtatag ng mga programang pang-edukasyon sa preventive healthcare. Maaaring kabilang dito ang pagtata"&amp;"guyod ng malusog na pamumuhay, maagang pagtuklas ng sakit, at responsableng membership sa PhilHealth. **Pagtitiyak ng Regulatory Efficiency:**
* **Pag-streamline ng akreditasyon ng PhilHealth:** Ang DOH ay maaaring mag-isyu ng mga ALW na nagbabalangkas ng"&amp;" isang mas mahusay na proseso ng akreditasyon ng PhilHealth para sa mga tagapagbigay ng pangangalagang pangkalusugan, lalo na ang mga nagbibigay ng serbisyo sa mga komunidad na kulang sa serbisyo. * **Pag-standardize ng mga medikal na rekord:** Maaaring i"&amp;"-utos ng mga batas o ALW ang standardisasyon ng mga medikal na rekord sa mga pasilidad ng pangangalagang pangkalusugan. Mapapabuti nito ang pangongolekta ng data, mapadali ang mga referral, at matiyak ang pagpapatuloy ng pangangalaga, lalo na para sa mga "&amp;"pasyenteng umaasa sa maraming provider.
**Mga Etikal na Pagsasaalang-alang at Pagpapatupad:**
* **Mga pananggalang laban sa diskriminasyon:** Maaaring magpatupad ng mga batas upang maiwasan ang diskriminasyon batay sa katayuan ng pagiging miyembro ng Phil"&amp;"Health o heyograpikong lokasyon kapag naghahanap ng pangangalagang pangkalusugan. * **Mga mekanismo ng hinaing:** Ang mga ALW ng DOH o PhilHealth ay maaaring magtatag ng malinaw na mga mekanismo ng karaingan para sa mga Pilipinong nakakaharap ng mga isyu "&amp;"sa pag-access sa mga serbisyo ng pangangalagang pangkalusugan dahil sa pagpapatupad ng UHC Act.
Sa pamamagitan ng pagpapatupad ng mga legal at regulasyong hakbang na ito, ang sistemang legal ng Pilipinas ay maaaring lumapit sa pagkamit ng patas na pag-acc"&amp;"ess sa de-kalidad na pangangalagang pangkalusugan para sa lahat ng Pilipino.")</f>
        <v>Narito kung paano mapapaunlad ang legal na sistema ng Pilipinas upang matiyak ang pantay na pag-access sa de-kalidad na pangangalagang pangkalusugan para sa lahat ng mamamayan, kung isasaalang-alang ang Philippine RA, ang Konstitusyon, at ang mga potensyal na ALW:
**Pagpapalakas sa Universal Health Care Act (UHC Act - RA 11223):**
* **Pagpopondo at paglalaan ng mapagkukunan:** Ang UHC Act ay nagbibigay-diin sa progresibong pagsasakatuparan, ibig sabihin, ang buong pagpapatupad ay maaaring mangailangan ng mga pagsasaayos. Maaaring tukuyin ng mga ALW ng Department of Health (DOH) ang mga mekanismo ng pagpopondo at mga diskarte sa paglalaan ng mapagkukunan na nagbibigay-priyoridad sa mga lugar at populasyon na kulang sa serbisyo. * **Mga pakete ng benepisyo at paghahatid ng serbisyo:** Ang DOH, sa pamamagitan ng mga ALW, ay maaaring higit pang tukuyin ang saklaw ng mga serbisyong saklaw sa ilalim ng PhilHealth upang matiyak na matutugunan ng mga ito ang pinakalaganap na pangangailangang pangkalusugan at isaalang-alang ang mga pagkakaiba-iba ng rehiyon. * **Pagsubaybay at pagsusuri:** Ang DOH ay maaaring mag-isyu ng mga ALW na nagtatatag ng malinaw na sukatan at malinaw na mga mekanismo sa pag-uulat upang masuri ang pagiging epektibo ng UHC Act sa pag-abot sa mga Pilipino, lalo na sa mga nasa marginalized na komunidad.
**Pagtugon sa Geographic at Socioeconomic Disparities:**
* **Telehealth at mobile clinic:** Maaaring hikayatin ng mga ALW ng DOH ang pagbuo ng mga alituntunin at imprastraktura upang suportahan ang mga konsultasyon sa telehealth at mga mobile clinic sa malalayong lugar. Mapapabuti nito ang pag-access sa mga espesyalista at pangunahing pangangalaga para sa mga komunidad na nakahiwalay sa heograpiya.
* **Scholarship at manpower allocation:** Ang pamahalaan ay maaaring gumawa ng mga batas o ang DOH ay maaaring lumikha ng mga ALW na nag-uudyok sa mga medikal na propesyonal na magsanay sa mga lugar na kulang sa serbisyo. Maaaring kabilang dito ang mga scholarship o mga programa sa pagbabayad ng utang para sa mga doktor at nars na handang maglingkod sa malalayong komunidad. * **Pagsasama-sama ng social safety net:** Ang mga batas o ALW ay maaaring mag-explore ng mga paraan upang maisama ang PhilHealth sa mga umiiral nang social safety net program, tulad ng Pantawid Pamilyang Pilipino Program (4Ps). Makakatulong ito na matiyak ang mga premium na kontribusyon ng PhilHealth para sa mga pamilyang mababa ang kita.
**Pagpapahusay ng Pampublikong Kamalayan at Edukasyon:**
* **Mga kampanya para sa benepisyo ng PhilHealth:** Ang DOH o PhilHealth ay maaaring lumikha ng mga ALW na nag-uutos ng mga kampanya ng impormasyon upang turuan ang mga Pilipino tungkol sa kanilang mga benepisyo sa PhilHealth at kung paano ma-access ang mga ito. Magagawa ito sa pamamagitan ng local media, community outreach programs, at barangay-level na mga hakbangin. * **Preventive healthcare education:** Ang mga batas o ALW ay maaaring magtatag ng mga programang pang-edukasyon sa preventive healthcare. Maaaring kabilang dito ang pagtataguyod ng malusog na pamumuhay, maagang pagtuklas ng sakit, at responsableng membership sa PhilHealth. **Pagtitiyak ng Regulatory Efficiency:**
* **Pag-streamline ng akreditasyon ng PhilHealth:** Ang DOH ay maaaring mag-isyu ng mga ALW na nagbabalangkas ng isang mas mahusay na proseso ng akreditasyon ng PhilHealth para sa mga tagapagbigay ng pangangalagang pangkalusugan, lalo na ang mga nagbibigay ng serbisyo sa mga komunidad na kulang sa serbisyo. * **Pag-standardize ng mga medikal na rekord:** Maaaring i-utos ng mga batas o ALW ang standardisasyon ng mga medikal na rekord sa mga pasilidad ng pangangalagang pangkalusugan. Mapapabuti nito ang pangongolekta ng data, mapadali ang mga referral, at matiyak ang pagpapatuloy ng pangangalaga, lalo na para sa mga pasyenteng umaasa sa maraming provider.
**Mga Etikal na Pagsasaalang-alang at Pagpapatupad:**
* **Mga pananggalang laban sa diskriminasyon:** Maaaring magpatupad ng mga batas upang maiwasan ang diskriminasyon batay sa katayuan ng pagiging miyembro ng PhilHealth o heyograpikong lokasyon kapag naghahanap ng pangangalagang pangkalusugan. * **Mga mekanismo ng hinaing:** Ang mga ALW ng DOH o PhilHealth ay maaaring magtatag ng malinaw na mga mekanismo ng karaingan para sa mga Pilipinong nakakaharap ng mga isyu sa pag-access sa mga serbisyo ng pangangalagang pangkalusugan dahil sa pagpapatupad ng UHC Act.
Sa pamamagitan ng pagpapatupad ng mga legal at regulasyong hakbang na ito, ang sistemang legal ng Pilipinas ay maaaring lumapit sa pagkamit ng patas na pag-access sa de-kalidad na pangangalagang pangkalusugan para sa lahat ng Pilipino.</v>
      </c>
      <c r="F1760" s="2">
        <f t="shared" si="1"/>
        <v>0</v>
      </c>
      <c r="G1760" s="2"/>
      <c r="H1760" s="2"/>
      <c r="I1760" s="2"/>
      <c r="J1760" s="2"/>
      <c r="K1760" s="2"/>
      <c r="L1760" s="2"/>
      <c r="M1760" s="2"/>
      <c r="N1760" s="2"/>
      <c r="O1760" s="2"/>
      <c r="P1760" s="2"/>
      <c r="Q1760" s="2"/>
      <c r="R1760" s="2"/>
      <c r="S1760" s="2"/>
      <c r="T1760" s="2"/>
      <c r="U1760" s="2"/>
      <c r="V1760" s="2"/>
      <c r="W1760" s="2"/>
      <c r="X1760" s="2"/>
      <c r="Y1760" s="2"/>
      <c r="Z1760" s="2"/>
      <c r="AA1760" s="2"/>
    </row>
    <row r="1761">
      <c r="A1761" s="1" t="s">
        <v>4337</v>
      </c>
      <c r="B1761" s="1" t="s">
        <v>4568</v>
      </c>
      <c r="C1761" s="1" t="s">
        <v>4569</v>
      </c>
      <c r="D1761" s="2" t="str">
        <f>IFERROR(__xludf.DUMMYFUNCTION("GOOGLETRANSLATE(B1761, ""en"", ""TL"")"),"Paano maihahambing ang batas ng Pilipinas sa ibang mga bansa sa mga tuntunin ng diskarte nito sa batas medikal?")</f>
        <v>Paano maihahambing ang batas ng Pilipinas sa ibang mga bansa sa mga tuntunin ng diskarte nito sa batas medikal?</v>
      </c>
      <c r="E1761" s="2" t="str">
        <f>IFERROR(__xludf.DUMMYFUNCTION("GOOGLETRANSLATE(C1761, ""en"", ""TL"")"),"Narito ang paghahambing ng batas medikal ng Pilipinas sa ilang ibang bansa:
**Pagkakatulad:**
* **Tumuon sa kapakanan ng pasyente at may kaalamang pahintulot:** Karamihan sa mga bansa ay may mga etikal na code at legal na balangkas na nagbibigay-diin sa a"&amp;"wtonomiya ng pasyente at ang karapatang maabisuhan tungkol sa mga opsyon at panganib sa paggamot. Ang Pilipinas, sa pamamagitan ng Philippine Medical Association (PMA) Code of Ethics at Data Privacy Act (DPA), ay sumasalamin sa prinsipyong ito. * **Regula"&amp;"syon ng mga propesyonal sa pangangalagang pangkalusugan:** Karamihan sa mga bansa ay may mga licensing at regulatory body na nangangasiwa sa pagsasagawa ng medisina at iba pang propesyon sa pangangalagang pangkalusugan. Nakakamit ito ng Pilipinas sa pamam"&amp;"agitan ng mga propesyonal na regulasyon at proseso ng akreditasyon. * **Pagiging kumpidensyal ng medikal na data:** Ang Data Privacy Act (DPA) ng Pilipinas ay umaayon sa isang pandaigdigang kalakaran patungo sa pagprotekta sa privacy ng pasyente at pagtiy"&amp;"ak ng ligtas na pag-iimbak ng mga medikal na rekord.
**Mga Pagkakaiba:**
* **Universal Health Coverage (UHC):** Ang Pilipinas, sa pamamagitan ng UHC Act (RA 11223), ay naglalayong bigyan ang lahat ng Pilipino ng access sa de-kalidad na pangangalagang pang"&amp;"kalusugan. Ang ilang mga bansa ay may mga katulad na diskarte (hal., National Health Service sa UK), habang ang iba ay umaasa sa pribadong insurance o isang kumbinasyon ng mga pampubliko at pribadong sistema (hal., USA).
* **Mga regulasyon sa Telemedicine"&amp;":** Binubuo pa rin ng Pilipinas ang legal na balangkas nito para sa paggamit ng telemedicine sa panahon ng mga emerhensiya at pandemya. Ang ilang mga bansa ay may mas matatag na mga regulasyon na namamahala sa mga konsultasyon sa telemedicine at mga paman"&amp;"tayan ng pangangalaga. * **Malpractice liability:** Bagama't ang Pilipinas ay may mga batas sa malpractice, ang ibang mga bansa ay maaaring magkaroon ng mas mahigpit na balangkas ng pananagutan o partikular na mga scheme ng kabayaran para sa mga medikal n"&amp;"a error.
**Narito ang isang mas tiyak na paghahambing sa dalawang bansa:**
* **USA:** Ang sistema ng pangangalagang pangkalusugan ng US ay isang kumplikadong kumbinasyon ng pampubliko at pribadong insurance. Walang iisang pambansang serbisyong pangkalusug"&amp;"an, at ang pag-access sa pangangalaga ay maaaring mag-iba depende sa saklaw ng insurance at lokasyon. Ang mga regulasyon sa telemedicine ay umuunlad sa antas ng estado. Ang paglilitis sa malpractice ay isang mahalagang aspeto ng batas medikal ng US.
* **S"&amp;"ingapore:** Ang Singapore ay may pinaghalong sistema ng pangangalagang pangkalusugan na may matinding diin sa pag-iwas sa pangangalaga at mga hakbangin sa pampublikong kalusugan. Ang telemedicine ay aktibong isinusulong at kinokontrol. Umiiral ang mga bat"&amp;"as sa malpractice, ngunit mas nakahilig ang focus sa pamamagitan at alternatibong paglutas ng hindi pagkakaunawaan.
**Mahalagang Isaalang-alang:**
* Ang mga legal na sistema ay patuloy na umuunlad. Ang paghahambing na ito ay nag-aalok ng isang pangkalahat"&amp;"ang snapshot at maaaring hindi makuha ang lahat ng mga nuances.
* Ang diskarte ng bawat bansa sa batas medikal ay sumasalamin sa natatanging kontekstong panlipunan, pang-ekonomiya, at pampulitika nito.
Tandaan, ito ay panimulang punto lamang para sa karag"&amp;"dagang pananaliksik. Kung gusto mong ihambing ang batas medikal ng Pilipinas sa isang partikular na bansa, ipaalam sa akin, at matutulungan kita na makahanap ng mga nauugnay na mapagkukunan.")</f>
        <v>Narito ang paghahambing ng batas medikal ng Pilipinas sa ilang ibang bansa:
**Pagkakatulad:**
* **Tumuon sa kapakanan ng pasyente at may kaalamang pahintulot:** Karamihan sa mga bansa ay may mga etikal na code at legal na balangkas na nagbibigay-diin sa awtonomiya ng pasyente at ang karapatang maabisuhan tungkol sa mga opsyon at panganib sa paggamot. Ang Pilipinas, sa pamamagitan ng Philippine Medical Association (PMA) Code of Ethics at Data Privacy Act (DPA), ay sumasalamin sa prinsipyong ito. * **Regulasyon ng mga propesyonal sa pangangalagang pangkalusugan:** Karamihan sa mga bansa ay may mga licensing at regulatory body na nangangasiwa sa pagsasagawa ng medisina at iba pang propesyon sa pangangalagang pangkalusugan. Nakakamit ito ng Pilipinas sa pamamagitan ng mga propesyonal na regulasyon at proseso ng akreditasyon. * **Pagiging kumpidensyal ng medikal na data:** Ang Data Privacy Act (DPA) ng Pilipinas ay umaayon sa isang pandaigdigang kalakaran patungo sa pagprotekta sa privacy ng pasyente at pagtiyak ng ligtas na pag-iimbak ng mga medikal na rekord.
**Mga Pagkakaiba:**
* **Universal Health Coverage (UHC):** Ang Pilipinas, sa pamamagitan ng UHC Act (RA 11223), ay naglalayong bigyan ang lahat ng Pilipino ng access sa de-kalidad na pangangalagang pangkalusugan. Ang ilang mga bansa ay may mga katulad na diskarte (hal., National Health Service sa UK), habang ang iba ay umaasa sa pribadong insurance o isang kumbinasyon ng mga pampubliko at pribadong sistema (hal., USA).
* **Mga regulasyon sa Telemedicine:** Binubuo pa rin ng Pilipinas ang legal na balangkas nito para sa paggamit ng telemedicine sa panahon ng mga emerhensiya at pandemya. Ang ilang mga bansa ay may mas matatag na mga regulasyon na namamahala sa mga konsultasyon sa telemedicine at mga pamantayan ng pangangalaga. * **Malpractice liability:** Bagama't ang Pilipinas ay may mga batas sa malpractice, ang ibang mga bansa ay maaaring magkaroon ng mas mahigpit na balangkas ng pananagutan o partikular na mga scheme ng kabayaran para sa mga medikal na error.
**Narito ang isang mas tiyak na paghahambing sa dalawang bansa:**
* **USA:** Ang sistema ng pangangalagang pangkalusugan ng US ay isang kumplikadong kumbinasyon ng pampubliko at pribadong insurance. Walang iisang pambansang serbisyong pangkalusugan, at ang pag-access sa pangangalaga ay maaaring mag-iba depende sa saklaw ng insurance at lokasyon. Ang mga regulasyon sa telemedicine ay umuunlad sa antas ng estado. Ang paglilitis sa malpractice ay isang mahalagang aspeto ng batas medikal ng US.
* **Singapore:** Ang Singapore ay may pinaghalong sistema ng pangangalagang pangkalusugan na may matinding diin sa pag-iwas sa pangangalaga at mga hakbangin sa pampublikong kalusugan. Ang telemedicine ay aktibong isinusulong at kinokontrol. Umiiral ang mga batas sa malpractice, ngunit mas nakahilig ang focus sa pamamagitan at alternatibong paglutas ng hindi pagkakaunawaan.
**Mahalagang Isaalang-alang:**
* Ang mga legal na sistema ay patuloy na umuunlad. Ang paghahambing na ito ay nag-aalok ng isang pangkalahatang snapshot at maaaring hindi makuha ang lahat ng mga nuances.
* Ang diskarte ng bawat bansa sa batas medikal ay sumasalamin sa natatanging kontekstong panlipunan, pang-ekonomiya, at pampulitika nito.
Tandaan, ito ay panimulang punto lamang para sa karagdagang pananaliksik. Kung gusto mong ihambing ang batas medikal ng Pilipinas sa isang partikular na bansa, ipaalam sa akin, at matutulungan kita na makahanap ng mga nauugnay na mapagkukunan.</v>
      </c>
      <c r="F1761" s="2">
        <f t="shared" si="1"/>
        <v>0</v>
      </c>
      <c r="G1761" s="2"/>
      <c r="H1761" s="2"/>
      <c r="I1761" s="2"/>
      <c r="J1761" s="2"/>
      <c r="K1761" s="2"/>
      <c r="L1761" s="2"/>
      <c r="M1761" s="2"/>
      <c r="N1761" s="2"/>
      <c r="O1761" s="2"/>
      <c r="P1761" s="2"/>
      <c r="Q1761" s="2"/>
      <c r="R1761" s="2"/>
      <c r="S1761" s="2"/>
      <c r="T1761" s="2"/>
      <c r="U1761" s="2"/>
      <c r="V1761" s="2"/>
      <c r="W1761" s="2"/>
      <c r="X1761" s="2"/>
      <c r="Y1761" s="2"/>
      <c r="Z1761" s="2"/>
      <c r="AA1761" s="2"/>
    </row>
    <row r="1762">
      <c r="A1762" s="1" t="s">
        <v>4337</v>
      </c>
      <c r="B1762" s="1" t="s">
        <v>4570</v>
      </c>
      <c r="C1762" s="1" t="s">
        <v>4571</v>
      </c>
      <c r="D1762" s="2" t="str">
        <f>IFERROR(__xludf.DUMMYFUNCTION("GOOGLETRANSLATE(B1762, ""en"", ""TL"")"),"Ano ang ilang kamakailang pagpapaunlad ng pambatasan o desisyon ng korte na nakakaapekto sa batas medikal sa Pilipinas?")</f>
        <v>Ano ang ilang kamakailang pagpapaunlad ng pambatasan o desisyon ng korte na nakakaapekto sa batas medikal sa Pilipinas?</v>
      </c>
      <c r="E1762" s="2" t="str">
        <f>IFERROR(__xludf.DUMMYFUNCTION("GOOGLETRANSLATE(C1762, ""en"", ""TL"")"),"Narito ang isang breakdown ng mga kamakailang pag-unlad na nakakaapekto sa batas medikal sa Pilipinas:
**Mga Pagbuo ng Pambatasan:**
Bagama't walang malalaking bagong batas na direktang nakakaapekto sa medikal na kasanayan sa nakalipas na nakaraan, ang il"&amp;"ang umiiral na batas ay patuloy na pinipino sa pamamagitan ng mga pagbabago. Narito ang ilang mga nauugnay:
* **Republic Act No. 11223 o ang ""Universal Health Care Act"" (2018):** Ang batas na ito ay patuloy na ipinapatupad at pinipino. Nakatuon ito sa p"&amp;"agpapalawak ng saklaw ng health insurance para sa mga Pilipino, na hindi direktang nakakaapekto sa medikal na kasanayan sa pamamagitan ng potensyal na pagtaas ng dami ng pasyente sa mga sakop na pasilidad.
* **Mga Susog sa Republic Act No. 7392 o ang ""Ph"&amp;"ilippine Midwifery Act of 1992"" (iba't ibang taon):** Ang mga susog na ito ay naglalayong gawing moderno ang pagsasanay sa midwifery sa Pilipinas. Maaari nilang tugunan ang saklaw ng pagsasanay, mga kinakailangan sa patuloy na edukasyon, at pakikipagtulu"&amp;"ngan sa mga doktor. **Mga Pasya ng Korte:**
Ang mga pagpapasya ng hukuman ay maaari ding makabuluhang makaapekto sa batas medikal. Narito ang ilang kamakailang mga halimbawa:
* **Informed Consent:** Binigyang-diin ng mga desisyon ang kahalagahan ng inform"&amp;"ed consent sa mga medikal na pamamaraan. Pinalalakas nito ang awtonomiya ng pasyente at pinipilit ang mga medikal na propesyonal na magbigay ng malinaw at kumpletong impormasyon bago ang paggamot ([Matatagpuan ang batas sa kaso ng Pilipinas tungkol sa kaa"&amp;"lamang pahintulot sa iba't ibang desisyon ng Korte Suprema. Maghanap sa online na mga legal na database para sa mga partikular na kaso]).
* **Mamalpractice:** Ang mga desisyon ng korte ay patuloy na tumutukoy sa saklaw ng medikal na malpractice sa Pilipin"&amp;"as. Ang mga kasong ito ay madalas na nakatuon sa relasyon ng doktor-pasyente, ang pamantayan ng pangangalaga, at ang pasanin ng patunay ([Katulad ng may-kaalaman na pahintulot, mahahanap mo ang batas ng kaso sa Pilipinas tungkol sa malpractice sa pamamagi"&amp;"tan ng mga online legal na database]).
**Paghahanap ng Higit pang Impormasyon:**
* Ang Opisyal na Gazette ([https://www.officialgazette.gov.ph/](https://www.officialgazette.gov.ph/)) ay naglalathala ng mga bagong batas at susog.
* Ang website ng Korte Sup"&amp;"rema ([https://sc.judiciary.gov.ph/decisions/](https://sc.judiciary.gov.ph/decisions/)) ay nagbibigay ng access sa mga desisyon ng korte.
* Ang mga legal na database tulad ng Juris Prudence ([https://lawphil.net/judjuris/judjuris.html](https://lawphil.net"&amp;"/judjuris/judjuris.html)) ay nag-aalok ng mahahanap na batas ng kaso sa medikal na malpractice at may kaalamang pahintulot.
**Tandaan:** Ito ay isang maikling pangkalahatang-ideya lamang. Para sa partikular na legal na payo, palaging pinakamahusay na kumu"&amp;"nsulta sa isang abogado na dalubhasa sa medikal na batas.")</f>
        <v>Narito ang isang breakdown ng mga kamakailang pag-unlad na nakakaapekto sa batas medikal sa Pilipinas:
**Mga Pagbuo ng Pambatasan:**
Bagama't walang malalaking bagong batas na direktang nakakaapekto sa medikal na kasanayan sa nakalipas na nakaraan, ang ilang umiiral na batas ay patuloy na pinipino sa pamamagitan ng mga pagbabago. Narito ang ilang mga nauugnay:
* **Republic Act No. 11223 o ang "Universal Health Care Act" (2018):** Ang batas na ito ay patuloy na ipinapatupad at pinipino. Nakatuon ito sa pagpapalawak ng saklaw ng health insurance para sa mga Pilipino, na hindi direktang nakakaapekto sa medikal na kasanayan sa pamamagitan ng potensyal na pagtaas ng dami ng pasyente sa mga sakop na pasilidad.
* **Mga Susog sa Republic Act No. 7392 o ang "Philippine Midwifery Act of 1992" (iba't ibang taon):** Ang mga susog na ito ay naglalayong gawing moderno ang pagsasanay sa midwifery sa Pilipinas. Maaari nilang tugunan ang saklaw ng pagsasanay, mga kinakailangan sa patuloy na edukasyon, at pakikipagtulungan sa mga doktor. **Mga Pasya ng Korte:**
Ang mga pagpapasya ng hukuman ay maaari ding makabuluhang makaapekto sa batas medikal. Narito ang ilang kamakailang mga halimbawa:
* **Informed Consent:** Binigyang-diin ng mga desisyon ang kahalagahan ng informed consent sa mga medikal na pamamaraan. Pinalalakas nito ang awtonomiya ng pasyente at pinipilit ang mga medikal na propesyonal na magbigay ng malinaw at kumpletong impormasyon bago ang paggamot ([Matatagpuan ang batas sa kaso ng Pilipinas tungkol sa kaalamang pahintulot sa iba't ibang desisyon ng Korte Suprema. Maghanap sa online na mga legal na database para sa mga partikular na kaso]).
* **Mamalpractice:** Ang mga desisyon ng korte ay patuloy na tumutukoy sa saklaw ng medikal na malpractice sa Pilipinas. Ang mga kasong ito ay madalas na nakatuon sa relasyon ng doktor-pasyente, ang pamantayan ng pangangalaga, at ang pasanin ng patunay ([Katulad ng may-kaalaman na pahintulot, mahahanap mo ang batas ng kaso sa Pilipinas tungkol sa malpractice sa pamamagitan ng mga online legal na database]).
**Paghahanap ng Higit pang Impormasyon:**
* Ang Opisyal na Gazette ([https://www.officialgazette.gov.ph/](https://www.officialgazette.gov.ph/)) ay naglalathala ng mga bagong batas at susog.
* Ang website ng Korte Suprema ([https://sc.judiciary.gov.ph/decisions/](https://sc.judiciary.gov.ph/decisions/)) ay nagbibigay ng access sa mga desisyon ng korte.
* Ang mga legal na database tulad ng Juris Prudence ([https://lawphil.net/judjuris/judjuris.html](https://lawphil.net/judjuris/judjuris.html)) ay nag-aalok ng mahahanap na batas ng kaso sa medikal na malpractice at may kaalamang pahintulot.
**Tandaan:** Ito ay isang maikling pangkalahatang-ideya lamang. Para sa partikular na legal na payo, palaging pinakamahusay na kumunsulta sa isang abogado na dalubhasa sa medikal na batas.</v>
      </c>
      <c r="F1762" s="2">
        <f t="shared" si="1"/>
        <v>0</v>
      </c>
      <c r="G1762" s="2"/>
      <c r="H1762" s="2"/>
      <c r="I1762" s="2"/>
      <c r="J1762" s="2"/>
      <c r="K1762" s="2"/>
      <c r="L1762" s="2"/>
      <c r="M1762" s="2"/>
      <c r="N1762" s="2"/>
      <c r="O1762" s="2"/>
      <c r="P1762" s="2"/>
      <c r="Q1762" s="2"/>
      <c r="R1762" s="2"/>
      <c r="S1762" s="2"/>
      <c r="T1762" s="2"/>
      <c r="U1762" s="2"/>
      <c r="V1762" s="2"/>
      <c r="W1762" s="2"/>
      <c r="X1762" s="2"/>
      <c r="Y1762" s="2"/>
      <c r="Z1762" s="2"/>
      <c r="AA1762" s="2"/>
    </row>
    <row r="1763">
      <c r="A1763" s="1" t="s">
        <v>4337</v>
      </c>
      <c r="B1763" s="1" t="s">
        <v>4572</v>
      </c>
      <c r="C1763" s="1" t="s">
        <v>4573</v>
      </c>
      <c r="D1763" s="2" t="str">
        <f>IFERROR(__xludf.DUMMYFUNCTION("GOOGLETRANSLATE(B1763, ""en"", ""TL"")"),"Ano ang mga pangunahing hamon at pagkakataon para sa pagpapabuti ng regulasyon ng sektor ng pangangalagang pangkalusugan sa Pilipinas?")</f>
        <v>Ano ang mga pangunahing hamon at pagkakataon para sa pagpapabuti ng regulasyon ng sektor ng pangangalagang pangkalusugan sa Pilipinas?</v>
      </c>
      <c r="E1763" s="2" t="str">
        <f>IFERROR(__xludf.DUMMYFUNCTION("GOOGLETRANSLATE(C1763, ""en"", ""TL"")"),"## Mga Hamon sa Regulasyon sa Pangangalaga ng Kalusugan (Philippines)
Ang Pilipinas ay nahaharap sa ilang mga hamon sa pagsasaayos ng sektor ng pangangalagang pangkalusugan. Narito kung paano gumaganap ang mga kasalukuyang batas at Konstitusyon:
**Mga Ham"&amp;"on:**
* **Mga Kakulangan at Pamamahagi ng Trabaho (Konstitusyon - Artikulo II, Seksyon 15):** Ang Konstitusyon ay nag-uutos sa estado na unahin ang kalusugan. Gayunpaman, ang kakulangan ng mga manggagawa sa pangangalagang pangkalusugan, lalo na sa mga mal"&amp;"alayong lugar, ay humahadlang sa layuning ito. * **Mataas na Out-of-Pocket Payments (RA No. 11223):** Bagama't ang Universal Health Care Act ay nagpapalawak ng coverage, ang mga Pilipino ay nasa balikat pa rin ng makabuluhang out-of-pocket na gastos. Maaa"&amp;"ring limitahan ng pinansiyal na pasanin na ito ang pag-access sa pangangalaga.
* **Bahag-bahagi at Di-Pantay na Kalidad (RA No. 4226 - The Hospital Licensure Act):** Ang Hospital Licensure Act ay nagtatakda ng mga pamantayan, ngunit ang mga pagkakaiba-iba"&amp;" ng kalidad ay nananatili sa pagitan ng mga pasilidad. Maaaring kailanganing palakasin ang mga regulasyon upang matiyak ang pare-parehong kalidad sa buong board. * **Hindi Sapat na Pampublikong Pagpopondo (Konstitusyon - Artikulo III, Seksyon 20):** Maaar"&amp;"ing hindi sapat ang pambansang badyet para sa pangangalagang pangkalusugan upang ganap na matugunan ang lahat ng pangangailangan. Ang Konstitusyon ay nag-uutos ng paglalaan ng mga mapagkukunan, ngunit ang pagtiyak ng sapat na pondo ay nananatiling isang h"&amp;"amon. **Mga Pagkakataon:**
* **Pag-optimize ng Pamamahagi ng Lakas ng Trabaho (RA No. 10842 - The Philippine Nursing Act of 2016):** Ang mga kasalukuyang batas tulad ng Philippine Nursing Act ay maaaring gamitin para sa mas mahusay na pagpaplano ng mga ma"&amp;"nggagawa at deployment ng mga propesyonal sa pangangalagang pangkalusugan sa mga lugar na kulang sa serbisyo.
* **Pagpapalakas ng PhilHealth (RA No. 11223):** Ang Universal Health Care Act ay nagbibigay ng balangkas. Ang pag-optimize sa kahusayan at pagka"&amp;"kasakop ng PhilHealth ay maaaring makabuluhang bawasan ang mga gastos mula sa bulsa.
* **Teknolohiya at Innovation:** Ang telemedicine at mga digital na tool sa kalusugan ay maaaring mapabuti ang pag-access sa pangangalaga sa mga malalayong lugar. Maaarin"&amp;"g galugarin ng pamahalaan ang mga legal na balangkas upang maisama ang mga pagsulong na ito sa loob ng mga kasalukuyang regulasyon.
* **Public-Private Partnerships (Konstitusyon - Artikulo XII):** Ang Konstitusyon ay nagpapahintulot sa pakikipagtulungan s"&amp;"a pagitan ng publiko at pribadong sektor. Ang mga public-private partnership ay maaaring mag-ambag ng karagdagang mga mapagkukunan at kadalubhasaan upang mapabuti ang paghahatid ng pangangalagang pangkalusugan.
**Tandaan:** Ito ay hindi isang kumpletong l"&amp;"istahan, at ang mga legal na interpretasyon ay maaaring maging kumplikado.")</f>
        <v>## Mga Hamon sa Regulasyon sa Pangangalaga ng Kalusugan (Philippines)
Ang Pilipinas ay nahaharap sa ilang mga hamon sa pagsasaayos ng sektor ng pangangalagang pangkalusugan. Narito kung paano gumaganap ang mga kasalukuyang batas at Konstitusyon:
**Mga Hamon:**
* **Mga Kakulangan at Pamamahagi ng Trabaho (Konstitusyon - Artikulo II, Seksyon 15):** Ang Konstitusyon ay nag-uutos sa estado na unahin ang kalusugan. Gayunpaman, ang kakulangan ng mga manggagawa sa pangangalagang pangkalusugan, lalo na sa mga malalayong lugar, ay humahadlang sa layuning ito. * **Mataas na Out-of-Pocket Payments (RA No. 11223):** Bagama't ang Universal Health Care Act ay nagpapalawak ng coverage, ang mga Pilipino ay nasa balikat pa rin ng makabuluhang out-of-pocket na gastos. Maaaring limitahan ng pinansiyal na pasanin na ito ang pag-access sa pangangalaga.
* **Bahag-bahagi at Di-Pantay na Kalidad (RA No. 4226 - The Hospital Licensure Act):** Ang Hospital Licensure Act ay nagtatakda ng mga pamantayan, ngunit ang mga pagkakaiba-iba ng kalidad ay nananatili sa pagitan ng mga pasilidad. Maaaring kailanganing palakasin ang mga regulasyon upang matiyak ang pare-parehong kalidad sa buong board. * **Hindi Sapat na Pampublikong Pagpopondo (Konstitusyon - Artikulo III, Seksyon 20):** Maaaring hindi sapat ang pambansang badyet para sa pangangalagang pangkalusugan upang ganap na matugunan ang lahat ng pangangailangan. Ang Konstitusyon ay nag-uutos ng paglalaan ng mga mapagkukunan, ngunit ang pagtiyak ng sapat na pondo ay nananatiling isang hamon. **Mga Pagkakataon:**
* **Pag-optimize ng Pamamahagi ng Lakas ng Trabaho (RA No. 10842 - The Philippine Nursing Act of 2016):** Ang mga kasalukuyang batas tulad ng Philippine Nursing Act ay maaaring gamitin para sa mas mahusay na pagpaplano ng mga manggagawa at deployment ng mga propesyonal sa pangangalagang pangkalusugan sa mga lugar na kulang sa serbisyo.
* **Pagpapalakas ng PhilHealth (RA No. 11223):** Ang Universal Health Care Act ay nagbibigay ng balangkas. Ang pag-optimize sa kahusayan at pagkakasakop ng PhilHealth ay maaaring makabuluhang bawasan ang mga gastos mula sa bulsa.
* **Teknolohiya at Innovation:** Ang telemedicine at mga digital na tool sa kalusugan ay maaaring mapabuti ang pag-access sa pangangalaga sa mga malalayong lugar. Maaaring galugarin ng pamahalaan ang mga legal na balangkas upang maisama ang mga pagsulong na ito sa loob ng mga kasalukuyang regulasyon.
* **Public-Private Partnerships (Konstitusyon - Artikulo XII):** Ang Konstitusyon ay nagpapahintulot sa pakikipagtulungan sa pagitan ng publiko at pribadong sektor. Ang mga public-private partnership ay maaaring mag-ambag ng karagdagang mga mapagkukunan at kadalubhasaan upang mapabuti ang paghahatid ng pangangalagang pangkalusugan.
**Tandaan:** Ito ay hindi isang kumpletong listahan, at ang mga legal na interpretasyon ay maaaring maging kumplikado.</v>
      </c>
      <c r="F1763" s="2">
        <f t="shared" si="1"/>
        <v>0</v>
      </c>
      <c r="G1763" s="2"/>
      <c r="H1763" s="2"/>
      <c r="I1763" s="2"/>
      <c r="J1763" s="2"/>
      <c r="K1763" s="2"/>
      <c r="L1763" s="2"/>
      <c r="M1763" s="2"/>
      <c r="N1763" s="2"/>
      <c r="O1763" s="2"/>
      <c r="P1763" s="2"/>
      <c r="Q1763" s="2"/>
      <c r="R1763" s="2"/>
      <c r="S1763" s="2"/>
      <c r="T1763" s="2"/>
      <c r="U1763" s="2"/>
      <c r="V1763" s="2"/>
      <c r="W1763" s="2"/>
      <c r="X1763" s="2"/>
      <c r="Y1763" s="2"/>
      <c r="Z1763" s="2"/>
      <c r="AA1763" s="2"/>
    </row>
    <row r="1764">
      <c r="A1764" s="1" t="s">
        <v>4337</v>
      </c>
      <c r="B1764" s="1" t="s">
        <v>4574</v>
      </c>
      <c r="C1764" s="1" t="s">
        <v>4575</v>
      </c>
      <c r="D1764" s="2" t="str">
        <f>IFERROR(__xludf.DUMMYFUNCTION("GOOGLETRANSLATE(B1764, ""en"", ""TL"")"),"Aling mga ahensya ng gobyerno ang pangunahing responsable sa pagpapatupad ng mga batas medikal sa Pilipinas?")</f>
        <v>Aling mga ahensya ng gobyerno ang pangunahing responsable sa pagpapatupad ng mga batas medikal sa Pilipinas?</v>
      </c>
      <c r="E1764" s="2" t="str">
        <f>IFERROR(__xludf.DUMMYFUNCTION("GOOGLETRANSLATE(C1764, ""en"", ""TL"")"),"Maraming ahensya ng gobyerno ang may pananagutan sa pagpapatupad ng mga batas medikal sa Pilipinas. Narito ang isang breakdown batay sa kanilang mga lugar na pinagtutuunan:
* **Department of Health (DOH) (Executive Order No. 112, Reorganizing the DOH):** "&amp;"Ang DOH ang sentral na ahensya na responsable sa pagbabalangkas, pagpapatupad, at pagpapatupad ng mga patakarang pangkalusugan, kabilang ang mga nauugnay sa medikal na kasanayan. Pinangangasiwaan nila ang mga lugar tulad ng paglilisensya ng mga medikal na"&amp;" propesyonal, pagtatakda ng mga pamantayan sa kalusugan para sa mga pasilidad, at pagsisiyasat ng mga reklamo laban sa mga tagapagbigay ng pangangalagang pangkalusugan.
* **Mga Propesyonal na Regulatory Board sa ilalim ng Professional Regulation Commissio"&amp;"n (PRC) (Republic Act No. 8423 - The Professional Regulation Commission Act):** Ang PRC ay nangangasiwa sa propesyonal na regulasyon sa iba't ibang larangan, kabilang ang medisina. Ang iba't ibang board sa ilalim ng PRC, tulad ng Board of Medicine at Boar"&amp;"d of Nursing, ay humahawak sa paglilisensya, akreditasyon, at mga aksyong pandisiplina na partikular sa kanilang mga propesyon.
* **Food and Drug Administration (FDA) (Republic Act No. 3720 - Food, Drug, and Cosmetic Act):** Kinokontrol ng FDA ang kaligta"&amp;"san at bisa ng mga gamot, kagamitang medikal, at mga kosmetiko. Tinitiyak nila na ang mga produktong ito ay nakakatugon sa mga pamantayan ng kalidad at nagpapatupad ng mga batas laban sa mga peke o hindi awtorisadong produktong medikal.
* **Philippine Nat"&amp;"ional Police (PNP) (Republic Act No. 6975 - DILG Act of 1991):** Ang PNP ay gumaganap ng papel sa pagpapatupad ng mga batas medikal kapag may kinalaman ang mga kriminal na paglabag. Maaaring kabilang dito ang mga kaso ng pekeng medikal na kasanayan, ilega"&amp;"l na pagbebenta ng mga gamot, o malpractice na nagreresulta sa pisikal na pinsala.
* **Local Government Units (LGUs) (Republic Act No. 7160 - Local Government Code of 1991):** Ang mga LGU, partikular na ang mga city at municipal health office, ay may tung"&amp;"kulin sa pagpapatupad ng mga pambansang patakaran sa kalusugan sa lokal na antas. Kabilang dito ang pagsubaybay sa mga pasilidad ng pangangalagang pangkalusugan sa loob ng kanilang hurisdiksyon at pagtiyak ng pagsunod sa mga regulasyon.
**Tandaan:** Bagam"&amp;"a't ito ang mga pangunahing ahensya, maaaring may mga tungkulin ang ibang mga katawan ng pamahalaan depende sa partikular na batas medikal na pinag-uusapan.")</f>
        <v>Maraming ahensya ng gobyerno ang may pananagutan sa pagpapatupad ng mga batas medikal sa Pilipinas. Narito ang isang breakdown batay sa kanilang mga lugar na pinagtutuunan:
* **Department of Health (DOH) (Executive Order No. 112, Reorganizing the DOH):** Ang DOH ang sentral na ahensya na responsable sa pagbabalangkas, pagpapatupad, at pagpapatupad ng mga patakarang pangkalusugan, kabilang ang mga nauugnay sa medikal na kasanayan. Pinangangasiwaan nila ang mga lugar tulad ng paglilisensya ng mga medikal na propesyonal, pagtatakda ng mga pamantayan sa kalusugan para sa mga pasilidad, at pagsisiyasat ng mga reklamo laban sa mga tagapagbigay ng pangangalagang pangkalusugan.
* **Mga Propesyonal na Regulatory Board sa ilalim ng Professional Regulation Commission (PRC) (Republic Act No. 8423 - The Professional Regulation Commission Act):** Ang PRC ay nangangasiwa sa propesyonal na regulasyon sa iba't ibang larangan, kabilang ang medisina. Ang iba't ibang board sa ilalim ng PRC, tulad ng Board of Medicine at Board of Nursing, ay humahawak sa paglilisensya, akreditasyon, at mga aksyong pandisiplina na partikular sa kanilang mga propesyon.
* **Food and Drug Administration (FDA) (Republic Act No. 3720 - Food, Drug, and Cosmetic Act):** Kinokontrol ng FDA ang kaligtasan at bisa ng mga gamot, kagamitang medikal, at mga kosmetiko. Tinitiyak nila na ang mga produktong ito ay nakakatugon sa mga pamantayan ng kalidad at nagpapatupad ng mga batas laban sa mga peke o hindi awtorisadong produktong medikal.
* **Philippine National Police (PNP) (Republic Act No. 6975 - DILG Act of 1991):** Ang PNP ay gumaganap ng papel sa pagpapatupad ng mga batas medikal kapag may kinalaman ang mga kriminal na paglabag. Maaaring kabilang dito ang mga kaso ng pekeng medikal na kasanayan, ilegal na pagbebenta ng mga gamot, o malpractice na nagreresulta sa pisikal na pinsala.
* **Local Government Units (LGUs) (Republic Act No. 7160 - Local Government Code of 1991):** Ang mga LGU, partikular na ang mga city at municipal health office, ay may tungkulin sa pagpapatupad ng mga pambansang patakaran sa kalusugan sa lokal na antas. Kabilang dito ang pagsubaybay sa mga pasilidad ng pangangalagang pangkalusugan sa loob ng kanilang hurisdiksyon at pagtiyak ng pagsunod sa mga regulasyon.
**Tandaan:** Bagama't ito ang mga pangunahing ahensya, maaaring may mga tungkulin ang ibang mga katawan ng pamahalaan depende sa partikular na batas medikal na pinag-uusapan.</v>
      </c>
      <c r="F1764" s="2">
        <f t="shared" si="1"/>
        <v>0</v>
      </c>
      <c r="G1764" s="2"/>
      <c r="H1764" s="2"/>
      <c r="I1764" s="2"/>
      <c r="J1764" s="2"/>
      <c r="K1764" s="2"/>
      <c r="L1764" s="2"/>
      <c r="M1764" s="2"/>
      <c r="N1764" s="2"/>
      <c r="O1764" s="2"/>
      <c r="P1764" s="2"/>
      <c r="Q1764" s="2"/>
      <c r="R1764" s="2"/>
      <c r="S1764" s="2"/>
      <c r="T1764" s="2"/>
      <c r="U1764" s="2"/>
      <c r="V1764" s="2"/>
      <c r="W1764" s="2"/>
      <c r="X1764" s="2"/>
      <c r="Y1764" s="2"/>
      <c r="Z1764" s="2"/>
      <c r="AA1764" s="2"/>
    </row>
    <row r="1765">
      <c r="A1765" s="1" t="s">
        <v>4337</v>
      </c>
      <c r="B1765" s="1" t="s">
        <v>4576</v>
      </c>
      <c r="C1765" s="1" t="s">
        <v>4577</v>
      </c>
      <c r="D1765" s="2" t="str">
        <f>IFERROR(__xludf.DUMMYFUNCTION("GOOGLETRANSLATE(B1765, ""en"", ""TL"")"),"Anong mga mapagkukunan ang magagamit ng publiko upang matuto nang higit pa tungkol sa kanilang mga karapatan at responsibilidad sa ilalim ng batas medikal ng Pilipinas?")</f>
        <v>Anong mga mapagkukunan ang magagamit ng publiko upang matuto nang higit pa tungkol sa kanilang mga karapatan at responsibilidad sa ilalim ng batas medikal ng Pilipinas?</v>
      </c>
      <c r="E1765" s="2" t="str">
        <f>IFERROR(__xludf.DUMMYFUNCTION("GOOGLETRANSLATE(C1765, ""en"", ""TL"")"),"Nag-aalok ang Pilipinas ng ilang mapagkukunan para sa publiko upang malaman ang tungkol sa kanilang mga karapatan at responsibilidad sa ilalim ng batas medikal:
**Mga Website ng Pamahalaan:**
* **Department of Health (DOH):** Ang website ng DOH ([https://"&amp;"doh.gov.ph/](https://doh.gov.ph/)) ay nagbibigay ng impormasyon sa mga karapatan at responsibilidad ng pasyente. Maaaring mayroon din silang mga publikasyon o nada-download na materyal sa mga partikular na batas medikal.
* **Mga Propesyonal na Regulatory "&amp;"Board sa ilalim ng PRC:** Ang mga board na ito, tulad ng Board of Medicine ([https://www.prc.gov.ph/](https://www.prc.gov.ph/)), maaaring may mga seksyon sa kanilang mga website na nakatuon sa impormasyon ng pasyente at mga alituntuning etikal para sa mga"&amp;" tagapagbigay ng pangangalagang pangkalusugan.
**Mga Pinagmumulan ng Legal na Impormasyon:**
* **Opisyal na Gazette:** Ang Opisyal na Gazette ([https://www.officialgazette.gov.ph/](https://www.officialgazette.gov.ph/)) ay naglalathala ng mga bagong batas "&amp;"at susog na may kaugnayan sa medikal na kasanayan . * **LawPhil.net:** Ang website na ito ([https://lawphil.net/](https://lawphil.net/)) ay nag-aalok ng mahahanap na database ng mga batas ng Pilipinas, kabilang ang mga nauugnay sa pangangalagang pangkalus"&amp;"ugan. **Non-Government Organizations (NGOs):**
* Ang ilang NGO na nakatuon sa adbokasiya sa kalusugan ay maaaring may mga mapagkukunan sa mga karapatan at responsibilidad ng pasyente. Maghanap ng mga kagalang-galang na organisasyon na may mga website o mg"&amp;"a pahina ng social media na nag-aalok ng naturang impormasyon.
**Mga Pampublikong Aklatan:**
* Ang mga pampublikong aklatan ay maaaring may mga legal na mapagkukunan o mga publikasyon sa batas medikal para sa pangkalahatang publiko.
**Mga Abugado:**
* Bag"&amp;"ama't hindi isang libreng mapagkukunan, ang pagkonsulta sa isang abogado na dalubhasa sa medikal na batas ay maaaring magbigay ng personalized na payo sa iyong mga partikular na karapatan at responsibilidad sa isang partikular na sitwasyon.
**Narito ang i"&amp;"lang karagdagang tip:**
* Maghanap ng impormasyon mula sa mga mapagkakatiwalaang mapagkukunan. * Maaaring kumplikado ang legal na impormasyon. Kung mayroon kang anumang mga pagdududa, kumunsulta sa isang abogado para sa propesyonal na gabay. * Ang mga map"&amp;"agkukunang binanggit ay maaaring nasa Filipino. Isaalang-alang ang paggamit ng tool sa pagsasalin kung kinakailangan.")</f>
        <v>Nag-aalok ang Pilipinas ng ilang mapagkukunan para sa publiko upang malaman ang tungkol sa kanilang mga karapatan at responsibilidad sa ilalim ng batas medikal:
**Mga Website ng Pamahalaan:**
* **Department of Health (DOH):** Ang website ng DOH ([https://doh.gov.ph/](https://doh.gov.ph/)) ay nagbibigay ng impormasyon sa mga karapatan at responsibilidad ng pasyente. Maaaring mayroon din silang mga publikasyon o nada-download na materyal sa mga partikular na batas medikal.
* **Mga Propesyonal na Regulatory Board sa ilalim ng PRC:** Ang mga board na ito, tulad ng Board of Medicine ([https://www.prc.gov.ph/](https://www.prc.gov.ph/)), maaaring may mga seksyon sa kanilang mga website na nakatuon sa impormasyon ng pasyente at mga alituntuning etikal para sa mga tagapagbigay ng pangangalagang pangkalusugan.
**Mga Pinagmumulan ng Legal na Impormasyon:**
* **Opisyal na Gazette:** Ang Opisyal na Gazette ([https://www.officialgazette.gov.ph/](https://www.officialgazette.gov.ph/)) ay naglalathala ng mga bagong batas at susog na may kaugnayan sa medikal na kasanayan . * **LawPhil.net:** Ang website na ito ([https://lawphil.net/](https://lawphil.net/)) ay nag-aalok ng mahahanap na database ng mga batas ng Pilipinas, kabilang ang mga nauugnay sa pangangalagang pangkalusugan. **Non-Government Organizations (NGOs):**
* Ang ilang NGO na nakatuon sa adbokasiya sa kalusugan ay maaaring may mga mapagkukunan sa mga karapatan at responsibilidad ng pasyente. Maghanap ng mga kagalang-galang na organisasyon na may mga website o mga pahina ng social media na nag-aalok ng naturang impormasyon.
**Mga Pampublikong Aklatan:**
* Ang mga pampublikong aklatan ay maaaring may mga legal na mapagkukunan o mga publikasyon sa batas medikal para sa pangkalahatang publiko.
**Mga Abugado:**
* Bagama't hindi isang libreng mapagkukunan, ang pagkonsulta sa isang abogado na dalubhasa sa medikal na batas ay maaaring magbigay ng personalized na payo sa iyong mga partikular na karapatan at responsibilidad sa isang partikular na sitwasyon.
**Narito ang ilang karagdagang tip:**
* Maghanap ng impormasyon mula sa mga mapagkakatiwalaang mapagkukunan. * Maaaring kumplikado ang legal na impormasyon. Kung mayroon kang anumang mga pagdududa, kumunsulta sa isang abogado para sa propesyonal na gabay. * Ang mga mapagkukunang binanggit ay maaaring nasa Filipino. Isaalang-alang ang paggamit ng tool sa pagsasalin kung kinakailangan.</v>
      </c>
      <c r="F1765" s="2">
        <f t="shared" si="1"/>
        <v>0</v>
      </c>
      <c r="G1765" s="2"/>
      <c r="H1765" s="2">
        <f>SUM(F2:F3001)</f>
        <v>445</v>
      </c>
      <c r="I1765" s="2"/>
      <c r="J1765" s="2"/>
      <c r="K1765" s="2"/>
      <c r="L1765" s="2"/>
      <c r="M1765" s="2"/>
      <c r="N1765" s="2"/>
      <c r="O1765" s="2"/>
      <c r="P1765" s="2"/>
      <c r="Q1765" s="2"/>
      <c r="R1765" s="2"/>
      <c r="S1765" s="2"/>
      <c r="T1765" s="2"/>
      <c r="U1765" s="2"/>
      <c r="V1765" s="2"/>
      <c r="W1765" s="2"/>
      <c r="X1765" s="2"/>
      <c r="Y1765" s="2"/>
      <c r="Z1765" s="2"/>
      <c r="AA1765" s="2"/>
    </row>
    <row r="1766">
      <c r="A1766" s="1" t="s">
        <v>4337</v>
      </c>
      <c r="B1766" s="1" t="s">
        <v>4578</v>
      </c>
      <c r="C1766" s="1" t="s">
        <v>4579</v>
      </c>
      <c r="D1766" s="2" t="str">
        <f>IFERROR(__xludf.DUMMYFUNCTION("GOOGLETRANSLATE(B1766, ""en"", ""TL"")"),"Paano tinutugunan ng batas ng Pilipinas ang mga sitwasyon kung saan ang isang pasyente ay walang kapasidad na pumayag sa medikal na paggamot?")</f>
        <v>Paano tinutugunan ng batas ng Pilipinas ang mga sitwasyon kung saan ang isang pasyente ay walang kapasidad na pumayag sa medikal na paggamot?</v>
      </c>
      <c r="E1766" s="2" t="str">
        <f>IFERROR(__xludf.DUMMYFUNCTION("GOOGLETRANSLATE(C1766, ""en"", ""TL"")"),"Tinutugunan ng batas ng Pilipinas ang mga sitwasyon kung saan ang isang pasyente ay walang kapasidad na pumayag sa medikal na paggamot sa pamamagitan ng kumbinasyon ng mga sumusunod:
* **Presumption of Capacity (Mental Health Act - RA No. 11036):** Binibi"&amp;"gyang-diin ng Batas na ito na ang lahat ng Pilipino ay ipinapalagay na may kapasidad na pumayag, anuman ang kondisyon ng kalusugan ng isip. * **Mga Paunang Direktiba (Walang partikular na RA, ngunit kinikilala ng DOH):** Ang mga pasyenteng may kapasidad s"&amp;"a paggawa ng desisyon ay maaaring lumikha ng mga paunang direktiba, na mga dokumentong nagbabalangkas sa kanilang mga kahilingan tungkol sa medikal na paggamot kung sakaling sila ay mawalan ng kakayahan. Kinikilala ng Kagawaran ng Kalusugan ang mga direkt"&amp;"iba na ito, kahit na ang isang partikular na batas ay wala pa sa lugar.
* **Mga Kapalit na Desisyon (RA No. 7600 - Ang Kodigo ng Pamamaraang Sibil):** Sa kawalan ng mga paunang direktiba, tinutukoy ng batas ang isang hierarchy ng mga indibidwal na maaarin"&amp;"g magbigay ng pahintulot sa ngalan ng isang pasyenteng walang kakayahan. Karaniwang sinusunod nito ang pagkakasunud-sunod ng pinakamalapit na relasyon sa pamilya, simula sa asawa, sinusundan ng mga magulang, pagkatapos ay mga adultong anak, kapatid, at ib"&amp;"a pa. (Ang partikular na pagkakasunud-sunod ng paghalili para sa mga kapalit na gumagawa ng desisyon ay makikita sa Artikulo 406 ng Kodigo ng Pamamaraang Sibil: [inalis ang invalid na URL])
* **Pinakamahusay na Interes ng Pasyente (Walang partikular na RA"&amp;", ngunit isang legal na prinsipyo):** Kapag walang malinaw na kapalit na tagapasya o hindi sumasang-ayon ang mga magagamit, ang medikal na propesyonal ay dapat kumilos para sa pinakamahusay na interes ng pasyente batay sa kanilang medikal na pagpapasya at"&amp;" magagamit na mga medikal na rekord.
**Narito ang ilang karagdagang puntong dapat isaalang-alang:**
* **Mga Emergency na Sitwasyon (RA No. 8344):** Sa mga emerhensiya kung saan ang buhay ng pasyente ay nasa panganib at walang oras para makakuha ng pahintu"&amp;"lot, ang mga medikal na propesyonal ay maaaring magbigay ng paggamot nang walang pahintulot upang maiwasan ang kamatayan o malubhang pinsala. * **Psychiatric o Neurological Emergency (Mental Health Act - RA No. 11036):** Ang Mental Health Act ay nagbibiga"&amp;"y-daan para sa paggamot, pagpigil, o pagkulong nang walang kaalamang pahintulot sa panahon ng psychiatric o neurological na mga emerhensiya, na may mga pananggalang na nakalagay upang protektahan ang mga karapatan ng pasyente. **Tandaan:** Ito ay isang pi"&amp;"nasimpleng paliwanag, at ang partikular na legal na balangkas ay maaaring mag-iba depende sa mga pangyayari. Laging pinakamahusay na kumunsulta sa isang abogado na dalubhasa sa medikal na batas para sa partikular na payo.")</f>
        <v>Tinutugunan ng batas ng Pilipinas ang mga sitwasyon kung saan ang isang pasyente ay walang kapasidad na pumayag sa medikal na paggamot sa pamamagitan ng kumbinasyon ng mga sumusunod:
* **Presumption of Capacity (Mental Health Act - RA No. 11036):** Binibigyang-diin ng Batas na ito na ang lahat ng Pilipino ay ipinapalagay na may kapasidad na pumayag, anuman ang kondisyon ng kalusugan ng isip. * **Mga Paunang Direktiba (Walang partikular na RA, ngunit kinikilala ng DOH):** Ang mga pasyenteng may kapasidad sa paggawa ng desisyon ay maaaring lumikha ng mga paunang direktiba, na mga dokumentong nagbabalangkas sa kanilang mga kahilingan tungkol sa medikal na paggamot kung sakaling sila ay mawalan ng kakayahan. Kinikilala ng Kagawaran ng Kalusugan ang mga direktiba na ito, kahit na ang isang partikular na batas ay wala pa sa lugar.
* **Mga Kapalit na Desisyon (RA No. 7600 - Ang Kodigo ng Pamamaraang Sibil):** Sa kawalan ng mga paunang direktiba, tinutukoy ng batas ang isang hierarchy ng mga indibidwal na maaaring magbigay ng pahintulot sa ngalan ng isang pasyenteng walang kakayahan. Karaniwang sinusunod nito ang pagkakasunud-sunod ng pinakamalapit na relasyon sa pamilya, simula sa asawa, sinusundan ng mga magulang, pagkatapos ay mga adultong anak, kapatid, at iba pa. (Ang partikular na pagkakasunud-sunod ng paghalili para sa mga kapalit na gumagawa ng desisyon ay makikita sa Artikulo 406 ng Kodigo ng Pamamaraang Sibil: [inalis ang invalid na URL])
* **Pinakamahusay na Interes ng Pasyente (Walang partikular na RA, ngunit isang legal na prinsipyo):** Kapag walang malinaw na kapalit na tagapasya o hindi sumasang-ayon ang mga magagamit, ang medikal na propesyonal ay dapat kumilos para sa pinakamahusay na interes ng pasyente batay sa kanilang medikal na pagpapasya at magagamit na mga medikal na rekord.
**Narito ang ilang karagdagang puntong dapat isaalang-alang:**
* **Mga Emergency na Sitwasyon (RA No. 8344):** Sa mga emerhensiya kung saan ang buhay ng pasyente ay nasa panganib at walang oras para makakuha ng pahintulot, ang mga medikal na propesyonal ay maaaring magbigay ng paggamot nang walang pahintulot upang maiwasan ang kamatayan o malubhang pinsala. * **Psychiatric o Neurological Emergency (Mental Health Act - RA No. 11036):** Ang Mental Health Act ay nagbibigay-daan para sa paggamot, pagpigil, o pagkulong nang walang kaalamang pahintulot sa panahon ng psychiatric o neurological na mga emerhensiya, na may mga pananggalang na nakalagay upang protektahan ang mga karapatan ng pasyente. **Tandaan:** Ito ay isang pinasimpleng paliwanag, at ang partikular na legal na balangkas ay maaaring mag-iba depende sa mga pangyayari. Laging pinakamahusay na kumunsulta sa isang abogado na dalubhasa sa medikal na batas para sa partikular na payo.</v>
      </c>
      <c r="F1766" s="2">
        <f t="shared" si="1"/>
        <v>0</v>
      </c>
      <c r="G1766" s="2"/>
      <c r="H1766" s="2"/>
      <c r="I1766" s="2"/>
      <c r="J1766" s="2"/>
      <c r="K1766" s="2"/>
      <c r="L1766" s="2"/>
      <c r="M1766" s="2"/>
      <c r="N1766" s="2"/>
      <c r="O1766" s="2"/>
      <c r="P1766" s="2"/>
      <c r="Q1766" s="2"/>
      <c r="R1766" s="2"/>
      <c r="S1766" s="2"/>
      <c r="T1766" s="2"/>
      <c r="U1766" s="2"/>
      <c r="V1766" s="2"/>
      <c r="W1766" s="2"/>
      <c r="X1766" s="2"/>
      <c r="Y1766" s="2"/>
      <c r="Z1766" s="2"/>
      <c r="AA1766" s="2"/>
    </row>
    <row r="1767">
      <c r="A1767" s="1" t="s">
        <v>4337</v>
      </c>
      <c r="B1767" s="1" t="s">
        <v>4580</v>
      </c>
      <c r="C1767" s="1" t="s">
        <v>4581</v>
      </c>
      <c r="D1767" s="2" t="str">
        <f>IFERROR(__xludf.DUMMYFUNCTION("GOOGLETRANSLATE(B1767, ""en"", ""TL"")"),"Ano ang mga legal na implikasyon ng isang healthcare provider na nagbabahagi ng medikal na impormasyon ng isang pasyente sa isang third party, tulad ng isang kompanya ng insurance, nang walang tahasang pahintulot?")</f>
        <v>Ano ang mga legal na implikasyon ng isang healthcare provider na nagbabahagi ng medikal na impormasyon ng isang pasyente sa isang third party, tulad ng isang kompanya ng insurance, nang walang tahasang pahintulot?</v>
      </c>
      <c r="E1767" s="2" t="str">
        <f>IFERROR(__xludf.DUMMYFUNCTION("GOOGLETRANSLATE(C1767, ""en"", ""TL"")"),"Ang pagbabahagi ng medikal na impormasyon ng pasyente sa isang ikatlong partido, tulad ng isang kompanya ng seguro, nang walang tahasang pahintulot ay isang paglabag sa kanilang mga karapatan sa pagkapribado gaya ng nakasaad sa batas ng Pilipinas. Narito "&amp;"ang isang breakdown ng nauugnay na legal na framework:
* **Konstitusyon:** Ang Artikulo III, Seksyon 14 ng Konstitusyon ng Pilipinas ay ginagarantiyahan ang karapatan sa pagkapribado. Kabilang dito ang karapatan ng mga indibidwal na kontrolin ang impormas"&amp;"yon tungkol sa kanilang tao, kabilang ang kanilang kalusugan.
* **Republic Act No. 10173 (Data Privacy Act of 2012):** Kinikilala ng batas na ito ang ""personal na impormasyon"" na kinabibilangan ng medikal na data ng isang indibidwal. Ipinag-uutos nito n"&amp;"a ang pagproseso ng naturang impormasyon ay nangangailangan ng kaalamang pahintulot ng indibidwal. * **Republic Act No. 10856 (General Data Protection and Privacy Act):** Pinalalakas ng batas na ito ang Data Privacy Act at binibigyang-diin ang kahalagahan"&amp;" ng pagkuha ng pahintulot ng isang indibidwal bago kolektahin, iimbak, ibahagi, o gamitin ang kanilang personal na impormasyon, kabilang ang medikal datos.
Samakatuwid, ang pagbabahagi ng medikal na impormasyon ng pasyente sa isang third party nang walang"&amp;" pahintulot nila ay ituring na isang paglabag sa mga batas na ito at maaaring humantong sa mga sumusunod:
* **Kaso Sibil:** Maaaring magsampa ng kaso sibil ang pasyente laban sa tagapagbigay ng pangangalagang pangkalusugan para sa mga pinsalang dulot ng p"&amp;"aglabag sa privacy.
* **Administrative Case:** Ang National Privacy Commission (NPC) ay maaaring magpataw ng administratibong sanction sa healthcare provider, na maaaring may kasamang mga multa at parusa.
**Mga Pagbubukod sa Pagbabahagi ng Impormasyon Nan"&amp;"g Walang Pahintulot:**
Bagama't ang tahasang pahintulot ang pangkalahatang tuntunin, may mga limitadong pagbubukod kung saan maaaring payagan ang paghahayag:
* **Pampublikong Kalusugan at Kaligtasan:** Kung kinakailangan upang maiwasan ang pagkalat ng mga"&amp;" nakakahawang sakit o protektahan ang pampublikong kalusugan.
* **Utos ng Hukuman:** Kapag pinilit ng korte ang pagsisiwalat ng medikal na impormasyon para sa mga legal na paglilitis.
* **Mga Medikal na Emergency:** Sa mga sitwasyon kung saan ang kondisyo"&amp;"n ng pasyente ay nangangailangan ng agarang atensyon at hindi praktikal ang pagkuha ng pahintulot. **Mahalagang Paalala:** Kahit na sa mga pambihirang pagkakataong ito, dapat tiyakin ng mga tagapagbigay ng pangangalagang pangkalusugan na ang ibinunyag na "&amp;"impormasyon ay limitado sa kung ano ang mahigpit na kinakailangan at dapat sundin ang naaangkop na mga protocol ng seguridad ng data.
**Konklusyon:**
Mahalaga para sa mga tagapagbigay ng pangangalagang pangkalusugan sa Pilipinas na kumuha ng may-kaalamang"&amp;" pahintulot ng isang pasyente bago ibahagi ang kanilang medikal na impormasyon sa sinumang ikatlong partido. Ang pagkabigong gawin ito ay maaaring magresulta sa mga legal na epekto. Para sa malalim na legal na payo at pag-unawa sa mga partikular na nuance"&amp;"s ng iyong sitwasyon, ang pagkonsulta sa isang kwalipikadong abogado ng Pilipinas ay lubos na inirerekomenda.")</f>
        <v>Ang pagbabahagi ng medikal na impormasyon ng pasyente sa isang ikatlong partido, tulad ng isang kompanya ng seguro, nang walang tahasang pahintulot ay isang paglabag sa kanilang mga karapatan sa pagkapribado gaya ng nakasaad sa batas ng Pilipinas. Narito ang isang breakdown ng nauugnay na legal na framework:
* **Konstitusyon:** Ang Artikulo III, Seksyon 14 ng Konstitusyon ng Pilipinas ay ginagarantiyahan ang karapatan sa pagkapribado. Kabilang dito ang karapatan ng mga indibidwal na kontrolin ang impormasyon tungkol sa kanilang tao, kabilang ang kanilang kalusugan.
* **Republic Act No. 10173 (Data Privacy Act of 2012):** Kinikilala ng batas na ito ang "personal na impormasyon" na kinabibilangan ng medikal na data ng isang indibidwal. Ipinag-uutos nito na ang pagproseso ng naturang impormasyon ay nangangailangan ng kaalamang pahintulot ng indibidwal. * **Republic Act No. 10856 (General Data Protection and Privacy Act):** Pinalalakas ng batas na ito ang Data Privacy Act at binibigyang-diin ang kahalagahan ng pagkuha ng pahintulot ng isang indibidwal bago kolektahin, iimbak, ibahagi, o gamitin ang kanilang personal na impormasyon, kabilang ang medikal datos.
Samakatuwid, ang pagbabahagi ng medikal na impormasyon ng pasyente sa isang third party nang walang pahintulot nila ay ituring na isang paglabag sa mga batas na ito at maaaring humantong sa mga sumusunod:
* **Kaso Sibil:** Maaaring magsampa ng kaso sibil ang pasyente laban sa tagapagbigay ng pangangalagang pangkalusugan para sa mga pinsalang dulot ng paglabag sa privacy.
* **Administrative Case:** Ang National Privacy Commission (NPC) ay maaaring magpataw ng administratibong sanction sa healthcare provider, na maaaring may kasamang mga multa at parusa.
**Mga Pagbubukod sa Pagbabahagi ng Impormasyon Nang Walang Pahintulot:**
Bagama't ang tahasang pahintulot ang pangkalahatang tuntunin, may mga limitadong pagbubukod kung saan maaaring payagan ang paghahayag:
* **Pampublikong Kalusugan at Kaligtasan:** Kung kinakailangan upang maiwasan ang pagkalat ng mga nakakahawang sakit o protektahan ang pampublikong kalusugan.
* **Utos ng Hukuman:** Kapag pinilit ng korte ang pagsisiwalat ng medikal na impormasyon para sa mga legal na paglilitis.
* **Mga Medikal na Emergency:** Sa mga sitwasyon kung saan ang kondisyon ng pasyente ay nangangailangan ng agarang atensyon at hindi praktikal ang pagkuha ng pahintulot. **Mahalagang Paalala:** Kahit na sa mga pambihirang pagkakataong ito, dapat tiyakin ng mga tagapagbigay ng pangangalagang pangkalusugan na ang ibinunyag na impormasyon ay limitado sa kung ano ang mahigpit na kinakailangan at dapat sundin ang naaangkop na mga protocol ng seguridad ng data.
**Konklusyon:**
Mahalaga para sa mga tagapagbigay ng pangangalagang pangkalusugan sa Pilipinas na kumuha ng may-kaalamang pahintulot ng isang pasyente bago ibahagi ang kanilang medikal na impormasyon sa sinumang ikatlong partido. Ang pagkabigong gawin ito ay maaaring magresulta sa mga legal na epekto. Para sa malalim na legal na payo at pag-unawa sa mga partikular na nuances ng iyong sitwasyon, ang pagkonsulta sa isang kwalipikadong abogado ng Pilipinas ay lubos na inirerekomenda.</v>
      </c>
      <c r="F1767" s="2">
        <f t="shared" si="1"/>
        <v>0</v>
      </c>
      <c r="G1767" s="2"/>
      <c r="H1767" s="2"/>
      <c r="I1767" s="2"/>
      <c r="J1767" s="2"/>
      <c r="K1767" s="2"/>
      <c r="L1767" s="2"/>
      <c r="M1767" s="2"/>
      <c r="N1767" s="2"/>
      <c r="O1767" s="2"/>
      <c r="P1767" s="2"/>
      <c r="Q1767" s="2"/>
      <c r="R1767" s="2"/>
      <c r="S1767" s="2"/>
      <c r="T1767" s="2"/>
      <c r="U1767" s="2"/>
      <c r="V1767" s="2"/>
      <c r="W1767" s="2"/>
      <c r="X1767" s="2"/>
      <c r="Y1767" s="2"/>
      <c r="Z1767" s="2"/>
      <c r="AA1767" s="2"/>
    </row>
    <row r="1768">
      <c r="A1768" s="1" t="s">
        <v>4337</v>
      </c>
      <c r="B1768" s="1" t="s">
        <v>4582</v>
      </c>
      <c r="C1768" s="1" t="s">
        <v>4583</v>
      </c>
      <c r="D1768" s="2" t="str">
        <f>IFERROR(__xludf.DUMMYFUNCTION("GOOGLETRANSLATE(B1768, ""en"", ""TL"")"),"Paano pinoprotektahan ng batas ang mga indibidwal mula sa diskriminasyon batay sa kapansanan o katayuan sa kalusugan sa konteksto ng pag-access sa pangangalagang pangkalusugan at trabaho?")</f>
        <v>Paano pinoprotektahan ng batas ang mga indibidwal mula sa diskriminasyon batay sa kapansanan o katayuan sa kalusugan sa konteksto ng pag-access sa pangangalagang pangkalusugan at trabaho?</v>
      </c>
      <c r="E1768" s="2" t="str">
        <f>IFERROR(__xludf.DUMMYFUNCTION("GOOGLETRANSLATE(C1768, ""en"", ""TL"")"),"Pinoprotektahan ng batas ng Pilipinas ang mga indibidwal mula sa diskriminasyon batay sa kapansanan o katayuan sa kalusugan sa dalawang pangunahing aspeto: pag-access sa pangangalagang pangkalusugan at trabaho. Narito ang isang paliwanag batay sa nauugnay"&amp;" na batas:
**Access sa Pangangalagang Pangkalusugan:**
* **Magna Carta for Disabled Persons (Republic Act No. 7277):** * **Titulo II, Seksyon 7:** Ipinagbabawal ang diskriminasyon laban sa mga taong may kapansanan sa pagkuha ng mga serbisyong pangkalusuga"&amp;"n mula sa gobyerno at pribadong institusyong pangkalusugan.
* **Title III, Seksyon 15:** Nag-uutos sa mga ahensya ng kalusugan ng pamahalaan na unahin at tiyakin ang accessibility ng mga pasilidad at serbisyong pangkalusugan para sa mga taong may kapansan"&amp;"an.
* **Republic Act No. 11036 (Mental Health Act):**
* **Seksyon 2:** Kinikilala ang karapatan sa kalusugan ng isip bilang isang pangunahing karapatan at ipinagbabawal ang diskriminasyon laban sa mga indibidwal na naghahanap ng mga serbisyo sa kalusugan "&amp;"ng isip.
**Pagtatrabaho:**
* **Magna Carta for Disabled Persons (Republic Act No. 7277):** * **Titulo II, Seksyon 5:** Ipinagbabawal ang pagtanggi sa mga taong may kapansanan ng mga pagkakataon para sa angkop na trabaho batay lamang sa kanilang kapansanan"&amp;".
* **Title II, Seksyon 6:** Nag-aatas sa mga tagapag-empleyo na magbigay ng makatwirang kaluwagan para sa mga kwalipikadong empleyadong may kapansanan maliban kung ang paggawa nito ay magpapataw ng labis na paghihirap sa negosyo.
* **Seksyon 30:** Nag-uu"&amp;"tos ng sistema ng quota, na nagrereserba ng 1% ng lahat ng posisyon sa gobyerno para sa mga taong may kapansanan.
**Karagdagang Proteksyon:**
* **Ang Konstitusyon:** Ang Artikulo XIII, Seksyon 11 ay ginagarantiyahan ang karapatan sa kalusugan at nag-uutos"&amp;" sa Estado na protektahan at itaguyod ang pisikal, mental at panlipunang kagalingan ng lahat ng mamamayan.
**Mga Mekanismo ng Pagpapatupad:**
* **National Council for the Welfare of Disabled Persons (NCWDP):** Inaatasan ang pagsubaybay sa pagsunod sa Magn"&amp;"a Carta at pagtugon sa mga reklamo ng diskriminasyon.
* **Department of Labor and Employment (DOLE):** Responsable para sa pagpapatupad ng mga batas sa paggawa at pagtugon sa diskriminasyon sa lugar ng trabaho laban sa mga indibidwal na may mga kapansanan"&amp;".
**Mga Limitasyon:**
Bagama't ang legal na balangkas ay nagbibigay ng proteksyon, ang ilang sitwasyon ay maaaring mangailangan ng mas nuanced na diskarte. Halimbawa, ang tunay na mga kinakailangan sa trabaho ay maaaring magdulot ng mga limitasyon sa mga "&amp;"partikular na tungkulin sa trabaho. **Konklusyon:**
Ang mga batas ng Pilipinas ay nagsusumikap na tiyakin ang pantay na pag-access sa pangangalagang pangkalusugan at mga oportunidad sa trabaho para sa mga indibidwal na may mga kapansanan o mga partikular "&amp;"na kondisyon ng kalusugan. Ang mga legal na hakbang na ito ay naglalayong pigilan ang diskriminasyon at isulong ang panlipunang integrasyon ng mga indibidwal na ito.
**Disclaimer:** Ang impormasyong ito ay inilaan para sa pangkalahatang kaalaman at hindi "&amp;"dapat ituring bilang legal na payo. Ang pagkonsulta sa isang abogado na dalubhasa sa mga karapatan sa kapansanan o batas sa paggawa ay mahalaga para sa komprehensibong paggabay at pag-navigate sa mga partikular na sitwasyon.")</f>
        <v>Pinoprotektahan ng batas ng Pilipinas ang mga indibidwal mula sa diskriminasyon batay sa kapansanan o katayuan sa kalusugan sa dalawang pangunahing aspeto: pag-access sa pangangalagang pangkalusugan at trabaho. Narito ang isang paliwanag batay sa nauugnay na batas:
**Access sa Pangangalagang Pangkalusugan:**
* **Magna Carta for Disabled Persons (Republic Act No. 7277):** * **Titulo II, Seksyon 7:** Ipinagbabawal ang diskriminasyon laban sa mga taong may kapansanan sa pagkuha ng mga serbisyong pangkalusugan mula sa gobyerno at pribadong institusyong pangkalusugan.
* **Title III, Seksyon 15:** Nag-uutos sa mga ahensya ng kalusugan ng pamahalaan na unahin at tiyakin ang accessibility ng mga pasilidad at serbisyong pangkalusugan para sa mga taong may kapansanan.
* **Republic Act No. 11036 (Mental Health Act):**
* **Seksyon 2:** Kinikilala ang karapatan sa kalusugan ng isip bilang isang pangunahing karapatan at ipinagbabawal ang diskriminasyon laban sa mga indibidwal na naghahanap ng mga serbisyo sa kalusugan ng isip.
**Pagtatrabaho:**
* **Magna Carta for Disabled Persons (Republic Act No. 7277):** * **Titulo II, Seksyon 5:** Ipinagbabawal ang pagtanggi sa mga taong may kapansanan ng mga pagkakataon para sa angkop na trabaho batay lamang sa kanilang kapansanan.
* **Title II, Seksyon 6:** Nag-aatas sa mga tagapag-empleyo na magbigay ng makatwirang kaluwagan para sa mga kwalipikadong empleyadong may kapansanan maliban kung ang paggawa nito ay magpapataw ng labis na paghihirap sa negosyo.
* **Seksyon 30:** Nag-uutos ng sistema ng quota, na nagrereserba ng 1% ng lahat ng posisyon sa gobyerno para sa mga taong may kapansanan.
**Karagdagang Proteksyon:**
* **Ang Konstitusyon:** Ang Artikulo XIII, Seksyon 11 ay ginagarantiyahan ang karapatan sa kalusugan at nag-uutos sa Estado na protektahan at itaguyod ang pisikal, mental at panlipunang kagalingan ng lahat ng mamamayan.
**Mga Mekanismo ng Pagpapatupad:**
* **National Council for the Welfare of Disabled Persons (NCWDP):** Inaatasan ang pagsubaybay sa pagsunod sa Magna Carta at pagtugon sa mga reklamo ng diskriminasyon.
* **Department of Labor and Employment (DOLE):** Responsable para sa pagpapatupad ng mga batas sa paggawa at pagtugon sa diskriminasyon sa lugar ng trabaho laban sa mga indibidwal na may mga kapansanan.
**Mga Limitasyon:**
Bagama't ang legal na balangkas ay nagbibigay ng proteksyon, ang ilang sitwasyon ay maaaring mangailangan ng mas nuanced na diskarte. Halimbawa, ang tunay na mga kinakailangan sa trabaho ay maaaring magdulot ng mga limitasyon sa mga partikular na tungkulin sa trabaho. **Konklusyon:**
Ang mga batas ng Pilipinas ay nagsusumikap na tiyakin ang pantay na pag-access sa pangangalagang pangkalusugan at mga oportunidad sa trabaho para sa mga indibidwal na may mga kapansanan o mga partikular na kondisyon ng kalusugan. Ang mga legal na hakbang na ito ay naglalayong pigilan ang diskriminasyon at isulong ang panlipunang integrasyon ng mga indibidwal na ito.
**Disclaimer:** Ang impormasyong ito ay inilaan para sa pangkalahatang kaalaman at hindi dapat ituring bilang legal na payo. Ang pagkonsulta sa isang abogado na dalubhasa sa mga karapatan sa kapansanan o batas sa paggawa ay mahalaga para sa komprehensibong paggabay at pag-navigate sa mga partikular na sitwasyon.</v>
      </c>
      <c r="F1768" s="2">
        <f t="shared" si="1"/>
        <v>0</v>
      </c>
      <c r="G1768" s="2"/>
      <c r="H1768" s="2"/>
      <c r="I1768" s="2"/>
      <c r="J1768" s="2"/>
      <c r="K1768" s="2"/>
      <c r="L1768" s="2"/>
      <c r="M1768" s="2"/>
      <c r="N1768" s="2"/>
      <c r="O1768" s="2"/>
      <c r="P1768" s="2"/>
      <c r="Q1768" s="2"/>
      <c r="R1768" s="2"/>
      <c r="S1768" s="2"/>
      <c r="T1768" s="2"/>
      <c r="U1768" s="2"/>
      <c r="V1768" s="2"/>
      <c r="W1768" s="2"/>
      <c r="X1768" s="2"/>
      <c r="Y1768" s="2"/>
      <c r="Z1768" s="2"/>
      <c r="AA1768" s="2"/>
    </row>
    <row r="1769">
      <c r="A1769" s="1" t="s">
        <v>4337</v>
      </c>
      <c r="B1769" s="1" t="s">
        <v>4584</v>
      </c>
      <c r="C1769" s="1" t="s">
        <v>4585</v>
      </c>
      <c r="D1769" s="2" t="str">
        <f>IFERROR(__xludf.DUMMYFUNCTION("GOOGLETRANSLATE(B1769, ""en"", ""TL"")"),"Ano ang mga legal na kinakailangan at pagsasaalang-alang para sa mga institusyong pangkalusugan na namamahala at nagtatapon ng mga medikal na basura?")</f>
        <v>Ano ang mga legal na kinakailangan at pagsasaalang-alang para sa mga institusyong pangkalusugan na namamahala at nagtatapon ng mga medikal na basura?</v>
      </c>
      <c r="E1769" s="2" t="str">
        <f>IFERROR(__xludf.DUMMYFUNCTION("GOOGLETRANSLATE(C1769, ""en"", ""TL"")"),"Narito ang isang pangkalahatang-ideya ng mga legal na kinakailangan at pagsasaalang-alang para sa mga institusyong pangkalusugan na namamahala at nagtatapon ng mga medikal na basura sa Pilipinas, batay sa nauugnay na batas:
**Pangunahing Batas:**
* **Repu"&amp;"blic Act No. 6969 (Toxic Substances and Hazardous Wastes Regulation Act of 1992):** Inuuri ang medikal na basura bilang mapanganib na basura at nag-uutos ng wastong paggamot at mga paraan ng pagtatapon.
* **Department of Health (DOH) - Health Care Waste M"&amp;"anagement Manual (4th Edition):** Nagbibigay ng komprehensibong mga alituntunin sa paghihiwalay, pagkolekta, pag-iimbak, paggamot, at pagtatapon ng mga medikal na basura, na may kasamang iba't ibang mga regulasyon.
**Mga Pangunahing Kinakailangan:**
* **P"&amp;"aghihiwalay ng Basura:** Ang mga institusyon ng pangangalagang pangkalusugan ay dapat na paghiwalayin ang mga medikal na basura sa iba't ibang kategorya batay sa kanilang pagkahawa, komposisyon ng kemikal, at iba pang mga kadahilanan ng panganib na nakaba"&amp;"langkas sa Manual ng DOH.
* **Paggamot at Pagtapon:** Ang mga partikular na paraan ng paggamot at pagtatapon ay ipinag-uutos depende sa kategorya ng basura. Ang pagsunog, na dati ay karaniwang gawain, ay **pinagbabawal** sa ilalim ng Clean Air Act. * **Re"&amp;"histrasyon ng DOH:** Ang mga institusyong pangkalusugan na may mga pasilidad sa paggamot sa lugar ay dapat magparehistro ng kanilang kagamitan sa DOH at tiyaking sumusunod ito sa mga nauugnay na regulasyong pangkapaligiran.
* **Environmental Compliance Ce"&amp;"rtificate (ECC):** Ang mga ospital at iba pang pasilidad ng pangangalagang pangkalusugan ay dapat kumuha ng ECC mula sa Department of Environment and Natural Resources (DENR) bago gumana. Madalas itong nangangailangan ng pag-aaral sa Environmental Impact "&amp;"Assessment (EIA).
* **Pag-iingat ng Rekord:** Ang mga institusyon ay dapat magpanatili ng wastong dokumentasyon ng paggawa ng basura, paggamot, at mga aktibidad sa pagtatapon.
**Mga Karagdagang Regulasyon:**
* **Republic Act No. 8749 (Clean Air Act of 199"&amp;"9):** Ipinagbabawal ang pagsunog ng mga medikal na basura dahil sa mapaminsalang mga emisyon ng hangin.
* **Republic Act No. 9003 (Ecological Solid Waste Management Act of 2000):** Nagsusulong ng mga kasanayan sa pangangasiwa ng basura sa kapaligiran.
**M"&amp;"ga Pagsasaalang-alang:**
* **Pagsunod sa maraming regulasyon:** Dapat mag-navigate ang mga institusyong pangkalusugan sa iba't ibang batas at regulasyon mula sa iba't ibang ahensya ng gobyerno.
* **Tamang pagsasanay:** Ang mga kawani na kasangkot sa panga"&amp;"ngasiwa ng basura ay dapat na sapat na sanay sa paghihiwalay, paghawak, at mga pamamaraang pangkaligtasan.
* **Pagkontrata ng mga lisensyadong service provider:** Maaaring gamitin ng mga institusyon ang mga lisensyadong kumpanya sa pamamahala ng basura pa"&amp;"ra sa pangongolekta, paggamot, at pagtatapon ng mga partikular na kategorya ng basura.
**Mga Mapagkukunan:**
* DOH - Health Care Waste Management Manual (4th Edition): [https://ntp.doh.gov.ph/download/health-care-waste-management-manual/](https://ntp.doh."&amp;"gov. ph/download/health-care-waste-management-manual/)
* DENR - Environmental Management Bureau: [https://emb.gov.ph/](https://emb.gov.ph/)
**Disclaimer:** Ang impormasyong ito ay nagbibigay ng pangkalahatang balangkas at hindi bumubuo ng legal na payo. P"&amp;"ara sa komprehensibong pag-unawa at pag-navigate sa mga partikular na sitwasyon, ang pagkonsulta sa isang abogado na dalubhasa sa batas sa kapaligiran o pamamahala ng basura ay lubos na inirerekomenda.")</f>
        <v>Narito ang isang pangkalahatang-ideya ng mga legal na kinakailangan at pagsasaalang-alang para sa mga institusyong pangkalusugan na namamahala at nagtatapon ng mga medikal na basura sa Pilipinas, batay sa nauugnay na batas:
**Pangunahing Batas:**
* **Republic Act No. 6969 (Toxic Substances and Hazardous Wastes Regulation Act of 1992):** Inuuri ang medikal na basura bilang mapanganib na basura at nag-uutos ng wastong paggamot at mga paraan ng pagtatapon.
* **Department of Health (DOH) - Health Care Waste Management Manual (4th Edition):** Nagbibigay ng komprehensibong mga alituntunin sa paghihiwalay, pagkolekta, pag-iimbak, paggamot, at pagtatapon ng mga medikal na basura, na may kasamang iba't ibang mga regulasyon.
**Mga Pangunahing Kinakailangan:**
* **Paghihiwalay ng Basura:** Ang mga institusyon ng pangangalagang pangkalusugan ay dapat na paghiwalayin ang mga medikal na basura sa iba't ibang kategorya batay sa kanilang pagkahawa, komposisyon ng kemikal, at iba pang mga kadahilanan ng panganib na nakabalangkas sa Manual ng DOH.
* **Paggamot at Pagtapon:** Ang mga partikular na paraan ng paggamot at pagtatapon ay ipinag-uutos depende sa kategorya ng basura. Ang pagsunog, na dati ay karaniwang gawain, ay **pinagbabawal** sa ilalim ng Clean Air Act. * **Rehistrasyon ng DOH:** Ang mga institusyong pangkalusugan na may mga pasilidad sa paggamot sa lugar ay dapat magparehistro ng kanilang kagamitan sa DOH at tiyaking sumusunod ito sa mga nauugnay na regulasyong pangkapaligiran.
* **Environmental Compliance Certificate (ECC):** Ang mga ospital at iba pang pasilidad ng pangangalagang pangkalusugan ay dapat kumuha ng ECC mula sa Department of Environment and Natural Resources (DENR) bago gumana. Madalas itong nangangailangan ng pag-aaral sa Environmental Impact Assessment (EIA).
* **Pag-iingat ng Rekord:** Ang mga institusyon ay dapat magpanatili ng wastong dokumentasyon ng paggawa ng basura, paggamot, at mga aktibidad sa pagtatapon.
**Mga Karagdagang Regulasyon:**
* **Republic Act No. 8749 (Clean Air Act of 1999):** Ipinagbabawal ang pagsunog ng mga medikal na basura dahil sa mapaminsalang mga emisyon ng hangin.
* **Republic Act No. 9003 (Ecological Solid Waste Management Act of 2000):** Nagsusulong ng mga kasanayan sa pangangasiwa ng basura sa kapaligiran.
**Mga Pagsasaalang-alang:**
* **Pagsunod sa maraming regulasyon:** Dapat mag-navigate ang mga institusyong pangkalusugan sa iba't ibang batas at regulasyon mula sa iba't ibang ahensya ng gobyerno.
* **Tamang pagsasanay:** Ang mga kawani na kasangkot sa pangangasiwa ng basura ay dapat na sapat na sanay sa paghihiwalay, paghawak, at mga pamamaraang pangkaligtasan.
* **Pagkontrata ng mga lisensyadong service provider:** Maaaring gamitin ng mga institusyon ang mga lisensyadong kumpanya sa pamamahala ng basura para sa pangongolekta, paggamot, at pagtatapon ng mga partikular na kategorya ng basura.
**Mga Mapagkukunan:**
* DOH - Health Care Waste Management Manual (4th Edition): [https://ntp.doh.gov.ph/download/health-care-waste-management-manual/](https://ntp.doh.gov. ph/download/health-care-waste-management-manual/)
* DENR - Environmental Management Bureau: [https://emb.gov.ph/](https://emb.gov.ph/)
**Disclaimer:** Ang impormasyong ito ay nagbibigay ng pangkalahatang balangkas at hindi bumubuo ng legal na payo. Para sa komprehensibong pag-unawa at pag-navigate sa mga partikular na sitwasyon, ang pagkonsulta sa isang abogado na dalubhasa sa batas sa kapaligiran o pamamahala ng basura ay lubos na inirerekomenda.</v>
      </c>
      <c r="F1769" s="2">
        <f t="shared" si="1"/>
        <v>0</v>
      </c>
      <c r="G1769" s="2"/>
      <c r="H1769" s="2"/>
      <c r="I1769" s="2"/>
      <c r="J1769" s="2"/>
      <c r="K1769" s="2"/>
      <c r="L1769" s="2"/>
      <c r="M1769" s="2"/>
      <c r="N1769" s="2"/>
      <c r="O1769" s="2"/>
      <c r="P1769" s="2"/>
      <c r="Q1769" s="2"/>
      <c r="R1769" s="2"/>
      <c r="S1769" s="2"/>
      <c r="T1769" s="2"/>
      <c r="U1769" s="2"/>
      <c r="V1769" s="2"/>
      <c r="W1769" s="2"/>
      <c r="X1769" s="2"/>
      <c r="Y1769" s="2"/>
      <c r="Z1769" s="2"/>
      <c r="AA1769" s="2"/>
    </row>
    <row r="1770">
      <c r="A1770" s="1" t="s">
        <v>4337</v>
      </c>
      <c r="B1770" s="1" t="s">
        <v>4586</v>
      </c>
      <c r="C1770" s="1" t="s">
        <v>4587</v>
      </c>
      <c r="D1770" s="2" t="str">
        <f>IFERROR(__xludf.DUMMYFUNCTION("GOOGLETRANSLATE(B1770, ""en"", ""TL"")"),"Paano tinutugunan ng batas ng Pilipinas ang komersyalisasyon ng dugo at iba pang mga tisyu ng tao?")</f>
        <v>Paano tinutugunan ng batas ng Pilipinas ang komersyalisasyon ng dugo at iba pang mga tisyu ng tao?</v>
      </c>
      <c r="E1770" s="2" t="str">
        <f>IFERROR(__xludf.DUMMYFUNCTION("GOOGLETRANSLATE(C1770, ""en"", ""TL"")"),"Ang komersyalisasyon ng dugo at iba pang mga tisyu ng tao ay mahigpit na **pinagbabawal** sa ilalim ng batas ng Pilipinas. Narito ang isang breakdown ng nauugnay na legal na framework:
* **Ang Saligang-Batas:** * **Artikulo II, Seksyon 11:** Nagsasaad na "&amp;"dapat protektahan at itaguyod ng Estado ang buong pag-unlad ng pagkatao ng tao at ginagarantiyahan ang mga karapatan ng lahat ng mamamayan. Kabilang dito ang pag-iingat sa integridad ng katawan at pagpigil sa pagsasamantala ng mga indibidwal.
* **Republic"&amp;" Act No. 8189 (The Philippine Blood Services Act of 1994):**
* **Seksyon 4:** Ipinagbabawal ang ""pagbili, pagbebenta, o anumang iba pang anyo ng komersyalisasyon"" ng dugo, mga produktong dugo, at mga derivatives nito. * **Seksyon 10:** Nag-uutos sa pagt"&amp;"atatag ng National Blood Services Program na nagsisiguro ng ""ligtas, sapat, naa-access, abot-kaya, at pantay na suplay ng dugo"" sa pamamagitan ng boluntaryong donasyon ng dugo.
* **Republic Act No. 7101 (The Organ Donation Act of 1992):**
* **Seksyon 4:"&amp;"** Ipinagbabawal ang ""anumang komersyal na transaksyong kinasasangkutan ng mga organo at tisyu ng tao."" * **Seksyon 5:** Pinapayagan ang donasyon ng organ para lamang sa mga layunin ng paglipat batay sa kaalamang pahintulot mula sa donor o sa kanilang l"&amp;"egal na kinatawan.
**Mga Pangunahing Punto:**
* **Ang dugo at mga tisyu ng tao ay itinuturing na bahagi ng katawan ng isang indibidwal at hindi maaaring ituring bilang mga kalakal.** * **Ang donasyon ay ang tanging pinahihintulutang paraan upang makakuha "&amp;"ng dugo at mga tisyu ng tao para sa mga layuning medikal.** * **Mahigpit ang komersyalisasyon ipinagbabawal na pigilan ang pagsasamantala at tiyakin ang mga etikal na kasanayan sa pangangalagang pangkalusugan.**
**Mga Karagdagang Pagsasaalang-alang:**
* *"&amp;"*Mga Parusa:** Ang pagsali sa komersyalisasyon ng dugo o mga tisyu ng tao ay maaaring magresulta sa pagkakulong at mabigat na multa gaya ng itinakda sa mga kaukulang batas na binanggit sa itaas.
**Konklusyon:**
Ang batas ng Pilipinas ay inuuna ang pangang"&amp;"alaga sa dignidad ng tao at integridad ng katawan. Ang umiiral na legal na balangkas ay nagpoprotekta sa mga indibidwal mula sa pagsasamantala ng kanilang dugo at mga tisyu at nagtataguyod ng isang sistemang batay sa boluntaryong donasyon para sa mga medi"&amp;"kal na pangangailangan.
**Disclaimer:** Ang impormasyong ito ay para sa pangkalahatang kaalaman at hindi dapat ipagkamali bilang legal na payo. Para sa isang komprehensibong pag-unawa sa mga legalidad na nakapalibot sa mga partikular na sitwasyon, ang pag"&amp;"konsulta sa isang abogado na dalubhasa sa medikal na batas o bioethics ay napakahalaga.")</f>
        <v>Ang komersyalisasyon ng dugo at iba pang mga tisyu ng tao ay mahigpit na **pinagbabawal** sa ilalim ng batas ng Pilipinas. Narito ang isang breakdown ng nauugnay na legal na framework:
* **Ang Saligang-Batas:** * **Artikulo II, Seksyon 11:** Nagsasaad na dapat protektahan at itaguyod ng Estado ang buong pag-unlad ng pagkatao ng tao at ginagarantiyahan ang mga karapatan ng lahat ng mamamayan. Kabilang dito ang pag-iingat sa integridad ng katawan at pagpigil sa pagsasamantala ng mga indibidwal.
* **Republic Act No. 8189 (The Philippine Blood Services Act of 1994):**
* **Seksyon 4:** Ipinagbabawal ang "pagbili, pagbebenta, o anumang iba pang anyo ng komersyalisasyon" ng dugo, mga produktong dugo, at mga derivatives nito. * **Seksyon 10:** Nag-uutos sa pagtatatag ng National Blood Services Program na nagsisiguro ng "ligtas, sapat, naa-access, abot-kaya, at pantay na suplay ng dugo" sa pamamagitan ng boluntaryong donasyon ng dugo.
* **Republic Act No. 7101 (The Organ Donation Act of 1992):**
* **Seksyon 4:** Ipinagbabawal ang "anumang komersyal na transaksyong kinasasangkutan ng mga organo at tisyu ng tao." * **Seksyon 5:** Pinapayagan ang donasyon ng organ para lamang sa mga layunin ng paglipat batay sa kaalamang pahintulot mula sa donor o sa kanilang legal na kinatawan.
**Mga Pangunahing Punto:**
* **Ang dugo at mga tisyu ng tao ay itinuturing na bahagi ng katawan ng isang indibidwal at hindi maaaring ituring bilang mga kalakal.** * **Ang donasyon ay ang tanging pinahihintulutang paraan upang makakuha ng dugo at mga tisyu ng tao para sa mga layuning medikal.** * **Mahigpit ang komersyalisasyon ipinagbabawal na pigilan ang pagsasamantala at tiyakin ang mga etikal na kasanayan sa pangangalagang pangkalusugan.**
**Mga Karagdagang Pagsasaalang-alang:**
* **Mga Parusa:** Ang pagsali sa komersyalisasyon ng dugo o mga tisyu ng tao ay maaaring magresulta sa pagkakulong at mabigat na multa gaya ng itinakda sa mga kaukulang batas na binanggit sa itaas.
**Konklusyon:**
Ang batas ng Pilipinas ay inuuna ang pangangalaga sa dignidad ng tao at integridad ng katawan. Ang umiiral na legal na balangkas ay nagpoprotekta sa mga indibidwal mula sa pagsasamantala ng kanilang dugo at mga tisyu at nagtataguyod ng isang sistemang batay sa boluntaryong donasyon para sa mga medikal na pangangailangan.
**Disclaimer:** Ang impormasyong ito ay para sa pangkalahatang kaalaman at hindi dapat ipagkamali bilang legal na payo. Para sa isang komprehensibong pag-unawa sa mga legalidad na nakapalibot sa mga partikular na sitwasyon, ang pagkonsulta sa isang abogado na dalubhasa sa medikal na batas o bioethics ay napakahalaga.</v>
      </c>
      <c r="F1770" s="2">
        <f t="shared" si="1"/>
        <v>0</v>
      </c>
      <c r="G1770" s="2"/>
      <c r="H1770" s="2"/>
      <c r="I1770" s="2"/>
      <c r="J1770" s="2"/>
      <c r="K1770" s="2"/>
      <c r="L1770" s="2"/>
      <c r="M1770" s="2"/>
      <c r="N1770" s="2"/>
      <c r="O1770" s="2"/>
      <c r="P1770" s="2"/>
      <c r="Q1770" s="2"/>
      <c r="R1770" s="2"/>
      <c r="S1770" s="2"/>
      <c r="T1770" s="2"/>
      <c r="U1770" s="2"/>
      <c r="V1770" s="2"/>
      <c r="W1770" s="2"/>
      <c r="X1770" s="2"/>
      <c r="Y1770" s="2"/>
      <c r="Z1770" s="2"/>
      <c r="AA1770" s="2"/>
    </row>
    <row r="1771">
      <c r="A1771" s="1" t="s">
        <v>4337</v>
      </c>
      <c r="B1771" s="1" t="s">
        <v>4588</v>
      </c>
      <c r="C1771" s="1" t="s">
        <v>4589</v>
      </c>
      <c r="D1771" s="2" t="str">
        <f>IFERROR(__xludf.DUMMYFUNCTION("GOOGLETRANSLATE(B1771, ""en"", ""TL"")"),"Paano binabalanse ng batas ang karapatan ng pasyente sa privacy sa tungkulin ng healthcare provider na mag-ulat ng pinaghihinalaang pang-aabuso o pagpapabaya sa bata?")</f>
        <v>Paano binabalanse ng batas ang karapatan ng pasyente sa privacy sa tungkulin ng healthcare provider na mag-ulat ng pinaghihinalaang pang-aabuso o pagpapabaya sa bata?</v>
      </c>
      <c r="E1771" s="2" t="str">
        <f>IFERROR(__xludf.DUMMYFUNCTION("GOOGLETRANSLATE(C1771, ""en"", ""TL"")"),"Sa Pilipinas, inuuna ng batas ang proteksyon ng mga bata, na nagbibigay ng balanse sa pagitan ng privacy ng pasyente at ang mandatoryong pag-uulat ng pinaghihinalaang pang-aabuso o pagpapabaya sa bata. Ganito:
**Karapatan ng Pasyente sa Privacy:**
* **Ang"&amp;" Konstitusyon:** Ang Artikulo III, Seksyon 14 ay ginagarantiyahan ang karapatan sa pagkapribado, na sumasaklaw sa karapatan ng isang indibidwal na kontrolin ang impormasyon tungkol sa kanilang sarili, kabilang ang medikal na impormasyon.
* **Republic Act "&amp;"No. 10173 (Data Privacy Act of 2012):** Inuuri ang personal na impormasyon, kabilang ang medikal na data, at nag-uutos ng may-kaalamang pahintulot para sa pagproseso nito.
**Tungkulin na Mag-ulat ng Pang-aabuso sa Bata:**
* **Republic Act No. 7610 (Specia"&amp;"l Protection of Children Against Abuse, Exploitation and Discrimination Act):**
* **Seksyon 4:** Nag-uutos ng mandatoryong pag-uulat ng pinaghihinalaang pang-aabuso o pagpapabaya sa bata ng malawak na hanay ng mga propesyonal, kabilang ang:
* Mga medikal "&amp;"na practitioner (mga doktor, nars, atbp.)
* Mga manggagawang panlipunan
* Mga guro
* Mga opisyal ng pagpapatupad ng batas
* Mga tagapayo ng gabay
* Mga opisyal ng barangay (nayon).
**Balancing Act:**
* **Bagama't mahalaga ang privacy ng pasyente, priyorid"&amp;"ad ng batas ang proteksyon ng mga bata mula sa pinsala.** Ang pinaghihinalaang pang-aabuso ay inuuna kaysa sa pagiging kumpidensyal.
* **Ang mga tagapagbigay ng pangangalagang pangkalusugan ay legal na obligado na iulat ang anumang pinaghihinalaang kaso n"&amp;"g pang-aabuso sa bata o kapabayaan sa tamang mga awtoridad, kadalasan sa Department of Social Welfare and Development (DSWD) o sa lokal na pulisya.**
* **Ang pagsisiwalat ng impormasyon ay dapat na limitado sa kung ano ang kinakailangan upang matugunan an"&amp;"g pinaghihinalaang pang-aabuso at matiyak ang kaligtasan ng bata.** * **Ang mga maling ulat ay pinarurusahan ng batas.** **Mga Karagdagang Panukala:**
* **Maaaring kumunsulta ang mga doktor at iba pang tagapagbigay ng pangangalagang pangkalusugan sa mga k"&amp;"asamahan o ahensya ng proteksyon ng bata bago gumawa ng ulat kung hindi malinaw ang sitwasyon.** * **Nagiging mahalaga ang pagpapanatili ng mga detalyadong rekord ng medikal, na nagdodokumento ng anumang mga palatandaan o sintomas na nagpapahiwatig ng pan"&amp;"g-aabuso sa bata.**
**Mga Mapagkukunan:**
* Department of Social Welfare and Development (DSWD): [https://www.dswd.gov.ph/](https://www.dswd.gov.ph/)
* Council for the Welfare of Children (CWC): [https://cwc.gov.ph/](https://cwc.gov.ph/)
**Konklusyon:**
A"&amp;"ng batas ng Pilipinas ay inuuna ang proteksyon ng mga bata. Bagama't mahalaga ang privacy ng pasyente, ipinag-uutos ng legal na balangkas ang pag-uulat ng pinaghihinalaang pang-aabuso sa bata, na pinapalitan ang mga alalahanin sa pagiging kumpidensyal sa "&amp;"mga ganitong sitwasyon. Ang mga tagapagbigay ng pangangalagang pangkalusugan ay may legal na tungkulin na mag-ulat ng mga pinaghihinalaang kaso at tiyakin ang kaligtasan ng mga bata.
**Disclaimer:** Ang impormasyong ito ay nagbibigay ng pangkalahatang pag"&amp;"-unawa at hindi dapat palitan ng propesyonal na legal na payo. Ang pagkonsulta sa isang abogado na dalubhasa sa mga batas sa proteksyon ng bata ay lubos na inirerekomenda para sa komprehensibong paggabay at pag-navigate sa mga partikular na sitwasyon.")</f>
        <v>Sa Pilipinas, inuuna ng batas ang proteksyon ng mga bata, na nagbibigay ng balanse sa pagitan ng privacy ng pasyente at ang mandatoryong pag-uulat ng pinaghihinalaang pang-aabuso o pagpapabaya sa bata. Ganito:
**Karapatan ng Pasyente sa Privacy:**
* **Ang Konstitusyon:** Ang Artikulo III, Seksyon 14 ay ginagarantiyahan ang karapatan sa pagkapribado, na sumasaklaw sa karapatan ng isang indibidwal na kontrolin ang impormasyon tungkol sa kanilang sarili, kabilang ang medikal na impormasyon.
* **Republic Act No. 10173 (Data Privacy Act of 2012):** Inuuri ang personal na impormasyon, kabilang ang medikal na data, at nag-uutos ng may-kaalamang pahintulot para sa pagproseso nito.
**Tungkulin na Mag-ulat ng Pang-aabuso sa Bata:**
* **Republic Act No. 7610 (Special Protection of Children Against Abuse, Exploitation and Discrimination Act):**
* **Seksyon 4:** Nag-uutos ng mandatoryong pag-uulat ng pinaghihinalaang pang-aabuso o pagpapabaya sa bata ng malawak na hanay ng mga propesyonal, kabilang ang:
* Mga medikal na practitioner (mga doktor, nars, atbp.)
* Mga manggagawang panlipunan
* Mga guro
* Mga opisyal ng pagpapatupad ng batas
* Mga tagapayo ng gabay
* Mga opisyal ng barangay (nayon).
**Balancing Act:**
* **Bagama't mahalaga ang privacy ng pasyente, priyoridad ng batas ang proteksyon ng mga bata mula sa pinsala.** Ang pinaghihinalaang pang-aabuso ay inuuna kaysa sa pagiging kumpidensyal.
* **Ang mga tagapagbigay ng pangangalagang pangkalusugan ay legal na obligado na iulat ang anumang pinaghihinalaang kaso ng pang-aabuso sa bata o kapabayaan sa tamang mga awtoridad, kadalasan sa Department of Social Welfare and Development (DSWD) o sa lokal na pulisya.**
* **Ang pagsisiwalat ng impormasyon ay dapat na limitado sa kung ano ang kinakailangan upang matugunan ang pinaghihinalaang pang-aabuso at matiyak ang kaligtasan ng bata.** * **Ang mga maling ulat ay pinarurusahan ng batas.** **Mga Karagdagang Panukala:**
* **Maaaring kumunsulta ang mga doktor at iba pang tagapagbigay ng pangangalagang pangkalusugan sa mga kasamahan o ahensya ng proteksyon ng bata bago gumawa ng ulat kung hindi malinaw ang sitwasyon.** * **Nagiging mahalaga ang pagpapanatili ng mga detalyadong rekord ng medikal, na nagdodokumento ng anumang mga palatandaan o sintomas na nagpapahiwatig ng pang-aabuso sa bata.**
**Mga Mapagkukunan:**
* Department of Social Welfare and Development (DSWD): [https://www.dswd.gov.ph/](https://www.dswd.gov.ph/)
* Council for the Welfare of Children (CWC): [https://cwc.gov.ph/](https://cwc.gov.ph/)
**Konklusyon:**
Ang batas ng Pilipinas ay inuuna ang proteksyon ng mga bata. Bagama't mahalaga ang privacy ng pasyente, ipinag-uutos ng legal na balangkas ang pag-uulat ng pinaghihinalaang pang-aabuso sa bata, na pinapalitan ang mga alalahanin sa pagiging kumpidensyal sa mga ganitong sitwasyon. Ang mga tagapagbigay ng pangangalagang pangkalusugan ay may legal na tungkulin na mag-ulat ng mga pinaghihinalaang kaso at tiyakin ang kaligtasan ng mga bata.
**Disclaimer:** Ang impormasyong ito ay nagbibigay ng pangkalahatang pag-unawa at hindi dapat palitan ng propesyonal na legal na payo. Ang pagkonsulta sa isang abogado na dalubhasa sa mga batas sa proteksyon ng bata ay lubos na inirerekomenda para sa komprehensibong paggabay at pag-navigate sa mga partikular na sitwasyon.</v>
      </c>
      <c r="F1771" s="2">
        <f t="shared" si="1"/>
        <v>0</v>
      </c>
      <c r="G1771" s="2"/>
      <c r="H1771" s="2"/>
      <c r="I1771" s="2"/>
      <c r="J1771" s="2"/>
      <c r="K1771" s="2"/>
      <c r="L1771" s="2"/>
      <c r="M1771" s="2"/>
      <c r="N1771" s="2"/>
      <c r="O1771" s="2"/>
      <c r="P1771" s="2"/>
      <c r="Q1771" s="2"/>
      <c r="R1771" s="2"/>
      <c r="S1771" s="2"/>
      <c r="T1771" s="2"/>
      <c r="U1771" s="2"/>
      <c r="V1771" s="2"/>
      <c r="W1771" s="2"/>
      <c r="X1771" s="2"/>
      <c r="Y1771" s="2"/>
      <c r="Z1771" s="2"/>
      <c r="AA1771" s="2"/>
    </row>
    <row r="1772">
      <c r="A1772" s="1" t="s">
        <v>4337</v>
      </c>
      <c r="B1772" s="1" t="s">
        <v>4590</v>
      </c>
      <c r="C1772" s="1" t="s">
        <v>4591</v>
      </c>
      <c r="D1772" s="2" t="str">
        <f>IFERROR(__xludf.DUMMYFUNCTION("GOOGLETRANSLATE(B1772, ""en"", ""TL"")"),"Paano tinutugunan ang mga etikal na alalahanin tungkol sa paglalaan ng mapagkukunan at pagrarasyon ng mga serbisyo sa pangangalagang pangkalusugan sa legal na balangkas?")</f>
        <v>Paano tinutugunan ang mga etikal na alalahanin tungkol sa paglalaan ng mapagkukunan at pagrarasyon ng mga serbisyo sa pangangalagang pangkalusugan sa legal na balangkas?</v>
      </c>
      <c r="E1772" s="2" t="str">
        <f>IFERROR(__xludf.DUMMYFUNCTION("GOOGLETRANSLATE(C1772, ""en"", ""TL"")"),"Bagama't limitado ang legal na balangkas ng Pilipinas na direktang tumutugon sa paglalaan ng mapagkukunan at pagrarasyon sa pangangalagang pangkalusugan, ang mga etikal na pagsasaalang-alang at mga prinsipyo ay nakapaloob sa iba't ibang mga batas at regul"&amp;"asyon. Narito ang isang pangkalahatang-ideya:
**Tumuon sa Universal Healthcare:**
* **Ang Konstitusyon:** Kinikilala ng Artikulo II, Seksyon 15 ang pananagutan ng Estado na ""protektahan at itaguyod ang buong pag-unlad ng pagkatao ng tao at ginagarantiyah"&amp;"an ang karapatan sa kalusugan.""
* **Republic Act No. 11223 (National Health Insurance Act of 2013):** Naglalayong mabigyan ang mga Pilipino ng ""pantay na pag-access sa mga serbisyo sa pangangalagang pangkalusugan.""
**Mga Implicit na Prinsipyo:**
* **Ka"&amp;"rapatan sa Buhay at Kalusugan:** Kinikilala ng Konstitusyon ang mga pangunahing karapatang ito, na nagpapahiwatig ng isang obligasyon para sa Estado na magsikap tungo sa pagtiyak ng accessibility sa pangangalagang pangkalusugan.
* **Social Justice:** Ang "&amp;"prinsipyo ng panlipunang hustisya na nakasaad sa Konstitusyon ay nagmumungkahi ng patas na pamamahagi ng mga mapagkukunan ng pangangalagang pangkalusugan, na naglalayong tugunan ang mga pagkakaiba at unahin ang mga mas nangangailangan.
**Pagtugon sa Mga E"&amp;"tikal na Dilemma:**
* **Department of Health (DOH):** Naglalathala ng mga patakaran at alituntunin na nagbibigay-diin sa mga etikal na pagsasaalang-alang sa paglalaan ng mapagkukunan ng pangangalagang pangkalusugan. * **Philippine Medical Association (PMA"&amp;") Code of Ethics:** Gabay sa mga manggagamot tungo sa pagbibigay-priyoridad sa kapakanan ng pasyente at pagtataguyod ng mga prinsipyo ng katarungan at pagiging patas sa paggamit ng mapagkukunan.
**Kasalukuyang Limitasyon:**
* **Kawalan ng tahasang legal n"&amp;"a balangkas:** Walang mga batas na direktang tumutugon sa pagrarasyon ng mga serbisyo sa pangangalagang pangkalusugan sa Pilipinas.
* **Mga limitadong mapagkukunan:** Ang kasalukuyang sistema ng pangangalagang pangkalusugan ay nahaharap sa mga hamon sa sa"&amp;"pat na pagtugon sa mga hinihingi ng populasyon, na humahantong sa mga sitwasyon kung saan nagkakaroon ng mahihirap na desisyon tungkol sa paglalaan ng mapagkukunan.
**Pasulong:**
* **Mga Talakayan sa Patakaran:** Ang mga debate at talakayan ay patuloy tun"&amp;"gkol sa pangangailangan para sa isang mas tahasang legal na balangkas na tumutugon sa mga etikal na pagsasaalang-alang sa paglalaan ng mapagkukunan. * **Mga Priyoridad na Framework:** Ang DOH at iba pang stakeholder ay nagsasaliksik sa pagbuo ng mga balan"&amp;"gkas na nagbibigay-priyoridad sa paglalaan ng mapagkukunan batay sa mga salik tulad ng:
**Kalubhaan ng sakit**
* **Ang posibilidad ng matagumpay na paggamot**
* **Pagiging epektibo sa gastos**
**Konklusyon:**
Bagama't ang kasalukuyang legal na balangkas a"&amp;"y walang komprehensibong diskarte sa paglalaan at pagrarasyon ng mapagkukunan, ang pinagbabatayan na mga prinsipyo ng katarungang panlipunan, karapatan sa kalusugan, at mga alituntuning etikal ay nagbibigay-alam sa mga proseso ng paggawa ng desisyon. Ang "&amp;"mga pagsisikap ay isinasagawa upang bumuo ng isang mas matatag na sistema na nagbabalanse sa mga limitasyon ng mga mapagkukunan na may pangangailangan upang matiyak ang pantay na pag-access sa mga serbisyo ng pangangalagang pangkalusugan.
**Disclaimer:** "&amp;"Ang impormasyong ito ay nagbibigay ng pangkalahatang pag-unawa at hindi bumubuo ng legal na payo. Ang pagtugon sa mga kumplikado ng paglalaan ng mapagkukunan sa pangangalagang pangkalusugan ay nangangailangan ng maraming paraan na kinasasangkutan ng mga l"&amp;"egal na pagsulong, pagbuo ng patakaran, at mga pagsasaalang-alang sa etika. Ang pagkonsulta sa mga legal na propesyonal at mga eksperto sa pampublikong kalusugan ay mahalaga para sa pag-navigate sa mga partikular na sitwasyon at pagpapaunlad ng isang napa"&amp;"panatiling sistema ng pangangalagang pangkalusugan.")</f>
        <v>Bagama't limitado ang legal na balangkas ng Pilipinas na direktang tumutugon sa paglalaan ng mapagkukunan at pagrarasyon sa pangangalagang pangkalusugan, ang mga etikal na pagsasaalang-alang at mga prinsipyo ay nakapaloob sa iba't ibang mga batas at regulasyon. Narito ang isang pangkalahatang-ideya:
**Tumuon sa Universal Healthcare:**
* **Ang Konstitusyon:** Kinikilala ng Artikulo II, Seksyon 15 ang pananagutan ng Estado na "protektahan at itaguyod ang buong pag-unlad ng pagkatao ng tao at ginagarantiyahan ang karapatan sa kalusugan."
* **Republic Act No. 11223 (National Health Insurance Act of 2013):** Naglalayong mabigyan ang mga Pilipino ng "pantay na pag-access sa mga serbisyo sa pangangalagang pangkalusugan."
**Mga Implicit na Prinsipyo:**
* **Karapatan sa Buhay at Kalusugan:** Kinikilala ng Konstitusyon ang mga pangunahing karapatang ito, na nagpapahiwatig ng isang obligasyon para sa Estado na magsikap tungo sa pagtiyak ng accessibility sa pangangalagang pangkalusugan.
* **Social Justice:** Ang prinsipyo ng panlipunang hustisya na nakasaad sa Konstitusyon ay nagmumungkahi ng patas na pamamahagi ng mga mapagkukunan ng pangangalagang pangkalusugan, na naglalayong tugunan ang mga pagkakaiba at unahin ang mga mas nangangailangan.
**Pagtugon sa Mga Etikal na Dilemma:**
* **Department of Health (DOH):** Naglalathala ng mga patakaran at alituntunin na nagbibigay-diin sa mga etikal na pagsasaalang-alang sa paglalaan ng mapagkukunan ng pangangalagang pangkalusugan. * **Philippine Medical Association (PMA) Code of Ethics:** Gabay sa mga manggagamot tungo sa pagbibigay-priyoridad sa kapakanan ng pasyente at pagtataguyod ng mga prinsipyo ng katarungan at pagiging patas sa paggamit ng mapagkukunan.
**Kasalukuyang Limitasyon:**
* **Kawalan ng tahasang legal na balangkas:** Walang mga batas na direktang tumutugon sa pagrarasyon ng mga serbisyo sa pangangalagang pangkalusugan sa Pilipinas.
* **Mga limitadong mapagkukunan:** Ang kasalukuyang sistema ng pangangalagang pangkalusugan ay nahaharap sa mga hamon sa sapat na pagtugon sa mga hinihingi ng populasyon, na humahantong sa mga sitwasyon kung saan nagkakaroon ng mahihirap na desisyon tungkol sa paglalaan ng mapagkukunan.
**Pasulong:**
* **Mga Talakayan sa Patakaran:** Ang mga debate at talakayan ay patuloy tungkol sa pangangailangan para sa isang mas tahasang legal na balangkas na tumutugon sa mga etikal na pagsasaalang-alang sa paglalaan ng mapagkukunan. * **Mga Priyoridad na Framework:** Ang DOH at iba pang stakeholder ay nagsasaliksik sa pagbuo ng mga balangkas na nagbibigay-priyoridad sa paglalaan ng mapagkukunan batay sa mga salik tulad ng:
**Kalubhaan ng sakit**
* **Ang posibilidad ng matagumpay na paggamot**
* **Pagiging epektibo sa gastos**
**Konklusyon:**
Bagama't ang kasalukuyang legal na balangkas ay walang komprehensibong diskarte sa paglalaan at pagrarasyon ng mapagkukunan, ang pinagbabatayan na mga prinsipyo ng katarungang panlipunan, karapatan sa kalusugan, at mga alituntuning etikal ay nagbibigay-alam sa mga proseso ng paggawa ng desisyon. Ang mga pagsisikap ay isinasagawa upang bumuo ng isang mas matatag na sistema na nagbabalanse sa mga limitasyon ng mga mapagkukunan na may pangangailangan upang matiyak ang pantay na pag-access sa mga serbisyo ng pangangalagang pangkalusugan.
**Disclaimer:** Ang impormasyong ito ay nagbibigay ng pangkalahatang pag-unawa at hindi bumubuo ng legal na payo. Ang pagtugon sa mga kumplikado ng paglalaan ng mapagkukunan sa pangangalagang pangkalusugan ay nangangailangan ng maraming paraan na kinasasangkutan ng mga legal na pagsulong, pagbuo ng patakaran, at mga pagsasaalang-alang sa etika. Ang pagkonsulta sa mga legal na propesyonal at mga eksperto sa pampublikong kalusugan ay mahalaga para sa pag-navigate sa mga partikular na sitwasyon at pagpapaunlad ng isang napapanatiling sistema ng pangangalagang pangkalusugan.</v>
      </c>
      <c r="F1772" s="2">
        <f t="shared" si="1"/>
        <v>0</v>
      </c>
      <c r="G1772" s="2"/>
      <c r="H1772" s="2"/>
      <c r="I1772" s="2"/>
      <c r="J1772" s="2"/>
      <c r="K1772" s="2"/>
      <c r="L1772" s="2"/>
      <c r="M1772" s="2"/>
      <c r="N1772" s="2"/>
      <c r="O1772" s="2"/>
      <c r="P1772" s="2"/>
      <c r="Q1772" s="2"/>
      <c r="R1772" s="2"/>
      <c r="S1772" s="2"/>
      <c r="T1772" s="2"/>
      <c r="U1772" s="2"/>
      <c r="V1772" s="2"/>
      <c r="W1772" s="2"/>
      <c r="X1772" s="2"/>
      <c r="Y1772" s="2"/>
      <c r="Z1772" s="2"/>
      <c r="AA1772" s="2"/>
    </row>
    <row r="1773">
      <c r="A1773" s="1" t="s">
        <v>4337</v>
      </c>
      <c r="B1773" s="1" t="s">
        <v>4592</v>
      </c>
      <c r="C1773" s="1" t="s">
        <v>4593</v>
      </c>
      <c r="D1773" s="2" t="str">
        <f>IFERROR(__xludf.DUMMYFUNCTION("GOOGLETRANSLATE(B1773, ""en"", ""TL"")"),"Ano ang mga legal na epekto ng mga propesyonal sa pangangalagang pangkalusugan na nagsasagawa ng pagpapakamatay o euthanasia na tinulungan ng doktor, kahit na hiniling ng pasyente?")</f>
        <v>Ano ang mga legal na epekto ng mga propesyonal sa pangangalagang pangkalusugan na nagsasagawa ng pagpapakamatay o euthanasia na tinulungan ng doktor, kahit na hiniling ng pasyente?</v>
      </c>
      <c r="E1773" s="2" t="str">
        <f>IFERROR(__xludf.DUMMYFUNCTION("GOOGLETRANSLATE(C1773, ""en"", ""TL"")"),"Sa Pilipinas, **iligal ang pagpapakamatay na tinulungan ng doktor at euthanasia**. Ang pagsali sa mga kasanayang ito ay hahantong sa matitinding legal na kahihinatnan para sa mga propesyonal sa pangangalagang pangkalusugan. Narito ang isang breakdown ng l"&amp;"egal na balangkas:
* **Ang Konstitusyon:** Ang karapatan sa buhay (Artikulo III, Seksyon 1) ay pinakamahalaga. * **Republic Act No. 3019 (Revised Penal Code):**
* **Artikulo 249 (Pagpatay):** Ang pagkitil sa buhay ng ibang tao, kabilang ang sa pamamagitan"&amp;" ng tinulungang pagpapakamatay, ay itinuturing na pagpatay at may parusang habambuhay na pagkakakulong.
* **Philippine Medical Association (PMA) Code of Ethics:**
* **Seksyon I (The Physician and the Law):** Itinataguyod ang batas at ipinagbabawal ang mga"&amp;" pagkilos na lumalabag dito.
* **Seksyon II (Ang Manggagamot at ang Pasyente):** Nangangailangan ng mga manggagamot na unahin ang pangangalaga sa buhay.
**Samakatuwid, ang sinumang propesyonal sa pangangalagang pangkalusugan na tumutulong sa pagpapakamata"&amp;"y ng isang pasyente ay kikilos laban sa batas at mahaharap sa mga kasong kriminal.** Kabilang dito ang:
* **Mga singil sa pagpatay:** Sa ilalim ng Binagong Kodigo Penal, ang propesyonal sa pangangalagang pangkalusugan ay maaaring makulong habang buhay.
* "&amp;"**Pagkawala ng lisensyang medikal:** Ang Philippine Medical Board ay may awtoridad na bawiin ang lisensya ng sinumang manggagamot na napatunayang nagkasala sa mga naturang gawain.
* **Mga kasong sibil:** Maaaring magsampa ng kasong sibil ang pamilya ng na"&amp;"matay na pasyente laban sa propesyonal sa pangangalagang pangkalusugan para sa mga pinsala.
**Mahalagang Tandaan:**
* **Passive Euthanasia:** Ang pag-withdraw o pagpigil ng paggamot na nagpapanatili ng buhay sa mga pasyenteng may karamdaman sa wakas na ma"&amp;"y kaalamang pahintulot ay maaaring pinahihintulutan sa ilalim ng mga partikular na pangyayari. Gayunpaman, ang proseso ng paggawa ng desisyon ay dapat magsama ng maingat na etikal na pagsasaalang-alang at konsultasyon sa iba't ibang mga propesyonal sa pan"&amp;"gangalagang pangkalusugan.
**Konklusyon:**
Mahigpit na ipinagbabawal sa Pilipinas ang pagpapakamatay na tinulungan ng doktor at euthanasia. Ang mga propesyonal sa pangangalagang pangkalusugan na tumutulong sa mga naturang gawain ay nahaharap sa matinding "&amp;"legal na epekto, kabilang ang pagkakulong, pagkawala ng lisensya, at mga potensyal na kaso ng sibil. **Disclaimer:** Ang impormasyong ito ay inilaan para sa pangkalahatang kaalaman at hindi dapat ipakahulugan bilang legal na payo.")</f>
        <v>Sa Pilipinas, **iligal ang pagpapakamatay na tinulungan ng doktor at euthanasia**. Ang pagsali sa mga kasanayang ito ay hahantong sa matitinding legal na kahihinatnan para sa mga propesyonal sa pangangalagang pangkalusugan. Narito ang isang breakdown ng legal na balangkas:
* **Ang Konstitusyon:** Ang karapatan sa buhay (Artikulo III, Seksyon 1) ay pinakamahalaga. * **Republic Act No. 3019 (Revised Penal Code):**
* **Artikulo 249 (Pagpatay):** Ang pagkitil sa buhay ng ibang tao, kabilang ang sa pamamagitan ng tinulungang pagpapakamatay, ay itinuturing na pagpatay at may parusang habambuhay na pagkakakulong.
* **Philippine Medical Association (PMA) Code of Ethics:**
* **Seksyon I (The Physician and the Law):** Itinataguyod ang batas at ipinagbabawal ang mga pagkilos na lumalabag dito.
* **Seksyon II (Ang Manggagamot at ang Pasyente):** Nangangailangan ng mga manggagamot na unahin ang pangangalaga sa buhay.
**Samakatuwid, ang sinumang propesyonal sa pangangalagang pangkalusugan na tumutulong sa pagpapakamatay ng isang pasyente ay kikilos laban sa batas at mahaharap sa mga kasong kriminal.** Kabilang dito ang:
* **Mga singil sa pagpatay:** Sa ilalim ng Binagong Kodigo Penal, ang propesyonal sa pangangalagang pangkalusugan ay maaaring makulong habang buhay.
* **Pagkawala ng lisensyang medikal:** Ang Philippine Medical Board ay may awtoridad na bawiin ang lisensya ng sinumang manggagamot na napatunayang nagkasala sa mga naturang gawain.
* **Mga kasong sibil:** Maaaring magsampa ng kasong sibil ang pamilya ng namatay na pasyente laban sa propesyonal sa pangangalagang pangkalusugan para sa mga pinsala.
**Mahalagang Tandaan:**
* **Passive Euthanasia:** Ang pag-withdraw o pagpigil ng paggamot na nagpapanatili ng buhay sa mga pasyenteng may karamdaman sa wakas na may kaalamang pahintulot ay maaaring pinahihintulutan sa ilalim ng mga partikular na pangyayari. Gayunpaman, ang proseso ng paggawa ng desisyon ay dapat magsama ng maingat na etikal na pagsasaalang-alang at konsultasyon sa iba't ibang mga propesyonal sa pangangalagang pangkalusugan.
**Konklusyon:**
Mahigpit na ipinagbabawal sa Pilipinas ang pagpapakamatay na tinulungan ng doktor at euthanasia. Ang mga propesyonal sa pangangalagang pangkalusugan na tumutulong sa mga naturang gawain ay nahaharap sa matinding legal na epekto, kabilang ang pagkakulong, pagkawala ng lisensya, at mga potensyal na kaso ng sibil. **Disclaimer:** Ang impormasyong ito ay inilaan para sa pangkalahatang kaalaman at hindi dapat ipakahulugan bilang legal na payo.</v>
      </c>
      <c r="F1773" s="2">
        <f t="shared" si="1"/>
        <v>0</v>
      </c>
      <c r="G1773" s="2"/>
      <c r="H1773" s="2"/>
      <c r="I1773" s="2"/>
      <c r="J1773" s="2"/>
      <c r="K1773" s="2"/>
      <c r="L1773" s="2"/>
      <c r="M1773" s="2"/>
      <c r="N1773" s="2"/>
      <c r="O1773" s="2"/>
      <c r="P1773" s="2"/>
      <c r="Q1773" s="2"/>
      <c r="R1773" s="2"/>
      <c r="S1773" s="2"/>
      <c r="T1773" s="2"/>
      <c r="U1773" s="2"/>
      <c r="V1773" s="2"/>
      <c r="W1773" s="2"/>
      <c r="X1773" s="2"/>
      <c r="Y1773" s="2"/>
      <c r="Z1773" s="2"/>
      <c r="AA1773" s="2"/>
    </row>
    <row r="1774">
      <c r="A1774" s="1" t="s">
        <v>4337</v>
      </c>
      <c r="B1774" s="1" t="s">
        <v>4594</v>
      </c>
      <c r="C1774" s="1" t="s">
        <v>4595</v>
      </c>
      <c r="D1774" s="2" t="str">
        <f>IFERROR(__xludf.DUMMYFUNCTION("GOOGLETRANSLATE(B1774, ""en"", ""TL"")"),"Paano tinutugunan ng batas ng Pilipinas ang mga umuusbong na etikal na alalahanin na may kinalaman sa genetic engineering at human cloning?")</f>
        <v>Paano tinutugunan ng batas ng Pilipinas ang mga umuusbong na etikal na alalahanin na may kinalaman sa genetic engineering at human cloning?</v>
      </c>
      <c r="E1774" s="2" t="str">
        <f>IFERROR(__xludf.DUMMYFUNCTION("GOOGLETRANSLATE(C1774, ""en"", ""TL"")"),"Ang legal na balangkas ng Pilipinas ay umuunlad upang matugunan ang mga etikal na alalahanin na nakapalibot sa genetic engineering at pag-clone ng tao. Bagama't walang iisang komprehensibong batas, maraming umiiral na regulasyon at pahayag ang nagbibigay "&amp;"ng pundasyon:
**Ang Konstitusyon:**
* **Artikulo II, Seksyon 15:** Ipinagkatiwala sa Estado ang responsibilidad na ""protektahan at itaguyod ang buong pag-unlad ng pagkatao ng tao."" Ito ay nagpapahiwatig ng pag-iingat sa dignidad at integridad ng tao.
**"&amp;"Mga Kaugnay na Batas at Regulasyon:**
* **Republic Act No. 7160 (Ang National Biosafety Framework):**
* Nagtatatag ng isang sistema ng regulasyon upang matiyak ang ligtas na paghawak at paggamit ng mga Genetically Modified Organisms (GMOs) upang protektah"&amp;"an ang kalusugan ng publiko at ang kapaligiran.
* **Department of Science and Technology (DOST) - National Committee on Biosafety (NCB) Guidelines:**
* Magbigay ng balangkas para sa pagsasaliksik, pagpapaunlad, at aplikasyon ng mga GMO, na nagbibigay-diin"&amp;" sa mga etikal na pagsasaalang-alang at pagtatasa ng panganib.
* **Philippine Commission on Human Rights (CHR):**
* Naglabas ng mga resolusyon na nagpapahayag ng mga alalahanin tungkol sa pag-clone ng tao, na nagpapakita ng potensyal na paglabag sa mga ka"&amp;"rapatang pantao at ang pangangailangan para sa mas mahigpit na mga regulasyon.
**Kasalukuyang Landscape:**
* **Ang pag-clone ng tao ay tahasang ipinagbabawal.** * **Ang mga genetic engineering application ay pinahihintulutan sa ilalim ng mga kinokontrol n"&amp;"a setting:**
* Nangangailangan ng paunang pag-apruba mula sa mga kaugnay na ahensya ng gobyerno tulad ng DOST at NCB.
* Tinitiyak ng mahigpit na mga alituntunin ang kaligtasan at etikal na pagsasagawa ng mga aktibidad sa pananaliksik at pagpapaunlad.
**Mg"&amp;"a Pag-unlad sa Hinaharap:**
* **Nagpapatuloy ang mga talakayan sa patakaran** hinggil sa pangangailangan para sa isang mas komprehensibong legal na balangkas na partikular na tumutugon sa genetic engineering ng tao.
* **Ang mga etikal na pagsasaalang-alan"&amp;"g ay mahalaga** sa mga talakayang ito, na nakatuon sa:
* **Pag-iwas sa anumang anyo ng human reproductive cloning.**
* **Pagtitiyak ng may-kaalamang pahintulot para sa mga indibidwal na kasangkot sa mga pamamaraan ng genetic engineering.**
* **Pagprotekta"&amp;" laban sa potensyal na maling paggamit ng mga genetic na teknolohiya.**
**Mga Internasyonal na Kasunduan:**
* Ang Pilipinas ay isang signatory sa iba't ibang internasyonal na kasunduan tulad ng Convention on Biological Diversity, na nagtataguyod ng napapa"&amp;"natiling paggamit ng biological resources at tumutugon sa mga potensyal na panganib ng GMOs.
**Mga Hamon at Gaps:**
* **Ang mabilis na pagsulong sa larangan ng genetic engineering ay nangangailangan ng patuloy na legal na pagsusuri at mga update.**
* **Na"&amp;"nanatiling kritikal na alalahanin ang pagbabalanse ng siyentipikong pag-unlad sa pagtataguyod ng mga prinsipyong etikal at pagprotekta sa dignidad ng tao.**
**Konklusyon:**
Kinikilala ng batas ng Pilipinas ang mga etikal na alalahanin na nakapalibot sa ge"&amp;"netic engineering at human cloning. Bagama't walang iisang batas, ang mga kasalukuyang regulasyon at patuloy na talakayan ay nagbibigay daan para sa isang mas matatag na legal na balangkas. Ang pagtugon sa mga isyung ito ay nangangailangan ng pagtutulunga"&amp;"ng pagsisikap na kinasasangkutan ng mga siyentipiko, gumagawa ng patakaran, legal na propesyonal, at etika upang matiyak ang responsableng pag-unlad at paggamit ng mga teknolohiyang ito habang pinangangalagaan ang mga karapatang pantao at kagalingan.
**Di"&amp;"sclaimer:** Ang impormasyong ito ay nagbibigay ng pangkalahatang pag-unawa at hindi bumubuo ng legal na payo. Para sa komprehensibong mga insight at pag-navigate sa mga partikular na sitwasyon, ang pagkonsulta sa mga legal na propesyonal na dalubhasa sa b"&amp;"atas ng biotechnology ay napakahalaga.")</f>
        <v>Ang legal na balangkas ng Pilipinas ay umuunlad upang matugunan ang mga etikal na alalahanin na nakapalibot sa genetic engineering at pag-clone ng tao. Bagama't walang iisang komprehensibong batas, maraming umiiral na regulasyon at pahayag ang nagbibigay ng pundasyon:
**Ang Konstitusyon:**
* **Artikulo II, Seksyon 15:** Ipinagkatiwala sa Estado ang responsibilidad na "protektahan at itaguyod ang buong pag-unlad ng pagkatao ng tao." Ito ay nagpapahiwatig ng pag-iingat sa dignidad at integridad ng tao.
**Mga Kaugnay na Batas at Regulasyon:**
* **Republic Act No. 7160 (Ang National Biosafety Framework):**
* Nagtatatag ng isang sistema ng regulasyon upang matiyak ang ligtas na paghawak at paggamit ng mga Genetically Modified Organisms (GMOs) upang protektahan ang kalusugan ng publiko at ang kapaligiran.
* **Department of Science and Technology (DOST) - National Committee on Biosafety (NCB) Guidelines:**
* Magbigay ng balangkas para sa pagsasaliksik, pagpapaunlad, at aplikasyon ng mga GMO, na nagbibigay-diin sa mga etikal na pagsasaalang-alang at pagtatasa ng panganib.
* **Philippine Commission on Human Rights (CHR):**
* Naglabas ng mga resolusyon na nagpapahayag ng mga alalahanin tungkol sa pag-clone ng tao, na nagpapakita ng potensyal na paglabag sa mga karapatang pantao at ang pangangailangan para sa mas mahigpit na mga regulasyon.
**Kasalukuyang Landscape:**
* **Ang pag-clone ng tao ay tahasang ipinagbabawal.** * **Ang mga genetic engineering application ay pinahihintulutan sa ilalim ng mga kinokontrol na setting:**
* Nangangailangan ng paunang pag-apruba mula sa mga kaugnay na ahensya ng gobyerno tulad ng DOST at NCB.
* Tinitiyak ng mahigpit na mga alituntunin ang kaligtasan at etikal na pagsasagawa ng mga aktibidad sa pananaliksik at pagpapaunlad.
**Mga Pag-unlad sa Hinaharap:**
* **Nagpapatuloy ang mga talakayan sa patakaran** hinggil sa pangangailangan para sa isang mas komprehensibong legal na balangkas na partikular na tumutugon sa genetic engineering ng tao.
* **Ang mga etikal na pagsasaalang-alang ay mahalaga** sa mga talakayang ito, na nakatuon sa:
* **Pag-iwas sa anumang anyo ng human reproductive cloning.**
* **Pagtitiyak ng may-kaalamang pahintulot para sa mga indibidwal na kasangkot sa mga pamamaraan ng genetic engineering.**
* **Pagprotekta laban sa potensyal na maling paggamit ng mga genetic na teknolohiya.**
**Mga Internasyonal na Kasunduan:**
* Ang Pilipinas ay isang signatory sa iba't ibang internasyonal na kasunduan tulad ng Convention on Biological Diversity, na nagtataguyod ng napapanatiling paggamit ng biological resources at tumutugon sa mga potensyal na panganib ng GMOs.
**Mga Hamon at Gaps:**
* **Ang mabilis na pagsulong sa larangan ng genetic engineering ay nangangailangan ng patuloy na legal na pagsusuri at mga update.**
* **Nananatiling kritikal na alalahanin ang pagbabalanse ng siyentipikong pag-unlad sa pagtataguyod ng mga prinsipyong etikal at pagprotekta sa dignidad ng tao.**
**Konklusyon:**
Kinikilala ng batas ng Pilipinas ang mga etikal na alalahanin na nakapalibot sa genetic engineering at human cloning. Bagama't walang iisang batas, ang mga kasalukuyang regulasyon at patuloy na talakayan ay nagbibigay daan para sa isang mas matatag na legal na balangkas. Ang pagtugon sa mga isyung ito ay nangangailangan ng pagtutulungang pagsisikap na kinasasangkutan ng mga siyentipiko, gumagawa ng patakaran, legal na propesyonal, at etika upang matiyak ang responsableng pag-unlad at paggamit ng mga teknolohiyang ito habang pinangangalagaan ang mga karapatang pantao at kagalingan.
**Disclaimer:** Ang impormasyong ito ay nagbibigay ng pangkalahatang pag-unawa at hindi bumubuo ng legal na payo. Para sa komprehensibong mga insight at pag-navigate sa mga partikular na sitwasyon, ang pagkonsulta sa mga legal na propesyonal na dalubhasa sa batas ng biotechnology ay napakahalaga.</v>
      </c>
      <c r="F1774" s="2">
        <f t="shared" si="1"/>
        <v>0</v>
      </c>
      <c r="G1774" s="2"/>
      <c r="H1774" s="2"/>
      <c r="I1774" s="2"/>
      <c r="J1774" s="2"/>
      <c r="K1774" s="2"/>
      <c r="L1774" s="2"/>
      <c r="M1774" s="2"/>
      <c r="N1774" s="2"/>
      <c r="O1774" s="2"/>
      <c r="P1774" s="2"/>
      <c r="Q1774" s="2"/>
      <c r="R1774" s="2"/>
      <c r="S1774" s="2"/>
      <c r="T1774" s="2"/>
      <c r="U1774" s="2"/>
      <c r="V1774" s="2"/>
      <c r="W1774" s="2"/>
      <c r="X1774" s="2"/>
      <c r="Y1774" s="2"/>
      <c r="Z1774" s="2"/>
      <c r="AA1774" s="2"/>
    </row>
    <row r="1775">
      <c r="A1775" s="1" t="s">
        <v>4337</v>
      </c>
      <c r="B1775" s="1" t="s">
        <v>4596</v>
      </c>
      <c r="C1775" s="1" t="s">
        <v>4597</v>
      </c>
      <c r="D1775" s="2" t="str">
        <f>IFERROR(__xludf.DUMMYFUNCTION("GOOGLETRANSLATE(B1775, ""en"", ""TL"")"),"Anong mga legal at etikal na pagsasaalang-alang ang naroroon para sa paggamit ng mga surrogate na ina at mga gestational carrier sa Pilipinas?")</f>
        <v>Anong mga legal at etikal na pagsasaalang-alang ang naroroon para sa paggamit ng mga surrogate na ina at mga gestational carrier sa Pilipinas?</v>
      </c>
      <c r="E1775" s="2" t="str">
        <f>IFERROR(__xludf.DUMMYFUNCTION("GOOGLETRANSLATE(C1775, ""en"", ""TL"")"),"Bagama't ang Pilipinas ay lumitaw bilang isang tanyag na destinasyon para sa surrogacy dahil sa mas mababang gastos nito kumpara sa ibang mga bansa, **may isang kritikal na babala**: **Ang mga pagsasaayos ng surrogacy ay hindi tahasang tinutugunan o kinok"&amp;"ontrol ng isang komprehensibong batas ng Pilipinas.** Ang legal na ito ang kalabuan ay nagpapakita ng mga makabuluhang hamon at etikal na alalahanin.
Narito ang isang breakdown ng sitwasyon:
* **Kakulangan ng legal na balangkas:** Ang kawalan ng isang par"&amp;"tikular na batas na namamahala sa surrogacy ay lumilikha ng kawalang-katiyakan tungkol sa mga karapatan at responsibilidad ng lahat ng kasangkot na partido – ang nilalayong mga magulang, ang kahaliling ina, at ang batang ipinanganak sa pamamagitan ng surr"&amp;"ogacy.
* **Commercial surrogacy:** Bagama't hindi tahasang ipinagbabawal, ang komersyal na aspeto ng surrogacy arrangement ay naglalabas ng mga etikal na alalahanin. Ang mga isyu tulad ng potensyal na pagsasamantala sa mga kahaliling ina dahil sa kahinaan"&amp;" sa pananalapi at kakulangan ng matatag na mga pananggalang ay nangangailangan ng maingat na pagsasaalang-alang.
**Kasalukuyang Legal na Landscape:**
* **Mga Karapatan sa Konstitusyon:**
* **Artikulo II, Seksyon 11:** Ginagarantiya ang karapatan sa kalusu"&amp;"gan.
* **Artikulo III, Seksyon 14:** Pinoprotektahan ang karapatan sa privacy. * **Artikulo XIII, Seksyon 1:** Itinataguyod ang karapatang magtrabaho at makatarungang sahod.
* **Mga Kaugnay na Batas (Limitadong Applicability):**
* **Republic Act No. 7101 "&amp;"(The Organ Donation Act):** Ipinagbabawal ang komersyalisasyon ng mga organ at tissue, na posibleng umabot sa mga aspeto ng surrogacy arrangement.
* **Republic Act No. 10173 (Data Privacy Act):** Pinoprotektahan ang privacy ng mga indibidwal, kabilang ang"&amp;" medikal na impormasyon, na maaaring naaangkop sa proseso ng surrogacy.
**Mga Etikal na Pagsasaalang-alang:**
* **Palitan ang kapakanan ng ina:** * Potensyal para sa pisikal at emosyonal na mga panganib sa panahon ng pagbubuntis at panganganak.
* Pagtitiy"&amp;"ak ng patas na kabayaran at pagtataguyod ng karapatan ng kahalili sa may-kaalamang pahintulot sa buong proseso.
* **Kagalingan ng bata:** * Ang legal na katayuan at mga karapatan ng magulang ng batang ipinanganak sa pamamagitan ng surrogacy ay nananatilin"&amp;"g hindi malinaw sa kawalan ng isang partikular na batas.
* Pagtitiyak na ang pinakamabuting interes ng bata ay inuuna sa buong kaayusan.
**Mga Kasalukuyang Kasanayan:**
* **Mga kasunduan sa surrogacy:** Ang mga nilalayong magulang at kahaliling ina ay kad"&amp;"alasang umaasa sa mga pribadong kontrata na ginawa ng mga abogado. Gayunpaman, ang pagpapatupad ng mga naturang kasunduan sa kawalan ng komprehensibong legal na balangkas ay hindi tiyak.
**Tanawin sa Hinaharap:**
* **Mga Talakayan sa Patakaran:** Ang mga "&amp;"debate ay nagpapatuloy tungkol sa pangangailangan para sa isang legal na balangkas upang ayusin ang mga gawi sa surrogacy sa Pilipinas. * **Tumuon sa Mga Prinsipyo sa Etikal:** Ang anumang batas sa hinaharap ay dapat unahin ang:
* **Pagprotekta sa mga kar"&amp;"apatan at kapakanan ng kahaliling ina.**
* **Pagtitiyak ng pinakamahusay na interes ng batang ipinanganak sa pamamagitan ng surrogacy.**
* **Pag-iwas sa pagsasamantala ng sinumang indibidwal na kasangkot sa proseso.**
**Konklusyon:**
Habang ang mga pagsas"&amp;"aayos ng surrogacy ay nangyayari sa Pilipinas, ang legal na kalabuan ay nagdudulot ng malaking panganib. Ang kakulangan ng isang malinaw na balangkas ay nag-iiwan sa mga karapatan at kagalingan ng kahalili na ina, ang nilalayong mga magulang, at ang bata "&amp;"na mahina. **Disclaimer:** Ang impormasyong ito ay inilaan para sa pangkalahatang kaalaman at hindi dapat ipakahulugan bilang legal na payo. Dahil sa mga kumplikadong nakapalibot sa surrogacy sa Pilipinas, ang pagkonsulta sa isang kwalipikadong abogado na"&amp;" dalubhasa sa batas ng pamilya at bioethics ay napakahalaga para sa pag-navigate sa mga partikular na sitwasyon at pag-unawa sa mga potensyal na legal at etikal na implikasyon.")</f>
        <v>Bagama't ang Pilipinas ay lumitaw bilang isang tanyag na destinasyon para sa surrogacy dahil sa mas mababang gastos nito kumpara sa ibang mga bansa, **may isang kritikal na babala**: **Ang mga pagsasaayos ng surrogacy ay hindi tahasang tinutugunan o kinokontrol ng isang komprehensibong batas ng Pilipinas.** Ang legal na ito ang kalabuan ay nagpapakita ng mga makabuluhang hamon at etikal na alalahanin.
Narito ang isang breakdown ng sitwasyon:
* **Kakulangan ng legal na balangkas:** Ang kawalan ng isang partikular na batas na namamahala sa surrogacy ay lumilikha ng kawalang-katiyakan tungkol sa mga karapatan at responsibilidad ng lahat ng kasangkot na partido – ang nilalayong mga magulang, ang kahaliling ina, at ang batang ipinanganak sa pamamagitan ng surrogacy.
* **Commercial surrogacy:** Bagama't hindi tahasang ipinagbabawal, ang komersyal na aspeto ng surrogacy arrangement ay naglalabas ng mga etikal na alalahanin. Ang mga isyu tulad ng potensyal na pagsasamantala sa mga kahaliling ina dahil sa kahinaan sa pananalapi at kakulangan ng matatag na mga pananggalang ay nangangailangan ng maingat na pagsasaalang-alang.
**Kasalukuyang Legal na Landscape:**
* **Mga Karapatan sa Konstitusyon:**
* **Artikulo II, Seksyon 11:** Ginagarantiya ang karapatan sa kalusugan.
* **Artikulo III, Seksyon 14:** Pinoprotektahan ang karapatan sa privacy. * **Artikulo XIII, Seksyon 1:** Itinataguyod ang karapatang magtrabaho at makatarungang sahod.
* **Mga Kaugnay na Batas (Limitadong Applicability):**
* **Republic Act No. 7101 (The Organ Donation Act):** Ipinagbabawal ang komersyalisasyon ng mga organ at tissue, na posibleng umabot sa mga aspeto ng surrogacy arrangement.
* **Republic Act No. 10173 (Data Privacy Act):** Pinoprotektahan ang privacy ng mga indibidwal, kabilang ang medikal na impormasyon, na maaaring naaangkop sa proseso ng surrogacy.
**Mga Etikal na Pagsasaalang-alang:**
* **Palitan ang kapakanan ng ina:** * Potensyal para sa pisikal at emosyonal na mga panganib sa panahon ng pagbubuntis at panganganak.
* Pagtitiyak ng patas na kabayaran at pagtataguyod ng karapatan ng kahalili sa may-kaalamang pahintulot sa buong proseso.
* **Kagalingan ng bata:** * Ang legal na katayuan at mga karapatan ng magulang ng batang ipinanganak sa pamamagitan ng surrogacy ay nananatiling hindi malinaw sa kawalan ng isang partikular na batas.
* Pagtitiyak na ang pinakamabuting interes ng bata ay inuuna sa buong kaayusan.
**Mga Kasalukuyang Kasanayan:**
* **Mga kasunduan sa surrogacy:** Ang mga nilalayong magulang at kahaliling ina ay kadalasang umaasa sa mga pribadong kontrata na ginawa ng mga abogado. Gayunpaman, ang pagpapatupad ng mga naturang kasunduan sa kawalan ng komprehensibong legal na balangkas ay hindi tiyak.
**Tanawin sa Hinaharap:**
* **Mga Talakayan sa Patakaran:** Ang mga debate ay nagpapatuloy tungkol sa pangangailangan para sa isang legal na balangkas upang ayusin ang mga gawi sa surrogacy sa Pilipinas. * **Tumuon sa Mga Prinsipyo sa Etikal:** Ang anumang batas sa hinaharap ay dapat unahin ang:
* **Pagprotekta sa mga karapatan at kapakanan ng kahaliling ina.**
* **Pagtitiyak ng pinakamahusay na interes ng batang ipinanganak sa pamamagitan ng surrogacy.**
* **Pag-iwas sa pagsasamantala ng sinumang indibidwal na kasangkot sa proseso.**
**Konklusyon:**
Habang ang mga pagsasaayos ng surrogacy ay nangyayari sa Pilipinas, ang legal na kalabuan ay nagdudulot ng malaking panganib. Ang kakulangan ng isang malinaw na balangkas ay nag-iiwan sa mga karapatan at kagalingan ng kahalili na ina, ang nilalayong mga magulang, at ang bata na mahina. **Disclaimer:** Ang impormasyong ito ay inilaan para sa pangkalahatang kaalaman at hindi dapat ipakahulugan bilang legal na payo. Dahil sa mga kumplikadong nakapalibot sa surrogacy sa Pilipinas, ang pagkonsulta sa isang kwalipikadong abogado na dalubhasa sa batas ng pamilya at bioethics ay napakahalaga para sa pag-navigate sa mga partikular na sitwasyon at pag-unawa sa mga potensyal na legal at etikal na implikasyon.</v>
      </c>
      <c r="F1775" s="2">
        <f t="shared" si="1"/>
        <v>0</v>
      </c>
      <c r="G1775" s="2"/>
      <c r="H1775" s="2"/>
      <c r="I1775" s="2"/>
      <c r="J1775" s="2"/>
      <c r="K1775" s="2"/>
      <c r="L1775" s="2"/>
      <c r="M1775" s="2"/>
      <c r="N1775" s="2"/>
      <c r="O1775" s="2"/>
      <c r="P1775" s="2"/>
      <c r="Q1775" s="2"/>
      <c r="R1775" s="2"/>
      <c r="S1775" s="2"/>
      <c r="T1775" s="2"/>
      <c r="U1775" s="2"/>
      <c r="V1775" s="2"/>
      <c r="W1775" s="2"/>
      <c r="X1775" s="2"/>
      <c r="Y1775" s="2"/>
      <c r="Z1775" s="2"/>
      <c r="AA1775" s="2"/>
    </row>
    <row r="1776">
      <c r="A1776" s="1" t="s">
        <v>4337</v>
      </c>
      <c r="B1776" s="1" t="s">
        <v>4598</v>
      </c>
      <c r="C1776" s="1" t="s">
        <v>4599</v>
      </c>
      <c r="D1776" s="2" t="str">
        <f>IFERROR(__xludf.DUMMYFUNCTION("GOOGLETRANSLATE(B1776, ""en"", ""TL"")"),"Paano nakikipagtulungan ang Pilipinas sa mga internasyonal na organisasyon tulad ng World Health Organization (WHO) sa paglikha at pagpapatupad ng mga medikal na regulasyon?")</f>
        <v>Paano nakikipagtulungan ang Pilipinas sa mga internasyonal na organisasyon tulad ng World Health Organization (WHO) sa paglikha at pagpapatupad ng mga medikal na regulasyon?</v>
      </c>
      <c r="E1776" s="2" t="str">
        <f>IFERROR(__xludf.DUMMYFUNCTION("GOOGLETRANSLATE(C1776, ""en"", ""TL"")"),"Ang Pilipinas ay aktibong nakikipagtulungan sa World Health Organization (WHO) sa paglikha at pagpapatupad ng mga medikal na regulasyon sa pamamagitan ng iba't ibang mekanismo:
* **World Health Assembly (WHA):** Ang Pilipinas, bilang miyembrong estado ng "&amp;"WHO, ay nakikilahok sa WHA, na nagtatakda ng mga prayoridad sa kalusugan ng mundo at nagpapatupad ng mga internasyonal na regulasyon sa kalusugan. * **WHO Collaborating Centers:** Ang Pilipinas ay naglalaman ng ilang WHO Collaborating Center na nagsasagaw"&amp;"a ng pananaliksik, nagbibigay ng teknikal na tulong, at nag-aambag sa pagbuo ng mga pandaigdigang pamantayan at pamantayan sa kalusugan. Halimbawa, ang:
* **Research Institute for Tropical Medicine (RITM):** Nakikipagtulungan sa Dengue at iba pang tropika"&amp;"l na sakit.
* **University of the Philippines Manila - Philippine General Hospital (UP-PGH):** Nakikipagtulungan sa kalusugan ng ina at anak.
* **Technical Cooperation:** Ang WHO ay nagbibigay ng teknikal na tulong sa Philippine Department of Health (DOH)"&amp;" sa iba't ibang lugar, kabilang ang:
* **Pagbuo ng pambansang mga patakaran at regulasyon sa kalusugan batay sa mga alituntunin ng WHO.**
* **Pagpapalakas ng mga sistema ng kalusugan at pagsubaybay sa sakit.**
* **Pagpapalaki ng kapasidad para sa mga prop"&amp;"esyonal sa pangangalagang pangkalusugan.**
* **Pagbabahagi ng Impormasyon at Dalubhasa:** Ang WHO ay nagbibigay sa Pilipinas ng access sa:
* **Na-update na siyentipikong data at mga rekomendasyon.**
* **Mga pandaigdigang pinakamahusay na kagawian sa regul"&amp;"asyon sa pangangalagang pangkalusugan.**
* **Dalubhasa ng mga internasyonal na espesyalista sa kalusugan.**
**Mga Tukoy na Halimbawa ng Pakikipagtulungan:**
* **Ang Pilipinas ay aktibong lumahok sa pagbuo ng International Health Regulations (IHR 2005) ng "&amp;"WHO.** Ang mga regulasyong ito ay naglalayong pigilan at kontrolin ang internasyonal na pagkalat ng mga nakakahawang sakit.
* **Ang WHO ay nakipagtulungan sa DOH sa pagpapatupad ng Philippine National Health Insurance Program (PhilHealth).** * **Ang WHO a"&amp;"y nagbibigay ng teknikal na tulong sa Pilipinas sa pagpapalakas ng pagtugon nito sa iba't ibang emerhensiyang pampublikong kalusugan, kabilang ang COVID-19 .**
**Mga Hamon at Oportunidad:**
* **Limitadong mapagkukunan:** Nahaharap ang Pilipinas sa mga ham"&amp;"on sa pagpapatupad ng mga rekomendasyon ng WHO dahil sa mga hadlang sa mapagkukunan.
* **Pag-aangkop sa mga pandaigdigang alituntunin:** Ang pag-angkop sa mga alituntunin ng WHO sa partikular na konteksto ng sistema ng pangangalagang pangkalusugan sa Pili"&amp;"pinas ay napakahalaga.
**Sa pangkalahatan, ang pakikipagtulungan sa WHO ay may mahalagang papel sa:**
* **Pagpapahusay sa kapasidad ng Pilipinas na bumuo at magpatupad ng mga epektibong regulasyong medikal.**
* **Pagtitiyak na ang mga regulasyong ito ay n"&amp;"aaayon sa mga internasyonal na pinakamahusay na kagawian at tugunan ang mga hamon sa kalusugan sa buong mundo.**
* **Pag-promote ng access sa pinakabagong siyentipikong kaalaman at teknikal na kadalubhasaan sa pangangalagang pangkalusugan.** **Mga Karagda"&amp;"gang Mapagkukunan:**
* World Health Organization - Pilipinas: [https://www.who.int/philippines/about-us](https://www.who.int/philippines/about-us)
* Department of Health Philippines: [https://doh.gov.ph/](https://doh.gov.ph/)
**Disclaimer:** Ang impormasy"&amp;"ong ito ay inilaan para sa pangkalahatang kaalaman at hindi bumubuo ng legal na payo.")</f>
        <v>Ang Pilipinas ay aktibong nakikipagtulungan sa World Health Organization (WHO) sa paglikha at pagpapatupad ng mga medikal na regulasyon sa pamamagitan ng iba't ibang mekanismo:
* **World Health Assembly (WHA):** Ang Pilipinas, bilang miyembrong estado ng WHO, ay nakikilahok sa WHA, na nagtatakda ng mga prayoridad sa kalusugan ng mundo at nagpapatupad ng mga internasyonal na regulasyon sa kalusugan. * **WHO Collaborating Centers:** Ang Pilipinas ay naglalaman ng ilang WHO Collaborating Center na nagsasagawa ng pananaliksik, nagbibigay ng teknikal na tulong, at nag-aambag sa pagbuo ng mga pandaigdigang pamantayan at pamantayan sa kalusugan. Halimbawa, ang:
* **Research Institute for Tropical Medicine (RITM):** Nakikipagtulungan sa Dengue at iba pang tropikal na sakit.
* **University of the Philippines Manila - Philippine General Hospital (UP-PGH):** Nakikipagtulungan sa kalusugan ng ina at anak.
* **Technical Cooperation:** Ang WHO ay nagbibigay ng teknikal na tulong sa Philippine Department of Health (DOH) sa iba't ibang lugar, kabilang ang:
* **Pagbuo ng pambansang mga patakaran at regulasyon sa kalusugan batay sa mga alituntunin ng WHO.**
* **Pagpapalakas ng mga sistema ng kalusugan at pagsubaybay sa sakit.**
* **Pagpapalaki ng kapasidad para sa mga propesyonal sa pangangalagang pangkalusugan.**
* **Pagbabahagi ng Impormasyon at Dalubhasa:** Ang WHO ay nagbibigay sa Pilipinas ng access sa:
* **Na-update na siyentipikong data at mga rekomendasyon.**
* **Mga pandaigdigang pinakamahusay na kagawian sa regulasyon sa pangangalagang pangkalusugan.**
* **Dalubhasa ng mga internasyonal na espesyalista sa kalusugan.**
**Mga Tukoy na Halimbawa ng Pakikipagtulungan:**
* **Ang Pilipinas ay aktibong lumahok sa pagbuo ng International Health Regulations (IHR 2005) ng WHO.** Ang mga regulasyong ito ay naglalayong pigilan at kontrolin ang internasyonal na pagkalat ng mga nakakahawang sakit.
* **Ang WHO ay nakipagtulungan sa DOH sa pagpapatupad ng Philippine National Health Insurance Program (PhilHealth).** * **Ang WHO ay nagbibigay ng teknikal na tulong sa Pilipinas sa pagpapalakas ng pagtugon nito sa iba't ibang emerhensiyang pampublikong kalusugan, kabilang ang COVID-19 .**
**Mga Hamon at Oportunidad:**
* **Limitadong mapagkukunan:** Nahaharap ang Pilipinas sa mga hamon sa pagpapatupad ng mga rekomendasyon ng WHO dahil sa mga hadlang sa mapagkukunan.
* **Pag-aangkop sa mga pandaigdigang alituntunin:** Ang pag-angkop sa mga alituntunin ng WHO sa partikular na konteksto ng sistema ng pangangalagang pangkalusugan sa Pilipinas ay napakahalaga.
**Sa pangkalahatan, ang pakikipagtulungan sa WHO ay may mahalagang papel sa:**
* **Pagpapahusay sa kapasidad ng Pilipinas na bumuo at magpatupad ng mga epektibong regulasyong medikal.**
* **Pagtitiyak na ang mga regulasyong ito ay naaayon sa mga internasyonal na pinakamahusay na kagawian at tugunan ang mga hamon sa kalusugan sa buong mundo.**
* **Pag-promote ng access sa pinakabagong siyentipikong kaalaman at teknikal na kadalubhasaan sa pangangalagang pangkalusugan.** **Mga Karagdagang Mapagkukunan:**
* World Health Organization - Pilipinas: [https://www.who.int/philippines/about-us](https://www.who.int/philippines/about-us)
* Department of Health Philippines: [https://doh.gov.ph/](https://doh.gov.ph/)
**Disclaimer:** Ang impormasyong ito ay inilaan para sa pangkalahatang kaalaman at hindi bumubuo ng legal na payo.</v>
      </c>
      <c r="F1776" s="2">
        <f t="shared" si="1"/>
        <v>0</v>
      </c>
      <c r="G1776" s="2"/>
      <c r="H1776" s="2"/>
      <c r="I1776" s="2"/>
      <c r="J1776" s="2"/>
      <c r="K1776" s="2"/>
      <c r="L1776" s="2"/>
      <c r="M1776" s="2"/>
      <c r="N1776" s="2"/>
      <c r="O1776" s="2"/>
      <c r="P1776" s="2"/>
      <c r="Q1776" s="2"/>
      <c r="R1776" s="2"/>
      <c r="S1776" s="2"/>
      <c r="T1776" s="2"/>
      <c r="U1776" s="2"/>
      <c r="V1776" s="2"/>
      <c r="W1776" s="2"/>
      <c r="X1776" s="2"/>
      <c r="Y1776" s="2"/>
      <c r="Z1776" s="2"/>
      <c r="AA1776" s="2"/>
    </row>
    <row r="1777">
      <c r="A1777" s="1" t="s">
        <v>4337</v>
      </c>
      <c r="B1777" s="1" t="s">
        <v>4600</v>
      </c>
      <c r="C1777" s="1" t="s">
        <v>4601</v>
      </c>
      <c r="D1777" s="2" t="str">
        <f>IFERROR(__xludf.DUMMYFUNCTION("GOOGLETRANSLATE(B1777, ""en"", ""TL"")"),"Ano ang mga hamon at pagkakataon para sa pagkakatugma ng mga batas medikal ng Pilipinas sa mga internasyonal na pamantayan at kumbensyon?")</f>
        <v>Ano ang mga hamon at pagkakataon para sa pagkakatugma ng mga batas medikal ng Pilipinas sa mga internasyonal na pamantayan at kumbensyon?</v>
      </c>
      <c r="E1777" s="2" t="str">
        <f>IFERROR(__xludf.DUMMYFUNCTION("GOOGLETRANSLATE(C1777, ""en"", ""TL"")"),"## Mga Hamon sa Pagsasama-sama ng mga Batas Medikal ng Pilipinas sa mga Internasyonal na Pamantayan:
* **Mga Gaps sa Pambatasan:** Ang legal na balangkas ng Pilipinas ay kulang sa mga komprehensibong batas sa mga partikular na lugar tulad ng surrogacy, ti"&amp;"ssue at organ transplantation, at mga advanced na medikal na pamamaraan tulad ng pag-edit ng gene. * **Resource Constraints:** Ang pagpapatupad at pagpapatupad ng mga regulasyon na naaayon sa mga internasyonal na pamantayan ay kadalasang nangangailangan n"&amp;"g malaking pamumuhunan sa imprastraktura, pagpapaunlad ng mga manggagawa sa pangangalagang pangkalusugan, at mga teknolohikal na pagsulong.
* **Nagkukumpitensyang Priyoridad:** Ang pagtugon sa mga kagyat na alalahanin sa kalusugan ng publiko tulad ng mga "&amp;"nakakahawang sakit at limitadong pag-access sa mga pangunahing serbisyo sa pangangalagang pangkalusugan ay maaaring mauna kaysa sa pagtutuon lamang sa mga pagsisikap sa pagkakasundo.
* **Pag-aangkop sa Lokal na Konteksto:** Ang direktang paggamit ng mga i"&amp;"nternasyonal na pamantayan ay maaaring hindi palaging magagawa dahil sa mga pagkakaiba sa imprastraktura ng sistema ng pangangalagang pangkalusugan ng Pilipinas, pagkakaroon ng mapagkukunan, at sosyo-ekonomikong katotohanan.
## Mga Pagkakataon para sa Har"&amp;"monization:
* **International Collaboration:** Ang aktibong pakikipag-ugnayan sa mga organisasyon tulad ng WHO ay nagbibigay-daan sa Pilipinas na gamitin ang teknikal na kadalubhasaan, i-access ang pinakamahuhusay na kagawian, at mag-ambag sa pagbuo ng mg"&amp;"a pandaigdigang regulasyon sa kalusugan.
* **Pagtataguyod ng Patakaran:** Ang mga stakeholder tulad ng mga medikal na propesyonal, grupo ng mga karapatan ng pasyente, at mga gumagawa ng patakaran ay maaaring magsulong ng mga legal na reporma na umaayon sa"&amp;" mga internasyonal na pamantayan habang tinutugunan ang mga partikular na pangangailangan ng bansa.
* **Pagbuo ng Kapasidad:** Ang pamumuhunan sa pagsasanay at edukasyon para sa mga propesyonal sa pangangalagang pangkalusugan ay nagsisiguro na sila ay nag"&amp;"tataglay ng mga kinakailangang kasanayan at kaalaman upang ipatupad ang kinikilalang internasyonal na mga medikal na kasanayan. * **Mga Pagsulong sa Teknolohikal:** Ang pagtanggap sa mga pagsulong sa teknolohiyang medikal ay maaaring mapahusay ang paghaha"&amp;"tid ng pangangalagang pangkalusugan at mapadali ang pagsunod sa mga pandaigdigang pamantayan.
## Mga Potensyal na Benepisyo ng Harmonization:
* **Pinahusay na Kalidad ng Pangangalaga:** Ang paghahanay sa mga internasyonal na pamantayan ay maaaring magpata"&amp;"as sa kalidad ng mga serbisyong pangangalagang pangkalusugan na ibinibigay sa Pilipinas.
* **Pinahusay na Kaligtasan ng Pasyente:** Ang pag-ampon ng mga protocol na kinikilala sa buong mundo ay maaaring mabawasan ang mga medikal na error at matiyak ang ka"&amp;"ligtasan ng pasyente.
* **Pagtaas ng Pandaigdigang Pagkilala:** Ang pagkakaisa ay maaaring palakasin ang reputasyon ng sistema ng pangangalagang pangkalusugan ng Pilipinas, na posibleng makaakit ng medikal na turismo at dayuhang pamumuhunan.
* **Pinalakas"&amp;" na Pampublikong Kalusugan:** Ang pagsunod sa mga internasyonal na regulasyon sa kalusugan ng publiko ay maaaring mapabuti ang kahandaan at pagtugon ng Pilipinas sa mga banta sa kalusugan ng mundo.
## Pasulong:
* **Madiskarteng Pagpaplano:** Ang isang kom"&amp;"prehensibong diskarte ay mahalaga, na nagbibigay-priyoridad sa mga lugar para sa pagkakatugma batay sa epekto nito sa kalusugan ng publiko at pagiging posible ng pagpapatupad.
* **Pakikipag-ugnayan sa Stakeholder:** Ang pakikipagtulungan sa pagitan ng gob"&amp;"yerno, mga medikal na propesyonal, mga grupo ng adbokasiya ng pasyente, at pribadong sektor ay mahalaga para sa matagumpay na mga legal na reporma.
* **Unti-unting Pagpapatupad:** Ang isang dahan-dahang diskarte ay nagbibigay-daan para sa pagbagay at pagb"&amp;"uo ng kapasidad sa loob ng sistema ng pangangalagang pangkalusugan.
**Konklusyon:**
Ang pagsasama-sama ng mga batas medikal ng Pilipinas sa mga internasyonal na pamantayan ay nagpapakita ng parehong mga hamon at pagkakataon. Ang pagtagumpayan sa mga hamon"&amp;"g ito ay nangangailangan ng isang multi-faceted na diskarte na kinasasangkutan ng pakikipagtulungan, estratehikong pagpaplano, paglalaan ng mapagkukunan, at patuloy na pagsisikap na mapabuti ang imprastraktura ng sistema ng pangangalagang pangkalusugan at"&amp;" kapasidad ng manggagawa. Sa mabisang pagtugon sa mga aspetong ito, mapapahusay ng Pilipinas ang kalidad ng mga serbisyong pangangalagang pangkalusugan na ibinibigay sa mga mamamayan nito at makapag-ambag sa mga pandaigdigang pagsulong sa kalusugan.
**Dis"&amp;"claimer:** Ang impormasyong ito ay para sa pangkalahatang kaalaman at hindi bumubuo ng legal na payo. Ang pagkonsulta sa isang abogado na dalubhasa sa batas sa pangangalagang pangkalusugan ay mahalaga para sa pag-navigate sa mga partikular na legalidad at"&amp;" salimuot ng proseso ng pagsasama-sama.")</f>
        <v>## Mga Hamon sa Pagsasama-sama ng mga Batas Medikal ng Pilipinas sa mga Internasyonal na Pamantayan:
* **Mga Gaps sa Pambatasan:** Ang legal na balangkas ng Pilipinas ay kulang sa mga komprehensibong batas sa mga partikular na lugar tulad ng surrogacy, tissue at organ transplantation, at mga advanced na medikal na pamamaraan tulad ng pag-edit ng gene. * **Resource Constraints:** Ang pagpapatupad at pagpapatupad ng mga regulasyon na naaayon sa mga internasyonal na pamantayan ay kadalasang nangangailangan ng malaking pamumuhunan sa imprastraktura, pagpapaunlad ng mga manggagawa sa pangangalagang pangkalusugan, at mga teknolohikal na pagsulong.
* **Nagkukumpitensyang Priyoridad:** Ang pagtugon sa mga kagyat na alalahanin sa kalusugan ng publiko tulad ng mga nakakahawang sakit at limitadong pag-access sa mga pangunahing serbisyo sa pangangalagang pangkalusugan ay maaaring mauna kaysa sa pagtutuon lamang sa mga pagsisikap sa pagkakasundo.
* **Pag-aangkop sa Lokal na Konteksto:** Ang direktang paggamit ng mga internasyonal na pamantayan ay maaaring hindi palaging magagawa dahil sa mga pagkakaiba sa imprastraktura ng sistema ng pangangalagang pangkalusugan ng Pilipinas, pagkakaroon ng mapagkukunan, at sosyo-ekonomikong katotohanan.
## Mga Pagkakataon para sa Harmonization:
* **International Collaboration:** Ang aktibong pakikipag-ugnayan sa mga organisasyon tulad ng WHO ay nagbibigay-daan sa Pilipinas na gamitin ang teknikal na kadalubhasaan, i-access ang pinakamahuhusay na kagawian, at mag-ambag sa pagbuo ng mga pandaigdigang regulasyon sa kalusugan.
* **Pagtataguyod ng Patakaran:** Ang mga stakeholder tulad ng mga medikal na propesyonal, grupo ng mga karapatan ng pasyente, at mga gumagawa ng patakaran ay maaaring magsulong ng mga legal na reporma na umaayon sa mga internasyonal na pamantayan habang tinutugunan ang mga partikular na pangangailangan ng bansa.
* **Pagbuo ng Kapasidad:** Ang pamumuhunan sa pagsasanay at edukasyon para sa mga propesyonal sa pangangalagang pangkalusugan ay nagsisiguro na sila ay nagtataglay ng mga kinakailangang kasanayan at kaalaman upang ipatupad ang kinikilalang internasyonal na mga medikal na kasanayan. * **Mga Pagsulong sa Teknolohikal:** Ang pagtanggap sa mga pagsulong sa teknolohiyang medikal ay maaaring mapahusay ang paghahatid ng pangangalagang pangkalusugan at mapadali ang pagsunod sa mga pandaigdigang pamantayan.
## Mga Potensyal na Benepisyo ng Harmonization:
* **Pinahusay na Kalidad ng Pangangalaga:** Ang paghahanay sa mga internasyonal na pamantayan ay maaaring magpataas sa kalidad ng mga serbisyong pangangalagang pangkalusugan na ibinibigay sa Pilipinas.
* **Pinahusay na Kaligtasan ng Pasyente:** Ang pag-ampon ng mga protocol na kinikilala sa buong mundo ay maaaring mabawasan ang mga medikal na error at matiyak ang kaligtasan ng pasyente.
* **Pagtaas ng Pandaigdigang Pagkilala:** Ang pagkakaisa ay maaaring palakasin ang reputasyon ng sistema ng pangangalagang pangkalusugan ng Pilipinas, na posibleng makaakit ng medikal na turismo at dayuhang pamumuhunan.
* **Pinalakas na Pampublikong Kalusugan:** Ang pagsunod sa mga internasyonal na regulasyon sa kalusugan ng publiko ay maaaring mapabuti ang kahandaan at pagtugon ng Pilipinas sa mga banta sa kalusugan ng mundo.
## Pasulong:
* **Madiskarteng Pagpaplano:** Ang isang komprehensibong diskarte ay mahalaga, na nagbibigay-priyoridad sa mga lugar para sa pagkakatugma batay sa epekto nito sa kalusugan ng publiko at pagiging posible ng pagpapatupad.
* **Pakikipag-ugnayan sa Stakeholder:** Ang pakikipagtulungan sa pagitan ng gobyerno, mga medikal na propesyonal, mga grupo ng adbokasiya ng pasyente, at pribadong sektor ay mahalaga para sa matagumpay na mga legal na reporma.
* **Unti-unting Pagpapatupad:** Ang isang dahan-dahang diskarte ay nagbibigay-daan para sa pagbagay at pagbuo ng kapasidad sa loob ng sistema ng pangangalagang pangkalusugan.
**Konklusyon:**
Ang pagsasama-sama ng mga batas medikal ng Pilipinas sa mga internasyonal na pamantayan ay nagpapakita ng parehong mga hamon at pagkakataon. Ang pagtagumpayan sa mga hamong ito ay nangangailangan ng isang multi-faceted na diskarte na kinasasangkutan ng pakikipagtulungan, estratehikong pagpaplano, paglalaan ng mapagkukunan, at patuloy na pagsisikap na mapabuti ang imprastraktura ng sistema ng pangangalagang pangkalusugan at kapasidad ng manggagawa. Sa mabisang pagtugon sa mga aspetong ito, mapapahusay ng Pilipinas ang kalidad ng mga serbisyong pangangalagang pangkalusugan na ibinibigay sa mga mamamayan nito at makapag-ambag sa mga pandaigdigang pagsulong sa kalusugan.
**Disclaimer:** Ang impormasyong ito ay para sa pangkalahatang kaalaman at hindi bumubuo ng legal na payo. Ang pagkonsulta sa isang abogado na dalubhasa sa batas sa pangangalagang pangkalusugan ay mahalaga para sa pag-navigate sa mga partikular na legalidad at salimuot ng proseso ng pagsasama-sama.</v>
      </c>
      <c r="F1777" s="2">
        <f t="shared" si="1"/>
        <v>0</v>
      </c>
      <c r="G1777" s="2"/>
      <c r="H1777" s="2"/>
      <c r="I1777" s="2"/>
      <c r="J1777" s="2"/>
      <c r="K1777" s="2"/>
      <c r="L1777" s="2"/>
      <c r="M1777" s="2"/>
      <c r="N1777" s="2"/>
      <c r="O1777" s="2"/>
      <c r="P1777" s="2"/>
      <c r="Q1777" s="2"/>
      <c r="R1777" s="2"/>
      <c r="S1777" s="2"/>
      <c r="T1777" s="2"/>
      <c r="U1777" s="2"/>
      <c r="V1777" s="2"/>
      <c r="W1777" s="2"/>
      <c r="X1777" s="2"/>
      <c r="Y1777" s="2"/>
      <c r="Z1777" s="2"/>
      <c r="AA1777" s="2"/>
    </row>
    <row r="1778">
      <c r="A1778" s="1" t="s">
        <v>4337</v>
      </c>
      <c r="B1778" s="1" t="s">
        <v>4602</v>
      </c>
      <c r="C1778" s="1" t="s">
        <v>4603</v>
      </c>
      <c r="D1778" s="2" t="str">
        <f>IFERROR(__xludf.DUMMYFUNCTION("GOOGLETRANSLATE(B1778, ""en"", ""TL"")"),"Paano tinutulungan ng batas ng Pilipinas ang mga awtoridad upang tugunan ang mga emerhensiya sa kalusugan ng publiko tulad ng mga pandemya, isinasaalang-alang ang mga indibidwal na karapatan at kalayaan?")</f>
        <v>Paano tinutulungan ng batas ng Pilipinas ang mga awtoridad upang tugunan ang mga emerhensiya sa kalusugan ng publiko tulad ng mga pandemya, isinasaalang-alang ang mga indibidwal na karapatan at kalayaan?</v>
      </c>
      <c r="E1778" s="2" t="str">
        <f>IFERROR(__xludf.DUMMYFUNCTION("GOOGLETRANSLATE(C1778, ""en"", ""TL"")"),"Ang batas ng Pilipinas ay nagbibigay sa mga awtoridad ng mga tool upang matugunan ang mga emerhensiya sa kalusugan ng publiko tulad ng mga pandemya, ngunit ang mga tool na ito ay balanse sa mga pananggalang para sa mga indibidwal na karapatan at kalayaan."&amp;" Narito ang isang breakdown ng mga pangunahing aspeto:
**Pagbibigay ng Emergency Powers:**
* **Ang Saligang Batas (Artikulo II, Seksyon 15 at Artikulo XII, Seksyon 15):** Ang Konstitusyon ay nagbibigay ng kapangyarihan sa Pangulo na magdeklara ng state of"&amp;" calamity o emergency kapag nagkaroon ng malawakan at mapanirang epidemya ng sakit. Ang deklarasyon na ito ay nagbibigay sa Pangulo ng pansamantalang espesyal na kapangyarihan upang tugunan ang sitwasyon.
* **Republic Act No. 11469 (Bayanihan to Heal as O"&amp;"ne Act):** Ang Batas na ito ay nagsisilbing legal na balangkas para sa pagtugon sa mga emerhensiya sa kalusugan ng publiko. Binabalangkas nito ang mga partikular na kapangyarihang ipinagkaloob sa Pangulo sa panahon ng idineklarang state of calamity o emer"&amp;"gency, tulad ng:
* Kinokontrol ang paglalakbay at paggalaw
* Pagpapatupad ng mga hakbang sa quarantine
* Pagbibigay ng tulong pinansyal at proteksyong panlipunan
* Tinitiyak ang pagkakaroon ng mga mahahalagang produkto at serbisyo
**Balancing Act with Ind"&amp;"ividual Rights:**
* **Ang Konstitusyon (Bill of Rights):** Habang nagbibigay ng mga kapangyarihang pang-emerhensiya, pinoprotektahan din ng Konstitusyon ang mga pangunahing karapatan tulad ng kalayaan sa paggalaw, kalayaan sa pananalita, at angkop na pros"&amp;"eso. Anumang mga hakbang na ipinapatupad sa panahon ng isang emerhensiyang pampublikong kalusugan ay hindi maaaring ganap na balewalain ang mga karapatang ito. * **Judicial Review:** Ang mga korte ng Pilipinas ay may kapangyarihan na suriin ang legalidad "&amp;"ng mga aksyong ginawa ng gobyerno sa panahon ng state of calamity o emergency. Tinitiyak nito na ang mga pagkilos na ito ay sumusunod sa Konstitusyon at mga kaugnay na batas.
**Mga Halimbawa ng Mga Karapatan sa Pagbalanse at Pampublikong Kalusugan:**
* **"&amp;"Mga Lockdown:** Habang nililimitahan ang paggalaw, dapat magtatag ang pamahalaan ng malinaw na mga alituntunin, tiyakin ang access sa mga mahahalagang produkto, at magbigay ng mga makatwirang eksepsiyon para sa mga emerhensiya.
* **Pagsubaybay sa Pakikipa"&amp;"g-ugnayan:** Pagbabalanse sa pangangailangang subaybayan ang pagkalat ng sakit na may mga karapatan sa privacy ng data. Ang anonymized na pangongolekta ng data at wastong mga protocol ng seguridad ng data ay mahalaga.
* **Mga Panukala sa Quarantine:** Ang"&amp;" mga hakbang na ito ay dapat na proporsyonal sa banta at ipinatupad nang may angkop na proseso. **Mga Hamon at Pagsasaalang-alang**
* **Clarity and Transparency:** Ang mga batas at patakaran ay dapat na malinaw, transparent, at epektibong ipinapaalam sa p"&amp;"ubliko. Nakakatulong ito na matiyak ang pagsunod at mabawasan ang mga potensyal na pang-aabuso sa kapangyarihan.
* **Overreach:** Dapat iwasan ng mga awtoridad ang paggamit ng mga kapangyarihang pang-emergency para sa mga layuning lampas sa pagtugon sa em"&amp;"erhensiyang pampublikong kalusugan.
* **Accountability:** Dapat panagutin ang gobyerno para sa mga aksyon nito sa panahon ng emergency sa kalusugan. Kabilang dito ang pagtiyak sa wastong paggamit ng mga inilalaang pondo at pagtugon sa anumang mga paglabag"&amp;" sa karapatang pantao. **Konklusyon:**
Layunin ng batas ng Pilipinas na magkaroon ng balanse sa pagitan ng pagbibigay ng kapangyarihan sa mga awtoridad na tugunan ang mga pandemya at pagprotekta sa mga indibidwal na karapatan. Gayunpaman, ang epektibong p"&amp;"agpapatupad ay nangangailangan ng maingat na pagsasaalang-alang sa mga legal na balangkas, transparency, at pananagutan.")</f>
        <v>Ang batas ng Pilipinas ay nagbibigay sa mga awtoridad ng mga tool upang matugunan ang mga emerhensiya sa kalusugan ng publiko tulad ng mga pandemya, ngunit ang mga tool na ito ay balanse sa mga pananggalang para sa mga indibidwal na karapatan at kalayaan. Narito ang isang breakdown ng mga pangunahing aspeto:
**Pagbibigay ng Emergency Powers:**
* **Ang Saligang Batas (Artikulo II, Seksyon 15 at Artikulo XII, Seksyon 15):** Ang Konstitusyon ay nagbibigay ng kapangyarihan sa Pangulo na magdeklara ng state of calamity o emergency kapag nagkaroon ng malawakan at mapanirang epidemya ng sakit. Ang deklarasyon na ito ay nagbibigay sa Pangulo ng pansamantalang espesyal na kapangyarihan upang tugunan ang sitwasyon.
* **Republic Act No. 11469 (Bayanihan to Heal as One Act):** Ang Batas na ito ay nagsisilbing legal na balangkas para sa pagtugon sa mga emerhensiya sa kalusugan ng publiko. Binabalangkas nito ang mga partikular na kapangyarihang ipinagkaloob sa Pangulo sa panahon ng idineklarang state of calamity o emergency, tulad ng:
* Kinokontrol ang paglalakbay at paggalaw
* Pagpapatupad ng mga hakbang sa quarantine
* Pagbibigay ng tulong pinansyal at proteksyong panlipunan
* Tinitiyak ang pagkakaroon ng mga mahahalagang produkto at serbisyo
**Balancing Act with Individual Rights:**
* **Ang Konstitusyon (Bill of Rights):** Habang nagbibigay ng mga kapangyarihang pang-emerhensiya, pinoprotektahan din ng Konstitusyon ang mga pangunahing karapatan tulad ng kalayaan sa paggalaw, kalayaan sa pananalita, at angkop na proseso. Anumang mga hakbang na ipinapatupad sa panahon ng isang emerhensiyang pampublikong kalusugan ay hindi maaaring ganap na balewalain ang mga karapatang ito. * **Judicial Review:** Ang mga korte ng Pilipinas ay may kapangyarihan na suriin ang legalidad ng mga aksyong ginawa ng gobyerno sa panahon ng state of calamity o emergency. Tinitiyak nito na ang mga pagkilos na ito ay sumusunod sa Konstitusyon at mga kaugnay na batas.
**Mga Halimbawa ng Mga Karapatan sa Pagbalanse at Pampublikong Kalusugan:**
* **Mga Lockdown:** Habang nililimitahan ang paggalaw, dapat magtatag ang pamahalaan ng malinaw na mga alituntunin, tiyakin ang access sa mga mahahalagang produkto, at magbigay ng mga makatwirang eksepsiyon para sa mga emerhensiya.
* **Pagsubaybay sa Pakikipag-ugnayan:** Pagbabalanse sa pangangailangang subaybayan ang pagkalat ng sakit na may mga karapatan sa privacy ng data. Ang anonymized na pangongolekta ng data at wastong mga protocol ng seguridad ng data ay mahalaga.
* **Mga Panukala sa Quarantine:** Ang mga hakbang na ito ay dapat na proporsyonal sa banta at ipinatupad nang may angkop na proseso. **Mga Hamon at Pagsasaalang-alang**
* **Clarity and Transparency:** Ang mga batas at patakaran ay dapat na malinaw, transparent, at epektibong ipinapaalam sa publiko. Nakakatulong ito na matiyak ang pagsunod at mabawasan ang mga potensyal na pang-aabuso sa kapangyarihan.
* **Overreach:** Dapat iwasan ng mga awtoridad ang paggamit ng mga kapangyarihang pang-emergency para sa mga layuning lampas sa pagtugon sa emerhensiyang pampublikong kalusugan.
* **Accountability:** Dapat panagutin ang gobyerno para sa mga aksyon nito sa panahon ng emergency sa kalusugan. Kabilang dito ang pagtiyak sa wastong paggamit ng mga inilalaang pondo at pagtugon sa anumang mga paglabag sa karapatang pantao. **Konklusyon:**
Layunin ng batas ng Pilipinas na magkaroon ng balanse sa pagitan ng pagbibigay ng kapangyarihan sa mga awtoridad na tugunan ang mga pandemya at pagprotekta sa mga indibidwal na karapatan. Gayunpaman, ang epektibong pagpapatupad ay nangangailangan ng maingat na pagsasaalang-alang sa mga legal na balangkas, transparency, at pananagutan.</v>
      </c>
      <c r="F1778" s="2">
        <f t="shared" si="1"/>
        <v>0</v>
      </c>
      <c r="G1778" s="2"/>
      <c r="H1778" s="2"/>
      <c r="I1778" s="2"/>
      <c r="J1778" s="2"/>
      <c r="K1778" s="2"/>
      <c r="L1778" s="2"/>
      <c r="M1778" s="2"/>
      <c r="N1778" s="2"/>
      <c r="O1778" s="2"/>
      <c r="P1778" s="2"/>
      <c r="Q1778" s="2"/>
      <c r="R1778" s="2"/>
      <c r="S1778" s="2"/>
      <c r="T1778" s="2"/>
      <c r="U1778" s="2"/>
      <c r="V1778" s="2"/>
      <c r="W1778" s="2"/>
      <c r="X1778" s="2"/>
      <c r="Y1778" s="2"/>
      <c r="Z1778" s="2"/>
      <c r="AA1778" s="2"/>
    </row>
    <row r="1779">
      <c r="A1779" s="1" t="s">
        <v>4337</v>
      </c>
      <c r="B1779" s="1" t="s">
        <v>4604</v>
      </c>
      <c r="C1779" s="1" t="s">
        <v>4605</v>
      </c>
      <c r="D1779" s="2" t="str">
        <f>IFERROR(__xludf.DUMMYFUNCTION("GOOGLETRANSLATE(B1779, ""en"", ""TL"")"),"Anong mga legal na mekanismo ang inilalagay upang matiyak ang pantay na pag-access sa mga mahahalagang bakuna at mga interbensyon sa kalusugan ng publiko sa buong bansa?")</f>
        <v>Anong mga legal na mekanismo ang inilalagay upang matiyak ang pantay na pag-access sa mga mahahalagang bakuna at mga interbensyon sa kalusugan ng publiko sa buong bansa?</v>
      </c>
      <c r="E1779" s="2" t="str">
        <f>IFERROR(__xludf.DUMMYFUNCTION("GOOGLETRANSLATE(C1779, ""en"", ""TL"")"),"Ang Pilipinas ay may ilang legal na mekanismo na nakalagay upang isulong ang pantay na pag-access sa mga mahahalagang bakuna at mga interbensyon sa pampublikong kalusugan. Narito ang isang breakdown ng ilang pangunahing aspeto:
**Utos ng Konstitusyon:**
*"&amp;" **Ang Konstitusyon (Artikulo II, Seksyon 15):** Ang Konstitusyon ay nag-uutos sa estado na unahin ang pagtataguyod ng pampublikong kalusugan at panlipunang kagalingan ng mga tao. Ito ay nagsisilbing pundasyon para sa pagtiyak ng pantay na pag-access sa m"&amp;"ga serbisyo sa pangangalagang pangkalusugan, kabilang ang mga bakuna at mga interbensyon sa pampublikong kalusugan.
**Universal Health Care Law (RA No. 11223):**
* Ang landmark na batas na ito ay naglalayong palawakin ang saklaw ng health insurance para s"&amp;"a mga Pilipino. Inaatasan nito ang PhilHealth, ang National Health Insurance Program, na isama ang mga mahahalagang bakuna sa pakete ng benepisyo. Nakakatulong ito na bawasan ang mga gastos mula sa bulsa at pataasin ang paggamit ng bakuna, lalo na sa mga "&amp;"grupong mababa ang kita.
**Department of Health (DOH):**
* Ang DOH ay gumaganap ng isang mahalagang papel sa pagkuha at pamamahagi ng bakuna. Gumagamit sila ng iba't ibang mekanismo upang matiyak ang pantay na pag-access:
* **Mga Target na Programa:** Ang"&amp;" DOH ay nagpapatupad ng mga programa na partikular na naglalayon sa mga mahihinang populasyon, tulad ng mga bata sa malalayong lugar o mga nabubuhay sa kahirapan.
* **Cold Chain Management:** Namumuhunan sila sa imprastraktura ng cold chain para matiyak a"&amp;"ng tamang pag-iimbak at transportasyon ng mga bakuna sa buong bansa.
* **Social Marketing:** Ang DOH ay nagsasagawa ng mga kampanyang pang-impormasyon at mga hakbangin sa marketing sa lipunan upang itaas ang kamalayan tungkol sa kahalagahan ng pagbabakuna"&amp;" at tugunan ang pag-aalinlangan sa bakuna.
**Iba pang Legal na Mekanismo:**
* **Kodigo ng Lokal na Pamahalaan (RA No. 7160):** Ang batas na ito ay nagbibigay ng kapangyarihan sa mga Local Government Units (LGUs) na pamahalaan ang paghahatid ng pangangalag"&amp;"ang pangkalusugan sa loob ng kanilang mga nasasakupan. Ang mga LGU ay maaaring maglaan ng mga mapagkukunan at makipagtulungan sa pambansang pamahalaan upang matiyak ang accessibility ng bakuna sa kanilang mga lugar.
* **Right to Health jurisprudence:** An"&amp;"g mga desisyon ng korte sa Pilipinas ay kinikilala ang karapatan sa kalusugan bilang isang pangunahing karapatang pantao. Magagamit ito upang itaguyod ang pantay na pag-access sa mahahalagang bakuna kapag kulang ang ibang mekanismo.
**Mga Hamon at Pagsasa"&amp;"alang-alang:**
* **Pagpopondo:** Nananatiling hamon ang pagtiyak ng sapat na pondo para sa pagkuha ng bakuna at pagpapatupad ng programa. * **Logistics:** Ang pamamahagi ng mga bakuna sa mga lugar na nakahiwalay sa heograpiya ay maaaring maging kumplikado"&amp;" at nangangailangan ng matatag na imprastraktura ng logistik.
* **Pag-aalangan sa Bakuna:** Ang pagtugon sa maling impormasyon at pagbuo ng tiwala sa mga bakuna ay mahalaga upang makamit ang pinakamainam na saklaw ng pagbabakuna.
**Pasulong:**
* **Pagpapa"&amp;"lakas ng PhilHealth:** Ang pagtiyak ng mahusay na operasyon ng PhilHealth at pagpapalawak ng saklaw ay maaaring makabuluhang mapabuti ang access sa mga bakuna.
* **Pakikipag-ugnayan sa Komunidad:** Ang pakikipagtulungan sa mga pinuno ng komunidad at mga m"&amp;"anggagawa sa pangangalagang pangkalusugan ay mahalaga upang mapagtagumpayan ang pag-aalinlangan sa bakuna at matugunan ang mga lokal na hamon.
* **Pagsubaybay at Pagsusuri:** Ang regular na pagsubaybay sa data ng saklaw ng bakuna at pagiging epektibo ng p"&amp;"rograma ay nagbibigay-daan para sa mga pagsasaayos at naka-target na mga interbensyon upang maabot ang mga populasyon na kulang sa serbisyo.
Sa epektibong pagpapatupad ng mga umiiral na mekanismong ito at pagtugon sa mga patuloy na hamon, ang Pilipinas ay"&amp;" maaaring magtrabaho patungo sa isang hinaharap kung saan ang mga mahahalagang bakuna at mga interbensyon sa kalusugan ng publiko ay naa-access ng lahat ng mga mamamayan.")</f>
        <v>Ang Pilipinas ay may ilang legal na mekanismo na nakalagay upang isulong ang pantay na pag-access sa mga mahahalagang bakuna at mga interbensyon sa pampublikong kalusugan. Narito ang isang breakdown ng ilang pangunahing aspeto:
**Utos ng Konstitusyon:**
* **Ang Konstitusyon (Artikulo II, Seksyon 15):** Ang Konstitusyon ay nag-uutos sa estado na unahin ang pagtataguyod ng pampublikong kalusugan at panlipunang kagalingan ng mga tao. Ito ay nagsisilbing pundasyon para sa pagtiyak ng pantay na pag-access sa mga serbisyo sa pangangalagang pangkalusugan, kabilang ang mga bakuna at mga interbensyon sa pampublikong kalusugan.
**Universal Health Care Law (RA No. 11223):**
* Ang landmark na batas na ito ay naglalayong palawakin ang saklaw ng health insurance para sa mga Pilipino. Inaatasan nito ang PhilHealth, ang National Health Insurance Program, na isama ang mga mahahalagang bakuna sa pakete ng benepisyo. Nakakatulong ito na bawasan ang mga gastos mula sa bulsa at pataasin ang paggamit ng bakuna, lalo na sa mga grupong mababa ang kita.
**Department of Health (DOH):**
* Ang DOH ay gumaganap ng isang mahalagang papel sa pagkuha at pamamahagi ng bakuna. Gumagamit sila ng iba't ibang mekanismo upang matiyak ang pantay na pag-access:
* **Mga Target na Programa:** Ang DOH ay nagpapatupad ng mga programa na partikular na naglalayon sa mga mahihinang populasyon, tulad ng mga bata sa malalayong lugar o mga nabubuhay sa kahirapan.
* **Cold Chain Management:** Namumuhunan sila sa imprastraktura ng cold chain para matiyak ang tamang pag-iimbak at transportasyon ng mga bakuna sa buong bansa.
* **Social Marketing:** Ang DOH ay nagsasagawa ng mga kampanyang pang-impormasyon at mga hakbangin sa marketing sa lipunan upang itaas ang kamalayan tungkol sa kahalagahan ng pagbabakuna at tugunan ang pag-aalinlangan sa bakuna.
**Iba pang Legal na Mekanismo:**
* **Kodigo ng Lokal na Pamahalaan (RA No. 7160):** Ang batas na ito ay nagbibigay ng kapangyarihan sa mga Local Government Units (LGUs) na pamahalaan ang paghahatid ng pangangalagang pangkalusugan sa loob ng kanilang mga nasasakupan. Ang mga LGU ay maaaring maglaan ng mga mapagkukunan at makipagtulungan sa pambansang pamahalaan upang matiyak ang accessibility ng bakuna sa kanilang mga lugar.
* **Right to Health jurisprudence:** Ang mga desisyon ng korte sa Pilipinas ay kinikilala ang karapatan sa kalusugan bilang isang pangunahing karapatang pantao. Magagamit ito upang itaguyod ang pantay na pag-access sa mahahalagang bakuna kapag kulang ang ibang mekanismo.
**Mga Hamon at Pagsasaalang-alang:**
* **Pagpopondo:** Nananatiling hamon ang pagtiyak ng sapat na pondo para sa pagkuha ng bakuna at pagpapatupad ng programa. * **Logistics:** Ang pamamahagi ng mga bakuna sa mga lugar na nakahiwalay sa heograpiya ay maaaring maging kumplikado at nangangailangan ng matatag na imprastraktura ng logistik.
* **Pag-aalangan sa Bakuna:** Ang pagtugon sa maling impormasyon at pagbuo ng tiwala sa mga bakuna ay mahalaga upang makamit ang pinakamainam na saklaw ng pagbabakuna.
**Pasulong:**
* **Pagpapalakas ng PhilHealth:** Ang pagtiyak ng mahusay na operasyon ng PhilHealth at pagpapalawak ng saklaw ay maaaring makabuluhang mapabuti ang access sa mga bakuna.
* **Pakikipag-ugnayan sa Komunidad:** Ang pakikipagtulungan sa mga pinuno ng komunidad at mga manggagawa sa pangangalagang pangkalusugan ay mahalaga upang mapagtagumpayan ang pag-aalinlangan sa bakuna at matugunan ang mga lokal na hamon.
* **Pagsubaybay at Pagsusuri:** Ang regular na pagsubaybay sa data ng saklaw ng bakuna at pagiging epektibo ng programa ay nagbibigay-daan para sa mga pagsasaayos at naka-target na mga interbensyon upang maabot ang mga populasyon na kulang sa serbisyo.
Sa epektibong pagpapatupad ng mga umiiral na mekanismong ito at pagtugon sa mga patuloy na hamon, ang Pilipinas ay maaaring magtrabaho patungo sa isang hinaharap kung saan ang mga mahahalagang bakuna at mga interbensyon sa kalusugan ng publiko ay naa-access ng lahat ng mga mamamayan.</v>
      </c>
      <c r="F1779" s="2">
        <f t="shared" si="1"/>
        <v>0</v>
      </c>
      <c r="G1779" s="2"/>
      <c r="H1779" s="2"/>
      <c r="I1779" s="2"/>
      <c r="J1779" s="2"/>
      <c r="K1779" s="2"/>
      <c r="L1779" s="2"/>
      <c r="M1779" s="2"/>
      <c r="N1779" s="2"/>
      <c r="O1779" s="2"/>
      <c r="P1779" s="2"/>
      <c r="Q1779" s="2"/>
      <c r="R1779" s="2"/>
      <c r="S1779" s="2"/>
      <c r="T1779" s="2"/>
      <c r="U1779" s="2"/>
      <c r="V1779" s="2"/>
      <c r="W1779" s="2"/>
      <c r="X1779" s="2"/>
      <c r="Y1779" s="2"/>
      <c r="Z1779" s="2"/>
      <c r="AA1779" s="2"/>
    </row>
    <row r="1780">
      <c r="A1780" s="1" t="s">
        <v>4337</v>
      </c>
      <c r="B1780" s="1" t="s">
        <v>4606</v>
      </c>
      <c r="C1780" s="1" t="s">
        <v>4607</v>
      </c>
      <c r="D1780" s="2" t="str">
        <f>IFERROR(__xludf.DUMMYFUNCTION("GOOGLETRANSLATE(B1780, ""en"", ""TL"")"),"Paano itinataguyod ng batas ang responsableng paggamit ng antibiotic at nilalabanan ang lumalaking banta ng antimicrobial resistance sa Pilipinas?")</f>
        <v>Paano itinataguyod ng batas ang responsableng paggamit ng antibiotic at nilalabanan ang lumalaking banta ng antimicrobial resistance sa Pilipinas?</v>
      </c>
      <c r="E1780" s="2" t="str">
        <f>IFERROR(__xludf.DUMMYFUNCTION("GOOGLETRANSLATE(C1780, ""en"", ""TL"")"),"Tinatalakay ng Pilipinas ang lumalaking banta ng antimicrobial resistance (AMR) sa pamamagitan ng multi-pronged legal approach. Narito kung paano nagtutulungan ang iba't ibang batas at katawan ng pamahalaan:
**Pambansang Plano ng Aksyon:**
* Ang Pilipinas"&amp;" ay mayroong **National Action Plan on Antimicrobial Resistance (NAP)** na binuo ng Department of Health (DOH) sa pakikipagtulungan ng iba pang ahensya. Binabalangkas ng planong ito ang mga estratehiya para sa pagtataguyod ng responsableng paggamit ng ant"&amp;"ibiotic at paglaban sa AMR. **Regulatory Framework:**
* **Republic Act No. 6392 o ang ""Philippine Pharmacy Act"":** Ang Batas na ito ay kinokontrol ang pagbebenta at pamamahagi ng mga antibiotic. Nangangailangan ito ng reseta ng doktor upang makabili ng "&amp;"karamihan sa mga antibiotic, na tumutulong na maiwasan ang maling paggamit at mga over-the-counter na pagbebenta.
* **Department of Health (DOH):** Ang DOH ay naglalabas ng mga alituntunin at patakaran para sa makatwirang paggamit ng mga antimicrobial sa "&amp;"parehong sektor ng kalusugan ng tao at hayop. Kabilang dito ang pagbuo ng mga pambansang protocol ng paggamot at pagtataguyod ng paggamit ng mga narrow-spectrum na antibiotic hangga't maaari.
**Mga Komisyon sa Propesyonal na Regulasyon (PRCs):**
* Ang Pro"&amp;"fessional Regulation Commission (PRC) ay nangangasiwa sa mga propesyonal na regulasyon para sa iba't ibang larangan, kabilang ang medisina at beterinaryo na gamot. Ang PRC ay maaaring gumawa ng mga aksyong pandisiplina laban sa mga propesyonal na nagreres"&amp;"eta ng mga antibiotic nang iresponsable.
* **Lupon ng Medisina at Lupon ng Beterinaryo na Medisina:** Ang mga partikular na lupon na ito sa ilalim ng PRC ay maaaring magtakda ng mga alituntuning etikal at patuloy na kinakailangan sa edukasyon para sa kani"&amp;"-kanilang mga propesyon. Maaaring kabilang dito ang edukasyon sa responsableng paggamit ng antibiotic at pag-iwas sa AMR.
**Iba pang Inisyatiba:**
* **Public Awareness Campaigns:** Ang DOH at iba pang ahensya ay nagsasagawa ng mga pampublikong kampanya ng"&amp;" kamalayan upang turuan ang mga Pilipino tungkol sa AMR at ang kahalagahan ng paggamit ng mga antibiotic kapag inireseta lamang ng doktor at kumpletuhin ang buong kurso ng paggamot.
* **Antimicrobial Stewardship Programs:** Hinihikayat ng DOH ang mga ospi"&amp;"tal at iba pang pasilidad ng pangangalagang pangkalusugan na magpatupad ng mga programa sa pangangasiwa ng antimicrobial. Ang mga programang ito ay naglalayong i-optimize ang paggamit ng mga antibiotic sa pamamagitan ng pagsubaybay, edukasyon, at pagtatag"&amp;"uyod ng mga pinakamahusay na kasanayan.
**Mga Hamon at Pagsasaalang-alang:**
* **Pagpapatupad:** Ang epektibong pagpapatupad ng mga kasalukuyang batas at regulasyon sa paggamit ng antibiotic ay mahalaga.
* **Accessibility of Diagnostics:** Ang limitadong "&amp;"access sa mga diagnostic tool na maaaring mag-iba sa pagitan ng bacterial at viral infection ay maaaring humantong sa hindi kinakailangang mga reseta ng antibiotic.
* **Availability ng Antibiotic:** Ang pagiging affordability at availability ng mga altern"&amp;"atibong paggamot ay maaaring makaimpluwensya sa pagtitiwala sa mga antibiotic.
**Konklusyon:**
Ang Pilipinas ay may legal na balangkas para isulong ang responsableng paggamit ng antibiotic at labanan ang AMR. Ang patuloy na pakikipagtulungan sa pagitan ng"&amp;" mga ahensya ng gobyerno, mga propesyonal sa pangangalagang pangkalusugan, at ng publiko ay kinakailangan upang matugunan ang lumalaking banta sa kalusugan ng publiko.")</f>
        <v>Tinatalakay ng Pilipinas ang lumalaking banta ng antimicrobial resistance (AMR) sa pamamagitan ng multi-pronged legal approach. Narito kung paano nagtutulungan ang iba't ibang batas at katawan ng pamahalaan:
**Pambansang Plano ng Aksyon:**
* Ang Pilipinas ay mayroong **National Action Plan on Antimicrobial Resistance (NAP)** na binuo ng Department of Health (DOH) sa pakikipagtulungan ng iba pang ahensya. Binabalangkas ng planong ito ang mga estratehiya para sa pagtataguyod ng responsableng paggamit ng antibiotic at paglaban sa AMR. **Regulatory Framework:**
* **Republic Act No. 6392 o ang "Philippine Pharmacy Act":** Ang Batas na ito ay kinokontrol ang pagbebenta at pamamahagi ng mga antibiotic. Nangangailangan ito ng reseta ng doktor upang makabili ng karamihan sa mga antibiotic, na tumutulong na maiwasan ang maling paggamit at mga over-the-counter na pagbebenta.
* **Department of Health (DOH):** Ang DOH ay naglalabas ng mga alituntunin at patakaran para sa makatwirang paggamit ng mga antimicrobial sa parehong sektor ng kalusugan ng tao at hayop. Kabilang dito ang pagbuo ng mga pambansang protocol ng paggamot at pagtataguyod ng paggamit ng mga narrow-spectrum na antibiotic hangga't maaari.
**Mga Komisyon sa Propesyonal na Regulasyon (PRCs):**
* Ang Professional Regulation Commission (PRC) ay nangangasiwa sa mga propesyonal na regulasyon para sa iba't ibang larangan, kabilang ang medisina at beterinaryo na gamot. Ang PRC ay maaaring gumawa ng mga aksyong pandisiplina laban sa mga propesyonal na nagrereseta ng mga antibiotic nang iresponsable.
* **Lupon ng Medisina at Lupon ng Beterinaryo na Medisina:** Ang mga partikular na lupon na ito sa ilalim ng PRC ay maaaring magtakda ng mga alituntuning etikal at patuloy na kinakailangan sa edukasyon para sa kani-kanilang mga propesyon. Maaaring kabilang dito ang edukasyon sa responsableng paggamit ng antibiotic at pag-iwas sa AMR.
**Iba pang Inisyatiba:**
* **Public Awareness Campaigns:** Ang DOH at iba pang ahensya ay nagsasagawa ng mga pampublikong kampanya ng kamalayan upang turuan ang mga Pilipino tungkol sa AMR at ang kahalagahan ng paggamit ng mga antibiotic kapag inireseta lamang ng doktor at kumpletuhin ang buong kurso ng paggamot.
* **Antimicrobial Stewardship Programs:** Hinihikayat ng DOH ang mga ospital at iba pang pasilidad ng pangangalagang pangkalusugan na magpatupad ng mga programa sa pangangasiwa ng antimicrobial. Ang mga programang ito ay naglalayong i-optimize ang paggamit ng mga antibiotic sa pamamagitan ng pagsubaybay, edukasyon, at pagtataguyod ng mga pinakamahusay na kasanayan.
**Mga Hamon at Pagsasaalang-alang:**
* **Pagpapatupad:** Ang epektibong pagpapatupad ng mga kasalukuyang batas at regulasyon sa paggamit ng antibiotic ay mahalaga.
* **Accessibility of Diagnostics:** Ang limitadong access sa mga diagnostic tool na maaaring mag-iba sa pagitan ng bacterial at viral infection ay maaaring humantong sa hindi kinakailangang mga reseta ng antibiotic.
* **Availability ng Antibiotic:** Ang pagiging affordability at availability ng mga alternatibong paggamot ay maaaring makaimpluwensya sa pagtitiwala sa mga antibiotic.
**Konklusyon:**
Ang Pilipinas ay may legal na balangkas para isulong ang responsableng paggamit ng antibiotic at labanan ang AMR. Ang patuloy na pakikipagtulungan sa pagitan ng mga ahensya ng gobyerno, mga propesyonal sa pangangalagang pangkalusugan, at ng publiko ay kinakailangan upang matugunan ang lumalaking banta sa kalusugan ng publiko.</v>
      </c>
      <c r="F1780" s="2">
        <f t="shared" si="1"/>
        <v>0</v>
      </c>
      <c r="G1780" s="2"/>
      <c r="H1780" s="2"/>
      <c r="I1780" s="2"/>
      <c r="J1780" s="2"/>
      <c r="K1780" s="2"/>
      <c r="L1780" s="2"/>
      <c r="M1780" s="2"/>
      <c r="N1780" s="2"/>
      <c r="O1780" s="2"/>
      <c r="P1780" s="2"/>
      <c r="Q1780" s="2"/>
      <c r="R1780" s="2"/>
      <c r="S1780" s="2"/>
      <c r="T1780" s="2"/>
      <c r="U1780" s="2"/>
      <c r="V1780" s="2"/>
      <c r="W1780" s="2"/>
      <c r="X1780" s="2"/>
      <c r="Y1780" s="2"/>
      <c r="Z1780" s="2"/>
      <c r="AA1780" s="2"/>
    </row>
    <row r="1781">
      <c r="A1781" s="1" t="s">
        <v>4337</v>
      </c>
      <c r="B1781" s="1" t="s">
        <v>4608</v>
      </c>
      <c r="C1781" s="1" t="s">
        <v>4609</v>
      </c>
      <c r="D1781" s="2" t="str">
        <f>IFERROR(__xludf.DUMMYFUNCTION("GOOGLETRANSLATE(B1781, ""en"", ""TL"")"),"Ano ang mga partikular na tungkulin at responsibilidad ng Professional Regulation Commission (PRC) at iba pang regulatory body sa pangangasiwa sa sektor ng pangangalagang pangkalusugan?")</f>
        <v>Ano ang mga partikular na tungkulin at responsibilidad ng Professional Regulation Commission (PRC) at iba pang regulatory body sa pangangasiwa sa sektor ng pangangalagang pangkalusugan?</v>
      </c>
      <c r="E1781" s="2" t="str">
        <f>IFERROR(__xludf.DUMMYFUNCTION("GOOGLETRANSLATE(C1781, ""en"", ""TL"")"),"Ang Professional Regulation Commission (PRC) ay kumikilos bilang isang payong organisasyon para sa pangangasiwa sa iba't ibang propesyon sa Pilipinas, kabilang ang sektor ng pangangalagang pangkalusugan. Narito ang isang breakdown ng kanilang mga tungkuli"&amp;"n at responsibilidad, kasama ng iba pang nauugnay na mga regulatory body:
**Komisyon sa Propesyonal na Regulasyon (PRC):**
* **Mga Pagsusuri sa Lisensya:** Ang PRC ay nagsasagawa at nangangasiwa ng mga pagsusulit sa paglilisensya para sa mga propesyonal n"&amp;"a gustong magsanay sa Pilipinas. Tinitiyak nito na ang mga kwalipikadong indibidwal lamang ang papasok sa workforce sa pangangalagang pangkalusugan. * **Pagpaparehistro at Paglilisensya:** Ang PRC ay nagbibigay ng mga lisensya sa mga matagumpay na pagsusu"&amp;"lit, na nagpapahintulot sa kanila na magsanay nang legal sa loob ng kanilang propesyon.
* **Pagsubaybay at Regulasyon:** Ang PRC, sa pakikipagtulungan ng Professional Regulatory Boards (PRBs), ay nagtatakda at nagpapatupad ng mga propesyonal na pamantayan"&amp;" at mga etikal na code ng pag-uugali para sa iba't ibang propesyon sa pangangalagang pangkalusugan. * **Mga Pagkilos na Pandisiplina:** Maaaring mag-imbestiga ang PRC ng mga reklamo laban sa mga lisensyadong propesyonal at magpataw ng mga aksyong pandisip"&amp;"lina tulad ng pagsususpinde o pagbawi ng mga lisensya para sa mga paglabag sa mga regulasyon o etikal na code.
**Mga Propesyonal na Regulatory Board (PRB) sa ilalim ng PRC:**
* Ang bawat propesyon sa pangangalagang pangkalusugan ay may partikular na PRB s"&amp;"a ilalim ng PRC. Kasama sa mga halimbawa ang Board of Medicine, Board of Nursing, Board of Pharmacy, atbp. * **Ang mga PRB ay bumuo ng mga patakaran at alituntunin na partikular sa propesyon** na pandagdag sa mas malawak na mga regulasyong itinakda ng PRC"&amp;".
* **Maaaring i-accredit ng mga PRB ang mga programang pang-edukasyon** na tinitiyak na natutugunan nila ang mga kinakailangang pamantayan para sa pagsasanay sa mga propesyonal sa pangangalagang pangkalusugan sa hinaharap.
* **Ang mga PRB ay maaaring mag"&amp;"sagawa ng patuloy na propesyonal na pag-unlad (CPD) na mga programa** upang panatilihing updated ang mga lisensyadong propesyonal sa mga pagsulong sa kanilang larangan.
**Iba pang Regulatory Body:**
* **Department of Health (DOH):** Ang DOH ay gumaganap n"&amp;"g isang mahalagang papel sa pagbalangkas at pagpapatupad ng pambansang mga patakaran sa kalusugan, kabilang ang mga nauugnay sa mga pamantayan sa pagsasanay sa pangangalagang pangkalusugan at paglilisensya sa pasilidad.
* **Food and Drug Administration (F"&amp;"DA):** Kinokontrol ng FDA ang kaligtasan at bisa ng mga gamot, kagamitang medikal, at mga pampaganda na ginagamit sa mga setting ng pangangalagang pangkalusugan.
* **Local Government Units (LGUs):** Ang mga LGU, partikular na ang mga city at municipal hea"&amp;"lth office, ay may tungkulin sa pagsubaybay sa mga pasilidad ng pangangalagang pangkalusugan sa loob ng kanilang mga nasasakupan at pagtiyak ng pagsunod sa mga regulasyon.
**Pangkalahatang Pakikipagtulungan:**
Ang iba't ibang mga katawan na ito ay nagtutu"&amp;"lungan upang matiyak ang isang mahusay na kinokontrol na sektor ng pangangalagang pangkalusugan. Ang PRC ay nagbibigay ng pangkalahatang balangkas para sa propesyonal na paglilisensya at pag-uugali, habang ang mga PRB at iba pang ahensya ay tumutugon sa m"&amp;"ga partikular na aspeto ng iba't ibang propesyon at mga kasanayan sa pangangalagang pangkalusugan.")</f>
        <v>Ang Professional Regulation Commission (PRC) ay kumikilos bilang isang payong organisasyon para sa pangangasiwa sa iba't ibang propesyon sa Pilipinas, kabilang ang sektor ng pangangalagang pangkalusugan. Narito ang isang breakdown ng kanilang mga tungkulin at responsibilidad, kasama ng iba pang nauugnay na mga regulatory body:
**Komisyon sa Propesyonal na Regulasyon (PRC):**
* **Mga Pagsusuri sa Lisensya:** Ang PRC ay nagsasagawa at nangangasiwa ng mga pagsusulit sa paglilisensya para sa mga propesyonal na gustong magsanay sa Pilipinas. Tinitiyak nito na ang mga kwalipikadong indibidwal lamang ang papasok sa workforce sa pangangalagang pangkalusugan. * **Pagpaparehistro at Paglilisensya:** Ang PRC ay nagbibigay ng mga lisensya sa mga matagumpay na pagsusulit, na nagpapahintulot sa kanila na magsanay nang legal sa loob ng kanilang propesyon.
* **Pagsubaybay at Regulasyon:** Ang PRC, sa pakikipagtulungan ng Professional Regulatory Boards (PRBs), ay nagtatakda at nagpapatupad ng mga propesyonal na pamantayan at mga etikal na code ng pag-uugali para sa iba't ibang propesyon sa pangangalagang pangkalusugan. * **Mga Pagkilos na Pandisiplina:** Maaaring mag-imbestiga ang PRC ng mga reklamo laban sa mga lisensyadong propesyonal at magpataw ng mga aksyong pandisiplina tulad ng pagsususpinde o pagbawi ng mga lisensya para sa mga paglabag sa mga regulasyon o etikal na code.
**Mga Propesyonal na Regulatory Board (PRB) sa ilalim ng PRC:**
* Ang bawat propesyon sa pangangalagang pangkalusugan ay may partikular na PRB sa ilalim ng PRC. Kasama sa mga halimbawa ang Board of Medicine, Board of Nursing, Board of Pharmacy, atbp. * **Ang mga PRB ay bumuo ng mga patakaran at alituntunin na partikular sa propesyon** na pandagdag sa mas malawak na mga regulasyong itinakda ng PRC.
* **Maaaring i-accredit ng mga PRB ang mga programang pang-edukasyon** na tinitiyak na natutugunan nila ang mga kinakailangang pamantayan para sa pagsasanay sa mga propesyonal sa pangangalagang pangkalusugan sa hinaharap.
* **Ang mga PRB ay maaaring magsagawa ng patuloy na propesyonal na pag-unlad (CPD) na mga programa** upang panatilihing updated ang mga lisensyadong propesyonal sa mga pagsulong sa kanilang larangan.
**Iba pang Regulatory Body:**
* **Department of Health (DOH):** Ang DOH ay gumaganap ng isang mahalagang papel sa pagbalangkas at pagpapatupad ng pambansang mga patakaran sa kalusugan, kabilang ang mga nauugnay sa mga pamantayan sa pagsasanay sa pangangalagang pangkalusugan at paglilisensya sa pasilidad.
* **Food and Drug Administration (FDA):** Kinokontrol ng FDA ang kaligtasan at bisa ng mga gamot, kagamitang medikal, at mga pampaganda na ginagamit sa mga setting ng pangangalagang pangkalusugan.
* **Local Government Units (LGUs):** Ang mga LGU, partikular na ang mga city at municipal health office, ay may tungkulin sa pagsubaybay sa mga pasilidad ng pangangalagang pangkalusugan sa loob ng kanilang mga nasasakupan at pagtiyak ng pagsunod sa mga regulasyon.
**Pangkalahatang Pakikipagtulungan:**
Ang iba't ibang mga katawan na ito ay nagtutulungan upang matiyak ang isang mahusay na kinokontrol na sektor ng pangangalagang pangkalusugan. Ang PRC ay nagbibigay ng pangkalahatang balangkas para sa propesyonal na paglilisensya at pag-uugali, habang ang mga PRB at iba pang ahensya ay tumutugon sa mga partikular na aspeto ng iba't ibang propesyon at mga kasanayan sa pangangalagang pangkalusugan.</v>
      </c>
      <c r="F1781" s="2">
        <f t="shared" si="1"/>
        <v>0</v>
      </c>
      <c r="G1781" s="2"/>
      <c r="H1781" s="2"/>
      <c r="I1781" s="2"/>
      <c r="J1781" s="2"/>
      <c r="K1781" s="2"/>
      <c r="L1781" s="2"/>
      <c r="M1781" s="2"/>
      <c r="N1781" s="2"/>
      <c r="O1781" s="2"/>
      <c r="P1781" s="2"/>
      <c r="Q1781" s="2"/>
      <c r="R1781" s="2"/>
      <c r="S1781" s="2"/>
      <c r="T1781" s="2"/>
      <c r="U1781" s="2"/>
      <c r="V1781" s="2"/>
      <c r="W1781" s="2"/>
      <c r="X1781" s="2"/>
      <c r="Y1781" s="2"/>
      <c r="Z1781" s="2"/>
      <c r="AA1781" s="2"/>
    </row>
    <row r="1782">
      <c r="A1782" s="1" t="s">
        <v>4337</v>
      </c>
      <c r="B1782" s="1" t="s">
        <v>4610</v>
      </c>
      <c r="C1782" s="1" t="s">
        <v>4611</v>
      </c>
      <c r="D1782" s="2" t="str">
        <f>IFERROR(__xludf.DUMMYFUNCTION("GOOGLETRANSLATE(B1782, ""en"", ""TL"")"),"Paano binabalanse ng legal na sistema ang pangangailangan para sa matatag na pangangasiwa sa regulasyon sa pagpapaunlad ng pagbabago at pagsulong sa medikal na kasanayan?")</f>
        <v>Paano binabalanse ng legal na sistema ang pangangailangan para sa matatag na pangangasiwa sa regulasyon sa pagpapaunlad ng pagbabago at pagsulong sa medikal na kasanayan?</v>
      </c>
      <c r="E1782" s="2" t="str">
        <f>IFERROR(__xludf.DUMMYFUNCTION("GOOGLETRANSLATE(C1782, ""en"", ""TL"")"),"Ang sistemang legal ng Pilipinas ay nagna-navigate sa balanse sa pagitan ng matatag na pangangasiwa sa regulasyon at pagpapaunlad ng medikal na inobasyon sa pamamagitan ng ilang mekanismo:
**Regulation with Flexibility:**
* **Mga Batas sa Framework:** Mar"&amp;"aming batas ng Pilipinas sa pangangalagang pangkalusugan ang nagtakda ng malawak na balangkas para sa mga pamantayan at kasanayan. Nagbibigay-daan ito para sa ilang kakayahang umangkop upang umangkop sa mga pagsulong nang hindi nangangailangan ng patuloy "&amp;"na mga legal na pagbabago. (hal., Republic Act No. 4226 - Ang Hospital Licensure Act ay nagtatatag ng mga pangunahing pamantayan ng ospital, ngunit ang umuusbong na teknolohiya ay maaaring hindi nangangailangan ng mga agarang legal na pagbabago).
* **Prof"&amp;"essional Regulatory Boards (PRBs):** Ang mga katawan na ito sa ilalim ng PRC ay maaaring mag-isyu ng mga alituntunin at iakma ang mga regulasyon batay sa mga bagong teknolohiya o kasanayan sa loob ng kanilang mga propesyon. (hal., Maaaring isaalang-alang "&amp;"ng Board of Medicine ang mga alituntunin para sa paggamit ng telemedicine pagkatapos suriin ang kaligtasan at pagiging epektibo nito).
**Pagbabalanse sa Panganib at Benepisyo:**
* **Risk-Based Approach:** Ang mga regulatory body ay maaaring magpatupad ng "&amp;"risk-based na diskarte. Ang mga inobasyon na may mataas na peligro ay sumasailalim sa mas mahigpit na pagsusuri, habang ang mga may mababang panganib ay nahaharap sa hindi gaanong mahigpit na mga regulasyon. * **Mga Klinikal na Pagsubok at Etika sa Panana"&amp;"liksik:** Ang mga mahigpit na regulasyon ay namamahala sa mga klinikal na pagsubok upang matiyak ang kaligtasan ng pasyente habang pinapayagan ang pananaliksik sa mga bagong paggamot at teknolohiya. (hal., ang mga regulasyon ng Department of Health sa mga"&amp;" klinikal na pagsubok ay sumusunod sa mga internasyonal na alituntuning etikal).
**Pag-promote ng Innovation:**
* **Fast-Track Programs:** Nag-aalok ang Philippine Food and Drug Administration (FDA) ng mga fast-track program para sa mga makabagong gamot a"&amp;"t mga medikal na device na may malinaw na mataas na potensyal na benepisyo.
* **Mga Sandbox at Pilot Program:** Maaaring magtatag ang mga regulatory body ng ""regulatory sandbox"" o mga pilot program. Nagbibigay-daan ang mga ito sa limitadong pagpapatupad"&amp;" ng mga bagong teknolohiya sa mga kontroladong kapaligiran upang masuri ang kanilang kaligtasan at pagiging epektibo bago ang mas malawak na paggamit.
**Mga Hamon at Pagsasaalang-alang:**
* **Pagbabalanse ng Bilis sa Pagsusuri:** Ang pagkakaroon ng balans"&amp;"e sa pagitan ng mabilis na pagbabago at masusing pagsusuri sa kaligtasan ay mahalaga.
* **Resource Constraints:** Maaaring mangailangan ang mga ahensya ng regulasyon ng higit pang mga mapagkukunan upang mabisang masuri at masubaybayan ang mga umuusbong na"&amp;" teknolohiya.
* **Public Awareness and Trust:** Ang pagtuturo sa publiko tungkol sa proseso ng regulasyon ay maaaring makatulong sa pagbuo ng tiwala sa medikal na inobasyon.
**Konklusyon:**
Ang sistemang legal ng Pilipinas ay nagsusumikap para sa balanse "&amp;"sa pagitan ng pagprotekta sa mga pasyente at pagsulong ng mga pagsulong sa medisina. Habang umiiral ang mga regulasyon, sinusubukan nilang maging madaling ibagay at isama ang mga bagong teknolohiya sa loob ng balangkas na nakabatay sa panganib. Ang mga pa"&amp;"tuloy na pagsisikap ay kailangan upang i-streamline ang mga proseso, isulong ang responsableng pagbabago, at tiyakin ang tiwala ng publiko.")</f>
        <v>Ang sistemang legal ng Pilipinas ay nagna-navigate sa balanse sa pagitan ng matatag na pangangasiwa sa regulasyon at pagpapaunlad ng medikal na inobasyon sa pamamagitan ng ilang mekanismo:
**Regulation with Flexibility:**
* **Mga Batas sa Framework:** Maraming batas ng Pilipinas sa pangangalagang pangkalusugan ang nagtakda ng malawak na balangkas para sa mga pamantayan at kasanayan. Nagbibigay-daan ito para sa ilang kakayahang umangkop upang umangkop sa mga pagsulong nang hindi nangangailangan ng patuloy na mga legal na pagbabago. (hal., Republic Act No. 4226 - Ang Hospital Licensure Act ay nagtatatag ng mga pangunahing pamantayan ng ospital, ngunit ang umuusbong na teknolohiya ay maaaring hindi nangangailangan ng mga agarang legal na pagbabago).
* **Professional Regulatory Boards (PRBs):** Ang mga katawan na ito sa ilalim ng PRC ay maaaring mag-isyu ng mga alituntunin at iakma ang mga regulasyon batay sa mga bagong teknolohiya o kasanayan sa loob ng kanilang mga propesyon. (hal., Maaaring isaalang-alang ng Board of Medicine ang mga alituntunin para sa paggamit ng telemedicine pagkatapos suriin ang kaligtasan at pagiging epektibo nito).
**Pagbabalanse sa Panganib at Benepisyo:**
* **Risk-Based Approach:** Ang mga regulatory body ay maaaring magpatupad ng risk-based na diskarte. Ang mga inobasyon na may mataas na peligro ay sumasailalim sa mas mahigpit na pagsusuri, habang ang mga may mababang panganib ay nahaharap sa hindi gaanong mahigpit na mga regulasyon. * **Mga Klinikal na Pagsubok at Etika sa Pananaliksik:** Ang mga mahigpit na regulasyon ay namamahala sa mga klinikal na pagsubok upang matiyak ang kaligtasan ng pasyente habang pinapayagan ang pananaliksik sa mga bagong paggamot at teknolohiya. (hal., ang mga regulasyon ng Department of Health sa mga klinikal na pagsubok ay sumusunod sa mga internasyonal na alituntuning etikal).
**Pag-promote ng Innovation:**
* **Fast-Track Programs:** Nag-aalok ang Philippine Food and Drug Administration (FDA) ng mga fast-track program para sa mga makabagong gamot at mga medikal na device na may malinaw na mataas na potensyal na benepisyo.
* **Mga Sandbox at Pilot Program:** Maaaring magtatag ang mga regulatory body ng "regulatory sandbox" o mga pilot program. Nagbibigay-daan ang mga ito sa limitadong pagpapatupad ng mga bagong teknolohiya sa mga kontroladong kapaligiran upang masuri ang kanilang kaligtasan at pagiging epektibo bago ang mas malawak na paggamit.
**Mga Hamon at Pagsasaalang-alang:**
* **Pagbabalanse ng Bilis sa Pagsusuri:** Ang pagkakaroon ng balanse sa pagitan ng mabilis na pagbabago at masusing pagsusuri sa kaligtasan ay mahalaga.
* **Resource Constraints:** Maaaring mangailangan ang mga ahensya ng regulasyon ng higit pang mga mapagkukunan upang mabisang masuri at masubaybayan ang mga umuusbong na teknolohiya.
* **Public Awareness and Trust:** Ang pagtuturo sa publiko tungkol sa proseso ng regulasyon ay maaaring makatulong sa pagbuo ng tiwala sa medikal na inobasyon.
**Konklusyon:**
Ang sistemang legal ng Pilipinas ay nagsusumikap para sa balanse sa pagitan ng pagprotekta sa mga pasyente at pagsulong ng mga pagsulong sa medisina. Habang umiiral ang mga regulasyon, sinusubukan nilang maging madaling ibagay at isama ang mga bagong teknolohiya sa loob ng balangkas na nakabatay sa panganib. Ang mga patuloy na pagsisikap ay kailangan upang i-streamline ang mga proseso, isulong ang responsableng pagbabago, at tiyakin ang tiwala ng publiko.</v>
      </c>
      <c r="F1782" s="2">
        <f t="shared" si="1"/>
        <v>0</v>
      </c>
      <c r="G1782" s="2"/>
      <c r="H1782" s="2"/>
      <c r="I1782" s="2"/>
      <c r="J1782" s="2"/>
      <c r="K1782" s="2"/>
      <c r="L1782" s="2"/>
      <c r="M1782" s="2"/>
      <c r="N1782" s="2"/>
      <c r="O1782" s="2"/>
      <c r="P1782" s="2"/>
      <c r="Q1782" s="2"/>
      <c r="R1782" s="2"/>
      <c r="S1782" s="2"/>
      <c r="T1782" s="2"/>
      <c r="U1782" s="2"/>
      <c r="V1782" s="2"/>
      <c r="W1782" s="2"/>
      <c r="X1782" s="2"/>
      <c r="Y1782" s="2"/>
      <c r="Z1782" s="2"/>
      <c r="AA1782" s="2"/>
    </row>
    <row r="1783">
      <c r="A1783" s="1" t="s">
        <v>4337</v>
      </c>
      <c r="B1783" s="1" t="s">
        <v>4612</v>
      </c>
      <c r="C1783" s="1" t="s">
        <v>4613</v>
      </c>
      <c r="D1783" s="2" t="str">
        <f>IFERROR(__xludf.DUMMYFUNCTION("GOOGLETRANSLATE(B1783, ""en"", ""TL"")"),"Paano tinutugunan ng batas ng Pilipinas ang mga limitasyon sa pananalapi at hindi pagkakapantay-pantay na kinakaharap ng mga indibidwal sa pag-access ng mga serbisyo sa pangangalagang pangkalusugan?")</f>
        <v>Paano tinutugunan ng batas ng Pilipinas ang mga limitasyon sa pananalapi at hindi pagkakapantay-pantay na kinakaharap ng mga indibidwal sa pag-access ng mga serbisyo sa pangangalagang pangkalusugan?</v>
      </c>
      <c r="E1783" s="2" t="str">
        <f>IFERROR(__xludf.DUMMYFUNCTION("GOOGLETRANSLATE(C1783, ""en"", ""TL"")"),"Ang Pilipinas ay humaharap sa mga limitasyon sa pananalapi at hindi pagkakapantay-pantay sa pag-access sa pangangalagang pangkalusugan sa pamamagitan ng isang multi-pronged na diskarte na kinasasangkutan ng batas, mga ahensya ng gobyerno, at mga programan"&amp;"g panlipunan. Narito ang isang breakdown ng ilang pangunahing aspeto:
**Universal Health Care Law (RA No. 11223):**
* Ang landmark na batas na ito ay naglalayong palawakin ang saklaw ng health insurance para sa mga Pilipino. Ipinag-uutos nito ang awtomati"&amp;"kong pagpapatala ng lahat ng mamamayan sa National Health Insurance Program (NHIP) na pinamamahalaan ng PhilHealth. Sinasaklaw ng NHIP ang isang malawak na hanay ng mga serbisyong pangkalusugan, na binabawasan ang mga gastos sa labas ng bulsa para sa mga "&amp;"Pilipino, partikular na ang mga dating kulang sa segurong pangkalusugan. **PhilHealth:**
* Ang PhilHealth ay gumaganap ng isang sentral na tungkulin. Nangongolekta ito ng mga premium, namamahala ng mga pondo, at binabayaran ang mga tagapagbigay ng pangang"&amp;"alagang pangkalusugan para sa mga sakop na serbisyong ginagamit ng mga miyembro ng PhilHealth. Nakakatulong ito na ipamahagi ang mga gastos sa pangangalagang pangkalusugan at pagbutihin ang pag-access para sa mga indibidwal na mababa ang kita.
**Mga Subsi"&amp;"dy at Programa ng Pamahalaan:**
* Ang pamahalaan ay naglalaan ng mga badyet para sa mga target na programa na naglalayon sa mga partikular na populasyon na nahaharap sa mga limitasyon sa pananalapi. Kasama sa mga halimbawa ang:
* **""Pantawid Pamilyang Pi"&amp;"lipino Program (4Ps)""** nag-aalok ng tulong pinansyal sa mga conditional cash transfer upang suportahan ang mga pangangailangan sa pangangalagang pangkalusugan ng mga pamilyang mababa ang kita.
* **Libreng Dialysis Program** na nagbibigay ng paggamot sa "&amp;"dialysis na pinondohan ng gobyerno para sa mga Pilipinong may malalang sakit sa bato.
**Regulation ng Out-of-Pocket Expenses:**
* Ang ilang mga batas ay naglalayong i-regulate ang mga gastos na hindi saklaw ng PhilHealth. Bagama't hindi kumpletong solusyo"&amp;"n, makakatulong ang mga hakbang na ito sa pagkontrol sa mga gastos:
* **Maximum Benefit Packages:** Ang DOH ay nagtatakda ng pinakamataas na pinahihintulutang mga rate para sa ilang mga pamamaraan upang maiwasan ang mga ospital sa labis na pagsingil sa mg"&amp;"a pasyente. * **Mandatoryong Saklaw ng PhilHealth ng mga Ospital:** Ang mga ospital ay kinakailangang tumanggap ng PhilHealth at magbigay ng impormasyon sa mga miyembro ng PhilHealth tungkol sa mga saklaw na serbisyo at tinantyang gastos.
**Mga Hamon at P"&amp;"agsasaalang-alang:**
* **Pagpopondo ng PhilHealth:** Ang pagtiyak na may sapat na pondo ang PhilHealth para masakop ang lahat ng miyembro at palawakin ang mga pakete ng benepisyo ay napakahalaga.
* **Pag-abot sa Mga Lugar na Hindi Naseserbisyuhan:** Nanan"&amp;"atiling isyu ang accessibility, lalo na sa mga lugar na nakahiwalay sa heograpiya na may limitadong mga pasilidad sa pangangalagang pangkalusugan na sakop ng PhilHealth.
* **Mga Manggagawa sa Impormal na Sektor:** Ang pagsasama ng mga manggagawa sa imporm"&amp;"al na sektor sa sistema ng PhilHealth ay nangangailangan ng mga makabagong solusyon.
**Pasulong:**
* **Pagpapalakas ng PhilHealth:** Ang pagtaas ng kahusayan, pagpapalawak ng saklaw, at pagtiyak ng sapat na pondo ay mahalaga. * **Pagpapahusay ng Imprastra"&amp;"ktura:** Ang pamumuhunan sa mga pasilidad ng pangangalagang pangkalusugan at mga tauhan sa mga lugar na kulang sa serbisyo ay mahalaga para sa mas mahusay na pag-access.
* **Public-Private Partnership:** Makakatulong ang pakikipagtulungan sa mga pribadong"&amp;" entity na palawakin ang paghahatid ng serbisyo sa pangangalagang pangkalusugan at tuklasin ang mga makabagong modelo ng financing.
Sa pamamagitan ng epektibong pagpapatupad ng mga kasalukuyang programa at pagtugon sa mga patuloy na hamon, ang Pilipinas a"&amp;"y maaaring magtrabaho patungo sa isang hinaharap kung saan ang mga limitasyon sa pananalapi ay hindi gaanong hadlang sa pag-access ng mga de-kalidad na serbisyo sa pangangalagang pangkalusugan.")</f>
        <v>Ang Pilipinas ay humaharap sa mga limitasyon sa pananalapi at hindi pagkakapantay-pantay sa pag-access sa pangangalagang pangkalusugan sa pamamagitan ng isang multi-pronged na diskarte na kinasasangkutan ng batas, mga ahensya ng gobyerno, at mga programang panlipunan. Narito ang isang breakdown ng ilang pangunahing aspeto:
**Universal Health Care Law (RA No. 11223):**
* Ang landmark na batas na ito ay naglalayong palawakin ang saklaw ng health insurance para sa mga Pilipino. Ipinag-uutos nito ang awtomatikong pagpapatala ng lahat ng mamamayan sa National Health Insurance Program (NHIP) na pinamamahalaan ng PhilHealth. Sinasaklaw ng NHIP ang isang malawak na hanay ng mga serbisyong pangkalusugan, na binabawasan ang mga gastos sa labas ng bulsa para sa mga Pilipino, partikular na ang mga dating kulang sa segurong pangkalusugan. **PhilHealth:**
* Ang PhilHealth ay gumaganap ng isang sentral na tungkulin. Nangongolekta ito ng mga premium, namamahala ng mga pondo, at binabayaran ang mga tagapagbigay ng pangangalagang pangkalusugan para sa mga sakop na serbisyong ginagamit ng mga miyembro ng PhilHealth. Nakakatulong ito na ipamahagi ang mga gastos sa pangangalagang pangkalusugan at pagbutihin ang pag-access para sa mga indibidwal na mababa ang kita.
**Mga Subsidy at Programa ng Pamahalaan:**
* Ang pamahalaan ay naglalaan ng mga badyet para sa mga target na programa na naglalayon sa mga partikular na populasyon na nahaharap sa mga limitasyon sa pananalapi. Kasama sa mga halimbawa ang:
* **"Pantawid Pamilyang Pilipino Program (4Ps)"** nag-aalok ng tulong pinansyal sa mga conditional cash transfer upang suportahan ang mga pangangailangan sa pangangalagang pangkalusugan ng mga pamilyang mababa ang kita.
* **Libreng Dialysis Program** na nagbibigay ng paggamot sa dialysis na pinondohan ng gobyerno para sa mga Pilipinong may malalang sakit sa bato.
**Regulation ng Out-of-Pocket Expenses:**
* Ang ilang mga batas ay naglalayong i-regulate ang mga gastos na hindi saklaw ng PhilHealth. Bagama't hindi kumpletong solusyon, makakatulong ang mga hakbang na ito sa pagkontrol sa mga gastos:
* **Maximum Benefit Packages:** Ang DOH ay nagtatakda ng pinakamataas na pinahihintulutang mga rate para sa ilang mga pamamaraan upang maiwasan ang mga ospital sa labis na pagsingil sa mga pasyente. * **Mandatoryong Saklaw ng PhilHealth ng mga Ospital:** Ang mga ospital ay kinakailangang tumanggap ng PhilHealth at magbigay ng impormasyon sa mga miyembro ng PhilHealth tungkol sa mga saklaw na serbisyo at tinantyang gastos.
**Mga Hamon at Pagsasaalang-alang:**
* **Pagpopondo ng PhilHealth:** Ang pagtiyak na may sapat na pondo ang PhilHealth para masakop ang lahat ng miyembro at palawakin ang mga pakete ng benepisyo ay napakahalaga.
* **Pag-abot sa Mga Lugar na Hindi Naseserbisyuhan:** Nananatiling isyu ang accessibility, lalo na sa mga lugar na nakahiwalay sa heograpiya na may limitadong mga pasilidad sa pangangalagang pangkalusugan na sakop ng PhilHealth.
* **Mga Manggagawa sa Impormal na Sektor:** Ang pagsasama ng mga manggagawa sa impormal na sektor sa sistema ng PhilHealth ay nangangailangan ng mga makabagong solusyon.
**Pasulong:**
* **Pagpapalakas ng PhilHealth:** Ang pagtaas ng kahusayan, pagpapalawak ng saklaw, at pagtiyak ng sapat na pondo ay mahalaga. * **Pagpapahusay ng Imprastraktura:** Ang pamumuhunan sa mga pasilidad ng pangangalagang pangkalusugan at mga tauhan sa mga lugar na kulang sa serbisyo ay mahalaga para sa mas mahusay na pag-access.
* **Public-Private Partnership:** Makakatulong ang pakikipagtulungan sa mga pribadong entity na palawakin ang paghahatid ng serbisyo sa pangangalagang pangkalusugan at tuklasin ang mga makabagong modelo ng financing.
Sa pamamagitan ng epektibong pagpapatupad ng mga kasalukuyang programa at pagtugon sa mga patuloy na hamon, ang Pilipinas ay maaaring magtrabaho patungo sa isang hinaharap kung saan ang mga limitasyon sa pananalapi ay hindi gaanong hadlang sa pag-access ng mga de-kalidad na serbisyo sa pangangalagang pangkalusugan.</v>
      </c>
      <c r="F1783" s="2">
        <f t="shared" si="1"/>
        <v>0</v>
      </c>
      <c r="G1783" s="2"/>
      <c r="H1783" s="2"/>
      <c r="I1783" s="2"/>
      <c r="J1783" s="2"/>
      <c r="K1783" s="2"/>
      <c r="L1783" s="2"/>
      <c r="M1783" s="2"/>
      <c r="N1783" s="2"/>
      <c r="O1783" s="2"/>
      <c r="P1783" s="2"/>
      <c r="Q1783" s="2"/>
      <c r="R1783" s="2"/>
      <c r="S1783" s="2"/>
      <c r="T1783" s="2"/>
      <c r="U1783" s="2"/>
      <c r="V1783" s="2"/>
      <c r="W1783" s="2"/>
      <c r="X1783" s="2"/>
      <c r="Y1783" s="2"/>
      <c r="Z1783" s="2"/>
      <c r="AA1783" s="2"/>
    </row>
    <row r="1784">
      <c r="A1784" s="1" t="s">
        <v>4337</v>
      </c>
      <c r="B1784" s="1" t="s">
        <v>4614</v>
      </c>
      <c r="C1784" s="1" t="s">
        <v>4615</v>
      </c>
      <c r="D1784" s="2" t="str">
        <f>IFERROR(__xludf.DUMMYFUNCTION("GOOGLETRANSLATE(B1784, ""en"", ""TL"")"),"Anong mga legal na balangkas ang inilalagay upang matiyak ang etikal at napapanatiling pagpopondo ng mga programa at serbisyo sa pangangalagang pangkalusugan?")</f>
        <v>Anong mga legal na balangkas ang inilalagay upang matiyak ang etikal at napapanatiling pagpopondo ng mga programa at serbisyo sa pangangalagang pangkalusugan?</v>
      </c>
      <c r="E1784" s="2" t="str">
        <f>IFERROR(__xludf.DUMMYFUNCTION("GOOGLETRANSLATE(C1784, ""en"", ""TL"")"),"Ang Pilipinas ay may ilang legal na balangkas na inilalagay upang isulong ang etikal at napapanatiling pagpopondo ng mga programa at serbisyo sa pangangalagang pangkalusugan. Narito ang isang breakdown ng ilang pangunahing aspeto:
**National Health Insura"&amp;"nce Program (NHIP) - (RA No. 11223 - Ang Universal Health Care Law):**
* **Mandated Contributions:** Itinatag ng batas na ito ang PhilHealth, ang National Health Insurance Program. Ipinag-uutos nito ang mga kontribusyon mula sa iba't ibang mapagkukunan up"&amp;"ang matiyak ang isang napapanatiling pool ng pagpopondo:
* **Pagbabahagi ng Premium ng Employee-Employer:** Nag-aambag ang mga empleyado at employer ng partikular na porsyento ng kanilang mga suweldo sa PhilHealth.
* **Mga Subsidy ng Gobyerno:** Ang pamba"&amp;"nsang pamahalaan ay naglalaan ng badyet sa PhilHealth upang madagdagan ang mga kontribusyon at matiyak ang pagiging epektibo ng programa.
**PhilHealth PhilHealth (RA No. 11223):**
* **Mga Pakete ng Benepisyo at Saklaw:** Tinutukoy ng PhilHealth ang mga pa"&amp;"kete ng benepisyo na nagbabalangkas sa mga serbisyo ng pangangalagang pangkalusugan na saklaw ng programa. Nakakatulong ito na pamahalaan ang mga gastos habang tinitiyak na naa-access ang mahahalagang serbisyo.
* **Transparency and Accountability:** Ang P"&amp;"hilHealth ay inaatasan na maging transparent sa mga operasyon nito. Nag-publish sila ng mga rate ng kontribusyon, mga pakete ng benepisyo, at mga ulat sa pananalapi upang matiyak ang pananagutan para sa paggamit ng pondo.
**Department of Health (DOH):**
*"&amp;" **Ang DOH ay gumaganap ng isang mahalagang papel sa pag-regulate ng mga gastos sa pangangalagang pangkalusugan.** Nagtakda sila ng mga alituntunin para sa:
* Pinakamataas na pinapayagang mga rate para sa mga partikular na pamamaraan sa mga ospital upang "&amp;"maiwasan ang labis na pagpepresyo.
* PhilHealth benefit packages upang matiyak ang mahusay na paggamit ng mga pondo ng programa habang inuuna ang mahahalagang serbisyo.
**Regulasyon ng Pribadong Seguro sa Kalusugan:**
* Kinokontrol ng Insurance Commission"&amp;" ang mga pribadong kompanya ng segurong pangkalusugan. Nakakatulong ito na maiwasan ang mga hindi patas na gawi sa pagpepresyo at tinitiyak ang katatagan ng pananalapi sa loob ng sektor ng pribadong health insurance.
**Mga Hamon at Pagsasaalang-alang:**
*"&amp;" **Pagbabalanse ng Coverage at Sustainability:** Ang pagpapalawak ng saklaw ng PhilHealth habang pinapanatili ang financial sustainability ay nangangailangan ng maingat na pagpaplano at pamamahala.
* **Pagsasama-sama ng Impormal na Sektor:** Ang pagsasama"&amp;" ng mga manggagawa sa impormal na sektor sa pamamaraan ng kontribusyon o pagtatatag ng mga alternatibong mekanismo sa pagpopondo ay napakahalaga.
* **Paglaban sa Panloloko at Pang-aabuso:** Kailangan ng matatag na mekanismo para maiwasan ang maling paggam"&amp;"it ng pondo ng PhilHealth ng mga tagapagbigay ng pangangalagang pangkalusugan o miyembro.
**Pasulong:**
* **Pag-optimize ng mga Kontribusyon ng PhilHealth:** Ang regular na pagrepaso sa mga rate ng kontribusyon at paggalugad ng mga karagdagang mapagkukuna"&amp;"n ng pagpopondo ay mahalaga.
* **Pagsusulong ng Kahusayan:** Ang pamumuhunan sa kahusayan sa pagpapatakbo ng PhilHealth ay maaaring makatulong na mapakinabangan ang epekto ng mga magagamit na pondo.
* **Paghihikayat sa Public-Private Partnership:** Ang pa"&amp;"kikipagtulungan sa mga pribadong entity ay maaaring magpakilala ng mga makabagong modelo ng financing at mapalawak ang mga opsyon sa paghahatid ng serbisyo sa pangangalagang pangkalusugan.
**Konklusyon:**
Ang legal na balangkas ng Pilipinas ay nagtatatag "&amp;"ng pundasyon para sa etikal at napapanatiling pagpopondo sa pangangalagang pangkalusugan. Ang patuloy na pagsisikap ay kailangan upang matiyak ang pangmatagalang kakayahang mabuhay ng PhilHealth, palawakin ang saklaw, at isulong ang responsableng paggamit"&amp;" ng mga pondo sa pangangalagang pangkalusugan.")</f>
        <v>Ang Pilipinas ay may ilang legal na balangkas na inilalagay upang isulong ang etikal at napapanatiling pagpopondo ng mga programa at serbisyo sa pangangalagang pangkalusugan. Narito ang isang breakdown ng ilang pangunahing aspeto:
**National Health Insurance Program (NHIP) - (RA No. 11223 - Ang Universal Health Care Law):**
* **Mandated Contributions:** Itinatag ng batas na ito ang PhilHealth, ang National Health Insurance Program. Ipinag-uutos nito ang mga kontribusyon mula sa iba't ibang mapagkukunan upang matiyak ang isang napapanatiling pool ng pagpopondo:
* **Pagbabahagi ng Premium ng Employee-Employer:** Nag-aambag ang mga empleyado at employer ng partikular na porsyento ng kanilang mga suweldo sa PhilHealth.
* **Mga Subsidy ng Gobyerno:** Ang pambansang pamahalaan ay naglalaan ng badyet sa PhilHealth upang madagdagan ang mga kontribusyon at matiyak ang pagiging epektibo ng programa.
**PhilHealth PhilHealth (RA No. 11223):**
* **Mga Pakete ng Benepisyo at Saklaw:** Tinutukoy ng PhilHealth ang mga pakete ng benepisyo na nagbabalangkas sa mga serbisyo ng pangangalagang pangkalusugan na saklaw ng programa. Nakakatulong ito na pamahalaan ang mga gastos habang tinitiyak na naa-access ang mahahalagang serbisyo.
* **Transparency and Accountability:** Ang PhilHealth ay inaatasan na maging transparent sa mga operasyon nito. Nag-publish sila ng mga rate ng kontribusyon, mga pakete ng benepisyo, at mga ulat sa pananalapi upang matiyak ang pananagutan para sa paggamit ng pondo.
**Department of Health (DOH):**
* **Ang DOH ay gumaganap ng isang mahalagang papel sa pag-regulate ng mga gastos sa pangangalagang pangkalusugan.** Nagtakda sila ng mga alituntunin para sa:
* Pinakamataas na pinapayagang mga rate para sa mga partikular na pamamaraan sa mga ospital upang maiwasan ang labis na pagpepresyo.
* PhilHealth benefit packages upang matiyak ang mahusay na paggamit ng mga pondo ng programa habang inuuna ang mahahalagang serbisyo.
**Regulasyon ng Pribadong Seguro sa Kalusugan:**
* Kinokontrol ng Insurance Commission ang mga pribadong kompanya ng segurong pangkalusugan. Nakakatulong ito na maiwasan ang mga hindi patas na gawi sa pagpepresyo at tinitiyak ang katatagan ng pananalapi sa loob ng sektor ng pribadong health insurance.
**Mga Hamon at Pagsasaalang-alang:**
* **Pagbabalanse ng Coverage at Sustainability:** Ang pagpapalawak ng saklaw ng PhilHealth habang pinapanatili ang financial sustainability ay nangangailangan ng maingat na pagpaplano at pamamahala.
* **Pagsasama-sama ng Impormal na Sektor:** Ang pagsasama ng mga manggagawa sa impormal na sektor sa pamamaraan ng kontribusyon o pagtatatag ng mga alternatibong mekanismo sa pagpopondo ay napakahalaga.
* **Paglaban sa Panloloko at Pang-aabuso:** Kailangan ng matatag na mekanismo para maiwasan ang maling paggamit ng pondo ng PhilHealth ng mga tagapagbigay ng pangangalagang pangkalusugan o miyembro.
**Pasulong:**
* **Pag-optimize ng mga Kontribusyon ng PhilHealth:** Ang regular na pagrepaso sa mga rate ng kontribusyon at paggalugad ng mga karagdagang mapagkukunan ng pagpopondo ay mahalaga.
* **Pagsusulong ng Kahusayan:** Ang pamumuhunan sa kahusayan sa pagpapatakbo ng PhilHealth ay maaaring makatulong na mapakinabangan ang epekto ng mga magagamit na pondo.
* **Paghihikayat sa Public-Private Partnership:** Ang pakikipagtulungan sa mga pribadong entity ay maaaring magpakilala ng mga makabagong modelo ng financing at mapalawak ang mga opsyon sa paghahatid ng serbisyo sa pangangalagang pangkalusugan.
**Konklusyon:**
Ang legal na balangkas ng Pilipinas ay nagtatatag ng pundasyon para sa etikal at napapanatiling pagpopondo sa pangangalagang pangkalusugan. Ang patuloy na pagsisikap ay kailangan upang matiyak ang pangmatagalang kakayahang mabuhay ng PhilHealth, palawakin ang saklaw, at isulong ang responsableng paggamit ng mga pondo sa pangangalagang pangkalusugan.</v>
      </c>
      <c r="F1784" s="2">
        <f t="shared" si="1"/>
        <v>0</v>
      </c>
      <c r="G1784" s="2"/>
      <c r="H1784" s="2"/>
      <c r="I1784" s="2"/>
      <c r="J1784" s="2"/>
      <c r="K1784" s="2"/>
      <c r="L1784" s="2"/>
      <c r="M1784" s="2"/>
      <c r="N1784" s="2"/>
      <c r="O1784" s="2"/>
      <c r="P1784" s="2"/>
      <c r="Q1784" s="2"/>
      <c r="R1784" s="2"/>
      <c r="S1784" s="2"/>
      <c r="T1784" s="2"/>
      <c r="U1784" s="2"/>
      <c r="V1784" s="2"/>
      <c r="W1784" s="2"/>
      <c r="X1784" s="2"/>
      <c r="Y1784" s="2"/>
      <c r="Z1784" s="2"/>
      <c r="AA1784" s="2"/>
    </row>
    <row r="1785">
      <c r="A1785" s="1" t="s">
        <v>4337</v>
      </c>
      <c r="B1785" s="1" t="s">
        <v>4616</v>
      </c>
      <c r="C1785" s="1" t="s">
        <v>4617</v>
      </c>
      <c r="D1785" s="2" t="str">
        <f>IFERROR(__xludf.DUMMYFUNCTION("GOOGLETRANSLATE(B1785, ""en"", ""TL"")"),"Paano hinihikayat ng batas ang mga propesyonal sa pangangalagang pangkalusugan na magsanay sa mga lugar na kulang sa serbisyo at tugunan ang hamon ng mga heograpikal na pagkakaiba sa pag-access sa pangangalagang pangkalusugan?")</f>
        <v>Paano hinihikayat ng batas ang mga propesyonal sa pangangalagang pangkalusugan na magsanay sa mga lugar na kulang sa serbisyo at tugunan ang hamon ng mga heograpikal na pagkakaiba sa pag-access sa pangangalagang pangkalusugan?</v>
      </c>
      <c r="E1785" s="2" t="str">
        <f>IFERROR(__xludf.DUMMYFUNCTION("GOOGLETRANSLATE(C1785, ""en"", ""TL"")"),"Ang Pilipinas ay may balangkas ng mga legal at administratibong hakbang upang mahikayat ang mga propesyonal sa pangangalagang pangkalusugan na magsanay sa mga lugar na kulang sa serbisyo, kahit na ang pagkamit ng patas na pamamahagi ay nananatiling isang "&amp;"hamon. Narito ang isang breakdown ng mga diskarte:
**Scholarship at Loan Programs:**
* **Doctors to the Barrios Program (RA No. 6352):** Ang programang ito ay nag-aalok ng mga iskolarsip at tulong pinansyal sa mga medikal na estudyante kapalit ng pangakon"&amp;"g maglingkod sa mga lugar na kulang sa serbisyo para sa isang tiyak na panahon pagkatapos ng graduation.
* **Student Loan Forgiveness Programs:** Nag-aalok ang ilang ahensya at institusyon ng gobyerno ng mga programa sa tulong sa pagbabayad ng utang para "&amp;"sa mga propesyonal sa pangangalagang pangkalusugan na nagsasanay sa mga lugar na kulang sa serbisyo para sa isang partikular na oras.
**Mga Bonus Scheme at Allowance:**
* **Mga Espesyal na Allowance:** Ang pamahalaan ay maaaring magbigay ng karagdagang mg"&amp;"a allowance o hardship pay sa mga propesyonal sa pangangalagang pangkalusugan na nagtatrabaho sa malayo o mapaghamong mga lokasyon.
* **Mga Incentive sa Risk-Area:** Ang ilang mga programa ay nag-aalok ng mga bonus o mga pandagdag sa suweldo para sa mga p"&amp;"ropesyonal sa pangangalagang pangkalusugan na nagsasanay sa mga lugar na may mataas na pasanin ng sakit o limitadong pag-access sa mga espesyalista.
**Mga Oportunidad sa Pagpapaunlad ng Karera:**
* **Deployment with Continuing Education:** Ang mga deploym"&amp;"ent program ay maaaring kumonekta sa mga unibersidad o propesyonal na organisasyon upang magbigay ng patuloy na mga pagkakataon sa edukasyon para sa mga propesyonal sa pangangalagang pangkalusugan sa mga lugar na kulang sa serbisyo.
* **Mga Programa sa Pa"&amp;"g-ikot:** Ang mga programang ito ay nagpapahintulot sa mga propesyonal sa pangangalagang pangkalusugan na magkaroon ng karanasan sa mga lugar na kulang sa serbisyo habang pinapanatili ang mga koneksyon sa mga sentrong pang-urban para sa pagsulong ng karer"&amp;"a.
**Pagharap sa mga Hamon:**
* **Limitadong Saklaw:** Ang mga programa sa scholarship at pautang ay kadalasang may limitadong mga puwang at maaaring hindi matugunan ang mataas na pangangailangan para sa mga propesyonal sa pangangalagang pangkalusugan sa "&amp;"lahat ng mga lugar na kulang sa serbisyo.
* **Mga Isyu sa Pagpapanatili:** Maaaring hindi sapat ang mga insentibo upang mapanatili ang mga propesyonal sa pangangalagang pangkalusugan sa mga mapaghamong lokasyon sa mahabang panahon, lalo na kung hindi sapa"&amp;"t ang imprastraktura, mga sistema ng suporta, at balanse sa buhay-trabaho.
* **Imprastraktura at Suporta:** Ang mga lugar na kulang sa serbisyo ay kadalasang kulang sa wastong mga pasilidad sa pangangalagang pangkalusugan, kagamitan, at kawani ng suporta,"&amp;" na ginagawang hindi gaanong kaakit-akit ang pagsasanay.
**Pasulong:**
* **Multi-faceted Approach:** Ang kumbinasyon ng mga insentibo sa pananalapi, mga pagkakataon sa pagpapaunlad ng karera, at mga pagpapahusay sa imprastraktura ay napakahalaga para sa p"&amp;"ag-akit at pagpapanatili ng mga propesyonal sa pangangalagang pangkalusugan.
* **Pakikipag-ugnayan sa Komunidad:** Ang pagsali sa mga lokal na komunidad sa pagpaplano at paggawa ng desisyon ay maaaring makatulong na matugunan ang kanilang mga partikular n"&amp;"a pangangailangan at lumikha ng isang mas sumusuportang kapaligiran para sa mga propesyonal sa pangangalagang pangkalusugan.
* **Mga Kampanya sa Pampublikong Kamalayan:** Ang pagpapataas ng kamalayan tungkol sa kahalagahan ng pag-access sa pangangalagang "&amp;"pangkalusugan sa mga lugar na kulang sa serbisyo ay maaaring mahikayat ang higit pang mga propesyonal sa pangangalagang pangkalusugan na isaalang-alang ang serbisyo sa mga komunidad na ito.
**Mga Karagdagang Pagsasaalang-alang:**
* **Telehealth at Teknolo"&amp;"hiya:** Ang paggamit ng telehealth at mga digital na teknolohiya sa kalusugan ay maaaring mapalawak ang access sa pangangalaga ng espesyalista at mga konsultasyon nang malayuan, kahit na sa mga lugar na kulang sa serbisyo.
* **Mga Midwife at Community Hea"&amp;"lth Workers:** Ang pagbibigay kapangyarihan at pagsuporta sa mga midwife at community health worker ay maaaring gumanap ng mahalagang papel sa paghahatid ng mga serbisyo sa pangunahing pangangalaga sa mga malalayong lokasyon.
Sa pamamagitan ng pagkilala s"&amp;"a mga limitasyon ng umiiral na mga insentibo at pagtutuon sa paglikha ng isang mas sumusuportang kapaligiran para sa mga propesyonal sa pangangalagang pangkalusugan, ang Pilipinas ay maaaring magtrabaho tungo sa isang mas pantay na pamamahagi ng mga mapag"&amp;"kukunan ng pangangalagang pangkalusugan at pinabuting pag-access para sa lahat ng mga mamamayan.")</f>
        <v>Ang Pilipinas ay may balangkas ng mga legal at administratibong hakbang upang mahikayat ang mga propesyonal sa pangangalagang pangkalusugan na magsanay sa mga lugar na kulang sa serbisyo, kahit na ang pagkamit ng patas na pamamahagi ay nananatiling isang hamon. Narito ang isang breakdown ng mga diskarte:
**Scholarship at Loan Programs:**
* **Doctors to the Barrios Program (RA No. 6352):** Ang programang ito ay nag-aalok ng mga iskolarsip at tulong pinansyal sa mga medikal na estudyante kapalit ng pangakong maglingkod sa mga lugar na kulang sa serbisyo para sa isang tiyak na panahon pagkatapos ng graduation.
* **Student Loan Forgiveness Programs:** Nag-aalok ang ilang ahensya at institusyon ng gobyerno ng mga programa sa tulong sa pagbabayad ng utang para sa mga propesyonal sa pangangalagang pangkalusugan na nagsasanay sa mga lugar na kulang sa serbisyo para sa isang partikular na oras.
**Mga Bonus Scheme at Allowance:**
* **Mga Espesyal na Allowance:** Ang pamahalaan ay maaaring magbigay ng karagdagang mga allowance o hardship pay sa mga propesyonal sa pangangalagang pangkalusugan na nagtatrabaho sa malayo o mapaghamong mga lokasyon.
* **Mga Incentive sa Risk-Area:** Ang ilang mga programa ay nag-aalok ng mga bonus o mga pandagdag sa suweldo para sa mga propesyonal sa pangangalagang pangkalusugan na nagsasanay sa mga lugar na may mataas na pasanin ng sakit o limitadong pag-access sa mga espesyalista.
**Mga Oportunidad sa Pagpapaunlad ng Karera:**
* **Deployment with Continuing Education:** Ang mga deployment program ay maaaring kumonekta sa mga unibersidad o propesyonal na organisasyon upang magbigay ng patuloy na mga pagkakataon sa edukasyon para sa mga propesyonal sa pangangalagang pangkalusugan sa mga lugar na kulang sa serbisyo.
* **Mga Programa sa Pag-ikot:** Ang mga programang ito ay nagpapahintulot sa mga propesyonal sa pangangalagang pangkalusugan na magkaroon ng karanasan sa mga lugar na kulang sa serbisyo habang pinapanatili ang mga koneksyon sa mga sentrong pang-urban para sa pagsulong ng karera.
**Pagharap sa mga Hamon:**
* **Limitadong Saklaw:** Ang mga programa sa scholarship at pautang ay kadalasang may limitadong mga puwang at maaaring hindi matugunan ang mataas na pangangailangan para sa mga propesyonal sa pangangalagang pangkalusugan sa lahat ng mga lugar na kulang sa serbisyo.
* **Mga Isyu sa Pagpapanatili:** Maaaring hindi sapat ang mga insentibo upang mapanatili ang mga propesyonal sa pangangalagang pangkalusugan sa mga mapaghamong lokasyon sa mahabang panahon, lalo na kung hindi sapat ang imprastraktura, mga sistema ng suporta, at balanse sa buhay-trabaho.
* **Imprastraktura at Suporta:** Ang mga lugar na kulang sa serbisyo ay kadalasang kulang sa wastong mga pasilidad sa pangangalagang pangkalusugan, kagamitan, at kawani ng suporta, na ginagawang hindi gaanong kaakit-akit ang pagsasanay.
**Pasulong:**
* **Multi-faceted Approach:** Ang kumbinasyon ng mga insentibo sa pananalapi, mga pagkakataon sa pagpapaunlad ng karera, at mga pagpapahusay sa imprastraktura ay napakahalaga para sa pag-akit at pagpapanatili ng mga propesyonal sa pangangalagang pangkalusugan.
* **Pakikipag-ugnayan sa Komunidad:** Ang pagsali sa mga lokal na komunidad sa pagpaplano at paggawa ng desisyon ay maaaring makatulong na matugunan ang kanilang mga partikular na pangangailangan at lumikha ng isang mas sumusuportang kapaligiran para sa mga propesyonal sa pangangalagang pangkalusugan.
* **Mga Kampanya sa Pampublikong Kamalayan:** Ang pagpapataas ng kamalayan tungkol sa kahalagahan ng pag-access sa pangangalagang pangkalusugan sa mga lugar na kulang sa serbisyo ay maaaring mahikayat ang higit pang mga propesyonal sa pangangalagang pangkalusugan na isaalang-alang ang serbisyo sa mga komunidad na ito.
**Mga Karagdagang Pagsasaalang-alang:**
* **Telehealth at Teknolohiya:** Ang paggamit ng telehealth at mga digital na teknolohiya sa kalusugan ay maaaring mapalawak ang access sa pangangalaga ng espesyalista at mga konsultasyon nang malayuan, kahit na sa mga lugar na kulang sa serbisyo.
* **Mga Midwife at Community Health Workers:** Ang pagbibigay kapangyarihan at pagsuporta sa mga midwife at community health worker ay maaaring gumanap ng mahalagang papel sa paghahatid ng mga serbisyo sa pangunahing pangangalaga sa mga malalayong lokasyon.
Sa pamamagitan ng pagkilala sa mga limitasyon ng umiiral na mga insentibo at pagtutuon sa paglikha ng isang mas sumusuportang kapaligiran para sa mga propesyonal sa pangangalagang pangkalusugan, ang Pilipinas ay maaaring magtrabaho tungo sa isang mas pantay na pamamahagi ng mga mapagkukunan ng pangangalagang pangkalusugan at pinabuting pag-access para sa lahat ng mga mamamayan.</v>
      </c>
      <c r="F1785" s="2">
        <f t="shared" si="1"/>
        <v>0</v>
      </c>
      <c r="G1785" s="2"/>
      <c r="H1785" s="2"/>
      <c r="I1785" s="2"/>
      <c r="J1785" s="2"/>
      <c r="K1785" s="2"/>
      <c r="L1785" s="2"/>
      <c r="M1785" s="2"/>
      <c r="N1785" s="2"/>
      <c r="O1785" s="2"/>
      <c r="P1785" s="2"/>
      <c r="Q1785" s="2"/>
      <c r="R1785" s="2"/>
      <c r="S1785" s="2"/>
      <c r="T1785" s="2"/>
      <c r="U1785" s="2"/>
      <c r="V1785" s="2"/>
      <c r="W1785" s="2"/>
      <c r="X1785" s="2"/>
      <c r="Y1785" s="2"/>
      <c r="Z1785" s="2"/>
      <c r="AA1785" s="2"/>
    </row>
    <row r="1786">
      <c r="A1786" s="1" t="s">
        <v>4337</v>
      </c>
      <c r="B1786" s="1" t="s">
        <v>4618</v>
      </c>
      <c r="C1786" s="1" t="s">
        <v>4619</v>
      </c>
      <c r="D1786" s="2" t="str">
        <f>IFERROR(__xludf.DUMMYFUNCTION("GOOGLETRANSLATE(B1786, ""en"", ""TL"")"),"Paano maaaring kailanganin ng mga pagsulong sa teknolohiya at pagbabago ng mga pagpapahalaga sa lipunan ang karagdagang pag-unlad ng batas medikal ng Pilipinas?")</f>
        <v>Paano maaaring kailanganin ng mga pagsulong sa teknolohiya at pagbabago ng mga pagpapahalaga sa lipunan ang karagdagang pag-unlad ng batas medikal ng Pilipinas?</v>
      </c>
      <c r="E1786" s="2" t="str">
        <f>IFERROR(__xludf.DUMMYFUNCTION("GOOGLETRANSLATE(C1786, ""en"", ""TL"")"),"Ang mga pagsulong sa teknolohiya at umuusbong na mga pagpapahalaga sa lipunan ay malamang na nangangailangan ng karagdagang pag-unlad ng batas medikal ng Pilipinas sa ilang mga lugar. Narito ang isang breakdown ng ilang potensyal na hamon at pagkakataon:
"&amp;"**Mga Umuusbong na Teknolohiya:**
* **Telemedicine at Digital Health:** Ang mga regulasyon ay kailangang umangkop upang matugunan ang mga isyu tulad ng:
* **Mga Pamantayan ng Pangangalaga:** Pagtukoy sa naaangkop na paggamit ng telemedicine para sa iba't "&amp;"ibang kondisyon at pagtiyak ng kalidad ng paghahatid ng pangangalaga sa malayo.
* **Privacy at Seguridad ng Data:** Pagprotekta sa privacy ng data ng pasyente at pagtiyak ng secure na paghahatid ng medikal na impormasyon sa panahon ng mga teleconsultation"&amp;".
* **Accessibility:** Pagtugon sa digital divide upang matiyak ang pantay na pag-access sa mga serbisyo ng telemedicine, lalo na para sa mga nasa malalayong lugar.
* **Artificial Intelligence (AI) sa Pangangalagang Pangkalusugan:** Ang mga legal na balan"&amp;"gkas ay kailangang isaalang-alang:
* **Panagutan:** Pagtukoy kung sino ang may pananagutan para sa mga desisyong medikal na hinimok ng AI - ang developer, propesyonal sa pangangalagang pangkalusugan, o ang AI mismo?
* **Transparency at Explainability:** T"&amp;"initiyak ang transparency sa mga proseso ng paggawa ng desisyon ng AI na ginagamit sa mga diagnostic o rekomendasyon sa paggamot.
* **Mga Etikal na Pagsasaalang-alang:** Pagtugon sa mga potensyal na bias sa mga algorithm ng AI at pagtiyak na ginagamit ang"&amp;" mga ito nang patas at etikal sa mga setting ng pangangalagang pangkalusugan.
**Genomics at Personalized na Medisina:**
* **Genetic Testing and Privacy:** Kakailanganin ng batas na tugunan ang mga isyu tulad ng kaalamang pahintulot para sa genetic testing"&amp;", mga proteksyon sa privacy ng data para sa genetic na impormasyon, at potensyal na diskriminasyon batay sa genetic data.
* **Pag-edit ng Gene:** Kailangan ang malinaw na mga legal na framework para makontrol ang mga teknolohiya sa pag-edit ng gene, na is"&amp;"inasaalang-alang ang mga alalahanin sa etika at mga potensyal na panganib sa kaligtasan.
**Pagbabago ng Societal Values:**
* **Mga Karapatan sa Reproduktibo:** Ang mga debate sa pag-access sa pagpapalaglag, mga teknolohiyang tinulungan ng reproductive, at"&amp;" surrogacy ay maaaring mangailangan ng pagsusuri sa pambatasan upang ipakita ang mga umuunlad na pananaw sa lipunan.
* **End-of-Life Care:** Ang mga advance na direktiba at mga medikal na order para sa life-sustaining treatment (MOLST) ay maaaring mangail"&amp;"angan ng karagdagang legal na paglilinaw upang matiyak ang awtonomiya ng pasyente sa mga desisyon sa pagtatapos ng buhay.
**Ang pagtugon sa mga hamong ito ay mangangailangan ng pakikipagtulungan sa iba't ibang stakeholder:**
* **Mga Mambabatas:** Pagsasab"&amp;"atas o pag-amyenda ng mga batas upang matugunan ang mga bagong teknolohiya at etikal na pagsasaalang-alang sa pangangalagang pangkalusugan.
* **Mga Regulatoryong Bodies:** Pagbuo ng mga alituntunin at protocol para sa ligtas at etikal na paggamit ng mga u"&amp;"muusbong na teknolohiya.
* **Mga Propesyonal sa Pangangalagang Pangkalusugan:** Pag-aangkop sa kanilang mga kasanayan at pananatiling may kaalaman tungkol sa mga legal na balangkas na namamahala sa mga bagong teknolohiya.
* **Ang Publiko:** Nakikibahagi s"&amp;"a mga matalinong talakayan tungkol sa mga etikal na implikasyon ng mga pagsulong sa teknolohiyang medikal.
**Ang Pilipinas ay may dinamikong sistemang legal, at ang mga pagsulong na ito ay malamang na hahantong sa patuloy na pag-unlad ng medikal na batas."&amp;"** Sa pamamagitan ng pagsulong ng mga bukas na talakayan at maagap na mga legal na reporma, matitiyak ng Pilipinas ang isang matatag na legal na balangkas na nagtataguyod ng responsableng pagbabago, nagpoprotekta sa mga karapatan ng pasyente , at itinatag"&amp;"uyod ang mga etikal na kasanayan sa isang patuloy na umuunlad na tanawin ng pangangalagang pangkalusugan.")</f>
        <v>Ang mga pagsulong sa teknolohiya at umuusbong na mga pagpapahalaga sa lipunan ay malamang na nangangailangan ng karagdagang pag-unlad ng batas medikal ng Pilipinas sa ilang mga lugar. Narito ang isang breakdown ng ilang potensyal na hamon at pagkakataon:
**Mga Umuusbong na Teknolohiya:**
* **Telemedicine at Digital Health:** Ang mga regulasyon ay kailangang umangkop upang matugunan ang mga isyu tulad ng:
* **Mga Pamantayan ng Pangangalaga:** Pagtukoy sa naaangkop na paggamit ng telemedicine para sa iba't ibang kondisyon at pagtiyak ng kalidad ng paghahatid ng pangangalaga sa malayo.
* **Privacy at Seguridad ng Data:** Pagprotekta sa privacy ng data ng pasyente at pagtiyak ng secure na paghahatid ng medikal na impormasyon sa panahon ng mga teleconsultation.
* **Accessibility:** Pagtugon sa digital divide upang matiyak ang pantay na pag-access sa mga serbisyo ng telemedicine, lalo na para sa mga nasa malalayong lugar.
* **Artificial Intelligence (AI) sa Pangangalagang Pangkalusugan:** Ang mga legal na balangkas ay kailangang isaalang-alang:
* **Panagutan:** Pagtukoy kung sino ang may pananagutan para sa mga desisyong medikal na hinimok ng AI - ang developer, propesyonal sa pangangalagang pangkalusugan, o ang AI mismo?
* **Transparency at Explainability:** Tinitiyak ang transparency sa mga proseso ng paggawa ng desisyon ng AI na ginagamit sa mga diagnostic o rekomendasyon sa paggamot.
* **Mga Etikal na Pagsasaalang-alang:** Pagtugon sa mga potensyal na bias sa mga algorithm ng AI at pagtiyak na ginagamit ang mga ito nang patas at etikal sa mga setting ng pangangalagang pangkalusugan.
**Genomics at Personalized na Medisina:**
* **Genetic Testing and Privacy:** Kakailanganin ng batas na tugunan ang mga isyu tulad ng kaalamang pahintulot para sa genetic testing, mga proteksyon sa privacy ng data para sa genetic na impormasyon, at potensyal na diskriminasyon batay sa genetic data.
* **Pag-edit ng Gene:** Kailangan ang malinaw na mga legal na framework para makontrol ang mga teknolohiya sa pag-edit ng gene, na isinasaalang-alang ang mga alalahanin sa etika at mga potensyal na panganib sa kaligtasan.
**Pagbabago ng Societal Values:**
* **Mga Karapatan sa Reproduktibo:** Ang mga debate sa pag-access sa pagpapalaglag, mga teknolohiyang tinulungan ng reproductive, at surrogacy ay maaaring mangailangan ng pagsusuri sa pambatasan upang ipakita ang mga umuunlad na pananaw sa lipunan.
* **End-of-Life Care:** Ang mga advance na direktiba at mga medikal na order para sa life-sustaining treatment (MOLST) ay maaaring mangailangan ng karagdagang legal na paglilinaw upang matiyak ang awtonomiya ng pasyente sa mga desisyon sa pagtatapos ng buhay.
**Ang pagtugon sa mga hamong ito ay mangangailangan ng pakikipagtulungan sa iba't ibang stakeholder:**
* **Mga Mambabatas:** Pagsasabatas o pag-amyenda ng mga batas upang matugunan ang mga bagong teknolohiya at etikal na pagsasaalang-alang sa pangangalagang pangkalusugan.
* **Mga Regulatoryong Bodies:** Pagbuo ng mga alituntunin at protocol para sa ligtas at etikal na paggamit ng mga umuusbong na teknolohiya.
* **Mga Propesyonal sa Pangangalagang Pangkalusugan:** Pag-aangkop sa kanilang mga kasanayan at pananatiling may kaalaman tungkol sa mga legal na balangkas na namamahala sa mga bagong teknolohiya.
* **Ang Publiko:** Nakikibahagi sa mga matalinong talakayan tungkol sa mga etikal na implikasyon ng mga pagsulong sa teknolohiyang medikal.
**Ang Pilipinas ay may dinamikong sistemang legal, at ang mga pagsulong na ito ay malamang na hahantong sa patuloy na pag-unlad ng medikal na batas.** Sa pamamagitan ng pagsulong ng mga bukas na talakayan at maagap na mga legal na reporma, matitiyak ng Pilipinas ang isang matatag na legal na balangkas na nagtataguyod ng responsableng pagbabago, nagpoprotekta sa mga karapatan ng pasyente , at itinataguyod ang mga etikal na kasanayan sa isang patuloy na umuunlad na tanawin ng pangangalagang pangkalusugan.</v>
      </c>
      <c r="F1786" s="2">
        <f t="shared" si="1"/>
        <v>0</v>
      </c>
      <c r="G1786" s="2"/>
      <c r="H1786" s="2"/>
      <c r="I1786" s="2"/>
      <c r="J1786" s="2"/>
      <c r="K1786" s="2"/>
      <c r="L1786" s="2"/>
      <c r="M1786" s="2"/>
      <c r="N1786" s="2"/>
      <c r="O1786" s="2"/>
      <c r="P1786" s="2"/>
      <c r="Q1786" s="2"/>
      <c r="R1786" s="2"/>
      <c r="S1786" s="2"/>
      <c r="T1786" s="2"/>
      <c r="U1786" s="2"/>
      <c r="V1786" s="2"/>
      <c r="W1786" s="2"/>
      <c r="X1786" s="2"/>
      <c r="Y1786" s="2"/>
      <c r="Z1786" s="2"/>
      <c r="AA1786" s="2"/>
    </row>
    <row r="1787">
      <c r="A1787" s="1" t="s">
        <v>4337</v>
      </c>
      <c r="B1787" s="1" t="s">
        <v>4620</v>
      </c>
      <c r="C1787" s="1" t="s">
        <v>4621</v>
      </c>
      <c r="D1787" s="2" t="str">
        <f>IFERROR(__xludf.DUMMYFUNCTION("GOOGLETRANSLATE(B1787, ""en"", ""TL"")"),"Ano ang mga potensyal na legal na hamon at pagkakataong ipinakita ng personalized na gamot at tumpak na mga diskarte sa pangangalaga sa kalusugan?")</f>
        <v>Ano ang mga potensyal na legal na hamon at pagkakataong ipinakita ng personalized na gamot at tumpak na mga diskarte sa pangangalaga sa kalusugan?</v>
      </c>
      <c r="E1787" s="2" t="str">
        <f>IFERROR(__xludf.DUMMYFUNCTION("GOOGLETRANSLATE(C1787, ""en"", ""TL"")"),"Ang personalized na gamot at precision na pangangalagang pangkalusugan ay may malaking pangako, ngunit nagpapakita rin ng mga natatanging legal na hamon at pagkakataon sa Pilipinas. Narito ang isang breakdown ng magkabilang panig:
**Mga Legal na Hamon:**
"&amp;"* **Privacy at Seguridad ng Data:** * Ang malawakang pangongolekta at pagsusuri ng data ng personal na kalusugan ay mahalaga para sa personalized na gamot. Gayunpaman, kailangan ng matatag na batas sa privacy ng data upang matiyak na ligtas ang impormasyo"&amp;"n ng pasyente at ginagamit lamang nang may kaalamang pahintulot.
* **Genetic Discrimination:** * Maaaring harapin ng mga indibidwal ang diskriminasyon batay sa kanilang genetic na impormasyon, partikular sa mga lugar tulad ng trabaho o insurance. Kailanga"&amp;"ng protektahan ng mga batas laban sa gayong diskriminasyon.
* **Access at Equity:** * Maaaring magastos ang mga personalized na paggamot at hindi madaling available sa lahat. Kailangang tugunan ng mga legal na balangkas ang mga potensyal na pagkakaiba sa "&amp;"pag-access at tiyakin ang pantay na pamamahagi ng mga pagsulong na ito.
* **Mga Pamantayan ng Pangangalaga at Pananagutan:** * Sino ang mananagot kung ang isang personalized na paggamot na nagmula sa genetic data ay may mga negatibong resulta? Ang pagtuko"&amp;"y sa mga pamantayan ng pangangalaga at potensyal na pananagutan para sa mga tagapagbigay ng pangangalagang pangkalusugan at mga kumpanya ng genetic na pagsusuri ay mahalaga.
* **Informed Consent:** * Ang mga kumplikado ng genetic na impormasyon ay nangang"&amp;"ailangan ng malinaw at nauunawaang proseso ng may kaalamang pahintulot para sa mga pasyenteng sumasailalim sa genetic testing at personalized na mga plano sa paggamot.
**Mga Legal na Oportunidad:**
* **Mga Pinahusay na Resulta sa Pangangalagang Pangkalusu"&amp;"gan:** * Ang isang legal na balangkas na nagtataguyod ng responsableng paggamit ng personalized na gamot ay maaaring humantong sa mas mabisang mga paggamot at pinabuting resulta ng pasyente.
* **Katumpakan ng Pampublikong Kalusugan:** * Ang paggamit ng ge"&amp;"netic data ay makakapagbigay-alam sa mga diskarte sa pampublikong kalusugan sa pamamagitan ng pagtukoy sa mga populasyon na mas mataas ang panganib para sa mga partikular na sakit, na nagbibigay-daan para sa mga naka-target na interbensyon at mga pagsisik"&amp;"ap sa pag-iwas.
* **Katumpakan ng Hustisya:** * Ang genetic data analysis ay maaaring potensyal na tumulong sa mga kriminal na pagsisiyasat at forensics, ngunit kailangan ng mga legal na pananggalang upang maprotektahan ang mga karapatan sa privacy.
* **P"&amp;"ersonalized Risk Assessment:** * Ang mga legal na balangkas na nagpo-promote ng responsableng paggamit ng genetic data ay maaaring magbigay-daan sa mga indibidwal na mas maunawaan ang kanilang mga panganib sa kalusugan at gumawa ng matalinong mga desisyon"&amp;" tungkol sa mga hakbang sa pag-iwas.
* **Medical Innovation:** * Ang malinaw na mga legal na alituntunin ay maaaring humimok ng pananaliksik at pagpapaunlad sa personalized na gamot, na humahantong sa higit pang mga pagsulong sa pangangalagang pangkalusug"&amp;"an.
**Pasulong:**
* **Mga Pagtutulungang Pagsisikap:** Ang mga mambabatas, medikal na propesyonal, eksperto sa seguridad ng data, at mga pangkat ng adbokasiya ng pasyente ay kailangang magtulungan upang bumuo ng mga epektibong legal na balangkas. * **Pamp"&amp;"ublikong Edukasyon:** Ang pagpapataas ng kamalayan tungkol sa mga benepisyo at potensyal na panganib ng personalized na gamot ay maaaring magbigay ng kapangyarihan sa mga pasyente na gumawa ng matalinong mga desisyon. * **Pagbabalanse ng Innovation at Pro"&amp;"teksyon:** Ang pagkakaroon ng balanse sa pagitan ng pagpapaunlad ng pagbabago at pagprotekta sa mga karapatan ng pasyente ay mahalaga para sa responsableng pagpapatupad ng personalized na gamot.
Sa pamamagitan ng pagtugon sa mga hamong ito at pagsasamanta"&amp;"la sa mga pagkakataon, magagamit ng Pilipinas ang kapangyarihan ng personalized na gamot upang mapabuti ang paghahatid ng pangangalagang pangkalusugan, itaguyod ang kalusugan ng publiko, at panindigan ang mga prinsipyong etikal sa isang mabilis na umuusbo"&amp;"ng na medikal na tanawin.")</f>
        <v>Ang personalized na gamot at precision na pangangalagang pangkalusugan ay may malaking pangako, ngunit nagpapakita rin ng mga natatanging legal na hamon at pagkakataon sa Pilipinas. Narito ang isang breakdown ng magkabilang panig:
**Mga Legal na Hamon:**
* **Privacy at Seguridad ng Data:** * Ang malawakang pangongolekta at pagsusuri ng data ng personal na kalusugan ay mahalaga para sa personalized na gamot. Gayunpaman, kailangan ng matatag na batas sa privacy ng data upang matiyak na ligtas ang impormasyon ng pasyente at ginagamit lamang nang may kaalamang pahintulot.
* **Genetic Discrimination:** * Maaaring harapin ng mga indibidwal ang diskriminasyon batay sa kanilang genetic na impormasyon, partikular sa mga lugar tulad ng trabaho o insurance. Kailangang protektahan ng mga batas laban sa gayong diskriminasyon.
* **Access at Equity:** * Maaaring magastos ang mga personalized na paggamot at hindi madaling available sa lahat. Kailangang tugunan ng mga legal na balangkas ang mga potensyal na pagkakaiba sa pag-access at tiyakin ang pantay na pamamahagi ng mga pagsulong na ito.
* **Mga Pamantayan ng Pangangalaga at Pananagutan:** * Sino ang mananagot kung ang isang personalized na paggamot na nagmula sa genetic data ay may mga negatibong resulta? Ang pagtukoy sa mga pamantayan ng pangangalaga at potensyal na pananagutan para sa mga tagapagbigay ng pangangalagang pangkalusugan at mga kumpanya ng genetic na pagsusuri ay mahalaga.
* **Informed Consent:** * Ang mga kumplikado ng genetic na impormasyon ay nangangailangan ng malinaw at nauunawaang proseso ng may kaalamang pahintulot para sa mga pasyenteng sumasailalim sa genetic testing at personalized na mga plano sa paggamot.
**Mga Legal na Oportunidad:**
* **Mga Pinahusay na Resulta sa Pangangalagang Pangkalusugan:** * Ang isang legal na balangkas na nagtataguyod ng responsableng paggamit ng personalized na gamot ay maaaring humantong sa mas mabisang mga paggamot at pinabuting resulta ng pasyente.
* **Katumpakan ng Pampublikong Kalusugan:** * Ang paggamit ng genetic data ay makakapagbigay-alam sa mga diskarte sa pampublikong kalusugan sa pamamagitan ng pagtukoy sa mga populasyon na mas mataas ang panganib para sa mga partikular na sakit, na nagbibigay-daan para sa mga naka-target na interbensyon at mga pagsisikap sa pag-iwas.
* **Katumpakan ng Hustisya:** * Ang genetic data analysis ay maaaring potensyal na tumulong sa mga kriminal na pagsisiyasat at forensics, ngunit kailangan ng mga legal na pananggalang upang maprotektahan ang mga karapatan sa privacy.
* **Personalized Risk Assessment:** * Ang mga legal na balangkas na nagpo-promote ng responsableng paggamit ng genetic data ay maaaring magbigay-daan sa mga indibidwal na mas maunawaan ang kanilang mga panganib sa kalusugan at gumawa ng matalinong mga desisyon tungkol sa mga hakbang sa pag-iwas.
* **Medical Innovation:** * Ang malinaw na mga legal na alituntunin ay maaaring humimok ng pananaliksik at pagpapaunlad sa personalized na gamot, na humahantong sa higit pang mga pagsulong sa pangangalagang pangkalusugan.
**Pasulong:**
* **Mga Pagtutulungang Pagsisikap:** Ang mga mambabatas, medikal na propesyonal, eksperto sa seguridad ng data, at mga pangkat ng adbokasiya ng pasyente ay kailangang magtulungan upang bumuo ng mga epektibong legal na balangkas. * **Pampublikong Edukasyon:** Ang pagpapataas ng kamalayan tungkol sa mga benepisyo at potensyal na panganib ng personalized na gamot ay maaaring magbigay ng kapangyarihan sa mga pasyente na gumawa ng matalinong mga desisyon. * **Pagbabalanse ng Innovation at Proteksyon:** Ang pagkakaroon ng balanse sa pagitan ng pagpapaunlad ng pagbabago at pagprotekta sa mga karapatan ng pasyente ay mahalaga para sa responsableng pagpapatupad ng personalized na gamot.
Sa pamamagitan ng pagtugon sa mga hamong ito at pagsasamantala sa mga pagkakataon, magagamit ng Pilipinas ang kapangyarihan ng personalized na gamot upang mapabuti ang paghahatid ng pangangalagang pangkalusugan, itaguyod ang kalusugan ng publiko, at panindigan ang mga prinsipyong etikal sa isang mabilis na umuusbong na medikal na tanawin.</v>
      </c>
      <c r="F1787" s="2">
        <f t="shared" si="1"/>
        <v>0</v>
      </c>
      <c r="G1787" s="2"/>
      <c r="H1787" s="2"/>
      <c r="I1787" s="2"/>
      <c r="J1787" s="2"/>
      <c r="K1787" s="2"/>
      <c r="L1787" s="2"/>
      <c r="M1787" s="2"/>
      <c r="N1787" s="2"/>
      <c r="O1787" s="2"/>
      <c r="P1787" s="2"/>
      <c r="Q1787" s="2"/>
      <c r="R1787" s="2"/>
      <c r="S1787" s="2"/>
      <c r="T1787" s="2"/>
      <c r="U1787" s="2"/>
      <c r="V1787" s="2"/>
      <c r="W1787" s="2"/>
      <c r="X1787" s="2"/>
      <c r="Y1787" s="2"/>
      <c r="Z1787" s="2"/>
      <c r="AA1787" s="2"/>
    </row>
    <row r="1788">
      <c r="A1788" s="1" t="s">
        <v>4337</v>
      </c>
      <c r="B1788" s="1" t="s">
        <v>4622</v>
      </c>
      <c r="C1788" s="1" t="s">
        <v>4623</v>
      </c>
      <c r="D1788" s="2" t="str">
        <f>IFERROR(__xludf.DUMMYFUNCTION("GOOGLETRANSLATE(B1788, ""en"", ""TL"")"),"Paano maiangkop ang legal na sistema upang epektibong matugunan ang mga etikal na alalahanin na nakapalibot sa mga umuusbong na teknolohiyang medikal tulad ng pag-edit ng gene at mga interface ng utak-computer?")</f>
        <v>Paano maiangkop ang legal na sistema upang epektibong matugunan ang mga etikal na alalahanin na nakapalibot sa mga umuusbong na teknolohiyang medikal tulad ng pag-edit ng gene at mga interface ng utak-computer?</v>
      </c>
      <c r="E1788" s="2" t="str">
        <f>IFERROR(__xludf.DUMMYFUNCTION("GOOGLETRANSLATE(C1788, ""en"", ""TL"")"),"Narito kung paano makakaangkop ang legal na sistema ng Pilipinas upang matugunan ang mga etikal na alalahanin na nakapalibot sa mga umuusbong na teknolohiyang medikal tulad ng pag-edit ng gene at mga brain-computer interface (BCIs):
**1. Pagtatatag ng Mal"&amp;"inaw na Regulatory Framework:**
* **Pag-edit ng Gene:** Maaaring magtatag ang legal na sistema ng malinaw na mga alituntunin at regulasyon para sa mga eksperimento sa pag-edit ng gene, na isinasaalang-alang:
* **Mga Paghihigpit sa Layunin:** Nililimitahan"&amp;" ang pag-edit ng gene sa mga therapeutic na layunin at pagbabawal sa pag-edit ng germline (pagbabago ng mga gene na ipinasa sa mga supling) dahil sa mga alalahanin sa kaligtasan at mga implikasyon sa etika. * **Informed Consent:** Tinitiyak ang matatag na"&amp;" proseso ng may kaalamang pahintulot para sa mga kalahok sa mga pagsubok sa pag-edit ng gene, na may malinaw na pagpapaliwanag ng mga potensyal na panganib at benepisyo.
* **Mga Oversight Committee:** Nagtatatag ng mga independent oversight committee na m"&amp;"ay kadalubhasaan sa genetics, etika, at batas upang suriin ang mga panukala sa pag-edit ng gene at tiyakin ang mga responsableng kasanayan sa pananaliksik.
* **Mga BCI:** Ang mga regulasyon para sa mga BCI ay dapat tumugon sa mga isyu tulad ng:
* **Kaligt"&amp;"asan ng Pasyente:** Pagtukoy ng mga protocol sa kaligtasan para sa BCI implantation at paghahatid ng data upang mabawasan ang mga panganib ng malfunction o pag-hack.
* **Privacy at Seguridad ng Data:** Pagpapatupad ng mga matibay na hakbang sa seguridad n"&amp;"g data upang protektahan ang sensitibong data ng aktibidad ng utak na kinokolekta ng mga BCI.
* **Informed Consent:** Pagtatatag ng mga pamamaraan ng may kaalamang pahintulot na nagpapaliwanag ng mga potensyal na pangmatagalang epekto at mga panganib na n"&amp;"auugnay sa paggamit ng BCI. * **Mental Capacity:** Pagbuo ng mga legal na balangkas tungkol sa paggawa ng desisyon para sa paggamit ng BCI sa mga indibidwal na may potensyal na mga limitasyon sa pag-iisip.
**2. Pagpapahalaga sa Etikal na Pagsasaalang-alan"&amp;"g:**
* Maaaring isama ng legal na sistema ang mga prinsipyong etikal tulad ng beneficence (paggawa ng mabuti), non-maleficence (pag-iwas sa pinsala), katarungan (fairness), at awtonomiya (paggalang sa pagpili ng pasyente) sa mga regulasyon para sa mga umu"&amp;"usbong na teknolohiya.
* Maaaring magtatag ng mga etikal na review board na may magkakaibang kadalubhasaan (agham, batas, etika, relihiyon) upang suriin ang mga panukala para sa pag-edit ng gene at pananaliksik at aplikasyon ng BCI.
**3. Pampublikong Paki"&amp;"kipag-ugnayan at Edukasyon:**
* Ang mga bukas na talakayan at mga kampanya sa pampublikong kamalayan ay maaaring makatulong sa pagpapaunlad ng kaalamang pampublikong diskurso sa mga etikal na implikasyon ng mga teknolohiyang ito. * Ang pakikipag-ugnayan s"&amp;"a mga pinuno ng relihiyon at kultura ay maaaring matugunan ang mga potensyal na panlipunan at etikal na alalahanin sa paligid ng pag-edit ng gene at mga BCI.
**4. Pakikipagtulungan at International Harmonization:**
* Ang pakikipagtulungan sa pagitan ng mg"&amp;"a mambabatas ng Pilipinas, mga regulatory body, at mga internasyonal na organisasyon ay maaaring makatulong na matiyak ang isang koordinadong diskarte sa pagtugon sa mga etikal na alalahanin na may kaugnayan sa mga umuusbong na teknolohiyang medikal. * An"&amp;"g pagbabahagi ng pinakamahuhusay na kagawian at pagsasama-sama ng mga regulasyon sa pag-edit ng gene at mga BCI sa iba't ibang bansa ay maaaring magsulong ng responsableng pagbabago at maiwasan ang potensyal na maling paggamit.
**5. Kakayahang umangkop at"&amp;" kakayahang umangkop:**
* Ang legal na sistema ay kailangang maging adaptable upang makasabay sa mabilis na pag-unlad ng mga teknolohiyang ito. * Ang mga regular na pagsusuri at pag-update ng mga regulasyon ay magiging mahalaga upang matiyak na mananatili"&amp;"ng epektibo ang mga ito sa pagtugon sa mga bagong alalahaning etikal na maaaring lumitaw.
**Mga Hamon at Pagsasaalang-alang:**
* Ang pagbabalanse ng pagbabago sa mga etikal na pagsasaalang-alang ay maaaring maging kumplikado.
* Ang pagkakaroon ng balanse "&amp;"sa pagitan ng indibidwal na awtonomiya at mga potensyal na panganib sa lipunan sa pag-edit ng gene ay nangangailangan ng maingat na pagsasaalang-alang.
* Ang pagtiyak ng pantay na pag-access sa mga potensyal na benepisyo ng mga teknolohiyang ito habang pi"&amp;"nipigilan ang pagsasamantala ay napakahalaga.
Sa pamamagitan ng aktibong pag-angkop sa legal na sistema, maaaring iposisyon ng Pilipinas ang sarili upang gamitin ang potensyal ng mga umuusbong na teknolohiyang medikal habang pinapagaan ang mga panganib sa"&amp;" etika at itinataguyod ang mga karapatan at kagalingan ng mga mamamayan nito.")</f>
        <v>Narito kung paano makakaangkop ang legal na sistema ng Pilipinas upang matugunan ang mga etikal na alalahanin na nakapalibot sa mga umuusbong na teknolohiyang medikal tulad ng pag-edit ng gene at mga brain-computer interface (BCIs):
**1. Pagtatatag ng Malinaw na Regulatory Framework:**
* **Pag-edit ng Gene:** Maaaring magtatag ang legal na sistema ng malinaw na mga alituntunin at regulasyon para sa mga eksperimento sa pag-edit ng gene, na isinasaalang-alang:
* **Mga Paghihigpit sa Layunin:** Nililimitahan ang pag-edit ng gene sa mga therapeutic na layunin at pagbabawal sa pag-edit ng germline (pagbabago ng mga gene na ipinasa sa mga supling) dahil sa mga alalahanin sa kaligtasan at mga implikasyon sa etika. * **Informed Consent:** Tinitiyak ang matatag na proseso ng may kaalamang pahintulot para sa mga kalahok sa mga pagsubok sa pag-edit ng gene, na may malinaw na pagpapaliwanag ng mga potensyal na panganib at benepisyo.
* **Mga Oversight Committee:** Nagtatatag ng mga independent oversight committee na may kadalubhasaan sa genetics, etika, at batas upang suriin ang mga panukala sa pag-edit ng gene at tiyakin ang mga responsableng kasanayan sa pananaliksik.
* **Mga BCI:** Ang mga regulasyon para sa mga BCI ay dapat tumugon sa mga isyu tulad ng:
* **Kaligtasan ng Pasyente:** Pagtukoy ng mga protocol sa kaligtasan para sa BCI implantation at paghahatid ng data upang mabawasan ang mga panganib ng malfunction o pag-hack.
* **Privacy at Seguridad ng Data:** Pagpapatupad ng mga matibay na hakbang sa seguridad ng data upang protektahan ang sensitibong data ng aktibidad ng utak na kinokolekta ng mga BCI.
* **Informed Consent:** Pagtatatag ng mga pamamaraan ng may kaalamang pahintulot na nagpapaliwanag ng mga potensyal na pangmatagalang epekto at mga panganib na nauugnay sa paggamit ng BCI. * **Mental Capacity:** Pagbuo ng mga legal na balangkas tungkol sa paggawa ng desisyon para sa paggamit ng BCI sa mga indibidwal na may potensyal na mga limitasyon sa pag-iisip.
**2. Pagpapahalaga sa Etikal na Pagsasaalang-alang:**
* Maaaring isama ng legal na sistema ang mga prinsipyong etikal tulad ng beneficence (paggawa ng mabuti), non-maleficence (pag-iwas sa pinsala), katarungan (fairness), at awtonomiya (paggalang sa pagpili ng pasyente) sa mga regulasyon para sa mga umuusbong na teknolohiya.
* Maaaring magtatag ng mga etikal na review board na may magkakaibang kadalubhasaan (agham, batas, etika, relihiyon) upang suriin ang mga panukala para sa pag-edit ng gene at pananaliksik at aplikasyon ng BCI.
**3. Pampublikong Pakikipag-ugnayan at Edukasyon:**
* Ang mga bukas na talakayan at mga kampanya sa pampublikong kamalayan ay maaaring makatulong sa pagpapaunlad ng kaalamang pampublikong diskurso sa mga etikal na implikasyon ng mga teknolohiyang ito. * Ang pakikipag-ugnayan sa mga pinuno ng relihiyon at kultura ay maaaring matugunan ang mga potensyal na panlipunan at etikal na alalahanin sa paligid ng pag-edit ng gene at mga BCI.
**4. Pakikipagtulungan at International Harmonization:**
* Ang pakikipagtulungan sa pagitan ng mga mambabatas ng Pilipinas, mga regulatory body, at mga internasyonal na organisasyon ay maaaring makatulong na matiyak ang isang koordinadong diskarte sa pagtugon sa mga etikal na alalahanin na may kaugnayan sa mga umuusbong na teknolohiyang medikal. * Ang pagbabahagi ng pinakamahuhusay na kagawian at pagsasama-sama ng mga regulasyon sa pag-edit ng gene at mga BCI sa iba't ibang bansa ay maaaring magsulong ng responsableng pagbabago at maiwasan ang potensyal na maling paggamit.
**5. Kakayahang umangkop at kakayahang umangkop:**
* Ang legal na sistema ay kailangang maging adaptable upang makasabay sa mabilis na pag-unlad ng mga teknolohiyang ito. * Ang mga regular na pagsusuri at pag-update ng mga regulasyon ay magiging mahalaga upang matiyak na mananatiling epektibo ang mga ito sa pagtugon sa mga bagong alalahaning etikal na maaaring lumitaw.
**Mga Hamon at Pagsasaalang-alang:**
* Ang pagbabalanse ng pagbabago sa mga etikal na pagsasaalang-alang ay maaaring maging kumplikado.
* Ang pagkakaroon ng balanse sa pagitan ng indibidwal na awtonomiya at mga potensyal na panganib sa lipunan sa pag-edit ng gene ay nangangailangan ng maingat na pagsasaalang-alang.
* Ang pagtiyak ng pantay na pag-access sa mga potensyal na benepisyo ng mga teknolohiyang ito habang pinipigilan ang pagsasamantala ay napakahalaga.
Sa pamamagitan ng aktibong pag-angkop sa legal na sistema, maaaring iposisyon ng Pilipinas ang sarili upang gamitin ang potensyal ng mga umuusbong na teknolohiyang medikal habang pinapagaan ang mga panganib sa etika at itinataguyod ang mga karapatan at kagalingan ng mga mamamayan nito.</v>
      </c>
      <c r="F1788" s="2">
        <f t="shared" si="1"/>
        <v>0</v>
      </c>
      <c r="G1788" s="2"/>
      <c r="H1788" s="2"/>
      <c r="I1788" s="2"/>
      <c r="J1788" s="2"/>
      <c r="K1788" s="2"/>
      <c r="L1788" s="2"/>
      <c r="M1788" s="2"/>
      <c r="N1788" s="2"/>
      <c r="O1788" s="2"/>
      <c r="P1788" s="2"/>
      <c r="Q1788" s="2"/>
      <c r="R1788" s="2"/>
      <c r="S1788" s="2"/>
      <c r="T1788" s="2"/>
      <c r="U1788" s="2"/>
      <c r="V1788" s="2"/>
      <c r="W1788" s="2"/>
      <c r="X1788" s="2"/>
      <c r="Y1788" s="2"/>
      <c r="Z1788" s="2"/>
      <c r="AA1788" s="2"/>
    </row>
    <row r="1789">
      <c r="A1789" s="1" t="s">
        <v>4337</v>
      </c>
      <c r="B1789" s="1" t="s">
        <v>4624</v>
      </c>
      <c r="C1789" s="1" t="s">
        <v>4625</v>
      </c>
      <c r="D1789" s="2" t="str">
        <f>IFERROR(__xludf.DUMMYFUNCTION("GOOGLETRANSLATE(B1789, ""en"", ""TL"")"),"Paano umunlad ang batas medikal ng Pilipinas sa buong kasaysayan, naimpluwensyahan ng kolonyal na paghahari at pagbabago ng mga gawi ng pamahalaan?")</f>
        <v>Paano umunlad ang batas medikal ng Pilipinas sa buong kasaysayan, naimpluwensyahan ng kolonyal na paghahari at pagbabago ng mga gawi ng pamahalaan?</v>
      </c>
      <c r="E1789" s="2" t="str">
        <f>IFERROR(__xludf.DUMMYFUNCTION("GOOGLETRANSLATE(C1789, ""en"", ""TL"")"),"Ang ebolusyon ng batas medikal ng Pilipinas ay sumasalamin sa isang kamangha-manghang interplay sa pagitan ng mga kolonyal na impluwensya, pagbabago ng mga gawi ng pamahalaan, at ang lumalaking pagnanais para sa isang mas matatag na sistema ng pangangalag"&amp;"ang pangkalusugan. Narito ang isang makasaysayang breakdown:
**Pre-Colonial Era:**
* **Mga Katutubong Kasanayan:** Ang mga pre-kolonyal na Pilipino ay may sariling sistema ng tradisyunal na gamot gamit ang mga herbal na remedyo at espirituwal na mga kasan"&amp;"ayan. Walang mga naka-code na batas, ngunit ang mga kaugalian at kultural na paniniwala ay gumabay sa mga diskarte sa pangangalagang pangkalusugan.
**Panahon ng Kolonyal na Espanyol (1521-1898):**
* **Mga Maagang Regulasyon:** Ipinakilala ng mga Espanyol "&amp;"ang ilan sa mga unang regulasyong nakatuon sa kalinisan at pagkontrol sa sakit. Nagtatag sila ng mga ospital para sa mga tauhan ng militar at relihiyon.
* **Limitadong Access sa Pangangalagang Pangkalusugan:** Ang mga serbisyo sa pangangalagang pangkalusu"&amp;"gan ay pangunahing naa-access ng mga piling tao sa Espanya at ng hierarchy ng Simbahan. Nagpatuloy ang mga katutubong gawi sa pangkalahatang populasyon.
* **Impluwensiya ng Simbahang Katoliko:** Malaki ang naging papel ng Simbahan sa paghahatid ng pangang"&amp;"alagang pangkalusugan, ngunit nagsagawa din ng kontrol sa mga medikal na kasanayan at paniniwala.
** Panahon ng Kolonyal ng Amerika (1898-1946):**
* **Tumuon sa Pampublikong Kalusugan:** Ipinakilala ng mga Amerikano ang isang mas nakaayos na sistema ng pa"&amp;"mpublikong kalusugan, na nakatuon sa pagpigil sa mga nakakahawang sakit sa pamamagitan ng mga kampanya sa pagbabakuna at pinahusay na mga hakbang sa kalinisan.
* **Pagtatatag ng mga Regulatory Bodies:** Ang mga batas ay pinagtibay upang ayusin ang pagsasa"&amp;"gawa ng medisina at parmasya, na naglalayong pahusayin ang mga pamantayan sa pangangalagang pangkalusugan. * **Pinataas na Access sa Pangangalagang Pangkalusugan:** Nagtatag ang mga Amerikano ng mas maraming ospital at klinika, na naglalayong palawakin an"&amp;"g access sa pangangalagang pangkalusugan na lampas sa may pribilehiyong klase. Gayunpaman, nanatili ang mga pagkakaiba.
**Panahon Pagkatapos ng Kolonyal (1946-Kasalukuyan):**
* **Tumuon sa Pangkalahatang Pangangalaga sa Kalusugan:** Ang pamahalaan ng Pili"&amp;"pinas ay unti-unting nakatuon sa pagkamit ng pangkalahatang access sa pangangalagang pangkalusugan para sa mga mamamayan nito. * **Mga Batas sa Landmark:** Ilang pangunahing batas ang humubog sa modernong tanawin:
* **The Medical Act of 1953 (RA No. 2382)"&amp;":** Tinutukoy ang pagsasagawa ng medisina at nagtatakda ng mga pamantayan para sa paglilisensya.
* **The Generic Drugs Act of 1988 (RA No. 6675):** Nagsusulong ng access sa abot-kaya at mahahalagang gamot.
* **The Universal Health Care Law of 2012 (RA No."&amp;" 11223):** Nag-uutos ng saklaw ng PhilHealth para sa mga Pilipino, na naglalayong palawakin ang saklaw ng health insurance.
* **Pagharap sa mga Umuusbong na Hamon:** Ang batas medikal ng Pilipinas ay patuloy na umuunlad upang tugunan ang mga bagong hamon "&amp;"tulad ng paglaban sa antibiotic, ang pagtaas ng mga hindi nakakahawang sakit, at ang pagsasama-sama ng mga bagong teknolohiya.
**Mga Impluwensiya ng Kolonyal:**
* Parehong panahon ng kolonyal na Espanyol at Amerikano ang naglatag ng batayan para sa isang "&amp;"balangkas ng regulasyon para sa mga kasanayan sa pangangalagang pangkalusugan.
* Ang pagtuon ng Amerikano sa kalusugan ng publiko ay patuloy na hinuhubog ang mga inisyatiba sa kalusugan ng publiko sa Pilipinas.
**Pagbabago ng Mga Kasanayan ng Pamahalaan:*"&amp;"*
* Ang mga sunud-sunod na pamahalaan ng Pilipinas ay nag-prioritize ng pagtaas ng access at affordability sa pangangalagang pangkalusugan.
* Ang konsepto ng pangkalahatang pangangalagang pangkalusugan ay naging pangunahing layunin ng sistema ng pangangal"&amp;"agang pangkalusugan.
**Inaasahan:**
* Ang batas medikal ng Pilipinas ay malamang na patuloy na umuunlad upang matugunan ang mga isyu tulad ng:
* Mga etikal na alalahanin tungkol sa mga umuusbong na teknolohiyang medikal.
* Ang pangangailangan para sa isan"&amp;"g matatag na legal na balangkas para sa personalized na gamot.
* Pagtiyak ng pantay na pag-access sa mga serbisyo ng pangangalagang pangkalusugan sa iba't ibang demograpiko at heograpikal na lokasyon.
Sa pamamagitan ng pag-unawa sa makasaysayang konteksto"&amp;" ng batas medikal ng Pilipinas, makikita natin kung paano ito hinubog ng parehong panlabas na impluwensya at ang patuloy na paghahangad ng bansa sa isang mas pantay at madaling naa-access na sistema ng pangangalagang pangkalusugan.")</f>
        <v>Ang ebolusyon ng batas medikal ng Pilipinas ay sumasalamin sa isang kamangha-manghang interplay sa pagitan ng mga kolonyal na impluwensya, pagbabago ng mga gawi ng pamahalaan, at ang lumalaking pagnanais para sa isang mas matatag na sistema ng pangangalagang pangkalusugan. Narito ang isang makasaysayang breakdown:
**Pre-Colonial Era:**
* **Mga Katutubong Kasanayan:** Ang mga pre-kolonyal na Pilipino ay may sariling sistema ng tradisyunal na gamot gamit ang mga herbal na remedyo at espirituwal na mga kasanayan. Walang mga naka-code na batas, ngunit ang mga kaugalian at kultural na paniniwala ay gumabay sa mga diskarte sa pangangalagang pangkalusugan.
**Panahon ng Kolonyal na Espanyol (1521-1898):**
* **Mga Maagang Regulasyon:** Ipinakilala ng mga Espanyol ang ilan sa mga unang regulasyong nakatuon sa kalinisan at pagkontrol sa sakit. Nagtatag sila ng mga ospital para sa mga tauhan ng militar at relihiyon.
* **Limitadong Access sa Pangangalagang Pangkalusugan:** Ang mga serbisyo sa pangangalagang pangkalusugan ay pangunahing naa-access ng mga piling tao sa Espanya at ng hierarchy ng Simbahan. Nagpatuloy ang mga katutubong gawi sa pangkalahatang populasyon.
* **Impluwensiya ng Simbahang Katoliko:** Malaki ang naging papel ng Simbahan sa paghahatid ng pangangalagang pangkalusugan, ngunit nagsagawa din ng kontrol sa mga medikal na kasanayan at paniniwala.
** Panahon ng Kolonyal ng Amerika (1898-1946):**
* **Tumuon sa Pampublikong Kalusugan:** Ipinakilala ng mga Amerikano ang isang mas nakaayos na sistema ng pampublikong kalusugan, na nakatuon sa pagpigil sa mga nakakahawang sakit sa pamamagitan ng mga kampanya sa pagbabakuna at pinahusay na mga hakbang sa kalinisan.
* **Pagtatatag ng mga Regulatory Bodies:** Ang mga batas ay pinagtibay upang ayusin ang pagsasagawa ng medisina at parmasya, na naglalayong pahusayin ang mga pamantayan sa pangangalagang pangkalusugan. * **Pinataas na Access sa Pangangalagang Pangkalusugan:** Nagtatag ang mga Amerikano ng mas maraming ospital at klinika, na naglalayong palawakin ang access sa pangangalagang pangkalusugan na lampas sa may pribilehiyong klase. Gayunpaman, nanatili ang mga pagkakaiba.
**Panahon Pagkatapos ng Kolonyal (1946-Kasalukuyan):**
* **Tumuon sa Pangkalahatang Pangangalaga sa Kalusugan:** Ang pamahalaan ng Pilipinas ay unti-unting nakatuon sa pagkamit ng pangkalahatang access sa pangangalagang pangkalusugan para sa mga mamamayan nito. * **Mga Batas sa Landmark:** Ilang pangunahing batas ang humubog sa modernong tanawin:
* **The Medical Act of 1953 (RA No. 2382):** Tinutukoy ang pagsasagawa ng medisina at nagtatakda ng mga pamantayan para sa paglilisensya.
* **The Generic Drugs Act of 1988 (RA No. 6675):** Nagsusulong ng access sa abot-kaya at mahahalagang gamot.
* **The Universal Health Care Law of 2012 (RA No. 11223):** Nag-uutos ng saklaw ng PhilHealth para sa mga Pilipino, na naglalayong palawakin ang saklaw ng health insurance.
* **Pagharap sa mga Umuusbong na Hamon:** Ang batas medikal ng Pilipinas ay patuloy na umuunlad upang tugunan ang mga bagong hamon tulad ng paglaban sa antibiotic, ang pagtaas ng mga hindi nakakahawang sakit, at ang pagsasama-sama ng mga bagong teknolohiya.
**Mga Impluwensiya ng Kolonyal:**
* Parehong panahon ng kolonyal na Espanyol at Amerikano ang naglatag ng batayan para sa isang balangkas ng regulasyon para sa mga kasanayan sa pangangalagang pangkalusugan.
* Ang pagtuon ng Amerikano sa kalusugan ng publiko ay patuloy na hinuhubog ang mga inisyatiba sa kalusugan ng publiko sa Pilipinas.
**Pagbabago ng Mga Kasanayan ng Pamahalaan:**
* Ang mga sunud-sunod na pamahalaan ng Pilipinas ay nag-prioritize ng pagtaas ng access at affordability sa pangangalagang pangkalusugan.
* Ang konsepto ng pangkalahatang pangangalagang pangkalusugan ay naging pangunahing layunin ng sistema ng pangangalagang pangkalusugan.
**Inaasahan:**
* Ang batas medikal ng Pilipinas ay malamang na patuloy na umuunlad upang matugunan ang mga isyu tulad ng:
* Mga etikal na alalahanin tungkol sa mga umuusbong na teknolohiyang medikal.
* Ang pangangailangan para sa isang matatag na legal na balangkas para sa personalized na gamot.
* Pagtiyak ng pantay na pag-access sa mga serbisyo ng pangangalagang pangkalusugan sa iba't ibang demograpiko at heograpikal na lokasyon.
Sa pamamagitan ng pag-unawa sa makasaysayang konteksto ng batas medikal ng Pilipinas, makikita natin kung paano ito hinubog ng parehong panlabas na impluwensya at ang patuloy na paghahangad ng bansa sa isang mas pantay at madaling naa-access na sistema ng pangangalagang pangkalusugan.</v>
      </c>
      <c r="F1789" s="2">
        <f t="shared" si="1"/>
        <v>0</v>
      </c>
      <c r="G1789" s="2"/>
      <c r="H1789" s="2"/>
      <c r="I1789" s="2"/>
      <c r="J1789" s="2"/>
      <c r="K1789" s="2"/>
      <c r="L1789" s="2"/>
      <c r="M1789" s="2"/>
      <c r="N1789" s="2"/>
      <c r="O1789" s="2"/>
      <c r="P1789" s="2"/>
      <c r="Q1789" s="2"/>
      <c r="R1789" s="2"/>
      <c r="S1789" s="2"/>
      <c r="T1789" s="2"/>
      <c r="U1789" s="2"/>
      <c r="V1789" s="2"/>
      <c r="W1789" s="2"/>
      <c r="X1789" s="2"/>
      <c r="Y1789" s="2"/>
      <c r="Z1789" s="2"/>
      <c r="AA1789" s="2"/>
    </row>
    <row r="1790">
      <c r="A1790" s="1" t="s">
        <v>4337</v>
      </c>
      <c r="B1790" s="1" t="s">
        <v>4626</v>
      </c>
      <c r="C1790" s="1" t="s">
        <v>4627</v>
      </c>
      <c r="D1790" s="2" t="str">
        <f>IFERROR(__xludf.DUMMYFUNCTION("GOOGLETRANSLATE(B1790, ""en"", ""TL"")"),"Paano nakakatulong ang mga makasaysayang kaso ng legal at makasaysayang kaganapan sa paghubog ng kasalukuyang legal na balangkas para sa pangangalagang pangkalusugan sa Pilipinas?")</f>
        <v>Paano nakakatulong ang mga makasaysayang kaso ng legal at makasaysayang kaganapan sa paghubog ng kasalukuyang legal na balangkas para sa pangangalagang pangkalusugan sa Pilipinas?</v>
      </c>
      <c r="E1790" s="2" t="str">
        <f>IFERROR(__xludf.DUMMYFUNCTION("GOOGLETRANSLATE(C1790, ""en"", ""TL"")"),"Maraming mahahalagang legal na kaso at makasaysayang pangyayari ang makabuluhang humubog sa kasalukuyang legal na balangkas para sa pangangalagang pangkalusugan sa Pilipinas. Narito ang isang mas malapit na pagtingin sa ilang pangunahing halimbawa:
**Land"&amp;"mark Legal na Kaso:**
* **Espiritu vs. IAC (1990):** Itinatag ng kasong ito ang ""karapatan ng doktor na tanggihan ang paggamot"" ngunit binigyang-diin din ang etikal na obligasyon ng doktor na ipaalam sa pasyente at tiyakin ang referral kung kinakailanga"&amp;"n. Itinatampok ng kasong ito ang balanse sa pagitan ng awtonomiya ng pasyente at propesyonal na responsibilidad sa loob ng legal na balangkas.
* **Osmeña vs. Court of Appeals (2000):** Kinilala ng kasong ito ang karapatan sa may-kaalamang pahintulot. Ipin"&amp;"ag-utos nito na ang mga tagapagbigay ng pangangalagang pangkalusugan ay kumuha ng may-kaalamang pahintulot ng isang pasyente bago ang anumang pamamaraang medikal, na tinitiyak na nauunawaan ng mga pasyente ang mga panganib at benepisyo ng mga opsyon sa pa"&amp;"ggamot. * **Jacob vs. Court of Appeals (2010):** Tinutugunan ng kasong ito ang isyu ng ""malpractice."" Tinukoy ng korte ang mga elemento ng medikal na malpractice at itinatag ang mga pamantayan ng pangangalaga na dapat itaguyod ng mga propesyonal sa pang"&amp;"angalagang pangkalusugan. Ang kasong ito ay nagbibigay ng legal na balangkas para sa pagpapanagot sa mga tagapagbigay ng pangangalagang pangkalusugan para sa kapabayaan.
**Mga Pangkasaysayang Kaganapan:**
* **DOH Reorganization Act of 1972 (RA No. 349):**"&amp;" Ang batas na ito ay makabuluhang muling inorganisa ang Kagawaran ng Kalusugan (DOH), na pinalakas ang tungkulin nito sa pagbabalangkas at pagpapatupad ng mga pambansang patakaran sa kalusugan. Ang kaganapang ito ay naglatag ng batayan para sa isang mas s"&amp;"entralisado at koordinadong diskarte sa paghahatid ng pangangalagang pangkalusugan.
* **People Power Revolution of 1986:** Ang rebolusyon na nagpabagsak sa rehimeng Marcos ay naghatid ng panibagong pagtuon sa katarungang panlipunan at pagpapabuti ng buhay"&amp;" ng mga Pilipino. Ang pagbabagong ito sa mga pambansang priyoridad ay nakatulong sa pagbibigay daan para sa mga pagsisikap ng pambatasan tungo sa pagpapalawak ng pag-access sa pangangalagang pangkalusugan at pagiging abot-kaya.
* **Pag-usbong ng HIV/AIDS "&amp;"(1980s):** Ang paglitaw ng epidemya ng HIV/AIDS ay nagbigay-diin sa pangangailangan para sa isang mas matatag na pagtugon sa kalusugan ng publiko. Ang kaganapang ito ay nag-udyok sa pagbuo ng mga patakaran at programa na nakatuon sa pag-iwas, paggamot, at"&amp;" pag-access sa mga mahahalagang gamot sa HIV.
**Epekto sa Kasalukuyang Legal na Framework:**
Ang mga legal na kaso at makasaysayang pangyayaring ito ay nag-ambag lahat sa kasalukuyang legal na balangkas para sa pangangalagang pangkalusugan sa Pilipinas sa"&amp;" iba't ibang paraan:
* **Mga Karapatan ng Pasyente:** Ang mga pangunahing kaso tulad ng Osmeña vs. Court of Appeals (2000) ay nagpalakas ng awtonomiya ng pasyente at may kaalamang pahintulot, na tinitiyak na ang mga pasyente ay may higit na masasabi sa ka"&amp;"nilang mga desisyon sa pangangalagang pangkalusugan.
* **Propesyonal na Pananagutan:** Ang mga kaso tulad ng Jacob vs. Court of Appeals (2010) ay nagtatag ng mga pamantayan ng pangangalaga at mga legal na kahihinatnan para sa medikal na malpractice, na na"&amp;"gsusulong ng pananagutan sa mga propesyonal sa pangangalagang pangkalusugan.
* **Tungkulin ng DOH:** Pinatibay ng DOH Reorganization Act (1972) ang tungkulin ng departamento sa paghubog ng pambansang mga patakaran sa pangangalagang pangkalusugan, na humah"&amp;"antong sa mas magkakaugnay na pagsisikap sa pagpapabuti ng paghahatid ng pangangalagang pangkalusugan.
* **Universal Healthcare:** Ang social justice focus pagkatapos ng People Power Revolution ay nag-ambag sa pagpasa ng Universal Health Care Law (2012), "&amp;"na naglalayong palawakin ang saklaw ng health insurance at bawasan ang mga gastos mula sa bulsa.
* **Mga Inisyatiba sa Pampublikong Kalusugan:** Ang paglitaw ng HIV/AIDS ay humantong sa mga legal na balangkas na sumusuporta sa mga programa sa pampublikong"&amp;" kalusugan at pag-access sa mga mahahalagang gamot, na maaaring ilapat upang matugunan ang iba pang mga hamon sa kalusugan ng publiko.
**Inaasahan:**
Ang legal na balangkas para sa pangangalagang pangkalusugan sa Pilipinas ay patuloy na umuunlad. Ang mga "&amp;"legal na kaso sa hinaharap at mga makasaysayang kaganapan na nauugnay sa mga umuusbong na teknolohiya, pag-access sa mga bagong paggamot, at pagtugon sa mga pagkakaiba sa pangangalagang pangkalusugan ay malamang na higit na humuhubog sa batas medikal ng P"&amp;"ilipinas.")</f>
        <v>Maraming mahahalagang legal na kaso at makasaysayang pangyayari ang makabuluhang humubog sa kasalukuyang legal na balangkas para sa pangangalagang pangkalusugan sa Pilipinas. Narito ang isang mas malapit na pagtingin sa ilang pangunahing halimbawa:
**Landmark Legal na Kaso:**
* **Espiritu vs. IAC (1990):** Itinatag ng kasong ito ang "karapatan ng doktor na tanggihan ang paggamot" ngunit binigyang-diin din ang etikal na obligasyon ng doktor na ipaalam sa pasyente at tiyakin ang referral kung kinakailangan. Itinatampok ng kasong ito ang balanse sa pagitan ng awtonomiya ng pasyente at propesyonal na responsibilidad sa loob ng legal na balangkas.
* **Osmeña vs. Court of Appeals (2000):** Kinilala ng kasong ito ang karapatan sa may-kaalamang pahintulot. Ipinag-utos nito na ang mga tagapagbigay ng pangangalagang pangkalusugan ay kumuha ng may-kaalamang pahintulot ng isang pasyente bago ang anumang pamamaraang medikal, na tinitiyak na nauunawaan ng mga pasyente ang mga panganib at benepisyo ng mga opsyon sa paggamot. * **Jacob vs. Court of Appeals (2010):** Tinutugunan ng kasong ito ang isyu ng "malpractice." Tinukoy ng korte ang mga elemento ng medikal na malpractice at itinatag ang mga pamantayan ng pangangalaga na dapat itaguyod ng mga propesyonal sa pangangalagang pangkalusugan. Ang kasong ito ay nagbibigay ng legal na balangkas para sa pagpapanagot sa mga tagapagbigay ng pangangalagang pangkalusugan para sa kapabayaan.
**Mga Pangkasaysayang Kaganapan:**
* **DOH Reorganization Act of 1972 (RA No. 349):** Ang batas na ito ay makabuluhang muling inorganisa ang Kagawaran ng Kalusugan (DOH), na pinalakas ang tungkulin nito sa pagbabalangkas at pagpapatupad ng mga pambansang patakaran sa kalusugan. Ang kaganapang ito ay naglatag ng batayan para sa isang mas sentralisado at koordinadong diskarte sa paghahatid ng pangangalagang pangkalusugan.
* **People Power Revolution of 1986:** Ang rebolusyon na nagpabagsak sa rehimeng Marcos ay naghatid ng panibagong pagtuon sa katarungang panlipunan at pagpapabuti ng buhay ng mga Pilipino. Ang pagbabagong ito sa mga pambansang priyoridad ay nakatulong sa pagbibigay daan para sa mga pagsisikap ng pambatasan tungo sa pagpapalawak ng pag-access sa pangangalagang pangkalusugan at pagiging abot-kaya.
* **Pag-usbong ng HIV/AIDS (1980s):** Ang paglitaw ng epidemya ng HIV/AIDS ay nagbigay-diin sa pangangailangan para sa isang mas matatag na pagtugon sa kalusugan ng publiko. Ang kaganapang ito ay nag-udyok sa pagbuo ng mga patakaran at programa na nakatuon sa pag-iwas, paggamot, at pag-access sa mga mahahalagang gamot sa HIV.
**Epekto sa Kasalukuyang Legal na Framework:**
Ang mga legal na kaso at makasaysayang pangyayaring ito ay nag-ambag lahat sa kasalukuyang legal na balangkas para sa pangangalagang pangkalusugan sa Pilipinas sa iba't ibang paraan:
* **Mga Karapatan ng Pasyente:** Ang mga pangunahing kaso tulad ng Osmeña vs. Court of Appeals (2000) ay nagpalakas ng awtonomiya ng pasyente at may kaalamang pahintulot, na tinitiyak na ang mga pasyente ay may higit na masasabi sa kanilang mga desisyon sa pangangalagang pangkalusugan.
* **Propesyonal na Pananagutan:** Ang mga kaso tulad ng Jacob vs. Court of Appeals (2010) ay nagtatag ng mga pamantayan ng pangangalaga at mga legal na kahihinatnan para sa medikal na malpractice, na nagsusulong ng pananagutan sa mga propesyonal sa pangangalagang pangkalusugan.
* **Tungkulin ng DOH:** Pinatibay ng DOH Reorganization Act (1972) ang tungkulin ng departamento sa paghubog ng pambansang mga patakaran sa pangangalagang pangkalusugan, na humahantong sa mas magkakaugnay na pagsisikap sa pagpapabuti ng paghahatid ng pangangalagang pangkalusugan.
* **Universal Healthcare:** Ang social justice focus pagkatapos ng People Power Revolution ay nag-ambag sa pagpasa ng Universal Health Care Law (2012), na naglalayong palawakin ang saklaw ng health insurance at bawasan ang mga gastos mula sa bulsa.
* **Mga Inisyatiba sa Pampublikong Kalusugan:** Ang paglitaw ng HIV/AIDS ay humantong sa mga legal na balangkas na sumusuporta sa mga programa sa pampublikong kalusugan at pag-access sa mga mahahalagang gamot, na maaaring ilapat upang matugunan ang iba pang mga hamon sa kalusugan ng publiko.
**Inaasahan:**
Ang legal na balangkas para sa pangangalagang pangkalusugan sa Pilipinas ay patuloy na umuunlad. Ang mga legal na kaso sa hinaharap at mga makasaysayang kaganapan na nauugnay sa mga umuusbong na teknolohiya, pag-access sa mga bagong paggamot, at pagtugon sa mga pagkakaiba sa pangangalagang pangkalusugan ay malamang na higit na humuhubog sa batas medikal ng Pilipinas.</v>
      </c>
      <c r="F1790" s="2">
        <f t="shared" si="1"/>
        <v>0</v>
      </c>
      <c r="G1790" s="2"/>
      <c r="H1790" s="2"/>
      <c r="I1790" s="2"/>
      <c r="J1790" s="2"/>
      <c r="K1790" s="2"/>
      <c r="L1790" s="2"/>
      <c r="M1790" s="2"/>
      <c r="N1790" s="2"/>
      <c r="O1790" s="2"/>
      <c r="P1790" s="2"/>
      <c r="Q1790" s="2"/>
      <c r="R1790" s="2"/>
      <c r="S1790" s="2"/>
      <c r="T1790" s="2"/>
      <c r="U1790" s="2"/>
      <c r="V1790" s="2"/>
      <c r="W1790" s="2"/>
      <c r="X1790" s="2"/>
      <c r="Y1790" s="2"/>
      <c r="Z1790" s="2"/>
      <c r="AA1790" s="2"/>
    </row>
    <row r="1791">
      <c r="A1791" s="1" t="s">
        <v>4337</v>
      </c>
      <c r="B1791" s="1" t="s">
        <v>4628</v>
      </c>
      <c r="C1791" s="1" t="s">
        <v>4629</v>
      </c>
      <c r="D1791" s="2" t="str">
        <f>IFERROR(__xludf.DUMMYFUNCTION("GOOGLETRANSLATE(B1791, ""en"", ""TL"")"),"Paano kinikilala at isinasama ng batas ng Pilipinas ang mga tradisyunal at katutubong gamot sa sistema ng pangangalagang pangkalusugan?")</f>
        <v>Paano kinikilala at isinasama ng batas ng Pilipinas ang mga tradisyunal at katutubong gamot sa sistema ng pangangalagang pangkalusugan?</v>
      </c>
      <c r="E1791" s="2" t="str">
        <f>IFERROR(__xludf.DUMMYFUNCTION("GOOGLETRANSLATE(C1791, ""en"", ""TL"")"),"Kinikilala at isinasama ng Pilipinas ang mga tradisyunal at katutubong gamot (TIM) sa sistema ng pangangalagang pangkalusugan sa isang tiyak na lawak, ngunit mayroon pa ring puwang para sa pagpapabuti. Narito ang isang breakdown ng legal na balangkas at p"&amp;"atuloy na mga hamon:
**Legal na Pagkilala:**
* **Traditional and Alternative Medicine Act (TAMA) ng 1997 (RA No. 8423):** Ang batas na ito ay isang landmark na tagumpay. Idineklara nito ang patakaran ng estado na isama ang mga gawi ng TIM sa pambansang si"&amp;"stema ng pangangalagang pangkalusugan at pagbutihin ang access sa tradisyonal at alternatibong mga opsyon sa pangangalagang pangkalusugan.
* **Philippine Institute of Traditional and Alternative Health Care (PITAHC):** Itinatag ng TAMA, ang PITAHC ay may "&amp;"tungkulin sa:
* Pagsasaliksik at pagbuo ng mga tradisyunal na kasanayan sa medisina.
* Pag-standardize at pagsasaayos ng pagsasagawa ng tradisyunal na gamot.
* Pagsusulong ng kamalayan ng publiko tungkol sa mga benepisyo ng mga kasanayan sa TIM.
**Mga Pag"&amp;"sisikap sa Pagsasama:**
* **Accreditation ng Traditional Healers:** Ang PITAHC ay maaaring magbigay ng akreditasyon sa mga tradisyunal na manggagamot na nakakatugon sa mga partikular na pamantayan, na nagbibigay sa kanila ng antas ng pagiging lehitimo sa "&amp;"loob ng sistema ng pangangalagang pangkalusugan.
* **Pagsasama sa Pangunahing Pangangalaga:** Ang ilang mga programang pangkalusugan ng pamahalaan ay nagsasama ng mga elemento ng mga gawi ng TIM, gaya ng herbal na gamot o tradisyonal na massage therapy, k"&amp;"asama ng tradisyonal na gamot sa mga setting ng pangunahing pangangalaga.
**Mga Hamon at Pagsasaalang-alang:**
* **Limitadong Saklaw ng Pagsasama:** Sa kabila ng legal na balangkas, nananatiling limitado ang pagsasama ng mga gawi ng TIM sa pangunahing pan"&amp;"gangalagang pangkalusugan. Higit pang kailangang gawin upang lumikha ng mga landas ng referral at payagan ang pakikipagtulungan sa pagitan ng mga tradisyunal na manggagamot at mga kumbensyonal na medikal na propesyonal.
* **Standardization at Quality Cont"&amp;"rol:** Ang standardisasyon ng mga tradisyunal na remedyo at kasanayan ay mahalaga upang matiyak ang kalidad at kaligtasan. Higit pang pananaliksik ang kailangan upang suriin ang bisa ng iba't ibang TIM approach.
* **Mga Karapatan sa Intelektwal na Ari-ari"&amp;"an:** Ang pagprotekta sa mga karapatan sa intelektwal na ari-arian ng mga katutubong komunidad tungkol sa kanilang tradisyonal na kaalaman at mga halamang gamot ay isang kumplikadong isyu na nangangailangan ng mga legal na balangkas upang matiyak ang pata"&amp;"s na kabayaran at maiwasan ang pagsasamantala.
**Inaasahan:**
* **Pagpapalakas ng Mga Regulatory Framework:** Ang mas malinaw na mga alituntunin at regulasyon para sa pagsasagawa ng tradisyunal na gamot ay maaaring magpataas ng tiwala ng publiko at mahika"&amp;"yat ang pakikipagtulungan sa kumbensyonal na pangangalagang pangkalusugan. * **Pag-promote ng Pananaliksik at Pakikipagtulungan:** Ang karagdagang pananaliksik sa pagiging epektibo at kaligtasan ng mga gawi ng TIM, kasama ng pagpapatibay ng pakikipagtulun"&amp;"gan sa pagitan ng mga tradisyunal na manggagamot at mga medikal na propesyonal, ay maaaring magbigay daan para sa mas malawak na pagsasama.
* **Pagprotekta sa Katutubong Kaalaman:** Ang pagtatatag ng mga legal na balangkas na nagpoprotekta sa mga karapata"&amp;"n sa intelektwal na ari-arian ng mga katutubong komunidad tungkol sa kanilang tradisyonal na kaalaman ay mahalaga para sa patas at napapanatiling pagsasama ng mga gawi ng TIM.
Sa pamamagitan ng pagtugon sa mga hamong ito at patuloy na pagsisikap tungo sa "&amp;"integrasyon, maaaring gamitin ng Pilipinas ang potensyal ng tradisyonal at katutubong mga kasanayan sa medisina upang lumikha ng isang mas komprehensibo at sensitibo sa kulturang sistema ng pangangalagang pangkalusugan para sa mga mamamayan nito.")</f>
        <v>Kinikilala at isinasama ng Pilipinas ang mga tradisyunal at katutubong gamot (TIM) sa sistema ng pangangalagang pangkalusugan sa isang tiyak na lawak, ngunit mayroon pa ring puwang para sa pagpapabuti. Narito ang isang breakdown ng legal na balangkas at patuloy na mga hamon:
**Legal na Pagkilala:**
* **Traditional and Alternative Medicine Act (TAMA) ng 1997 (RA No. 8423):** Ang batas na ito ay isang landmark na tagumpay. Idineklara nito ang patakaran ng estado na isama ang mga gawi ng TIM sa pambansang sistema ng pangangalagang pangkalusugan at pagbutihin ang access sa tradisyonal at alternatibong mga opsyon sa pangangalagang pangkalusugan.
* **Philippine Institute of Traditional and Alternative Health Care (PITAHC):** Itinatag ng TAMA, ang PITAHC ay may tungkulin sa:
* Pagsasaliksik at pagbuo ng mga tradisyunal na kasanayan sa medisina.
* Pag-standardize at pagsasaayos ng pagsasagawa ng tradisyunal na gamot.
* Pagsusulong ng kamalayan ng publiko tungkol sa mga benepisyo ng mga kasanayan sa TIM.
**Mga Pagsisikap sa Pagsasama:**
* **Accreditation ng Traditional Healers:** Ang PITAHC ay maaaring magbigay ng akreditasyon sa mga tradisyunal na manggagamot na nakakatugon sa mga partikular na pamantayan, na nagbibigay sa kanila ng antas ng pagiging lehitimo sa loob ng sistema ng pangangalagang pangkalusugan.
* **Pagsasama sa Pangunahing Pangangalaga:** Ang ilang mga programang pangkalusugan ng pamahalaan ay nagsasama ng mga elemento ng mga gawi ng TIM, gaya ng herbal na gamot o tradisyonal na massage therapy, kasama ng tradisyonal na gamot sa mga setting ng pangunahing pangangalaga.
**Mga Hamon at Pagsasaalang-alang:**
* **Limitadong Saklaw ng Pagsasama:** Sa kabila ng legal na balangkas, nananatiling limitado ang pagsasama ng mga gawi ng TIM sa pangunahing pangangalagang pangkalusugan. Higit pang kailangang gawin upang lumikha ng mga landas ng referral at payagan ang pakikipagtulungan sa pagitan ng mga tradisyunal na manggagamot at mga kumbensyonal na medikal na propesyonal.
* **Standardization at Quality Control:** Ang standardisasyon ng mga tradisyunal na remedyo at kasanayan ay mahalaga upang matiyak ang kalidad at kaligtasan. Higit pang pananaliksik ang kailangan upang suriin ang bisa ng iba't ibang TIM approach.
* **Mga Karapatan sa Intelektwal na Ari-arian:** Ang pagprotekta sa mga karapatan sa intelektwal na ari-arian ng mga katutubong komunidad tungkol sa kanilang tradisyonal na kaalaman at mga halamang gamot ay isang kumplikadong isyu na nangangailangan ng mga legal na balangkas upang matiyak ang patas na kabayaran at maiwasan ang pagsasamantala.
**Inaasahan:**
* **Pagpapalakas ng Mga Regulatory Framework:** Ang mas malinaw na mga alituntunin at regulasyon para sa pagsasagawa ng tradisyunal na gamot ay maaaring magpataas ng tiwala ng publiko at mahikayat ang pakikipagtulungan sa kumbensyonal na pangangalagang pangkalusugan. * **Pag-promote ng Pananaliksik at Pakikipagtulungan:** Ang karagdagang pananaliksik sa pagiging epektibo at kaligtasan ng mga gawi ng TIM, kasama ng pagpapatibay ng pakikipagtulungan sa pagitan ng mga tradisyunal na manggagamot at mga medikal na propesyonal, ay maaaring magbigay daan para sa mas malawak na pagsasama.
* **Pagprotekta sa Katutubong Kaalaman:** Ang pagtatatag ng mga legal na balangkas na nagpoprotekta sa mga karapatan sa intelektwal na ari-arian ng mga katutubong komunidad tungkol sa kanilang tradisyonal na kaalaman ay mahalaga para sa patas at napapanatiling pagsasama ng mga gawi ng TIM.
Sa pamamagitan ng pagtugon sa mga hamong ito at patuloy na pagsisikap tungo sa integrasyon, maaaring gamitin ng Pilipinas ang potensyal ng tradisyonal at katutubong mga kasanayan sa medisina upang lumikha ng isang mas komprehensibo at sensitibo sa kulturang sistema ng pangangalagang pangkalusugan para sa mga mamamayan nito.</v>
      </c>
      <c r="F1791" s="2">
        <f t="shared" si="1"/>
        <v>0</v>
      </c>
      <c r="G1791" s="2"/>
      <c r="H1791" s="2"/>
      <c r="I1791" s="2"/>
      <c r="J1791" s="2"/>
      <c r="K1791" s="2"/>
      <c r="L1791" s="2"/>
      <c r="M1791" s="2"/>
      <c r="N1791" s="2"/>
      <c r="O1791" s="2"/>
      <c r="P1791" s="2"/>
      <c r="Q1791" s="2"/>
      <c r="R1791" s="2"/>
      <c r="S1791" s="2"/>
      <c r="T1791" s="2"/>
      <c r="U1791" s="2"/>
      <c r="V1791" s="2"/>
      <c r="W1791" s="2"/>
      <c r="X1791" s="2"/>
      <c r="Y1791" s="2"/>
      <c r="Z1791" s="2"/>
      <c r="AA1791" s="2"/>
    </row>
    <row r="1792">
      <c r="A1792" s="1" t="s">
        <v>4337</v>
      </c>
      <c r="B1792" s="1" t="s">
        <v>4630</v>
      </c>
      <c r="C1792" s="1" t="s">
        <v>4631</v>
      </c>
      <c r="D1792" s="2" t="str">
        <f>IFERROR(__xludf.DUMMYFUNCTION("GOOGLETRANSLATE(B1792, ""en"", ""TL"")"),"Ano ang mga legal na hamon at pagkakataon para matiyak ang kaligtasan, bisa, at etikal na pagsasama ng tradisyonal na gamot sa pangunahing pangangalagang pangkalusugan?")</f>
        <v>Ano ang mga legal na hamon at pagkakataon para matiyak ang kaligtasan, bisa, at etikal na pagsasama ng tradisyonal na gamot sa pangunahing pangangalagang pangkalusugan?</v>
      </c>
      <c r="E1792" s="2" t="str">
        <f>IFERROR(__xludf.DUMMYFUNCTION("GOOGLETRANSLATE(C1792, ""en"", ""TL"")"),"Ang Pilipinas ay nahaharap sa parehong mga hamon at pagkakataon pagdating sa pagsasama ng tradisyunal na gamot (TM) nang ligtas, mabisa, at etikal sa pangunahing sistema ng pangangalagang pangkalusugan. Narito ang isang breakdown ng magkabilang panig:
**M"&amp;"ga Legal na Hamon:**
* **Standardization at Quality Control:** * Maaaring mag-iba-iba ang mga tradisyunal na gawi sa medisina. May pangangailangan para sa mga legal na balangkas na nagtatatag ng mga pamantayan para sa:
* Mga herbal na remedyo - tinitiyak "&amp;"ang pare-parehong kalidad, kadalisayan, at tamang paraan ng pag-aani.
* Mga tradisyunal na kasanayan - pagtukoy ng naaangkop na mga kaso ng paggamit at mga kwalipikasyon para sa mga tradisyunal na manggagamot.
* **Regulation at Licensing:** * Ang Traditio"&amp;"nal and Alternative Medicine Act (TAMA) ay nagbibigay ng pundasyon, ngunit mas malinaw na mga regulasyon ang kailangan para sa:
* Paglilisensya at akreditasyon ng mga tradisyunal na manggagamot - tinitiyak ang kakayahan at pagsunod sa mga pamantayan sa ka"&amp;"ligtasan.
* Paggawa at pamamahagi ng mga tradisyunal na gamot - ginagarantiyahan ang kontrol sa kalidad at pag-iwas sa adulteration.
* **Mga Karapatan sa Intelektwal na Ari-arian:** * Ang tradisyonal na kaalaman ng mga katutubong komunidad tungkol sa mga "&amp;"halamang gamot ay nangangailangan ng legal na proteksyon upang maiwasan ang pagsasamantala at matiyak ang patas na kabayaran.
**Mga Legal na Oportunidad:**
* **Pagpapalakas ng Regulatory Bodies:** * Ang pagbibigay ng kapangyarihan sa Philippine Institute "&amp;"of Traditional and Alternative Health Care (PITAHC) ay maaaring humantong sa:
* Pagbuo ng matatag na proseso ng akreditasyon at paglilisensya para sa mga tradisyunal na manggagamot.
* Pagtatatag ng malinaw na mga alituntunin para sa ligtas at etikal na pa"&amp;"gsasagawa ng tradisyunal na gamot.
* **Pag-promote ng Pananaliksik at Pakikipagtulungan:** * Ang mga legal na balangkas ay maaaring humimok ng:
* Pananaliksik sa pagiging epektibo at kaligtasan ng mga tradisyunal na remedyo, na nagpapatibay ng pagsasama-s"&amp;"amang batay sa ebidensya.
* Pakikipagtulungan sa pagitan ng mga tradisyunal na manggagamot at tradisyonal na mga medikal na propesyonal para sa mas mabuting pangangalaga sa pasyente.
* Ang mga natuklasan sa pananaliksik ay maaaring magbigay-alam sa mga le"&amp;"gal na balangkas para sa ligtas at epektibong pagsasama ng TM.
* **Pagprotekta sa Pampublikong Kalusugan:** * Makakatulong ang malinaw na mga regulasyon:
* I-minimize ang mga potensyal na panganib na nauugnay sa hindi pamantayang tradisyonal na mga kasana"&amp;"yan.
* Tiyaking may access ang mga pasyente sa ligtas at epektibong mga opsyon sa tradisyonal na gamot.
**Mga Etikal na Pagsasaalang-alang:**
* **Informed Consent:** * Ang mga pasyenteng isinasaalang-alang ang tradisyunal na gamot ay dapat na ganap na mal"&amp;"aman ang tungkol sa mga potensyal na benepisyo, limitasyon, at panganib kumpara sa tradisyonal na gamot. Maaaring tiyakin ng mga legal na balangkas na sinusunod ang mga proseso ng may-kaalamang pahintulot.
* **Transparency at Pagbubunyag:** * Ang mga trad"&amp;"isyunal na manggagamot ay dapat maging malinaw tungkol sa kanilang mga gawi at ibunyag ang mga sangkap na ginagamit sa mga herbal na remedyo. Ang mga legal na kinakailangan ay maaaring magsulong ng transparency.
* **Marketing at Advertising:** * Maaaring "&amp;"pigilan ng mga regulasyon ang mga mapanlinlang na claim o pinalaking benepisyo na nauugnay sa tradisyunal na gamot.
**Sa pangkalahatan, kailangan ng multi-pronged approach:**
* **Pagtutulungan:** Ang mga mambabatas, mga medikal na propesyonal, mga tradisy"&amp;"unal na manggagamot, at mga mananaliksik ay kailangang magtulungan upang bumuo ng matatag na legal na mga balangkas para sa ligtas at etikal na pagsasama ng TM.
* **Public Education:** Ang pagpapataas ng kamalayan tungkol sa mga potensyal na benepisyo at "&amp;"limitasyon ng tradisyunal na gamot ay maaaring magbigay ng kapangyarihan sa mga pasyente na gumawa ng matalinong mga pagpipilian.
* **Patuloy na Pagpapabuti:** Ang legal na balangkas ay dapat na madaling ibagay upang isama ang mga natuklasan sa pananaliks"&amp;"ik at tugunan ang mga umuusbong na hamon sa larangan ng tradisyunal na gamot.
Sa pamamagitan ng pagtugon sa mga hamong ito at pagsasamantala sa mga pagkakataon, ang Pilipinas ay maaaring lumikha ng isang legal na balangkas na nagtataguyod ng ligtas, epekt"&amp;"ibo, at etikal na pagsasama ng tradisyonal na gamot sa pangunahing pangangalagang pangkalusugan, na nagbibigay sa mga pasyente ng mas malawak na hanay ng mga opsyon sa paggamot na nakabatay sa ebidensya.")</f>
        <v>Ang Pilipinas ay nahaharap sa parehong mga hamon at pagkakataon pagdating sa pagsasama ng tradisyunal na gamot (TM) nang ligtas, mabisa, at etikal sa pangunahing sistema ng pangangalagang pangkalusugan. Narito ang isang breakdown ng magkabilang panig:
**Mga Legal na Hamon:**
* **Standardization at Quality Control:** * Maaaring mag-iba-iba ang mga tradisyunal na gawi sa medisina. May pangangailangan para sa mga legal na balangkas na nagtatatag ng mga pamantayan para sa:
* Mga herbal na remedyo - tinitiyak ang pare-parehong kalidad, kadalisayan, at tamang paraan ng pag-aani.
* Mga tradisyunal na kasanayan - pagtukoy ng naaangkop na mga kaso ng paggamit at mga kwalipikasyon para sa mga tradisyunal na manggagamot.
* **Regulation at Licensing:** * Ang Traditional and Alternative Medicine Act (TAMA) ay nagbibigay ng pundasyon, ngunit mas malinaw na mga regulasyon ang kailangan para sa:
* Paglilisensya at akreditasyon ng mga tradisyunal na manggagamot - tinitiyak ang kakayahan at pagsunod sa mga pamantayan sa kaligtasan.
* Paggawa at pamamahagi ng mga tradisyunal na gamot - ginagarantiyahan ang kontrol sa kalidad at pag-iwas sa adulteration.
* **Mga Karapatan sa Intelektwal na Ari-arian:** * Ang tradisyonal na kaalaman ng mga katutubong komunidad tungkol sa mga halamang gamot ay nangangailangan ng legal na proteksyon upang maiwasan ang pagsasamantala at matiyak ang patas na kabayaran.
**Mga Legal na Oportunidad:**
* **Pagpapalakas ng Regulatory Bodies:** * Ang pagbibigay ng kapangyarihan sa Philippine Institute of Traditional and Alternative Health Care (PITAHC) ay maaaring humantong sa:
* Pagbuo ng matatag na proseso ng akreditasyon at paglilisensya para sa mga tradisyunal na manggagamot.
* Pagtatatag ng malinaw na mga alituntunin para sa ligtas at etikal na pagsasagawa ng tradisyunal na gamot.
* **Pag-promote ng Pananaliksik at Pakikipagtulungan:** * Ang mga legal na balangkas ay maaaring humimok ng:
* Pananaliksik sa pagiging epektibo at kaligtasan ng mga tradisyunal na remedyo, na nagpapatibay ng pagsasama-samang batay sa ebidensya.
* Pakikipagtulungan sa pagitan ng mga tradisyunal na manggagamot at tradisyonal na mga medikal na propesyonal para sa mas mabuting pangangalaga sa pasyente.
* Ang mga natuklasan sa pananaliksik ay maaaring magbigay-alam sa mga legal na balangkas para sa ligtas at epektibong pagsasama ng TM.
* **Pagprotekta sa Pampublikong Kalusugan:** * Makakatulong ang malinaw na mga regulasyon:
* I-minimize ang mga potensyal na panganib na nauugnay sa hindi pamantayang tradisyonal na mga kasanayan.
* Tiyaking may access ang mga pasyente sa ligtas at epektibong mga opsyon sa tradisyonal na gamot.
**Mga Etikal na Pagsasaalang-alang:**
* **Informed Consent:** * Ang mga pasyenteng isinasaalang-alang ang tradisyunal na gamot ay dapat na ganap na malaman ang tungkol sa mga potensyal na benepisyo, limitasyon, at panganib kumpara sa tradisyonal na gamot. Maaaring tiyakin ng mga legal na balangkas na sinusunod ang mga proseso ng may-kaalamang pahintulot.
* **Transparency at Pagbubunyag:** * Ang mga tradisyunal na manggagamot ay dapat maging malinaw tungkol sa kanilang mga gawi at ibunyag ang mga sangkap na ginagamit sa mga herbal na remedyo. Ang mga legal na kinakailangan ay maaaring magsulong ng transparency.
* **Marketing at Advertising:** * Maaaring pigilan ng mga regulasyon ang mga mapanlinlang na claim o pinalaking benepisyo na nauugnay sa tradisyunal na gamot.
**Sa pangkalahatan, kailangan ng multi-pronged approach:**
* **Pagtutulungan:** Ang mga mambabatas, mga medikal na propesyonal, mga tradisyunal na manggagamot, at mga mananaliksik ay kailangang magtulungan upang bumuo ng matatag na legal na mga balangkas para sa ligtas at etikal na pagsasama ng TM.
* **Public Education:** Ang pagpapataas ng kamalayan tungkol sa mga potensyal na benepisyo at limitasyon ng tradisyunal na gamot ay maaaring magbigay ng kapangyarihan sa mga pasyente na gumawa ng matalinong mga pagpipilian.
* **Patuloy na Pagpapabuti:** Ang legal na balangkas ay dapat na madaling ibagay upang isama ang mga natuklasan sa pananaliksik at tugunan ang mga umuusbong na hamon sa larangan ng tradisyunal na gamot.
Sa pamamagitan ng pagtugon sa mga hamong ito at pagsasamantala sa mga pagkakataon, ang Pilipinas ay maaaring lumikha ng isang legal na balangkas na nagtataguyod ng ligtas, epektibo, at etikal na pagsasama ng tradisyonal na gamot sa pangunahing pangangalagang pangkalusugan, na nagbibigay sa mga pasyente ng mas malawak na hanay ng mga opsyon sa paggamot na nakabatay sa ebidensya.</v>
      </c>
      <c r="F1792" s="2">
        <f t="shared" si="1"/>
        <v>0</v>
      </c>
      <c r="G1792" s="2"/>
      <c r="H1792" s="2"/>
      <c r="I1792" s="2"/>
      <c r="J1792" s="2"/>
      <c r="K1792" s="2"/>
      <c r="L1792" s="2"/>
      <c r="M1792" s="2"/>
      <c r="N1792" s="2"/>
      <c r="O1792" s="2"/>
      <c r="P1792" s="2"/>
      <c r="Q1792" s="2"/>
      <c r="R1792" s="2"/>
      <c r="S1792" s="2"/>
      <c r="T1792" s="2"/>
      <c r="U1792" s="2"/>
      <c r="V1792" s="2"/>
      <c r="W1792" s="2"/>
      <c r="X1792" s="2"/>
      <c r="Y1792" s="2"/>
      <c r="Z1792" s="2"/>
      <c r="AA1792" s="2"/>
    </row>
    <row r="1793">
      <c r="A1793" s="1" t="s">
        <v>4337</v>
      </c>
      <c r="B1793" s="1" t="s">
        <v>4632</v>
      </c>
      <c r="C1793" s="1" t="s">
        <v>4633</v>
      </c>
      <c r="D1793" s="2" t="str">
        <f>IFERROR(__xludf.DUMMYFUNCTION("GOOGLETRANSLATE(B1793, ""en"", ""TL"")"),"Anong mga mapagkukunan ng legal na tulong at mga mekanismo ng suporta ang magagamit para sa mga indibidwal na hindi kayang bayaran ang legal na representasyon sa mga kaso ng malpractice sa medikal?")</f>
        <v>Anong mga mapagkukunan ng legal na tulong at mga mekanismo ng suporta ang magagamit para sa mga indibidwal na hindi kayang bayaran ang legal na representasyon sa mga kaso ng malpractice sa medikal?</v>
      </c>
      <c r="E1793" s="2" t="str">
        <f>IFERROR(__xludf.DUMMYFUNCTION("GOOGLETRANSLATE(C1793, ""en"", ""TL"")"),"Nag-aalok ang Pilipinas ng ilang mapagkukunan ng tulong legal at mga mekanismo ng suporta para sa mga indibidwal na hindi kayang magbigay ng legal na representasyon sa mga kaso ng malpractice na medikal. Narito ang isang breakdown ng ilang pangunahing ops"&amp;"yon:
**Mga Ahensya ng Pamahalaan:**
* **Public Attorney's Office (PAO):** Ito ang pangunahing ahensya ng gobyerno na nagbibigay ng libreng legal na tulong sa Pilipinas, kabilang ang mga kaso ng medical malpractice. Mayroon silang mga opisina na matatagpua"&amp;"n sa mga korte at mga yunit ng lokal na pamahalaan sa buong bansa. Gayunpaman, ang PAO ay may mga limitasyon:
* **Mga paghihigpit sa kita:** Ang mga indibidwal na ang kita ay lumampas sa isang partikular na limitasyon (humigit-kumulang Php 12,000 - Php 14"&amp;",000 bawat buwan depende sa lokasyon) ay maaaring hindi karapat-dapat para sa libreng legal na tulong.
* **Mga limitasyon sa caseload:** Ang mga abogado ng PAO ay kadalasang may mataas na caseload, na maaaring makaapekto sa oras at mga mapagkukunang nakat"&amp;"uon sa bawat kaso.
**Mga Paaralan ng Batas:**
* **Mga Opisina ng Legal Aid:** Maraming mga law school sa Pilipinas ang may mga opisina ng legal aid na may tauhan ng mga mag-aaral ng batas sa ilalim ng pangangasiwa ng mga propesor. Ang mga tanggapang ito a"&amp;"y maaaring magbigay ng libreng legal na tulong o mga referral para sa mga kaso ng medikal na malpractice.
* **Mga Panuntunan sa Pagsasanay ng Mag-aaral ng Batas:** Ang mga tuntunin ng Korte Suprema ay nagpapahintulot sa mga kwalipikadong mag-aaral ng bata"&amp;"s na humarap sa korte nang pro bono (nang libre) sa ngalan ng mga mahihirap na kliyente sa mga partikular na kaso, na posibleng kabilang ang medikal na malpractice.
**Non-Government Organizations (NGOs):**
* **Libreng Legal Assistance Groups (FLAG):** Nag"&amp;"-aalok ang ilang NGO tulad ng FLAG ng mga libreng serbisyo ng legal na tulong, kung minsan ay nagdadalubhasa sa mga kaso na nauugnay sa pangangalagang pangkalusugan. * **Patient Advocacy Groups:** Maaaring mag-alok ng legal na tulong o mga referral ang il"&amp;"ang grupo ng advocacy ng pasyente para sa mga kaso ng malpractice na medikal, partikular na ang mga nauugnay sa mga partikular na sakit o kundisyon.
**Paghahanap ng Legal na Tulong:**
* **Online na Mga Mapagkukunan:** Ang mga website tulad ng [https://law"&amp;"yerphilippines.org/](https://lawyerphilippines.org/) ay naglilista ng iba't ibang legal na organisasyon ng tulong at maaaring makatulong sa paghahanap ng mga mapagkukunan batay sa iyong lugar.
* **PAO Website:** Ang PAO website ([https://pao.gov.ph/](http"&amp;"s://pao.gov.ph/)) ay nagbibigay ng impormasyon sa pakikipag-ugnayan para sa kanilang mga rehiyonal at lokal na tanggapan.
**Mahahalagang Pagsasaalang-alang:**
* **Dokumentasyon:** Ipunin ang lahat ng mga medikal na rekord, mga singil, at anumang iba pang "&amp;"nauugnay na dokumento na nauugnay sa pinaghihinalaang malpractice.
* **Mga Limitasyon sa Oras:** May mga deadline para sa paghahain ng mga kaso ng medikal na malpractice. Humingi ng legal na tulong sa lalong madaling panahon upang matiyak na natutugunan m"&amp;"o ang deadline ng paghaharap.
* **Pagsusuri ng Kaso:** Hindi lahat ng mga medikal na error ay binubuo ng malpractice. Maaaring suriin ng isang abogado ang iyong kaso at payuhan ka sa posibilidad na magtagumpay.
**Bagama't ang mga mapagkukunang ito ay maaa"&amp;"ring magbigay ng mahalagang suporta, mahalagang pamahalaan ang mga inaasahan.** Maaaring kumplikado at mahaba ang mga kaso ng malpractice sa medikal. Maaaring limitado ang mga mapagkukunan ng legal na tulong, at maaaring hindi tiyak ang resulta.")</f>
        <v>Nag-aalok ang Pilipinas ng ilang mapagkukunan ng tulong legal at mga mekanismo ng suporta para sa mga indibidwal na hindi kayang magbigay ng legal na representasyon sa mga kaso ng malpractice na medikal. Narito ang isang breakdown ng ilang pangunahing opsyon:
**Mga Ahensya ng Pamahalaan:**
* **Public Attorney's Office (PAO):** Ito ang pangunahing ahensya ng gobyerno na nagbibigay ng libreng legal na tulong sa Pilipinas, kabilang ang mga kaso ng medical malpractice. Mayroon silang mga opisina na matatagpuan sa mga korte at mga yunit ng lokal na pamahalaan sa buong bansa. Gayunpaman, ang PAO ay may mga limitasyon:
* **Mga paghihigpit sa kita:** Ang mga indibidwal na ang kita ay lumampas sa isang partikular na limitasyon (humigit-kumulang Php 12,000 - Php 14,000 bawat buwan depende sa lokasyon) ay maaaring hindi karapat-dapat para sa libreng legal na tulong.
* **Mga limitasyon sa caseload:** Ang mga abogado ng PAO ay kadalasang may mataas na caseload, na maaaring makaapekto sa oras at mga mapagkukunang nakatuon sa bawat kaso.
**Mga Paaralan ng Batas:**
* **Mga Opisina ng Legal Aid:** Maraming mga law school sa Pilipinas ang may mga opisina ng legal aid na may tauhan ng mga mag-aaral ng batas sa ilalim ng pangangasiwa ng mga propesor. Ang mga tanggapang ito ay maaaring magbigay ng libreng legal na tulong o mga referral para sa mga kaso ng medikal na malpractice.
* **Mga Panuntunan sa Pagsasanay ng Mag-aaral ng Batas:** Ang mga tuntunin ng Korte Suprema ay nagpapahintulot sa mga kwalipikadong mag-aaral ng batas na humarap sa korte nang pro bono (nang libre) sa ngalan ng mga mahihirap na kliyente sa mga partikular na kaso, na posibleng kabilang ang medikal na malpractice.
**Non-Government Organizations (NGOs):**
* **Libreng Legal Assistance Groups (FLAG):** Nag-aalok ang ilang NGO tulad ng FLAG ng mga libreng serbisyo ng legal na tulong, kung minsan ay nagdadalubhasa sa mga kaso na nauugnay sa pangangalagang pangkalusugan. * **Patient Advocacy Groups:** Maaaring mag-alok ng legal na tulong o mga referral ang ilang grupo ng advocacy ng pasyente para sa mga kaso ng malpractice na medikal, partikular na ang mga nauugnay sa mga partikular na sakit o kundisyon.
**Paghahanap ng Legal na Tulong:**
* **Online na Mga Mapagkukunan:** Ang mga website tulad ng [https://lawyerphilippines.org/](https://lawyerphilippines.org/) ay naglilista ng iba't ibang legal na organisasyon ng tulong at maaaring makatulong sa paghahanap ng mga mapagkukunan batay sa iyong lugar.
* **PAO Website:** Ang PAO website ([https://pao.gov.ph/](https://pao.gov.ph/)) ay nagbibigay ng impormasyon sa pakikipag-ugnayan para sa kanilang mga rehiyonal at lokal na tanggapan.
**Mahahalagang Pagsasaalang-alang:**
* **Dokumentasyon:** Ipunin ang lahat ng mga medikal na rekord, mga singil, at anumang iba pang nauugnay na dokumento na nauugnay sa pinaghihinalaang malpractice.
* **Mga Limitasyon sa Oras:** May mga deadline para sa paghahain ng mga kaso ng medikal na malpractice. Humingi ng legal na tulong sa lalong madaling panahon upang matiyak na natutugunan mo ang deadline ng paghaharap.
* **Pagsusuri ng Kaso:** Hindi lahat ng mga medikal na error ay binubuo ng malpractice. Maaaring suriin ng isang abogado ang iyong kaso at payuhan ka sa posibilidad na magtagumpay.
**Bagama't ang mga mapagkukunang ito ay maaaring magbigay ng mahalagang suporta, mahalagang pamahalaan ang mga inaasahan.** Maaaring kumplikado at mahaba ang mga kaso ng malpractice sa medikal. Maaaring limitado ang mga mapagkukunan ng legal na tulong, at maaaring hindi tiyak ang resulta.</v>
      </c>
      <c r="F1793" s="2">
        <f t="shared" si="1"/>
        <v>0</v>
      </c>
      <c r="G1793" s="2"/>
      <c r="H1793" s="2"/>
      <c r="I1793" s="2"/>
      <c r="J1793" s="2"/>
      <c r="K1793" s="2"/>
      <c r="L1793" s="2"/>
      <c r="M1793" s="2"/>
      <c r="N1793" s="2"/>
      <c r="O1793" s="2"/>
      <c r="P1793" s="2"/>
      <c r="Q1793" s="2"/>
      <c r="R1793" s="2"/>
      <c r="S1793" s="2"/>
      <c r="T1793" s="2"/>
      <c r="U1793" s="2"/>
      <c r="V1793" s="2"/>
      <c r="W1793" s="2"/>
      <c r="X1793" s="2"/>
      <c r="Y1793" s="2"/>
      <c r="Z1793" s="2"/>
      <c r="AA1793" s="2"/>
    </row>
    <row r="1794">
      <c r="A1794" s="1" t="s">
        <v>4337</v>
      </c>
      <c r="B1794" s="1" t="s">
        <v>4634</v>
      </c>
      <c r="C1794" s="1" t="s">
        <v>4635</v>
      </c>
      <c r="D1794" s="2" t="str">
        <f>IFERROR(__xludf.DUMMYFUNCTION("GOOGLETRANSLATE(B1794, ""en"", ""TL"")"),"Paano mapapabuti ang pag-access sa hustisya para sa mga mahihinang populasyon, tulad ng mga minorya, migranteng manggagawa, at mga taong may kapansanan, sa konteksto ng batas medikal?")</f>
        <v>Paano mapapabuti ang pag-access sa hustisya para sa mga mahihinang populasyon, tulad ng mga minorya, migranteng manggagawa, at mga taong may kapansanan, sa konteksto ng batas medikal?</v>
      </c>
      <c r="E1794" s="2" t="str">
        <f>IFERROR(__xludf.DUMMYFUNCTION("GOOGLETRANSLATE(C1794, ""en"", ""TL"")"),"Ang Pilipinas ay nahaharap sa mga hamon sa pagtiyak ng pantay na pag-access sa hustisya para sa mga mahihinang populasyon sa mga kaso ng batas medikal. Narito ang ilang mga diskarte upang mapabuti ang sitwasyon:
**Pagtaas ng Kamalayan at Edukasyon:**
* **"&amp;"Multilingual na Legal na Impormasyon:** Ang paggawa ng legal na impormasyon sa mga karapatan sa malpractice na medikal na magagamit sa mga lokal na wika na sinasalita ng mga minorya ay maaaring magbigay ng kapangyarihan sa kanila na maunawaan ang kanilang"&amp;" mga opsyon at humingi ng tulong.
* **Mga Programa sa Outreach ng Komunidad:** Ang pag-aayos ng mga workshop at mga sesyon ng impormasyon sa mga komunidad na may malaking minorya, migranteng manggagawa, at mga may kapansanan na populasyon ay maaaring magp"&amp;"ataas ng kamalayan tungkol sa medikal na malpractice at magagamit na legal na mapagkukunan. * **Impormasyon na Kasama sa Kapansanan:** Ang pagbibigay ng legal na impormasyon sa mga naa-access na format tulad ng Braille o sign language, o paggamit ng mga a"&amp;"udio recording, ay makakatiyak na mauunawaan ng mga taong may kapansanan ang kanilang mga karapatan.
**Pagpapalakas ng Mga Mekanismo ng Legal Aid:**
* **Targeted Legal Aid Programs:** Pagtatatag ng mga programang partikular na nakatuon sa pagbibigay ng le"&amp;"gal na tulong para sa mga kaso ng malpractice na medikal na kinasasangkutan ng mga mahihinang populasyon. * **Pagsasanay para sa Mga Abogado ng Legal Aid:** Pagbibigay ng mga abogado ng legal aid na may espesyal na kaalaman sa batas ng medikal na malpract"&amp;"ice at pagsasanay sa pagiging sensitibo sa kultura upang epektibong kumatawan sa magkakaibang mga kliyente.
* **Pro Bono Incentives:** Pagbibigay ng mga tax break o patuloy na mga kredito sa edukasyon para sa mga abogadong nagboboluntaryo ng kanilang oras"&amp;" para sa mga kaso ng pro bono na malpractice na medikal na kinasasangkutan ng mga mahihinang populasyon.
**Pagtugon sa Mga Isyu sa Accessibility:**
* **Tulong Pinansyal:** Nag-aalok ng suportang pinansyal para sa mga mahihinang populasyon upang mabayaran "&amp;"ang mga bayarin sa hukuman, mga gastos sa transportasyon, at iba pang mga legal na gastos na nauugnay sa mga kaso ng malpractice na medikal.
* **Mga Pasilidad ng Naa-access sa Hukuman:** Tinitiyak na ang mga courtroom at legal na paglilitis ay pisikal na "&amp;"naa-access para sa mga taong may kapansanan at nagbibigay ng mga kaluwagan tulad ng mga interpreter ng sign language o pantulong na teknolohiya kung kinakailangan.
* **Simplified Court Procedures:** Paggalugad ng mga paraan upang pasimplehin ang mga pamam"&amp;"araan ng hukuman para sa mga kasong medikal na malpractice na kinasasangkutan ng mga mahihinang populasyon, na posibleng sa pamamagitan ng mga alternatibong mekanismo sa pagresolba ng hindi pagkakaunawaan o mga espesyal na korte.
**Pagpapalakas ng mga Mah"&amp;"ihinang Populasyon:**
* **Mga Peer Support Network:** Ang pagpapadali sa mga peer support network para sa mga minorya, migranteng manggagawa, at mga taong may kapansanan na nakaranas ng medikal na malpractice ay maaaring magbigay ng emosyonal na suporta a"&amp;"t magbahagi ng mga karanasan.
* **Pagsasanay para sa mga Pinuno ng Komunidad:** Pagsasanay sa mga pinuno ng komunidad o paralegal upang magbigay ng pangunahing legal na patnubay at ikonekta ang mga mahihinang populasyon sa mga mapagkukunan ng legal na tul"&amp;"ong.
**Adbokasiya at Pakikipagtulungan:**
* **Pagtutulungan sa pagitan ng mga NGO:** Paghihikayat sa pakikipagtulungan sa pagitan ng mga organisasyon ng legal na tulong, mga grupo ng tagapagtaguyod ng pasyente, at mga grupo ng karapatan sa kapansanan upan"&amp;"g isulong ang mga sistematikong pagbabago na nagpapabuti sa pag-access sa hustisya sa mga kaso ng malpractice sa medikal.
* **Pagkolekta at Pananaliksik ng Data:** Ang pagkolekta ng data kung paano pinangangasiwaan ang mga kaso ng medikal na malpractice n"&amp;"a kinasasangkutan ng mga mahihinang populasyon ay makakatulong na matukoy ang mga lugar kung saan kailangan ang mga pagpapabuti at magsulong ng mas epektibong mga programa at patakaran sa legal na tulong.
**Mga Pangmatagalang Solusyon:**
* **Pamumuhunan s"&amp;"a Legal na Edukasyon:** Pagdaragdag ng pagpopondo para sa mga programang legal na edukasyon upang makagawa ng mas maraming abogadong handang magtrabaho sa legal aid o batas sa pampublikong interes.
* **Mga Repormang Panghukuman:** Pagsusulong ng mga repor"&amp;"ma sa loob ng sistemang panghukuman upang i-streamline ang mga proseso, bawasan ang mga gastos, at gawing mas madaling gamitin ang legal na sistema para sa lahat ng mamamayan.
Sa pamamagitan ng pagpapatupad ng kumbinasyon ng mga estratehiyang ito, maaarin"&amp;"g kumilos ang Pilipinas tungo sa isang legal na sistema na nagbibigay ng mas pantay na pag-access sa hustisya para sa mga mahihinang populasyon sa mga kaso ng malpractice sa medikal.")</f>
        <v>Ang Pilipinas ay nahaharap sa mga hamon sa pagtiyak ng pantay na pag-access sa hustisya para sa mga mahihinang populasyon sa mga kaso ng batas medikal. Narito ang ilang mga diskarte upang mapabuti ang sitwasyon:
**Pagtaas ng Kamalayan at Edukasyon:**
* **Multilingual na Legal na Impormasyon:** Ang paggawa ng legal na impormasyon sa mga karapatan sa malpractice na medikal na magagamit sa mga lokal na wika na sinasalita ng mga minorya ay maaaring magbigay ng kapangyarihan sa kanila na maunawaan ang kanilang mga opsyon at humingi ng tulong.
* **Mga Programa sa Outreach ng Komunidad:** Ang pag-aayos ng mga workshop at mga sesyon ng impormasyon sa mga komunidad na may malaking minorya, migranteng manggagawa, at mga may kapansanan na populasyon ay maaaring magpataas ng kamalayan tungkol sa medikal na malpractice at magagamit na legal na mapagkukunan. * **Impormasyon na Kasama sa Kapansanan:** Ang pagbibigay ng legal na impormasyon sa mga naa-access na format tulad ng Braille o sign language, o paggamit ng mga audio recording, ay makakatiyak na mauunawaan ng mga taong may kapansanan ang kanilang mga karapatan.
**Pagpapalakas ng Mga Mekanismo ng Legal Aid:**
* **Targeted Legal Aid Programs:** Pagtatatag ng mga programang partikular na nakatuon sa pagbibigay ng legal na tulong para sa mga kaso ng malpractice na medikal na kinasasangkutan ng mga mahihinang populasyon. * **Pagsasanay para sa Mga Abogado ng Legal Aid:** Pagbibigay ng mga abogado ng legal aid na may espesyal na kaalaman sa batas ng medikal na malpractice at pagsasanay sa pagiging sensitibo sa kultura upang epektibong kumatawan sa magkakaibang mga kliyente.
* **Pro Bono Incentives:** Pagbibigay ng mga tax break o patuloy na mga kredito sa edukasyon para sa mga abogadong nagboboluntaryo ng kanilang oras para sa mga kaso ng pro bono na malpractice na medikal na kinasasangkutan ng mga mahihinang populasyon.
**Pagtugon sa Mga Isyu sa Accessibility:**
* **Tulong Pinansyal:** Nag-aalok ng suportang pinansyal para sa mga mahihinang populasyon upang mabayaran ang mga bayarin sa hukuman, mga gastos sa transportasyon, at iba pang mga legal na gastos na nauugnay sa mga kaso ng malpractice na medikal.
* **Mga Pasilidad ng Naa-access sa Hukuman:** Tinitiyak na ang mga courtroom at legal na paglilitis ay pisikal na naa-access para sa mga taong may kapansanan at nagbibigay ng mga kaluwagan tulad ng mga interpreter ng sign language o pantulong na teknolohiya kung kinakailangan.
* **Simplified Court Procedures:** Paggalugad ng mga paraan upang pasimplehin ang mga pamamaraan ng hukuman para sa mga kasong medikal na malpractice na kinasasangkutan ng mga mahihinang populasyon, na posibleng sa pamamagitan ng mga alternatibong mekanismo sa pagresolba ng hindi pagkakaunawaan o mga espesyal na korte.
**Pagpapalakas ng mga Mahihinang Populasyon:**
* **Mga Peer Support Network:** Ang pagpapadali sa mga peer support network para sa mga minorya, migranteng manggagawa, at mga taong may kapansanan na nakaranas ng medikal na malpractice ay maaaring magbigay ng emosyonal na suporta at magbahagi ng mga karanasan.
* **Pagsasanay para sa mga Pinuno ng Komunidad:** Pagsasanay sa mga pinuno ng komunidad o paralegal upang magbigay ng pangunahing legal na patnubay at ikonekta ang mga mahihinang populasyon sa mga mapagkukunan ng legal na tulong.
**Adbokasiya at Pakikipagtulungan:**
* **Pagtutulungan sa pagitan ng mga NGO:** Paghihikayat sa pakikipagtulungan sa pagitan ng mga organisasyon ng legal na tulong, mga grupo ng tagapagtaguyod ng pasyente, at mga grupo ng karapatan sa kapansanan upang isulong ang mga sistematikong pagbabago na nagpapabuti sa pag-access sa hustisya sa mga kaso ng malpractice sa medikal.
* **Pagkolekta at Pananaliksik ng Data:** Ang pagkolekta ng data kung paano pinangangasiwaan ang mga kaso ng medikal na malpractice na kinasasangkutan ng mga mahihinang populasyon ay makakatulong na matukoy ang mga lugar kung saan kailangan ang mga pagpapabuti at magsulong ng mas epektibong mga programa at patakaran sa legal na tulong.
**Mga Pangmatagalang Solusyon:**
* **Pamumuhunan sa Legal na Edukasyon:** Pagdaragdag ng pagpopondo para sa mga programang legal na edukasyon upang makagawa ng mas maraming abogadong handang magtrabaho sa legal aid o batas sa pampublikong interes.
* **Mga Repormang Panghukuman:** Pagsusulong ng mga reporma sa loob ng sistemang panghukuman upang i-streamline ang mga proseso, bawasan ang mga gastos, at gawing mas madaling gamitin ang legal na sistema para sa lahat ng mamamayan.
Sa pamamagitan ng pagpapatupad ng kumbinasyon ng mga estratehiyang ito, maaaring kumilos ang Pilipinas tungo sa isang legal na sistema na nagbibigay ng mas pantay na pag-access sa hustisya para sa mga mahihinang populasyon sa mga kaso ng malpractice sa medikal.</v>
      </c>
      <c r="F1794" s="2">
        <f t="shared" si="1"/>
        <v>0</v>
      </c>
      <c r="G1794" s="2"/>
      <c r="H1794" s="2"/>
      <c r="I1794" s="2"/>
      <c r="J1794" s="2"/>
      <c r="K1794" s="2"/>
      <c r="L1794" s="2"/>
      <c r="M1794" s="2"/>
      <c r="N1794" s="2"/>
      <c r="O1794" s="2"/>
      <c r="P1794" s="2"/>
      <c r="Q1794" s="2"/>
      <c r="R1794" s="2"/>
      <c r="S1794" s="2"/>
      <c r="T1794" s="2"/>
      <c r="U1794" s="2"/>
      <c r="V1794" s="2"/>
      <c r="W1794" s="2"/>
      <c r="X1794" s="2"/>
      <c r="Y1794" s="2"/>
      <c r="Z1794" s="2"/>
      <c r="AA1794" s="2"/>
    </row>
    <row r="1795">
      <c r="A1795" s="1" t="s">
        <v>4337</v>
      </c>
      <c r="B1795" s="1" t="s">
        <v>4636</v>
      </c>
      <c r="C1795" s="1" t="s">
        <v>4637</v>
      </c>
      <c r="D1795" s="2" t="str">
        <f>IFERROR(__xludf.DUMMYFUNCTION("GOOGLETRANSLATE(B1795, ""en"", ""TL"")"),"Paano inihahambing at ikinukumpara ang batas medikal ng Pilipinas sa mga diskarte sa batas medikal sa ibang mga bansa sa Southeast Asia?")</f>
        <v>Paano inihahambing at ikinukumpara ang batas medikal ng Pilipinas sa mga diskarte sa batas medikal sa ibang mga bansa sa Southeast Asia?</v>
      </c>
      <c r="E1795" s="2" t="str">
        <f>IFERROR(__xludf.DUMMYFUNCTION("GOOGLETRANSLATE(C1795, ""en"", ""TL"")"),"Ang batas medikal ng Pilipinas ay may ilang pagkakatulad sa ibang mga bansa sa Timog Silangang Asya ngunit mayroon ding mga natatanging katangian. Narito ang isang breakdown batay sa mga pangunahing aspeto:
**Pagkakatulad:**
* **Universal Health Coverage "&amp;"(UHC):** Karamihan sa mga bansa sa Southeast Asia, kabilang ang Pilipinas (**R.A. 11223** o ang National Health Insurance Act of 2013), ay nagtatrabaho patungo sa UHC. Nilalayon nitong bigyan ang lahat ng mamamayan ng access sa abot-kayang pangangalagang "&amp;"pangkalusugan. * **Regulation of Healthcare Professionals:** Lahat ng bansa ay nagreregula kung sino ang maaaring magpraktis ng medisina at mga kaugnay na propesyon. Ang Pilipinas ay mayroong **Philippine Medical Act of 1999 (R.A. 7832)**, at ang ibang mg"&amp;"a bansa ay may katulad na mga batas.
* **Tumuon sa Mga Nakakahawang Sakit:** Dahil sa klima at heograpiya ng rehiyon, maraming bansa ang inuuna ang pagkontrol sa mga nakakahawang sakit. Ang Pilipinas ay may mga batas tulad ng **R.A. 11332** (Mandatoryong "&amp;"Pag-uulat ng Mga Nababatid na Sakit at Mga Pangyayaring Pangkalusugan ng Batas sa Pag-aalala ng Pampublikong Kalusugan).
**Contrasts:**
* **Pagpapatupad ng National Health Insurance (NHI):** Habang ang lahat ay naglalayon para sa UHC, ang pagpapatupad ng "&amp;"mga programa ng NHI ay nag-iiba. Ang Pilipinas ay may umuunlad na programa, habang ang Singapore ay may mas mature na sistema. ([https://japan.kantei.go.jp/101_kishida/statement/202311/04policyspeech.html](https://japan.kantei.go.jp/101_kishida/statement/"&amp;"202311/04policyspeech.html)) * * *Saklaw ng Medikal na Practice:** Maaaring magkaroon ng mas mahigpit na limitasyon ang ilang bansa sa mga partikular na kasanayan. Halimbawa, pinahihintulutan ng Pilipinas ang Traditional at Alternative Medicine (**R.A. 10"&amp;"354**), na maaaring iba ang regulasyon sa ibang lugar.
* **Pampubliko kumpara sa Pribadong Pangangalaga sa Kalusugan:** Ang balanse sa pagitan ng pampubliko at pribadong paghahatid ng pangangalagang pangkalusugan ay naiiba. Ang Pilipinas ay may malakas na"&amp;" pribadong sektor, habang ang ilang mga bansa ay may mas sentralisadong pampublikong sistema.
**Mga mapagkukunan para sa karagdagang pananaliksik:**
* Department of Health Philippines: [https://doh.gov.ph/](https://doh.gov.ph/)
* World Health Organization"&amp;": [https://www.who.int/southeastasia](https://www.who.int/southeastasia)
**Mahalagang Tandaan:** Ito ay isang pangkalahatang pangkalahatang-ideya. Ang mga partikular na batas at regulasyong medikal ay maaaring mag-iba nang malaki sa pagitan ng mga bansa s"&amp;"a loob ng Southeast Asia.")</f>
        <v>Ang batas medikal ng Pilipinas ay may ilang pagkakatulad sa ibang mga bansa sa Timog Silangang Asya ngunit mayroon ding mga natatanging katangian. Narito ang isang breakdown batay sa mga pangunahing aspeto:
**Pagkakatulad:**
* **Universal Health Coverage (UHC):** Karamihan sa mga bansa sa Southeast Asia, kabilang ang Pilipinas (**R.A. 11223** o ang National Health Insurance Act of 2013), ay nagtatrabaho patungo sa UHC. Nilalayon nitong bigyan ang lahat ng mamamayan ng access sa abot-kayang pangangalagang pangkalusugan. * **Regulation of Healthcare Professionals:** Lahat ng bansa ay nagreregula kung sino ang maaaring magpraktis ng medisina at mga kaugnay na propesyon. Ang Pilipinas ay mayroong **Philippine Medical Act of 1999 (R.A. 7832)**, at ang ibang mga bansa ay may katulad na mga batas.
* **Tumuon sa Mga Nakakahawang Sakit:** Dahil sa klima at heograpiya ng rehiyon, maraming bansa ang inuuna ang pagkontrol sa mga nakakahawang sakit. Ang Pilipinas ay may mga batas tulad ng **R.A. 11332** (Mandatoryong Pag-uulat ng Mga Nababatid na Sakit at Mga Pangyayaring Pangkalusugan ng Batas sa Pag-aalala ng Pampublikong Kalusugan).
**Contrasts:**
* **Pagpapatupad ng National Health Insurance (NHI):** Habang ang lahat ay naglalayon para sa UHC, ang pagpapatupad ng mga programa ng NHI ay nag-iiba. Ang Pilipinas ay may umuunlad na programa, habang ang Singapore ay may mas mature na sistema. ([https://japan.kantei.go.jp/101_kishida/statement/202311/04policyspeech.html](https://japan.kantei.go.jp/101_kishida/statement/202311/04policyspeech.html)) * * *Saklaw ng Medikal na Practice:** Maaaring magkaroon ng mas mahigpit na limitasyon ang ilang bansa sa mga partikular na kasanayan. Halimbawa, pinahihintulutan ng Pilipinas ang Traditional at Alternative Medicine (**R.A. 10354**), na maaaring iba ang regulasyon sa ibang lugar.
* **Pampubliko kumpara sa Pribadong Pangangalaga sa Kalusugan:** Ang balanse sa pagitan ng pampubliko at pribadong paghahatid ng pangangalagang pangkalusugan ay naiiba. Ang Pilipinas ay may malakas na pribadong sektor, habang ang ilang mga bansa ay may mas sentralisadong pampublikong sistema.
**Mga mapagkukunan para sa karagdagang pananaliksik:**
* Department of Health Philippines: [https://doh.gov.ph/](https://doh.gov.ph/)
* World Health Organization: [https://www.who.int/southeastasia](https://www.who.int/southeastasia)
**Mahalagang Tandaan:** Ito ay isang pangkalahatang pangkalahatang-ideya. Ang mga partikular na batas at regulasyong medikal ay maaaring mag-iba nang malaki sa pagitan ng mga bansa sa loob ng Southeast Asia.</v>
      </c>
      <c r="F1795" s="2">
        <f t="shared" si="1"/>
        <v>0</v>
      </c>
      <c r="G1795" s="2"/>
      <c r="H1795" s="2"/>
      <c r="I1795" s="2"/>
      <c r="J1795" s="2"/>
      <c r="K1795" s="2"/>
      <c r="L1795" s="2"/>
      <c r="M1795" s="2"/>
      <c r="N1795" s="2"/>
      <c r="O1795" s="2"/>
      <c r="P1795" s="2"/>
      <c r="Q1795" s="2"/>
      <c r="R1795" s="2"/>
      <c r="S1795" s="2"/>
      <c r="T1795" s="2"/>
      <c r="U1795" s="2"/>
      <c r="V1795" s="2"/>
      <c r="W1795" s="2"/>
      <c r="X1795" s="2"/>
      <c r="Y1795" s="2"/>
      <c r="Z1795" s="2"/>
      <c r="AA1795" s="2"/>
    </row>
    <row r="1796">
      <c r="A1796" s="1" t="s">
        <v>4337</v>
      </c>
      <c r="B1796" s="1" t="s">
        <v>4638</v>
      </c>
      <c r="C1796" s="1" t="s">
        <v>4639</v>
      </c>
      <c r="D1796" s="2" t="str">
        <f>IFERROR(__xludf.DUMMYFUNCTION("GOOGLETRANSLATE(B1796, ""en"", ""TL"")"),"Anong mga pandaigdigang uso sa batas at etikang medikal, tulad ng paggamit ng artificial intelligence sa pangangalagang pangkalusugan, ang makapagbibigay-alam sa pagbuo ng batas ng Pilipinas?")</f>
        <v>Anong mga pandaigdigang uso sa batas at etikang medikal, tulad ng paggamit ng artificial intelligence sa pangangalagang pangkalusugan, ang makapagbibigay-alam sa pagbuo ng batas ng Pilipinas?</v>
      </c>
      <c r="E1796" s="2" t="str">
        <f>IFERROR(__xludf.DUMMYFUNCTION("GOOGLETRANSLATE(C1796, ""en"", ""TL"")"),"Maaaring isaalang-alang ng Pilipinas ang ilang pandaigdigang uso sa medikal na batas at etika, kabilang ang AI sa pangangalagang pangkalusugan, upang ipaalam ang sarili nitong legal na balangkas. Ganito, batay sa mga nauugnay na prinsipyo:
* **Artificial "&amp;"Intelligence (AI) sa Pangangalagang Pangkalusugan:** Kasalukuyang kulang ang Pilipinas ng mga partikular na batas sa AI sa pangangalagang pangkalusugan. Gayunpaman, pinoprotektahan ng **Data Privacy Act (R.A. 10173)** ang impormasyon ng pasyente na ginaga"&amp;"mit ng mga AI system. Ang mga sumusunod na pandaigdigang uso ay maaaring isaalang-alang:
* **Transparency at Pananagutan:** Maaaring mag-utos ang mga batas ng malinaw na komunikasyon sa kung paano ginagamit ang AI sa diagnosis, paggamot, at paggawa ng des"&amp;"isyon.
* **Algorithmic Bias:** Maaaring tugunan ng mga regulasyon ang potensyal na bias sa mga algorithm ng AI upang matiyak ang patas na paggamot para sa lahat ng pasyente.
* **Informed Consent at Patient Autonomy:** Ang Konstitusyon ng Pilipinas (Artiku"&amp;"lo II, Seksyon 14) ay ginagarantiyahan ang karapatan sa privacy. Ito ay umaabot sa medikal na impormasyon. Sa paglabas ng mga bagong teknolohiya, masisiguro ng batas ng Pilipinas na:
* **Malinaw at nauunawaan na impormasyon** ay ibinibigay sa mga pasyente"&amp;" tungkol sa kung paano ginagamit ang kanilang data, kabilang ang mga AI application.
* **Ang mga pasyente ay may karapatang tumanggi** mga interbensyon na nakabatay sa AI at pumili ng mga tradisyonal na pamamaraan. * **Access to Healthcare and Equity:** A"&amp;"ng Konstitusyon ng Pilipinas (Artikulo XIII, Seksyon 11) ay ginagarantiyahan ang karapatan sa kalusugan. Isinasaalang-alang ang karapatang ito, maaaring tugunan ng batas ng Pilipinas ang:
* **Pagtitiyak ng pantay na pag-access** sa pangangalagang pangkalu"&amp;"sugan na pinapagana ng AI, lalo na sa mga malalayong lugar.
* **Pagbabawas ng mga hadlang sa gastos** na maaaring pumigil sa ilan na makinabang mula sa mga pagsulong na hinimok ng AI.
**Mga mapagkukunan para sa karagdagang pananaliksik:**
* Department of "&amp;"Health Philippines: [https://doh.gov.ph/](https://doh.gov.ph/) * Council of Europe: [https://rm.coe.int/recommandation-2185- 2020-artificial-intelligence-in-health-care-medica/1680a2dcfa](https://rm.coe.int/recommandation-2185-2020-artificial-intelligence"&amp;"-in-health-care-medica/1680a2dcfa)
**Tandaan:** Hindi ito legal na payo. Ang pagkonsulta sa isang kwalipikadong propesyonal ay inirerekomenda para sa mga partikular na legal na interpretasyon.")</f>
        <v>Maaaring isaalang-alang ng Pilipinas ang ilang pandaigdigang uso sa medikal na batas at etika, kabilang ang AI sa pangangalagang pangkalusugan, upang ipaalam ang sarili nitong legal na balangkas. Ganito, batay sa mga nauugnay na prinsipyo:
* **Artificial Intelligence (AI) sa Pangangalagang Pangkalusugan:** Kasalukuyang kulang ang Pilipinas ng mga partikular na batas sa AI sa pangangalagang pangkalusugan. Gayunpaman, pinoprotektahan ng **Data Privacy Act (R.A. 10173)** ang impormasyon ng pasyente na ginagamit ng mga AI system. Ang mga sumusunod na pandaigdigang uso ay maaaring isaalang-alang:
* **Transparency at Pananagutan:** Maaaring mag-utos ang mga batas ng malinaw na komunikasyon sa kung paano ginagamit ang AI sa diagnosis, paggamot, at paggawa ng desisyon.
* **Algorithmic Bias:** Maaaring tugunan ng mga regulasyon ang potensyal na bias sa mga algorithm ng AI upang matiyak ang patas na paggamot para sa lahat ng pasyente.
* **Informed Consent at Patient Autonomy:** Ang Konstitusyon ng Pilipinas (Artikulo II, Seksyon 14) ay ginagarantiyahan ang karapatan sa privacy. Ito ay umaabot sa medikal na impormasyon. Sa paglabas ng mga bagong teknolohiya, masisiguro ng batas ng Pilipinas na:
* **Malinaw at nauunawaan na impormasyon** ay ibinibigay sa mga pasyente tungkol sa kung paano ginagamit ang kanilang data, kabilang ang mga AI application.
* **Ang mga pasyente ay may karapatang tumanggi** mga interbensyon na nakabatay sa AI at pumili ng mga tradisyonal na pamamaraan. * **Access to Healthcare and Equity:** Ang Konstitusyon ng Pilipinas (Artikulo XIII, Seksyon 11) ay ginagarantiyahan ang karapatan sa kalusugan. Isinasaalang-alang ang karapatang ito, maaaring tugunan ng batas ng Pilipinas ang:
* **Pagtitiyak ng pantay na pag-access** sa pangangalagang pangkalusugan na pinapagana ng AI, lalo na sa mga malalayong lugar.
* **Pagbabawas ng mga hadlang sa gastos** na maaaring pumigil sa ilan na makinabang mula sa mga pagsulong na hinimok ng AI.
**Mga mapagkukunan para sa karagdagang pananaliksik:**
* Department of Health Philippines: [https://doh.gov.ph/](https://doh.gov.ph/) * Council of Europe: [https://rm.coe.int/recommandation-2185- 2020-artificial-intelligence-in-health-care-medica/1680a2dcfa](https://rm.coe.int/recommandation-2185-2020-artificial-intelligence-in-health-care-medica/1680a2dcfa)
**Tandaan:** Hindi ito legal na payo. Ang pagkonsulta sa isang kwalipikadong propesyonal ay inirerekomenda para sa mga partikular na legal na interpretasyon.</v>
      </c>
      <c r="F1796" s="2">
        <f t="shared" si="1"/>
        <v>0</v>
      </c>
      <c r="G1796" s="2"/>
      <c r="H1796" s="2"/>
      <c r="I1796" s="2"/>
      <c r="J1796" s="2"/>
      <c r="K1796" s="2"/>
      <c r="L1796" s="2"/>
      <c r="M1796" s="2"/>
      <c r="N1796" s="2"/>
      <c r="O1796" s="2"/>
      <c r="P1796" s="2"/>
      <c r="Q1796" s="2"/>
      <c r="R1796" s="2"/>
      <c r="S1796" s="2"/>
      <c r="T1796" s="2"/>
      <c r="U1796" s="2"/>
      <c r="V1796" s="2"/>
      <c r="W1796" s="2"/>
      <c r="X1796" s="2"/>
      <c r="Y1796" s="2"/>
      <c r="Z1796" s="2"/>
      <c r="AA1796" s="2"/>
    </row>
    <row r="1797">
      <c r="A1797" s="1" t="s">
        <v>4337</v>
      </c>
      <c r="B1797" s="1" t="s">
        <v>4640</v>
      </c>
      <c r="C1797" s="1" t="s">
        <v>4641</v>
      </c>
      <c r="D1797" s="2" t="str">
        <f>IFERROR(__xludf.DUMMYFUNCTION("GOOGLETRANSLATE(B1797, ""en"", ""TL"")"),"Paano tinutugunan ng batas ng Pilipinas ang mga etikal na alalahanin na pumapalibot sa komersyalisasyon ng pananaliksik at mga therapy ng stem cell?")</f>
        <v>Paano tinutugunan ng batas ng Pilipinas ang mga etikal na alalahanin na pumapalibot sa komersyalisasyon ng pananaliksik at mga therapy ng stem cell?</v>
      </c>
      <c r="E1797" s="2" t="str">
        <f>IFERROR(__xludf.DUMMYFUNCTION("GOOGLETRANSLATE(C1797, ""en"", ""TL"")"),"Tinutugunan ng Pilipinas ang mga etikal na alalahanin tungkol sa pananaliksik at mga therapy sa stem cell lalo na sa pamamagitan ng Administrative Order No. 2013-0012 ng Department of Health (DOH) [AO 2013-0012]. Kinokontrol ng AO na ito ang ""Paggawa, Pa"&amp;"g-angkat, Pag-export, Pagbebenta, Alok para sa Pagbebenta, Pamamahagi, Pag-promote, Marketing, at Paggamit ng Human Cellular at Mga Produktong Nakabatay sa Tissue"" Narito kung paano tinutugunan ng AO 2013-0012 ang ilang mahahalagang alalahanin sa etika:
"&amp;"* **Proteksyon ng mga Embryo:** Ipinagbabawal ng AO ang mga sumusunod:
* Paglikha ng mga embryo ng tao para sa pananaliksik (Seksyon 3.A.1)
* Paggamit ng mga human embryonic stem cell (hESCs) at mga derivatives ng mga ito sa paggamot at pananaliksik (Seks"&amp;"yon 3.A.2)
* Paggamit ng na-abort na fetal stem cell ng tao at ang mga derivatives ng mga ito (Seksyon 3.A.3)
Naaayon ito sa mga alalahanin tungkol sa katayuang moral ng mga embryo at ang etika ng pagsira sa kanila para sa pananaliksik.
* **Tumuon sa Mga "&amp;"Etikal na Pinagmumulan:** Ang AO ay nagbibigay-daan sa pagsasaliksik sa ilang uri ng mga stem cell, gaya ng mga adult stem cell at mesenchymal stem cell, na nagmula sa etikal na pinagmulang mga materyales. Ito ay humahantong sa pananaliksik patungo sa mga"&amp;" lugar na hindi gaanong pinagtatalunan sa etika.
**Mahahalagang puntos na dapat tandaan:**
* Nakatuon ang AO 2013-0012 sa pagsasaayos ng mga produkto at therapy, hindi sa pananaliksik mismo. Maaaring umiral ang mga karagdagang regulasyon ng ibang ahensya "&amp;"ng gobyerno para sa mga protocol ng pananaliksik.
* Pinahihintulutan ng Pilipinas ang pagsasaliksik sa mga induced pluripotent stem cell (iPSCs), na mga reprogrammed adult cells at iniiwasan ang mga isyu sa etika ng embryonic stem cell.
** Karagdagang Mga"&amp;" Mapagkukunan:**
* Department of Health Philippines: [https://doh.gov.ph/](https://doh.gov.ph/)
* Administrative Order No. 2013-0012: [https://www.fda.gov.ph/wp-content/uploads/2021/04/Administrative-Order-No.-2013-0012.pdf](https:// www.fda.gov.ph/wp-con"&amp;"tent/uploads/2021/04/Administrative-Order-No.-2013-0012.pdf)")</f>
        <v>Tinutugunan ng Pilipinas ang mga etikal na alalahanin tungkol sa pananaliksik at mga therapy sa stem cell lalo na sa pamamagitan ng Administrative Order No. 2013-0012 ng Department of Health (DOH) [AO 2013-0012]. Kinokontrol ng AO na ito ang "Paggawa, Pag-angkat, Pag-export, Pagbebenta, Alok para sa Pagbebenta, Pamamahagi, Pag-promote, Marketing, at Paggamit ng Human Cellular at Mga Produktong Nakabatay sa Tissue" Narito kung paano tinutugunan ng AO 2013-0012 ang ilang mahahalagang alalahanin sa etika:
* **Proteksyon ng mga Embryo:** Ipinagbabawal ng AO ang mga sumusunod:
* Paglikha ng mga embryo ng tao para sa pananaliksik (Seksyon 3.A.1)
* Paggamit ng mga human embryonic stem cell (hESCs) at mga derivatives ng mga ito sa paggamot at pananaliksik (Seksyon 3.A.2)
* Paggamit ng na-abort na fetal stem cell ng tao at ang mga derivatives ng mga ito (Seksyon 3.A.3)
Naaayon ito sa mga alalahanin tungkol sa katayuang moral ng mga embryo at ang etika ng pagsira sa kanila para sa pananaliksik.
* **Tumuon sa Mga Etikal na Pinagmumulan:** Ang AO ay nagbibigay-daan sa pagsasaliksik sa ilang uri ng mga stem cell, gaya ng mga adult stem cell at mesenchymal stem cell, na nagmula sa etikal na pinagmulang mga materyales. Ito ay humahantong sa pananaliksik patungo sa mga lugar na hindi gaanong pinagtatalunan sa etika.
**Mahahalagang puntos na dapat tandaan:**
* Nakatuon ang AO 2013-0012 sa pagsasaayos ng mga produkto at therapy, hindi sa pananaliksik mismo. Maaaring umiral ang mga karagdagang regulasyon ng ibang ahensya ng gobyerno para sa mga protocol ng pananaliksik.
* Pinahihintulutan ng Pilipinas ang pagsasaliksik sa mga induced pluripotent stem cell (iPSCs), na mga reprogrammed adult cells at iniiwasan ang mga isyu sa etika ng embryonic stem cell.
** Karagdagang Mga Mapagkukunan:**
* Department of Health Philippines: [https://doh.gov.ph/](https://doh.gov.ph/)
* Administrative Order No. 2013-0012: [https://www.fda.gov.ph/wp-content/uploads/2021/04/Administrative-Order-No.-2013-0012.pdf](https:// www.fda.gov.ph/wp-content/uploads/2021/04/Administrative-Order-No.-2013-0012.pdf)</v>
      </c>
      <c r="F1797" s="2">
        <f t="shared" si="1"/>
        <v>0</v>
      </c>
      <c r="G1797" s="2"/>
      <c r="H1797" s="2"/>
      <c r="I1797" s="2"/>
      <c r="J1797" s="2"/>
      <c r="K1797" s="2"/>
      <c r="L1797" s="2"/>
      <c r="M1797" s="2"/>
      <c r="N1797" s="2"/>
      <c r="O1797" s="2"/>
      <c r="P1797" s="2"/>
      <c r="Q1797" s="2"/>
      <c r="R1797" s="2"/>
      <c r="S1797" s="2"/>
      <c r="T1797" s="2"/>
      <c r="U1797" s="2"/>
      <c r="V1797" s="2"/>
      <c r="W1797" s="2"/>
      <c r="X1797" s="2"/>
      <c r="Y1797" s="2"/>
      <c r="Z1797" s="2"/>
      <c r="AA1797" s="2"/>
    </row>
    <row r="1798">
      <c r="A1798" s="1" t="s">
        <v>4337</v>
      </c>
      <c r="B1798" s="1" t="s">
        <v>4642</v>
      </c>
      <c r="C1798" s="1" t="s">
        <v>4643</v>
      </c>
      <c r="D1798" s="2" t="str">
        <f>IFERROR(__xludf.DUMMYFUNCTION("GOOGLETRANSLATE(B1798, ""en"", ""TL"")"),"Anong mga legal na balangkas ang inilalagay upang pangasiwaan at pangasiwaan ang pagbuo at aplikasyon ng mga teknolohiya sa pag-edit ng gene sa Pilipinas?")</f>
        <v>Anong mga legal na balangkas ang inilalagay upang pangasiwaan at pangasiwaan ang pagbuo at aplikasyon ng mga teknolohiya sa pag-edit ng gene sa Pilipinas?</v>
      </c>
      <c r="E1798" s="2" t="str">
        <f>IFERROR(__xludf.DUMMYFUNCTION("GOOGLETRANSLATE(C1798, ""en"", ""TL"")"),"Ang Pilipinas ay may medyo bagong legal na balangkas para sa pagsasaayos ng mga teknolohiya sa pag-edit ng gene, partikular para sa mga halaman. Narito ang isang breakdown ng mga pangunahing regulasyon:
* **Memorandum Circular No. 8, Series of 2022 (MC8):"&amp;"** Itong Department of Science and Technology (DOST) memorandum ay nagbabalangkas ng isang science-based at mahusay na proseso para sa pagtatasa kung ang isang gene-edited na planta ay nasa ilalim ng mga regulasyon para sa Genetically Engineered (GE) na m"&amp;"ga organismo. * Nagtatag ang MC8 ng bagong kategorya na tinatawag na ""Mga Produkto ng Bagong Breeding Techniques"" (PNBTs). Ang mga ito ay mga halaman na nilikha gamit ang mga bagong pamamaraan tulad ng CRISPR na itinuturing na hindi gaanong peligro kays"&amp;"a sa mga tradisyonal na pamamaraan ng GE. ([inalis ang invalid na URL])
* **National Committee on Biosafety of the Philippines (NCBP):** Ang komite na ito, sa ilalim ng DOST, ay may pananagutan sa pagtiyak ng ligtas na pag-unlad at paggamit ng mga genetic"&amp;"ally modified organisms (GMOs) at posibleng, ilang PNBT. Ang NCBP ay may mga alituntunin para sa nakapaloob na pananaliksik sa paggamit, sinadyang pagpapalabas, at komersyalisasyon ng mga GMO, na maaaring iakma rin para sa mga PNBT. (DOST PCAARRD: [https:"&amp;"//pcaarrd.dost.gov.ph/index.php/quick-information-dispatch-qid-articles/promises-and-challenges-of-gene-editing-discussed-in-a-forum ](https://pcaarrd.dost.gov.ph/index.php/quick-information-dispatch-qid-articles/promises-and-challenges-of-gene-editing-di"&amp;"scussed-in-a-forum))
**Mahahalagang Pagsasaalang-alang:**
* Ang balangkas ng regulasyon ng Pilipinas para sa pag-edit ng gene ay umuunlad pa rin. Malamang na ang mga bagong regulasyon o pagbabago sa mga umiiral na ay bubuo habang umuunlad ang teknolohiya."&amp;"
* Ang kasalukuyang balangkas ay pangunahing nakatuon sa pagsasaayos ng mga halaman na na-edit ng gene. Ang regulasyon ng pag-edit ng gene sa ibang mga lugar, tulad ng pag-edit ng germline ng tao, ay pinag-uusapan pa rin. **Mga mapagkukunan para sa karagd"&amp;"agang pananaliksik:**
* Department of Science and Technology Philippines: [https://www.dost.gov.ph/](https://www.dost.gov.ph/)
* ISAAA: [https://www.isaaa.org/](https://www.isaaa.org/)
Tandaan, hindi ito kapalit ng legal na payo. Para sa mga partikular na"&amp;" interpretasyon ng mga regulasyon, kumunsulta sa isang kwalipikadong abogado.")</f>
        <v>Ang Pilipinas ay may medyo bagong legal na balangkas para sa pagsasaayos ng mga teknolohiya sa pag-edit ng gene, partikular para sa mga halaman. Narito ang isang breakdown ng mga pangunahing regulasyon:
* **Memorandum Circular No. 8, Series of 2022 (MC8):** Itong Department of Science and Technology (DOST) memorandum ay nagbabalangkas ng isang science-based at mahusay na proseso para sa pagtatasa kung ang isang gene-edited na planta ay nasa ilalim ng mga regulasyon para sa Genetically Engineered (GE) na mga organismo. * Nagtatag ang MC8 ng bagong kategorya na tinatawag na "Mga Produkto ng Bagong Breeding Techniques" (PNBTs). Ang mga ito ay mga halaman na nilikha gamit ang mga bagong pamamaraan tulad ng CRISPR na itinuturing na hindi gaanong peligro kaysa sa mga tradisyonal na pamamaraan ng GE. ([inalis ang invalid na URL])
* **National Committee on Biosafety of the Philippines (NCBP):** Ang komite na ito, sa ilalim ng DOST, ay may pananagutan sa pagtiyak ng ligtas na pag-unlad at paggamit ng mga genetically modified organisms (GMOs) at posibleng, ilang PNBT. Ang NCBP ay may mga alituntunin para sa nakapaloob na pananaliksik sa paggamit, sinadyang pagpapalabas, at komersyalisasyon ng mga GMO, na maaaring iakma rin para sa mga PNBT. (DOST PCAARRD: [https://pcaarrd.dost.gov.ph/index.php/quick-information-dispatch-qid-articles/promises-and-challenges-of-gene-editing-discussed-in-a-forum ](https://pcaarrd.dost.gov.ph/index.php/quick-information-dispatch-qid-articles/promises-and-challenges-of-gene-editing-discussed-in-a-forum))
**Mahahalagang Pagsasaalang-alang:**
* Ang balangkas ng regulasyon ng Pilipinas para sa pag-edit ng gene ay umuunlad pa rin. Malamang na ang mga bagong regulasyon o pagbabago sa mga umiiral na ay bubuo habang umuunlad ang teknolohiya.
* Ang kasalukuyang balangkas ay pangunahing nakatuon sa pagsasaayos ng mga halaman na na-edit ng gene. Ang regulasyon ng pag-edit ng gene sa ibang mga lugar, tulad ng pag-edit ng germline ng tao, ay pinag-uusapan pa rin. **Mga mapagkukunan para sa karagdagang pananaliksik:**
* Department of Science and Technology Philippines: [https://www.dost.gov.ph/](https://www.dost.gov.ph/)
* ISAAA: [https://www.isaaa.org/](https://www.isaaa.org/)
Tandaan, hindi ito kapalit ng legal na payo. Para sa mga partikular na interpretasyon ng mga regulasyon, kumunsulta sa isang kwalipikadong abogado.</v>
      </c>
      <c r="F1798" s="2">
        <f t="shared" si="1"/>
        <v>0</v>
      </c>
      <c r="G1798" s="2"/>
      <c r="H1798" s="2"/>
      <c r="I1798" s="2"/>
      <c r="J1798" s="2"/>
      <c r="K1798" s="2"/>
      <c r="L1798" s="2"/>
      <c r="M1798" s="2"/>
      <c r="N1798" s="2"/>
      <c r="O1798" s="2"/>
      <c r="P1798" s="2"/>
      <c r="Q1798" s="2"/>
      <c r="R1798" s="2"/>
      <c r="S1798" s="2"/>
      <c r="T1798" s="2"/>
      <c r="U1798" s="2"/>
      <c r="V1798" s="2"/>
      <c r="W1798" s="2"/>
      <c r="X1798" s="2"/>
      <c r="Y1798" s="2"/>
      <c r="Z1798" s="2"/>
      <c r="AA1798" s="2"/>
    </row>
    <row r="1799">
      <c r="A1799" s="1" t="s">
        <v>4337</v>
      </c>
      <c r="B1799" s="1" t="s">
        <v>4644</v>
      </c>
      <c r="C1799" s="1" t="s">
        <v>4645</v>
      </c>
      <c r="D1799" s="2" t="str">
        <f>IFERROR(__xludf.DUMMYFUNCTION("GOOGLETRANSLATE(B1799, ""en"", ""TL"")"),"Paano lumalapit ang batas sa mga etikal na dilemma na pumapalibot sa paggamit ng mga hayop sa medikal na pananaliksik at pag-unlad?")</f>
        <v>Paano lumalapit ang batas sa mga etikal na dilemma na pumapalibot sa paggamit ng mga hayop sa medikal na pananaliksik at pag-unlad?</v>
      </c>
      <c r="E1799" s="2" t="str">
        <f>IFERROR(__xludf.DUMMYFUNCTION("GOOGLETRANSLATE(C1799, ""en"", ""TL"")"),"Ang Pilipinas ay walang iisang batas na nakatuon lamang sa pagsasaliksik ng hayop. Gayunpaman, ang ilang mga legal na mapagkukunan ay tumutugon sa etikal na pagtrato sa mga hayop na ginagamit sa pananaliksik at pagpapaunlad. Narito ang isang breakdown ng "&amp;"mga pangunahing punto:
* **Ang Konstitusyon ng Pilipinas (Artikulo II, Seksyon 15):** Kinikilala ng seksyong ito ang ""karapatan sa seguridad ng tao at ng kanyang ari-arian."" Bagama't hindi nito tahasang binabanggit ang mga hayop, maaari itong bigyang-ka"&amp;"hulugan upang isulong ang responsableng pagtrato sa lahat ng may buhay.
* **Republic Act No. 8485 o The Animal Welfare Act of 1998:** Nakatuon ang batas na ito sa pagtataguyod ng kapakanan ng hayop at pagpigil sa kalupitan. Nalalapat ito sa pangkalahatan,"&amp;" at ang mga hayop sa pagsasaliksik ay hindi tahasang exempted. Bagama't hindi direktang kinokontrol ang pananaliksik, nagtatakda ito ng baseline para sa pag-aalaga ng hayop. * **Department of Agriculture (DA) Administrative Circular No. 10 series of 2012:"&amp;"** Ang regulasyon ng DA na ito ay nagbibigay ng mga partikular na alituntunin para sa makataong paghawak, pangangalaga, at paggamit ng mga hayop sa laboratoryo. Binabalangkas nito ang mga prinsipyo tulad ng 3Rs (Replacement, Reduction, and Refinement) upa"&amp;"ng mabawasan ang paghihirap ng hayop sa pananaliksik. * **Executive Order No. 517 series of 2001:** Itinatag ng EO na ito ang National Ethical Research Committee (NERC) sa ilalim ng Department of Science and Technology (DOST). Sinusuri ng NERC ang mga pan"&amp;"ukala sa pananaliksik na kinasasangkutan ng mga paksa ng tao at hayop. Kabilang dito ang pagtiyak na ang mga protocol para sa pagsasaliksik ng hayop ay nakakatugon sa mga pamantayang etikal at siyentipiko.
**Mga Pangunahing Punto na Dapat Tandaan:**
* Ang"&amp;" Pilipinas ay sumusunod sa isang balanseng diskarte, na nagpapahintulot sa pagsasaliksik ng hayop habang binibigyang-diin ang etikal na pagtrato.
* Ang legal na balangkas ay nakatuon sa kapakanan ng hayop at pagbabawas ng pagdurusa sa panahon ng pananalik"&amp;"sik. * Dapat sumunod ang mga mananaliksik sa mga alituntuning itinakda ng DA at makakuha ng pag-apruba mula sa NERC bago magsagawa ng pagsasaliksik sa hayop.
**Mga Karagdagang Mapagkukunan:**
* Department of Agriculture Philippines: [https://www.da.gov.ph"&amp;"/](https://www.da.gov.ph/)
* DOST National Ethical Research Committee: [https://nec.pchrd.dost.gov.ph/](https://nec.pchrd.dost.gov.ph/)
**Mahalagang Tandaan:** Ito ay isang pinasimple na pangkalahatang-ideya. Inirerekomenda na kumunsulta sa isang abogado "&amp;"na dalubhasa sa batas ng hayop para sa komprehensibong pag-unawa sa legal na tanawin na nakapalibot sa pagsasaliksik ng hayop sa Pilipinas.")</f>
        <v>Ang Pilipinas ay walang iisang batas na nakatuon lamang sa pagsasaliksik ng hayop. Gayunpaman, ang ilang mga legal na mapagkukunan ay tumutugon sa etikal na pagtrato sa mga hayop na ginagamit sa pananaliksik at pagpapaunlad. Narito ang isang breakdown ng mga pangunahing punto:
* **Ang Konstitusyon ng Pilipinas (Artikulo II, Seksyon 15):** Kinikilala ng seksyong ito ang "karapatan sa seguridad ng tao at ng kanyang ari-arian." Bagama't hindi nito tahasang binabanggit ang mga hayop, maaari itong bigyang-kahulugan upang isulong ang responsableng pagtrato sa lahat ng may buhay.
* **Republic Act No. 8485 o The Animal Welfare Act of 1998:** Nakatuon ang batas na ito sa pagtataguyod ng kapakanan ng hayop at pagpigil sa kalupitan. Nalalapat ito sa pangkalahatan, at ang mga hayop sa pagsasaliksik ay hindi tahasang exempted. Bagama't hindi direktang kinokontrol ang pananaliksik, nagtatakda ito ng baseline para sa pag-aalaga ng hayop. * **Department of Agriculture (DA) Administrative Circular No. 10 series of 2012:** Ang regulasyon ng DA na ito ay nagbibigay ng mga partikular na alituntunin para sa makataong paghawak, pangangalaga, at paggamit ng mga hayop sa laboratoryo. Binabalangkas nito ang mga prinsipyo tulad ng 3Rs (Replacement, Reduction, and Refinement) upang mabawasan ang paghihirap ng hayop sa pananaliksik. * **Executive Order No. 517 series of 2001:** Itinatag ng EO na ito ang National Ethical Research Committee (NERC) sa ilalim ng Department of Science and Technology (DOST). Sinusuri ng NERC ang mga panukala sa pananaliksik na kinasasangkutan ng mga paksa ng tao at hayop. Kabilang dito ang pagtiyak na ang mga protocol para sa pagsasaliksik ng hayop ay nakakatugon sa mga pamantayang etikal at siyentipiko.
**Mga Pangunahing Punto na Dapat Tandaan:**
* Ang Pilipinas ay sumusunod sa isang balanseng diskarte, na nagpapahintulot sa pagsasaliksik ng hayop habang binibigyang-diin ang etikal na pagtrato.
* Ang legal na balangkas ay nakatuon sa kapakanan ng hayop at pagbabawas ng pagdurusa sa panahon ng pananaliksik. * Dapat sumunod ang mga mananaliksik sa mga alituntuning itinakda ng DA at makakuha ng pag-apruba mula sa NERC bago magsagawa ng pagsasaliksik sa hayop.
**Mga Karagdagang Mapagkukunan:**
* Department of Agriculture Philippines: [https://www.da.gov.ph/](https://www.da.gov.ph/)
* DOST National Ethical Research Committee: [https://nec.pchrd.dost.gov.ph/](https://nec.pchrd.dost.gov.ph/)
**Mahalagang Tandaan:** Ito ay isang pinasimple na pangkalahatang-ideya. Inirerekomenda na kumunsulta sa isang abogado na dalubhasa sa batas ng hayop para sa komprehensibong pag-unawa sa legal na tanawin na nakapalibot sa pagsasaliksik ng hayop sa Pilipinas.</v>
      </c>
      <c r="F1799" s="2">
        <f t="shared" si="1"/>
        <v>0</v>
      </c>
      <c r="G1799" s="2"/>
      <c r="H1799" s="2"/>
      <c r="I1799" s="2"/>
      <c r="J1799" s="2"/>
      <c r="K1799" s="2"/>
      <c r="L1799" s="2"/>
      <c r="M1799" s="2"/>
      <c r="N1799" s="2"/>
      <c r="O1799" s="2"/>
      <c r="P1799" s="2"/>
      <c r="Q1799" s="2"/>
      <c r="R1799" s="2"/>
      <c r="S1799" s="2"/>
      <c r="T1799" s="2"/>
      <c r="U1799" s="2"/>
      <c r="V1799" s="2"/>
      <c r="W1799" s="2"/>
      <c r="X1799" s="2"/>
      <c r="Y1799" s="2"/>
      <c r="Z1799" s="2"/>
      <c r="AA1799" s="2"/>
    </row>
    <row r="1800">
      <c r="A1800" s="1" t="s">
        <v>4337</v>
      </c>
      <c r="B1800" s="1" t="s">
        <v>4646</v>
      </c>
      <c r="C1800" s="1" t="s">
        <v>4647</v>
      </c>
      <c r="D1800" s="2" t="str">
        <f>IFERROR(__xludf.DUMMYFUNCTION("GOOGLETRANSLATE(B1800, ""en"", ""TL"")"),"Paano mapapahusay ang kamalayan ng publiko tungkol sa batas medikal at mga karapatan ng pasyente sa pamamagitan ng mga estratehiya sa edukasyon at komunikasyon?")</f>
        <v>Paano mapapahusay ang kamalayan ng publiko tungkol sa batas medikal at mga karapatan ng pasyente sa pamamagitan ng mga estratehiya sa edukasyon at komunikasyon?</v>
      </c>
      <c r="E1800" s="2" t="str">
        <f>IFERROR(__xludf.DUMMYFUNCTION("GOOGLETRANSLATE(C1800, ""en"", ""TL"")"),"Maaaring gamitin ng Pilipinas ang iba't ibang estratehiya sa edukasyon at komunikasyon upang mapahusay ang kamalayan ng publiko tungkol sa batas medikal at mga karapatan ng pasyente. Narito ang ilang mga diskarte:
**1. Gamitin ang Maramihang Channel:**
* "&amp;"**Tradisyunal na Media:** Gumamit ng TV, radyo, at print media para sa mga anunsyo ng pampublikong serbisyo at mga programang pang-edukasyon na nagpapaliwanag sa mga karapatan ng pasyente at mga nauugnay na batas (hal., R.A. 7832 - Philippine Medical Act,"&amp;" R.A. 10173 - Data Privacy Act).
* **Mga Digital na Platform:** Bumuo ng website o mobile app na pinamumunuan ng gobyerno na may mga nada-download na mapagkukunan sa batas medikal at mga karapatan ng pasyente. Makipagtulungan sa mga platform ng social med"&amp;"ia upang maipalaganap ang malinaw at maigsi na mga infographic at mga video na nagpapaliwanag.
**2. Makipagtulungan sa Mga Stakeholder:**
* **Mga Institusyon ng Pangangalaga sa Kalusugan:** Isama ang edukasyon sa mga karapatan ng pasyente sa mga admission"&amp;" sa ospital at mga pamamaraan ng paglabas. Makipagtulungan sa mga asosasyon ng doktor upang bumuo ng mga materyales sa edukasyon ng pasyente. * **Mga Paaralan at Unibersidad:** I-embed ang mga module sa batas medikal at mga karapatan ng pasyente sa mga na"&amp;"uugnay na kurso sa edukasyong pangkalusugan. * **Mga Organisasyon ng Komunidad:** Makipagtulungan sa mga organisasyon ng komunidad upang magsagawa ng mga workshop at seminar sa mga lokal na wika.
**3. Gawing Naa-access at Nakakaengganyo ang Impormasyon:**"&amp;"
* **Simpleng Wika:** Gumamit ng malinaw at maigsi na wika, pag-iwas sa legalese, sa lahat ng materyales sa komunikasyon. Gumamit ng mga visual, diagram, at pagkukuwento para gawing nakakaengganyo ang impormasyon.
* **Multilingual Resources:** Bumuo ng mg"&amp;"a materyales sa mga pangunahing wikang Filipino upang matiyak ang pagkakaisa sa magkakaibang populasyon. Gumamit ng mga bersyon ng audio para sa mga may kapansanan sa paningin.
**4. Isulong ang Aktibong Paglahok:**
* **Mga Hotline at Help Desk:** Magtatag"&amp;" ng mga helpline o online na platform para sa mga pasyente upang magtanong tungkol sa kanilang mga karapatan at mag-ulat ng mga paglabag.
* **Mga Interactive na Mapagkukunan:** Bumuo ng mga online na pagsusulit o laro upang masuri at mapabuti ang kaalaman"&amp;" ng publiko tungkol sa medikal na batas. **5. Gamitin ang Mga Umiiral na Mekanismo:**
* **Mga Manggagawang Pangkalusugan ng Barangay:** Sanayin ang mga manggagawang pangkalusugan ng barangay sa batas medikal at bigyan sila ng kapangyarihan na turuan ang k"&amp;"anilang mga komunidad.
* **Patient Advocacy Groups:** Makipagtulungan sa mga kasalukuyang pangkat ng advocacy ng pasyente upang itaas ang kamalayan at magbigay ng suporta sa mga pasyenteng nakakaranas ng mga paghihirap.
**Tandaan:** * **Sustainability:** "&amp;"Regular na i-update ang impormasyon at panatilihin ang malinaw na mga channel ng komunikasyon para sa pangmatagalang epekto.
* **Pagsusuri at Feedback:** Subaybayan ang pagiging epektibo ng mga diskarte sa komunikasyon at iakma ang mga ito batay sa pampub"&amp;"likong feedback at mga umuusbong na isyu.
Sa pamamagitan ng pagpapatupad ng mga estratehiyang ito, mabibigyang kapangyarihan ng Pilipinas ang mga mamamayan nito na gumawa ng matalinong mga desisyon sa pangangalagang pangkalusugan at itaguyod ang kanilang "&amp;"mga karapatan sa loob ng sistemang medikal.")</f>
        <v>Maaaring gamitin ng Pilipinas ang iba't ibang estratehiya sa edukasyon at komunikasyon upang mapahusay ang kamalayan ng publiko tungkol sa batas medikal at mga karapatan ng pasyente. Narito ang ilang mga diskarte:
**1. Gamitin ang Maramihang Channel:**
* **Tradisyunal na Media:** Gumamit ng TV, radyo, at print media para sa mga anunsyo ng pampublikong serbisyo at mga programang pang-edukasyon na nagpapaliwanag sa mga karapatan ng pasyente at mga nauugnay na batas (hal., R.A. 7832 - Philippine Medical Act, R.A. 10173 - Data Privacy Act).
* **Mga Digital na Platform:** Bumuo ng website o mobile app na pinamumunuan ng gobyerno na may mga nada-download na mapagkukunan sa batas medikal at mga karapatan ng pasyente. Makipagtulungan sa mga platform ng social media upang maipalaganap ang malinaw at maigsi na mga infographic at mga video na nagpapaliwanag.
**2. Makipagtulungan sa Mga Stakeholder:**
* **Mga Institusyon ng Pangangalaga sa Kalusugan:** Isama ang edukasyon sa mga karapatan ng pasyente sa mga admission sa ospital at mga pamamaraan ng paglabas. Makipagtulungan sa mga asosasyon ng doktor upang bumuo ng mga materyales sa edukasyon ng pasyente. * **Mga Paaralan at Unibersidad:** I-embed ang mga module sa batas medikal at mga karapatan ng pasyente sa mga nauugnay na kurso sa edukasyong pangkalusugan. * **Mga Organisasyon ng Komunidad:** Makipagtulungan sa mga organisasyon ng komunidad upang magsagawa ng mga workshop at seminar sa mga lokal na wika.
**3. Gawing Naa-access at Nakakaengganyo ang Impormasyon:**
* **Simpleng Wika:** Gumamit ng malinaw at maigsi na wika, pag-iwas sa legalese, sa lahat ng materyales sa komunikasyon. Gumamit ng mga visual, diagram, at pagkukuwento para gawing nakakaengganyo ang impormasyon.
* **Multilingual Resources:** Bumuo ng mga materyales sa mga pangunahing wikang Filipino upang matiyak ang pagkakaisa sa magkakaibang populasyon. Gumamit ng mga bersyon ng audio para sa mga may kapansanan sa paningin.
**4. Isulong ang Aktibong Paglahok:**
* **Mga Hotline at Help Desk:** Magtatag ng mga helpline o online na platform para sa mga pasyente upang magtanong tungkol sa kanilang mga karapatan at mag-ulat ng mga paglabag.
* **Mga Interactive na Mapagkukunan:** Bumuo ng mga online na pagsusulit o laro upang masuri at mapabuti ang kaalaman ng publiko tungkol sa medikal na batas. **5. Gamitin ang Mga Umiiral na Mekanismo:**
* **Mga Manggagawang Pangkalusugan ng Barangay:** Sanayin ang mga manggagawang pangkalusugan ng barangay sa batas medikal at bigyan sila ng kapangyarihan na turuan ang kanilang mga komunidad.
* **Patient Advocacy Groups:** Makipagtulungan sa mga kasalukuyang pangkat ng advocacy ng pasyente upang itaas ang kamalayan at magbigay ng suporta sa mga pasyenteng nakakaranas ng mga paghihirap.
**Tandaan:** * **Sustainability:** Regular na i-update ang impormasyon at panatilihin ang malinaw na mga channel ng komunikasyon para sa pangmatagalang epekto.
* **Pagsusuri at Feedback:** Subaybayan ang pagiging epektibo ng mga diskarte sa komunikasyon at iakma ang mga ito batay sa pampublikong feedback at mga umuusbong na isyu.
Sa pamamagitan ng pagpapatupad ng mga estratehiyang ito, mabibigyang kapangyarihan ng Pilipinas ang mga mamamayan nito na gumawa ng matalinong mga desisyon sa pangangalagang pangkalusugan at itaguyod ang kanilang mga karapatan sa loob ng sistemang medikal.</v>
      </c>
      <c r="F1800" s="2">
        <f t="shared" si="1"/>
        <v>0</v>
      </c>
      <c r="G1800" s="2"/>
      <c r="H1800" s="2"/>
      <c r="I1800" s="2"/>
      <c r="J1800" s="2"/>
      <c r="K1800" s="2"/>
      <c r="L1800" s="2"/>
      <c r="M1800" s="2"/>
      <c r="N1800" s="2"/>
      <c r="O1800" s="2"/>
      <c r="P1800" s="2"/>
      <c r="Q1800" s="2"/>
      <c r="R1800" s="2"/>
      <c r="S1800" s="2"/>
      <c r="T1800" s="2"/>
      <c r="U1800" s="2"/>
      <c r="V1800" s="2"/>
      <c r="W1800" s="2"/>
      <c r="X1800" s="2"/>
      <c r="Y1800" s="2"/>
      <c r="Z1800" s="2"/>
      <c r="AA1800" s="2"/>
    </row>
    <row r="1801">
      <c r="A1801" s="1" t="s">
        <v>4337</v>
      </c>
      <c r="B1801" s="1" t="s">
        <v>4648</v>
      </c>
      <c r="C1801" s="1" t="s">
        <v>4649</v>
      </c>
      <c r="D1801" s="2" t="str">
        <f>IFERROR(__xludf.DUMMYFUNCTION("GOOGLETRANSLATE(B1801, ""en"", ""TL"")"),"Ano ang papel na ginagampanan ng mga civil society organization at advocacy group sa paghubog ng mga legal na reporma at pagtataguyod ng mga etikal na kasanayan sa pangangalaga sa kalusugan ng Pilipinas?")</f>
        <v>Ano ang papel na ginagampanan ng mga civil society organization at advocacy group sa paghubog ng mga legal na reporma at pagtataguyod ng mga etikal na kasanayan sa pangangalaga sa kalusugan ng Pilipinas?</v>
      </c>
      <c r="E1801" s="2" t="str">
        <f>IFERROR(__xludf.DUMMYFUNCTION("GOOGLETRANSLATE(C1801, ""en"", ""TL"")"),"Ang mga civil society organization (CSOs) at advocacy group ay maaaring gumanap ng mahalagang papel sa paghubog ng mga legal na reporma at pagtataguyod ng mga etikal na kasanayan sa pangangalaga sa kalusugan ng Pilipinas. Ganito:
**1. Pagtaas ng Pampublik"&amp;"ong Kamalayan at Pagbuo ng Momentum:**
* **Mga Kampanya sa Pampublikong Edukasyon:** Maaaring gumamit ang mga CSO ng mga kampanyang pang-edukasyon upang ipaalam sa publiko ang tungkol sa mga puwang sa mga umiiral na batas, mga alalahaning etikal sa pangan"&amp;"galagang pangkalusugan, at mga benepisyo ng mga iminungkahing reporma. Maaari itong bumuo ng suporta ng publiko para sa mga pagbabago sa pambatasan. * **Social Media Advocacy:** Ang mga social media platform ay maaaring gamitin upang ipalaganap ang imporm"&amp;"asyon, pakilusin ang pampublikong panggigipit, at i-highlight ang mga kwento ng tagumpay ng mga etikal na kasanayan sa pangangalaga sa kalusugan.
**2. Pananaliksik at Pagsusulong sa Patakaran:**
* **Pananaliksik at Pangongolekta ng Data:** Maaaring magsag"&amp;"awa ng pananaliksik ang mga CSO para idokumento ang epekto ng mga kasalukuyang batas at tukuyin ang mga lugar na nangangailangan ng reporma. Ang data sa mga hindi natutugunan na pangangailangan sa pangangalagang pangkalusugan, mga paglabag sa etika, o mga"&amp;" pasanin sa pananalapi ay maaaring magpalakas ng mga pagsisikap sa pagtataguyod.
* **Mga Rekomendasyon sa Patakaran at Lobbying:** Batay sa pananaliksik, maaaring bumuo ang mga CSO ng mga rekomendasyon sa patakaran para sa mga legal na reporma. Maaaring i"&amp;"-target ng mga pagsusumikap sa lobbying ang mga mambabatas, ahensya ng gobyerno (hal., DOH), at mga regulatory body (hal., Philippine Medical Association) na itulak ang mga pagbabago sa patakaran.
**3. Pagbibigay-kapangyarihan sa mga Pasyente at Komunidad"&amp;":**
* **Legal Aid and Support:** Ang mga CSO ay maaaring magbigay ng legal na tulong sa mga pasyente na nakaranas ng mga hindi etikal na gawi o nilabag ang kanilang mga karapatan. Nagbibigay ito ng kapangyarihan sa mga indibidwal at nagpapadala ng mensahe"&amp;" ng pananagutan.
* **Community Mobilization and Capacity Building:** Ang mga CSO ay maaaring makipagtulungan sa mga lokal na komunidad upang bumuo ng kamalayan tungkol sa mga karapatan ng pasyente at hikayatin sila na humiling ng etikal na paggamot. Maaar"&amp;"ing kabilang dito ang pagsasanay sa mga manggagawang pangkalusugan ng komunidad at paglikha ng mga grupo ng suporta.
**4. Collaboration at Partnership Building:**
* **Pakikipagtulungan sa Mga Propesyonal sa Pangangalagang Pangkalusugan:** Maaaring makipag"&amp;"tulungan ang mga CSO sa mga propesyonal sa pangangalagang pangkalusugan na etikal upang bumuo ng mga pinakamahuhusay na kagawian at itaguyod ang mga sistematikong pagbabago na nagtataguyod ng etikal na paggawi sa loob ng larangang medikal.
* **Networking "&amp;"sa Iba pang mga CSO:** Ang pagbuo ng mga alyansa sa iba pang mga CSO na nagtatrabaho sa mga isyu sa pangangalagang pangkalusugan ay maaaring palakasin ang kanilang sama-samang boses at mga mapagkukunan para sa mas malaking epekto.
**Mga Halimbawa ng Pagsu"&amp;"sumikap sa Pagtataguyod:**
* Ang Philippine Coalition for Universal Health Care (PCUHC) ay nagtataguyod ng mga reporma para palakasin ang National Health Insurance Program (NHIP).
* Ang Philippine Medical Association (PMA) ay nagtataguyod ng etikal na kas"&amp;"anayan sa mga doktor at lobby para sa mga reporma sa loob ng medikal na propesyon. **Mga Hamon at Pagsasaalang-alang:**
* **Limited Resources:** Ang mga CSO ay kadalasang nahaharap sa mga hadlang sa mapagkukunan. Makakatulong ang pagbuo ng mga partnership"&amp;" at paggamit ng mga malikhaing diskarte sa komunikasyon na malampasan ang hamong ito.
* **Impluwensyang Pampulitika:** Ang tagumpay ng mga pagsusumikap sa pagtataguyod ay maaaring depende sa pag-navigate sa mga pampulitikang landscape at pagbuo ng mga rel"&amp;"asyon sa mga gumagawa ng patakaran.
Sa kabila ng mga hamon na ito, ang mga CSO at advocacy group ay gumaganap ng mahalagang papel sa pagtiyak ng mga etikal na kasanayan sa pangangalaga sa kalusugan at paghubog ng mga legal na reporma sa Pilipinas. Ang kan"&amp;"ilang dedikasyon sa pampublikong edukasyon, adbokasiya na hinimok ng pananaliksik, at pagbibigay-kapangyarihan sa mga komunidad ay maaaring humantong sa isang mas pantay at etikal na sistema ng pangangalagang pangkalusugan.")</f>
        <v>Ang mga civil society organization (CSOs) at advocacy group ay maaaring gumanap ng mahalagang papel sa paghubog ng mga legal na reporma at pagtataguyod ng mga etikal na kasanayan sa pangangalaga sa kalusugan ng Pilipinas. Ganito:
**1. Pagtaas ng Pampublikong Kamalayan at Pagbuo ng Momentum:**
* **Mga Kampanya sa Pampublikong Edukasyon:** Maaaring gumamit ang mga CSO ng mga kampanyang pang-edukasyon upang ipaalam sa publiko ang tungkol sa mga puwang sa mga umiiral na batas, mga alalahaning etikal sa pangangalagang pangkalusugan, at mga benepisyo ng mga iminungkahing reporma. Maaari itong bumuo ng suporta ng publiko para sa mga pagbabago sa pambatasan. * **Social Media Advocacy:** Ang mga social media platform ay maaaring gamitin upang ipalaganap ang impormasyon, pakilusin ang pampublikong panggigipit, at i-highlight ang mga kwento ng tagumpay ng mga etikal na kasanayan sa pangangalaga sa kalusugan.
**2. Pananaliksik at Pagsusulong sa Patakaran:**
* **Pananaliksik at Pangongolekta ng Data:** Maaaring magsagawa ng pananaliksik ang mga CSO para idokumento ang epekto ng mga kasalukuyang batas at tukuyin ang mga lugar na nangangailangan ng reporma. Ang data sa mga hindi natutugunan na pangangailangan sa pangangalagang pangkalusugan, mga paglabag sa etika, o mga pasanin sa pananalapi ay maaaring magpalakas ng mga pagsisikap sa pagtataguyod.
* **Mga Rekomendasyon sa Patakaran at Lobbying:** Batay sa pananaliksik, maaaring bumuo ang mga CSO ng mga rekomendasyon sa patakaran para sa mga legal na reporma. Maaaring i-target ng mga pagsusumikap sa lobbying ang mga mambabatas, ahensya ng gobyerno (hal., DOH), at mga regulatory body (hal., Philippine Medical Association) na itulak ang mga pagbabago sa patakaran.
**3. Pagbibigay-kapangyarihan sa mga Pasyente at Komunidad:**
* **Legal Aid and Support:** Ang mga CSO ay maaaring magbigay ng legal na tulong sa mga pasyente na nakaranas ng mga hindi etikal na gawi o nilabag ang kanilang mga karapatan. Nagbibigay ito ng kapangyarihan sa mga indibidwal at nagpapadala ng mensahe ng pananagutan.
* **Community Mobilization and Capacity Building:** Ang mga CSO ay maaaring makipagtulungan sa mga lokal na komunidad upang bumuo ng kamalayan tungkol sa mga karapatan ng pasyente at hikayatin sila na humiling ng etikal na paggamot. Maaaring kabilang dito ang pagsasanay sa mga manggagawang pangkalusugan ng komunidad at paglikha ng mga grupo ng suporta.
**4. Collaboration at Partnership Building:**
* **Pakikipagtulungan sa Mga Propesyonal sa Pangangalagang Pangkalusugan:** Maaaring makipagtulungan ang mga CSO sa mga propesyonal sa pangangalagang pangkalusugan na etikal upang bumuo ng mga pinakamahuhusay na kagawian at itaguyod ang mga sistematikong pagbabago na nagtataguyod ng etikal na paggawi sa loob ng larangang medikal.
* **Networking sa Iba pang mga CSO:** Ang pagbuo ng mga alyansa sa iba pang mga CSO na nagtatrabaho sa mga isyu sa pangangalagang pangkalusugan ay maaaring palakasin ang kanilang sama-samang boses at mga mapagkukunan para sa mas malaking epekto.
**Mga Halimbawa ng Pagsusumikap sa Pagtataguyod:**
* Ang Philippine Coalition for Universal Health Care (PCUHC) ay nagtataguyod ng mga reporma para palakasin ang National Health Insurance Program (NHIP).
* Ang Philippine Medical Association (PMA) ay nagtataguyod ng etikal na kasanayan sa mga doktor at lobby para sa mga reporma sa loob ng medikal na propesyon. **Mga Hamon at Pagsasaalang-alang:**
* **Limited Resources:** Ang mga CSO ay kadalasang nahaharap sa mga hadlang sa mapagkukunan. Makakatulong ang pagbuo ng mga partnership at paggamit ng mga malikhaing diskarte sa komunikasyon na malampasan ang hamong ito.
* **Impluwensyang Pampulitika:** Ang tagumpay ng mga pagsusumikap sa pagtataguyod ay maaaring depende sa pag-navigate sa mga pampulitikang landscape at pagbuo ng mga relasyon sa mga gumagawa ng patakaran.
Sa kabila ng mga hamon na ito, ang mga CSO at advocacy group ay gumaganap ng mahalagang papel sa pagtiyak ng mga etikal na kasanayan sa pangangalaga sa kalusugan at paghubog ng mga legal na reporma sa Pilipinas. Ang kanilang dedikasyon sa pampublikong edukasyon, adbokasiya na hinimok ng pananaliksik, at pagbibigay-kapangyarihan sa mga komunidad ay maaaring humantong sa isang mas pantay at etikal na sistema ng pangangalagang pangkalusugan.</v>
      </c>
      <c r="F1801" s="2">
        <f t="shared" si="1"/>
        <v>0</v>
      </c>
      <c r="G1801" s="2"/>
      <c r="H1801" s="2"/>
      <c r="I1801" s="2"/>
      <c r="J1801" s="2"/>
      <c r="K1801" s="2"/>
      <c r="L1801" s="2"/>
      <c r="M1801" s="2"/>
      <c r="N1801" s="2"/>
      <c r="O1801" s="2"/>
      <c r="P1801" s="2"/>
      <c r="Q1801" s="2"/>
      <c r="R1801" s="2"/>
      <c r="S1801" s="2"/>
      <c r="T1801" s="2"/>
      <c r="U1801" s="2"/>
      <c r="V1801" s="2"/>
      <c r="W1801" s="2"/>
      <c r="X1801" s="2"/>
      <c r="Y1801" s="2"/>
      <c r="Z1801" s="2"/>
      <c r="AA1801" s="2"/>
    </row>
    <row r="1802">
      <c r="A1802" s="1" t="s">
        <v>4337</v>
      </c>
      <c r="B1802" s="1" t="s">
        <v>4650</v>
      </c>
      <c r="C1802" s="1" t="s">
        <v>4651</v>
      </c>
      <c r="D1802" s="2" t="str">
        <f>IFERROR(__xludf.DUMMYFUNCTION("GOOGLETRANSLATE(B1802, ""en"", ""TL"")"),"Paano tinutugunan ng batas ng Pilipinas ang tumataas na pagkalat ng ""burnout"" at mga hamon sa kalusugan ng isip sa mga propesyonal sa pangangalagang pangkalusugan?")</f>
        <v>Paano tinutugunan ng batas ng Pilipinas ang tumataas na pagkalat ng "burnout" at mga hamon sa kalusugan ng isip sa mga propesyonal sa pangangalagang pangkalusugan?</v>
      </c>
      <c r="E1802" s="2" t="str">
        <f>IFERROR(__xludf.DUMMYFUNCTION("GOOGLETRANSLATE(C1802, ""en"", ""TL"")"),"Hindi direktang tinutugunan ng batas ng Pilipinas ang burnout sa mga propesyonal sa pangangalagang pangkalusugan. Gayunpaman, may mga umiiral nang legal na frameworks na hindi direktang nakakaapekto sa isyung ito:
* **The Philippine Mental Health Act (R.A"&amp;". 11036):** Kinikilala ng batas na ito ang mental health bilang isang mahalagang bahagi ng pangkalahatang kalusugan at kagalingan. Itinataguyod nito ang pagtatatag ng mga serbisyo at pasilidad sa kalusugan ng isip. Bagama't hindi partikular na nagta-targe"&amp;"t sa mga propesyonal sa pangangalagang pangkalusugan, ang pagtaas ng access sa mga serbisyo sa kalusugan ng isip ay maaaring makinabang din sa kanila.
* **The Magna Carta for Public Health Workers (R.A. 7305):** Ginagarantiyahan ng batas na ito ang mga ka"&amp;"rapatan, benepisyo, at proteksyon ng mga manggagawa sa pangangalagang pangkalusugan na nagtatrabaho sa gobyerno. Kabilang dito ang mga probisyon sa:
* **Ligtas at makatarungang mga kondisyon sa pagtatrabaho:** Ito ay maaaring bigyang-kahulugan na kasama a"&amp;"ng pagtugon sa bigat ng trabaho at mga salik ng stress na nag-aambag sa pagka-burnout. * **Seguridad ng panunungkulan:** Ang seguridad sa trabaho ay maaaring mag-ambag sa isang pakiramdam ng katatagan at mabawasan ang stress para sa mga manggagawa sa pang"&amp;"angalagang pangkalusugan.
**Mga Inisyatiba ng Department of Health (DOH):** Kinikilala ng DOH ang mga hamon sa kalusugan ng isip na kinakaharap ng mga manggagawa sa pangangalagang pangkalusugan. Bagama't hindi mga legal na utos, gumawa sila ng ilang mga h"&amp;"akbangin upang matugunan ang pagka-burnout:
* **DOH Mental Health Programs:** Ang DOH ay nag-aalok ng mga programa sa kalusugan ng isip para sa pangkalahatang publiko. Ang mga manggagawa sa pangangalagang pangkalusugan ay maaaring makinabang mula sa mga p"&amp;"rogramang ito, bagama't ang mga iniakma na programa ay maaaring maging mas epektibo.
* **Mga Pagsasanay sa Pamamahala ng Stress:** Ang DOH, sa pakikipagtulungan sa ibang mga ahensya, ay maaaring magsagawa ng mga programa sa pagsasanay sa pamamahala ng str"&amp;"ess para sa mga manggagawa sa pangangalagang pangkalusugan. **Ang Puwang at Potensyal para sa Reporma:**
Bagama't ang mga legal na balangkas at inisyatiba na ito ay nagbibigay ng ilang suporta, mayroong isang puwang sa direktang pagtugon sa pagka-burnout "&amp;"sa mga manggagawa sa pangangalagang pangkalusugan. Dito nakasalalay ang potensyal para sa reporma:
* **Tiyak na Batas:** Maaaring mag-utos ang isang batas ng mga programa sa kalusugan ng isip sa lugar ng trabaho para sa mga institusyon ng pangangalagang p"&amp;"angkalusugan, kabilang ang mga diskarte sa pamamahala ng stress, pag-access sa mga propesyonal sa kalusugan ng isip, at mga kumpidensyal na sistema ng suporta.
* **Mas malinaw na Mga Alituntunin ng DOH:** Maaaring bumuo ang DOH ng mas malinaw na mga alitu"&amp;"ntunin para sa mga programa sa kalusugan ng isip sa lugar ng trabaho na partikular sa mga pangangailangan ng mga propesyonal sa pangangalagang pangkalusugan. Maaaring magbalangkas ang mga ito ng pinakamahuhusay na kagawian at pinakamababang kinakailangan "&amp;"para sa mga institusyong pangkalusugan.
**Konklusyon:**
Ang burnout sa mga propesyonal sa pangangalagang pangkalusugan ay lumalaking alalahanin sa Pilipinas. Ang mga kasalukuyang batas ay nagbibigay ng ilang hindi direktang suporta para sa kalusugan ng is"&amp;"ip, ngunit may puwang para sa pagpapabuti. Ang mga pagsusumikap sa pagtataguyod ay maaaring itulak ang partikular na batas at mas malinaw na mga alituntunin ng DOH upang lumikha ng isang mas nakasuportang kapaligiran para sa kalusugan ng isip ng mga mangg"&amp;"agawa sa pangangalagang pangkalusugan.")</f>
        <v>Hindi direktang tinutugunan ng batas ng Pilipinas ang burnout sa mga propesyonal sa pangangalagang pangkalusugan. Gayunpaman, may mga umiiral nang legal na frameworks na hindi direktang nakakaapekto sa isyung ito:
* **The Philippine Mental Health Act (R.A. 11036):** Kinikilala ng batas na ito ang mental health bilang isang mahalagang bahagi ng pangkalahatang kalusugan at kagalingan. Itinataguyod nito ang pagtatatag ng mga serbisyo at pasilidad sa kalusugan ng isip. Bagama't hindi partikular na nagta-target sa mga propesyonal sa pangangalagang pangkalusugan, ang pagtaas ng access sa mga serbisyo sa kalusugan ng isip ay maaaring makinabang din sa kanila.
* **The Magna Carta for Public Health Workers (R.A. 7305):** Ginagarantiyahan ng batas na ito ang mga karapatan, benepisyo, at proteksyon ng mga manggagawa sa pangangalagang pangkalusugan na nagtatrabaho sa gobyerno. Kabilang dito ang mga probisyon sa:
* **Ligtas at makatarungang mga kondisyon sa pagtatrabaho:** Ito ay maaaring bigyang-kahulugan na kasama ang pagtugon sa bigat ng trabaho at mga salik ng stress na nag-aambag sa pagka-burnout. * **Seguridad ng panunungkulan:** Ang seguridad sa trabaho ay maaaring mag-ambag sa isang pakiramdam ng katatagan at mabawasan ang stress para sa mga manggagawa sa pangangalagang pangkalusugan.
**Mga Inisyatiba ng Department of Health (DOH):** Kinikilala ng DOH ang mga hamon sa kalusugan ng isip na kinakaharap ng mga manggagawa sa pangangalagang pangkalusugan. Bagama't hindi mga legal na utos, gumawa sila ng ilang mga hakbangin upang matugunan ang pagka-burnout:
* **DOH Mental Health Programs:** Ang DOH ay nag-aalok ng mga programa sa kalusugan ng isip para sa pangkalahatang publiko. Ang mga manggagawa sa pangangalagang pangkalusugan ay maaaring makinabang mula sa mga programang ito, bagama't ang mga iniakma na programa ay maaaring maging mas epektibo.
* **Mga Pagsasanay sa Pamamahala ng Stress:** Ang DOH, sa pakikipagtulungan sa ibang mga ahensya, ay maaaring magsagawa ng mga programa sa pagsasanay sa pamamahala ng stress para sa mga manggagawa sa pangangalagang pangkalusugan. **Ang Puwang at Potensyal para sa Reporma:**
Bagama't ang mga legal na balangkas at inisyatiba na ito ay nagbibigay ng ilang suporta, mayroong isang puwang sa direktang pagtugon sa pagka-burnout sa mga manggagawa sa pangangalagang pangkalusugan. Dito nakasalalay ang potensyal para sa reporma:
* **Tiyak na Batas:** Maaaring mag-utos ang isang batas ng mga programa sa kalusugan ng isip sa lugar ng trabaho para sa mga institusyon ng pangangalagang pangkalusugan, kabilang ang mga diskarte sa pamamahala ng stress, pag-access sa mga propesyonal sa kalusugan ng isip, at mga kumpidensyal na sistema ng suporta.
* **Mas malinaw na Mga Alituntunin ng DOH:** Maaaring bumuo ang DOH ng mas malinaw na mga alituntunin para sa mga programa sa kalusugan ng isip sa lugar ng trabaho na partikular sa mga pangangailangan ng mga propesyonal sa pangangalagang pangkalusugan. Maaaring magbalangkas ang mga ito ng pinakamahuhusay na kagawian at pinakamababang kinakailangan para sa mga institusyong pangkalusugan.
**Konklusyon:**
Ang burnout sa mga propesyonal sa pangangalagang pangkalusugan ay lumalaking alalahanin sa Pilipinas. Ang mga kasalukuyang batas ay nagbibigay ng ilang hindi direktang suporta para sa kalusugan ng isip, ngunit may puwang para sa pagpapabuti. Ang mga pagsusumikap sa pagtataguyod ay maaaring itulak ang partikular na batas at mas malinaw na mga alituntunin ng DOH upang lumikha ng isang mas nakasuportang kapaligiran para sa kalusugan ng isip ng mga manggagawa sa pangangalagang pangkalusugan.</v>
      </c>
      <c r="F1802" s="2">
        <f t="shared" si="1"/>
        <v>0</v>
      </c>
      <c r="G1802" s="2"/>
      <c r="H1802" s="2"/>
      <c r="I1802" s="2"/>
      <c r="J1802" s="2"/>
      <c r="K1802" s="2"/>
      <c r="L1802" s="2"/>
      <c r="M1802" s="2"/>
      <c r="N1802" s="2"/>
      <c r="O1802" s="2"/>
      <c r="P1802" s="2"/>
      <c r="Q1802" s="2"/>
      <c r="R1802" s="2"/>
      <c r="S1802" s="2"/>
      <c r="T1802" s="2"/>
      <c r="U1802" s="2"/>
      <c r="V1802" s="2"/>
      <c r="W1802" s="2"/>
      <c r="X1802" s="2"/>
      <c r="Y1802" s="2"/>
      <c r="Z1802" s="2"/>
      <c r="AA1802" s="2"/>
    </row>
    <row r="1803">
      <c r="A1803" s="1" t="s">
        <v>4337</v>
      </c>
      <c r="B1803" s="1" t="s">
        <v>4652</v>
      </c>
      <c r="C1803" s="1" t="s">
        <v>4653</v>
      </c>
      <c r="D1803" s="2" t="str">
        <f>IFERROR(__xludf.DUMMYFUNCTION("GOOGLETRANSLATE(B1803, ""en"", ""TL"")"),"Anong mga legal na balangkas ang nasa lugar upang suportahan at kontrolin ang pagsasagawa ng telemedicine at virtual na konsultasyon sa iba't ibang subspecialty?")</f>
        <v>Anong mga legal na balangkas ang nasa lugar upang suportahan at kontrolin ang pagsasagawa ng telemedicine at virtual na konsultasyon sa iba't ibang subspecialty?</v>
      </c>
      <c r="E1803" s="2" t="str">
        <f>IFERROR(__xludf.DUMMYFUNCTION("GOOGLETRANSLATE(C1803, ""en"", ""TL"")"),"Ang Pilipinas ay nakakita ng pagtaas sa telemedicine at virtual na konsultasyon sa mga nakaraang taon. Bagama't walang iisang batas na namamahala sa lahat ng aspeto ng telemedicine, mayroong isang balangkas sa pamamagitan ng iba't ibang mga regulasyon at "&amp;"pagpapalabas. Narito ang isang breakdown:
**Mga Patakaran ng Department of Health (DOH):**
* **DOH Department Circular No. 2018-004:** This circular outlines the ""Telehealth Guidelines for the Public and Private Sectors."" Tinutukoy nito ang telemedicine"&amp;", nagtatatag ng pinakamababang teknikal na pamantayan para sa kagamitan at mga platform, at binabalangkas ang pinakamahuhusay na kagawian para sa pangangalaga ng pasyente at privacy ng data.
* **DOH Telehealth Resource Center:** Ang DOH ay nagpapanatili n"&amp;"g isang resource center na nagbibigay ng impormasyon at mga alituntunin para sa mga propesyonal sa pangangalagang pangkalusugan sa pagsasanay sa telemedicine. ([https://doh.gov.ph/](https://doh.gov.ph/))
**Komisyon sa Propesyonal na Regulasyon (PRC):**
Ki"&amp;"nikilala ng PRC, na kumokontrol sa mga propesyonal sa pangangalagang pangkalusugan, ang telemedicine bilang isang lehitimong paraan ng pagsasanay. Gayunpaman, ang mga partikular na alituntunin ay maaaring ibigay ng kani-kanilang mga propesyonal na lupon ("&amp;"hal., Philippine Medical Association para sa mga doktor, Philippine Nurses Association para sa mga nars) tungkol sa mga etikal na pagsasaalang-alang at mga pamantayan sa pagsasanay sa loob ng bawat subspecialty.
**Philippine Medical Association (PMA):**
*"&amp;" **PMA Position Paper on Telemedicine:** Naglabas ang PMA ng position paper noong 2020 na sumusuporta sa etikal na paggamit ng telemedicine. Binibigyang-diin nito ang kahalagahan ng pagpapanatili ng pagiging kompidensiyal ng pasyente, may kaalamang pahint"&amp;"ulot, at pagpapatuloy ng pangangalaga sa panahon ng mga virtual na konsultasyon. **Mga Legal na Pagsasaalang-alang sa Lahat ng Subspecialty:**
Bagama't ang mga pangunahing prinsipyong nakabalangkas sa sirkular ng DOH ay nalalapat sa pangkalahatan, ang ila"&amp;"ng mga subspecialty ay maaaring may mga karagdagang pagsasaalang-alang:
* **Mental Health:** Telemedicine ay maaaring maging epektibo para sa mga konsultasyon sa kalusugan ng isip. Gayunpaman, dapat tiyakin ng mga establisyemento ang naaangkop na teknoloh"&amp;"iya at mga hakbang sa privacy para sa kumpidensyal na komunikasyon. * **Pag-opera o Mga Pamamaraan na Nangangailangan ng Pisikal na Pagsusuri:** Maaaring gamitin ang mga konsultasyon sa telemedicine para sa pre-operative o post-operative na pangangalaga, "&amp;"ngunit ang mga personal na pagsusuri ay nananatiling mahalaga para sa diagnosis at mga pamamaraan.
**Ang Umuunlad na Landscape at Potensyal para sa Reporma:**
Ang Telemedicine ay isang lumalagong larangan sa Pilipinas. Habang umuunlad ito, maaaring lumita"&amp;"w ang mga bagong hamon at pagkakataon. Dito nakasalalay ang potensyal para sa reporma:
* **Standardization at Mas Malinaw na Mga Alituntunin:** Ang pagbuo ng mga standardized na alituntunin sa mga subspecialty ay maaaring magbigay ng higit na kalinawan pa"&amp;"ra sa parehong healthcare provider at mga pasyente.
* **Reimbursement at Insurance Coverage:** Maaaring hindi palaging saklaw ng insurance ang mga konsultasyon sa telemedicine. Ang pagtatatag ng mas malinaw na mga patakaran sa reimbursement ay maaaring ma"&amp;"gbigay ng insentibo sa mas malawak na pag-aampon.
**Konklusyon:**
Ang Pilipinas ay may umuunlad na balangkas para sa telemedicine. Ang mga alituntunin ng DOH, mga patakaran ng propesyonal na asosasyon, at mga regulasyon ng PRC ay nagbibigay ng pundasyon p"&amp;"ara sa pagsasanay. Habang nagbabago ang larangan, ang standardisasyon, mas malinaw na mga alituntunin sa subspecialty, at mga pagsasaalang-alang sa saklaw ng seguro ay maaaring higit pang suportahan at kontrolin ang etikal at epektibong paggamit ng teleme"&amp;"dicine sa iba't ibang mga subspecialty sa pangangalagang pangkalusugan.")</f>
        <v>Ang Pilipinas ay nakakita ng pagtaas sa telemedicine at virtual na konsultasyon sa mga nakaraang taon. Bagama't walang iisang batas na namamahala sa lahat ng aspeto ng telemedicine, mayroong isang balangkas sa pamamagitan ng iba't ibang mga regulasyon at pagpapalabas. Narito ang isang breakdown:
**Mga Patakaran ng Department of Health (DOH):**
* **DOH Department Circular No. 2018-004:** This circular outlines the "Telehealth Guidelines for the Public and Private Sectors." Tinutukoy nito ang telemedicine, nagtatatag ng pinakamababang teknikal na pamantayan para sa kagamitan at mga platform, at binabalangkas ang pinakamahuhusay na kagawian para sa pangangalaga ng pasyente at privacy ng data.
* **DOH Telehealth Resource Center:** Ang DOH ay nagpapanatili ng isang resource center na nagbibigay ng impormasyon at mga alituntunin para sa mga propesyonal sa pangangalagang pangkalusugan sa pagsasanay sa telemedicine. ([https://doh.gov.ph/](https://doh.gov.ph/))
**Komisyon sa Propesyonal na Regulasyon (PRC):**
Kinikilala ng PRC, na kumokontrol sa mga propesyonal sa pangangalagang pangkalusugan, ang telemedicine bilang isang lehitimong paraan ng pagsasanay. Gayunpaman, ang mga partikular na alituntunin ay maaaring ibigay ng kani-kanilang mga propesyonal na lupon (hal., Philippine Medical Association para sa mga doktor, Philippine Nurses Association para sa mga nars) tungkol sa mga etikal na pagsasaalang-alang at mga pamantayan sa pagsasanay sa loob ng bawat subspecialty.
**Philippine Medical Association (PMA):**
* **PMA Position Paper on Telemedicine:** Naglabas ang PMA ng position paper noong 2020 na sumusuporta sa etikal na paggamit ng telemedicine. Binibigyang-diin nito ang kahalagahan ng pagpapanatili ng pagiging kompidensiyal ng pasyente, may kaalamang pahintulot, at pagpapatuloy ng pangangalaga sa panahon ng mga virtual na konsultasyon. **Mga Legal na Pagsasaalang-alang sa Lahat ng Subspecialty:**
Bagama't ang mga pangunahing prinsipyong nakabalangkas sa sirkular ng DOH ay nalalapat sa pangkalahatan, ang ilang mga subspecialty ay maaaring may mga karagdagang pagsasaalang-alang:
* **Mental Health:** Telemedicine ay maaaring maging epektibo para sa mga konsultasyon sa kalusugan ng isip. Gayunpaman, dapat tiyakin ng mga establisyemento ang naaangkop na teknolohiya at mga hakbang sa privacy para sa kumpidensyal na komunikasyon. * **Pag-opera o Mga Pamamaraan na Nangangailangan ng Pisikal na Pagsusuri:** Maaaring gamitin ang mga konsultasyon sa telemedicine para sa pre-operative o post-operative na pangangalaga, ngunit ang mga personal na pagsusuri ay nananatiling mahalaga para sa diagnosis at mga pamamaraan.
**Ang Umuunlad na Landscape at Potensyal para sa Reporma:**
Ang Telemedicine ay isang lumalagong larangan sa Pilipinas. Habang umuunlad ito, maaaring lumitaw ang mga bagong hamon at pagkakataon. Dito nakasalalay ang potensyal para sa reporma:
* **Standardization at Mas Malinaw na Mga Alituntunin:** Ang pagbuo ng mga standardized na alituntunin sa mga subspecialty ay maaaring magbigay ng higit na kalinawan para sa parehong healthcare provider at mga pasyente.
* **Reimbursement at Insurance Coverage:** Maaaring hindi palaging saklaw ng insurance ang mga konsultasyon sa telemedicine. Ang pagtatatag ng mas malinaw na mga patakaran sa reimbursement ay maaaring magbigay ng insentibo sa mas malawak na pag-aampon.
**Konklusyon:**
Ang Pilipinas ay may umuunlad na balangkas para sa telemedicine. Ang mga alituntunin ng DOH, mga patakaran ng propesyonal na asosasyon, at mga regulasyon ng PRC ay nagbibigay ng pundasyon para sa pagsasanay. Habang nagbabago ang larangan, ang standardisasyon, mas malinaw na mga alituntunin sa subspecialty, at mga pagsasaalang-alang sa saklaw ng seguro ay maaaring higit pang suportahan at kontrolin ang etikal at epektibong paggamit ng telemedicine sa iba't ibang mga subspecialty sa pangangalagang pangkalusugan.</v>
      </c>
      <c r="F1803" s="2">
        <f t="shared" si="1"/>
        <v>0</v>
      </c>
      <c r="G1803" s="2"/>
      <c r="H1803" s="2"/>
      <c r="I1803" s="2"/>
      <c r="J1803" s="2"/>
      <c r="K1803" s="2"/>
      <c r="L1803" s="2"/>
      <c r="M1803" s="2"/>
      <c r="N1803" s="2"/>
      <c r="O1803" s="2"/>
      <c r="P1803" s="2"/>
      <c r="Q1803" s="2"/>
      <c r="R1803" s="2"/>
      <c r="S1803" s="2"/>
      <c r="T1803" s="2"/>
      <c r="U1803" s="2"/>
      <c r="V1803" s="2"/>
      <c r="W1803" s="2"/>
      <c r="X1803" s="2"/>
      <c r="Y1803" s="2"/>
      <c r="Z1803" s="2"/>
      <c r="AA1803" s="2"/>
    </row>
    <row r="1804">
      <c r="A1804" s="1" t="s">
        <v>4337</v>
      </c>
      <c r="B1804" s="1" t="s">
        <v>4654</v>
      </c>
      <c r="C1804" s="1" t="s">
        <v>4655</v>
      </c>
      <c r="D1804" s="2" t="str">
        <f>IFERROR(__xludf.DUMMYFUNCTION("GOOGLETRANSLATE(B1804, ""en"", ""TL"")"),"Paano tinutugunan ng batas ang mga potensyal na panganib sa privacy at seguridad na nauugnay sa paggamit ng mga naisusuot na aparatong pangkalusugan at mga aplikasyon para sa kalusugan ng mobile?")</f>
        <v>Paano tinutugunan ng batas ang mga potensyal na panganib sa privacy at seguridad na nauugnay sa paggamit ng mga naisusuot na aparatong pangkalusugan at mga aplikasyon para sa kalusugan ng mobile?</v>
      </c>
      <c r="E1804" s="2" t="str">
        <f>IFERROR(__xludf.DUMMYFUNCTION("GOOGLETRANSLATE(C1804, ""en"", ""TL"")"),"Kasalukuyang kulang ang Pilipinas ng isang solong komprehensibong batas na partikular na tumutugon sa mga panganib sa privacy at seguridad ng mga naisusuot na device sa kalusugan at mga mobile na application sa kalusugan (mHealth apps). Gayunpaman, may mg"&amp;"a kasalukuyang legal na mapagkukunan na nag-aalok ng ilang antas ng proteksyon:
* **Ang Konstitusyon (Artikulo III, Seksyon 1):** Ginagarantiyahan ng seksyong ito ang karapatan sa pagkapribado. Maaari itong bigyang-kahulugan na sumasaklaw sa privacy ng pe"&amp;"rsonal na impormasyon sa kalusugan na kinokolekta ng mga naisusuot na device at mHealth app.
* **The Data Privacy Act (R.A. 10173):** Ito ang pinakanauugnay na batas para sa mga alalahanin sa privacy ng data. Binabalangkas nito ang mga prinsipyo para sa p"&amp;"agproseso ng personal na impormasyon, kabilang ang:
* **Pahintulot:** Dapat magbigay ang mga user ng may kaalamang pahintulot bago kolektahin ang kanilang data sa kalusugan at gamitin ng mga naisusuot na device at mHealth app. * **Pagtutukoy ng Layunin:**"&amp;" Ang layunin ng pagkolekta ng data ng kalusugan ay dapat na malinaw na ipaliwanag sa gumagamit. * **Mga Pag-iingat sa Seguridad:** Ipinag-uutos ng batas ang pagpapatupad ng naaangkop na mga hakbang sa seguridad upang protektahan ang personal na impormasyo"&amp;"n mula sa hindi awtorisadong pag-access, paggamit, o pagsisiwalat.
* **Mga Paglabag sa Data:** Dapat abisuhan ng mga entity na nangongolekta ng data ng kalusugan ang mga user kung sakaling magkaroon ng paglabag sa data.
**Mga Limitasyon ng Data Privacy Ac"&amp;"t:**
* **Limitadong Saklaw:** Nakatuon ang Data Privacy Act sa pagproseso ng personal na impormasyon. Maaaring hindi nito matugunan ang lahat ng mga kahinaan sa seguridad ng mga naisusuot na device o mHealth app mismo. * **Mga Mekanismo ng Pagpapatupad:**"&amp;" Ang mga mekanismo ng pagpapatupad ng Data Privacy Act ay umuunlad pa rin.
**Mga Alituntunin ng Department of Health (DOH):**
Bagama't hindi legal na may bisa, ang DOH ay naglabas ng mga alituntunin sa paggamit ng mHealth na teknolohiya. Binibigyang-diin "&amp;"ng mga alituntuning ito ang kahalagahan ng pagkapribado at seguridad ng data ngunit walang kapangyarihan sa pagpapatupad ng isang batas. ([https://doh.gov.ph/](https://doh.gov.ph/))
**Potensyal para sa Reporma:**
* **Tiyak na Batas:** Ang isang batas na p"&amp;"artikular na tumutugon sa mga panganib sa privacy at seguridad ng mga naisusuot na device sa kalusugan at mHealth app ay maaaring magbigay ng mas malinaw na mga alituntunin at mas malakas na mekanismo ng pagpapatupad. **Konklusyon:**
Gumagawa ang Pilipina"&amp;"s ng mga hakbang upang matugunan ang mga alalahanin sa privacy sa digital health space. Nag-aalok ang Data Privacy Act ng ilang proteksyon, ngunit may puwang para sa pagpapabuti. Ang mga pagsusumikap sa adbokasiya ay maaaring itulak ang partikular na bata"&amp;"s upang lumikha ng mas matatag na balangkas na nagpoprotekta sa privacy at seguridad ng mga Pilipino gamit ang mga naisusuot na device sa kalusugan at mHealth app.")</f>
        <v>Kasalukuyang kulang ang Pilipinas ng isang solong komprehensibong batas na partikular na tumutugon sa mga panganib sa privacy at seguridad ng mga naisusuot na device sa kalusugan at mga mobile na application sa kalusugan (mHealth apps). Gayunpaman, may mga kasalukuyang legal na mapagkukunan na nag-aalok ng ilang antas ng proteksyon:
* **Ang Konstitusyon (Artikulo III, Seksyon 1):** Ginagarantiyahan ng seksyong ito ang karapatan sa pagkapribado. Maaari itong bigyang-kahulugan na sumasaklaw sa privacy ng personal na impormasyon sa kalusugan na kinokolekta ng mga naisusuot na device at mHealth app.
* **The Data Privacy Act (R.A. 10173):** Ito ang pinakanauugnay na batas para sa mga alalahanin sa privacy ng data. Binabalangkas nito ang mga prinsipyo para sa pagproseso ng personal na impormasyon, kabilang ang:
* **Pahintulot:** Dapat magbigay ang mga user ng may kaalamang pahintulot bago kolektahin ang kanilang data sa kalusugan at gamitin ng mga naisusuot na device at mHealth app. * **Pagtutukoy ng Layunin:** Ang layunin ng pagkolekta ng data ng kalusugan ay dapat na malinaw na ipaliwanag sa gumagamit. * **Mga Pag-iingat sa Seguridad:** Ipinag-uutos ng batas ang pagpapatupad ng naaangkop na mga hakbang sa seguridad upang protektahan ang personal na impormasyon mula sa hindi awtorisadong pag-access, paggamit, o pagsisiwalat.
* **Mga Paglabag sa Data:** Dapat abisuhan ng mga entity na nangongolekta ng data ng kalusugan ang mga user kung sakaling magkaroon ng paglabag sa data.
**Mga Limitasyon ng Data Privacy Act:**
* **Limitadong Saklaw:** Nakatuon ang Data Privacy Act sa pagproseso ng personal na impormasyon. Maaaring hindi nito matugunan ang lahat ng mga kahinaan sa seguridad ng mga naisusuot na device o mHealth app mismo. * **Mga Mekanismo ng Pagpapatupad:** Ang mga mekanismo ng pagpapatupad ng Data Privacy Act ay umuunlad pa rin.
**Mga Alituntunin ng Department of Health (DOH):**
Bagama't hindi legal na may bisa, ang DOH ay naglabas ng mga alituntunin sa paggamit ng mHealth na teknolohiya. Binibigyang-diin ng mga alituntuning ito ang kahalagahan ng pagkapribado at seguridad ng data ngunit walang kapangyarihan sa pagpapatupad ng isang batas. ([https://doh.gov.ph/](https://doh.gov.ph/))
**Potensyal para sa Reporma:**
* **Tiyak na Batas:** Ang isang batas na partikular na tumutugon sa mga panganib sa privacy at seguridad ng mga naisusuot na device sa kalusugan at mHealth app ay maaaring magbigay ng mas malinaw na mga alituntunin at mas malakas na mekanismo ng pagpapatupad. **Konklusyon:**
Gumagawa ang Pilipinas ng mga hakbang upang matugunan ang mga alalahanin sa privacy sa digital health space. Nag-aalok ang Data Privacy Act ng ilang proteksyon, ngunit may puwang para sa pagpapabuti. Ang mga pagsusumikap sa adbokasiya ay maaaring itulak ang partikular na batas upang lumikha ng mas matatag na balangkas na nagpoprotekta sa privacy at seguridad ng mga Pilipino gamit ang mga naisusuot na device sa kalusugan at mHealth app.</v>
      </c>
      <c r="F1804" s="2">
        <f t="shared" si="1"/>
        <v>0</v>
      </c>
      <c r="G1804" s="2"/>
      <c r="H1804" s="2"/>
      <c r="I1804" s="2"/>
      <c r="J1804" s="2"/>
      <c r="K1804" s="2"/>
      <c r="L1804" s="2"/>
      <c r="M1804" s="2"/>
      <c r="N1804" s="2"/>
      <c r="O1804" s="2"/>
      <c r="P1804" s="2"/>
      <c r="Q1804" s="2"/>
      <c r="R1804" s="2"/>
      <c r="S1804" s="2"/>
      <c r="T1804" s="2"/>
      <c r="U1804" s="2"/>
      <c r="V1804" s="2"/>
      <c r="W1804" s="2"/>
      <c r="X1804" s="2"/>
      <c r="Y1804" s="2"/>
      <c r="Z1804" s="2"/>
      <c r="AA1804" s="2"/>
    </row>
    <row r="1805">
      <c r="A1805" s="1" t="s">
        <v>4337</v>
      </c>
      <c r="B1805" s="1" t="s">
        <v>4656</v>
      </c>
      <c r="C1805" s="1" t="s">
        <v>4657</v>
      </c>
      <c r="D1805" s="2" t="str">
        <f>IFERROR(__xludf.DUMMYFUNCTION("GOOGLETRANSLATE(B1805, ""en"", ""TL"")"),"Paano itinataguyod ng legal na balangkas ang mga napapanatiling kasanayan sa pangangalagang pangkalusugan at pinapagaan ang epekto sa kapaligiran ng sektor ng pangangalagang pangkalusugan?")</f>
        <v>Paano itinataguyod ng legal na balangkas ang mga napapanatiling kasanayan sa pangangalagang pangkalusugan at pinapagaan ang epekto sa kapaligiran ng sektor ng pangangalagang pangkalusugan?</v>
      </c>
      <c r="E1805" s="2" t="str">
        <f>IFERROR(__xludf.DUMMYFUNCTION("GOOGLETRANSLATE(C1805, ""en"", ""TL"")"),"Ang legal na balangkas ng Pilipinas para sa pagtataguyod ng napapanatiling mga kasanayan sa pangangalagang pangkalusugan at pagpapagaan sa epekto sa kapaligiran ng sektor ng pangangalagang pangkalusugan ay umuunlad. Narito ang isang breakdown ng mga pangu"&amp;"nahing elemento:
**Mga Batas sa Kapaligiran na may mga Implikasyon sa Pangangalagang Pangkalusugan:**
* **The Ecological Solid Waste Management Act (R.A. 9003):** Ang batas na ito ay nagtataguyod ng paghihiwalay at pag-recycle ng basura, kabilang ang medi"&amp;"kal na basura. Ang mga pasilidad sa pangangalagang pangkalusugan ay dapat na ihiwalay at itapon ang mga medikal na basura ayon sa mga regulasyon ng DOH upang mabawasan ang epekto sa kapaligiran.
* **Ang Clean Air Act (R.A. 8749):** Ang batas na ito ay kin"&amp;"okontrol ang kalidad ng hangin at mga pasilidad ng pangangalagang pangkalusugan na gumagamit ng mga incinerator ay dapat sumunod sa mga pamantayan ng emisyon upang mabawasan ang polusyon sa hangin.
* **The Clean Water Act (R.A. 9275):** Ang batas na ito a"&amp;"y kumokontrol sa kalidad ng tubig at ang mga pasilidad sa pangangalagang pangkalusugan ay dapat maayos na gamutin ang wastewater bago ilabas upang maiwasan ang kontaminasyon ng tubig.
**Mga Patakaran ng Department of Health (DOH):**
* **DOH Administrative"&amp;" Order No. 2014-0021:** Ang kautusang ito ay nagbabalangkas ng ""Mga Alituntunin sa Pangangalagang Pangkalusugan na Pamamahala ng Basura."" Nag-uutos ito ng mga partikular na pamamaraan para sa paghihiwalay, pagkolekta, pag-iimbak, paggamot, at pagtatapon"&amp;" ng mga medikal na basura upang mabawasan ang mga panganib sa kapaligiran.
**Mga Hamon at Oportunidad:**
* **Limitadong Pagpapatupad:** Ang pagpapatupad ng mga umiiral nang batas sa kapaligiran sa loob ng sektor ng pangangalagang pangkalusugan ay maaaring"&amp;" maging isang hamon. * **Sustainable Procurement:** Bagama't hindi ipinag-uutos, ang mga ospital ay maaaring magpatibay ng mga sustainable procurement practices sa pamamagitan ng pagbili ng mga environmentally friendly na produkto sa paglilinis, energy-ef"&amp;"ficient na kagamitan, at mga recycled na supply.
* **Mga Istratehiya sa Pagbabawas ng Basura:** Ang mga patakarang naghihikayat sa pagbawas sa mga disposable na suplay na medikal at muling paggamit ng mga isterilisadong kagamitan ay maaaring mag-ambag nan"&amp;"g malaki.
* **Green Hospital Initiatives:** Ang DOH, sa pakikipagtulungan ng iba pang stakeholder, ay maaaring magsulong ng mga green hospital initiatives gaya ng energy-efficient na disenyo ng gusali, renewable energy use, at water conservation measures."&amp;"
**Ang Papel ng mga Stakeholder:**
* **Mga Institusyon ng Pangangalaga sa Kalusugan:** Ang mga ospital at klinika ay maaaring gumanap ng isang nangungunang papel sa pamamagitan ng pagpapatibay ng mga napapanatiling kasanayan, pagpapatupad ng mga plano sa "&amp;"pamamahala ng basura, at pagtataguyod ng kamalayan sa kapaligiran sa mga kawani.
* **Mga Propesyonal na Asosasyon:** Maaaring isama ng mga medikal na asosasyon ang mga pagsasaalang-alang sa kapaligiran sa kanilang mga code ng etika at hinihikayat ang mga "&amp;"napapanatiling kasanayan sa mga miyembro.
* **Non-Government Organizations (NGOs):** Ang mga NGO ay maaaring magpataas ng kamalayan tungkol sa epekto sa kapaligiran ng pangangalagang pangkalusugan, magsulong para sa mas mahigpit na mga regulasyon, at supo"&amp;"rtahan ang mga hakbangin sa berdeng ospital.
**Konklusyon:**
Ang Pilipinas ay may nabubuong legal na balangkas para sa pagtataguyod ng napapanatiling pangangalagang pangkalusugan. Habang ang mga umiiral na batas sa kapaligiran ay tumutugon sa ilang aspeto"&amp;" ng pamamahala ng basura at pagkontrol sa polusyon, may puwang para sa pagpapabuti. Ang pagpapahusay sa pagpapatupad, pagtataguyod ng napapanatiling pagkuha at pagbabawas ng basura, at paghikayat sa mga berdeng hakbangin sa ospital ay mga mahahalagang hak"&amp;"bang tungo sa isang mas responsableng sistema ng pangangalagang pangkalusugan. Ang pakikipagtulungan sa pagitan ng mga ahensya ng gobyerno, mga institusyong pangkalusugan, mga propesyonal na asosasyon, at mga NGO ay maaaring makatulong na makamit ang layu"&amp;"ning ito.")</f>
        <v>Ang legal na balangkas ng Pilipinas para sa pagtataguyod ng napapanatiling mga kasanayan sa pangangalagang pangkalusugan at pagpapagaan sa epekto sa kapaligiran ng sektor ng pangangalagang pangkalusugan ay umuunlad. Narito ang isang breakdown ng mga pangunahing elemento:
**Mga Batas sa Kapaligiran na may mga Implikasyon sa Pangangalagang Pangkalusugan:**
* **The Ecological Solid Waste Management Act (R.A. 9003):** Ang batas na ito ay nagtataguyod ng paghihiwalay at pag-recycle ng basura, kabilang ang medikal na basura. Ang mga pasilidad sa pangangalagang pangkalusugan ay dapat na ihiwalay at itapon ang mga medikal na basura ayon sa mga regulasyon ng DOH upang mabawasan ang epekto sa kapaligiran.
* **Ang Clean Air Act (R.A. 8749):** Ang batas na ito ay kinokontrol ang kalidad ng hangin at mga pasilidad ng pangangalagang pangkalusugan na gumagamit ng mga incinerator ay dapat sumunod sa mga pamantayan ng emisyon upang mabawasan ang polusyon sa hangin.
* **The Clean Water Act (R.A. 9275):** Ang batas na ito ay kumokontrol sa kalidad ng tubig at ang mga pasilidad sa pangangalagang pangkalusugan ay dapat maayos na gamutin ang wastewater bago ilabas upang maiwasan ang kontaminasyon ng tubig.
**Mga Patakaran ng Department of Health (DOH):**
* **DOH Administrative Order No. 2014-0021:** Ang kautusang ito ay nagbabalangkas ng "Mga Alituntunin sa Pangangalagang Pangkalusugan na Pamamahala ng Basura." Nag-uutos ito ng mga partikular na pamamaraan para sa paghihiwalay, pagkolekta, pag-iimbak, paggamot, at pagtatapon ng mga medikal na basura upang mabawasan ang mga panganib sa kapaligiran.
**Mga Hamon at Oportunidad:**
* **Limitadong Pagpapatupad:** Ang pagpapatupad ng mga umiiral nang batas sa kapaligiran sa loob ng sektor ng pangangalagang pangkalusugan ay maaaring maging isang hamon. * **Sustainable Procurement:** Bagama't hindi ipinag-uutos, ang mga ospital ay maaaring magpatibay ng mga sustainable procurement practices sa pamamagitan ng pagbili ng mga environmentally friendly na produkto sa paglilinis, energy-efficient na kagamitan, at mga recycled na supply.
* **Mga Istratehiya sa Pagbabawas ng Basura:** Ang mga patakarang naghihikayat sa pagbawas sa mga disposable na suplay na medikal at muling paggamit ng mga isterilisadong kagamitan ay maaaring mag-ambag nang malaki.
* **Green Hospital Initiatives:** Ang DOH, sa pakikipagtulungan ng iba pang stakeholder, ay maaaring magsulong ng mga green hospital initiatives gaya ng energy-efficient na disenyo ng gusali, renewable energy use, at water conservation measures.
**Ang Papel ng mga Stakeholder:**
* **Mga Institusyon ng Pangangalaga sa Kalusugan:** Ang mga ospital at klinika ay maaaring gumanap ng isang nangungunang papel sa pamamagitan ng pagpapatibay ng mga napapanatiling kasanayan, pagpapatupad ng mga plano sa pamamahala ng basura, at pagtataguyod ng kamalayan sa kapaligiran sa mga kawani.
* **Mga Propesyonal na Asosasyon:** Maaaring isama ng mga medikal na asosasyon ang mga pagsasaalang-alang sa kapaligiran sa kanilang mga code ng etika at hinihikayat ang mga napapanatiling kasanayan sa mga miyembro.
* **Non-Government Organizations (NGOs):** Ang mga NGO ay maaaring magpataas ng kamalayan tungkol sa epekto sa kapaligiran ng pangangalagang pangkalusugan, magsulong para sa mas mahigpit na mga regulasyon, at suportahan ang mga hakbangin sa berdeng ospital.
**Konklusyon:**
Ang Pilipinas ay may nabubuong legal na balangkas para sa pagtataguyod ng napapanatiling pangangalagang pangkalusugan. Habang ang mga umiiral na batas sa kapaligiran ay tumutugon sa ilang aspeto ng pamamahala ng basura at pagkontrol sa polusyon, may puwang para sa pagpapabuti. Ang pagpapahusay sa pagpapatupad, pagtataguyod ng napapanatiling pagkuha at pagbabawas ng basura, at paghikayat sa mga berdeng hakbangin sa ospital ay mga mahahalagang hakbang tungo sa isang mas responsableng sistema ng pangangalagang pangkalusugan. Ang pakikipagtulungan sa pagitan ng mga ahensya ng gobyerno, mga institusyong pangkalusugan, mga propesyonal na asosasyon, at mga NGO ay maaaring makatulong na makamit ang layuning ito.</v>
      </c>
      <c r="F1805" s="2">
        <f t="shared" si="1"/>
        <v>0</v>
      </c>
      <c r="G1805" s="2"/>
      <c r="H1805" s="2"/>
      <c r="I1805" s="2"/>
      <c r="J1805" s="2"/>
      <c r="K1805" s="2"/>
      <c r="L1805" s="2"/>
      <c r="M1805" s="2"/>
      <c r="N1805" s="2"/>
      <c r="O1805" s="2"/>
      <c r="P1805" s="2"/>
      <c r="Q1805" s="2"/>
      <c r="R1805" s="2"/>
      <c r="S1805" s="2"/>
      <c r="T1805" s="2"/>
      <c r="U1805" s="2"/>
      <c r="V1805" s="2"/>
      <c r="W1805" s="2"/>
      <c r="X1805" s="2"/>
      <c r="Y1805" s="2"/>
      <c r="Z1805" s="2"/>
      <c r="AA1805" s="2"/>
    </row>
    <row r="1806">
      <c r="A1806" s="1" t="s">
        <v>4337</v>
      </c>
      <c r="B1806" s="1" t="s">
        <v>4658</v>
      </c>
      <c r="C1806" s="1" t="s">
        <v>4659</v>
      </c>
      <c r="D1806" s="2" t="str">
        <f>IFERROR(__xludf.DUMMYFUNCTION("GOOGLETRANSLATE(B1806, ""en"", ""TL"")"),"Anong mga legal na mekanismo ang inilalagay upang pamahalaan at itapon ang mga mapanganib na medikal na basura at mabawasan ang epekto nito sa kapaligiran?")</f>
        <v>Anong mga legal na mekanismo ang inilalagay upang pamahalaan at itapon ang mga mapanganib na medikal na basura at mabawasan ang epekto nito sa kapaligiran?</v>
      </c>
      <c r="E1806" s="2" t="str">
        <f>IFERROR(__xludf.DUMMYFUNCTION("GOOGLETRANSLATE(C1806, ""en"", ""TL"")"),"Ang Pilipinas ay may dalawang pronged na diskarte sa pamamahala at pagtatapon ng mga mapanganib na medikal na basura (HMW) upang mabawasan ang epekto nito sa kapaligiran. Kabilang dito ang parehong mga legal na regulasyon at mga alituntunin na itinakda ng"&amp;" Department of Health (DOH). Narito ang isang breakdown:
**Legal na Balangkas:**
* **The Ecological Solid Waste Management Act (R.A. 9003):** Ang batas na ito ang pundasyon ng pamamahala ng basura sa Pilipinas. Ipinag-uutos nito ang paghihiwalay, pagkolek"&amp;"ta, pag-iimbak, paggamot, at pagtatapon ng lahat ng uri ng basura, kabilang ang HMW.
* **The Clean Air Act (R.A. 8749):** Ang batas na ito ay kinokontrol ang kalidad ng hangin at ipinagbabawal ang pagsunog ng mga medikal na basura dahil sa mga nakakapinsa"&amp;"lang emisyon. Ito ay isang mahalagang pagkakaiba dahil ang pagsunog ay isang karaniwang pamamaraan dati.
* **The Clean Water Act (R.A. 9275):** Ang batas na ito ay kinokontrol ang kalidad ng tubig at nangangailangan ng mga pasilidad ng pangangalagang pang"&amp;"kalusugan na maayos na gamutin ang wastewater bago ilabas upang maiwasan ang kontaminasyon mula sa medikal na basura.
**Mga Regulasyon ng Department of Health (DOH):**
* **DOH Administrative Order No. 2014-0021:** Ang kautusang ito ay pumapalit sa mga nak"&amp;"araang regulasyon at binabalangkas ang komprehensibong ""Mga Alituntunin sa Pangangalagang Pangkalusugan na Pamamahala ng Basura."" Kabilang sa mga pangunahing aspeto ang:
* **Paghihiwalay:** Ang mga detalyadong color-coding at mga sistema ng pag-label ay"&amp;" nag-uutos sa paghihiwalay ng HMW batay sa kategorya ng peligro (nakakahawa, pathological, sharps, atbp.) upang maiwasan ang kontaminasyon.
* **Pagkolekta at Pagsasakay:** Tinitiyak ng mga regulasyon ang wastong packaging, pag-label, at transportasyon ng "&amp;"nakahiwalay na HMW ng mga lisensyadong hauler.
* **Paggamot at Pagtapon:** Binabalangkas ng DOH ang mga aprubadong paraan ng paggamot at pagtatapon para sa iba't ibang kategorya ng HMW. Ipinagbabawal ang pagsunog, ang mga pamamaraang ito ay nakatuon sa au"&amp;"toclaving (steam sterilization) at iba pang hindi nasusunog na teknolohiya.
* **Pag-record at Pag-uulat:** Ang mga pasilidad sa pangangalagang pangkalusugan ay dapat magpanatili ng mga talaan at mag-ulat ng mga aktibidad sa pagbuo at pagtatapon ng HMW sa "&amp;"DOH.
**Mga Mekanismo ng Pagpapatupad:**
* Ang Department of Environment and Natural Resources (DENR) sa pamamagitan ng Environmental Management Bureau (EMB) ay may pananagutan sa pagpapatupad ng mga batas sa kapaligiran, kabilang ang mga may kaugnayan sa "&amp;"pamamahala ng HMW.
* Ang DOH, sa pakikipagtulungan ng DENR, ay nagsasagawa ng mga inspeksyon sa mga pasilidad ng pangangalagang pangkalusugan upang matiyak ang pagsunod sa mga regulasyon ng HMW. **Mga Hamon at Oportunidad:**
* **Pagbuo ng Kapasidad:** Ang"&amp;" pagtiyak ng sapat na pagsasanay at mga mapagkukunan para sa mga manggagawa sa pangangalagang pangkalusugan sa wastong paghihiwalay at pangangasiwa ng HMW ay nananatiling mahalaga.
* **Imprastraktura ng Paggamot at Pagtapon:** Ang pamumuhunan sa mas madal"&amp;"ing mapupuntahan at mahusay na mga pasilidad sa paggamot at pagtatapon ng HMW sa buong bansa ay kinakailangan.
* **Public-Private Partnership:** Ang pakikipagtulungan sa pagitan ng mga ahensya ng gobyerno at mga pribadong kumpanya sa pamamahala ng basura "&amp;"ay maaaring mapabuti ang koleksyon ng HMW at mapadali ang paggamit ng mga advanced na teknolohiya sa paggamot.
**Konklusyon:**
Ang Pilipinas ay may legal na balangkas at mga alituntunin ng DOH na inilagay upang pangasiwaan at itapon ang HMW sa paraang mak"&amp;"akalikasan. Ang mahigpit na pagpapatupad, pagbuo ng kapasidad para sa mga manggagawa sa pangangalagang pangkalusugan, pamumuhunan sa imprastraktura, at pampublikong-pribadong pakikipagsosyo ay susi sa pagliit ng epekto sa kapaligiran ng HMW at pangangalag"&amp;"a sa kalusugan ng publiko.")</f>
        <v>Ang Pilipinas ay may dalawang pronged na diskarte sa pamamahala at pagtatapon ng mga mapanganib na medikal na basura (HMW) upang mabawasan ang epekto nito sa kapaligiran. Kabilang dito ang parehong mga legal na regulasyon at mga alituntunin na itinakda ng Department of Health (DOH). Narito ang isang breakdown:
**Legal na Balangkas:**
* **The Ecological Solid Waste Management Act (R.A. 9003):** Ang batas na ito ang pundasyon ng pamamahala ng basura sa Pilipinas. Ipinag-uutos nito ang paghihiwalay, pagkolekta, pag-iimbak, paggamot, at pagtatapon ng lahat ng uri ng basura, kabilang ang HMW.
* **The Clean Air Act (R.A. 8749):** Ang batas na ito ay kinokontrol ang kalidad ng hangin at ipinagbabawal ang pagsunog ng mga medikal na basura dahil sa mga nakakapinsalang emisyon. Ito ay isang mahalagang pagkakaiba dahil ang pagsunog ay isang karaniwang pamamaraan dati.
* **The Clean Water Act (R.A. 9275):** Ang batas na ito ay kinokontrol ang kalidad ng tubig at nangangailangan ng mga pasilidad ng pangangalagang pangkalusugan na maayos na gamutin ang wastewater bago ilabas upang maiwasan ang kontaminasyon mula sa medikal na basura.
**Mga Regulasyon ng Department of Health (DOH):**
* **DOH Administrative Order No. 2014-0021:** Ang kautusang ito ay pumapalit sa mga nakaraang regulasyon at binabalangkas ang komprehensibong "Mga Alituntunin sa Pangangalagang Pangkalusugan na Pamamahala ng Basura." Kabilang sa mga pangunahing aspeto ang:
* **Paghihiwalay:** Ang mga detalyadong color-coding at mga sistema ng pag-label ay nag-uutos sa paghihiwalay ng HMW batay sa kategorya ng peligro (nakakahawa, pathological, sharps, atbp.) upang maiwasan ang kontaminasyon.
* **Pagkolekta at Pagsasakay:** Tinitiyak ng mga regulasyon ang wastong packaging, pag-label, at transportasyon ng nakahiwalay na HMW ng mga lisensyadong hauler.
* **Paggamot at Pagtapon:** Binabalangkas ng DOH ang mga aprubadong paraan ng paggamot at pagtatapon para sa iba't ibang kategorya ng HMW. Ipinagbabawal ang pagsunog, ang mga pamamaraang ito ay nakatuon sa autoclaving (steam sterilization) at iba pang hindi nasusunog na teknolohiya.
* **Pag-record at Pag-uulat:** Ang mga pasilidad sa pangangalagang pangkalusugan ay dapat magpanatili ng mga talaan at mag-ulat ng mga aktibidad sa pagbuo at pagtatapon ng HMW sa DOH.
**Mga Mekanismo ng Pagpapatupad:**
* Ang Department of Environment and Natural Resources (DENR) sa pamamagitan ng Environmental Management Bureau (EMB) ay may pananagutan sa pagpapatupad ng mga batas sa kapaligiran, kabilang ang mga may kaugnayan sa pamamahala ng HMW.
* Ang DOH, sa pakikipagtulungan ng DENR, ay nagsasagawa ng mga inspeksyon sa mga pasilidad ng pangangalagang pangkalusugan upang matiyak ang pagsunod sa mga regulasyon ng HMW. **Mga Hamon at Oportunidad:**
* **Pagbuo ng Kapasidad:** Ang pagtiyak ng sapat na pagsasanay at mga mapagkukunan para sa mga manggagawa sa pangangalagang pangkalusugan sa wastong paghihiwalay at pangangasiwa ng HMW ay nananatiling mahalaga.
* **Imprastraktura ng Paggamot at Pagtapon:** Ang pamumuhunan sa mas madaling mapupuntahan at mahusay na mga pasilidad sa paggamot at pagtatapon ng HMW sa buong bansa ay kinakailangan.
* **Public-Private Partnership:** Ang pakikipagtulungan sa pagitan ng mga ahensya ng gobyerno at mga pribadong kumpanya sa pamamahala ng basura ay maaaring mapabuti ang koleksyon ng HMW at mapadali ang paggamit ng mga advanced na teknolohiya sa paggamot.
**Konklusyon:**
Ang Pilipinas ay may legal na balangkas at mga alituntunin ng DOH na inilagay upang pangasiwaan at itapon ang HMW sa paraang makakalikasan. Ang mahigpit na pagpapatupad, pagbuo ng kapasidad para sa mga manggagawa sa pangangalagang pangkalusugan, pamumuhunan sa imprastraktura, at pampublikong-pribadong pakikipagsosyo ay susi sa pagliit ng epekto sa kapaligiran ng HMW at pangangalaga sa kalusugan ng publiko.</v>
      </c>
      <c r="F1806" s="2">
        <f t="shared" si="1"/>
        <v>0</v>
      </c>
      <c r="G1806" s="2"/>
      <c r="H1806" s="2"/>
      <c r="I1806" s="2"/>
      <c r="J1806" s="2"/>
      <c r="K1806" s="2"/>
      <c r="L1806" s="2"/>
      <c r="M1806" s="2"/>
      <c r="N1806" s="2"/>
      <c r="O1806" s="2"/>
      <c r="P1806" s="2"/>
      <c r="Q1806" s="2"/>
      <c r="R1806" s="2"/>
      <c r="S1806" s="2"/>
      <c r="T1806" s="2"/>
      <c r="U1806" s="2"/>
      <c r="V1806" s="2"/>
      <c r="W1806" s="2"/>
      <c r="X1806" s="2"/>
      <c r="Y1806" s="2"/>
      <c r="Z1806" s="2"/>
      <c r="AA1806" s="2"/>
    </row>
    <row r="1807">
      <c r="A1807" s="1" t="s">
        <v>4337</v>
      </c>
      <c r="B1807" s="1" t="s">
        <v>4660</v>
      </c>
      <c r="C1807" s="1" t="s">
        <v>4661</v>
      </c>
      <c r="D1807" s="2" t="str">
        <f>IFERROR(__xludf.DUMMYFUNCTION("GOOGLETRANSLATE(B1807, ""en"", ""TL"")"),"Paano tinutulungan ng batas ng Pilipinas ang mga awtoridad at institusyon ng pangangalagang pangkalusugan upang mabisang tumugon sa mga natural na sakuna at iba pang mga emerhensiya na nakakaapekto sa kalusugan ng publiko?")</f>
        <v>Paano tinutulungan ng batas ng Pilipinas ang mga awtoridad at institusyon ng pangangalagang pangkalusugan upang mabisang tumugon sa mga natural na sakuna at iba pang mga emerhensiya na nakakaapekto sa kalusugan ng publiko?</v>
      </c>
      <c r="E1807" s="2" t="str">
        <f>IFERROR(__xludf.DUMMYFUNCTION("GOOGLETRANSLATE(C1807, ""en"", ""TL"")"),"Ang Pilipinas ay nahaharap sa madalas na natural na sakuna at iba pang emerhensiya sa kalusugan ng publiko. Narito kung paano binibigyan ng batas ng Pilipinas ang mga awtoridad at institusyon ng pangangalagang pangkalusugan upang mabisang tumugon:
**Disas"&amp;"ter Risk Reduction and Management (DRRM):**
* **Republic Act No. 10121 (The Philippine Disaster Risk Reduction and Management Act):** Itinatag ng batas na ito ang National Disaster Risk Reduction and Management Council (NDRRMC) upang i-coordinate ang pagh"&amp;"ahanda sa kalamidad, pagtugon, rehabilitasyon, at mga pagsisikap sa pagbawi. Inaatasan nito ang mga local government units (LGUs) na lumikha ng sarili nilang mga DRRM plan at magtatag ng Local Disaster Risk Reduction and Management Offices (LDDRMOs) para "&amp;"sa lokal na pagtugon.
* **Pambansang Patakaran ng Department of Health (DOH) sa Disaster Risk Reduction and Management in Health:** Ang patakarang ito ay nagbibigay ng mga estratehiya para sa pagsasama ng mga prinsipyo ng DRRM sa loob ng sistema ng kalusu"&amp;"gan. Kabilang dito ang:
* **Pagpapalakas ng mga pasilidad na pangkalusugan:** Pagtiyak na ang mga pasilidad ay maayos sa istruktura at may kagamitan upang mahawakan ang mga emerhensiya.
* **Pag-iimbak ng mahahalagang supply:** Pagpapanatili ng mga emergen"&amp;"cy na stockpile ng mga gamot, kagamitang medikal, at mga relief goods.
* **Pagsasanay sa mga manggagawa sa pangangalagang pangkalusugan:** Pagbibigay ng pagsasanay sa paghahanda sa sakuna, pagtugon, at pamamahala para sa mga propesyonal sa pangangalagang "&amp;"pangkalusugan.
**Mga Emergency sa Pampublikong Kalusugan:**
* **Mandatoryong Pag-uulat ng Mga Nababatid na Sakit at Mga Pangyayaring Pangkalusugan ng Batas sa Pag-aalala ng Pampublikong Pangkalusugan (R.A. 11332):** Ang batas na ito ay nag-uutos sa mga ta"&amp;"gapagbigay ng pangangalagang pangkalusugan at mga institusyon na agad na mag-ulat ng mga mapapansing sakit at pampublikong kalusugan sa mga lokal na awtoridad sa kalusugan. Nagbibigay-daan ito para sa mas mabilis na pagtuklas at pagtugon sa mga paglaganap"&amp;".
* **International Health Regulations (IHR):** Sumusunod ang Pilipinas sa IHR ng World Health Organization (WHO), na nagbabalangkas ng mga hakbang upang maiwasan, matukoy, at tumugon sa mga internasyonal na banta sa kalusugan ng publiko. Kabilang dito an"&amp;"g mga surveillance system, mga kinakailangan sa pag-uulat, at internasyonal na kooperasyon sa panahon ng mga emerhensiya.
**Mga Hamon at Oportunidad:**
* **Resource Constraints:** Ang mga LGU at institusyon ng pangangalagang pangkalusugan ay kadalasang na"&amp;"haharap sa mga limitasyon sa mapagkukunan para sa paghahanda sa sakuna at pagtugon sa emerhensiya.
* **Komunikasyon at Koordinasyon:** Ang epektibong komunikasyon at koordinasyon sa pagitan ng pambansa at lokal na awtoridad, mga institusyon ng pangangalag"&amp;"ang pangkalusugan, at mga komunidad sa panahon ng mga emerhensiya ay mahalaga ngunit maaaring maging mahirap.
* **Pakikipag-ugnayan sa Komunidad:** Ang pagbibigay ng kapangyarihan sa mga komunidad sa pamamagitan ng pagsasanay at pagsasanay sa paghahanda s"&amp;"a sakuna ay maaaring makabuluhang mapabuti ang pangkalahatang pagiging epektibo ng pagtugon.
**Konklusyon:**
Ang batas ng Pilipinas ay nagbibigay ng balangkas para sa mga awtoridad at institusyon ng pangangalagang pangkalusugan upang tumugon sa mga sakuna"&amp;" at emerhensiya sa kalusugan ng publiko. Gayunpaman, ang patuloy na pagpapabuti ay kinakailangan. Ang tumaas na pagpopondo, pinalakas na mga channel ng komunikasyon, pinahusay na pakikipag-ugnayan sa komunidad, at mga pamumuhunan sa imprastraktura ng pang"&amp;"angalagang pangkalusugan na lumalaban sa kalamidad ay lahat ay mahalaga para sa isang mas epektibong sistema ng pagtugon.")</f>
        <v>Ang Pilipinas ay nahaharap sa madalas na natural na sakuna at iba pang emerhensiya sa kalusugan ng publiko. Narito kung paano binibigyan ng batas ng Pilipinas ang mga awtoridad at institusyon ng pangangalagang pangkalusugan upang mabisang tumugon:
**Disaster Risk Reduction and Management (DRRM):**
* **Republic Act No. 10121 (The Philippine Disaster Risk Reduction and Management Act):** Itinatag ng batas na ito ang National Disaster Risk Reduction and Management Council (NDRRMC) upang i-coordinate ang paghahanda sa kalamidad, pagtugon, rehabilitasyon, at mga pagsisikap sa pagbawi. Inaatasan nito ang mga local government units (LGUs) na lumikha ng sarili nilang mga DRRM plan at magtatag ng Local Disaster Risk Reduction and Management Offices (LDDRMOs) para sa lokal na pagtugon.
* **Pambansang Patakaran ng Department of Health (DOH) sa Disaster Risk Reduction and Management in Health:** Ang patakarang ito ay nagbibigay ng mga estratehiya para sa pagsasama ng mga prinsipyo ng DRRM sa loob ng sistema ng kalusugan. Kabilang dito ang:
* **Pagpapalakas ng mga pasilidad na pangkalusugan:** Pagtiyak na ang mga pasilidad ay maayos sa istruktura at may kagamitan upang mahawakan ang mga emerhensiya.
* **Pag-iimbak ng mahahalagang supply:** Pagpapanatili ng mga emergency na stockpile ng mga gamot, kagamitang medikal, at mga relief goods.
* **Pagsasanay sa mga manggagawa sa pangangalagang pangkalusugan:** Pagbibigay ng pagsasanay sa paghahanda sa sakuna, pagtugon, at pamamahala para sa mga propesyonal sa pangangalagang pangkalusugan.
**Mga Emergency sa Pampublikong Kalusugan:**
* **Mandatoryong Pag-uulat ng Mga Nababatid na Sakit at Mga Pangyayaring Pangkalusugan ng Batas sa Pag-aalala ng Pampublikong Pangkalusugan (R.A. 11332):** Ang batas na ito ay nag-uutos sa mga tagapagbigay ng pangangalagang pangkalusugan at mga institusyon na agad na mag-ulat ng mga mapapansing sakit at pampublikong kalusugan sa mga lokal na awtoridad sa kalusugan. Nagbibigay-daan ito para sa mas mabilis na pagtuklas at pagtugon sa mga paglaganap.
* **International Health Regulations (IHR):** Sumusunod ang Pilipinas sa IHR ng World Health Organization (WHO), na nagbabalangkas ng mga hakbang upang maiwasan, matukoy, at tumugon sa mga internasyonal na banta sa kalusugan ng publiko. Kabilang dito ang mga surveillance system, mga kinakailangan sa pag-uulat, at internasyonal na kooperasyon sa panahon ng mga emerhensiya.
**Mga Hamon at Oportunidad:**
* **Resource Constraints:** Ang mga LGU at institusyon ng pangangalagang pangkalusugan ay kadalasang nahaharap sa mga limitasyon sa mapagkukunan para sa paghahanda sa sakuna at pagtugon sa emerhensiya.
* **Komunikasyon at Koordinasyon:** Ang epektibong komunikasyon at koordinasyon sa pagitan ng pambansa at lokal na awtoridad, mga institusyon ng pangangalagang pangkalusugan, at mga komunidad sa panahon ng mga emerhensiya ay mahalaga ngunit maaaring maging mahirap.
* **Pakikipag-ugnayan sa Komunidad:** Ang pagbibigay ng kapangyarihan sa mga komunidad sa pamamagitan ng pagsasanay at pagsasanay sa paghahanda sa sakuna ay maaaring makabuluhang mapabuti ang pangkalahatang pagiging epektibo ng pagtugon.
**Konklusyon:**
Ang batas ng Pilipinas ay nagbibigay ng balangkas para sa mga awtoridad at institusyon ng pangangalagang pangkalusugan upang tumugon sa mga sakuna at emerhensiya sa kalusugan ng publiko. Gayunpaman, ang patuloy na pagpapabuti ay kinakailangan. Ang tumaas na pagpopondo, pinalakas na mga channel ng komunikasyon, pinahusay na pakikipag-ugnayan sa komunidad, at mga pamumuhunan sa imprastraktura ng pangangalagang pangkalusugan na lumalaban sa kalamidad ay lahat ay mahalaga para sa isang mas epektibong sistema ng pagtugon.</v>
      </c>
      <c r="F1807" s="2">
        <f t="shared" si="1"/>
        <v>0</v>
      </c>
      <c r="G1807" s="2"/>
      <c r="H1807" s="2"/>
      <c r="I1807" s="2"/>
      <c r="J1807" s="2"/>
      <c r="K1807" s="2"/>
      <c r="L1807" s="2"/>
      <c r="M1807" s="2"/>
      <c r="N1807" s="2"/>
      <c r="O1807" s="2"/>
      <c r="P1807" s="2"/>
      <c r="Q1807" s="2"/>
      <c r="R1807" s="2"/>
      <c r="S1807" s="2"/>
      <c r="T1807" s="2"/>
      <c r="U1807" s="2"/>
      <c r="V1807" s="2"/>
      <c r="W1807" s="2"/>
      <c r="X1807" s="2"/>
      <c r="Y1807" s="2"/>
      <c r="Z1807" s="2"/>
      <c r="AA1807" s="2"/>
    </row>
    <row r="1808">
      <c r="A1808" s="1" t="s">
        <v>4337</v>
      </c>
      <c r="B1808" s="1" t="s">
        <v>4662</v>
      </c>
      <c r="C1808" s="1" t="s">
        <v>4663</v>
      </c>
      <c r="D1808" s="2" t="str">
        <f>IFERROR(__xludf.DUMMYFUNCTION("GOOGLETRANSLATE(B1808, ""en"", ""TL"")"),"Anong mga legal na balangkas ang nagbibigay-priyoridad sa paglalaan ng mga mapagkukunan at tinitiyak ang pantay na pag-access sa mga serbisyo ng pangangalagang pangkalusugan sa panahon ng mga sitwasyong pang-emergency?")</f>
        <v>Anong mga legal na balangkas ang nagbibigay-priyoridad sa paglalaan ng mga mapagkukunan at tinitiyak ang pantay na pag-access sa mga serbisyo ng pangangalagang pangkalusugan sa panahon ng mga sitwasyong pang-emergency?</v>
      </c>
      <c r="E1808" s="2" t="str">
        <f>IFERROR(__xludf.DUMMYFUNCTION("GOOGLETRANSLATE(C1808, ""en"", ""TL"")"),"Ang Pilipinas ay may balangkas na naglalayong unahin ang paglalaan ng mapagkukunan at tiyakin ang pantay na pag-access sa mga serbisyo ng pangangalagang pangkalusugan sa panahon ng mga emerhensiya, ngunit ito ay isang kumplikadong isyu sa patuloy na pag-u"&amp;"nlad. Narito ang isang breakdown ng mga pangunahing elemento:
**Mga Legal na Framework:**
* **Ang Philippine Disaster Risk Reduction and Management Act (R.A. 10121):** Ang batas na ito ay nag-uutos sa National Disaster Risk Reduction and Management Counci"&amp;"l (NDRRMC) na i-coordinate ang paglalaan ng mapagkukunan sa panahon ng kalamidad. Ang layunin ay bigyang-priyoridad ang mga lugar na may pinakamalaking pangangailangan at tiyaking ang mga mahihinang populasyon ay may access sa mahahalagang serbisyo, kabil"&amp;"ang ang pangangalagang pangkalusugan.
* **Ang Universal Health Care Act (R.A. 11223):** Ang batas na ito ay naglalayong unti-unting maisakatuparan ang pangkalahatang pangangalagang pangkalusugan sa Pilipinas. Bagama't hindi partikular na nakatuon sa mga e"&amp;"merhensiya, nagtatatag ito ng balangkas para sa pantay na pag-access sa mga serbisyo ng pangangalagang pangkalusugan. Ito ay maaaring maging pundasyon para sa pagbibigay-priyoridad sa paglalaan ng mapagkukunan sa panahon ng mga emerhensiya.
* **Mga Pataka"&amp;"ran ng Department of Health (DOH):** Bumubuo ang DOH ng mga alituntunin para sa pagtugon sa emerhensiya, kabilang ang paglalaan ng mapagkukunan para sa mga serbisyo sa pangangalagang pangkalusugan. Ang mga alituntuning ito ay nagbibigay-diin sa mga pagsas"&amp;"aalang-alang sa pangangailangan, kahinaan, at pantay na pamamahagi ng mga mapagkukunan. **Mga Hamon at Pagsasaalang-alang:**
* **Mga Limitadong Mapagkukunan:** Sa panahon ng mga emerhensiya, kadalasang kakaunti ang mga mapagkukunan. Maaaring maging mahira"&amp;"p ang pagkakaroon ng balanse sa pagitan ng mga agarang pangangailangan at pangmatagalang pagsisikap sa pagbawi.
* **Pagsusuri ng Data at Pangangailangan:** Ang tumpak na data sa mga pangangailangan at kahinaan ng populasyon ay mahalaga para sa patas na pa"&amp;"glalaan ng mapagkukunan. Ang mabilis na pangongolekta at pagsusuri ng data sa panahon ng emerhensiya ay maaaring maging mahirap. * **Accessibility:** Kahit na may resource allocation, ang pagtiyak ng pisikal na access sa mga serbisyo sa pangangalagang pan"&amp;"gkalusugan sa mga malalayong lugar o mga lugar na may mga nasirang imprastraktura ay maaaring maging isang hadlang.
**Potensyal para sa Pagpapabuti:**
* **Pre-Disaster Planning:** Ang pagbuo ng mga contingency plan na may malinaw na mga protocol sa paglal"&amp;"aan ng mapagkukunan para sa iba't ibang mga sitwasyong pang-emergency ay maaaring mapabuti ang kahusayan sa panahon ng pagtugon.
* **Paglahok ng Komunidad:** Ang pagsali sa mga apektadong komunidad sa mga pagtatasa ng pangangailangan at pamamahagi ng mapa"&amp;"gkukunan ay maaaring matiyak ang mga serbisyong naaangkop sa kultura at maiwasan ang pagsasamantala o diskriminasyon.
* **Stockpiling:** Ang pagpapanatili ng mga stockpile ng mahahalagang medikal na supply at kagamitan ay maaaring mabawasan ang kakulangan"&amp;" ng mapagkukunan sa panahon ng mga emerhensiya.
**Konklusyon:**
Ang Pilipinas ay may legal na balangkas na nagbibigay-diin sa pagbibigay-priyoridad sa paglalaan ng mapagkukunan at pantay na pag-access sa mga serbisyo sa pangangalagang pangkalusugan sa pan"&amp;"ahon ng mga emerhensiya. Gayunpaman, nananatili ang mga hamon tulad ng limitadong mga mapagkukunan at kumplikadong mga pagtatasa ng pangangailangan. Ang pagpaplano bago ang sakuna, pakikilahok ng komunidad, at pag-iimbak ng mahahalagang suplay ay mga maha"&amp;"halagang hakbang tungo sa mas epektibo at patas na sistema ng pagtugon. **Mga Karagdagang Tala:**
* Gumagana ang mga legal na balangkas na binanggit sa itaas kasabay ng mga prinsipyo ng internasyonal na makataong batas**, na nagbibigay-diin sa proteksyon "&amp;"ng mga sibilyan at pantay na pag-access sa pangangalagang pangkalusugan sa panahon ng mga emerhensiya.
* Ang pagiging epektibo ng legal na balangkas ay nakasalalay din sa pagpapatupad at mga mekanismo ng pananagutan upang matiyak na maabot ng mga mapagkuk"&amp;"unan ang mga taong higit na nangangailangan ng mga ito.")</f>
        <v>Ang Pilipinas ay may balangkas na naglalayong unahin ang paglalaan ng mapagkukunan at tiyakin ang pantay na pag-access sa mga serbisyo ng pangangalagang pangkalusugan sa panahon ng mga emerhensiya, ngunit ito ay isang kumplikadong isyu sa patuloy na pag-unlad. Narito ang isang breakdown ng mga pangunahing elemento:
**Mga Legal na Framework:**
* **Ang Philippine Disaster Risk Reduction and Management Act (R.A. 10121):** Ang batas na ito ay nag-uutos sa National Disaster Risk Reduction and Management Council (NDRRMC) na i-coordinate ang paglalaan ng mapagkukunan sa panahon ng kalamidad. Ang layunin ay bigyang-priyoridad ang mga lugar na may pinakamalaking pangangailangan at tiyaking ang mga mahihinang populasyon ay may access sa mahahalagang serbisyo, kabilang ang pangangalagang pangkalusugan.
* **Ang Universal Health Care Act (R.A. 11223):** Ang batas na ito ay naglalayong unti-unting maisakatuparan ang pangkalahatang pangangalagang pangkalusugan sa Pilipinas. Bagama't hindi partikular na nakatuon sa mga emerhensiya, nagtatatag ito ng balangkas para sa pantay na pag-access sa mga serbisyo ng pangangalagang pangkalusugan. Ito ay maaaring maging pundasyon para sa pagbibigay-priyoridad sa paglalaan ng mapagkukunan sa panahon ng mga emerhensiya.
* **Mga Patakaran ng Department of Health (DOH):** Bumubuo ang DOH ng mga alituntunin para sa pagtugon sa emerhensiya, kabilang ang paglalaan ng mapagkukunan para sa mga serbisyo sa pangangalagang pangkalusugan. Ang mga alituntuning ito ay nagbibigay-diin sa mga pagsasaalang-alang sa pangangailangan, kahinaan, at pantay na pamamahagi ng mga mapagkukunan. **Mga Hamon at Pagsasaalang-alang:**
* **Mga Limitadong Mapagkukunan:** Sa panahon ng mga emerhensiya, kadalasang kakaunti ang mga mapagkukunan. Maaaring maging mahirap ang pagkakaroon ng balanse sa pagitan ng mga agarang pangangailangan at pangmatagalang pagsisikap sa pagbawi.
* **Pagsusuri ng Data at Pangangailangan:** Ang tumpak na data sa mga pangangailangan at kahinaan ng populasyon ay mahalaga para sa patas na paglalaan ng mapagkukunan. Ang mabilis na pangongolekta at pagsusuri ng data sa panahon ng emerhensiya ay maaaring maging mahirap. * **Accessibility:** Kahit na may resource allocation, ang pagtiyak ng pisikal na access sa mga serbisyo sa pangangalagang pangkalusugan sa mga malalayong lugar o mga lugar na may mga nasirang imprastraktura ay maaaring maging isang hadlang.
**Potensyal para sa Pagpapabuti:**
* **Pre-Disaster Planning:** Ang pagbuo ng mga contingency plan na may malinaw na mga protocol sa paglalaan ng mapagkukunan para sa iba't ibang mga sitwasyong pang-emergency ay maaaring mapabuti ang kahusayan sa panahon ng pagtugon.
* **Paglahok ng Komunidad:** Ang pagsali sa mga apektadong komunidad sa mga pagtatasa ng pangangailangan at pamamahagi ng mapagkukunan ay maaaring matiyak ang mga serbisyong naaangkop sa kultura at maiwasan ang pagsasamantala o diskriminasyon.
* **Stockpiling:** Ang pagpapanatili ng mga stockpile ng mahahalagang medikal na supply at kagamitan ay maaaring mabawasan ang kakulangan ng mapagkukunan sa panahon ng mga emerhensiya.
**Konklusyon:**
Ang Pilipinas ay may legal na balangkas na nagbibigay-diin sa pagbibigay-priyoridad sa paglalaan ng mapagkukunan at pantay na pag-access sa mga serbisyo sa pangangalagang pangkalusugan sa panahon ng mga emerhensiya. Gayunpaman, nananatili ang mga hamon tulad ng limitadong mga mapagkukunan at kumplikadong mga pagtatasa ng pangangailangan. Ang pagpaplano bago ang sakuna, pakikilahok ng komunidad, at pag-iimbak ng mahahalagang suplay ay mga mahahalagang hakbang tungo sa mas epektibo at patas na sistema ng pagtugon. **Mga Karagdagang Tala:**
* Gumagana ang mga legal na balangkas na binanggit sa itaas kasabay ng mga prinsipyo ng internasyonal na makataong batas**, na nagbibigay-diin sa proteksyon ng mga sibilyan at pantay na pag-access sa pangangalagang pangkalusugan sa panahon ng mga emerhensiya.
* Ang pagiging epektibo ng legal na balangkas ay nakasalalay din sa pagpapatupad at mga mekanismo ng pananagutan upang matiyak na maabot ng mga mapagkukunan ang mga taong higit na nangangailangan ng mga ito.</v>
      </c>
      <c r="F1808" s="2">
        <f t="shared" si="1"/>
        <v>0</v>
      </c>
      <c r="G1808" s="2"/>
      <c r="H1808" s="2"/>
      <c r="I1808" s="2"/>
      <c r="J1808" s="2"/>
      <c r="K1808" s="2"/>
      <c r="L1808" s="2"/>
      <c r="M1808" s="2"/>
      <c r="N1808" s="2"/>
      <c r="O1808" s="2"/>
      <c r="P1808" s="2"/>
      <c r="Q1808" s="2"/>
      <c r="R1808" s="2"/>
      <c r="S1808" s="2"/>
      <c r="T1808" s="2"/>
      <c r="U1808" s="2"/>
      <c r="V1808" s="2"/>
      <c r="W1808" s="2"/>
      <c r="X1808" s="2"/>
      <c r="Y1808" s="2"/>
      <c r="Z1808" s="2"/>
      <c r="AA1808" s="2"/>
    </row>
    <row r="1809">
      <c r="A1809" s="1" t="s">
        <v>4337</v>
      </c>
      <c r="B1809" s="1" t="s">
        <v>4664</v>
      </c>
      <c r="C1809" s="1" t="s">
        <v>4665</v>
      </c>
      <c r="D1809" s="2" t="str">
        <f>IFERROR(__xludf.DUMMYFUNCTION("GOOGLETRANSLATE(B1809, ""en"", ""TL"")"),"Paano nakakatulong ang batas ng Pilipinas sa mga internasyonal na pagsisikap na pigilan, tuklasin, at tumugon sa mga banta sa kalusugan at pandemya sa buong mundo?")</f>
        <v>Paano nakakatulong ang batas ng Pilipinas sa mga internasyonal na pagsisikap na pigilan, tuklasin, at tumugon sa mga banta sa kalusugan at pandemya sa buong mundo?</v>
      </c>
      <c r="E1809" s="2" t="str">
        <f>IFERROR(__xludf.DUMMYFUNCTION("GOOGLETRANSLATE(C1809, ""en"", ""TL"")"),"Ang Pilipinas ay nag-aambag sa mga pandaigdigang pagsisikap na pigilan, tuklasin, at tumugon sa mga pandaigdigang banta sa kalusugan at pandemya sa pamamagitan ng kumbinasyon ng mga legal na balangkas at pagsunod sa mga internasyonal na kasunduan. Narito "&amp;"ang isang breakdown:
**International Health Regulations (IHR):**
* Ang Pilipinas ay isang signatory sa World Health Organization (WHO) IHR, isang set ng mga internasyonal na regulasyon na idinisenyo upang maiwasan, tuklasin, at tumugon sa internasyonal na"&amp;" pagkalat ng sakit**. * Binabalangkas ng IHR ang mga pangunahing kapasidad na dapat bumuo ng mga bansa para sa epektibong pagtugon. Kabilang dito ang:
* **Surveillance System:** Ang Pilipinas ay may sistema ng pagsubaybay sa sakit upang masubaybayan ang m"&amp;"ga paglaganap at mag-ulat ng mga mapapansing sakit sa WHO.
* **Laboratory Capacity:** Pinalalakas ng DOH ang mga kakayahan sa laboratoryo para sa mabilis na pagsusuri ng mga nakakahawang sakit.
* **Mga Punto ng Pagkontrol sa Pagpasok:** Ang Pilipinas ay n"&amp;"agpapatupad ng mga hakbang sa mga internasyonal na paliparan at daungan upang suriin ang mga manlalakbay para sa mga potensyal na panganib sa kalusugan.
**Mga Domestic Legal Framework:**
* **Mandatoryong Pag-uulat ng Mga Nababatid na Sakit at Mga Pangyaya"&amp;"ring Pangkalusugan ng Batas sa Pag-aalala ng Pampublikong Pangkalusugan (R.A. 11332):** Ang batas na ito ay nag-uutos sa mga tagapagbigay ng pangangalagang pangkalusugan na agad na mag-ulat ng mga mapapansing sakit at mga emerhensiyang pampublikong kalusu"&amp;"gan sa mga lokal na awtoridad sa kalusugan. Nagbibigay-daan ito para sa mas mabilis na pagtuklas at pag-uulat sa WHO ayon sa kinakailangan ng IHR.
* **Philippine Disaster Risk Reduction and Management Act (R.A. 10121):** Ang batas na ito, habang nakatutok"&amp;" sa mga domestic emergency, ay nagpapatibay sa pangkalahatang kahandaan ng bansa para sa mga banta sa kalusugan ng publiko. Kabilang dito ang mga probisyon para sa pag-iimbak ng mahahalagang suplay at pakikipag-ugnayan sa mga internasyonal na organisasyon"&amp;" ng tulong sa panahon ng mga emerhensiya.
**Mga Hamon at Oportunidad:**
* **Mga Limitasyon sa Mapagkukunan:** Maaaring hadlangan ng mga limitadong mapagkukunan ang pagbuo ng mga matatag na sistema ng pagsubaybay, mga kakayahan sa laboratoryo, at pag-iimba"&amp;"k ng mga mahahalagang supply.
* **International Cooperation:** Ang epektibong internasyonal na kooperasyon ay mahalaga para sa pagbabahagi ng impormasyon, pag-aayos ng mga tugon, at pagbuo ng mga bakuna sa panahon ng pandemya. Ang Pilipinas ay aktibong na"&amp;"kikilahok sa mga inisyatiba ng WHO at nakikipagtulungan sa mga internasyonal na kasosyo sa kalusugan.
**Konklusyon:**
Ang Pilipinas ay nag-aambag sa pandaigdigang seguridad sa kalusugan sa pamamagitan ng pagsunod nito sa IHR at mga domestic legal na balan"&amp;"gkas na nagpapatibay sa kapasidad nito para sa pagtuklas ng sakit, pag-uulat, at pagtugon sa emerhensiya. Gayunpaman, ang mga hadlang sa mapagkukunan ay nananatiling isang hamon. Ang patuloy na internasyonal na kooperasyon ay mahalaga para sa epektibong p"&amp;"agpigil, pagtuklas, at pagtugon sa mga banta sa kalusugan at pandemya sa buong mundo.")</f>
        <v>Ang Pilipinas ay nag-aambag sa mga pandaigdigang pagsisikap na pigilan, tuklasin, at tumugon sa mga pandaigdigang banta sa kalusugan at pandemya sa pamamagitan ng kumbinasyon ng mga legal na balangkas at pagsunod sa mga internasyonal na kasunduan. Narito ang isang breakdown:
**International Health Regulations (IHR):**
* Ang Pilipinas ay isang signatory sa World Health Organization (WHO) IHR, isang set ng mga internasyonal na regulasyon na idinisenyo upang maiwasan, tuklasin, at tumugon sa internasyonal na pagkalat ng sakit**. * Binabalangkas ng IHR ang mga pangunahing kapasidad na dapat bumuo ng mga bansa para sa epektibong pagtugon. Kabilang dito ang:
* **Surveillance System:** Ang Pilipinas ay may sistema ng pagsubaybay sa sakit upang masubaybayan ang mga paglaganap at mag-ulat ng mga mapapansing sakit sa WHO.
* **Laboratory Capacity:** Pinalalakas ng DOH ang mga kakayahan sa laboratoryo para sa mabilis na pagsusuri ng mga nakakahawang sakit.
* **Mga Punto ng Pagkontrol sa Pagpasok:** Ang Pilipinas ay nagpapatupad ng mga hakbang sa mga internasyonal na paliparan at daungan upang suriin ang mga manlalakbay para sa mga potensyal na panganib sa kalusugan.
**Mga Domestic Legal Framework:**
* **Mandatoryong Pag-uulat ng Mga Nababatid na Sakit at Mga Pangyayaring Pangkalusugan ng Batas sa Pag-aalala ng Pampublikong Pangkalusugan (R.A. 11332):** Ang batas na ito ay nag-uutos sa mga tagapagbigay ng pangangalagang pangkalusugan na agad na mag-ulat ng mga mapapansing sakit at mga emerhensiyang pampublikong kalusugan sa mga lokal na awtoridad sa kalusugan. Nagbibigay-daan ito para sa mas mabilis na pagtuklas at pag-uulat sa WHO ayon sa kinakailangan ng IHR.
* **Philippine Disaster Risk Reduction and Management Act (R.A. 10121):** Ang batas na ito, habang nakatutok sa mga domestic emergency, ay nagpapatibay sa pangkalahatang kahandaan ng bansa para sa mga banta sa kalusugan ng publiko. Kabilang dito ang mga probisyon para sa pag-iimbak ng mahahalagang suplay at pakikipag-ugnayan sa mga internasyonal na organisasyon ng tulong sa panahon ng mga emerhensiya.
**Mga Hamon at Oportunidad:**
* **Mga Limitasyon sa Mapagkukunan:** Maaaring hadlangan ng mga limitadong mapagkukunan ang pagbuo ng mga matatag na sistema ng pagsubaybay, mga kakayahan sa laboratoryo, at pag-iimbak ng mga mahahalagang supply.
* **International Cooperation:** Ang epektibong internasyonal na kooperasyon ay mahalaga para sa pagbabahagi ng impormasyon, pag-aayos ng mga tugon, at pagbuo ng mga bakuna sa panahon ng pandemya. Ang Pilipinas ay aktibong nakikilahok sa mga inisyatiba ng WHO at nakikipagtulungan sa mga internasyonal na kasosyo sa kalusugan.
**Konklusyon:**
Ang Pilipinas ay nag-aambag sa pandaigdigang seguridad sa kalusugan sa pamamagitan ng pagsunod nito sa IHR at mga domestic legal na balangkas na nagpapatibay sa kapasidad nito para sa pagtuklas ng sakit, pag-uulat, at pagtugon sa emerhensiya. Gayunpaman, ang mga hadlang sa mapagkukunan ay nananatiling isang hamon. Ang patuloy na internasyonal na kooperasyon ay mahalaga para sa epektibong pagpigil, pagtuklas, at pagtugon sa mga banta sa kalusugan at pandemya sa buong mundo.</v>
      </c>
      <c r="F1809" s="2">
        <f t="shared" si="1"/>
        <v>0</v>
      </c>
      <c r="G1809" s="2"/>
      <c r="H1809" s="2"/>
      <c r="I1809" s="2"/>
      <c r="J1809" s="2"/>
      <c r="K1809" s="2"/>
      <c r="L1809" s="2"/>
      <c r="M1809" s="2"/>
      <c r="N1809" s="2"/>
      <c r="O1809" s="2"/>
      <c r="P1809" s="2"/>
      <c r="Q1809" s="2"/>
      <c r="R1809" s="2"/>
      <c r="S1809" s="2"/>
      <c r="T1809" s="2"/>
      <c r="U1809" s="2"/>
      <c r="V1809" s="2"/>
      <c r="W1809" s="2"/>
      <c r="X1809" s="2"/>
      <c r="Y1809" s="2"/>
      <c r="Z1809" s="2"/>
      <c r="AA1809" s="2"/>
    </row>
    <row r="1810">
      <c r="A1810" s="1" t="s">
        <v>4337</v>
      </c>
      <c r="B1810" s="1" t="s">
        <v>4666</v>
      </c>
      <c r="C1810" s="1" t="s">
        <v>4667</v>
      </c>
      <c r="D1810" s="2" t="str">
        <f>IFERROR(__xludf.DUMMYFUNCTION("GOOGLETRANSLATE(B1810, ""en"", ""TL"")"),"Ano ang mga legal na balangkas na namamahala sa internasyonal na pagbabahagi ng data at mga mapagkukunan para sa pampublikong pagsubaybay sa kalusugan at pagkontrol sa sakit?")</f>
        <v>Ano ang mga legal na balangkas na namamahala sa internasyonal na pagbabahagi ng data at mga mapagkukunan para sa pampublikong pagsubaybay sa kalusugan at pagkontrol sa sakit?</v>
      </c>
      <c r="E1810" s="2" t="str">
        <f>IFERROR(__xludf.DUMMYFUNCTION("GOOGLETRANSLATE(C1810, ""en"", ""TL"")"),"Walang iisang, unibersal na legal na balangkas na namamahala sa internasyonal na pagbabahagi ng data at mga mapagkukunan para sa pampublikong pagsubaybay sa kalusugan at pagkontrol sa sakit. Gayunpaman, maraming pangunahing instrumento at prinsipyo ang gu"&amp;"magabay sa pakikipagtulungang ito:
**International Health Regulations (IHR):**
* Ang IHR ng World Health Organization (WHO) ay ang pinakamahalagang internasyonal na kasunduan para sa pagtugon sa outbreak ng sakit. Nagtatatag ito ng isang balangkas para sa"&amp;" mga bansa na magbahagi ng mahahalagang impormasyon sa kalusugan ng publiko sa WHO at iba pang mga miyembrong estado. Kabilang dito ang data sa:
* Paglaganap ng sakit at mga ulat ng kaso
* Mga resulta ng pagsubok sa laboratoryo
* Impormasyon sa paglalakba"&amp;"y ng mga potensyal na nahawaang indibidwal
**Mga Pangunahing Kapasidad para sa Pagpapatupad ng IHR:**
* Binabalangkas ng IHR ang mga pangunahing kapasidad na dapat bumuo ng mga bansa para sa epektibong pagtugon. Kabilang dito ang:
* **Surveillance System:"&amp;"** Hinihikayat ang mga bansa na magbahagi ng data ng surveillance sa WHO upang paganahin ang pandaigdigang pagsubaybay sa mga trend ng sakit.
* **Laboratory Capacity:** Ang pakikipagtulungan sa pagbuo at pagbabahagi ng mga diagnostic na pagsusuri ay mahal"&amp;"aga para sa mabilis na pagtuklas ng outbreak.
**Mga Pagsasaalang-alang sa Privacy ng Data:**
* Habang ang pagbabahagi ng impormasyon ay mahalaga, ang privacy ng data ay isang lumalaking alalahanin. Ang mga internasyonal na pagsisikap ay isinasagawa upang "&amp;"bumuo ng mga balangkas ng pamamahala ng data na nagbabalanse sa pangangailangan para sa pagbabahagi ng impormasyon sa pampublikong kalusugan sa mga indibidwal na karapatan sa privacy.
**Iba pang Mga Instrumento at Inisyatiba:**
* **World Trade Organizatio"&amp;"n (WTO) Agreement on Trade-Related Aspects of Intellectual Property Rights (TRIPS):** Kasama sa kasunduang ito ang mga probisyon upang mapadali ang pag-access sa mga mahahalagang gamot sa panahon ng mga emerhensiya sa kalusugan ng publiko.
* **WHO Global "&amp;"Influenza Surveillance and Response System (GISRS):** Ang sistemang ito ay nagtataguyod ng internasyonal na pakikipagtulungan para sa pagsubaybay sa trangkaso, pagbabahagi ng mga sample ng virus, at pagbuo ng mga bakuna.
**Mga Hamon at Oportunidad:**
* **"&amp;"Pambansang Soberanya:** Ang pagbabalanse sa pangangailangan para sa pagbabahagi ng impormasyon sa mga alalahanin sa pambansang soberanya ay maaaring maging kumplikado. * **Data Standardization:** Ang pag-standardize ng mga paraan ng pangongolekta at pag-u"&amp;"ulat ng data sa iba't ibang bansa ay nagpapabuti sa pagkakahambing at pagsusuri ng data para sa mga pagsisikap sa pandaigdigang pagkontrol ng sakit.
* **Pagbuo ng Kapasidad:** Maaaring mangailangan ng tulong ang mga hindi gaanong maunlad na bansa sa pagbu"&amp;"o ng mga surveillance system at mga kakayahan sa laboratoryo para sa epektibong pagbabahagi ng data.
**Ang Pasulong:**
* **International Cooperation:** Ang patuloy na internasyonal na kooperasyon sa pagitan ng mga pamahalaan, pampublikong ahensya ng kalus"&amp;"ugan, at mga institusyong pananaliksik ay mahalaga para sa epektibong pagkontrol sa sakit.
* **Public-Private Partnership:** Ang pakikipagtulungan sa pagitan ng mga awtoridad sa pampublikong kalusugan at pribadong sektor ay maaaring mapadali ang pagsasali"&amp;"ksik at pagbuo ng mga bagong diagnostic, paggamot, at bakuna.
* **Mga Etikal na Pagsasaalang-alang:** Ang pagbuo ng malinaw na etikal na mga balangkas para sa pamamahala ng data ay magtitiyak ng transparency, pananagutan, at paggalang sa indibidwal na pri"&amp;"vacy habang nagbibigay-daan para sa epektibong mga interbensyon sa kalusugan ng publiko.
**Konklusyon:**
Ang internasyonal na pagbabahagi ng data at mga mapagkukunan para sa pagsubaybay sa kalusugan ng publiko at pagkontrol sa sakit ay umaasa sa isang kum"&amp;"binasyon ng mga internasyonal na kasunduan, mga kapasidad sa pambansang pagpapatupad, at mga pagsasaalang-alang sa etika. Ang patuloy na pakikipagtulungan at pagbabago ay mahalaga para sa isang pandaigdigang coordinated na tugon sa mga umuusbong na nakaka"&amp;"hawang sakit at mga banta sa kalusugan ng publiko.")</f>
        <v>Walang iisang, unibersal na legal na balangkas na namamahala sa internasyonal na pagbabahagi ng data at mga mapagkukunan para sa pampublikong pagsubaybay sa kalusugan at pagkontrol sa sakit. Gayunpaman, maraming pangunahing instrumento at prinsipyo ang gumagabay sa pakikipagtulungang ito:
**International Health Regulations (IHR):**
* Ang IHR ng World Health Organization (WHO) ay ang pinakamahalagang internasyonal na kasunduan para sa pagtugon sa outbreak ng sakit. Nagtatatag ito ng isang balangkas para sa mga bansa na magbahagi ng mahahalagang impormasyon sa kalusugan ng publiko sa WHO at iba pang mga miyembrong estado. Kabilang dito ang data sa:
* Paglaganap ng sakit at mga ulat ng kaso
* Mga resulta ng pagsubok sa laboratoryo
* Impormasyon sa paglalakbay ng mga potensyal na nahawaang indibidwal
**Mga Pangunahing Kapasidad para sa Pagpapatupad ng IHR:**
* Binabalangkas ng IHR ang mga pangunahing kapasidad na dapat bumuo ng mga bansa para sa epektibong pagtugon. Kabilang dito ang:
* **Surveillance System:** Hinihikayat ang mga bansa na magbahagi ng data ng surveillance sa WHO upang paganahin ang pandaigdigang pagsubaybay sa mga trend ng sakit.
* **Laboratory Capacity:** Ang pakikipagtulungan sa pagbuo at pagbabahagi ng mga diagnostic na pagsusuri ay mahalaga para sa mabilis na pagtuklas ng outbreak.
**Mga Pagsasaalang-alang sa Privacy ng Data:**
* Habang ang pagbabahagi ng impormasyon ay mahalaga, ang privacy ng data ay isang lumalaking alalahanin. Ang mga internasyonal na pagsisikap ay isinasagawa upang bumuo ng mga balangkas ng pamamahala ng data na nagbabalanse sa pangangailangan para sa pagbabahagi ng impormasyon sa pampublikong kalusugan sa mga indibidwal na karapatan sa privacy.
**Iba pang Mga Instrumento at Inisyatiba:**
* **World Trade Organization (WTO) Agreement on Trade-Related Aspects of Intellectual Property Rights (TRIPS):** Kasama sa kasunduang ito ang mga probisyon upang mapadali ang pag-access sa mga mahahalagang gamot sa panahon ng mga emerhensiya sa kalusugan ng publiko.
* **WHO Global Influenza Surveillance and Response System (GISRS):** Ang sistemang ito ay nagtataguyod ng internasyonal na pakikipagtulungan para sa pagsubaybay sa trangkaso, pagbabahagi ng mga sample ng virus, at pagbuo ng mga bakuna.
**Mga Hamon at Oportunidad:**
* **Pambansang Soberanya:** Ang pagbabalanse sa pangangailangan para sa pagbabahagi ng impormasyon sa mga alalahanin sa pambansang soberanya ay maaaring maging kumplikado. * **Data Standardization:** Ang pag-standardize ng mga paraan ng pangongolekta at pag-uulat ng data sa iba't ibang bansa ay nagpapabuti sa pagkakahambing at pagsusuri ng data para sa mga pagsisikap sa pandaigdigang pagkontrol ng sakit.
* **Pagbuo ng Kapasidad:** Maaaring mangailangan ng tulong ang mga hindi gaanong maunlad na bansa sa pagbuo ng mga surveillance system at mga kakayahan sa laboratoryo para sa epektibong pagbabahagi ng data.
**Ang Pasulong:**
* **International Cooperation:** Ang patuloy na internasyonal na kooperasyon sa pagitan ng mga pamahalaan, pampublikong ahensya ng kalusugan, at mga institusyong pananaliksik ay mahalaga para sa epektibong pagkontrol sa sakit.
* **Public-Private Partnership:** Ang pakikipagtulungan sa pagitan ng mga awtoridad sa pampublikong kalusugan at pribadong sektor ay maaaring mapadali ang pagsasaliksik at pagbuo ng mga bagong diagnostic, paggamot, at bakuna.
* **Mga Etikal na Pagsasaalang-alang:** Ang pagbuo ng malinaw na etikal na mga balangkas para sa pamamahala ng data ay magtitiyak ng transparency, pananagutan, at paggalang sa indibidwal na privacy habang nagbibigay-daan para sa epektibong mga interbensyon sa kalusugan ng publiko.
**Konklusyon:**
Ang internasyonal na pagbabahagi ng data at mga mapagkukunan para sa pagsubaybay sa kalusugan ng publiko at pagkontrol sa sakit ay umaasa sa isang kumbinasyon ng mga internasyonal na kasunduan, mga kapasidad sa pambansang pagpapatupad, at mga pagsasaalang-alang sa etika. Ang patuloy na pakikipagtulungan at pagbabago ay mahalaga para sa isang pandaigdigang coordinated na tugon sa mga umuusbong na nakakahawang sakit at mga banta sa kalusugan ng publiko.</v>
      </c>
      <c r="F1810" s="2">
        <f t="shared" si="1"/>
        <v>0</v>
      </c>
      <c r="G1810" s="2"/>
      <c r="H1810" s="2"/>
      <c r="I1810" s="2"/>
      <c r="J1810" s="2"/>
      <c r="K1810" s="2"/>
      <c r="L1810" s="2"/>
      <c r="M1810" s="2"/>
      <c r="N1810" s="2"/>
      <c r="O1810" s="2"/>
      <c r="P1810" s="2"/>
      <c r="Q1810" s="2"/>
      <c r="R1810" s="2"/>
      <c r="S1810" s="2"/>
      <c r="T1810" s="2"/>
      <c r="U1810" s="2"/>
      <c r="V1810" s="2"/>
      <c r="W1810" s="2"/>
      <c r="X1810" s="2"/>
      <c r="Y1810" s="2"/>
      <c r="Z1810" s="2"/>
      <c r="AA1810" s="2"/>
    </row>
    <row r="1811">
      <c r="A1811" s="1" t="s">
        <v>4337</v>
      </c>
      <c r="B1811" s="1" t="s">
        <v>4668</v>
      </c>
      <c r="C1811" s="1" t="s">
        <v>4669</v>
      </c>
      <c r="D1811" s="2" t="str">
        <f>IFERROR(__xludf.DUMMYFUNCTION("GOOGLETRANSLATE(B1811, ""en"", ""TL"")"),"Paano binabalanse ng batas ng Pilipinas ang pangangailangan para sa matatag na etika ng pananaliksik sa pagpapadali sa mga pagsulong sa kaalamang medikal at mga therapy?")</f>
        <v>Paano binabalanse ng batas ng Pilipinas ang pangangailangan para sa matatag na etika ng pananaliksik sa pagpapadali sa mga pagsulong sa kaalamang medikal at mga therapy?</v>
      </c>
      <c r="E1811" s="2" t="str">
        <f>IFERROR(__xludf.DUMMYFUNCTION("GOOGLETRANSLATE(C1811, ""en"", ""TL"")"),"Ang Pilipinas ay may balangkas na sumusubok na balansehin ang matatag na etika ng pananaliksik sa pagpapadali ng mga pagsulong sa medisina. Narito ang isang breakdown ng mga pangunahing elemento:
**Pag-promote ng Pananaliksik:**
* **Philippine Innovation "&amp;"Act (R.A. 11293):** Nilalayon ng batas na ito na hikayatin ang mga aktibidad sa pananaliksik at pagpapaunlad sa iba't ibang sektor, kabilang ang pangangalagang pangkalusugan. Nagbibigay ito ng mga insentibo para sa mga institusyong pananaliksik at pinapab"&amp;"ilis ang mga proseso ng regulasyon.
* **Department of Science and Technology (DOST):** Ang DOST ay gumaganap ng isang mahalagang papel sa pagtataguyod ng pananaliksik sa pamamagitan ng mga programa sa pagpopondo at mga inisyatiba sa pakikipagtulungan sa m"&amp;"ga institusyong pang-akademiko at pribadong kumpanya. **Pagtitiyak ng Etikal na Pag-uugali:**
* **Republic Act No. 8423 o The Philippine Ethical Research Act of 1997:** Itinatag ng batas na ito ang National Ethical Research Committee (NERC) sa ilalim ng D"&amp;"OST. * Sinusuri ng NERC ang lahat ng panukala sa pananaliksik na kinasasangkutan ng mga paksa ng tao upang matiyak na nakakatugon ang mga ito sa mga pamantayang etikal at siyentipiko. Kabilang dito ang may-kaalamang pahintulot, pagsusuri sa risk-benefit, "&amp;"proteksyon ng privacy, at patas na pagpili ng paksa.
* **Mga Alituntunin sa Pananaliksik ng Kagawaran ng Kalusugan (DOH):** Ang DOH ay naglalabas ng mga alituntunin sa pananaliksik na partikular sa ilang mga medikal na larangan, na umaakma sa mga pangkala"&amp;"hatang prinsipyo ng Ethical Research Act.
**Balancing Act and Challenges:**
* **Pag-streamline kumpara sa Pagsusuri:** Ang pagkakaroon ng balanse sa pagitan ng pag-streamline ng mga proseso ng pananaliksik at mahigpit na pagsusuri sa etika ay maaaring mag"&amp;"ing mahirap. Ang mga pagkaantala dahil sa malawak na pagsusuri ay maaaring makapagpahina ng loob sa pananaliksik, habang ang mahinang pangangasiwa ay maaaring makompromiso ang mga prinsipyong etikal.
* **Vulnerable Populations:** Ang pagprotekta sa mga bu"&amp;"lnerableng populasyon tulad ng mga bata, buntis, at mga taong may kapansanan mula sa pagsasamantala sa pananaliksik ay nangangailangan ng mas mahigpit na etikal na pagsasaalang-alang.
**Potensyal para sa Pagpapabuti:**
* **Pagsasama-sama ng Mga Alituntuni"&amp;"n:** Ang pag-streamline at pag-standardize ng mga alituntunin sa etika ng pananaliksik sa iba't ibang ahensya ng gobyerno ay maaaring mapabuti ang kahusayan at kalinawan para sa mga mananaliksik.
* **Pagbuo ng Kapasidad:** Ang pagsasanay sa mga komite sa "&amp;"etika ng pananaliksik at mga mananaliksik sa pinakamahuhusay na kagawian ay mahalaga para sa pagtataguyod ng mga pamantayang etikal.
* **Pakikipag-ugnayan sa Komunidad:** Ang paghikayat sa pakikilahok ng komunidad sa disenyo at pagpapatupad ng pananaliksi"&amp;"k ay maaaring bumuo ng tiwala at matugunan ang mga etikal na alalahanin mula sa simula. **Konklusyon:**
Sinisikap ng Pilipinas na balansehin ang etika ng pananaliksik sa mga pagsulong sa medisina. Ang legal na balangkas ay nagtataguyod ng pananaliksik hab"&amp;"ang tinitiyak ang etikal na paggawi sa pamamagitan ng proseso ng pagsusuri ng NERC at mga alituntunin ng DOH. Gayunpaman, kailangan ang patuloy na pagpapabuti sa pamamagitan ng pag-streamline ng mga pamamaraan, pagbuo ng kapasidad, at pakikipag-ugnayan sa"&amp;" komunidad. Titiyakin nito ang etikal na pag-unlad ng mahahalagang kaalaman sa medisina at mga therapy para sa populasyon ng Pilipino.")</f>
        <v>Ang Pilipinas ay may balangkas na sumusubok na balansehin ang matatag na etika ng pananaliksik sa pagpapadali ng mga pagsulong sa medisina. Narito ang isang breakdown ng mga pangunahing elemento:
**Pag-promote ng Pananaliksik:**
* **Philippine Innovation Act (R.A. 11293):** Nilalayon ng batas na ito na hikayatin ang mga aktibidad sa pananaliksik at pagpapaunlad sa iba't ibang sektor, kabilang ang pangangalagang pangkalusugan. Nagbibigay ito ng mga insentibo para sa mga institusyong pananaliksik at pinapabilis ang mga proseso ng regulasyon.
* **Department of Science and Technology (DOST):** Ang DOST ay gumaganap ng isang mahalagang papel sa pagtataguyod ng pananaliksik sa pamamagitan ng mga programa sa pagpopondo at mga inisyatiba sa pakikipagtulungan sa mga institusyong pang-akademiko at pribadong kumpanya. **Pagtitiyak ng Etikal na Pag-uugali:**
* **Republic Act No. 8423 o The Philippine Ethical Research Act of 1997:** Itinatag ng batas na ito ang National Ethical Research Committee (NERC) sa ilalim ng DOST. * Sinusuri ng NERC ang lahat ng panukala sa pananaliksik na kinasasangkutan ng mga paksa ng tao upang matiyak na nakakatugon ang mga ito sa mga pamantayang etikal at siyentipiko. Kabilang dito ang may-kaalamang pahintulot, pagsusuri sa risk-benefit, proteksyon ng privacy, at patas na pagpili ng paksa.
* **Mga Alituntunin sa Pananaliksik ng Kagawaran ng Kalusugan (DOH):** Ang DOH ay naglalabas ng mga alituntunin sa pananaliksik na partikular sa ilang mga medikal na larangan, na umaakma sa mga pangkalahatang prinsipyo ng Ethical Research Act.
**Balancing Act and Challenges:**
* **Pag-streamline kumpara sa Pagsusuri:** Ang pagkakaroon ng balanse sa pagitan ng pag-streamline ng mga proseso ng pananaliksik at mahigpit na pagsusuri sa etika ay maaaring maging mahirap. Ang mga pagkaantala dahil sa malawak na pagsusuri ay maaaring makapagpahina ng loob sa pananaliksik, habang ang mahinang pangangasiwa ay maaaring makompromiso ang mga prinsipyong etikal.
* **Vulnerable Populations:** Ang pagprotekta sa mga bulnerableng populasyon tulad ng mga bata, buntis, at mga taong may kapansanan mula sa pagsasamantala sa pananaliksik ay nangangailangan ng mas mahigpit na etikal na pagsasaalang-alang.
**Potensyal para sa Pagpapabuti:**
* **Pagsasama-sama ng Mga Alituntunin:** Ang pag-streamline at pag-standardize ng mga alituntunin sa etika ng pananaliksik sa iba't ibang ahensya ng gobyerno ay maaaring mapabuti ang kahusayan at kalinawan para sa mga mananaliksik.
* **Pagbuo ng Kapasidad:** Ang pagsasanay sa mga komite sa etika ng pananaliksik at mga mananaliksik sa pinakamahuhusay na kagawian ay mahalaga para sa pagtataguyod ng mga pamantayang etikal.
* **Pakikipag-ugnayan sa Komunidad:** Ang paghikayat sa pakikilahok ng komunidad sa disenyo at pagpapatupad ng pananaliksik ay maaaring bumuo ng tiwala at matugunan ang mga etikal na alalahanin mula sa simula. **Konklusyon:**
Sinisikap ng Pilipinas na balansehin ang etika ng pananaliksik sa mga pagsulong sa medisina. Ang legal na balangkas ay nagtataguyod ng pananaliksik habang tinitiyak ang etikal na paggawi sa pamamagitan ng proseso ng pagsusuri ng NERC at mga alituntunin ng DOH. Gayunpaman, kailangan ang patuloy na pagpapabuti sa pamamagitan ng pag-streamline ng mga pamamaraan, pagbuo ng kapasidad, at pakikipag-ugnayan sa komunidad. Titiyakin nito ang etikal na pag-unlad ng mahahalagang kaalaman sa medisina at mga therapy para sa populasyon ng Pilipino.</v>
      </c>
      <c r="F1811" s="2">
        <f t="shared" si="1"/>
        <v>0</v>
      </c>
      <c r="G1811" s="2"/>
      <c r="H1811" s="2"/>
      <c r="I1811" s="2"/>
      <c r="J1811" s="2"/>
      <c r="K1811" s="2"/>
      <c r="L1811" s="2"/>
      <c r="M1811" s="2"/>
      <c r="N1811" s="2"/>
      <c r="O1811" s="2"/>
      <c r="P1811" s="2"/>
      <c r="Q1811" s="2"/>
      <c r="R1811" s="2"/>
      <c r="S1811" s="2"/>
      <c r="T1811" s="2"/>
      <c r="U1811" s="2"/>
      <c r="V1811" s="2"/>
      <c r="W1811" s="2"/>
      <c r="X1811" s="2"/>
      <c r="Y1811" s="2"/>
      <c r="Z1811" s="2"/>
      <c r="AA1811" s="2"/>
    </row>
    <row r="1812">
      <c r="A1812" s="1" t="s">
        <v>4337</v>
      </c>
      <c r="B1812" s="1" t="s">
        <v>4670</v>
      </c>
      <c r="C1812" s="1" t="s">
        <v>4671</v>
      </c>
      <c r="D1812" s="2" t="str">
        <f>IFERROR(__xludf.DUMMYFUNCTION("GOOGLETRANSLATE(B1812, ""en"", ""TL"")"),"Anong mga legal na balangkas ang nagtitiyak ng may-kaalamang pahintulot at nagpoprotekta sa mga karapatan at dignidad ng mga kalahok sa pananaliksik, lalo na sa mga mahihinang populasyon?")</f>
        <v>Anong mga legal na balangkas ang nagtitiyak ng may-kaalamang pahintulot at nagpoprotekta sa mga karapatan at dignidad ng mga kalahok sa pananaliksik, lalo na sa mga mahihinang populasyon?</v>
      </c>
      <c r="E1812" s="2" t="str">
        <f>IFERROR(__xludf.DUMMYFUNCTION("GOOGLETRANSLATE(C1812, ""en"", ""TL"")"),"Ang Pilipinas ay may ilang mga legal na balangkas na inilagay upang matiyak ang kaalamang pahintulot at protektahan ang mga karapatan at dignidad ng mga kalahok sa pananaliksik, na may partikular na pagtutok sa mga mahihinang populasyon. Narito ang isang "&amp;"breakdown ng mga pangunahing elemento:
**Informed Consent:**
* **Republic Act No. 8423 (The Philippine Ethical Research Act of 1997):** Ito ang pundasyong batas. Nag-uutos ito ng kaalamang pahintulot mula sa lahat ng kalahok sa pananaliksik bago sila maki"&amp;"lahok sa anumang pag-aaral. Ang proseso ng pagpayag ay dapat na:
* Maging kusang-loob at malaya sa pamimilit.
* Magbigay ng malinaw at nauunawaang impormasyon tungkol sa pananaliksik, kabilang ang layunin, pamamaraan, panganib, at benepisyo nito.
* Pahint"&amp;"ulutan ang mga kalahok na magtanong at umalis sa pag-aaral anumang oras.
* **Mga Alituntunin sa Pananaliksik ng Departamento ng Kalusugan (DOH):** Ang mga alituntuning ito ay maaaring magbalangkas ng mga partikular na kinakailangan para sa kaalamang pahin"&amp;"tulot sa iba't ibang larangang medikal, na dagdag sa mga pangkalahatang prinsipyong binanggit sa Ethical Research Act.
**Pagprotekta sa Mga Kalahok sa Pananaliksik:**
* **National Ethical Research Committee (NERC):** Itinatag sa ilalim ng Ethical Research"&amp;" Act, sinusuri ng NERC ang lahat ng panukala sa pananaliksik na kinasasangkutan ng mga paksa ng tao . Tinitiyak nila na ang pananaliksik ay sumusunod sa mga prinsipyong etikal at pinoprotektahan ang mga karapatan ng mga kalahok, kabilang ang:
* **Karapata"&amp;"n sa pagkapribado at pagiging kumpidensyal:** Tinitiyak ng NERC na ang mga mananaliksik ay may mga hakbang upang protektahan ang personal na impormasyon ng mga kalahok.
* **Karapatan sa kaligtasan:** Ang disenyo ng pananaliksik ay dapat mabawasan ang mga "&amp;"panganib sa mga kalahok at may naaangkop na mga pananggalang sa lugar.
**Mga Espesyal na Pagsasaalang-alang para sa Mga Mahihinang Populasyon:**
* **Ethical Research Act:** Kinikilala ng batas ang pangangailangan para sa mga karagdagang pananggalang para "&amp;"sa mga mahihinang populasyon. Kabilang dito ang mga bata, mga buntis na kababaihan, mga taong may kapansanan, at ang mga nasa sitwasyong mahirap sa ekonomiya. * Maaaring kailanganin ng mga mananaliksik na kumuha ng karagdagang pahintulot mula sa mga legal"&amp;" na tagapag-alaga para sa mga bata, o tiyaking makukuha ang kaalamang pagsang-ayon mula sa mga kalahok na may limitadong kakayahan sa paggawa ng desisyon.
**Mga Hamon at Oportunidad:**
* **Pag-unawa sa May Kaalaman na Pahintulot:** Pagtitiyak na ang mga k"&amp;"alahok, lalo na mula sa mga mahihinang populasyon, ay lubos na nauunawaan ang pananaliksik at maaaring gumawa ng matalinong mga desisyon ay maaaring maging mahirap. Ang mga hadlang sa wika at mga pagkakaiba sa edukasyon ay kailangang isaalang-alang.
* **P"&amp;"akikipag-ugnayan sa Komunidad:** Ang pagsali sa mga komunidad kung saan isinasagawa ang pananaliksik, lalo na ang mga may mahinang populasyon, ay maaaring makatulong sa pagbuo ng tiwala at matiyak na ang pananaliksik ay makikinabang sa komunidad.
**Ang Pa"&amp;"sulong:**
* **Pagsasanay at Edukasyon:** Ang pagsasanay sa mga mananaliksik at komite sa etika sa epektibong pagkuha ng may-kaalamang pahintulot at pagprotekta sa mga mahihinang populasyon ay napakahalaga. * **Mga Materyal ng Impormasyon:** Ang pagbuo ng "&amp;"mga dokumento ng may-kaalamang pahintulot sa mga lokal na wika at pinasimpleng mga format ay maaaring mapabuti ang pag-unawa sa mga kalahok.
* **Pagsusulong ng Komunidad:** Ang paghikayat sa mga pinuno ng komunidad at mga grupo ng adbokasiya na lumahok sa"&amp;" disenyo at pangangasiwa ng pananaliksik ay maaaring mapangalagaan ang mga karapatan at interes ng mga mahihinang populasyon.
**Konklusyon:**
Ang Pilipinas ay may legal na balangkas para sa kaalamang pahintulot at proteksyon ng kalahok sa pananaliksik. Ga"&amp;"yunpaman, kailangan ang tuluy-tuloy na pagsisikap upang matiyak na ang mga mahihinang populasyon ay ganap na nababatid, pinoprotektahan, at binibigyang kapangyarihan na lumahok sa pananaliksik sa etikal na paraan.")</f>
        <v>Ang Pilipinas ay may ilang mga legal na balangkas na inilagay upang matiyak ang kaalamang pahintulot at protektahan ang mga karapatan at dignidad ng mga kalahok sa pananaliksik, na may partikular na pagtutok sa mga mahihinang populasyon. Narito ang isang breakdown ng mga pangunahing elemento:
**Informed Consent:**
* **Republic Act No. 8423 (The Philippine Ethical Research Act of 1997):** Ito ang pundasyong batas. Nag-uutos ito ng kaalamang pahintulot mula sa lahat ng kalahok sa pananaliksik bago sila makilahok sa anumang pag-aaral. Ang proseso ng pagpayag ay dapat na:
* Maging kusang-loob at malaya sa pamimilit.
* Magbigay ng malinaw at nauunawaang impormasyon tungkol sa pananaliksik, kabilang ang layunin, pamamaraan, panganib, at benepisyo nito.
* Pahintulutan ang mga kalahok na magtanong at umalis sa pag-aaral anumang oras.
* **Mga Alituntunin sa Pananaliksik ng Departamento ng Kalusugan (DOH):** Ang mga alituntuning ito ay maaaring magbalangkas ng mga partikular na kinakailangan para sa kaalamang pahintulot sa iba't ibang larangang medikal, na dagdag sa mga pangkalahatang prinsipyong binanggit sa Ethical Research Act.
**Pagprotekta sa Mga Kalahok sa Pananaliksik:**
* **National Ethical Research Committee (NERC):** Itinatag sa ilalim ng Ethical Research Act, sinusuri ng NERC ang lahat ng panukala sa pananaliksik na kinasasangkutan ng mga paksa ng tao . Tinitiyak nila na ang pananaliksik ay sumusunod sa mga prinsipyong etikal at pinoprotektahan ang mga karapatan ng mga kalahok, kabilang ang:
* **Karapatan sa pagkapribado at pagiging kumpidensyal:** Tinitiyak ng NERC na ang mga mananaliksik ay may mga hakbang upang protektahan ang personal na impormasyon ng mga kalahok.
* **Karapatan sa kaligtasan:** Ang disenyo ng pananaliksik ay dapat mabawasan ang mga panganib sa mga kalahok at may naaangkop na mga pananggalang sa lugar.
**Mga Espesyal na Pagsasaalang-alang para sa Mga Mahihinang Populasyon:**
* **Ethical Research Act:** Kinikilala ng batas ang pangangailangan para sa mga karagdagang pananggalang para sa mga mahihinang populasyon. Kabilang dito ang mga bata, mga buntis na kababaihan, mga taong may kapansanan, at ang mga nasa sitwasyong mahirap sa ekonomiya. * Maaaring kailanganin ng mga mananaliksik na kumuha ng karagdagang pahintulot mula sa mga legal na tagapag-alaga para sa mga bata, o tiyaking makukuha ang kaalamang pagsang-ayon mula sa mga kalahok na may limitadong kakayahan sa paggawa ng desisyon.
**Mga Hamon at Oportunidad:**
* **Pag-unawa sa May Kaalaman na Pahintulot:** Pagtitiyak na ang mga kalahok, lalo na mula sa mga mahihinang populasyon, ay lubos na nauunawaan ang pananaliksik at maaaring gumawa ng matalinong mga desisyon ay maaaring maging mahirap. Ang mga hadlang sa wika at mga pagkakaiba sa edukasyon ay kailangang isaalang-alang.
* **Pakikipag-ugnayan sa Komunidad:** Ang pagsali sa mga komunidad kung saan isinasagawa ang pananaliksik, lalo na ang mga may mahinang populasyon, ay maaaring makatulong sa pagbuo ng tiwala at matiyak na ang pananaliksik ay makikinabang sa komunidad.
**Ang Pasulong:**
* **Pagsasanay at Edukasyon:** Ang pagsasanay sa mga mananaliksik at komite sa etika sa epektibong pagkuha ng may-kaalamang pahintulot at pagprotekta sa mga mahihinang populasyon ay napakahalaga. * **Mga Materyal ng Impormasyon:** Ang pagbuo ng mga dokumento ng may-kaalamang pahintulot sa mga lokal na wika at pinasimpleng mga format ay maaaring mapabuti ang pag-unawa sa mga kalahok.
* **Pagsusulong ng Komunidad:** Ang paghikayat sa mga pinuno ng komunidad at mga grupo ng adbokasiya na lumahok sa disenyo at pangangasiwa ng pananaliksik ay maaaring mapangalagaan ang mga karapatan at interes ng mga mahihinang populasyon.
**Konklusyon:**
Ang Pilipinas ay may legal na balangkas para sa kaalamang pahintulot at proteksyon ng kalahok sa pananaliksik. Gayunpaman, kailangan ang tuluy-tuloy na pagsisikap upang matiyak na ang mga mahihinang populasyon ay ganap na nababatid, pinoprotektahan, at binibigyang kapangyarihan na lumahok sa pananaliksik sa etikal na paraan.</v>
      </c>
      <c r="F1812" s="2">
        <f t="shared" si="1"/>
        <v>0</v>
      </c>
      <c r="G1812" s="2"/>
      <c r="H1812" s="2"/>
      <c r="I1812" s="2"/>
      <c r="J1812" s="2"/>
      <c r="K1812" s="2"/>
      <c r="L1812" s="2"/>
      <c r="M1812" s="2"/>
      <c r="N1812" s="2"/>
      <c r="O1812" s="2"/>
      <c r="P1812" s="2"/>
      <c r="Q1812" s="2"/>
      <c r="R1812" s="2"/>
      <c r="S1812" s="2"/>
      <c r="T1812" s="2"/>
      <c r="U1812" s="2"/>
      <c r="V1812" s="2"/>
      <c r="W1812" s="2"/>
      <c r="X1812" s="2"/>
      <c r="Y1812" s="2"/>
      <c r="Z1812" s="2"/>
      <c r="AA1812" s="2"/>
    </row>
    <row r="1813">
      <c r="A1813" s="1" t="s">
        <v>4337</v>
      </c>
      <c r="B1813" s="1" t="s">
        <v>4672</v>
      </c>
      <c r="C1813" s="1" t="s">
        <v>4673</v>
      </c>
      <c r="D1813" s="2" t="str">
        <f>IFERROR(__xludf.DUMMYFUNCTION("GOOGLETRANSLATE(B1813, ""en"", ""TL"")"),"Paano dapat lapitan ng batas ng Pilipinas ang mga etikal na implikasyon ng pagkiling at diskriminasyon sa mga algorithm na ginagamit para sa medikal na diagnosis at paggamot?")</f>
        <v>Paano dapat lapitan ng batas ng Pilipinas ang mga etikal na implikasyon ng pagkiling at diskriminasyon sa mga algorithm na ginagamit para sa medikal na diagnosis at paggamot?</v>
      </c>
      <c r="E1813" s="2" t="str">
        <f>IFERROR(__xludf.DUMMYFUNCTION("GOOGLETRANSLATE(C1813, ""en"", ""TL"")"),"Ang batas ng Pilipinas ay kasalukuyang walang mga partikular na regulasyon na direktang tumutugon sa bias at diskriminasyon sa mga medikal na algorithm. Gayunpaman, maaaring ilapat ang mga umiiral na legal na balangkas at mga prinsipyong etikal upang matu"&amp;"gunan ang mga alalahaning ito. Narito kung paano maaaring lapitan ng batas ng Pilipinas ang isyung ito:
**Pag-aangkop sa mga Umiiral na Framework:**
* **Ang Data Privacy Act (R.A. 10173):** Binibigyang-diin ng batas na ito ang patas na pagproseso ng perso"&amp;"nal na impormasyon. Maaari itong bigyang-kahulugan upang matiyak na ang mga algorithm na ginagamit sa pangangalagang pangkalusugan ay hindi nagpapanatili ng diskriminasyon batay sa mga protektadong katangian tulad ng lahi, etnisidad, socioeconomic status,"&amp;" o kasarian.
* **Ang Philippine Ethical Research Act (R.A. 8423):** Ang mga prinsipyo ng batas na ito, na nagpoprotekta sa mga karapatan ng mga kalahok at tinitiyak ang patas na pagpili ng paksa, ay maaaring palawigin upang suriin ang pagbuo at paggamit n"&amp;"g mga medikal na algorithm. Maaaring kabilang dito ang pagtiyak na ang data ng pagsasanay para sa mga algorithm ay magkakaiba at kumakatawan sa populasyon ng Pilipinas.
* **Mga Patakaran ng Department of Health (DOH):** Ang DOH ay maaaring mag-isyu ng mga"&amp;" partikular na alituntunin para sa pagbuo at pag-deploy ng mga medikal na algorithm sa mga setting ng pangangalagang pangkalusugan. Maaaring matugunan ng mga alituntuning ito ang mga isyu tulad ng:
* **Transparency:** Tinitiyak na nauunawaan ng mga tagapa"&amp;"gbigay ng pangangalagang pangkalusugan at mga pasyente kung paano ginagamit ang mga algorithm sa pagsusuri at paggamot.
* **Accountability:** Pagtatatag ng mga mekanismo upang panagutin ang mga developer at user ng mga medikal na algorithm para sa mga bia"&amp;"s na output.
* **Pagmamasid ng Tao:** Pagpapanatili ng pangangasiwa ng tao sa paggawa ng desisyong medikal kahit na sa paggamit ng mga algorithm.
**Pagtugon sa Mga Legal na Gaps:**
* **Isinasaalang-alang ang Partikular na Batas:** Maaaring tuklasin ng Pil"&amp;"ipinas ang pagbuo ng partikular na batas na tumutugon sa bias at diskriminasyon sa algorithmic na paggawa ng desisyon, partikular sa pangangalagang pangkalusugan. Ang batas na ito ay maaaring magtatag ng malinaw na mga pamantayan para sa pagiging patas, t"&amp;"ransparency, at pananagutan sa pagbuo at paggamit ng mga medikal na algorithm.
**Kahalagahan ng Etikal na Prinsipyo:**
* **Mga Propesyonal na Kodigo ng Pag-uugali:** Ang mga propesyonal na katawan ng regulasyon para sa mga doktor at nars ay maaaring magsa"&amp;"ma ng mga etikal na pagsasaalang-alang tungkol sa algorithmic bias sa kanilang mga code ng pag-uugali. Makakagabay ito sa mga propesyonal sa pangangalagang pangkalusugan sa responsableng paggamit ng mga medikal na algorithm.
**Mga Hamon at Oportunidad:**
"&amp;"* **Limited Resources:** Ang DOH at iba pang ahensya ng gobyerno ay maaaring humarap sa mga limitasyon sa mapagkukunan para sa epektibong pag-regulate at pangangasiwa sa mga medikal na algorithm.
* **Kadalubhasaan sa Teknikal:** Ang pagtiyak ng sapat na t"&amp;"eknikal na kadalubhasaan sa loob ng mga regulatory body upang masuri ang potensyal para sa bias sa mga kumplikadong algorithm ay mahalaga.
**Ang Pasulong:**
* **Stakeholder Collaboration:** Ang pakikipagtulungan sa pagitan ng mga ahensya ng gobyerno, mga "&amp;"propesyonal sa pangangalagang pangkalusugan, mga developer ng teknolohiya, at mga organisasyon ng civil society ay mahalaga upang bumuo ng isang komprehensibong diskarte sa pagtugon sa bias sa mga medikal na algorithm.
* **Public Awareness:** Ang pagpapat"&amp;"aas ng pampublikong kamalayan tungkol sa potensyal ng bias sa mga medikal na algorithm ay maaaring magbigay ng kapangyarihan sa mga pasyente na magtanong at magsulong ng patas na pagtrato.
**Konklusyon:**
Maaaring tugunan ng Pilipinas ang mga etikal na im"&amp;"plikasyon ng pagkiling at diskriminasyon sa mga medikal na algorithm sa pamamagitan ng pag-angkop sa mga umiiral na legal na balangkas, pagbuo ng partikular na batas kung kinakailangan, at pagtataguyod ng mga prinsipyong etikal sa pamamagitan ng mga alitu"&amp;"ntunin ng DOH at mga propesyonal na code ng pag-uugali. Ang pakikipagtulungan sa mga stakeholder at pampublikong kamalayan ay mahalaga para matiyak ang patas at responsableng paggamit ng mga medikal na algorithm sa Pilipinas.")</f>
        <v>Ang batas ng Pilipinas ay kasalukuyang walang mga partikular na regulasyon na direktang tumutugon sa bias at diskriminasyon sa mga medikal na algorithm. Gayunpaman, maaaring ilapat ang mga umiiral na legal na balangkas at mga prinsipyong etikal upang matugunan ang mga alalahaning ito. Narito kung paano maaaring lapitan ng batas ng Pilipinas ang isyung ito:
**Pag-aangkop sa mga Umiiral na Framework:**
* **Ang Data Privacy Act (R.A. 10173):** Binibigyang-diin ng batas na ito ang patas na pagproseso ng personal na impormasyon. Maaari itong bigyang-kahulugan upang matiyak na ang mga algorithm na ginagamit sa pangangalagang pangkalusugan ay hindi nagpapanatili ng diskriminasyon batay sa mga protektadong katangian tulad ng lahi, etnisidad, socioeconomic status, o kasarian.
* **Ang Philippine Ethical Research Act (R.A. 8423):** Ang mga prinsipyo ng batas na ito, na nagpoprotekta sa mga karapatan ng mga kalahok at tinitiyak ang patas na pagpili ng paksa, ay maaaring palawigin upang suriin ang pagbuo at paggamit ng mga medikal na algorithm. Maaaring kabilang dito ang pagtiyak na ang data ng pagsasanay para sa mga algorithm ay magkakaiba at kumakatawan sa populasyon ng Pilipinas.
* **Mga Patakaran ng Department of Health (DOH):** Ang DOH ay maaaring mag-isyu ng mga partikular na alituntunin para sa pagbuo at pag-deploy ng mga medikal na algorithm sa mga setting ng pangangalagang pangkalusugan. Maaaring matugunan ng mga alituntuning ito ang mga isyu tulad ng:
* **Transparency:** Tinitiyak na nauunawaan ng mga tagapagbigay ng pangangalagang pangkalusugan at mga pasyente kung paano ginagamit ang mga algorithm sa pagsusuri at paggamot.
* **Accountability:** Pagtatatag ng mga mekanismo upang panagutin ang mga developer at user ng mga medikal na algorithm para sa mga bias na output.
* **Pagmamasid ng Tao:** Pagpapanatili ng pangangasiwa ng tao sa paggawa ng desisyong medikal kahit na sa paggamit ng mga algorithm.
**Pagtugon sa Mga Legal na Gaps:**
* **Isinasaalang-alang ang Partikular na Batas:** Maaaring tuklasin ng Pilipinas ang pagbuo ng partikular na batas na tumutugon sa bias at diskriminasyon sa algorithmic na paggawa ng desisyon, partikular sa pangangalagang pangkalusugan. Ang batas na ito ay maaaring magtatag ng malinaw na mga pamantayan para sa pagiging patas, transparency, at pananagutan sa pagbuo at paggamit ng mga medikal na algorithm.
**Kahalagahan ng Etikal na Prinsipyo:**
* **Mga Propesyonal na Kodigo ng Pag-uugali:** Ang mga propesyonal na katawan ng regulasyon para sa mga doktor at nars ay maaaring magsama ng mga etikal na pagsasaalang-alang tungkol sa algorithmic bias sa kanilang mga code ng pag-uugali. Makakagabay ito sa mga propesyonal sa pangangalagang pangkalusugan sa responsableng paggamit ng mga medikal na algorithm.
**Mga Hamon at Oportunidad:**
* **Limited Resources:** Ang DOH at iba pang ahensya ng gobyerno ay maaaring humarap sa mga limitasyon sa mapagkukunan para sa epektibong pag-regulate at pangangasiwa sa mga medikal na algorithm.
* **Kadalubhasaan sa Teknikal:** Ang pagtiyak ng sapat na teknikal na kadalubhasaan sa loob ng mga regulatory body upang masuri ang potensyal para sa bias sa mga kumplikadong algorithm ay mahalaga.
**Ang Pasulong:**
* **Stakeholder Collaboration:** Ang pakikipagtulungan sa pagitan ng mga ahensya ng gobyerno, mga propesyonal sa pangangalagang pangkalusugan, mga developer ng teknolohiya, at mga organisasyon ng civil society ay mahalaga upang bumuo ng isang komprehensibong diskarte sa pagtugon sa bias sa mga medikal na algorithm.
* **Public Awareness:** Ang pagpapataas ng pampublikong kamalayan tungkol sa potensyal ng bias sa mga medikal na algorithm ay maaaring magbigay ng kapangyarihan sa mga pasyente na magtanong at magsulong ng patas na pagtrato.
**Konklusyon:**
Maaaring tugunan ng Pilipinas ang mga etikal na implikasyon ng pagkiling at diskriminasyon sa mga medikal na algorithm sa pamamagitan ng pag-angkop sa mga umiiral na legal na balangkas, pagbuo ng partikular na batas kung kinakailangan, at pagtataguyod ng mga prinsipyong etikal sa pamamagitan ng mga alituntunin ng DOH at mga propesyonal na code ng pag-uugali. Ang pakikipagtulungan sa mga stakeholder at pampublikong kamalayan ay mahalaga para matiyak ang patas at responsableng paggamit ng mga medikal na algorithm sa Pilipinas.</v>
      </c>
      <c r="F1813" s="2">
        <f t="shared" si="1"/>
        <v>0</v>
      </c>
      <c r="G1813" s="2"/>
      <c r="H1813" s="2"/>
      <c r="I1813" s="2"/>
      <c r="J1813" s="2"/>
      <c r="K1813" s="2"/>
      <c r="L1813" s="2"/>
      <c r="M1813" s="2"/>
      <c r="N1813" s="2"/>
      <c r="O1813" s="2"/>
      <c r="P1813" s="2"/>
      <c r="Q1813" s="2"/>
      <c r="R1813" s="2"/>
      <c r="S1813" s="2"/>
      <c r="T1813" s="2"/>
      <c r="U1813" s="2"/>
      <c r="V1813" s="2"/>
      <c r="W1813" s="2"/>
      <c r="X1813" s="2"/>
      <c r="Y1813" s="2"/>
      <c r="Z1813" s="2"/>
      <c r="AA1813" s="2"/>
    </row>
    <row r="1814">
      <c r="A1814" s="1" t="s">
        <v>4337</v>
      </c>
      <c r="B1814" s="1" t="s">
        <v>4674</v>
      </c>
      <c r="C1814" s="1" t="s">
        <v>4675</v>
      </c>
      <c r="D1814" s="2" t="str">
        <f>IFERROR(__xludf.DUMMYFUNCTION("GOOGLETRANSLATE(B1814, ""en"", ""TL"")"),"Anong mga legal na balangkas ang kailangan upang matiyak ang transparency, pananagutan, at responsableng pagbuo ng mga aplikasyon ng AI sa sektor ng pangangalagang pangkalusugan?")</f>
        <v>Anong mga legal na balangkas ang kailangan upang matiyak ang transparency, pananagutan, at responsableng pagbuo ng mga aplikasyon ng AI sa sektor ng pangangalagang pangkalusugan?</v>
      </c>
      <c r="E1814" s="2" t="str">
        <f>IFERROR(__xludf.DUMMYFUNCTION("GOOGLETRANSLATE(C1814, ""en"", ""TL"")"),"Ang Pilipinas ay kasalukuyang walang legal na balangkas na partikular na idinisenyo para sa mga aplikasyon ng AI sa pangangalagang pangkalusugan. Gayunpaman, may mga potensyal na diskarte na gumagamit ng umiiral na batas at mga prinsipyo upang itaguyod an"&amp;"g transparency, pananagutan, at responsableng pag-unlad. Narito kung paano sumulong ang Pilipinas:
**Pag-aangkop sa mga Umiiral na Framework:**
* **Ang Data Privacy Act (R.A. 10173):** Ang batas na ito ay maaaring bigyang-kahulugan upang matiyak na:
* **T"&amp;"ransparency:** Nauunawaan ng mga pasyente kung paano ginagamit ang kanilang data sa pagbuo at pag-deploy ng mga AI healthcare application. * **Accountability:** Ang mga developer at healthcare provider na gumagamit ng AI ay pinapanagot para sa seguridad n"&amp;"g data at pagiging patas sa mga algorithm.
* **Ang Philippine Ethical Research Act (R.A. 8423):** Ang mga prinsipyo ng may kaalamang pahintulot at makatarungang pagpili ng paksa mula sa batas na ito ay maaaring ilapat upang matiyak na ang data ng pagsasan"&amp;"ay para sa mga algorithm ng AI ay magkakaibang at kumakatawan sa populasyon.
* **Mga Regulasyon ng Department of Health (DOH):** Ang DOH ay maaaring mag-isyu ng mga partikular na alituntunin para sa AI sa pangangalagang pangkalusugan, na tumutugon sa:
* *"&amp;"*Algorithmic Explainability:** Dapat gawing nauunawaan ng mga developer ang mga proseso sa paggawa ng desisyon ng AI sa mga provider ng pangangalagang pangkalusugan at, kapag posible, ng mga pasyente.
* **Pagmamasid ng Tao:** Maaaring bigyang-diin ng mga "&amp;"alituntunin ang kahalagahan ng pagpapanatili ng pangangasiwa ng tao sa mga medikal na desisyon kahit na may kinalaman sa AI.
* **Pamamahala ng Panganib:** Mga proseso para sa pagtukoy at pagpapagaan ng mga potensyal na panganib na nauugnay sa paggamit ng "&amp;"AI sa pangangalagang pangkalusugan.
**Isinasaalang-alang ang Bagong Batas:**
* **Specific AI Legislation:** Maaaring tuklasin ng Pilipinas ang pagbuo ng isang batas na partikular na tumutugon sa AI sa iba't ibang sektor, kabilang ang pangangalagang pangka"&amp;"lusugan. Maaaring magtatag ng mga pamantayan ang batas na ito para sa: * **Transparency:** Malinaw at naa-access na impormasyon tungkol sa kung paano ginagamit ang AI sa pangangalagang pangkalusugan.
* **Accountability:** Mga mekanismo upang panagutin ang"&amp;" mga developer at user para sa mga output ng AI at potensyal na pinsala.
* **Algorithmic Fairness:** Mga hakbang upang mabawasan ang bias sa mga algorithm ng AI na ginagamit para sa diagnosis o paggamot.
* **Pagtatasa at Pamamahala sa Panganib:** Mga pros"&amp;"eso para sa pagtukoy, pagsusuri, at pagpapagaan ng mga panganib na nauugnay sa paggamit ng AI sa pangangalagang pangkalusugan.
**Pag-promote ng Mga Etikal na Prinsipyo:**
* **Mga Propesyonal na Kodigo ng Pag-uugali:** Ang mga propesyonal na katawan tulad "&amp;"ng Philippine Medical Association ay maaaring magsama ng mga etikal na pagsasaalang-alang tungkol sa paggamit ng AI sa kanilang mga code ng pag-uugali. Maaari nitong gabayan ang mga propesyonal sa pangangalagang pangkalusugan sa responsableng paggamit ng "&amp;"AI sa pangangalaga ng pasyente.
**Mga Hamon at Oportunidad:**
* **Pagbabalanse ng Innovation at Regulasyon:** Ang pagkakaroon ng balanse sa pagitan ng pagpapaunlad ng inobasyon sa AI healthcare at pagpapatupad ng mga kinakailangang regulasyon upang maprot"&amp;"ektahan ang mga pasyente ay maaaring maging mahirap.
* **Technical Expertise:** Ang mga regulatory body ay maaaring mangailangan ng mas mataas na teknikal na kadalubhasaan upang mabisang masuri ang mga algorithm ng AI at mga potensyal na bias.
**Ang Pasul"&amp;"ong:**
* **Stakeholder Collaboration:** Ang pakikipagtulungan sa pagitan ng pamahalaan, mga propesyonal sa pangangalagang pangkalusugan, mga developer ng teknolohiya, mga organisasyon ng civil society, at akademya ay mahalaga para sa pagbuo ng isang kompr"&amp;"ehensibong legal na balangkas para sa AI sa pangangalagang pangkalusugan.
* **Public Awareness:** Ang pagpapataas ng pampublikong kamalayan tungkol sa AI sa pangangalagang pangkalusugan, ang mga potensyal na benepisyo at panganib nito, ay maaaring magbiga"&amp;"y ng kapangyarihan sa mga pasyente na lumahok sa paggawa ng desisyon tungkol sa kanilang pangangalaga at itaguyod ang responsableng paggamit ng AI.
**Konklusyon:**
Maaaring tiyakin ng Pilipinas ang transparency, pananagutan, at responsableng pag-unlad ng "&amp;"mga aplikasyon ng AI sa pangangalagang pangkalusugan sa pamamagitan ng pag-angkop sa mga umiiral nang legal na balangkas, pagsasaalang-alang sa bagong batas, pagtataguyod ng mga prinsipyong etikal, at pagpapatibay ng pakikipagtulungan sa mga stakeholder. "&amp;"Sa pamamagitan ng pagsasagawa ng mga hakbang na ito, magagamit ng Pilipinas ang potensyal ng AI upang mapabuti ang mga resulta ng pangangalagang pangkalusugan habang pinangangalagaan ang kaligtasan ng pasyente at mga etikal na pagsasaalang-alang.")</f>
        <v>Ang Pilipinas ay kasalukuyang walang legal na balangkas na partikular na idinisenyo para sa mga aplikasyon ng AI sa pangangalagang pangkalusugan. Gayunpaman, may mga potensyal na diskarte na gumagamit ng umiiral na batas at mga prinsipyo upang itaguyod ang transparency, pananagutan, at responsableng pag-unlad. Narito kung paano sumulong ang Pilipinas:
**Pag-aangkop sa mga Umiiral na Framework:**
* **Ang Data Privacy Act (R.A. 10173):** Ang batas na ito ay maaaring bigyang-kahulugan upang matiyak na:
* **Transparency:** Nauunawaan ng mga pasyente kung paano ginagamit ang kanilang data sa pagbuo at pag-deploy ng mga AI healthcare application. * **Accountability:** Ang mga developer at healthcare provider na gumagamit ng AI ay pinapanagot para sa seguridad ng data at pagiging patas sa mga algorithm.
* **Ang Philippine Ethical Research Act (R.A. 8423):** Ang mga prinsipyo ng may kaalamang pahintulot at makatarungang pagpili ng paksa mula sa batas na ito ay maaaring ilapat upang matiyak na ang data ng pagsasanay para sa mga algorithm ng AI ay magkakaibang at kumakatawan sa populasyon.
* **Mga Regulasyon ng Department of Health (DOH):** Ang DOH ay maaaring mag-isyu ng mga partikular na alituntunin para sa AI sa pangangalagang pangkalusugan, na tumutugon sa:
* **Algorithmic Explainability:** Dapat gawing nauunawaan ng mga developer ang mga proseso sa paggawa ng desisyon ng AI sa mga provider ng pangangalagang pangkalusugan at, kapag posible, ng mga pasyente.
* **Pagmamasid ng Tao:** Maaaring bigyang-diin ng mga alituntunin ang kahalagahan ng pagpapanatili ng pangangasiwa ng tao sa mga medikal na desisyon kahit na may kinalaman sa AI.
* **Pamamahala ng Panganib:** Mga proseso para sa pagtukoy at pagpapagaan ng mga potensyal na panganib na nauugnay sa paggamit ng AI sa pangangalagang pangkalusugan.
**Isinasaalang-alang ang Bagong Batas:**
* **Specific AI Legislation:** Maaaring tuklasin ng Pilipinas ang pagbuo ng isang batas na partikular na tumutugon sa AI sa iba't ibang sektor, kabilang ang pangangalagang pangkalusugan. Maaaring magtatag ng mga pamantayan ang batas na ito para sa: * **Transparency:** Malinaw at naa-access na impormasyon tungkol sa kung paano ginagamit ang AI sa pangangalagang pangkalusugan.
* **Accountability:** Mga mekanismo upang panagutin ang mga developer at user para sa mga output ng AI at potensyal na pinsala.
* **Algorithmic Fairness:** Mga hakbang upang mabawasan ang bias sa mga algorithm ng AI na ginagamit para sa diagnosis o paggamot.
* **Pagtatasa at Pamamahala sa Panganib:** Mga proseso para sa pagtukoy, pagsusuri, at pagpapagaan ng mga panganib na nauugnay sa paggamit ng AI sa pangangalagang pangkalusugan.
**Pag-promote ng Mga Etikal na Prinsipyo:**
* **Mga Propesyonal na Kodigo ng Pag-uugali:** Ang mga propesyonal na katawan tulad ng Philippine Medical Association ay maaaring magsama ng mga etikal na pagsasaalang-alang tungkol sa paggamit ng AI sa kanilang mga code ng pag-uugali. Maaari nitong gabayan ang mga propesyonal sa pangangalagang pangkalusugan sa responsableng paggamit ng AI sa pangangalaga ng pasyente.
**Mga Hamon at Oportunidad:**
* **Pagbabalanse ng Innovation at Regulasyon:** Ang pagkakaroon ng balanse sa pagitan ng pagpapaunlad ng inobasyon sa AI healthcare at pagpapatupad ng mga kinakailangang regulasyon upang maprotektahan ang mga pasyente ay maaaring maging mahirap.
* **Technical Expertise:** Ang mga regulatory body ay maaaring mangailangan ng mas mataas na teknikal na kadalubhasaan upang mabisang masuri ang mga algorithm ng AI at mga potensyal na bias.
**Ang Pasulong:**
* **Stakeholder Collaboration:** Ang pakikipagtulungan sa pagitan ng pamahalaan, mga propesyonal sa pangangalagang pangkalusugan, mga developer ng teknolohiya, mga organisasyon ng civil society, at akademya ay mahalaga para sa pagbuo ng isang komprehensibong legal na balangkas para sa AI sa pangangalagang pangkalusugan.
* **Public Awareness:** Ang pagpapataas ng pampublikong kamalayan tungkol sa AI sa pangangalagang pangkalusugan, ang mga potensyal na benepisyo at panganib nito, ay maaaring magbigay ng kapangyarihan sa mga pasyente na lumahok sa paggawa ng desisyon tungkol sa kanilang pangangalaga at itaguyod ang responsableng paggamit ng AI.
**Konklusyon:**
Maaaring tiyakin ng Pilipinas ang transparency, pananagutan, at responsableng pag-unlad ng mga aplikasyon ng AI sa pangangalagang pangkalusugan sa pamamagitan ng pag-angkop sa mga umiiral nang legal na balangkas, pagsasaalang-alang sa bagong batas, pagtataguyod ng mga prinsipyong etikal, at pagpapatibay ng pakikipagtulungan sa mga stakeholder. Sa pamamagitan ng pagsasagawa ng mga hakbang na ito, magagamit ng Pilipinas ang potensyal ng AI upang mapabuti ang mga resulta ng pangangalagang pangkalusugan habang pinangangalagaan ang kaligtasan ng pasyente at mga etikal na pagsasaalang-alang.</v>
      </c>
      <c r="F1814" s="2">
        <f t="shared" si="1"/>
        <v>0</v>
      </c>
      <c r="G1814" s="2"/>
      <c r="H1814" s="2"/>
      <c r="I1814" s="2"/>
      <c r="J1814" s="2"/>
      <c r="K1814" s="2"/>
      <c r="L1814" s="2"/>
      <c r="M1814" s="2"/>
      <c r="N1814" s="2"/>
      <c r="O1814" s="2"/>
      <c r="P1814" s="2"/>
      <c r="Q1814" s="2"/>
      <c r="R1814" s="2"/>
      <c r="S1814" s="2"/>
      <c r="T1814" s="2"/>
      <c r="U1814" s="2"/>
      <c r="V1814" s="2"/>
      <c r="W1814" s="2"/>
      <c r="X1814" s="2"/>
      <c r="Y1814" s="2"/>
      <c r="Z1814" s="2"/>
      <c r="AA1814" s="2"/>
    </row>
    <row r="1815">
      <c r="A1815" s="1" t="s">
        <v>4337</v>
      </c>
      <c r="B1815" s="1" t="s">
        <v>4676</v>
      </c>
      <c r="C1815" s="1" t="s">
        <v>4677</v>
      </c>
      <c r="D1815" s="2" t="str">
        <f>IFERROR(__xludf.DUMMYFUNCTION("GOOGLETRANSLATE(B1815, ""en"", ""TL"")"),"Ano ang mga potensyal na legal na hamon at oportunidad na ipinakita ng convergence ng nanotechnology at medisina sa Pilipinas?")</f>
        <v>Ano ang mga potensyal na legal na hamon at oportunidad na ipinakita ng convergence ng nanotechnology at medisina sa Pilipinas?</v>
      </c>
      <c r="E1815" s="2" t="str">
        <f>IFERROR(__xludf.DUMMYFUNCTION("GOOGLETRANSLATE(C1815, ""en"", ""TL"")"),"Ang convergence ng nanotechnology at medisina sa Pilipinas ay nagpapakita ng parehong kapana-panabik na mga pagkakataon at makabuluhang legal na hamon. Narito ang isang breakdown ng pareho:
**Mga Pagkakataon:**
* **Naunang Pagtukoy sa Sakit:** Maaaring ga"&amp;"mitin ang mga nanoparticle upang bumuo ng mga biosensor para sa mas maaga at mas tumpak na pagtuklas ng mga sakit.
* **Target na Paghahatid ng Gamot:** Ang mga Nanomedicine ay maaaring maghatid ng mga gamot nang direkta sa mga may sakit na selula, binabaw"&amp;"asan ang mga side effect at pagpapabuti ng pagiging epektibo ng paggamot.
* **Regenerative Medicine:** Ang Nanotechnology ay may pangako para sa tissue regeneration at pag-aayos ng mga nasirang organo.
* **Mga Advanced na Diagnostics:** Maaaring gamitin a"&amp;"ng mga nanoparticle upang lumikha ng mga tool sa imaging na may mas mataas na resolution para sa medikal na diagnosis.
**Mga Legal na Hamon:**
* **Regulasyon sa Kaligtasan:** Maaaring may mga natatanging katangian ang mga nanomaterial na nangangailangan n"&amp;"g mga bagong regulasyon upang matiyak ang kaligtasan para sa paggamit ng tao at epekto sa kapaligiran. Maaaring hindi sapat ang mga kasalukuyang regulasyon para sa mga medikal na device para sa mga nanomedicine.
* **Data Privacy:** Nanoscale biosensors ay"&amp;" maaaring magtaas ng mga bagong alalahanin sa privacy ng data habang sila ay nangongolekta ng detalyadong biological na impormasyon sa cellular level.
* **Intelektwal na Ari-arian:** Ang pagbuo ng mga nanomedicine ay maaaring may kasamang kumplikadong mga"&amp;" isyu sa intelektwal na ari-arian patungkol sa mga patent at komersyalisasyon.
* **Panagutan:** Ang pagtukoy sa legal na pananagutan kung sakaling magkaroon ng masamang epekto mula sa nanomedicine ay maaaring maging mahirap, dahil maraming partido ang maa"&amp;"aring kasangkot sa pagbuo at paggamit ng mga teknolohiyang ito.
**Mga Potensyal na Lugar para sa Legal na Pag-unlad:**
* **Mga Regulatory Framework:** Ang Pilipinas ay maaaring bumuo ng mga partikular na regulatory framework para sa nanomedicines, isinasa"&amp;"alang-alang ang kaligtasan, bisa, at etikal na implikasyon. Maaaring may kinalaman ito sa pakikipagtulungan sa mga kasalukuyang regulatory body tulad ng Food and Drug Administration (FDA).
* **Mga Batas sa Privacy ng Data:** Maaaring kailangang suriin ang"&amp;" mga umiiral nang batas sa privacy ng data (RA 10173) at potensyal na amyendahan upang matugunan ang mga partikular na kasanayan sa pangongolekta ng data na nauugnay sa mga aplikasyon ng pangangalaga sa kalusugan ng nanotech. * **Mga Alituntuning Etikal:*"&amp;"* Maaaring maglabas ang Kagawaran ng Kalusugan (DOH) ng mga alituntuning etikal para sa pagbuo at paggamit ng nanotechnology sa medisina. Matutugunan nito ang mga isyu tulad ng may kaalamang pahintulot, privacy ng pasyente, at patas na pag-access sa mga b"&amp;"agong teknolohiyang ito.
**Ang Pasulong:**
* **Stakeholder Collaboration:** Ang pakikipagtulungan sa pagitan ng mga siyentipiko, abogado, eksperto sa etika, regulatory body, at mga pangkat ng adbokasiya ng pasyente ay mahalaga para sa pagbuo ng isang mata"&amp;"tag na legal na balangkas na nagpapaunlad ng pagbabago habang pinoprotektahan ang kaligtasan ng pasyente at mga prinsipyong etikal.
* **Pampublikong Pakikipag-ugnayan:** Ang pagtaas ng kamalayan ng publiko tungkol sa potensyal ng nanomedicine at ang nauug"&amp;"nay na legal at etikal na mga pagsasaalang-alang ay maaaring mapadali ang matalinong mga talakayan at bumuo ng tiwala sa mga bagong teknolohiyang ito.
**Konklusyon:**
May potensyal ang nanotechnology na baguhin ang medisina sa Pilipinas. Gayunpaman, ang p"&amp;"agtugon sa mga legal na hamon sa pamamagitan ng mga balangkas ng regulasyon, pagsasaalang-alang sa privacy ng data, at mga alituntuning etikal ay napakahalaga. Sa pamamagitan ng pagtataguyod ng pakikipagtulungan at pakikipag-ugnayan sa publiko, magagamit "&amp;"ng Pilipinas ang potensyal ng nanomedicine para sa mas malusog na kinabukasan, tinitiyak na ang mga pagsulong na ito ay ligtas, etikal, at naa-access sa lahat.")</f>
        <v>Ang convergence ng nanotechnology at medisina sa Pilipinas ay nagpapakita ng parehong kapana-panabik na mga pagkakataon at makabuluhang legal na hamon. Narito ang isang breakdown ng pareho:
**Mga Pagkakataon:**
* **Naunang Pagtukoy sa Sakit:** Maaaring gamitin ang mga nanoparticle upang bumuo ng mga biosensor para sa mas maaga at mas tumpak na pagtuklas ng mga sakit.
* **Target na Paghahatid ng Gamot:** Ang mga Nanomedicine ay maaaring maghatid ng mga gamot nang direkta sa mga may sakit na selula, binabawasan ang mga side effect at pagpapabuti ng pagiging epektibo ng paggamot.
* **Regenerative Medicine:** Ang Nanotechnology ay may pangako para sa tissue regeneration at pag-aayos ng mga nasirang organo.
* **Mga Advanced na Diagnostics:** Maaaring gamitin ang mga nanoparticle upang lumikha ng mga tool sa imaging na may mas mataas na resolution para sa medikal na diagnosis.
**Mga Legal na Hamon:**
* **Regulasyon sa Kaligtasan:** Maaaring may mga natatanging katangian ang mga nanomaterial na nangangailangan ng mga bagong regulasyon upang matiyak ang kaligtasan para sa paggamit ng tao at epekto sa kapaligiran. Maaaring hindi sapat ang mga kasalukuyang regulasyon para sa mga medikal na device para sa mga nanomedicine.
* **Data Privacy:** Nanoscale biosensors ay maaaring magtaas ng mga bagong alalahanin sa privacy ng data habang sila ay nangongolekta ng detalyadong biological na impormasyon sa cellular level.
* **Intelektwal na Ari-arian:** Ang pagbuo ng mga nanomedicine ay maaaring may kasamang kumplikadong mga isyu sa intelektwal na ari-arian patungkol sa mga patent at komersyalisasyon.
* **Panagutan:** Ang pagtukoy sa legal na pananagutan kung sakaling magkaroon ng masamang epekto mula sa nanomedicine ay maaaring maging mahirap, dahil maraming partido ang maaaring kasangkot sa pagbuo at paggamit ng mga teknolohiyang ito.
**Mga Potensyal na Lugar para sa Legal na Pag-unlad:**
* **Mga Regulatory Framework:** Ang Pilipinas ay maaaring bumuo ng mga partikular na regulatory framework para sa nanomedicines, isinasaalang-alang ang kaligtasan, bisa, at etikal na implikasyon. Maaaring may kinalaman ito sa pakikipagtulungan sa mga kasalukuyang regulatory body tulad ng Food and Drug Administration (FDA).
* **Mga Batas sa Privacy ng Data:** Maaaring kailangang suriin ang mga umiiral nang batas sa privacy ng data (RA 10173) at potensyal na amyendahan upang matugunan ang mga partikular na kasanayan sa pangongolekta ng data na nauugnay sa mga aplikasyon ng pangangalaga sa kalusugan ng nanotech. * **Mga Alituntuning Etikal:** Maaaring maglabas ang Kagawaran ng Kalusugan (DOH) ng mga alituntuning etikal para sa pagbuo at paggamit ng nanotechnology sa medisina. Matutugunan nito ang mga isyu tulad ng may kaalamang pahintulot, privacy ng pasyente, at patas na pag-access sa mga bagong teknolohiyang ito.
**Ang Pasulong:**
* **Stakeholder Collaboration:** Ang pakikipagtulungan sa pagitan ng mga siyentipiko, abogado, eksperto sa etika, regulatory body, at mga pangkat ng adbokasiya ng pasyente ay mahalaga para sa pagbuo ng isang matatag na legal na balangkas na nagpapaunlad ng pagbabago habang pinoprotektahan ang kaligtasan ng pasyente at mga prinsipyong etikal.
* **Pampublikong Pakikipag-ugnayan:** Ang pagtaas ng kamalayan ng publiko tungkol sa potensyal ng nanomedicine at ang nauugnay na legal at etikal na mga pagsasaalang-alang ay maaaring mapadali ang matalinong mga talakayan at bumuo ng tiwala sa mga bagong teknolohiyang ito.
**Konklusyon:**
May potensyal ang nanotechnology na baguhin ang medisina sa Pilipinas. Gayunpaman, ang pagtugon sa mga legal na hamon sa pamamagitan ng mga balangkas ng regulasyon, pagsasaalang-alang sa privacy ng data, at mga alituntuning etikal ay napakahalaga. Sa pamamagitan ng pagtataguyod ng pakikipagtulungan at pakikipag-ugnayan sa publiko, magagamit ng Pilipinas ang potensyal ng nanomedicine para sa mas malusog na kinabukasan, tinitiyak na ang mga pagsulong na ito ay ligtas, etikal, at naa-access sa lahat.</v>
      </c>
      <c r="F1815" s="2">
        <f t="shared" si="1"/>
        <v>0</v>
      </c>
      <c r="G1815" s="2"/>
      <c r="H1815" s="2"/>
      <c r="I1815" s="2"/>
      <c r="J1815" s="2"/>
      <c r="K1815" s="2"/>
      <c r="L1815" s="2"/>
      <c r="M1815" s="2"/>
      <c r="N1815" s="2"/>
      <c r="O1815" s="2"/>
      <c r="P1815" s="2"/>
      <c r="Q1815" s="2"/>
      <c r="R1815" s="2"/>
      <c r="S1815" s="2"/>
      <c r="T1815" s="2"/>
      <c r="U1815" s="2"/>
      <c r="V1815" s="2"/>
      <c r="W1815" s="2"/>
      <c r="X1815" s="2"/>
      <c r="Y1815" s="2"/>
      <c r="Z1815" s="2"/>
      <c r="AA1815" s="2"/>
    </row>
    <row r="1816">
      <c r="A1816" s="1" t="s">
        <v>4337</v>
      </c>
      <c r="B1816" s="1" t="s">
        <v>4678</v>
      </c>
      <c r="C1816" s="1" t="s">
        <v>4679</v>
      </c>
      <c r="D1816" s="2" t="str">
        <f>IFERROR(__xludf.DUMMYFUNCTION("GOOGLETRANSLATE(B1816, ""en"", ""TL"")"),"Paano maiangkop ang legal na sistema upang matugunan ang mga etikal na alalahanin na pumapalibot sa mga teknolohiya sa pagpapahusay ng tao at potensyal na maling paggamit ng mga interbensyong medikal para sa mga di-therapeutic na layunin?")</f>
        <v>Paano maiangkop ang legal na sistema upang matugunan ang mga etikal na alalahanin na pumapalibot sa mga teknolohiya sa pagpapahusay ng tao at potensyal na maling paggamit ng mga interbensyong medikal para sa mga di-therapeutic na layunin?</v>
      </c>
      <c r="E1816" s="2" t="str">
        <f>IFERROR(__xludf.DUMMYFUNCTION("GOOGLETRANSLATE(C1816, ""en"", ""TL"")"),"Ang sistemang legal ng Pilipinas ay kasalukuyang walang tiyak na mga probisyon na tumutugon sa mga teknolohiya sa pagpapahusay ng tao at mga non-therapeutic na interbensyong medikal. Gayunpaman, ang mga umiiral na batas at ang Konstitusyon ay maaaring mag"&amp;"ing springboard para sa pagbagay. Ganito:
**1. Ang Konstitusyon (1987):**
* **Karapatan sa Kalusugan (Artikulo II, Seksyon 15):** Ginagarantiya nito ang pag-access sa mga de-kalidad na serbisyo sa pangangalagang pangkalusugan. Maaaring gumawa ng mga regul"&amp;"asyon upang matiyak na ang mga serbisyong ito ay ginagamit sa etika at bigyang-priyoridad ang mga therapeutic na pangangailangan. * **Karapatan sa Buhay, Kalayaan at Seguridad ng Tao (Artikulo III, Seksyon 1):** Pinoprotektahan nito ang awtonomiya ng kata"&amp;"wan. Maaaring bumuo ng mga batas sa paligid ng may-kaalamang pahintulot para sa mga pamamaraan ng pagpapahusay, isinasaalang-alang ang mga potensyal na panganib at pangmatagalang epekto.
**2. Republic Acts (RAs):**
* **R.A. 2382 o ang Medical Act of 1959:"&amp;"** Ito ay nagreregula sa pagsasagawa ng medisina. Ang Philippine Medical Association (PMA) ay maaaring maglabas ng mga etikal na alituntunin para sa mga doktor tungkol sa mga non-therapeutic intervention.
* **R.A. 10057 o ang National Biosafety Framework "&amp;"Act of 2013:** Kinokontrol nito ang pananaliksik at pagpapaunlad ng mga genetically modified organisms (GMOs). Maaaring iakma ang balangkas upang isama ang mga teknolohiya sa pag-edit ng gene ng tao na ginagamit para sa pagpapahusay. **3. Bagong Batas:**
"&amp;"* Maaaring buuin ang isang bagong batas na partikular na tumutugon sa mga teknolohiya sa pagpapahusay ng tao. Ang batas na ito ay maaaring:
* Tukuyin ang pagpapahusay ng tao at ang mga kategorya nito.
* Magtatag ng isang regulatory body para sa pag-apruba"&amp;" at pangangasiwa.
* Magtakda ng mga alituntunin para sa kaalamang pahintulot at kaligtasan ng pasyente.
* Tugunan ang mga alalahanin sa hustisyang panlipunan tulad ng access at affordability.
**Mga Hamon:**
* Pag-iwas ng balanse sa pagitan ng pagtataguyod"&amp;" ng pagsulong sa siyensya at pagprotekta sa dignidad ng tao.
* Pagtukoy sa linya sa pagitan ng mga therapeutic at enhancement na interbensyon.
* Pagtugon sa mga potensyal na hindi pagkakapantay-pantay sa lipunan na nagmumula sa pag-access sa mga teknolohi"&amp;"ya sa pagpapahusay.
**Pasulong:**
* Ang pampublikong diskurso at mga debate sa etika ay mahalaga upang gabayan ang mga legal na pag-unlad.
* Ang pakikipagtulungan sa pagitan ng mga mambabatas, medikal na propesyonal, bioethicist, at publiko ay mahalaga.
T"&amp;"andaan, ito ay isang kumplikadong isyu na walang madaling solusyon. Ang pag-angkop sa legal na sistema ay mangangailangan ng maingat na pagsasaalang-alang sa mga prinsipyong etikal, mga potensyal na panganib, at pangmatagalang epekto sa lipunan.")</f>
        <v>Ang sistemang legal ng Pilipinas ay kasalukuyang walang tiyak na mga probisyon na tumutugon sa mga teknolohiya sa pagpapahusay ng tao at mga non-therapeutic na interbensyong medikal. Gayunpaman, ang mga umiiral na batas at ang Konstitusyon ay maaaring maging springboard para sa pagbagay. Ganito:
**1. Ang Konstitusyon (1987):**
* **Karapatan sa Kalusugan (Artikulo II, Seksyon 15):** Ginagarantiya nito ang pag-access sa mga de-kalidad na serbisyo sa pangangalagang pangkalusugan. Maaaring gumawa ng mga regulasyon upang matiyak na ang mga serbisyong ito ay ginagamit sa etika at bigyang-priyoridad ang mga therapeutic na pangangailangan. * **Karapatan sa Buhay, Kalayaan at Seguridad ng Tao (Artikulo III, Seksyon 1):** Pinoprotektahan nito ang awtonomiya ng katawan. Maaaring bumuo ng mga batas sa paligid ng may-kaalamang pahintulot para sa mga pamamaraan ng pagpapahusay, isinasaalang-alang ang mga potensyal na panganib at pangmatagalang epekto.
**2. Republic Acts (RAs):**
* **R.A. 2382 o ang Medical Act of 1959:** Ito ay nagreregula sa pagsasagawa ng medisina. Ang Philippine Medical Association (PMA) ay maaaring maglabas ng mga etikal na alituntunin para sa mga doktor tungkol sa mga non-therapeutic intervention.
* **R.A. 10057 o ang National Biosafety Framework Act of 2013:** Kinokontrol nito ang pananaliksik at pagpapaunlad ng mga genetically modified organisms (GMOs). Maaaring iakma ang balangkas upang isama ang mga teknolohiya sa pag-edit ng gene ng tao na ginagamit para sa pagpapahusay. **3. Bagong Batas:**
* Maaaring buuin ang isang bagong batas na partikular na tumutugon sa mga teknolohiya sa pagpapahusay ng tao. Ang batas na ito ay maaaring:
* Tukuyin ang pagpapahusay ng tao at ang mga kategorya nito.
* Magtatag ng isang regulatory body para sa pag-apruba at pangangasiwa.
* Magtakda ng mga alituntunin para sa kaalamang pahintulot at kaligtasan ng pasyente.
* Tugunan ang mga alalahanin sa hustisyang panlipunan tulad ng access at affordability.
**Mga Hamon:**
* Pag-iwas ng balanse sa pagitan ng pagtataguyod ng pagsulong sa siyensya at pagprotekta sa dignidad ng tao.
* Pagtukoy sa linya sa pagitan ng mga therapeutic at enhancement na interbensyon.
* Pagtugon sa mga potensyal na hindi pagkakapantay-pantay sa lipunan na nagmumula sa pag-access sa mga teknolohiya sa pagpapahusay.
**Pasulong:**
* Ang pampublikong diskurso at mga debate sa etika ay mahalaga upang gabayan ang mga legal na pag-unlad.
* Ang pakikipagtulungan sa pagitan ng mga mambabatas, medikal na propesyonal, bioethicist, at publiko ay mahalaga.
Tandaan, ito ay isang kumplikadong isyu na walang madaling solusyon. Ang pag-angkop sa legal na sistema ay mangangailangan ng maingat na pagsasaalang-alang sa mga prinsipyong etikal, mga potensyal na panganib, at pangmatagalang epekto sa lipunan.</v>
      </c>
      <c r="F1816" s="2">
        <f t="shared" si="1"/>
        <v>0</v>
      </c>
      <c r="G1816" s="2"/>
      <c r="H1816" s="2"/>
      <c r="I1816" s="2"/>
      <c r="J1816" s="2"/>
      <c r="K1816" s="2"/>
      <c r="L1816" s="2"/>
      <c r="M1816" s="2"/>
      <c r="N1816" s="2"/>
      <c r="O1816" s="2"/>
      <c r="P1816" s="2"/>
      <c r="Q1816" s="2"/>
      <c r="R1816" s="2"/>
      <c r="S1816" s="2"/>
      <c r="T1816" s="2"/>
      <c r="U1816" s="2"/>
      <c r="V1816" s="2"/>
      <c r="W1816" s="2"/>
      <c r="X1816" s="2"/>
      <c r="Y1816" s="2"/>
      <c r="Z1816" s="2"/>
      <c r="AA1816" s="2"/>
    </row>
    <row r="1817">
      <c r="A1817" s="1" t="s">
        <v>4337</v>
      </c>
      <c r="B1817" s="1" t="s">
        <v>4680</v>
      </c>
      <c r="C1817" s="1" t="s">
        <v>4681</v>
      </c>
      <c r="D1817" s="2" t="str">
        <f>IFERROR(__xludf.DUMMYFUNCTION("GOOGLETRANSLATE(B1817, ""en"", ""TL"")"),"Paano mabubuo ang batas medikal sa Pilipinas upang maagap na maasahan at matugunan ang mga umuusbong na hamon sa pangangalagang pangkalusugan, na tinitiyak ang isang napapanatiling at pantay na sistema ng pangangalagang pangkalusugan para sa lahat?")</f>
        <v>Paano mabubuo ang batas medikal sa Pilipinas upang maagap na maasahan at matugunan ang mga umuusbong na hamon sa pangangalagang pangkalusugan, na tinitiyak ang isang napapanatiling at pantay na sistema ng pangangalagang pangkalusugan para sa lahat?</v>
      </c>
      <c r="E1817" s="2" t="str">
        <f>IFERROR(__xludf.DUMMYFUNCTION("GOOGLETRANSLATE(C1817, ""en"", ""TL"")"),"Ang batas medikal ng Pilipinas ay maaaring mabuo nang maagap sa maraming paraan upang matugunan ang mga umuusbong na hamon at matiyak ang isang napapanatiling at pantay na sistema ng pangangalagang pangkalusugan:
**1. Pag-aangkop sa mga Umiiral na Batas:*"&amp;"*
* **R.A. 2382 (Medical Act of 1959):** * Maaaring i-update ng Professional Regulation Commission (PRC) at Philippine Medical Association (PMA) ang kanilang kurikulum at patuloy na mga kinakailangan sa edukasyon para sa mga doktor na isama ang mga umuusb"&amp;"ong na teknolohiya at etikal na pagsasaalang-alang sa pangangalagang pangkalusugan. * Ang PRC ay maaaring magtatag ng mas mahigpit na mga alituntunin para sa paglilisensya at pagsasanay, na nakatuon sa etikal na paggamit ng mga bagong teknolohiya at pagsu"&amp;"nod sa mga umuusbong na pamantayan.
* **R.A. 10057 (National Biosafety Framework Act):** * Maaaring amyendahan ang balangkas upang sumaklaw sa mas malawak na hanay ng mga umuusbong na teknolohiya sa pangangalagang pangkalusugan, kabilang ang pag-edit ng g"&amp;"ene at artificial intelligence. * Maaaring magtatag ng malinaw na mga regulasyon para sa pananaliksik, pagpapaunlad, at mga klinikal na pagsubok na kinasasangkutan ng mga teknolohiyang ito, na tinitiyak ang kaligtasan ng pasyente at partisipasyon ng publi"&amp;"ko sa paggawa ng desisyon.
**2. Bagong Batas:**
* **Telehealth Act:** Maaaring magpatupad ng batas na partikular na nagre-regulate ng telemedicine. Maaaring matugunan nito ang mga isyu tulad ng privacy ng pasyente, seguridad ng data, mga pamantayan ng pan"&amp;"gangalaga sa mga virtual na konsultasyon, at paglilisensya para sa mga propesyonal sa pangangalagang pangkalusugan gamit ang mga platform ng telehealth.
* **Universal Health Care (UHC) Act (R.A. 11223):** Ang mga tuntunin at regulasyon ng pagpapatupad ng "&amp;"UHC Act ay maaaring patuloy na suriin at i-update upang matiyak na:
* Saklaw para sa mga bagong medikal na paggamot at teknolohiya kapag available na ang mga ito.
* Pantay na pag-access sa mga serbisyo sa pangangalagang pangkalusugan sa mga heograpikal na"&amp;" lokasyon at socioeconomic na background.
* Pagpapanatili ng programa ng UHC sa pamamagitan ng mahusay na paglalaan ng mapagkukunan at mga hakbang sa pagpigil sa gastos.
**3. Pagpapalakas ng Regulatory Body:**
* Maaaring bigyan ng kapangyarihan ang Depart"&amp;"ment of Health (DOH) na:
* Magsagawa ng pananaliksik at hulaan ang mga umuusbong na uso sa pangangalagang pangkalusugan.
* Bumuo ng mga patakaran at alituntunin na nakabatay sa ebidensya upang matugunan ang mga trend na ito nang maagap.
* Makipagtulungan "&amp;"sa mga internasyonal na organisasyong pangkalusugan upang ibahagi ang pinakamahuhusay na kagawian at iakma ang mga ito sa konteksto ng Pilipinas.
* Ang Food and Drug Administration (FDA) ay maaaring bigyan ng karagdagang mapagkukunan sa:
* Pabilisin ang p"&amp;"agsusuri at proseso ng pag-apruba para sa ligtas at epektibong mga bagong teknolohiyang medikal.
* Palakihin ang kapasidad nito para sa post-market surveillance upang masubaybayan ang pangmatagalang kaligtasan ng mga naaprubahang teknolohiya.
**4. Pagsusu"&amp;"long ng Pampublikong Paglahok:**
* Maaaring ilunsad ang mga kampanya ng pampublikong kamalayan upang turuan ang mga Pilipino tungkol sa kanilang mga karapatan at responsibilidad sa pangangalagang pangkalusugan.
* Maaaring magtatag ng mga mekanismo para sa"&amp;" pakikilahok ng publiko sa pagbabalangkas ng patakaran at paggawa ng desisyon tungkol sa mga bagong teknolohiyang medikal at mga modelo ng paghahatid ng pangangalagang pangkalusugan.
Sa pamamagitan ng aktibong pag-aangkop ng mga kasalukuyang batas, paglik"&amp;"ha ng bagong batas para sa mga umuusbong na lugar, pagpapalakas ng mga regulatory body, at pagtataguyod ng pampublikong partisipasyon, ang batas medikal ng Pilipinas ay maaaring umunlad upang tugunan ang mga hamon sa hinaharap at matiyak ang isang napapan"&amp;"atiling at pantay na sistema ng pangangalagang pangkalusugan para sa lahat ng Pilipino.")</f>
        <v>Ang batas medikal ng Pilipinas ay maaaring mabuo nang maagap sa maraming paraan upang matugunan ang mga umuusbong na hamon at matiyak ang isang napapanatiling at pantay na sistema ng pangangalagang pangkalusugan:
**1. Pag-aangkop sa mga Umiiral na Batas:**
* **R.A. 2382 (Medical Act of 1959):** * Maaaring i-update ng Professional Regulation Commission (PRC) at Philippine Medical Association (PMA) ang kanilang kurikulum at patuloy na mga kinakailangan sa edukasyon para sa mga doktor na isama ang mga umuusbong na teknolohiya at etikal na pagsasaalang-alang sa pangangalagang pangkalusugan. * Ang PRC ay maaaring magtatag ng mas mahigpit na mga alituntunin para sa paglilisensya at pagsasanay, na nakatuon sa etikal na paggamit ng mga bagong teknolohiya at pagsunod sa mga umuusbong na pamantayan.
* **R.A. 10057 (National Biosafety Framework Act):** * Maaaring amyendahan ang balangkas upang sumaklaw sa mas malawak na hanay ng mga umuusbong na teknolohiya sa pangangalagang pangkalusugan, kabilang ang pag-edit ng gene at artificial intelligence. * Maaaring magtatag ng malinaw na mga regulasyon para sa pananaliksik, pagpapaunlad, at mga klinikal na pagsubok na kinasasangkutan ng mga teknolohiyang ito, na tinitiyak ang kaligtasan ng pasyente at partisipasyon ng publiko sa paggawa ng desisyon.
**2. Bagong Batas:**
* **Telehealth Act:** Maaaring magpatupad ng batas na partikular na nagre-regulate ng telemedicine. Maaaring matugunan nito ang mga isyu tulad ng privacy ng pasyente, seguridad ng data, mga pamantayan ng pangangalaga sa mga virtual na konsultasyon, at paglilisensya para sa mga propesyonal sa pangangalagang pangkalusugan gamit ang mga platform ng telehealth.
* **Universal Health Care (UHC) Act (R.A. 11223):** Ang mga tuntunin at regulasyon ng pagpapatupad ng UHC Act ay maaaring patuloy na suriin at i-update upang matiyak na:
* Saklaw para sa mga bagong medikal na paggamot at teknolohiya kapag available na ang mga ito.
* Pantay na pag-access sa mga serbisyo sa pangangalagang pangkalusugan sa mga heograpikal na lokasyon at socioeconomic na background.
* Pagpapanatili ng programa ng UHC sa pamamagitan ng mahusay na paglalaan ng mapagkukunan at mga hakbang sa pagpigil sa gastos.
**3. Pagpapalakas ng Regulatory Body:**
* Maaaring bigyan ng kapangyarihan ang Department of Health (DOH) na:
* Magsagawa ng pananaliksik at hulaan ang mga umuusbong na uso sa pangangalagang pangkalusugan.
* Bumuo ng mga patakaran at alituntunin na nakabatay sa ebidensya upang matugunan ang mga trend na ito nang maagap.
* Makipagtulungan sa mga internasyonal na organisasyong pangkalusugan upang ibahagi ang pinakamahuhusay na kagawian at iakma ang mga ito sa konteksto ng Pilipinas.
* Ang Food and Drug Administration (FDA) ay maaaring bigyan ng karagdagang mapagkukunan sa:
* Pabilisin ang pagsusuri at proseso ng pag-apruba para sa ligtas at epektibong mga bagong teknolohiyang medikal.
* Palakihin ang kapasidad nito para sa post-market surveillance upang masubaybayan ang pangmatagalang kaligtasan ng mga naaprubahang teknolohiya.
**4. Pagsusulong ng Pampublikong Paglahok:**
* Maaaring ilunsad ang mga kampanya ng pampublikong kamalayan upang turuan ang mga Pilipino tungkol sa kanilang mga karapatan at responsibilidad sa pangangalagang pangkalusugan.
* Maaaring magtatag ng mga mekanismo para sa pakikilahok ng publiko sa pagbabalangkas ng patakaran at paggawa ng desisyon tungkol sa mga bagong teknolohiyang medikal at mga modelo ng paghahatid ng pangangalagang pangkalusugan.
Sa pamamagitan ng aktibong pag-aangkop ng mga kasalukuyang batas, paglikha ng bagong batas para sa mga umuusbong na lugar, pagpapalakas ng mga regulatory body, at pagtataguyod ng pampublikong partisipasyon, ang batas medikal ng Pilipinas ay maaaring umunlad upang tugunan ang mga hamon sa hinaharap at matiyak ang isang napapanatiling at pantay na sistema ng pangangalagang pangkalusugan para sa lahat ng Pilipino.</v>
      </c>
      <c r="F1817" s="2">
        <f t="shared" si="1"/>
        <v>0</v>
      </c>
      <c r="G1817" s="2"/>
      <c r="H1817" s="2"/>
      <c r="I1817" s="2"/>
      <c r="J1817" s="2"/>
      <c r="K1817" s="2"/>
      <c r="L1817" s="2"/>
      <c r="M1817" s="2"/>
      <c r="N1817" s="2"/>
      <c r="O1817" s="2"/>
      <c r="P1817" s="2"/>
      <c r="Q1817" s="2"/>
      <c r="R1817" s="2"/>
      <c r="S1817" s="2"/>
      <c r="T1817" s="2"/>
      <c r="U1817" s="2"/>
      <c r="V1817" s="2"/>
      <c r="W1817" s="2"/>
      <c r="X1817" s="2"/>
      <c r="Y1817" s="2"/>
      <c r="Z1817" s="2"/>
      <c r="AA1817" s="2"/>
    </row>
    <row r="1818">
      <c r="A1818" s="1" t="s">
        <v>4337</v>
      </c>
      <c r="B1818" s="1" t="s">
        <v>4682</v>
      </c>
      <c r="C1818" s="1" t="s">
        <v>4683</v>
      </c>
      <c r="D1818" s="2" t="str">
        <f>IFERROR(__xludf.DUMMYFUNCTION("GOOGLETRANSLATE(B1818, ""en"", ""TL"")"),"Anong mga uri ng pinsala ang maaaring igawad sa mga nagsasakdal sa matagumpay na mga kaso ng malpractice na medikal sa Pilipinas?")</f>
        <v>Anong mga uri ng pinsala ang maaaring igawad sa mga nagsasakdal sa matagumpay na mga kaso ng malpractice na medikal sa Pilipinas?</v>
      </c>
      <c r="E1818" s="2" t="str">
        <f>IFERROR(__xludf.DUMMYFUNCTION("GOOGLETRANSLATE(C1818, ""en"", ""TL"")"),"Sa Pilipinas, ang mga pinsalang iginawad sa mga nagsasakdal sa matagumpay na mga kaso ng malpractice sa medikal ay pangunahing nakabatay sa Civil Code [Republic Act No. 386]**. Narito ang isang breakdown ng mga potensyal na uri ng pinsala:
* **Actual dama"&amp;"ges:** Ito ay tumutukoy sa monetary value ng mga pagkalugi na direktang dulot ng medical malpractice. Maaaring kabilang dito ang:
* Mga gastos sa medikal na natamo dahil sa malpractice (mga bayarin sa ospital, gamot, atbp.)
* Pagkawala ng kita dahil sa hi"&amp;"ndi na trabaho o kapansanan
* Mga gastos sa rehabilitasyon at therapy
* **Mga pinsala sa moral:** Binabayaran nito ang hindi nakikitang pagdurusa, dalamhati sa pag-iisip, at emosyonal na pagkabalisa na dulot ng malpractice.
* **Mga huwarang pinsala:** Ang"&amp;" mga ito ay iginagawad bilang parusa para sa walang ingat, malisyoso, o walang habas na kapabayaan ng tagapagbigay ng pangangalagang pangkalusugan. * **Mga bayad sa abogado at mga gastos sa paglilitis:** Maaaring hilingin din ng korte sa natalong partido "&amp;"(doktor o ospital) na balikatin ang mga legal na bayarin na natamo ng nagsasakdal.
**Mahahalagang puntos na dapat tandaan:**
* Ang pasanin ng patunay ay nakasalalay sa nagsasakdal upang magtatag ng medikal na malpractice. Kailangan nilang patunayan:
* Nag"&amp;"karoon ng relasyon ng doktor-pasyente.
* Ang doktor ay lumabag sa pamantayan ng pangangalaga na inaasahan mula sa isang medikal na propesyonal sa isang katulad na sitwasyon. * Ang paglabag na ito sa pangangalaga ay nagdulot ng pinsala sa pasyente.
* Ang h"&amp;"alaga ng mga pinsalang ibibigay ay depende sa kalubhaan ng pinsala, emosyonal na epekto, at mga pagkalugi sa pananalapi.
* Karaniwang sinusunod ng mga korte sa Pilipinas ang pamantayang ""preponderance of evidence"". Nangangahulugan ito na kailangan lang "&amp;"ipakita ng nagsasakdal na mas malamang kaysa hindi na ang kapabayaan ng doktor ay nagdulot ng pinsala.
**Mga Karagdagang Mapagkukunan:**
* Maaari mong mahanap ang Civil Code online sa pamamagitan ng mga website ng gobyerno tulad ng Official Gazette [https"&amp;"://www.officialgazette.gov.ph/](https://www.officialgazette.gov.ph/)
Tandaan, ang impormasyong ito ay para sa pangkalahatang kaalaman lamang at hindi bumubuo ng legal na payo. Kung mayroon kang partikular na kaso ng malpractice sa medikal, kumunsulta sa i"&amp;"sang kwalipikadong abogado na maaaring magbigay ng personalized na patnubay batay sa iyong sitwasyon.")</f>
        <v>Sa Pilipinas, ang mga pinsalang iginawad sa mga nagsasakdal sa matagumpay na mga kaso ng malpractice sa medikal ay pangunahing nakabatay sa Civil Code [Republic Act No. 386]**. Narito ang isang breakdown ng mga potensyal na uri ng pinsala:
* **Actual damages:** Ito ay tumutukoy sa monetary value ng mga pagkalugi na direktang dulot ng medical malpractice. Maaaring kabilang dito ang:
* Mga gastos sa medikal na natamo dahil sa malpractice (mga bayarin sa ospital, gamot, atbp.)
* Pagkawala ng kita dahil sa hindi na trabaho o kapansanan
* Mga gastos sa rehabilitasyon at therapy
* **Mga pinsala sa moral:** Binabayaran nito ang hindi nakikitang pagdurusa, dalamhati sa pag-iisip, at emosyonal na pagkabalisa na dulot ng malpractice.
* **Mga huwarang pinsala:** Ang mga ito ay iginagawad bilang parusa para sa walang ingat, malisyoso, o walang habas na kapabayaan ng tagapagbigay ng pangangalagang pangkalusugan. * **Mga bayad sa abogado at mga gastos sa paglilitis:** Maaaring hilingin din ng korte sa natalong partido (doktor o ospital) na balikatin ang mga legal na bayarin na natamo ng nagsasakdal.
**Mahahalagang puntos na dapat tandaan:**
* Ang pasanin ng patunay ay nakasalalay sa nagsasakdal upang magtatag ng medikal na malpractice. Kailangan nilang patunayan:
* Nagkaroon ng relasyon ng doktor-pasyente.
* Ang doktor ay lumabag sa pamantayan ng pangangalaga na inaasahan mula sa isang medikal na propesyonal sa isang katulad na sitwasyon. * Ang paglabag na ito sa pangangalaga ay nagdulot ng pinsala sa pasyente.
* Ang halaga ng mga pinsalang ibibigay ay depende sa kalubhaan ng pinsala, emosyonal na epekto, at mga pagkalugi sa pananalapi.
* Karaniwang sinusunod ng mga korte sa Pilipinas ang pamantayang "preponderance of evidence". Nangangahulugan ito na kailangan lang ipakita ng nagsasakdal na mas malamang kaysa hindi na ang kapabayaan ng doktor ay nagdulot ng pinsala.
**Mga Karagdagang Mapagkukunan:**
* Maaari mong mahanap ang Civil Code online sa pamamagitan ng mga website ng gobyerno tulad ng Official Gazette [https://www.officialgazette.gov.ph/](https://www.officialgazette.gov.ph/)
Tandaan, ang impormasyong ito ay para sa pangkalahatang kaalaman lamang at hindi bumubuo ng legal na payo. Kung mayroon kang partikular na kaso ng malpractice sa medikal, kumunsulta sa isang kwalipikadong abogado na maaaring magbigay ng personalized na patnubay batay sa iyong sitwasyon.</v>
      </c>
      <c r="F1818" s="2">
        <f t="shared" si="1"/>
        <v>0</v>
      </c>
      <c r="G1818" s="2"/>
      <c r="H1818" s="2"/>
      <c r="I1818" s="2"/>
      <c r="J1818" s="2"/>
      <c r="K1818" s="2"/>
      <c r="L1818" s="2"/>
      <c r="M1818" s="2"/>
      <c r="N1818" s="2"/>
      <c r="O1818" s="2"/>
      <c r="P1818" s="2"/>
      <c r="Q1818" s="2"/>
      <c r="R1818" s="2"/>
      <c r="S1818" s="2"/>
      <c r="T1818" s="2"/>
      <c r="U1818" s="2"/>
      <c r="V1818" s="2"/>
      <c r="W1818" s="2"/>
      <c r="X1818" s="2"/>
      <c r="Y1818" s="2"/>
      <c r="Z1818" s="2"/>
      <c r="AA1818" s="2"/>
    </row>
    <row r="1819">
      <c r="A1819" s="1" t="s">
        <v>4337</v>
      </c>
      <c r="B1819" s="1" t="s">
        <v>4684</v>
      </c>
      <c r="C1819" s="1" t="s">
        <v>4685</v>
      </c>
      <c r="D1819" s="2" t="str">
        <f>IFERROR(__xludf.DUMMYFUNCTION("GOOGLETRANSLATE(B1819, ""en"", ""TL"")"),"Ano ang mga patuloy na debate sa etika at legal na pumapalibot sa iba't ibang aspeto ng mga karapatan sa kalusugan ng reproduktibo sa Pilipinas?")</f>
        <v>Ano ang mga patuloy na debate sa etika at legal na pumapalibot sa iba't ibang aspeto ng mga karapatan sa kalusugan ng reproduktibo sa Pilipinas?</v>
      </c>
      <c r="E1819" s="2" t="str">
        <f>IFERROR(__xludf.DUMMYFUNCTION("GOOGLETRANSLATE(C1819, ""en"", ""TL"")"),"Ang Pilipinas ay may ilan sa mga mahigpit na batas sa kalusugan ng reproduktibo sa buong mundo, na humahantong sa patuloy na mga debate sa etika at legal. Narito ang isang breakdown ng mga pangunahing bahagi ng pagtatalo:
**1. Access sa Modern Family Plan"&amp;"ning Methods:**
* **Mga Etikal na Alalahanin:** Nagtatalo ang mga kalaban na ang artipisyal na pagpipigil sa pagbubuntis ay lumalabag sa mga turo ng relihiyon laban sa panghihimasok sa natural na pag-aanak. Ang mga tagapagtaguyod ay nagtataguyod para sa i"&amp;"ndibidwal na awtonomiya at ang karapatang magplano ng mga pamilya.
* **Legal na Debate:** Ang Responsible Parenthood and Reproductive Health Act of 2012 (R.A. 10354) ay ginagarantiyahan ang access sa mga pamamaraan ng pagpaplano ng pamilya. Gayunpaman, an"&amp;"g ilang mga local government units (LGUs) ay nahaharap sa panggigipit mula sa mga relihiyosong grupo, na humahadlang sa ganap na pagpapatupad.
**2. Abortion:**
* **Mga Etikal na Alalahanin:** Itinuturing ng Simbahang Katoliko ang aborsyon bilang moral na "&amp;"mali sa lahat ng yugto ng pagbubuntis. Nagtatalo ang mga tagapagtaguyod ng karapatan ng kababaihan para sa daan sa ligtas na pagpapalaglag sa mga kaso ng panggagahasa, incest, o panganib sa buhay ng ina.
* **Legal na Katayuan:** Ang aborsyon ay ilegal sa "&amp;"lahat ng kaso maliban kung kinakailangan upang mailigtas ang buhay ng ina. Pinipilit ng mahigpit na batas na ito ang mga kababaihan na maghanap ng mga hindi ligtas na pagpapalaglag, na humahantong sa mataas na mga rate ng namamatay sa ina.
**3. Sex Educat"&amp;"ion:**
* **Mga Etikal na Alalahanin:** Naniniwala ang mga konserbatibong grupo na ang komprehensibong edukasyon sa sekso ay sumisira sa awtoridad ng magulang at nagtataguyod ng kahalayan. Nagtatalo ang mga tagapagtaguyod para sa edukasyon sa pakikipagtali"&amp;"k na naaangkop sa edad upang maiwasan ang teenage pregnancy at sexually transmitted infections (STIs).
* **Legal na Katayuan:** Ang Enhanced Basic Education Act of 2013 ay nag-uutos ng komprehensibong sexuality education (CSE) ngunit pinapayagan ang mga m"&amp;"agulang na i-opt-out ang kanilang mga anak. Ang sugnay na ito sa pag-opt out ay nagpapahina sa bisa ng programa.
**4. Mortalidad at Morbididad ng Ina:**
* **Mga Etikal na Alalahanin:** Ang mataas na maternal mortality rate ay naka-link sa limitadong acces"&amp;"s sa reproductive healthcare, kabilang ang prenatal care, skilled birth attendant, at emergency obstetric care.
* **Legal na Debate:** Habang ang R.A. Nilalayon ng 10354 na tugunan ang mga isyung ito, ang buong pagpapatupad at pagpopondo ay mahalaga para "&amp;"sa makabuluhang epekto. Itinatampok ng mga debateng ito ang kumplikadong ugnayan sa pagitan ng mga paniniwala sa relihiyon, mga karapatan ng indibidwal, mga alalahanin sa kalusugan ng publiko, at ang papel ng batas sa paghubog ng mga katotohanan sa kalusu"&amp;"gan ng reproduktibo sa Pilipinas.")</f>
        <v>Ang Pilipinas ay may ilan sa mga mahigpit na batas sa kalusugan ng reproduktibo sa buong mundo, na humahantong sa patuloy na mga debate sa etika at legal. Narito ang isang breakdown ng mga pangunahing bahagi ng pagtatalo:
**1. Access sa Modern Family Planning Methods:**
* **Mga Etikal na Alalahanin:** Nagtatalo ang mga kalaban na ang artipisyal na pagpipigil sa pagbubuntis ay lumalabag sa mga turo ng relihiyon laban sa panghihimasok sa natural na pag-aanak. Ang mga tagapagtaguyod ay nagtataguyod para sa indibidwal na awtonomiya at ang karapatang magplano ng mga pamilya.
* **Legal na Debate:** Ang Responsible Parenthood and Reproductive Health Act of 2012 (R.A. 10354) ay ginagarantiyahan ang access sa mga pamamaraan ng pagpaplano ng pamilya. Gayunpaman, ang ilang mga local government units (LGUs) ay nahaharap sa panggigipit mula sa mga relihiyosong grupo, na humahadlang sa ganap na pagpapatupad.
**2. Abortion:**
* **Mga Etikal na Alalahanin:** Itinuturing ng Simbahang Katoliko ang aborsyon bilang moral na mali sa lahat ng yugto ng pagbubuntis. Nagtatalo ang mga tagapagtaguyod ng karapatan ng kababaihan para sa daan sa ligtas na pagpapalaglag sa mga kaso ng panggagahasa, incest, o panganib sa buhay ng ina.
* **Legal na Katayuan:** Ang aborsyon ay ilegal sa lahat ng kaso maliban kung kinakailangan upang mailigtas ang buhay ng ina. Pinipilit ng mahigpit na batas na ito ang mga kababaihan na maghanap ng mga hindi ligtas na pagpapalaglag, na humahantong sa mataas na mga rate ng namamatay sa ina.
**3. Sex Education:**
* **Mga Etikal na Alalahanin:** Naniniwala ang mga konserbatibong grupo na ang komprehensibong edukasyon sa sekso ay sumisira sa awtoridad ng magulang at nagtataguyod ng kahalayan. Nagtatalo ang mga tagapagtaguyod para sa edukasyon sa pakikipagtalik na naaangkop sa edad upang maiwasan ang teenage pregnancy at sexually transmitted infections (STIs).
* **Legal na Katayuan:** Ang Enhanced Basic Education Act of 2013 ay nag-uutos ng komprehensibong sexuality education (CSE) ngunit pinapayagan ang mga magulang na i-opt-out ang kanilang mga anak. Ang sugnay na ito sa pag-opt out ay nagpapahina sa bisa ng programa.
**4. Mortalidad at Morbididad ng Ina:**
* **Mga Etikal na Alalahanin:** Ang mataas na maternal mortality rate ay naka-link sa limitadong access sa reproductive healthcare, kabilang ang prenatal care, skilled birth attendant, at emergency obstetric care.
* **Legal na Debate:** Habang ang R.A. Nilalayon ng 10354 na tugunan ang mga isyung ito, ang buong pagpapatupad at pagpopondo ay mahalaga para sa makabuluhang epekto. Itinatampok ng mga debateng ito ang kumplikadong ugnayan sa pagitan ng mga paniniwala sa relihiyon, mga karapatan ng indibidwal, mga alalahanin sa kalusugan ng publiko, at ang papel ng batas sa paghubog ng mga katotohanan sa kalusugan ng reproduktibo sa Pilipinas.</v>
      </c>
      <c r="F1819" s="2">
        <f t="shared" si="1"/>
        <v>0</v>
      </c>
      <c r="G1819" s="2"/>
      <c r="H1819" s="2"/>
      <c r="I1819" s="2"/>
      <c r="J1819" s="2"/>
      <c r="K1819" s="2"/>
      <c r="L1819" s="2"/>
      <c r="M1819" s="2"/>
      <c r="N1819" s="2"/>
      <c r="O1819" s="2"/>
      <c r="P1819" s="2"/>
      <c r="Q1819" s="2"/>
      <c r="R1819" s="2"/>
      <c r="S1819" s="2"/>
      <c r="T1819" s="2"/>
      <c r="U1819" s="2"/>
      <c r="V1819" s="2"/>
      <c r="W1819" s="2"/>
      <c r="X1819" s="2"/>
      <c r="Y1819" s="2"/>
      <c r="Z1819" s="2"/>
      <c r="AA1819" s="2"/>
    </row>
    <row r="1820">
      <c r="A1820" s="1" t="s">
        <v>4337</v>
      </c>
      <c r="B1820" s="1" t="s">
        <v>4686</v>
      </c>
      <c r="C1820" s="1" t="s">
        <v>4687</v>
      </c>
      <c r="D1820" s="2" t="str">
        <f>IFERROR(__xludf.DUMMYFUNCTION("GOOGLETRANSLATE(B1820, ""en"", ""TL"")"),"Ano ang mga legal na limitasyon at eksepsiyon na nakapalibot sa pag-access sa mga serbisyo ng aborsyon sa Pilipinas?")</f>
        <v>Ano ang mga legal na limitasyon at eksepsiyon na nakapalibot sa pag-access sa mga serbisyo ng aborsyon sa Pilipinas?</v>
      </c>
      <c r="E1820" s="2" t="str">
        <f>IFERROR(__xludf.DUMMYFUNCTION("GOOGLETRANSLATE(C1820, ""en"", ""TL"")"),"Sa Pilipinas, ang pag-access sa mga serbisyo ng pagpapalaglag ay lubhang limitado dahil sa kawalan ng mga legal na eksepsiyon para sa karamihan ng mga sitwasyon. Narito ang isang breakdown ng legal na tanawin:
**Mga Legal na Limitasyon:**
* **Artikulo II,"&amp;" Seksyon 12 ng Konstitusyon:** Pinoprotektahan ng seksyong ito ang karapatan sa buhay ""mula sa sandali ng paglilihi."" Ang interpretasyong ito ay kadalasang ginagamit upang paghigpitan ang pag-access sa pagpapalaglag.
* **Ang Binagong Kodigo Penal (Act N"&amp;"o. 386):** Ang Artikulo 316 ay nagpaparusa sa aborsyon, na may mga pagbubukod lamang para sa therapeutic abortion, na napakaliit na tinukoy.
**Exception: Therapeutic Abortion**
* Ang tanging legal na katwiran para sa aborsyon sa Pilipinas ay kapag ang pag"&amp;"bubuntis ay naglalagay sa buhay ng ina sa panganib. Ang pagbubukod na ito ay napakalimitado at nangangailangan ng paghatol ng doktor.
**Mga Bunga ng Mahigpit na Batas:**
* **Mga Hindi Ligtas na Aborsyon:** Dahil sa kawalan ng legal na access sa mga ligtas"&amp;" na serbisyo sa pagpapalaglag, maraming kababaihan sa Pilipinas ang gumagamit ng mga hindi ligtas na pagpapalaglag, na humahantong sa mataas na bilang ng namamatay sa ina.
* **Mga Limitadong Opsyon sa Pangangalaga sa Kalusugan:** Ang mga babaeng nahaharap"&amp;" sa mga hindi gustong pagbubuntis ay kadalasang may mga limitadong opsyon, na maaaring negatibong makaapekto sa kanilang kalusugan at kapakanan.
**Mga Patuloy na Debate:**
* **Right to Life vs. Right to Health:** Ang debate ay umiikot sa pagbabalanse ng p"&amp;"roteksyon ng fetus sa karapatan ng babae sa buhay, kalusugan, at awtonomiya sa katawan.
* **Relihiyosong Impluwensiya:** Ang malakas na impluwensya ng Simbahang Katoliko ay may mahalagang papel sa paghubog ng mga batas sa pagpapalaglag at pampublikong dis"&amp;"kurso.
**Inaasahan:**
* **Mga Pagsisikap sa Pambatasan:** Bagama't may mga pagtatangka na ipakilala ang batas na nagpapalawak ng access sa pagpapalaglag sa mga kaso ng panggagahasa, incest, o fetal deformity, ang mga ito ay hindi naging matagumpay.
* **Pu"&amp;"blic Advocacy:** Ang mga grupo ng adbokasiya ay patuloy na lumalaban para sa legalisasyon ng ligtas na aborsyon sa ilalim ng ilang partikular na sitwasyon, na nagbibigay-diin sa mga alalahanin sa kalusugan ng publiko at mga karapatan ng kababaihan.
**Maha"&amp;"lagang tandaan:**
* Ang legal na tanawin na nakapalibot sa aborsyon sa Pilipinas ay masalimuot at malamang na hindi mabilis na magbago.
* Kung nahaharap ka sa isang hindi gustong pagbubuntis, mahalagang humingi ng propesyonal na medikal na payo at tuklasi"&amp;"n ang mga magagamit na opsyon sa loob ng legal na balangkas.")</f>
        <v>Sa Pilipinas, ang pag-access sa mga serbisyo ng pagpapalaglag ay lubhang limitado dahil sa kawalan ng mga legal na eksepsiyon para sa karamihan ng mga sitwasyon. Narito ang isang breakdown ng legal na tanawin:
**Mga Legal na Limitasyon:**
* **Artikulo II, Seksyon 12 ng Konstitusyon:** Pinoprotektahan ng seksyong ito ang karapatan sa buhay "mula sa sandali ng paglilihi." Ang interpretasyong ito ay kadalasang ginagamit upang paghigpitan ang pag-access sa pagpapalaglag.
* **Ang Binagong Kodigo Penal (Act No. 386):** Ang Artikulo 316 ay nagpaparusa sa aborsyon, na may mga pagbubukod lamang para sa therapeutic abortion, na napakaliit na tinukoy.
**Exception: Therapeutic Abortion**
* Ang tanging legal na katwiran para sa aborsyon sa Pilipinas ay kapag ang pagbubuntis ay naglalagay sa buhay ng ina sa panganib. Ang pagbubukod na ito ay napakalimitado at nangangailangan ng paghatol ng doktor.
**Mga Bunga ng Mahigpit na Batas:**
* **Mga Hindi Ligtas na Aborsyon:** Dahil sa kawalan ng legal na access sa mga ligtas na serbisyo sa pagpapalaglag, maraming kababaihan sa Pilipinas ang gumagamit ng mga hindi ligtas na pagpapalaglag, na humahantong sa mataas na bilang ng namamatay sa ina.
* **Mga Limitadong Opsyon sa Pangangalaga sa Kalusugan:** Ang mga babaeng nahaharap sa mga hindi gustong pagbubuntis ay kadalasang may mga limitadong opsyon, na maaaring negatibong makaapekto sa kanilang kalusugan at kapakanan.
**Mga Patuloy na Debate:**
* **Right to Life vs. Right to Health:** Ang debate ay umiikot sa pagbabalanse ng proteksyon ng fetus sa karapatan ng babae sa buhay, kalusugan, at awtonomiya sa katawan.
* **Relihiyosong Impluwensiya:** Ang malakas na impluwensya ng Simbahang Katoliko ay may mahalagang papel sa paghubog ng mga batas sa pagpapalaglag at pampublikong diskurso.
**Inaasahan:**
* **Mga Pagsisikap sa Pambatasan:** Bagama't may mga pagtatangka na ipakilala ang batas na nagpapalawak ng access sa pagpapalaglag sa mga kaso ng panggagahasa, incest, o fetal deformity, ang mga ito ay hindi naging matagumpay.
* **Public Advocacy:** Ang mga grupo ng adbokasiya ay patuloy na lumalaban para sa legalisasyon ng ligtas na aborsyon sa ilalim ng ilang partikular na sitwasyon, na nagbibigay-diin sa mga alalahanin sa kalusugan ng publiko at mga karapatan ng kababaihan.
**Mahalagang tandaan:**
* Ang legal na tanawin na nakapalibot sa aborsyon sa Pilipinas ay masalimuot at malamang na hindi mabilis na magbago.
* Kung nahaharap ka sa isang hindi gustong pagbubuntis, mahalagang humingi ng propesyonal na medikal na payo at tuklasin ang mga magagamit na opsyon sa loob ng legal na balangkas.</v>
      </c>
      <c r="F1820" s="2">
        <f t="shared" si="1"/>
        <v>0</v>
      </c>
      <c r="G1820" s="2"/>
      <c r="H1820" s="2"/>
      <c r="I1820" s="2"/>
      <c r="J1820" s="2"/>
      <c r="K1820" s="2"/>
      <c r="L1820" s="2"/>
      <c r="M1820" s="2"/>
      <c r="N1820" s="2"/>
      <c r="O1820" s="2"/>
      <c r="P1820" s="2"/>
      <c r="Q1820" s="2"/>
      <c r="R1820" s="2"/>
      <c r="S1820" s="2"/>
      <c r="T1820" s="2"/>
      <c r="U1820" s="2"/>
      <c r="V1820" s="2"/>
      <c r="W1820" s="2"/>
      <c r="X1820" s="2"/>
      <c r="Y1820" s="2"/>
      <c r="Z1820" s="2"/>
      <c r="AA1820" s="2"/>
    </row>
    <row r="1821">
      <c r="A1821" s="1" t="s">
        <v>4337</v>
      </c>
      <c r="B1821" s="1" t="s">
        <v>4688</v>
      </c>
      <c r="C1821" s="1" t="s">
        <v>4689</v>
      </c>
      <c r="D1821" s="2" t="str">
        <f>IFERROR(__xludf.DUMMYFUNCTION("GOOGLETRANSLATE(B1821, ""en"", ""TL"")"),"Paano kinokontrol ng batas ng Pilipinas ang paggamit ng mga pamamaraan ng ART tulad ng in vitro fertilization (IVF) at surrogacy?")</f>
        <v>Paano kinokontrol ng batas ng Pilipinas ang paggamit ng mga pamamaraan ng ART tulad ng in vitro fertilization (IVF) at surrogacy?</v>
      </c>
      <c r="E1821" s="2" t="str">
        <f>IFERROR(__xludf.DUMMYFUNCTION("GOOGLETRANSLATE(C1821, ""en"", ""TL"")"),"Ang batas ng Pilipinas ay walang partikular na legal na balangkas para sa pag-regulate ng mga pamamaraan ng Assisted Reproductive Technologies (ART) tulad ng in vitro fertilization (IVF) at surrogacy. Narito ang isang breakdown ng kasalukuyang sitwasyon:
"&amp;"**In Vitro Fertilization (IVF):**
* **Legal na Katayuan:** Walang partikular na batas na nagbabawal sa IVF. Ang Philippine Medical Association (PMA) ay may mga etikal na alituntunin para sa mga doktor na nagsasagawa ng IVF.
* **Regulation:** Ang Departmen"&amp;"t of Health (DOH) ay maaaring mag-isyu ng mga alituntunin na may kaugnayan sa mga klinika at pamamaraan ng IVF, na nakatuon sa may-kaalamang pahintulot at kaligtasan ng pasyente.
**Surrogacy:**
* **Legal na Katayuan:** Walang mga batas na tahasang nagpapa"&amp;"hintulot o nagbabawal sa surrogacy sa Pilipinas. Ang legal na kulay-abo na lugar na ito ay lumilikha ng kawalan ng katiyakan para sa mga nilalayong magulang at kahalili.
* **Mga Hamon:** Kinikilala lamang ng Philippine Family Code ang artificial inseminat"&amp;"ion sa loob ng kasal. Naglalabas ito ng mga tanong tungkol sa legal na pagiging magulang at mga karapatan ng mga bata na ipinanganak sa pamamagitan ng surrogacy arrangement. **Mga Bunga ng Kakulangan ng Regulasyon:**
* **Mga Etikal na Alalahanin:** Ang ka"&amp;"walan ng malinaw na mga regulasyon ay maaaring humantong sa potensyal na pagsasamantala sa parehong nilalayong mga magulang at kahalili. * **Mga Legal na Kawalang-katiyakan:** Ang legal na katayuan ng mga batang ipinanganak sa pamamagitan ng surrogacy arr"&amp;"angement ay nananatiling hindi maliwanag, na nagpapahirap sa pagtatatag ng pagiging magulang at mga karapatan.
**Mga Pagsubok sa Pambatasan:**
* Ang mga panukalang batas ay iminungkahi sa Kongreso ng Pilipinas upang ayusin ang parehong mga pamamaraan ng A"&amp;"RT at surrogacy. Ang mga panukalang batas na ito ay naglalayong:
* Magtatag ng mga alituntunin para sa kaalamang pahintulot at mga kasanayang etikal.
* Tukuyin ang legal na pagiging magulang at mga karapatan ng lahat ng partidong kasangkot.
* I-regulate a"&amp;"ng operasyon ng mga ART clinic at surrogacy agencies.
**Inaasahan:**
* Ang pagbuo ng isang komprehensibong legal na balangkas para sa mga pamamaraan ng ART at surrogacy sa Pilipinas ay isang patuloy na talakayan. * Ang pagbabalanse ng mga etikal na pagsas"&amp;"aalang-alang, pagprotekta sa mga karapatan ng lahat ng partidong kasangkot, at pagtataguyod ng responsableng paggamit ng mga teknolohiyang ito ay magiging mahalaga sa paghubog ng batas sa hinaharap.
**Mahalagang Tandaan:**
* Ang impormasyong ito ay para s"&amp;"a pangkalahatang kaalaman lamang at hindi dapat ituring na legal na payo. * Kung isinasaalang-alang mo ang mga pamamaraan ng ART tulad ng IVF o surrogacy, kumunsulta sa isang abogado na dalubhasa sa batas ng pamilya upang maunawaan ang kasalukuyang legal "&amp;"na tanawin at mga potensyal na panganib na kasangkot.")</f>
        <v>Ang batas ng Pilipinas ay walang partikular na legal na balangkas para sa pag-regulate ng mga pamamaraan ng Assisted Reproductive Technologies (ART) tulad ng in vitro fertilization (IVF) at surrogacy. Narito ang isang breakdown ng kasalukuyang sitwasyon:
**In Vitro Fertilization (IVF):**
* **Legal na Katayuan:** Walang partikular na batas na nagbabawal sa IVF. Ang Philippine Medical Association (PMA) ay may mga etikal na alituntunin para sa mga doktor na nagsasagawa ng IVF.
* **Regulation:** Ang Department of Health (DOH) ay maaaring mag-isyu ng mga alituntunin na may kaugnayan sa mga klinika at pamamaraan ng IVF, na nakatuon sa may-kaalamang pahintulot at kaligtasan ng pasyente.
**Surrogacy:**
* **Legal na Katayuan:** Walang mga batas na tahasang nagpapahintulot o nagbabawal sa surrogacy sa Pilipinas. Ang legal na kulay-abo na lugar na ito ay lumilikha ng kawalan ng katiyakan para sa mga nilalayong magulang at kahalili.
* **Mga Hamon:** Kinikilala lamang ng Philippine Family Code ang artificial insemination sa loob ng kasal. Naglalabas ito ng mga tanong tungkol sa legal na pagiging magulang at mga karapatan ng mga bata na ipinanganak sa pamamagitan ng surrogacy arrangement. **Mga Bunga ng Kakulangan ng Regulasyon:**
* **Mga Etikal na Alalahanin:** Ang kawalan ng malinaw na mga regulasyon ay maaaring humantong sa potensyal na pagsasamantala sa parehong nilalayong mga magulang at kahalili. * **Mga Legal na Kawalang-katiyakan:** Ang legal na katayuan ng mga batang ipinanganak sa pamamagitan ng surrogacy arrangement ay nananatiling hindi maliwanag, na nagpapahirap sa pagtatatag ng pagiging magulang at mga karapatan.
**Mga Pagsubok sa Pambatasan:**
* Ang mga panukalang batas ay iminungkahi sa Kongreso ng Pilipinas upang ayusin ang parehong mga pamamaraan ng ART at surrogacy. Ang mga panukalang batas na ito ay naglalayong:
* Magtatag ng mga alituntunin para sa kaalamang pahintulot at mga kasanayang etikal.
* Tukuyin ang legal na pagiging magulang at mga karapatan ng lahat ng partidong kasangkot.
* I-regulate ang operasyon ng mga ART clinic at surrogacy agencies.
**Inaasahan:**
* Ang pagbuo ng isang komprehensibong legal na balangkas para sa mga pamamaraan ng ART at surrogacy sa Pilipinas ay isang patuloy na talakayan. * Ang pagbabalanse ng mga etikal na pagsasaalang-alang, pagprotekta sa mga karapatan ng lahat ng partidong kasangkot, at pagtataguyod ng responsableng paggamit ng mga teknolohiyang ito ay magiging mahalaga sa paghubog ng batas sa hinaharap.
**Mahalagang Tandaan:**
* Ang impormasyong ito ay para sa pangkalahatang kaalaman lamang at hindi dapat ituring na legal na payo. * Kung isinasaalang-alang mo ang mga pamamaraan ng ART tulad ng IVF o surrogacy, kumunsulta sa isang abogado na dalubhasa sa batas ng pamilya upang maunawaan ang kasalukuyang legal na tanawin at mga potensyal na panganib na kasangkot.</v>
      </c>
      <c r="F1821" s="2">
        <f t="shared" si="1"/>
        <v>0</v>
      </c>
      <c r="G1821" s="2"/>
      <c r="H1821" s="2"/>
      <c r="I1821" s="2"/>
      <c r="J1821" s="2"/>
      <c r="K1821" s="2"/>
      <c r="L1821" s="2"/>
      <c r="M1821" s="2"/>
      <c r="N1821" s="2"/>
      <c r="O1821" s="2"/>
      <c r="P1821" s="2"/>
      <c r="Q1821" s="2"/>
      <c r="R1821" s="2"/>
      <c r="S1821" s="2"/>
      <c r="T1821" s="2"/>
      <c r="U1821" s="2"/>
      <c r="V1821" s="2"/>
      <c r="W1821" s="2"/>
      <c r="X1821" s="2"/>
      <c r="Y1821" s="2"/>
      <c r="Z1821" s="2"/>
      <c r="AA1821" s="2"/>
    </row>
    <row r="1822">
      <c r="A1822" s="1" t="s">
        <v>4337</v>
      </c>
      <c r="B1822" s="1" t="s">
        <v>4690</v>
      </c>
      <c r="C1822" s="1" t="s">
        <v>4691</v>
      </c>
      <c r="D1822" s="2" t="str">
        <f>IFERROR(__xludf.DUMMYFUNCTION("GOOGLETRANSLATE(B1822, ""en"", ""TL"")"),"Anong mga legal na proteksyon ang inilalagay para sa mga buntis na kababaihan at mga ina sa ilalim ng batas ng Pilipinas?")</f>
        <v>Anong mga legal na proteksyon ang inilalagay para sa mga buntis na kababaihan at mga ina sa ilalim ng batas ng Pilipinas?</v>
      </c>
      <c r="E1822" s="2" t="str">
        <f>IFERROR(__xludf.DUMMYFUNCTION("GOOGLETRANSLATE(C1822, ""en"", ""TL"")"),"Nag-aalok ang batas ng Pilipinas ng ilang mga proteksyon para sa mga buntis na kababaihan at mga ina, na nakatuon sa kanilang kalusugan, mga karapatan sa trabaho, at pangkalahatang kagalingan. Narito ang ilang pangunahing aspeto:
**Maternity Leave:**
* **"&amp;"Expanded Maternity Leave Act (R.A. 11210):** Ang batas na ito ay nag-uutos ng hindi bababa sa 105 araw ng bayad na maternity leave para sa lahat ng babaeng empleyado, anuman ang katayuang sibil o ang pagiging lehitimo ng bata. Tinitiyak nito ang seguridad"&amp;" sa pananalapi sa panahon ng pagbubuntis, panganganak, at paggaling. * **Pre-Natal Leave:** Ang mga buntis na empleyado ay maaaring mag-avail ng karagdagang dalawang linggo ng bayad na bakasyon bago ang kanilang inaasahang petsa ng paghahatid. **Pangangal"&amp;"aga sa kalusugan:**
* **Pre-Natal Care:** Ang mga programa ng Department of Health (DOH) at mga local government units (LGUs) ay nag-aalok ng accessible na pre-natal care services. Kabilang dito ang mga pagsusuri, pagsusuri sa laboratoryo, at pagbabakuna "&amp;"para sa mga buntis na kababaihan.
* **PhilHealth:** Ang Philippine Health Insurance Corporation (PhilHealth) ay nagbibigay ng maternity care benefits para mabayaran ang mga gastos na may kaugnayan sa panganganak sa mga akreditadong ospital.
**Mga Proteksy"&amp;"on sa Trabaho:**
* **Walang diskriminasyon:** Iligal ang diskriminasyon laban sa kababaihan batay sa pagbubuntis o parental status. Hindi maaaring wakasan ng mga employer ang trabaho o tanggihan ang mga promosyon batay sa pagbubuntis.
* **Reasonable Accom"&amp;"modation:** Ang mga employer ay kinakailangang magbigay ng mga makatwirang akomodasyon para sa mga buntis na empleyado, tulad ng mga flexible work arrangement o binagong mga tungkulin kung kinakailangan.
* **Nursing Stations:** Ang mga establisimiyento na"&amp;" gumagamit ng malaking bilang ng kababaihan ay inaatasan na magkaroon ng lactation station para sa mga nagpapasusong ina.
**Ibang Mga Proteksyon:**
* **Solo Parents' Welfare Act (R.A. 10836):** Ang mga nag-iisang ina na nanganak dahil sa panggagahasa o na"&amp;"iwang nag-iisa na may responsibilidad ng magulang ay kwalipikado para sa mga benepisyo at serbisyo ng suporta sa ilalim ng batas na ito.
* **Anti-Violence Against Women and their Children Act (R.A. 9262):** Pinoprotektahan ng batas na ito ang kababaihan, "&amp;"kabilang ang mga buntis na kababaihan, mula sa karahasan at nagbibigay ng mga legal na remedyo sa mga kaso ng pang-aabuso sa tahanan.
**Mga Hamon at Gaps:**
* **Mga Isyu sa Pagpapatupad:** Nananatiling hamon ang pagtitiyak ng ganap na pagpapatupad ng mga "&amp;"batas na ito sa lahat ng sektor, lalo na ang impormal na trabaho.
* **Limited Paternity Leave:** Ang mga ama ay hindi karapat-dapat sa ipinag-uutos na paternity leave, na inilalagay ang pasanin ng pangangalaga sa bata pangunahin sa mga ina.
**Sa pangkalah"&amp;"atan, ang batas ng Pilipinas ay nag-aalok ng balangkas para sa pagprotekta sa mga buntis na kababaihan at mga ina. Gayunpaman, kailangan ang patuloy na pagsisikap upang matiyak ang ganap na pagpapatupad, matugunan ang mga umiiral na agwat, at magsulong ng"&amp;" isang mas nakasuportang kapaligiran para sa mga nagtatrabahong ina at pamilya.**")</f>
        <v>Nag-aalok ang batas ng Pilipinas ng ilang mga proteksyon para sa mga buntis na kababaihan at mga ina, na nakatuon sa kanilang kalusugan, mga karapatan sa trabaho, at pangkalahatang kagalingan. Narito ang ilang pangunahing aspeto:
**Maternity Leave:**
* **Expanded Maternity Leave Act (R.A. 11210):** Ang batas na ito ay nag-uutos ng hindi bababa sa 105 araw ng bayad na maternity leave para sa lahat ng babaeng empleyado, anuman ang katayuang sibil o ang pagiging lehitimo ng bata. Tinitiyak nito ang seguridad sa pananalapi sa panahon ng pagbubuntis, panganganak, at paggaling. * **Pre-Natal Leave:** Ang mga buntis na empleyado ay maaaring mag-avail ng karagdagang dalawang linggo ng bayad na bakasyon bago ang kanilang inaasahang petsa ng paghahatid. **Pangangalaga sa kalusugan:**
* **Pre-Natal Care:** Ang mga programa ng Department of Health (DOH) at mga local government units (LGUs) ay nag-aalok ng accessible na pre-natal care services. Kabilang dito ang mga pagsusuri, pagsusuri sa laboratoryo, at pagbabakuna para sa mga buntis na kababaihan.
* **PhilHealth:** Ang Philippine Health Insurance Corporation (PhilHealth) ay nagbibigay ng maternity care benefits para mabayaran ang mga gastos na may kaugnayan sa panganganak sa mga akreditadong ospital.
**Mga Proteksyon sa Trabaho:**
* **Walang diskriminasyon:** Iligal ang diskriminasyon laban sa kababaihan batay sa pagbubuntis o parental status. Hindi maaaring wakasan ng mga employer ang trabaho o tanggihan ang mga promosyon batay sa pagbubuntis.
* **Reasonable Accommodation:** Ang mga employer ay kinakailangang magbigay ng mga makatwirang akomodasyon para sa mga buntis na empleyado, tulad ng mga flexible work arrangement o binagong mga tungkulin kung kinakailangan.
* **Nursing Stations:** Ang mga establisimiyento na gumagamit ng malaking bilang ng kababaihan ay inaatasan na magkaroon ng lactation station para sa mga nagpapasusong ina.
**Ibang Mga Proteksyon:**
* **Solo Parents' Welfare Act (R.A. 10836):** Ang mga nag-iisang ina na nanganak dahil sa panggagahasa o naiwang nag-iisa na may responsibilidad ng magulang ay kwalipikado para sa mga benepisyo at serbisyo ng suporta sa ilalim ng batas na ito.
* **Anti-Violence Against Women and their Children Act (R.A. 9262):** Pinoprotektahan ng batas na ito ang kababaihan, kabilang ang mga buntis na kababaihan, mula sa karahasan at nagbibigay ng mga legal na remedyo sa mga kaso ng pang-aabuso sa tahanan.
**Mga Hamon at Gaps:**
* **Mga Isyu sa Pagpapatupad:** Nananatiling hamon ang pagtitiyak ng ganap na pagpapatupad ng mga batas na ito sa lahat ng sektor, lalo na ang impormal na trabaho.
* **Limited Paternity Leave:** Ang mga ama ay hindi karapat-dapat sa ipinag-uutos na paternity leave, na inilalagay ang pasanin ng pangangalaga sa bata pangunahin sa mga ina.
**Sa pangkalahatan, ang batas ng Pilipinas ay nag-aalok ng balangkas para sa pagprotekta sa mga buntis na kababaihan at mga ina. Gayunpaman, kailangan ang patuloy na pagsisikap upang matiyak ang ganap na pagpapatupad, matugunan ang mga umiiral na agwat, at magsulong ng isang mas nakasuportang kapaligiran para sa mga nagtatrabahong ina at pamilya.**</v>
      </c>
      <c r="F1822" s="2">
        <f t="shared" si="1"/>
        <v>0</v>
      </c>
      <c r="G1822" s="2"/>
      <c r="H1822" s="2"/>
      <c r="I1822" s="2"/>
      <c r="J1822" s="2"/>
      <c r="K1822" s="2"/>
      <c r="L1822" s="2"/>
      <c r="M1822" s="2"/>
      <c r="N1822" s="2"/>
      <c r="O1822" s="2"/>
      <c r="P1822" s="2"/>
      <c r="Q1822" s="2"/>
      <c r="R1822" s="2"/>
      <c r="S1822" s="2"/>
      <c r="T1822" s="2"/>
      <c r="U1822" s="2"/>
      <c r="V1822" s="2"/>
      <c r="W1822" s="2"/>
      <c r="X1822" s="2"/>
      <c r="Y1822" s="2"/>
      <c r="Z1822" s="2"/>
      <c r="AA1822" s="2"/>
    </row>
    <row r="1823">
      <c r="A1823" s="1" t="s">
        <v>4337</v>
      </c>
      <c r="B1823" s="1" t="s">
        <v>4692</v>
      </c>
      <c r="C1823" s="1" t="s">
        <v>4693</v>
      </c>
      <c r="D1823" s="2" t="str">
        <f>IFERROR(__xludf.DUMMYFUNCTION("GOOGLETRANSLATE(B1823, ""en"", ""TL"")"),"Paano ginagarantiya ng batas ng Pilipinas ang pag-access sa mga serbisyo sa pagpipigil sa pagbubuntis at pagpaplano ng pamilya para sa mga indibidwal at mag-asawa?")</f>
        <v>Paano ginagarantiya ng batas ng Pilipinas ang pag-access sa mga serbisyo sa pagpipigil sa pagbubuntis at pagpaplano ng pamilya para sa mga indibidwal at mag-asawa?</v>
      </c>
      <c r="E1823" s="2" t="str">
        <f>IFERROR(__xludf.DUMMYFUNCTION("GOOGLETRANSLATE(C1823, ""en"", ""TL"")"),"Ang Pilipinas ay may mahalagang batas na ginagarantiyahan ang pag-access sa mga serbisyo sa pagpipigil sa pagbubuntis at pagpaplano ng pamilya para sa mga indibidwal at mag-asawa. Narito kung paano ito nagagawa ng batas ng Pilipinas:
**Ang Responsible Par"&amp;"enthood and Reproductive Health Act of 2012 (R.A. 10354):**
* Ang batas na ito, na kilala rin bilang RH Law, ay isang pundasyon para sa mga karapatan sa kalusugan ng reproduktibo sa Pilipinas. Nag-uutos ito:
* **Universal Access:** Lahat ng akreditadong p"&amp;"ampublikong pasilidad sa kalusugan ay dapat magbigay ng buong hanay ng mga modernong pamamaraan sa pagpaplano ng pamilya. Kabilang dito ang mga tabletas, injectable, condom, implant, intrauterine device (IUDs), at natural na paraan ng pagpaplano ng pamily"&amp;"a.
* **Libreng Serbisyo:** Ang mga serbisyo sa pagpaplano ng pamilya, kabilang ang mga medikal na konsultasyon at mga supply, ay libre para sa mahihirap at marginalized na mag-asawa sa mga pasilidad ng kalusugan ng gobyerno. * **Mga Pribadong Pasilidad:**"&amp;" Bagama't maaaring maningil ang mga pribadong pasilidad sa kalusugan para sa mga serbisyong ito, hindi nila maaaring tanggihan ang pag-access sa impormasyon o mga pamamaraan. Mayroon din silang opsyon na mag-alok ng libreng pangangalaga at serbisyo sa mga"&amp;" mahihirap, maliban sa mga partikular na kaso tulad ng mga non-maternity specialty na ospital.
**Ginagarantiya ng May Kaalaman na Pagpipilian:**
* Binibigyang-diin ng batas ang matalinong pagpili. Ang mga indibidwal na naghahanap ng mga serbisyo sa pagpap"&amp;"lano ng pamilya ay dapat makatanggap ng:
* **Pagpapayo:** Ang mga tagapagbigay ng pangangalagang pangkalusugan ay dapat mag-alok ng pagpapayo na naaangkop sa edad sa iba't ibang paraan ng pagpaplano ng pamilya, ang kanilang pagiging epektibo, at mga poten"&amp;"syal na epekto.
* **Boluntaryong Paglahok:** Walang taong mapipilitang gumamit ng anumang paraan ng pagpaplano ng pamilya.
**Pagtugon sa Mga Pagsasaalang-alang sa Edad:**
* Ang mga menor de edad (sa ilalim ng 18) ay nangangailangan ng nakasulat na pahintu"&amp;"lot mula sa kanilang mga magulang o tagapag-alaga upang ma-access ang mga modernong pamamaraan sa pagpaplano ng pamilya, na may ilang mga pagbubukod:
* Ang mga pinalaya na menor de edad (magulang na o nagkaroon ng pagkalaglag) ay maaaring mag-access ng mg"&amp;"a serbisyo nang walang pahintulot ng magulang.
**Mga Hamon at Pagsasaalang-alang:**
* **Mga Isyu sa Pagpapatupad:** Nananatiling hamon ang pagtiyak ng buo at pare-parehong pagpapatupad ng RH Law sa lahat ng rehiyon at pasilidad. * **Relihiyosong Impluwens"&amp;"iya:** Ang pagsalungat mula sa ilang relihiyosong grupo ay maaaring lumikha ng mga hadlang para sa pag-access ng mga serbisyo sa ilang partikular na lugar.
**Sa pangkalahatan, ang RH Law ay isang makabuluhang hakbang tungo sa paggarantiya ng access sa mga"&amp;" serbisyo sa pagpipigil sa pagbubuntis at pagpaplano ng pamilya para sa mga Pilipino. Binibigyan nito ng kapangyarihan ang mga indibidwal at mag-asawa na gumawa ng matalinong mga pagpipilian tungkol sa kanilang kalusugan sa reproduktibo at pagpaplano ng p"&amp;"amilya.**")</f>
        <v>Ang Pilipinas ay may mahalagang batas na ginagarantiyahan ang pag-access sa mga serbisyo sa pagpipigil sa pagbubuntis at pagpaplano ng pamilya para sa mga indibidwal at mag-asawa. Narito kung paano ito nagagawa ng batas ng Pilipinas:
**Ang Responsible Parenthood and Reproductive Health Act of 2012 (R.A. 10354):**
* Ang batas na ito, na kilala rin bilang RH Law, ay isang pundasyon para sa mga karapatan sa kalusugan ng reproduktibo sa Pilipinas. Nag-uutos ito:
* **Universal Access:** Lahat ng akreditadong pampublikong pasilidad sa kalusugan ay dapat magbigay ng buong hanay ng mga modernong pamamaraan sa pagpaplano ng pamilya. Kabilang dito ang mga tabletas, injectable, condom, implant, intrauterine device (IUDs), at natural na paraan ng pagpaplano ng pamilya.
* **Libreng Serbisyo:** Ang mga serbisyo sa pagpaplano ng pamilya, kabilang ang mga medikal na konsultasyon at mga supply, ay libre para sa mahihirap at marginalized na mag-asawa sa mga pasilidad ng kalusugan ng gobyerno. * **Mga Pribadong Pasilidad:** Bagama't maaaring maningil ang mga pribadong pasilidad sa kalusugan para sa mga serbisyong ito, hindi nila maaaring tanggihan ang pag-access sa impormasyon o mga pamamaraan. Mayroon din silang opsyon na mag-alok ng libreng pangangalaga at serbisyo sa mga mahihirap, maliban sa mga partikular na kaso tulad ng mga non-maternity specialty na ospital.
**Ginagarantiya ng May Kaalaman na Pagpipilian:**
* Binibigyang-diin ng batas ang matalinong pagpili. Ang mga indibidwal na naghahanap ng mga serbisyo sa pagpaplano ng pamilya ay dapat makatanggap ng:
* **Pagpapayo:** Ang mga tagapagbigay ng pangangalagang pangkalusugan ay dapat mag-alok ng pagpapayo na naaangkop sa edad sa iba't ibang paraan ng pagpaplano ng pamilya, ang kanilang pagiging epektibo, at mga potensyal na epekto.
* **Boluntaryong Paglahok:** Walang taong mapipilitang gumamit ng anumang paraan ng pagpaplano ng pamilya.
**Pagtugon sa Mga Pagsasaalang-alang sa Edad:**
* Ang mga menor de edad (sa ilalim ng 18) ay nangangailangan ng nakasulat na pahintulot mula sa kanilang mga magulang o tagapag-alaga upang ma-access ang mga modernong pamamaraan sa pagpaplano ng pamilya, na may ilang mga pagbubukod:
* Ang mga pinalaya na menor de edad (magulang na o nagkaroon ng pagkalaglag) ay maaaring mag-access ng mga serbisyo nang walang pahintulot ng magulang.
**Mga Hamon at Pagsasaalang-alang:**
* **Mga Isyu sa Pagpapatupad:** Nananatiling hamon ang pagtiyak ng buo at pare-parehong pagpapatupad ng RH Law sa lahat ng rehiyon at pasilidad. * **Relihiyosong Impluwensiya:** Ang pagsalungat mula sa ilang relihiyosong grupo ay maaaring lumikha ng mga hadlang para sa pag-access ng mga serbisyo sa ilang partikular na lugar.
**Sa pangkalahatan, ang RH Law ay isang makabuluhang hakbang tungo sa paggarantiya ng access sa mga serbisyo sa pagpipigil sa pagbubuntis at pagpaplano ng pamilya para sa mga Pilipino. Binibigyan nito ng kapangyarihan ang mga indibidwal at mag-asawa na gumawa ng matalinong mga pagpipilian tungkol sa kanilang kalusugan sa reproduktibo at pagpaplano ng pamilya.**</v>
      </c>
      <c r="F1823" s="2">
        <f t="shared" si="1"/>
        <v>0</v>
      </c>
      <c r="G1823" s="2"/>
      <c r="H1823" s="2"/>
      <c r="I1823" s="2"/>
      <c r="J1823" s="2"/>
      <c r="K1823" s="2"/>
      <c r="L1823" s="2"/>
      <c r="M1823" s="2"/>
      <c r="N1823" s="2"/>
      <c r="O1823" s="2"/>
      <c r="P1823" s="2"/>
      <c r="Q1823" s="2"/>
      <c r="R1823" s="2"/>
      <c r="S1823" s="2"/>
      <c r="T1823" s="2"/>
      <c r="U1823" s="2"/>
      <c r="V1823" s="2"/>
      <c r="W1823" s="2"/>
      <c r="X1823" s="2"/>
      <c r="Y1823" s="2"/>
      <c r="Z1823" s="2"/>
      <c r="AA1823" s="2"/>
    </row>
    <row r="1824">
      <c r="A1824" s="1" t="s">
        <v>4337</v>
      </c>
      <c r="B1824" s="1" t="s">
        <v>4694</v>
      </c>
      <c r="C1824" s="1" t="s">
        <v>4695</v>
      </c>
      <c r="D1824" s="2" t="str">
        <f>IFERROR(__xludf.DUMMYFUNCTION("GOOGLETRANSLATE(B1824, ""en"", ""TL"")"),"Paano tinutugunan ng mga batas at alituntuning etikal sa Pilipinas ang mga isyu tulad ng mga paunang direktiba, mga utos na huwag-resuscitate (DNR), at pagpapakamatay na tinulungan ng doktor?")</f>
        <v>Paano tinutugunan ng mga batas at alituntuning etikal sa Pilipinas ang mga isyu tulad ng mga paunang direktiba, mga utos na huwag-resuscitate (DNR), at pagpapakamatay na tinulungan ng doktor?</v>
      </c>
      <c r="E1824" s="2" t="str">
        <f>IFERROR(__xludf.DUMMYFUNCTION("GOOGLETRANSLATE(C1824, ""en"", ""TL"")"),"Ang batas ng Pilipinas ay walang komprehensibong balangkas na partikular na tumutugon sa mga paunang direktiba, mga utos ng do-not-resuscitate (DNR), at pagpapakamatay na tinulungan ng doktor. Gayunpaman, may mga elemento sa loob ng mga kasalukuyang batas"&amp;" at mga alituntuning etikal na nakakaapekto sa mga isyung ito:
**1. Mga Paunang Direktiba:**
* **Legal na Katayuan:** Walang partikular na batas na kumikilala sa mga paunang direktiba sa Pilipinas. Gayunpaman, kinikilala ng Patient's Bill of Rights (DOH D"&amp;"epartment Order No. 2013-0012) ang karapatan ng pasyente sa awtonomiya at tumanggi sa paggamot. * **Paggamit sa Pagsasanay:** Bagama't hindi legal na may bisa, maaaring payagan ng ilang ospital ang mga pasyente na gumawa ng mga paunang direktiba na nagbab"&amp;"alangkas sa kanilang mga nais para sa end-of-life na pangangalaga. Ang mga dokumentong ito ay maaaring magsilbing gabay para sa mga pamilya at tagapagbigay ng pangangalagang pangkalusugan sa paggawa ng mga desisyon.
**2. Mga Order na Do-Not-Resuscitate (D"&amp;"NR):**
* **Legal na Katayuan:** Walang partikular na batas tungkol sa mga order ng DNR. Gayunpaman, kinikilala ng DOH Department Order No. 2013-0012 ang karapatan ng isang pasyente na tumanggi sa paggamot, na maaaring kabilang ang cardiopulmonary resuscit"&amp;"ation (CPR).
* **Pagpapatupad:** Ang mga order ng DNR ay karaniwang nakadokumento sa medikal na chart ng isang pasyente batay sa mga talakayan sa pagitan ng pasyente, doktor, at pamilya. Nakatuon ang mga talakayang ito sa kondisyong medikal ng pasyente, p"&amp;"agbabala, at mga kahilingan hinggil sa mga pagtatangkang resuscitation.
**3. Pagpapakamatay na Tinulungan ng Doktor:**
* **Legal na Katayuan:** Ang pagpapakamatay na tinulungan ng doktor ay ilegal sa Pilipinas. Ang Binagong Kodigo Penal (Act No. 386) ay n"&amp;"agpaparusa sa mga gawaing tumutulong o naghihikayat sa pagpapakamatay.
**Mga Etikal na Pagsasaalang-alang:**
* Ang Philippine Medical Association (PMA) Code of Ethics ay binibigyang-diin ang awtonomiya ng pasyente at ang karapatang tumanggi sa paggamot. *"&amp;" Gayunpaman, itinataguyod din ng kodigo ang tungkulin ng manggagamot na pangalagaan ang buhay. * Ang pagbabalanse sa mga prinsipyong ito ay maaaring maging mahirap sa mga sitwasyon ng pangangalaga sa katapusan ng buhay.
**Inaasahan:**
* Ang pangangailanga"&amp;"n para sa isang mas komprehensibong legal na balangkas sa mga paunang direktiba at mga desisyon sa pangangalaga sa katapusan ng buhay ay nagkakaroon ng pagkilala. * Ang pampublikong diskurso at mga debate sa etika ay mahalaga upang hubugin ang hinaharap n"&amp;"a batas na gumagalang sa awtonomiya ng pasyente habang itinataguyod ang mga etikal na pagsasaalang-alang.
**Mahalagang Tandaan:**
* Ang impormasyong ibinigay ay para sa pangkalahatang kaalaman at hindi dapat ituring na legal na payo. * Kung mayroon kang m"&amp;"ga tanong tungkol sa mga paunang direktiba, mga order ng DNR, o pangangalaga sa pagtatapos ng buhay, kumunsulta sa isang doktor o abogado na dalubhasa sa medikal na batas para sa personalized na patnubay.")</f>
        <v>Ang batas ng Pilipinas ay walang komprehensibong balangkas na partikular na tumutugon sa mga paunang direktiba, mga utos ng do-not-resuscitate (DNR), at pagpapakamatay na tinulungan ng doktor. Gayunpaman, may mga elemento sa loob ng mga kasalukuyang batas at mga alituntuning etikal na nakakaapekto sa mga isyung ito:
**1. Mga Paunang Direktiba:**
* **Legal na Katayuan:** Walang partikular na batas na kumikilala sa mga paunang direktiba sa Pilipinas. Gayunpaman, kinikilala ng Patient's Bill of Rights (DOH Department Order No. 2013-0012) ang karapatan ng pasyente sa awtonomiya at tumanggi sa paggamot. * **Paggamit sa Pagsasanay:** Bagama't hindi legal na may bisa, maaaring payagan ng ilang ospital ang mga pasyente na gumawa ng mga paunang direktiba na nagbabalangkas sa kanilang mga nais para sa end-of-life na pangangalaga. Ang mga dokumentong ito ay maaaring magsilbing gabay para sa mga pamilya at tagapagbigay ng pangangalagang pangkalusugan sa paggawa ng mga desisyon.
**2. Mga Order na Do-Not-Resuscitate (DNR):**
* **Legal na Katayuan:** Walang partikular na batas tungkol sa mga order ng DNR. Gayunpaman, kinikilala ng DOH Department Order No. 2013-0012 ang karapatan ng isang pasyente na tumanggi sa paggamot, na maaaring kabilang ang cardiopulmonary resuscitation (CPR).
* **Pagpapatupad:** Ang mga order ng DNR ay karaniwang nakadokumento sa medikal na chart ng isang pasyente batay sa mga talakayan sa pagitan ng pasyente, doktor, at pamilya. Nakatuon ang mga talakayang ito sa kondisyong medikal ng pasyente, pagbabala, at mga kahilingan hinggil sa mga pagtatangkang resuscitation.
**3. Pagpapakamatay na Tinulungan ng Doktor:**
* **Legal na Katayuan:** Ang pagpapakamatay na tinulungan ng doktor ay ilegal sa Pilipinas. Ang Binagong Kodigo Penal (Act No. 386) ay nagpaparusa sa mga gawaing tumutulong o naghihikayat sa pagpapakamatay.
**Mga Etikal na Pagsasaalang-alang:**
* Ang Philippine Medical Association (PMA) Code of Ethics ay binibigyang-diin ang awtonomiya ng pasyente at ang karapatang tumanggi sa paggamot. * Gayunpaman, itinataguyod din ng kodigo ang tungkulin ng manggagamot na pangalagaan ang buhay. * Ang pagbabalanse sa mga prinsipyong ito ay maaaring maging mahirap sa mga sitwasyon ng pangangalaga sa katapusan ng buhay.
**Inaasahan:**
* Ang pangangailangan para sa isang mas komprehensibong legal na balangkas sa mga paunang direktiba at mga desisyon sa pangangalaga sa katapusan ng buhay ay nagkakaroon ng pagkilala. * Ang pampublikong diskurso at mga debate sa etika ay mahalaga upang hubugin ang hinaharap na batas na gumagalang sa awtonomiya ng pasyente habang itinataguyod ang mga etikal na pagsasaalang-alang.
**Mahalagang Tandaan:**
* Ang impormasyong ibinigay ay para sa pangkalahatang kaalaman at hindi dapat ituring na legal na payo. * Kung mayroon kang mga tanong tungkol sa mga paunang direktiba, mga order ng DNR, o pangangalaga sa pagtatapos ng buhay, kumunsulta sa isang doktor o abogado na dalubhasa sa medikal na batas para sa personalized na patnubay.</v>
      </c>
      <c r="F1824" s="2">
        <f t="shared" si="1"/>
        <v>0</v>
      </c>
      <c r="G1824" s="2"/>
      <c r="H1824" s="2"/>
      <c r="I1824" s="2"/>
      <c r="J1824" s="2"/>
      <c r="K1824" s="2"/>
      <c r="L1824" s="2"/>
      <c r="M1824" s="2"/>
      <c r="N1824" s="2"/>
      <c r="O1824" s="2"/>
      <c r="P1824" s="2"/>
      <c r="Q1824" s="2"/>
      <c r="R1824" s="2"/>
      <c r="S1824" s="2"/>
      <c r="T1824" s="2"/>
      <c r="U1824" s="2"/>
      <c r="V1824" s="2"/>
      <c r="W1824" s="2"/>
      <c r="X1824" s="2"/>
      <c r="Y1824" s="2"/>
      <c r="Z1824" s="2"/>
      <c r="AA1824" s="2"/>
    </row>
    <row r="1825">
      <c r="A1825" s="1" t="s">
        <v>4337</v>
      </c>
      <c r="B1825" s="1" t="s">
        <v>4696</v>
      </c>
      <c r="C1825" s="1" t="s">
        <v>4697</v>
      </c>
      <c r="D1825" s="2" t="str">
        <f>IFERROR(__xludf.DUMMYFUNCTION("GOOGLETRANSLATE(B1825, ""en"", ""TL"")"),"Paano binabalanse ng batas ng Pilipinas ang mga alalahanin sa kalusugan ng publiko sa mga karapatan ng mga indibidwal na may HIV/AIDS sa mga tuntunin ng access sa pangangalagang pangkalusugan, privacy, at walang diskriminasyon?")</f>
        <v>Paano binabalanse ng batas ng Pilipinas ang mga alalahanin sa kalusugan ng publiko sa mga karapatan ng mga indibidwal na may HIV/AIDS sa mga tuntunin ng access sa pangangalagang pangkalusugan, privacy, at walang diskriminasyon?</v>
      </c>
      <c r="E1825" s="2" t="str">
        <f>IFERROR(__xludf.DUMMYFUNCTION("GOOGLETRANSLATE(C1825, ""en"", ""TL"")"),"Ang Pilipinas ay gumawa ng mahahalagang hakbang upang matugunan ang mga alalahanin sa kalusugan ng publiko habang itinataguyod ang mga karapatan ng mga indibidwal na may HIV/AIDS (PLWHA) sa pamamagitan ng legal na balangkas nito. Narito ang isang pangkala"&amp;"hatang-ideya:
Access sa Healthcare:
- Ang Republic Act No. 8504 (The Philippine AIDS Prevention and Control Act of 1998) ay tumitiyak sa PLWHA na access sa mahahalagang serbisyong pangkalusugan at panlipunan.
- Ang Republic Act No. 11166 (The Philippine H"&amp;"IV and AIDS Policy Act of 2018) ay nagpapalakas ng access sa HIV testing at treatment, kabilang ang para sa mga menor de edad na walang pahintulot ng magulang, desentralisadong paraan ng pagsusuri, at pinalawak na mga pasilidad sa paggamot.
Privacy:
- Gin"&amp;"agarantiyahan ng RA 8504 ang mga karapatan sa pagkapribado para sa mga indibidwal na may HIV, na nagbabawal sa sapilitang pagsusuri maliban sa ilalim ng mga partikular na legal na probisyon.
Walang diskriminasyon:
- Ipinagbabawal ng RA 8504 ang diskrimina"&amp;"syon laban sa PLWHA sa iba't ibang lugar, kabilang ang trabaho, edukasyon, at access sa mga pampublikong serbisyo.
- Ang RA 11166 ay nagpapatibay sa mga pangakong walang diskriminasyon at nag-uutos sa pagbuo ng mga mekanismo ng pagtugon para sa mga nilaba"&amp;"g na karapatan.
Patuloy ang mga Hamon:
- Ang stigma sa paligid ng HIV/AIDS ay nananatiling isang malaking hamon, na humahadlang sa mga tao na maghanap ng pagsusuri at paggamot.
- Maaaring hadlangan ng mga limitasyon sa mapagkukunan ang komprehensibong sak"&amp;"law at pag-access sa mga pinakabagong teknolohiya.
- Ang pag-abot sa mga marginalized na grupo, tulad ng mga lalaking nakikipagtalik sa mga lalaki (MSM) at mga manggagawa sa sex, ay nangangailangan ng mga iniakma na pagsisikap sa outreach at pagtugon sa m"&amp;"ga partikular na pangangailangan.
Sa pangkalahatan, ang batas ng Pilipinas ay nagpapakita ng pangako sa pagbabalanse ng pampublikong kalusugan at mga karapatan ng indibidwal para sa PLWHA. Gayunpaman, ang patuloy na pagsisikap ay kinakailangan upang harap"&amp;"in ang mga kasalukuyang hamon at matiyak ang pantay na pag-access sa pangangalagang pangkalusugan, privacy, at kalayaan mula sa diskriminasyon para sa lahat ng apektadong indibidwal.")</f>
        <v>Ang Pilipinas ay gumawa ng mahahalagang hakbang upang matugunan ang mga alalahanin sa kalusugan ng publiko habang itinataguyod ang mga karapatan ng mga indibidwal na may HIV/AIDS (PLWHA) sa pamamagitan ng legal na balangkas nito. Narito ang isang pangkalahatang-ideya:
Access sa Healthcare:
- Ang Republic Act No. 8504 (The Philippine AIDS Prevention and Control Act of 1998) ay tumitiyak sa PLWHA na access sa mahahalagang serbisyong pangkalusugan at panlipunan.
- Ang Republic Act No. 11166 (The Philippine HIV and AIDS Policy Act of 2018) ay nagpapalakas ng access sa HIV testing at treatment, kabilang ang para sa mga menor de edad na walang pahintulot ng magulang, desentralisadong paraan ng pagsusuri, at pinalawak na mga pasilidad sa paggamot.
Privacy:
- Ginagarantiyahan ng RA 8504 ang mga karapatan sa pagkapribado para sa mga indibidwal na may HIV, na nagbabawal sa sapilitang pagsusuri maliban sa ilalim ng mga partikular na legal na probisyon.
Walang diskriminasyon:
- Ipinagbabawal ng RA 8504 ang diskriminasyon laban sa PLWHA sa iba't ibang lugar, kabilang ang trabaho, edukasyon, at access sa mga pampublikong serbisyo.
- Ang RA 11166 ay nagpapatibay sa mga pangakong walang diskriminasyon at nag-uutos sa pagbuo ng mga mekanismo ng pagtugon para sa mga nilabag na karapatan.
Patuloy ang mga Hamon:
- Ang stigma sa paligid ng HIV/AIDS ay nananatiling isang malaking hamon, na humahadlang sa mga tao na maghanap ng pagsusuri at paggamot.
- Maaaring hadlangan ng mga limitasyon sa mapagkukunan ang komprehensibong saklaw at pag-access sa mga pinakabagong teknolohiya.
- Ang pag-abot sa mga marginalized na grupo, tulad ng mga lalaking nakikipagtalik sa mga lalaki (MSM) at mga manggagawa sa sex, ay nangangailangan ng mga iniakma na pagsisikap sa outreach at pagtugon sa mga partikular na pangangailangan.
Sa pangkalahatan, ang batas ng Pilipinas ay nagpapakita ng pangako sa pagbabalanse ng pampublikong kalusugan at mga karapatan ng indibidwal para sa PLWHA. Gayunpaman, ang patuloy na pagsisikap ay kinakailangan upang harapin ang mga kasalukuyang hamon at matiyak ang pantay na pag-access sa pangangalagang pangkalusugan, privacy, at kalayaan mula sa diskriminasyon para sa lahat ng apektadong indibidwal.</v>
      </c>
      <c r="F1825" s="2">
        <f t="shared" si="1"/>
        <v>0</v>
      </c>
      <c r="G1825" s="2"/>
      <c r="H1825" s="2"/>
      <c r="I1825" s="2"/>
      <c r="J1825" s="2"/>
      <c r="K1825" s="2"/>
      <c r="L1825" s="2"/>
      <c r="M1825" s="2"/>
      <c r="N1825" s="2"/>
      <c r="O1825" s="2"/>
      <c r="P1825" s="2"/>
      <c r="Q1825" s="2"/>
      <c r="R1825" s="2"/>
      <c r="S1825" s="2"/>
      <c r="T1825" s="2"/>
      <c r="U1825" s="2"/>
      <c r="V1825" s="2"/>
      <c r="W1825" s="2"/>
      <c r="X1825" s="2"/>
      <c r="Y1825" s="2"/>
      <c r="Z1825" s="2"/>
      <c r="AA1825" s="2"/>
    </row>
    <row r="1826">
      <c r="A1826" s="1" t="s">
        <v>4698</v>
      </c>
      <c r="B1826" s="1" t="s">
        <v>4699</v>
      </c>
      <c r="C1826" s="1" t="s">
        <v>4700</v>
      </c>
      <c r="D1826" s="2" t="str">
        <f>IFERROR(__xludf.DUMMYFUNCTION("GOOGLETRANSLATE(B1826, ""en"", ""TL"")"),"Anong mga kriminal na pagkakasala ang ikinategorya bilang mga krimen sa lansangan sa Pilipinas?")</f>
        <v>Anong mga kriminal na pagkakasala ang ikinategorya bilang mga krimen sa lansangan sa Pilipinas?</v>
      </c>
      <c r="E1826" s="2" t="str">
        <f>IFERROR(__xludf.DUMMYFUNCTION("GOOGLETRANSLATE(C1826, ""en"", ""TL"")"),"Ang mga krimen sa lansangan sa Pilipinas ay tumutukoy sa mga kriminal na pagkakasala na karaniwang nangyayari sa mga pampublikong lugar, tulad ng mga lansangan, bangketa, parke, at iba pang bukas na lugar. Ang mga paglabag na ito ay kadalasang nagsasangko"&amp;"t ng direktang pakikipag-ugnayan sa pagitan ng mga nagkasala at mga biktima at maaaring mangyari nang walang premeditation. Ang ilang karaniwang halimbawa ng mga krimen sa lansangan sa Pilipinas ay kinabibilangan ng:
Pagnanakaw: Ang labag sa batas na pag"&amp;"kuha ng ari-arian ng ibang tao nang walang pahintulot nila, tulad ng pandurukot, pag-agaw ng pitaka, at pagnanakaw ng tindahan.
Pagnanakaw: Ang pagkuha ng ari-arian mula sa agarang pag-aari ng isang tao sa pamamagitan ng puwersa o banta ng puwersa. Kabil"&amp;"ang dito ang mga mugging, hold-up, at armadong pagnanakaw.
Pag-atake: Sinasadyang magdulot ng pisikal na pananakit o pinsala sa ibang tao. Ito ay maaaring may kasamang mga gawa ng karahasan, tulad ng pagsuntok, pagsipa, o pananaksak.
Pagnanakaw ng Mga S"&amp;"asakyang De-motor: Ang hindi awtorisadong pagkuha ng mga sasakyang de-motor, kabilang ang pagnanakaw ng sasakyan at pagnanakaw ng motorsiklo.
Pag-agaw: Ang biglaan at puwersahang pagkuha ng mga personal na gamit, tulad ng mga mobile phone, alahas, o bag,"&amp;" mula sa mga indibidwal sa mga pampublikong lugar.
Mga Krimen na may kaugnayan sa droga: Mga paglabag na nauugnay sa iligal na pagmamay-ari, pamamahagi, o trafficking ng mga droga, kabilang ang pangangalakal ng droga sa antas ng kalye at paggamit ng drog"&amp;"a sa mga pampublikong lugar.
Pampublikong Pagkalasing: Ang pagiging lasing o nasa ilalim ng impluwensya ng mga droga sa mga pampublikong lugar, na maaaring humantong sa hindi maayos na pag-uugali o kaguluhan.
Vandalism: Sinasadyang pagsira o pagsira sa "&amp;"pampubliko o pribadong ari-arian, kabilang ang graffiti, pinsala sa ari-arian, at pagkasira ng pampublikong imprastraktura.
Mga Pagkagambala sa Publiko: Hindi maayos na pag-uugali, pakikipag-away sa publiko, at iba pang kaguluhan na sumisira sa kaayusan "&amp;"at kapayapaan ng publiko.
Ilegal na Pagsusugal: Paglahok sa o pag-aayos ng mga hindi awtorisadong aktibidad sa pagsusugal sa mga pampublikong lugar, tulad ng mga laro ng card o pagtaya sa mga kanto ng kalye.")</f>
        <v>Ang mga krimen sa lansangan sa Pilipinas ay tumutukoy sa mga kriminal na pagkakasala na karaniwang nangyayari sa mga pampublikong lugar, tulad ng mga lansangan, bangketa, parke, at iba pang bukas na lugar. Ang mga paglabag na ito ay kadalasang nagsasangkot ng direktang pakikipag-ugnayan sa pagitan ng mga nagkasala at mga biktima at maaaring mangyari nang walang premeditation. Ang ilang karaniwang halimbawa ng mga krimen sa lansangan sa Pilipinas ay kinabibilangan ng:
Pagnanakaw: Ang labag sa batas na pagkuha ng ari-arian ng ibang tao nang walang pahintulot nila, tulad ng pandurukot, pag-agaw ng pitaka, at pagnanakaw ng tindahan.
Pagnanakaw: Ang pagkuha ng ari-arian mula sa agarang pag-aari ng isang tao sa pamamagitan ng puwersa o banta ng puwersa. Kabilang dito ang mga mugging, hold-up, at armadong pagnanakaw.
Pag-atake: Sinasadyang magdulot ng pisikal na pananakit o pinsala sa ibang tao. Ito ay maaaring may kasamang mga gawa ng karahasan, tulad ng pagsuntok, pagsipa, o pananaksak.
Pagnanakaw ng Mga Sasakyang De-motor: Ang hindi awtorisadong pagkuha ng mga sasakyang de-motor, kabilang ang pagnanakaw ng sasakyan at pagnanakaw ng motorsiklo.
Pag-agaw: Ang biglaan at puwersahang pagkuha ng mga personal na gamit, tulad ng mga mobile phone, alahas, o bag, mula sa mga indibidwal sa mga pampublikong lugar.
Mga Krimen na may kaugnayan sa droga: Mga paglabag na nauugnay sa iligal na pagmamay-ari, pamamahagi, o trafficking ng mga droga, kabilang ang pangangalakal ng droga sa antas ng kalye at paggamit ng droga sa mga pampublikong lugar.
Pampublikong Pagkalasing: Ang pagiging lasing o nasa ilalim ng impluwensya ng mga droga sa mga pampublikong lugar, na maaaring humantong sa hindi maayos na pag-uugali o kaguluhan.
Vandalism: Sinasadyang pagsira o pagsira sa pampubliko o pribadong ari-arian, kabilang ang graffiti, pinsala sa ari-arian, at pagkasira ng pampublikong imprastraktura.
Mga Pagkagambala sa Publiko: Hindi maayos na pag-uugali, pakikipag-away sa publiko, at iba pang kaguluhan na sumisira sa kaayusan at kapayapaan ng publiko.
Ilegal na Pagsusugal: Paglahok sa o pag-aayos ng mga hindi awtorisadong aktibidad sa pagsusugal sa mga pampublikong lugar, tulad ng mga laro ng card o pagtaya sa mga kanto ng kalye.</v>
      </c>
      <c r="F1826" s="2">
        <f t="shared" si="1"/>
        <v>0</v>
      </c>
      <c r="G1826" s="2"/>
      <c r="H1826" s="2"/>
      <c r="I1826" s="2"/>
      <c r="J1826" s="2"/>
      <c r="K1826" s="2"/>
      <c r="L1826" s="2"/>
      <c r="M1826" s="2"/>
      <c r="N1826" s="2"/>
      <c r="O1826" s="2"/>
      <c r="P1826" s="2"/>
      <c r="Q1826" s="2"/>
      <c r="R1826" s="2"/>
      <c r="S1826" s="2"/>
      <c r="T1826" s="2"/>
      <c r="U1826" s="2"/>
      <c r="V1826" s="2"/>
      <c r="W1826" s="2"/>
      <c r="X1826" s="2"/>
      <c r="Y1826" s="2"/>
      <c r="Z1826" s="2"/>
      <c r="AA1826" s="2"/>
    </row>
    <row r="1827">
      <c r="A1827" s="1" t="s">
        <v>4698</v>
      </c>
      <c r="B1827" s="1" t="s">
        <v>4701</v>
      </c>
      <c r="C1827" s="1" t="s">
        <v>4702</v>
      </c>
      <c r="D1827" s="2" t="str">
        <f>IFERROR(__xludf.DUMMYFUNCTION("GOOGLETRANSLATE(B1827, ""en"", ""TL"")"),"Paano tinutukoy at inuuri ng batas ng Pilipinas ang pagnanakaw bilang isang krimen sa lansangan?")</f>
        <v>Paano tinutukoy at inuuri ng batas ng Pilipinas ang pagnanakaw bilang isang krimen sa lansangan?</v>
      </c>
      <c r="E1827" s="2" t="str">
        <f>IFERROR(__xludf.DUMMYFUNCTION("GOOGLETRANSLATE(C1827, ""en"", ""TL"")"),"Sa Pilipinas, ang pagnanakaw ay tinukoy at inuri bilang isang seryosong krimen sa ilalim ng Binagong Kodigo Penal. Ang pagnanakaw ay karaniwang binibigyang kahulugan bilang pagkuha ng personal na ari-arian na pagmamay-ari ng iba, na may layuning makakuha,"&amp;" sa pamamagitan ng karahasan laban o pananakot sa sinumang tao, o sa pamamagitan ng paggamit ng puwersa sa mga bagay.
Ang pagnanakaw ay maaaring higit pang uriin batay sa iba't ibang mga kadahilanan, kabilang ang lokasyon kung saan nangyari ang krimen. K"&amp;"apag ang pagnanakaw ay nangyari sa isang pampublikong lugar, tulad ng sa kalye, bangketa, parke, o anumang iba pang bukas na lugar na mapupuntahan ng publiko, ito ay karaniwang tinutukoy bilang ""street robbery"" o ""street crime.""
Karaniwang kinabibila"&amp;"ngan ng mga sumusunod na elemento ang pagnanakaw sa kalye sa Pilipinas:
Pagkuha ng Ari-arian: Ang salarin ay kumukuha o nagtatangkang kumuha ng personal na ari-arian mula sa isa pang indibidwal o grupo ng mga indibidwal.
Paggamit ng Karahasan o Pananako"&amp;"t: Gumagamit ng puwersa, karahasan, o pananakot ang salarin upang pilitin ang biktima na isuko ang kanilang ari-arian. Ito ay maaaring may kasamang pisikal na pag-atake, pagbatak ng mga armas, o pasalitang pananakot upang magtanim ng takot sa biktima.
Lo"&amp;"kasyon: Ang pagnanakaw ay nangyayari sa isang pampublikong espasyo, tulad ng isang kalye, eskinita, palengke, o anumang iba pang lugar na mapupuntahan ng publiko.
Kawalan ng Prearrangement: Hindi tulad ng binalak o organisadong pagnanakaw, ang mga pagnan"&amp;"akaw sa kalye ay karaniwang nangyayari nang kusang-loob, nang walang paunang pagpaplano o koordinasyon sa mga may kasalanan.
Sa ilalim ng batas ng Pilipinas, ang pagnanakaw sa kalye ay itinuturing na isang seryosong krimen at maaaring parusahan ng pagkak"&amp;"ulong at/o mga multa. Ang kalubhaan ng mga parusa ay maaaring mag-iba depende sa mga salik tulad ng halaga ng ari-arian na ninakaw, ang pagkakaroon ng nagpapalubha na mga pangyayari, at ang paggamit ng karahasan o pananakot sa panahon ng paggawa ng krimen"&amp;".")</f>
        <v>Sa Pilipinas, ang pagnanakaw ay tinukoy at inuri bilang isang seryosong krimen sa ilalim ng Binagong Kodigo Penal. Ang pagnanakaw ay karaniwang binibigyang kahulugan bilang pagkuha ng personal na ari-arian na pagmamay-ari ng iba, na may layuning makakuha, sa pamamagitan ng karahasan laban o pananakot sa sinumang tao, o sa pamamagitan ng paggamit ng puwersa sa mga bagay.
Ang pagnanakaw ay maaaring higit pang uriin batay sa iba't ibang mga kadahilanan, kabilang ang lokasyon kung saan nangyari ang krimen. Kapag ang pagnanakaw ay nangyari sa isang pampublikong lugar, tulad ng sa kalye, bangketa, parke, o anumang iba pang bukas na lugar na mapupuntahan ng publiko, ito ay karaniwang tinutukoy bilang "street robbery" o "street crime."
Karaniwang kinabibilangan ng mga sumusunod na elemento ang pagnanakaw sa kalye sa Pilipinas:
Pagkuha ng Ari-arian: Ang salarin ay kumukuha o nagtatangkang kumuha ng personal na ari-arian mula sa isa pang indibidwal o grupo ng mga indibidwal.
Paggamit ng Karahasan o Pananakot: Gumagamit ng puwersa, karahasan, o pananakot ang salarin upang pilitin ang biktima na isuko ang kanilang ari-arian. Ito ay maaaring may kasamang pisikal na pag-atake, pagbatak ng mga armas, o pasalitang pananakot upang magtanim ng takot sa biktima.
Lokasyon: Ang pagnanakaw ay nangyayari sa isang pampublikong espasyo, tulad ng isang kalye, eskinita, palengke, o anumang iba pang lugar na mapupuntahan ng publiko.
Kawalan ng Prearrangement: Hindi tulad ng binalak o organisadong pagnanakaw, ang mga pagnanakaw sa kalye ay karaniwang nangyayari nang kusang-loob, nang walang paunang pagpaplano o koordinasyon sa mga may kasalanan.
Sa ilalim ng batas ng Pilipinas, ang pagnanakaw sa kalye ay itinuturing na isang seryosong krimen at maaaring parusahan ng pagkakulong at/o mga multa. Ang kalubhaan ng mga parusa ay maaaring mag-iba depende sa mga salik tulad ng halaga ng ari-arian na ninakaw, ang pagkakaroon ng nagpapalubha na mga pangyayari, at ang paggamit ng karahasan o pananakot sa panahon ng paggawa ng krimen.</v>
      </c>
      <c r="F1827" s="2">
        <f t="shared" si="1"/>
        <v>0</v>
      </c>
      <c r="G1827" s="2"/>
      <c r="H1827" s="2"/>
      <c r="I1827" s="2"/>
      <c r="J1827" s="2"/>
      <c r="K1827" s="2"/>
      <c r="L1827" s="2"/>
      <c r="M1827" s="2"/>
      <c r="N1827" s="2"/>
      <c r="O1827" s="2"/>
      <c r="P1827" s="2"/>
      <c r="Q1827" s="2"/>
      <c r="R1827" s="2"/>
      <c r="S1827" s="2"/>
      <c r="T1827" s="2"/>
      <c r="U1827" s="2"/>
      <c r="V1827" s="2"/>
      <c r="W1827" s="2"/>
      <c r="X1827" s="2"/>
      <c r="Y1827" s="2"/>
      <c r="Z1827" s="2"/>
      <c r="AA1827" s="2"/>
    </row>
    <row r="1828">
      <c r="A1828" s="1" t="s">
        <v>4698</v>
      </c>
      <c r="B1828" s="1" t="s">
        <v>4703</v>
      </c>
      <c r="C1828" s="1" t="s">
        <v>4704</v>
      </c>
      <c r="D1828" s="2" t="str">
        <f>IFERROR(__xludf.DUMMYFUNCTION("GOOGLETRANSLATE(B1828, ""en"", ""TL"")"),"Anong mga parusa ang ipinapataw sa pag-agaw ng mga personal na gamit sa mga pampublikong lugar sa ilalim ng batas ng Pilipinas?")</f>
        <v>Anong mga parusa ang ipinapataw sa pag-agaw ng mga personal na gamit sa mga pampublikong lugar sa ilalim ng batas ng Pilipinas?</v>
      </c>
      <c r="E1828" s="2" t="str">
        <f>IFERROR(__xludf.DUMMYFUNCTION("GOOGLETRANSLATE(C1828, ""en"", ""TL"")"),"Sa ilalim ng batas ng Pilipinas, ang pag-agaw ng mga personal na gamit sa mga pampublikong lugar ay karaniwang itinuturing na pagnanakaw o pagnanakaw, depende sa mga pangyayari ng krimen. Ang mga parusa na ipinataw para sa mga naturang pagkakasala ay nag-"&amp;"iiba depende sa halaga ng ari-arian na ninakaw, ang paggamit ng karahasan o pananakot, at iba pang nagpapalubha na mga salik.
Pagnanakaw: Kung ang pagkilos ng pag-agaw ng mga personal na ari-arian ay walang karahasan o pananakot, karaniwan itong nauuri b"&amp;"ilang pagnanakaw. Ang mga parusa sa pagnanakaw ay nakabalangkas sa Revised Penal Code of the Philippines. Ang parusa para sa pagnanakaw ay nakasalalay sa halaga ng ari-arian na ninakaw:
Kung ang halaga ng ari-arian na ninakaw ay mas mababa sa 10,000 peso"&amp;"s, ang krimen ay nauuri bilang ""theft of property of small value"" at mapaparusahan ng arresto mayor (pagkakulong ng 1 buwan at 1 araw hanggang 6 na buwan) hanggang sa prision correccional (pagkakulong para sa 6 na buwan at 1 araw hanggang 6 na taon).
K"&amp;"ung ang halaga ng ari-arian na ninakaw ay 10,000 pesos o higit pa, ang krimen ay mapaparusahan ng prison mayor (pagkakulong ng 6 na taon at 1 araw hanggang 12 taon).
Pagnanakaw: Kung ang pagkilos ng pag-agaw ay may kasamang karahasan o pananakot, ito ay "&amp;"nauuri bilang pagnanakaw. Ang pagnanakaw ay itinuturing na isang mas malubhang pagkakasala kumpara sa pagnanakaw, at ang mga parusa ay katumbas na mas mataas. Ang parusa para sa pagnanakaw ay nakabalangkas sa Revised Penal Code at maaaring kabilangan ng p"&amp;"agkakulong sa minimum na 6 taon at 1 araw hanggang sa maximum na 20 taon.
Bilang karagdagan sa pagkakulong, ang mga indibidwal na nahatulan ng pagnanakaw o pagnanakaw ay maaari ding hilingin na magbayad ng multa at/o bayaran ang biktima para sa halaga ng"&amp;" ninakaw na ari-arian. Ang eksaktong mga parusa na ipinataw ng hukuman ay maaaring mag-iba depende sa partikular na mga pangyayari ng kaso at sa pagpapasya ng hukom.")</f>
        <v>Sa ilalim ng batas ng Pilipinas, ang pag-agaw ng mga personal na gamit sa mga pampublikong lugar ay karaniwang itinuturing na pagnanakaw o pagnanakaw, depende sa mga pangyayari ng krimen. Ang mga parusa na ipinataw para sa mga naturang pagkakasala ay nag-iiba depende sa halaga ng ari-arian na ninakaw, ang paggamit ng karahasan o pananakot, at iba pang nagpapalubha na mga salik.
Pagnanakaw: Kung ang pagkilos ng pag-agaw ng mga personal na ari-arian ay walang karahasan o pananakot, karaniwan itong nauuri bilang pagnanakaw. Ang mga parusa sa pagnanakaw ay nakabalangkas sa Revised Penal Code of the Philippines. Ang parusa para sa pagnanakaw ay nakasalalay sa halaga ng ari-arian na ninakaw:
Kung ang halaga ng ari-arian na ninakaw ay mas mababa sa 10,000 pesos, ang krimen ay nauuri bilang "theft of property of small value" at mapaparusahan ng arresto mayor (pagkakulong ng 1 buwan at 1 araw hanggang 6 na buwan) hanggang sa prision correccional (pagkakulong para sa 6 na buwan at 1 araw hanggang 6 na taon).
Kung ang halaga ng ari-arian na ninakaw ay 10,000 pesos o higit pa, ang krimen ay mapaparusahan ng prison mayor (pagkakulong ng 6 na taon at 1 araw hanggang 12 taon).
Pagnanakaw: Kung ang pagkilos ng pag-agaw ay may kasamang karahasan o pananakot, ito ay nauuri bilang pagnanakaw. Ang pagnanakaw ay itinuturing na isang mas malubhang pagkakasala kumpara sa pagnanakaw, at ang mga parusa ay katumbas na mas mataas. Ang parusa para sa pagnanakaw ay nakabalangkas sa Revised Penal Code at maaaring kabilangan ng pagkakulong sa minimum na 6 taon at 1 araw hanggang sa maximum na 20 taon.
Bilang karagdagan sa pagkakulong, ang mga indibidwal na nahatulan ng pagnanakaw o pagnanakaw ay maaari ding hilingin na magbayad ng multa at/o bayaran ang biktima para sa halaga ng ninakaw na ari-arian. Ang eksaktong mga parusa na ipinataw ng hukuman ay maaaring mag-iba depende sa partikular na mga pangyayari ng kaso at sa pagpapasya ng hukom.</v>
      </c>
      <c r="F1828" s="2">
        <f t="shared" si="1"/>
        <v>0</v>
      </c>
      <c r="G1828" s="2"/>
      <c r="H1828" s="2"/>
      <c r="I1828" s="2"/>
      <c r="J1828" s="2"/>
      <c r="K1828" s="2"/>
      <c r="L1828" s="2"/>
      <c r="M1828" s="2"/>
      <c r="N1828" s="2"/>
      <c r="O1828" s="2"/>
      <c r="P1828" s="2"/>
      <c r="Q1828" s="2"/>
      <c r="R1828" s="2"/>
      <c r="S1828" s="2"/>
      <c r="T1828" s="2"/>
      <c r="U1828" s="2"/>
      <c r="V1828" s="2"/>
      <c r="W1828" s="2"/>
      <c r="X1828" s="2"/>
      <c r="Y1828" s="2"/>
      <c r="Z1828" s="2"/>
      <c r="AA1828" s="2"/>
    </row>
    <row r="1829">
      <c r="A1829" s="1" t="s">
        <v>4698</v>
      </c>
      <c r="B1829" s="1" t="s">
        <v>4705</v>
      </c>
      <c r="C1829" s="1" t="s">
        <v>4706</v>
      </c>
      <c r="D1829" s="2" t="str">
        <f>IFERROR(__xludf.DUMMYFUNCTION("GOOGLETRANSLATE(B1829, ""en"", ""TL"")"),"Sa ilalim ng anong mga pangyayari ang isang tao ay maaaring makasuhan ng pagtambay bilang isang krimen sa lansangan?")</f>
        <v>Sa ilalim ng anong mga pangyayari ang isang tao ay maaaring makasuhan ng pagtambay bilang isang krimen sa lansangan?</v>
      </c>
      <c r="E1829" s="2" t="str">
        <f>IFERROR(__xludf.DUMMYFUNCTION("GOOGLETRANSLATE(C1829, ""en"", ""TL"")"),"Sa Pilipinas, ang pagtambay ay karaniwang hindi malinaw na tinukoy bilang isang krimen mismo. Gayunpaman, maaaring maparusahan ang ilang partikular na gawain ng pagtambay o pagtatagal sa mga pampublikong lugar sa ilalim ng mga lokal na ordinansa o regulas"&amp;"yon, lalo na kung ang mga ito ay itinuring na nakakagambala, nagdudulot ng banta sa kaligtasan ng publiko, o lumalabag sa mga partikular na panuntunang itinatag ng mga lokal na awtoridad.
Sa ilalim ng batas ng Pilipinas, ang pagtambay ay maaaring ituring"&amp;" na isang krimen sa lansangan o isang paglabag sa pampublikong kaayusan sa ilalim ng mga sumusunod na pangyayari:
Paglabag sa mga Lokal na Ordinansa: Maraming mga lungsod at munisipalidad sa Pilipinas ang may mga ordinansa o regulasyon na nagbabawal sa p"&amp;"agtambay o pagtatagal sa ilang partikular na lugar, partikular sa mga parke, mga pampublikong plaza, pamilihan, at iba pang pampublikong espasyo. Ang mga ordinansang ito ay maaaring isabatas upang mapanatili ang kaayusan ng publiko, maiwasan ang paglalaga"&amp;"lag, o matugunan ang mga alalahanin na may kaugnayan sa kaligtasan at kalinisan ng publiko. Ang mga indibidwal na mahahanap na lumalabag sa mga naturang ordinansa ay maaaring hulihin ng mga awtoridad na nagpapatupad ng batas at kasuhan ng paglabag.
Hinal"&amp;"a ng Kriminal na Aktibidad: Ang mga opisyal ng pagpapatupad ng batas ay maaaring pigilan ang mga indibidwal na gumagala sa mga pampublikong lugar kung mayroon silang makatwirang hinala na ang tao ay nasasangkot sa kriminal na aktibidad o malapit nang guma"&amp;"wa ng krimen. Sa ganitong mga kaso, ang indibidwal ay maaaring makulong para sa karagdagang pagtatanong o pagsisiyasat, at kung may makitang ebidensya ng kriminal na maling gawain, maaari silang kasuhan ng mga nauugnay na pagkakasala.
Pagkagambala sa Pam"&amp;"publikong Kaayusan: Ang paglalagalag na nakakagambala sa pampublikong kaayusan, nagdudulot ng mga kaguluhan, o lumilikha ng istorbo ay maaaring sumailalim sa legal na aksyon. Halimbawa, ang mga indibidwal na nagsasagawa ng agresibong panhandling, pagkalas"&amp;"ing sa publiko, hindi maayos na pag-uugali, o humahadlang sa trapiko ng pedestrian ay maaaring kasuhan ng mga pagkakasala na may kaugnayan sa kaayusan ng publiko o mga kaguluhan.")</f>
        <v>Sa Pilipinas, ang pagtambay ay karaniwang hindi malinaw na tinukoy bilang isang krimen mismo. Gayunpaman, maaaring maparusahan ang ilang partikular na gawain ng pagtambay o pagtatagal sa mga pampublikong lugar sa ilalim ng mga lokal na ordinansa o regulasyon, lalo na kung ang mga ito ay itinuring na nakakagambala, nagdudulot ng banta sa kaligtasan ng publiko, o lumalabag sa mga partikular na panuntunang itinatag ng mga lokal na awtoridad.
Sa ilalim ng batas ng Pilipinas, ang pagtambay ay maaaring ituring na isang krimen sa lansangan o isang paglabag sa pampublikong kaayusan sa ilalim ng mga sumusunod na pangyayari:
Paglabag sa mga Lokal na Ordinansa: Maraming mga lungsod at munisipalidad sa Pilipinas ang may mga ordinansa o regulasyon na nagbabawal sa pagtambay o pagtatagal sa ilang partikular na lugar, partikular sa mga parke, mga pampublikong plaza, pamilihan, at iba pang pampublikong espasyo. Ang mga ordinansang ito ay maaaring isabatas upang mapanatili ang kaayusan ng publiko, maiwasan ang paglalagalag, o matugunan ang mga alalahanin na may kaugnayan sa kaligtasan at kalinisan ng publiko. Ang mga indibidwal na mahahanap na lumalabag sa mga naturang ordinansa ay maaaring hulihin ng mga awtoridad na nagpapatupad ng batas at kasuhan ng paglabag.
Hinala ng Kriminal na Aktibidad: Ang mga opisyal ng pagpapatupad ng batas ay maaaring pigilan ang mga indibidwal na gumagala sa mga pampublikong lugar kung mayroon silang makatwirang hinala na ang tao ay nasasangkot sa kriminal na aktibidad o malapit nang gumawa ng krimen. Sa ganitong mga kaso, ang indibidwal ay maaaring makulong para sa karagdagang pagtatanong o pagsisiyasat, at kung may makitang ebidensya ng kriminal na maling gawain, maaari silang kasuhan ng mga nauugnay na pagkakasala.
Pagkagambala sa Pampublikong Kaayusan: Ang paglalagalag na nakakagambala sa pampublikong kaayusan, nagdudulot ng mga kaguluhan, o lumilikha ng istorbo ay maaaring sumailalim sa legal na aksyon. Halimbawa, ang mga indibidwal na nagsasagawa ng agresibong panhandling, pagkalasing sa publiko, hindi maayos na pag-uugali, o humahadlang sa trapiko ng pedestrian ay maaaring kasuhan ng mga pagkakasala na may kaugnayan sa kaayusan ng publiko o mga kaguluhan.</v>
      </c>
      <c r="F1829" s="2">
        <f t="shared" si="1"/>
        <v>0</v>
      </c>
      <c r="G1829" s="2"/>
      <c r="H1829" s="2"/>
      <c r="I1829" s="2"/>
      <c r="J1829" s="2"/>
      <c r="K1829" s="2"/>
      <c r="L1829" s="2"/>
      <c r="M1829" s="2"/>
      <c r="N1829" s="2"/>
      <c r="O1829" s="2"/>
      <c r="P1829" s="2"/>
      <c r="Q1829" s="2"/>
      <c r="R1829" s="2"/>
      <c r="S1829" s="2"/>
      <c r="T1829" s="2"/>
      <c r="U1829" s="2"/>
      <c r="V1829" s="2"/>
      <c r="W1829" s="2"/>
      <c r="X1829" s="2"/>
      <c r="Y1829" s="2"/>
      <c r="Z1829" s="2"/>
      <c r="AA1829" s="2"/>
    </row>
    <row r="1830">
      <c r="A1830" s="1" t="s">
        <v>4698</v>
      </c>
      <c r="B1830" s="1" t="s">
        <v>4707</v>
      </c>
      <c r="C1830" s="1" t="s">
        <v>4708</v>
      </c>
      <c r="D1830" s="2" t="str">
        <f>IFERROR(__xludf.DUMMYFUNCTION("GOOGLETRANSLATE(B1830, ""en"", ""TL"")"),"Ano ang bumubuo sa pagkakasala ng paninira o malicious mischief sa pampublikong ari-arian?")</f>
        <v>Ano ang bumubuo sa pagkakasala ng paninira o malicious mischief sa pampublikong ari-arian?</v>
      </c>
      <c r="E1830" s="2" t="str">
        <f>IFERROR(__xludf.DUMMYFUNCTION("GOOGLETRANSLATE(C1830, ""en"", ""TL"")"),"Sa Pilipinas, ang paninira o malicious mischief sa pampublikong ari-arian ay itinuturing na isang criminal offense sa ilalim ng Revised Penal Code. Ang pagkakasala ay tinukoy at pinarusahan sa ilalim ng Artikulo 327 ng Revised Penal Code, na sumasaklaw sa"&amp;" malisyosong kapilyuhan.
Ang malisyosong kalokohan ay ginagawa kapag ang isang indibidwal ay kusa at labag sa batas na nagdulot ng pinsala sa ari-arian ng iba, kabilang ang pampublikong ari-arian, alinman sa pamamagitan ng:
Nagdudulot ng pinsala sa mism"&amp;"ong ari-arian, tulad ng pagsira, pagsira, pagsira, o pagsira sa pagiging kapaki-pakinabang o halaga nito; o
Nagdudulot ng pinsala sa dekorasyon ng ari-arian o iba pang mga bagay na may pansining o makasaysayang halaga.
Kabilang sa mga halimbawa ng mga k"&amp;"ilos na maaaring bumuo ng malisyosong kalokohan o paninira sa pampublikong ari-arian ang:
Sinisira ang mga pampublikong monumento, estatwa, o gusali sa pamamagitan ng pagpipinta ng graffiti sa mga ito.
Sinisira ang mga pampublikong imprastraktura tulad "&amp;"ng mga karatula sa kalye, mga ilaw ng trapiko, o mga bangko ng parke.
Pagbasag ng mga bintana o pagkasira ng mga pinto ng mga gusali ng gobyerno o pampublikong pasilidad.
Pagsira o pagsira sa mga pampublikong instalasyon o eskultura.
Nakakapinsala sa m"&amp;"ga pampublikong sasakyan, gaya ng mga bus, tren, o tram.
Sa ilalim ng batas ng Pilipinas, ang mga parusa para sa malicious mischief ay nag-iiba depende sa halaga ng pinsalang dulot at sa mga partikular na pangyayari ng pagkakasala. Kung ang pinsala ay na"&amp;"gkakahalaga ng 1,000 piso o mas mababa, ang pagkakasala ay itinuturing na bahagyang malicious mischief at mapaparusahan ng arresto menor (pagkakulong ng 1 araw hanggang 30 araw) o multa. Kung ang pinsala ay lumampas sa 1,000 piso, ang pagkakasala ay itutu"&amp;"ring na hindi gaanong seryoso o seryosong malicious mischief at mapaparusahan ng mas mataas na parusa, kabilang ang pagkakulong at multa.")</f>
        <v>Sa Pilipinas, ang paninira o malicious mischief sa pampublikong ari-arian ay itinuturing na isang criminal offense sa ilalim ng Revised Penal Code. Ang pagkakasala ay tinukoy at pinarusahan sa ilalim ng Artikulo 327 ng Revised Penal Code, na sumasaklaw sa malisyosong kapilyuhan.
Ang malisyosong kalokohan ay ginagawa kapag ang isang indibidwal ay kusa at labag sa batas na nagdulot ng pinsala sa ari-arian ng iba, kabilang ang pampublikong ari-arian, alinman sa pamamagitan ng:
Nagdudulot ng pinsala sa mismong ari-arian, tulad ng pagsira, pagsira, pagsira, o pagsira sa pagiging kapaki-pakinabang o halaga nito; o
Nagdudulot ng pinsala sa dekorasyon ng ari-arian o iba pang mga bagay na may pansining o makasaysayang halaga.
Kabilang sa mga halimbawa ng mga kilos na maaaring bumuo ng malisyosong kalokohan o paninira sa pampublikong ari-arian ang:
Sinisira ang mga pampublikong monumento, estatwa, o gusali sa pamamagitan ng pagpipinta ng graffiti sa mga ito.
Sinisira ang mga pampublikong imprastraktura tulad ng mga karatula sa kalye, mga ilaw ng trapiko, o mga bangko ng parke.
Pagbasag ng mga bintana o pagkasira ng mga pinto ng mga gusali ng gobyerno o pampublikong pasilidad.
Pagsira o pagsira sa mga pampublikong instalasyon o eskultura.
Nakakapinsala sa mga pampublikong sasakyan, gaya ng mga bus, tren, o tram.
Sa ilalim ng batas ng Pilipinas, ang mga parusa para sa malicious mischief ay nag-iiba depende sa halaga ng pinsalang dulot at sa mga partikular na pangyayari ng pagkakasala. Kung ang pinsala ay nagkakahalaga ng 1,000 piso o mas mababa, ang pagkakasala ay itinuturing na bahagyang malicious mischief at mapaparusahan ng arresto menor (pagkakulong ng 1 araw hanggang 30 araw) o multa. Kung ang pinsala ay lumampas sa 1,000 piso, ang pagkakasala ay ituturing na hindi gaanong seryoso o seryosong malicious mischief at mapaparusahan ng mas mataas na parusa, kabilang ang pagkakulong at multa.</v>
      </c>
      <c r="F1830" s="2">
        <f t="shared" si="1"/>
        <v>0</v>
      </c>
      <c r="G1830" s="2"/>
      <c r="H1830" s="2"/>
      <c r="I1830" s="2"/>
      <c r="J1830" s="2"/>
      <c r="K1830" s="2"/>
      <c r="L1830" s="2"/>
      <c r="M1830" s="2"/>
      <c r="N1830" s="2"/>
      <c r="O1830" s="2"/>
      <c r="P1830" s="2"/>
      <c r="Q1830" s="2"/>
      <c r="R1830" s="2"/>
      <c r="S1830" s="2"/>
      <c r="T1830" s="2"/>
      <c r="U1830" s="2"/>
      <c r="V1830" s="2"/>
      <c r="W1830" s="2"/>
      <c r="X1830" s="2"/>
      <c r="Y1830" s="2"/>
      <c r="Z1830" s="2"/>
      <c r="AA1830" s="2"/>
    </row>
    <row r="1831">
      <c r="A1831" s="1" t="s">
        <v>4698</v>
      </c>
      <c r="B1831" s="1" t="s">
        <v>4709</v>
      </c>
      <c r="C1831" s="1" t="s">
        <v>4710</v>
      </c>
      <c r="D1831" s="2" t="str">
        <f>IFERROR(__xludf.DUMMYFUNCTION("GOOGLETRANSLATE(B1831, ""en"", ""TL"")"),"Paano binibigyang kahulugan at pinarurusahan sa ilalim ng batas ng Pilipinas ang krimen ng pickpocketing?")</f>
        <v>Paano binibigyang kahulugan at pinarurusahan sa ilalim ng batas ng Pilipinas ang krimen ng pickpocketing?</v>
      </c>
      <c r="E1831" s="2" t="str">
        <f>IFERROR(__xludf.DUMMYFUNCTION("GOOGLETRANSLATE(C1831, ""en"", ""TL"")"),"Sa Pilipinas, ang pickpocketing ay karaniwang itinuturing na isang uri ng pagnanakaw sa ilalim ng Revised Penal Code. Sa partikular, ito ay nasa ilalim ng mas malawak na kategorya ng pagnanakaw sa pamamagitan ng pagkuha, na tinukoy at pinarusahan sa ilali"&amp;"m ng Artikulo 308 ng Binagong Kodigo Penal.
Ang pagnanakaw sa pamamagitan ng pickpocketing ay ginagawa kapag ang isang indibidwal ay labag sa batas na kumuha ng personal na ari-arian mula sa bulsa, pitaka, bag, o mga ari-arian ng ibang tao nang walang pa"&amp;"hintulot ng may-ari at may layuning makakuha para sa kanilang sarili o sa iba, sa pagtatangi ng may-ari.
Ang mga parusa para sa pagnanakaw sa pamamagitan ng pandurukot ay nakasalalay sa halaga ng ari-arian na kinuha at iba pang mga pangyayari na nakapali"&amp;"bot sa pagkakasala. Kung ang halaga ng ari-arian na ninakaw ay mas mababa sa 5,000 piso, ang pagkakasala ay itinuturing na bahagyang pagnanakaw at mapaparusahan ng arresto menor (pagkakulong ng 1 araw hanggang 30 araw) o multa. Kung ang halaga ay lumampas"&amp;" sa 5,000 pesos ngunit hindi lalampas sa 40,000 pesos, ang pagkakasala ay ituturing na hindi gaanong seryosong pagnanakaw at mapaparusahan ng prision correccional (pagkakulong ng 6 na buwan at 1 araw hanggang 6 na taon) o multa.")</f>
        <v>Sa Pilipinas, ang pickpocketing ay karaniwang itinuturing na isang uri ng pagnanakaw sa ilalim ng Revised Penal Code. Sa partikular, ito ay nasa ilalim ng mas malawak na kategorya ng pagnanakaw sa pamamagitan ng pagkuha, na tinukoy at pinarusahan sa ilalim ng Artikulo 308 ng Binagong Kodigo Penal.
Ang pagnanakaw sa pamamagitan ng pickpocketing ay ginagawa kapag ang isang indibidwal ay labag sa batas na kumuha ng personal na ari-arian mula sa bulsa, pitaka, bag, o mga ari-arian ng ibang tao nang walang pahintulot ng may-ari at may layuning makakuha para sa kanilang sarili o sa iba, sa pagtatangi ng may-ari.
Ang mga parusa para sa pagnanakaw sa pamamagitan ng pandurukot ay nakasalalay sa halaga ng ari-arian na kinuha at iba pang mga pangyayari na nakapalibot sa pagkakasala. Kung ang halaga ng ari-arian na ninakaw ay mas mababa sa 5,000 piso, ang pagkakasala ay itinuturing na bahagyang pagnanakaw at mapaparusahan ng arresto menor (pagkakulong ng 1 araw hanggang 30 araw) o multa. Kung ang halaga ay lumampas sa 5,000 pesos ngunit hindi lalampas sa 40,000 pesos, ang pagkakasala ay ituturing na hindi gaanong seryosong pagnanakaw at mapaparusahan ng prision correccional (pagkakulong ng 6 na buwan at 1 araw hanggang 6 na taon) o multa.</v>
      </c>
      <c r="F1831" s="2">
        <f t="shared" si="1"/>
        <v>0</v>
      </c>
      <c r="G1831" s="2"/>
      <c r="H1831" s="2"/>
      <c r="I1831" s="2"/>
      <c r="J1831" s="2"/>
      <c r="K1831" s="2"/>
      <c r="L1831" s="2"/>
      <c r="M1831" s="2"/>
      <c r="N1831" s="2"/>
      <c r="O1831" s="2"/>
      <c r="P1831" s="2"/>
      <c r="Q1831" s="2"/>
      <c r="R1831" s="2"/>
      <c r="S1831" s="2"/>
      <c r="T1831" s="2"/>
      <c r="U1831" s="2"/>
      <c r="V1831" s="2"/>
      <c r="W1831" s="2"/>
      <c r="X1831" s="2"/>
      <c r="Y1831" s="2"/>
      <c r="Z1831" s="2"/>
      <c r="AA1831" s="2"/>
    </row>
    <row r="1832">
      <c r="A1832" s="1" t="s">
        <v>4698</v>
      </c>
      <c r="B1832" s="1" t="s">
        <v>4711</v>
      </c>
      <c r="C1832" s="1" t="s">
        <v>4712</v>
      </c>
      <c r="D1832" s="2" t="str">
        <f>IFERROR(__xludf.DUMMYFUNCTION("GOOGLETRANSLATE(B1832, ""en"", ""TL"")"),"Anong mga legal na probisyon ang tumutugon sa pagkakasala ng pampublikong pagkalasing o paglalasing sa mga pampublikong lugar?")</f>
        <v>Anong mga legal na probisyon ang tumutugon sa pagkakasala ng pampublikong pagkalasing o paglalasing sa mga pampublikong lugar?</v>
      </c>
      <c r="E1832" s="2" t="str">
        <f>IFERROR(__xludf.DUMMYFUNCTION("GOOGLETRANSLATE(C1832, ""en"", ""TL"")"),"Sa Pilipinas, ang pampublikong pagkalasing o paglalasing ay tinutugunan sa ilalim ng mga ordinansa ng munisipyo o mga regulasyon ng lokal na pamahalaan sa halip na mga partikular na pambansang batas. Karaniwang kinokontrol ng mga ordinansang ito ang kaayu"&amp;"san at kaligtasan ng publiko sa loob ng hurisdiksyon ng isang partikular na lokalidad. Bagama't maaaring walang isang pambansang batas na partikular na tumutugon sa pagkalasing sa publiko, ang mga local government unit (LGUs) ay may awtoridad na magpatiba"&amp;"y ng mga ordinansa para mapanatili ang kaayusan at kaligtasan ng publiko, kabilang ang mga probisyon na may kaugnayan sa paglalasing o pagkalasing sa mga pampublikong lugar.
Ang mga lokal na ordinansa ay maaaring mag-iba mula sa isang munisipalidad o lun"&amp;"gsod patungo sa isa pa, ngunit madalas nilang ipinagbabawal ang mga pag-uugali tulad ng:
Ang pagiging lasing sa mga pampublikong lugar
Lumilikha ng mga kaguluhan o nagdudulot ng mga istorbo habang lasing
Pag-inom ng mga inuming nakalalasing sa mga pamp"&amp;"ublikong lugar kung saan ito ay ipinagbabawal
Ang mga parusa para sa pampublikong pagkalasing o paglalasing sa ilalim ng mga lokal na ordinansa ay maaaring kabilang ang mga multa, serbisyo sa komunidad, o pansamantalang pagkulong. Ang mga ahensyang nagpa"&amp;"patupad ng batas, tulad ng Philippine National Police (PNP) o mga lokal na opisyal ng barangay, ang may pananagutan sa pagpapatupad ng mga ordinansang ito at paghuli sa mga indibidwal na lumalabag sa kanila.")</f>
        <v>Sa Pilipinas, ang pampublikong pagkalasing o paglalasing ay tinutugunan sa ilalim ng mga ordinansa ng munisipyo o mga regulasyon ng lokal na pamahalaan sa halip na mga partikular na pambansang batas. Karaniwang kinokontrol ng mga ordinansang ito ang kaayusan at kaligtasan ng publiko sa loob ng hurisdiksyon ng isang partikular na lokalidad. Bagama't maaaring walang isang pambansang batas na partikular na tumutugon sa pagkalasing sa publiko, ang mga local government unit (LGUs) ay may awtoridad na magpatibay ng mga ordinansa para mapanatili ang kaayusan at kaligtasan ng publiko, kabilang ang mga probisyon na may kaugnayan sa paglalasing o pagkalasing sa mga pampublikong lugar.
Ang mga lokal na ordinansa ay maaaring mag-iba mula sa isang munisipalidad o lungsod patungo sa isa pa, ngunit madalas nilang ipinagbabawal ang mga pag-uugali tulad ng:
Ang pagiging lasing sa mga pampublikong lugar
Lumilikha ng mga kaguluhan o nagdudulot ng mga istorbo habang lasing
Pag-inom ng mga inuming nakalalasing sa mga pampublikong lugar kung saan ito ay ipinagbabawal
Ang mga parusa para sa pampublikong pagkalasing o paglalasing sa ilalim ng mga lokal na ordinansa ay maaaring kabilang ang mga multa, serbisyo sa komunidad, o pansamantalang pagkulong. Ang mga ahensyang nagpapatupad ng batas, tulad ng Philippine National Police (PNP) o mga lokal na opisyal ng barangay, ang may pananagutan sa pagpapatupad ng mga ordinansang ito at paghuli sa mga indibidwal na lumalabag sa kanila.</v>
      </c>
      <c r="F1832" s="2">
        <f t="shared" si="1"/>
        <v>0</v>
      </c>
      <c r="G1832" s="2"/>
      <c r="H1832" s="2"/>
      <c r="I1832" s="2"/>
      <c r="J1832" s="2"/>
      <c r="K1832" s="2"/>
      <c r="L1832" s="2"/>
      <c r="M1832" s="2"/>
      <c r="N1832" s="2"/>
      <c r="O1832" s="2"/>
      <c r="P1832" s="2"/>
      <c r="Q1832" s="2"/>
      <c r="R1832" s="2"/>
      <c r="S1832" s="2"/>
      <c r="T1832" s="2"/>
      <c r="U1832" s="2"/>
      <c r="V1832" s="2"/>
      <c r="W1832" s="2"/>
      <c r="X1832" s="2"/>
      <c r="Y1832" s="2"/>
      <c r="Z1832" s="2"/>
      <c r="AA1832" s="2"/>
    </row>
    <row r="1833">
      <c r="A1833" s="1" t="s">
        <v>4698</v>
      </c>
      <c r="B1833" s="1" t="s">
        <v>4713</v>
      </c>
      <c r="C1833" s="1" t="s">
        <v>4714</v>
      </c>
      <c r="D1833" s="2" t="str">
        <f>IFERROR(__xludf.DUMMYFUNCTION("GOOGLETRANSLATE(B1833, ""en"", ""TL"")"),"Ano ang mga parusa sa pagsali sa mga aktibidad ng ilegal na pagsusugal sa mga lansangan?")</f>
        <v>Ano ang mga parusa sa pagsali sa mga aktibidad ng ilegal na pagsusugal sa mga lansangan?</v>
      </c>
      <c r="E1833" s="2" t="str">
        <f>IFERROR(__xludf.DUMMYFUNCTION("GOOGLETRANSLATE(C1833, ""en"", ""TL"")"),"Ang pagsali sa mga aktibidad ng ilegal na pagsusugal sa mga lansangan sa Pilipinas ay isang paglabag sa batas at maaaring humantong sa mga parusa sa ilalim ng iba't ibang mga batas at lokal na ordinansa. Ang mga parusa ay maaaring mag-iba depende sa kalub"&amp;"haan ng pagkakasala at sa mga partikular na batas o ordinansa na ipinapatupad ng mga local government units (LGUs) sa lugar. Narito ang ilang potensyal na parusa para sa pagsali sa mga aktibidad ng ilegal na pagsusugal sa mga lansangan:
Mga multa: Ang mg"&amp;"a indibidwal na mahuling nakikibahagi sa ilegal na pagsusugal ay maaaring pagmultahin ng mga awtoridad na nagpapatupad ng batas. Ang halaga ng multa ay maaaring mag-iba depende sa mga naaangkop na batas o ordinansa at sa pagpapasya ng mga awtoridad.
Pag-"&amp;"aresto at Detensyon: Sa mas malalang kaso o para sa mga umuulit na nagkasala, ang mga indibidwal na sangkot sa mga aktibidad ng ilegal na pagsusugal sa mga lansangan ay maaaring arestuhin at ikulong ng mga ahensyang nagpapatupad ng batas gaya ng Philippin"&amp;"e National Police (PNP).
Pagkumpiska ng Mga Paraphernalia sa Pagsusugal: Maaaring kumpiskahin ng mga awtoridad sa pagpapatupad ng batas ang mga kagamitan sa pagsusugal gaya ng paglalaro ng mga baraha, dice, betting chips, o mga makina sa pagsusugal na gi"&amp;"nagamit sa mga operasyon ng ilegal na pagsusugal sa mga lansangan.
Mga Pagsingil sa Kriminal: Depende sa mga pangyayari at sa mga partikular na batas na nilabag, ang mga indibidwal na sangkot sa mga aktibidad ng ilegal na pagsusugal ay maaaring humarap s"&amp;"a mga kasong kriminal, na maaaring humantong sa higit pang mga legal na kahihinatnan gaya ng pagkakulong o probasyon.
Serbisyo sa Komunidad: Sa ilang mga kaso, ang mga indibidwal na nahatulan ng mga paglabag sa ilegal na pagsusugal ay maaaring kailangani"&amp;"n na magsagawa ng serbisyo sa komunidad bilang bahagi ng kanilang parusa. Maaaring kabilang dito ang mga aktibidad tulad ng paglilinis ng mga pampublikong lugar o paglahok sa mga programa na naglalayong pigilan ang pagkagumon sa pagsusugal.")</f>
        <v>Ang pagsali sa mga aktibidad ng ilegal na pagsusugal sa mga lansangan sa Pilipinas ay isang paglabag sa batas at maaaring humantong sa mga parusa sa ilalim ng iba't ibang mga batas at lokal na ordinansa. Ang mga parusa ay maaaring mag-iba depende sa kalubhaan ng pagkakasala at sa mga partikular na batas o ordinansa na ipinapatupad ng mga local government units (LGUs) sa lugar. Narito ang ilang potensyal na parusa para sa pagsali sa mga aktibidad ng ilegal na pagsusugal sa mga lansangan:
Mga multa: Ang mga indibidwal na mahuling nakikibahagi sa ilegal na pagsusugal ay maaaring pagmultahin ng mga awtoridad na nagpapatupad ng batas. Ang halaga ng multa ay maaaring mag-iba depende sa mga naaangkop na batas o ordinansa at sa pagpapasya ng mga awtoridad.
Pag-aresto at Detensyon: Sa mas malalang kaso o para sa mga umuulit na nagkasala, ang mga indibidwal na sangkot sa mga aktibidad ng ilegal na pagsusugal sa mga lansangan ay maaaring arestuhin at ikulong ng mga ahensyang nagpapatupad ng batas gaya ng Philippine National Police (PNP).
Pagkumpiska ng Mga Paraphernalia sa Pagsusugal: Maaaring kumpiskahin ng mga awtoridad sa pagpapatupad ng batas ang mga kagamitan sa pagsusugal gaya ng paglalaro ng mga baraha, dice, betting chips, o mga makina sa pagsusugal na ginagamit sa mga operasyon ng ilegal na pagsusugal sa mga lansangan.
Mga Pagsingil sa Kriminal: Depende sa mga pangyayari at sa mga partikular na batas na nilabag, ang mga indibidwal na sangkot sa mga aktibidad ng ilegal na pagsusugal ay maaaring humarap sa mga kasong kriminal, na maaaring humantong sa higit pang mga legal na kahihinatnan gaya ng pagkakulong o probasyon.
Serbisyo sa Komunidad: Sa ilang mga kaso, ang mga indibidwal na nahatulan ng mga paglabag sa ilegal na pagsusugal ay maaaring kailanganin na magsagawa ng serbisyo sa komunidad bilang bahagi ng kanilang parusa. Maaaring kabilang dito ang mga aktibidad tulad ng paglilinis ng mga pampublikong lugar o paglahok sa mga programa na naglalayong pigilan ang pagkagumon sa pagsusugal.</v>
      </c>
      <c r="F1833" s="2">
        <f t="shared" si="1"/>
        <v>0</v>
      </c>
      <c r="G1833" s="2"/>
      <c r="H1833" s="2"/>
      <c r="I1833" s="2"/>
      <c r="J1833" s="2"/>
      <c r="K1833" s="2"/>
      <c r="L1833" s="2"/>
      <c r="M1833" s="2"/>
      <c r="N1833" s="2"/>
      <c r="O1833" s="2"/>
      <c r="P1833" s="2"/>
      <c r="Q1833" s="2"/>
      <c r="R1833" s="2"/>
      <c r="S1833" s="2"/>
      <c r="T1833" s="2"/>
      <c r="U1833" s="2"/>
      <c r="V1833" s="2"/>
      <c r="W1833" s="2"/>
      <c r="X1833" s="2"/>
      <c r="Y1833" s="2"/>
      <c r="Z1833" s="2"/>
      <c r="AA1833" s="2"/>
    </row>
    <row r="1834">
      <c r="A1834" s="1" t="s">
        <v>4698</v>
      </c>
      <c r="B1834" s="1" t="s">
        <v>4715</v>
      </c>
      <c r="C1834" s="1" t="s">
        <v>4716</v>
      </c>
      <c r="D1834" s="2" t="str">
        <f>IFERROR(__xludf.DUMMYFUNCTION("GOOGLETRANSLATE(B1834, ""en"", ""TL"")"),"Paano tinutugunan ng batas ng Pilipinas ang krimen ng kaguluhan sa publiko o nakakagambala sa kapayapaan?")</f>
        <v>Paano tinutugunan ng batas ng Pilipinas ang krimen ng kaguluhan sa publiko o nakakagambala sa kapayapaan?</v>
      </c>
      <c r="E1834" s="2" t="str">
        <f>IFERROR(__xludf.DUMMYFUNCTION("GOOGLETRANSLATE(C1834, ""en"", ""TL"")"),"Sa Pilipinas, ang pampublikong kaguluhan o pag-istorbo sa kapayapaan ay pangunahing tinutugunan sa pamamagitan ng mga batas at ordinansa na naglalayong mapanatili ang kaayusan at kaligtasan ng publiko. Bagama't walang partikular na batas na tahasang tumut"&amp;"ukoy at tumutugon sa ""public disorderly conduct"" bilang isang standalone na pagkakasala, iba't ibang mga batas at lokal na ordinansa ang nagbibigay ng kapangyarihan sa mga ahensyang nagpapatupad ng batas at mga local government units (LGUs) na tugunan a"&amp;"ng mga pag-uugaling nakakagambala sa kapayapaan at kaayusan ng publiko.
Mga Lokal na Ordinansa: Maraming LGU ang nagpapatupad ng mga ordinansa na nagbabawal sa mga pag-uugali o pagkilos na nakakagambala sa kapayapaan o nagdudulot ng kaguluhan sa publiko "&amp;"sa loob ng kanilang nasasakupan. Maaaring tukuyin ng mga ordinansang ito ang mga partikular na ipinagbabawal na gawain, tulad ng paglikha ng labis na ingay, pagsasagawa ng hindi masusunod na pag-uugali, o pag-aalinlangan sa mga pampublikong lugar, at pagp"&amp;"ataw ng mga parusa para sa mga paglabag.
Binagong Kodigo Penal: Ang Binagong Kodigo Penal ng Pilipinas ay naglalaman ng mga probisyon na maaaring ilapat sa ilang uri ng hindi maayos na pag-uugali o mga kaguluhan sa kaayusan ng publiko. Halimbawa, pinarus"&amp;"ahan ng Artikulo 153 ang mga kaguluhan at iba pang mga kaguluhan sa kaayusan ng publiko, habang ang Artikulo 155 ay nagpaparusa sa mga alarma at iskandalo na nakakagambala sa katahimikan ng publiko.
Pampublikong Kaayusan at Mga Batas sa Kaligtasan: Ang i"&amp;"ba't ibang batas at regulasyon ay naglalayong mapanatili ang kaayusan at kaligtasan ng publiko, kabilang ang pagpapanatili ng kapayapaan at kaayusan sa panahon ng mga pampublikong pagtitipon o kaganapan. Ang mga ahensyang nagpapatupad ng batas tulad ng Ph"&amp;"ilippine National Police (PNP) ay may tungkuling ipatupad ang mga batas na ito at tiyakin ang kaligtasan ng publiko.
Mga Ordinansa laban sa Polusyon sa Ingay: Maraming LGU ang may mga ordinansa na kumokontrol sa antas ng ingay sa mga residential at komer"&amp;"syal na lugar upang maiwasan ang mga kaguluhan sa kapayapaan at katahimikan ng komunidad.
Mga Batas laban sa Paglalasing at Disorderly Conduct: Bagama't hindi tahasang tinatawag na ""public disorderly conduct,"" ang mga batas at ordinansa na tumutugon sa"&amp;" pampublikong pagkalasing o pag-uugali sa paglalasing ay maaari ding mag-ambag sa pagpapanatili ng kaayusan at kaligtasan ng publiko.")</f>
        <v>Sa Pilipinas, ang pampublikong kaguluhan o pag-istorbo sa kapayapaan ay pangunahing tinutugunan sa pamamagitan ng mga batas at ordinansa na naglalayong mapanatili ang kaayusan at kaligtasan ng publiko. Bagama't walang partikular na batas na tahasang tumutukoy at tumutugon sa "public disorderly conduct" bilang isang standalone na pagkakasala, iba't ibang mga batas at lokal na ordinansa ang nagbibigay ng kapangyarihan sa mga ahensyang nagpapatupad ng batas at mga local government units (LGUs) na tugunan ang mga pag-uugaling nakakagambala sa kapayapaan at kaayusan ng publiko.
Mga Lokal na Ordinansa: Maraming LGU ang nagpapatupad ng mga ordinansa na nagbabawal sa mga pag-uugali o pagkilos na nakakagambala sa kapayapaan o nagdudulot ng kaguluhan sa publiko sa loob ng kanilang nasasakupan. Maaaring tukuyin ng mga ordinansang ito ang mga partikular na ipinagbabawal na gawain, tulad ng paglikha ng labis na ingay, pagsasagawa ng hindi masusunod na pag-uugali, o pag-aalinlangan sa mga pampublikong lugar, at pagpataw ng mga parusa para sa mga paglabag.
Binagong Kodigo Penal: Ang Binagong Kodigo Penal ng Pilipinas ay naglalaman ng mga probisyon na maaaring ilapat sa ilang uri ng hindi maayos na pag-uugali o mga kaguluhan sa kaayusan ng publiko. Halimbawa, pinarusahan ng Artikulo 153 ang mga kaguluhan at iba pang mga kaguluhan sa kaayusan ng publiko, habang ang Artikulo 155 ay nagpaparusa sa mga alarma at iskandalo na nakakagambala sa katahimikan ng publiko.
Pampublikong Kaayusan at Mga Batas sa Kaligtasan: Ang iba't ibang batas at regulasyon ay naglalayong mapanatili ang kaayusan at kaligtasan ng publiko, kabilang ang pagpapanatili ng kapayapaan at kaayusan sa panahon ng mga pampublikong pagtitipon o kaganapan. Ang mga ahensyang nagpapatupad ng batas tulad ng Philippine National Police (PNP) ay may tungkuling ipatupad ang mga batas na ito at tiyakin ang kaligtasan ng publiko.
Mga Ordinansa laban sa Polusyon sa Ingay: Maraming LGU ang may mga ordinansa na kumokontrol sa antas ng ingay sa mga residential at komersyal na lugar upang maiwasan ang mga kaguluhan sa kapayapaan at katahimikan ng komunidad.
Mga Batas laban sa Paglalasing at Disorderly Conduct: Bagama't hindi tahasang tinatawag na "public disorderly conduct," ang mga batas at ordinansa na tumutugon sa pampublikong pagkalasing o pag-uugali sa paglalasing ay maaari ding mag-ambag sa pagpapanatili ng kaayusan at kaligtasan ng publiko.</v>
      </c>
      <c r="F1834" s="2">
        <f t="shared" si="1"/>
        <v>0</v>
      </c>
      <c r="G1834" s="2"/>
      <c r="H1834" s="2"/>
      <c r="I1834" s="2"/>
      <c r="J1834" s="2"/>
      <c r="K1834" s="2"/>
      <c r="L1834" s="2"/>
      <c r="M1834" s="2"/>
      <c r="N1834" s="2"/>
      <c r="O1834" s="2"/>
      <c r="P1834" s="2"/>
      <c r="Q1834" s="2"/>
      <c r="R1834" s="2"/>
      <c r="S1834" s="2"/>
      <c r="T1834" s="2"/>
      <c r="U1834" s="2"/>
      <c r="V1834" s="2"/>
      <c r="W1834" s="2"/>
      <c r="X1834" s="2"/>
      <c r="Y1834" s="2"/>
      <c r="Z1834" s="2"/>
      <c r="AA1834" s="2"/>
    </row>
    <row r="1835">
      <c r="A1835" s="1" t="s">
        <v>4698</v>
      </c>
      <c r="B1835" s="1" t="s">
        <v>4717</v>
      </c>
      <c r="C1835" s="1" t="s">
        <v>4718</v>
      </c>
      <c r="D1835" s="2" t="str">
        <f>IFERROR(__xludf.DUMMYFUNCTION("GOOGLETRANSLATE(B1835, ""en"", ""TL"")"),"Anong mga legal na hakbang ang umiiral upang labanan ang mga paglabag sa droga sa antas ng kalye sa Pilipinas?")</f>
        <v>Anong mga legal na hakbang ang umiiral upang labanan ang mga paglabag sa droga sa antas ng kalye sa Pilipinas?</v>
      </c>
      <c r="E1835" s="2" t="str">
        <f>IFERROR(__xludf.DUMMYFUNCTION("GOOGLETRANSLATE(C1835, ""en"", ""TL"")"),"Sa Pilipinas, ang paglaban sa mga paglabag sa droga sa antas ng kalye ay nagsasangkot ng hanay ng mga legal na hakbang na naglalayong pigilan ang pagbebenta, pamamahagi, at paggamit ng mga ilegal na droga sa mga pampublikong lugar. Ang mga hakbang na ito "&amp;"ay pangunahing ipinapatupad sa pamamagitan ng mga batas, regulasyon, at pagsusumikap sa pagpapatupad ng batas. Narito ang ilang pangunahing legal na hakbang:
Comprehensive Dangerous Drugs Act of 2002: Ang batas na ito, na kilala rin bilang Republic Act N"&amp;"o. 9165, ay nagbibigay ng legal na balangkas para sa pagtugon sa mga pagkakasala na may kaugnayan sa droga sa Pilipinas. Ginagawa nitong kriminal ang iba't ibang aktibidad na may kaugnayan sa ilegal na droga, kabilang ang pagkakaroon, pagbebenta, pamamaha"&amp;"gi, paggawa, at trafficking. Ang batas ay nagpapataw ng matinding parusa, kabilang ang pagkakulong at multa, para sa mga lumabag.
Anti-Drug Abuse Councils (ADACs): Ang Comprehensive Dangerous Drugs Act ay nag-uutos sa pagtatatag ng ADACs sa pambansa, pro"&amp;"binsyal, lungsod, munisipyo, at barangay na antas. Ang mga konsehong ito ay may tungkulin sa koordinasyon at pagpapatupad ng mga programa at inisyatiba laban sa droga sa lokal na antas, kabilang ang pagpigil sa droga, edukasyon, rehabilitasyon, at mga pag"&amp;"sisikap sa pagpapatupad ng batas.
Enhanced Anti-Drug Operations: Ang mga ahensyang nagpapatupad ng batas tulad ng Philippine Drug Enforcement Agency (PDEA) at Philippine National Police (PNP) ay nagsasagawa ng mga operasyon laban sa droga upang hulihin a"&amp;"ng mga indibidwal na sangkot sa mga paglabag sa droga sa antas ng kalye. Maaaring kabilang sa mga operasyong ito ang pagmamatyag, mga operasyong sting, at mga buy-bust operation na nagta-target sa mga tulak ng droga at gumagamit sa mga pampublikong espasy"&amp;"o.
Mga Programa sa Rehabilitasyon na Nakabatay sa Komunidad: Bilang karagdagan sa mga pagsisikap sa pagpapatupad ng batas, isinusulong ng pamahalaan ang mga programang rehabilitasyon na nakabatay sa komunidad upang tugunan ang pagkagumon sa droga at magb"&amp;"igay ng suporta sa mga gumagamit ng droga na naghahanap ng paggaling. Maaaring kabilang sa mga programang ito ang pagpapayo, paggamot, at mga hakbangin sa muling pagsasama-sama ng lipunan na isinasagawa sa pakikipagtulungan ng mga yunit ng lokal na pamaha"&amp;"laan, mga organisasyon ng lipunang sibil, at mga stakeholder ng komunidad.
Mga Kampanya sa Pampublikong Kamalayan: Ang pamahalaan ay nagsasagawa ng mga kampanya ng kamalayan sa publiko upang turuan ang publiko tungkol sa mga panganib ng ilegal na droga a"&amp;"t ang kahalagahan ng pag-uulat ng mga paglabag na may kaugnayan sa droga sa mga awtoridad. Ang mga kampanyang ito ay naglalayon na pakilusin ang suporta at pagtutulungan ng komunidad sa paglaban sa pag-abuso sa droga at trafficking.")</f>
        <v>Sa Pilipinas, ang paglaban sa mga paglabag sa droga sa antas ng kalye ay nagsasangkot ng hanay ng mga legal na hakbang na naglalayong pigilan ang pagbebenta, pamamahagi, at paggamit ng mga ilegal na droga sa mga pampublikong lugar. Ang mga hakbang na ito ay pangunahing ipinapatupad sa pamamagitan ng mga batas, regulasyon, at pagsusumikap sa pagpapatupad ng batas. Narito ang ilang pangunahing legal na hakbang:
Comprehensive Dangerous Drugs Act of 2002: Ang batas na ito, na kilala rin bilang Republic Act No. 9165, ay nagbibigay ng legal na balangkas para sa pagtugon sa mga pagkakasala na may kaugnayan sa droga sa Pilipinas. Ginagawa nitong kriminal ang iba't ibang aktibidad na may kaugnayan sa ilegal na droga, kabilang ang pagkakaroon, pagbebenta, pamamahagi, paggawa, at trafficking. Ang batas ay nagpapataw ng matinding parusa, kabilang ang pagkakulong at multa, para sa mga lumabag.
Anti-Drug Abuse Councils (ADACs): Ang Comprehensive Dangerous Drugs Act ay nag-uutos sa pagtatatag ng ADACs sa pambansa, probinsyal, lungsod, munisipyo, at barangay na antas. Ang mga konsehong ito ay may tungkulin sa koordinasyon at pagpapatupad ng mga programa at inisyatiba laban sa droga sa lokal na antas, kabilang ang pagpigil sa droga, edukasyon, rehabilitasyon, at mga pagsisikap sa pagpapatupad ng batas.
Enhanced Anti-Drug Operations: Ang mga ahensyang nagpapatupad ng batas tulad ng Philippine Drug Enforcement Agency (PDEA) at Philippine National Police (PNP) ay nagsasagawa ng mga operasyon laban sa droga upang hulihin ang mga indibidwal na sangkot sa mga paglabag sa droga sa antas ng kalye. Maaaring kabilang sa mga operasyong ito ang pagmamatyag, mga operasyong sting, at mga buy-bust operation na nagta-target sa mga tulak ng droga at gumagamit sa mga pampublikong espasyo.
Mga Programa sa Rehabilitasyon na Nakabatay sa Komunidad: Bilang karagdagan sa mga pagsisikap sa pagpapatupad ng batas, isinusulong ng pamahalaan ang mga programang rehabilitasyon na nakabatay sa komunidad upang tugunan ang pagkagumon sa droga at magbigay ng suporta sa mga gumagamit ng droga na naghahanap ng paggaling. Maaaring kabilang sa mga programang ito ang pagpapayo, paggamot, at mga hakbangin sa muling pagsasama-sama ng lipunan na isinasagawa sa pakikipagtulungan ng mga yunit ng lokal na pamahalaan, mga organisasyon ng lipunang sibil, at mga stakeholder ng komunidad.
Mga Kampanya sa Pampublikong Kamalayan: Ang pamahalaan ay nagsasagawa ng mga kampanya ng kamalayan sa publiko upang turuan ang publiko tungkol sa mga panganib ng ilegal na droga at ang kahalagahan ng pag-uulat ng mga paglabag na may kaugnayan sa droga sa mga awtoridad. Ang mga kampanyang ito ay naglalayon na pakilusin ang suporta at pagtutulungan ng komunidad sa paglaban sa pag-abuso sa droga at trafficking.</v>
      </c>
      <c r="F1835" s="2">
        <f t="shared" si="1"/>
        <v>0</v>
      </c>
      <c r="G1835" s="2"/>
      <c r="H1835" s="2"/>
      <c r="I1835" s="2"/>
      <c r="J1835" s="2"/>
      <c r="K1835" s="2"/>
      <c r="L1835" s="2"/>
      <c r="M1835" s="2"/>
      <c r="N1835" s="2"/>
      <c r="O1835" s="2"/>
      <c r="P1835" s="2"/>
      <c r="Q1835" s="2"/>
      <c r="R1835" s="2"/>
      <c r="S1835" s="2"/>
      <c r="T1835" s="2"/>
      <c r="U1835" s="2"/>
      <c r="V1835" s="2"/>
      <c r="W1835" s="2"/>
      <c r="X1835" s="2"/>
      <c r="Y1835" s="2"/>
      <c r="Z1835" s="2"/>
      <c r="AA1835" s="2"/>
    </row>
    <row r="1836">
      <c r="A1836" s="1" t="s">
        <v>4698</v>
      </c>
      <c r="B1836" s="1" t="s">
        <v>4719</v>
      </c>
      <c r="C1836" s="1" t="s">
        <v>4720</v>
      </c>
      <c r="D1836" s="2" t="str">
        <f>IFERROR(__xludf.DUMMYFUNCTION("GOOGLETRANSLATE(B1836, ""en"", ""TL"")"),"Paano kinokontrol ng batas ng Pilipinas ang pagkakasala ng illegal possession of firearms sa mga pampublikong lugar?")</f>
        <v>Paano kinokontrol ng batas ng Pilipinas ang pagkakasala ng illegal possession of firearms sa mga pampublikong lugar?</v>
      </c>
      <c r="E1836" s="2" t="str">
        <f>IFERROR(__xludf.DUMMYFUNCTION("GOOGLETRANSLATE(C1836, ""en"", ""TL"")"),"Sa Pilipinas, ang pagkakasala ng iligal na pagmamay-ari ng mga baril sa mga pampublikong lugar ay kinokontrol ng iba't ibang batas na naglalayong kontrolin ang paglaganap ng mga baril at tiyakin ang kaligtasan ng publiko. Ang mga pangunahing legal na prob"&amp;"isyon na tumutugon sa pagkakasalang ito ay kinabibilangan ng:
Republic Act No. 10591, o ang Comprehensive Firearms and Ammunition Regulation Act: Ang batas na ito ay komprehensibong kinokontrol ang pagmamay-ari, pagmamay-ari, at paggamit ng mga baril at "&amp;"bala sa Pilipinas. Itinatag nito ang mahigpit na mga kinakailangan para sa pagkuha at paglilisensya ng mga baril, pati na rin ang mga parusa para sa iligal na pag-aari.
Pagbabawal sa Pagdala ng Mga Baril sa Labas ng Paninirahan o Lugar ng Negosyo: Sa ila"&amp;"lim ng Republic Act No. 10591, ang mga indibidwal ay karaniwang ipinagbabawal na magdala ng mga baril sa labas ng kanilang tirahan o lugar ng negosyo nang walang kinakailangang mga permit o lisensya. Nalalapat ang pagbabawal na ito sa parehong nakatago at"&amp;" lantarang dala ng mga baril.
Mga Kinakailangan para sa Pagmamay-ari at Pagmamay-ari ng Baril: Upang legal na magkaroon ng mga baril sa Pilipinas, ang mga indibidwal ay kailangang sumailalim sa masusing pagsusuri sa background, kumpletuhin ang pagsasanay"&amp;" sa kasanayan sa baril, at kumuha ng naaangkop na mga lisensya at permit mula sa Philippine National Police (PNP). Ang pagkabigong sumunod sa mga kinakailangang ito ay bumubuo ng iligal na pag-aari ng mga baril.
Mga Parusa para sa Ilegal na Pagmamay-ari "&amp;"ng mga Baril: Ang mga paglabag sa mga batas na namamahala sa pag-aari ng mga baril ay may malalaking parusa, kabilang ang pagkakulong at mga multa. Ang kalubhaan ng mga parusa ay maaaring mag-iba depende sa mga salik tulad ng uri ng baril na kasangkot, an"&amp;"g mga pangyayari ng pagkakasala, at ang kriminal na kasaysayan ng indibidwal.
Mga Operasyon sa Pagpapatupad ng Batas: Ang Philippine National Police (PNP) at iba pang ahensyang nagpapatupad ng batas ay may pananagutan sa pagpapatupad ng mga batas na may "&amp;"kaugnayan sa pagkakaroon ng mga baril. Nagsasagawa sila ng mga operasyon upang hulihin ang mga indibidwal na napatunayang ilegal na nagtataglay ng mga baril sa mga pampublikong lugar, kumpiskahin ang mga iligal na armas, at usigin ang mga nagkasala.")</f>
        <v>Sa Pilipinas, ang pagkakasala ng iligal na pagmamay-ari ng mga baril sa mga pampublikong lugar ay kinokontrol ng iba't ibang batas na naglalayong kontrolin ang paglaganap ng mga baril at tiyakin ang kaligtasan ng publiko. Ang mga pangunahing legal na probisyon na tumutugon sa pagkakasalang ito ay kinabibilangan ng:
Republic Act No. 10591, o ang Comprehensive Firearms and Ammunition Regulation Act: Ang batas na ito ay komprehensibong kinokontrol ang pagmamay-ari, pagmamay-ari, at paggamit ng mga baril at bala sa Pilipinas. Itinatag nito ang mahigpit na mga kinakailangan para sa pagkuha at paglilisensya ng mga baril, pati na rin ang mga parusa para sa iligal na pag-aari.
Pagbabawal sa Pagdala ng Mga Baril sa Labas ng Paninirahan o Lugar ng Negosyo: Sa ilalim ng Republic Act No. 10591, ang mga indibidwal ay karaniwang ipinagbabawal na magdala ng mga baril sa labas ng kanilang tirahan o lugar ng negosyo nang walang kinakailangang mga permit o lisensya. Nalalapat ang pagbabawal na ito sa parehong nakatago at lantarang dala ng mga baril.
Mga Kinakailangan para sa Pagmamay-ari at Pagmamay-ari ng Baril: Upang legal na magkaroon ng mga baril sa Pilipinas, ang mga indibidwal ay kailangang sumailalim sa masusing pagsusuri sa background, kumpletuhin ang pagsasanay sa kasanayan sa baril, at kumuha ng naaangkop na mga lisensya at permit mula sa Philippine National Police (PNP). Ang pagkabigong sumunod sa mga kinakailangang ito ay bumubuo ng iligal na pag-aari ng mga baril.
Mga Parusa para sa Ilegal na Pagmamay-ari ng mga Baril: Ang mga paglabag sa mga batas na namamahala sa pag-aari ng mga baril ay may malalaking parusa, kabilang ang pagkakulong at mga multa. Ang kalubhaan ng mga parusa ay maaaring mag-iba depende sa mga salik tulad ng uri ng baril na kasangkot, ang mga pangyayari ng pagkakasala, at ang kriminal na kasaysayan ng indibidwal.
Mga Operasyon sa Pagpapatupad ng Batas: Ang Philippine National Police (PNP) at iba pang ahensyang nagpapatupad ng batas ay may pananagutan sa pagpapatupad ng mga batas na may kaugnayan sa pagkakaroon ng mga baril. Nagsasagawa sila ng mga operasyon upang hulihin ang mga indibidwal na napatunayang ilegal na nagtataglay ng mga baril sa mga pampublikong lugar, kumpiskahin ang mga iligal na armas, at usigin ang mga nagkasala.</v>
      </c>
      <c r="F1836" s="2">
        <f t="shared" si="1"/>
        <v>0</v>
      </c>
      <c r="G1836" s="2"/>
      <c r="H1836" s="2"/>
      <c r="I1836" s="2"/>
      <c r="J1836" s="2"/>
      <c r="K1836" s="2"/>
      <c r="L1836" s="2"/>
      <c r="M1836" s="2"/>
      <c r="N1836" s="2"/>
      <c r="O1836" s="2"/>
      <c r="P1836" s="2"/>
      <c r="Q1836" s="2"/>
      <c r="R1836" s="2"/>
      <c r="S1836" s="2"/>
      <c r="T1836" s="2"/>
      <c r="U1836" s="2"/>
      <c r="V1836" s="2"/>
      <c r="W1836" s="2"/>
      <c r="X1836" s="2"/>
      <c r="Y1836" s="2"/>
      <c r="Z1836" s="2"/>
      <c r="AA1836" s="2"/>
    </row>
    <row r="1837">
      <c r="A1837" s="1" t="s">
        <v>4698</v>
      </c>
      <c r="B1837" s="1" t="s">
        <v>4721</v>
      </c>
      <c r="C1837" s="1" t="s">
        <v>4722</v>
      </c>
      <c r="D1837" s="2" t="str">
        <f>IFERROR(__xludf.DUMMYFUNCTION("GOOGLETRANSLATE(B1837, ""en"", ""TL"")"),"Anong mga parusa ang ipinapataw para sa pagsali sa karera sa kalye o walang ingat na pagmamaneho sa mga pampublikong kalsada?")</f>
        <v>Anong mga parusa ang ipinapataw para sa pagsali sa karera sa kalye o walang ingat na pagmamaneho sa mga pampublikong kalsada?</v>
      </c>
      <c r="E1837" s="2" t="str">
        <f>IFERROR(__xludf.DUMMYFUNCTION("GOOGLETRANSLATE(C1837, ""en"", ""TL"")"),"Sa Pilipinas, ang pagsali sa karera sa kalye o walang ingat na pagmamaneho sa mga pampublikong kalsada ay itinuturing na isang malubhang pagkakasala dahil sa malaking panganib na idinudulot nito sa kaligtasan ng publiko. Ang mga parusa para sa mga paglaba"&amp;"g na ito ay pinamamahalaan ng Republic Act No. 4136, na kilala rin bilang Land Transportation and Traffic Code, at iba pang nauugnay na batas. Ang mga partikular na parusa para sa karera sa kalye o walang ingat na pagmamaneho ay maaaring kabilang ang:
Mg"&amp;"a Parusa sa Administratibo:
Magmulta: Ang mga nagkasala ay maaaring pagmultahin ng malaking halaga, na nag-iiba depende sa kalubhaan ng pagkakasala at sa pagpapasya ng mga awtoridad.
Pagsuspinde ng Lisensya: Ang lisensya sa pagmamaneho ay maaaring masus"&amp;"pinde para sa isang tiyak na panahon, kung saan ang nagkasala ay ipinagbabawal na magmaneho ng legal.
Mga Parusa sa Kriminal:
Pagkakulong: Maaaring makulong ang mga nagkasala, lalo na kung ang kanilang walang ingat na pagmamaneho o karera sa kalye ay na"&amp;"greresulta sa mga aksidente na nagdudulot ng mga pinsala o pagkamatay.
Serbisyo sa Komunidad: Bilang karagdagan sa mga multa o pagkakulong, maaaring kailanganin ng mga nagkasala na magsagawa ng serbisyo sa komunidad bilang bahagi ng kanilang parusa.
Pag"&amp;"kumpiska ng Sasakyan: Sa malalang kaso, maaaring kumpiskahin ng mga awtoridad ang mga sasakyang ginagamit sa karera sa kalye o walang ingat na pagmamaneho. Ang panukalang ito ay naglalayong hadlangan ang mga nagkasala mula sa pagsali sa mga katulad na akt"&amp;"ibidad sa hinaharap at protektahan ang kaligtasan ng publiko.
Pagbawi ng Lisensya sa Pagmamaneho: Ang mga umuulit na nagkasala o ang mga sangkot sa partikular na mapanganib na mga insidente ay maaaring harapin ang pagbawi ng kanilang lisensya sa pagmaman"&amp;"eho, na nagiging dahilan upang hindi sila karapat-dapat na legal na magpatakbo ng sasakyang de-motor.")</f>
        <v>Sa Pilipinas, ang pagsali sa karera sa kalye o walang ingat na pagmamaneho sa mga pampublikong kalsada ay itinuturing na isang malubhang pagkakasala dahil sa malaking panganib na idinudulot nito sa kaligtasan ng publiko. Ang mga parusa para sa mga paglabag na ito ay pinamamahalaan ng Republic Act No. 4136, na kilala rin bilang Land Transportation and Traffic Code, at iba pang nauugnay na batas. Ang mga partikular na parusa para sa karera sa kalye o walang ingat na pagmamaneho ay maaaring kabilang ang:
Mga Parusa sa Administratibo:
Magmulta: Ang mga nagkasala ay maaaring pagmultahin ng malaking halaga, na nag-iiba depende sa kalubhaan ng pagkakasala at sa pagpapasya ng mga awtoridad.
Pagsuspinde ng Lisensya: Ang lisensya sa pagmamaneho ay maaaring masuspinde para sa isang tiyak na panahon, kung saan ang nagkasala ay ipinagbabawal na magmaneho ng legal.
Mga Parusa sa Kriminal:
Pagkakulong: Maaaring makulong ang mga nagkasala, lalo na kung ang kanilang walang ingat na pagmamaneho o karera sa kalye ay nagreresulta sa mga aksidente na nagdudulot ng mga pinsala o pagkamatay.
Serbisyo sa Komunidad: Bilang karagdagan sa mga multa o pagkakulong, maaaring kailanganin ng mga nagkasala na magsagawa ng serbisyo sa komunidad bilang bahagi ng kanilang parusa.
Pagkumpiska ng Sasakyan: Sa malalang kaso, maaaring kumpiskahin ng mga awtoridad ang mga sasakyang ginagamit sa karera sa kalye o walang ingat na pagmamaneho. Ang panukalang ito ay naglalayong hadlangan ang mga nagkasala mula sa pagsali sa mga katulad na aktibidad sa hinaharap at protektahan ang kaligtasan ng publiko.
Pagbawi ng Lisensya sa Pagmamaneho: Ang mga umuulit na nagkasala o ang mga sangkot sa partikular na mapanganib na mga insidente ay maaaring harapin ang pagbawi ng kanilang lisensya sa pagmamaneho, na nagiging dahilan upang hindi sila karapat-dapat na legal na magpatakbo ng sasakyang de-motor.</v>
      </c>
      <c r="F1837" s="2">
        <f t="shared" si="1"/>
        <v>0</v>
      </c>
      <c r="G1837" s="2"/>
      <c r="H1837" s="2"/>
      <c r="I1837" s="2"/>
      <c r="J1837" s="2"/>
      <c r="K1837" s="2"/>
      <c r="L1837" s="2"/>
      <c r="M1837" s="2"/>
      <c r="N1837" s="2"/>
      <c r="O1837" s="2"/>
      <c r="P1837" s="2"/>
      <c r="Q1837" s="2"/>
      <c r="R1837" s="2"/>
      <c r="S1837" s="2"/>
      <c r="T1837" s="2"/>
      <c r="U1837" s="2"/>
      <c r="V1837" s="2"/>
      <c r="W1837" s="2"/>
      <c r="X1837" s="2"/>
      <c r="Y1837" s="2"/>
      <c r="Z1837" s="2"/>
      <c r="AA1837" s="2"/>
    </row>
    <row r="1838">
      <c r="A1838" s="1" t="s">
        <v>4698</v>
      </c>
      <c r="B1838" s="1" t="s">
        <v>4723</v>
      </c>
      <c r="C1838" s="1" t="s">
        <v>4724</v>
      </c>
      <c r="D1838" s="2" t="str">
        <f>IFERROR(__xludf.DUMMYFUNCTION("GOOGLETRANSLATE(B1838, ""en"", ""TL"")"),"Paano tinutugunan ng batas ang krimen ng pangingikil o paghingi ng pera sa mga pampublikong lugar?")</f>
        <v>Paano tinutugunan ng batas ang krimen ng pangingikil o paghingi ng pera sa mga pampublikong lugar?</v>
      </c>
      <c r="E1838" s="2" t="str">
        <f>IFERROR(__xludf.DUMMYFUNCTION("GOOGLETRANSLATE(C1838, ""en"", ""TL"")"),"Sa Pilipinas, ang krimen ng pangingikil o paghingi ng pera sa mga pampublikong lugar ay tinutugunan sa ilalim ng iba't ibang probisyon ng Revised Penal Code at iba pang nauugnay na batas. Kasama sa pangingikil ang pagkilos ng pagkuha ng pera, ari-arian, o"&amp;" anumang mahalagang bagay mula sa ibang tao sa pamamagitan ng pamimilit, pananakot, o pagbabanta. Narito kung paano tinutugunan ng batas ang krimeng ito:
Binagong Kodigo Penal (RPC):
Artikulo 293: Ang artikulong ito ay nagpaparusa sa krimen ng pagnanaka"&amp;"w na may karahasan laban o pananakot sa mga tao. Sinasaklaw nito ang mga sitwasyon kung saan ang isang tao ay gumagamit ng karahasan o pananakot upang kumuha ng personal na ari-arian mula sa iba na may layuning makakuha.
Artikulo 294: Ang artikulong ito "&amp;"ay nagpaparusa sa krimen ng pagnanakaw na may karahasan laban o pananakot sa mga taong ginawa ng isang sindikato. Ito ay nagpapataw ng mas mabibigat na parusa kapag ang krimen ay ginawa ng isang grupo ng tatlo o higit pang mga tao na kumikilos nang magkak"&amp;"asabay.
Artikulo 297: Ang artikulong ito ay nagpaparusa sa krimen ng blackmail, na kinabibilangan ng pagbabanta na magbunyag ng isang lihim na maaaring magdulot ng kahihiyan o maglantad sa biktima sa poot, paghamak, o pangungutya maliban kung ang pera o "&amp;"anumang iba pang mahalagang konsiderasyon ay ibinigay.
Anti-Graft and Corrupt Practices Act (Republic Act No. 3019):
Ang batas na ito ay nagpaparusa sa mga gawaing katiwalian na ginawa ng mga pampublikong opisyal, kabilang ang pangingikil, panunuhol, at"&amp;" graft. Ang mga pampublikong opisyal na napatunayang nagkasala sa paghingi ng pera o pabor kapalit ng pagganap o pagpigil sa pagganap ng mga opisyal na tungkulin ay nahaharap sa matinding parusa, kabilang ang pagkakulong at mga multa.
Iba pang mga Batas:"&amp;"
Maaari ding tugunan ng mga espesyal na batas ang pangingikil sa mga partikular na konteksto, gaya ng mga batas laban sa trafficking, mga batas laban sa terorismo, at mga batas na namamahala sa ilang propesyon o industriya.
Ang mga ordinansa ng lokal na"&amp;" pamahalaan ay maaari ding maglaman ng mga probisyon na tumutugon sa pangingikil o katulad na mga pagkakasala sa loob ng kanilang nasasakupan.")</f>
        <v>Sa Pilipinas, ang krimen ng pangingikil o paghingi ng pera sa mga pampublikong lugar ay tinutugunan sa ilalim ng iba't ibang probisyon ng Revised Penal Code at iba pang nauugnay na batas. Kasama sa pangingikil ang pagkilos ng pagkuha ng pera, ari-arian, o anumang mahalagang bagay mula sa ibang tao sa pamamagitan ng pamimilit, pananakot, o pagbabanta. Narito kung paano tinutugunan ng batas ang krimeng ito:
Binagong Kodigo Penal (RPC):
Artikulo 293: Ang artikulong ito ay nagpaparusa sa krimen ng pagnanakaw na may karahasan laban o pananakot sa mga tao. Sinasaklaw nito ang mga sitwasyon kung saan ang isang tao ay gumagamit ng karahasan o pananakot upang kumuha ng personal na ari-arian mula sa iba na may layuning makakuha.
Artikulo 294: Ang artikulong ito ay nagpaparusa sa krimen ng pagnanakaw na may karahasan laban o pananakot sa mga taong ginawa ng isang sindikato. Ito ay nagpapataw ng mas mabibigat na parusa kapag ang krimen ay ginawa ng isang grupo ng tatlo o higit pang mga tao na kumikilos nang magkakasabay.
Artikulo 297: Ang artikulong ito ay nagpaparusa sa krimen ng blackmail, na kinabibilangan ng pagbabanta na magbunyag ng isang lihim na maaaring magdulot ng kahihiyan o maglantad sa biktima sa poot, paghamak, o pangungutya maliban kung ang pera o anumang iba pang mahalagang konsiderasyon ay ibinigay.
Anti-Graft and Corrupt Practices Act (Republic Act No. 3019):
Ang batas na ito ay nagpaparusa sa mga gawaing katiwalian na ginawa ng mga pampublikong opisyal, kabilang ang pangingikil, panunuhol, at graft. Ang mga pampublikong opisyal na napatunayang nagkasala sa paghingi ng pera o pabor kapalit ng pagganap o pagpigil sa pagganap ng mga opisyal na tungkulin ay nahaharap sa matinding parusa, kabilang ang pagkakulong at mga multa.
Iba pang mga Batas:
Maaari ding tugunan ng mga espesyal na batas ang pangingikil sa mga partikular na konteksto, gaya ng mga batas laban sa trafficking, mga batas laban sa terorismo, at mga batas na namamahala sa ilang propesyon o industriya.
Ang mga ordinansa ng lokal na pamahalaan ay maaari ding maglaman ng mga probisyon na tumutugon sa pangingikil o katulad na mga pagkakasala sa loob ng kanilang nasasakupan.</v>
      </c>
      <c r="F1838" s="2">
        <f t="shared" si="1"/>
        <v>0</v>
      </c>
      <c r="G1838" s="2"/>
      <c r="H1838" s="2"/>
      <c r="I1838" s="2"/>
      <c r="J1838" s="2"/>
      <c r="K1838" s="2"/>
      <c r="L1838" s="2"/>
      <c r="M1838" s="2"/>
      <c r="N1838" s="2"/>
      <c r="O1838" s="2"/>
      <c r="P1838" s="2"/>
      <c r="Q1838" s="2"/>
      <c r="R1838" s="2"/>
      <c r="S1838" s="2"/>
      <c r="T1838" s="2"/>
      <c r="U1838" s="2"/>
      <c r="V1838" s="2"/>
      <c r="W1838" s="2"/>
      <c r="X1838" s="2"/>
      <c r="Y1838" s="2"/>
      <c r="Z1838" s="2"/>
      <c r="AA1838" s="2"/>
    </row>
    <row r="1839">
      <c r="A1839" s="1" t="s">
        <v>4698</v>
      </c>
      <c r="B1839" s="1" t="s">
        <v>4725</v>
      </c>
      <c r="C1839" s="1" t="s">
        <v>4726</v>
      </c>
      <c r="D1839" s="2" t="str">
        <f>IFERROR(__xludf.DUMMYFUNCTION("GOOGLETRANSLATE(B1839, ""en"", ""TL"")"),"Anong mga legal na probisyon ang kumokontrol sa pagkakasala ng iligal na paradahan at paghadlang sa trapiko sa mga pampublikong lansangan?")</f>
        <v>Anong mga legal na probisyon ang kumokontrol sa pagkakasala ng iligal na paradahan at paghadlang sa trapiko sa mga pampublikong lansangan?</v>
      </c>
      <c r="E1839" s="2" t="str">
        <f>IFERROR(__xludf.DUMMYFUNCTION("GOOGLETRANSLATE(C1839, ""en"", ""TL"")"),"Sa Pilipinas, ang paglabag sa iligal na paradahan at paghadlang sa trapiko sa mga pampublikong lansangan ay kinokontrol lalo na sa ilalim ng mga batas trapiko at lokal na pamahalaan. Narito ang mga pangunahing legal na probisyon na namamahala sa paglabag "&amp;"na ito:
Republic Act No. 4136, o mas kilala bilang Land Transportation and Traffic Code:
Ang batas na ito ay nagbibigay ng mga komprehensibong regulasyon na namamahala sa trapiko at transportasyon sa bansa.
Ipinagbabawal ng Seksyon 29 ang pagparada ng mga"&amp;" sasakyan sa ilang partikular na lugar, tulad ng sa loob ng intersection, pedestrian crosswalk, o sa loob ng 4 na metro mula sa fire hydrant. Ipinagbabawal din nito ang pagparada sa mga tulay, elevated na istruktura, at iba pang tinukoy na mga lokasyon ku"&amp;"ng saan ang paradahan ay itinuturing na mapanganib o nakahahadlang.
Ang Seksyon 52 ay nagbibigay ng kapangyarihan sa mga local government unit (LGUs) na mag-regulate at magpatupad ng mga patakaran at regulasyon sa trapiko sa loob ng kanilang mga nasasakup"&amp;"an. Ang mga LGU ay maaaring magpatibay ng mga ordinansa na tumutukoy sa mga regulasyon sa paradahan, tulad ng mga itinalagang lugar ng paradahan, bayad sa paradahan, at mga parusa para sa mga paglabag.
Mga Ordenansa ng Lokal na Pamahalaan:
Ang mga LGU, pa"&amp;"rtikular na ang mga lungsod at munisipalidad, ay madalas na nagpapatupad ng mga ordinansa na namamahala sa paradahan at trapiko sa loob ng kani-kanilang lugar. Maaaring kabilang sa mga ordinansang ito ang mga probisyon sa mga itinalagang parking zone, mga"&amp;" limitasyon sa oras para sa paradahan, bayad sa paradahan, at mga parusa para sa ilegal na paradahan.
Ang mga lokal na ordinansa ay maaari ding magtalaga ng mga no-parking zone, loading at unloading zone, at mga lugar kung saan ang paradahan ay mahigpit n"&amp;"a ipinagbabawal.
Mga Regulasyon ng Metropolitan Manila Development Authority (MMDA):
Ang MMDA, na nangangasiwa sa pamamahala ng trapiko sa National Capital Region (NCR), ay nagpapatupad ng mga regulasyon at patakaran upang matugunan ang pagsisikip ng trap"&amp;"iko at matiyak ang kaligtasan sa kalsada.
Maaaring kabilang sa mga regulasyon ng MMDA ang mga alituntunin sa paradahan at pamamahala sa trapiko, gayundin ang mga hakbang sa pagpapatupad upang matugunan ang iligal na paradahan at sagabal sa daloy ng trapik"&amp;"o.")</f>
        <v>Sa Pilipinas, ang paglabag sa iligal na paradahan at paghadlang sa trapiko sa mga pampublikong lansangan ay kinokontrol lalo na sa ilalim ng mga batas trapiko at lokal na pamahalaan. Narito ang mga pangunahing legal na probisyon na namamahala sa paglabag na ito:
Republic Act No. 4136, o mas kilala bilang Land Transportation and Traffic Code:
Ang batas na ito ay nagbibigay ng mga komprehensibong regulasyon na namamahala sa trapiko at transportasyon sa bansa.
Ipinagbabawal ng Seksyon 29 ang pagparada ng mga sasakyan sa ilang partikular na lugar, tulad ng sa loob ng intersection, pedestrian crosswalk, o sa loob ng 4 na metro mula sa fire hydrant. Ipinagbabawal din nito ang pagparada sa mga tulay, elevated na istruktura, at iba pang tinukoy na mga lokasyon kung saan ang paradahan ay itinuturing na mapanganib o nakahahadlang.
Ang Seksyon 52 ay nagbibigay ng kapangyarihan sa mga local government unit (LGUs) na mag-regulate at magpatupad ng mga patakaran at regulasyon sa trapiko sa loob ng kanilang mga nasasakupan. Ang mga LGU ay maaaring magpatibay ng mga ordinansa na tumutukoy sa mga regulasyon sa paradahan, tulad ng mga itinalagang lugar ng paradahan, bayad sa paradahan, at mga parusa para sa mga paglabag.
Mga Ordenansa ng Lokal na Pamahalaan:
Ang mga LGU, partikular na ang mga lungsod at munisipalidad, ay madalas na nagpapatupad ng mga ordinansa na namamahala sa paradahan at trapiko sa loob ng kani-kanilang lugar. Maaaring kabilang sa mga ordinansang ito ang mga probisyon sa mga itinalagang parking zone, mga limitasyon sa oras para sa paradahan, bayad sa paradahan, at mga parusa para sa ilegal na paradahan.
Ang mga lokal na ordinansa ay maaari ding magtalaga ng mga no-parking zone, loading at unloading zone, at mga lugar kung saan ang paradahan ay mahigpit na ipinagbabawal.
Mga Regulasyon ng Metropolitan Manila Development Authority (MMDA):
Ang MMDA, na nangangasiwa sa pamamahala ng trapiko sa National Capital Region (NCR), ay nagpapatupad ng mga regulasyon at patakaran upang matugunan ang pagsisikip ng trapiko at matiyak ang kaligtasan sa kalsada.
Maaaring kabilang sa mga regulasyon ng MMDA ang mga alituntunin sa paradahan at pamamahala sa trapiko, gayundin ang mga hakbang sa pagpapatupad upang matugunan ang iligal na paradahan at sagabal sa daloy ng trapiko.</v>
      </c>
      <c r="F1839" s="2">
        <f t="shared" si="1"/>
        <v>0</v>
      </c>
      <c r="G1839" s="2"/>
      <c r="H1839" s="2"/>
      <c r="I1839" s="2"/>
      <c r="J1839" s="2"/>
      <c r="K1839" s="2"/>
      <c r="L1839" s="2"/>
      <c r="M1839" s="2"/>
      <c r="N1839" s="2"/>
      <c r="O1839" s="2"/>
      <c r="P1839" s="2"/>
      <c r="Q1839" s="2"/>
      <c r="R1839" s="2"/>
      <c r="S1839" s="2"/>
      <c r="T1839" s="2"/>
      <c r="U1839" s="2"/>
      <c r="V1839" s="2"/>
      <c r="W1839" s="2"/>
      <c r="X1839" s="2"/>
      <c r="Y1839" s="2"/>
      <c r="Z1839" s="2"/>
      <c r="AA1839" s="2"/>
    </row>
    <row r="1840">
      <c r="A1840" s="1" t="s">
        <v>4698</v>
      </c>
      <c r="B1840" s="1" t="s">
        <v>4727</v>
      </c>
      <c r="C1840" s="1" t="s">
        <v>4728</v>
      </c>
      <c r="D1840" s="2" t="str">
        <f>IFERROR(__xludf.DUMMYFUNCTION("GOOGLETRANSLATE(B1840, ""en"", ""TL"")"),"Paano tinutugunan ang krimen ng pampublikong pag-ihi o pagdumi sa ilalim ng batas ng Pilipinas?")</f>
        <v>Paano tinutugunan ang krimen ng pampublikong pag-ihi o pagdumi sa ilalim ng batas ng Pilipinas?</v>
      </c>
      <c r="E1840" s="2" t="str">
        <f>IFERROR(__xludf.DUMMYFUNCTION("GOOGLETRANSLATE(C1840, ""en"", ""TL"")"),"Sa Pilipinas, ang akto ng pampublikong pag-ihi o pagdumi ay karaniwang tinutugunan sa ilalim ng mga lokal na ordinansa o regulasyon na pinagtibay ng mga local government units (LGUs). Bagama't maaaring walang mga partikular na pambansang batas na tahasang"&amp;" nagpaparusa sa pampublikong pag-ihi o pagdumi, ang mga lokal na ordinansa ay kadalasang nagbabawal sa mga gawaing ito upang mapanatili ang pampublikong kalinisan at kalinisan. Narito kung paano maaaring tugunan ang pagkakasala:
Mga Ordenansa ng Lokal na"&amp;" Pamahalaan:
Maraming mga lungsod at munisipalidad ang may mga ordinansa na nagbabawal sa pampublikong pag-ihi o pagdumi. Maaaring tukuyin ng mga ordinansang ito ang mga lugar kung saan ipinagbabawal ang mga naturang gawain, tulad ng mga pampublikong kal"&amp;"ye, parke, bangketa, at iba pang pampublikong lugar.
Ang mga lokal na ordinansa ay maaari ding magreseta ng mga parusa para sa mga paglabag, na karaniwang kinabibilangan ng mga multa o parusa.
Mga Batas sa Pampublikong Kalusugan at Kalinisan:
Ang pampu"&amp;"blikong pag-ihi at pagdumi ay maaari ding i-regulate sa ilalim ng pampublikong kalusugan at mga batas sa kalinisan. Ang mga batas na ito ay naglalayong tiyakin ang kalusugan at kalinisan ng publiko sa pamamagitan ng pagbabawal sa mga aktibidad na nagdudul"&amp;"ot ng mga panganib sa kalinisan.
Maaaring kabilang sa mga regulasyon sa kalusugan at sanitasyon ang mga probisyon sa wastong pagtatapon ng basura at mga kasanayan sa kalinisan, na hindi direktang tumutugon sa isyu ng pampublikong pag-ihi o pagdumi.
Pagp"&amp;"apatupad:
Ang pagpapatupad ng mga ordinansa na nagbabawal sa pampublikong pag-ihi o pagdumi ay karaniwang isinasagawa ng mga lokal na awtoridad, tulad ng mga opisyal ng barangay, opisyal ng kalusugan ng lungsod o munisipyo, o mga tauhan na itinalaga para"&amp;" sa pampublikong kalinisan at kalinisan.
Maaaring kabilang sa mga hakbang sa pagpapatupad ang mga babala, pagpapalabas ng mga pagsipi o pagpapatawag, at pagpapataw ng mga multa o parusa para sa mga umuulit na nagkasala.
Sa ilang mga kaso, ang pagpapatup"&amp;"ad ay maaaring may kasamang mga kampanya sa edukasyon at kamalayan upang ipaalam sa publiko ang kahalagahan ng wastong mga kasanayan sa kalinisan at ang mga kahihinatnan ng paglabag sa mga lokal na ordinansa.")</f>
        <v>Sa Pilipinas, ang akto ng pampublikong pag-ihi o pagdumi ay karaniwang tinutugunan sa ilalim ng mga lokal na ordinansa o regulasyon na pinagtibay ng mga local government units (LGUs). Bagama't maaaring walang mga partikular na pambansang batas na tahasang nagpaparusa sa pampublikong pag-ihi o pagdumi, ang mga lokal na ordinansa ay kadalasang nagbabawal sa mga gawaing ito upang mapanatili ang pampublikong kalinisan at kalinisan. Narito kung paano maaaring tugunan ang pagkakasala:
Mga Ordenansa ng Lokal na Pamahalaan:
Maraming mga lungsod at munisipalidad ang may mga ordinansa na nagbabawal sa pampublikong pag-ihi o pagdumi. Maaaring tukuyin ng mga ordinansang ito ang mga lugar kung saan ipinagbabawal ang mga naturang gawain, tulad ng mga pampublikong kalye, parke, bangketa, at iba pang pampublikong lugar.
Ang mga lokal na ordinansa ay maaari ding magreseta ng mga parusa para sa mga paglabag, na karaniwang kinabibilangan ng mga multa o parusa.
Mga Batas sa Pampublikong Kalusugan at Kalinisan:
Ang pampublikong pag-ihi at pagdumi ay maaari ding i-regulate sa ilalim ng pampublikong kalusugan at mga batas sa kalinisan. Ang mga batas na ito ay naglalayong tiyakin ang kalusugan at kalinisan ng publiko sa pamamagitan ng pagbabawal sa mga aktibidad na nagdudulot ng mga panganib sa kalinisan.
Maaaring kabilang sa mga regulasyon sa kalusugan at sanitasyon ang mga probisyon sa wastong pagtatapon ng basura at mga kasanayan sa kalinisan, na hindi direktang tumutugon sa isyu ng pampublikong pag-ihi o pagdumi.
Pagpapatupad:
Ang pagpapatupad ng mga ordinansa na nagbabawal sa pampublikong pag-ihi o pagdumi ay karaniwang isinasagawa ng mga lokal na awtoridad, tulad ng mga opisyal ng barangay, opisyal ng kalusugan ng lungsod o munisipyo, o mga tauhan na itinalaga para sa pampublikong kalinisan at kalinisan.
Maaaring kabilang sa mga hakbang sa pagpapatupad ang mga babala, pagpapalabas ng mga pagsipi o pagpapatawag, at pagpapataw ng mga multa o parusa para sa mga umuulit na nagkasala.
Sa ilang mga kaso, ang pagpapatupad ay maaaring may kasamang mga kampanya sa edukasyon at kamalayan upang ipaalam sa publiko ang kahalagahan ng wastong mga kasanayan sa kalinisan at ang mga kahihinatnan ng paglabag sa mga lokal na ordinansa.</v>
      </c>
      <c r="F1840" s="2">
        <f t="shared" si="1"/>
        <v>0</v>
      </c>
      <c r="G1840" s="2"/>
      <c r="H1840" s="2"/>
      <c r="I1840" s="2"/>
      <c r="J1840" s="2"/>
      <c r="K1840" s="2"/>
      <c r="L1840" s="2"/>
      <c r="M1840" s="2"/>
      <c r="N1840" s="2"/>
      <c r="O1840" s="2"/>
      <c r="P1840" s="2"/>
      <c r="Q1840" s="2"/>
      <c r="R1840" s="2"/>
      <c r="S1840" s="2"/>
      <c r="T1840" s="2"/>
      <c r="U1840" s="2"/>
      <c r="V1840" s="2"/>
      <c r="W1840" s="2"/>
      <c r="X1840" s="2"/>
      <c r="Y1840" s="2"/>
      <c r="Z1840" s="2"/>
      <c r="AA1840" s="2"/>
    </row>
    <row r="1841">
      <c r="A1841" s="1" t="s">
        <v>4698</v>
      </c>
      <c r="B1841" s="1" t="s">
        <v>4729</v>
      </c>
      <c r="C1841" s="1" t="s">
        <v>4730</v>
      </c>
      <c r="D1841" s="2" t="str">
        <f>IFERROR(__xludf.DUMMYFUNCTION("GOOGLETRANSLATE(B1841, ""en"", ""TL"")"),"Anong mga parusa ang naaangkop para sa pagsali sa iligal na pagbebenta o pamamahagi ng mga kalakal sa mga lansangan?")</f>
        <v>Anong mga parusa ang naaangkop para sa pagsali sa iligal na pagbebenta o pamamahagi ng mga kalakal sa mga lansangan?</v>
      </c>
      <c r="E1841" s="2" t="str">
        <f>IFERROR(__xludf.DUMMYFUNCTION("GOOGLETRANSLATE(C1841, ""en"", ""TL"")"),"Ang mga parusa para sa pagsali sa iligal na pagbebenta o pamamahagi ng mga kalakal sa mga lansangan sa Pilipinas ay maaaring mag-iba depende sa partikular na mga pangyayari, ang uri ng kalakal na kasangkot, at mga naaangkop na lokal na ordinansa o pambans"&amp;"ang batas. Narito ang ilang potensyal na parusa:
Mga multa: Ang mga nagkasala ay maaaring sumailalim sa mga multa na ipinataw ng mga local government units (LGUs) para sa paglabag sa mga ordinansang may kaugnayan sa street vending o pagbebenta ng mga kal"&amp;"akal nang walang tamang awtorisasyon. Maaaring mag-iba ang halaga ng multa depende sa tindi ng paglabag at mga patakaran ng LGU.
Pagkumpiska ng mga Kalakal: Maaaring kumpiskahin ng mga awtoridad sa pagpapatupad ng batas o mga opisyal ng LGU ang mga kalak"&amp;"al na iligal na ibinebenta sa mga lansangan. Ang mga nakumpiskang bagay ay hindi maaaring ibalik sa nagbebenta, lalo na kung ang mga ito ay itinuturing na kontrabando o ipinagbabawal na mga produkto.
Mga Parusa sa Administratibo: Bilang karagdagan sa mga"&amp;" multa, ang mga indibidwal na nakikibahagi sa iligal na pagtitinda sa kalye ay maaaring maharap sa mga parusang administratibo, tulad ng pagbawi ng mga permit o lisensya kung sila ay gumagana nang may awtorisasyon na nilabag.
Mga Pagsingil sa Kriminal: S"&amp;"a ilang mga kaso, partikular na kung ang aktibidad ay nagsasangkot ng pagbebenta o pamamahagi ng mga ilegal o pekeng produkto, ang mga indibidwal ay maaaring maharap sa mga kasong kriminal sa ilalim ng mga nauugnay na pambansang batas, gaya ng Intellectua"&amp;"l Property Code o mga batas sa proteksyon ng consumer. Ang mga parusa para sa mga kriminal na pagkakasala ay maaaring kabilang ang pagkakulong, multa, o pareho, depende sa kalubhaan ng pagkakasala.
Serbisyo sa Komunidad: Maaaring magpataw ng serbisyo sa "&amp;"komunidad ang ilang LGU bilang alternatibong parusa para sa mga paglabag sa pagtitinda sa lansangan. Maaaring kailanganin ang mga nagkasala na lumahok sa mga aktibidad na naglalayong pagpapabuti ng komunidad o kalinisan.")</f>
        <v>Ang mga parusa para sa pagsali sa iligal na pagbebenta o pamamahagi ng mga kalakal sa mga lansangan sa Pilipinas ay maaaring mag-iba depende sa partikular na mga pangyayari, ang uri ng kalakal na kasangkot, at mga naaangkop na lokal na ordinansa o pambansang batas. Narito ang ilang potensyal na parusa:
Mga multa: Ang mga nagkasala ay maaaring sumailalim sa mga multa na ipinataw ng mga local government units (LGUs) para sa paglabag sa mga ordinansang may kaugnayan sa street vending o pagbebenta ng mga kalakal nang walang tamang awtorisasyon. Maaaring mag-iba ang halaga ng multa depende sa tindi ng paglabag at mga patakaran ng LGU.
Pagkumpiska ng mga Kalakal: Maaaring kumpiskahin ng mga awtoridad sa pagpapatupad ng batas o mga opisyal ng LGU ang mga kalakal na iligal na ibinebenta sa mga lansangan. Ang mga nakumpiskang bagay ay hindi maaaring ibalik sa nagbebenta, lalo na kung ang mga ito ay itinuturing na kontrabando o ipinagbabawal na mga produkto.
Mga Parusa sa Administratibo: Bilang karagdagan sa mga multa, ang mga indibidwal na nakikibahagi sa iligal na pagtitinda sa kalye ay maaaring maharap sa mga parusang administratibo, tulad ng pagbawi ng mga permit o lisensya kung sila ay gumagana nang may awtorisasyon na nilabag.
Mga Pagsingil sa Kriminal: Sa ilang mga kaso, partikular na kung ang aktibidad ay nagsasangkot ng pagbebenta o pamamahagi ng mga ilegal o pekeng produkto, ang mga indibidwal ay maaaring maharap sa mga kasong kriminal sa ilalim ng mga nauugnay na pambansang batas, gaya ng Intellectual Property Code o mga batas sa proteksyon ng consumer. Ang mga parusa para sa mga kriminal na pagkakasala ay maaaring kabilang ang pagkakulong, multa, o pareho, depende sa kalubhaan ng pagkakasala.
Serbisyo sa Komunidad: Maaaring magpataw ng serbisyo sa komunidad ang ilang LGU bilang alternatibong parusa para sa mga paglabag sa pagtitinda sa lansangan. Maaaring kailanganin ang mga nagkasala na lumahok sa mga aktibidad na naglalayong pagpapabuti ng komunidad o kalinisan.</v>
      </c>
      <c r="F1841" s="2">
        <f t="shared" si="1"/>
        <v>0</v>
      </c>
      <c r="G1841" s="2"/>
      <c r="H1841" s="2"/>
      <c r="I1841" s="2"/>
      <c r="J1841" s="2"/>
      <c r="K1841" s="2"/>
      <c r="L1841" s="2"/>
      <c r="M1841" s="2"/>
      <c r="N1841" s="2"/>
      <c r="O1841" s="2"/>
      <c r="P1841" s="2"/>
      <c r="Q1841" s="2"/>
      <c r="R1841" s="2"/>
      <c r="S1841" s="2"/>
      <c r="T1841" s="2"/>
      <c r="U1841" s="2"/>
      <c r="V1841" s="2"/>
      <c r="W1841" s="2"/>
      <c r="X1841" s="2"/>
      <c r="Y1841" s="2"/>
      <c r="Z1841" s="2"/>
      <c r="AA1841" s="2"/>
    </row>
    <row r="1842">
      <c r="A1842" s="1" t="s">
        <v>4698</v>
      </c>
      <c r="B1842" s="1" t="s">
        <v>4731</v>
      </c>
      <c r="C1842" s="1" t="s">
        <v>4732</v>
      </c>
      <c r="D1842" s="2" t="str">
        <f>IFERROR(__xludf.DUMMYFUNCTION("GOOGLETRANSLATE(B1842, ""en"", ""TL"")"),"Paano tinutugunan ang mga insidente ng pag-atake sa antas ng kalye o affray sa sistemang legal ng Pilipinas?")</f>
        <v>Paano tinutugunan ang mga insidente ng pag-atake sa antas ng kalye o affray sa sistemang legal ng Pilipinas?</v>
      </c>
      <c r="E1842" s="2" t="str">
        <f>IFERROR(__xludf.DUMMYFUNCTION("GOOGLETRANSLATE(C1842, ""en"", ""TL"")"),"Ang mga insidente ng pag-atake sa antas ng kalye o affray sa sistemang legal ng Pilipinas ay karaniwang tinutugunan sa pamamagitan ng mga batas at pamamaraang kriminal. Narito ang isang pangkalahatang-ideya kung paano pinangangasiwaan ang mga naturang ins"&amp;"idente:
Mga Batas sa Pag-atake at Baterya: Ang pag-atake at baterya ay mga kriminal na pagkakasala sa ilalim ng batas ng Pilipinas. Ang pag-atake ay tumutukoy sa anumang kilos na naglalagay sa ibang tao sa pangamba sa agarang pinsala o nakakasakit na pak"&amp;"ikipag-ugnayan, habang ang baterya ay nagsasangkot ng aktwal na pisikal na pakikipag-ugnayan o pinsalang naidulot sa ibang tao nang walang pahintulot nila.
Paghahain ng mga Reklamo: Kung ang isang tao ay naging biktima ng pang-aatake sa antas ng kalye o "&amp;"affray, may karapatan silang magsampa ng reklamo sa lokal na pulisya o ahensyang nagpapatupad ng batas. Ang biktima o mga saksi ay maaaring magbigay ng mga pahayag at ebidensya upang suportahan ang reklamo, na magpapasimula ng imbestigasyon.
Pagsisiyasat"&amp;" ng Tagapatupad ng Batas: Ang mga awtoridad sa pagpapatupad ng batas ay magsasagawa ng pagsisiyasat sa insidente, pangangalap ng ebidensya, pakikipanayam sa mga saksi, at pagtukoy ng mga suspek. Maaari rin silang mangolekta ng anumang available na CCTV fo"&amp;"otage o iba pang nauugnay na ebidensya mula sa pinangyarihan ng insidente.
Pagsingil sa mga Suspek: Kung may sapat na ebidensya, ang mga suspek na sangkot sa pag-atake o affray ay maaaring kasuhan ng mga criminal offense. Ang mga partikular na singil ay "&amp;"depende sa mga pangyayari ng insidente at sa kalubhaan ng pinsalang naidulot.
Mga Pamamaraan sa Hukuman: Ang kaso ay magpapatuloy sa korte, kung saan ang mga suspek ay magkakaroon ng pagkakataon na iharap ang kanilang depensa. Ang prosekusyon ay magpapak"&amp;"ita ng ebidensya at mga saksi upang patunayan ang mga paratang laban sa mga nasasakdal.
Paglilitis at Hatol: Sa panahon ng paglilitis, ang hukom o hurado ay diringgin ang mga argumento mula sa magkabilang panig at susuriin ang ipinakitang ebidensya. Kung"&amp;" ang mga nasasakdal ay napatunayang nagkasala nang lampas sa isang makatwirang pagdududa, sila ay mahahatulan ng mga pagkakasala na kinasuhan. Ang hukuman ay magpapataw ng naaangkop na mga parusa, na maaaring kabilang ang mga multa, pagkakulong, o pareho.")</f>
        <v>Ang mga insidente ng pag-atake sa antas ng kalye o affray sa sistemang legal ng Pilipinas ay karaniwang tinutugunan sa pamamagitan ng mga batas at pamamaraang kriminal. Narito ang isang pangkalahatang-ideya kung paano pinangangasiwaan ang mga naturang insidente:
Mga Batas sa Pag-atake at Baterya: Ang pag-atake at baterya ay mga kriminal na pagkakasala sa ilalim ng batas ng Pilipinas. Ang pag-atake ay tumutukoy sa anumang kilos na naglalagay sa ibang tao sa pangamba sa agarang pinsala o nakakasakit na pakikipag-ugnayan, habang ang baterya ay nagsasangkot ng aktwal na pisikal na pakikipag-ugnayan o pinsalang naidulot sa ibang tao nang walang pahintulot nila.
Paghahain ng mga Reklamo: Kung ang isang tao ay naging biktima ng pang-aatake sa antas ng kalye o affray, may karapatan silang magsampa ng reklamo sa lokal na pulisya o ahensyang nagpapatupad ng batas. Ang biktima o mga saksi ay maaaring magbigay ng mga pahayag at ebidensya upang suportahan ang reklamo, na magpapasimula ng imbestigasyon.
Pagsisiyasat ng Tagapatupad ng Batas: Ang mga awtoridad sa pagpapatupad ng batas ay magsasagawa ng pagsisiyasat sa insidente, pangangalap ng ebidensya, pakikipanayam sa mga saksi, at pagtukoy ng mga suspek. Maaari rin silang mangolekta ng anumang available na CCTV footage o iba pang nauugnay na ebidensya mula sa pinangyarihan ng insidente.
Pagsingil sa mga Suspek: Kung may sapat na ebidensya, ang mga suspek na sangkot sa pag-atake o affray ay maaaring kasuhan ng mga criminal offense. Ang mga partikular na singil ay depende sa mga pangyayari ng insidente at sa kalubhaan ng pinsalang naidulot.
Mga Pamamaraan sa Hukuman: Ang kaso ay magpapatuloy sa korte, kung saan ang mga suspek ay magkakaroon ng pagkakataon na iharap ang kanilang depensa. Ang prosekusyon ay magpapakita ng ebidensya at mga saksi upang patunayan ang mga paratang laban sa mga nasasakdal.
Paglilitis at Hatol: Sa panahon ng paglilitis, ang hukom o hurado ay diringgin ang mga argumento mula sa magkabilang panig at susuriin ang ipinakitang ebidensya. Kung ang mga nasasakdal ay napatunayang nagkasala nang lampas sa isang makatwirang pagdududa, sila ay mahahatulan ng mga pagkakasala na kinasuhan. Ang hukuman ay magpapataw ng naaangkop na mga parusa, na maaaring kabilang ang mga multa, pagkakulong, o pareho.</v>
      </c>
      <c r="F1842" s="2">
        <f t="shared" si="1"/>
        <v>0</v>
      </c>
      <c r="G1842" s="2"/>
      <c r="H1842" s="2"/>
      <c r="I1842" s="2"/>
      <c r="J1842" s="2"/>
      <c r="K1842" s="2"/>
      <c r="L1842" s="2"/>
      <c r="M1842" s="2"/>
      <c r="N1842" s="2"/>
      <c r="O1842" s="2"/>
      <c r="P1842" s="2"/>
      <c r="Q1842" s="2"/>
      <c r="R1842" s="2"/>
      <c r="S1842" s="2"/>
      <c r="T1842" s="2"/>
      <c r="U1842" s="2"/>
      <c r="V1842" s="2"/>
      <c r="W1842" s="2"/>
      <c r="X1842" s="2"/>
      <c r="Y1842" s="2"/>
      <c r="Z1842" s="2"/>
      <c r="AA1842" s="2"/>
    </row>
    <row r="1843">
      <c r="A1843" s="1" t="s">
        <v>4698</v>
      </c>
      <c r="B1843" s="1" t="s">
        <v>4733</v>
      </c>
      <c r="C1843" s="1" t="s">
        <v>4734</v>
      </c>
      <c r="D1843" s="2" t="str">
        <f>IFERROR(__xludf.DUMMYFUNCTION("GOOGLETRANSLATE(B1843, ""en"", ""TL"")"),"Anong mga legal na probisyon ang namamahala sa pagkakasala ng hindi maayos na pag-uugali sa pampublikong transportasyon?")</f>
        <v>Anong mga legal na probisyon ang namamahala sa pagkakasala ng hindi maayos na pag-uugali sa pampublikong transportasyon?</v>
      </c>
      <c r="E1843" s="2" t="str">
        <f>IFERROR(__xludf.DUMMYFUNCTION("GOOGLETRANSLATE(C1843, ""en"", ""TL"")"),"Sa Pilipinas, ang hindi maayos na pag-uugali sa pampublikong transportasyon ay karaniwang pinamamahalaan ng iba't ibang mga batas at regulasyon na naglalayong mapanatili ang kaayusan, kaligtasan, at maayos na operasyon ng mga sistema ng pampublikong trans"&amp;"portasyon. Bagama't maaaring walang mga partikular na probisyon na tumutugon sa hindi maayos na pag-uugali sa pampublikong transportasyon, maraming batas at regulasyon ang maaaring ilapat upang matugunan ang gayong pag-uugali. Narito ang ilang nauugnay na"&amp;" legal na probisyon:
Mga Regulasyon sa Sasakyan ng Pampublikong Serbisyo: Ang Land Transportation Franchising and Regulatory Board (LTFRB) ay kinokontrol ang mga serbisyo ng pampublikong transportasyon, kabilang ang mga bus, jeepney, taxi, at iba pang pa"&amp;"mpublikong utility vehicle. Ang mga regulasyong ito ay kadalasang kinabibilangan ng mga probisyon na may kaugnayan sa pag-uugali ng pasahero, kaligtasan, at pag-uugali habang gumagamit ng pampublikong transportasyon.
Mga Probisyon ng Kodigo Penal: Ang Bi"&amp;"nagong Kodigo Penal ng Pilipinas ay naglalaman ng mga probisyon na maaaring ilapat sa hindi maayos na pag-uugali o hindi masusunod na pag-uugali sa pampublikong transportasyon, tulad ng:
Artikulo 153 (Mga Kaguluhan at Iba Pang Mga Pagkagambala ng Pampubl"&amp;"ikong Kaayusan): Pinaparusahan ng artikulong ito ang mga indibidwal na nakakagambala sa kapayapaan ng publiko sa pamamagitan ng magulong pag-uugali, na lumilikha ng malubhang kaguluhan sa mga pampublikong lugar, kabilang ang pampublikong transportasyon.
"&amp;"Artikulo 287 (Light Coercions): Ang artikulong ito ay nagpaparusa sa mga indibidwal na pumipilit o nag-uudyok sa ibang tao na gumawa ng isang kilos, kabilang ang mga aksyon na maaaring makagambala sa mga serbisyo ng pampublikong transportasyon.
Mga Lokal"&amp;" na Ordenansa: Ang mga yunit ng lokal na pamahalaan ay maaaring magpatupad ng mga ordinansa na kumokontrol sa pag-uugali sa mga pampublikong lugar, kabilang ang mga terminal ng pampublikong transportasyon, istasyon, at sasakyan. Maaaring kabilang sa mga o"&amp;"rdinansang ito ang mga probisyon na nagbabawal sa hindi maayos na pag-uugali, lumikha ng mga kaguluhan, o nagdudulot ng abala sa ibang mga pasahero.
Mga Patakaran at Alituntunin sa Transportasyon: Ang mga ahensya at operator ng transportasyon ay maaaring"&amp;" magtatag ng kanilang sariling mga patakaran, alituntunin, at mga code ng pag-uugali upang mapanatili ang kaayusan at disiplina sa pampublikong transportasyon. Maaaring kabilang dito ang mga panuntunan tungkol sa pag-uugali ng pasahero, pag-aayos ng upuan"&amp;", at mga parusa para sa mga paglabag.
Mga Panukala sa Kaligtasan ng Publiko: Ang iba't ibang ahensya ng gobyerno, kabilang ang mga awtoridad sa pagpapatupad ng batas at mga regulator ng transportasyon, ay may tungkuling tiyakin ang kaligtasan at segurida"&amp;"d ng publiko sa mga sistema ng transportasyon. Maaari silang makialam sa mga kaso ng hindi maayos na pag-uugali, pigilan ang mga indibidwal na nagdudulot ng mga kaguluhan, at magpataw ng naaangkop na mga parusa.")</f>
        <v>Sa Pilipinas, ang hindi maayos na pag-uugali sa pampublikong transportasyon ay karaniwang pinamamahalaan ng iba't ibang mga batas at regulasyon na naglalayong mapanatili ang kaayusan, kaligtasan, at maayos na operasyon ng mga sistema ng pampublikong transportasyon. Bagama't maaaring walang mga partikular na probisyon na tumutugon sa hindi maayos na pag-uugali sa pampublikong transportasyon, maraming batas at regulasyon ang maaaring ilapat upang matugunan ang gayong pag-uugali. Narito ang ilang nauugnay na legal na probisyon:
Mga Regulasyon sa Sasakyan ng Pampublikong Serbisyo: Ang Land Transportation Franchising and Regulatory Board (LTFRB) ay kinokontrol ang mga serbisyo ng pampublikong transportasyon, kabilang ang mga bus, jeepney, taxi, at iba pang pampublikong utility vehicle. Ang mga regulasyong ito ay kadalasang kinabibilangan ng mga probisyon na may kaugnayan sa pag-uugali ng pasahero, kaligtasan, at pag-uugali habang gumagamit ng pampublikong transportasyon.
Mga Probisyon ng Kodigo Penal: Ang Binagong Kodigo Penal ng Pilipinas ay naglalaman ng mga probisyon na maaaring ilapat sa hindi maayos na pag-uugali o hindi masusunod na pag-uugali sa pampublikong transportasyon, tulad ng:
Artikulo 153 (Mga Kaguluhan at Iba Pang Mga Pagkagambala ng Pampublikong Kaayusan): Pinaparusahan ng artikulong ito ang mga indibidwal na nakakagambala sa kapayapaan ng publiko sa pamamagitan ng magulong pag-uugali, na lumilikha ng malubhang kaguluhan sa mga pampublikong lugar, kabilang ang pampublikong transportasyon.
Artikulo 287 (Light Coercions): Ang artikulong ito ay nagpaparusa sa mga indibidwal na pumipilit o nag-uudyok sa ibang tao na gumawa ng isang kilos, kabilang ang mga aksyon na maaaring makagambala sa mga serbisyo ng pampublikong transportasyon.
Mga Lokal na Ordenansa: Ang mga yunit ng lokal na pamahalaan ay maaaring magpatupad ng mga ordinansa na kumokontrol sa pag-uugali sa mga pampublikong lugar, kabilang ang mga terminal ng pampublikong transportasyon, istasyon, at sasakyan. Maaaring kabilang sa mga ordinansang ito ang mga probisyon na nagbabawal sa hindi maayos na pag-uugali, lumikha ng mga kaguluhan, o nagdudulot ng abala sa ibang mga pasahero.
Mga Patakaran at Alituntunin sa Transportasyon: Ang mga ahensya at operator ng transportasyon ay maaaring magtatag ng kanilang sariling mga patakaran, alituntunin, at mga code ng pag-uugali upang mapanatili ang kaayusan at disiplina sa pampublikong transportasyon. Maaaring kabilang dito ang mga panuntunan tungkol sa pag-uugali ng pasahero, pag-aayos ng upuan, at mga parusa para sa mga paglabag.
Mga Panukala sa Kaligtasan ng Publiko: Ang iba't ibang ahensya ng gobyerno, kabilang ang mga awtoridad sa pagpapatupad ng batas at mga regulator ng transportasyon, ay may tungkuling tiyakin ang kaligtasan at seguridad ng publiko sa mga sistema ng transportasyon. Maaari silang makialam sa mga kaso ng hindi maayos na pag-uugali, pigilan ang mga indibidwal na nagdudulot ng mga kaguluhan, at magpataw ng naaangkop na mga parusa.</v>
      </c>
      <c r="F1843" s="2">
        <f t="shared" si="1"/>
        <v>0</v>
      </c>
      <c r="G1843" s="2"/>
      <c r="H1843" s="2"/>
      <c r="I1843" s="2"/>
      <c r="J1843" s="2"/>
      <c r="K1843" s="2"/>
      <c r="L1843" s="2"/>
      <c r="M1843" s="2"/>
      <c r="N1843" s="2"/>
      <c r="O1843" s="2"/>
      <c r="P1843" s="2"/>
      <c r="Q1843" s="2"/>
      <c r="R1843" s="2"/>
      <c r="S1843" s="2"/>
      <c r="T1843" s="2"/>
      <c r="U1843" s="2"/>
      <c r="V1843" s="2"/>
      <c r="W1843" s="2"/>
      <c r="X1843" s="2"/>
      <c r="Y1843" s="2"/>
      <c r="Z1843" s="2"/>
      <c r="AA1843" s="2"/>
    </row>
    <row r="1844">
      <c r="A1844" s="1" t="s">
        <v>4698</v>
      </c>
      <c r="B1844" s="1" t="s">
        <v>4735</v>
      </c>
      <c r="C1844" s="1" t="s">
        <v>4736</v>
      </c>
      <c r="D1844" s="2" t="str">
        <f>IFERROR(__xludf.DUMMYFUNCTION("GOOGLETRANSLATE(B1844, ""en"", ""TL"")"),"Paano kinokontrol ng batas ng Pilipinas ang krimen ng public solicitation o pamalimos?")</f>
        <v>Paano kinokontrol ng batas ng Pilipinas ang krimen ng public solicitation o pamalimos?</v>
      </c>
      <c r="E1844" s="2" t="str">
        <f>IFERROR(__xludf.DUMMYFUNCTION("GOOGLETRANSLATE(C1844, ""en"", ""TL"")"),"Sa Pilipinas, ang pampublikong pangangalap o pamalimos ay kinokontrol ng iba't ibang batas at lokal na ordinansa na naglalayong mapanatili ang kaayusan ng publiko, protektahan ang mga mahihinang indibidwal, at tugunan ang mga ugat ng kahirapan. Bagama't a"&amp;"ng mismong pagmamalimos ay maaaring hindi tahasang tukuyin bilang isang krimen sa ilalim ng pambansang batas, ang ilang partikular na pagkilos na nauugnay sa pangangalap ay maaaring ipagbawal o i-regulate. Narito ang isang pangkalahatang-ideya kung paano "&amp;"tinutugunan ang isyu:
Mga Lokal na Ordinansa: Maraming mga local government units (LGUs) ang may mga ordinansang nagre-regulate o nagbabawal sa pamalimos at pangangalap sa mga pampublikong lugar sa loob ng kanilang mga nasasakupan. Maaaring kabilang sa m"&amp;"ga ordinansang ito ang mga probisyon na nagbabawal sa agresibong pamamalimos, pangangalap sa ilang partikular na lugar, o paghingi ng tulong mula sa mga menor de edad.
Mga Batas sa Vagrancy: Bagama't hindi partikular na nagta-target ng pamamalimos, maaar"&amp;"ing gamitin ang mga batas ng vagrancy upang tugunan ang ilang uri ng pampublikong pangangalap. Karaniwang ipinagbabawal ng mga batas sa vagrancy ang pagtambay, kawalang-ginagawa, o paggala sa mga pampublikong lugar nang walang nakikitang paraan ng suporta"&amp;", na maaaring sumasaklaw sa pamamalimos sa ilang mga kaso.
Anti-Mendicancy Laws: Ang ilang LGU ay nagpatupad ng mga anti-mendicancy na batas o ordinansa na naglalayong tugunan ang mga ugat ng pamamalimos at pagbibigay ng mga alternatibong paraan ng supor"&amp;"ta sa mga indigent na indibidwal. Ang mga batas na ito ay maaaring may kasamang mga programa sa kapakanang panlipunan, mga serbisyo sa rehabilitasyon, o mga hakbangin upang tugunan ang kahirapan at kawalan ng tirahan.
Social Welfare Programs: Ang gobyern"&amp;"o ng Pilipinas ay nagpapatupad din ng mga social welfare program na naglalayong magbigay ng tulong sa mga mahihirap na indibidwal at pamilya, kabilang ang mga maaaring magpalimos dahil sa kahirapan sa ekonomiya. Maaaring kabilang sa mga programang ito ang"&amp;" tulong na pera, suporta sa kabuhayan, mga subsidyo sa edukasyon, at tulong sa pabahay.
Mga Batas sa Kapakanan ng Bata: Ang espesyal na atensyon ay ibinibigay sa pagtugon sa pamalimos sa bata, dahil madalas itong nagsasangkot ng pagsasamantala at paglaba"&amp;"g sa mga karapatan ng bata. Ang mga batas tulad ng Anti-Child Abuse Law (Republic Act No. 7610) at ang Special Protection of Children Against Child Abuse, Exploitation and Discrimination Act (Republic Act No. 9231) ay nagbibigay ng proteksyon para sa mga "&amp;"bata laban sa pagsasamantala, kabilang ang pamamalimos.
Pagpapatupad ng mga Awtoridad: Ang mga ahensyang nagpapatupad ng batas, gaya ng Philippine National Police (PNP) at mga lokal na opisyal ng barangay, ay may pananagutan sa pagpapatupad ng mga kaugna"&amp;"y na batas at ordinansa na may kaugnayan sa public solicitation. Maaari silang magsagawa ng mga patrol, magbigay ng mga babala, at hulihin ang mga indibidwal na nakikibahagi sa mga aktibidad na ilegal na namamalimos.")</f>
        <v>Sa Pilipinas, ang pampublikong pangangalap o pamalimos ay kinokontrol ng iba't ibang batas at lokal na ordinansa na naglalayong mapanatili ang kaayusan ng publiko, protektahan ang mga mahihinang indibidwal, at tugunan ang mga ugat ng kahirapan. Bagama't ang mismong pagmamalimos ay maaaring hindi tahasang tukuyin bilang isang krimen sa ilalim ng pambansang batas, ang ilang partikular na pagkilos na nauugnay sa pangangalap ay maaaring ipagbawal o i-regulate. Narito ang isang pangkalahatang-ideya kung paano tinutugunan ang isyu:
Mga Lokal na Ordinansa: Maraming mga local government units (LGUs) ang may mga ordinansang nagre-regulate o nagbabawal sa pamalimos at pangangalap sa mga pampublikong lugar sa loob ng kanilang mga nasasakupan. Maaaring kabilang sa mga ordinansang ito ang mga probisyon na nagbabawal sa agresibong pamamalimos, pangangalap sa ilang partikular na lugar, o paghingi ng tulong mula sa mga menor de edad.
Mga Batas sa Vagrancy: Bagama't hindi partikular na nagta-target ng pamamalimos, maaaring gamitin ang mga batas ng vagrancy upang tugunan ang ilang uri ng pampublikong pangangalap. Karaniwang ipinagbabawal ng mga batas sa vagrancy ang pagtambay, kawalang-ginagawa, o paggala sa mga pampublikong lugar nang walang nakikitang paraan ng suporta, na maaaring sumasaklaw sa pamamalimos sa ilang mga kaso.
Anti-Mendicancy Laws: Ang ilang LGU ay nagpatupad ng mga anti-mendicancy na batas o ordinansa na naglalayong tugunan ang mga ugat ng pamamalimos at pagbibigay ng mga alternatibong paraan ng suporta sa mga indigent na indibidwal. Ang mga batas na ito ay maaaring may kasamang mga programa sa kapakanang panlipunan, mga serbisyo sa rehabilitasyon, o mga hakbangin upang tugunan ang kahirapan at kawalan ng tirahan.
Social Welfare Programs: Ang gobyerno ng Pilipinas ay nagpapatupad din ng mga social welfare program na naglalayong magbigay ng tulong sa mga mahihirap na indibidwal at pamilya, kabilang ang mga maaaring magpalimos dahil sa kahirapan sa ekonomiya. Maaaring kabilang sa mga programang ito ang tulong na pera, suporta sa kabuhayan, mga subsidyo sa edukasyon, at tulong sa pabahay.
Mga Batas sa Kapakanan ng Bata: Ang espesyal na atensyon ay ibinibigay sa pagtugon sa pamalimos sa bata, dahil madalas itong nagsasangkot ng pagsasamantala at paglabag sa mga karapatan ng bata. Ang mga batas tulad ng Anti-Child Abuse Law (Republic Act No. 7610) at ang Special Protection of Children Against Child Abuse, Exploitation and Discrimination Act (Republic Act No. 9231) ay nagbibigay ng proteksyon para sa mga bata laban sa pagsasamantala, kabilang ang pamamalimos.
Pagpapatupad ng mga Awtoridad: Ang mga ahensyang nagpapatupad ng batas, gaya ng Philippine National Police (PNP) at mga lokal na opisyal ng barangay, ay may pananagutan sa pagpapatupad ng mga kaugnay na batas at ordinansa na may kaugnayan sa public solicitation. Maaari silang magsagawa ng mga patrol, magbigay ng mga babala, at hulihin ang mga indibidwal na nakikibahagi sa mga aktibidad na ilegal na namamalimos.</v>
      </c>
      <c r="F1844" s="2">
        <f t="shared" si="1"/>
        <v>0</v>
      </c>
      <c r="G1844" s="2"/>
      <c r="H1844" s="2"/>
      <c r="I1844" s="2"/>
      <c r="J1844" s="2"/>
      <c r="K1844" s="2"/>
      <c r="L1844" s="2"/>
      <c r="M1844" s="2"/>
      <c r="N1844" s="2"/>
      <c r="O1844" s="2"/>
      <c r="P1844" s="2"/>
      <c r="Q1844" s="2"/>
      <c r="R1844" s="2"/>
      <c r="S1844" s="2"/>
      <c r="T1844" s="2"/>
      <c r="U1844" s="2"/>
      <c r="V1844" s="2"/>
      <c r="W1844" s="2"/>
      <c r="X1844" s="2"/>
      <c r="Y1844" s="2"/>
      <c r="Z1844" s="2"/>
      <c r="AA1844" s="2"/>
    </row>
    <row r="1845">
      <c r="A1845" s="1" t="s">
        <v>4698</v>
      </c>
      <c r="B1845" s="1" t="s">
        <v>4737</v>
      </c>
      <c r="C1845" s="1" t="s">
        <v>4738</v>
      </c>
      <c r="D1845" s="2" t="str">
        <f>IFERROR(__xludf.DUMMYFUNCTION("GOOGLETRANSLATE(B1845, ""en"", ""TL"")"),"Anong mga parusa ang ipinapataw para sa pagsali sa mga aktibidad ng gang sa antas ng kalye o mga krimen na nauugnay sa gang?")</f>
        <v>Anong mga parusa ang ipinapataw para sa pagsali sa mga aktibidad ng gang sa antas ng kalye o mga krimen na nauugnay sa gang?</v>
      </c>
      <c r="E1845" s="2" t="str">
        <f>IFERROR(__xludf.DUMMYFUNCTION("GOOGLETRANSLATE(C1845, ""en"", ""TL"")"),"Ang pagsali sa mga aktibidad ng gang sa antas ng kalye o mga krimen na may kaugnayan sa gang sa Pilipinas ay maaaring humantong sa matinding legal na kahihinatnan, kabilang ang mga parusang itinakda sa ilalim ng iba't ibang batas at ordinansa. Ang mga par"&amp;"usang ipinataw ay maaaring mag-iba depende sa partikular na pagkakasala na ginawa at sa mga probisyon ng batas na nilabag. Narito ang ilang potensyal na parusa para sa pagsali sa mga aktibidad ng gang o mga krimen na nauugnay sa gang:
Republic Act No. 10"&amp;"591 (Comprehensive Firearms and Ammunition Regulation Act):
Ilegal na Pag-aari ng mga Baril: Ang mga parusa ay mula sa pagkakulong ng hanggang 20 taon at multa ng hanggang ₱500,000 para sa iligal na pag-aari ng mga baril, bala, o pampasabog.
Republic Ac"&amp;"t No. 9165 (Comprehensive Dangerous Drugs Act):
Drug Trafficking: Kasama sa mga parusa ang habambuhay na pagkakakulong at mga multa mula ₱500,000 hanggang ₱10 milyon para sa iligal na pagbebenta, pangangalakal, pangangasiwa, dispensasyon, paghahatid, pam"&amp;"amahagi, at transportasyon ng mga mapanganib na droga.
Pag-aari ng Droga: Ang mga parusa ay mula sa pagkakulong at multa para sa pagkakaroon ng mga ilegal na droga, depende sa dami at klasipikasyon ng sangkap.
Binagong Kodigo Penal ng Pilipinas:
Pagnan"&amp;"akaw at Pagnanakaw: Ang mga parusa para sa mga paglabag sa pagnanakaw at pagnanakaw ay nag-iiba depende sa mga pangyayari at halaga ng ari-arian na ninakaw, mula sa pagkakulong at mga multa hanggang sa mas matitinding parusa para sa mga pinalubhang uri ng"&amp;" krimen.
Pisikal na Pinsala at Pagpatay: Ang pagsali sa mga marahas na aktibidad o mga krimen na nagreresulta sa pisikal na pinsala o pagpatay ay maaaring humantong sa pagkakulong o kahit habambuhay na pagkakulong, depende sa bigat ng pagkakasala.
Mga L"&amp;"okal na Ordenansa:
Maraming mga local government units (LGUs) ang may mga ordinansa na partikular na tumutugon sa mga aktibidad na nauugnay sa gang, tulad ng paninira, kaguluhan sa publiko, ilegal na pagtitipon, at pangangalap ng gang. Maaaring kabilang "&amp;"sa mga parusa ang mga multa, serbisyo sa komunidad, o pagkakulong, ayon sa pagpapasya ng lokal na awtoridad.
Republic Act No. 9344 (Juvenile Justice and Welfare Act):
Para sa mga menor de edad na sangkot sa mga aktibidad ng gang, ang Juvenile Justice an"&amp;"d Welfare Act ay nagbibigay ng mga interbensyon na naglalayong rehabilitasyon at muling pagsasama sa lipunan, sa halip na mga hakbang sa pagpaparusa. Gayunpaman, ang mga mabibigat na kasalanang ginawa ng mga menor de edad ay maaari pa ring magresulta sa d"&amp;"etensyon o pagkakulong sa mga pasilidad ng detensyon ng kabataan.
Anti-Hazing Law (Republic Act No. 8049):
Ang pag-oorganisa o paglahok sa mga aktibidad ng hazing, na kadalasang nauugnay sa mga seremonya ng pagsisimula ng gang, ay maaaring magresulta sa"&amp;" pagkakulong at multa, lalo na kung ang hazing ay humantong sa malubhang pinsala o kamatayan.")</f>
        <v>Ang pagsali sa mga aktibidad ng gang sa antas ng kalye o mga krimen na may kaugnayan sa gang sa Pilipinas ay maaaring humantong sa matinding legal na kahihinatnan, kabilang ang mga parusang itinakda sa ilalim ng iba't ibang batas at ordinansa. Ang mga parusang ipinataw ay maaaring mag-iba depende sa partikular na pagkakasala na ginawa at sa mga probisyon ng batas na nilabag. Narito ang ilang potensyal na parusa para sa pagsali sa mga aktibidad ng gang o mga krimen na nauugnay sa gang:
Republic Act No. 10591 (Comprehensive Firearms and Ammunition Regulation Act):
Ilegal na Pag-aari ng mga Baril: Ang mga parusa ay mula sa pagkakulong ng hanggang 20 taon at multa ng hanggang ₱500,000 para sa iligal na pag-aari ng mga baril, bala, o pampasabog.
Republic Act No. 9165 (Comprehensive Dangerous Drugs Act):
Drug Trafficking: Kasama sa mga parusa ang habambuhay na pagkakakulong at mga multa mula ₱500,000 hanggang ₱10 milyon para sa iligal na pagbebenta, pangangalakal, pangangasiwa, dispensasyon, paghahatid, pamamahagi, at transportasyon ng mga mapanganib na droga.
Pag-aari ng Droga: Ang mga parusa ay mula sa pagkakulong at multa para sa pagkakaroon ng mga ilegal na droga, depende sa dami at klasipikasyon ng sangkap.
Binagong Kodigo Penal ng Pilipinas:
Pagnanakaw at Pagnanakaw: Ang mga parusa para sa mga paglabag sa pagnanakaw at pagnanakaw ay nag-iiba depende sa mga pangyayari at halaga ng ari-arian na ninakaw, mula sa pagkakulong at mga multa hanggang sa mas matitinding parusa para sa mga pinalubhang uri ng krimen.
Pisikal na Pinsala at Pagpatay: Ang pagsali sa mga marahas na aktibidad o mga krimen na nagreresulta sa pisikal na pinsala o pagpatay ay maaaring humantong sa pagkakulong o kahit habambuhay na pagkakulong, depende sa bigat ng pagkakasala.
Mga Lokal na Ordenansa:
Maraming mga local government units (LGUs) ang may mga ordinansa na partikular na tumutugon sa mga aktibidad na nauugnay sa gang, tulad ng paninira, kaguluhan sa publiko, ilegal na pagtitipon, at pangangalap ng gang. Maaaring kabilang sa mga parusa ang mga multa, serbisyo sa komunidad, o pagkakulong, ayon sa pagpapasya ng lokal na awtoridad.
Republic Act No. 9344 (Juvenile Justice and Welfare Act):
Para sa mga menor de edad na sangkot sa mga aktibidad ng gang, ang Juvenile Justice and Welfare Act ay nagbibigay ng mga interbensyon na naglalayong rehabilitasyon at muling pagsasama sa lipunan, sa halip na mga hakbang sa pagpaparusa. Gayunpaman, ang mga mabibigat na kasalanang ginawa ng mga menor de edad ay maaari pa ring magresulta sa detensyon o pagkakulong sa mga pasilidad ng detensyon ng kabataan.
Anti-Hazing Law (Republic Act No. 8049):
Ang pag-oorganisa o paglahok sa mga aktibidad ng hazing, na kadalasang nauugnay sa mga seremonya ng pagsisimula ng gang, ay maaaring magresulta sa pagkakulong at multa, lalo na kung ang hazing ay humantong sa malubhang pinsala o kamatayan.</v>
      </c>
      <c r="F1845" s="2">
        <f t="shared" si="1"/>
        <v>0</v>
      </c>
      <c r="G1845" s="2"/>
      <c r="H1845" s="2"/>
      <c r="I1845" s="2"/>
      <c r="J1845" s="2"/>
      <c r="K1845" s="2"/>
      <c r="L1845" s="2"/>
      <c r="M1845" s="2"/>
      <c r="N1845" s="2"/>
      <c r="O1845" s="2"/>
      <c r="P1845" s="2"/>
      <c r="Q1845" s="2"/>
      <c r="R1845" s="2"/>
      <c r="S1845" s="2"/>
      <c r="T1845" s="2"/>
      <c r="U1845" s="2"/>
      <c r="V1845" s="2"/>
      <c r="W1845" s="2"/>
      <c r="X1845" s="2"/>
      <c r="Y1845" s="2"/>
      <c r="Z1845" s="2"/>
      <c r="AA1845" s="2"/>
    </row>
    <row r="1846">
      <c r="A1846" s="1" t="s">
        <v>4698</v>
      </c>
      <c r="B1846" s="1" t="s">
        <v>4739</v>
      </c>
      <c r="C1846" s="1" t="s">
        <v>4740</v>
      </c>
      <c r="D1846" s="2" t="str">
        <f>IFERROR(__xludf.DUMMYFUNCTION("GOOGLETRANSLATE(B1846, ""en"", ""TL"")"),"Sa ilalim ng anong mga pangyayari maaaring kasuhan ang isang tao sa paglikha ng pampublikong istorbo sa mga lansangan?")</f>
        <v>Sa ilalim ng anong mga pangyayari maaaring kasuhan ang isang tao sa paglikha ng pampublikong istorbo sa mga lansangan?</v>
      </c>
      <c r="E1846" s="2" t="str">
        <f>IFERROR(__xludf.DUMMYFUNCTION("GOOGLETRANSLATE(C1846, ""en"", ""TL"")"),"Maaaring kasuhan ang isang tao sa paglikha ng pampublikong istorbo sa mga lansangan sa ilalim ng iba't ibang pagkakataon kung saan ang kanilang mga aksyon ay nakakasagabal sa karapatan ng publiko na gamitin at tangkilikin ang mga pampublikong espasyo. Ang"&amp;" ilang karaniwang halimbawa ng mga aktibidad na maaaring bumubuo ng mga pampublikong istorbo sa mga lansangan ay kinabibilangan ng:
Pagharang sa mga Pampublikong Daan: Pagharang sa mga bangketa, daanan, o kalsada na may mga personal na gamit, sasakyan, o"&amp;" iba pang sagabal, na humahadlang sa malayang paggalaw ng mga pedestrian o sasakyan.
Labis na Ingay: Nakikisali sa malakas o nakakagambalang pag-uugali, tulad ng pagtugtog ng malakas na musika, pagsigaw, o paglikha ng mga kaguluhan na nakakagambala sa ka"&amp;"payapaan at katahimikan ng paligid.
Pampublikong Pagkalasing: Pagiging halatang lasing sa mga pampublikong lugar at pag-uugali sa hindi maayos o nakakagambalang paraan na nagdudulot ng panganib sa sarili o sa iba.
Ilegal na Pagbebenta o Hawking: Pagsasa"&amp;"gawa ng hindi awtorisadong pagbebenta, pagtitinda, o pagbebenta ng mga kalakal sa mga pampublikong kalye nang walang kinakailangang mga permit, na nagdudulot ng pagsisikip o sagabal sa trapiko ng pedestrian.
Pagtatapon o Pagtatapon ng mga basura: Pagtata"&amp;"pon ng mga basura, mga labi, o mga basurang materyales sa mga pampublikong kalye, bangketa, o iba pang pampublikong lugar, na humahantong sa hindi malinis na mga kondisyon o nakahahadlang sa mga pampublikong lugar.
Pampublikong Pag-ihi o Pagdumi: Pakikis"&amp;"ali sa pag-ihi o pagdumi sa mga pampublikong lugar kung saan ito ay hindi pinahihintulutan, na nagiging sanhi ng nakakasakit na amoy, hindi malinis na kondisyon, at mga alalahanin sa kalusugan ng publiko.
Mga Labag sa Batas na Pagtitipon o Pagtitipon: Pa"&amp;"g-oorganisa o pakikilahok sa mga labag sa batas na pagtitipon, demonstrasyon, protesta, o asembliya na nakakagambala sa kaayusan ng publiko, humahadlang sa trapiko, o nagdudulot ng banta sa kaligtasan ng publiko.
Vandalism o Graffiti: Pagsira sa pampubli"&amp;"kong ari-arian, istruktura, o gusali na may graffiti, marka, o iba pang anyo ng paninira, na humahantong sa visual na polusyon at pagkasira ng kapaligiran.")</f>
        <v>Maaaring kasuhan ang isang tao sa paglikha ng pampublikong istorbo sa mga lansangan sa ilalim ng iba't ibang pagkakataon kung saan ang kanilang mga aksyon ay nakakasagabal sa karapatan ng publiko na gamitin at tangkilikin ang mga pampublikong espasyo. Ang ilang karaniwang halimbawa ng mga aktibidad na maaaring bumubuo ng mga pampublikong istorbo sa mga lansangan ay kinabibilangan ng:
Pagharang sa mga Pampublikong Daan: Pagharang sa mga bangketa, daanan, o kalsada na may mga personal na gamit, sasakyan, o iba pang sagabal, na humahadlang sa malayang paggalaw ng mga pedestrian o sasakyan.
Labis na Ingay: Nakikisali sa malakas o nakakagambalang pag-uugali, tulad ng pagtugtog ng malakas na musika, pagsigaw, o paglikha ng mga kaguluhan na nakakagambala sa kapayapaan at katahimikan ng paligid.
Pampublikong Pagkalasing: Pagiging halatang lasing sa mga pampublikong lugar at pag-uugali sa hindi maayos o nakakagambalang paraan na nagdudulot ng panganib sa sarili o sa iba.
Ilegal na Pagbebenta o Hawking: Pagsasagawa ng hindi awtorisadong pagbebenta, pagtitinda, o pagbebenta ng mga kalakal sa mga pampublikong kalye nang walang kinakailangang mga permit, na nagdudulot ng pagsisikip o sagabal sa trapiko ng pedestrian.
Pagtatapon o Pagtatapon ng mga basura: Pagtatapon ng mga basura, mga labi, o mga basurang materyales sa mga pampublikong kalye, bangketa, o iba pang pampublikong lugar, na humahantong sa hindi malinis na mga kondisyon o nakahahadlang sa mga pampublikong lugar.
Pampublikong Pag-ihi o Pagdumi: Pakikisali sa pag-ihi o pagdumi sa mga pampublikong lugar kung saan ito ay hindi pinahihintulutan, na nagiging sanhi ng nakakasakit na amoy, hindi malinis na kondisyon, at mga alalahanin sa kalusugan ng publiko.
Mga Labag sa Batas na Pagtitipon o Pagtitipon: Pag-oorganisa o pakikilahok sa mga labag sa batas na pagtitipon, demonstrasyon, protesta, o asembliya na nakakagambala sa kaayusan ng publiko, humahadlang sa trapiko, o nagdudulot ng banta sa kaligtasan ng publiko.
Vandalism o Graffiti: Pagsira sa pampublikong ari-arian, istruktura, o gusali na may graffiti, marka, o iba pang anyo ng paninira, na humahantong sa visual na polusyon at pagkasira ng kapaligiran.</v>
      </c>
      <c r="F1846" s="2">
        <f t="shared" si="1"/>
        <v>0</v>
      </c>
      <c r="G1846" s="2"/>
      <c r="H1846" s="2"/>
      <c r="I1846" s="2"/>
      <c r="J1846" s="2"/>
      <c r="K1846" s="2"/>
      <c r="L1846" s="2"/>
      <c r="M1846" s="2"/>
      <c r="N1846" s="2"/>
      <c r="O1846" s="2"/>
      <c r="P1846" s="2"/>
      <c r="Q1846" s="2"/>
      <c r="R1846" s="2"/>
      <c r="S1846" s="2"/>
      <c r="T1846" s="2"/>
      <c r="U1846" s="2"/>
      <c r="V1846" s="2"/>
      <c r="W1846" s="2"/>
      <c r="X1846" s="2"/>
      <c r="Y1846" s="2"/>
      <c r="Z1846" s="2"/>
      <c r="AA1846" s="2"/>
    </row>
    <row r="1847">
      <c r="A1847" s="1" t="s">
        <v>4698</v>
      </c>
      <c r="B1847" s="1" t="s">
        <v>4741</v>
      </c>
      <c r="C1847" s="1" t="s">
        <v>4742</v>
      </c>
      <c r="D1847" s="2" t="str">
        <f>IFERROR(__xludf.DUMMYFUNCTION("GOOGLETRANSLATE(B1847, ""en"", ""TL"")"),"Paano tinutugunan ng batas ng Pilipinas ang pagkakasala ng jaywalking at mga paglabag na may kaugnayan sa pedestrian?")</f>
        <v>Paano tinutugunan ng batas ng Pilipinas ang pagkakasala ng jaywalking at mga paglabag na may kaugnayan sa pedestrian?</v>
      </c>
      <c r="E1847" s="2" t="str">
        <f>IFERROR(__xludf.DUMMYFUNCTION("GOOGLETRANSLATE(C1847, ""en"", ""TL"")"),"Sa Pilipinas, ang mga paglabag na may kaugnayan sa jaywalking at pedestrian ay tinutugunan sa ilalim ng iba't ibang batas at mga lokal na ordinansa na naglalayong tiyakin ang kaligtasan sa kalsada at i-regulate ang pag-uugali ng pedestrian. Narito kung pa"&amp;"ano tinutugunan ng batas ng Pilipinas ang mga paglabag na ito:
Mga Batas at Regulasyon ng Anti-Jaywalking: Maraming mga lungsod at munisipalidad sa Pilipinas ang may mga ordinansa na nagbabawal sa jaywalking, na tumutukoy sa pagtawid sa kalye sa labas ng"&amp;" mga itinalagang pedestrian lane o crosswalk. Ang mga paglabag sa mga ordinansang anti-jaywalking ay maaaring magresulta sa mga multa o parusang ipinataw ng mga lokal na awtoridad.
Mga Batas at Regulasyon sa Trapiko: Ang Land Transportation and Traffic C"&amp;"ode (Republic Act No. 4136) at ang mga implementing rules and regulation nito ay nagtakda ng mga patakaran at regulasyon sa trapiko, kabilang ang mga nauugnay sa kaligtasan ng pedestrian. Maaaring kabilang sa mga batas na ito ang mga probisyon na nagsasaa"&amp;"d kung saan dapat tumawid ang mga pedestrian sa mga kalsada at ang mga tungkulin ng mga motorista na sumuko sa mga pedestrian sa mga itinalagang tawiran.
Mga Karapatan at Responsibilidad ng Pedestrian: Bagama't ang mga pedestrian ay may karapatan sa daan"&amp;" sa mga itinalagang crosswalk at pedestrian lane, mayroon din silang responsibilidad na sundin ang mga senyales ng trapiko at mga marka, ligtas na tumawid sa mga kalye, at maiwasan ang humahadlang sa trapiko ng sasakyan. Ang mga pedestrian ay inaasahang g"&amp;"agamit ng mga itinalagang tawiran kapag magagamit at mag-ingat kapag tumatawid sa mga lansangan.
Pagpapatupad ng Batas at Mga Parusa: Ang mga ahensyang nagpapatupad ng batas, tulad ng Philippine National Police (PNP) at mga traffic enforcer ng lokal na p"&amp;"amahalaan, ay may pananagutan sa pagpapatupad ng mga batas at regulasyon sa trapiko, kabilang ang mga nauugnay sa kaligtasan ng pedestrian. Ang mga lumalabag sa jaywalking at mga batas na nauugnay sa pedestrian ay maaaring mabigyan ng mga pagsipi, pagmult"&amp;"ahin, o isailalim sa iba pang mga parusa gaya ng itinakda ng batas.
Pampublikong Kamalayan at Edukasyon: Ang mga ahensya ng gobyerno at mga grupo ng adbokasiya ay madalas na nagsasagawa ng mga kampanya sa pampublikong kamalayan at mga programang pang-edu"&amp;"kasyon upang itaguyod ang kaligtasan sa kalsada at kamalayan sa pedestrian. Ang mga hakbangin na ito ay naglalayong turuan ang mga pedestrian tungkol sa kanilang mga karapatan at responsibilidad, ang kahalagahan ng paggamit ng mga itinalagang tawiran, at "&amp;"ang mga panganib na nauugnay sa jaywalking.")</f>
        <v>Sa Pilipinas, ang mga paglabag na may kaugnayan sa jaywalking at pedestrian ay tinutugunan sa ilalim ng iba't ibang batas at mga lokal na ordinansa na naglalayong tiyakin ang kaligtasan sa kalsada at i-regulate ang pag-uugali ng pedestrian. Narito kung paano tinutugunan ng batas ng Pilipinas ang mga paglabag na ito:
Mga Batas at Regulasyon ng Anti-Jaywalking: Maraming mga lungsod at munisipalidad sa Pilipinas ang may mga ordinansa na nagbabawal sa jaywalking, na tumutukoy sa pagtawid sa kalye sa labas ng mga itinalagang pedestrian lane o crosswalk. Ang mga paglabag sa mga ordinansang anti-jaywalking ay maaaring magresulta sa mga multa o parusang ipinataw ng mga lokal na awtoridad.
Mga Batas at Regulasyon sa Trapiko: Ang Land Transportation and Traffic Code (Republic Act No. 4136) at ang mga implementing rules and regulation nito ay nagtakda ng mga patakaran at regulasyon sa trapiko, kabilang ang mga nauugnay sa kaligtasan ng pedestrian. Maaaring kabilang sa mga batas na ito ang mga probisyon na nagsasaad kung saan dapat tumawid ang mga pedestrian sa mga kalsada at ang mga tungkulin ng mga motorista na sumuko sa mga pedestrian sa mga itinalagang tawiran.
Mga Karapatan at Responsibilidad ng Pedestrian: Bagama't ang mga pedestrian ay may karapatan sa daan sa mga itinalagang crosswalk at pedestrian lane, mayroon din silang responsibilidad na sundin ang mga senyales ng trapiko at mga marka, ligtas na tumawid sa mga kalye, at maiwasan ang humahadlang sa trapiko ng sasakyan. Ang mga pedestrian ay inaasahang gagamit ng mga itinalagang tawiran kapag magagamit at mag-ingat kapag tumatawid sa mga lansangan.
Pagpapatupad ng Batas at Mga Parusa: Ang mga ahensyang nagpapatupad ng batas, tulad ng Philippine National Police (PNP) at mga traffic enforcer ng lokal na pamahalaan, ay may pananagutan sa pagpapatupad ng mga batas at regulasyon sa trapiko, kabilang ang mga nauugnay sa kaligtasan ng pedestrian. Ang mga lumalabag sa jaywalking at mga batas na nauugnay sa pedestrian ay maaaring mabigyan ng mga pagsipi, pagmultahin, o isailalim sa iba pang mga parusa gaya ng itinakda ng batas.
Pampublikong Kamalayan at Edukasyon: Ang mga ahensya ng gobyerno at mga grupo ng adbokasiya ay madalas na nagsasagawa ng mga kampanya sa pampublikong kamalayan at mga programang pang-edukasyon upang itaguyod ang kaligtasan sa kalsada at kamalayan sa pedestrian. Ang mga hakbangin na ito ay naglalayong turuan ang mga pedestrian tungkol sa kanilang mga karapatan at responsibilidad, ang kahalagahan ng paggamit ng mga itinalagang tawiran, at ang mga panganib na nauugnay sa jaywalking.</v>
      </c>
      <c r="F1847" s="2">
        <f t="shared" si="1"/>
        <v>0</v>
      </c>
      <c r="G1847" s="2"/>
      <c r="H1847" s="2"/>
      <c r="I1847" s="2"/>
      <c r="J1847" s="2"/>
      <c r="K1847" s="2"/>
      <c r="L1847" s="2"/>
      <c r="M1847" s="2"/>
      <c r="N1847" s="2"/>
      <c r="O1847" s="2"/>
      <c r="P1847" s="2"/>
      <c r="Q1847" s="2"/>
      <c r="R1847" s="2"/>
      <c r="S1847" s="2"/>
      <c r="T1847" s="2"/>
      <c r="U1847" s="2"/>
      <c r="V1847" s="2"/>
      <c r="W1847" s="2"/>
      <c r="X1847" s="2"/>
      <c r="Y1847" s="2"/>
      <c r="Z1847" s="2"/>
      <c r="AA1847" s="2"/>
    </row>
    <row r="1848">
      <c r="A1848" s="1" t="s">
        <v>4698</v>
      </c>
      <c r="B1848" s="1" t="s">
        <v>4743</v>
      </c>
      <c r="C1848" s="1" t="s">
        <v>4744</v>
      </c>
      <c r="D1848" s="2" t="str">
        <f>IFERROR(__xludf.DUMMYFUNCTION("GOOGLETRANSLATE(B1848, ""en"", ""TL"")"),"Anong mga parusa ang naaangkop para sa pagsali sa prostitusyon sa antas ng kalye o pangangalap ng mga serbisyong sekswal?")</f>
        <v>Anong mga parusa ang naaangkop para sa pagsali sa prostitusyon sa antas ng kalye o pangangalap ng mga serbisyong sekswal?</v>
      </c>
      <c r="E1848" s="2" t="str">
        <f>IFERROR(__xludf.DUMMYFUNCTION("GOOGLETRANSLATE(C1848, ""en"", ""TL"")"),"Sa Pilipinas, ang pagsali sa prostitusyon sa antas ng kalye o pangangalap ng mga serbisyong sekswal ay itinuturing na labag sa batas at may parusa sa ilalim ng iba't ibang batas. Ang mga parusa para sa mga naturang pagkakasala ay maaaring mag-iba depende "&amp;"sa partikular na mga pangyayari at mga probisyon ng mga naaangkop na batas. Narito ang isang pangkalahatang-ideya ng legal na balangkas at mga potensyal na parusa:
Anti-Trafficking in Persons Act of 2003 (Republic Act No. 9208): Tinutukoy at ipinagbabawa"&amp;"l ng batas na ito ang lahat ng uri ng human trafficking, kabilang ang prostitusyon. Ito ay nagpapataw ng mga parusa ng pagkakulong at mga multa para sa mga indibidwal na napatunayang nagkasala ng pagsali sa mga aktibidad na nauugnay sa trafficking, kabila"&amp;"ng ang pangangalap, transportasyon, paglilipat, pagkukulong, o pagtanggap ng mga tao para sa layunin ng prostitusyon.
Violence Against Women and Their Children Act of 2004 (Republic Act No. 9262): Pinoprotektahan ng batas na ito ang kababaihan at bata mu"&amp;"la sa iba't ibang anyo ng karahasan, kabilang ang prostitusyon at sekswal na pagsasamantala. Nagpapataw ito ng mga parusa para sa mga pagkakasala gaya ng pisikal na karahasan, sekswal na pang-aabuso, at pagsasamantala sa ekonomiya, na maaaring kabilang an"&amp;"g pagsali o pagpapadali sa prostitusyon.
Mga Lokal na Ordinansa: Maraming mga lungsod at munisipalidad sa Pilipinas ang may mga ordinansa na partikular na tumutugon sa prostitusyon at paghingi ng mga serbisyong sekswal sa mga pampublikong lugar. Ang mga "&amp;"ordinansang ito ay maaaring magpataw ng mga multa, serbisyo sa komunidad, o iba pang mga parusa sa mga indibidwal na nahuling nakikisali o nanghihingi ng prostitusyon sa mga lansangan.
Mga Pagkakasala sa Kodigo Penal: Ang iba't ibang mga probisyon ng Bin"&amp;"agong Kodigo Penal ng Pilipinas ay maaaring ilapat sa mga pagkakasala na may kaugnayan sa prostitusyon, tulad ng mga gawa ng kalaswaan, imoral na doktrina, o mga probisyon na may kaugnayan sa pandering o pagkuha para sa prostitusyon. Depende sa mga pangya"&amp;"yari, ang mga lumalabag ay maaaring maharap sa pagkakulong, multa, o pareho.
Pagpapatupad ng Batas at Pag-uusig: Ang mga ahensyang nagpapatupad ng batas, tulad ng Philippine National Police (PNP) at National Bureau of Investigation (NBI), ay may pananagu"&amp;"tan sa pag-iimbestiga sa mga pagkakasala na may kaugnayan sa prostitusyon at pag-uusig sa mga nagkasala. Depende sa ebidensyang nakalap, ang mga indibidwal na sangkot sa prostitusyon sa antas ng kalye ay maaaring arestuhin, kasuhan, at dalhin sa pagliliti"&amp;"s.")</f>
        <v>Sa Pilipinas, ang pagsali sa prostitusyon sa antas ng kalye o pangangalap ng mga serbisyong sekswal ay itinuturing na labag sa batas at may parusa sa ilalim ng iba't ibang batas. Ang mga parusa para sa mga naturang pagkakasala ay maaaring mag-iba depende sa partikular na mga pangyayari at mga probisyon ng mga naaangkop na batas. Narito ang isang pangkalahatang-ideya ng legal na balangkas at mga potensyal na parusa:
Anti-Trafficking in Persons Act of 2003 (Republic Act No. 9208): Tinutukoy at ipinagbabawal ng batas na ito ang lahat ng uri ng human trafficking, kabilang ang prostitusyon. Ito ay nagpapataw ng mga parusa ng pagkakulong at mga multa para sa mga indibidwal na napatunayang nagkasala ng pagsali sa mga aktibidad na nauugnay sa trafficking, kabilang ang pangangalap, transportasyon, paglilipat, pagkukulong, o pagtanggap ng mga tao para sa layunin ng prostitusyon.
Violence Against Women and Their Children Act of 2004 (Republic Act No. 9262): Pinoprotektahan ng batas na ito ang kababaihan at bata mula sa iba't ibang anyo ng karahasan, kabilang ang prostitusyon at sekswal na pagsasamantala. Nagpapataw ito ng mga parusa para sa mga pagkakasala gaya ng pisikal na karahasan, sekswal na pang-aabuso, at pagsasamantala sa ekonomiya, na maaaring kabilang ang pagsali o pagpapadali sa prostitusyon.
Mga Lokal na Ordinansa: Maraming mga lungsod at munisipalidad sa Pilipinas ang may mga ordinansa na partikular na tumutugon sa prostitusyon at paghingi ng mga serbisyong sekswal sa mga pampublikong lugar. Ang mga ordinansang ito ay maaaring magpataw ng mga multa, serbisyo sa komunidad, o iba pang mga parusa sa mga indibidwal na nahuling nakikisali o nanghihingi ng prostitusyon sa mga lansangan.
Mga Pagkakasala sa Kodigo Penal: Ang iba't ibang mga probisyon ng Binagong Kodigo Penal ng Pilipinas ay maaaring ilapat sa mga pagkakasala na may kaugnayan sa prostitusyon, tulad ng mga gawa ng kalaswaan, imoral na doktrina, o mga probisyon na may kaugnayan sa pandering o pagkuha para sa prostitusyon. Depende sa mga pangyayari, ang mga lumalabag ay maaaring maharap sa pagkakulong, multa, o pareho.
Pagpapatupad ng Batas at Pag-uusig: Ang mga ahensyang nagpapatupad ng batas, tulad ng Philippine National Police (PNP) at National Bureau of Investigation (NBI), ay may pananagutan sa pag-iimbestiga sa mga pagkakasala na may kaugnayan sa prostitusyon at pag-uusig sa mga nagkasala. Depende sa ebidensyang nakalap, ang mga indibidwal na sangkot sa prostitusyon sa antas ng kalye ay maaaring arestuhin, kasuhan, at dalhin sa paglilitis.</v>
      </c>
      <c r="F1848" s="2">
        <f t="shared" si="1"/>
        <v>0</v>
      </c>
      <c r="G1848" s="2"/>
      <c r="H1848" s="2"/>
      <c r="I1848" s="2"/>
      <c r="J1848" s="2"/>
      <c r="K1848" s="2"/>
      <c r="L1848" s="2"/>
      <c r="M1848" s="2"/>
      <c r="N1848" s="2"/>
      <c r="O1848" s="2"/>
      <c r="P1848" s="2"/>
      <c r="Q1848" s="2"/>
      <c r="R1848" s="2"/>
      <c r="S1848" s="2"/>
      <c r="T1848" s="2"/>
      <c r="U1848" s="2"/>
      <c r="V1848" s="2"/>
      <c r="W1848" s="2"/>
      <c r="X1848" s="2"/>
      <c r="Y1848" s="2"/>
      <c r="Z1848" s="2"/>
      <c r="AA1848" s="2"/>
    </row>
    <row r="1849">
      <c r="A1849" s="1" t="s">
        <v>4698</v>
      </c>
      <c r="B1849" s="1" t="s">
        <v>4745</v>
      </c>
      <c r="C1849" s="1" t="s">
        <v>4746</v>
      </c>
      <c r="D1849" s="2" t="str">
        <f>IFERROR(__xludf.DUMMYFUNCTION("GOOGLETRANSLATE(B1849, ""en"", ""TL"")"),"Anong mga legal na hakbang ang umiiral upang labanan ang paninira at bandalismo sa antas ng kalye sa mga pampublikong lugar?")</f>
        <v>Anong mga legal na hakbang ang umiiral upang labanan ang paninira at bandalismo sa antas ng kalye sa mga pampublikong lugar?</v>
      </c>
      <c r="E1849" s="2" t="str">
        <f>IFERROR(__xludf.DUMMYFUNCTION("GOOGLETRANSLATE(C1849, ""en"", ""TL"")"),"Narito ang ilang legal na hakbang sa Pilipinas para labanan ang paninira at bandalismo sa antas ng kalye sa mga pampublikong lugar:
* **Republic Act No. 6939** o ang ""Anti-Disorder Conduct Act of 1993"" ay nagbabawal, bukod sa iba pa, 塗鴉 (tū yā) [vandali"&amp;"sm] o defacement ng pampubliko o pribadong ari-arian [RA 6939, Sec. 1(f)]. Ang mga lalabag ay maaaring parusahan ng multang hindi bababa sa P500.00 ngunit hindi hihigit sa P1,000.00, o pagkakulong ng hindi bababa sa limang (5) araw ngunit hindi hihigit sa"&amp;" sampung (10) araw, o pareho sa pagpapasya ng hukuman [RA 6939, Sec. 4].
* **Republic Act No. 7394** o ang ""Consumer Protection Act of the Philippines"" ay nagbabawal sa mga hindi patas na gawi sa kalakalan tulad ng pagdudulot ng pinsala sa anumang produ"&amp;"kto o ari-arian ng consumer [RA 7394, Sec. 5(a)(1)(i)]. Ito ay maaaring ilapat sa paninira sa mga pampublikong lugar kung mapapatunayan na ang paninira ay nakakasira sa lugar bilang isang lugar para sa mga mamimili upang makamit ang mga produkto at serbis"&amp;"yo.
* **Ang Revised Penal Code (RPC)** ay mayroon ding mga probisyon na maaaring ilapat sa paninira at graffiti, gaya ng:
* **Artikulo 355** sa malisyosong kapilyuhan, na nagpaparusa sa sinumang malisyosong sisira o pumipinsala sa anumang pampubliko o pri"&amp;"badong ari-arian [RPC Art. 355].
* **Artikulo 357** hinggil sa paglapastangan sa mga pader, bakod o iba pang istruktura, na nagpaparusa sa sinumang magsusulat, magpinta, o maninira sa mga dingding, bakod o iba pang istrukturang pag-aari ng ibang tao nang "&amp;"walang pahintulot ng may-ari nito [RPC Art . 357].
Ang parusa para sa mga paglabag na ito ay depende sa lawak ng pinsalang dulot ng paninira o graffiti.
Bilang karagdagan sa mga batas na ito, ang mga local government units (LGUs) ay maaari ding magkaroon "&amp;"ng sariling mga ordinansa na nagpaparusa sa paninira at bandalismo. Ang mga ordinansang ito ay maaaring magpataw ng mas mahigpit na parusa kaysa sa mga pambansang batas.
Narito ang ilang karagdagang punto na dapat isaalang-alang:
* Kung ang paninira o ban"&amp;"dalismo ay ginawa sa pribadong pag-aari, ang may-ari ng ari-arian ay maaari ding magsampa ng kasong sibil laban sa mga vandal upang mabawi ang mga danyos.
* Kung ang paninira o graffiti ay may kaugnayan sa gang, ang Anti-Gangsterism Law (Republic Act No. "&amp;"14051) ay maaari ding ilapat.
Inirerekomenda ko na kumunsulta ka sa isang abogado para sa mas tiyak na payo kung paano haharapin ang paninira at bandalismo sa mga pampublikong lugar.")</f>
        <v>Narito ang ilang legal na hakbang sa Pilipinas para labanan ang paninira at bandalismo sa antas ng kalye sa mga pampublikong lugar:
* **Republic Act No. 6939** o ang "Anti-Disorder Conduct Act of 1993" ay nagbabawal, bukod sa iba pa, 塗鴉 (tū yā) [vandalism] o defacement ng pampubliko o pribadong ari-arian [RA 6939, Sec. 1(f)]. Ang mga lalabag ay maaaring parusahan ng multang hindi bababa sa P500.00 ngunit hindi hihigit sa P1,000.00, o pagkakulong ng hindi bababa sa limang (5) araw ngunit hindi hihigit sa sampung (10) araw, o pareho sa pagpapasya ng hukuman [RA 6939, Sec. 4].
* **Republic Act No. 7394** o ang "Consumer Protection Act of the Philippines" ay nagbabawal sa mga hindi patas na gawi sa kalakalan tulad ng pagdudulot ng pinsala sa anumang produkto o ari-arian ng consumer [RA 7394, Sec. 5(a)(1)(i)]. Ito ay maaaring ilapat sa paninira sa mga pampublikong lugar kung mapapatunayan na ang paninira ay nakakasira sa lugar bilang isang lugar para sa mga mamimili upang makamit ang mga produkto at serbisyo.
* **Ang Revised Penal Code (RPC)** ay mayroon ding mga probisyon na maaaring ilapat sa paninira at graffiti, gaya ng:
* **Artikulo 355** sa malisyosong kapilyuhan, na nagpaparusa sa sinumang malisyosong sisira o pumipinsala sa anumang pampubliko o pribadong ari-arian [RPC Art. 355].
* **Artikulo 357** hinggil sa paglapastangan sa mga pader, bakod o iba pang istruktura, na nagpaparusa sa sinumang magsusulat, magpinta, o maninira sa mga dingding, bakod o iba pang istrukturang pag-aari ng ibang tao nang walang pahintulot ng may-ari nito [RPC Art . 357].
Ang parusa para sa mga paglabag na ito ay depende sa lawak ng pinsalang dulot ng paninira o graffiti.
Bilang karagdagan sa mga batas na ito, ang mga local government units (LGUs) ay maaari ding magkaroon ng sariling mga ordinansa na nagpaparusa sa paninira at bandalismo. Ang mga ordinansang ito ay maaaring magpataw ng mas mahigpit na parusa kaysa sa mga pambansang batas.
Narito ang ilang karagdagang punto na dapat isaalang-alang:
* Kung ang paninira o bandalismo ay ginawa sa pribadong pag-aari, ang may-ari ng ari-arian ay maaari ding magsampa ng kasong sibil laban sa mga vandal upang mabawi ang mga danyos.
* Kung ang paninira o graffiti ay may kaugnayan sa gang, ang Anti-Gangsterism Law (Republic Act No. 14051) ay maaari ding ilapat.
Inirerekomenda ko na kumunsulta ka sa isang abogado para sa mas tiyak na payo kung paano haharapin ang paninira at bandalismo sa mga pampublikong lugar.</v>
      </c>
      <c r="F1849" s="2">
        <f t="shared" si="1"/>
        <v>0</v>
      </c>
      <c r="G1849" s="2"/>
      <c r="H1849" s="2"/>
      <c r="I1849" s="2"/>
      <c r="J1849" s="2"/>
      <c r="K1849" s="2"/>
      <c r="L1849" s="2"/>
      <c r="M1849" s="2"/>
      <c r="N1849" s="2"/>
      <c r="O1849" s="2"/>
      <c r="P1849" s="2"/>
      <c r="Q1849" s="2"/>
      <c r="R1849" s="2"/>
      <c r="S1849" s="2"/>
      <c r="T1849" s="2"/>
      <c r="U1849" s="2"/>
      <c r="V1849" s="2"/>
      <c r="W1849" s="2"/>
      <c r="X1849" s="2"/>
      <c r="Y1849" s="2"/>
      <c r="Z1849" s="2"/>
      <c r="AA1849" s="2"/>
    </row>
    <row r="1850">
      <c r="A1850" s="1" t="s">
        <v>4698</v>
      </c>
      <c r="B1850" s="1" t="s">
        <v>4747</v>
      </c>
      <c r="C1850" s="1" t="s">
        <v>4748</v>
      </c>
      <c r="D1850" s="2" t="str">
        <f>IFERROR(__xludf.DUMMYFUNCTION("GOOGLETRANSLATE(B1850, ""en"", ""TL"")"),"Paano tinutugunan sa ilalim ng batas ng Pilipinas ang krimen ng pampublikong paninigarilyo sa mga lugar na ipinagbabawal?")</f>
        <v>Paano tinutugunan sa ilalim ng batas ng Pilipinas ang krimen ng pampublikong paninigarilyo sa mga lugar na ipinagbabawal?</v>
      </c>
      <c r="E1850" s="2" t="str">
        <f>IFERROR(__xludf.DUMMYFUNCTION("GOOGLETRANSLATE(C1850, ""en"", ""TL"")"),"Ang pampublikong paninigarilyo sa Pilipinas ay tinutugunan ng dalawang pangunahing batas:
* **Republic Act No. 8749** o ang **Clean Air Act of 1999 (CAA)**: Ang batas na ito, sa ilalim ng Seksyon 24, ay nagbabawal sa paninigarilyo sa loob ng isang saradon"&amp;"g pampublikong lugar, kabilang ang mga pampublikong sasakyan at iba pang paraan ng transportasyon, o sa anumang nakapaloob na lugar sa labas ng isang pribadong tirahan, pribadong lugar ng trabaho, o isang nararapat na itinalagang lugar para sa paninigaril"&amp;"yo [RA 8749, Sec. 24].
* **Republic Act No. 9211**, na kilala rin bilang **Tobacco Regulation Act of 2003 (TRA)**: Pinalalakas ng batas na ito ang mga probisyon ng CAA sa paninigarilyo sa mga pampublikong lugar. Partikular nitong ipinagbabawal ang paninig"&amp;"arilyo sa ilang mga itinalagang lugar, kabilang ang mga pasilidad ng gobyerno, mga institusyong pangkalusugan, mga institusyong pang-edukasyon, at mga pasilidad na madalas puntahan ng mga menor de edad [RA 9211, Sec. 6]. Ang pagpapatupad ng mga batas na i"&amp;"to ay ginagawa ng mga local government units (LGUs) sa pamamagitan ng kanilang mga itinalagang tauhan. Ang mga parusa sa paglabag sa mga batas na ito ay maaaring mag-iba depende sa LGU, ngunit sa pangkalahatan ay may kasamang mga multa. Narito ang isang b"&amp;"reakdown:
* **Unang pagkakasala:** PhP 500 - PhP 1,000 [sanggunian sa Patakaran sa Bawal Paninigarilyo sa mga Pampublikong Lugar - MMDA, Seksyon sa Penalty]
* **Ikalawang paglabag:** PhP 1,000 - PhP 5,000 [sanggunian sa Patakaran sa Bawal Paninigarilyo sa"&amp;" mga Pampublikong Lugar - MMDA, Seksyon sa Penalty]
* **Ikatlong paglabag:** PhP 5,000 - PhP 10,000 [sanggunian sa Patakaran sa Bawal Paninigarilyo sa mga Pampublikong Lugar - MMDA, Seksyon sa Penalty]
**Mga Karagdagang Punto:**
* Ang ilang mga LGU ay maa"&amp;"aring magpataw ng mas mahigpit na parusa, kabilang ang serbisyo sa komunidad o pagkakulong para sa paulit-ulit na pagkakasala.
* Ang mga establisimiyento na napatunayang lumalabag sa pagbabawal sa paninigarilyo sa pamamagitan ng hindi pagpapatupad ng tama"&amp;"ng signage o mga itinalagang lugar na paninigarilyo ay maaari ding maharap sa mga parusa.
Mahalagang tandaan na ang mga ito ay mga pangkalahatang patnubay lamang. Ang partikular na batas at mga parusa na naaangkop sa iyong sitwasyon ay maaaring mag-iba de"&amp;"pende sa lokasyon at sa mga partikular na pangyayari.")</f>
        <v>Ang pampublikong paninigarilyo sa Pilipinas ay tinutugunan ng dalawang pangunahing batas:
* **Republic Act No. 8749** o ang **Clean Air Act of 1999 (CAA)**: Ang batas na ito, sa ilalim ng Seksyon 24, ay nagbabawal sa paninigarilyo sa loob ng isang saradong pampublikong lugar, kabilang ang mga pampublikong sasakyan at iba pang paraan ng transportasyon, o sa anumang nakapaloob na lugar sa labas ng isang pribadong tirahan, pribadong lugar ng trabaho, o isang nararapat na itinalagang lugar para sa paninigarilyo [RA 8749, Sec. 24].
* **Republic Act No. 9211**, na kilala rin bilang **Tobacco Regulation Act of 2003 (TRA)**: Pinalalakas ng batas na ito ang mga probisyon ng CAA sa paninigarilyo sa mga pampublikong lugar. Partikular nitong ipinagbabawal ang paninigarilyo sa ilang mga itinalagang lugar, kabilang ang mga pasilidad ng gobyerno, mga institusyong pangkalusugan, mga institusyong pang-edukasyon, at mga pasilidad na madalas puntahan ng mga menor de edad [RA 9211, Sec. 6]. Ang pagpapatupad ng mga batas na ito ay ginagawa ng mga local government units (LGUs) sa pamamagitan ng kanilang mga itinalagang tauhan. Ang mga parusa sa paglabag sa mga batas na ito ay maaaring mag-iba depende sa LGU, ngunit sa pangkalahatan ay may kasamang mga multa. Narito ang isang breakdown:
* **Unang pagkakasala:** PhP 500 - PhP 1,000 [sanggunian sa Patakaran sa Bawal Paninigarilyo sa mga Pampublikong Lugar - MMDA, Seksyon sa Penalty]
* **Ikalawang paglabag:** PhP 1,000 - PhP 5,000 [sanggunian sa Patakaran sa Bawal Paninigarilyo sa mga Pampublikong Lugar - MMDA, Seksyon sa Penalty]
* **Ikatlong paglabag:** PhP 5,000 - PhP 10,000 [sanggunian sa Patakaran sa Bawal Paninigarilyo sa mga Pampublikong Lugar - MMDA, Seksyon sa Penalty]
**Mga Karagdagang Punto:**
* Ang ilang mga LGU ay maaaring magpataw ng mas mahigpit na parusa, kabilang ang serbisyo sa komunidad o pagkakulong para sa paulit-ulit na pagkakasala.
* Ang mga establisimiyento na napatunayang lumalabag sa pagbabawal sa paninigarilyo sa pamamagitan ng hindi pagpapatupad ng tamang signage o mga itinalagang lugar na paninigarilyo ay maaari ding maharap sa mga parusa.
Mahalagang tandaan na ang mga ito ay mga pangkalahatang patnubay lamang. Ang partikular na batas at mga parusa na naaangkop sa iyong sitwasyon ay maaaring mag-iba depende sa lokasyon at sa mga partikular na pangyayari.</v>
      </c>
      <c r="F1850" s="2">
        <f t="shared" si="1"/>
        <v>0</v>
      </c>
      <c r="G1850" s="2"/>
      <c r="H1850" s="2"/>
      <c r="I1850" s="2"/>
      <c r="J1850" s="2"/>
      <c r="K1850" s="2"/>
      <c r="L1850" s="2"/>
      <c r="M1850" s="2"/>
      <c r="N1850" s="2"/>
      <c r="O1850" s="2"/>
      <c r="P1850" s="2"/>
      <c r="Q1850" s="2"/>
      <c r="R1850" s="2"/>
      <c r="S1850" s="2"/>
      <c r="T1850" s="2"/>
      <c r="U1850" s="2"/>
      <c r="V1850" s="2"/>
      <c r="W1850" s="2"/>
      <c r="X1850" s="2"/>
      <c r="Y1850" s="2"/>
      <c r="Z1850" s="2"/>
      <c r="AA1850" s="2"/>
    </row>
    <row r="1851">
      <c r="A1851" s="1" t="s">
        <v>4698</v>
      </c>
      <c r="B1851" s="1" t="s">
        <v>4749</v>
      </c>
      <c r="C1851" s="1" t="s">
        <v>4750</v>
      </c>
      <c r="D1851" s="2" t="str">
        <f>IFERROR(__xludf.DUMMYFUNCTION("GOOGLETRANSLATE(B1851, ""en"", ""TL"")"),"Anong mga parusa ang ipinapataw sa ilegal na pagmamay-ari at paggamit ng mga paputok sa mga pampublikong lugar?")</f>
        <v>Anong mga parusa ang ipinapataw sa ilegal na pagmamay-ari at paggamit ng mga paputok sa mga pampublikong lugar?</v>
      </c>
      <c r="E1851" s="2" t="str">
        <f>IFERROR(__xludf.DUMMYFUNCTION("GOOGLETRANSLATE(C1851, ""en"", ""TL"")"),"Walang isang batas sa Pilipinas na nakatuon lamang sa pag-regulate ng mga paputok. Gayunpaman, maraming umiiral na batas ang tumutugon sa iligal na pagmamay-ari at paggamit ng mga paputok sa mga pampublikong lugar:
* **Executive Order No. 28, series of 20"&amp;"17** - Ang Executive Order (EO) na ito mula sa Department of Interior and Local Government (DILG) ay kinokontrol ang pagbebenta, pamamahagi, at paggamit ng mga paputok at iba pang pyrotechnic device. Ito ay bahagyang **nagpapawalang-bisa** Executive Order"&amp;" No. 211, serye ng 2000, na dati ay nagbigay ng komprehensibong balangkas para sa mga regulasyon sa paputok.
* **Republic Act No. 6939** o ang ""Anti-Disorder Conduct Act of 1993"" - Ipinagbabawal ng batas na ito ang ""pagiging sanhi ng malakas, hindi kar"&amp;"aniwan o nakakasakit na ingay na nakakainis sa publiko"" [RA 6939, Sec. 1(d)]. Ang mga paputok, lalo na kapag ginamit nang hindi wasto sa mga pampublikong lugar, ay maaaring ituring na isang paglabag sa probisyong ito. Ang parusa para sa naturang paglabag"&amp;" ay multa na hindi bababa sa P500.00 ngunit hindi hihigit sa P1,000.00, o pagkakulong ng hindi bababa sa limang (5) araw ngunit hindi hihigit sa sampung (10) araw, o pareho sa pagpapasya ng ang hukuman [RA 6939, Sec. 4].
* **Mga Ordinansa ng Lokal na Pama"&amp;"halaan (LGUs)** - Maraming LGU ang may kanya-kanyang ordinansa partikular na ang pag-regulate ng paputok. Ang mga ordinansang ito ay kadalasang nagtatalaga ng mga partikular na ""firecracker zone"" kung saan pinapayagan ang paggamit ng paputok sa mga part"&amp;"ikular na oras ng taon. Ang paggamit ng mga paputok sa labas ng mga itinalagang zone na ito o sa mga ipinagbabawal na oras ay maaaring magresulta sa mga multa o pagkumpiska ng mga paputok. Maaaring mag-iba ang mga parusa depende sa partikular na ordinansa"&amp;" ng LGU.
Narito ang ilang karagdagang punto na dapat isaalang-alang:
* **Ilegal na Pagbebenta at Paggawa:** Ang pagbebenta o paggawa ng mga paputok na walang lisensya ay isang hiwalay na pagkakasala na may potensyal na mas malupit na parusa.
* **Pinsala o"&amp;" Pinsala sa Ari-arian:** Kung ang iligal na paggamit ng mga paputok ay nagreresulta sa pinsala o pagkasira ng ari-arian, ang lumalabag ay maaaring maharap sa mga karagdagang singil sa ilalim ng Revised Penal Code (RPC), gaya ng:
* Artikulo 265 - Walang in"&amp;"gat na imprudence na nagreresulta sa pinsala sa ari-arian
* Artikulo 365 - Nagdulot ng bahagyang pisikal na pinsala
Para sa pinakabagong impormasyon tungkol sa mga partikular na regulasyon at parusa sa iyong lugar, palaging pinakamahusay na kumunsulta sa "&amp;"iyong lokal na barangay o city hall.")</f>
        <v>Walang isang batas sa Pilipinas na nakatuon lamang sa pag-regulate ng mga paputok. Gayunpaman, maraming umiiral na batas ang tumutugon sa iligal na pagmamay-ari at paggamit ng mga paputok sa mga pampublikong lugar:
* **Executive Order No. 28, series of 2017** - Ang Executive Order (EO) na ito mula sa Department of Interior and Local Government (DILG) ay kinokontrol ang pagbebenta, pamamahagi, at paggamit ng mga paputok at iba pang pyrotechnic device. Ito ay bahagyang **nagpapawalang-bisa** Executive Order No. 211, serye ng 2000, na dati ay nagbigay ng komprehensibong balangkas para sa mga regulasyon sa paputok.
* **Republic Act No. 6939** o ang "Anti-Disorder Conduct Act of 1993" - Ipinagbabawal ng batas na ito ang "pagiging sanhi ng malakas, hindi karaniwan o nakakasakit na ingay na nakakainis sa publiko" [RA 6939, Sec. 1(d)]. Ang mga paputok, lalo na kapag ginamit nang hindi wasto sa mga pampublikong lugar, ay maaaring ituring na isang paglabag sa probisyong ito. Ang parusa para sa naturang paglabag ay multa na hindi bababa sa P500.00 ngunit hindi hihigit sa P1,000.00, o pagkakulong ng hindi bababa sa limang (5) araw ngunit hindi hihigit sa sampung (10) araw, o pareho sa pagpapasya ng ang hukuman [RA 6939, Sec. 4].
* **Mga Ordinansa ng Lokal na Pamahalaan (LGUs)** - Maraming LGU ang may kanya-kanyang ordinansa partikular na ang pag-regulate ng paputok. Ang mga ordinansang ito ay kadalasang nagtatalaga ng mga partikular na "firecracker zone" kung saan pinapayagan ang paggamit ng paputok sa mga partikular na oras ng taon. Ang paggamit ng mga paputok sa labas ng mga itinalagang zone na ito o sa mga ipinagbabawal na oras ay maaaring magresulta sa mga multa o pagkumpiska ng mga paputok. Maaaring mag-iba ang mga parusa depende sa partikular na ordinansa ng LGU.
Narito ang ilang karagdagang punto na dapat isaalang-alang:
* **Ilegal na Pagbebenta at Paggawa:** Ang pagbebenta o paggawa ng mga paputok na walang lisensya ay isang hiwalay na pagkakasala na may potensyal na mas malupit na parusa.
* **Pinsala o Pinsala sa Ari-arian:** Kung ang iligal na paggamit ng mga paputok ay nagreresulta sa pinsala o pagkasira ng ari-arian, ang lumalabag ay maaaring maharap sa mga karagdagang singil sa ilalim ng Revised Penal Code (RPC), gaya ng:
* Artikulo 265 - Walang ingat na imprudence na nagreresulta sa pinsala sa ari-arian
* Artikulo 365 - Nagdulot ng bahagyang pisikal na pinsala
Para sa pinakabagong impormasyon tungkol sa mga partikular na regulasyon at parusa sa iyong lugar, palaging pinakamahusay na kumunsulta sa iyong lokal na barangay o city hall.</v>
      </c>
      <c r="F1851" s="2">
        <f t="shared" si="1"/>
        <v>0</v>
      </c>
      <c r="G1851" s="2"/>
      <c r="H1851" s="2"/>
      <c r="I1851" s="2"/>
      <c r="J1851" s="2"/>
      <c r="K1851" s="2"/>
      <c r="L1851" s="2"/>
      <c r="M1851" s="2"/>
      <c r="N1851" s="2"/>
      <c r="O1851" s="2"/>
      <c r="P1851" s="2"/>
      <c r="Q1851" s="2"/>
      <c r="R1851" s="2"/>
      <c r="S1851" s="2"/>
      <c r="T1851" s="2"/>
      <c r="U1851" s="2"/>
      <c r="V1851" s="2"/>
      <c r="W1851" s="2"/>
      <c r="X1851" s="2"/>
      <c r="Y1851" s="2"/>
      <c r="Z1851" s="2"/>
      <c r="AA1851" s="2"/>
    </row>
    <row r="1852">
      <c r="A1852" s="1" t="s">
        <v>4698</v>
      </c>
      <c r="B1852" s="1" t="s">
        <v>4751</v>
      </c>
      <c r="C1852" s="1" t="s">
        <v>4752</v>
      </c>
      <c r="D1852" s="2" t="str">
        <f>IFERROR(__xludf.DUMMYFUNCTION("GOOGLETRANSLATE(B1852, ""en"", ""TL"")"),"Paano tinutugunan ng batas ang mga insidente ng panggigipit o pananakot sa antas ng kalye sa mga pampublikong espasyo?")</f>
        <v>Paano tinutugunan ng batas ang mga insidente ng panggigipit o pananakot sa antas ng kalye sa mga pampublikong espasyo?</v>
      </c>
      <c r="E1852" s="2" t="str">
        <f>IFERROR(__xludf.DUMMYFUNCTION("GOOGLETRANSLATE(C1852, ""en"", ""TL"")"),"Ang Pilipinas ay may medyo bagong batas na partikular na tumutugon sa panggigipit sa antas ng kalye at pananakot sa mga pampublikong espasyo:
* **Republic Act No. 11313** o ang **Safe Spaces Act of 2019** ay tumutukoy at nagpaparusa sa **gender-based sexu"&amp;"al harassment** (GBSH) sa mga pampublikong espasyo. Kabilang dito ang hindi kanais-nais at hindi inanyayang mga sekswal na aksyon o pananalita laban sa sinumang tao, anuman ang kanilang kasarian o oryentasyong sekswal [RA 11313, Sec. 3].
Narito kung ano a"&amp;"ng saklaw ng batas:
* **Mga Gawa:** Pantawag-pansin, pagsipol ng lobo, pangangapa, panunukso, paulit-ulit na pagsasabi ng mga sekswal na biro, at iba pang anyo ng hindi gustong sekswal na pagsulong [RA 11313, Sec. 4] * **Mga Lokasyon:** Nalalapat ang bata"&amp;"s sa mga pampublikong lugar, kabilang ang mga kalye, sistema ng transportasyon, parke, paaralan, lugar ng trabaho, at maging mga online na espasyo [RA 11313, Sec. 2]
**Mga Parusa:**
Ang mga parusa para sa GBSH sa ilalim ng Safe Spaces Act ay nag-iiba depe"&amp;"nde sa uri ng pagkakasala at kung ito ay una, pangalawa, o pangatlong pagkakasala. Ang mga ito ay maaaring mula sa mga multa hanggang sa pagkakulong:
* **Unang pagkakasala:** PhP1,000 - PhP10,000 na multa [Implementing Rules and Regulations of RA 11313, S"&amp;"ec. 33] * **Ikalawang paglabag:** PhP10,000 - PhP30,000 na multa o pagkakulong ng 1 buwan hanggang 6 na buwan [Implementing Rules and Regulations of RA 11313, Sec. 33]
* **Ikatlong pagkakasala:** PhP30,000 - PhP50,000 na multa o pagkakakulong ng 6 na buwa"&amp;"n hanggang 1 taon [Implementing Rules and Regulations of RA 11313, Sec. 33]
**Mahalagang tandaan:**
* Nakatuon ang Safe Spaces Act sa **nakabatay sa kasarian** na panliligalig. Bagama't nag-aalok ito ng ilang proteksyon laban sa iba pang mga anyo ng panan"&amp;"akot, maaaring hindi ito sapat para sa mga sitwasyong hindi likas na nagpapahiwatig ng sekswal. * Ang batas na ito ay medyo bago, at ang pagpapatupad nito ay nagbabago pa rin. **Narito ang ilang mapagkukunan kung sakaling makaranas ka ng panggigipit sa an"&amp;"tas ng kalye:**
* Iulat ang insidente sa pinakamalapit na istasyon ng pulisya o mga awtoridad ng barangay.
* Maaari ka ring makipag-ugnayan sa mga hotline na inaalok ng ilang NGO na nakatuon sa mga karapatan at kaligtasan ng kababaihan.
Tandaan, hindi ka "&amp;"karapat-dapat na harass o takutin. Nariyan ang batas para protektahan ka, kaya huwag mag-atubiling humingi ng tulong kung makaranas ka ng mga ganitong insidente.")</f>
        <v>Ang Pilipinas ay may medyo bagong batas na partikular na tumutugon sa panggigipit sa antas ng kalye at pananakot sa mga pampublikong espasyo:
* **Republic Act No. 11313** o ang **Safe Spaces Act of 2019** ay tumutukoy at nagpaparusa sa **gender-based sexual harassment** (GBSH) sa mga pampublikong espasyo. Kabilang dito ang hindi kanais-nais at hindi inanyayang mga sekswal na aksyon o pananalita laban sa sinumang tao, anuman ang kanilang kasarian o oryentasyong sekswal [RA 11313, Sec. 3].
Narito kung ano ang saklaw ng batas:
* **Mga Gawa:** Pantawag-pansin, pagsipol ng lobo, pangangapa, panunukso, paulit-ulit na pagsasabi ng mga sekswal na biro, at iba pang anyo ng hindi gustong sekswal na pagsulong [RA 11313, Sec. 4] * **Mga Lokasyon:** Nalalapat ang batas sa mga pampublikong lugar, kabilang ang mga kalye, sistema ng transportasyon, parke, paaralan, lugar ng trabaho, at maging mga online na espasyo [RA 11313, Sec. 2]
**Mga Parusa:**
Ang mga parusa para sa GBSH sa ilalim ng Safe Spaces Act ay nag-iiba depende sa uri ng pagkakasala at kung ito ay una, pangalawa, o pangatlong pagkakasala. Ang mga ito ay maaaring mula sa mga multa hanggang sa pagkakulong:
* **Unang pagkakasala:** PhP1,000 - PhP10,000 na multa [Implementing Rules and Regulations of RA 11313, Sec. 33] * **Ikalawang paglabag:** PhP10,000 - PhP30,000 na multa o pagkakulong ng 1 buwan hanggang 6 na buwan [Implementing Rules and Regulations of RA 11313, Sec. 33]
* **Ikatlong pagkakasala:** PhP30,000 - PhP50,000 na multa o pagkakakulong ng 6 na buwan hanggang 1 taon [Implementing Rules and Regulations of RA 11313, Sec. 33]
**Mahalagang tandaan:**
* Nakatuon ang Safe Spaces Act sa **nakabatay sa kasarian** na panliligalig. Bagama't nag-aalok ito ng ilang proteksyon laban sa iba pang mga anyo ng pananakot, maaaring hindi ito sapat para sa mga sitwasyong hindi likas na nagpapahiwatig ng sekswal. * Ang batas na ito ay medyo bago, at ang pagpapatupad nito ay nagbabago pa rin. **Narito ang ilang mapagkukunan kung sakaling makaranas ka ng panggigipit sa antas ng kalye:**
* Iulat ang insidente sa pinakamalapit na istasyon ng pulisya o mga awtoridad ng barangay.
* Maaari ka ring makipag-ugnayan sa mga hotline na inaalok ng ilang NGO na nakatuon sa mga karapatan at kaligtasan ng kababaihan.
Tandaan, hindi ka karapat-dapat na harass o takutin. Nariyan ang batas para protektahan ka, kaya huwag mag-atubiling humingi ng tulong kung makaranas ka ng mga ganitong insidente.</v>
      </c>
      <c r="F1852" s="2">
        <f t="shared" si="1"/>
        <v>0</v>
      </c>
      <c r="G1852" s="2"/>
      <c r="H1852" s="2"/>
      <c r="I1852" s="2"/>
      <c r="J1852" s="2"/>
      <c r="K1852" s="2"/>
      <c r="L1852" s="2"/>
      <c r="M1852" s="2"/>
      <c r="N1852" s="2"/>
      <c r="O1852" s="2"/>
      <c r="P1852" s="2"/>
      <c r="Q1852" s="2"/>
      <c r="R1852" s="2"/>
      <c r="S1852" s="2"/>
      <c r="T1852" s="2"/>
      <c r="U1852" s="2"/>
      <c r="V1852" s="2"/>
      <c r="W1852" s="2"/>
      <c r="X1852" s="2"/>
      <c r="Y1852" s="2"/>
      <c r="Z1852" s="2"/>
      <c r="AA1852" s="2"/>
    </row>
    <row r="1853">
      <c r="A1853" s="1" t="s">
        <v>4698</v>
      </c>
      <c r="B1853" s="1" t="s">
        <v>4753</v>
      </c>
      <c r="C1853" s="1" t="s">
        <v>4754</v>
      </c>
      <c r="D1853" s="2" t="str">
        <f>IFERROR(__xludf.DUMMYFUNCTION("GOOGLETRANSLATE(B1853, ""en"", ""TL"")"),"Anong mga legal na probisyon ang kumokontrol sa hindi awtorisadong pag-okupa sa mga pampublikong espasyo para sa komersyal na layunin?")</f>
        <v>Anong mga legal na probisyon ang kumokontrol sa hindi awtorisadong pag-okupa sa mga pampublikong espasyo para sa komersyal na layunin?</v>
      </c>
      <c r="E1853" s="2" t="str">
        <f>IFERROR(__xludf.DUMMYFUNCTION("GOOGLETRANSLATE(C1853, ""en"", ""TL"")"),"Ang Pilipinas ay may ilang mga legal na probisyon na kumokontrol sa hindi awtorisadong pag-okupa sa mga pampublikong espasyo para sa komersyal na layunin. Narito ang isang breakdown ng ilang pangunahing mapagkukunan:
**1. Mga Ordinansa ng Lokal na Pamahal"&amp;"aan (LGUs):**
* Ang mga LGU, tulad ng mga lungsod at munisipalidad, ay may awtoridad na magpatibay ng mga ordinansang nagre-regulate sa paggamit ng mga pampublikong espasyo sa loob ng kanilang nasasakupan. Ang mga ordinansang ito ay kadalasang nagtatalaga"&amp;" ng mga partikular na lugar para sa mga komersyal na aktibidad at nagtatakda ng mga alituntunin para sa mga permit at bayad. Ang pag-okupa sa mga pampublikong espasyo para sa komersyal na layunin nang hindi sinusunod ang mga ordinansang ito ay labag sa ba"&amp;"tas.
**2. Batas Pambansa Blg. 344 (Code on Sanitation):**
* Ipinagbabawal ng Seksyon 7 ng batas na ito ang ""pagkalat ng mga pampublikong lugar"" na kinabibilangan ng paggamit ng mga pampublikong espasyo para sa komersyal na layunin sa paraang humahadlang"&amp;" sa pedestrian o sasakyan, o nagdudulot ng mga problema sa kalinisan [Batas Pambansa Blg. 344, Sec. 7]. Ang mga paglabag ay maaaring magresulta sa multa o pagkakulong.
**3. Presidential Decree No. 1565 (Pagtatatag ng mga Kodigo sa Kalinisan):**
* Ang kaut"&amp;"usang ito ay nagbibigay ng kapangyarihan sa mga LGU na magpahayag ng mga tiyak na kodigo sa kalinisan sa loob ng kanilang mga lugar. Ang mga code na ito ay maaaring higit pang mag-regulate ng paggamit ng mga pampublikong espasyo para sa komersyal na layun"&amp;"in upang matiyak ang kalinisan at kaayusan ng publiko [Presidential Decree No. 1565].
**4. Republic Act No. 7160 (Local Government Code of 1991):**
* Ang batas na ito ay nagbibigay sa mga LGU ng pangkalahatang kapangyarihan na ""magpahayag ng mga ordinans"&amp;"a at regulasyon para sa pagpapanatili ng kapayapaan at kaayusan, ang proteksyon ng pampublikong kalusugan, kaligtasan, moral, at kagandahang-asal, at ang pagtataguyod ng pangkalahatang kapakanan ng mga naninirahan doon"" [RA 7160 , sinabi ni Sec. 4(b)(1)("&amp;"i)]. Kabilang dito ang awtoridad na i-regulate ang paggamit ng mga pampublikong espasyo para sa komersyal na layunin.
**Narito ang dapat isaalang-alang:**
* Ang mga partikular na batas at parusa ay mag-iiba depende sa LGU. Ang ilang mga LGU ay maaaring ma"&amp;"gkaroon ng mas mahigpit na mga ordinansa kaysa sa iba.
* Ang katangian ng komersyal na aktibidad ay maaari ding makaimpluwensya sa mga naaangkop na regulasyon. Halimbawa, ang pagbebenta ng maliliit na meryenda mula sa isang cart ay maaaring napapailalim s"&amp;"a ibang mga panuntunan kaysa sa pag-set up ng isang malaking display para sa isang pagbebenta ng damit.
**Ano ang magagawa mo:**
* Kung hindi ka sigurado tungkol sa mga regulasyon sa iyong lugar, makipag-ugnayan sa iyong barangay o city hall para sa pagli"&amp;"linaw.
* Kung nasaksihan mo ang hindi awtorisadong pag-okupa sa mga pampublikong lugar, maaari mo itong iulat sa lokal na awtoridad.
**Mga Karagdagang Punto:**
* Maaaring may mga espesyal na permit na magagamit para sa mga partikular na aktibidad sa komer"&amp;"syo sa mga itinalagang pampublikong espasyo. * Tandaan, kahit na may permit, ang pag-okupa sa mga pampublikong espasyo para sa komersyal na layunin ay hindi dapat makagambala nang malaki sa nilalayong paggamit ng espasyo ng publiko.")</f>
        <v>Ang Pilipinas ay may ilang mga legal na probisyon na kumokontrol sa hindi awtorisadong pag-okupa sa mga pampublikong espasyo para sa komersyal na layunin. Narito ang isang breakdown ng ilang pangunahing mapagkukunan:
**1. Mga Ordinansa ng Lokal na Pamahalaan (LGUs):**
* Ang mga LGU, tulad ng mga lungsod at munisipalidad, ay may awtoridad na magpatibay ng mga ordinansang nagre-regulate sa paggamit ng mga pampublikong espasyo sa loob ng kanilang nasasakupan. Ang mga ordinansang ito ay kadalasang nagtatalaga ng mga partikular na lugar para sa mga komersyal na aktibidad at nagtatakda ng mga alituntunin para sa mga permit at bayad. Ang pag-okupa sa mga pampublikong espasyo para sa komersyal na layunin nang hindi sinusunod ang mga ordinansang ito ay labag sa batas.
**2. Batas Pambansa Blg. 344 (Code on Sanitation):**
* Ipinagbabawal ng Seksyon 7 ng batas na ito ang "pagkalat ng mga pampublikong lugar" na kinabibilangan ng paggamit ng mga pampublikong espasyo para sa komersyal na layunin sa paraang humahadlang sa pedestrian o sasakyan, o nagdudulot ng mga problema sa kalinisan [Batas Pambansa Blg. 344, Sec. 7]. Ang mga paglabag ay maaaring magresulta sa multa o pagkakulong.
**3. Presidential Decree No. 1565 (Pagtatatag ng mga Kodigo sa Kalinisan):**
* Ang kautusang ito ay nagbibigay ng kapangyarihan sa mga LGU na magpahayag ng mga tiyak na kodigo sa kalinisan sa loob ng kanilang mga lugar. Ang mga code na ito ay maaaring higit pang mag-regulate ng paggamit ng mga pampublikong espasyo para sa komersyal na layunin upang matiyak ang kalinisan at kaayusan ng publiko [Presidential Decree No. 1565].
**4. Republic Act No. 7160 (Local Government Code of 1991):**
* Ang batas na ito ay nagbibigay sa mga LGU ng pangkalahatang kapangyarihan na "magpahayag ng mga ordinansa at regulasyon para sa pagpapanatili ng kapayapaan at kaayusan, ang proteksyon ng pampublikong kalusugan, kaligtasan, moral, at kagandahang-asal, at ang pagtataguyod ng pangkalahatang kapakanan ng mga naninirahan doon" [RA 7160 , sinabi ni Sec. 4(b)(1)(i)]. Kabilang dito ang awtoridad na i-regulate ang paggamit ng mga pampublikong espasyo para sa komersyal na layunin.
**Narito ang dapat isaalang-alang:**
* Ang mga partikular na batas at parusa ay mag-iiba depende sa LGU. Ang ilang mga LGU ay maaaring magkaroon ng mas mahigpit na mga ordinansa kaysa sa iba.
* Ang katangian ng komersyal na aktibidad ay maaari ding makaimpluwensya sa mga naaangkop na regulasyon. Halimbawa, ang pagbebenta ng maliliit na meryenda mula sa isang cart ay maaaring napapailalim sa ibang mga panuntunan kaysa sa pag-set up ng isang malaking display para sa isang pagbebenta ng damit.
**Ano ang magagawa mo:**
* Kung hindi ka sigurado tungkol sa mga regulasyon sa iyong lugar, makipag-ugnayan sa iyong barangay o city hall para sa paglilinaw.
* Kung nasaksihan mo ang hindi awtorisadong pag-okupa sa mga pampublikong lugar, maaari mo itong iulat sa lokal na awtoridad.
**Mga Karagdagang Punto:**
* Maaaring may mga espesyal na permit na magagamit para sa mga partikular na aktibidad sa komersyo sa mga itinalagang pampublikong espasyo. * Tandaan, kahit na may permit, ang pag-okupa sa mga pampublikong espasyo para sa komersyal na layunin ay hindi dapat makagambala nang malaki sa nilalayong paggamit ng espasyo ng publiko.</v>
      </c>
      <c r="F1853" s="2">
        <f t="shared" si="1"/>
        <v>0</v>
      </c>
      <c r="G1853" s="2"/>
      <c r="H1853" s="2"/>
      <c r="I1853" s="2"/>
      <c r="J1853" s="2"/>
      <c r="K1853" s="2"/>
      <c r="L1853" s="2"/>
      <c r="M1853" s="2"/>
      <c r="N1853" s="2"/>
      <c r="O1853" s="2"/>
      <c r="P1853" s="2"/>
      <c r="Q1853" s="2"/>
      <c r="R1853" s="2"/>
      <c r="S1853" s="2"/>
      <c r="T1853" s="2"/>
      <c r="U1853" s="2"/>
      <c r="V1853" s="2"/>
      <c r="W1853" s="2"/>
      <c r="X1853" s="2"/>
      <c r="Y1853" s="2"/>
      <c r="Z1853" s="2"/>
      <c r="AA1853" s="2"/>
    </row>
    <row r="1854">
      <c r="A1854" s="1" t="s">
        <v>4698</v>
      </c>
      <c r="B1854" s="1" t="s">
        <v>4755</v>
      </c>
      <c r="C1854" s="1" t="s">
        <v>4756</v>
      </c>
      <c r="D1854" s="2" t="str">
        <f>IFERROR(__xludf.DUMMYFUNCTION("GOOGLETRANSLATE(B1854, ""en"", ""TL"")"),"Paano tinukoy at pinaparusahan ang krimen ng pagnanakaw ng pagkakakilanlan sa antas ng kalye o pandurukot?")</f>
        <v>Paano tinukoy at pinaparusahan ang krimen ng pagnanakaw ng pagkakakilanlan sa antas ng kalye o pandurukot?</v>
      </c>
      <c r="E1854" s="2" t="str">
        <f>IFERROR(__xludf.DUMMYFUNCTION("GOOGLETRANSLATE(C1854, ""en"", ""TL"")"),"Walang partikular na krimen ang batas ng Pilipinas para sa ""pagnanakaw ng pagkakakilanlan sa antas ng kalye"" ngunit may mga kaugnay na probisyon na nalalapat sa pandurukot at paggamit ng nakaw na impormasyon ng pagkakakilanlan. Narito ang isang breakdow"&amp;"n:
**Pangungulit:**
Ito ay nasa ilalim ng krimen ng pagnanakaw gaya ng tinukoy sa **Revised Penal Code (RPC)**:
* **Artikulo 308** ay tumutukoy sa pagnanakaw bilang ang pagkilos ng pagkuha ng personal na ari-arian na pag-aari ng iba, na may layuning makak"&amp;"uha, nang walang pahintulot ng may-ari. [RPC Art. 308]
**Mga Parusa para sa Pagnanakaw:**
Ang mga parusa para sa pagnanakaw ay nakadepende sa halaga ng ninakaw na ari-arian (ang mga artikulong ninakaw sa panahon ng pickpocketing ay karaniwang itinuturing "&amp;"na may kaunting halaga):
* **Culpable Theft (mas mababa sa PhP5,000):** Parusa ng arresto menor (1 hanggang 10 araw) hanggang prision correccional minima (hanggang 6 na buwan) [RPC Art. 309]
* **Slight Theft (PhP5,000 o mas mababa):** Penalty ng arresto m"&amp;"enor (1 hanggang 10 araw) [RPC Art. 310] **Pagnanakaw ng Pagkakakilanlan:**
Bagama't walang iisang krimen para sa ""pagnanakaw ng pagkakakilanlan sa antas ng kalye,"" ang paggamit ng ninakaw na impormasyon na nakuha sa pamamagitan ng pickpocketing ay maaa"&amp;"ring isang krimen sa ilalim ng:
* **Republic Act No. 10173** o ang **Data Privacy Act of 2012 (DPA)**: Pinoprotektahan ng batas na ito ang personal na impormasyon at pinaparusahan ang hindi awtorisadong pagproseso, kabilang ang paggamit ng ninakaw na impo"&amp;"rmasyon upang magpanggap bilang isang tao [RA 10173, Sec. 15].
**Mga parusa sa ilalim ng DPA:**
Ang mga parusa sa paglabag sa DPA ay nag-iiba depende sa uri ng pagkakasala at sa lawak ng pinsalang naidulot. Ang mga ito ay maaaring mula sa mga multa hangga"&amp;"ng sa pagkakulong:
* **Pagbubunyag lamang:** PhP500,000 na multa [RA 10173, Sec. 32(e)]
* **Hindi awtorisadong pagproseso:** PhP1,000,000 na multa o pagkakulong ng hanggang 7 taon [RA 10173, Sec. 32(a)]
**Mahahalagang Punto:**
* Para sa mga kaso ng pickpo"&amp;"cketing, ang matagumpay na pag-uusig sa krimen ay nakasalalay sa mga salik tulad ng paghuli sa salarin sa akto o pagkakaroon ng CCTV footage bilang ebidensya.
* Ang pagnanakaw ng pagkakakilanlan gamit ang ninakaw na impormasyon ay maaaring magkaroon ng ma"&amp;"s matinding kahihinatnan, lalo na kung magreresulta ito sa pagkalugi sa pananalapi sa biktima.
Kung ikaw ay naging biktima ng pandurukot o pinaghihinalaang pagnanakaw ng pagkakakilanlan gamit ang ninakaw na impormasyon, iulat kaagad ang insidente sa pulis"&amp;"ya. Makakatulong ito sa kanila na imbestigahan ang krimen at posibleng mahuli ang salarin. Maaari ka ring magsampa ng reklamo sa National Privacy Commission (NPC) kung naniniwala kang nakompromiso ang iyong personal na impormasyon.")</f>
        <v>Walang partikular na krimen ang batas ng Pilipinas para sa "pagnanakaw ng pagkakakilanlan sa antas ng kalye" ngunit may mga kaugnay na probisyon na nalalapat sa pandurukot at paggamit ng nakaw na impormasyon ng pagkakakilanlan. Narito ang isang breakdown:
**Pangungulit:**
Ito ay nasa ilalim ng krimen ng pagnanakaw gaya ng tinukoy sa **Revised Penal Code (RPC)**:
* **Artikulo 308** ay tumutukoy sa pagnanakaw bilang ang pagkilos ng pagkuha ng personal na ari-arian na pag-aari ng iba, na may layuning makakuha, nang walang pahintulot ng may-ari. [RPC Art. 308]
**Mga Parusa para sa Pagnanakaw:**
Ang mga parusa para sa pagnanakaw ay nakadepende sa halaga ng ninakaw na ari-arian (ang mga artikulong ninakaw sa panahon ng pickpocketing ay karaniwang itinuturing na may kaunting halaga):
* **Culpable Theft (mas mababa sa PhP5,000):** Parusa ng arresto menor (1 hanggang 10 araw) hanggang prision correccional minima (hanggang 6 na buwan) [RPC Art. 309]
* **Slight Theft (PhP5,000 o mas mababa):** Penalty ng arresto menor (1 hanggang 10 araw) [RPC Art. 310] **Pagnanakaw ng Pagkakakilanlan:**
Bagama't walang iisang krimen para sa "pagnanakaw ng pagkakakilanlan sa antas ng kalye," ang paggamit ng ninakaw na impormasyon na nakuha sa pamamagitan ng pickpocketing ay maaaring isang krimen sa ilalim ng:
* **Republic Act No. 10173** o ang **Data Privacy Act of 2012 (DPA)**: Pinoprotektahan ng batas na ito ang personal na impormasyon at pinaparusahan ang hindi awtorisadong pagproseso, kabilang ang paggamit ng ninakaw na impormasyon upang magpanggap bilang isang tao [RA 10173, Sec. 15].
**Mga parusa sa ilalim ng DPA:**
Ang mga parusa sa paglabag sa DPA ay nag-iiba depende sa uri ng pagkakasala at sa lawak ng pinsalang naidulot. Ang mga ito ay maaaring mula sa mga multa hanggang sa pagkakulong:
* **Pagbubunyag lamang:** PhP500,000 na multa [RA 10173, Sec. 32(e)]
* **Hindi awtorisadong pagproseso:** PhP1,000,000 na multa o pagkakulong ng hanggang 7 taon [RA 10173, Sec. 32(a)]
**Mahahalagang Punto:**
* Para sa mga kaso ng pickpocketing, ang matagumpay na pag-uusig sa krimen ay nakasalalay sa mga salik tulad ng paghuli sa salarin sa akto o pagkakaroon ng CCTV footage bilang ebidensya.
* Ang pagnanakaw ng pagkakakilanlan gamit ang ninakaw na impormasyon ay maaaring magkaroon ng mas matinding kahihinatnan, lalo na kung magreresulta ito sa pagkalugi sa pananalapi sa biktima.
Kung ikaw ay naging biktima ng pandurukot o pinaghihinalaang pagnanakaw ng pagkakakilanlan gamit ang ninakaw na impormasyon, iulat kaagad ang insidente sa pulisya. Makakatulong ito sa kanila na imbestigahan ang krimen at posibleng mahuli ang salarin. Maaari ka ring magsampa ng reklamo sa National Privacy Commission (NPC) kung naniniwala kang nakompromiso ang iyong personal na impormasyon.</v>
      </c>
      <c r="F1854" s="2">
        <f t="shared" si="1"/>
        <v>0</v>
      </c>
      <c r="G1854" s="2"/>
      <c r="H1854" s="2"/>
      <c r="I1854" s="2"/>
      <c r="J1854" s="2"/>
      <c r="K1854" s="2"/>
      <c r="L1854" s="2"/>
      <c r="M1854" s="2"/>
      <c r="N1854" s="2"/>
      <c r="O1854" s="2"/>
      <c r="P1854" s="2"/>
      <c r="Q1854" s="2"/>
      <c r="R1854" s="2"/>
      <c r="S1854" s="2"/>
      <c r="T1854" s="2"/>
      <c r="U1854" s="2"/>
      <c r="V1854" s="2"/>
      <c r="W1854" s="2"/>
      <c r="X1854" s="2"/>
      <c r="Y1854" s="2"/>
      <c r="Z1854" s="2"/>
      <c r="AA1854" s="2"/>
    </row>
    <row r="1855">
      <c r="A1855" s="1" t="s">
        <v>4698</v>
      </c>
      <c r="B1855" s="1" t="s">
        <v>4757</v>
      </c>
      <c r="C1855" s="1" t="s">
        <v>4758</v>
      </c>
      <c r="D1855" s="2" t="str">
        <f>IFERROR(__xludf.DUMMYFUNCTION("GOOGLETRANSLATE(B1855, ""en"", ""TL"")"),"Anong mga parusa ang naaangkop para sa pagsali sa mga pampublikong kaguluhan o kaguluhan sa mga lansangan?")</f>
        <v>Anong mga parusa ang naaangkop para sa pagsali sa mga pampublikong kaguluhan o kaguluhan sa mga lansangan?</v>
      </c>
      <c r="E1855" s="2" t="str">
        <f>IFERROR(__xludf.DUMMYFUNCTION("GOOGLETRANSLATE(C1855, ""en"", ""TL"")"),"Sineseryoso ng batas ng Pilipinas ang mga kaguluhan sa publiko at magulo na pag-uugali, na may mga parusa depende sa kalubhaan ng pagkakasala. Narito ang isang breakdown ng mga nauugnay na batas:
**Binagong Kodigo Penal (RPC):**
* **Pagkagulo (Artikulo 14"&amp;"6):** Pagtitipon ng mga tao na may layuning gumamit ng karahasan sa anuman o laban sa sinumang tao, o upang labanan ang pagpapatupad ng batas, o gumawa ng anumang iba pang ilegal na gawain. Ito ay maaaring maging isang hakbang sa mas malubhang pagkakasala"&amp;". Ang mga parusa ay may kasamang multa o pagkakulong depende sa bilang ng mga taong sangkot [RPC Art. 146].
* **Pagsuway sa Mga Taong May Awtoridad (Artikulo 151):** Nalalapat ito sa mga sumusuway sa mga utos ng batas ng isang taong nasa awtoridad, tulad "&amp;"ng mga tagapagpatupad ng batas na sinusubukang ikalat ang isang pulutong. Ang mga parusa ay mula sa pagsaway hanggang sa pagkakulong depende sa mga pangyayari [RPC Art. 151].
* **Mga Alarm at Iskandalo (Artikulo 153):** Nagdudulot ng alarma o iskandalo sa"&amp;" pamamagitan ng paggawa ng hindi makatwirang ingay o pag-istorbo sa kapayapaan. Maaari itong mailapat sa maingay at hindi masusunod na pag-uugali sa mga pampublikong espasyo [RPC Art. 153]. Ang mga parusa ay may kasamang multa.
* **Paglaban at Pagsuway sa"&amp;" Isang Taong May Awtoridad (Artikulo 152):** Ito ay isang mas malubhang pagkakasala kaysa sa Artikulo 151 at nalalapat sa mga aktibong lumalaban sa isang taong may awtoridad. Kasama sa mga parusa ang pagkakulong.
**Mga Espesyal na Batas Penal:**
* **Repub"&amp;"lic Act No. 6939 o ang ""Anti-Disorder Conduct Act of 1993""** ay nagbabawal na magdulot ng malalakas, hindi pangkaraniwan o nakakasakit na ingay na nakakainis sa publiko o nakahahadlang sa malayang paggalaw ng mga tao sa mga pampublikong lugar [RA 6939, "&amp;"Sec. 1(d) at (e)]. Maaari itong mailapat sa mga pampublikong kaguluhan. Kasama sa mga parusa ang mga multa at pagkakulong.
**Pagtukoy ng mga Parusa:**
Ang eksaktong parusa ay depende sa uri ng kaguluhan at ang kabigatan ng pagkakasala. Narito ang isang pa"&amp;"ngkalahatang patnubay:
* Ang mga maliliit na paglabag tulad ng malakas na pagsigaw o marahas na pag-uugali ay maaaring magresulta sa mga multa o pagsaway sa ilalim ng Anti-Disorder Conduct Act o mga probisyon ng mga alarma at iskandalo.
* Ang mas malubhan"&amp;"g kaguluhan na kinasasangkutan ng karahasan o paglaban sa mga awtoridad ay maaaring humantong sa pagkakulong sa ilalim ng Binagong Kodigo Penal.
**Mga Karagdagang Punto:**
* Kung ang pampublikong kaguluhan ay nagreresulta sa pagkasira o pinsala sa ari-ari"&amp;"an, maaaring magsampa ng karagdagang mga singil sa ilalim ng RPC para sa mga naturang pagkakasala.
* Sa matinding mga kaso, maaaring makasuhan ang riot, na isang mas malubhang pagkakasala na may potensyal na mas mabigat na parusa.
**Ano ang magagawa mo:**"&amp;"
* Kung nakasaksi ka ng kaguluhan sa publiko, iwasang masangkot at i-report kaagad sa mga awtoridad. * Kung sa kasamaang palad ay nahuli ka sa isang pampublikong kaguluhan, manatiling kalmado at makipagtulungan sa mga opisyal ng pagpapatupad ng batas.")</f>
        <v>Sineseryoso ng batas ng Pilipinas ang mga kaguluhan sa publiko at magulo na pag-uugali, na may mga parusa depende sa kalubhaan ng pagkakasala. Narito ang isang breakdown ng mga nauugnay na batas:
**Binagong Kodigo Penal (RPC):**
* **Pagkagulo (Artikulo 146):** Pagtitipon ng mga tao na may layuning gumamit ng karahasan sa anuman o laban sa sinumang tao, o upang labanan ang pagpapatupad ng batas, o gumawa ng anumang iba pang ilegal na gawain. Ito ay maaaring maging isang hakbang sa mas malubhang pagkakasala. Ang mga parusa ay may kasamang multa o pagkakulong depende sa bilang ng mga taong sangkot [RPC Art. 146].
* **Pagsuway sa Mga Taong May Awtoridad (Artikulo 151):** Nalalapat ito sa mga sumusuway sa mga utos ng batas ng isang taong nasa awtoridad, tulad ng mga tagapagpatupad ng batas na sinusubukang ikalat ang isang pulutong. Ang mga parusa ay mula sa pagsaway hanggang sa pagkakulong depende sa mga pangyayari [RPC Art. 151].
* **Mga Alarm at Iskandalo (Artikulo 153):** Nagdudulot ng alarma o iskandalo sa pamamagitan ng paggawa ng hindi makatwirang ingay o pag-istorbo sa kapayapaan. Maaari itong mailapat sa maingay at hindi masusunod na pag-uugali sa mga pampublikong espasyo [RPC Art. 153]. Ang mga parusa ay may kasamang multa.
* **Paglaban at Pagsuway sa Isang Taong May Awtoridad (Artikulo 152):** Ito ay isang mas malubhang pagkakasala kaysa sa Artikulo 151 at nalalapat sa mga aktibong lumalaban sa isang taong may awtoridad. Kasama sa mga parusa ang pagkakulong.
**Mga Espesyal na Batas Penal:**
* **Republic Act No. 6939 o ang "Anti-Disorder Conduct Act of 1993"** ay nagbabawal na magdulot ng malalakas, hindi pangkaraniwan o nakakasakit na ingay na nakakainis sa publiko o nakahahadlang sa malayang paggalaw ng mga tao sa mga pampublikong lugar [RA 6939, Sec. 1(d) at (e)]. Maaari itong mailapat sa mga pampublikong kaguluhan. Kasama sa mga parusa ang mga multa at pagkakulong.
**Pagtukoy ng mga Parusa:**
Ang eksaktong parusa ay depende sa uri ng kaguluhan at ang kabigatan ng pagkakasala. Narito ang isang pangkalahatang patnubay:
* Ang mga maliliit na paglabag tulad ng malakas na pagsigaw o marahas na pag-uugali ay maaaring magresulta sa mga multa o pagsaway sa ilalim ng Anti-Disorder Conduct Act o mga probisyon ng mga alarma at iskandalo.
* Ang mas malubhang kaguluhan na kinasasangkutan ng karahasan o paglaban sa mga awtoridad ay maaaring humantong sa pagkakulong sa ilalim ng Binagong Kodigo Penal.
**Mga Karagdagang Punto:**
* Kung ang pampublikong kaguluhan ay nagreresulta sa pagkasira o pinsala sa ari-arian, maaaring magsampa ng karagdagang mga singil sa ilalim ng RPC para sa mga naturang pagkakasala.
* Sa matinding mga kaso, maaaring makasuhan ang riot, na isang mas malubhang pagkakasala na may potensyal na mas mabigat na parusa.
**Ano ang magagawa mo:**
* Kung nakasaksi ka ng kaguluhan sa publiko, iwasang masangkot at i-report kaagad sa mga awtoridad. * Kung sa kasamaang palad ay nahuli ka sa isang pampublikong kaguluhan, manatiling kalmado at makipagtulungan sa mga opisyal ng pagpapatupad ng batas.</v>
      </c>
      <c r="F1855" s="2">
        <f t="shared" si="1"/>
        <v>0</v>
      </c>
      <c r="G1855" s="2"/>
      <c r="H1855" s="2"/>
      <c r="I1855" s="2"/>
      <c r="J1855" s="2"/>
      <c r="K1855" s="2"/>
      <c r="L1855" s="2"/>
      <c r="M1855" s="2"/>
      <c r="N1855" s="2"/>
      <c r="O1855" s="2"/>
      <c r="P1855" s="2"/>
      <c r="Q1855" s="2"/>
      <c r="R1855" s="2"/>
      <c r="S1855" s="2"/>
      <c r="T1855" s="2"/>
      <c r="U1855" s="2"/>
      <c r="V1855" s="2"/>
      <c r="W1855" s="2"/>
      <c r="X1855" s="2"/>
      <c r="Y1855" s="2"/>
      <c r="Z1855" s="2"/>
      <c r="AA1855" s="2"/>
    </row>
    <row r="1856">
      <c r="A1856" s="1" t="s">
        <v>4698</v>
      </c>
      <c r="B1856" s="1" t="s">
        <v>4759</v>
      </c>
      <c r="C1856" s="1" t="s">
        <v>4760</v>
      </c>
      <c r="D1856" s="2" t="str">
        <f>IFERROR(__xludf.DUMMYFUNCTION("GOOGLETRANSLATE(B1856, ""en"", ""TL"")"),"Sa ilalim ng anong mga pangyayari maaaring kasuhan ang isang tao ng paglabag sa mga ordinansa sa ingay sa mga pampublikong lugar?")</f>
        <v>Sa ilalim ng anong mga pangyayari maaaring kasuhan ang isang tao ng paglabag sa mga ordinansa sa ingay sa mga pampublikong lugar?</v>
      </c>
      <c r="E1856" s="2" t="str">
        <f>IFERROR(__xludf.DUMMYFUNCTION("GOOGLETRANSLATE(C1856, ""en"", ""TL"")"),"Tinutugunan ng batas ng Pilipinas ang mga ordinansa sa ingay sa mga pampublikong lugar sa pamamagitan ng kumbinasyon ng mga pambansang batas at mga ordinansa ng lokal na pamahalaan (LGU). Narito ang isang breakdown kung kailan ka maaaring makasuhan ng pag"&amp;"labag sa mga ordinansa sa ingay:
**Mga Pambansang Batas:**
* **Presidential Decree No. 984** o ang **Pollution Control Law:** Ang batas na ito ay nagtatakda ng pambansang pamantayan ng kalidad ng ingay sa paligid. Bagama't hindi direktang maipapatupad sa "&amp;"mga indibidwal, nagtatatag ito ng benchmark para sa mga LGU na ibabatay ang kanilang mga ordinansa sa ingay sa [PD 984, Kabanata IV].
**Mga Ordinansa ng Lokal na Pamahalaan (LGUs):**
* Ang mga LGU, tulad ng mga lungsod at munisipalidad, ay may awtoridad n"&amp;"a magpatupad ng mga ordinansang nagre-regulate ng mga antas ng ingay sa mga pampublikong lugar sa loob ng kanilang nasasakupan. Ang mga ordinansang ito ay karaniwang tumutukoy sa mga katanggap-tanggap na limitasyon ng ingay para sa iba't ibang lugar (resi"&amp;"dential, komersyal, industriyal) at oras ng araw. **Ang paglabag sa mga ordinansang ito ng ingay ay maaaring humantong sa mga singil kung:**
* Bumubuo ka ng ingay na lumampas sa itinatag na mga limitasyon ng decibel (dB) para sa partikular na lugar at ora"&amp;"s ng araw.
* Ang ingay na nabuo mo ay hindi makatwiran na nakakagambala sa ginhawa, kapayapaan, o pahinga ng iba sa paligid.
Narito ang ilang halimbawa ng mga sitwasyon kung saan maaari kang makasuhan ng paglabag sa mga ordinansa sa ingay:
* Nagpatugtog n"&amp;"g malakas na musika sa isang residential area sa hatinggabi.
* Pagpapatakbo ng maingay na makinarya o kagamitan sa pagtatayo nang walang wastong mga permit o sa labas ng itinalagang oras ng pagpapatakbo.
* Paggamit ng mga loudspeaker o amplifier sa mga pa"&amp;"mpublikong lugar nang walang pahintulot.
**Mahahalagang Punto:**
* Ang mga partikular na limitasyon ng ingay at mga katanggap-tanggap na aktibidad ay mag-iiba depende sa ordinansa ng LGU. Pinakamabuting kumonsulta sa iyong barangay o city hall upang mauna"&amp;"waan ang mga partikular na regulasyon sa iyong lugar.
* Kahit na ang antas ng ingay ay hindi teknikal na lumampas sa limitasyon, kung ito ay itinuturing na hindi makatwirang nakakagambala sa iba, maaari ka pa ring makasuhan ng isang paglabag.
**Ano ang ma"&amp;"gagawa mo:**
* Maging maingat sa antas ng ingay kapag nagsasagawa ng mga aktibidad sa mga pampublikong lugar.
* Kung makaranas ka ng ingay na abala na pinaniniwalaan mong lumalabag sa mga ordinansa, iulat sila sa barangay o lokal na awtoridad sa pagpapatu"&amp;"pad.")</f>
        <v>Tinutugunan ng batas ng Pilipinas ang mga ordinansa sa ingay sa mga pampublikong lugar sa pamamagitan ng kumbinasyon ng mga pambansang batas at mga ordinansa ng lokal na pamahalaan (LGU). Narito ang isang breakdown kung kailan ka maaaring makasuhan ng paglabag sa mga ordinansa sa ingay:
**Mga Pambansang Batas:**
* **Presidential Decree No. 984** o ang **Pollution Control Law:** Ang batas na ito ay nagtatakda ng pambansang pamantayan ng kalidad ng ingay sa paligid. Bagama't hindi direktang maipapatupad sa mga indibidwal, nagtatatag ito ng benchmark para sa mga LGU na ibabatay ang kanilang mga ordinansa sa ingay sa [PD 984, Kabanata IV].
**Mga Ordinansa ng Lokal na Pamahalaan (LGUs):**
* Ang mga LGU, tulad ng mga lungsod at munisipalidad, ay may awtoridad na magpatupad ng mga ordinansang nagre-regulate ng mga antas ng ingay sa mga pampublikong lugar sa loob ng kanilang nasasakupan. Ang mga ordinansang ito ay karaniwang tumutukoy sa mga katanggap-tanggap na limitasyon ng ingay para sa iba't ibang lugar (residential, komersyal, industriyal) at oras ng araw. **Ang paglabag sa mga ordinansang ito ng ingay ay maaaring humantong sa mga singil kung:**
* Bumubuo ka ng ingay na lumampas sa itinatag na mga limitasyon ng decibel (dB) para sa partikular na lugar at oras ng araw.
* Ang ingay na nabuo mo ay hindi makatwiran na nakakagambala sa ginhawa, kapayapaan, o pahinga ng iba sa paligid.
Narito ang ilang halimbawa ng mga sitwasyon kung saan maaari kang makasuhan ng paglabag sa mga ordinansa sa ingay:
* Nagpatugtog ng malakas na musika sa isang residential area sa hatinggabi.
* Pagpapatakbo ng maingay na makinarya o kagamitan sa pagtatayo nang walang wastong mga permit o sa labas ng itinalagang oras ng pagpapatakbo.
* Paggamit ng mga loudspeaker o amplifier sa mga pampublikong lugar nang walang pahintulot.
**Mahahalagang Punto:**
* Ang mga partikular na limitasyon ng ingay at mga katanggap-tanggap na aktibidad ay mag-iiba depende sa ordinansa ng LGU. Pinakamabuting kumonsulta sa iyong barangay o city hall upang maunawaan ang mga partikular na regulasyon sa iyong lugar.
* Kahit na ang antas ng ingay ay hindi teknikal na lumampas sa limitasyon, kung ito ay itinuturing na hindi makatwirang nakakagambala sa iba, maaari ka pa ring makasuhan ng isang paglabag.
**Ano ang magagawa mo:**
* Maging maingat sa antas ng ingay kapag nagsasagawa ng mga aktibidad sa mga pampublikong lugar.
* Kung makaranas ka ng ingay na abala na pinaniniwalaan mong lumalabag sa mga ordinansa, iulat sila sa barangay o lokal na awtoridad sa pagpapatupad.</v>
      </c>
      <c r="F1856" s="2">
        <f t="shared" si="1"/>
        <v>0</v>
      </c>
      <c r="G1856" s="2"/>
      <c r="H1856" s="2"/>
      <c r="I1856" s="2"/>
      <c r="J1856" s="2"/>
      <c r="K1856" s="2"/>
      <c r="L1856" s="2"/>
      <c r="M1856" s="2"/>
      <c r="N1856" s="2"/>
      <c r="O1856" s="2"/>
      <c r="P1856" s="2"/>
      <c r="Q1856" s="2"/>
      <c r="R1856" s="2"/>
      <c r="S1856" s="2"/>
      <c r="T1856" s="2"/>
      <c r="U1856" s="2"/>
      <c r="V1856" s="2"/>
      <c r="W1856" s="2"/>
      <c r="X1856" s="2"/>
      <c r="Y1856" s="2"/>
      <c r="Z1856" s="2"/>
      <c r="AA1856" s="2"/>
    </row>
    <row r="1857">
      <c r="A1857" s="1" t="s">
        <v>4698</v>
      </c>
      <c r="B1857" s="1" t="s">
        <v>4761</v>
      </c>
      <c r="C1857" s="1" t="s">
        <v>4762</v>
      </c>
      <c r="D1857" s="2" t="str">
        <f>IFERROR(__xludf.DUMMYFUNCTION("GOOGLETRANSLATE(B1857, ""en"", ""TL"")"),"Paano tinutugunan ng batas ng Pilipinas ang pagkakasala ng pampublikong pagkonsumo ng mga inuming may alkohol?")</f>
        <v>Paano tinutugunan ng batas ng Pilipinas ang pagkakasala ng pampublikong pagkonsumo ng mga inuming may alkohol?</v>
      </c>
      <c r="E1857" s="2" t="str">
        <f>IFERROR(__xludf.DUMMYFUNCTION("GOOGLETRANSLATE(C1857, ""en"", ""TL"")"),"Walang pambansang batas sa Pilipinas na tahasang nagbabawal sa pampublikong pagkonsumo ng mga inuming nakalalasing. Gayunpaman, ang pampublikong pag-inom ay maaaring i-regulate o kahit na ipinagbabawal sa pamamagitan ng mga sumusunod na paraan:
* **Mga Or"&amp;"dinansa ng Lokal na Pamahalaan (LGUs):** Maraming mga lungsod at munisipalidad ang may sariling mga ordinansa na nagre-regulate o nagbabawal sa pagkonsumo ng mga inuming nakalalasing sa mga pampublikong lugar. Ang mga ordinansang ito ay kadalasang nagtata"&amp;"laga ng mga partikular na lugar kung saan ipinagbabawal ang pag-inom, tulad ng mga parke, plaza, bangketa, at mga pampublikong lugar ng transportasyon.
* **Anti-Disorder Conduct Act (RA 6939):** Ipinagbabawal ng batas na ito ang pagdudulot ng malalakas, h"&amp;"indi pangkaraniwan, o nakakasakit na ingay na nakakainis sa publiko [RA 6939, Sec. 1(d)]. Bagama't hindi direktang nauugnay sa pag-inom ng alak, ang pagiging lasing at hindi maayos sa publiko ay maaaring ituring na isang paglabag sa Batas na ito kung magr"&amp;"eresulta ito sa hindi makatwirang ingay o kaguluhan. * **Presidential Decree No. 1565:** Ito ay nagbibigay ng kapangyarihan sa mga LGU na magpahayag ng mga code sa kalinisan sa loob ng kanilang mga lugar. Ang mga code na ito ay maaaring higit pang mag-reg"&amp;"ulate ng pagkonsumo ng alak sa mga pampublikong lugar upang mapanatili ang kalinisan at kaayusan ng publiko. **Narito ang ilang mahahalagang puntong dapat isaalang-alang:**
* Ang mga partikular na regulasyon at parusa para sa pampublikong pag-inom ay mag-"&amp;"iiba depende sa LGU. Ang ilang mga LGU ay maaaring may kumpletong pagbabawal, habang ang iba ay maaaring payagan ang pag-inom sa mga itinalagang lugar sa mga partikular na oras.
* Kahit na walang tahasang pagbabawal, ang pagkalasing sa publiko ay maaaring"&amp;" humantong sa pagsaway ng mga awtoridad o makulong sa proteksiyon hanggang sa makatulog ka.
**Ano ang magagawa mo:**
* Bago uminom ng alak sa publiko, maging pamilyar sa mga lokal na ordinansa sa iyong lugar upang maiwasan ang anumang mga paglabag.
* Lagi"&amp;"ng umiinom ng responsable at iwasan ang hindi maayos na pag-uugali na maaaring makaistorbo sa iba. * Kung may nasaksihan kang lumalabag sa mga pampublikong ordinansa sa pag-inom, maaari mo itong iulat sa barangay o lokal na awtoridad.
Mahalagang tandaan n"&amp;"a may panukalang batas na kasalukuyang inihain sa Kongreso ng Pilipinas (House Bill No. 3047) na nagmumungkahi ng pagbabawal sa buong bansa sa pagbebenta, paghahatid, at pagkonsumo ng alak sa lahat ng pampublikong lugar. Bagama't hindi pa batas, sinasalam"&amp;"in nito ang lumalagong sentimyento upang mas mahigpit na i-regulate ang pampublikong pag-inom.")</f>
        <v>Walang pambansang batas sa Pilipinas na tahasang nagbabawal sa pampublikong pagkonsumo ng mga inuming nakalalasing. Gayunpaman, ang pampublikong pag-inom ay maaaring i-regulate o kahit na ipinagbabawal sa pamamagitan ng mga sumusunod na paraan:
* **Mga Ordinansa ng Lokal na Pamahalaan (LGUs):** Maraming mga lungsod at munisipalidad ang may sariling mga ordinansa na nagre-regulate o nagbabawal sa pagkonsumo ng mga inuming nakalalasing sa mga pampublikong lugar. Ang mga ordinansang ito ay kadalasang nagtatalaga ng mga partikular na lugar kung saan ipinagbabawal ang pag-inom, tulad ng mga parke, plaza, bangketa, at mga pampublikong lugar ng transportasyon.
* **Anti-Disorder Conduct Act (RA 6939):** Ipinagbabawal ng batas na ito ang pagdudulot ng malalakas, hindi pangkaraniwan, o nakakasakit na ingay na nakakainis sa publiko [RA 6939, Sec. 1(d)]. Bagama't hindi direktang nauugnay sa pag-inom ng alak, ang pagiging lasing at hindi maayos sa publiko ay maaaring ituring na isang paglabag sa Batas na ito kung magreresulta ito sa hindi makatwirang ingay o kaguluhan. * **Presidential Decree No. 1565:** Ito ay nagbibigay ng kapangyarihan sa mga LGU na magpahayag ng mga code sa kalinisan sa loob ng kanilang mga lugar. Ang mga code na ito ay maaaring higit pang mag-regulate ng pagkonsumo ng alak sa mga pampublikong lugar upang mapanatili ang kalinisan at kaayusan ng publiko. **Narito ang ilang mahahalagang puntong dapat isaalang-alang:**
* Ang mga partikular na regulasyon at parusa para sa pampublikong pag-inom ay mag-iiba depende sa LGU. Ang ilang mga LGU ay maaaring may kumpletong pagbabawal, habang ang iba ay maaaring payagan ang pag-inom sa mga itinalagang lugar sa mga partikular na oras.
* Kahit na walang tahasang pagbabawal, ang pagkalasing sa publiko ay maaaring humantong sa pagsaway ng mga awtoridad o makulong sa proteksiyon hanggang sa makatulog ka.
**Ano ang magagawa mo:**
* Bago uminom ng alak sa publiko, maging pamilyar sa mga lokal na ordinansa sa iyong lugar upang maiwasan ang anumang mga paglabag.
* Laging umiinom ng responsable at iwasan ang hindi maayos na pag-uugali na maaaring makaistorbo sa iba. * Kung may nasaksihan kang lumalabag sa mga pampublikong ordinansa sa pag-inom, maaari mo itong iulat sa barangay o lokal na awtoridad.
Mahalagang tandaan na may panukalang batas na kasalukuyang inihain sa Kongreso ng Pilipinas (House Bill No. 3047) na nagmumungkahi ng pagbabawal sa buong bansa sa pagbebenta, paghahatid, at pagkonsumo ng alak sa lahat ng pampublikong lugar. Bagama't hindi pa batas, sinasalamin nito ang lumalagong sentimyento upang mas mahigpit na i-regulate ang pampublikong pag-inom.</v>
      </c>
      <c r="F1857" s="2">
        <f t="shared" si="1"/>
        <v>0</v>
      </c>
      <c r="G1857" s="2"/>
      <c r="H1857" s="2"/>
      <c r="I1857" s="2"/>
      <c r="J1857" s="2"/>
      <c r="K1857" s="2"/>
      <c r="L1857" s="2"/>
      <c r="M1857" s="2"/>
      <c r="N1857" s="2"/>
      <c r="O1857" s="2"/>
      <c r="P1857" s="2"/>
      <c r="Q1857" s="2"/>
      <c r="R1857" s="2"/>
      <c r="S1857" s="2"/>
      <c r="T1857" s="2"/>
      <c r="U1857" s="2"/>
      <c r="V1857" s="2"/>
      <c r="W1857" s="2"/>
      <c r="X1857" s="2"/>
      <c r="Y1857" s="2"/>
      <c r="Z1857" s="2"/>
      <c r="AA1857" s="2"/>
    </row>
    <row r="1858">
      <c r="A1858" s="1" t="s">
        <v>4698</v>
      </c>
      <c r="B1858" s="1" t="s">
        <v>4763</v>
      </c>
      <c r="C1858" s="1" t="s">
        <v>4764</v>
      </c>
      <c r="D1858" s="2" t="str">
        <f>IFERROR(__xludf.DUMMYFUNCTION("GOOGLETRANSLATE(B1858, ""en"", ""TL"")"),"Anong mga parusa ang ipinapataw para sa pandaraya sa antas ng kalye o panloloko sa mga pampublikong lugar?")</f>
        <v>Anong mga parusa ang ipinapataw para sa pandaraya sa antas ng kalye o panloloko sa mga pampublikong lugar?</v>
      </c>
      <c r="E1858" s="2" t="str">
        <f>IFERROR(__xludf.DUMMYFUNCTION("GOOGLETRANSLATE(C1858, ""en"", ""TL"")"),"Tinutugunan ng batas ng Pilipinas ang pandaraya sa antas ng kalye at panloloko sa mga pampublikong lugar sa pamamagitan ng kumbinasyon ng Revised Penal Code (RPC) at mga espesyal na batas. Narito ang isang breakdown ng mga potensyal na singil at mga parus"&amp;"a:
**Sa ilalim ng Binagong Kodigo Penal (RPC):**
* **Estafa (Artikulo 315):** Ito ang pinakakaraniwang singil para sa pandaraya at panloloko. Nalalapat ito sa sinumang tao na nanloloko sa iba sa pamamagitan ng panlilinlang o maling representasyon upang ma"&amp;"gdulot ng pinsala [RPC Art. 315]. Ito ay maaaring sumaklaw sa maraming mga scam sa antas ng kalye tulad ng mga laro sa shell, pekeng merchandise, o pagpapanggap bilang isang kinatawan ng kawanggawa.
**Mga parusa para sa Estafa:**
Ang parusa para sa estafa"&amp;" ay depende sa dami ng pinsalang dulot:
* **Estafa (mas mababa sa PhP5,000):** Parusa ng arresto menor (1 hanggang 10 araw) sa prision correccional minima (hanggang 6 na buwan) [RPC Art. 315]
* **Pandaraya (PhP5,000 o higit pa):** Parusa ng prision correc"&amp;"cional media (6 na buwan at 1 araw hanggang 2 taon) sa prision mayor (4 na taon at 2 buwan hanggang 8 taon) [RPC Art. 315]
**Iba pang Naaangkop na Batas:**
* **Republic Act No. 8424 o ang ""Consumer Protection Act of the Philippines"":** Ipinagbabawal ng "&amp;"batas na ito ang mga mapanlinlang na gawain sa pagbebenta at iba pang hindi patas na gawi sa kalakalan. Kung ang isang scam sa antas ng kalye ay nagsasangkot ng panlilinlang sa mga mamimili tungkol sa isang produkto o serbisyo, maaaring ilapat ang batas n"&amp;"a ito [RA 8424, Sec. 15].
* **Presidential Decree No. 1689** o ang **Deceptive Sales Act:** Ang batas na ito ay nagbabalangkas ng mga partikular na ipinagbabawal na pagkilos na may kaugnayan sa mga benta ng consumer, na maaaring may kaugnayan sa ilang mga"&amp;" scam sa antas ng kalye [PD 1689, Sec. 2].
**Mga parusa sa ilalim ng mga batas na ito:**
Ang mga batas na ito ay karaniwang nagpapataw ng mga administratibong parusa tulad ng mga multa sa mga lumalabag. **Mahahalagang Punto:**
* Ang matagumpay na pag-uusi"&amp;"g ng kaso ay nakasalalay sa mga salik tulad ng mga testimonya ng saksi at ebidensya ng mapanlinlang na pagkilos.
* Ang mga partikular na singil at parusa ay depende sa mga detalye at katangian ng scam.
**Ano ang magagawa mo:**
* Kung naging biktima ka ng "&amp;"pandaraya sa antas ng kalye, iulat ang insidente sa pulisya sa lalong madaling panahon. * Magtipon ng anumang ebidensya na maaaring mayroon ka, tulad ng mga resibo, mga contact sa saksi, o mga paglalarawan ng salarin.
* Magkaroon ng kamalayan sa mga karan"&amp;"iwang panloloko sa kalye at turuan ang iba upang makatulong na maiwasan silang mabiktima.")</f>
        <v>Tinutugunan ng batas ng Pilipinas ang pandaraya sa antas ng kalye at panloloko sa mga pampublikong lugar sa pamamagitan ng kumbinasyon ng Revised Penal Code (RPC) at mga espesyal na batas. Narito ang isang breakdown ng mga potensyal na singil at mga parusa:
**Sa ilalim ng Binagong Kodigo Penal (RPC):**
* **Estafa (Artikulo 315):** Ito ang pinakakaraniwang singil para sa pandaraya at panloloko. Nalalapat ito sa sinumang tao na nanloloko sa iba sa pamamagitan ng panlilinlang o maling representasyon upang magdulot ng pinsala [RPC Art. 315]. Ito ay maaaring sumaklaw sa maraming mga scam sa antas ng kalye tulad ng mga laro sa shell, pekeng merchandise, o pagpapanggap bilang isang kinatawan ng kawanggawa.
**Mga parusa para sa Estafa:**
Ang parusa para sa estafa ay depende sa dami ng pinsalang dulot:
* **Estafa (mas mababa sa PhP5,000):** Parusa ng arresto menor (1 hanggang 10 araw) sa prision correccional minima (hanggang 6 na buwan) [RPC Art. 315]
* **Pandaraya (PhP5,000 o higit pa):** Parusa ng prision correccional media (6 na buwan at 1 araw hanggang 2 taon) sa prision mayor (4 na taon at 2 buwan hanggang 8 taon) [RPC Art. 315]
**Iba pang Naaangkop na Batas:**
* **Republic Act No. 8424 o ang "Consumer Protection Act of the Philippines":** Ipinagbabawal ng batas na ito ang mga mapanlinlang na gawain sa pagbebenta at iba pang hindi patas na gawi sa kalakalan. Kung ang isang scam sa antas ng kalye ay nagsasangkot ng panlilinlang sa mga mamimili tungkol sa isang produkto o serbisyo, maaaring ilapat ang batas na ito [RA 8424, Sec. 15].
* **Presidential Decree No. 1689** o ang **Deceptive Sales Act:** Ang batas na ito ay nagbabalangkas ng mga partikular na ipinagbabawal na pagkilos na may kaugnayan sa mga benta ng consumer, na maaaring may kaugnayan sa ilang mga scam sa antas ng kalye [PD 1689, Sec. 2].
**Mga parusa sa ilalim ng mga batas na ito:**
Ang mga batas na ito ay karaniwang nagpapataw ng mga administratibong parusa tulad ng mga multa sa mga lumalabag. **Mahahalagang Punto:**
* Ang matagumpay na pag-uusig ng kaso ay nakasalalay sa mga salik tulad ng mga testimonya ng saksi at ebidensya ng mapanlinlang na pagkilos.
* Ang mga partikular na singil at parusa ay depende sa mga detalye at katangian ng scam.
**Ano ang magagawa mo:**
* Kung naging biktima ka ng pandaraya sa antas ng kalye, iulat ang insidente sa pulisya sa lalong madaling panahon. * Magtipon ng anumang ebidensya na maaaring mayroon ka, tulad ng mga resibo, mga contact sa saksi, o mga paglalarawan ng salarin.
* Magkaroon ng kamalayan sa mga karaniwang panloloko sa kalye at turuan ang iba upang makatulong na maiwasan silang mabiktima.</v>
      </c>
      <c r="F1858" s="2">
        <f t="shared" si="1"/>
        <v>0</v>
      </c>
      <c r="G1858" s="2"/>
      <c r="H1858" s="2"/>
      <c r="I1858" s="2"/>
      <c r="J1858" s="2"/>
      <c r="K1858" s="2"/>
      <c r="L1858" s="2"/>
      <c r="M1858" s="2"/>
      <c r="N1858" s="2"/>
      <c r="O1858" s="2"/>
      <c r="P1858" s="2"/>
      <c r="Q1858" s="2"/>
      <c r="R1858" s="2"/>
      <c r="S1858" s="2"/>
      <c r="T1858" s="2"/>
      <c r="U1858" s="2"/>
      <c r="V1858" s="2"/>
      <c r="W1858" s="2"/>
      <c r="X1858" s="2"/>
      <c r="Y1858" s="2"/>
      <c r="Z1858" s="2"/>
      <c r="AA1858" s="2"/>
    </row>
    <row r="1859">
      <c r="A1859" s="1" t="s">
        <v>4698</v>
      </c>
      <c r="B1859" s="1" t="s">
        <v>4765</v>
      </c>
      <c r="C1859" s="1" t="s">
        <v>4766</v>
      </c>
      <c r="D1859" s="2" t="str">
        <f>IFERROR(__xludf.DUMMYFUNCTION("GOOGLETRANSLATE(B1859, ""en"", ""TL"")"),"Anong mga legal na hakbang ang umiiral upang labanan ang mga cybercrime sa antas ng kalye at mga online scam?")</f>
        <v>Anong mga legal na hakbang ang umiiral upang labanan ang mga cybercrime sa antas ng kalye at mga online scam?</v>
      </c>
      <c r="E1859" s="2" t="str">
        <f>IFERROR(__xludf.DUMMYFUNCTION("GOOGLETRANSLATE(C1859, ""en"", ""TL"")"),"Ang Pilipinas ay may ilang mga legal na hakbang upang labanan ang mga cybercrime sa antas ng kalye at online scam. Narito ang isang breakdown ng ilang nauugnay na batas:
* **Republic Act No. 10175 o ang Cybercrime Prevention Act of 2012 (CPA):** Ito ang p"&amp;"angunahing batas laban sa cybercrimes sa Pilipinas. Tinutukoy at pinaparusahan nito ang iba't ibang mga online na pagkakasala, kabilang ang:
* **Cyber ​​Swindling (Seksyon 4(a)(5)):** Nalalapat ito sa mga mapanlinlang na gawaing ginawa online upang makaku"&amp;"ha ng hindi patas na kalamangan o magdulot ng pinsala sa ibang tao. Ang mga scam sa antas ng kalye na gumagamit ng mga online na platform (hal., mga pekeng social media account, phishing email) ay maaaring kasuhan sa ilalim ng probisyong ito.
* **Pagnanak"&amp;"aw ng Pagkakakilanlan na may kaugnayan sa Computer (Seksyon 5):** Sinasaklaw nito ang hindi awtorisadong pagkuha at paggamit ng personal na impormasyon ng ibang tao online para sa mga mapanlinlang na layunin. Maaaring may kaugnayan ito sa mga scam na may "&amp;"kinalaman sa pagnanakaw ng mga kredensyal sa pag-log in o mga personal na detalye.
* **Republic Act No. 8424 o ang Consumer Protection Act of the Philippines:** Pinoprotektahan ng batas na ito ang mga consumer mula sa mga mapanlinlang na gawain sa pagbebe"&amp;"nta at hindi patas na mga gawi sa kalakalan, kabilang ang mga nangyayari online. Kung ang isang scam sa antas ng kalye ay nagsasangkot ng panlilinlang sa mga mamimili tungkol sa isang produkto o serbisyo na ina-advertise online, maaaring ilapat ang batas "&amp;"na ito [RA 8424, Sec. 15].
**Iba pang Naaangkop na Batas:**
* **Revised Penal Code (RPC):** Ang mga tradisyunal na kriminal na pagkakasala tulad ng Estafa (panloloko) ay maaari ding ilapat sa mga kaso kung saan ang mga online scam ay nagreresulta sa pagka"&amp;"lugi sa pananalapi [RPC Art. 315].
**Mga Parusa:**
Ang mga parusa para sa mga cybercrime at online scam ay nag-iiba depende sa partikular na pagkakasala na ginawa at ang pinsalang naidulot. Narito ang isang pangkalahatang hanay:
* **Cyber ​​Swindling:** P"&amp;"agkakulong ng prision correccional media (hanggang 6 na buwan) sa prision mayor (hanggang 8 taon) at multa hanggang PhP1,000,000 [RA 10175, Sec. 4(a)(5)]
* **Pagnanakaw ng Pagkakakilanlan na may kaugnayan sa Computer:** Pagkakulong ng alkalde ng bilanggua"&amp;"n (hanggang 8 taon) at multa hanggang PhP1,000,000 [RA 10175, Sec. 5]
**Mga Hamon at Pagsasaalang-alang:**
* **Pagtitipon ng ebidensya:** Ang pagsisiyasat at pag-uusig sa mga cybercrime ay kadalasang kinabibilangan ng pagkolekta ng digital na ebidensya, n"&amp;"a maaaring maging mahirap.
* **Nagbabagong taktika:** Ang mga scammer ay patuloy na gumagawa ng mga bagong pamamaraan. Ang tagapagpatupad ng batas at ang publiko ay kailangang manatiling updated sa mga usong ito.
**Ano ang magagawa mo:**
* Maging maingat "&amp;"kapag nakikibahagi sa mga online na transaksyon at nagbabahagi ng personal na impormasyon.
* Iulat ang mga pinaghihinalaang online scam sa mga awtoridad sa pamamagitan ng Philippine National Police Anti-Cybercrime Unit (PNP-Anticybercrime Unit) o ​​ng Nat"&amp;"ional Bureau of Investigation (NBI).
* Maging pamilyar sa mga online na tip sa kaligtasan at pinakamahuhusay na kagawian.
**Mga Karagdagang Mapagkukunan:**
* Philippine National Police Anti-Cybercrime Unit: [https://acg.pnp.gov.ph/](https://acg.pnp.gov.ph"&amp;"/)
* National Bureau of Investigation: [https://www.nbi.gov.ph/](https://www.nbi.gov.ph/)
Sa pamamagitan ng pagtutulungan, ang mga ahensyang nagpapatupad ng batas at ang publiko ay makakatulong na labanan ang mga cybercrime sa antas ng kalye at online na "&amp;"mga scam.")</f>
        <v>Ang Pilipinas ay may ilang mga legal na hakbang upang labanan ang mga cybercrime sa antas ng kalye at online scam. Narito ang isang breakdown ng ilang nauugnay na batas:
* **Republic Act No. 10175 o ang Cybercrime Prevention Act of 2012 (CPA):** Ito ang pangunahing batas laban sa cybercrimes sa Pilipinas. Tinutukoy at pinaparusahan nito ang iba't ibang mga online na pagkakasala, kabilang ang:
* **Cyber ​​Swindling (Seksyon 4(a)(5)):** Nalalapat ito sa mga mapanlinlang na gawaing ginawa online upang makakuha ng hindi patas na kalamangan o magdulot ng pinsala sa ibang tao. Ang mga scam sa antas ng kalye na gumagamit ng mga online na platform (hal., mga pekeng social media account, phishing email) ay maaaring kasuhan sa ilalim ng probisyong ito.
* **Pagnanakaw ng Pagkakakilanlan na may kaugnayan sa Computer (Seksyon 5):** Sinasaklaw nito ang hindi awtorisadong pagkuha at paggamit ng personal na impormasyon ng ibang tao online para sa mga mapanlinlang na layunin. Maaaring may kaugnayan ito sa mga scam na may kinalaman sa pagnanakaw ng mga kredensyal sa pag-log in o mga personal na detalye.
* **Republic Act No. 8424 o ang Consumer Protection Act of the Philippines:** Pinoprotektahan ng batas na ito ang mga consumer mula sa mga mapanlinlang na gawain sa pagbebenta at hindi patas na mga gawi sa kalakalan, kabilang ang mga nangyayari online. Kung ang isang scam sa antas ng kalye ay nagsasangkot ng panlilinlang sa mga mamimili tungkol sa isang produkto o serbisyo na ina-advertise online, maaaring ilapat ang batas na ito [RA 8424, Sec. 15].
**Iba pang Naaangkop na Batas:**
* **Revised Penal Code (RPC):** Ang mga tradisyunal na kriminal na pagkakasala tulad ng Estafa (panloloko) ay maaari ding ilapat sa mga kaso kung saan ang mga online scam ay nagreresulta sa pagkalugi sa pananalapi [RPC Art. 315].
**Mga Parusa:**
Ang mga parusa para sa mga cybercrime at online scam ay nag-iiba depende sa partikular na pagkakasala na ginawa at ang pinsalang naidulot. Narito ang isang pangkalahatang hanay:
* **Cyber ​​Swindling:** Pagkakulong ng prision correccional media (hanggang 6 na buwan) sa prision mayor (hanggang 8 taon) at multa hanggang PhP1,000,000 [RA 10175, Sec. 4(a)(5)]
* **Pagnanakaw ng Pagkakakilanlan na may kaugnayan sa Computer:** Pagkakulong ng alkalde ng bilangguan (hanggang 8 taon) at multa hanggang PhP1,000,000 [RA 10175, Sec. 5]
**Mga Hamon at Pagsasaalang-alang:**
* **Pagtitipon ng ebidensya:** Ang pagsisiyasat at pag-uusig sa mga cybercrime ay kadalasang kinabibilangan ng pagkolekta ng digital na ebidensya, na maaaring maging mahirap.
* **Nagbabagong taktika:** Ang mga scammer ay patuloy na gumagawa ng mga bagong pamamaraan. Ang tagapagpatupad ng batas at ang publiko ay kailangang manatiling updated sa mga usong ito.
**Ano ang magagawa mo:**
* Maging maingat kapag nakikibahagi sa mga online na transaksyon at nagbabahagi ng personal na impormasyon.
* Iulat ang mga pinaghihinalaang online scam sa mga awtoridad sa pamamagitan ng Philippine National Police Anti-Cybercrime Unit (PNP-Anticybercrime Unit) o ​​ng National Bureau of Investigation (NBI).
* Maging pamilyar sa mga online na tip sa kaligtasan at pinakamahuhusay na kagawian.
**Mga Karagdagang Mapagkukunan:**
* Philippine National Police Anti-Cybercrime Unit: [https://acg.pnp.gov.ph/](https://acg.pnp.gov.ph/)
* National Bureau of Investigation: [https://www.nbi.gov.ph/](https://www.nbi.gov.ph/)
Sa pamamagitan ng pagtutulungan, ang mga ahensyang nagpapatupad ng batas at ang publiko ay makakatulong na labanan ang mga cybercrime sa antas ng kalye at online na mga scam.</v>
      </c>
      <c r="F1859" s="2">
        <f t="shared" si="1"/>
        <v>0</v>
      </c>
      <c r="G1859" s="2"/>
      <c r="H1859" s="2"/>
      <c r="I1859" s="2"/>
      <c r="J1859" s="2"/>
      <c r="K1859" s="2"/>
      <c r="L1859" s="2"/>
      <c r="M1859" s="2"/>
      <c r="N1859" s="2"/>
      <c r="O1859" s="2"/>
      <c r="P1859" s="2"/>
      <c r="Q1859" s="2"/>
      <c r="R1859" s="2"/>
      <c r="S1859" s="2"/>
      <c r="T1859" s="2"/>
      <c r="U1859" s="2"/>
      <c r="V1859" s="2"/>
      <c r="W1859" s="2"/>
      <c r="X1859" s="2"/>
      <c r="Y1859" s="2"/>
      <c r="Z1859" s="2"/>
      <c r="AA1859" s="2"/>
    </row>
    <row r="1860">
      <c r="A1860" s="1" t="s">
        <v>4698</v>
      </c>
      <c r="B1860" s="1" t="s">
        <v>4767</v>
      </c>
      <c r="C1860" s="1" t="s">
        <v>4768</v>
      </c>
      <c r="D1860" s="2" t="str">
        <f>IFERROR(__xludf.DUMMYFUNCTION("GOOGLETRANSLATE(B1860, ""en"", ""TL"")"),"Paano kinokontrol ang krimen ng pandaraya sa publiko o ilegal na pagsusugal sa mga lansangan?")</f>
        <v>Paano kinokontrol ang krimen ng pandaraya sa publiko o ilegal na pagsusugal sa mga lansangan?</v>
      </c>
      <c r="E1860" s="2" t="str">
        <f>IFERROR(__xludf.DUMMYFUNCTION("GOOGLETRANSLATE(C1860, ""en"", ""TL"")"),"Mahigpit na ipinagbabawal sa Pilipinas ang pandaraya sa publiko, partikular ang iligal na pagsusugal sa mga lansangan. Narito ang isang breakdown ng mga nauugnay na batas:
**Pagbabawal sa Ilegal na Pagsusugal:**
* **Binagong Kodigo Penal (RPC):** Ang Arti"&amp;"kulo 351 ay nagpaparusa sa mga nagtatag, nagpapanatili, o nagpapatakbo ng anumang pagsusugal (sugal) [kulungan ng pagsusugal] nang walang legal na awtoridad [RPC Art. 351].
* **Republic Act No. 9287 o ang ""An Act to Strengthen the Philippine Charity Swee"&amp;"pstakes Office (PCSO)"" (Sinusog ng RA 10673):** Ang batas na ito ay nagbibigay sa PCSO ng eksklusibong awtoridad na magpatakbo at mag-regulate ng lahat ng uri ng pagsusugal sa Pilipinas, maliban sa mga sakop na ng mga espesyal na batas [RA 9287, Sec. 3(a"&amp;")]. Ito ay mahalagang ipinagbabawal ang anumang hindi awtorisadong pagpapatakbo ng pagsusugal.
**Mga Parusa para sa mga Lumalabag:**
* **RPC Article 351:** Pagkakulong ng prision correccional minima (hanggang 6 na buwan) sa prision mayor (hanggang 8 taon)"&amp;" [RPC Art. 351].
* **RA 9287:** Mga multa mula PhP500,000 hanggang PhP10,000,000 at pagkakulong ng hanggang 6 na taon para sa mga nagpapatakbo ng mga aktibidad sa ilegal na pagsusugal [RA 9287, Sec. 11(f)].
**Mga Karagdagang Punto:**
* **Pagmamay-ari ng G"&amp;"ambling Paraphernalia:** Ang pagkakaroon ng gambling paraphernalia nang walang legal na awtoridad mula sa PCSO ay ipinagbabawal din at maaaring magresulta sa mga parusa [RA 9287, Sec. 11(e)].
* **Mga Ordinansa ng Lokal na Pamahalaan (LGUs):** Maraming LGU"&amp;" ang maaaring magkaroon ng sarili nilang mga ordinansa na higit na nagreregula o nagbabawal sa mga partikular na uri ng pagsusugal sa lansangan sa loob ng kanilang nasasakupan.
**Sino ang nagpapatupad ng mga batas na ito?**
Ang Philippine National Police "&amp;"(PNP) ang may pangunahing responsibilidad sa pagpapatupad ng mga batas na ito at paghuli sa mga sangkot sa mga operasyon ng ilegal na pagsusugal.
**Ano ang magagawa mo:**
* Kung nasaksihan mo ang mga aktibidad ng ilegal na pagsusugal sa mga lansangan, iul"&amp;"at sila sa pinakamalapit na istasyon ng pulisya o mga awtoridad ng barangay.
* Maaari mo ring iulat ang mga ito nang hindi nagpapakilala sa hotline ng PCSO.
Sa pamamagitan ng pagtutulungan, makakatulong ang mga ahensyang nagpapatupad ng batas at ang publi"&amp;"ko na pigilan ang pagkalat ng mga aktibidad sa ilegal na pagsusugal.")</f>
        <v>Mahigpit na ipinagbabawal sa Pilipinas ang pandaraya sa publiko, partikular ang iligal na pagsusugal sa mga lansangan. Narito ang isang breakdown ng mga nauugnay na batas:
**Pagbabawal sa Ilegal na Pagsusugal:**
* **Binagong Kodigo Penal (RPC):** Ang Artikulo 351 ay nagpaparusa sa mga nagtatag, nagpapanatili, o nagpapatakbo ng anumang pagsusugal (sugal) [kulungan ng pagsusugal] nang walang legal na awtoridad [RPC Art. 351].
* **Republic Act No. 9287 o ang "An Act to Strengthen the Philippine Charity Sweepstakes Office (PCSO)" (Sinusog ng RA 10673):** Ang batas na ito ay nagbibigay sa PCSO ng eksklusibong awtoridad na magpatakbo at mag-regulate ng lahat ng uri ng pagsusugal sa Pilipinas, maliban sa mga sakop na ng mga espesyal na batas [RA 9287, Sec. 3(a)]. Ito ay mahalagang ipinagbabawal ang anumang hindi awtorisadong pagpapatakbo ng pagsusugal.
**Mga Parusa para sa mga Lumalabag:**
* **RPC Article 351:** Pagkakulong ng prision correccional minima (hanggang 6 na buwan) sa prision mayor (hanggang 8 taon) [RPC Art. 351].
* **RA 9287:** Mga multa mula PhP500,000 hanggang PhP10,000,000 at pagkakulong ng hanggang 6 na taon para sa mga nagpapatakbo ng mga aktibidad sa ilegal na pagsusugal [RA 9287, Sec. 11(f)].
**Mga Karagdagang Punto:**
* **Pagmamay-ari ng Gambling Paraphernalia:** Ang pagkakaroon ng gambling paraphernalia nang walang legal na awtoridad mula sa PCSO ay ipinagbabawal din at maaaring magresulta sa mga parusa [RA 9287, Sec. 11(e)].
* **Mga Ordinansa ng Lokal na Pamahalaan (LGUs):** Maraming LGU ang maaaring magkaroon ng sarili nilang mga ordinansa na higit na nagreregula o nagbabawal sa mga partikular na uri ng pagsusugal sa lansangan sa loob ng kanilang nasasakupan.
**Sino ang nagpapatupad ng mga batas na ito?**
Ang Philippine National Police (PNP) ang may pangunahing responsibilidad sa pagpapatupad ng mga batas na ito at paghuli sa mga sangkot sa mga operasyon ng ilegal na pagsusugal.
**Ano ang magagawa mo:**
* Kung nasaksihan mo ang mga aktibidad ng ilegal na pagsusugal sa mga lansangan, iulat sila sa pinakamalapit na istasyon ng pulisya o mga awtoridad ng barangay.
* Maaari mo ring iulat ang mga ito nang hindi nagpapakilala sa hotline ng PCSO.
Sa pamamagitan ng pagtutulungan, makakatulong ang mga ahensyang nagpapatupad ng batas at ang publiko na pigilan ang pagkalat ng mga aktibidad sa ilegal na pagsusugal.</v>
      </c>
      <c r="F1860" s="2">
        <f t="shared" si="1"/>
        <v>0</v>
      </c>
      <c r="G1860" s="2"/>
      <c r="H1860" s="2"/>
      <c r="I1860" s="2"/>
      <c r="J1860" s="2"/>
      <c r="K1860" s="2"/>
      <c r="L1860" s="2"/>
      <c r="M1860" s="2"/>
      <c r="N1860" s="2"/>
      <c r="O1860" s="2"/>
      <c r="P1860" s="2"/>
      <c r="Q1860" s="2"/>
      <c r="R1860" s="2"/>
      <c r="S1860" s="2"/>
      <c r="T1860" s="2"/>
      <c r="U1860" s="2"/>
      <c r="V1860" s="2"/>
      <c r="W1860" s="2"/>
      <c r="X1860" s="2"/>
      <c r="Y1860" s="2"/>
      <c r="Z1860" s="2"/>
      <c r="AA1860" s="2"/>
    </row>
    <row r="1861">
      <c r="A1861" s="1" t="s">
        <v>4698</v>
      </c>
      <c r="B1861" s="1" t="s">
        <v>4769</v>
      </c>
      <c r="C1861" s="1" t="s">
        <v>4770</v>
      </c>
      <c r="D1861" s="2" t="str">
        <f>IFERROR(__xludf.DUMMYFUNCTION("GOOGLETRANSLATE(B1861, ""en"", ""TL"")"),"Anong mga parusa ang naaangkop para sa pagsali sa mga paglabag sa kapaligiran sa antas ng kalye, tulad ng pagtatapon ng basura?")</f>
        <v>Anong mga parusa ang naaangkop para sa pagsali sa mga paglabag sa kapaligiran sa antas ng kalye, tulad ng pagtatapon ng basura?</v>
      </c>
      <c r="E1861" s="2" t="str">
        <f>IFERROR(__xludf.DUMMYFUNCTION("GOOGLETRANSLATE(C1861, ""en"", ""TL"")"),"Sa Pilipinas, ang pagtatapon ng basura at iba pang mga paglabag sa kapaligiran sa antas ng kalye ay tinutugunan sa pamamagitan ng kumbinasyon ng mga pambansang batas at mga ordinansa ng lokal na pamahalaan (LGU). Narito ang isang breakdown ng mga potensya"&amp;"l na parusa:
**Mga Pambansang Batas:**
* **Republic Act No. 6939 o ang ""Anti-Disorder Conduct Act of 1993"" (RA 6939):** Ipinagbabawal ng batas na ito ang iba't ibang gawaing hindi maayos, kabilang ang pagtatapon ng mga basura sa mga pampublikong lugar ["&amp;"RA 6939, Sec. 1(f)]. Ang parusa sa unang paglabag ay multa na hindi bababa sa P500.00 ngunit hindi hihigit sa P1,000.00, o pagkakulong ng hindi bababa sa limang (5) araw ngunit hindi hihigit sa sampung (10) araw, o pareho sa pagpapasya. ng korte [RA 6939,"&amp;" Sec. 4].
**Mga Ordinansa ng Lokal na Pamahalaan (LGUs):**
* Karamihan sa mga LGU, tulad ng mga lungsod at munisipalidad, ay may sariling mga ordinansa na partikular na nagre-regulate sa pagtatapon ng basura at pagtatapon ng basura. Ang mga ordinansang it"&amp;"o ay kadalasang nagpapataw ng mas mahigpit na parusa kaysa sa mga pambansang batas. Ang mga parusa ay maaaring mag-iba nang malaki depende sa LGU, ngunit maaaring kabilang ang:
* Mga multa mula sa ilang daang piso hanggang ilang libong piso.
* Serbisyo sa"&amp;" komunidad.
* Sapilitan na pagdalo sa mga seminar tungkol sa pangangalaga sa kapaligiran. **Mahahalagang Punto:**
* Ang mga tiyak na parusa para sa pagtatapon ng basura at iba pang mga paglabag sa kapaligiran ay depende sa LGU at sa kalubhaan ng paglabag."&amp;" Halimbawa, ang pagtatapon ng upos ng sigarilyo ay maaaring may mas mababang multa kaysa sa pagtatapon ng maraming basura.
* Ang ilang mga LGU ay maaaring nagtalaga ng ""eco-waste"" o mga programa sa pag-recycle kung saan ang mga residente ay maaaring maa"&amp;"yos na magtapon ng mga partikular na uri ng basura. Ang pagkabigong sumunod sa mga regulasyong ito ay maaari ding magresulta sa mga parusa.
**Ano ang magagawa mo:**
* Ingatan ang iyong mga basura at itapon ito ng maayos sa mga itinalagang basurahan.
* Kun"&amp;"g may nakita kang nagkakalat, maaari mo itong iulat sa mga awtoridad ng barangay o mga lokal na tagapagpatupad. * Maaari ka ring tumulong na itaguyod ang kamalayan sa kapaligiran sa pamamagitan ng paghikayat sa iba na magsanay ng wastong pagtatapon ng bas"&amp;"ura.
Tandaan, ang pagpapanatiling malinis sa ating mga kalye ay isang pananagutan. Sa pamamagitan ng pagsunod sa batas at tamang pagtatapon ng basura, lahat tayo ay makakapag-ambag sa isang mas malusog at mas kaaya-ayang kapaligiran.")</f>
        <v>Sa Pilipinas, ang pagtatapon ng basura at iba pang mga paglabag sa kapaligiran sa antas ng kalye ay tinutugunan sa pamamagitan ng kumbinasyon ng mga pambansang batas at mga ordinansa ng lokal na pamahalaan (LGU). Narito ang isang breakdown ng mga potensyal na parusa:
**Mga Pambansang Batas:**
* **Republic Act No. 6939 o ang "Anti-Disorder Conduct Act of 1993" (RA 6939):** Ipinagbabawal ng batas na ito ang iba't ibang gawaing hindi maayos, kabilang ang pagtatapon ng mga basura sa mga pampublikong lugar [RA 6939, Sec. 1(f)]. Ang parusa sa unang paglabag ay multa na hindi bababa sa P500.00 ngunit hindi hihigit sa P1,000.00, o pagkakulong ng hindi bababa sa limang (5) araw ngunit hindi hihigit sa sampung (10) araw, o pareho sa pagpapasya. ng korte [RA 6939, Sec. 4].
**Mga Ordinansa ng Lokal na Pamahalaan (LGUs):**
* Karamihan sa mga LGU, tulad ng mga lungsod at munisipalidad, ay may sariling mga ordinansa na partikular na nagre-regulate sa pagtatapon ng basura at pagtatapon ng basura. Ang mga ordinansang ito ay kadalasang nagpapataw ng mas mahigpit na parusa kaysa sa mga pambansang batas. Ang mga parusa ay maaaring mag-iba nang malaki depende sa LGU, ngunit maaaring kabilang ang:
* Mga multa mula sa ilang daang piso hanggang ilang libong piso.
* Serbisyo sa komunidad.
* Sapilitan na pagdalo sa mga seminar tungkol sa pangangalaga sa kapaligiran. **Mahahalagang Punto:**
* Ang mga tiyak na parusa para sa pagtatapon ng basura at iba pang mga paglabag sa kapaligiran ay depende sa LGU at sa kalubhaan ng paglabag. Halimbawa, ang pagtatapon ng upos ng sigarilyo ay maaaring may mas mababang multa kaysa sa pagtatapon ng maraming basura.
* Ang ilang mga LGU ay maaaring nagtalaga ng "eco-waste" o mga programa sa pag-recycle kung saan ang mga residente ay maaaring maayos na magtapon ng mga partikular na uri ng basura. Ang pagkabigong sumunod sa mga regulasyong ito ay maaari ding magresulta sa mga parusa.
**Ano ang magagawa mo:**
* Ingatan ang iyong mga basura at itapon ito ng maayos sa mga itinalagang basurahan.
* Kung may nakita kang nagkakalat, maaari mo itong iulat sa mga awtoridad ng barangay o mga lokal na tagapagpatupad. * Maaari ka ring tumulong na itaguyod ang kamalayan sa kapaligiran sa pamamagitan ng paghikayat sa iba na magsanay ng wastong pagtatapon ng basura.
Tandaan, ang pagpapanatiling malinis sa ating mga kalye ay isang pananagutan. Sa pamamagitan ng pagsunod sa batas at tamang pagtatapon ng basura, lahat tayo ay makakapag-ambag sa isang mas malusog at mas kaaya-ayang kapaligiran.</v>
      </c>
      <c r="F1861" s="2">
        <f t="shared" si="1"/>
        <v>0</v>
      </c>
      <c r="G1861" s="2"/>
      <c r="H1861" s="2"/>
      <c r="I1861" s="2"/>
      <c r="J1861" s="2"/>
      <c r="K1861" s="2"/>
      <c r="L1861" s="2"/>
      <c r="M1861" s="2"/>
      <c r="N1861" s="2"/>
      <c r="O1861" s="2"/>
      <c r="P1861" s="2"/>
      <c r="Q1861" s="2"/>
      <c r="R1861" s="2"/>
      <c r="S1861" s="2"/>
      <c r="T1861" s="2"/>
      <c r="U1861" s="2"/>
      <c r="V1861" s="2"/>
      <c r="W1861" s="2"/>
      <c r="X1861" s="2"/>
      <c r="Y1861" s="2"/>
      <c r="Z1861" s="2"/>
      <c r="AA1861" s="2"/>
    </row>
    <row r="1862">
      <c r="A1862" s="1" t="s">
        <v>4698</v>
      </c>
      <c r="B1862" s="1" t="s">
        <v>4771</v>
      </c>
      <c r="C1862" s="1" t="s">
        <v>4772</v>
      </c>
      <c r="D1862" s="2" t="str">
        <f>IFERROR(__xludf.DUMMYFUNCTION("GOOGLETRANSLATE(B1862, ""en"", ""TL"")"),"Paano tinutugunan ng batas ang mga insidente ng mga krimen sa pagkapoot sa antas ng kalye o mga aksyong may diskriminasyon sa mga pampublikong espasyo?")</f>
        <v>Paano tinutugunan ng batas ang mga insidente ng mga krimen sa pagkapoot sa antas ng kalye o mga aksyong may diskriminasyon sa mga pampublikong espasyo?</v>
      </c>
      <c r="E1862" s="2" t="str">
        <f>IFERROR(__xludf.DUMMYFUNCTION("GOOGLETRANSLATE(C1862, ""en"", ""TL"")"),"Ang Pilipinas ay walang partikular na batas na tumutugon lamang sa mga krimen sa antas ng kalye sa poot. Gayunpaman, maraming umiiral na batas ang maaaring gamitin upang tugunan ang mga pagkilos na may diskriminasyon at karahasan na udyok ng poot:
1. **An"&amp;"g Konstitusyon ng Pilipinas (Artikulo III, Seksyon 1):** Ginagarantiyahan nito ang pantay na proteksyon para sa lahat ng Pilipino. Nangangahulugan ito na ang lahat ay dapat tratuhin nang pantay-pantay anuman ang lahi, kasarian, paniniwala sa relihiyon, at"&amp;" iba pang mga kadahilanan.
2. **Republic Act No. 9727 o ang Anti-Trafficking in Persons Act of 2003 (ATIP):** Bagama't ang pangunahing pokus nito ay human trafficking, isinasaalang-alang ng Seksyon 4(i) ang trafficking sa mga taong udyok ng diskriminasyon"&amp;" batay sa lahi, etnisidad , relihiyon, atbp. isang krimen.
3. **Republic Act No. 8353 o ang Anti-Rape Law of 1997:** Ang panggagahasa na udyok ng poot o pagkiling sa pagkakakilanlan ng biktima ay maaaring kasuhan sa ilalim ng batas na ito na may mas mabig"&amp;"at na parusa.
4. **Republic Act No. 11353 o ang Safe Spaces Act:** Ipinagbabawal ng batas na ito ang lahat ng uri ng sekswal na panliligalig sa mga pampublikong lugar, lugar ng trabaho, at mga institusyong pang-edukasyon. Bagama't hindi direktang tinutugu"&amp;"nan ang mga krimen ng pagkapoot, maaari itong gamitin sa mga sitwasyon kung saan ang panliligalig ay nagmumula sa pagtatangi.
5. **Revised Penal Code (RPC):** Maraming probisyon ng RPC ang maaaring magamit depende sa uri ng insidente. Kabilang dito ang:
*"&amp;" Pisikal na Pag-atake (RPC Articles 262-265)
* Pagpatay (RPC Article 248)
* Mga Banta at Pagpipilit (RPC Articles 148-153)
**Mga Hamon:**
* **Layunin:** Maaaring mahirap patunayan ang motibo ng nagkasala bilang batay sa poot. * **Kakulangan ng Partikular "&amp;"na Batas:** Ang kawalan ng isang nakatuong batas sa krimen sa pagkapoot ay ginagawang mas mahirap ang pagkolekta ng data at pag-uusig sa mga naturang insidente.
**Mga Rekomendasyon:**
* Nakabinbin sa Kongreso ang ilang panukalang pambatas para sa Anti-Hat"&amp;"e Crime Law. * Ang pag-uulat ng mga naturang insidente sa mga awtoridad ay napakahalaga para sa pagbuo ng isang mas malakas na kaso laban sa mga krimen ng pagkapoot.
Tandaan, ito ay isang pinasimpleng paliwanag. Kung nakakaranas ka o nakasaksi ng isang kr"&amp;"imen sa pagkapoot, mahalagang humingi ng legal na payo o iulat ang insidente sa mga awtoridad.")</f>
        <v>Ang Pilipinas ay walang partikular na batas na tumutugon lamang sa mga krimen sa antas ng kalye sa poot. Gayunpaman, maraming umiiral na batas ang maaaring gamitin upang tugunan ang mga pagkilos na may diskriminasyon at karahasan na udyok ng poot:
1. **Ang Konstitusyon ng Pilipinas (Artikulo III, Seksyon 1):** Ginagarantiyahan nito ang pantay na proteksyon para sa lahat ng Pilipino. Nangangahulugan ito na ang lahat ay dapat tratuhin nang pantay-pantay anuman ang lahi, kasarian, paniniwala sa relihiyon, at iba pang mga kadahilanan.
2. **Republic Act No. 9727 o ang Anti-Trafficking in Persons Act of 2003 (ATIP):** Bagama't ang pangunahing pokus nito ay human trafficking, isinasaalang-alang ng Seksyon 4(i) ang trafficking sa mga taong udyok ng diskriminasyon batay sa lahi, etnisidad , relihiyon, atbp. isang krimen.
3. **Republic Act No. 8353 o ang Anti-Rape Law of 1997:** Ang panggagahasa na udyok ng poot o pagkiling sa pagkakakilanlan ng biktima ay maaaring kasuhan sa ilalim ng batas na ito na may mas mabigat na parusa.
4. **Republic Act No. 11353 o ang Safe Spaces Act:** Ipinagbabawal ng batas na ito ang lahat ng uri ng sekswal na panliligalig sa mga pampublikong lugar, lugar ng trabaho, at mga institusyong pang-edukasyon. Bagama't hindi direktang tinutugunan ang mga krimen ng pagkapoot, maaari itong gamitin sa mga sitwasyon kung saan ang panliligalig ay nagmumula sa pagtatangi.
5. **Revised Penal Code (RPC):** Maraming probisyon ng RPC ang maaaring magamit depende sa uri ng insidente. Kabilang dito ang:
* Pisikal na Pag-atake (RPC Articles 262-265)
* Pagpatay (RPC Article 248)
* Mga Banta at Pagpipilit (RPC Articles 148-153)
**Mga Hamon:**
* **Layunin:** Maaaring mahirap patunayan ang motibo ng nagkasala bilang batay sa poot. * **Kakulangan ng Partikular na Batas:** Ang kawalan ng isang nakatuong batas sa krimen sa pagkapoot ay ginagawang mas mahirap ang pagkolekta ng data at pag-uusig sa mga naturang insidente.
**Mga Rekomendasyon:**
* Nakabinbin sa Kongreso ang ilang panukalang pambatas para sa Anti-Hate Crime Law. * Ang pag-uulat ng mga naturang insidente sa mga awtoridad ay napakahalaga para sa pagbuo ng isang mas malakas na kaso laban sa mga krimen ng pagkapoot.
Tandaan, ito ay isang pinasimpleng paliwanag. Kung nakakaranas ka o nakasaksi ng isang krimen sa pagkapoot, mahalagang humingi ng legal na payo o iulat ang insidente sa mga awtoridad.</v>
      </c>
      <c r="F1862" s="2">
        <f t="shared" si="1"/>
        <v>0</v>
      </c>
      <c r="G1862" s="2"/>
      <c r="H1862" s="2"/>
      <c r="I1862" s="2"/>
      <c r="J1862" s="2"/>
      <c r="K1862" s="2"/>
      <c r="L1862" s="2"/>
      <c r="M1862" s="2"/>
      <c r="N1862" s="2"/>
      <c r="O1862" s="2"/>
      <c r="P1862" s="2"/>
      <c r="Q1862" s="2"/>
      <c r="R1862" s="2"/>
      <c r="S1862" s="2"/>
      <c r="T1862" s="2"/>
      <c r="U1862" s="2"/>
      <c r="V1862" s="2"/>
      <c r="W1862" s="2"/>
      <c r="X1862" s="2"/>
      <c r="Y1862" s="2"/>
      <c r="Z1862" s="2"/>
      <c r="AA1862" s="2"/>
    </row>
    <row r="1863">
      <c r="A1863" s="1" t="s">
        <v>4698</v>
      </c>
      <c r="B1863" s="1" t="s">
        <v>4773</v>
      </c>
      <c r="C1863" s="1" t="s">
        <v>4774</v>
      </c>
      <c r="D1863" s="2" t="str">
        <f>IFERROR(__xludf.DUMMYFUNCTION("GOOGLETRANSLATE(B1863, ""en"", ""TL"")"),"Anong mga legal na probisyon ang kumokontrol sa hindi awtorisadong pagbebenta o pamamahagi ng mga kalakal sa mga lansangan?")</f>
        <v>Anong mga legal na probisyon ang kumokontrol sa hindi awtorisadong pagbebenta o pamamahagi ng mga kalakal sa mga lansangan?</v>
      </c>
      <c r="E1863" s="2" t="str">
        <f>IFERROR(__xludf.DUMMYFUNCTION("GOOGLETRANSLATE(C1863, ""en"", ""TL"")"),"Ang ilang mga batas at regulasyon ng Pilipinas ay tumutugon sa hindi awtorisadong pagbebenta o pamamahagi ng mga kalakal sa mga lansangan:
**1. Local Government Code (RA No. 7160):**
* **Seksyon 17: Mga Kapangyarihan, Tungkulin, at Tungkulin ng mga LGU:**"&amp;" Nagbibigay ng awtoridad sa mga local government units (LGUs) na i-regulate ang pagsasagawa ng negosyo at magpataw ng makatwirang bayad para sa pribilehiyong magnegosyo sa loob ng kanilang nasasakupan. Kabilang dito ang pag-regulate ng mga street vendor s"&amp;"a pamamagitan ng mga ordinansa.
**2. Batas Pambansa Blg. 881 o Ang Price Tag Law:**
* **Seksyon 1:** Nangangailangan sa lahat ng nagbebenta na ipakita ang tag ng presyo ng kanilang mga produkto. Nalalapat ito sa parehong awtorisado at hindi awtorisadong m"&amp;"ga vendor.
**3. Mga Batas sa Fair Trade:**
* **Republic Act No. 8423 o The Intellectual Property Code of the Philippines:** Pinoprotektahan ang mga karapatan sa intelektwal na ari-arian tulad ng mga trademark at copyright. Ang pagbebenta ng mga pekeng pro"&amp;"dukto ay isang paglabag sa batas na ito.
* **Republic Act No. 7394 o The Consumer Act of the Philippines:** Pinoprotektahan ang mga consumer mula sa hindi patas na mga gawi sa kalakalan tulad ng mapanlinlang na impormasyon at mapanlinlang na pagpepresyo. "&amp;"**4. Mga Tukoy na Ordenansa:**
* Maraming mga lungsod at munisipalidad ang may sariling mga ordinansa na kumokontrol sa mga nagtitinda sa kalye. Maaaring tukuyin ng mga ordinansang ito ang mga itinalagang lugar ng pagbebenta, mga paghihigpit sa produkto, "&amp;"at mga kinakailangan sa permit. **Pagpapatupad:**
* Ang pagpapatupad ng mga batas at regulasyong ito ay karaniwang nauukol sa mga local government units (LGUs) sa pamamagitan ng kanilang mga ahensyang nagpapatupad ng batas. Maaaring kabilang sa mga parusa"&amp;" para sa mga paglabag ang mga multa, pagkumpiska ng mga kalakal, at maging ang pag-aresto. **Mahalagang Paalala:**
* Maaaring may pagkakaiba sa pagitan ng ""hindi awtorisado"" at kulang lang ng permit. Ang ilang mga lugar ay nagpapahintulot sa street vend"&amp;"ing na may wastong permit. Mahalagang suriin ang mga partikular na lokal na ordinansa upang matukoy ang eksaktong mga regulasyon sa iyong lugar.")</f>
        <v>Ang ilang mga batas at regulasyon ng Pilipinas ay tumutugon sa hindi awtorisadong pagbebenta o pamamahagi ng mga kalakal sa mga lansangan:
**1. Local Government Code (RA No. 7160):**
* **Seksyon 17: Mga Kapangyarihan, Tungkulin, at Tungkulin ng mga LGU:** Nagbibigay ng awtoridad sa mga local government units (LGUs) na i-regulate ang pagsasagawa ng negosyo at magpataw ng makatwirang bayad para sa pribilehiyong magnegosyo sa loob ng kanilang nasasakupan. Kabilang dito ang pag-regulate ng mga street vendor sa pamamagitan ng mga ordinansa.
**2. Batas Pambansa Blg. 881 o Ang Price Tag Law:**
* **Seksyon 1:** Nangangailangan sa lahat ng nagbebenta na ipakita ang tag ng presyo ng kanilang mga produkto. Nalalapat ito sa parehong awtorisado at hindi awtorisadong mga vendor.
**3. Mga Batas sa Fair Trade:**
* **Republic Act No. 8423 o The Intellectual Property Code of the Philippines:** Pinoprotektahan ang mga karapatan sa intelektwal na ari-arian tulad ng mga trademark at copyright. Ang pagbebenta ng mga pekeng produkto ay isang paglabag sa batas na ito.
* **Republic Act No. 7394 o The Consumer Act of the Philippines:** Pinoprotektahan ang mga consumer mula sa hindi patas na mga gawi sa kalakalan tulad ng mapanlinlang na impormasyon at mapanlinlang na pagpepresyo. **4. Mga Tukoy na Ordenansa:**
* Maraming mga lungsod at munisipalidad ang may sariling mga ordinansa na kumokontrol sa mga nagtitinda sa kalye. Maaaring tukuyin ng mga ordinansang ito ang mga itinalagang lugar ng pagbebenta, mga paghihigpit sa produkto, at mga kinakailangan sa permit. **Pagpapatupad:**
* Ang pagpapatupad ng mga batas at regulasyong ito ay karaniwang nauukol sa mga local government units (LGUs) sa pamamagitan ng kanilang mga ahensyang nagpapatupad ng batas. Maaaring kabilang sa mga parusa para sa mga paglabag ang mga multa, pagkumpiska ng mga kalakal, at maging ang pag-aresto. **Mahalagang Paalala:**
* Maaaring may pagkakaiba sa pagitan ng "hindi awtorisado" at kulang lang ng permit. Ang ilang mga lugar ay nagpapahintulot sa street vending na may wastong permit. Mahalagang suriin ang mga partikular na lokal na ordinansa upang matukoy ang eksaktong mga regulasyon sa iyong lugar.</v>
      </c>
      <c r="F1863" s="2">
        <f t="shared" si="1"/>
        <v>0</v>
      </c>
      <c r="G1863" s="2"/>
      <c r="H1863" s="2"/>
      <c r="I1863" s="2"/>
      <c r="J1863" s="2"/>
      <c r="K1863" s="2"/>
      <c r="L1863" s="2"/>
      <c r="M1863" s="2"/>
      <c r="N1863" s="2"/>
      <c r="O1863" s="2"/>
      <c r="P1863" s="2"/>
      <c r="Q1863" s="2"/>
      <c r="R1863" s="2"/>
      <c r="S1863" s="2"/>
      <c r="T1863" s="2"/>
      <c r="U1863" s="2"/>
      <c r="V1863" s="2"/>
      <c r="W1863" s="2"/>
      <c r="X1863" s="2"/>
      <c r="Y1863" s="2"/>
      <c r="Z1863" s="2"/>
      <c r="AA1863" s="2"/>
    </row>
    <row r="1864">
      <c r="A1864" s="1" t="s">
        <v>4698</v>
      </c>
      <c r="B1864" s="1" t="s">
        <v>4775</v>
      </c>
      <c r="C1864" s="1" t="s">
        <v>4776</v>
      </c>
      <c r="D1864" s="2" t="str">
        <f>IFERROR(__xludf.DUMMYFUNCTION("GOOGLETRANSLATE(B1864, ""en"", ""TL"")"),"Paano tinutugunan ang krimen ng pampublikong paglalasing o pag-abuso sa droga sa ilalim ng batas ng Pilipinas?")</f>
        <v>Paano tinutugunan ang krimen ng pampublikong paglalasing o pag-abuso sa droga sa ilalim ng batas ng Pilipinas?</v>
      </c>
      <c r="E1864" s="2" t="str">
        <f>IFERROR(__xludf.DUMMYFUNCTION("GOOGLETRANSLATE(C1864, ""en"", ""TL"")"),"Walang isang batas sa Pilipinas na partikular na tumutugon sa pampublikong paglalasing o pag-abuso sa droga. Gayunpaman, ang kumbinasyon ng mga pambansang batas at lokal na ordinansa ay tumatalakay sa mga isyung ito:
**Mga Pambansang Batas:**
* **Revised "&amp;"Penal Code (RPC):** Maaaring ilapat ang ilang partikular na probisyon ng RPC depende sa sitwasyon na nagmumula sa pampublikong paglalasing o pag-abuso sa droga:
* **Public Scandal (RPC Article 339):** Nalalapat ito kung ang pagkalasing ng isang tao ay nag"&amp;"dudulot ng kaguluhan o alarma sa publiko. * **Disobedience to a Person in Authority (RPC Article 151):** Nalalapat ito kung ang isang taong nasa ilalim ng impluwensya ay hindi sumunod sa mga utos ng batas mula sa isang pulis.
* **Republic Act No. 10586 o "&amp;"ang Anti-Drunk and Drugged Driving Act of 2013:** Nakatuon ang batas na ito sa pagmamaneho sa ilalim ng impluwensya ngunit maaaring may kaugnayan kung ang isang tao ay natagpuang lasing sa isang pampublikong lugar at nagnanais na magmaneho.
**Mga Lokal na"&amp;" Ordenansa:**
* Maraming mga lungsod at munisipalidad ang may sariling mga ordinansa na partikular na tumutugon sa pampublikong paglalasing o pagkalasing. Maaaring tukuyin ng mga ordinansang ito ang ipinagbabawal na pag-uugali (tulad ng hindi maayos na pa"&amp;"g-uugali), magtalaga ng mga lugar na walang alkohol, at magpataw ng mga parusa tulad ng mga multa o serbisyo sa komunidad.
**Tumuon sa Rehabilitasyon:**
* Bagama't may mga parusa para sa hindi maayos na pag-uugali o pagkalasing sa publiko, mayroong lumala"&amp;"king diin sa rehabilitasyon para sa pag-abuso sa sangkap. * Republic Act No. 9165 o ang Comprehensive Dangerous Drugs Act of 2002:** Ang batas na ito ay nag-uutos ng balanse sa pagitan ng mga hakbang sa pagpaparusa at rehabilitative para sa mga pagkakasal"&amp;"a sa droga.
**Mahalagang Tandaan:**
* Ang tiyak na tugon sa pampublikong paglalasing o pag-abuso sa droga ay depende sa kalubhaan ng sitwasyon at anumang lokal na ordinansang ipinatupad. * Kung ikaw o isang taong kilala mo ay nahihirapan sa pag-abuso sa d"&amp;"roga, may mga mapagkukunang magagamit para sa tulong. Nag-aalok ang Philippine Dangerous Drugs Agency (PDEA) ng mga programa sa paggamot at rehabilitasyon [https://ddb.gov.ph/](https://ddb.gov.ph/).")</f>
        <v>Walang isang batas sa Pilipinas na partikular na tumutugon sa pampublikong paglalasing o pag-abuso sa droga. Gayunpaman, ang kumbinasyon ng mga pambansang batas at lokal na ordinansa ay tumatalakay sa mga isyung ito:
**Mga Pambansang Batas:**
* **Revised Penal Code (RPC):** Maaaring ilapat ang ilang partikular na probisyon ng RPC depende sa sitwasyon na nagmumula sa pampublikong paglalasing o pag-abuso sa droga:
* **Public Scandal (RPC Article 339):** Nalalapat ito kung ang pagkalasing ng isang tao ay nagdudulot ng kaguluhan o alarma sa publiko. * **Disobedience to a Person in Authority (RPC Article 151):** Nalalapat ito kung ang isang taong nasa ilalim ng impluwensya ay hindi sumunod sa mga utos ng batas mula sa isang pulis.
* **Republic Act No. 10586 o ang Anti-Drunk and Drugged Driving Act of 2013:** Nakatuon ang batas na ito sa pagmamaneho sa ilalim ng impluwensya ngunit maaaring may kaugnayan kung ang isang tao ay natagpuang lasing sa isang pampublikong lugar at nagnanais na magmaneho.
**Mga Lokal na Ordenansa:**
* Maraming mga lungsod at munisipalidad ang may sariling mga ordinansa na partikular na tumutugon sa pampublikong paglalasing o pagkalasing. Maaaring tukuyin ng mga ordinansang ito ang ipinagbabawal na pag-uugali (tulad ng hindi maayos na pag-uugali), magtalaga ng mga lugar na walang alkohol, at magpataw ng mga parusa tulad ng mga multa o serbisyo sa komunidad.
**Tumuon sa Rehabilitasyon:**
* Bagama't may mga parusa para sa hindi maayos na pag-uugali o pagkalasing sa publiko, mayroong lumalaking diin sa rehabilitasyon para sa pag-abuso sa sangkap. * Republic Act No. 9165 o ang Comprehensive Dangerous Drugs Act of 2002:** Ang batas na ito ay nag-uutos ng balanse sa pagitan ng mga hakbang sa pagpaparusa at rehabilitative para sa mga pagkakasala sa droga.
**Mahalagang Tandaan:**
* Ang tiyak na tugon sa pampublikong paglalasing o pag-abuso sa droga ay depende sa kalubhaan ng sitwasyon at anumang lokal na ordinansang ipinatupad. * Kung ikaw o isang taong kilala mo ay nahihirapan sa pag-abuso sa droga, may mga mapagkukunang magagamit para sa tulong. Nag-aalok ang Philippine Dangerous Drugs Agency (PDEA) ng mga programa sa paggamot at rehabilitasyon [https://ddb.gov.ph/](https://ddb.gov.ph/).</v>
      </c>
      <c r="F1864" s="2">
        <f t="shared" si="1"/>
        <v>0</v>
      </c>
      <c r="G1864" s="2"/>
      <c r="H1864" s="2"/>
      <c r="I1864" s="2"/>
      <c r="J1864" s="2"/>
      <c r="K1864" s="2"/>
      <c r="L1864" s="2"/>
      <c r="M1864" s="2"/>
      <c r="N1864" s="2"/>
      <c r="O1864" s="2"/>
      <c r="P1864" s="2"/>
      <c r="Q1864" s="2"/>
      <c r="R1864" s="2"/>
      <c r="S1864" s="2"/>
      <c r="T1864" s="2"/>
      <c r="U1864" s="2"/>
      <c r="V1864" s="2"/>
      <c r="W1864" s="2"/>
      <c r="X1864" s="2"/>
      <c r="Y1864" s="2"/>
      <c r="Z1864" s="2"/>
      <c r="AA1864" s="2"/>
    </row>
    <row r="1865">
      <c r="A1865" s="1" t="s">
        <v>4698</v>
      </c>
      <c r="B1865" s="1" t="s">
        <v>4777</v>
      </c>
      <c r="C1865" s="1" t="s">
        <v>4778</v>
      </c>
      <c r="D1865" s="2" t="str">
        <f>IFERROR(__xludf.DUMMYFUNCTION("GOOGLETRANSLATE(B1865, ""en"", ""TL"")"),"Anong mga parusa ang ipinapataw para sa pagsasagawa ng pamemeke sa antas ng kalye o pandaraya sa dokumento sa mga pampublikong lugar?")</f>
        <v>Anong mga parusa ang ipinapataw para sa pagsasagawa ng pamemeke sa antas ng kalye o pandaraya sa dokumento sa mga pampublikong lugar?</v>
      </c>
      <c r="E1865" s="2" t="str">
        <f>IFERROR(__xludf.DUMMYFUNCTION("GOOGLETRANSLATE(C1865, ""en"", ""TL"")"),"Ang pamemeke at pandaraya sa dokumento sa Pilipinas ay mga seryosong pagkakasala na pinarusahan sa ilalim ng Revised Penal Code (RPC). Narito kung paano tinutugunan ng batas ang mga naturang gawain, lalo na ang mga ginawa sa mga pampublikong lugar:
**Mga "&amp;"Kaugnay na Probisyon ng RPC:**
* **Artikulo 168 (Pamemeke ng isang Pribadong Indibidwal):** Nalalapat ito kung ang isang tao ay nagmemeke ng isang pribadong dokumento (hal., mga kontrata, mga tseke, mga sertipiko) upang magdulot ng pagkiling sa iba. * **A"&amp;"rtikulo 169 (Pamemeke ng isang Pampublikong Opisyal o Empleyado):** Sinasaklaw ang palsipikasyon ng mga pampublikong dokumento (hal., mga lisensya ng gobyerno, mga sertipiko ng kapanganakan) ng isang taong may pampublikong awtoridad. * **Artikulo 170 (Pam"&amp;"emeke at Pamemeke ng mga Pampublikong Dokumento o Opisyal na Seal):** Pinarurusahan ang paglikha, pagmamay-ari, o paggamit ng mga pekeng dokumento o selyo ng pamahalaan.
**Mga Parusa:**
Ang parusa ay mag-iiba depende sa uri ng dokumentong napeke at sa lay"&amp;"unin ng nagkasala. Sa pangkalahatan, ang mga ito ay mula sa:
* **Prision Mayor (6 na taon at 1 araw hanggang 8 taong pagkakakulong)**
* **Reclusion Temporal (3 taon at 1 araw hanggang 6 na taong pagkakakulong)**
**Nagpapalubha ng mga Kalagayan (Mataas na "&amp;"Parusa):**
* Kung ang palsipikasyon ay ginawa sa isang pampublikong lugar, maaari itong ituring na isang nagpapalubha na pangyayari, na posibleng magresulta sa isang mas malupit na parusa.
**Kahulugan ng Pampublikong Lugar:**
Ang jurisprudence ng Pilipina"&amp;"s ay hindi tiyak na tinukoy ang ""pampublikong lugar"" sa konteksto ng pamemeke. Gayunpaman, karaniwang itinuturing ng mga korte ang mga lugar na bukas sa publiko bilang mga pampublikong lugar. Maaaring kabilang dito ang mga kalye, parke, palengke, at iba"&amp;" pang pampublikong lugar.
**Kahalagahan ng Pag-uulat:**
Kung makatagpo ka ng isang tao na gumagawa ng pamemeke o pandaraya sa dokumento sa publiko, iulat ito kaagad sa mga awtoridad. Makakatulong ito na maiwasan ang potensyal na pinsala sa iba at matiyak "&amp;"ang tamang pag-uusig.
**Dagdag pa:**
* Maaaring may mga partikular na batas depende sa uri ng dokumentong napeke (hal., mga pasaporte, mga tseke). * Ang pamemeke ng mga dokumento para sa mapanlinlang na layunin ay maaari ding humantong sa mga karagdagang "&amp;"singil depende sa nilalayong krimen (hal., estafa).
**Tandaan:**
Ito ay isang pinasimpleng paliwanag. Para sa partikular na legal na payo, kumunsulta sa isang kwalipikadong abogado.")</f>
        <v>Ang pamemeke at pandaraya sa dokumento sa Pilipinas ay mga seryosong pagkakasala na pinarusahan sa ilalim ng Revised Penal Code (RPC). Narito kung paano tinutugunan ng batas ang mga naturang gawain, lalo na ang mga ginawa sa mga pampublikong lugar:
**Mga Kaugnay na Probisyon ng RPC:**
* **Artikulo 168 (Pamemeke ng isang Pribadong Indibidwal):** Nalalapat ito kung ang isang tao ay nagmemeke ng isang pribadong dokumento (hal., mga kontrata, mga tseke, mga sertipiko) upang magdulot ng pagkiling sa iba. * **Artikulo 169 (Pamemeke ng isang Pampublikong Opisyal o Empleyado):** Sinasaklaw ang palsipikasyon ng mga pampublikong dokumento (hal., mga lisensya ng gobyerno, mga sertipiko ng kapanganakan) ng isang taong may pampublikong awtoridad. * **Artikulo 170 (Pamemeke at Pamemeke ng mga Pampublikong Dokumento o Opisyal na Seal):** Pinarurusahan ang paglikha, pagmamay-ari, o paggamit ng mga pekeng dokumento o selyo ng pamahalaan.
**Mga Parusa:**
Ang parusa ay mag-iiba depende sa uri ng dokumentong napeke at sa layunin ng nagkasala. Sa pangkalahatan, ang mga ito ay mula sa:
* **Prision Mayor (6 na taon at 1 araw hanggang 8 taong pagkakakulong)**
* **Reclusion Temporal (3 taon at 1 araw hanggang 6 na taong pagkakakulong)**
**Nagpapalubha ng mga Kalagayan (Mataas na Parusa):**
* Kung ang palsipikasyon ay ginawa sa isang pampublikong lugar, maaari itong ituring na isang nagpapalubha na pangyayari, na posibleng magresulta sa isang mas malupit na parusa.
**Kahulugan ng Pampublikong Lugar:**
Ang jurisprudence ng Pilipinas ay hindi tiyak na tinukoy ang "pampublikong lugar" sa konteksto ng pamemeke. Gayunpaman, karaniwang itinuturing ng mga korte ang mga lugar na bukas sa publiko bilang mga pampublikong lugar. Maaaring kabilang dito ang mga kalye, parke, palengke, at iba pang pampublikong lugar.
**Kahalagahan ng Pag-uulat:**
Kung makatagpo ka ng isang tao na gumagawa ng pamemeke o pandaraya sa dokumento sa publiko, iulat ito kaagad sa mga awtoridad. Makakatulong ito na maiwasan ang potensyal na pinsala sa iba at matiyak ang tamang pag-uusig.
**Dagdag pa:**
* Maaaring may mga partikular na batas depende sa uri ng dokumentong napeke (hal., mga pasaporte, mga tseke). * Ang pamemeke ng mga dokumento para sa mapanlinlang na layunin ay maaari ding humantong sa mga karagdagang singil depende sa nilalayong krimen (hal., estafa).
**Tandaan:**
Ito ay isang pinasimpleng paliwanag. Para sa partikular na legal na payo, kumunsulta sa isang kwalipikadong abogado.</v>
      </c>
      <c r="F1865" s="2">
        <f t="shared" si="1"/>
        <v>0</v>
      </c>
      <c r="G1865" s="2"/>
      <c r="H1865" s="2"/>
      <c r="I1865" s="2"/>
      <c r="J1865" s="2"/>
      <c r="K1865" s="2"/>
      <c r="L1865" s="2"/>
      <c r="M1865" s="2"/>
      <c r="N1865" s="2"/>
      <c r="O1865" s="2"/>
      <c r="P1865" s="2"/>
      <c r="Q1865" s="2"/>
      <c r="R1865" s="2"/>
      <c r="S1865" s="2"/>
      <c r="T1865" s="2"/>
      <c r="U1865" s="2"/>
      <c r="V1865" s="2"/>
      <c r="W1865" s="2"/>
      <c r="X1865" s="2"/>
      <c r="Y1865" s="2"/>
      <c r="Z1865" s="2"/>
      <c r="AA1865" s="2"/>
    </row>
    <row r="1866">
      <c r="A1866" s="1" t="s">
        <v>4698</v>
      </c>
      <c r="B1866" s="1" t="s">
        <v>4779</v>
      </c>
      <c r="C1866" s="1" t="s">
        <v>4780</v>
      </c>
      <c r="D1866" s="2" t="str">
        <f>IFERROR(__xludf.DUMMYFUNCTION("GOOGLETRANSLATE(B1866, ""en"", ""TL"")"),"Sa ilalim ng anong mga pangyayari ang isang tao ay maaaring makasuhan ng public endangerment o walang ingat na pag-uugali?")</f>
        <v>Sa ilalim ng anong mga pangyayari ang isang tao ay maaaring makasuhan ng public endangerment o walang ingat na pag-uugali?</v>
      </c>
      <c r="E1866" s="2" t="str">
        <f>IFERROR(__xludf.DUMMYFUNCTION("GOOGLETRANSLATE(C1866, ""en"", ""TL"")"),"Ang batas ng Pilipinas ay walang iisang, partikular na code para sa ""pampublikong panganib"" o ""walang ingat na pag-uugali."" Gayunpaman, maraming umiiral na batas ang tumutugon sa mga aksyon na naglalagay sa publiko sa panganib. Narito ang isang breakd"&amp;"own:
**Mga Kaugnay na Batas:**
* **Revised Penal Code (RPC):** Maaaring ilapat ang ilang probisyon depende sa partikular na akto:
* **Reckless Imprudence (RPC Article 365):** Nalalapat ito sa sinumang tao na, dahil sa kawalan ng foresight o pag-iingat, ay"&amp;" gumawa ng kilos na nagreresulta sa pinsala o pinsala. (hal., pag-iwang bukas ng manhole)
* **Mga Alarm at Iskandalo (RPC Articles 150-153):** Sinasaklaw nito ang mga kilos na nagdudulot ng alarma o iskandalo sa publiko. (hal., paglalagay ng mga paputok s"&amp;"a mataong lugar)
* **Iba Pang Partikular na Mga Pagkakasala:** Depende sa sitwasyon, maaaring naaangkop ang ibang mga probisyon ng RPC tulad ng arson (RPC Article 318) o nagdudulot ng pinsala sa ari-arian (RPC Article 355).
* **Mga Espesyal na Batas:** * "&amp;"**Republic Act No. 6539 o ang Anti-Bullying Act of 2013:** Nakatuon ito sa pambu-bully sa loob ng mga institusyong pang-edukasyon ngunit maaaring may kaugnayan kung ang pag-uugali ng pananakot ay dumaloy sa mga pampublikong lugar at mapanganib ang iba .
*"&amp;" **Republic Act No. 9516 o ang Sin Tax Law:** Kinokontrol nito ang pagbebenta at paggamit ng mga sigarilyo at inuming may alkohol. Ang mga paglabag tulad ng pagbebenta sa mga menor de edad o pagkalasing sa publiko ay maaaring ituring na walang ingat na pa"&amp;"g-uugali.
**Pagtukoy sa Public Endangerment/Reckless Gawi:**
* Ang pangunahing salik ay kung ang kilos ay lumilikha ng isang malinaw at kasalukuyang panganib sa kaligtasan o kapakanan ng publiko. * Ang posibilidad ng pinsala at ang kalubhaan ng mga potens"&amp;"yal na kahihinatnan ay isinasaalang-alang.
**Mga Halimbawa:**
* Paghahagis ng mga bato sa mga dumadaang sasakyan sa isang highway.
* Pag-iiwan ng mga mapanganib na materyales na hindi secure sa isang pampublikong espasyo.
* Lumilikha ng kaguluhan na may m"&amp;"alalakas na ingay o nagbabantang pag-uugali sa isang mataong lugar.
* Pagmamaneho sa ilalim ng impluwensya ng alkohol o droga.
**Mahalagang Tandaan:**
Ang partikular na batas na inilapat at ang magreresultang parusa ay magdedepende sa eksaktong katangian "&amp;"ng kilos at pinsalang dulot. Kung nakakita ka ng isang tao na naglalagay sa panganib sa publiko, iulat ito kaagad sa mga awtoridad.
**Dagdag pa:**
* Ang mga local government units (LGUs) ay maaaring magkaroon ng mga ordinansa na tumutugon sa mga partikula"&amp;"r na uri ng walang ingat na pag-uugali sa loob ng kanilang nasasakupan.
* Para sa legal na payo sa isang partikular na sitwasyon, kumunsulta sa isang kwalipikadong abogado.")</f>
        <v>Ang batas ng Pilipinas ay walang iisang, partikular na code para sa "pampublikong panganib" o "walang ingat na pag-uugali." Gayunpaman, maraming umiiral na batas ang tumutugon sa mga aksyon na naglalagay sa publiko sa panganib. Narito ang isang breakdown:
**Mga Kaugnay na Batas:**
* **Revised Penal Code (RPC):** Maaaring ilapat ang ilang probisyon depende sa partikular na akto:
* **Reckless Imprudence (RPC Article 365):** Nalalapat ito sa sinumang tao na, dahil sa kawalan ng foresight o pag-iingat, ay gumawa ng kilos na nagreresulta sa pinsala o pinsala. (hal., pag-iwang bukas ng manhole)
* **Mga Alarm at Iskandalo (RPC Articles 150-153):** Sinasaklaw nito ang mga kilos na nagdudulot ng alarma o iskandalo sa publiko. (hal., paglalagay ng mga paputok sa mataong lugar)
* **Iba Pang Partikular na Mga Pagkakasala:** Depende sa sitwasyon, maaaring naaangkop ang ibang mga probisyon ng RPC tulad ng arson (RPC Article 318) o nagdudulot ng pinsala sa ari-arian (RPC Article 355).
* **Mga Espesyal na Batas:** * **Republic Act No. 6539 o ang Anti-Bullying Act of 2013:** Nakatuon ito sa pambu-bully sa loob ng mga institusyong pang-edukasyon ngunit maaaring may kaugnayan kung ang pag-uugali ng pananakot ay dumaloy sa mga pampublikong lugar at mapanganib ang iba .
* **Republic Act No. 9516 o ang Sin Tax Law:** Kinokontrol nito ang pagbebenta at paggamit ng mga sigarilyo at inuming may alkohol. Ang mga paglabag tulad ng pagbebenta sa mga menor de edad o pagkalasing sa publiko ay maaaring ituring na walang ingat na pag-uugali.
**Pagtukoy sa Public Endangerment/Reckless Gawi:**
* Ang pangunahing salik ay kung ang kilos ay lumilikha ng isang malinaw at kasalukuyang panganib sa kaligtasan o kapakanan ng publiko. * Ang posibilidad ng pinsala at ang kalubhaan ng mga potensyal na kahihinatnan ay isinasaalang-alang.
**Mga Halimbawa:**
* Paghahagis ng mga bato sa mga dumadaang sasakyan sa isang highway.
* Pag-iiwan ng mga mapanganib na materyales na hindi secure sa isang pampublikong espasyo.
* Lumilikha ng kaguluhan na may malalakas na ingay o nagbabantang pag-uugali sa isang mataong lugar.
* Pagmamaneho sa ilalim ng impluwensya ng alkohol o droga.
**Mahalagang Tandaan:**
Ang partikular na batas na inilapat at ang magreresultang parusa ay magdedepende sa eksaktong katangian ng kilos at pinsalang dulot. Kung nakakita ka ng isang tao na naglalagay sa panganib sa publiko, iulat ito kaagad sa mga awtoridad.
**Dagdag pa:**
* Ang mga local government units (LGUs) ay maaaring magkaroon ng mga ordinansa na tumutugon sa mga partikular na uri ng walang ingat na pag-uugali sa loob ng kanilang nasasakupan.
* Para sa legal na payo sa isang partikular na sitwasyon, kumunsulta sa isang kwalipikadong abogado.</v>
      </c>
      <c r="F1866" s="2">
        <f t="shared" si="1"/>
        <v>0</v>
      </c>
      <c r="G1866" s="2"/>
      <c r="H1866" s="2"/>
      <c r="I1866" s="2"/>
      <c r="J1866" s="2"/>
      <c r="K1866" s="2"/>
      <c r="L1866" s="2"/>
      <c r="M1866" s="2"/>
      <c r="N1866" s="2"/>
      <c r="O1866" s="2"/>
      <c r="P1866" s="2"/>
      <c r="Q1866" s="2"/>
      <c r="R1866" s="2"/>
      <c r="S1866" s="2"/>
      <c r="T1866" s="2"/>
      <c r="U1866" s="2"/>
      <c r="V1866" s="2"/>
      <c r="W1866" s="2"/>
      <c r="X1866" s="2"/>
      <c r="Y1866" s="2"/>
      <c r="Z1866" s="2"/>
      <c r="AA1866" s="2"/>
    </row>
    <row r="1867">
      <c r="A1867" s="1" t="s">
        <v>4698</v>
      </c>
      <c r="B1867" s="1" t="s">
        <v>4781</v>
      </c>
      <c r="C1867" s="1" t="s">
        <v>4782</v>
      </c>
      <c r="D1867" s="2" t="str">
        <f>IFERROR(__xludf.DUMMYFUNCTION("GOOGLETRANSLATE(B1867, ""en"", ""TL"")"),"Paano tinutugunan ng batas ng Pilipinas ang krimen ng pagsasabwatan ng publiko o pagpaplano ng mga ilegal na aktibidad sa mga lansangan?")</f>
        <v>Paano tinutugunan ng batas ng Pilipinas ang krimen ng pagsasabwatan ng publiko o pagpaplano ng mga ilegal na aktibidad sa mga lansangan?</v>
      </c>
      <c r="E1867" s="2" t="str">
        <f>IFERROR(__xludf.DUMMYFUNCTION("GOOGLETRANSLATE(C1867, ""en"", ""TL"")"),"Ang batas ng Pilipinas ay walang partikular na krimen na tinatawag na ""public conspiracy"" o ""pagpaplano ng mga ilegal na aktibidad sa mga lansangan."" Gayunpaman, may mga legal na konsepto na maaaring tumugon sa mga ganitong sitwasyon:
**Sabwatan (RPC "&amp;"Artikulo 8):**
Ang artikulong ito ay nagpaparusa sa dalawa o higit pang mga tao na sumasang-ayon na gumawa ng krimen at gumawa ng anumang gawain sa pagsulong ng nasabing kasunduan. Upang mapaparusahan ang pagsasabwatan, dapat mayroong:
* **Dalawa o higit "&amp;"pang tao:** Ang nag-iisang indibidwal na nagpaplano ng krimen ay hindi maituturing na pagsasabwatan.
* **Kasunduan sa paggawa ng krimen:** Dapat magkaroon ng pagpupulong ng mga isipan sa pagitan ng mga indibidwal upang makagawa ng isang partikular na ileg"&amp;"al na gawain. * **Overt act:** Hindi sapat ang pagpaplano lamang. Hindi bababa sa isang tao ang dapat gumawa ng isang kongkretong hakbang patungo sa pagsasakatuparan ng krimen.
**Pampublikong Pagpaplano:**
Bagama't ang lokasyon ng pagpaplano ay hindi ang "&amp;"pangunahing salik, ang pampublikong katangian nito ay maaaring ituring bilang ebidensya:
* **Pananakot:** Kung ang pampublikong pagpaplano mismo ay lumilikha ng pakiramdam ng takot o pananakot sa publiko, maaari itong maparusahan sa ilalim ng konsepto ng "&amp;"""mga alarma at iskandalo"" (RPC Articles 150-153).
**Paghingi:**
* Pinaparusahan din ng batas ng Pilipinas ang solicitation to commit a crime (RPC Article 18): Nalalapat ito kung ang isang tao ay nag-udyok sa iba na gumawa ng krimen, kahit na ang krimen "&amp;"ay hindi aktwal na ginawa.
**Tinangkang Krimen:**
* Kung umusad ang pagpaplano sa paggawa ng mga konkretong hakbang patungo sa krimen (hal., pagkuha ng mga tool, pagtukoy ng target), maaari itong ituring na isang pagtatangkang krimen, na may parusa din (R"&amp;"PC Book 1, Title Four). **Mga Hamon sa Pampublikong Pagpaplano:**
* Ang pagpapatunay ng isang konkretong kasunduan at nakaplanong krimen ay maaaring maging mahirap, lalo na kung ang pagpaplano ay tila malabo.
**Kahalagahan ng Pag-uulat:**
* Kung nakakita "&amp;"ka ng kahina-hinalang aktibidad na tila nagpaplano ng isang krimen, iulat ito sa mga awtoridad. Makakatulong ito upang maiwasan ang krimen na mangyari.
**Dagdag pa:**
* Ang mga local government units (LGUs) ay maaaring magkaroon ng mga ordinansa na tumutu"&amp;"gon sa paglalagalag o kahina-hinalang pag-uugali sa mga pampublikong espasyo.
Tandaan, ito ay isang pinasimpleng paliwanag. Para sa partikular na legal na payo sa isang partikular na sitwasyon, kumunsulta sa isang kwalipikadong abogado.")</f>
        <v>Ang batas ng Pilipinas ay walang partikular na krimen na tinatawag na "public conspiracy" o "pagpaplano ng mga ilegal na aktibidad sa mga lansangan." Gayunpaman, may mga legal na konsepto na maaaring tumugon sa mga ganitong sitwasyon:
**Sabwatan (RPC Artikulo 8):**
Ang artikulong ito ay nagpaparusa sa dalawa o higit pang mga tao na sumasang-ayon na gumawa ng krimen at gumawa ng anumang gawain sa pagsulong ng nasabing kasunduan. Upang mapaparusahan ang pagsasabwatan, dapat mayroong:
* **Dalawa o higit pang tao:** Ang nag-iisang indibidwal na nagpaplano ng krimen ay hindi maituturing na pagsasabwatan.
* **Kasunduan sa paggawa ng krimen:** Dapat magkaroon ng pagpupulong ng mga isipan sa pagitan ng mga indibidwal upang makagawa ng isang partikular na ilegal na gawain. * **Overt act:** Hindi sapat ang pagpaplano lamang. Hindi bababa sa isang tao ang dapat gumawa ng isang kongkretong hakbang patungo sa pagsasakatuparan ng krimen.
**Pampublikong Pagpaplano:**
Bagama't ang lokasyon ng pagpaplano ay hindi ang pangunahing salik, ang pampublikong katangian nito ay maaaring ituring bilang ebidensya:
* **Pananakot:** Kung ang pampublikong pagpaplano mismo ay lumilikha ng pakiramdam ng takot o pananakot sa publiko, maaari itong maparusahan sa ilalim ng konsepto ng "mga alarma at iskandalo" (RPC Articles 150-153).
**Paghingi:**
* Pinaparusahan din ng batas ng Pilipinas ang solicitation to commit a crime (RPC Article 18): Nalalapat ito kung ang isang tao ay nag-udyok sa iba na gumawa ng krimen, kahit na ang krimen ay hindi aktwal na ginawa.
**Tinangkang Krimen:**
* Kung umusad ang pagpaplano sa paggawa ng mga konkretong hakbang patungo sa krimen (hal., pagkuha ng mga tool, pagtukoy ng target), maaari itong ituring na isang pagtatangkang krimen, na may parusa din (RPC Book 1, Title Four). **Mga Hamon sa Pampublikong Pagpaplano:**
* Ang pagpapatunay ng isang konkretong kasunduan at nakaplanong krimen ay maaaring maging mahirap, lalo na kung ang pagpaplano ay tila malabo.
**Kahalagahan ng Pag-uulat:**
* Kung nakakita ka ng kahina-hinalang aktibidad na tila nagpaplano ng isang krimen, iulat ito sa mga awtoridad. Makakatulong ito upang maiwasan ang krimen na mangyari.
**Dagdag pa:**
* Ang mga local government units (LGUs) ay maaaring magkaroon ng mga ordinansa na tumutugon sa paglalagalag o kahina-hinalang pag-uugali sa mga pampublikong espasyo.
Tandaan, ito ay isang pinasimpleng paliwanag. Para sa partikular na legal na payo sa isang partikular na sitwasyon, kumunsulta sa isang kwalipikadong abogado.</v>
      </c>
      <c r="F1867" s="2">
        <f t="shared" si="1"/>
        <v>0</v>
      </c>
      <c r="G1867" s="2"/>
      <c r="H1867" s="2"/>
      <c r="I1867" s="2"/>
      <c r="J1867" s="2"/>
      <c r="K1867" s="2"/>
      <c r="L1867" s="2"/>
      <c r="M1867" s="2"/>
      <c r="N1867" s="2"/>
      <c r="O1867" s="2"/>
      <c r="P1867" s="2"/>
      <c r="Q1867" s="2"/>
      <c r="R1867" s="2"/>
      <c r="S1867" s="2"/>
      <c r="T1867" s="2"/>
      <c r="U1867" s="2"/>
      <c r="V1867" s="2"/>
      <c r="W1867" s="2"/>
      <c r="X1867" s="2"/>
      <c r="Y1867" s="2"/>
      <c r="Z1867" s="2"/>
      <c r="AA1867" s="2"/>
    </row>
    <row r="1868">
      <c r="A1868" s="1" t="s">
        <v>4698</v>
      </c>
      <c r="B1868" s="1" t="s">
        <v>4783</v>
      </c>
      <c r="C1868" s="1" t="s">
        <v>4784</v>
      </c>
      <c r="D1868" s="2" t="str">
        <f>IFERROR(__xludf.DUMMYFUNCTION("GOOGLETRANSLATE(B1868, ""en"", ""TL"")"),"Anong mga legal na hakbang ang umiiral upang labanan ang panunuhol sa antas ng kalye o katiwalian sa mga pampublikong espasyo?")</f>
        <v>Anong mga legal na hakbang ang umiiral upang labanan ang panunuhol sa antas ng kalye o katiwalian sa mga pampublikong espasyo?</v>
      </c>
      <c r="E1868" s="2" t="str">
        <f>IFERROR(__xludf.DUMMYFUNCTION("GOOGLETRANSLATE(C1868, ""en"", ""TL"")"),"May ilang legal na hakbang ang Pilipinas para labanan ang panunuhol sa antas ng kalye o katiwalian sa mga pampublikong espasyo. Narito ang isang breakdown ng mga pangunahing hakbang:
**Mga Batas at Patakaran:**
* **Revised Penal Code (RPC):** * **Bribery "&amp;"(RPC Article 332):** Pinaparusahan nito kapwa ang nag-aalok ng suhol (suhol [soo-hol]) at ang nanghihingi o tumatanggap nito. * **Estafa (RPC Article 315):** Ito ay maaaring gamitin sa mga sitwasyon kung saan ang panunuhol ay nagsasangkot ng panloloko sa "&amp;"gobyerno o isang mamamayan sa pamamagitan ng panlilinlang.
* **Republic Act No. 6713 o ang Code of Conduct and Ethical Standards for Public Officials and Employees:** Ang batas na ito ay nag-uutos sa lahat ng tauhan ng pamahalaan na itaguyod ang etikal na"&amp;" pag-uugali at iwasan ang anumang pagkilos na lumilitaw na salungatan ng interes o panunuhol.
* **Republic Act No. 6770 o ang Ombudsman Act of 1989:** Itinatag ng batas na ito ang Office of the Ombudsman, na nag-iimbestiga sa mga reklamo ng katiwalian lab"&amp;"an sa mga opisyal ng gobyerno.
**Iba pang Mga Panukala:**
* **Executive Order No. 67 o ang Social Justice Program:** Ang programang ito ay nagtataguyod ng transparency at accountability sa mga ahensya ng gobyerno, na naglalayong bawasan ang mga pagkakatao"&amp;"n para sa katiwalian.
* **Mga Programa sa Proteksyon sa Whistleblower:** Maraming ahensya at institusyon ng gobyerno ang nagpatupad ng mga programa upang protektahan ang mga whistleblower na nag-uulat ng katiwalian.
**Mga Hamon:**
* **Underreporting:** Ma"&amp;"raming insidente ng panunuhol sa antas ng kalye ang hindi naiulat dahil sa takot sa paghihiganti, kahihiyan, o kawalan ng pananampalataya sa system.
* **Pagiging Kumplikado ng Katibayan:** Ang pagbuo ng isang malakas na kaso laban sa panunuhol ay maaaring"&amp;" maging mahirap dahil madalas itong nagsasangkot ng pagpapatunay ng layunin at pagpapalitan ng isang bagay na mahalaga.
**Mga Rekomendasyon:**
* **Mga kampanya sa pampublikong kamalayan:** Ang pagtuturo sa mga mamamayan tungkol sa kanilang mga karapatan a"&amp;"t magagamit na mekanismo ng pag-uulat ay napakahalaga. * **Pagpapalakas ng mga proteksyon ng whistleblower:** Ang pagtiyak sa kaligtasan at hindi pagkakakilanlan ng mga nag-uulat ng katiwalian ay mahalaga.
* **Pag-streamline ng mga proseso ng pag-uulat:**"&amp;" Ang paggawa ng proseso ng pag-uulat ng panunuhol na mas madali at mas madaling ma-access ay maaaring makahikayat ng mas maraming tao na sumulong. **Ano ang magagawa mo:**
* Kung nakatagpo ka ng panunuhol sa antas ng kalye, iulat ito sa mga awtoridad. * A"&amp;"ng mga ahensya tulad ng pulisya, Opisina ng Ombudsman, o partikular na ahensya ng gobyerno na kasangkot ay maaaring maging mga opsyon para sa paghahain ng reklamo.
* Maaari ka ring mag-ulat nang hindi nagpapakilala sa pamamagitan ng mga whistleblower hotl"&amp;"ine o online na platform sa pag-uulat (kung magagamit).
Sa pamamagitan ng pagtutulungan, ang mga Pilipino ay makakatulong sa paglaban sa panunuhol sa antas ng kalye at lumikha ng isang mas transparent at may pananagutan na lipunan.")</f>
        <v>May ilang legal na hakbang ang Pilipinas para labanan ang panunuhol sa antas ng kalye o katiwalian sa mga pampublikong espasyo. Narito ang isang breakdown ng mga pangunahing hakbang:
**Mga Batas at Patakaran:**
* **Revised Penal Code (RPC):** * **Bribery (RPC Article 332):** Pinaparusahan nito kapwa ang nag-aalok ng suhol (suhol [soo-hol]) at ang nanghihingi o tumatanggap nito. * **Estafa (RPC Article 315):** Ito ay maaaring gamitin sa mga sitwasyon kung saan ang panunuhol ay nagsasangkot ng panloloko sa gobyerno o isang mamamayan sa pamamagitan ng panlilinlang.
* **Republic Act No. 6713 o ang Code of Conduct and Ethical Standards for Public Officials and Employees:** Ang batas na ito ay nag-uutos sa lahat ng tauhan ng pamahalaan na itaguyod ang etikal na pag-uugali at iwasan ang anumang pagkilos na lumilitaw na salungatan ng interes o panunuhol.
* **Republic Act No. 6770 o ang Ombudsman Act of 1989:** Itinatag ng batas na ito ang Office of the Ombudsman, na nag-iimbestiga sa mga reklamo ng katiwalian laban sa mga opisyal ng gobyerno.
**Iba pang Mga Panukala:**
* **Executive Order No. 67 o ang Social Justice Program:** Ang programang ito ay nagtataguyod ng transparency at accountability sa mga ahensya ng gobyerno, na naglalayong bawasan ang mga pagkakataon para sa katiwalian.
* **Mga Programa sa Proteksyon sa Whistleblower:** Maraming ahensya at institusyon ng gobyerno ang nagpatupad ng mga programa upang protektahan ang mga whistleblower na nag-uulat ng katiwalian.
**Mga Hamon:**
* **Underreporting:** Maraming insidente ng panunuhol sa antas ng kalye ang hindi naiulat dahil sa takot sa paghihiganti, kahihiyan, o kawalan ng pananampalataya sa system.
* **Pagiging Kumplikado ng Katibayan:** Ang pagbuo ng isang malakas na kaso laban sa panunuhol ay maaaring maging mahirap dahil madalas itong nagsasangkot ng pagpapatunay ng layunin at pagpapalitan ng isang bagay na mahalaga.
**Mga Rekomendasyon:**
* **Mga kampanya sa pampublikong kamalayan:** Ang pagtuturo sa mga mamamayan tungkol sa kanilang mga karapatan at magagamit na mekanismo ng pag-uulat ay napakahalaga. * **Pagpapalakas ng mga proteksyon ng whistleblower:** Ang pagtiyak sa kaligtasan at hindi pagkakakilanlan ng mga nag-uulat ng katiwalian ay mahalaga.
* **Pag-streamline ng mga proseso ng pag-uulat:** Ang paggawa ng proseso ng pag-uulat ng panunuhol na mas madali at mas madaling ma-access ay maaaring makahikayat ng mas maraming tao na sumulong. **Ano ang magagawa mo:**
* Kung nakatagpo ka ng panunuhol sa antas ng kalye, iulat ito sa mga awtoridad. * Ang mga ahensya tulad ng pulisya, Opisina ng Ombudsman, o partikular na ahensya ng gobyerno na kasangkot ay maaaring maging mga opsyon para sa paghahain ng reklamo.
* Maaari ka ring mag-ulat nang hindi nagpapakilala sa pamamagitan ng mga whistleblower hotline o online na platform sa pag-uulat (kung magagamit).
Sa pamamagitan ng pagtutulungan, ang mga Pilipino ay makakatulong sa paglaban sa panunuhol sa antas ng kalye at lumikha ng isang mas transparent at may pananagutan na lipunan.</v>
      </c>
      <c r="F1868" s="2">
        <f t="shared" si="1"/>
        <v>0</v>
      </c>
      <c r="G1868" s="2"/>
      <c r="H1868" s="2"/>
      <c r="I1868" s="2"/>
      <c r="J1868" s="2"/>
      <c r="K1868" s="2"/>
      <c r="L1868" s="2"/>
      <c r="M1868" s="2"/>
      <c r="N1868" s="2"/>
      <c r="O1868" s="2"/>
      <c r="P1868" s="2"/>
      <c r="Q1868" s="2"/>
      <c r="R1868" s="2"/>
      <c r="S1868" s="2"/>
      <c r="T1868" s="2"/>
      <c r="U1868" s="2"/>
      <c r="V1868" s="2"/>
      <c r="W1868" s="2"/>
      <c r="X1868" s="2"/>
      <c r="Y1868" s="2"/>
      <c r="Z1868" s="2"/>
      <c r="AA1868" s="2"/>
    </row>
    <row r="1869">
      <c r="A1869" s="1" t="s">
        <v>4698</v>
      </c>
      <c r="B1869" s="1" t="s">
        <v>4785</v>
      </c>
      <c r="C1869" s="1" t="s">
        <v>4786</v>
      </c>
      <c r="D1869" s="2" t="str">
        <f>IFERROR(__xludf.DUMMYFUNCTION("GOOGLETRANSLATE(B1869, ""en"", ""TL"")"),"Anong mga parusa ang naaangkop para sa pagsali sa pagkidnap o pagdukot sa antas ng kalye sa mga pampublikong lugar?")</f>
        <v>Anong mga parusa ang naaangkop para sa pagsali sa pagkidnap o pagdukot sa antas ng kalye sa mga pampublikong lugar?</v>
      </c>
      <c r="E1869" s="2" t="str">
        <f>IFERROR(__xludf.DUMMYFUNCTION("GOOGLETRANSLATE(C1869, ""en"", ""TL"")"),"Sineseryoso ng batas ng Pilipinas ang pagkidnap at pagdukot, lalo na kapag nangyayari ito sa kalye o sa pampublikong lugar. Narito ang isang breakdown ng mga nauugnay na batas at parusa:
**Mga Kaugnay na Batas:**
* **Binago ang Kodigo Penal (RPC):**
* **P"&amp;"agkidnap at Malubhang Illegal na Detensyon (RPC Article 267):** Ito ang pangunahing batas na nalalapat sa karamihan ng mga senaryo ng kidnapping. Nagpapataw ito ng mga parusa mula sa **reclusion perpetua (habang buhay na pagkakakulong) hanggang reclusion "&amp;"temporal maximum (hanggang 20 taong pagkakakulong)** depende sa mga pangyayari. Ang mga nagpapalubha na pangyayari, tulad ng pagiging menor de edad ng biktima o ang pagkidnap na nagreresulta sa malubhang pisikal na pinsala, ay maaaring humantong sa isang "&amp;"mas malupit na sentensiya.
* **Illegal Detention (RPC Article 268):** Nalalapat ito kung ang isang tao ay pinagkaitan ng kalayaan sa mas maikling panahon nang walang anumang lehitimong dahilan. Ang mga parusa ay karaniwang mas magaan kaysa sa pagkidnap.
*"&amp;"*Mga Salik na Nakakaapekto sa Parusa (RPC Article 267):**
* **Tagal ng pagkabihag**
* **Edad, kasarian, o kondisyon ng kalusugan ng biktima**
* **Kung hinihingi ang ransom**
* **Kung ang biktima ay sumailalim sa karahasan o pinsala**
* **Kung ang krimen a"&amp;"y nagresulta sa kamatayan**
**Public Place Factor:**
Ang katotohanan na ang pagkidnap ay nangyari sa isang pampublikong lugar ay maaaring hindi direktang makakaapekto sa mismong parusa ngunit maaaring ituring bilang isang nagpapalubha na pangyayari. Nanga"&amp;"ngahulugan ito na posibleng tumaas ang sentensiya dahil sa kabastusan at ipagsapalaran ang pagkilos na ibinibigay sa publiko. **Mga Karagdagang Batas:**
* **Republic Act No. 7610 o ang Special Protection of Children Against Abuse, Exploitation and Cruelty"&amp;" Act:** Ang batas na ito ay nagbibigay ng karagdagang proteksyon para sa mga menor de edad na biktima ng kidnapping o pagdukot.
**Kahalagahan ng Pag-uulat:**
Kung nakasaksi ka ng isang kidnapping o pagdukot na nagaganap, agad na iulat ito sa mga awtoridad"&amp;". Bawat minuto ay mahalaga sa mga sitwasyong ito, at ang isang mabilis na pagtugon ay maaaring makabuluhang tumaas ang mga pagkakataon ng isang ligtas na paggaling para sa biktima. **Tandaan:**
Ito ay isang pinasimpleng paliwanag. Para sa partikular na le"&amp;"gal na payo o kung kailangan mo ng tulong sa isang kaso ng kidnapping, kumunsulta kaagad sa isang kwalipikadong abogado.")</f>
        <v>Sineseryoso ng batas ng Pilipinas ang pagkidnap at pagdukot, lalo na kapag nangyayari ito sa kalye o sa pampublikong lugar. Narito ang isang breakdown ng mga nauugnay na batas at parusa:
**Mga Kaugnay na Batas:**
* **Binago ang Kodigo Penal (RPC):**
* **Pagkidnap at Malubhang Illegal na Detensyon (RPC Article 267):** Ito ang pangunahing batas na nalalapat sa karamihan ng mga senaryo ng kidnapping. Nagpapataw ito ng mga parusa mula sa **reclusion perpetua (habang buhay na pagkakakulong) hanggang reclusion temporal maximum (hanggang 20 taong pagkakakulong)** depende sa mga pangyayari. Ang mga nagpapalubha na pangyayari, tulad ng pagiging menor de edad ng biktima o ang pagkidnap na nagreresulta sa malubhang pisikal na pinsala, ay maaaring humantong sa isang mas malupit na sentensiya.
* **Illegal Detention (RPC Article 268):** Nalalapat ito kung ang isang tao ay pinagkaitan ng kalayaan sa mas maikling panahon nang walang anumang lehitimong dahilan. Ang mga parusa ay karaniwang mas magaan kaysa sa pagkidnap.
**Mga Salik na Nakakaapekto sa Parusa (RPC Article 267):**
* **Tagal ng pagkabihag**
* **Edad, kasarian, o kondisyon ng kalusugan ng biktima**
* **Kung hinihingi ang ransom**
* **Kung ang biktima ay sumailalim sa karahasan o pinsala**
* **Kung ang krimen ay nagresulta sa kamatayan**
**Public Place Factor:**
Ang katotohanan na ang pagkidnap ay nangyari sa isang pampublikong lugar ay maaaring hindi direktang makakaapekto sa mismong parusa ngunit maaaring ituring bilang isang nagpapalubha na pangyayari. Nangangahulugan ito na posibleng tumaas ang sentensiya dahil sa kabastusan at ipagsapalaran ang pagkilos na ibinibigay sa publiko. **Mga Karagdagang Batas:**
* **Republic Act No. 7610 o ang Special Protection of Children Against Abuse, Exploitation and Cruelty Act:** Ang batas na ito ay nagbibigay ng karagdagang proteksyon para sa mga menor de edad na biktima ng kidnapping o pagdukot.
**Kahalagahan ng Pag-uulat:**
Kung nakasaksi ka ng isang kidnapping o pagdukot na nagaganap, agad na iulat ito sa mga awtoridad. Bawat minuto ay mahalaga sa mga sitwasyong ito, at ang isang mabilis na pagtugon ay maaaring makabuluhang tumaas ang mga pagkakataon ng isang ligtas na paggaling para sa biktima. **Tandaan:**
Ito ay isang pinasimpleng paliwanag. Para sa partikular na legal na payo o kung kailangan mo ng tulong sa isang kaso ng kidnapping, kumunsulta kaagad sa isang kwalipikadong abogado.</v>
      </c>
      <c r="F1869" s="2">
        <f t="shared" si="1"/>
        <v>0</v>
      </c>
      <c r="G1869" s="2"/>
      <c r="H1869" s="2"/>
      <c r="I1869" s="2"/>
      <c r="J1869" s="2"/>
      <c r="K1869" s="2"/>
      <c r="L1869" s="2"/>
      <c r="M1869" s="2"/>
      <c r="N1869" s="2"/>
      <c r="O1869" s="2"/>
      <c r="P1869" s="2"/>
      <c r="Q1869" s="2"/>
      <c r="R1869" s="2"/>
      <c r="S1869" s="2"/>
      <c r="T1869" s="2"/>
      <c r="U1869" s="2"/>
      <c r="V1869" s="2"/>
      <c r="W1869" s="2"/>
      <c r="X1869" s="2"/>
      <c r="Y1869" s="2"/>
      <c r="Z1869" s="2"/>
      <c r="AA1869" s="2"/>
    </row>
    <row r="1870">
      <c r="A1870" s="1" t="s">
        <v>4698</v>
      </c>
      <c r="B1870" s="1" t="s">
        <v>4787</v>
      </c>
      <c r="C1870" s="1" t="s">
        <v>4788</v>
      </c>
      <c r="D1870" s="2" t="str">
        <f>IFERROR(__xludf.DUMMYFUNCTION("GOOGLETRANSLATE(B1870, ""en"", ""TL"")"),"Paano kinokontrol sa ilalim ng batas ng Pilipinas ang krimen ng paninirang-puri sa publiko o pagpapakalat ng maling impormasyon?")</f>
        <v>Paano kinokontrol sa ilalim ng batas ng Pilipinas ang krimen ng paninirang-puri sa publiko o pagpapakalat ng maling impormasyon?</v>
      </c>
      <c r="E1870" s="2" t="str">
        <f>IFERROR(__xludf.DUMMYFUNCTION("GOOGLETRANSLATE(C1870, ""en"", ""TL"")"),"Walang iisang batas ang Pilipinas na partikular na tumutugon sa krimen ng ""public defamation"" o ""pagkalat ng maling impormasyon."" Gayunpaman, mayroong umiiral na mga legal na mekanismo upang matugunan ang mga isyung ito:
**1. Mga Batas sa Libel (Binag"&amp;"ong Kodigo Penal):**
* **Artikulo 355 (Libel):** Pinaparusahan nito ang paglalathala ng mapanirang-puri na pahayag na umaatake sa reputasyon ng isang tao. May mga pagkakaiba sa pagitan ng libel (""nakasulat na paninirang-puri"") at paninirang-puri (""sina"&amp;"salitang paninirang-puri""), ngunit pareho ay maaaring mahulog sa ilalim ng artikulong ito kung ang pahayag ay ipinarating sa isang third party.
* **Mga Elemento ng Libel:**
* Ang pahayag ay mapanirang-puri (nakakasira ng reputasyon ng tao).
* Ang pahayag"&amp;" ay kinilala sa tao (malinaw na tumutukoy sa isang partikular na indibidwal).
* Ang pahayag ay ipinaalam sa isang ikatlong partido.
* Ang publikasyon ay nakakahamak (naglalayong sirain ang reputasyon).
**2. Mga remedyo sa Batas Sibil:**
* **Maghain ng Rek"&amp;"lamo para sa Mga Pinsala:** Ang isang taong sinisiraan ay maaaring magsampa ng kasong sibil laban sa taong nagkalat ng maling impormasyon. Ito ay maaaring magresulta sa isang gawad ng pera na pinsala upang mabayaran ang pinsalang idinulot sa reputasyon.
*"&amp;"*3. Karapatan sa Pagsagot (RA No. 7706):**
* Binibigyan ng batas na ito ang mga indibidwal ng karapatang tumugon sa mga mapanirang-puri na pahayag na inilathala sa print media o broadcast. Ang tugon ay dapat na i-print o i-broadcast nang libre sa isang ka"&amp;"tulad na espasyo at katanyagan bilang orihinal na mapanirang-puri na pahayag.
**Mga Hamon:**
* **Truth as a Defense:** Ang katotohanan ng pahayag ay maaaring maging depensa laban sa isang kasong libelo. Ito ay maaaring maging mahirap na manalo sa isang ka"&amp;"so kung ang impormasyong kumakalat ay bahagyang totoo o batay sa isang tunay na paniniwala sa katotohanan nito.
* **Pagbabalanse sa Freedom of Speech:** Kinikilala ng batas ng Pilipinas ang kalayaan sa pagsasalita bilang isang pangunahing karapatan. Maaar"&amp;"ing maging kumplikado ang pagkakaroon ng balanse sa pagitan ng pagprotekta sa mga reputasyon at pagpayag sa malayang pagpapahayag.
**Pagkakalat ng Maling Impormasyon:**
Bagama't walang partikular na batas laban sa simpleng pagkalat ng maling impormasyon, "&amp;"maaaring may mga kahihinatnan depende sa konteksto:
* **Kung ang impormasyon ay mapanirang-puri:** Maaari itong mahulog sa ilalim ng mga batas ng libel.
* **Kung ang impormasyon ay nag-uudyok ng karahasan o poot:** Maaari itong kasuhan sa ilalim ng ibang "&amp;"mga batas tulad ng pag-uudyok sa sedisyon (RPC Article 146). * **Kung ang impormasyon ay nauugnay sa isang partikular na krimen:** Maaaring may mga partikular na batas na tumutugon sa pagkalat ng maling impormasyon tungkol sa krimeng iyon (hal., pekeng ba"&amp;"lita na nauugnay sa terorismo).
**Pekeng Balita at Social Media:**
Bagama't hindi batas, may mga panukalang pambatas para sa Anti-Fake News Law. Sa kasalukuyan, may mga pagsisikap na tugunan ang mga pekeng balita sa pamamagitan ng mga regulasyon sa platfo"&amp;"rm ng social media.
**Mahalagang Tandaan:**
* Ito ay pinasimpleng mga paliwanag. Para sa partikular na legal na payo sa paninirang-puri o pagpapakalat ng maling impormasyon, kumunsulta sa isang kwalipikadong abogado.
* Mag-ingat sa kung anong impormasyon "&amp;"ang ibinabahagi mo online at i-verify ang kredibilidad nito bago ito ipalaganap pa.")</f>
        <v>Walang iisang batas ang Pilipinas na partikular na tumutugon sa krimen ng "public defamation" o "pagkalat ng maling impormasyon." Gayunpaman, mayroong umiiral na mga legal na mekanismo upang matugunan ang mga isyung ito:
**1. Mga Batas sa Libel (Binagong Kodigo Penal):**
* **Artikulo 355 (Libel):** Pinaparusahan nito ang paglalathala ng mapanirang-puri na pahayag na umaatake sa reputasyon ng isang tao. May mga pagkakaiba sa pagitan ng libel ("nakasulat na paninirang-puri") at paninirang-puri ("sinasalitang paninirang-puri"), ngunit pareho ay maaaring mahulog sa ilalim ng artikulong ito kung ang pahayag ay ipinarating sa isang third party.
* **Mga Elemento ng Libel:**
* Ang pahayag ay mapanirang-puri (nakakasira ng reputasyon ng tao).
* Ang pahayag ay kinilala sa tao (malinaw na tumutukoy sa isang partikular na indibidwal).
* Ang pahayag ay ipinaalam sa isang ikatlong partido.
* Ang publikasyon ay nakakahamak (naglalayong sirain ang reputasyon).
**2. Mga remedyo sa Batas Sibil:**
* **Maghain ng Reklamo para sa Mga Pinsala:** Ang isang taong sinisiraan ay maaaring magsampa ng kasong sibil laban sa taong nagkalat ng maling impormasyon. Ito ay maaaring magresulta sa isang gawad ng pera na pinsala upang mabayaran ang pinsalang idinulot sa reputasyon.
**3. Karapatan sa Pagsagot (RA No. 7706):**
* Binibigyan ng batas na ito ang mga indibidwal ng karapatang tumugon sa mga mapanirang-puri na pahayag na inilathala sa print media o broadcast. Ang tugon ay dapat na i-print o i-broadcast nang libre sa isang katulad na espasyo at katanyagan bilang orihinal na mapanirang-puri na pahayag.
**Mga Hamon:**
* **Truth as a Defense:** Ang katotohanan ng pahayag ay maaaring maging depensa laban sa isang kasong libelo. Ito ay maaaring maging mahirap na manalo sa isang kaso kung ang impormasyong kumakalat ay bahagyang totoo o batay sa isang tunay na paniniwala sa katotohanan nito.
* **Pagbabalanse sa Freedom of Speech:** Kinikilala ng batas ng Pilipinas ang kalayaan sa pagsasalita bilang isang pangunahing karapatan. Maaaring maging kumplikado ang pagkakaroon ng balanse sa pagitan ng pagprotekta sa mga reputasyon at pagpayag sa malayang pagpapahayag.
**Pagkakalat ng Maling Impormasyon:**
Bagama't walang partikular na batas laban sa simpleng pagkalat ng maling impormasyon, maaaring may mga kahihinatnan depende sa konteksto:
* **Kung ang impormasyon ay mapanirang-puri:** Maaari itong mahulog sa ilalim ng mga batas ng libel.
* **Kung ang impormasyon ay nag-uudyok ng karahasan o poot:** Maaari itong kasuhan sa ilalim ng ibang mga batas tulad ng pag-uudyok sa sedisyon (RPC Article 146). * **Kung ang impormasyon ay nauugnay sa isang partikular na krimen:** Maaaring may mga partikular na batas na tumutugon sa pagkalat ng maling impormasyon tungkol sa krimeng iyon (hal., pekeng balita na nauugnay sa terorismo).
**Pekeng Balita at Social Media:**
Bagama't hindi batas, may mga panukalang pambatas para sa Anti-Fake News Law. Sa kasalukuyan, may mga pagsisikap na tugunan ang mga pekeng balita sa pamamagitan ng mga regulasyon sa platform ng social media.
**Mahalagang Tandaan:**
* Ito ay pinasimpleng mga paliwanag. Para sa partikular na legal na payo sa paninirang-puri o pagpapakalat ng maling impormasyon, kumunsulta sa isang kwalipikadong abogado.
* Mag-ingat sa kung anong impormasyon ang ibinabahagi mo online at i-verify ang kredibilidad nito bago ito ipalaganap pa.</v>
      </c>
      <c r="F1870" s="2">
        <f t="shared" si="1"/>
        <v>0</v>
      </c>
      <c r="G1870" s="2"/>
      <c r="H1870" s="2"/>
      <c r="I1870" s="2"/>
      <c r="J1870" s="2"/>
      <c r="K1870" s="2"/>
      <c r="L1870" s="2"/>
      <c r="M1870" s="2"/>
      <c r="N1870" s="2"/>
      <c r="O1870" s="2"/>
      <c r="P1870" s="2"/>
      <c r="Q1870" s="2"/>
      <c r="R1870" s="2"/>
      <c r="S1870" s="2"/>
      <c r="T1870" s="2"/>
      <c r="U1870" s="2"/>
      <c r="V1870" s="2"/>
      <c r="W1870" s="2"/>
      <c r="X1870" s="2"/>
      <c r="Y1870" s="2"/>
      <c r="Z1870" s="2"/>
      <c r="AA1870" s="2"/>
    </row>
    <row r="1871">
      <c r="A1871" s="1" t="s">
        <v>4698</v>
      </c>
      <c r="B1871" s="1" t="s">
        <v>4789</v>
      </c>
      <c r="C1871" s="1" t="s">
        <v>4790</v>
      </c>
      <c r="D1871" s="2" t="str">
        <f>IFERROR(__xludf.DUMMYFUNCTION("GOOGLETRANSLATE(B1871, ""en"", ""TL"")"),"Anong mga legal na probisyon ang namamahala sa hindi awtorisadong paggamit o pag-okupa sa mga pasilidad ng pampublikong transportasyon?")</f>
        <v>Anong mga legal na probisyon ang namamahala sa hindi awtorisadong paggamit o pag-okupa sa mga pasilidad ng pampublikong transportasyon?</v>
      </c>
      <c r="E1871" s="2" t="str">
        <f>IFERROR(__xludf.DUMMYFUNCTION("GOOGLETRANSLATE(C1871, ""en"", ""TL"")"),"Sa Pilipinas, maraming batas at regulasyon ang tumutugon sa hindi awtorisadong paggamit o pag-okupa sa mga pasilidad ng pampublikong transportasyon. Narito ang isang breakdown ng mga pangunahing:
**Mga Pambansang Batas:**
* **Binago ang Kodigo Penal (RPC)"&amp;":**
* **Trespassing (RPC Article 143):** Nalalapat ito kung ang isang tao ay pumasok sa pasilidad ng pampublikong transportasyon nang walang pahintulot at tumangging umalis kapag hinihingi.
* **Obstruction of Justice (RPC Article 151):** Ito ay maaaring m"&amp;"agamit kung ang hindi awtorisadong trabaho ng isang tao ay humahadlang sa legal na operasyon ng pasilidad o nakakagambala sa pampublikong kaayusan.
**Kodigo ng Lokal na Pamahalaan (RA No. 7160):**
* **Seksyon 17: Mga Kapangyarihan, Tungkulin, at Tungkulin"&amp;" ng mga LGU:** Nagbibigay ng awtoridad sa mga local government units (LGUs) na i-regulate ang paggamit ng mga pampublikong pasilidad at magpataw ng mga parusa para sa mga paglabag. Maaaring kabilang dito ang mga partikular na ordinansa na tumutugon sa hin"&amp;"di awtorisadong paggamit ng mga pasilidad ng pampublikong transportasyon.
**Mga Regulasyon ng Department of Transportation (DOTr):**
* Ang DOTr ay naglalabas ng mga regulasyon para sa iba't ibang sektor ng pampublikong transportasyon (hal., mga bus, jeepn"&amp;"ey, tren). Maaaring tukuyin ng mga regulasyong ito ang mga tuntunin sa pag-uugali ng pasahero at hindi awtorisadong pag-access sa mga pinaghihigpitang lugar. **Mga Halimbawa ng Hindi Awtorisadong Paggamit:**
* Paggamit ng pasilidad ng pampublikong transpo"&amp;"rtasyon para sa mga layunin maliban sa paglalakbay ng pasahero (hal., pagtulog, pag-iimbak ng mga kalakal).
* Hinaharang ang mga itinalagang walkway o pasukan/labas.
* Pagpasok sa mga pinaghihigpitang lugar sa loob ng pasilidad (hal., mga cabin ng operato"&amp;"r ng tren).
**Mga Parusa:**
Ang partikular na parusa ay depende sa uri ng paglabag at sa naaangkop na batas o regulasyon. Ito ay maaaring mula sa mga multa o pagkumpiska ng mga ari-arian hanggang sa pag-aresto at pagkulong depende sa kalubhaan ng pagkakas"&amp;"ala.
**Mga Karagdagang Pagsasaalang-alang:**
* Ang mga partikular na awtoridad sa pampublikong transportasyon ay maaaring magkaroon ng sarili nilang mga panuntunan sa bahay na tumutugon sa hindi awtorisadong paggamit sa loob ng kanilang nasasakupan.
* Sa "&amp;"ilang mga kaso, kung ang hindi awtorisadong paggamit ay nagsasangkot ng pinsala sa pampublikong ari-arian, ang mga karagdagang singil tulad ng paninira (RPC Article 355) ay maaaring malapat.
**Tandaan:**
Ito ay isang pinasimpleng paliwanag. Para sa mga pa"&amp;"rtikular na detalye o legal na payo sa isang partikular na sitwasyon, kumunsulta sa isang kwalipikadong abogado o magtanong sa may-katuturang awtoridad sa pampublikong transportasyon.")</f>
        <v>Sa Pilipinas, maraming batas at regulasyon ang tumutugon sa hindi awtorisadong paggamit o pag-okupa sa mga pasilidad ng pampublikong transportasyon. Narito ang isang breakdown ng mga pangunahing:
**Mga Pambansang Batas:**
* **Binago ang Kodigo Penal (RPC):**
* **Trespassing (RPC Article 143):** Nalalapat ito kung ang isang tao ay pumasok sa pasilidad ng pampublikong transportasyon nang walang pahintulot at tumangging umalis kapag hinihingi.
* **Obstruction of Justice (RPC Article 151):** Ito ay maaaring magamit kung ang hindi awtorisadong trabaho ng isang tao ay humahadlang sa legal na operasyon ng pasilidad o nakakagambala sa pampublikong kaayusan.
**Kodigo ng Lokal na Pamahalaan (RA No. 7160):**
* **Seksyon 17: Mga Kapangyarihan, Tungkulin, at Tungkulin ng mga LGU:** Nagbibigay ng awtoridad sa mga local government units (LGUs) na i-regulate ang paggamit ng mga pampublikong pasilidad at magpataw ng mga parusa para sa mga paglabag. Maaaring kabilang dito ang mga partikular na ordinansa na tumutugon sa hindi awtorisadong paggamit ng mga pasilidad ng pampublikong transportasyon.
**Mga Regulasyon ng Department of Transportation (DOTr):**
* Ang DOTr ay naglalabas ng mga regulasyon para sa iba't ibang sektor ng pampublikong transportasyon (hal., mga bus, jeepney, tren). Maaaring tukuyin ng mga regulasyong ito ang mga tuntunin sa pag-uugali ng pasahero at hindi awtorisadong pag-access sa mga pinaghihigpitang lugar. **Mga Halimbawa ng Hindi Awtorisadong Paggamit:**
* Paggamit ng pasilidad ng pampublikong transportasyon para sa mga layunin maliban sa paglalakbay ng pasahero (hal., pagtulog, pag-iimbak ng mga kalakal).
* Hinaharang ang mga itinalagang walkway o pasukan/labas.
* Pagpasok sa mga pinaghihigpitang lugar sa loob ng pasilidad (hal., mga cabin ng operator ng tren).
**Mga Parusa:**
Ang partikular na parusa ay depende sa uri ng paglabag at sa naaangkop na batas o regulasyon. Ito ay maaaring mula sa mga multa o pagkumpiska ng mga ari-arian hanggang sa pag-aresto at pagkulong depende sa kalubhaan ng pagkakasala.
**Mga Karagdagang Pagsasaalang-alang:**
* Ang mga partikular na awtoridad sa pampublikong transportasyon ay maaaring magkaroon ng sarili nilang mga panuntunan sa bahay na tumutugon sa hindi awtorisadong paggamit sa loob ng kanilang nasasakupan.
* Sa ilang mga kaso, kung ang hindi awtorisadong paggamit ay nagsasangkot ng pinsala sa pampublikong ari-arian, ang mga karagdagang singil tulad ng paninira (RPC Article 355) ay maaaring malapat.
**Tandaan:**
Ito ay isang pinasimpleng paliwanag. Para sa mga partikular na detalye o legal na payo sa isang partikular na sitwasyon, kumunsulta sa isang kwalipikadong abogado o magtanong sa may-katuturang awtoridad sa pampublikong transportasyon.</v>
      </c>
      <c r="F1871" s="2">
        <f t="shared" si="1"/>
        <v>0</v>
      </c>
      <c r="G1871" s="2"/>
      <c r="H1871" s="2"/>
      <c r="I1871" s="2"/>
      <c r="J1871" s="2"/>
      <c r="K1871" s="2"/>
      <c r="L1871" s="2"/>
      <c r="M1871" s="2"/>
      <c r="N1871" s="2"/>
      <c r="O1871" s="2"/>
      <c r="P1871" s="2"/>
      <c r="Q1871" s="2"/>
      <c r="R1871" s="2"/>
      <c r="S1871" s="2"/>
      <c r="T1871" s="2"/>
      <c r="U1871" s="2"/>
      <c r="V1871" s="2"/>
      <c r="W1871" s="2"/>
      <c r="X1871" s="2"/>
      <c r="Y1871" s="2"/>
      <c r="Z1871" s="2"/>
      <c r="AA1871" s="2"/>
    </row>
    <row r="1872">
      <c r="A1872" s="1" t="s">
        <v>4698</v>
      </c>
      <c r="B1872" s="1" t="s">
        <v>4791</v>
      </c>
      <c r="C1872" s="1" t="s">
        <v>4792</v>
      </c>
      <c r="D1872" s="2" t="str">
        <f>IFERROR(__xludf.DUMMYFUNCTION("GOOGLETRANSLATE(B1872, ""en"", ""TL"")"),"Paano tinutugunan ng batas ang mga insidente ng stalking o panliligalig sa antas ng kalye sa mga pampublikong espasyo?")</f>
        <v>Paano tinutugunan ng batas ang mga insidente ng stalking o panliligalig sa antas ng kalye sa mga pampublikong espasyo?</v>
      </c>
      <c r="E1872" s="2" t="str">
        <f>IFERROR(__xludf.DUMMYFUNCTION("GOOGLETRANSLATE(C1872, ""en"", ""TL"")"),"Ang batas ng Pilipinas ay walang iisang, partikular na batas para lang sa street-level stalking o harassment. Gayunpaman, maraming umiiral na batas ang maaaring gamitin upang tugunan ang mga ganitong sitwasyon, depende sa uri at kalubhaan ng stalking o pa"&amp;"nliligalig:
**Binagong Kodigo Penal (RPC):**
* **Acts of Lasciviousness (RPC Article 335):** Nalalapat ito sa malaswang pag-uugali sa ibang tao sa isang pampublikong lugar. Maaaring ito ay mahalay o nakakasakit na pagpapakita ng pagmamahal sa publiko, mah"&amp;"alay na pananalita, o hindi gustong paghipo. * **Mga Alarm at Iskandalo (RPC Articles 150-153):** Sinasaklaw nito ang mga kilos na nagdudulot ng alarma o iskandalo sa publiko. Ang pag-uugali ng pag-stalk na lumilikha ng takot o panliligalig ay maaaring ma"&amp;"lagay sa ilalim nito.
* **Mga Banta at Pamimilit (RPC Articles 148-153):** Kung ang stalking ay nagsasangkot ng paulit-ulit na pagbabanta o pananakot, ang mga probisyong ito ay maaaring gamitin.
**Mga Espesyal na Batas:**
* **Safe Spaces Act (RA No. 11353"&amp;"):** Ipinagbabawal ng batas na ito ang lahat ng uri ng sekswal na panliligalig, kabilang ang mga hindi gustong komento, kilos, o pagsulong, sa mga pampublikong espasyo. Bagama't hindi direktang tinutugunan ang stalking, maaari itong ilapat kung ang panlil"&amp;"igalig ay may likas na sekswal.
* **Anti-Violence Against Women and Children Act (RA No. 9262):** Nag-aalok ang batas na ito ng mas malawak na proteksyon laban sa karahasan sa kababaihan at mga bata. Ang stalking na nagreresulta sa pisikal o emosyonal na "&amp;"pinsala ay maaaring kasuhan sa ilalim ng batas na ito.
**Mga Hamon:**
* **Patunay ng Layunin:** Maaaring mahirap patunayan ang layunin ng stalker na harass o takutin ang biktima.
* **Kalubhaan ng Gawi:** Ang mga partikular na aksyon ng stalker ang tutukuy"&amp;"in kung aling batas ang nalalapat. Ang mga maliliit na insidente ay maaaring mahirap usigin.
**Kahalagahan ng Pag-uulat:**
Kung ikaw ay ini-stalk o ginigipit sa isang pampublikong lugar, iulat ito kaagad sa mga awtoridad. Ito ay maaaring gawin sa pamamagi"&amp;"tan ng pulis o barangay officials (local community leaders). **Dagdag pa:**
* Ang pagdodokumento sa gawi ng pag-stalk (hal., pag-iingat ng tala ng mga insidente, larawan, o video) ay maaaring magpatibay sa iyong kaso.
* Makakatulong sa iyo ang paghingi ng"&amp;" legal na payo na maunawaan ang iyong mga karapatan at tuklasin ang mga potensyal na legal na remedyo, gaya ng mga restraining order.
**Tandaan:**
Ito ay isang pinasimpleng paliwanag. Para sa partikular na legal na payo sa isang partikular na sitwasyon, k"&amp;"umunsulta sa isang kwalipikadong abogado. Sa pamamagitan ng pag-uulat at paggawa ng aksyon, makakatulong ka na matiyak ang iyong kaligtasan at panagutin ang may kasalanan.")</f>
        <v>Ang batas ng Pilipinas ay walang iisang, partikular na batas para lang sa street-level stalking o harassment. Gayunpaman, maraming umiiral na batas ang maaaring gamitin upang tugunan ang mga ganitong sitwasyon, depende sa uri at kalubhaan ng stalking o panliligalig:
**Binagong Kodigo Penal (RPC):**
* **Acts of Lasciviousness (RPC Article 335):** Nalalapat ito sa malaswang pag-uugali sa ibang tao sa isang pampublikong lugar. Maaaring ito ay mahalay o nakakasakit na pagpapakita ng pagmamahal sa publiko, mahalay na pananalita, o hindi gustong paghipo. * **Mga Alarm at Iskandalo (RPC Articles 150-153):** Sinasaklaw nito ang mga kilos na nagdudulot ng alarma o iskandalo sa publiko. Ang pag-uugali ng pag-stalk na lumilikha ng takot o panliligalig ay maaaring malagay sa ilalim nito.
* **Mga Banta at Pamimilit (RPC Articles 148-153):** Kung ang stalking ay nagsasangkot ng paulit-ulit na pagbabanta o pananakot, ang mga probisyong ito ay maaaring gamitin.
**Mga Espesyal na Batas:**
* **Safe Spaces Act (RA No. 11353):** Ipinagbabawal ng batas na ito ang lahat ng uri ng sekswal na panliligalig, kabilang ang mga hindi gustong komento, kilos, o pagsulong, sa mga pampublikong espasyo. Bagama't hindi direktang tinutugunan ang stalking, maaari itong ilapat kung ang panliligalig ay may likas na sekswal.
* **Anti-Violence Against Women and Children Act (RA No. 9262):** Nag-aalok ang batas na ito ng mas malawak na proteksyon laban sa karahasan sa kababaihan at mga bata. Ang stalking na nagreresulta sa pisikal o emosyonal na pinsala ay maaaring kasuhan sa ilalim ng batas na ito.
**Mga Hamon:**
* **Patunay ng Layunin:** Maaaring mahirap patunayan ang layunin ng stalker na harass o takutin ang biktima.
* **Kalubhaan ng Gawi:** Ang mga partikular na aksyon ng stalker ang tutukuyin kung aling batas ang nalalapat. Ang mga maliliit na insidente ay maaaring mahirap usigin.
**Kahalagahan ng Pag-uulat:**
Kung ikaw ay ini-stalk o ginigipit sa isang pampublikong lugar, iulat ito kaagad sa mga awtoridad. Ito ay maaaring gawin sa pamamagitan ng pulis o barangay officials (local community leaders). **Dagdag pa:**
* Ang pagdodokumento sa gawi ng pag-stalk (hal., pag-iingat ng tala ng mga insidente, larawan, o video) ay maaaring magpatibay sa iyong kaso.
* Makakatulong sa iyo ang paghingi ng legal na payo na maunawaan ang iyong mga karapatan at tuklasin ang mga potensyal na legal na remedyo, gaya ng mga restraining order.
**Tandaan:**
Ito ay isang pinasimpleng paliwanag. Para sa partikular na legal na payo sa isang partikular na sitwasyon, kumunsulta sa isang kwalipikadong abogado. Sa pamamagitan ng pag-uulat at paggawa ng aksyon, makakatulong ka na matiyak ang iyong kaligtasan at panagutin ang may kasalanan.</v>
      </c>
      <c r="F1872" s="2">
        <f t="shared" si="1"/>
        <v>0</v>
      </c>
      <c r="G1872" s="2"/>
      <c r="H1872" s="2"/>
      <c r="I1872" s="2"/>
      <c r="J1872" s="2"/>
      <c r="K1872" s="2"/>
      <c r="L1872" s="2"/>
      <c r="M1872" s="2"/>
      <c r="N1872" s="2"/>
      <c r="O1872" s="2"/>
      <c r="P1872" s="2"/>
      <c r="Q1872" s="2"/>
      <c r="R1872" s="2"/>
      <c r="S1872" s="2"/>
      <c r="T1872" s="2"/>
      <c r="U1872" s="2"/>
      <c r="V1872" s="2"/>
      <c r="W1872" s="2"/>
      <c r="X1872" s="2"/>
      <c r="Y1872" s="2"/>
      <c r="Z1872" s="2"/>
      <c r="AA1872" s="2"/>
    </row>
    <row r="1873">
      <c r="A1873" s="1" t="s">
        <v>4698</v>
      </c>
      <c r="B1873" s="1" t="s">
        <v>4793</v>
      </c>
      <c r="C1873" s="1" t="s">
        <v>4794</v>
      </c>
      <c r="D1873" s="2" t="str">
        <f>IFERROR(__xludf.DUMMYFUNCTION("GOOGLETRANSLATE(B1873, ""en"", ""TL"")"),"Anong mga parusa ang ipinapataw para sa pagsali sa hindi awtorisadong pagbebenta o pamamahagi ng pagkain sa mga lansangan?")</f>
        <v>Anong mga parusa ang ipinapataw para sa pagsali sa hindi awtorisadong pagbebenta o pamamahagi ng pagkain sa mga lansangan?</v>
      </c>
      <c r="E1873" s="2" t="str">
        <f>IFERROR(__xludf.DUMMYFUNCTION("GOOGLETRANSLATE(C1873, ""en"", ""TL"")"),"Sa Pilipinas, ang mga parusa para sa hindi awtorisadong pagbebenta o pamamahagi ng pagkain sa mga lansangan ay maaaring mag-iba depende sa ilang salik. Narito ang isang breakdown ng mga pangunahing punto:
**Walang Iisang Batas:** Walang isang pambansang b"&amp;"atas na partikular na nagbabawal sa pagtitinda sa kalye. Ang mga regulasyon ay nagmumula sa isang kumbinasyon ng mga mapagkukunan:
* **Kodigo ng Lokal na Pamahalaan (RA No. 7160):**
* **Seksyon 17:** Nagbibigay ng awtoridad sa **Local Government Units (LG"&amp;"Us)** para i-regulate ang mga aktibidad ng negosyo sa loob ng kanilang hurisdiksyon. Kabilang dito ang **street vending** sa pamamagitan ng mga ordinansa. Maaaring tukuyin ng mga ordinansang ito ang mga itinalagang lugar ng pagbebenta, mga paghihigpit sa "&amp;"produkto, at mga kinakailangan sa permit.
* **Batas Pambansa Blg. 881 o Ang Price Tag Law:**
* **Seksyon 1:** Nangangailangan sa lahat ng nagbebenta na ipakita ang tag ng presyo ng kanilang mga produkto. Nalalapat ito sa parehong awtorisado at hindi awtor"&amp;"isadong mga vendor.
* **Mga Tukoy na Ordinansa:** Maraming mga lungsod at munisipalidad ang may sariling mga ordinansa na partikular na nagre-regulate sa mga street vendor. Ang mga ordinansang ito ay magbabalangkas ng mga partikular na parusa para sa hind"&amp;"i pagsunod. Maaaring kabilang sa mga parusa ang:
* Mga multa
* Pagkumpiska ng mga kalakal
* Pag-aresto (sa mga bihirang kaso)
**Mga Salik na Nakakaapekto sa Mga Parusa:**
* **Kalubhaan ng Paglabag:** Ang pagbebenta nang walang permit ay maaaring magkaroon"&amp;" ng mas mababang parusa kumpara sa pagbebenta ng hindi ligtas o hindi malinis na pagkain.
* **Lokasyon:** Ang partikular na lokasyon ng aktibidad sa pagbebenta (hal., pagharang sa isang pedestrian walkway) ay maaaring makaimpluwensya sa parusa.
* **Mga Na"&amp;"unang Pagkakasala:** Ang mga umuulit na nagkasala ay maaaring maharap sa mas matinding parusa.
**Mga Rekomendasyon:**
* **Magtanong sa Lokal na Awtoridad:** Ang pinakamahusay na paraan upang matukoy ang mga partikular na parusa at regulasyon para sa pagti"&amp;"tinda sa kalye sa iyong lugar ay ang pag-check sa iyong lokal na barangay (komunidad) o tanggapan ng pamahalaang lungsod.
* **Isaalang-alang ang Pagkuha ng Permit:** Kung interesado ka sa street vending, tuklasin ang posibilidad na makakuha ng permit. Tit"&amp;"iyakin nito na legal kang magpapatakbo at maiiwasan ang mga parusa.
**Mahalagang Tandaan:**
* Ang pagtitinda sa kalye ay maaaring pagmulan ng kabuhayan ng maraming Pilipino. Gayunpaman, umiiral ang mga regulasyon upang matiyak ang kaligtasan, kalinisan, a"&amp;"t kaayusan ng publiko. * Ang pag-unawa at pagsunod sa mga lokal na ordinansa ay mahalaga para sa mga street vendor upang maiwasan ang mga parusa.
Ito ay isang pinasimpleng paliwanag. Para sa mga partikular na detalye o legal na payo, kumunsulta sa isang k"&amp;"walipikadong abogado o opisina ng iyong lokal na pamahalaan.")</f>
        <v>Sa Pilipinas, ang mga parusa para sa hindi awtorisadong pagbebenta o pamamahagi ng pagkain sa mga lansangan ay maaaring mag-iba depende sa ilang salik. Narito ang isang breakdown ng mga pangunahing punto:
**Walang Iisang Batas:** Walang isang pambansang batas na partikular na nagbabawal sa pagtitinda sa kalye. Ang mga regulasyon ay nagmumula sa isang kumbinasyon ng mga mapagkukunan:
* **Kodigo ng Lokal na Pamahalaan (RA No. 7160):**
* **Seksyon 17:** Nagbibigay ng awtoridad sa **Local Government Units (LGUs)** para i-regulate ang mga aktibidad ng negosyo sa loob ng kanilang hurisdiksyon. Kabilang dito ang **street vending** sa pamamagitan ng mga ordinansa. Maaaring tukuyin ng mga ordinansang ito ang mga itinalagang lugar ng pagbebenta, mga paghihigpit sa produkto, at mga kinakailangan sa permit.
* **Batas Pambansa Blg. 881 o Ang Price Tag Law:**
* **Seksyon 1:** Nangangailangan sa lahat ng nagbebenta na ipakita ang tag ng presyo ng kanilang mga produkto. Nalalapat ito sa parehong awtorisado at hindi awtorisadong mga vendor.
* **Mga Tukoy na Ordinansa:** Maraming mga lungsod at munisipalidad ang may sariling mga ordinansa na partikular na nagre-regulate sa mga street vendor. Ang mga ordinansang ito ay magbabalangkas ng mga partikular na parusa para sa hindi pagsunod. Maaaring kabilang sa mga parusa ang:
* Mga multa
* Pagkumpiska ng mga kalakal
* Pag-aresto (sa mga bihirang kaso)
**Mga Salik na Nakakaapekto sa Mga Parusa:**
* **Kalubhaan ng Paglabag:** Ang pagbebenta nang walang permit ay maaaring magkaroon ng mas mababang parusa kumpara sa pagbebenta ng hindi ligtas o hindi malinis na pagkain.
* **Lokasyon:** Ang partikular na lokasyon ng aktibidad sa pagbebenta (hal., pagharang sa isang pedestrian walkway) ay maaaring makaimpluwensya sa parusa.
* **Mga Naunang Pagkakasala:** Ang mga umuulit na nagkasala ay maaaring maharap sa mas matinding parusa.
**Mga Rekomendasyon:**
* **Magtanong sa Lokal na Awtoridad:** Ang pinakamahusay na paraan upang matukoy ang mga partikular na parusa at regulasyon para sa pagtitinda sa kalye sa iyong lugar ay ang pag-check sa iyong lokal na barangay (komunidad) o tanggapan ng pamahalaang lungsod.
* **Isaalang-alang ang Pagkuha ng Permit:** Kung interesado ka sa street vending, tuklasin ang posibilidad na makakuha ng permit. Titiyakin nito na legal kang magpapatakbo at maiiwasan ang mga parusa.
**Mahalagang Tandaan:**
* Ang pagtitinda sa kalye ay maaaring pagmulan ng kabuhayan ng maraming Pilipino. Gayunpaman, umiiral ang mga regulasyon upang matiyak ang kaligtasan, kalinisan, at kaayusan ng publiko. * Ang pag-unawa at pagsunod sa mga lokal na ordinansa ay mahalaga para sa mga street vendor upang maiwasan ang mga parusa.
Ito ay isang pinasimpleng paliwanag. Para sa mga partikular na detalye o legal na payo, kumunsulta sa isang kwalipikadong abogado o opisina ng iyong lokal na pamahalaan.</v>
      </c>
      <c r="F1873" s="2">
        <f t="shared" si="1"/>
        <v>0</v>
      </c>
      <c r="G1873" s="2"/>
      <c r="H1873" s="2"/>
      <c r="I1873" s="2"/>
      <c r="J1873" s="2"/>
      <c r="K1873" s="2"/>
      <c r="L1873" s="2"/>
      <c r="M1873" s="2"/>
      <c r="N1873" s="2"/>
      <c r="O1873" s="2"/>
      <c r="P1873" s="2"/>
      <c r="Q1873" s="2"/>
      <c r="R1873" s="2"/>
      <c r="S1873" s="2"/>
      <c r="T1873" s="2"/>
      <c r="U1873" s="2"/>
      <c r="V1873" s="2"/>
      <c r="W1873" s="2"/>
      <c r="X1873" s="2"/>
      <c r="Y1873" s="2"/>
      <c r="Z1873" s="2"/>
      <c r="AA1873" s="2"/>
    </row>
    <row r="1874">
      <c r="A1874" s="1" t="s">
        <v>4698</v>
      </c>
      <c r="B1874" s="1" t="s">
        <v>4795</v>
      </c>
      <c r="C1874" s="1" t="s">
        <v>4796</v>
      </c>
      <c r="D1874" s="2" t="str">
        <f>IFERROR(__xludf.DUMMYFUNCTION("GOOGLETRANSLATE(B1874, ""en"", ""TL"")"),"Paano tinutugunan sa ilalim ng batas ng Pilipinas ang pagkakasala ng pampublikong trespassing o pagsalakay sa pribadong ari-arian?")</f>
        <v>Paano tinutugunan sa ilalim ng batas ng Pilipinas ang pagkakasala ng pampublikong trespassing o pagsalakay sa pribadong ari-arian?</v>
      </c>
      <c r="E1874" s="2" t="str">
        <f>IFERROR(__xludf.DUMMYFUNCTION("GOOGLETRANSLATE(C1874, ""en"", ""TL"")"),"Sineseryoso ng batas ng Pilipinas ang mga karapatan sa pag-aari at ang paglabag ay isang pagkakasala. Narito kung paano tinutugunan ng batas ng Pilipinas ang pampublikong trespassing o pagsalakay sa pribadong pag-aari:
**Binagong Kodigo Penal (RPC):**
* *"&amp;"*Paglapastangan (RPC Article 143):** Ito ang pangunahing batas na nalalapat sa trespassing. Pinaparusahan nito ang sinumang pumasok sa isang ari-arian na pagmamay-ari ng ibang tao nang walang pahintulot at tumangging umalis kapag hinihingi. Ang ari-arian "&amp;"ay maaaring isang bahay, lupa, gusali, o kahit isang nabakuran na enclosure.
**Mga Elemento ng Paglusob:**
* **Pagpasok:** Ang nagkasala ay kailangang pisikal na pumasok sa ari-arian.
* **Walang pahintulot:** Ang nagkasala ay walang pahintulot ng may-ari "&amp;"na pumunta doon.
* **Pagtanggi na umalis:** Ang nagkasala ay nananatili sa ari-arian pagkatapos hilingin na umalis ng may-ari o ng isang lehitimong kinatawan.
**Mga Parusa:**
Ang parusa para sa paglabag ay depende sa mga pangyayari:
* **Slight Trespass:**"&amp;" Kung ang trespass ay maliit at walang pinsalang dulot, maaaring magpataw ng multa.
* **Grave Trespass:** Kung ang paglabag ay nagsasangkot ng karahasan, pananakot, o nagbabanta sa may-ari o ari-arian, ang parusa ay maaaring pagkakulong.
**Mga Artikulo ng"&amp;" RPC na may Mga Partikular na Aplikasyon:**
* **Paglabag na may Babala (RPC Article 144):** Nalalapat ito kung ang trespasser ay naunang binalaan ng may-ari na huwag pumasok sa property.
* **Pagpasok sa Bahay na Paninirahan (RPC Article 145):** Tinutukoy "&amp;"nito ang mas mabigat na parusa para sa pagpasok sa isang tirahan.
**Ibang Batas:**
* **Mga Espesyal na Batas:** Maaaring malapat ang ilang espesyal na batas depende sa uri ng ari-arian na nilabag. Halimbawa, ang pagpasok sa mga base militar ay maaaring ma"&amp;"gkaroon ng karagdagang mga parusa.
* **Civil Law Remedies:** Ang may-ari ng ari-arian ay maaari ding magsampa ng kasong sibil laban sa trespasser para sa anumang pinsalang naidulot. **Kahalagahan ng Pag-post ng Signage:**
* Bagama't hindi sapilitan, ang p"&amp;"ag-post ng mga ""No Trespassing"" na mga karatula sa pribadong ari-arian ay maaaring palakasin ang kaso laban sa mga trespassers.
**Tandaan:**
Ito ay isang pinasimpleng paliwanag. Para sa partikular na legal na payo sa isang insidente ng trespassing, kumu"&amp;"nsulta sa isang kwalipikadong abogado. Narito ang ilang karagdagang punto na dapat isaalang-alang:
* **Right of Ejection:** Ang may-ari ay may karapatan na mapayapang paalisin ang isang trespasser mula sa kanilang ari-arian. Gayunpaman, ang paggamit ng la"&amp;"bis na puwersa ay hindi pinapayagan.
* **Maaaring Ipahiwatig ang pahintulot:** Sa ilang mga kaso, maaaring ipahiwatig ang pahintulot na pumasok sa isang property. Halimbawa, ang pagpasok sa isang tindahan ay bumubuo ng ipinahiwatig na pahintulot na nasa l"&amp;"ugar ng negosyo.
Ang pag-unawa sa mga puntong ito ay maaaring makatulong sa mga may-ari ng ari-arian na protektahan ang kanilang mga karapatan at matiyak na mananagot ang mga lumabag sa batas.")</f>
        <v>Sineseryoso ng batas ng Pilipinas ang mga karapatan sa pag-aari at ang paglabag ay isang pagkakasala. Narito kung paano tinutugunan ng batas ng Pilipinas ang pampublikong trespassing o pagsalakay sa pribadong pag-aari:
**Binagong Kodigo Penal (RPC):**
* **Paglapastangan (RPC Article 143):** Ito ang pangunahing batas na nalalapat sa trespassing. Pinaparusahan nito ang sinumang pumasok sa isang ari-arian na pagmamay-ari ng ibang tao nang walang pahintulot at tumangging umalis kapag hinihingi. Ang ari-arian ay maaaring isang bahay, lupa, gusali, o kahit isang nabakuran na enclosure.
**Mga Elemento ng Paglusob:**
* **Pagpasok:** Ang nagkasala ay kailangang pisikal na pumasok sa ari-arian.
* **Walang pahintulot:** Ang nagkasala ay walang pahintulot ng may-ari na pumunta doon.
* **Pagtanggi na umalis:** Ang nagkasala ay nananatili sa ari-arian pagkatapos hilingin na umalis ng may-ari o ng isang lehitimong kinatawan.
**Mga Parusa:**
Ang parusa para sa paglabag ay depende sa mga pangyayari:
* **Slight Trespass:** Kung ang trespass ay maliit at walang pinsalang dulot, maaaring magpataw ng multa.
* **Grave Trespass:** Kung ang paglabag ay nagsasangkot ng karahasan, pananakot, o nagbabanta sa may-ari o ari-arian, ang parusa ay maaaring pagkakulong.
**Mga Artikulo ng RPC na may Mga Partikular na Aplikasyon:**
* **Paglabag na may Babala (RPC Article 144):** Nalalapat ito kung ang trespasser ay naunang binalaan ng may-ari na huwag pumasok sa property.
* **Pagpasok sa Bahay na Paninirahan (RPC Article 145):** Tinutukoy nito ang mas mabigat na parusa para sa pagpasok sa isang tirahan.
**Ibang Batas:**
* **Mga Espesyal na Batas:** Maaaring malapat ang ilang espesyal na batas depende sa uri ng ari-arian na nilabag. Halimbawa, ang pagpasok sa mga base militar ay maaaring magkaroon ng karagdagang mga parusa.
* **Civil Law Remedies:** Ang may-ari ng ari-arian ay maaari ding magsampa ng kasong sibil laban sa trespasser para sa anumang pinsalang naidulot. **Kahalagahan ng Pag-post ng Signage:**
* Bagama't hindi sapilitan, ang pag-post ng mga "No Trespassing" na mga karatula sa pribadong ari-arian ay maaaring palakasin ang kaso laban sa mga trespassers.
**Tandaan:**
Ito ay isang pinasimpleng paliwanag. Para sa partikular na legal na payo sa isang insidente ng trespassing, kumunsulta sa isang kwalipikadong abogado. Narito ang ilang karagdagang punto na dapat isaalang-alang:
* **Right of Ejection:** Ang may-ari ay may karapatan na mapayapang paalisin ang isang trespasser mula sa kanilang ari-arian. Gayunpaman, ang paggamit ng labis na puwersa ay hindi pinapayagan.
* **Maaaring Ipahiwatig ang pahintulot:** Sa ilang mga kaso, maaaring ipahiwatig ang pahintulot na pumasok sa isang property. Halimbawa, ang pagpasok sa isang tindahan ay bumubuo ng ipinahiwatig na pahintulot na nasa lugar ng negosyo.
Ang pag-unawa sa mga puntong ito ay maaaring makatulong sa mga may-ari ng ari-arian na protektahan ang kanilang mga karapatan at matiyak na mananagot ang mga lumabag sa batas.</v>
      </c>
      <c r="F1874" s="2">
        <f t="shared" si="1"/>
        <v>0</v>
      </c>
      <c r="G1874" s="2"/>
      <c r="H1874" s="2"/>
      <c r="I1874" s="2"/>
      <c r="J1874" s="2"/>
      <c r="K1874" s="2"/>
      <c r="L1874" s="2"/>
      <c r="M1874" s="2"/>
      <c r="N1874" s="2"/>
      <c r="O1874" s="2"/>
      <c r="P1874" s="2"/>
      <c r="Q1874" s="2"/>
      <c r="R1874" s="2"/>
      <c r="S1874" s="2"/>
      <c r="T1874" s="2"/>
      <c r="U1874" s="2"/>
      <c r="V1874" s="2"/>
      <c r="W1874" s="2"/>
      <c r="X1874" s="2"/>
      <c r="Y1874" s="2"/>
      <c r="Z1874" s="2"/>
      <c r="AA1874" s="2"/>
    </row>
    <row r="1875">
      <c r="A1875" s="1" t="s">
        <v>4698</v>
      </c>
      <c r="B1875" s="1" t="s">
        <v>4797</v>
      </c>
      <c r="C1875" s="1" t="s">
        <v>4798</v>
      </c>
      <c r="D1875" s="2" t="str">
        <f>IFERROR(__xludf.DUMMYFUNCTION("GOOGLETRANSLATE(B1875, ""en"", ""TL"")"),"Anong mga legal na hakbang ang umiiral upang labanan ang mga paglabag sa kapaligiran sa antas ng kalye, tulad ng polusyon sa hangin?")</f>
        <v>Anong mga legal na hakbang ang umiiral upang labanan ang mga paglabag sa kapaligiran sa antas ng kalye, tulad ng polusyon sa hangin?</v>
      </c>
      <c r="E1875" s="2" t="str">
        <f>IFERROR(__xludf.DUMMYFUNCTION("GOOGLETRANSLATE(C1875, ""en"", ""TL"")"),"Ang Pilipinas ay may ilang mga legal na hakbang para labanan ang mga paglabag sa kapaligiran sa antas ng kalye, partikular ang polusyon sa hangin. Narito ang isang breakdown ng mga pangunahing hakbang:
**Mga Batas at Regulasyon:**
* **Clean Air Act (RA No"&amp;". 8749):** Ito ang pangunahing batas na namamahala sa kalidad ng hangin sa Pilipinas. Nagtatakda ito ng mga pamantayan sa paglabas para sa iba't ibang pinagmumulan, kabilang ang mga mobile na pinagmumulan (mga sasakyan) at nakatigil na pinagmumulan (mga p"&amp;"abrika). Ang batas ay nagbibigay kapangyarihan sa Department of Environment and Natural Resources (DENR) na ipatupad ang mga pamantayang ito.
* **Ecological Solid Waste Management Act (RA No. 9003):** Habang nakatutok sa solid waste management, ang batas "&amp;"na ito ay hindi direktang nakakatulong sa kalidad ng hangin sa pamamagitan ng pag-regulate ng pagsunog ng basura, isang malaking kontribusyon sa polusyon sa hangin.
* **Clean Water Act (RA No. 3931):** Ang batas na ito, bagama't nakatutok sa kalidad ng tu"&amp;"big, ay kinokontrol din ang mga emisyon ng hangin mula sa ilang pang-industriyang pasilidad na maaaring makaapekto sa kalidad ng hangin.
* **Mga Kautusang Administratibo ng DENR:** Naglalabas ang DENR ng mga partikular na regulasyon para sa iba't ibang as"&amp;"peto ng pamamahala ng kalidad ng hangin. Maaaring kabilang dito ang:
* Mga pamantayan sa emisyon para sa mga partikular na uri ng sasakyan (hal., jeepney, motorsiklo)
* Mga limitasyon sa opacity ng usok para sa mga sasakyan
* Mga paghihigpit sa bukas na p"&amp;"agsunog
**Pagpapatupad:**
* **DENR at Local Government Units (LGUs):** Ang DENR, kasama ang mga LGU, ay may pananagutan sa pagpapatupad ng mga regulasyon sa kalidad ng hangin. Ito ay maaaring may kasamang:
* Pagsasagawa ng mga inspeksyon ng emisyon sa tab"&amp;"ing daan para sa mga sasakyan
* Pagsubaybay sa mga pasilidad na pang-industriya
* Paghuli sa mga lumalabag
**Mga Halimbawa ng Mga Pagkakasala sa Polusyon sa Hangin sa Antas ng Kalye:**
* Usok belching sasakyan na lampas sa mga pamantayan ng emisyon.
* Buk"&amp;"as na pagsunog ng mga basurang materyales (plastik, dahon, atbp.)
* Mga aktibidad sa pagtatayo na bumubuo ng labis na alikabok.
**Mga Parusa:**
Ang mga parusa para sa mga paglabag sa polusyon sa hangin ay maaaring mag-iba depende sa kalubhaan ng paglabag "&amp;"at sa partikular na regulasyong nilabag. Maaari nilang isama ang:
* Mga multa * Pag-impound ng sasakyan
* Pagsasara ng mga pasilidad para sa mga umuulit na nagkasala
**Mga Hamon:**
* **Limited Resources:** Ang pagpapatupad ng mga regulasyon sa kalidad ng "&amp;"hangin ay epektibong nangangailangan ng sapat na lakas-tao at kagamitan, na maaaring maging hamon para sa ilang LGU.
* **Pampublikong Kamalayan:** Ang pagpapataas ng kamalayan ng publiko tungkol sa kahalagahan ng malinis na hangin at paghikayat sa respons"&amp;"ableng pag-uugali ay mahalaga para sa mga pangmatagalang solusyon.
**Ano ang magagawa mo:**
* Iulat ang mga smoke-belching na sasakyan o open burning incident sa DENR o sa iyong lokal na awtoridad.
* Pumili ng mas malinis na paraan ng transportasyon tulad"&amp;" ng paglalakad, pagbibisikleta, o paggamit ng pampublikong sasakyan hangga't maaari.
* Wastong itapon ang basura upang maiwasan ang bukas na pagkasunog.
**Sa pamamagitan ng pagtutulungan, makakatulong ang mga Pilipino na labanan ang polusyon sa hangin sa "&amp;"antas ng kalye at lumikha ng mas malusog na kapaligiran para sa lahat.**
**Mga Karagdagang Punto:**
* **Citizen Suits:** Pinahihintulutan ng batas ng Pilipinas ang mga mamamayan na magsampa ng mga legal na demanda laban sa mga ahensya ng gobyerno o pribad"&amp;"ong entidad para sa mga paglabag sa mga batas sa kapaligiran.
* **Clean Air Advocacy Groups:** Ilang advocacy group ang gumagawa sa mga isyu sa kalidad ng hangin sa Pilipinas. Maaari mong suportahan ang kanilang mga pagsisikap o makibahagi sa pagpapataas "&amp;"ng kamalayan.
Tandaan, ito ay isang pinasimpleng paliwanag. Para sa partikular na legal na payo o impormasyon sa pag-uulat ng mga paglabag sa kapaligiran, kumunsulta sa DENR o isang kwalipikadong abogado.")</f>
        <v>Ang Pilipinas ay may ilang mga legal na hakbang para labanan ang mga paglabag sa kapaligiran sa antas ng kalye, partikular ang polusyon sa hangin. Narito ang isang breakdown ng mga pangunahing hakbang:
**Mga Batas at Regulasyon:**
* **Clean Air Act (RA No. 8749):** Ito ang pangunahing batas na namamahala sa kalidad ng hangin sa Pilipinas. Nagtatakda ito ng mga pamantayan sa paglabas para sa iba't ibang pinagmumulan, kabilang ang mga mobile na pinagmumulan (mga sasakyan) at nakatigil na pinagmumulan (mga pabrika). Ang batas ay nagbibigay kapangyarihan sa Department of Environment and Natural Resources (DENR) na ipatupad ang mga pamantayang ito.
* **Ecological Solid Waste Management Act (RA No. 9003):** Habang nakatutok sa solid waste management, ang batas na ito ay hindi direktang nakakatulong sa kalidad ng hangin sa pamamagitan ng pag-regulate ng pagsunog ng basura, isang malaking kontribusyon sa polusyon sa hangin.
* **Clean Water Act (RA No. 3931):** Ang batas na ito, bagama't nakatutok sa kalidad ng tubig, ay kinokontrol din ang mga emisyon ng hangin mula sa ilang pang-industriyang pasilidad na maaaring makaapekto sa kalidad ng hangin.
* **Mga Kautusang Administratibo ng DENR:** Naglalabas ang DENR ng mga partikular na regulasyon para sa iba't ibang aspeto ng pamamahala ng kalidad ng hangin. Maaaring kabilang dito ang:
* Mga pamantayan sa emisyon para sa mga partikular na uri ng sasakyan (hal., jeepney, motorsiklo)
* Mga limitasyon sa opacity ng usok para sa mga sasakyan
* Mga paghihigpit sa bukas na pagsunog
**Pagpapatupad:**
* **DENR at Local Government Units (LGUs):** Ang DENR, kasama ang mga LGU, ay may pananagutan sa pagpapatupad ng mga regulasyon sa kalidad ng hangin. Ito ay maaaring may kasamang:
* Pagsasagawa ng mga inspeksyon ng emisyon sa tabing daan para sa mga sasakyan
* Pagsubaybay sa mga pasilidad na pang-industriya
* Paghuli sa mga lumalabag
**Mga Halimbawa ng Mga Pagkakasala sa Polusyon sa Hangin sa Antas ng Kalye:**
* Usok belching sasakyan na lampas sa mga pamantayan ng emisyon.
* Bukas na pagsunog ng mga basurang materyales (plastik, dahon, atbp.)
* Mga aktibidad sa pagtatayo na bumubuo ng labis na alikabok.
**Mga Parusa:**
Ang mga parusa para sa mga paglabag sa polusyon sa hangin ay maaaring mag-iba depende sa kalubhaan ng paglabag at sa partikular na regulasyong nilabag. Maaari nilang isama ang:
* Mga multa * Pag-impound ng sasakyan
* Pagsasara ng mga pasilidad para sa mga umuulit na nagkasala
**Mga Hamon:**
* **Limited Resources:** Ang pagpapatupad ng mga regulasyon sa kalidad ng hangin ay epektibong nangangailangan ng sapat na lakas-tao at kagamitan, na maaaring maging hamon para sa ilang LGU.
* **Pampublikong Kamalayan:** Ang pagpapataas ng kamalayan ng publiko tungkol sa kahalagahan ng malinis na hangin at paghikayat sa responsableng pag-uugali ay mahalaga para sa mga pangmatagalang solusyon.
**Ano ang magagawa mo:**
* Iulat ang mga smoke-belching na sasakyan o open burning incident sa DENR o sa iyong lokal na awtoridad.
* Pumili ng mas malinis na paraan ng transportasyon tulad ng paglalakad, pagbibisikleta, o paggamit ng pampublikong sasakyan hangga't maaari.
* Wastong itapon ang basura upang maiwasan ang bukas na pagkasunog.
**Sa pamamagitan ng pagtutulungan, makakatulong ang mga Pilipino na labanan ang polusyon sa hangin sa antas ng kalye at lumikha ng mas malusog na kapaligiran para sa lahat.**
**Mga Karagdagang Punto:**
* **Citizen Suits:** Pinahihintulutan ng batas ng Pilipinas ang mga mamamayan na magsampa ng mga legal na demanda laban sa mga ahensya ng gobyerno o pribadong entidad para sa mga paglabag sa mga batas sa kapaligiran.
* **Clean Air Advocacy Groups:** Ilang advocacy group ang gumagawa sa mga isyu sa kalidad ng hangin sa Pilipinas. Maaari mong suportahan ang kanilang mga pagsisikap o makibahagi sa pagpapataas ng kamalayan.
Tandaan, ito ay isang pinasimpleng paliwanag. Para sa partikular na legal na payo o impormasyon sa pag-uulat ng mga paglabag sa kapaligiran, kumunsulta sa DENR o isang kwalipikadong abogado.</v>
      </c>
      <c r="F1875" s="2">
        <f t="shared" si="1"/>
        <v>0</v>
      </c>
      <c r="G1875" s="2"/>
      <c r="H1875" s="2"/>
      <c r="I1875" s="2"/>
      <c r="J1875" s="2"/>
      <c r="K1875" s="2"/>
      <c r="L1875" s="2"/>
      <c r="M1875" s="2"/>
      <c r="N1875" s="2"/>
      <c r="O1875" s="2"/>
      <c r="P1875" s="2"/>
      <c r="Q1875" s="2"/>
      <c r="R1875" s="2"/>
      <c r="S1875" s="2"/>
      <c r="T1875" s="2"/>
      <c r="U1875" s="2"/>
      <c r="V1875" s="2"/>
      <c r="W1875" s="2"/>
      <c r="X1875" s="2"/>
      <c r="Y1875" s="2"/>
      <c r="Z1875" s="2"/>
      <c r="AA1875" s="2"/>
    </row>
    <row r="1876">
      <c r="A1876" s="1" t="s">
        <v>4698</v>
      </c>
      <c r="B1876" s="1" t="s">
        <v>4799</v>
      </c>
      <c r="C1876" s="1" t="s">
        <v>4800</v>
      </c>
      <c r="D1876" s="2" t="str">
        <f>IFERROR(__xludf.DUMMYFUNCTION("GOOGLETRANSLATE(B1876, ""en"", ""TL"")"),"Sa ilalim ng anong mga pangyayari maaaring kasuhan ang isang tao ng public conspiracy to commit a felony sa mga lansangan?")</f>
        <v>Sa ilalim ng anong mga pangyayari maaaring kasuhan ang isang tao ng public conspiracy to commit a felony sa mga lansangan?</v>
      </c>
      <c r="E1876" s="2" t="str">
        <f>IFERROR(__xludf.DUMMYFUNCTION("GOOGLETRANSLATE(C1876, ""en"", ""TL"")"),"Ang batas ng Pilipinas ay walang partikular na krimen na tinatawag na ""public conspiracy to commit a felony on the streets."" Gayunpaman, may mga legal na konsepto na maaaring ilapat sa mga ganitong sitwasyon:
**Sabwatan (RPC Artikulo 8):**
Ang artikulon"&amp;"g ito ay nagpaparusa sa dalawa o higit pang mga tao na sumasang-ayon na gumawa ng krimen at gumawa ng anumang gawain sa pagsulong ng nasabing kasunduan. Narito ang mga pangunahing elemento para sa pagsasabwatan upang maparusahan:
* **Dalawa o higit pang t"&amp;"ao:** Ang nag-iisang indibidwal na nagpaplano ng krimen ay hindi maituturing na pagsasabwatan.
* **Kasunduan sa paggawa ng isang felony:** Dapat magkaroon ng pagpupulong ng mga isipan sa pagitan ng mga indibidwal upang makagawa ng isang partikular na sery"&amp;"osong krimen (felony). * **Overt act:** Hindi sapat ang pagpaplano lamang. Hindi bababa sa isang tao ang dapat gumawa ng isang kongkretong hakbang patungo sa pagsasakatuparan ng krimen.
**Pampublikong Pagpaplano:**
Bagama't ang lokasyon ng pagpaplano ay h"&amp;"indi ang pangunahing salik, ang pampublikong katangian nito ay maaaring ituring bilang ebidensya:
* **Pananakot:** Kung ang pampublikong pagpaplano mismo ay lumilikha ng pakiramdam ng takot o pananakot sa publiko, maaari itong maparusahan sa ilalim ng kon"&amp;"septo ng ""mga alarma at iskandalo"" (RPC Articles 150-153).
**Paghingi:**
* Pinarurusahan din ng batas ng Pilipinas ang solicitation to commit a crime (RPC Article 18): Nalalapat ito kung ang isang tao ay nag-udyok sa iba na gumawa ng isang felony, kahit"&amp;" na ang krimen ay hindi aktwal na ginawa.
**Tinangkang Krimen:**
* Kung umusad ang pagpaplano sa paggawa ng mga konkretong hakbang patungo sa krimen (hal., pagkuha ng mga tool, pagtukoy ng target), maaari itong ituring na isang pagtatangkang krimen, na ma"&amp;"y parusa din (RPC Book 1, Title Four).
**Mga Hamon sa Pampublikong Pagpaplano:**
* Ang pagpapatunay ng isang konkretong kasunduan at nakaplanong felony ay maaaring maging mahirap, lalo na kung ang pagpaplano ay tila malabo. Ang pagkilos ay dapat na higit "&amp;"pa sa pag-uusap.
**Kahalagahan ng Pag-uulat:**
* Kung nakakita ka ng kahina-hinalang aktibidad na tila nagpaplano para sa isang malubhang krimen, iulat ito sa mga awtoridad. Makakatulong ito upang maiwasan ang krimen na mangyari.
**Dagdag pa:**
* Ang mga "&amp;"local government units (LGUs) ay maaaring magkaroon ng mga ordinansa na tumutugon sa paglalagalag o kahina-hinalang pag-uugali sa mga pampublikong espasyo.
Tandaan, ito ay isang pinasimpleng paliwanag. Para sa partikular na legal na payo sa isang partikul"&amp;"ar na sitwasyon, kumunsulta sa isang kwalipikadong abogado.")</f>
        <v>Ang batas ng Pilipinas ay walang partikular na krimen na tinatawag na "public conspiracy to commit a felony on the streets." Gayunpaman, may mga legal na konsepto na maaaring ilapat sa mga ganitong sitwasyon:
**Sabwatan (RPC Artikulo 8):**
Ang artikulong ito ay nagpaparusa sa dalawa o higit pang mga tao na sumasang-ayon na gumawa ng krimen at gumawa ng anumang gawain sa pagsulong ng nasabing kasunduan. Narito ang mga pangunahing elemento para sa pagsasabwatan upang maparusahan:
* **Dalawa o higit pang tao:** Ang nag-iisang indibidwal na nagpaplano ng krimen ay hindi maituturing na pagsasabwatan.
* **Kasunduan sa paggawa ng isang felony:** Dapat magkaroon ng pagpupulong ng mga isipan sa pagitan ng mga indibidwal upang makagawa ng isang partikular na seryosong krimen (felony). * **Overt act:** Hindi sapat ang pagpaplano lamang. Hindi bababa sa isang tao ang dapat gumawa ng isang kongkretong hakbang patungo sa pagsasakatuparan ng krimen.
**Pampublikong Pagpaplano:**
Bagama't ang lokasyon ng pagpaplano ay hindi ang pangunahing salik, ang pampublikong katangian nito ay maaaring ituring bilang ebidensya:
* **Pananakot:** Kung ang pampublikong pagpaplano mismo ay lumilikha ng pakiramdam ng takot o pananakot sa publiko, maaari itong maparusahan sa ilalim ng konsepto ng "mga alarma at iskandalo" (RPC Articles 150-153).
**Paghingi:**
* Pinarurusahan din ng batas ng Pilipinas ang solicitation to commit a crime (RPC Article 18): Nalalapat ito kung ang isang tao ay nag-udyok sa iba na gumawa ng isang felony, kahit na ang krimen ay hindi aktwal na ginawa.
**Tinangkang Krimen:**
* Kung umusad ang pagpaplano sa paggawa ng mga konkretong hakbang patungo sa krimen (hal., pagkuha ng mga tool, pagtukoy ng target), maaari itong ituring na isang pagtatangkang krimen, na may parusa din (RPC Book 1, Title Four).
**Mga Hamon sa Pampublikong Pagpaplano:**
* Ang pagpapatunay ng isang konkretong kasunduan at nakaplanong felony ay maaaring maging mahirap, lalo na kung ang pagpaplano ay tila malabo. Ang pagkilos ay dapat na higit pa sa pag-uusap.
**Kahalagahan ng Pag-uulat:**
* Kung nakakita ka ng kahina-hinalang aktibidad na tila nagpaplano para sa isang malubhang krimen, iulat ito sa mga awtoridad. Makakatulong ito upang maiwasan ang krimen na mangyari.
**Dagdag pa:**
* Ang mga local government units (LGUs) ay maaaring magkaroon ng mga ordinansa na tumutugon sa paglalagalag o kahina-hinalang pag-uugali sa mga pampublikong espasyo.
Tandaan, ito ay isang pinasimpleng paliwanag. Para sa partikular na legal na payo sa isang partikular na sitwasyon, kumunsulta sa isang kwalipikadong abogado.</v>
      </c>
      <c r="F1876" s="2">
        <f t="shared" si="1"/>
        <v>0</v>
      </c>
      <c r="G1876" s="2"/>
      <c r="H1876" s="2"/>
      <c r="I1876" s="2"/>
      <c r="J1876" s="2"/>
      <c r="K1876" s="2"/>
      <c r="L1876" s="2"/>
      <c r="M1876" s="2"/>
      <c r="N1876" s="2"/>
      <c r="O1876" s="2"/>
      <c r="P1876" s="2"/>
      <c r="Q1876" s="2"/>
      <c r="R1876" s="2"/>
      <c r="S1876" s="2"/>
      <c r="T1876" s="2"/>
      <c r="U1876" s="2"/>
      <c r="V1876" s="2"/>
      <c r="W1876" s="2"/>
      <c r="X1876" s="2"/>
      <c r="Y1876" s="2"/>
      <c r="Z1876" s="2"/>
      <c r="AA1876" s="2"/>
    </row>
    <row r="1877">
      <c r="A1877" s="1" t="s">
        <v>4698</v>
      </c>
      <c r="B1877" s="1" t="s">
        <v>4801</v>
      </c>
      <c r="C1877" s="1" t="s">
        <v>4802</v>
      </c>
      <c r="D1877" s="2" t="str">
        <f>IFERROR(__xludf.DUMMYFUNCTION("GOOGLETRANSLATE(B1877, ""en"", ""TL"")"),"Paano tinutugunan ng batas ng Pilipinas ang mga insidente ng pag-atake o panliligalig sa antas ng kalye batay sa kasarian o oryentasyon?")</f>
        <v>Paano tinutugunan ng batas ng Pilipinas ang mga insidente ng pag-atake o panliligalig sa antas ng kalye batay sa kasarian o oryentasyon?</v>
      </c>
      <c r="E1877" s="2" t="str">
        <f>IFERROR(__xludf.DUMMYFUNCTION("GOOGLETRANSLATE(C1877, ""en"", ""TL"")"),"Ang Pilipinas ay may ilang mga batas at legal na prinsipyo na maaaring ilapat sa mga insidente ng pang-aabuso sa antas ng kalye o panliligalig batay sa kasarian o oryentasyon, kahit na walang isa, partikular na batas laban dito. Narito ang isang breakdown"&amp;" ng mga nauugnay na legal na hakbang:
**Binagong Kodigo Penal (RPC):**
* **Acts of Lasciviousness (RPC Article 335):** Nalalapat ito sa malaswang pag-uugali sa ibang tao sa isang pampublikong lugar. Ito ay maaaring mahalay o nakakasakit na pagpapakita ng "&amp;"pagmamahal sa publiko, mahalay na pananalita, o hindi gustong paghipo, na lahat ay maaaring udyukan ng kasarian o oryentasyon.
* **Pisikal na Pag-atake (RPC Articles 262-267):** Ang mga artikulong ito ay sumasaklaw sa iba't ibang antas ng pisikal na pag-a"&amp;"take (hal., baterya, malubhang pisikal na pinsala). Kung ang pag-atake ay udyok ng kasarian o oryentasyon, maaari itong ituring na isang nagpapalubha na pangyayari, na posibleng magresulta sa isang mas malupit na parusa.
* **Mga Banta at Pagpipilit (RPC A"&amp;"rticles 148-153):** Kung ang panliligalig ay may kasamang paulit-ulit na pagbabanta o pananakot batay sa kasarian o oryentasyon, maaaring gamitin ang mga probisyong ito.
**Mga Espesyal na Batas:**
* **Safe Spaces Act (RA No. 11353):** Ipinagbabawal ng bat"&amp;"as na ito ang lahat ng uri ng sekswal na panliligalig, kabilang ang mga hindi gustong komento, kilos, o pagsulong, sa mga pampublikong espasyo. Bagama't hindi direktang tinutugunan ang panliligalig na nakabatay sa oryentasyon, pinoprotektahan nito ang pag"&amp;"-uugaling udyok ng pagkakakilanlan o pagpapahayag ng kasarian.
* **Anti-Violence Against Women and Children Act (RA No. 9262):** Nag-aalok ang batas na ito ng mas malawak na proteksyon laban sa karahasan sa kababaihan at mga bata. Ang panliligalig o panan"&amp;"akit na udyok ng kasarian ay maaaring kasuhan sa ilalim ng batas na ito. Bagama't hindi tahasang binabanggit ang oryentasyong sekswal, ang pagtutok nito sa karahasang nakabatay sa kasarian ay maaaring ilapat sa ilang sitwasyon.
**Mga Hamon:**
* **Patunay "&amp;"ng Motibo:** Maaaring mahirap patunayan na ang pag-atake o panliligalig ay dahil lang sa kasarian o oryentasyon. * **Underreporting:** Maraming insidente ang hindi naiulat dahil sa takot, kahihiyan, o kawalan ng kamalayan sa mga available na legal na opsy"&amp;"on.
**Kahalagahan ng Pag-uulat:**
Kung makaranas ka ng pang-aabuso o panliligalig sa antas ng kalye batay sa iyong kasarian o oryentasyon, iulat ito kaagad sa mga awtoridad. Ito ay maaaring gawin sa pamamagitan ng pulis o barangay officials (local communi"&amp;"ty leaders). Narito ang ilang mapagkukunan na maaaring makatulong:
* **Philippine National Police (PNP):** [https://pnp.gov.ph/](https://pnp.gov.ph/) (website) o 117 hotline
* **Department of Justice (DOJ) Women's Desk:** [https://www.doj.gov.ph/gender_an"&amp;"d_development.html](https://www.doj.gov.ph/gender_and_development.html) (website )
**Dagdag pa:**
* Ang pagdodokumento ng insidente (hal., pagtala ng oras, lokasyon, mga detalye ng may kasalanan) ay maaaring palakasin ang iyong kaso.
* Ang paghingi ng leg"&amp;"al na payo ay makakatulong sa iyo na maunawaan ang iyong mga karapatan at tuklasin ang mga potensyal na legal na remedyo.
* Ang mga organisasyon ng mga karapatan ng LGBT+ ay maaaring mag-alok ng suporta at gabay sa pamamagitan ng proseso.
**Tandaan:**
Ito"&amp;" ay isang pinasimpleng paliwanag. Para sa partikular na legal na payo sa isang partikular na sitwasyon, kumunsulta sa isang kwalipikadong abogado. Sa pamamagitan ng pag-uulat at paggawa ng aksyon, makakatulong ka na matiyak ang iyong kaligtasan at panagut"&amp;"in ang may kasalanan. Ang Pilipinas ay patuloy na nagsusumikap tungo sa pagpapabuti ng legal na balangkas upang matugunan ang mga isyung ito, at ang iyong mga aksyon ay maaaring mag-ambag sa isang mas ligtas at mas inklusibong kapaligiran para sa lahat.")</f>
        <v>Ang Pilipinas ay may ilang mga batas at legal na prinsipyo na maaaring ilapat sa mga insidente ng pang-aabuso sa antas ng kalye o panliligalig batay sa kasarian o oryentasyon, kahit na walang isa, partikular na batas laban dito. Narito ang isang breakdown ng mga nauugnay na legal na hakbang:
**Binagong Kodigo Penal (RPC):**
* **Acts of Lasciviousness (RPC Article 335):** Nalalapat ito sa malaswang pag-uugali sa ibang tao sa isang pampublikong lugar. Ito ay maaaring mahalay o nakakasakit na pagpapakita ng pagmamahal sa publiko, mahalay na pananalita, o hindi gustong paghipo, na lahat ay maaaring udyukan ng kasarian o oryentasyon.
* **Pisikal na Pag-atake (RPC Articles 262-267):** Ang mga artikulong ito ay sumasaklaw sa iba't ibang antas ng pisikal na pag-atake (hal., baterya, malubhang pisikal na pinsala). Kung ang pag-atake ay udyok ng kasarian o oryentasyon, maaari itong ituring na isang nagpapalubha na pangyayari, na posibleng magresulta sa isang mas malupit na parusa.
* **Mga Banta at Pagpipilit (RPC Articles 148-153):** Kung ang panliligalig ay may kasamang paulit-ulit na pagbabanta o pananakot batay sa kasarian o oryentasyon, maaaring gamitin ang mga probisyong ito.
**Mga Espesyal na Batas:**
* **Safe Spaces Act (RA No. 11353):** Ipinagbabawal ng batas na ito ang lahat ng uri ng sekswal na panliligalig, kabilang ang mga hindi gustong komento, kilos, o pagsulong, sa mga pampublikong espasyo. Bagama't hindi direktang tinutugunan ang panliligalig na nakabatay sa oryentasyon, pinoprotektahan nito ang pag-uugaling udyok ng pagkakakilanlan o pagpapahayag ng kasarian.
* **Anti-Violence Against Women and Children Act (RA No. 9262):** Nag-aalok ang batas na ito ng mas malawak na proteksyon laban sa karahasan sa kababaihan at mga bata. Ang panliligalig o pananakit na udyok ng kasarian ay maaaring kasuhan sa ilalim ng batas na ito. Bagama't hindi tahasang binabanggit ang oryentasyong sekswal, ang pagtutok nito sa karahasang nakabatay sa kasarian ay maaaring ilapat sa ilang sitwasyon.
**Mga Hamon:**
* **Patunay ng Motibo:** Maaaring mahirap patunayan na ang pag-atake o panliligalig ay dahil lang sa kasarian o oryentasyon. * **Underreporting:** Maraming insidente ang hindi naiulat dahil sa takot, kahihiyan, o kawalan ng kamalayan sa mga available na legal na opsyon.
**Kahalagahan ng Pag-uulat:**
Kung makaranas ka ng pang-aabuso o panliligalig sa antas ng kalye batay sa iyong kasarian o oryentasyon, iulat ito kaagad sa mga awtoridad. Ito ay maaaring gawin sa pamamagitan ng pulis o barangay officials (local community leaders). Narito ang ilang mapagkukunan na maaaring makatulong:
* **Philippine National Police (PNP):** [https://pnp.gov.ph/](https://pnp.gov.ph/) (website) o 117 hotline
* **Department of Justice (DOJ) Women's Desk:** [https://www.doj.gov.ph/gender_and_development.html](https://www.doj.gov.ph/gender_and_development.html) (website )
**Dagdag pa:**
* Ang pagdodokumento ng insidente (hal., pagtala ng oras, lokasyon, mga detalye ng may kasalanan) ay maaaring palakasin ang iyong kaso.
* Ang paghingi ng legal na payo ay makakatulong sa iyo na maunawaan ang iyong mga karapatan at tuklasin ang mga potensyal na legal na remedyo.
* Ang mga organisasyon ng mga karapatan ng LGBT+ ay maaaring mag-alok ng suporta at gabay sa pamamagitan ng proseso.
**Tandaan:**
Ito ay isang pinasimpleng paliwanag. Para sa partikular na legal na payo sa isang partikular na sitwasyon, kumunsulta sa isang kwalipikadong abogado. Sa pamamagitan ng pag-uulat at paggawa ng aksyon, makakatulong ka na matiyak ang iyong kaligtasan at panagutin ang may kasalanan. Ang Pilipinas ay patuloy na nagsusumikap tungo sa pagpapabuti ng legal na balangkas upang matugunan ang mga isyung ito, at ang iyong mga aksyon ay maaaring mag-ambag sa isang mas ligtas at mas inklusibong kapaligiran para sa lahat.</v>
      </c>
      <c r="F1877" s="2">
        <f t="shared" si="1"/>
        <v>0</v>
      </c>
      <c r="G1877" s="2"/>
      <c r="H1877" s="2"/>
      <c r="I1877" s="2"/>
      <c r="J1877" s="2"/>
      <c r="K1877" s="2"/>
      <c r="L1877" s="2"/>
      <c r="M1877" s="2"/>
      <c r="N1877" s="2"/>
      <c r="O1877" s="2"/>
      <c r="P1877" s="2"/>
      <c r="Q1877" s="2"/>
      <c r="R1877" s="2"/>
      <c r="S1877" s="2"/>
      <c r="T1877" s="2"/>
      <c r="U1877" s="2"/>
      <c r="V1877" s="2"/>
      <c r="W1877" s="2"/>
      <c r="X1877" s="2"/>
      <c r="Y1877" s="2"/>
      <c r="Z1877" s="2"/>
      <c r="AA1877" s="2"/>
    </row>
    <row r="1878">
      <c r="A1878" s="1" t="s">
        <v>4698</v>
      </c>
      <c r="B1878" s="1" t="s">
        <v>4803</v>
      </c>
      <c r="C1878" s="1" t="s">
        <v>4804</v>
      </c>
      <c r="D1878" s="2" t="str">
        <f>IFERROR(__xludf.DUMMYFUNCTION("GOOGLETRANSLATE(B1878, ""en"", ""TL"")"),"Anong mga parusa ang naaangkop para sa pagsali sa hindi awtorisadong pagbebenta o pamamahagi ng mga kalakal na may mga pekeng trademark sa mga lansangan?")</f>
        <v>Anong mga parusa ang naaangkop para sa pagsali sa hindi awtorisadong pagbebenta o pamamahagi ng mga kalakal na may mga pekeng trademark sa mga lansangan?</v>
      </c>
      <c r="E1878" s="2" t="str">
        <f>IFERROR(__xludf.DUMMYFUNCTION("GOOGLETRANSLATE(C1878, ""en"", ""TL"")"),"Ang pagbebenta o pamamahagi ng mga kalakal na may mga pekeng trademark sa mga lansangan sa Pilipinas ay isang malubhang pagkakasala at maaaring magresulta sa mga parusa kabilang ang mga multa, pagkakulong, at pagkumpiska ng mga kalakal. Narito ang isang b"&amp;"reakdown ng mga nauugnay na batas at mga potensyal na kahihinatnan:
**Intellectual Property Code of the Philippines (RA No. 8293):**
* Ito ang pangunahing batas na nagpoprotekta sa mga trademark. Ipinagbabawal nito ang hindi awtorisadong paggamit ng mga t"&amp;"rademark sa mga kalakal o packaging.
* **Seksyon 155:** Ang seksyong ito ay partikular na tumatalakay sa **paglabag sa trademark**. Ang pagbebenta ng mga pekeng trademark na produkto ay nasa ilalim ng kategoryang ito.
**Mga Parusa para sa Paglabag sa Trad"&amp;"emark:**
* **Mga multa:** Ang mga parusa ay maaaring mula sa **PhP 50,000 hanggang PhP 1 milyon** depende sa kalubhaan ng pagkakasala at sa halaga ng mga nilabag na produkto.
* **Pagkulong:** Sa ilang mga kaso, ang pagkakulong ng **hanggang anim (6) na ta"&amp;"on** ay maaaring ipataw, lalo na para sa mga umuulit na nagkasala o malakihang operasyon.
* **Pagkumpiska ng mga Kalakal:** Ang mga pekeng produkto mismo ay kukumpiskahin at posibleng sirain.
**Mga Karagdagang Pagsasaalang-alang:**
* **Mga Lokal na Ordena"&amp;"nsa:** Maraming mga lungsod at munisipalidad ang may mga ordinansang partikular na nagta-target sa pagbebenta ng mga pekeng produkto. Ang mga ordinansang ito ay maaaring may karagdagang mga parusa o mga partikular na pamamaraan para sa pagkahuli.
* **Civi"&amp;"l Lawsuits:** Ang may-ari ng trademark ay maaari ding magsampa ng kasong sibil laban sa nagbebenta para sa mga pinsalang dulot ng paglabag.
* **Kaseryosohan ng Pagkakasala:** Ang kalubhaan ng mga parusa ay magdedepende sa mga salik tulad ng uri ng tradema"&amp;"rk na nilabag (maaaring magkaroon ng mas malupit na parusa ang mga sikat na brand), ang dami ng mga pekeng produkto na ibinebenta, at kung ang nagbebenta ay paulit-ulit na nagkasala . **Kahalagahan ng Pag-uulat:**
Kung makatagpo ka ng isang tao na nagbebe"&amp;"nta ng mga pekeng trademark na produkto, maaari mong iulat ang mga ito sa mga sumusunod na entity:
* **Intellectual Property Office of the Philippines (IPOPHL):** [https://www.ipophil.gov.ph/](https://www.ipophil.gov.ph/)
* **National Bureau of Investigat"&amp;"ion (NBI):** [https://www.nbi.gov.ph/](https://www.nbi.gov.ph/)
* **Mga Lokal na Ahensya sa Pagpapatupad ng Batas:** Mga opisyal ng pulisya o barangay
**Tandaan:**
Ito ay isang pinasimpleng paliwanag. Para sa partikular na legal na payo sa isang partikula"&amp;"r na sitwasyon, kumunsulta sa isang kwalipikadong abogado. Sa pamamagitan ng pag-uulat ng pagbebenta ng mga pekeng produkto, makakatulong ka na protektahan ang mga lehitimong negosyo at mga karapatan sa intelektwal na ari-arian.")</f>
        <v>Ang pagbebenta o pamamahagi ng mga kalakal na may mga pekeng trademark sa mga lansangan sa Pilipinas ay isang malubhang pagkakasala at maaaring magresulta sa mga parusa kabilang ang mga multa, pagkakulong, at pagkumpiska ng mga kalakal. Narito ang isang breakdown ng mga nauugnay na batas at mga potensyal na kahihinatnan:
**Intellectual Property Code of the Philippines (RA No. 8293):**
* Ito ang pangunahing batas na nagpoprotekta sa mga trademark. Ipinagbabawal nito ang hindi awtorisadong paggamit ng mga trademark sa mga kalakal o packaging.
* **Seksyon 155:** Ang seksyong ito ay partikular na tumatalakay sa **paglabag sa trademark**. Ang pagbebenta ng mga pekeng trademark na produkto ay nasa ilalim ng kategoryang ito.
**Mga Parusa para sa Paglabag sa Trademark:**
* **Mga multa:** Ang mga parusa ay maaaring mula sa **PhP 50,000 hanggang PhP 1 milyon** depende sa kalubhaan ng pagkakasala at sa halaga ng mga nilabag na produkto.
* **Pagkulong:** Sa ilang mga kaso, ang pagkakulong ng **hanggang anim (6) na taon** ay maaaring ipataw, lalo na para sa mga umuulit na nagkasala o malakihang operasyon.
* **Pagkumpiska ng mga Kalakal:** Ang mga pekeng produkto mismo ay kukumpiskahin at posibleng sirain.
**Mga Karagdagang Pagsasaalang-alang:**
* **Mga Lokal na Ordenansa:** Maraming mga lungsod at munisipalidad ang may mga ordinansang partikular na nagta-target sa pagbebenta ng mga pekeng produkto. Ang mga ordinansang ito ay maaaring may karagdagang mga parusa o mga partikular na pamamaraan para sa pagkahuli.
* **Civil Lawsuits:** Ang may-ari ng trademark ay maaari ding magsampa ng kasong sibil laban sa nagbebenta para sa mga pinsalang dulot ng paglabag.
* **Kaseryosohan ng Pagkakasala:** Ang kalubhaan ng mga parusa ay magdedepende sa mga salik tulad ng uri ng trademark na nilabag (maaaring magkaroon ng mas malupit na parusa ang mga sikat na brand), ang dami ng mga pekeng produkto na ibinebenta, at kung ang nagbebenta ay paulit-ulit na nagkasala . **Kahalagahan ng Pag-uulat:**
Kung makatagpo ka ng isang tao na nagbebenta ng mga pekeng trademark na produkto, maaari mong iulat ang mga ito sa mga sumusunod na entity:
* **Intellectual Property Office of the Philippines (IPOPHL):** [https://www.ipophil.gov.ph/](https://www.ipophil.gov.ph/)
* **National Bureau of Investigation (NBI):** [https://www.nbi.gov.ph/](https://www.nbi.gov.ph/)
* **Mga Lokal na Ahensya sa Pagpapatupad ng Batas:** Mga opisyal ng pulisya o barangay
**Tandaan:**
Ito ay isang pinasimpleng paliwanag. Para sa partikular na legal na payo sa isang partikular na sitwasyon, kumunsulta sa isang kwalipikadong abogado. Sa pamamagitan ng pag-uulat ng pagbebenta ng mga pekeng produkto, makakatulong ka na protektahan ang mga lehitimong negosyo at mga karapatan sa intelektwal na ari-arian.</v>
      </c>
      <c r="F1878" s="2">
        <f t="shared" si="1"/>
        <v>0</v>
      </c>
      <c r="G1878" s="2"/>
      <c r="H1878" s="2"/>
      <c r="I1878" s="2"/>
      <c r="J1878" s="2"/>
      <c r="K1878" s="2"/>
      <c r="L1878" s="2"/>
      <c r="M1878" s="2"/>
      <c r="N1878" s="2"/>
      <c r="O1878" s="2"/>
      <c r="P1878" s="2"/>
      <c r="Q1878" s="2"/>
      <c r="R1878" s="2"/>
      <c r="S1878" s="2"/>
      <c r="T1878" s="2"/>
      <c r="U1878" s="2"/>
      <c r="V1878" s="2"/>
      <c r="W1878" s="2"/>
      <c r="X1878" s="2"/>
      <c r="Y1878" s="2"/>
      <c r="Z1878" s="2"/>
      <c r="AA1878" s="2"/>
    </row>
    <row r="1879">
      <c r="A1879" s="1" t="s">
        <v>4698</v>
      </c>
      <c r="B1879" s="1" t="s">
        <v>4805</v>
      </c>
      <c r="C1879" s="1" t="s">
        <v>4806</v>
      </c>
      <c r="D1879" s="2" t="str">
        <f>IFERROR(__xludf.DUMMYFUNCTION("GOOGLETRANSLATE(B1879, ""en"", ""TL"")"),"Anong mga legal na probisyon ang kumokontrol sa pagkakaroon at paggamit ng mga ipinagbabawal na sangkap sa mga pampublikong espasyo?")</f>
        <v>Anong mga legal na probisyon ang kumokontrol sa pagkakaroon at paggamit ng mga ipinagbabawal na sangkap sa mga pampublikong espasyo?</v>
      </c>
      <c r="E1879" s="2" t="str">
        <f>IFERROR(__xludf.DUMMYFUNCTION("GOOGLETRANSLATE(C1879, ""en"", ""TL"")"),"Ang Pilipinas ay may mahigpit na batas tungkol sa pagkakaroon at paggamit ng mga ipinagbabawal na substance sa mga pampublikong lugar. Narito ang isang breakdown ng mga pangunahing legal na probisyon:
**Comprehensive Dangerous Drugs Act (RA No. 9165):**
I"&amp;"to ang pangunahing batas na kumokontrol sa mga mapanganib na droga sa Pilipinas. Binabalangkas nito ang pag-uuri ng mga ilegal na sangkap, mga parusa para sa iba't ibang pagkakasala, at mga interbensyon ng pamahalaan na may kaugnayan sa pagkontrol sa drog"&amp;"a.
**Mga Pangunahing Probisyon:**
* **Seksyon 4:** Inuuri ang iba't ibang mapanganib na gamot sa Iskedyul I hanggang V batay sa kanilang pagiging mapanganib at potensyal para sa pang-aabuso.
* **Seksyon 11:** Pinaparusahan ang **ilegal na pagmamay-ari** n"&amp;"g mga mapanganib na droga. Ang mga parusa ay mula sa habambuhay na pagkakakulong hanggang kamatayan at isang mabigat na multa depende sa dami at iskedyul ng ilegal na sangkap.
* **Seksyon 12:** Pinaparusahan ang pagkakaroon ng **kagamitan, instrumento, o "&amp;"paraphernalia** na ginagamit para sa pangangasiwa, pagkonsumo, o pagpapakilala ng mga mapanganib na droga.
* **Seksyon 15:** Pinaparusahan ang **paggamit** ng mga mapanganib na droga sa pampublikong lugar. Ito ay maaaring parusahan ng pagkakulong mula ani"&amp;"m na buwan hanggang apat na taon at multa. **Pagsasaalang-alang sa Public Space:**
Ang katotohanan na ang pagkakaroon o paggamit ng mga ilegal na droga ay nangyayari sa isang pampublikong espasyo ay maaaring ituring na isang nagpapalubha na pangyayari. Na"&amp;"ngangahulugan ito na posibleng mapataas nito ang parusa dahil sa pampublikong katangian ng pagkakasala at ang panganib na idinudulot nito sa iba.
**Mga Karagdagang Pagsasaalang-alang:**
* **Minimum Indicative Quantity (MIQ):** Tinutukoy ng RA 9165 ang pin"&amp;"akamababang dami ng bawat gamot na itinuturing na sapat upang ipagpalagay ang layuning ibenta o ipamahagi. Ang pag-aari na lumampas sa MIQ ay maaaring humantong sa mas matinding parusa.
* **Pag-alam sa Pag-aari:** Ang batas ay nangangailangan ng patunay n"&amp;"a ang tao ay sadyang nagtataglay ng ilegal na sangkap.
* **Boluntaryong Pagsuko:** Ang batas ay nagbibigay ng mas magaang sentensiya para sa mga boluntaryong sumuko at sumasailalim sa rehabilitasyon. **Kahalagahan ng Pag-uulat:**
Kung may hinala kang guma"&amp;"gamit o nagtataglay ng ilegal na droga sa isang pampublikong lugar, iulat ito kaagad sa mga awtoridad. Maaari kang makipag-ugnayan sa:
* **Philippine National Police (PNP):** [https://pnp.gov.ph/](https://pnp.gov.ph/) (website) o 117 hotline
* **Philippin"&amp;"e Drug Enforcement Agency (PDEA):** [https://pdea.gov.ph/](https://pdea.gov.ph/) (website)
**Tandaan:**
Ito ay isang pinasimpleng paliwanag. Para sa partikular na legal na impormasyon o kung nahaharap ka sa mga legal na isyu na may kaugnayan sa mga gamot,"&amp;" kumunsulta sa isang kwalipikadong abogado.")</f>
        <v>Ang Pilipinas ay may mahigpit na batas tungkol sa pagkakaroon at paggamit ng mga ipinagbabawal na substance sa mga pampublikong lugar. Narito ang isang breakdown ng mga pangunahing legal na probisyon:
**Comprehensive Dangerous Drugs Act (RA No. 9165):**
Ito ang pangunahing batas na kumokontrol sa mga mapanganib na droga sa Pilipinas. Binabalangkas nito ang pag-uuri ng mga ilegal na sangkap, mga parusa para sa iba't ibang pagkakasala, at mga interbensyon ng pamahalaan na may kaugnayan sa pagkontrol sa droga.
**Mga Pangunahing Probisyon:**
* **Seksyon 4:** Inuuri ang iba't ibang mapanganib na gamot sa Iskedyul I hanggang V batay sa kanilang pagiging mapanganib at potensyal para sa pang-aabuso.
* **Seksyon 11:** Pinaparusahan ang **ilegal na pagmamay-ari** ng mga mapanganib na droga. Ang mga parusa ay mula sa habambuhay na pagkakakulong hanggang kamatayan at isang mabigat na multa depende sa dami at iskedyul ng ilegal na sangkap.
* **Seksyon 12:** Pinaparusahan ang pagkakaroon ng **kagamitan, instrumento, o paraphernalia** na ginagamit para sa pangangasiwa, pagkonsumo, o pagpapakilala ng mga mapanganib na droga.
* **Seksyon 15:** Pinaparusahan ang **paggamit** ng mga mapanganib na droga sa pampublikong lugar. Ito ay maaaring parusahan ng pagkakulong mula anim na buwan hanggang apat na taon at multa. **Pagsasaalang-alang sa Public Space:**
Ang katotohanan na ang pagkakaroon o paggamit ng mga ilegal na droga ay nangyayari sa isang pampublikong espasyo ay maaaring ituring na isang nagpapalubha na pangyayari. Nangangahulugan ito na posibleng mapataas nito ang parusa dahil sa pampublikong katangian ng pagkakasala at ang panganib na idinudulot nito sa iba.
**Mga Karagdagang Pagsasaalang-alang:**
* **Minimum Indicative Quantity (MIQ):** Tinutukoy ng RA 9165 ang pinakamababang dami ng bawat gamot na itinuturing na sapat upang ipagpalagay ang layuning ibenta o ipamahagi. Ang pag-aari na lumampas sa MIQ ay maaaring humantong sa mas matinding parusa.
* **Pag-alam sa Pag-aari:** Ang batas ay nangangailangan ng patunay na ang tao ay sadyang nagtataglay ng ilegal na sangkap.
* **Boluntaryong Pagsuko:** Ang batas ay nagbibigay ng mas magaang sentensiya para sa mga boluntaryong sumuko at sumasailalim sa rehabilitasyon. **Kahalagahan ng Pag-uulat:**
Kung may hinala kang gumagamit o nagtataglay ng ilegal na droga sa isang pampublikong lugar, iulat ito kaagad sa mga awtoridad. Maaari kang makipag-ugnayan sa:
* **Philippine National Police (PNP):** [https://pnp.gov.ph/](https://pnp.gov.ph/) (website) o 117 hotline
* **Philippine Drug Enforcement Agency (PDEA):** [https://pdea.gov.ph/](https://pdea.gov.ph/) (website)
**Tandaan:**
Ito ay isang pinasimpleng paliwanag. Para sa partikular na legal na impormasyon o kung nahaharap ka sa mga legal na isyu na may kaugnayan sa mga gamot, kumunsulta sa isang kwalipikadong abogado.</v>
      </c>
      <c r="F1879" s="2">
        <f t="shared" si="1"/>
        <v>0</v>
      </c>
      <c r="G1879" s="2"/>
      <c r="H1879" s="2"/>
      <c r="I1879" s="2"/>
      <c r="J1879" s="2"/>
      <c r="K1879" s="2"/>
      <c r="L1879" s="2"/>
      <c r="M1879" s="2"/>
      <c r="N1879" s="2"/>
      <c r="O1879" s="2"/>
      <c r="P1879" s="2"/>
      <c r="Q1879" s="2"/>
      <c r="R1879" s="2"/>
      <c r="S1879" s="2"/>
      <c r="T1879" s="2"/>
      <c r="U1879" s="2"/>
      <c r="V1879" s="2"/>
      <c r="W1879" s="2"/>
      <c r="X1879" s="2"/>
      <c r="Y1879" s="2"/>
      <c r="Z1879" s="2"/>
      <c r="AA1879" s="2"/>
    </row>
    <row r="1880">
      <c r="A1880" s="1" t="s">
        <v>4698</v>
      </c>
      <c r="B1880" s="1" t="s">
        <v>4807</v>
      </c>
      <c r="C1880" s="1" t="s">
        <v>4808</v>
      </c>
      <c r="D1880" s="2" t="str">
        <f>IFERROR(__xludf.DUMMYFUNCTION("GOOGLETRANSLATE(B1880, ""en"", ""TL"")"),"Paano kinokontrol sa ilalim ng batas ng Pilipinas ang krimen ng pampublikong harassment o pag-atake laban sa mga opisyal ng pagpapatupad ng batas?")</f>
        <v>Paano kinokontrol sa ilalim ng batas ng Pilipinas ang krimen ng pampublikong harassment o pag-atake laban sa mga opisyal ng pagpapatupad ng batas?</v>
      </c>
      <c r="E1880" s="2" t="str">
        <f>IFERROR(__xludf.DUMMYFUNCTION("GOOGLETRANSLATE(C1880, ""en"", ""TL"")"),"Ang pampublikong panliligalig o pag-atake laban sa mga opisyal ng pagpapatupad ng batas ay itinuturing na isang malubhang pagkakasala sa Pilipinas at pinarurusahan sa ilalim ng ilang batas:
1. **Binago ang Kodigo Penal (RPC):**
* **Artikulo 148 (Direktang"&amp;" Pag-atake):** Ang artikulong ito ay nagpaparusa sa sinumang tao na umaatake, nagwelga, o gumagamit ng karahasan laban sa isang taong may awtoridad, kabilang ang mga opisyal ng pagpapatupad ng batas, habang ginagawa nila ang kanilang mga opisyal na tungku"&amp;"lin. Ang parusa ay maaaring mula sa prison mayor (6 na taon at 1 araw hanggang 8 taong pagkakakulong) hanggang reclusion temporal (12 taon at 1 araw hanggang 20 taon na pagkakakulong) depende sa kabigatan ng pag-atake.
* **Artikulo 151 (Paglaban at Pagsuw"&amp;"ay sa Isang Taong May Awtoridad):** Nalalapat ang artikulong ito kapag ang isang tao ay lumalaban o sumuway sa isang ligal na utos ng isang opisyal na nagpapatupad ng batas habang sila ay nasa pagganap ng kanilang mga tungkulin. Ang parusa ay maaaring mul"&amp;"a sa arresto mayor (1 buwan at 1 araw hanggang 6 na buwang pagkakakulong) hanggang prision correccional (6 na buwan at 1 araw hanggang 6 na taong pagkakakulong).
2. **Mga Espesyal na Batas:**
* **Republic Act No. 6975 (Dangerous Drugs Act):** Ang batas na"&amp;" ito ay nagpapataw ng mas matinding parusa para sa karahasan laban sa mga opisyal na nagpapatupad ng batas na nagpapatupad ng mga batas laban sa droga. Ang Seksyon 19 ng Batas ay nagsasaad ng parusang habambuhay na pagkakakulong hanggang kamatayan para sa"&amp;" sinumang tao na umaatake sa isang opisyal ng pagpapatupad ng batas na may layuning pumatay habang nagpapatupad ng mga probisyon ng Batas.
**Konstitusyon ng Pilipinas:**
Ginagarantiyahan ng Konstitusyon ng Pilipinas (Artikulo XIII, Seksyon 5) ang karapata"&amp;"n sa seguridad ng tao. Ang pampublikong panliligalig o pag-atake laban sa mga opisyal ng pagpapatupad ng batas ay sumisira sa kanilang kakayahang mapanatili ang kapayapaan at kaayusan, kaya lumalabag sa karapatang ito sa konstitusyon.
**Mahalagang Tandaan"&amp;":**
* Ilan lamang ito sa mga kaugnay na batas, at ang mga partikular na singil at parusa ay depende sa mga kalagayan ng kaso.
* Kung ikaw ay nahaharap sa mga akusasyon ng pampublikong panliligalig o pag-atake laban sa isang opisyal na nagpapatupad ng bata"&amp;"s, mahalagang kumunsulta sa isang abogado upang maunawaan ang iyong mga karapatan at potensyal na depensa.")</f>
        <v>Ang pampublikong panliligalig o pag-atake laban sa mga opisyal ng pagpapatupad ng batas ay itinuturing na isang malubhang pagkakasala sa Pilipinas at pinarurusahan sa ilalim ng ilang batas:
1. **Binago ang Kodigo Penal (RPC):**
* **Artikulo 148 (Direktang Pag-atake):** Ang artikulong ito ay nagpaparusa sa sinumang tao na umaatake, nagwelga, o gumagamit ng karahasan laban sa isang taong may awtoridad, kabilang ang mga opisyal ng pagpapatupad ng batas, habang ginagawa nila ang kanilang mga opisyal na tungkulin. Ang parusa ay maaaring mula sa prison mayor (6 na taon at 1 araw hanggang 8 taong pagkakakulong) hanggang reclusion temporal (12 taon at 1 araw hanggang 20 taon na pagkakakulong) depende sa kabigatan ng pag-atake.
* **Artikulo 151 (Paglaban at Pagsuway sa Isang Taong May Awtoridad):** Nalalapat ang artikulong ito kapag ang isang tao ay lumalaban o sumuway sa isang ligal na utos ng isang opisyal na nagpapatupad ng batas habang sila ay nasa pagganap ng kanilang mga tungkulin. Ang parusa ay maaaring mula sa arresto mayor (1 buwan at 1 araw hanggang 6 na buwang pagkakakulong) hanggang prision correccional (6 na buwan at 1 araw hanggang 6 na taong pagkakakulong).
2. **Mga Espesyal na Batas:**
* **Republic Act No. 6975 (Dangerous Drugs Act):** Ang batas na ito ay nagpapataw ng mas matinding parusa para sa karahasan laban sa mga opisyal na nagpapatupad ng batas na nagpapatupad ng mga batas laban sa droga. Ang Seksyon 19 ng Batas ay nagsasaad ng parusang habambuhay na pagkakakulong hanggang kamatayan para sa sinumang tao na umaatake sa isang opisyal ng pagpapatupad ng batas na may layuning pumatay habang nagpapatupad ng mga probisyon ng Batas.
**Konstitusyon ng Pilipinas:**
Ginagarantiyahan ng Konstitusyon ng Pilipinas (Artikulo XIII, Seksyon 5) ang karapatan sa seguridad ng tao. Ang pampublikong panliligalig o pag-atake laban sa mga opisyal ng pagpapatupad ng batas ay sumisira sa kanilang kakayahang mapanatili ang kapayapaan at kaayusan, kaya lumalabag sa karapatang ito sa konstitusyon.
**Mahalagang Tandaan:**
* Ilan lamang ito sa mga kaugnay na batas, at ang mga partikular na singil at parusa ay depende sa mga kalagayan ng kaso.
* Kung ikaw ay nahaharap sa mga akusasyon ng pampublikong panliligalig o pag-atake laban sa isang opisyal na nagpapatupad ng batas, mahalagang kumunsulta sa isang abogado upang maunawaan ang iyong mga karapatan at potensyal na depensa.</v>
      </c>
      <c r="F1880" s="2">
        <f t="shared" si="1"/>
        <v>0</v>
      </c>
      <c r="G1880" s="2"/>
      <c r="H1880" s="2"/>
      <c r="I1880" s="2"/>
      <c r="J1880" s="2"/>
      <c r="K1880" s="2"/>
      <c r="L1880" s="2"/>
      <c r="M1880" s="2"/>
      <c r="N1880" s="2"/>
      <c r="O1880" s="2"/>
      <c r="P1880" s="2"/>
      <c r="Q1880" s="2"/>
      <c r="R1880" s="2"/>
      <c r="S1880" s="2"/>
      <c r="T1880" s="2"/>
      <c r="U1880" s="2"/>
      <c r="V1880" s="2"/>
      <c r="W1880" s="2"/>
      <c r="X1880" s="2"/>
      <c r="Y1880" s="2"/>
      <c r="Z1880" s="2"/>
      <c r="AA1880" s="2"/>
    </row>
    <row r="1881">
      <c r="A1881" s="1" t="s">
        <v>4698</v>
      </c>
      <c r="B1881" s="1" t="s">
        <v>4809</v>
      </c>
      <c r="C1881" s="1" t="s">
        <v>4810</v>
      </c>
      <c r="D1881" s="2" t="str">
        <f>IFERROR(__xludf.DUMMYFUNCTION("GOOGLETRANSLATE(B1881, ""en"", ""TL"")"),"Anong mga parusa ang ipinapataw para sa pagsali sa paglabag sa copyright sa antas ng kalye o mga paglabag sa intelektwal na ari-arian?")</f>
        <v>Anong mga parusa ang ipinapataw para sa pagsali sa paglabag sa copyright sa antas ng kalye o mga paglabag sa intelektwal na ari-arian?</v>
      </c>
      <c r="E1881" s="2" t="str">
        <f>IFERROR(__xludf.DUMMYFUNCTION("GOOGLETRANSLATE(C1881, ""en"", ""TL"")"),"May ilang batas ang Pilipinas na tumutugon sa paglabag sa copyright at mga paglabag sa intelektwal na ari-arian (IP), kabilang ang mga paglabag sa antas ng kalye. Narito ang isang breakdown ng mga nauugnay na batas at potensyal na parusa:
**1. Republic Ac"&amp;"t No. 8293 (Intellectual Property Code of the Philippines):**
Ito ang pangunahing batas na namamahala sa mga karapatang intelektwal sa Pilipinas. Tinutukoy nito ang iba't ibang anyo ng paglabag sa IP, kabilang ang paglabag sa copyright, at binabalangkas a"&amp;"ng mga kaukulang parusa. Narito ang ilang mahahalagang punto:
* **Seksyon 21.** Ang seksyong ito ay tumatalakay sa paglabag sa copyright. Ipinagbabawal nito ang hindi awtorisadong pagpaparami, pamamahagi, pagbebenta, o pag-import ng mga naka-copyright na "&amp;"gawa.
* **Seksyon 22.** Ang seksyong ito ay nagtatakda ng mga parusa para sa paglabag sa copyright. Ang mga ito ay maaaring mula sa:
* **Pagkulong:** Isang (1) buwan hanggang tatlong (3) taon
* **Fine:** Limampung libong piso (PhP 50,000) hanggang isang m"&amp;"ilyong piso (PhP 1,000,000)
* **Seksyon 229.** Ang seksyong ito ay partikular na tumutugon sa paglabag para sa komersyal na layunin. Nagpapataw ito ng mas matinding parusa, kabilang ang:
* **Pagkulong:** Tatlong (3) taon at isang (1) araw hanggang anim (6"&amp;") na taon
* **Fine:** Isang milyong piso (PhP 1,000,000) hanggang sampung milyong piso (PhP 10,000,000)
**2. Mga Espesyal na Batas:**
* **Republic Act No. 9239 (Optical Media Act of 2003):** Nakatuon ang batas na ito sa paglabag sa copyright na nauugnay s"&amp;"a optical media, gaya ng mga CD at DVD. Nagpapataw ito ng mga karagdagang parusa para sa hindi awtorisadong pagpaparami at pamamahagi ng naka-copyright na nilalaman sa mga format na ito.
**3. Administrative Sanctions:**
Ang Intellectual Property Office (I"&amp;"PO) ng Pilipinas ay may awtoridad na magpataw ng mga administratibong parusa para sa mga menor de edad na paglabag sa IP. Maaaring kabilang sa mga parusang ito ang:
* Itigil at itigil ang mga utos
* Pagkumpiska ng mga lumalabag na materyales
* Mga multa
*"&amp;"*Mahalagang Tandaan:**
* Ang mga partikular na parusa para sa mga paglabag sa IP sa antas ng kalye ay depende sa likas na katangian ng nilabag na gawain, ang laki ng paglabag (komersyal kumpara sa personal na paggamit), at anumang naunang mga pagkakasala."&amp;"
* Ang mga ahensyang nagpapatupad ng batas at ang IPO ay nagtutulungan upang hulihin at parusahan ang mga indibidwal na sangkot sa mga paglabag sa IP sa antas ng kalye.
** Karagdagang Mga Mapagkukunan:**
* Intellectual Property Office of the Philippines: "&amp;"[https://www.ipophil.gov.ph/](https://www.ipophil.gov.ph/)
Tandaan, ito ay isang pangkalahatang pangkalahatang-ideya lamang. Kung mayroon kang partikular na alalahanin tungkol sa paglabag sa copyright o mga paglabag sa IP, inirerekomendang kumunsulta sa i"&amp;"sang IP lawyer para sa mas partikular na payo.")</f>
        <v>May ilang batas ang Pilipinas na tumutugon sa paglabag sa copyright at mga paglabag sa intelektwal na ari-arian (IP), kabilang ang mga paglabag sa antas ng kalye. Narito ang isang breakdown ng mga nauugnay na batas at potensyal na parusa:
**1. Republic Act No. 8293 (Intellectual Property Code of the Philippines):**
Ito ang pangunahing batas na namamahala sa mga karapatang intelektwal sa Pilipinas. Tinutukoy nito ang iba't ibang anyo ng paglabag sa IP, kabilang ang paglabag sa copyright, at binabalangkas ang mga kaukulang parusa. Narito ang ilang mahahalagang punto:
* **Seksyon 21.** Ang seksyong ito ay tumatalakay sa paglabag sa copyright. Ipinagbabawal nito ang hindi awtorisadong pagpaparami, pamamahagi, pagbebenta, o pag-import ng mga naka-copyright na gawa.
* **Seksyon 22.** Ang seksyong ito ay nagtatakda ng mga parusa para sa paglabag sa copyright. Ang mga ito ay maaaring mula sa:
* **Pagkulong:** Isang (1) buwan hanggang tatlong (3) taon
* **Fine:** Limampung libong piso (PhP 50,000) hanggang isang milyong piso (PhP 1,000,000)
* **Seksyon 229.** Ang seksyong ito ay partikular na tumutugon sa paglabag para sa komersyal na layunin. Nagpapataw ito ng mas matinding parusa, kabilang ang:
* **Pagkulong:** Tatlong (3) taon at isang (1) araw hanggang anim (6) na taon
* **Fine:** Isang milyong piso (PhP 1,000,000) hanggang sampung milyong piso (PhP 10,000,000)
**2. Mga Espesyal na Batas:**
* **Republic Act No. 9239 (Optical Media Act of 2003):** Nakatuon ang batas na ito sa paglabag sa copyright na nauugnay sa optical media, gaya ng mga CD at DVD. Nagpapataw ito ng mga karagdagang parusa para sa hindi awtorisadong pagpaparami at pamamahagi ng naka-copyright na nilalaman sa mga format na ito.
**3. Administrative Sanctions:**
Ang Intellectual Property Office (IPO) ng Pilipinas ay may awtoridad na magpataw ng mga administratibong parusa para sa mga menor de edad na paglabag sa IP. Maaaring kabilang sa mga parusang ito ang:
* Itigil at itigil ang mga utos
* Pagkumpiska ng mga lumalabag na materyales
* Mga multa
**Mahalagang Tandaan:**
* Ang mga partikular na parusa para sa mga paglabag sa IP sa antas ng kalye ay depende sa likas na katangian ng nilabag na gawain, ang laki ng paglabag (komersyal kumpara sa personal na paggamit), at anumang naunang mga pagkakasala.
* Ang mga ahensyang nagpapatupad ng batas at ang IPO ay nagtutulungan upang hulihin at parusahan ang mga indibidwal na sangkot sa mga paglabag sa IP sa antas ng kalye.
** Karagdagang Mga Mapagkukunan:**
* Intellectual Property Office of the Philippines: [https://www.ipophil.gov.ph/](https://www.ipophil.gov.ph/)
Tandaan, ito ay isang pangkalahatang pangkalahatang-ideya lamang. Kung mayroon kang partikular na alalahanin tungkol sa paglabag sa copyright o mga paglabag sa IP, inirerekomendang kumunsulta sa isang IP lawyer para sa mas partikular na payo.</v>
      </c>
      <c r="F1881" s="2">
        <f t="shared" si="1"/>
        <v>0</v>
      </c>
      <c r="G1881" s="2"/>
      <c r="H1881" s="2"/>
      <c r="I1881" s="2"/>
      <c r="J1881" s="2"/>
      <c r="K1881" s="2"/>
      <c r="L1881" s="2"/>
      <c r="M1881" s="2"/>
      <c r="N1881" s="2"/>
      <c r="O1881" s="2"/>
      <c r="P1881" s="2"/>
      <c r="Q1881" s="2"/>
      <c r="R1881" s="2"/>
      <c r="S1881" s="2"/>
      <c r="T1881" s="2"/>
      <c r="U1881" s="2"/>
      <c r="V1881" s="2"/>
      <c r="W1881" s="2"/>
      <c r="X1881" s="2"/>
      <c r="Y1881" s="2"/>
      <c r="Z1881" s="2"/>
      <c r="AA1881" s="2"/>
    </row>
    <row r="1882">
      <c r="A1882" s="1" t="s">
        <v>4698</v>
      </c>
      <c r="B1882" s="1" t="s">
        <v>4811</v>
      </c>
      <c r="C1882" s="1" t="s">
        <v>4812</v>
      </c>
      <c r="D1882" s="2" t="str">
        <f>IFERROR(__xludf.DUMMYFUNCTION("GOOGLETRANSLATE(B1882, ""en"", ""TL"")"),"Paano tinutugunan ng batas ang pagkakasala ng public vagrancy o kawalan ng tirahan sa mga pampublikong lugar?")</f>
        <v>Paano tinutugunan ng batas ang pagkakasala ng public vagrancy o kawalan ng tirahan sa mga pampublikong lugar?</v>
      </c>
      <c r="E1882" s="2" t="str">
        <f>IFERROR(__xludf.DUMMYFUNCTION("GOOGLETRANSLATE(C1882, ""en"", ""TL"")"),"Ang Pilipinas ay walang partikular na batas na nagsasakriminal sa pampublikong paglalagalag o kawalan ng tirahan. Gayunpaman, mayroong ilang mga batas at ordinansa na maaaring gamitin upang tugunan ang ilang mga pag-uugali kung minsan ay nauugnay sa kawal"&amp;"an ng tahanan, kahit na ang mga ito ay maaaring maging kontrobersyal. Narito ang isang breakdown:
* **Revised Penal Code (RPC):** * **Article 202 (Mendicancy):** Ang artikulong ito ay nagpaparusa sa pagmamalimos, lalo na kung ginawa nang agresibo o sa isa"&amp;"ng nagbabantang paraan. Gayunpaman, ang pagkilos ng pagmamalimos mismo, lalo na ng mga tunay na mahihirap, ay isang kulay-abo na lugar at maaaring hindi palaging ipinapatupad.
* **Kodigo ng Lokal na Pamahalaan (LGC):**
* **Seksyon 148 (Power to Enact Ordi"&amp;"nances):** Ito ay nagbibigay ng kapangyarihan sa mga local government units (LGUs) na magpatibay ng mga ordinansang nagtataguyod ng kapayapaan, kaayusan, kaligtasan, at kalusugan. Ang mga LGU ay nagpasa ng mga ordinansa na tumutugon sa mga pampublikong is"&amp;"torbo, na maaaring sumaklaw sa ilang mga pag-uugali na nauugnay sa kawalan ng tahanan, tulad ng pagharang sa mga pedestrian walkway o mga isyu sa kalinisan. Gayunpaman, ang mga ordinansang ito ay dapat na patas at hindi lamang target ang mga taong walang "&amp;"tirahan. **Mga Isyu sa Anti-Vagrancy Measures:**
* **Labo:** Ang mga batas at ordinansa na masyadong malawak ay maaaring ilapat nang hindi patas, na nagta-target sa mga taong walang tirahan para sa simpleng pag-iral sa mga pampublikong espasyo. * **Diskri"&amp;"minasyon:** Ang mga hakbang na ito ay maaaring makaapekto sa populasyon na walang tirahan, na nagpapataas ng mga alalahanin tungkol sa hindi pantay na pagtrato sa ilalim ng batas.
**Ang Konstitusyon ng Pilipinas:**
* **Artikulo XIII, Seksyon 11:** Ginagar"&amp;"antiya nito ang karapatan sa buhay, kalayaan, at seguridad ng tao. Bagama't hindi ganap, ang pamahalaan ay may pananagutan na itaguyod ang karapatang ito, kahit na para sa mga taong walang tirahan.
**Ang Uso Patungo sa Mga Programang Panlipunan:**
Mayroon"&amp;"g lumalagong pagkilala na ang pagkriminalisa sa kawalan ng tahanan ay hindi epektibo at lumilikha ng higit pang kahirapan. Ang gobyerno, kasama ang mga NGO, ay lalong tumutuon sa mga programang panlipunan na nagbibigay ng tirahan, mga pagkakataon sa kabuh"&amp;"ayan, at mga serbisyo ng suporta upang matulungan ang mga tao na lumipat mula sa kawalan ng tirahan.
**Konklusyon:**
Ang Pilipinas ay walang batas laban sa public vagrancy, ngunit ang ilang mga ordinansa at ang RPC ay maaaring gamitin upang tugunan ang mg"&amp;"a partikular na pag-uugali na nauugnay sa kawalan ng tahanan. Gayunpaman, ang mga hakbang na ito ay dapat na balanse laban sa mga karapatan ng mga walang tirahan at ang pangangailangan para sa mga programa sa suportang panlipunan.")</f>
        <v>Ang Pilipinas ay walang partikular na batas na nagsasakriminal sa pampublikong paglalagalag o kawalan ng tirahan. Gayunpaman, mayroong ilang mga batas at ordinansa na maaaring gamitin upang tugunan ang ilang mga pag-uugali kung minsan ay nauugnay sa kawalan ng tahanan, kahit na ang mga ito ay maaaring maging kontrobersyal. Narito ang isang breakdown:
* **Revised Penal Code (RPC):** * **Article 202 (Mendicancy):** Ang artikulong ito ay nagpaparusa sa pagmamalimos, lalo na kung ginawa nang agresibo o sa isang nagbabantang paraan. Gayunpaman, ang pagkilos ng pagmamalimos mismo, lalo na ng mga tunay na mahihirap, ay isang kulay-abo na lugar at maaaring hindi palaging ipinapatupad.
* **Kodigo ng Lokal na Pamahalaan (LGC):**
* **Seksyon 148 (Power to Enact Ordinances):** Ito ay nagbibigay ng kapangyarihan sa mga local government units (LGUs) na magpatibay ng mga ordinansang nagtataguyod ng kapayapaan, kaayusan, kaligtasan, at kalusugan. Ang mga LGU ay nagpasa ng mga ordinansa na tumutugon sa mga pampublikong istorbo, na maaaring sumaklaw sa ilang mga pag-uugali na nauugnay sa kawalan ng tahanan, tulad ng pagharang sa mga pedestrian walkway o mga isyu sa kalinisan. Gayunpaman, ang mga ordinansang ito ay dapat na patas at hindi lamang target ang mga taong walang tirahan. **Mga Isyu sa Anti-Vagrancy Measures:**
* **Labo:** Ang mga batas at ordinansa na masyadong malawak ay maaaring ilapat nang hindi patas, na nagta-target sa mga taong walang tirahan para sa simpleng pag-iral sa mga pampublikong espasyo. * **Diskriminasyon:** Ang mga hakbang na ito ay maaaring makaapekto sa populasyon na walang tirahan, na nagpapataas ng mga alalahanin tungkol sa hindi pantay na pagtrato sa ilalim ng batas.
**Ang Konstitusyon ng Pilipinas:**
* **Artikulo XIII, Seksyon 11:** Ginagarantiya nito ang karapatan sa buhay, kalayaan, at seguridad ng tao. Bagama't hindi ganap, ang pamahalaan ay may pananagutan na itaguyod ang karapatang ito, kahit na para sa mga taong walang tirahan.
**Ang Uso Patungo sa Mga Programang Panlipunan:**
Mayroong lumalagong pagkilala na ang pagkriminalisa sa kawalan ng tahanan ay hindi epektibo at lumilikha ng higit pang kahirapan. Ang gobyerno, kasama ang mga NGO, ay lalong tumutuon sa mga programang panlipunan na nagbibigay ng tirahan, mga pagkakataon sa kabuhayan, at mga serbisyo ng suporta upang matulungan ang mga tao na lumipat mula sa kawalan ng tirahan.
**Konklusyon:**
Ang Pilipinas ay walang batas laban sa public vagrancy, ngunit ang ilang mga ordinansa at ang RPC ay maaaring gamitin upang tugunan ang mga partikular na pag-uugali na nauugnay sa kawalan ng tahanan. Gayunpaman, ang mga hakbang na ito ay dapat na balanse laban sa mga karapatan ng mga walang tirahan at ang pangangailangan para sa mga programa sa suportang panlipunan.</v>
      </c>
      <c r="F1882" s="2">
        <f t="shared" si="1"/>
        <v>0</v>
      </c>
      <c r="G1882" s="2"/>
      <c r="H1882" s="2"/>
      <c r="I1882" s="2"/>
      <c r="J1882" s="2"/>
      <c r="K1882" s="2"/>
      <c r="L1882" s="2"/>
      <c r="M1882" s="2"/>
      <c r="N1882" s="2"/>
      <c r="O1882" s="2"/>
      <c r="P1882" s="2"/>
      <c r="Q1882" s="2"/>
      <c r="R1882" s="2"/>
      <c r="S1882" s="2"/>
      <c r="T1882" s="2"/>
      <c r="U1882" s="2"/>
      <c r="V1882" s="2"/>
      <c r="W1882" s="2"/>
      <c r="X1882" s="2"/>
      <c r="Y1882" s="2"/>
      <c r="Z1882" s="2"/>
      <c r="AA1882" s="2"/>
    </row>
    <row r="1883">
      <c r="A1883" s="1" t="s">
        <v>4698</v>
      </c>
      <c r="B1883" s="1" t="s">
        <v>4813</v>
      </c>
      <c r="C1883" s="1" t="s">
        <v>4814</v>
      </c>
      <c r="D1883" s="2" t="str">
        <f>IFERROR(__xludf.DUMMYFUNCTION("GOOGLETRANSLATE(B1883, ""en"", ""TL"")"),"Anong mga legal na hakbang ang umiiral upang labanan ang cyberbullying sa antas ng kalye o online na panliligalig sa mga pampublikong espasyo?")</f>
        <v>Anong mga legal na hakbang ang umiiral upang labanan ang cyberbullying sa antas ng kalye o online na panliligalig sa mga pampublikong espasyo?</v>
      </c>
      <c r="E1883" s="2" t="str">
        <f>IFERROR(__xludf.DUMMYFUNCTION("GOOGLETRANSLATE(C1883, ""en"", ""TL"")"),"Walang partikular na batas ang Pilipinas na direktang tumutugon sa cyberbullying sa antas ng kalye o online na panliligalig sa mga pampublikong espasyo. Gayunpaman, may mga umiiral nang batas na maaaring magamit upang matugunan ang ilang aspeto ng isyung "&amp;"ito:
**1. Republic Act No. 10175 (Cybercrime Prevention Act of 2012):**
Nakatuon ang batas na ito sa iba't ibang online na krimen, kabilang ang ilan na maaaring may kaugnayan sa cyberbullying sa antas ng kalye:
* **Seksyon 4 (c) (4) (Cyberbullying):** Ang"&amp;" seksyon na ito ay nagpaparusa sa mga kilos na ""patuloy na nagtuturo ng mapang-abuso o pananakot na pananalita laban sa isang tao o grupo ng mga tao, nang hindi nagpapakilala o hindi, gamit ang mga pasilidad ng elektronikong komunikasyon."" Gayunpaman, a"&amp;"ng batas ay nangangailangan ng mga paulit-ulit na insidente para ito ay maituturing na cyberbullying.
* **Seksyon 5 (Libel):** Tinutugunan ng seksyong ito ang online na libel, na maaaring magamit kung ang cyberbullying ay nagsasangkot ng pagpapakalat ng m"&amp;"apanirang-puri na mga pahayag tungkol sa isang tao. Ang parusa ay maaaring mula sa pagkakakulong ng anim (6) na buwan hanggang anim (6) na taon at multang PhP 10,000 hanggang PhP 1,000,000.
**2. Republic Act No. 11313 (Safe Spaces Act of 2019):**
Ang bata"&amp;"s na ito, habang pangunahing nakatuon sa sekswal na panliligalig na nakabatay sa kasarian, ay nag-aalok ng ilang potensyal na aplikasyon:
* **Seksyon 2 (h):** Tinutukoy ang ""online na sekswal na panliligalig"" na maaaring bigyang-kahulugan nang malawak n"&amp;"a sumasaklaw sa ilang uri ng cyberbullying na may sekswal na katangian.
**Mga Hamon at Pagsasaalang-alang:**
* **Pagtitipon ng Ebidensya:** Sa cyberbullying sa antas ng kalye, maaaring mahirap makuha ang ebidensya tulad ng mga screenshot o recording, lalo"&amp;" na kung nangyayari ang panliligalig nang hindi nagpapakilala.
* **Layunin at Konteksto:** Ang Cybercrime Prevention Act ay nangangailangan ng patunay ng mga paulit-ulit na insidente. Ang pagtukoy sa layunin at konteksto ay maaaring nakakalito, lalo na sa"&amp;" mga pampublikong espasyo kung saan maaaring ma-misinterpret ang banter.
**Mga Alternatibong Solusyon:**
* **Mga Mekanismo ng Pag-uulat:** Ang mga paaralan, lugar ng trabaho, at maging ang mga pampublikong establisyimento ay maaaring magtatag ng mga mekan"&amp;"ismo sa pag-uulat para sa mga insidente ng cyberbullying na nagaganap sa loob ng kanilang lugar o gamit ang kanilang Wi-Fi.
* **Kaalaman sa Cybersecurity:** Ang mga kampanyang pang-edukasyon ay maaaring magsulong ng responsableng pag-uugali sa online at m"&amp;"agbigay ng kasangkapan sa mga mamamayan upang matukoy at tumugon sa cyberbullying nang epektibo.
**Konklusyon:**
Bagama't walang iisang batas na tumutugon sa cyberbullying sa antas ng kalye sa mga pampublikong espasyo, ang mga umiiral na batas sa cybercri"&amp;"me at panliligalig ay maaaring mag-alok ng ilang legal na paraan. Gayunpaman, dapat ding tumuon ang mga hakbang sa pag-iwas tulad ng malinaw na mga mekanismo sa pag-uulat at pagtataguyod ng responsableng pag-uugali sa online.")</f>
        <v>Walang partikular na batas ang Pilipinas na direktang tumutugon sa cyberbullying sa antas ng kalye o online na panliligalig sa mga pampublikong espasyo. Gayunpaman, may mga umiiral nang batas na maaaring magamit upang matugunan ang ilang aspeto ng isyung ito:
**1. Republic Act No. 10175 (Cybercrime Prevention Act of 2012):**
Nakatuon ang batas na ito sa iba't ibang online na krimen, kabilang ang ilan na maaaring may kaugnayan sa cyberbullying sa antas ng kalye:
* **Seksyon 4 (c) (4) (Cyberbullying):** Ang seksyon na ito ay nagpaparusa sa mga kilos na "patuloy na nagtuturo ng mapang-abuso o pananakot na pananalita laban sa isang tao o grupo ng mga tao, nang hindi nagpapakilala o hindi, gamit ang mga pasilidad ng elektronikong komunikasyon." Gayunpaman, ang batas ay nangangailangan ng mga paulit-ulit na insidente para ito ay maituturing na cyberbullying.
* **Seksyon 5 (Libel):** Tinutugunan ng seksyong ito ang online na libel, na maaaring magamit kung ang cyberbullying ay nagsasangkot ng pagpapakalat ng mapanirang-puri na mga pahayag tungkol sa isang tao. Ang parusa ay maaaring mula sa pagkakakulong ng anim (6) na buwan hanggang anim (6) na taon at multang PhP 10,000 hanggang PhP 1,000,000.
**2. Republic Act No. 11313 (Safe Spaces Act of 2019):**
Ang batas na ito, habang pangunahing nakatuon sa sekswal na panliligalig na nakabatay sa kasarian, ay nag-aalok ng ilang potensyal na aplikasyon:
* **Seksyon 2 (h):** Tinutukoy ang "online na sekswal na panliligalig" na maaaring bigyang-kahulugan nang malawak na sumasaklaw sa ilang uri ng cyberbullying na may sekswal na katangian.
**Mga Hamon at Pagsasaalang-alang:**
* **Pagtitipon ng Ebidensya:** Sa cyberbullying sa antas ng kalye, maaaring mahirap makuha ang ebidensya tulad ng mga screenshot o recording, lalo na kung nangyayari ang panliligalig nang hindi nagpapakilala.
* **Layunin at Konteksto:** Ang Cybercrime Prevention Act ay nangangailangan ng patunay ng mga paulit-ulit na insidente. Ang pagtukoy sa layunin at konteksto ay maaaring nakakalito, lalo na sa mga pampublikong espasyo kung saan maaaring ma-misinterpret ang banter.
**Mga Alternatibong Solusyon:**
* **Mga Mekanismo ng Pag-uulat:** Ang mga paaralan, lugar ng trabaho, at maging ang mga pampublikong establisyimento ay maaaring magtatag ng mga mekanismo sa pag-uulat para sa mga insidente ng cyberbullying na nagaganap sa loob ng kanilang lugar o gamit ang kanilang Wi-Fi.
* **Kaalaman sa Cybersecurity:** Ang mga kampanyang pang-edukasyon ay maaaring magsulong ng responsableng pag-uugali sa online at magbigay ng kasangkapan sa mga mamamayan upang matukoy at tumugon sa cyberbullying nang epektibo.
**Konklusyon:**
Bagama't walang iisang batas na tumutugon sa cyberbullying sa antas ng kalye sa mga pampublikong espasyo, ang mga umiiral na batas sa cybercrime at panliligalig ay maaaring mag-alok ng ilang legal na paraan. Gayunpaman, dapat ding tumuon ang mga hakbang sa pag-iwas tulad ng malinaw na mga mekanismo sa pag-uulat at pagtataguyod ng responsableng pag-uugali sa online.</v>
      </c>
      <c r="F1883" s="2">
        <f t="shared" si="1"/>
        <v>0</v>
      </c>
      <c r="G1883" s="2"/>
      <c r="H1883" s="2"/>
      <c r="I1883" s="2"/>
      <c r="J1883" s="2"/>
      <c r="K1883" s="2"/>
      <c r="L1883" s="2"/>
      <c r="M1883" s="2"/>
      <c r="N1883" s="2"/>
      <c r="O1883" s="2"/>
      <c r="P1883" s="2"/>
      <c r="Q1883" s="2"/>
      <c r="R1883" s="2"/>
      <c r="S1883" s="2"/>
      <c r="T1883" s="2"/>
      <c r="U1883" s="2"/>
      <c r="V1883" s="2"/>
      <c r="W1883" s="2"/>
      <c r="X1883" s="2"/>
      <c r="Y1883" s="2"/>
      <c r="Z1883" s="2"/>
      <c r="AA1883" s="2"/>
    </row>
    <row r="1884">
      <c r="A1884" s="1" t="s">
        <v>4698</v>
      </c>
      <c r="B1884" s="1" t="s">
        <v>4815</v>
      </c>
      <c r="C1884" s="1" t="s">
        <v>4816</v>
      </c>
      <c r="D1884" s="2" t="str">
        <f>IFERROR(__xludf.DUMMYFUNCTION("GOOGLETRANSLATE(B1884, ""en"", ""TL"")"),"Paano tinutugunan sa ilalim ng batas ng Pilipinas ang krimen ng public indecency o kahalayan?")</f>
        <v>Paano tinutugunan sa ilalim ng batas ng Pilipinas ang krimen ng public indecency o kahalayan?</v>
      </c>
      <c r="E1884" s="2" t="str">
        <f>IFERROR(__xludf.DUMMYFUNCTION("GOOGLETRANSLATE(C1884, ""en"", ""TL"")"),"Ang public indecency o lewd behavior sa Pilipinas ay nasa ilalim ng konsepto ng ""offenses against decency and good customs"" na tinutugunan ng dalawang pangunahing probisyon sa Revised Penal Code (RPC):
* **Artikulo 200 (Grave Scandal):** Nalalapat ang a"&amp;"rtikulong ito kapag ang isang kilos ay ginawa sa isang pampublikong lugar at lubhang nakakainis na nakakasakit laban sa disente at mabuting kaugalian. Narito kung ano ang kasama nito:
* **The Act:** Ito ay maaaring isang pisikal na kilos (tulad ng pampubl"&amp;"ikong sekswal na aktibidad) o isang malakas, malaswang ingay.
* **Pampublikong Lugar:** Kabilang dito ang mga parke, mall, sinehan, at higit sa lahat sa anumang lugar kung saan karaniwang nagtitipon ang mga tao. Ang pagkakaroon ng ikatlong tao na nakasaks"&amp;"i sa kilos ay hindi palaging kinakailangan. * **Nakakainis na Kalikasan:** Ang pagkilos ay dapat na lubhang nakakasakit sa karaniwang kagandahang-asal at moralidad. Halimbawa, maaaring hindi maging kwalipikado ang marubdob na paghalik sa publiko, ngunit t"&amp;"iyak na magiging kwalipikado ang pakikipagtalik sa publiko.
* **Artikulo 201 (Mga Imoral na Doktrina, Mga Malaswang Publikasyon at Eksibisyon at Mga Indecent Show):** Nakatuon ang artikulong ito sa mismong nilalaman, gaya ng mga malalaswang publikasyon o "&amp;"eksibisyon. Nalalapat ito sa:
* **Paglalantad ng Mga Pribadong Bahagi:** Maaaring kabilang dito ang pampublikong kahubaran o malaswang pagkakalantad ng mga ari.
* **Malaswang Materyal:** Sinasaklaw nito ang pamamahagi o eksibisyon ng mga materyal na itinu"&amp;"turing na lubhang nakakasakit sa moral ng publiko. **Mahalagang Tandaan:**
* Ang partikular na pagkilos at ang konteksto ay tutukuyin kung aling artikulo ang naaangkop, o kung pareho ang maaaring may kaugnayan.
* Ito ay mga kriminal na pagkakasala, at ang"&amp;" mga parusa ay maaaring mag-iba depende sa partikular na kilos at artikulong ginamit. Sa pangkalahatan, ang mga ito ay mula sa mga multa hanggang sa pagkakulong.
* Ginagarantiyahan ng Konstitusyon ng Pilipinas (Artikulo XIII, Seksyon 5) ang karapatan sa s"&amp;"eguridad ng tao. Balansehin ng mga korte ang karapatang ito sa pangangailangang itaguyod ang disente at moral ng publiko kapag nagdedesisyon ng mga kaso.
**Mga Karagdagang Pagsasaalang-alang:**
* Ang mga local government units (LGUs) ay maaari ding magkar"&amp;"oon ng mga ordinansa na tumutugon sa public indecency o mahalay na pag-uugali sa loob ng kanilang mga nasasakupan. Ang mga ordinansang ito ay hindi dapat sumalungat sa mga pambansang batas.
Kung mayroon kang mga alalahanin tungkol sa isang partikular na i"&amp;"nsidente o potensyal na paglabag, inirerekomenda na kumunsulta sa isang abogado para sa isang mas partikular na pagtatasa batay sa mga detalye ng sitwasyon.")</f>
        <v>Ang public indecency o lewd behavior sa Pilipinas ay nasa ilalim ng konsepto ng "offenses against decency and good customs" na tinutugunan ng dalawang pangunahing probisyon sa Revised Penal Code (RPC):
* **Artikulo 200 (Grave Scandal):** Nalalapat ang artikulong ito kapag ang isang kilos ay ginawa sa isang pampublikong lugar at lubhang nakakainis na nakakasakit laban sa disente at mabuting kaugalian. Narito kung ano ang kasama nito:
* **The Act:** Ito ay maaaring isang pisikal na kilos (tulad ng pampublikong sekswal na aktibidad) o isang malakas, malaswang ingay.
* **Pampublikong Lugar:** Kabilang dito ang mga parke, mall, sinehan, at higit sa lahat sa anumang lugar kung saan karaniwang nagtitipon ang mga tao. Ang pagkakaroon ng ikatlong tao na nakasaksi sa kilos ay hindi palaging kinakailangan. * **Nakakainis na Kalikasan:** Ang pagkilos ay dapat na lubhang nakakasakit sa karaniwang kagandahang-asal at moralidad. Halimbawa, maaaring hindi maging kwalipikado ang marubdob na paghalik sa publiko, ngunit tiyak na magiging kwalipikado ang pakikipagtalik sa publiko.
* **Artikulo 201 (Mga Imoral na Doktrina, Mga Malaswang Publikasyon at Eksibisyon at Mga Indecent Show):** Nakatuon ang artikulong ito sa mismong nilalaman, gaya ng mga malalaswang publikasyon o eksibisyon. Nalalapat ito sa:
* **Paglalantad ng Mga Pribadong Bahagi:** Maaaring kabilang dito ang pampublikong kahubaran o malaswang pagkakalantad ng mga ari.
* **Malaswang Materyal:** Sinasaklaw nito ang pamamahagi o eksibisyon ng mga materyal na itinuturing na lubhang nakakasakit sa moral ng publiko. **Mahalagang Tandaan:**
* Ang partikular na pagkilos at ang konteksto ay tutukuyin kung aling artikulo ang naaangkop, o kung pareho ang maaaring may kaugnayan.
* Ito ay mga kriminal na pagkakasala, at ang mga parusa ay maaaring mag-iba depende sa partikular na kilos at artikulong ginamit. Sa pangkalahatan, ang mga ito ay mula sa mga multa hanggang sa pagkakulong.
* Ginagarantiyahan ng Konstitusyon ng Pilipinas (Artikulo XIII, Seksyon 5) ang karapatan sa seguridad ng tao. Balansehin ng mga korte ang karapatang ito sa pangangailangang itaguyod ang disente at moral ng publiko kapag nagdedesisyon ng mga kaso.
**Mga Karagdagang Pagsasaalang-alang:**
* Ang mga local government units (LGUs) ay maaari ding magkaroon ng mga ordinansa na tumutugon sa public indecency o mahalay na pag-uugali sa loob ng kanilang mga nasasakupan. Ang mga ordinansang ito ay hindi dapat sumalungat sa mga pambansang batas.
Kung mayroon kang mga alalahanin tungkol sa isang partikular na insidente o potensyal na paglabag, inirerekomenda na kumunsulta sa isang abogado para sa isang mas partikular na pagtatasa batay sa mga detalye ng sitwasyon.</v>
      </c>
      <c r="F1884" s="2">
        <f t="shared" si="1"/>
        <v>0</v>
      </c>
      <c r="G1884" s="2"/>
      <c r="H1884" s="2"/>
      <c r="I1884" s="2"/>
      <c r="J1884" s="2"/>
      <c r="K1884" s="2"/>
      <c r="L1884" s="2"/>
      <c r="M1884" s="2"/>
      <c r="N1884" s="2"/>
      <c r="O1884" s="2"/>
      <c r="P1884" s="2"/>
      <c r="Q1884" s="2"/>
      <c r="R1884" s="2"/>
      <c r="S1884" s="2"/>
      <c r="T1884" s="2"/>
      <c r="U1884" s="2"/>
      <c r="V1884" s="2"/>
      <c r="W1884" s="2"/>
      <c r="X1884" s="2"/>
      <c r="Y1884" s="2"/>
      <c r="Z1884" s="2"/>
      <c r="AA1884" s="2"/>
    </row>
    <row r="1885">
      <c r="A1885" s="1" t="s">
        <v>4698</v>
      </c>
      <c r="B1885" s="1" t="s">
        <v>4817</v>
      </c>
      <c r="C1885" s="1" t="s">
        <v>4818</v>
      </c>
      <c r="D1885" s="2" t="str">
        <f>IFERROR(__xludf.DUMMYFUNCTION("GOOGLETRANSLATE(B1885, ""en"", ""TL"")"),"Anong mga parusa ang naaangkop para sa pagsali sa hindi awtorisadong pagbebenta o pamamahagi ng mga pekeng produkto sa mga lansangan?")</f>
        <v>Anong mga parusa ang naaangkop para sa pagsali sa hindi awtorisadong pagbebenta o pamamahagi ng mga pekeng produkto sa mga lansangan?</v>
      </c>
      <c r="E1885" s="2" t="str">
        <f>IFERROR(__xludf.DUMMYFUNCTION("GOOGLETRANSLATE(C1885, ""en"", ""TL"")"),"Ang pagbebenta o pamamahagi ng mga pekeng produkto sa mga lansangan sa Pilipinas ay isang paglabag sa mga karapatan sa intelektwal na ari-arian (IP) at maaaring humantong sa ilang mga parusa sa ilalim ng iba't ibang batas. Narito ang isang breakdown ng mg"&amp;"a pangunahing punto:
**Pangunahing Batas:**
* **Republic Act No. 8293 (Intellectual Property Code of the Philippines):**
* **Seksyon 21:** Tinutukoy ang paglabag sa copyright, na kinabibilangan ng hindi awtorisadong pagpaparami, pamamahagi, pagbebenta, o "&amp;"pag-import ng mga naka-copyright na gawa (tulad ng mga logo, disenyo) na ginagamit sa mga pekeng produkto.
* **Seksyon 22:** Nagtatakda ng mga parusa para sa paglabag sa copyright:
* **Pagkulong:** Isang (1) buwan hanggang tatlong (3) taon
* **Fine:** Lim"&amp;"ampung libong piso (PhP 50,000) hanggang isang milyong piso (PhP 1,000,000)
* **Seksyon 229:** Tinutugunan ang paglabag para sa mga layuning komersyal (tulad ng pagbebenta sa mga lansangan):
* **Pagkulong:** Tatlong (3) taon at isang (1) araw hanggang ani"&amp;"m (6) na taon
* **Fine:** Isang milyong piso (PhP 1,000,000) hanggang sampung milyong piso (PhP 10,000,000)
**Mga Karagdagang Parusa:**
* **Pagkumpiska:** Maaaring kumpiskahin ng mga ahensyang nagpapatupad ng batas ang mga pekeng produkto.
* **Mga Adminis"&amp;"trative Sanction:** Ang Intellectual Property Office (IPO) ay maaaring magpataw ng mga administratibong sanction para sa mga menor de edad na paglabag sa IP, kabilang ang:
* Itigil at itigil ang mga utos * Mga multa
**Mahahalagang Pagsasaalang-alang:**
* "&amp;"Ang mga partikular na parusa ay depende sa uri ng pekeng produkto, ang sukat ng operasyon (indibidwal na nagbebenta kumpara sa malaking network), at anumang mga naunang pagkakasala.
* Ang pakikipagtulungan sa pagitan ng tagapagpatupad ng batas at ng IPO a"&amp;"y napakahalaga sa paghuli at pagpaparusa sa mga indibidwal na sangkot sa pamemeke sa antas ng kalye.
** Karagdagang Mga Mapagkukunan:**
* Intellectual Property Office of the Philippines: [https://www.ipophil.gov.ph/](https://www.ipophil.gov.ph/)
**Tandaan"&amp;":** Ito ay isang pangkalahatang pangkalahatang-ideya. Ang pagkonsulta sa isang IP lawyer ay inirerekomenda para sa partikular na payo sa iyong sitwasyon.")</f>
        <v>Ang pagbebenta o pamamahagi ng mga pekeng produkto sa mga lansangan sa Pilipinas ay isang paglabag sa mga karapatan sa intelektwal na ari-arian (IP) at maaaring humantong sa ilang mga parusa sa ilalim ng iba't ibang batas. Narito ang isang breakdown ng mga pangunahing punto:
**Pangunahing Batas:**
* **Republic Act No. 8293 (Intellectual Property Code of the Philippines):**
* **Seksyon 21:** Tinutukoy ang paglabag sa copyright, na kinabibilangan ng hindi awtorisadong pagpaparami, pamamahagi, pagbebenta, o pag-import ng mga naka-copyright na gawa (tulad ng mga logo, disenyo) na ginagamit sa mga pekeng produkto.
* **Seksyon 22:** Nagtatakda ng mga parusa para sa paglabag sa copyright:
* **Pagkulong:** Isang (1) buwan hanggang tatlong (3) taon
* **Fine:** Limampung libong piso (PhP 50,000) hanggang isang milyong piso (PhP 1,000,000)
* **Seksyon 229:** Tinutugunan ang paglabag para sa mga layuning komersyal (tulad ng pagbebenta sa mga lansangan):
* **Pagkulong:** Tatlong (3) taon at isang (1) araw hanggang anim (6) na taon
* **Fine:** Isang milyong piso (PhP 1,000,000) hanggang sampung milyong piso (PhP 10,000,000)
**Mga Karagdagang Parusa:**
* **Pagkumpiska:** Maaaring kumpiskahin ng mga ahensyang nagpapatupad ng batas ang mga pekeng produkto.
* **Mga Administrative Sanction:** Ang Intellectual Property Office (IPO) ay maaaring magpataw ng mga administratibong sanction para sa mga menor de edad na paglabag sa IP, kabilang ang:
* Itigil at itigil ang mga utos * Mga multa
**Mahahalagang Pagsasaalang-alang:**
* Ang mga partikular na parusa ay depende sa uri ng pekeng produkto, ang sukat ng operasyon (indibidwal na nagbebenta kumpara sa malaking network), at anumang mga naunang pagkakasala.
* Ang pakikipagtulungan sa pagitan ng tagapagpatupad ng batas at ng IPO ay napakahalaga sa paghuli at pagpaparusa sa mga indibidwal na sangkot sa pamemeke sa antas ng kalye.
** Karagdagang Mga Mapagkukunan:**
* Intellectual Property Office of the Philippines: [https://www.ipophil.gov.ph/](https://www.ipophil.gov.ph/)
**Tandaan:** Ito ay isang pangkalahatang pangkalahatang-ideya. Ang pagkonsulta sa isang IP lawyer ay inirerekomenda para sa partikular na payo sa iyong sitwasyon.</v>
      </c>
      <c r="F1885" s="2">
        <f t="shared" si="1"/>
        <v>0</v>
      </c>
      <c r="G1885" s="2"/>
      <c r="H1885" s="2"/>
      <c r="I1885" s="2"/>
      <c r="J1885" s="2"/>
      <c r="K1885" s="2"/>
      <c r="L1885" s="2"/>
      <c r="M1885" s="2"/>
      <c r="N1885" s="2"/>
      <c r="O1885" s="2"/>
      <c r="P1885" s="2"/>
      <c r="Q1885" s="2"/>
      <c r="R1885" s="2"/>
      <c r="S1885" s="2"/>
      <c r="T1885" s="2"/>
      <c r="U1885" s="2"/>
      <c r="V1885" s="2"/>
      <c r="W1885" s="2"/>
      <c r="X1885" s="2"/>
      <c r="Y1885" s="2"/>
      <c r="Z1885" s="2"/>
      <c r="AA1885" s="2"/>
    </row>
    <row r="1886">
      <c r="A1886" s="1" t="s">
        <v>4698</v>
      </c>
      <c r="B1886" s="1" t="s">
        <v>4819</v>
      </c>
      <c r="C1886" s="1" t="s">
        <v>4820</v>
      </c>
      <c r="D1886" s="2" t="str">
        <f>IFERROR(__xludf.DUMMYFUNCTION("GOOGLETRANSLATE(B1886, ""en"", ""TL"")"),"Sa ilalim ng anong mga pangyayari maaaring kasuhan ang isang tao ng public conspiracy to commit terrorism sa mga lansangan?")</f>
        <v>Sa ilalim ng anong mga pangyayari maaaring kasuhan ang isang tao ng public conspiracy to commit terrorism sa mga lansangan?</v>
      </c>
      <c r="E1886" s="2" t="str">
        <f>IFERROR(__xludf.DUMMYFUNCTION("GOOGLETRANSLATE(C1886, ""en"", ""TL"")"),"Sineseryoso ng batas ng Pilipinas ang pampublikong pagsasabwatan upang gumawa ng terorismo. Narito ang kailangan mong malaman:
* **Republic Act No. 9516 (Terrorism Financing Prevention and Suppression Act of 2002):** Ito ang pangunahing batas na tumutukoy"&amp;" at nagpaparusa sa terorismo sa Pilipinas.
* **Seksyon 4 (Conspiracy to Commit Terrorism):** Ang seksyong ito ay partikular na tumutugon sa pampublikong pagsasabwatan:
* **Dalawa o Higit pang Tao:** Dapat mayroong kasunduan sa pagitan ng dalawa o higit pa"&amp;"ng tao upang magplano o magsagawa ng teroristang pagkilos.
* **Terrorist Act:** Ang aksyon ay dapat na naglalayong maghasik ng lagim sa populasyon ng sibilyan, pilitin ang pamahalaan, o takutin ang publiko. Kabilang sa mga halimbawa ang pambobomba, pag-hi"&amp;"jack, malawakang pamamaril, at paggamit ng kemikal o biyolohikal na mga armas.
* **Overt Act:** Dapat mayroong isang kongkretong hakbang na ginawa sa pagsulong ng pagsasabwatan. Maaaring hindi sapat ang simpleng talakayan o pagpaplano, ngunit ang mga pagk"&amp;"ilos tulad ng pagkuha ng mga armas o lokasyon ng pagmamanman ay maaaring ituring na mga hayagang gawa.
* **Pampublikong Kalikasan:** Ang pangunahing elemento para sa ""pampublikong pagsasabwatan"" ay ang pagpaplano o kasunduan sa paggawa ng terorismo ay n"&amp;"angyayari nang hayagan, nang hindi sinusubukang itago ito sa mga awtoridad. **Mahahalagang Punto:**
* Ang mga parusa para sa pampublikong pagsasabwatan upang gumawa ng terorismo ay malubha, at maaaring kabilang ang habambuhay na pagkakulong nang walang pa"&amp;"rol.
* Ang mga ahensyang nagpapatupad ng batas ay may malawak na kapangyarihan upang imbestigahan ang mga pinaghihinalaang aktibidad ng terorista, kabilang ang pagsubaybay at pag-wiretap sa ilalim ng mga partikular na legal na alituntunin.
* **Mahalagang "&amp;"Tandaan:** **Ang hinala o hindi pagsang-ayon ay hindi terorismo.** Ang batas ay nangangailangan ng isang kongkretong plano at ang layunin na magdulot ng malawakang takot.
**Kung pinaghihinalaan mo ang pampublikong pagsasabwatan upang gumawa ng terorismo:*"&amp;"*
* **Iulat ito kaagad** sa pinakamalapit na istasyon ng pulisya o mga awtoridad. Maaari ka ring mag-ulat nang hindi nagpapakilala sa pamamagitan ng mga hotline ng terorismo.
* **Huwag harapin** ang mga pinaghihinalaang indibidwal mismo.
Tandaan, ang pagp"&amp;"igil sa terorismo ay isang sama-samang pagsisikap. Sa pamamagitan ng pagkakaroon ng kamalayan sa batas at pag-uulat ng mga kahina-hinalang aktibidad, maaari kang makatulong na panatilihing ligtas ang iyong komunidad.")</f>
        <v>Sineseryoso ng batas ng Pilipinas ang pampublikong pagsasabwatan upang gumawa ng terorismo. Narito ang kailangan mong malaman:
* **Republic Act No. 9516 (Terrorism Financing Prevention and Suppression Act of 2002):** Ito ang pangunahing batas na tumutukoy at nagpaparusa sa terorismo sa Pilipinas.
* **Seksyon 4 (Conspiracy to Commit Terrorism):** Ang seksyong ito ay partikular na tumutugon sa pampublikong pagsasabwatan:
* **Dalawa o Higit pang Tao:** Dapat mayroong kasunduan sa pagitan ng dalawa o higit pang tao upang magplano o magsagawa ng teroristang pagkilos.
* **Terrorist Act:** Ang aksyon ay dapat na naglalayong maghasik ng lagim sa populasyon ng sibilyan, pilitin ang pamahalaan, o takutin ang publiko. Kabilang sa mga halimbawa ang pambobomba, pag-hijack, malawakang pamamaril, at paggamit ng kemikal o biyolohikal na mga armas.
* **Overt Act:** Dapat mayroong isang kongkretong hakbang na ginawa sa pagsulong ng pagsasabwatan. Maaaring hindi sapat ang simpleng talakayan o pagpaplano, ngunit ang mga pagkilos tulad ng pagkuha ng mga armas o lokasyon ng pagmamanman ay maaaring ituring na mga hayagang gawa.
* **Pampublikong Kalikasan:** Ang pangunahing elemento para sa "pampublikong pagsasabwatan" ay ang pagpaplano o kasunduan sa paggawa ng terorismo ay nangyayari nang hayagan, nang hindi sinusubukang itago ito sa mga awtoridad. **Mahahalagang Punto:**
* Ang mga parusa para sa pampublikong pagsasabwatan upang gumawa ng terorismo ay malubha, at maaaring kabilang ang habambuhay na pagkakulong nang walang parol.
* Ang mga ahensyang nagpapatupad ng batas ay may malawak na kapangyarihan upang imbestigahan ang mga pinaghihinalaang aktibidad ng terorista, kabilang ang pagsubaybay at pag-wiretap sa ilalim ng mga partikular na legal na alituntunin.
* **Mahalagang Tandaan:** **Ang hinala o hindi pagsang-ayon ay hindi terorismo.** Ang batas ay nangangailangan ng isang kongkretong plano at ang layunin na magdulot ng malawakang takot.
**Kung pinaghihinalaan mo ang pampublikong pagsasabwatan upang gumawa ng terorismo:**
* **Iulat ito kaagad** sa pinakamalapit na istasyon ng pulisya o mga awtoridad. Maaari ka ring mag-ulat nang hindi nagpapakilala sa pamamagitan ng mga hotline ng terorismo.
* **Huwag harapin** ang mga pinaghihinalaang indibidwal mismo.
Tandaan, ang pagpigil sa terorismo ay isang sama-samang pagsisikap. Sa pamamagitan ng pagkakaroon ng kamalayan sa batas at pag-uulat ng mga kahina-hinalang aktibidad, maaari kang makatulong na panatilihing ligtas ang iyong komunidad.</v>
      </c>
      <c r="F1886" s="2">
        <f t="shared" si="1"/>
        <v>0</v>
      </c>
      <c r="G1886" s="2"/>
      <c r="H1886" s="2"/>
      <c r="I1886" s="2"/>
      <c r="J1886" s="2"/>
      <c r="K1886" s="2"/>
      <c r="L1886" s="2"/>
      <c r="M1886" s="2"/>
      <c r="N1886" s="2"/>
      <c r="O1886" s="2"/>
      <c r="P1886" s="2"/>
      <c r="Q1886" s="2"/>
      <c r="R1886" s="2"/>
      <c r="S1886" s="2"/>
      <c r="T1886" s="2"/>
      <c r="U1886" s="2"/>
      <c r="V1886" s="2"/>
      <c r="W1886" s="2"/>
      <c r="X1886" s="2"/>
      <c r="Y1886" s="2"/>
      <c r="Z1886" s="2"/>
      <c r="AA1886" s="2"/>
    </row>
    <row r="1887">
      <c r="A1887" s="1" t="s">
        <v>4698</v>
      </c>
      <c r="B1887" s="1" t="s">
        <v>4821</v>
      </c>
      <c r="C1887" s="1" t="s">
        <v>4822</v>
      </c>
      <c r="D1887" s="2" t="str">
        <f>IFERROR(__xludf.DUMMYFUNCTION("GOOGLETRANSLATE(B1887, ""en"", ""TL"")"),"Paano tinutugunan ng batas ng Pilipinas ang mga insidente ng pag-atake o panliligalig sa antas ng kalye batay sa lahi o etnisidad?")</f>
        <v>Paano tinutugunan ng batas ng Pilipinas ang mga insidente ng pag-atake o panliligalig sa antas ng kalye batay sa lahi o etnisidad?</v>
      </c>
      <c r="E1887" s="2" t="str">
        <f>IFERROR(__xludf.DUMMYFUNCTION("GOOGLETRANSLATE(C1887, ""en"", ""TL"")"),"Ang Pilipinas ay walang partikular na batas na direktang tumutugon sa pag-atake o panliligalig sa antas ng kalye na nakabatay lamang sa lahi o etnisidad. Gayunpaman, may mga umiiral nang batas na maaaring magamit upang tugunan ang mga isyung ito, kahit na"&amp;" may ilang mga limitasyon. Narito ang isang breakdown:
* **Binago ang Kodigo Penal (RPC):**
* **Artikulo 148 (Direktang Pag-atake):** Nalalapat ito kung ang isang tao ay inatake dahil sa kanilang lahi o etnisidad. Ang parusa ay maaaring mula sa prison may"&amp;"or (6 na taon at 1 araw hanggang 8 taong pagkakakulong) hanggang reclusion temporal (12 taon at 1 araw hanggang 20 taon na pagkakakulong) depende sa kabigatan ng pag-atake.
* **Artikulo 151 (Resistance and Disobedience to a Person in Authority):** Ito ay "&amp;"maaaring may kaugnayan kung ang biktima ay susubukan na ipagtanggol ang kanilang sarili at makikitang lumalaban sa may kasalanan. Gayunpaman, ang pagkilos ng pagtatanggol sa sarili ay maaaring gamitin bilang isang legal na katwiran.
* **Mga Batas laban sa"&amp;" Diskriminasyon:**
* Bagama't walang batas na partikular na nagta-target sa diskriminasyon sa lahi o etniko, ipinagbabawal ng Republic Act No. 11313 (Safe Spaces Act) ang sekswal na panliligalig na udyok ng pagkiling, na maaaring bigyang-kahulugan nang ma"&amp;"lawakan sa ilang mga kaso. Gayunpaman, ang focus dito ay pangunahin sa sexual harassment.
**Mga Hamon at Limitasyon:**
* **Layunin vs. Motibo:** Ang pagpapatunay ng lahi o etnikong motibo sa isang pag-atake ay maaaring maging mahirap. Nakatuon ang batas s"&amp;"a mismong gawa (pag-atake), hindi kinakailangan ang dahilan sa likod nito.
* **Kakulangan ng Partikular na Proteksyon:** Ang kawalan ng batas na direktang tumutugon sa panliligalig sa lahi/etniko ay nag-iiwan ng ilang puwang sa proteksyon. **Ano ang Magag"&amp;"awa:**
* **Iulat ang Insidente:** Maghain ng ulat sa pulisya sa kabila ng mga limitasyon. Lumilikha ito ng talaan ng insidente at tumutulong sa pagbuo ng isang kaso laban sa mga krimen ng poot.
* **Humingi ng Legal na Tulong:** Maaaring magpayo ang isang "&amp;"abogado sa pinakamahusay na paraan ng pagkilos batay sa mga partikular na detalye ng pag-atake o panliligalig.
* **Pagtataguyod:** Ang pagtulak ng batas na partikular na tumutugon sa diskriminasyon sa lahi at etniko ay maaaring magbigay ng mas malakas na "&amp;"legal na proteksyon sa hinaharap.
**Ang Konstitusyon ng Pilipinas:**
* **Artikulo XIII, Seksyon 1:** Ito ay ginagarantiyahan ang karapatan sa pantay na proteksyon ng mga batas, na nangangahulugan na ang lahat ay dapat tratuhin nang pantay-pantay anuman an"&amp;"g lahi o etnisidad. Ang prinsipyong ito ay maaaring gamitin upang makipagtalo laban sa mga pag-atake na may motibasyon ng lahi.
**Konklusyon:**
Bagama't walang iisang batas na tumutugon sa pag-atake sa antas ng kalye o panliligalig na nakabatay lamang sa "&amp;"lahi o etnisidad, ang mga umiiral na batas sa pag-atake at ang karapatan sa pantay na proteksyon ay maaaring mag-alok ng ilang paraan. Gayunpaman, ang pagtataguyod para sa isang partikular na batas laban sa diskriminasyon at tamang pag-uulat ng mga inside"&amp;"nte ay mahahalagang hakbang tungo sa mas malakas na proteksyong legal.")</f>
        <v>Ang Pilipinas ay walang partikular na batas na direktang tumutugon sa pag-atake o panliligalig sa antas ng kalye na nakabatay lamang sa lahi o etnisidad. Gayunpaman, may mga umiiral nang batas na maaaring magamit upang tugunan ang mga isyung ito, kahit na may ilang mga limitasyon. Narito ang isang breakdown:
* **Binago ang Kodigo Penal (RPC):**
* **Artikulo 148 (Direktang Pag-atake):** Nalalapat ito kung ang isang tao ay inatake dahil sa kanilang lahi o etnisidad. Ang parusa ay maaaring mula sa prison mayor (6 na taon at 1 araw hanggang 8 taong pagkakakulong) hanggang reclusion temporal (12 taon at 1 araw hanggang 20 taon na pagkakakulong) depende sa kabigatan ng pag-atake.
* **Artikulo 151 (Resistance and Disobedience to a Person in Authority):** Ito ay maaaring may kaugnayan kung ang biktima ay susubukan na ipagtanggol ang kanilang sarili at makikitang lumalaban sa may kasalanan. Gayunpaman, ang pagkilos ng pagtatanggol sa sarili ay maaaring gamitin bilang isang legal na katwiran.
* **Mga Batas laban sa Diskriminasyon:**
* Bagama't walang batas na partikular na nagta-target sa diskriminasyon sa lahi o etniko, ipinagbabawal ng Republic Act No. 11313 (Safe Spaces Act) ang sekswal na panliligalig na udyok ng pagkiling, na maaaring bigyang-kahulugan nang malawakan sa ilang mga kaso. Gayunpaman, ang focus dito ay pangunahin sa sexual harassment.
**Mga Hamon at Limitasyon:**
* **Layunin vs. Motibo:** Ang pagpapatunay ng lahi o etnikong motibo sa isang pag-atake ay maaaring maging mahirap. Nakatuon ang batas sa mismong gawa (pag-atake), hindi kinakailangan ang dahilan sa likod nito.
* **Kakulangan ng Partikular na Proteksyon:** Ang kawalan ng batas na direktang tumutugon sa panliligalig sa lahi/etniko ay nag-iiwan ng ilang puwang sa proteksyon. **Ano ang Magagawa:**
* **Iulat ang Insidente:** Maghain ng ulat sa pulisya sa kabila ng mga limitasyon. Lumilikha ito ng talaan ng insidente at tumutulong sa pagbuo ng isang kaso laban sa mga krimen ng poot.
* **Humingi ng Legal na Tulong:** Maaaring magpayo ang isang abogado sa pinakamahusay na paraan ng pagkilos batay sa mga partikular na detalye ng pag-atake o panliligalig.
* **Pagtataguyod:** Ang pagtulak ng batas na partikular na tumutugon sa diskriminasyon sa lahi at etniko ay maaaring magbigay ng mas malakas na legal na proteksyon sa hinaharap.
**Ang Konstitusyon ng Pilipinas:**
* **Artikulo XIII, Seksyon 1:** Ito ay ginagarantiyahan ang karapatan sa pantay na proteksyon ng mga batas, na nangangahulugan na ang lahat ay dapat tratuhin nang pantay-pantay anuman ang lahi o etnisidad. Ang prinsipyong ito ay maaaring gamitin upang makipagtalo laban sa mga pag-atake na may motibasyon ng lahi.
**Konklusyon:**
Bagama't walang iisang batas na tumutugon sa pag-atake sa antas ng kalye o panliligalig na nakabatay lamang sa lahi o etnisidad, ang mga umiiral na batas sa pag-atake at ang karapatan sa pantay na proteksyon ay maaaring mag-alok ng ilang paraan. Gayunpaman, ang pagtataguyod para sa isang partikular na batas laban sa diskriminasyon at tamang pag-uulat ng mga insidente ay mahahalagang hakbang tungo sa mas malakas na proteksyong legal.</v>
      </c>
      <c r="F1887" s="2">
        <f t="shared" si="1"/>
        <v>0</v>
      </c>
      <c r="G1887" s="2"/>
      <c r="H1887" s="2"/>
      <c r="I1887" s="2"/>
      <c r="J1887" s="2"/>
      <c r="K1887" s="2"/>
      <c r="L1887" s="2"/>
      <c r="M1887" s="2"/>
      <c r="N1887" s="2"/>
      <c r="O1887" s="2"/>
      <c r="P1887" s="2"/>
      <c r="Q1887" s="2"/>
      <c r="R1887" s="2"/>
      <c r="S1887" s="2"/>
      <c r="T1887" s="2"/>
      <c r="U1887" s="2"/>
      <c r="V1887" s="2"/>
      <c r="W1887" s="2"/>
      <c r="X1887" s="2"/>
      <c r="Y1887" s="2"/>
      <c r="Z1887" s="2"/>
      <c r="AA1887" s="2"/>
    </row>
    <row r="1888">
      <c r="A1888" s="1" t="s">
        <v>4698</v>
      </c>
      <c r="B1888" s="1" t="s">
        <v>4823</v>
      </c>
      <c r="C1888" s="1" t="s">
        <v>4824</v>
      </c>
      <c r="D1888" s="2" t="str">
        <f>IFERROR(__xludf.DUMMYFUNCTION("GOOGLETRANSLATE(B1888, ""en"", ""TL"")"),"Anong mga legal na probisyon ang kumokontrol sa hindi awtorisadong paggamit o pag-okupa sa mga pampublikong parke at libangan?")</f>
        <v>Anong mga legal na probisyon ang kumokontrol sa hindi awtorisadong paggamit o pag-okupa sa mga pampublikong parke at libangan?</v>
      </c>
      <c r="E1888" s="2" t="str">
        <f>IFERROR(__xludf.DUMMYFUNCTION("GOOGLETRANSLATE(C1888, ""en"", ""TL"")"),"Tinutugunan ng batas ng Pilipinas ang hindi awtorisadong paggamit o pag-okupa ng mga pampublikong parke at mga lugar na libangan sa pamamagitan ng kumbinasyon ng pambansang batas at mga ordinansa ng lokal na pamahalaan. Narito ang isang breakdown ng mga p"&amp;"angunahing punto:
**Mga Pambansang Batas:**
* **Binago ang Kodigo Penal (RPC):**
* **Artikulo 318 (Usurpation of Public Functions):** Nalalapat ito kung may nag-aangkin ng awtoridad o kontrol sa isang pampublikong parke o lugar ng libangan nang walang leg"&amp;"al na pahintulot. * **Artikulo 319 (Illegal na Pagtapon):** Nalalapat ito kung may humahadlang sa nararapat na awtoridad sa paggamit o pamamahala ng isang pampublikong parke o lugar ng libangan.
Mahalagang tandaan na ang mga artikulong ito ay medyo malawa"&amp;"k at maaaring hindi direktang tumugon sa bawat pagkakataon ng hindi awtorisadong paggamit.
* **Republic Act No. 7160 (Local Government Code of the Philippines):**
* **Seksyon 148 (Power to Enact Ordinances):** Ito ay nagbibigay ng kapangyarihan sa mga loc"&amp;"al government units (LGUs) na magpatibay ng mga ordinansang nagtataguyod ng kapayapaan, kaayusan, kaligtasan, at kalusugan. Kabilang dito ang awtoridad na i-regulate ang paggamit ng mga pampublikong parke at recreational area sa loob ng kanilang nasasakup"&amp;"an.
**Mga Ordenansa ng Lokal na Pamahalaan:**
Ang mga LGU ay kadalasang may mga partikular na ordinansa na nagdedetalye ng mga pinapayagan at ipinagbabawal na aktibidad sa mga pampublikong parke. Ang mga ordinansang ito ay maaaring tumugon sa mga isyu tul"&amp;"ad ng:
* Camping o overnight stay nang walang permit
* Pagtatapon ng basura o hindi tamang pagtatapon ng basura
* Pinsala sa mga pasilidad ng parke
* Pagsali sa mga aktibidad na komersyal nang walang pahintulot
* Hindi maayos na pag-uugali o nakakagambala"&amp;" sa kapayapaan
**Mga Parusa:**
Ang mga parusa para sa hindi awtorisadong paggamit o trabaho ay depende sa partikular na paglabag at sa naaangkop na batas o ordinansa. Ang mga ito ay maaaring mula sa mga multa hanggang sa pagkakulong sa mga matinding kaso."&amp;"
**Mahahalagang Pagsasaalang-alang:**
* Ang mga partikular na detalye ng hindi awtorisadong paggamit ay tutukuyin ang naaangkop na legal na probisyon na ilalapat.
* Ang pakikipagtulungan sa mga awtoridad ng parke ay mahalaga upang maiwasan ang anumang leg"&amp;"al na isyu.
* Kung hindi sigurado tungkol sa mga pinapahintulutang aktibidad sa isang partikular na parke, pinakamahusay na magtanong sa administrasyon ng parke o tingnan ang mga naka-post na alituntunin.
**Tandaan:** Ang mga pampublikong parke at recreat"&amp;"ional area ay para sa kasiyahan ng lahat. Ang paggamit ng mga ito nang responsable at pagsunod sa mga regulasyon ay nagsisiguro ng isang ligtas at kasiya-siyang karanasan para sa lahat.")</f>
        <v>Tinutugunan ng batas ng Pilipinas ang hindi awtorisadong paggamit o pag-okupa ng mga pampublikong parke at mga lugar na libangan sa pamamagitan ng kumbinasyon ng pambansang batas at mga ordinansa ng lokal na pamahalaan. Narito ang isang breakdown ng mga pangunahing punto:
**Mga Pambansang Batas:**
* **Binago ang Kodigo Penal (RPC):**
* **Artikulo 318 (Usurpation of Public Functions):** Nalalapat ito kung may nag-aangkin ng awtoridad o kontrol sa isang pampublikong parke o lugar ng libangan nang walang legal na pahintulot. * **Artikulo 319 (Illegal na Pagtapon):** Nalalapat ito kung may humahadlang sa nararapat na awtoridad sa paggamit o pamamahala ng isang pampublikong parke o lugar ng libangan.
Mahalagang tandaan na ang mga artikulong ito ay medyo malawak at maaaring hindi direktang tumugon sa bawat pagkakataon ng hindi awtorisadong paggamit.
* **Republic Act No. 7160 (Local Government Code of the Philippines):**
* **Seksyon 148 (Power to Enact Ordinances):** Ito ay nagbibigay ng kapangyarihan sa mga local government units (LGUs) na magpatibay ng mga ordinansang nagtataguyod ng kapayapaan, kaayusan, kaligtasan, at kalusugan. Kabilang dito ang awtoridad na i-regulate ang paggamit ng mga pampublikong parke at recreational area sa loob ng kanilang nasasakupan.
**Mga Ordenansa ng Lokal na Pamahalaan:**
Ang mga LGU ay kadalasang may mga partikular na ordinansa na nagdedetalye ng mga pinapayagan at ipinagbabawal na aktibidad sa mga pampublikong parke. Ang mga ordinansang ito ay maaaring tumugon sa mga isyu tulad ng:
* Camping o overnight stay nang walang permit
* Pagtatapon ng basura o hindi tamang pagtatapon ng basura
* Pinsala sa mga pasilidad ng parke
* Pagsali sa mga aktibidad na komersyal nang walang pahintulot
* Hindi maayos na pag-uugali o nakakagambala sa kapayapaan
**Mga Parusa:**
Ang mga parusa para sa hindi awtorisadong paggamit o trabaho ay depende sa partikular na paglabag at sa naaangkop na batas o ordinansa. Ang mga ito ay maaaring mula sa mga multa hanggang sa pagkakulong sa mga matinding kaso.
**Mahahalagang Pagsasaalang-alang:**
* Ang mga partikular na detalye ng hindi awtorisadong paggamit ay tutukuyin ang naaangkop na legal na probisyon na ilalapat.
* Ang pakikipagtulungan sa mga awtoridad ng parke ay mahalaga upang maiwasan ang anumang legal na isyu.
* Kung hindi sigurado tungkol sa mga pinapahintulutang aktibidad sa isang partikular na parke, pinakamahusay na magtanong sa administrasyon ng parke o tingnan ang mga naka-post na alituntunin.
**Tandaan:** Ang mga pampublikong parke at recreational area ay para sa kasiyahan ng lahat. Ang paggamit ng mga ito nang responsable at pagsunod sa mga regulasyon ay nagsisiguro ng isang ligtas at kasiya-siyang karanasan para sa lahat.</v>
      </c>
      <c r="F1888" s="2">
        <f t="shared" si="1"/>
        <v>0</v>
      </c>
      <c r="G1888" s="2"/>
      <c r="H1888" s="2"/>
      <c r="I1888" s="2"/>
      <c r="J1888" s="2"/>
      <c r="K1888" s="2"/>
      <c r="L1888" s="2"/>
      <c r="M1888" s="2"/>
      <c r="N1888" s="2"/>
      <c r="O1888" s="2"/>
      <c r="P1888" s="2"/>
      <c r="Q1888" s="2"/>
      <c r="R1888" s="2"/>
      <c r="S1888" s="2"/>
      <c r="T1888" s="2"/>
      <c r="U1888" s="2"/>
      <c r="V1888" s="2"/>
      <c r="W1888" s="2"/>
      <c r="X1888" s="2"/>
      <c r="Y1888" s="2"/>
      <c r="Z1888" s="2"/>
      <c r="AA1888" s="2"/>
    </row>
    <row r="1889">
      <c r="A1889" s="1" t="s">
        <v>4698</v>
      </c>
      <c r="B1889" s="1" t="s">
        <v>4825</v>
      </c>
      <c r="C1889" s="1" t="s">
        <v>4826</v>
      </c>
      <c r="D1889" s="2" t="str">
        <f>IFERROR(__xludf.DUMMYFUNCTION("GOOGLETRANSLATE(B1889,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889" s="2" t="str">
        <f>IFERROR(__xludf.DUMMYFUNCTION("GOOGLETRANSLATE(C1889, ""en"", ""TL"")"),"Sineseryoso ng batas ng Pilipinas ang pag-iwas sa buwis at mga mapanlinlang na aktibidad sa pananalapi, na may mga parusa na nag-iiba depende sa partikular na pagkakasala at ang halagang kasangkot. Bagama't ang mga aktibidad sa antas ng kalye ay maaaring "&amp;"may kasamang mas maliliit na halaga, ang mga ito ay ilegal pa rin. Narito ang isang breakdown ng mga nauugnay na batas at mga potensyal na kahihinatnan:
**Pag-iwas sa Buwis:**
* **Tax Code (Republic Act No. 8424):** * **Seksyon 255 (Tax Evasion Through Fa"&amp;"lse o Fraudulent Statements):** Nalalapat ito kung ang isang tao ay sadyang minamaliit ang kanilang kita o nagmemeke ng impormasyon sa mga tax return. Maaaring kabilang sa mga parusa ang:
* Pagkakulong: Dalawang (2) taon at isang (1) araw hanggang anim (6"&amp;") na taon
* Surcharge: 50% ng buwis na iniiwasan
* Interes: Interes sa hindi nabayarang buwis mula sa takdang petsa
* **Kodigo ng Lokal na Pamahalaan (LGC):**
* **Seksyon 148 (Power to Enact Ordinances):** Ang mga LGU ay maaaring magpataw ng mga parusa pa"&amp;"ra sa hindi pagbabayad ng mga lokal na buwis, na maaaring may kaugnayan para sa mga street-level vendor na hindi nagbabayad ng mga business permit o iba pang lokal na buwis. Ang mga parusang ito ay karaniwang mga multa.
**Mga Mapanlinlang na Aktibidad sa "&amp;"Pananalapi:**
* **Binago ang Kodigo Penal (RPC):**
* **Artikulo 315 (Estafa):** Ito ang pangkalahatang batas sa pandaraya, na maaaring ilapat sa iba't ibang mapanlinlang na aktibidad sa pananalapi, kahit na sa antas ng kalye. Narito kung paano ito nalalap"&amp;"at:
* **Pandaraya:** Ang may kasalanan ay dapat gumamit ng panlilinlang upang linlangin ang biktima.
* **Pansala:** Ang biktima ay nagdurusa sa pananalapi o pinsala.
* **Ilegal na Pagkakaroon:** May natamo ang may kasalanan sa pamamagitan ng panloloko.
* "&amp;"Ang mga parusa para sa Estafa ay depende sa halagang nasasangkot:
* May kasalanan dahil sa bahagyang pagpapabaya (mas mababa sa PhP 5,000): Pagkakulong ng isa (1) hanggang tatlong (3) buwan
* May kasalanan dahil sa simpleng kapabayaan (PhP 5,000 hanggang "&amp;"PhP 18,000): Pagkakulong ng anim (6) na buwan hanggang isang (1) taon
* Estafa (higit sa PhP 18,000): Prision correccional (6 na buwan at 1 araw hanggang 6 na taong pagkakakulong) hanggang reclusion temporal (12 taon at 1 araw hanggang 20 taon na pagkakak"&amp;"ulong)
* **Mga Espesyal na Batas:**
* Maaaring may mga partikular na batas na tumatalakay sa mga mapanlinlang na aktibidad sa pananalapi depende sa uri ng krimen. Halimbawa, ang paggamit ng pekeng pera ay maaaring mahulog sa ilalim ng Central Bank Act.
**"&amp;"Mahahalagang Pagsasaalang-alang:**
* Ang mga partikular na parusa ay magdedepende sa eksaktong uri ng pag-iwas sa buwis o mapanlinlang na aktibidad, at ang halaga ng pera na kasangkot.
* Kahit na ang tila maliliit na pagkakasala sa antas ng kalye ay maaar"&amp;"ing magkaroon ng mga legal na kahihinatnan.
* Kung may hinala kang tax evasion o fraudulent activity, maaari mo itong iulat sa Bureau of Internal Revenue (BIR) o sa Philippine National Police (PNP).
**Tandaan:** Ang pagbabayad ng mga buwis at pagsasagawa "&amp;"ng mga aktibidad sa pananalapi nang tapat ay mahalaga. Kung hindi ka sigurado sa iyong mga obligasyon sa buwis o pinaghihinalaan mo ang mapanlinlang na aktibidad, inirerekomenda ang pagkonsulta sa isang propesyonal sa buwis o abogado.")</f>
        <v>Sineseryoso ng batas ng Pilipinas ang pag-iwas sa buwis at mga mapanlinlang na aktibidad sa pananalapi, na may mga parusa na nag-iiba depende sa partikular na pagkakasala at ang halagang kasangkot. Bagama't ang mga aktibidad sa antas ng kalye ay maaaring may kasamang mas maliliit na halaga, ang mga ito ay ilegal pa rin. Narito ang isang breakdown ng mga nauugnay na batas at mga potensyal na kahihinatnan:
**Pag-iwas sa Buwis:**
* **Tax Code (Republic Act No. 8424):** * **Seksyon 255 (Tax Evasion Through False o Fraudulent Statements):** Nalalapat ito kung ang isang tao ay sadyang minamaliit ang kanilang kita o nagmemeke ng impormasyon sa mga tax return. Maaaring kabilang sa mga parusa ang:
* Pagkakulong: Dalawang (2) taon at isang (1) araw hanggang anim (6) na taon
* Surcharge: 50% ng buwis na iniiwasan
* Interes: Interes sa hindi nabayarang buwis mula sa takdang petsa
* **Kodigo ng Lokal na Pamahalaan (LGC):**
* **Seksyon 148 (Power to Enact Ordinances):** Ang mga LGU ay maaaring magpataw ng mga parusa para sa hindi pagbabayad ng mga lokal na buwis, na maaaring may kaugnayan para sa mga street-level vendor na hindi nagbabayad ng mga business permit o iba pang lokal na buwis. Ang mga parusang ito ay karaniwang mga multa.
**Mga Mapanlinlang na Aktibidad sa Pananalapi:**
* **Binago ang Kodigo Penal (RPC):**
* **Artikulo 315 (Estafa):** Ito ang pangkalahatang batas sa pandaraya, na maaaring ilapat sa iba't ibang mapanlinlang na aktibidad sa pananalapi, kahit na sa antas ng kalye. Narito kung paano ito nalalapat:
* **Pandaraya:** Ang may kasalanan ay dapat gumamit ng panlilinlang upang linlangin ang biktima.
* **Pansala:** Ang biktima ay nagdurusa sa pananalapi o pinsala.
* **Ilegal na Pagkakaroon:** May natamo ang may kasalanan sa pamamagitan ng panloloko.
* Ang mga parusa para sa Estafa ay depende sa halagang nasasangkot:
* May kasalanan dahil sa bahagyang pagpapabaya (mas mababa sa PhP 5,000): Pagkakulong ng isa (1) hanggang tatlong (3) buwan
* May kasalanan dahil sa simpleng kapabayaan (PhP 5,000 hanggang PhP 18,000): Pagkakulong ng anim (6) na buwan hanggang isang (1) taon
* Estafa (higit sa PhP 18,000): Prision correccional (6 na buwan at 1 araw hanggang 6 na taong pagkakakulong) hanggang reclusion temporal (12 taon at 1 araw hanggang 20 taon na pagkakakulong)
* **Mga Espesyal na Batas:**
* Maaaring may mga partikular na batas na tumatalakay sa mga mapanlinlang na aktibidad sa pananalapi depende sa uri ng krimen. Halimbawa, ang paggamit ng pekeng pera ay maaaring mahulog sa ilalim ng Central Bank Act.
**Mahahalagang Pagsasaalang-alang:**
* Ang mga partikular na parusa ay magdedepende sa eksaktong uri ng pag-iwas sa buwis o mapanlinlang na aktibidad, at ang halaga ng pera na kasangkot.
* Kahit na ang tila maliliit na pagkakasala sa antas ng kalye ay maaaring magkaroon ng mga legal na kahihinatnan.
* Kung may hinala kang tax evasion o fraudulent activity, maaari mo itong iulat sa Bureau of Internal Revenue (BIR) o sa Philippine National Police (PNP).
**Tandaan:** Ang pagbabayad ng mga buwis at pagsasagawa ng mga aktibidad sa pananalapi nang tapat ay mahalaga. Kung hindi ka sigurado sa iyong mga obligasyon sa buwis o pinaghihinalaan mo ang mapanlinlang na aktibidad, inirerekomenda ang pagkonsulta sa isang propesyonal sa buwis o abogado.</v>
      </c>
      <c r="F1889" s="2">
        <f t="shared" si="1"/>
        <v>13</v>
      </c>
      <c r="G1889" s="2"/>
      <c r="H1889" s="2"/>
      <c r="I1889" s="2"/>
      <c r="J1889" s="2"/>
      <c r="K1889" s="2"/>
      <c r="L1889" s="2"/>
      <c r="M1889" s="2"/>
      <c r="N1889" s="2"/>
      <c r="O1889" s="2"/>
      <c r="P1889" s="2"/>
      <c r="Q1889" s="2"/>
      <c r="R1889" s="2"/>
      <c r="S1889" s="2"/>
      <c r="T1889" s="2"/>
      <c r="U1889" s="2"/>
      <c r="V1889" s="2"/>
      <c r="W1889" s="2"/>
      <c r="X1889" s="2"/>
      <c r="Y1889" s="2"/>
      <c r="Z1889" s="2"/>
      <c r="AA1889" s="2"/>
    </row>
    <row r="1890">
      <c r="A1890" s="1" t="s">
        <v>4698</v>
      </c>
      <c r="B1890" s="1" t="s">
        <v>4827</v>
      </c>
      <c r="C1890" s="1" t="s">
        <v>4828</v>
      </c>
      <c r="D1890" s="2" t="str">
        <f>IFERROR(__xludf.DUMMYFUNCTION("GOOGLETRANSLATE(B1890, ""en"", ""TL"")"),"Paano tinutugunan ang pagkakasala ng pampublikong extortion o blackmail sa ilalim ng batas ng Pilipinas?")</f>
        <v>Paano tinutugunan ang pagkakasala ng pampublikong extortion o blackmail sa ilalim ng batas ng Pilipinas?</v>
      </c>
      <c r="E1890" s="2" t="str">
        <f>IFERROR(__xludf.DUMMYFUNCTION("GOOGLETRANSLATE(C1890, ""en"", ""TL"")"),"Ang public extortion o blackmail ay isang seryosong kasalanan sa Pilipinas at pinarurusahan sa ilalim ng Revised Penal Code (RPC). Narito ang isang breakdown ng nauugnay na batas at ang aplikasyon nito:
* **Artikulo 283 (Magaan na Banta):** Ito ang pangun"&amp;"ahing batas na nalalapat sa pampublikong pangingikil o blackmail. Narito ang mga pangunahing elemento ng krimen sa ilalim ng Artikulo 283:
* **Banta:** Ang salarin ay dapat magbanta na magdulot ng labag sa batas na pinsala (pisikal na pinsala, pinsala sa "&amp;"ari-arian, o reputasyon) sa biktima o isang taong malapit sa kanila. * **Demand:** Ang may kasalanan ay dapat humingi ng pera, ari-arian, o iba pang labag sa batas na benepisyo mula sa biktima bilang kapalit ng hindi pagtupad sa pagbabanta. * **Public Nat"&amp;"ure:** Ang pagbabanta ay dapat gawin sa pampublikong paraan, ibig sabihin, ginagawa ito sa paraang maaaring marinig o masaksihan ng iba. Ito ay naiiba sa mga pribadong pagbabanta, na nasa ilalim ng ibang artikulo (Artikulo 148).
**Mga Parusa:**
Ang parusa"&amp;" sa public extortion o blackmail sa ilalim ng Article 283 ay arresto mayor (1 buwan at 1 araw hanggang 6 na buwang pagkakakulong) hanggang prision correccional (6 na buwan at 1 araw hanggang 6 na taong pagkakakulong). Ang partikular na parusa ay depende s"&amp;"a kalubhaan ng pagbabanta at sa pagpapasya ng hukom.
**Mahahalagang Pagsasaalang-alang:**
* **Pagtangkang kumpara sa Pagkumpleto:** Kahit na walang makuha ang salarin mula sa biktima, ang pagtatangkang gumawa ng pampublikong extortion o blackmail ay isang"&amp;" krimen pa rin.
* **Ebidensya:** Ang pangangalap ng ebidensya ng banta at ang kahilingan ay mahalaga para sa isang matagumpay na pag-uusig. Maaaring kabilang dito ang mga recording, testimonya ng saksi, o mga text message.
* **Iba Pang Batas:** Depende sa"&amp;" uri ng banta, maaaring naaangkop din ang iba pang mga batas tulad ng malubhang banta (Artikulo 282) o cybercrime (Republic Act No. 10175).
**Paano Mag-ulat ng Pampublikong Pangingikil o Blackmail:**
* Mag-file ng ulat ng pulisya sa pinakamalapit na istas"&amp;"yon ng pulisya. * Makipagtulungan sa pagpapatupad ng batas sa pangangalap ng ebidensya.
* Isaalang-alang ang paghingi ng legal na tulong mula sa isang abogado na makapagpapayo sa iyo sa iyong mga karapatan at opsyon.
**Tandaan:** Ang pampublikong pangingi"&amp;"kil o blackmail ay isang krimen. Kung ikaw ay biktima, huwag mag-atubiling iulat ito sa mga awtoridad.")</f>
        <v>Ang public extortion o blackmail ay isang seryosong kasalanan sa Pilipinas at pinarurusahan sa ilalim ng Revised Penal Code (RPC). Narito ang isang breakdown ng nauugnay na batas at ang aplikasyon nito:
* **Artikulo 283 (Magaan na Banta):** Ito ang pangunahing batas na nalalapat sa pampublikong pangingikil o blackmail. Narito ang mga pangunahing elemento ng krimen sa ilalim ng Artikulo 283:
* **Banta:** Ang salarin ay dapat magbanta na magdulot ng labag sa batas na pinsala (pisikal na pinsala, pinsala sa ari-arian, o reputasyon) sa biktima o isang taong malapit sa kanila. * **Demand:** Ang may kasalanan ay dapat humingi ng pera, ari-arian, o iba pang labag sa batas na benepisyo mula sa biktima bilang kapalit ng hindi pagtupad sa pagbabanta. * **Public Nature:** Ang pagbabanta ay dapat gawin sa pampublikong paraan, ibig sabihin, ginagawa ito sa paraang maaaring marinig o masaksihan ng iba. Ito ay naiiba sa mga pribadong pagbabanta, na nasa ilalim ng ibang artikulo (Artikulo 148).
**Mga Parusa:**
Ang parusa sa public extortion o blackmail sa ilalim ng Article 283 ay arresto mayor (1 buwan at 1 araw hanggang 6 na buwang pagkakakulong) hanggang prision correccional (6 na buwan at 1 araw hanggang 6 na taong pagkakakulong). Ang partikular na parusa ay depende sa kalubhaan ng pagbabanta at sa pagpapasya ng hukom.
**Mahahalagang Pagsasaalang-alang:**
* **Pagtangkang kumpara sa Pagkumpleto:** Kahit na walang makuha ang salarin mula sa biktima, ang pagtatangkang gumawa ng pampublikong extortion o blackmail ay isang krimen pa rin.
* **Ebidensya:** Ang pangangalap ng ebidensya ng banta at ang kahilingan ay mahalaga para sa isang matagumpay na pag-uusig. Maaaring kabilang dito ang mga recording, testimonya ng saksi, o mga text message.
* **Iba Pang Batas:** Depende sa uri ng banta, maaaring naaangkop din ang iba pang mga batas tulad ng malubhang banta (Artikulo 282) o cybercrime (Republic Act No. 10175).
**Paano Mag-ulat ng Pampublikong Pangingikil o Blackmail:**
* Mag-file ng ulat ng pulisya sa pinakamalapit na istasyon ng pulisya. * Makipagtulungan sa pagpapatupad ng batas sa pangangalap ng ebidensya.
* Isaalang-alang ang paghingi ng legal na tulong mula sa isang abogado na makapagpapayo sa iyo sa iyong mga karapatan at opsyon.
**Tandaan:** Ang pampublikong pangingikil o blackmail ay isang krimen. Kung ikaw ay biktima, huwag mag-atubiling iulat ito sa mga awtoridad.</v>
      </c>
      <c r="F1890" s="2">
        <f t="shared" si="1"/>
        <v>0</v>
      </c>
      <c r="G1890" s="2"/>
      <c r="H1890" s="2"/>
      <c r="I1890" s="2"/>
      <c r="J1890" s="2"/>
      <c r="K1890" s="2"/>
      <c r="L1890" s="2"/>
      <c r="M1890" s="2"/>
      <c r="N1890" s="2"/>
      <c r="O1890" s="2"/>
      <c r="P1890" s="2"/>
      <c r="Q1890" s="2"/>
      <c r="R1890" s="2"/>
      <c r="S1890" s="2"/>
      <c r="T1890" s="2"/>
      <c r="U1890" s="2"/>
      <c r="V1890" s="2"/>
      <c r="W1890" s="2"/>
      <c r="X1890" s="2"/>
      <c r="Y1890" s="2"/>
      <c r="Z1890" s="2"/>
      <c r="AA1890" s="2"/>
    </row>
    <row r="1891">
      <c r="A1891" s="1" t="s">
        <v>4698</v>
      </c>
      <c r="B1891" s="1" t="s">
        <v>4829</v>
      </c>
      <c r="C1891" s="1" t="s">
        <v>4830</v>
      </c>
      <c r="D1891" s="2" t="str">
        <f>IFERROR(__xludf.DUMMYFUNCTION("GOOGLETRANSLATE(B1891, ""en"", ""TL"")"),"Anong mga legal na hakbang ang umiiral upang labanan ang mga paglabag sa kapaligiran sa antas ng kalye, tulad ng polusyon sa tubig?")</f>
        <v>Anong mga legal na hakbang ang umiiral upang labanan ang mga paglabag sa kapaligiran sa antas ng kalye, tulad ng polusyon sa tubig?</v>
      </c>
      <c r="E1891" s="2" t="str">
        <f>IFERROR(__xludf.DUMMYFUNCTION("GOOGLETRANSLATE(C1891, ""en"", ""TL"")"),"Ang Pilipinas ay may ilang mga legal na hakbang upang matugunan ang mga paglabag sa kapaligiran sa antas ng kalye, partikular ang mga may kaugnayan sa polusyon sa tubig. Narito ang isang breakdown ng mga pangunahing batas at kung paano mailalapat ang mga "&amp;"ito:
**Mga Pambansang Batas:**
* **Philippine Water Code (Presidential Decree No. 1067):** Ito ang pangunahing batas na namamahala sa pamamahala ng yamang tubig sa Pilipinas.
* **Seksyon 7 (Pagtatapon ng Dumi sa Alkantarilya at Pang-industriya na Basura):"&amp;"** Ipinagbabawal ang pagtatapon ng hindi naprosesong dumi sa alkantarilya o mga basurang pang-industriya sa mga anyong tubig. Maaari itong malapat sa mga paglabag sa antas ng kalye tulad ng paghuhugas ng mga sasakyan gamit ang sabon malapit sa mga daluyan"&amp;" ng tubig o pagtatapon ng basura sa mga kanal.
* **Section 8 (Littering):** Ipinagbabawal ang pagtatapon ng basura, na maaaring makadumi sa mga daluyan ng tubig kapag napunta ang mga basura sa mga ilog, sapa, o drainage system.
* **Environmental Managemen"&amp;"t and Protection Act (EMB Law - Republic Act No. 8142):** Ang batas na ito ay nagtatakda ng balangkas para sa pangangalaga sa kapaligiran at pagkontrol sa polusyon.
* **Seksyon 21 (Pagtatapon ng basura):** Katulad ng Kodigo sa Tubig, ipinagbabawal ng seks"&amp;"yong ito ang pagtatapon ng basura at mga basura na maaaring makadumi sa mga pinagmumulan ng tubig.
* **Section 22 (Sewage and Industrial Waste Disposal):** مشابه (mutabahith) [katulad] sa Water Code, ipinagbabawal ng seksyong ito ang pagtatapon ng hindi n"&amp;"alinis na dumi o pang-industriya na basura sa mga anyong tubig. **Mahalagang Paalala:** Ang EMB Law ay may mas malawak na saklaw kaysa sa Water Code at sumasaklaw sa iba't ibang mga paglabag sa kapaligiran.
**Kodigo ng Lokal na Pamahalaan (LGC):**
* **Sek"&amp;"syon 148 (Power to Enact Ordinances):** Ang mga LGU ay maaaring magpatibay ng mga ordinansa na nagtataguyod ng pangangalaga sa kapaligiran. Maaaring tugunan ng mga ordinansang ito ang mga partikular na paglabag sa antas ng kalye na nauugnay sa kanilang lo"&amp;"kalidad, tulad ng:
* Pag-regulate ng pagtatapon ng basura sa bahay
* Pagbabawal sa paghuhugas ng mga sasakyan gamit ang sabon malapit sa mga daluyan ng tubig
* Pagpaparusa sa hindi tamang pagtatapon ng basura sa mga drainage system
**Pagpapatupad:**
* Ang"&amp;" Department of Environment and Natural Resources (DENR) ang pangunahing ahensyang responsable sa pagpapatupad ng mga batas sa kapaligiran.
* Ang mga LGU ay mayroon ding kapangyarihan sa pagpapatupad sa pamamagitan ng kanilang mga Environmental Office o Ba"&amp;"rangay Eco-marshals.
**Mga Parusa:**
* Ang mga parusa para sa mga paglabag sa mga batas at ordinansang ito ay maaaring mag-iba depende sa partikular na pagkakasala at ang halaga ng pinsalang naidulot. Ang mga ito ay maaaring mula sa mga multa hanggang sa "&amp;"pagkakulong sa mga matinding kaso.
**Mga Hamon at Pagsasaalang-alang:**
* **Pagpapatupad:** Ang epektibong pagpapatupad ay mahalaga, kaya ang pag-uulat ng mga paglabag sa kapaligiran sa mga tamang awtoridad ay mahalaga.
* **Edukasyon:** Maaaring magsulong"&amp;" ng responsableng pagtatapon ng basura at mga gawi sa pagtitipid ng tubig ang mga kampanya ng pampublikong kamalayan.
* **Paglahok ng Komunidad:** Ang mga hakbangin ng barangay at partisipasyon ng komunidad ay susi sa pagpapanatili ng malinis na mga daluy"&amp;"an ng tubig at pagpigil sa polusyon sa tubig sa antas ng kalye.
**Konklusyon:**
Ang Pilipinas ay may legal na balangkas upang labanan ang mga paglabag sa kapaligiran sa antas ng kalye tulad ng polusyon sa tubig. Gayunpaman, ang isang kumbinasyon ng pagpap"&amp;"atupad, edukasyon, at pakikilahok sa komunidad ay kinakailangan upang matiyak ang malinis na mapagkukunan ng tubig para sa lahat.")</f>
        <v>Ang Pilipinas ay may ilang mga legal na hakbang upang matugunan ang mga paglabag sa kapaligiran sa antas ng kalye, partikular ang mga may kaugnayan sa polusyon sa tubig. Narito ang isang breakdown ng mga pangunahing batas at kung paano mailalapat ang mga ito:
**Mga Pambansang Batas:**
* **Philippine Water Code (Presidential Decree No. 1067):** Ito ang pangunahing batas na namamahala sa pamamahala ng yamang tubig sa Pilipinas.
* **Seksyon 7 (Pagtatapon ng Dumi sa Alkantarilya at Pang-industriya na Basura):** Ipinagbabawal ang pagtatapon ng hindi naprosesong dumi sa alkantarilya o mga basurang pang-industriya sa mga anyong tubig. Maaari itong malapat sa mga paglabag sa antas ng kalye tulad ng paghuhugas ng mga sasakyan gamit ang sabon malapit sa mga daluyan ng tubig o pagtatapon ng basura sa mga kanal.
* **Section 8 (Littering):** Ipinagbabawal ang pagtatapon ng basura, na maaaring makadumi sa mga daluyan ng tubig kapag napunta ang mga basura sa mga ilog, sapa, o drainage system.
* **Environmental Management and Protection Act (EMB Law - Republic Act No. 8142):** Ang batas na ito ay nagtatakda ng balangkas para sa pangangalaga sa kapaligiran at pagkontrol sa polusyon.
* **Seksyon 21 (Pagtatapon ng basura):** Katulad ng Kodigo sa Tubig, ipinagbabawal ng seksyong ito ang pagtatapon ng basura at mga basura na maaaring makadumi sa mga pinagmumulan ng tubig.
* **Section 22 (Sewage and Industrial Waste Disposal):** مشابه (mutabahith) [katulad] sa Water Code, ipinagbabawal ng seksyong ito ang pagtatapon ng hindi nalinis na dumi o pang-industriya na basura sa mga anyong tubig. **Mahalagang Paalala:** Ang EMB Law ay may mas malawak na saklaw kaysa sa Water Code at sumasaklaw sa iba't ibang mga paglabag sa kapaligiran.
**Kodigo ng Lokal na Pamahalaan (LGC):**
* **Seksyon 148 (Power to Enact Ordinances):** Ang mga LGU ay maaaring magpatibay ng mga ordinansa na nagtataguyod ng pangangalaga sa kapaligiran. Maaaring tugunan ng mga ordinansang ito ang mga partikular na paglabag sa antas ng kalye na nauugnay sa kanilang lokalidad, tulad ng:
* Pag-regulate ng pagtatapon ng basura sa bahay
* Pagbabawal sa paghuhugas ng mga sasakyan gamit ang sabon malapit sa mga daluyan ng tubig
* Pagpaparusa sa hindi tamang pagtatapon ng basura sa mga drainage system
**Pagpapatupad:**
* Ang Department of Environment and Natural Resources (DENR) ang pangunahing ahensyang responsable sa pagpapatupad ng mga batas sa kapaligiran.
* Ang mga LGU ay mayroon ding kapangyarihan sa pagpapatupad sa pamamagitan ng kanilang mga Environmental Office o Barangay Eco-marshals.
**Mga Parusa:**
* Ang mga parusa para sa mga paglabag sa mga batas at ordinansang ito ay maaaring mag-iba depende sa partikular na pagkakasala at ang halaga ng pinsalang naidulot. Ang mga ito ay maaaring mula sa mga multa hanggang sa pagkakulong sa mga matinding kaso.
**Mga Hamon at Pagsasaalang-alang:**
* **Pagpapatupad:** Ang epektibong pagpapatupad ay mahalaga, kaya ang pag-uulat ng mga paglabag sa kapaligiran sa mga tamang awtoridad ay mahalaga.
* **Edukasyon:** Maaaring magsulong ng responsableng pagtatapon ng basura at mga gawi sa pagtitipid ng tubig ang mga kampanya ng pampublikong kamalayan.
* **Paglahok ng Komunidad:** Ang mga hakbangin ng barangay at partisipasyon ng komunidad ay susi sa pagpapanatili ng malinis na mga daluyan ng tubig at pagpigil sa polusyon sa tubig sa antas ng kalye.
**Konklusyon:**
Ang Pilipinas ay may legal na balangkas upang labanan ang mga paglabag sa kapaligiran sa antas ng kalye tulad ng polusyon sa tubig. Gayunpaman, ang isang kumbinasyon ng pagpapatupad, edukasyon, at pakikilahok sa komunidad ay kinakailangan upang matiyak ang malinis na mapagkukunan ng tubig para sa lahat.</v>
      </c>
      <c r="F1891" s="2">
        <f t="shared" si="1"/>
        <v>0</v>
      </c>
      <c r="G1891" s="2"/>
      <c r="H1891" s="2"/>
      <c r="I1891" s="2"/>
      <c r="J1891" s="2"/>
      <c r="K1891" s="2"/>
      <c r="L1891" s="2"/>
      <c r="M1891" s="2"/>
      <c r="N1891" s="2"/>
      <c r="O1891" s="2"/>
      <c r="P1891" s="2"/>
      <c r="Q1891" s="2"/>
      <c r="R1891" s="2"/>
      <c r="S1891" s="2"/>
      <c r="T1891" s="2"/>
      <c r="U1891" s="2"/>
      <c r="V1891" s="2"/>
      <c r="W1891" s="2"/>
      <c r="X1891" s="2"/>
      <c r="Y1891" s="2"/>
      <c r="Z1891" s="2"/>
      <c r="AA1891" s="2"/>
    </row>
    <row r="1892">
      <c r="A1892" s="1" t="s">
        <v>4698</v>
      </c>
      <c r="B1892" s="1" t="s">
        <v>4831</v>
      </c>
      <c r="C1892" s="1" t="s">
        <v>4832</v>
      </c>
      <c r="D1892" s="2" t="str">
        <f>IFERROR(__xludf.DUMMYFUNCTION("GOOGLETRANSLATE(B1892, ""en"", ""TL"")"),"Sa ilalim ng anong mga pangyayari maaaring kasuhan ang isang tao ng public conspiracy to commit cybercrimes sa mga lansangan?")</f>
        <v>Sa ilalim ng anong mga pangyayari maaaring kasuhan ang isang tao ng public conspiracy to commit cybercrimes sa mga lansangan?</v>
      </c>
      <c r="E1892" s="2" t="str">
        <f>IFERROR(__xludf.DUMMYFUNCTION("GOOGLETRANSLATE(C1892, ""en"", ""TL"")"),"Sineseryoso ng batas ng Pilipinas ang pampublikong pagsasabwatan upang gumawa ng mga cybercrime. Narito ang isang breakdown ng mga pangunahing punto na sisingilin para sa paglabag na ito:
**Mga Kasangkot na Batas:**
* **Republic Act No. 10175 (Cybercrime "&amp;"Prevention Act of 2012):** Tinutukoy at pinaparusahan ng batas na ito ang iba't ibang cybercrime.
* **Binago ang Kodigo Penal (RPC):**
* **Artikulo 8 (Conspiracy):** Nalalapat ang artikulong ito sa anumang kasunduan sa pagitan ng dalawa o higit pang tao n"&amp;"a gumawa ng krimen. Narito kung ano ang kinakailangan:
* **Dalawa o Higit pang Tao:** Dapat mayroong pagpaplano o kasunduan sa pagitan ng hindi bababa sa dalawang indibidwal.
* **Specific Cybercrime:** Ang kasunduan ay dapat na gumawa ng isang partikular "&amp;"na cybercrime na nakabalangkas sa Cybercrime Prevention Act, gaya ng:
* Ilegal na Pag-access (Seksyon 14)
* Panghihimasok sa Data (Seksyon 15)
* Pag-hack ng Computer System (Seksyon 16)
* Cybersquatting at Data Breaches (Seksyon 24 hanggang 26)
* **Pampub"&amp;"likong Kalikasan:** Ang pangunahing elemento para sa ""pampublikong pagsasabwatan"" ay ang pagpaplano o kasunduan na gawin ang cybercrime ay nangyayari nang hayagan, nang hindi sinusubukang itago ito sa mga awtoridad. Hindi sapat ang hinala lamang sa pagp"&amp;"aplano. Dapat mayroong mga konkretong hakbang na ginawa sa isang pampublikong setting upang isulong ang krimen. **Mga Halimbawa ng Public Conspiracy:**
* Dalawang indibidwal ang lantarang tinatalakay ang pag-hack sa isang partikular na network ng kumpanya"&amp;" sa isang sulok ng kalye.
* Isang grupo ang nagtitipon sa isang pampublikong lugar upang magplano ng denial-of-service attack laban sa isang website ng gobyerno.
**Mahahalagang Pagsasaalang-alang:**
* Ang mga partikular na parusa ay depende sa kalubhaan n"&amp;"g nakaplanong cybercrime at ang papel ng bawat taong sangkot sa pagsasabwatan. Ang mga parusa sa ilalim ng Cybercrime Prevention Act ay maaaring mula sa pagkakulong hanggang sa mga multa. * Ang mga ahensyang nagpapatupad ng batas ay may kapangyarihang mag"&amp;"-imbestiga sa mga pinaghihinalaang aktibidad ng cybercrime, kabilang ang pagsubaybay sa ilalim ng mga partikular na legal na alituntunin.
**Ano ang Gagawin Kung Pinaghihinalaan Mo ang Public Conspiracy:**
* **Iulat ito kaagad** sa pinakamalapit na istasyo"&amp;"n ng pulisya o mga awtoridad. Maaari ka ring mag-ulat nang hindi nagpapakilala sa pamamagitan ng mga cybercrime hotline.
* **Huwag harapin** ang mga pinaghihinalaang indibidwal mismo.
**Tandaan:** Ang kaligtasan ng publiko sa digital world ay mahalaga. Sa"&amp;" pamamagitan ng pagkakaroon ng kamalayan sa batas at pag-uulat ng mga kahina-hinalang aktibidad, maaari kang makatulong na maiwasan ang mga cybercrime.")</f>
        <v>Sineseryoso ng batas ng Pilipinas ang pampublikong pagsasabwatan upang gumawa ng mga cybercrime. Narito ang isang breakdown ng mga pangunahing punto na sisingilin para sa paglabag na ito:
**Mga Kasangkot na Batas:**
* **Republic Act No. 10175 (Cybercrime Prevention Act of 2012):** Tinutukoy at pinaparusahan ng batas na ito ang iba't ibang cybercrime.
* **Binago ang Kodigo Penal (RPC):**
* **Artikulo 8 (Conspiracy):** Nalalapat ang artikulong ito sa anumang kasunduan sa pagitan ng dalawa o higit pang tao na gumawa ng krimen. Narito kung ano ang kinakailangan:
* **Dalawa o Higit pang Tao:** Dapat mayroong pagpaplano o kasunduan sa pagitan ng hindi bababa sa dalawang indibidwal.
* **Specific Cybercrime:** Ang kasunduan ay dapat na gumawa ng isang partikular na cybercrime na nakabalangkas sa Cybercrime Prevention Act, gaya ng:
* Ilegal na Pag-access (Seksyon 14)
* Panghihimasok sa Data (Seksyon 15)
* Pag-hack ng Computer System (Seksyon 16)
* Cybersquatting at Data Breaches (Seksyon 24 hanggang 26)
* **Pampublikong Kalikasan:** Ang pangunahing elemento para sa "pampublikong pagsasabwatan" ay ang pagpaplano o kasunduan na gawin ang cybercrime ay nangyayari nang hayagan, nang hindi sinusubukang itago ito sa mga awtoridad. Hindi sapat ang hinala lamang sa pagpaplano. Dapat mayroong mga konkretong hakbang na ginawa sa isang pampublikong setting upang isulong ang krimen. **Mga Halimbawa ng Public Conspiracy:**
* Dalawang indibidwal ang lantarang tinatalakay ang pag-hack sa isang partikular na network ng kumpanya sa isang sulok ng kalye.
* Isang grupo ang nagtitipon sa isang pampublikong lugar upang magplano ng denial-of-service attack laban sa isang website ng gobyerno.
**Mahahalagang Pagsasaalang-alang:**
* Ang mga partikular na parusa ay depende sa kalubhaan ng nakaplanong cybercrime at ang papel ng bawat taong sangkot sa pagsasabwatan. Ang mga parusa sa ilalim ng Cybercrime Prevention Act ay maaaring mula sa pagkakulong hanggang sa mga multa. * Ang mga ahensyang nagpapatupad ng batas ay may kapangyarihang mag-imbestiga sa mga pinaghihinalaang aktibidad ng cybercrime, kabilang ang pagsubaybay sa ilalim ng mga partikular na legal na alituntunin.
**Ano ang Gagawin Kung Pinaghihinalaan Mo ang Public Conspiracy:**
* **Iulat ito kaagad** sa pinakamalapit na istasyon ng pulisya o mga awtoridad. Maaari ka ring mag-ulat nang hindi nagpapakilala sa pamamagitan ng mga cybercrime hotline.
* **Huwag harapin** ang mga pinaghihinalaang indibidwal mismo.
**Tandaan:** Ang kaligtasan ng publiko sa digital world ay mahalaga. Sa pamamagitan ng pagkakaroon ng kamalayan sa batas at pag-uulat ng mga kahina-hinalang aktibidad, maaari kang makatulong na maiwasan ang mga cybercrime.</v>
      </c>
      <c r="F1892" s="2">
        <f t="shared" si="1"/>
        <v>0</v>
      </c>
      <c r="G1892" s="2"/>
      <c r="H1892" s="2"/>
      <c r="I1892" s="2"/>
      <c r="J1892" s="2"/>
      <c r="K1892" s="2"/>
      <c r="L1892" s="2"/>
      <c r="M1892" s="2"/>
      <c r="N1892" s="2"/>
      <c r="O1892" s="2"/>
      <c r="P1892" s="2"/>
      <c r="Q1892" s="2"/>
      <c r="R1892" s="2"/>
      <c r="S1892" s="2"/>
      <c r="T1892" s="2"/>
      <c r="U1892" s="2"/>
      <c r="V1892" s="2"/>
      <c r="W1892" s="2"/>
      <c r="X1892" s="2"/>
      <c r="Y1892" s="2"/>
      <c r="Z1892" s="2"/>
      <c r="AA1892" s="2"/>
    </row>
    <row r="1893">
      <c r="A1893" s="1" t="s">
        <v>4698</v>
      </c>
      <c r="B1893" s="1" t="s">
        <v>4833</v>
      </c>
      <c r="C1893" s="1" t="s">
        <v>4834</v>
      </c>
      <c r="D1893" s="2" t="str">
        <f>IFERROR(__xludf.DUMMYFUNCTION("GOOGLETRANSLATE(B1893, ""en"", ""TL"")"),"Paano tinutugunan ng batas ang mga insidente ng pag-atake o panliligalig sa antas ng kalye batay sa relihiyon o paniniwala?")</f>
        <v>Paano tinutugunan ng batas ang mga insidente ng pag-atake o panliligalig sa antas ng kalye batay sa relihiyon o paniniwala?</v>
      </c>
      <c r="E1893" s="2" t="str">
        <f>IFERROR(__xludf.DUMMYFUNCTION("GOOGLETRANSLATE(C1893, ""en"", ""TL"")"),"Ang Pilipinas, bagama't isang bansang karamihan ay Katoliko, ay may legal na balangkas na tumutugon sa pag-atake o panliligalig batay sa relihiyon o paniniwala, kahit na sa antas ng kalye. Gayunpaman, gumagamit ito ng mga kasalukuyang batas dahil walang p"&amp;"artikular na batas na nakatutok lamang sa isyung ito. Narito ang isang breakdown:
**Mga Kaugnay na Batas:**
* **Binago ang Kodigo Penal (RPC):**
* **Artikulo 148 (Direktang Pag-atake):** Nalalapat ito kung ang isang tao ay inatake dahil sa kanilang relihi"&amp;"yon o paniniwala. Ang parusa ay maaaring mula sa prison mayor (6 na taon at 1 araw hanggang 8 taong pagkakakulong) hanggang reclusion temporal (12 taon at 1 araw hanggang 20 taon na pagkakakulong) depende sa kabigatan ng pag-atake.
* **Artikulo 151 (Resis"&amp;"tance and Disobedience to a Person in Authority):** Ito ay maaaring may kaugnayan kung ang biktima ay susubukan na ipagtanggol ang kanilang sarili at makikitang lumalaban sa may kasalanan. Gayunpaman, ang pagkilos ng pagtatanggol sa sarili ay maaaring gam"&amp;"itin bilang isang legal na katwiran.
* **Konstitusyon ng Pilipinas:**
* **Artikulo III, Seksyon 5 (Kalayaan sa Relihiyon):** Ito ay ginagarantiyahan ang karapatan sa libreng ehersisyo at propesyon ng relihiyosong paniniwala. Ang prinsipyong ito ng konstit"&amp;"usyon ay maaaring gamitin upang makipagtalo laban sa pag-atake o panliligalig na udyok ng mga pagkakaiba sa relihiyon.
**Mga Hamon at Limitasyon:**
* **Layunin kumpara sa Motibo:** Ang pagpapatunay ng relihiyosong motibo sa isang pag-atake ay maaaring mag"&amp;"ing mahirap. Nakatuon ang batas sa mismong gawa (pag-atake), hindi kinakailangan ang dahilan sa likod nito.
* **Kakulangan ng Partikular na Proteksyon:** Ang kawalan ng batas na direktang tumutugon sa diskriminasyon sa relihiyon ay nag-iiwan ng ilang puwa"&amp;"ng sa proteksyon para sa mga biktima.
**Ano ang Magagawa Mo:**
* **Iulat ang Insidente:** Maghain ng ulat sa pulisya sa kabila ng mga limitasyon. Lumilikha ito ng talaan ng insidente at tumutulong sa pagbuo ng kaso.
* **Humingi ng Legal na Tulong:** Maaar"&amp;"ing magpayo ang isang abogado sa pinakamahusay na paraan ng pagkilos batay sa mga partikular na detalye ng pag-atake o panliligalig.
* **Pagtataguyod:** Ang pagtulak ng batas na partikular na tumutugon sa diskriminasyon sa relihiyon ay maaaring magbigay n"&amp;"g mas malakas na legal na proteksyon sa hinaharap.
**Tandaan:** Ang pagpaparaya sa relihiyon ay mahalaga sa Pilipinas. Bagama't maaaring umasa ang legal na balangkas sa mga umiiral nang batas, mayroon kang mga karapatan na protektado ng Konstitusyon. Ang "&amp;"pag-uulat ng mga insidente at paghingi ng legal na tulong ay mahahalagang hakbang.")</f>
        <v>Ang Pilipinas, bagama't isang bansang karamihan ay Katoliko, ay may legal na balangkas na tumutugon sa pag-atake o panliligalig batay sa relihiyon o paniniwala, kahit na sa antas ng kalye. Gayunpaman, gumagamit ito ng mga kasalukuyang batas dahil walang partikular na batas na nakatutok lamang sa isyung ito. Narito ang isang breakdown:
**Mga Kaugnay na Batas:**
* **Binago ang Kodigo Penal (RPC):**
* **Artikulo 148 (Direktang Pag-atake):** Nalalapat ito kung ang isang tao ay inatake dahil sa kanilang relihiyon o paniniwala. Ang parusa ay maaaring mula sa prison mayor (6 na taon at 1 araw hanggang 8 taong pagkakakulong) hanggang reclusion temporal (12 taon at 1 araw hanggang 20 taon na pagkakakulong) depende sa kabigatan ng pag-atake.
* **Artikulo 151 (Resistance and Disobedience to a Person in Authority):** Ito ay maaaring may kaugnayan kung ang biktima ay susubukan na ipagtanggol ang kanilang sarili at makikitang lumalaban sa may kasalanan. Gayunpaman, ang pagkilos ng pagtatanggol sa sarili ay maaaring gamitin bilang isang legal na katwiran.
* **Konstitusyon ng Pilipinas:**
* **Artikulo III, Seksyon 5 (Kalayaan sa Relihiyon):** Ito ay ginagarantiyahan ang karapatan sa libreng ehersisyo at propesyon ng relihiyosong paniniwala. Ang prinsipyong ito ng konstitusyon ay maaaring gamitin upang makipagtalo laban sa pag-atake o panliligalig na udyok ng mga pagkakaiba sa relihiyon.
**Mga Hamon at Limitasyon:**
* **Layunin kumpara sa Motibo:** Ang pagpapatunay ng relihiyosong motibo sa isang pag-atake ay maaaring maging mahirap. Nakatuon ang batas sa mismong gawa (pag-atake), hindi kinakailangan ang dahilan sa likod nito.
* **Kakulangan ng Partikular na Proteksyon:** Ang kawalan ng batas na direktang tumutugon sa diskriminasyon sa relihiyon ay nag-iiwan ng ilang puwang sa proteksyon para sa mga biktima.
**Ano ang Magagawa Mo:**
* **Iulat ang Insidente:** Maghain ng ulat sa pulisya sa kabila ng mga limitasyon. Lumilikha ito ng talaan ng insidente at tumutulong sa pagbuo ng kaso.
* **Humingi ng Legal na Tulong:** Maaaring magpayo ang isang abogado sa pinakamahusay na paraan ng pagkilos batay sa mga partikular na detalye ng pag-atake o panliligalig.
* **Pagtataguyod:** Ang pagtulak ng batas na partikular na tumutugon sa diskriminasyon sa relihiyon ay maaaring magbigay ng mas malakas na legal na proteksyon sa hinaharap.
**Tandaan:** Ang pagpaparaya sa relihiyon ay mahalaga sa Pilipinas. Bagama't maaaring umasa ang legal na balangkas sa mga umiiral nang batas, mayroon kang mga karapatan na protektado ng Konstitusyon. Ang pag-uulat ng mga insidente at paghingi ng legal na tulong ay mahahalagang hakbang.</v>
      </c>
      <c r="F1893" s="2">
        <f t="shared" si="1"/>
        <v>0</v>
      </c>
      <c r="G1893" s="2"/>
      <c r="H1893" s="2"/>
      <c r="I1893" s="2"/>
      <c r="J1893" s="2"/>
      <c r="K1893" s="2"/>
      <c r="L1893" s="2"/>
      <c r="M1893" s="2"/>
      <c r="N1893" s="2"/>
      <c r="O1893" s="2"/>
      <c r="P1893" s="2"/>
      <c r="Q1893" s="2"/>
      <c r="R1893" s="2"/>
      <c r="S1893" s="2"/>
      <c r="T1893" s="2"/>
      <c r="U1893" s="2"/>
      <c r="V1893" s="2"/>
      <c r="W1893" s="2"/>
      <c r="X1893" s="2"/>
      <c r="Y1893" s="2"/>
      <c r="Z1893" s="2"/>
      <c r="AA1893" s="2"/>
    </row>
    <row r="1894">
      <c r="A1894" s="1" t="s">
        <v>4698</v>
      </c>
      <c r="B1894" s="1" t="s">
        <v>4835</v>
      </c>
      <c r="C1894" s="1" t="s">
        <v>4836</v>
      </c>
      <c r="D1894" s="2" t="str">
        <f>IFERROR(__xludf.DUMMYFUNCTION("GOOGLETRANSLATE(B1894, ""en"", ""TL"")"),"Anong mga parusa ang naaangkop para sa pagsali sa hindi awtorisadong pagbebenta o pamamahagi ng pirated software sa mga lansangan?")</f>
        <v>Anong mga parusa ang naaangkop para sa pagsali sa hindi awtorisadong pagbebenta o pamamahagi ng pirated software sa mga lansangan?</v>
      </c>
      <c r="E1894" s="2" t="str">
        <f>IFERROR(__xludf.DUMMYFUNCTION("GOOGLETRANSLATE(C1894, ""en"", ""TL"")"),"Ang pagbebenta o pamamahagi ng pirated software sa mga lansangan sa Pilipinas ay isang paglabag sa mga karapatan sa intelektwal na ari-arian (IP) at maaaring humantong sa mga parusa sa ilalim ng ilang batas. Narito ang isang breakdown ng mga pangunahing p"&amp;"unto:
**Pangunahing Batas:**
* **Republic Act No. 8293 (Intellectual Property Code of the Philippines):** Ito ang pangunahing batas na tumutukoy at nagpoprotekta sa mga karapatan sa intelektwal na ari-arian, kabilang ang proteksyon ng copyright para sa so"&amp;"ftware.
* **Seksyon 21:** Tinutukoy ang paglabag sa copyright, na kinabibilangan ng hindi awtorisadong pagpaparami, pamamahagi, pagbebenta, o pag-import ng mga naka-copyright na gawa tulad ng computer software.
* **Seksyon 22:** Nagtatakda ng mga parusa p"&amp;"ara sa paglabag sa copyright:
* **Pagkulong:** Isang (1) buwan hanggang tatlong (3) taon
* **Fine:** Limampung libong piso (PhP 50,000) hanggang isang milyong piso (PhP 1,000,000)
* **Seksyon 229:** Tinutugunan ang paglabag para sa mga layuning komersyal "&amp;"(tulad ng pagbebenta sa mga lansangan):
* **Pagkulong:** Tatlong (3) taon at isang (1) araw hanggang anim (6) na taon
* **Fine:** Isang milyong piso (PhP 1,000,000) hanggang sampung milyong piso (PhP 10,000,000)
**Mga Karagdagang Parusa:**
* **Pagkumpiska"&amp;":** Maaaring kumpiskahin ng mga ahensyang nagpapatupad ng batas ang pirated software.
* **Mga Administrative Sanction:** Ang Intellectual Property Office (IPO) ay maaaring magpataw ng mga administratibong sanction para sa mga menor de edad na paglabag sa "&amp;"IP, kabilang ang:
* Itigil at itigil ang mga utos * Mga multa
**Mahahalagang Pagsasaalang-alang:**
* Ang mga partikular na parusa ay depende sa uri ng software, ang sukat ng operasyon (indibidwal na nagbebenta kumpara sa malaking network), at anumang mga "&amp;"naunang pagkakasala.
* Ang pakikipagtulungan sa pagitan ng tagapagpatupad ng batas at ng IPO ay mahalaga sa paghuli at pagpaparusa sa mga indibidwal na sangkot sa pandarambong ng software sa antas ng kalye.
** Karagdagang Mga Mapagkukunan:**
* Intellectua"&amp;"l Property Office of the Philippines: [https://www.ipophil.gov.ph/](https://www.ipophil.gov.ph/)
**Tandaan:** Ito ay isang pangkalahatang pangkalahatang-ideya. Ang pagkonsulta sa isang IP lawyer ay inirerekomenda para sa partikular na payo sa iyong sitwas"&amp;"yon.")</f>
        <v>Ang pagbebenta o pamamahagi ng pirated software sa mga lansangan sa Pilipinas ay isang paglabag sa mga karapatan sa intelektwal na ari-arian (IP) at maaaring humantong sa mga parusa sa ilalim ng ilang batas. Narito ang isang breakdown ng mga pangunahing punto:
**Pangunahing Batas:**
* **Republic Act No. 8293 (Intellectual Property Code of the Philippines):** Ito ang pangunahing batas na tumutukoy at nagpoprotekta sa mga karapatan sa intelektwal na ari-arian, kabilang ang proteksyon ng copyright para sa software.
* **Seksyon 21:** Tinutukoy ang paglabag sa copyright, na kinabibilangan ng hindi awtorisadong pagpaparami, pamamahagi, pagbebenta, o pag-import ng mga naka-copyright na gawa tulad ng computer software.
* **Seksyon 22:** Nagtatakda ng mga parusa para sa paglabag sa copyright:
* **Pagkulong:** Isang (1) buwan hanggang tatlong (3) taon
* **Fine:** Limampung libong piso (PhP 50,000) hanggang isang milyong piso (PhP 1,000,000)
* **Seksyon 229:** Tinutugunan ang paglabag para sa mga layuning komersyal (tulad ng pagbebenta sa mga lansangan):
* **Pagkulong:** Tatlong (3) taon at isang (1) araw hanggang anim (6) na taon
* **Fine:** Isang milyong piso (PhP 1,000,000) hanggang sampung milyong piso (PhP 10,000,000)
**Mga Karagdagang Parusa:**
* **Pagkumpiska:** Maaaring kumpiskahin ng mga ahensyang nagpapatupad ng batas ang pirated software.
* **Mga Administrative Sanction:** Ang Intellectual Property Office (IPO) ay maaaring magpataw ng mga administratibong sanction para sa mga menor de edad na paglabag sa IP, kabilang ang:
* Itigil at itigil ang mga utos * Mga multa
**Mahahalagang Pagsasaalang-alang:**
* Ang mga partikular na parusa ay depende sa uri ng software, ang sukat ng operasyon (indibidwal na nagbebenta kumpara sa malaking network), at anumang mga naunang pagkakasala.
* Ang pakikipagtulungan sa pagitan ng tagapagpatupad ng batas at ng IPO ay mahalaga sa paghuli at pagpaparusa sa mga indibidwal na sangkot sa pandarambong ng software sa antas ng kalye.
** Karagdagang Mga Mapagkukunan:**
* Intellectual Property Office of the Philippines: [https://www.ipophil.gov.ph/](https://www.ipophil.gov.ph/)
**Tandaan:** Ito ay isang pangkalahatang pangkalahatang-ideya. Ang pagkonsulta sa isang IP lawyer ay inirerekomenda para sa partikular na payo sa iyong sitwasyon.</v>
      </c>
      <c r="F1894" s="2">
        <f t="shared" si="1"/>
        <v>0</v>
      </c>
      <c r="G1894" s="2"/>
      <c r="H1894" s="2"/>
      <c r="I1894" s="2"/>
      <c r="J1894" s="2"/>
      <c r="K1894" s="2"/>
      <c r="L1894" s="2"/>
      <c r="M1894" s="2"/>
      <c r="N1894" s="2"/>
      <c r="O1894" s="2"/>
      <c r="P1894" s="2"/>
      <c r="Q1894" s="2"/>
      <c r="R1894" s="2"/>
      <c r="S1894" s="2"/>
      <c r="T1894" s="2"/>
      <c r="U1894" s="2"/>
      <c r="V1894" s="2"/>
      <c r="W1894" s="2"/>
      <c r="X1894" s="2"/>
      <c r="Y1894" s="2"/>
      <c r="Z1894" s="2"/>
      <c r="AA1894" s="2"/>
    </row>
    <row r="1895">
      <c r="A1895" s="1" t="s">
        <v>4698</v>
      </c>
      <c r="B1895" s="1" t="s">
        <v>4837</v>
      </c>
      <c r="C1895" s="1" t="s">
        <v>4838</v>
      </c>
      <c r="D1895" s="2" t="str">
        <f>IFERROR(__xludf.DUMMYFUNCTION("GOOGLETRANSLATE(B1895, ""en"", ""TL"")"),"Anong mga legal na probisyon ang kumokontrol sa pagkakaroon at paggamit ng mga ipinagbabawal na armas sa mga pampublikong espasyo?")</f>
        <v>Anong mga legal na probisyon ang kumokontrol sa pagkakaroon at paggamit ng mga ipinagbabawal na armas sa mga pampublikong espasyo?</v>
      </c>
      <c r="E1895" s="2" t="str">
        <f>IFERROR(__xludf.DUMMYFUNCTION("GOOGLETRANSLATE(C1895, ""en"", ""TL"")"),"Ang Pilipinas ay may mahigpit na batas na kumokontrol sa pagkakaroon at paggamit ng mga baril at iba pang mapanganib na armas sa mga pampublikong espasyo. Narito ang isang breakdown ng mga pangunahing legal na probisyon:
**Pangunahing Batas:**
* **Republi"&amp;"c Act No. 10591 (Comprehensive Firearms and Ammunition Regulation Act):** Ito ang pangunahing batas na namamahala sa mga baril sa Pilipinas. Binabalangkas nito ang mga kinakailangan para sa pagmamay-ari ng baril, mga pamamaraan sa paglilisensya, at mga pa"&amp;"rusa para sa mga paglabag.
**Mga Pangunahing Probisyon:**
* **Mga Permit at Lisensya ng Baril:** Ang pagmamay-ari ng baril sa Pilipinas ay nangangailangan ng Permit to Own (PTO) at License to Possess Firearms (LTOP). Ang mga permit na ito ay inisyu ng Phi"&amp;"lippine National Police (PNP) Firearms and Explosives Office (FEO) pagkatapos ng masusing background check at safety training.
* **Mga Ipinagbabawal na Armas:** R.A. Ang No. 10591 ay tumutukoy sa mga partikular na kategorya ng mga baril at armas na itinut"&amp;"uring na ilegal na taglayin nang walang pahintulot. Kabilang dito ang:
* Awtomatiko o na-convert na mga awtomatikong baril
* Mga baril na uri ng militar (hal., mga assault rifles, granada)
* Caliber .40 o mas mataas na kalibre ng baril para sa mga sibilya"&amp;"n (maliban sa mga rehistradong gun club at ahensya ng seguridad)
* Lahat ng uri ng mga pampasabog
* **Public Carry Restrictions:** Ang batas ay karaniwang nagbabawal sa pagdadala ng mga baril sa labas ng tirahan o lugar ng negosyo ng isang tao maliban kun"&amp;"g sa ilalim ng mga partikular na pangyayari:
* Mga opisyal ng pagpapatupad ng batas sa tungkulin
* Mga security guard na may tamang permit
* Mga lisensyadong may hawak ng baril na may Permits to Carry (PTC) para sa mga partikular na dahilan (hal., pagtata"&amp;"nggol sa sarili, pangangaso)
**Mga Parusa:**
Mga paglabag sa R.A. Ang No. 10591 ay maaaring magresulta sa matinding parusa, kabilang ang:
* **Pagkulong:** Mula sa ilang buwan hanggang habambuhay na pagkakakulong depende sa pagkakasala.
* **Mga multa:** Ma"&amp;"aaring umabot ng hanggang milyon-milyong piso.
* **Pagkumpiska ng mga baril:** Ang mga ilegal na baril ay kukunin ng mga awtoridad.
* **Pagbawi ng mga lisensya ng baril:** Ang mga kasalukuyang permit ay maaaring bawiin para sa mga paglabag.
**Mga Karagdag"&amp;"ang Pagsasaalang-alang:**
* Ang mga local government units (LGUs) ay maaari ding magkaroon ng mga ordinansa na higit na naghihigpit sa pagdadala o paggamit ng kahit lisensyadong baril sa mga partikular na pampublikong lugar. * Napakahalaga na suriin sa PN"&amp;"P FEO ang pinakabagong mga regulasyon at upang matiyak ang wastong paglilisensya at mga permit para sa anumang pagmamay-ari o paggamit ng baril.
**Tandaan:** Priyoridad ang kaligtasan ng publiko. Ang responsableng pagmamay-ari at paggamit ng mga baril ay "&amp;"mahalaga sa Pilipinas. Palaging sundin ang batas at unahin ang kaligtasan kapag nakikitungo sa mga baril at mapanganib na armas.")</f>
        <v>Ang Pilipinas ay may mahigpit na batas na kumokontrol sa pagkakaroon at paggamit ng mga baril at iba pang mapanganib na armas sa mga pampublikong espasyo. Narito ang isang breakdown ng mga pangunahing legal na probisyon:
**Pangunahing Batas:**
* **Republic Act No. 10591 (Comprehensive Firearms and Ammunition Regulation Act):** Ito ang pangunahing batas na namamahala sa mga baril sa Pilipinas. Binabalangkas nito ang mga kinakailangan para sa pagmamay-ari ng baril, mga pamamaraan sa paglilisensya, at mga parusa para sa mga paglabag.
**Mga Pangunahing Probisyon:**
* **Mga Permit at Lisensya ng Baril:** Ang pagmamay-ari ng baril sa Pilipinas ay nangangailangan ng Permit to Own (PTO) at License to Possess Firearms (LTOP). Ang mga permit na ito ay inisyu ng Philippine National Police (PNP) Firearms and Explosives Office (FEO) pagkatapos ng masusing background check at safety training.
* **Mga Ipinagbabawal na Armas:** R.A. Ang No. 10591 ay tumutukoy sa mga partikular na kategorya ng mga baril at armas na itinuturing na ilegal na taglayin nang walang pahintulot. Kabilang dito ang:
* Awtomatiko o na-convert na mga awtomatikong baril
* Mga baril na uri ng militar (hal., mga assault rifles, granada)
* Caliber .40 o mas mataas na kalibre ng baril para sa mga sibilyan (maliban sa mga rehistradong gun club at ahensya ng seguridad)
* Lahat ng uri ng mga pampasabog
* **Public Carry Restrictions:** Ang batas ay karaniwang nagbabawal sa pagdadala ng mga baril sa labas ng tirahan o lugar ng negosyo ng isang tao maliban kung sa ilalim ng mga partikular na pangyayari:
* Mga opisyal ng pagpapatupad ng batas sa tungkulin
* Mga security guard na may tamang permit
* Mga lisensyadong may hawak ng baril na may Permits to Carry (PTC) para sa mga partikular na dahilan (hal., pagtatanggol sa sarili, pangangaso)
**Mga Parusa:**
Mga paglabag sa R.A. Ang No. 10591 ay maaaring magresulta sa matinding parusa, kabilang ang:
* **Pagkulong:** Mula sa ilang buwan hanggang habambuhay na pagkakakulong depende sa pagkakasala.
* **Mga multa:** Maaaring umabot ng hanggang milyon-milyong piso.
* **Pagkumpiska ng mga baril:** Ang mga ilegal na baril ay kukunin ng mga awtoridad.
* **Pagbawi ng mga lisensya ng baril:** Ang mga kasalukuyang permit ay maaaring bawiin para sa mga paglabag.
**Mga Karagdagang Pagsasaalang-alang:**
* Ang mga local government units (LGUs) ay maaari ding magkaroon ng mga ordinansa na higit na naghihigpit sa pagdadala o paggamit ng kahit lisensyadong baril sa mga partikular na pampublikong lugar. * Napakahalaga na suriin sa PNP FEO ang pinakabagong mga regulasyon at upang matiyak ang wastong paglilisensya at mga permit para sa anumang pagmamay-ari o paggamit ng baril.
**Tandaan:** Priyoridad ang kaligtasan ng publiko. Ang responsableng pagmamay-ari at paggamit ng mga baril ay mahalaga sa Pilipinas. Palaging sundin ang batas at unahin ang kaligtasan kapag nakikitungo sa mga baril at mapanganib na armas.</v>
      </c>
      <c r="F1895" s="2">
        <f t="shared" si="1"/>
        <v>0</v>
      </c>
      <c r="G1895" s="2"/>
      <c r="H1895" s="2"/>
      <c r="I1895" s="2"/>
      <c r="J1895" s="2"/>
      <c r="K1895" s="2"/>
      <c r="L1895" s="2"/>
      <c r="M1895" s="2"/>
      <c r="N1895" s="2"/>
      <c r="O1895" s="2"/>
      <c r="P1895" s="2"/>
      <c r="Q1895" s="2"/>
      <c r="R1895" s="2"/>
      <c r="S1895" s="2"/>
      <c r="T1895" s="2"/>
      <c r="U1895" s="2"/>
      <c r="V1895" s="2"/>
      <c r="W1895" s="2"/>
      <c r="X1895" s="2"/>
      <c r="Y1895" s="2"/>
      <c r="Z1895" s="2"/>
      <c r="AA1895" s="2"/>
    </row>
    <row r="1896">
      <c r="A1896" s="1" t="s">
        <v>4698</v>
      </c>
      <c r="B1896" s="1" t="s">
        <v>4839</v>
      </c>
      <c r="C1896" s="1" t="s">
        <v>4840</v>
      </c>
      <c r="D1896" s="2" t="str">
        <f>IFERROR(__xludf.DUMMYFUNCTION("GOOGLETRANSLATE(B1896, ""en"", ""TL"")"),"Paano tinutugunan sa ilalim ng batas ng Pilipinas ang krimen ng pampublikong kaguluhan o rioting sa mga pampublikong kaganapan?")</f>
        <v>Paano tinutugunan sa ilalim ng batas ng Pilipinas ang krimen ng pampublikong kaguluhan o rioting sa mga pampublikong kaganapan?</v>
      </c>
      <c r="E1896" s="2" t="str">
        <f>IFERROR(__xludf.DUMMYFUNCTION("GOOGLETRANSLATE(C1896, ""en"", ""TL"")"),"Sineseryoso ng batas ng Pilipinas ang kaayusan at kaligtasan ng publiko, lalo na sa mga pampublikong kaganapan. Narito kung paano tinutugunan ng iba't ibang batas ang hindi maayos na pag-uugali at kaguluhan:
**Binagong Kodigo Penal (RPC):**
* **Artikulo 1"&amp;"48 (Direktang Pag-atake):** Nalalapat kung pisikal na sinasaktan ng isang tao ang ibang tao sa panahon ng pampublikong kaganapan dahil sa hindi maayos na pag-uugali o panggugulo. Ang mga parusa ay nag-iiba depende sa kalubhaan ng pag-atake (prision mayor "&amp;"hanggang reclusion temporal).
* **Artikulo 150 (Tumultous Affray):** Nalalapat ito kung ang isang grupo ng mga tao (hindi bababa sa dalawa) ay nasangkot sa isang marahas na paghaharap sa panahon ng isang pampublikong kaganapan. Kasama sa mga parusa ang:
*"&amp;" **Destierro (Banishment):** Pansamantala o permanenteng pagpapatalsik mula sa isang partikular na lugar.
* **Presidio correccional (6 na buwan at 1 araw hanggang 2 taong pagkakakulong).**
* **Artikulo 151 (Paglaban at Pagsuway sa Isang Taong May Awtorida"&amp;"d):** Nalalapat ito kung may isang taong tutol sa pag-aresto o hindi sumusunod sa utos ng pulisya habang sinusubukang panatilihin ang kaayusan sa panahon ng pampublikong kaganapan. Gayunpaman, ang pagtatanggol sa sarili ay maaaring gamitin bilang isang ka"&amp;"twiran.
* **Artikulo 253 (Alarm at Iskandalo):** Nalalapat ito kung may lumikha ng malakas na kaguluhan o nagdudulot ng panic sa panahon ng pampublikong kaganapan. Maaaring kabilang sa mga parusa ang arresto menor (1 hanggang 10 araw na pagkakakulong) o m"&amp;"ulta.
**Mga Espesyal na Batas:**
* **Republic Act No. 6539 (Anti-Riot Act of 1987):** Ang batas na ito ay partikular na tumutugon sa mga marahas na kaguluhan sa panahon ng mga pampublikong pagtitipon. Binibigyan nito ang tagapagpatupad ng batas ng mas mal"&amp;"awak na kapangyarihan upang ikalat ang mga hindi masupil na mga tao at nagpapataw ng mas matitinding parusa para sa rioting.
* **Kodigo ng Lokal na Pamahalaan (LGC):**
* **Seksyon 148 (Power to Enact Ordinances):** Ang mga LGU ay maaaring magpatibay ng mg"&amp;"a ordinansa upang itaguyod ang kapayapaan at kaayusan. Maaaring tugunan ng mga ordinansang ito ang mga partikular na pag-uugali sa mga pampublikong kaganapan, tulad ng:
* Pagbabawal sa paggamit ng mga paputok o pampasabog
* Pag-regulate ng pagbebenta at p"&amp;"agkonsumo ng alak
* Paglilimita sa mga antas ng ingay
**Mahahalagang Pagsasaalang-alang:**
* Ang partikular na batas na inilapat ay depende sa uri at kalubhaan ng pagkakasala.
* Ang tagapagpatupad ng batas ay may awtoridad na arestuhin ang mga indibidwal "&amp;"na sangkot sa hindi maayos na paggawi o panggugulo upang maibalik ang kapayapaan at kaayusan.
* Napakahalagang sundin ang mga tagubilin mula sa mga opisyal ng pagpapatupad ng batas sa mga pampublikong kaganapan.
**Pananatiling Ligtas Sa Mga Pampublikong K"&amp;"aganapan:**
* Magkaroon ng kamalayan sa iyong paligid at iwasan ang malalaking pulutong kung tila may gulo.
* Sundin ang mga tagubilin ng mga organizer ng kaganapan at mga tauhan ng seguridad.
* Kung nakakita ka ng krimen o hindi maayos na pag-uugali, iul"&amp;"at ito sa pinakamalapit na opisyal ng pulisya.
**Tandaan:** Ang mga pampublikong kaganapan ay sinadya upang maging mga kasiya-siyang karanasan. Ang pagsunod sa batas at pagpapanatili ng kaayusan ay tumitiyak sa kaligtasan ng lahat at nagbibigay-daan sa la"&amp;"hat na magkaroon ng magandang oras.")</f>
        <v>Sineseryoso ng batas ng Pilipinas ang kaayusan at kaligtasan ng publiko, lalo na sa mga pampublikong kaganapan. Narito kung paano tinutugunan ng iba't ibang batas ang hindi maayos na pag-uugali at kaguluhan:
**Binagong Kodigo Penal (RPC):**
* **Artikulo 148 (Direktang Pag-atake):** Nalalapat kung pisikal na sinasaktan ng isang tao ang ibang tao sa panahon ng pampublikong kaganapan dahil sa hindi maayos na pag-uugali o panggugulo. Ang mga parusa ay nag-iiba depende sa kalubhaan ng pag-atake (prision mayor hanggang reclusion temporal).
* **Artikulo 150 (Tumultous Affray):** Nalalapat ito kung ang isang grupo ng mga tao (hindi bababa sa dalawa) ay nasangkot sa isang marahas na paghaharap sa panahon ng isang pampublikong kaganapan. Kasama sa mga parusa ang:
* **Destierro (Banishment):** Pansamantala o permanenteng pagpapatalsik mula sa isang partikular na lugar.
* **Presidio correccional (6 na buwan at 1 araw hanggang 2 taong pagkakakulong).**
* **Artikulo 151 (Paglaban at Pagsuway sa Isang Taong May Awtoridad):** Nalalapat ito kung may isang taong tutol sa pag-aresto o hindi sumusunod sa utos ng pulisya habang sinusubukang panatilihin ang kaayusan sa panahon ng pampublikong kaganapan. Gayunpaman, ang pagtatanggol sa sarili ay maaaring gamitin bilang isang katwiran.
* **Artikulo 253 (Alarm at Iskandalo):** Nalalapat ito kung may lumikha ng malakas na kaguluhan o nagdudulot ng panic sa panahon ng pampublikong kaganapan. Maaaring kabilang sa mga parusa ang arresto menor (1 hanggang 10 araw na pagkakakulong) o multa.
**Mga Espesyal na Batas:**
* **Republic Act No. 6539 (Anti-Riot Act of 1987):** Ang batas na ito ay partikular na tumutugon sa mga marahas na kaguluhan sa panahon ng mga pampublikong pagtitipon. Binibigyan nito ang tagapagpatupad ng batas ng mas malawak na kapangyarihan upang ikalat ang mga hindi masupil na mga tao at nagpapataw ng mas matitinding parusa para sa rioting.
* **Kodigo ng Lokal na Pamahalaan (LGC):**
* **Seksyon 148 (Power to Enact Ordinances):** Ang mga LGU ay maaaring magpatibay ng mga ordinansa upang itaguyod ang kapayapaan at kaayusan. Maaaring tugunan ng mga ordinansang ito ang mga partikular na pag-uugali sa mga pampublikong kaganapan, tulad ng:
* Pagbabawal sa paggamit ng mga paputok o pampasabog
* Pag-regulate ng pagbebenta at pagkonsumo ng alak
* Paglilimita sa mga antas ng ingay
**Mahahalagang Pagsasaalang-alang:**
* Ang partikular na batas na inilapat ay depende sa uri at kalubhaan ng pagkakasala.
* Ang tagapagpatupad ng batas ay may awtoridad na arestuhin ang mga indibidwal na sangkot sa hindi maayos na paggawi o panggugulo upang maibalik ang kapayapaan at kaayusan.
* Napakahalagang sundin ang mga tagubilin mula sa mga opisyal ng pagpapatupad ng batas sa mga pampublikong kaganapan.
**Pananatiling Ligtas Sa Mga Pampublikong Kaganapan:**
* Magkaroon ng kamalayan sa iyong paligid at iwasan ang malalaking pulutong kung tila may gulo.
* Sundin ang mga tagubilin ng mga organizer ng kaganapan at mga tauhan ng seguridad.
* Kung nakakita ka ng krimen o hindi maayos na pag-uugali, iulat ito sa pinakamalapit na opisyal ng pulisya.
**Tandaan:** Ang mga pampublikong kaganapan ay sinadya upang maging mga kasiya-siyang karanasan. Ang pagsunod sa batas at pagpapanatili ng kaayusan ay tumitiyak sa kaligtasan ng lahat at nagbibigay-daan sa lahat na magkaroon ng magandang oras.</v>
      </c>
      <c r="F1896" s="2">
        <f t="shared" si="1"/>
        <v>0</v>
      </c>
      <c r="G1896" s="2"/>
      <c r="H1896" s="2"/>
      <c r="I1896" s="2"/>
      <c r="J1896" s="2"/>
      <c r="K1896" s="2"/>
      <c r="L1896" s="2"/>
      <c r="M1896" s="2"/>
      <c r="N1896" s="2"/>
      <c r="O1896" s="2"/>
      <c r="P1896" s="2"/>
      <c r="Q1896" s="2"/>
      <c r="R1896" s="2"/>
      <c r="S1896" s="2"/>
      <c r="T1896" s="2"/>
      <c r="U1896" s="2"/>
      <c r="V1896" s="2"/>
      <c r="W1896" s="2"/>
      <c r="X1896" s="2"/>
      <c r="Y1896" s="2"/>
      <c r="Z1896" s="2"/>
      <c r="AA1896" s="2"/>
    </row>
    <row r="1897">
      <c r="A1897" s="1" t="s">
        <v>4698</v>
      </c>
      <c r="B1897" s="1" t="s">
        <v>4841</v>
      </c>
      <c r="C1897" s="1" t="s">
        <v>4842</v>
      </c>
      <c r="D1897" s="2" t="str">
        <f>IFERROR(__xludf.DUMMYFUNCTION("GOOGLETRANSLATE(B1897, ""en"", ""TL"")"),"Anong mga parusa ang ipinapataw para sa pandaraya o pag-iwas sa buwis sa antas ng kalye sa mga pampublikong espasyo?")</f>
        <v>Anong mga parusa ang ipinapataw para sa pandaraya o pag-iwas sa buwis sa antas ng kalye sa mga pampublikong espasyo?</v>
      </c>
      <c r="E1897" s="2" t="str">
        <f>IFERROR(__xludf.DUMMYFUNCTION("GOOGLETRANSLATE(C1897, ""en"", ""TL"")"),"Bagama't walang partikular na batas na tanging nagta-target ng pag-iwas sa buwis sa antas ng kalye sa mga pampublikong espasyo, may mga paraan pa rin ang Pilipinas para matugunan ito. Narito ang isang breakdown ng mga nauugnay na batas at mga potensyal na"&amp;" kahihinatnan:
**Pag-iwas sa Buwis:**
* **Tax Code (Republic Act No. 8424):** * **Seksyon 255 (Tax Evasion Through False o Fraudulent Statements):** Nalalapat ito kung may taong sadyang minamaliit ang kanilang kita o nagmemeke ng impormasyon sa mga tax re"&amp;"turn, kahit na ginawa sa kalye (hal., hindi idinedeklara ng isang vendor ang lahat ng kanilang mga kita). Maaaring kabilang sa mga parusa ang:
* Pagkakulong: Dalawang (2) taon at isang (1) araw hanggang anim (6) na taon
* Surcharge: 50% ng buwis na iniiwa"&amp;"san
* Interes: Interes sa hindi nabayarang buwis mula sa takdang petsa
**Kodigo ng Lokal na Pamahalaan (LGC):**
* **Seksyon 148 (Power to Enact Ordinances):** Ang mga LGU ay maaaring magpataw ng mga parusa para sa hindi pagbabayad ng mga lokal na buwis, n"&amp;"a maaaring may kaugnayan para sa mga street-level vendor na hindi nagbabayad ng mga business permit o iba pang lokal na buwis. Ang mga parusang ito ay karaniwang mga multa.
**Mga Hamon ng Pagpapatupad sa Antas ng Kalye:**
* **Pagtitipon ng Ebidensya:** An"&amp;"g paghuli sa isang taong umiiwas sa buwis sa kalye ay maaaring mahirap patunayan nang walang konkretong ebidensya.
**Paano Ito Matutugunan ng Mga Awtoridad:**
* **Mga Karaniwang Inspeksyon:** Ang mga LGU ay maaaring magsagawa ng mga inspeksyon ng business"&amp;" permit o subaybayan ang mga nagtitinda sa kalye upang matiyak ang wastong pagpaparehistro at pagsunod sa buwis.
* **Mga Undercover na Operasyon:** Maaaring gumamit ng mga undercover na ahente ang mga awtoridad sa buwis upang tukuyin ang mga vendor na hin"&amp;"di nagdedeklara ng lahat ng kanilang kita.
**Kahalagahan ng Pagbabayad ng Buwis:**
* Pinopondohan ng mga buwis ang mahahalagang serbisyo ng pamahalaan tulad ng imprastraktura, edukasyon, at pangangalagang pangkalusugan.
**Ano ang Magagawa Mo:**
* Kung may"&amp;" hinala kang tax evasion, maaari mo itong iulat sa Bureau of Internal Revenue (BIR). Magagawa mo ito nang hindi nagpapakilala.
* Dapat tiyakin ng mga nagtitinda sa kalye na mayroon silang tamang mga permit at magbayad ng kanilang lokal na buwis upang maiw"&amp;"asan ang mga legal na isyu.
**Tandaan:** Kahit na tila maliit na pag-iwas sa buwis sa antas ng kalye ay ilegal pa rin. Nakikinabang ang lahat sa isang patas at gumaganang sistema ng buwis.")</f>
        <v>Bagama't walang partikular na batas na tanging nagta-target ng pag-iwas sa buwis sa antas ng kalye sa mga pampublikong espasyo, may mga paraan pa rin ang Pilipinas para matugunan ito. Narito ang isang breakdown ng mga nauugnay na batas at mga potensyal na kahihinatnan:
**Pag-iwas sa Buwis:**
* **Tax Code (Republic Act No. 8424):** * **Seksyon 255 (Tax Evasion Through False o Fraudulent Statements):** Nalalapat ito kung may taong sadyang minamaliit ang kanilang kita o nagmemeke ng impormasyon sa mga tax return, kahit na ginawa sa kalye (hal., hindi idinedeklara ng isang vendor ang lahat ng kanilang mga kita). Maaaring kabilang sa mga parusa ang:
* Pagkakulong: Dalawang (2) taon at isang (1) araw hanggang anim (6) na taon
* Surcharge: 50% ng buwis na iniiwasan
* Interes: Interes sa hindi nabayarang buwis mula sa takdang petsa
**Kodigo ng Lokal na Pamahalaan (LGC):**
* **Seksyon 148 (Power to Enact Ordinances):** Ang mga LGU ay maaaring magpataw ng mga parusa para sa hindi pagbabayad ng mga lokal na buwis, na maaaring may kaugnayan para sa mga street-level vendor na hindi nagbabayad ng mga business permit o iba pang lokal na buwis. Ang mga parusang ito ay karaniwang mga multa.
**Mga Hamon ng Pagpapatupad sa Antas ng Kalye:**
* **Pagtitipon ng Ebidensya:** Ang paghuli sa isang taong umiiwas sa buwis sa kalye ay maaaring mahirap patunayan nang walang konkretong ebidensya.
**Paano Ito Matutugunan ng Mga Awtoridad:**
* **Mga Karaniwang Inspeksyon:** Ang mga LGU ay maaaring magsagawa ng mga inspeksyon ng business permit o subaybayan ang mga nagtitinda sa kalye upang matiyak ang wastong pagpaparehistro at pagsunod sa buwis.
* **Mga Undercover na Operasyon:** Maaaring gumamit ng mga undercover na ahente ang mga awtoridad sa buwis upang tukuyin ang mga vendor na hindi nagdedeklara ng lahat ng kanilang kita.
**Kahalagahan ng Pagbabayad ng Buwis:**
* Pinopondohan ng mga buwis ang mahahalagang serbisyo ng pamahalaan tulad ng imprastraktura, edukasyon, at pangangalagang pangkalusugan.
**Ano ang Magagawa Mo:**
* Kung may hinala kang tax evasion, maaari mo itong iulat sa Bureau of Internal Revenue (BIR). Magagawa mo ito nang hindi nagpapakilala.
* Dapat tiyakin ng mga nagtitinda sa kalye na mayroon silang tamang mga permit at magbayad ng kanilang lokal na buwis upang maiwasan ang mga legal na isyu.
**Tandaan:** Kahit na tila maliit na pag-iwas sa buwis sa antas ng kalye ay ilegal pa rin. Nakikinabang ang lahat sa isang patas at gumaganang sistema ng buwis.</v>
      </c>
      <c r="F1897" s="2">
        <f t="shared" si="1"/>
        <v>0</v>
      </c>
      <c r="G1897" s="2"/>
      <c r="H1897" s="2"/>
      <c r="I1897" s="2"/>
      <c r="J1897" s="2"/>
      <c r="K1897" s="2"/>
      <c r="L1897" s="2"/>
      <c r="M1897" s="2"/>
      <c r="N1897" s="2"/>
      <c r="O1897" s="2"/>
      <c r="P1897" s="2"/>
      <c r="Q1897" s="2"/>
      <c r="R1897" s="2"/>
      <c r="S1897" s="2"/>
      <c r="T1897" s="2"/>
      <c r="U1897" s="2"/>
      <c r="V1897" s="2"/>
      <c r="W1897" s="2"/>
      <c r="X1897" s="2"/>
      <c r="Y1897" s="2"/>
      <c r="Z1897" s="2"/>
      <c r="AA1897" s="2"/>
    </row>
    <row r="1898">
      <c r="A1898" s="1" t="s">
        <v>4698</v>
      </c>
      <c r="B1898" s="1" t="s">
        <v>4843</v>
      </c>
      <c r="C1898" s="1" t="s">
        <v>4844</v>
      </c>
      <c r="D1898" s="2" t="str">
        <f>IFERROR(__xludf.DUMMYFUNCTION("GOOGLETRANSLATE(B1898, ""en"", ""TL"")"),"Paano tinutugunan ng batas ng Pilipinas ang mga insidente ng pag-atake o panliligalig sa antas ng kalye batay sa kapansanan?")</f>
        <v>Paano tinutugunan ng batas ng Pilipinas ang mga insidente ng pag-atake o panliligalig sa antas ng kalye batay sa kapansanan?</v>
      </c>
      <c r="E1898" s="2" t="str">
        <f>IFERROR(__xludf.DUMMYFUNCTION("GOOGLETRANSLATE(C1898, ""en"", ""TL"")"),"Ang Pilipinas ay walang partikular na batas na nakatuon lamang sa pag-atake o panliligalig batay sa kapansanan. Gayunpaman, ang mga umiiral na batas ay maaaring gamitin upang tugunan ang mga naturang insidente, kahit na may ilang mga limitasyon. Narito an"&amp;"g isang breakdown:
**Mga Kaugnay na Batas:**
* **Binago ang Kodigo Penal (RPC):**
* **Artikulo 148 (Direktang Pag-atake):** Nalalapat ito kung ang isang taong may kapansanan ay inatake dahil sa kanilang kapansanan. Ang parusa ay maaaring mula sa prison ma"&amp;"yor (6 na taon at 1 araw hanggang 8 taong pagkakakulong) hanggang reclusion temporal (12 taon at 1 araw hanggang 20 taon na pagkakakulong) depende sa kabigatan ng pag-atake.
* **Artikulo 151 (Resistance and Disobedience to a Person in Authority):** Ito ay"&amp;" maaaring may kaugnayan kung ang biktima ay susubukan na ipagtanggol ang kanilang sarili at makikitang lumalaban sa may kasalanan. Gayunpaman, ang pagkilos ng pagtatanggol sa sarili ay maaaring gamitin bilang isang legal na katwiran.
* **Republic Act No. "&amp;"7877 (Anti-Discrimination Act):**
* **Seksyon 5 (Pagbabawal sa Diskriminasyon):** Ipinagbabawal nito ang diskriminasyon laban sa mga taong may kapansanan sa iba't ibang aspeto, kabilang ang pag-access sa mga serbisyo at pasilidad. Ito ay maaaring bigyang-"&amp;"kahulugan upang masakop ang mga sitwasyon kung saan ang isang taong may kapansanan ay ginigipit o tinanggihan ng serbisyo dahil sa kanilang kapansanan sa kalye. Gayunpaman, ang Anti-Discrimination Act ay hindi hayagang nagbabanggit ng mga parusa para sa a"&amp;"ntas ng pag-atake o panliligalig sa kalye.
**Mga Hamon at Limitasyon:**
* **Intent vs. Motive:** Ang pagpapatunay na ang pag-atake o panliligalig na partikular na nagmula sa kapansanan ay maaaring maging mahirap. Nakatuon ang batas sa mismong gawa (pag-at"&amp;"ake), hindi kinakailangan ang dahilan sa likod nito.
* **Limitadong Saklaw ng Batas laban sa Diskriminasyon:** Maaaring hindi ganap na saklaw ng kasalukuyang Batas Anti-Diskriminasyon ang mga insidente sa antas ng kalye.
**Ano ang Magagawa Mo:**
* **Iulat"&amp;" ang Insidente:** Maghain ng ulat sa pulisya sa kabila ng mga limitasyon. Lumilikha ito ng talaan ng insidente at tumutulong sa pagbuo ng kaso.
* **Humingi ng Legal na Tulong:** Maaaring magpayo ang isang abogado sa pinakamahusay na paraan ng pagkilos bat"&amp;"ay sa mga partikular na detalye ng pag-atake o panliligalig.
* **Adbokasiya:** Ang pagtulak para sa mga pagbabago sa Anti-Discrimination Law upang tahasang isama ang mga parusa para sa panliligalig na nakabatay sa kapansanan ay maaaring magbigay ng mas ma"&amp;"lakas na legal na proteksyon.
**Ang Konstitusyon ng Pilipinas:**
* **Artikulo XIII, Seksyon 1 (Pantay na Proteksyon ng mga Batas):** Ginagarantiyahan nito ang karapatan sa pantay na proteksyon ng mga batas, na nangangahulugang lahat ay dapat tratuhin nang"&amp;" pantay-pantay anuman ang kapansanan. Maaaring gamitin ang prinsipyong ito upang makipagtalo laban sa pag-atake o panliligalig na udyok ng kapansanan.
**Tandaan:** Ang mga taong may kapansanan ay nararapat na tratuhin nang may dignidad at paggalang. Bagam"&amp;"a't maaaring umasa ang legal na balangkas sa mga umiiral nang batas, mayroon kang mga karapatan na protektado ng Konstitusyon. Ang pag-uulat ng mga insidente at paghingi ng legal na tulong ay mahahalagang hakbang.")</f>
        <v>Ang Pilipinas ay walang partikular na batas na nakatuon lamang sa pag-atake o panliligalig batay sa kapansanan. Gayunpaman, ang mga umiiral na batas ay maaaring gamitin upang tugunan ang mga naturang insidente, kahit na may ilang mga limitasyon. Narito ang isang breakdown:
**Mga Kaugnay na Batas:**
* **Binago ang Kodigo Penal (RPC):**
* **Artikulo 148 (Direktang Pag-atake):** Nalalapat ito kung ang isang taong may kapansanan ay inatake dahil sa kanilang kapansanan. Ang parusa ay maaaring mula sa prison mayor (6 na taon at 1 araw hanggang 8 taong pagkakakulong) hanggang reclusion temporal (12 taon at 1 araw hanggang 20 taon na pagkakakulong) depende sa kabigatan ng pag-atake.
* **Artikulo 151 (Resistance and Disobedience to a Person in Authority):** Ito ay maaaring may kaugnayan kung ang biktima ay susubukan na ipagtanggol ang kanilang sarili at makikitang lumalaban sa may kasalanan. Gayunpaman, ang pagkilos ng pagtatanggol sa sarili ay maaaring gamitin bilang isang legal na katwiran.
* **Republic Act No. 7877 (Anti-Discrimination Act):**
* **Seksyon 5 (Pagbabawal sa Diskriminasyon):** Ipinagbabawal nito ang diskriminasyon laban sa mga taong may kapansanan sa iba't ibang aspeto, kabilang ang pag-access sa mga serbisyo at pasilidad. Ito ay maaaring bigyang-kahulugan upang masakop ang mga sitwasyon kung saan ang isang taong may kapansanan ay ginigipit o tinanggihan ng serbisyo dahil sa kanilang kapansanan sa kalye. Gayunpaman, ang Anti-Discrimination Act ay hindi hayagang nagbabanggit ng mga parusa para sa antas ng pag-atake o panliligalig sa kalye.
**Mga Hamon at Limitasyon:**
* **Intent vs. Motive:** Ang pagpapatunay na ang pag-atake o panliligalig na partikular na nagmula sa kapansanan ay maaaring maging mahirap. Nakatuon ang batas sa mismong gawa (pag-atake), hindi kinakailangan ang dahilan sa likod nito.
* **Limitadong Saklaw ng Batas laban sa Diskriminasyon:** Maaaring hindi ganap na saklaw ng kasalukuyang Batas Anti-Diskriminasyon ang mga insidente sa antas ng kalye.
**Ano ang Magagawa Mo:**
* **Iulat ang Insidente:** Maghain ng ulat sa pulisya sa kabila ng mga limitasyon. Lumilikha ito ng talaan ng insidente at tumutulong sa pagbuo ng kaso.
* **Humingi ng Legal na Tulong:** Maaaring magpayo ang isang abogado sa pinakamahusay na paraan ng pagkilos batay sa mga partikular na detalye ng pag-atake o panliligalig.
* **Adbokasiya:** Ang pagtulak para sa mga pagbabago sa Anti-Discrimination Law upang tahasang isama ang mga parusa para sa panliligalig na nakabatay sa kapansanan ay maaaring magbigay ng mas malakas na legal na proteksyon.
**Ang Konstitusyon ng Pilipinas:**
* **Artikulo XIII, Seksyon 1 (Pantay na Proteksyon ng mga Batas):** Ginagarantiyahan nito ang karapatan sa pantay na proteksyon ng mga batas, na nangangahulugang lahat ay dapat tratuhin nang pantay-pantay anuman ang kapansanan. Maaaring gamitin ang prinsipyong ito upang makipagtalo laban sa pag-atake o panliligalig na udyok ng kapansanan.
**Tandaan:** Ang mga taong may kapansanan ay nararapat na tratuhin nang may dignidad at paggalang. Bagama't maaaring umasa ang legal na balangkas sa mga umiiral nang batas, mayroon kang mga karapatan na protektado ng Konstitusyon. Ang pag-uulat ng mga insidente at paghingi ng legal na tulong ay mahahalagang hakbang.</v>
      </c>
      <c r="F1898" s="2">
        <f t="shared" si="1"/>
        <v>0</v>
      </c>
      <c r="G1898" s="2"/>
      <c r="H1898" s="2"/>
      <c r="I1898" s="2"/>
      <c r="J1898" s="2"/>
      <c r="K1898" s="2"/>
      <c r="L1898" s="2"/>
      <c r="M1898" s="2"/>
      <c r="N1898" s="2"/>
      <c r="O1898" s="2"/>
      <c r="P1898" s="2"/>
      <c r="Q1898" s="2"/>
      <c r="R1898" s="2"/>
      <c r="S1898" s="2"/>
      <c r="T1898" s="2"/>
      <c r="U1898" s="2"/>
      <c r="V1898" s="2"/>
      <c r="W1898" s="2"/>
      <c r="X1898" s="2"/>
      <c r="Y1898" s="2"/>
      <c r="Z1898" s="2"/>
      <c r="AA1898" s="2"/>
    </row>
    <row r="1899">
      <c r="A1899" s="1" t="s">
        <v>4698</v>
      </c>
      <c r="B1899" s="1" t="s">
        <v>4845</v>
      </c>
      <c r="C1899" s="1" t="s">
        <v>4846</v>
      </c>
      <c r="D1899" s="2" t="str">
        <f>IFERROR(__xludf.DUMMYFUNCTION("GOOGLETRANSLATE(B1899, ""en"", ""TL"")"),"Anong mga legal na hakbang ang umiiral upang labanan ang mga paglabag sa kapaligiran sa antas ng kalye, tulad ng hindi tamang pagtatapon ng basura?")</f>
        <v>Anong mga legal na hakbang ang umiiral upang labanan ang mga paglabag sa kapaligiran sa antas ng kalye, tulad ng hindi tamang pagtatapon ng basura?</v>
      </c>
      <c r="E1899" s="2" t="str">
        <f>IFERROR(__xludf.DUMMYFUNCTION("GOOGLETRANSLATE(C1899, ""en"", ""TL"")"),"Ang Pilipinas ay may ilang mga legal na hakbang upang labanan ang mga paglabag sa kapaligiran sa antas ng kalye, partikular na ang hindi tamang pagtatapon ng basura. Narito ang isang breakdown batay sa mga nauugnay na batas ng Pilipinas:
**Konstitusyon:**"&amp;"
* **Artikulo II, Seksyon 16:** Ang seksyon na ito ay nag-uutos sa Estado na protektahan at itaguyod ang buong pagtatamasa ng balanse at nakapagpapalusog na ekolohiya sa pamamagitan ng pagkilala sa karapatan ng mga tao sa isang malinis na kapaligiran [Kon"&amp;"stitusyon ng Republika ng Pilipinas, Art . II, Sec. 16].
**Republic Acts (R.A.):**
* **R.A. 9003 o ang Ecological Solid Waste Management Act:** Ang batas na ito ay ang pangunahing batas para sa pamamahala ng solid waste. Ipinagbabawal nito ang pagtatapon "&amp;"ng basura, pagtatapon, pagtatapon ng basura sa mga pampublikong lugar, at open burning (Sec. 4). Binibigyan nito ng kapangyarihan ang mga local government units (LGUs) na magpatupad ng waste segregation sa pinagmulan at magpatupad ng mga parusa para sa mg"&amp;"a paglabag (Sec. 21). * **R.A. 6969 o ang Toxic Substances and Hazardous Waste Control Act:** Ang batas na ito ay kinokontrol ang pamamahala ng mga mapanganib na basura. Bagama't hindi direktang tinutugunan ang mga paglabag sa antas ng kalye, maaari itong"&amp;" maging kaugnay kung ang mga mapanganib na materyales ay hindi wastong itinatapon sa mga lansangan. * **R.A. 7638 o ang Barangay Government Code:** Ang code na ito ay nagbibigay ng kapangyarihan sa mga barangay (ang pinakamaliit na local government unit) "&amp;"na magpatibay ng mga ordinansa upang itaguyod ang pangangalaga sa kapaligiran at kalinisan sa loob ng kanilang nasasakupan. Ang mga ordinansang ito ay maaaring magtakda ng mga partikular na pagbabawal at kaukulang parusa para sa hindi wastong pagtatapon n"&amp;"g basura sa mga lansangan (Sec. 179).
**Ibang Kaugnay na Batas:**
* **Presidential Decree 855 o ang Pollution Control Law:** Ang batas na ito ay nagbibigay sa Department of Environment and Natural Resources (DENR) ng awtoridad na magtakda ng mga pamantaya"&amp;"n sa pagkontrol ng polusyon at magpatupad ng mga batas sa kapaligiran (Sec. 7).
**Mga Parusa:**
Ang mga parusa para sa hindi wastong pagtatapon ng basura ay maaaring mag-iba depende sa partikular na paglabag at sa ahensyang nagpapatupad (LGU o DENR). Ang "&amp;"mga parusa ay maaaring mula sa mga multa hanggang sa serbisyo sa komunidad. R.A. Binabalangkas ng 9003 ang mga partikular na multa para sa iba't ibang paglabag (Sec. 48).
**Mga Karagdagang Punto:**
* Napakahalaga ng mga kampanya ng pampublikong kamalayan "&amp;"upang turuan ang mga mamamayan tungkol sa wastong pagtatapon ng basura at ang mga legal na kahihinatnan ng mga paglabag.
* Malaki ang papel ng mga opisyal ng barangay sa pagpapatupad ng mga batas sa kapaligiran sa antas ng komunidad.
**Tandaan:** Ito ay h"&amp;"indi isang kumpletong listahan, at para sa partikular na legal na payo, palaging pinakamahusay na kumunsulta sa isang abogado.")</f>
        <v>Ang Pilipinas ay may ilang mga legal na hakbang upang labanan ang mga paglabag sa kapaligiran sa antas ng kalye, partikular na ang hindi tamang pagtatapon ng basura. Narito ang isang breakdown batay sa mga nauugnay na batas ng Pilipinas:
**Konstitusyon:**
* **Artikulo II, Seksyon 16:** Ang seksyon na ito ay nag-uutos sa Estado na protektahan at itaguyod ang buong pagtatamasa ng balanse at nakapagpapalusog na ekolohiya sa pamamagitan ng pagkilala sa karapatan ng mga tao sa isang malinis na kapaligiran [Konstitusyon ng Republika ng Pilipinas, Art . II, Sec. 16].
**Republic Acts (R.A.):**
* **R.A. 9003 o ang Ecological Solid Waste Management Act:** Ang batas na ito ay ang pangunahing batas para sa pamamahala ng solid waste. Ipinagbabawal nito ang pagtatapon ng basura, pagtatapon, pagtatapon ng basura sa mga pampublikong lugar, at open burning (Sec. 4). Binibigyan nito ng kapangyarihan ang mga local government units (LGUs) na magpatupad ng waste segregation sa pinagmulan at magpatupad ng mga parusa para sa mga paglabag (Sec. 21). * **R.A. 6969 o ang Toxic Substances and Hazardous Waste Control Act:** Ang batas na ito ay kinokontrol ang pamamahala ng mga mapanganib na basura. Bagama't hindi direktang tinutugunan ang mga paglabag sa antas ng kalye, maaari itong maging kaugnay kung ang mga mapanganib na materyales ay hindi wastong itinatapon sa mga lansangan. * **R.A. 7638 o ang Barangay Government Code:** Ang code na ito ay nagbibigay ng kapangyarihan sa mga barangay (ang pinakamaliit na local government unit) na magpatibay ng mga ordinansa upang itaguyod ang pangangalaga sa kapaligiran at kalinisan sa loob ng kanilang nasasakupan. Ang mga ordinansang ito ay maaaring magtakda ng mga partikular na pagbabawal at kaukulang parusa para sa hindi wastong pagtatapon ng basura sa mga lansangan (Sec. 179).
**Ibang Kaugnay na Batas:**
* **Presidential Decree 855 o ang Pollution Control Law:** Ang batas na ito ay nagbibigay sa Department of Environment and Natural Resources (DENR) ng awtoridad na magtakda ng mga pamantayan sa pagkontrol ng polusyon at magpatupad ng mga batas sa kapaligiran (Sec. 7).
**Mga Parusa:**
Ang mga parusa para sa hindi wastong pagtatapon ng basura ay maaaring mag-iba depende sa partikular na paglabag at sa ahensyang nagpapatupad (LGU o DENR). Ang mga parusa ay maaaring mula sa mga multa hanggang sa serbisyo sa komunidad. R.A. Binabalangkas ng 9003 ang mga partikular na multa para sa iba't ibang paglabag (Sec. 48).
**Mga Karagdagang Punto:**
* Napakahalaga ng mga kampanya ng pampublikong kamalayan upang turuan ang mga mamamayan tungkol sa wastong pagtatapon ng basura at ang mga legal na kahihinatnan ng mga paglabag.
* Malaki ang papel ng mga opisyal ng barangay sa pagpapatupad ng mga batas sa kapaligiran sa antas ng komunidad.
**Tandaan:** Ito ay hindi isang kumpletong listahan, at para sa partikular na legal na payo, palaging pinakamahusay na kumunsulta sa isang abogado.</v>
      </c>
      <c r="F1899" s="2">
        <f t="shared" si="1"/>
        <v>0</v>
      </c>
      <c r="G1899" s="2"/>
      <c r="H1899" s="2"/>
      <c r="I1899" s="2"/>
      <c r="J1899" s="2"/>
      <c r="K1899" s="2"/>
      <c r="L1899" s="2"/>
      <c r="M1899" s="2"/>
      <c r="N1899" s="2"/>
      <c r="O1899" s="2"/>
      <c r="P1899" s="2"/>
      <c r="Q1899" s="2"/>
      <c r="R1899" s="2"/>
      <c r="S1899" s="2"/>
      <c r="T1899" s="2"/>
      <c r="U1899" s="2"/>
      <c r="V1899" s="2"/>
      <c r="W1899" s="2"/>
      <c r="X1899" s="2"/>
      <c r="Y1899" s="2"/>
      <c r="Z1899" s="2"/>
      <c r="AA1899" s="2"/>
    </row>
    <row r="1900">
      <c r="A1900" s="1" t="s">
        <v>4698</v>
      </c>
      <c r="B1900" s="1" t="s">
        <v>4847</v>
      </c>
      <c r="C1900" s="1" t="s">
        <v>4848</v>
      </c>
      <c r="D1900" s="2" t="str">
        <f>IFERROR(__xludf.DUMMYFUNCTION("GOOGLETRANSLATE(B1900, ""en"", ""TL"")"),"Sa ilalim ng anong mga pangyayari ang isang tao ay maaaring makasuhan ng public conspiracy to commit drug-related offenses sa mga lansangan?")</f>
        <v>Sa ilalim ng anong mga pangyayari ang isang tao ay maaaring makasuhan ng public conspiracy to commit drug-related offenses sa mga lansangan?</v>
      </c>
      <c r="E1900" s="2" t="str">
        <f>IFERROR(__xludf.DUMMYFUNCTION("GOOGLETRANSLATE(C1900, ""en"", ""TL"")"),"Ang batas ng Pilipinas ay walang partikular na krimen na tinatawag na ""public conspiracy to commit drug-related offenses on the streets."" Gayunpaman, may mga kaugnay na batas na maaaring gamitin upang usigin ang mga taong sangkot sa pagpaplano o pagsang"&amp;"-ayon na gumawa ng mga pagkakasala sa droga. Narito ang isang breakdown:
* **Pagsasabwatan sa ilalim ng Binagong Kodigo Penal (RPC):** Ang Artikulo 8 ng RPC ay tumutukoy sa pagsasabwatan bilang ""dalawa o higit pang mga tao ang nagkasundo na gumawa ng kri"&amp;"men at nagpasyang magsagawa ng ilang aksyon para sa layunin ng pagpapatupad nito."" Para magkaroon ng conspiracy charge, dapat mayroong patunay ng isang kasunduan na gumawa ng isang partikular na paglabag sa droga (hal., pagbebenta, pagmamanupaktura), hin"&amp;"di lamang isang pangkalahatang layunin na masangkot sa droga. **Ebidensya para sa Conspiracy:**
* **Direktang ebidensya:** Ito ay bihira at nagsasangkot ng pagsaksi sa pagpaplano o kasunduan na gawin ang pagkakasala sa droga. * **Circumstantial evidence:*"&amp;"* Kabilang dito ang mga bagay tulad ng komunikasyon sa pagitan ng mga suspek, pagkakaroon ng malapit sa mga kilalang transaksyon sa droga, o shared possession of drug paraphernalia. Ang ebidensya ay dapat sapat na malakas upang kumbinsihin ang isang hukum"&amp;"an na mayroong isang tiyak na kasunduan upang gumawa ng isang partikular na pagkakasala sa droga.
**Mga Kaugnay na Pagkakasala sa Droga:**
* **Ilegal na Pagbebenta/Pamamahagi/Pagmamay-ari ng Mapanganib na Gamot (R.A. 9165 o ang Comprehensive Dangerous Dru"&amp;"gs Act):** Tinutukoy at pinaparusahan ng batas na ito ang iba't ibang mga paglabag sa droga. Kung may mahuhuling nagpaplano o sumasang-ayon na labagin ang mga partikular na probisyon ng R.A. 9165, maaari silang kasuhan ng conspiracy kasama ang nilalayong "&amp;"pagkakasala sa droga.
**Mga Pangunahing Punto:**
* Ang pagpapatunay ng pagsasabwatan ay nangangailangan ng katibayan ng isang partikular na kasunduan upang makagawa ng isang partikular na pagkakasala sa droga. * Ang mismong gawa ng pagsasabwatan ay maaari"&amp;"ng hindi gawin sa publiko. **Tandaan:** Ito ay para sa mga layuning pang-impormasyon lamang at hindi bumubuo ng legal na payo. Kung mayroon kang mga alalahanin tungkol sa isang partikular na sitwasyon, ang pagkonsulta sa isang abogado ay lubos na inirerek"&amp;"omenda.")</f>
        <v>Ang batas ng Pilipinas ay walang partikular na krimen na tinatawag na "public conspiracy to commit drug-related offenses on the streets." Gayunpaman, may mga kaugnay na batas na maaaring gamitin upang usigin ang mga taong sangkot sa pagpaplano o pagsang-ayon na gumawa ng mga pagkakasala sa droga. Narito ang isang breakdown:
* **Pagsasabwatan sa ilalim ng Binagong Kodigo Penal (RPC):** Ang Artikulo 8 ng RPC ay tumutukoy sa pagsasabwatan bilang "dalawa o higit pang mga tao ang nagkasundo na gumawa ng krimen at nagpasyang magsagawa ng ilang aksyon para sa layunin ng pagpapatupad nito." Para magkaroon ng conspiracy charge, dapat mayroong patunay ng isang kasunduan na gumawa ng isang partikular na paglabag sa droga (hal., pagbebenta, pagmamanupaktura), hindi lamang isang pangkalahatang layunin na masangkot sa droga. **Ebidensya para sa Conspiracy:**
* **Direktang ebidensya:** Ito ay bihira at nagsasangkot ng pagsaksi sa pagpaplano o kasunduan na gawin ang pagkakasala sa droga. * **Circumstantial evidence:** Kabilang dito ang mga bagay tulad ng komunikasyon sa pagitan ng mga suspek, pagkakaroon ng malapit sa mga kilalang transaksyon sa droga, o shared possession of drug paraphernalia. Ang ebidensya ay dapat sapat na malakas upang kumbinsihin ang isang hukuman na mayroong isang tiyak na kasunduan upang gumawa ng isang partikular na pagkakasala sa droga.
**Mga Kaugnay na Pagkakasala sa Droga:**
* **Ilegal na Pagbebenta/Pamamahagi/Pagmamay-ari ng Mapanganib na Gamot (R.A. 9165 o ang Comprehensive Dangerous Drugs Act):** Tinutukoy at pinaparusahan ng batas na ito ang iba't ibang mga paglabag sa droga. Kung may mahuhuling nagpaplano o sumasang-ayon na labagin ang mga partikular na probisyon ng R.A. 9165, maaari silang kasuhan ng conspiracy kasama ang nilalayong pagkakasala sa droga.
**Mga Pangunahing Punto:**
* Ang pagpapatunay ng pagsasabwatan ay nangangailangan ng katibayan ng isang partikular na kasunduan upang makagawa ng isang partikular na pagkakasala sa droga. * Ang mismong gawa ng pagsasabwatan ay maaaring hindi gawin sa publiko. **Tandaan:** Ito ay para sa mga layuning pang-impormasyon lamang at hindi bumubuo ng legal na payo. Kung mayroon kang mga alalahanin tungkol sa isang partikular na sitwasyon, ang pagkonsulta sa isang abogado ay lubos na inirerekomenda.</v>
      </c>
      <c r="F1900" s="2">
        <f t="shared" si="1"/>
        <v>0</v>
      </c>
      <c r="G1900" s="2"/>
      <c r="H1900" s="2"/>
      <c r="I1900" s="2"/>
      <c r="J1900" s="2"/>
      <c r="K1900" s="2"/>
      <c r="L1900" s="2"/>
      <c r="M1900" s="2"/>
      <c r="N1900" s="2"/>
      <c r="O1900" s="2"/>
      <c r="P1900" s="2"/>
      <c r="Q1900" s="2"/>
      <c r="R1900" s="2"/>
      <c r="S1900" s="2"/>
      <c r="T1900" s="2"/>
      <c r="U1900" s="2"/>
      <c r="V1900" s="2"/>
      <c r="W1900" s="2"/>
      <c r="X1900" s="2"/>
      <c r="Y1900" s="2"/>
      <c r="Z1900" s="2"/>
      <c r="AA1900" s="2"/>
    </row>
    <row r="1901">
      <c r="A1901" s="1" t="s">
        <v>4698</v>
      </c>
      <c r="B1901" s="1" t="s">
        <v>4849</v>
      </c>
      <c r="C1901" s="1" t="s">
        <v>4850</v>
      </c>
      <c r="D1901" s="2" t="str">
        <f>IFERROR(__xludf.DUMMYFUNCTION("GOOGLETRANSLATE(B1901, ""en"", ""TL"")"),"Paano tinutugunan sa ilalim ng batas ng Pilipinas ang pagkakasala ng pampublikong pagsasabwatan upang magsagawa ng pagnanakaw ng pagkakakilanlan o pandaraya sa pananalapi?")</f>
        <v>Paano tinutugunan sa ilalim ng batas ng Pilipinas ang pagkakasala ng pampublikong pagsasabwatan upang magsagawa ng pagnanakaw ng pagkakakilanlan o pandaraya sa pananalapi?</v>
      </c>
      <c r="E1901" s="2" t="str">
        <f>IFERROR(__xludf.DUMMYFUNCTION("GOOGLETRANSLATE(C1901, ""en"", ""TL"")"),"Walang kahit isang krimen sa batas ng Pilipinas na tinatawag na ""public conspiracy to commit identity theft o financial fraud."" Gayunpaman, tinutugunan ng batas ng Pilipinas ang mga isyung ito sa pamamagitan ng kumbinasyon ng mga umiiral na pagkakasala:"&amp;"
* **Conspiracy sa ilalim ng Revised Penal Code (RPC):** Gaya ng nabanggit dati, ang Artikulo 8 ng RPC ay tumutukoy sa pagsasabwatan. Dito, maaari itong magamit kung dalawa o higit pang tao ang sumang-ayon na gumawa ng pagnanakaw ng pagkakakilanlan o pand"&amp;"araya sa pananalapi. Kailangang patunayan ng prosekusyon ang isang partikular na kasunduan upang isagawa ang mga gawaing ito, hindi lamang isang pangkalahatang talakayan tungkol sa pandaraya.
* **Pagnanakaw ng Pagkakakilanlan (R.A. 10175 o ang Cybercrime "&amp;"Prevention Act of 2012):** Ang batas na ito ay nagpaparusa sa iba't ibang gawain ng pagnanakaw ng pagkakakilanlan, tulad ng pagkuha ng personal na impormasyon sa pagkakakilanlan upang magpanggap bilang iba (Sec. 15). Kung may sumang-ayon sa iba na kumuha "&amp;"ng impormasyon ng ibang tao para sa mapanlinlang na layunin, maaari silang kasuhan ng conspiracy sa ilalim ng RPC kasama ng pagnanakaw ng pagkakakilanlan sa ilalim ng R.A. 10175.
* **Estafa (RPC):** Ito ay isang malawak na probisyon ng pandaraya sa RPC na"&amp;" sumasaklaw sa mga gawa ng panlilinlang upang samantalahin ang ibang tao (Artikulo 315). Kung ang pagsasabwatan ay nagsasangkot ng paggamit ng mga ninakaw na pagkakakilanlan upang linlangin ang isang tao at makakuha ng pinansiyal na benepisyo, ang parehon"&amp;"g mga singil sa pagsasabwatan at estafa ay maaaring mailapat.
* **Acts preparatory to Estafa (RPC):** Ang Artikulo 14 ng RPC ay nagpaparusa sa mga kilos na paghahanda sa isang krimen, tulad ng pagkakaroon ng mga kasangkapan o pagpaplanong gumawa ng Estafa"&amp;". Kung ang pagpaplano o kasunduan na gumawa ng pagnanakaw ng pagkakakilanlan o pandaraya sa pananalapi ay nagsasangkot ng mga kongkretong hakbang, ang probisyong ito ay maaaring gamitin kasama ng pagsasabwatan. **Mga Hamon sa Public Conspiracy Cases:**
* "&amp;"Ang pagpapatunay ng isang partikular na kasunduan upang gawin ang krimen ay maaaring maging mahirap, lalo na kung walang konkretong ebidensya tulad ng nakasulat na mga plano. * Ang pampublikong kalikasan ng pagsasabwatan ay kailangang maitatag. Bagama't a"&amp;"ng pagpaplano ay maaaring mangyari sa mga pampublikong lugar, ang mismong kasunduan ay maaaring hindi lantad.
**Tandaan:** Ito ay para sa mga layuning pang-impormasyon lamang at hindi bumubuo ng legal na payo. Kung mayroon kang mga alalahanin tungkol sa i"&amp;"sang partikular na sitwasyon o potensyal na kriminal na aktibidad, ang pagkonsulta sa isang abogado ay lubos na inirerekomenda. Maaari ka nilang payuhan sa mga partikular na legal na probisyon na naaangkop batay sa mga detalye ng kaso.")</f>
        <v>Walang kahit isang krimen sa batas ng Pilipinas na tinatawag na "public conspiracy to commit identity theft o financial fraud." Gayunpaman, tinutugunan ng batas ng Pilipinas ang mga isyung ito sa pamamagitan ng kumbinasyon ng mga umiiral na pagkakasala:
* **Conspiracy sa ilalim ng Revised Penal Code (RPC):** Gaya ng nabanggit dati, ang Artikulo 8 ng RPC ay tumutukoy sa pagsasabwatan. Dito, maaari itong magamit kung dalawa o higit pang tao ang sumang-ayon na gumawa ng pagnanakaw ng pagkakakilanlan o pandaraya sa pananalapi. Kailangang patunayan ng prosekusyon ang isang partikular na kasunduan upang isagawa ang mga gawaing ito, hindi lamang isang pangkalahatang talakayan tungkol sa pandaraya.
* **Pagnanakaw ng Pagkakakilanlan (R.A. 10175 o ang Cybercrime Prevention Act of 2012):** Ang batas na ito ay nagpaparusa sa iba't ibang gawain ng pagnanakaw ng pagkakakilanlan, tulad ng pagkuha ng personal na impormasyon sa pagkakakilanlan upang magpanggap bilang iba (Sec. 15). Kung may sumang-ayon sa iba na kumuha ng impormasyon ng ibang tao para sa mapanlinlang na layunin, maaari silang kasuhan ng conspiracy sa ilalim ng RPC kasama ng pagnanakaw ng pagkakakilanlan sa ilalim ng R.A. 10175.
* **Estafa (RPC):** Ito ay isang malawak na probisyon ng pandaraya sa RPC na sumasaklaw sa mga gawa ng panlilinlang upang samantalahin ang ibang tao (Artikulo 315). Kung ang pagsasabwatan ay nagsasangkot ng paggamit ng mga ninakaw na pagkakakilanlan upang linlangin ang isang tao at makakuha ng pinansiyal na benepisyo, ang parehong mga singil sa pagsasabwatan at estafa ay maaaring mailapat.
* **Acts preparatory to Estafa (RPC):** Ang Artikulo 14 ng RPC ay nagpaparusa sa mga kilos na paghahanda sa isang krimen, tulad ng pagkakaroon ng mga kasangkapan o pagpaplanong gumawa ng Estafa. Kung ang pagpaplano o kasunduan na gumawa ng pagnanakaw ng pagkakakilanlan o pandaraya sa pananalapi ay nagsasangkot ng mga kongkretong hakbang, ang probisyong ito ay maaaring gamitin kasama ng pagsasabwatan. **Mga Hamon sa Public Conspiracy Cases:**
* Ang pagpapatunay ng isang partikular na kasunduan upang gawin ang krimen ay maaaring maging mahirap, lalo na kung walang konkretong ebidensya tulad ng nakasulat na mga plano. * Ang pampublikong kalikasan ng pagsasabwatan ay kailangang maitatag. Bagama't ang pagpaplano ay maaaring mangyari sa mga pampublikong lugar, ang mismong kasunduan ay maaaring hindi lantad.
**Tandaan:** Ito ay para sa mga layuning pang-impormasyon lamang at hindi bumubuo ng legal na payo. Kung mayroon kang mga alalahanin tungkol sa isang partikular na sitwasyon o potensyal na kriminal na aktibidad, ang pagkonsulta sa isang abogado ay lubos na inirerekomenda. Maaari ka nilang payuhan sa mga partikular na legal na probisyon na naaangkop batay sa mga detalye ng kaso.</v>
      </c>
      <c r="F1901" s="2">
        <f t="shared" si="1"/>
        <v>7</v>
      </c>
      <c r="G1901" s="2"/>
      <c r="H1901" s="2"/>
      <c r="I1901" s="2"/>
      <c r="J1901" s="2"/>
      <c r="K1901" s="2"/>
      <c r="L1901" s="2"/>
      <c r="M1901" s="2"/>
      <c r="N1901" s="2"/>
      <c r="O1901" s="2"/>
      <c r="P1901" s="2"/>
      <c r="Q1901" s="2"/>
      <c r="R1901" s="2"/>
      <c r="S1901" s="2"/>
      <c r="T1901" s="2"/>
      <c r="U1901" s="2"/>
      <c r="V1901" s="2"/>
      <c r="W1901" s="2"/>
      <c r="X1901" s="2"/>
      <c r="Y1901" s="2"/>
      <c r="Z1901" s="2"/>
      <c r="AA1901" s="2"/>
    </row>
    <row r="1902">
      <c r="A1902" s="1" t="s">
        <v>4698</v>
      </c>
      <c r="B1902" s="1" t="s">
        <v>4851</v>
      </c>
      <c r="C1902" s="1" t="s">
        <v>4852</v>
      </c>
      <c r="D1902" s="2" t="str">
        <f>IFERROR(__xludf.DUMMYFUNCTION("GOOGLETRANSLATE(B1902, ""en"", ""TL"")"),"Anong mga parusa ang naaangkop para sa pagsali sa hindi awtorisadong pagbebenta o pamamahagi ng mga ipinagbabawal na publikasyon sa mga lansangan?")</f>
        <v>Anong mga parusa ang naaangkop para sa pagsali sa hindi awtorisadong pagbebenta o pamamahagi ng mga ipinagbabawal na publikasyon sa mga lansangan?</v>
      </c>
      <c r="E1902" s="2" t="str">
        <f>IFERROR(__xludf.DUMMYFUNCTION("GOOGLETRANSLATE(C1902, ""en"", ""TL"")"),"Walang iisang batas na sumasaklaw sa lahat sa Pilipinas na partikular na tumutugon sa hindi awtorisadong pagbebenta o pamamahagi ng mga ipinagbabawal na publikasyon sa mga lansangan. Gayunpaman, depende sa uri ng mga ipinagbabawal na publikasyon, maaari k"&amp;"ang singilin sa ilalim ng iba't ibang batas:
* **Binago ang Kodigo Penal (RPC):**
* **Artikulo 175 (Mga Malaswang Publikasyon at Malaswang Palabas):** Pinaparusahan ng artikulong ito ang paglalathala, eksibisyon, o pagmamay-ari ng mga malalaswang materyal"&amp;"es. Kung ang mga ipinagbabawal na publikasyon ay nasa ilalim ng kategoryang ito (hal., pornograpiya), ang pagbebenta o pamamahagi ng mga ito ay maaaring humantong sa pagkakulong at mga multa.
* **Artikulo 189 (Libel):** Sinasaklaw nito ang paglalathala ng"&amp;" mga pahayag na mapanirang-puri na maaaring makasira sa reputasyon ng isang tao. Ang pagbebenta ng mga publikasyong naglalaman ng mapanirang nilalaman ay maaaring isang paglabag.
* **Mga Espesyal na Batas:**
* **R.A. 9775 o ang Anti-Trafficking in Persons"&amp;" Act of 2010:** Ang batas na ito ay nagpaparusa sa mga gawaing may kaugnayan sa human trafficking. Kung ang mga ipinagbabawal na publikasyon ay nagtataguyod o nagpapadali ng human trafficking, ito ay maaaring isang paglabag.
* **R.A. 10175 o ang Cybercrim"&amp;"e Prevention Act of 2012:** Ang batas na ito ay tumatalakay sa online na content, ngunit pinarusahan ng Seksyon 19 ang pagkakaroon o pamamahagi ng child pornography. Kung ang mga ipinagbabawal na publikasyon ay naglalaman ng pornograpiya ng bata, maaaring"&amp;" naaangkop ito. * **Mga Ordenansa ng Lokal na Pamahalaan:**
* Ang mga lungsod at munisipalidad ay maaaring magpatibay ng mga ordinansa na kumokontrol sa mga vendor o negosyong tumatakbo sa kanilang mga lansangan. Ang mga ordinansang ito ay maaaring may mg"&amp;"a probisyon na nagbabawal sa pagbebenta ng mga partikular na uri ng publikasyon nang walang wastong permit. **Mga Parusa:**
Ang mga parusa sa paglabag sa mga batas na ito ay nag-iiba depende sa partikular na pagkakasala. Maaari silang mula sa mga multa at"&amp;" pagkakulong (RPC) hanggang sa mga parusang administratibo (mga lokal na ordinansa).
**Mga Karagdagang Punto:**
* Upang matukoy ang eksaktong pagkakasala at parusa, mahalagang tukuyin ang katangian ng mga ipinagbabawal na publikasyon. * Karaniwang kinukum"&amp;"piska ng mga opisyal ng pagpapatupad ng batas ang mga ipinagbabawal na materyales sa panahon ng pagdakip.
**Disclaimer:** Ito ay para sa mga layuning pang-impormasyon lamang at hindi dapat ituring na legal na payo. Kung mayroon kang mga alalahanin tungkol"&amp;" sa mga partikular na publikasyon o isang potensyal na legal na kaso, ang pagkonsulta sa isang abogado ay lubos na inirerekomenda. Maaari nilang suriin ang sitwasyon at payuhan ka tungkol sa mga kaugnay na batas at potensyal na kahihinatnan.")</f>
        <v>Walang iisang batas na sumasaklaw sa lahat sa Pilipinas na partikular na tumutugon sa hindi awtorisadong pagbebenta o pamamahagi ng mga ipinagbabawal na publikasyon sa mga lansangan. Gayunpaman, depende sa uri ng mga ipinagbabawal na publikasyon, maaari kang singilin sa ilalim ng iba't ibang batas:
* **Binago ang Kodigo Penal (RPC):**
* **Artikulo 175 (Mga Malaswang Publikasyon at Malaswang Palabas):** Pinaparusahan ng artikulong ito ang paglalathala, eksibisyon, o pagmamay-ari ng mga malalaswang materyales. Kung ang mga ipinagbabawal na publikasyon ay nasa ilalim ng kategoryang ito (hal., pornograpiya), ang pagbebenta o pamamahagi ng mga ito ay maaaring humantong sa pagkakulong at mga multa.
* **Artikulo 189 (Libel):** Sinasaklaw nito ang paglalathala ng mga pahayag na mapanirang-puri na maaaring makasira sa reputasyon ng isang tao. Ang pagbebenta ng mga publikasyong naglalaman ng mapanirang nilalaman ay maaaring isang paglabag.
* **Mga Espesyal na Batas:**
* **R.A. 9775 o ang Anti-Trafficking in Persons Act of 2010:** Ang batas na ito ay nagpaparusa sa mga gawaing may kaugnayan sa human trafficking. Kung ang mga ipinagbabawal na publikasyon ay nagtataguyod o nagpapadali ng human trafficking, ito ay maaaring isang paglabag.
* **R.A. 10175 o ang Cybercrime Prevention Act of 2012:** Ang batas na ito ay tumatalakay sa online na content, ngunit pinarusahan ng Seksyon 19 ang pagkakaroon o pamamahagi ng child pornography. Kung ang mga ipinagbabawal na publikasyon ay naglalaman ng pornograpiya ng bata, maaaring naaangkop ito. * **Mga Ordenansa ng Lokal na Pamahalaan:**
* Ang mga lungsod at munisipalidad ay maaaring magpatibay ng mga ordinansa na kumokontrol sa mga vendor o negosyong tumatakbo sa kanilang mga lansangan. Ang mga ordinansang ito ay maaaring may mga probisyon na nagbabawal sa pagbebenta ng mga partikular na uri ng publikasyon nang walang wastong permit. **Mga Parusa:**
Ang mga parusa sa paglabag sa mga batas na ito ay nag-iiba depende sa partikular na pagkakasala. Maaari silang mula sa mga multa at pagkakulong (RPC) hanggang sa mga parusang administratibo (mga lokal na ordinansa).
**Mga Karagdagang Punto:**
* Upang matukoy ang eksaktong pagkakasala at parusa, mahalagang tukuyin ang katangian ng mga ipinagbabawal na publikasyon. * Karaniwang kinukumpiska ng mga opisyal ng pagpapatupad ng batas ang mga ipinagbabawal na materyales sa panahon ng pagdakip.
**Disclaimer:** Ito ay para sa mga layuning pang-impormasyon lamang at hindi dapat ituring na legal na payo. Kung mayroon kang mga alalahanin tungkol sa mga partikular na publikasyon o isang potensyal na legal na kaso, ang pagkonsulta sa isang abogado ay lubos na inirerekomenda. Maaari nilang suriin ang sitwasyon at payuhan ka tungkol sa mga kaugnay na batas at potensyal na kahihinatnan.</v>
      </c>
      <c r="F1902" s="2">
        <f t="shared" si="1"/>
        <v>0</v>
      </c>
      <c r="G1902" s="2"/>
      <c r="H1902" s="2"/>
      <c r="I1902" s="2"/>
      <c r="J1902" s="2"/>
      <c r="K1902" s="2"/>
      <c r="L1902" s="2"/>
      <c r="M1902" s="2"/>
      <c r="N1902" s="2"/>
      <c r="O1902" s="2"/>
      <c r="P1902" s="2"/>
      <c r="Q1902" s="2"/>
      <c r="R1902" s="2"/>
      <c r="S1902" s="2"/>
      <c r="T1902" s="2"/>
      <c r="U1902" s="2"/>
      <c r="V1902" s="2"/>
      <c r="W1902" s="2"/>
      <c r="X1902" s="2"/>
      <c r="Y1902" s="2"/>
      <c r="Z1902" s="2"/>
      <c r="AA1902" s="2"/>
    </row>
    <row r="1903">
      <c r="A1903" s="1" t="s">
        <v>4698</v>
      </c>
      <c r="B1903" s="1" t="s">
        <v>4853</v>
      </c>
      <c r="C1903" s="1" t="s">
        <v>4854</v>
      </c>
      <c r="D1903" s="2" t="str">
        <f>IFERROR(__xludf.DUMMYFUNCTION("GOOGLETRANSLATE(B1903, ""en"", ""TL"")"),"Anong mga legal na probisyon ang kumokontrol sa pagkakaroon at paggamit ng mga hindi awtorisadong kagamitan sa pagsubaybay sa mga pampublikong espasyo?")</f>
        <v>Anong mga legal na probisyon ang kumokontrol sa pagkakaroon at paggamit ng mga hindi awtorisadong kagamitan sa pagsubaybay sa mga pampublikong espasyo?</v>
      </c>
      <c r="E1903" s="2" t="str">
        <f>IFERROR(__xludf.DUMMYFUNCTION("GOOGLETRANSLATE(C1903, ""en"", ""TL"")"),"Walang isa, partikular na batas sa Pilipinas na direktang tumutugon sa pagmamay-ari at paggamit ng mga hindi awtorisadong surveillance device sa mga pampublikong espasyo. Gayunpaman, maraming legal na probisyon ang maaaring gamitin upang matugunan ang isy"&amp;"ung ito:
**1. Karapatan sa Privacy sa ilalim ng Konstitusyon:**
* **Artikulo III, Seksyon 1:** Ginagarantiyahan ng seksyong ito ang proteksyon ng karapatan sa pagkapribado, na maaaring bigyang-kahulugan na isama ang isang inaasahan ng privacy sa mga pampu"&amp;"blikong espasyo sa isang tiyak na lawak.
**2. Data Privacy Act of 2012 (R.A. 10173):**
* Pinoprotektahan ng batas na ito ang pagpoproseso ng personal na data, na maaaring magsama ng mga pag-record o mga larawang nakunan ng mga device sa pagsubaybay. * Bag"&amp;"ama't hindi direktang tinutugunan ang mga hindi awtorisadong device, maaaring may kaugnayan ito kung ang mga pag-record ay kumukuha ng personal na data nang walang pahintulot. **3. Binagong Kodigo Penal (RPC):**
* **Artikulo 260 (Labag sa Batas na Panghih"&amp;"imasok):** Maaaring gamitin ang probisyong ito kung ang hindi awtorisadong surveillance device ay pumasok sa isang pribadong lugar. Gayunpaman, ang kahulugan ng ""pribadong lugar"" ay maaaring hindi palaging umaabot sa mga pampublikong espasyo. * **Artiku"&amp;"lo 290 (Eavesdropping):** Nalalapat ito sa pagkilos ng palihim na pakikinig, pagre-record, o pagpapadala ng mga pribadong pag-uusap. Kung ang surveillance device ay kumukuha ng mga pribadong pag-uusap nang walang pahintulot, maaaring ito ay isang paglabag"&amp;". **4. Mga Espesyal na Batas:**
* **R.A. 6986 o ang Act Prohibiting the Interception and Recording of Communication:** Ang batas na ito ay partikular na nagbabawal sa pagharang at pagtatala ng komunikasyon nang walang warrant. Gayunpaman, maaaring hindi g"&amp;"aanong malinaw ang aplikasyon nito sa pagkuha ng mga larawan sa mga pampublikong espasyo.
**Mga Hamon at Pagsasaalang-alang:**
* Ang pangunahing hamon ay nakasalalay sa pagtukoy sa saklaw ng ""mga pampublikong espasyo"" at ang inaasahan ng privacy sa loob"&amp;" ng mga ito. * Ang partikular na layunin at functionality ng hindi awtorisadong device ay magiging mahalaga din sa pagtukoy ng naaangkop na legal na probisyon. **Mga Rekomendasyon:**
* Kung makatagpo ka ng isang tao na gumagamit ng hindi awtorisadong surv"&amp;"eillance device sa isang pampublikong espasyo, maaari mong magalang na hilingin sa kanila na huminto, lalo na kung sa tingin mo ay nilalabag ang iyong privacy.
* Maaari mong iulat ang insidente sa mga awtoridad, ngunit ang legal na resulta ay maaaring dep"&amp;"ende sa mga partikular na pangyayari.
**Disclaimer:** Ito ay para sa mga layuning pang-impormasyon lamang at hindi dapat ituring na legal na payo. Kung mayroon kang mga alalahanin tungkol sa hindi awtorisadong pagsubaybay o isang partikular na sitwasyon, "&amp;"ang pagkonsulta sa isang abogado ay lubos na inirerekomenda. Maaari nilang suriin ang mga detalye at payuhan ka sa mga pinaka-kaugnay na legal na probisyon at potensyal na kurso ng aksyon.")</f>
        <v>Walang isa, partikular na batas sa Pilipinas na direktang tumutugon sa pagmamay-ari at paggamit ng mga hindi awtorisadong surveillance device sa mga pampublikong espasyo. Gayunpaman, maraming legal na probisyon ang maaaring gamitin upang matugunan ang isyung ito:
**1. Karapatan sa Privacy sa ilalim ng Konstitusyon:**
* **Artikulo III, Seksyon 1:** Ginagarantiyahan ng seksyong ito ang proteksyon ng karapatan sa pagkapribado, na maaaring bigyang-kahulugan na isama ang isang inaasahan ng privacy sa mga pampublikong espasyo sa isang tiyak na lawak.
**2. Data Privacy Act of 2012 (R.A. 10173):**
* Pinoprotektahan ng batas na ito ang pagpoproseso ng personal na data, na maaaring magsama ng mga pag-record o mga larawang nakunan ng mga device sa pagsubaybay. * Bagama't hindi direktang tinutugunan ang mga hindi awtorisadong device, maaaring may kaugnayan ito kung ang mga pag-record ay kumukuha ng personal na data nang walang pahintulot. **3. Binagong Kodigo Penal (RPC):**
* **Artikulo 260 (Labag sa Batas na Panghihimasok):** Maaaring gamitin ang probisyong ito kung ang hindi awtorisadong surveillance device ay pumasok sa isang pribadong lugar. Gayunpaman, ang kahulugan ng "pribadong lugar" ay maaaring hindi palaging umaabot sa mga pampublikong espasyo. * **Artikulo 290 (Eavesdropping):** Nalalapat ito sa pagkilos ng palihim na pakikinig, pagre-record, o pagpapadala ng mga pribadong pag-uusap. Kung ang surveillance device ay kumukuha ng mga pribadong pag-uusap nang walang pahintulot, maaaring ito ay isang paglabag. **4. Mga Espesyal na Batas:**
* **R.A. 6986 o ang Act Prohibiting the Interception and Recording of Communication:** Ang batas na ito ay partikular na nagbabawal sa pagharang at pagtatala ng komunikasyon nang walang warrant. Gayunpaman, maaaring hindi gaanong malinaw ang aplikasyon nito sa pagkuha ng mga larawan sa mga pampublikong espasyo.
**Mga Hamon at Pagsasaalang-alang:**
* Ang pangunahing hamon ay nakasalalay sa pagtukoy sa saklaw ng "mga pampublikong espasyo" at ang inaasahan ng privacy sa loob ng mga ito. * Ang partikular na layunin at functionality ng hindi awtorisadong device ay magiging mahalaga din sa pagtukoy ng naaangkop na legal na probisyon. **Mga Rekomendasyon:**
* Kung makatagpo ka ng isang tao na gumagamit ng hindi awtorisadong surveillance device sa isang pampublikong espasyo, maaari mong magalang na hilingin sa kanila na huminto, lalo na kung sa tingin mo ay nilalabag ang iyong privacy.
* Maaari mong iulat ang insidente sa mga awtoridad, ngunit ang legal na resulta ay maaaring depende sa mga partikular na pangyayari.
**Disclaimer:** Ito ay para sa mga layuning pang-impormasyon lamang at hindi dapat ituring na legal na payo. Kung mayroon kang mga alalahanin tungkol sa hindi awtorisadong pagsubaybay o isang partikular na sitwasyon, ang pagkonsulta sa isang abogado ay lubos na inirerekomenda. Maaari nilang suriin ang mga detalye at payuhan ka sa mga pinaka-kaugnay na legal na probisyon at potensyal na kurso ng aksyon.</v>
      </c>
      <c r="F1903" s="2">
        <f t="shared" si="1"/>
        <v>0</v>
      </c>
      <c r="G1903" s="2"/>
      <c r="H1903" s="2"/>
      <c r="I1903" s="2"/>
      <c r="J1903" s="2"/>
      <c r="K1903" s="2"/>
      <c r="L1903" s="2"/>
      <c r="M1903" s="2"/>
      <c r="N1903" s="2"/>
      <c r="O1903" s="2"/>
      <c r="P1903" s="2"/>
      <c r="Q1903" s="2"/>
      <c r="R1903" s="2"/>
      <c r="S1903" s="2"/>
      <c r="T1903" s="2"/>
      <c r="U1903" s="2"/>
      <c r="V1903" s="2"/>
      <c r="W1903" s="2"/>
      <c r="X1903" s="2"/>
      <c r="Y1903" s="2"/>
      <c r="Z1903" s="2"/>
      <c r="AA1903" s="2"/>
    </row>
    <row r="1904">
      <c r="A1904" s="1" t="s">
        <v>4698</v>
      </c>
      <c r="B1904" s="1" t="s">
        <v>4855</v>
      </c>
      <c r="C1904" s="1" t="s">
        <v>4856</v>
      </c>
      <c r="D1904" s="2" t="str">
        <f>IFERROR(__xludf.DUMMYFUNCTION("GOOGLETRANSLATE(B1904, ""en"", ""TL"")"),"Paano tinutugunan ng batas ang mga insidente ng pag-atake o panliligalig sa antas ng kalye batay sa edad o seniority?")</f>
        <v>Paano tinutugunan ng batas ang mga insidente ng pag-atake o panliligalig sa antas ng kalye batay sa edad o seniority?</v>
      </c>
      <c r="E1904" s="2" t="str">
        <f>IFERROR(__xludf.DUMMYFUNCTION("GOOGLETRANSLATE(C1904, ""en"", ""TL"")"),"Ang Pilipinas ay may ilang mga batas na maaaring tumugon sa mga insidente ng pang-aatake sa antas ng kalye o panliligalig batay sa edad o seniority. Narito ang isang breakdown:
* **Binago ang Kodigo Penal (RPC):**
* **Pisikal na Pag-atake (Mga Artikulo 26"&amp;"2-267):** Tinutukoy at pinaparusahan ng mga artikulong ito ang iba't ibang anyo ng pisikal na pag-atake, mula sa baterya (slight maltreatment) hanggang sa malubhang pisikal na pinsala. Ang kalubhaan ng parusa ay depende sa antas ng pinsalang naidulot.
* *"&amp;"*Mga Banta at Alarm (Artikulo 148):** Nalalapat ang probisyong ito kung ang panliligalig ay nagsasangkot ng mga pananakot o aksyon na nagdudulot ng pagkabalisa o takot.
* **Anti-Bullying Act of 2013 (R.A. 10627):** * Tinutukoy ng batas na ito ang bullying"&amp;" bilang ""anumang kilos na gumagamit ng puwersa, pananakot, pamimilit, o manipulasyon upang dominahin at kontrolin ang ibang estudyante"" (Sec. 2). Bagama't ang batas ay nakatuon sa mga setting ng paaralan, ang kahulugan ay maaaring bigyang-kahulugan nang"&amp;" malawak upang sumaklaw sa katulad na pag-uugali sa mga lansangan kung ito ay nagta-target ng isang tao batay sa edad.
* **Respect for Persons in Authority Act (R.A. 6713):** * Pinoprotektahan ng batas na ito ang mga taong nasa awtoridad, kabilang ang mga"&amp;" senior citizen (Sec. 1). Pinaparusahan nito ang mga gawain tulad ng kawalang-galang, insulto, at pagbabanta sa kanila.
* **Mga Ordenansa para sa Proteksyon ng Senior Citizen:**
* Maraming mga lungsod at munisipalidad ang nagpatupad ng mga ordinansa na na"&amp;"gbibigay ng karagdagang mga pananggalang para sa mga senior citizen. Maaaring kabilang dito ang mga probisyon laban sa panliligalig batay sa edad.
**Pagtukoy sa Naaangkop na Batas:**
Ang partikular na batas na inilapat ay depende sa uri ng pag-atake o pan"&amp;"liligalig:
* **Pisikal na Pag-atake:** Ang naaangkop na mga probisyon ng RPC sa pisikal na pag-atake ay malalapat.
* **Verbal Abuse/Threats:** Article 148 (RPC) on threats and alarms o R.A. 6713 (Respect for Persons in Authority) para sa mga senior citize"&amp;"n ay maaaring may kaugnayan.
* **Pambu-bully batay sa Edad:** Maaaring ilapat ang Anti-Bullying Act sa mas malawak na konteksto sa kabila ng mga paaralan. **Mga Karagdagang Punto:**
* Anuman ang edad o katandaan ng biktima, ang pag-atake at panliligalig a"&amp;"y ilegal.
* Ang pag-uulat ng mga ganitong insidente sa pulisya ay napakahalaga para sa pananagutan sa may kasalanan at pagpigil sa mga hinaharap na pagkakasala.
**Disclaimer:** Ito ay para sa mga layuning pang-impormasyon lamang at hindi dapat ituring na "&amp;"legal na payo. Kung ikaw ay naging biktima ng pag-atake o panliligalig o nangangailangan ng karagdagang paglilinaw, ang pagkonsulta sa isang abogado ay lubos na inirerekomenda. Maaari nilang pag-aralan ang mga partikular na detalye ng iyong sitwasyon at p"&amp;"ayuhan ka sa pinakaangkop na paraan ng pagkilos.")</f>
        <v>Ang Pilipinas ay may ilang mga batas na maaaring tumugon sa mga insidente ng pang-aatake sa antas ng kalye o panliligalig batay sa edad o seniority. Narito ang isang breakdown:
* **Binago ang Kodigo Penal (RPC):**
* **Pisikal na Pag-atake (Mga Artikulo 262-267):** Tinutukoy at pinaparusahan ng mga artikulong ito ang iba't ibang anyo ng pisikal na pag-atake, mula sa baterya (slight maltreatment) hanggang sa malubhang pisikal na pinsala. Ang kalubhaan ng parusa ay depende sa antas ng pinsalang naidulot.
* **Mga Banta at Alarm (Artikulo 148):** Nalalapat ang probisyong ito kung ang panliligalig ay nagsasangkot ng mga pananakot o aksyon na nagdudulot ng pagkabalisa o takot.
* **Anti-Bullying Act of 2013 (R.A. 10627):** * Tinutukoy ng batas na ito ang bullying bilang "anumang kilos na gumagamit ng puwersa, pananakot, pamimilit, o manipulasyon upang dominahin at kontrolin ang ibang estudyante" (Sec. 2). Bagama't ang batas ay nakatuon sa mga setting ng paaralan, ang kahulugan ay maaaring bigyang-kahulugan nang malawak upang sumaklaw sa katulad na pag-uugali sa mga lansangan kung ito ay nagta-target ng isang tao batay sa edad.
* **Respect for Persons in Authority Act (R.A. 6713):** * Pinoprotektahan ng batas na ito ang mga taong nasa awtoridad, kabilang ang mga senior citizen (Sec. 1). Pinaparusahan nito ang mga gawain tulad ng kawalang-galang, insulto, at pagbabanta sa kanila.
* **Mga Ordenansa para sa Proteksyon ng Senior Citizen:**
* Maraming mga lungsod at munisipalidad ang nagpatupad ng mga ordinansa na nagbibigay ng karagdagang mga pananggalang para sa mga senior citizen. Maaaring kabilang dito ang mga probisyon laban sa panliligalig batay sa edad.
**Pagtukoy sa Naaangkop na Batas:**
Ang partikular na batas na inilapat ay depende sa uri ng pag-atake o panliligalig:
* **Pisikal na Pag-atake:** Ang naaangkop na mga probisyon ng RPC sa pisikal na pag-atake ay malalapat.
* **Verbal Abuse/Threats:** Article 148 (RPC) on threats and alarms o R.A. 6713 (Respect for Persons in Authority) para sa mga senior citizen ay maaaring may kaugnayan.
* **Pambu-bully batay sa Edad:** Maaaring ilapat ang Anti-Bullying Act sa mas malawak na konteksto sa kabila ng mga paaralan. **Mga Karagdagang Punto:**
* Anuman ang edad o katandaan ng biktima, ang pag-atake at panliligalig ay ilegal.
* Ang pag-uulat ng mga ganitong insidente sa pulisya ay napakahalaga para sa pananagutan sa may kasalanan at pagpigil sa mga hinaharap na pagkakasala.
**Disclaimer:** Ito ay para sa mga layuning pang-impormasyon lamang at hindi dapat ituring na legal na payo. Kung ikaw ay naging biktima ng pag-atake o panliligalig o nangangailangan ng karagdagang paglilinaw, ang pagkonsulta sa isang abogado ay lubos na inirerekomenda. Maaari nilang pag-aralan ang mga partikular na detalye ng iyong sitwasyon at payuhan ka sa pinakaangkop na paraan ng pagkilos.</v>
      </c>
      <c r="F1904" s="2">
        <f t="shared" si="1"/>
        <v>0</v>
      </c>
      <c r="G1904" s="2"/>
      <c r="H1904" s="2"/>
      <c r="I1904" s="2"/>
      <c r="J1904" s="2"/>
      <c r="K1904" s="2"/>
      <c r="L1904" s="2"/>
      <c r="M1904" s="2"/>
      <c r="N1904" s="2"/>
      <c r="O1904" s="2"/>
      <c r="P1904" s="2"/>
      <c r="Q1904" s="2"/>
      <c r="R1904" s="2"/>
      <c r="S1904" s="2"/>
      <c r="T1904" s="2"/>
      <c r="U1904" s="2"/>
      <c r="V1904" s="2"/>
      <c r="W1904" s="2"/>
      <c r="X1904" s="2"/>
      <c r="Y1904" s="2"/>
      <c r="Z1904" s="2"/>
      <c r="AA1904" s="2"/>
    </row>
    <row r="1905">
      <c r="A1905" s="1" t="s">
        <v>4698</v>
      </c>
      <c r="B1905" s="1" t="s">
        <v>4825</v>
      </c>
      <c r="C1905" s="1" t="s">
        <v>4857</v>
      </c>
      <c r="D1905" s="2" t="str">
        <f>IFERROR(__xludf.DUMMYFUNCTION("GOOGLETRANSLATE(B1905,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05" s="2" t="str">
        <f>IFERROR(__xludf.DUMMYFUNCTION("GOOGLETRANSLATE(C1905, ""en"", ""TL"")"),"Ang batas ng Pilipinas ay walang partikular na pagkakasala para sa ""street-level tax evasion"" o ""fraudulent financial activities in public spaces."" Gayunpaman, depende sa uri ng aktibidad, ang mga may kasalanan ay maaaring kasuhan sa ilalim ng iba't i"&amp;"bang batas:
**Pag-iwas sa Buwis:**
* Ang pag-iwas sa buwis ay nasa ilalim ng hurisdiksyon ng Bureau of Internal Revenue (BIR) at tinutugunan ng Tax Code (R.A. 8424). Bagama't hindi direktang nauugnay sa mga pampublikong espasyo, maaaring maiugnay ang ilan"&amp;"g aktibidad sa antas ng kalye sa pag-iwas sa buwis, gaya ng:
* Pagbebenta ng mga kalakal nang hindi nagdedeklara ng kita o naglalabas ng mga resibo.
* Nagpapatakbo ng hindi rehistradong negosyo.
* Maaaring malubha ang mga parusa para sa pag-iwas sa buwis,"&amp;" kabilang ang pagkakulong, mga multa, at mga surcharge batay sa halaga ng iniiwasang buwis (Sec. 253, R.A. 8424).
**Mga Mapanlinlang na Aktibidad sa Pananalapi:**
Maaaring gamitin ang mga pampublikong espasyo para sa iba't ibang mapanlinlang na pamamaraan"&amp;". Narito kung paano nalalapat ang batas depende sa aktibidad:
* **Estafa (RPC):** Ito ay isang malawak na probisyon laban sa pandaraya sa Revised Penal Code (RPC) na nalalapat sa mga gawa ng panlilinlang upang samantalahin ang ibang tao sa pananalapi (Art"&amp;"ikulo 315). Kasama sa mga halimbawa ang:
* Pagpapatakbo ng isang laro ng shell o iba pang mga trick ng kumpiyansa.
* Pagbebenta ng mga pekeng produkto o serbisyo.
* Paggamit ng mga ninakaw na credit card.
* **Falsification of Commercial Documents (RPC):**"&amp;" Nalalapat ito kung may nagmemeke ng mga tseke, resibo, o iba pang dokumentong ginagamit sa mga transaksyong pinansyal (Artikulo 182).
* **Cybercrime Prevention Act (R.A. 10175):** Bagama't hindi direktang nauugnay sa mga pisikal na espasyo, maaaring may "&amp;"kaugnayan ang batas na ito kung ang mapanlinlang na aktibidad ay nagsasangkot ng mga online na transaksyon na sinimulan sa mga pampublikong lugar (hal., paggamit ng pampublikong Wi-Fi para sa mga phishing scam).
**Mga Parusa para sa Panloloko:**
Ang mga p"&amp;"arusa para sa mga mapanlinlang na aktibidad ay nag-iiba depende sa partikular na pagkakasala sa ilalim ng RPC o iba pang mga batas. Maaari silang mula sa mga multa at pagkakulong hanggang sa deportasyon (para sa mga dayuhan).
**Mga Hamon sa Mga Kaso sa An"&amp;"tas ng Kalye:**
* Ang pangangalap ng ebidensya para sa mga mapanlinlang na aktibidad na nangyayari sa mga lansangan ay maaaring maging mahirap.
* Ang halaga ng mga transaksyong kasangkot sa mga scam sa antas ng kalye ay maaaring medyo mababa, na posibleng"&amp;" makaapekto sa pag-prioritize ng mga naturang kaso.
**Mga Rekomendasyon:**
* Kung makatagpo ka ng isang taong nakikibahagi sa kahina-hinalang aktibidad sa pananalapi, iulat ito sa mga awtoridad.
* Maging maingat kapag nagsasagawa ng mga transaksyong pinan"&amp;"syal sa mga pampublikong espasyo, lalo na sa mga taong hindi mo kilala.
**Disclaimer:** Ito ay para sa mga layuning pang-impormasyon lamang at hindi dapat ituring na legal na payo. Kung pinaghihinalaan mo ang pag-iwas sa buwis o mapanlinlang na aktibidad "&amp;"o kailangan ng karagdagang paglilinaw, lubos na inirerekomenda ang pagkonsulta sa isang abogado. Maaari nilang suriin ang partikular na sitwasyon at payuhan ka tungkol sa mga pinakanauugnay na batas at potensyal na kahihinatnan.")</f>
        <v>Ang batas ng Pilipinas ay walang partikular na pagkakasala para sa "street-level tax evasion" o "fraudulent financial activities in public spaces." Gayunpaman, depende sa uri ng aktibidad, ang mga may kasalanan ay maaaring kasuhan sa ilalim ng iba't ibang batas:
**Pag-iwas sa Buwis:**
* Ang pag-iwas sa buwis ay nasa ilalim ng hurisdiksyon ng Bureau of Internal Revenue (BIR) at tinutugunan ng Tax Code (R.A. 8424). Bagama't hindi direktang nauugnay sa mga pampublikong espasyo, maaaring maiugnay ang ilang aktibidad sa antas ng kalye sa pag-iwas sa buwis, gaya ng:
* Pagbebenta ng mga kalakal nang hindi nagdedeklara ng kita o naglalabas ng mga resibo.
* Nagpapatakbo ng hindi rehistradong negosyo.
* Maaaring malubha ang mga parusa para sa pag-iwas sa buwis, kabilang ang pagkakulong, mga multa, at mga surcharge batay sa halaga ng iniiwasang buwis (Sec. 253, R.A. 8424).
**Mga Mapanlinlang na Aktibidad sa Pananalapi:**
Maaaring gamitin ang mga pampublikong espasyo para sa iba't ibang mapanlinlang na pamamaraan. Narito kung paano nalalapat ang batas depende sa aktibidad:
* **Estafa (RPC):** Ito ay isang malawak na probisyon laban sa pandaraya sa Revised Penal Code (RPC) na nalalapat sa mga gawa ng panlilinlang upang samantalahin ang ibang tao sa pananalapi (Artikulo 315). Kasama sa mga halimbawa ang:
* Pagpapatakbo ng isang laro ng shell o iba pang mga trick ng kumpiyansa.
* Pagbebenta ng mga pekeng produkto o serbisyo.
* Paggamit ng mga ninakaw na credit card.
* **Falsification of Commercial Documents (RPC):** Nalalapat ito kung may nagmemeke ng mga tseke, resibo, o iba pang dokumentong ginagamit sa mga transaksyong pinansyal (Artikulo 182).
* **Cybercrime Prevention Act (R.A. 10175):** Bagama't hindi direktang nauugnay sa mga pisikal na espasyo, maaaring may kaugnayan ang batas na ito kung ang mapanlinlang na aktibidad ay nagsasangkot ng mga online na transaksyon na sinimulan sa mga pampublikong lugar (hal., paggamit ng pampublikong Wi-Fi para sa mga phishing scam).
**Mga Parusa para sa Panloloko:**
Ang mga parusa para sa mga mapanlinlang na aktibidad ay nag-iiba depende sa partikular na pagkakasala sa ilalim ng RPC o iba pang mga batas. Maaari silang mula sa mga multa at pagkakulong hanggang sa deportasyon (para sa mga dayuhan).
**Mga Hamon sa Mga Kaso sa Antas ng Kalye:**
* Ang pangangalap ng ebidensya para sa mga mapanlinlang na aktibidad na nangyayari sa mga lansangan ay maaaring maging mahirap.
* Ang halaga ng mga transaksyong kasangkot sa mga scam sa antas ng kalye ay maaaring medyo mababa, na posibleng makaapekto sa pag-prioritize ng mga naturang kaso.
**Mga Rekomendasyon:**
* Kung makatagpo ka ng isang taong nakikibahagi sa kahina-hinalang aktibidad sa pananalapi, iulat ito sa mga awtoridad.
* Maging maingat kapag nagsasagawa ng mga transaksyong pinansyal sa mga pampublikong espasyo, lalo na sa mga taong hindi mo kilala.
**Disclaimer:** Ito ay para sa mga layuning pang-impormasyon lamang at hindi dapat ituring na legal na payo. Kung pinaghihinalaan mo ang pag-iwas sa buwis o mapanlinlang na aktibidad o kailangan ng karagdagang paglilinaw, lubos na inirerekomenda ang pagkonsulta sa isang abogado. Maaari nilang suriin ang partikular na sitwasyon at payuhan ka tungkol sa mga pinakanauugnay na batas at potensyal na kahihinatnan.</v>
      </c>
      <c r="F1905" s="2">
        <f t="shared" si="1"/>
        <v>12</v>
      </c>
      <c r="G1905" s="2"/>
      <c r="H1905" s="2"/>
      <c r="I1905" s="2"/>
      <c r="J1905" s="2"/>
      <c r="K1905" s="2"/>
      <c r="L1905" s="2"/>
      <c r="M1905" s="2"/>
      <c r="N1905" s="2"/>
      <c r="O1905" s="2"/>
      <c r="P1905" s="2"/>
      <c r="Q1905" s="2"/>
      <c r="R1905" s="2"/>
      <c r="S1905" s="2"/>
      <c r="T1905" s="2"/>
      <c r="U1905" s="2"/>
      <c r="V1905" s="2"/>
      <c r="W1905" s="2"/>
      <c r="X1905" s="2"/>
      <c r="Y1905" s="2"/>
      <c r="Z1905" s="2"/>
      <c r="AA1905" s="2"/>
    </row>
    <row r="1906">
      <c r="A1906" s="1" t="s">
        <v>4698</v>
      </c>
      <c r="B1906" s="1" t="s">
        <v>4858</v>
      </c>
      <c r="C1906" s="1" t="s">
        <v>4859</v>
      </c>
      <c r="D1906" s="2" t="str">
        <f>IFERROR(__xludf.DUMMYFUNCTION("GOOGLETRANSLATE(B1906, ""en"", ""TL"")"),"Paano tinutugunan sa ilalim ng batas ng Pilipinas ang krimen ng public conspiracy to commit human trafficking o illegal recruitment?")</f>
        <v>Paano tinutugunan sa ilalim ng batas ng Pilipinas ang krimen ng public conspiracy to commit human trafficking o illegal recruitment?</v>
      </c>
      <c r="E1906" s="2" t="str">
        <f>IFERROR(__xludf.DUMMYFUNCTION("GOOGLETRANSLATE(C1906, ""en"", ""TL"")"),"Ang batas ng Pilipinas ay walang kahit isang krimen na tinatawag na ""public conspiracy to commit human trafficking o illegal recruitment."" Gayunpaman, katulad ng iba pang pampublikong pagsasabwatan na mga paglabag, may mga umiiral na batas na maaaring g"&amp;"amitin upang usigin ang mga taong nagpaplano o sumasang-ayon na gawin ang mga krimeng ito:
* **Pagsasabwatan sa ilalim ng Binagong Kodigo Penal (RPC):** Ang Artikulo 8 ng RPC ay tumutukoy sa pagsasabwatan bilang ""dalawa o higit pang mga tao ang nagkasund"&amp;"o na gumawa ng krimen at nagpasyang magsagawa ng ilang aksyon para sa layunin ng pagpapatupad nito."" Sa kasong ito, ang krimen ay human trafficking o illegal recruitment.
**Mga Pangunahing Elemento para sa Conspiracy:**
* Patunay ng isang kasunduan sa pa"&amp;"gitan ng dalawa o higit pang mga tao na gumawa ng human trafficking o ilegal na pangangalap. Ang kasunduang ito ay maaaring pasalita o hindi pasalita ngunit kailangang maging malinaw at mapatunayan sa korte. * Katibayan na ang kasunduan ay naglalayong isa"&amp;"gawa ang partikular na krimen, hindi lamang isang pangkalahatang talakayan tungkol sa trafficking o recruitment.
**Mga Batas sa Human Trafficking at Illegal Recruitment:**
* **Anti-Trafficking in Persons Act of 2010 (R.A. 10175):** Tinutukoy at pinaparusa"&amp;"han ng batas na ito ang iba't ibang gawain ng human trafficking (Sec. 3). Kung mahuling nagpaplano o sumasang-ayon ang mga tao na itrapik ang isang tao, maaari silang kasuhan ng conspiracy sa ilalim ng RPC kasama ng human trafficking sa ilalim ng R.A. 101"&amp;"75.
* **Philippine Overseas Employment Administration (POEA) Rules and Regulations:** Ipinagbabawal ng mga regulasyong ito ang mga iligal na gawain sa recruitment tulad ng paniningil ng labis na bayad o paggawa ng mga maling pangako sa mga potensyal na ma"&amp;"nggagawa (Rule X, Sec. 1). Ang pagpaplano o pagsang-ayon na labagin ang mga tuntuning ito ng POEA sa konteksto ng recruitment ay maaaring pagsasabwatan upang gumawa ng iligal na recruitment.
**Public vs. Private Conspiracy:**
Ang ""pampubliko"" na aspeto "&amp;"ng pagsasabwatan ay maaaring hindi isang pangunahing kadahilanan. Habang ang pagpaplano ay maaaring mangyari sa mga pampublikong espasyo, ang kasunduan sa paggawa ng krimen mismo ay maaaring mangyari nang pribado. Ang pokus ay sa pagpapatunay sa kasunduan"&amp;" at sa koneksyon nito sa human trafficking o illegal recruitment.
**Mga Hamon at Pagsasaalang-alang:**
* Ang pangangalap ng ebidensya ng isang partikular na kasunduan upang gawin ang mga krimeng ito ay maaaring maging mahirap, lalo na kung walang konkreto"&amp;"ng patunay tulad ng nakasulat na mga plano. * Ang pagpapatunay sa nilalayon na layunin ng pagsasabwatan (human trafficking o illegal recruitment) ay napakahalaga.
**Disclaimer:** Ito ay para sa mga layuning pang-impormasyon lamang at hindi dapat ituring n"&amp;"a legal na payo. Kung mayroon kang mga alalahanin tungkol sa isang partikular na sitwasyon o pinaghihinalaan mo ang human trafficking o mga aktibidad sa ilegal na pangangalap, ang pagkonsulta sa isang abogado ay lubos na inirerekomenda. Maaari nilang suri"&amp;"in ang mga detalye at payuhan ka sa pinakaangkop na paraan ng pagkilos, na maaaring kabilang ang pag-uulat ng sitwasyon sa mga awtoridad.")</f>
        <v>Ang batas ng Pilipinas ay walang kahit isang krimen na tinatawag na "public conspiracy to commit human trafficking o illegal recruitment." Gayunpaman, katulad ng iba pang pampublikong pagsasabwatan na mga paglabag, may mga umiiral na batas na maaaring gamitin upang usigin ang mga taong nagpaplano o sumasang-ayon na gawin ang mga krimeng ito:
* **Pagsasabwatan sa ilalim ng Binagong Kodigo Penal (RPC):** Ang Artikulo 8 ng RPC ay tumutukoy sa pagsasabwatan bilang "dalawa o higit pang mga tao ang nagkasundo na gumawa ng krimen at nagpasyang magsagawa ng ilang aksyon para sa layunin ng pagpapatupad nito." Sa kasong ito, ang krimen ay human trafficking o illegal recruitment.
**Mga Pangunahing Elemento para sa Conspiracy:**
* Patunay ng isang kasunduan sa pagitan ng dalawa o higit pang mga tao na gumawa ng human trafficking o ilegal na pangangalap. Ang kasunduang ito ay maaaring pasalita o hindi pasalita ngunit kailangang maging malinaw at mapatunayan sa korte. * Katibayan na ang kasunduan ay naglalayong isagawa ang partikular na krimen, hindi lamang isang pangkalahatang talakayan tungkol sa trafficking o recruitment.
**Mga Batas sa Human Trafficking at Illegal Recruitment:**
* **Anti-Trafficking in Persons Act of 2010 (R.A. 10175):** Tinutukoy at pinaparusahan ng batas na ito ang iba't ibang gawain ng human trafficking (Sec. 3). Kung mahuling nagpaplano o sumasang-ayon ang mga tao na itrapik ang isang tao, maaari silang kasuhan ng conspiracy sa ilalim ng RPC kasama ng human trafficking sa ilalim ng R.A. 10175.
* **Philippine Overseas Employment Administration (POEA) Rules and Regulations:** Ipinagbabawal ng mga regulasyong ito ang mga iligal na gawain sa recruitment tulad ng paniningil ng labis na bayad o paggawa ng mga maling pangako sa mga potensyal na manggagawa (Rule X, Sec. 1). Ang pagpaplano o pagsang-ayon na labagin ang mga tuntuning ito ng POEA sa konteksto ng recruitment ay maaaring pagsasabwatan upang gumawa ng iligal na recruitment.
**Public vs. Private Conspiracy:**
Ang "pampubliko" na aspeto ng pagsasabwatan ay maaaring hindi isang pangunahing kadahilanan. Habang ang pagpaplano ay maaaring mangyari sa mga pampublikong espasyo, ang kasunduan sa paggawa ng krimen mismo ay maaaring mangyari nang pribado. Ang pokus ay sa pagpapatunay sa kasunduan at sa koneksyon nito sa human trafficking o illegal recruitment.
**Mga Hamon at Pagsasaalang-alang:**
* Ang pangangalap ng ebidensya ng isang partikular na kasunduan upang gawin ang mga krimeng ito ay maaaring maging mahirap, lalo na kung walang konkretong patunay tulad ng nakasulat na mga plano. * Ang pagpapatunay sa nilalayon na layunin ng pagsasabwatan (human trafficking o illegal recruitment) ay napakahalaga.
**Disclaimer:** Ito ay para sa mga layuning pang-impormasyon lamang at hindi dapat ituring na legal na payo. Kung mayroon kang mga alalahanin tungkol sa isang partikular na sitwasyon o pinaghihinalaan mo ang human trafficking o mga aktibidad sa ilegal na pangangalap, ang pagkonsulta sa isang abogado ay lubos na inirerekomenda. Maaari nilang suriin ang mga detalye at payuhan ka sa pinakaangkop na paraan ng pagkilos, na maaaring kabilang ang pag-uulat ng sitwasyon sa mga awtoridad.</v>
      </c>
      <c r="F1906" s="2">
        <f t="shared" si="1"/>
        <v>7</v>
      </c>
      <c r="G1906" s="2"/>
      <c r="H1906" s="2"/>
      <c r="I1906" s="2"/>
      <c r="J1906" s="2"/>
      <c r="K1906" s="2"/>
      <c r="L1906" s="2"/>
      <c r="M1906" s="2"/>
      <c r="N1906" s="2"/>
      <c r="O1906" s="2"/>
      <c r="P1906" s="2"/>
      <c r="Q1906" s="2"/>
      <c r="R1906" s="2"/>
      <c r="S1906" s="2"/>
      <c r="T1906" s="2"/>
      <c r="U1906" s="2"/>
      <c r="V1906" s="2"/>
      <c r="W1906" s="2"/>
      <c r="X1906" s="2"/>
      <c r="Y1906" s="2"/>
      <c r="Z1906" s="2"/>
      <c r="AA1906" s="2"/>
    </row>
    <row r="1907">
      <c r="A1907" s="1" t="s">
        <v>4698</v>
      </c>
      <c r="B1907" s="1" t="s">
        <v>4860</v>
      </c>
      <c r="C1907" s="1" t="s">
        <v>4861</v>
      </c>
      <c r="D1907" s="2" t="str">
        <f>IFERROR(__xludf.DUMMYFUNCTION("GOOGLETRANSLATE(B1907, ""en"", ""TL"")"),"Anong mga legal na hakbang ang umiiral upang labanan ang mga paglabag sa kapaligiran sa antas ng kalye, tulad ng polusyon sa ingay?")</f>
        <v>Anong mga legal na hakbang ang umiiral upang labanan ang mga paglabag sa kapaligiran sa antas ng kalye, tulad ng polusyon sa ingay?</v>
      </c>
      <c r="E1907" s="2" t="str">
        <f>IFERROR(__xludf.DUMMYFUNCTION("GOOGLETRANSLATE(C1907, ""en"", ""TL"")"),"Narito ang isang breakdown ng mga legal na hakbang sa Pilipinas upang labanan ang mga paglabag sa kapaligiran sa antas ng kalye, partikular ang polusyon sa ingay:
**Mga Pambansang Batas:**
* **Konstitusyon:** Ang Konstitusyon ng Pilipinas ay nag-uutos sa "&amp;"Estado na protektahan at itaguyod ang isang balanse at nakapagpapalusog na ekolohiya, na kinikilala ang karapatan ng mga tao sa isang malinis na kapaligiran (Artikulo II, Seksyon 16).
* **Ecological Solid Waste Management Act (R.A. 9003):** Bagama't hindi"&amp;" direktang tinutugunan ang polusyon sa ingay, ang batas na ito ay nagtataguyod ng pangangalaga sa kapaligiran at nagbibigay ng kapangyarihan sa mga LGU (local government units) na magpatibay ng mga ordinansa (Sec. 4).
* **Pollution Control Law (Presidenti"&amp;"al Decree 855):** Ang batas na ito ay nagbibigay sa Department of Environment and Natural Resources (DENR) ng awtoridad na magtakda ng mga pamantayan sa pagkontrol ng polusyon, kabilang ang polusyon sa ingay (Sec. 7).
**Mahalagang Batas:**
* **Noise Pollu"&amp;"tion Control Law (R.A. 4203):** Ito ang pangunahing batas para sa pagkontrol ng polusyon sa ingay. Tinutukoy nito ang mga pinahihintulutang antas ng ingay para sa iba't ibang lugar (residential, komersyal, industriyal) at ipinagbabawal ang mga pagkilos na"&amp;" nagdudulot ng labis na ingay na lampas sa mga limitasyong ito (Sec. 2, Sec. 6). **Pagpapatupad:**
* **LGUs:** Ang mga lungsod at munisipalidad ay may pangunahing responsibilidad para sa pagpapatupad ng mga regulasyon sa polusyon sa ingay sa loob ng kanil"&amp;"ang mga nasasakupan (R.A. 4203, Sec. 3). Maaari silang magtatag ng sarili nilang mga tanggapan sa pagkontrol ng ingay at magpatupad ng mga ordinansa na may partikular na limitasyon sa antas ng ingay at kaukulang mga parusa.
* **DENR:** Ang DENR ay gumagan"&amp;"ap ng isang sumusuportang papel sa pamamagitan ng pagtatakda ng mga pambansang pamantayan sa paglabas ng ingay at pagtulong sa mga LGU sa pagpapatupad (PD 855).
**Mga Parusa:**
Ang mga parusa para sa paglabag sa mga regulasyon ng polusyon sa ingay ay maaa"&amp;"ring mag-iba depende sa partikular na ordinansa o regulasyon at ang kalubhaan ng pagkakasala. Maaaring kabilang dito ang mga multa, pagkumpiska ng mga kagamitang nagdudulot ng ingay, at maging ang pagsasara ng negosyo para sa mga malalang nagkasala.
**Mga"&amp;" Karagdagang Punto:**
* Napakahalaga ng mga kampanya ng pampublikong kamalayan upang turuan ang mga mamamayan tungkol sa polusyon sa ingay at mga epekto nito sa kalusugan. * Ang pakikilahok ng komunidad ay maaaring maging mahalaga sa pag-uulat ng mga pagl"&amp;"abag sa ingay sa mga awtoridad.
**Tandaan:** Ito ay hindi isang kumpletong listahan, at para sa partikular na legal na payo sa mga reklamo sa polusyon sa ingay o mga pamamaraan sa pagpapatupad, ang pagkonsulta sa isang abogado o sa iyong lokal na tanggapa"&amp;"ng pangkapaligiran.")</f>
        <v>Narito ang isang breakdown ng mga legal na hakbang sa Pilipinas upang labanan ang mga paglabag sa kapaligiran sa antas ng kalye, partikular ang polusyon sa ingay:
**Mga Pambansang Batas:**
* **Konstitusyon:** Ang Konstitusyon ng Pilipinas ay nag-uutos sa Estado na protektahan at itaguyod ang isang balanse at nakapagpapalusog na ekolohiya, na kinikilala ang karapatan ng mga tao sa isang malinis na kapaligiran (Artikulo II, Seksyon 16).
* **Ecological Solid Waste Management Act (R.A. 9003):** Bagama't hindi direktang tinutugunan ang polusyon sa ingay, ang batas na ito ay nagtataguyod ng pangangalaga sa kapaligiran at nagbibigay ng kapangyarihan sa mga LGU (local government units) na magpatibay ng mga ordinansa (Sec. 4).
* **Pollution Control Law (Presidential Decree 855):** Ang batas na ito ay nagbibigay sa Department of Environment and Natural Resources (DENR) ng awtoridad na magtakda ng mga pamantayan sa pagkontrol ng polusyon, kabilang ang polusyon sa ingay (Sec. 7).
**Mahalagang Batas:**
* **Noise Pollution Control Law (R.A. 4203):** Ito ang pangunahing batas para sa pagkontrol ng polusyon sa ingay. Tinutukoy nito ang mga pinahihintulutang antas ng ingay para sa iba't ibang lugar (residential, komersyal, industriyal) at ipinagbabawal ang mga pagkilos na nagdudulot ng labis na ingay na lampas sa mga limitasyong ito (Sec. 2, Sec. 6). **Pagpapatupad:**
* **LGUs:** Ang mga lungsod at munisipalidad ay may pangunahing responsibilidad para sa pagpapatupad ng mga regulasyon sa polusyon sa ingay sa loob ng kanilang mga nasasakupan (R.A. 4203, Sec. 3). Maaari silang magtatag ng sarili nilang mga tanggapan sa pagkontrol ng ingay at magpatupad ng mga ordinansa na may partikular na limitasyon sa antas ng ingay at kaukulang mga parusa.
* **DENR:** Ang DENR ay gumaganap ng isang sumusuportang papel sa pamamagitan ng pagtatakda ng mga pambansang pamantayan sa paglabas ng ingay at pagtulong sa mga LGU sa pagpapatupad (PD 855).
**Mga Parusa:**
Ang mga parusa para sa paglabag sa mga regulasyon ng polusyon sa ingay ay maaaring mag-iba depende sa partikular na ordinansa o regulasyon at ang kalubhaan ng pagkakasala. Maaaring kabilang dito ang mga multa, pagkumpiska ng mga kagamitang nagdudulot ng ingay, at maging ang pagsasara ng negosyo para sa mga malalang nagkasala.
**Mga Karagdagang Punto:**
* Napakahalaga ng mga kampanya ng pampublikong kamalayan upang turuan ang mga mamamayan tungkol sa polusyon sa ingay at mga epekto nito sa kalusugan. * Ang pakikilahok ng komunidad ay maaaring maging mahalaga sa pag-uulat ng mga paglabag sa ingay sa mga awtoridad.
**Tandaan:** Ito ay hindi isang kumpletong listahan, at para sa partikular na legal na payo sa mga reklamo sa polusyon sa ingay o mga pamamaraan sa pagpapatupad, ang pagkonsulta sa isang abogado o sa iyong lokal na tanggapang pangkapaligiran.</v>
      </c>
      <c r="F1907" s="2">
        <f t="shared" si="1"/>
        <v>0</v>
      </c>
      <c r="G1907" s="2"/>
      <c r="H1907" s="2"/>
      <c r="I1907" s="2"/>
      <c r="J1907" s="2"/>
      <c r="K1907" s="2"/>
      <c r="L1907" s="2"/>
      <c r="M1907" s="2"/>
      <c r="N1907" s="2"/>
      <c r="O1907" s="2"/>
      <c r="P1907" s="2"/>
      <c r="Q1907" s="2"/>
      <c r="R1907" s="2"/>
      <c r="S1907" s="2"/>
      <c r="T1907" s="2"/>
      <c r="U1907" s="2"/>
      <c r="V1907" s="2"/>
      <c r="W1907" s="2"/>
      <c r="X1907" s="2"/>
      <c r="Y1907" s="2"/>
      <c r="Z1907" s="2"/>
      <c r="AA1907" s="2"/>
    </row>
    <row r="1908">
      <c r="A1908" s="1" t="s">
        <v>4698</v>
      </c>
      <c r="B1908" s="1" t="s">
        <v>4862</v>
      </c>
      <c r="C1908" s="1" t="s">
        <v>4863</v>
      </c>
      <c r="D1908" s="2" t="str">
        <f>IFERROR(__xludf.DUMMYFUNCTION("GOOGLETRANSLATE(B1908, ""en"", ""TL"")"),"Sa ilalim ng anong mga pangyayari ang isang tao ay maaaring makasuhan ng public conspiracy to commit election-related offenses sa mga lansangan?")</f>
        <v>Sa ilalim ng anong mga pangyayari ang isang tao ay maaaring makasuhan ng public conspiracy to commit election-related offenses sa mga lansangan?</v>
      </c>
      <c r="E1908" s="2" t="str">
        <f>IFERROR(__xludf.DUMMYFUNCTION("GOOGLETRANSLATE(C1908, ""en"", ""TL"")"),"Sa ilalim ng batas ng Pilipinas, partikular sa ilalim ng Republic Act No. 9369 (ang Amended Automated Election System Law), ang mga paglabag na nauugnay sa halalan ay sumasaklaw sa malawak na hanay ng mga ilegal na aktibidad na nauugnay sa proseso ng elek"&amp;"toral. Kasama sa mga paglabag na ito, ngunit hindi limitado sa, pagbili ng boto, pananakot sa botante, pakikialam sa mga materyales sa halalan, at pag-abala sa proseso ng elektoral.
Tungkol sa pampublikong pagsasabwatan upang gumawa ng mga paglabag na may"&amp;" kaugnayan sa halalan sa mga lansangan, ang mga indibidwal ay maaaring kasuhan sa ilalim ng ilang mga pangyayari. Narito ang ilang halimbawa:
1. **Mga Organisadong Pagsisikap na Magsagawa ng mga Pagkakasala sa Halalan:** Kung ang mga indibidwal o grupo ay"&amp;" nagsasabwatan na gumawa ng mga ilegal na aktibidad tulad ng pagbili ng boto, pananakot sa botante, o pag-abala sa proseso ng elektoral sa mga pampublikong lugar tulad ng mga lansangan, maaari silang kasuhan ng pagsasabwatan sa gumawa ng mga paglabag na m"&amp;"ay kaugnayan sa halalan.
2. **Ebidensya ng Koordinasyon:** Kung may ebidensya na nagsasaad ng koordinasyon ng mga indibidwal o grupo upang magsagawa ng mga paglabag na may kaugnayan sa halalan sa mga lansangan, gaya ng komunikasyon, pagpaplano ng mga pulo"&amp;"ng, o magkasanib na aksyon, maaari itong suportahan ang mga singil ng pampublikong pagsasabwatan.
3. **Pagkakaroon ng mga Ilegal na Aktibidad:** Kung ang mga indibidwal ay naobserbahang nagsasagawa ng mga kahina-hinala o ilegal na aktibidad na may kaugnay"&amp;"an sa proseso ng elektoral sa mga pampublikong lugar, ang mga awtoridad sa pagpapatupad ng batas ay maaaring mag-imbestiga at magsampa sa kanila ng pagsasabwatan upang gumawa ng mga paglabag na may kaugnayan sa halalan kung ang ebidensya ay nagmumungkahi "&amp;"ng isang pinag-ugnay na pagsisikap.
4. **Panghihimasok sa Mga Pamamaraan ng Elektoral:** Anumang mga aksyon na ginawa sa mga lansangan na humahadlang sa pagsasagawa ng malaya, patas, at maayos na mga halalan, tulad ng pagharang sa daan sa mga lugar ng bot"&amp;"ohan, pamamahagi ng mapanlinlang na impormasyon, o pag-uudyok ng karahasan, ay maaaring humantong sa mga kasong public conspiracy to commit election-related offenses.
5. **Mga Paglabag sa Mga Batas sa Halalan:** Anumang mga paglabag sa mga batas sa halala"&amp;"n na ginawa sa mga pampublikong lugar, maging ng mga indibidwal o grupo, ay maaaring isailalim sa kriminal na pag-uusig, lalo na kung may ebidensya ng koordinasyon o pagsasabwatan.
Mahalagang tandaan na ang mga detalye ng pagsingil sa mga indibidwal na ma"&amp;"y pampublikong pagsasabwatan upang gumawa ng mga pagkakasala na may kaugnayan sa halalan ay maaaring mag-iba depende sa mga pangyayari ng bawat kaso at ang ebidensyang magagamit. Ang mga ahensyang nagpapatupad ng batas at mga tagausig ay may pananagutan s"&amp;"a pag-iimbestiga sa mga naturang pagkakasala at pagsasampa ng naaangkop na mga kaso batay sa mga ebidensyang nakalap.")</f>
        <v>Sa ilalim ng batas ng Pilipinas, partikular sa ilalim ng Republic Act No. 9369 (ang Amended Automated Election System Law), ang mga paglabag na nauugnay sa halalan ay sumasaklaw sa malawak na hanay ng mga ilegal na aktibidad na nauugnay sa proseso ng elektoral. Kasama sa mga paglabag na ito, ngunit hindi limitado sa, pagbili ng boto, pananakot sa botante, pakikialam sa mga materyales sa halalan, at pag-abala sa proseso ng elektoral.
Tungkol sa pampublikong pagsasabwatan upang gumawa ng mga paglabag na may kaugnayan sa halalan sa mga lansangan, ang mga indibidwal ay maaaring kasuhan sa ilalim ng ilang mga pangyayari. Narito ang ilang halimbawa:
1. **Mga Organisadong Pagsisikap na Magsagawa ng mga Pagkakasala sa Halalan:** Kung ang mga indibidwal o grupo ay nagsasabwatan na gumawa ng mga ilegal na aktibidad tulad ng pagbili ng boto, pananakot sa botante, o pag-abala sa proseso ng elektoral sa mga pampublikong lugar tulad ng mga lansangan, maaari silang kasuhan ng pagsasabwatan sa gumawa ng mga paglabag na may kaugnayan sa halalan.
2. **Ebidensya ng Koordinasyon:** Kung may ebidensya na nagsasaad ng koordinasyon ng mga indibidwal o grupo upang magsagawa ng mga paglabag na may kaugnayan sa halalan sa mga lansangan, gaya ng komunikasyon, pagpaplano ng mga pulong, o magkasanib na aksyon, maaari itong suportahan ang mga singil ng pampublikong pagsasabwatan.
3. **Pagkakaroon ng mga Ilegal na Aktibidad:** Kung ang mga indibidwal ay naobserbahang nagsasagawa ng mga kahina-hinala o ilegal na aktibidad na may kaugnayan sa proseso ng elektoral sa mga pampublikong lugar, ang mga awtoridad sa pagpapatupad ng batas ay maaaring mag-imbestiga at magsampa sa kanila ng pagsasabwatan upang gumawa ng mga paglabag na may kaugnayan sa halalan kung ang ebidensya ay nagmumungkahi ng isang pinag-ugnay na pagsisikap.
4. **Panghihimasok sa Mga Pamamaraan ng Elektoral:** Anumang mga aksyon na ginawa sa mga lansangan na humahadlang sa pagsasagawa ng malaya, patas, at maayos na mga halalan, tulad ng pagharang sa daan sa mga lugar ng botohan, pamamahagi ng mapanlinlang na impormasyon, o pag-uudyok ng karahasan, ay maaaring humantong sa mga kasong public conspiracy to commit election-related offenses.
5. **Mga Paglabag sa Mga Batas sa Halalan:** Anumang mga paglabag sa mga batas sa halalan na ginawa sa mga pampublikong lugar, maging ng mga indibidwal o grupo, ay maaaring isailalim sa kriminal na pag-uusig, lalo na kung may ebidensya ng koordinasyon o pagsasabwatan.
Mahalagang tandaan na ang mga detalye ng pagsingil sa mga indibidwal na may pampublikong pagsasabwatan upang gumawa ng mga pagkakasala na may kaugnayan sa halalan ay maaaring mag-iba depende sa mga pangyayari ng bawat kaso at ang ebidensyang magagamit. Ang mga ahensyang nagpapatupad ng batas at mga tagausig ay may pananagutan sa pag-iimbestiga sa mga naturang pagkakasala at pagsasampa ng naaangkop na mga kaso batay sa mga ebidensyang nakalap.</v>
      </c>
      <c r="F1908" s="2">
        <f t="shared" si="1"/>
        <v>1</v>
      </c>
      <c r="G1908" s="2"/>
      <c r="H1908" s="2"/>
      <c r="I1908" s="2"/>
      <c r="J1908" s="2"/>
      <c r="K1908" s="2"/>
      <c r="L1908" s="2"/>
      <c r="M1908" s="2"/>
      <c r="N1908" s="2"/>
      <c r="O1908" s="2"/>
      <c r="P1908" s="2"/>
      <c r="Q1908" s="2"/>
      <c r="R1908" s="2"/>
      <c r="S1908" s="2"/>
      <c r="T1908" s="2"/>
      <c r="U1908" s="2"/>
      <c r="V1908" s="2"/>
      <c r="W1908" s="2"/>
      <c r="X1908" s="2"/>
      <c r="Y1908" s="2"/>
      <c r="Z1908" s="2"/>
      <c r="AA1908" s="2"/>
    </row>
    <row r="1909">
      <c r="A1909" s="1" t="s">
        <v>4698</v>
      </c>
      <c r="B1909" s="1" t="s">
        <v>4864</v>
      </c>
      <c r="C1909" s="1" t="s">
        <v>4865</v>
      </c>
      <c r="D1909" s="2" t="str">
        <f>IFERROR(__xludf.DUMMYFUNCTION("GOOGLETRANSLATE(B1909, ""en"", ""TL"")"),"Paano tinutugunan ng batas ng Pilipinas ang mga insidente ng pag-atake o panliligalig sa antas ng kalye batay sa katayuang sosyo-ekonomiko?")</f>
        <v>Paano tinutugunan ng batas ng Pilipinas ang mga insidente ng pag-atake o panliligalig sa antas ng kalye batay sa katayuang sosyo-ekonomiko?</v>
      </c>
      <c r="E1909" s="2" t="str">
        <f>IFERROR(__xludf.DUMMYFUNCTION("GOOGLETRANSLATE(C1909, ""en"", ""TL"")"),"Ang batas ng Pilipinas ay hindi tahasang binanggit ang socioeconomic status bilang isang batayan para sa pag-atake o panliligalig. Gayunpaman, maraming umiiral na batas ang maaaring gamitin upang matugunan ang mga naturang insidente:
* **Revised Penal Cod"&amp;"e (RPC):** Ito ang pangunahing criminal code ng Pilipinas. Sinasaklaw nito ang mga krimen tulad ng pag-atake (slight, serious, physical injuries), baterya, at mga pagbabanta. Depende sa kalubhaan ng pag-atake o panliligalig, maaaring ilapat ang mga probis"&amp;"yong ito.
* **Anti-Secrecy Law (Republic Act No. 3019):** Pinoprotektahan ng batas na ito ang mga indibidwal mula sa diskriminasyon batay sa kanilang katayuan sa lipunan. Kung ang panliligalig ay nagsasangkot ng pagpaparamdam sa isang tao na mas mababa o "&amp;"hindi katanggap-tanggap dahil sa kanilang pinaghihinalaang mas mababang socioeconomic status, maaaring gamitin ang batas na ito.
* **Anti-Discrimination Law (Republic Act No. 10354):** Ang mas malawak na batas na ito ay nagbabawal sa diskriminasyon batay "&amp;"sa iba't ibang salik, kabilang ang ""social origin."" Ito ay maaaring bigyang-kahulugan na sumasaklaw sa socioeconomic status at maaaring ilapat sa mga nauugnay na kaso.
**Mga Hamon:**
* **Pagpapatupad:** Habang umiiral ang mga batas, maaaring maging mahi"&amp;"rap ang pagpapatupad ng mga ito para sa mga insidente batay sa socioeconomic status. Maaaring kailanganin ang katibayan ng layunin ng may kasalanan na magdiskrimina.
* **Underreporting:** Maraming insidente ng panggigipit sa antas ng kalye ang maaaring hi"&amp;"ndi maiulat dahil sa takot sa paghihiganti o pakiramdam na hindi gagawa ng aksyon ang mga awtoridad.
**Mga Rekomendasyon:**
* Kung nakaranas ka ng ganitong panliligalig, iulat ito sa pulisya. Kahit na ang aspeto ng socioeconomic status ay hindi ituloy, an"&amp;"g pag-atake o panliligalig mismo ay maaaring maging batayan para sa mga kaso.
* Isaalang-alang ang paghingi ng tulong sa mga NGO (mga non-government organization) na tumutuon sa mga isyu laban sa diskriminasyon.
**Mga Karagdagang Mapagkukunan:**
* Ang Phi"&amp;"lippine Commission on Human Rights [https://www.ohchr.org/sites/default/files/2022-02/Commission-on-Human-Rights-of-the-Philippines.pdf](https://www .ohchr.org/sites/default/files/2022-02/Commission-on-Human-Rights-of-the-Philippines.pdf)")</f>
        <v>Ang batas ng Pilipinas ay hindi tahasang binanggit ang socioeconomic status bilang isang batayan para sa pag-atake o panliligalig. Gayunpaman, maraming umiiral na batas ang maaaring gamitin upang matugunan ang mga naturang insidente:
* **Revised Penal Code (RPC):** Ito ang pangunahing criminal code ng Pilipinas. Sinasaklaw nito ang mga krimen tulad ng pag-atake (slight, serious, physical injuries), baterya, at mga pagbabanta. Depende sa kalubhaan ng pag-atake o panliligalig, maaaring ilapat ang mga probisyong ito.
* **Anti-Secrecy Law (Republic Act No. 3019):** Pinoprotektahan ng batas na ito ang mga indibidwal mula sa diskriminasyon batay sa kanilang katayuan sa lipunan. Kung ang panliligalig ay nagsasangkot ng pagpaparamdam sa isang tao na mas mababa o hindi katanggap-tanggap dahil sa kanilang pinaghihinalaang mas mababang socioeconomic status, maaaring gamitin ang batas na ito.
* **Anti-Discrimination Law (Republic Act No. 10354):** Ang mas malawak na batas na ito ay nagbabawal sa diskriminasyon batay sa iba't ibang salik, kabilang ang "social origin." Ito ay maaaring bigyang-kahulugan na sumasaklaw sa socioeconomic status at maaaring ilapat sa mga nauugnay na kaso.
**Mga Hamon:**
* **Pagpapatupad:** Habang umiiral ang mga batas, maaaring maging mahirap ang pagpapatupad ng mga ito para sa mga insidente batay sa socioeconomic status. Maaaring kailanganin ang katibayan ng layunin ng may kasalanan na magdiskrimina.
* **Underreporting:** Maraming insidente ng panggigipit sa antas ng kalye ang maaaring hindi maiulat dahil sa takot sa paghihiganti o pakiramdam na hindi gagawa ng aksyon ang mga awtoridad.
**Mga Rekomendasyon:**
* Kung nakaranas ka ng ganitong panliligalig, iulat ito sa pulisya. Kahit na ang aspeto ng socioeconomic status ay hindi ituloy, ang pag-atake o panliligalig mismo ay maaaring maging batayan para sa mga kaso.
* Isaalang-alang ang paghingi ng tulong sa mga NGO (mga non-government organization) na tumutuon sa mga isyu laban sa diskriminasyon.
**Mga Karagdagang Mapagkukunan:**
* Ang Philippine Commission on Human Rights [https://www.ohchr.org/sites/default/files/2022-02/Commission-on-Human-Rights-of-the-Philippines.pdf](https://www .ohchr.org/sites/default/files/2022-02/Commission-on-Human-Rights-of-the-Philippines.pdf)</v>
      </c>
      <c r="F1909" s="2">
        <f t="shared" si="1"/>
        <v>0</v>
      </c>
      <c r="G1909" s="2"/>
      <c r="H1909" s="2"/>
      <c r="I1909" s="2"/>
      <c r="J1909" s="2"/>
      <c r="K1909" s="2"/>
      <c r="L1909" s="2"/>
      <c r="M1909" s="2"/>
      <c r="N1909" s="2"/>
      <c r="O1909" s="2"/>
      <c r="P1909" s="2"/>
      <c r="Q1909" s="2"/>
      <c r="R1909" s="2"/>
      <c r="S1909" s="2"/>
      <c r="T1909" s="2"/>
      <c r="U1909" s="2"/>
      <c r="V1909" s="2"/>
      <c r="W1909" s="2"/>
      <c r="X1909" s="2"/>
      <c r="Y1909" s="2"/>
      <c r="Z1909" s="2"/>
      <c r="AA1909" s="2"/>
    </row>
    <row r="1910">
      <c r="A1910" s="1" t="s">
        <v>4698</v>
      </c>
      <c r="B1910" s="1" t="s">
        <v>4866</v>
      </c>
      <c r="C1910" s="1" t="s">
        <v>4867</v>
      </c>
      <c r="D1910" s="2" t="str">
        <f>IFERROR(__xludf.DUMMYFUNCTION("GOOGLETRANSLATE(B1910, ""en"", ""TL"")"),"Anong mga parusa ang naaangkop sa pagsali sa hindi awtorisadong pagbebenta o pamamahagi ng mga ipinagbabawal o malalaswang materyales sa mga lansangan?")</f>
        <v>Anong mga parusa ang naaangkop sa pagsali sa hindi awtorisadong pagbebenta o pamamahagi ng mga ipinagbabawal o malalaswang materyales sa mga lansangan?</v>
      </c>
      <c r="E1910" s="2" t="str">
        <f>IFERROR(__xludf.DUMMYFUNCTION("GOOGLETRANSLATE(C1910, ""en"", ""TL"")"),"Ang mga parusa para sa hindi awtorisadong pagbebenta o pamamahagi ng mga ipinagbabawal o malalaswang materyales sa mga lansangan sa Pilipinas ay maaaring magmula sa dalawang pangunahing batas:
* **Republic Act No. 9775 o ang Anti-Trafficking in Persons Ac"&amp;"t of 2003:** Nakatuon ang batas na ito sa pagprotekta sa mga bata. Kung ang mga materyales na ibinebenta o ipinamamahagi ay may kinalaman sa mga bata sa anumang malaswang paraan (pagganap, pagmomodelo, atbp.) ang mga parusa ay maaaring mabigat. * Nakasaad"&amp;" sa Seksyon 9 ng Batas na ito na ang paggamit ng bata sa malaswang mga eksibisyon o publikasyon ay maaaring mauwi sa pagkakulong ng medium hanggang maximum na termino (""prision mayor"") at multang P1,000 hanggang P10,000. Kung ang bata ay wala pang 12 ta"&amp;"ong gulang, ang pinakamataas na parusa ay nalalapat. R.A. 7610 - LawPhil: [https://lawphil.net/statutes/repacts/ra1992/ra_7610_1992.html](https://lawphil.net/statutes/repacts/ra1992/ra_7610_1992.html)
* **Local Government Code (Republic Act No. 7160):** A"&amp;"ng batas na ito ay nagbibigay ng awtoridad sa mga local government units (LGUs) na magpatibay ng mga ordinansa tungkol sa kaayusan at kaligtasan ng publiko. Maraming mga LGU ang may mga ordinansa na nagbabawal sa pagbebenta ng mga malalaswang materyales o"&amp;" anumang bagay na maaaring makagambala sa disente ng publiko. Ang mga parusa para sa paglabag sa mga ordinansang ito ay maaaring mag-iba ngunit karaniwang may kasamang mga multa o serbisyo sa komunidad.
* Ang isang halimbawa ay makikita sa ilalim ng Prohi"&amp;"bited Acts Fines and Penalties - Environmental Compliance Assistance Center: [https://ecac.emb.gov.ph/?page_id=47](https://ecac.emb.gov.ph/?page_id =47) na nagdedetalye ng mga potensyal na multa na P300 hanggang P1,000 o pagkakulong ng 1 hanggang 15 araw,"&amp;" depende sa partikular na paglabag sa ordinansa.
**Mga Pangunahing Punto:**
* Ang kalubhaan ng parusa ay depende sa nilalaman ng materyal at kung ito ay may kinalaman sa mga bata.
* Tinutugunan ng mga pambansang batas ang pagsasamantala sa mga bata sa mga"&amp;" malalaswang materyales, habang ang mga lokal na ordinansa ay humahawak sa mga pangkalahatang alalahanin sa pagiging disente ng publiko.")</f>
        <v>Ang mga parusa para sa hindi awtorisadong pagbebenta o pamamahagi ng mga ipinagbabawal o malalaswang materyales sa mga lansangan sa Pilipinas ay maaaring magmula sa dalawang pangunahing batas:
* **Republic Act No. 9775 o ang Anti-Trafficking in Persons Act of 2003:** Nakatuon ang batas na ito sa pagprotekta sa mga bata. Kung ang mga materyales na ibinebenta o ipinamamahagi ay may kinalaman sa mga bata sa anumang malaswang paraan (pagganap, pagmomodelo, atbp.) ang mga parusa ay maaaring mabigat. * Nakasaad sa Seksyon 9 ng Batas na ito na ang paggamit ng bata sa malaswang mga eksibisyon o publikasyon ay maaaring mauwi sa pagkakulong ng medium hanggang maximum na termino ("prision mayor") at multang P1,000 hanggang P10,000. Kung ang bata ay wala pang 12 taong gulang, ang pinakamataas na parusa ay nalalapat. R.A. 7610 - LawPhil: [https://lawphil.net/statutes/repacts/ra1992/ra_7610_1992.html](https://lawphil.net/statutes/repacts/ra1992/ra_7610_1992.html)
* **Local Government Code (Republic Act No. 7160):** Ang batas na ito ay nagbibigay ng awtoridad sa mga local government units (LGUs) na magpatibay ng mga ordinansa tungkol sa kaayusan at kaligtasan ng publiko. Maraming mga LGU ang may mga ordinansa na nagbabawal sa pagbebenta ng mga malalaswang materyales o anumang bagay na maaaring makagambala sa disente ng publiko. Ang mga parusa para sa paglabag sa mga ordinansang ito ay maaaring mag-iba ngunit karaniwang may kasamang mga multa o serbisyo sa komunidad.
* Ang isang halimbawa ay makikita sa ilalim ng Prohibited Acts Fines and Penalties - Environmental Compliance Assistance Center: [https://ecac.emb.gov.ph/?page_id=47](https://ecac.emb.gov.ph/?page_id =47) na nagdedetalye ng mga potensyal na multa na P300 hanggang P1,000 o pagkakulong ng 1 hanggang 15 araw, depende sa partikular na paglabag sa ordinansa.
**Mga Pangunahing Punto:**
* Ang kalubhaan ng parusa ay depende sa nilalaman ng materyal at kung ito ay may kinalaman sa mga bata.
* Tinutugunan ng mga pambansang batas ang pagsasamantala sa mga bata sa mga malalaswang materyales, habang ang mga lokal na ordinansa ay humahawak sa mga pangkalahatang alalahanin sa pagiging disente ng publiko.</v>
      </c>
      <c r="F1910" s="2">
        <f t="shared" si="1"/>
        <v>0</v>
      </c>
      <c r="G1910" s="2"/>
      <c r="H1910" s="2"/>
      <c r="I1910" s="2"/>
      <c r="J1910" s="2"/>
      <c r="K1910" s="2"/>
      <c r="L1910" s="2"/>
      <c r="M1910" s="2"/>
      <c r="N1910" s="2"/>
      <c r="O1910" s="2"/>
      <c r="P1910" s="2"/>
      <c r="Q1910" s="2"/>
      <c r="R1910" s="2"/>
      <c r="S1910" s="2"/>
      <c r="T1910" s="2"/>
      <c r="U1910" s="2"/>
      <c r="V1910" s="2"/>
      <c r="W1910" s="2"/>
      <c r="X1910" s="2"/>
      <c r="Y1910" s="2"/>
      <c r="Z1910" s="2"/>
      <c r="AA1910" s="2"/>
    </row>
    <row r="1911">
      <c r="A1911" s="1" t="s">
        <v>4698</v>
      </c>
      <c r="B1911" s="1" t="s">
        <v>4868</v>
      </c>
      <c r="C1911" s="1" t="s">
        <v>4869</v>
      </c>
      <c r="D1911" s="2" t="str">
        <f>IFERROR(__xludf.DUMMYFUNCTION("GOOGLETRANSLATE(B1911, ""en"", ""TL"")"),"Anong mga legal na probisyon ang kumokontrol sa pagkakaroon at paggamit ng mga hindi awtorisadong kagamitan sa pagsubaybay sa pampublikong transportasyon?")</f>
        <v>Anong mga legal na probisyon ang kumokontrol sa pagkakaroon at paggamit ng mga hindi awtorisadong kagamitan sa pagsubaybay sa pampublikong transportasyon?</v>
      </c>
      <c r="E1911" s="2" t="str">
        <f>IFERROR(__xludf.DUMMYFUNCTION("GOOGLETRANSLATE(C1911, ""en"", ""TL"")"),"Walang isa, partikular na batas sa Pilipinas na direktang tumutugon sa mga hindi awtorisadong device sa pagsubaybay sa pampublikong transportasyon. Gayunpaman, maaaring gamitin ang kumbinasyon ng mga umiiral nang batas upang matugunan ang isyung ito:
* **"&amp;"Republic Act No. 3877 o ang Anti-Wiretapping Law:** Ipinagbabawal ng batas na ito ang pagharang at pagtatala ng komunikasyon nang walang pahintulot ng lahat ng partidong kasangkot. Kung ang hindi awtorisadong surveillance device ay ginagamit para kumuha n"&amp;"g mga audio na pag-uusap, maaaring naaangkop ang batas na ito.
* **Republic Act No. 10173 o ang Data Privacy Act of 2012:** Pinoprotektahan ng batas na ito ang karapatan ng isang indibidwal sa privacy patungkol sa kanilang personal na data. Kung ang surve"&amp;"illance device ay kumukuha ng mga larawan o video ng mga tao, maaari itong ituring na pagkolekta ng personal na data nang walang pahintulot nila. Maaaring naaangkop ang batas na ito depende sa konteksto (layunin, pagpapakalat ng data).
* **Revised Penal C"&amp;"ode (RPC):** Ang mga probisyon tulad ng illegal intrusion (RPC Article 145) o trespass (RPC Article 146) ay maaaring gamitin kung ang device ay inilagay sa isang commuter o sa isang restricted area ng sasakyan.
**Mga Hamon:**
* **Pagbibigay-kahulugan:** A"&amp;"ng mga batas sa itaas ay maaaring mangailangan ng interpretasyon sa konteksto ng pampublikong transportasyon at hindi awtorisadong surveillance device. Kakailanganin ng mga korte na magpasya kung ang pagkuha ng video/audio nang walang pahintulot ay nasa i"&amp;"lalim ng mga umiiral na batas na ito.
* **Layunin:** Maaaring kailangang patunayan ang layunin sa likod ng paggamit ng device. Para ba ito sa mga lehitimong layunin ng seguridad o malisyosong layunin?
**Mga Rekomendasyon:**
* Kung nakakita ka ng isang tao"&amp;" na gumagamit ng kahina-hinalang aparato, iulat ito sa mga awtoridad (mga tauhan ng seguridad, pulis) sa pampublikong sasakyan. * Magkaroon ng kamalayan sa iyong paligid at gumawa ng mga hakbang upang protektahan ang iyong privacy, tulad ng pagpapanatilin"&amp;"g pribado ng mga pag-uusap at pagiging maalalahanin kung saan mo inilalagay ang iyong mga gamit.
**Naghahanap sa Harap:**
* Isinasaalang-alang ng Pilipinas ang isang partikular na batas upang tugunan ang mga alalahanin sa privacy ng data, na maaaring mag-"&amp;"alok ng mas malinaw na mga alituntunin sa hindi awtorisadong pagsubaybay sa iba't ibang sitwasyon, kabilang ang pampublikong transportasyon.
Bagama't wala pang iisang batas, magagamit ang mga umiiral na legal na framework para tugunan ang mga hindi awtori"&amp;"sadong device sa pagsubaybay sa pampublikong transportasyon.")</f>
        <v>Walang isa, partikular na batas sa Pilipinas na direktang tumutugon sa mga hindi awtorisadong device sa pagsubaybay sa pampublikong transportasyon. Gayunpaman, maaaring gamitin ang kumbinasyon ng mga umiiral nang batas upang matugunan ang isyung ito:
* **Republic Act No. 3877 o ang Anti-Wiretapping Law:** Ipinagbabawal ng batas na ito ang pagharang at pagtatala ng komunikasyon nang walang pahintulot ng lahat ng partidong kasangkot. Kung ang hindi awtorisadong surveillance device ay ginagamit para kumuha ng mga audio na pag-uusap, maaaring naaangkop ang batas na ito.
* **Republic Act No. 10173 o ang Data Privacy Act of 2012:** Pinoprotektahan ng batas na ito ang karapatan ng isang indibidwal sa privacy patungkol sa kanilang personal na data. Kung ang surveillance device ay kumukuha ng mga larawan o video ng mga tao, maaari itong ituring na pagkolekta ng personal na data nang walang pahintulot nila. Maaaring naaangkop ang batas na ito depende sa konteksto (layunin, pagpapakalat ng data).
* **Revised Penal Code (RPC):** Ang mga probisyon tulad ng illegal intrusion (RPC Article 145) o trespass (RPC Article 146) ay maaaring gamitin kung ang device ay inilagay sa isang commuter o sa isang restricted area ng sasakyan.
**Mga Hamon:**
* **Pagbibigay-kahulugan:** Ang mga batas sa itaas ay maaaring mangailangan ng interpretasyon sa konteksto ng pampublikong transportasyon at hindi awtorisadong surveillance device. Kakailanganin ng mga korte na magpasya kung ang pagkuha ng video/audio nang walang pahintulot ay nasa ilalim ng mga umiiral na batas na ito.
* **Layunin:** Maaaring kailangang patunayan ang layunin sa likod ng paggamit ng device. Para ba ito sa mga lehitimong layunin ng seguridad o malisyosong layunin?
**Mga Rekomendasyon:**
* Kung nakakita ka ng isang tao na gumagamit ng kahina-hinalang aparato, iulat ito sa mga awtoridad (mga tauhan ng seguridad, pulis) sa pampublikong sasakyan. * Magkaroon ng kamalayan sa iyong paligid at gumawa ng mga hakbang upang protektahan ang iyong privacy, tulad ng pagpapanatiling pribado ng mga pag-uusap at pagiging maalalahanin kung saan mo inilalagay ang iyong mga gamit.
**Naghahanap sa Harap:**
* Isinasaalang-alang ng Pilipinas ang isang partikular na batas upang tugunan ang mga alalahanin sa privacy ng data, na maaaring mag-alok ng mas malinaw na mga alituntunin sa hindi awtorisadong pagsubaybay sa iba't ibang sitwasyon, kabilang ang pampublikong transportasyon.
Bagama't wala pang iisang batas, magagamit ang mga umiiral na legal na framework para tugunan ang mga hindi awtorisadong device sa pagsubaybay sa pampublikong transportasyon.</v>
      </c>
      <c r="F1911" s="2">
        <f t="shared" si="1"/>
        <v>0</v>
      </c>
      <c r="G1911" s="2"/>
      <c r="H1911" s="2"/>
      <c r="I1911" s="2"/>
      <c r="J1911" s="2"/>
      <c r="K1911" s="2"/>
      <c r="L1911" s="2"/>
      <c r="M1911" s="2"/>
      <c r="N1911" s="2"/>
      <c r="O1911" s="2"/>
      <c r="P1911" s="2"/>
      <c r="Q1911" s="2"/>
      <c r="R1911" s="2"/>
      <c r="S1911" s="2"/>
      <c r="T1911" s="2"/>
      <c r="U1911" s="2"/>
      <c r="V1911" s="2"/>
      <c r="W1911" s="2"/>
      <c r="X1911" s="2"/>
      <c r="Y1911" s="2"/>
      <c r="Z1911" s="2"/>
      <c r="AA1911" s="2"/>
    </row>
    <row r="1912">
      <c r="A1912" s="1" t="s">
        <v>4698</v>
      </c>
      <c r="B1912" s="1" t="s">
        <v>4870</v>
      </c>
      <c r="C1912" s="1" t="s">
        <v>4871</v>
      </c>
      <c r="D1912" s="2" t="str">
        <f>IFERROR(__xludf.DUMMYFUNCTION("GOOGLETRANSLATE(B1912, ""en"", ""TL"")"),"Paano tinutugunan sa ilalim ng batas ng Pilipinas ang pagkakasala ng pampublikong pagsasabwatan upang gumawa ng mga online scam o cyber fraud?")</f>
        <v>Paano tinutugunan sa ilalim ng batas ng Pilipinas ang pagkakasala ng pampublikong pagsasabwatan upang gumawa ng mga online scam o cyber fraud?</v>
      </c>
      <c r="E1912" s="2" t="str">
        <f>IFERROR(__xludf.DUMMYFUNCTION("GOOGLETRANSLATE(C1912, ""en"", ""TL"")"),"Ang Pilipinas ay may ilang mga batas na maaaring tumugon sa pampublikong pagsasabwatan upang gumawa ng mga online scam o cyber fraud, kahit na ang pagsasabwatan mismo ay nangyayari offline (sa publiko). Ganito:
* **Republic Act No. 10175 o ang Cybercrime "&amp;"Prevention Act of 2012:** Ito ang pangunahing batas laban sa mga online na pagkakasala sa Pilipinas.
* Pinarurusahan ng Seksyon 26 ng Batas na ito ang ""conspiracy to commit cybercrime."" Nalalapat ito kung maraming tao ang sumang-ayon na gumawa ng cyberc"&amp;"rime, tulad ng mga online scam o panloloko. * Sinasaklaw din ng Seksyon 4(a)(5) ang ""Pagtulong o pagsang-ayon sa paggawa ng alinman sa mga pagkakasala sa ilalim ng Batas na ito."" Kung tumulong ang isang tao na magplano ng online scam (kahit na hindi dir"&amp;"ektang ginagawa ang online na bahagi), maaari silang singilin sa ilalim ng seksyong ito.
* **Revised Penal Code (RPC):** Ang pangunahing criminal code ng Pilipinas ay maaari ding ilapat sa ilang mga kaso:
* Artikulo 183 o Conspiracy:** Pinaparusahan nito "&amp;"ang mga taong sumasang-ayon na gumawa ng krimen, kahit na ang krimen mismo ay hindi isinasagawa. Maaari itong mailapat sa pampublikong pagpaplano ng mga online scam.
* **Article 318 o Swindling:** Sinasaklaw nito ang tradisyonal na pandaraya at panlilinla"&amp;"ng. Kung ang nakaplanong online scam ay nagsasangkot ng panlilinlang sa isang tao na kumuha ng pera o ari-arian, ito ay maaaring naaangkop.
**Mga Pangunahing Punto:**
* Ang pagpaplano o pagsasabwatan na gumawa ng online scam sa publiko ay maaaring parusah"&amp;"an sa ilalim ng batas ng Pilipinas. * Parehong may mga probisyon ang Cybercrime Prevention Act at ang Revised Penal Code na maaaring tumugon sa ganitong uri ng pagkakasala.
**Mga Hamon:**
* **Ebidensya:** Kailangang patunayan ng mga tagausig na talagang u"&amp;"miral ang isang pampublikong pagsasabwatan upang gumawa ng online scam. Maaaring kailanganin ang ebidensya ng pagpaplano o layunin.
**Mga Rekomendasyon:**
* Kung makakita ka ng mga taong nagpaplano o nag-uusap kung ano ang tila isang online scam, iulat it"&amp;"o sa mga awtoridad. * Magkaroon ng kamalayan sa mga karaniwang online na scam at huwag magbahagi ng personal na impormasyon o pera nang madali online.
Sa pamamagitan ng pagsasama-sama ng mga batas na ito, matutugunan ng mga awtoridad ng Pilipinas ang mga "&amp;"pampublikong pagsasabwatan upang gumawa ng mga online scam at cyber fraud.")</f>
        <v>Ang Pilipinas ay may ilang mga batas na maaaring tumugon sa pampublikong pagsasabwatan upang gumawa ng mga online scam o cyber fraud, kahit na ang pagsasabwatan mismo ay nangyayari offline (sa publiko). Ganito:
* **Republic Act No. 10175 o ang Cybercrime Prevention Act of 2012:** Ito ang pangunahing batas laban sa mga online na pagkakasala sa Pilipinas.
* Pinarurusahan ng Seksyon 26 ng Batas na ito ang "conspiracy to commit cybercrime." Nalalapat ito kung maraming tao ang sumang-ayon na gumawa ng cybercrime, tulad ng mga online scam o panloloko. * Sinasaklaw din ng Seksyon 4(a)(5) ang "Pagtulong o pagsang-ayon sa paggawa ng alinman sa mga pagkakasala sa ilalim ng Batas na ito." Kung tumulong ang isang tao na magplano ng online scam (kahit na hindi direktang ginagawa ang online na bahagi), maaari silang singilin sa ilalim ng seksyong ito.
* **Revised Penal Code (RPC):** Ang pangunahing criminal code ng Pilipinas ay maaari ding ilapat sa ilang mga kaso:
* Artikulo 183 o Conspiracy:** Pinaparusahan nito ang mga taong sumasang-ayon na gumawa ng krimen, kahit na ang krimen mismo ay hindi isinasagawa. Maaari itong mailapat sa pampublikong pagpaplano ng mga online scam.
* **Article 318 o Swindling:** Sinasaklaw nito ang tradisyonal na pandaraya at panlilinlang. Kung ang nakaplanong online scam ay nagsasangkot ng panlilinlang sa isang tao na kumuha ng pera o ari-arian, ito ay maaaring naaangkop.
**Mga Pangunahing Punto:**
* Ang pagpaplano o pagsasabwatan na gumawa ng online scam sa publiko ay maaaring parusahan sa ilalim ng batas ng Pilipinas. * Parehong may mga probisyon ang Cybercrime Prevention Act at ang Revised Penal Code na maaaring tumugon sa ganitong uri ng pagkakasala.
**Mga Hamon:**
* **Ebidensya:** Kailangang patunayan ng mga tagausig na talagang umiral ang isang pampublikong pagsasabwatan upang gumawa ng online scam. Maaaring kailanganin ang ebidensya ng pagpaplano o layunin.
**Mga Rekomendasyon:**
* Kung makakita ka ng mga taong nagpaplano o nag-uusap kung ano ang tila isang online scam, iulat ito sa mga awtoridad. * Magkaroon ng kamalayan sa mga karaniwang online na scam at huwag magbahagi ng personal na impormasyon o pera nang madali online.
Sa pamamagitan ng pagsasama-sama ng mga batas na ito, matutugunan ng mga awtoridad ng Pilipinas ang mga pampublikong pagsasabwatan upang gumawa ng mga online scam at cyber fraud.</v>
      </c>
      <c r="F1912" s="2">
        <f t="shared" si="1"/>
        <v>1</v>
      </c>
      <c r="G1912" s="2"/>
      <c r="H1912" s="2"/>
      <c r="I1912" s="2"/>
      <c r="J1912" s="2"/>
      <c r="K1912" s="2"/>
      <c r="L1912" s="2"/>
      <c r="M1912" s="2"/>
      <c r="N1912" s="2"/>
      <c r="O1912" s="2"/>
      <c r="P1912" s="2"/>
      <c r="Q1912" s="2"/>
      <c r="R1912" s="2"/>
      <c r="S1912" s="2"/>
      <c r="T1912" s="2"/>
      <c r="U1912" s="2"/>
      <c r="V1912" s="2"/>
      <c r="W1912" s="2"/>
      <c r="X1912" s="2"/>
      <c r="Y1912" s="2"/>
      <c r="Z1912" s="2"/>
      <c r="AA1912" s="2"/>
    </row>
    <row r="1913">
      <c r="A1913" s="1" t="s">
        <v>4698</v>
      </c>
      <c r="B1913" s="1" t="s">
        <v>4825</v>
      </c>
      <c r="C1913" s="1" t="s">
        <v>4872</v>
      </c>
      <c r="D1913" s="2" t="str">
        <f>IFERROR(__xludf.DUMMYFUNCTION("GOOGLETRANSLATE(B1913,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13" s="2" t="str">
        <f>IFERROR(__xludf.DUMMYFUNCTION("GOOGLETRANSLATE(C1913, ""en"", ""TL"")"),"Parehong nalalapat ang batas ng Pilipinas sa mga pribado at pampublikong espasyo, kaya ang pagsali sa pag-iwas sa buwis sa antas ng kalye o mga mapanlinlang na aktibidad sa pananalapi sa publiko ay maaaring humantong sa mga parusa sa ilalim ng iba't ibang"&amp;" batas. Narito ang isang breakdown:
* **Tax Code (Republic Act No. 8424):** Ito ang pangunahing batas sa pagbubuwis sa Pilipinas. Binabalangkas nito ang iba't ibang mga paglabag sa pag-iwas sa buwis at ang mga kaukulang parusa nito.
* **Seksyon 252 o Pag-"&amp;"iwas sa Mga Buwis:** Sinasaklaw nito ang malawak na hanay ng mga aktibidad sa pag-iwas sa buwis, kabilang ang paggamit ng mga pekeng resibo o pagmamanipula ng mga dokumento. Maaaring kabilang sa mga parusa ang pagkakulong, mga multa, at mga surcharge sa m"&amp;"ga hindi nabayarang buwis.
* **Seksyon 253 o Pagtatangkang Umiwas o Talunin ang Buwis:** Nalalapat ito sa mga sitwasyon kung saan sinusubukan ng isang tao na iwasan ang pagbabayad ng buwis, kahit na ganap na matagumpay. Ang mga parusa ay katulad ng Seksyo"&amp;"n 252.
* **Revised Penal Code (RPC):** Ang pangkalahatang criminal code ng Pilipinas ay mayroon ding mga probisyon na maaaring ilapat:
* **Article 170 o Falsification of Public Documents:** Nalalapat ito kung may gumagamit ng mga pekeng dokumento (mga res"&amp;"ibo, invoice) upang maiwasan ang mga buwis. Maaaring kabilang sa mga parusa ang pagkakulong.
* **Article 318 o Swindling:** Sinasaklaw nito ang pandaraya at panlilinlang para sa personal na pakinabang. Kung ang isang tao ay gumagamit ng mapanlinlang na pa"&amp;"raan upang maiwasan ang pagbabayad ng mga buwis o magsagawa ng mga pandaraya sa pananalapi sa publiko, ito ay maaaring naaangkop. Ang mga parusa ay karaniwang may kasamang multa at pagkakulong.
**Mga Hamon:**
* **Catching the Act:** Ang paghuli sa isang t"&amp;"ao sa akto ng pag-iwas sa buwis o panloloko ay maaaring maging mahirap, lalo na sa antas ng kalye. * **Pagtitipon ng Ebidensya:** Ang pangangalap ng sapat na ebidensya upang patunayan ang krimen at ang nilalayong pag-iwas sa buwis ay mahalaga para sa pag-"&amp;"uusig.
**Mga Rekomendasyon:**
* Kung nasaksihan mo ang isang tao na nag-aalok ng mga pekeng resibo o naghihinala ng isang financial scam sa antas ng kalye, iulat ito sa mga awtoridad. * Ang mga negosyo at indibidwal ay dapat maging responsableng mga nagba"&amp;"bayad ng buwis at iwasan ang anumang aktibidad na maaaring ituring bilang pag-iwas sa buwis.
Sa pamamagitan ng pagpapatupad ng mga batas na ito, mapipigilan ng mga awtoridad ng Pilipinas ang pag-iwas sa buwis sa antas ng kalye at mga mapanlinlang na aktib"&amp;"idad sa pananalapi.")</f>
        <v>Parehong nalalapat ang batas ng Pilipinas sa mga pribado at pampublikong espasyo, kaya ang pagsali sa pag-iwas sa buwis sa antas ng kalye o mga mapanlinlang na aktibidad sa pananalapi sa publiko ay maaaring humantong sa mga parusa sa ilalim ng iba't ibang batas. Narito ang isang breakdown:
* **Tax Code (Republic Act No. 8424):** Ito ang pangunahing batas sa pagbubuwis sa Pilipinas. Binabalangkas nito ang iba't ibang mga paglabag sa pag-iwas sa buwis at ang mga kaukulang parusa nito.
* **Seksyon 252 o Pag-iwas sa Mga Buwis:** Sinasaklaw nito ang malawak na hanay ng mga aktibidad sa pag-iwas sa buwis, kabilang ang paggamit ng mga pekeng resibo o pagmamanipula ng mga dokumento. Maaaring kabilang sa mga parusa ang pagkakulong, mga multa, at mga surcharge sa mga hindi nabayarang buwis.
* **Seksyon 253 o Pagtatangkang Umiwas o Talunin ang Buwis:** Nalalapat ito sa mga sitwasyon kung saan sinusubukan ng isang tao na iwasan ang pagbabayad ng buwis, kahit na ganap na matagumpay. Ang mga parusa ay katulad ng Seksyon 252.
* **Revised Penal Code (RPC):** Ang pangkalahatang criminal code ng Pilipinas ay mayroon ding mga probisyon na maaaring ilapat:
* **Article 170 o Falsification of Public Documents:** Nalalapat ito kung may gumagamit ng mga pekeng dokumento (mga resibo, invoice) upang maiwasan ang mga buwis. Maaaring kabilang sa mga parusa ang pagkakulong.
* **Article 318 o Swindling:** Sinasaklaw nito ang pandaraya at panlilinlang para sa personal na pakinabang. Kung ang isang tao ay gumagamit ng mapanlinlang na paraan upang maiwasan ang pagbabayad ng mga buwis o magsagawa ng mga pandaraya sa pananalapi sa publiko, ito ay maaaring naaangkop. Ang mga parusa ay karaniwang may kasamang multa at pagkakulong.
**Mga Hamon:**
* **Catching the Act:** Ang paghuli sa isang tao sa akto ng pag-iwas sa buwis o panloloko ay maaaring maging mahirap, lalo na sa antas ng kalye. * **Pagtitipon ng Ebidensya:** Ang pangangalap ng sapat na ebidensya upang patunayan ang krimen at ang nilalayong pag-iwas sa buwis ay mahalaga para sa pag-uusig.
**Mga Rekomendasyon:**
* Kung nasaksihan mo ang isang tao na nag-aalok ng mga pekeng resibo o naghihinala ng isang financial scam sa antas ng kalye, iulat ito sa mga awtoridad. * Ang mga negosyo at indibidwal ay dapat maging responsableng mga nagbabayad ng buwis at iwasan ang anumang aktibidad na maaaring ituring bilang pag-iwas sa buwis.
Sa pamamagitan ng pagpapatupad ng mga batas na ito, mapipigilan ng mga awtoridad ng Pilipinas ang pag-iwas sa buwis sa antas ng kalye at mga mapanlinlang na aktibidad sa pananalapi.</v>
      </c>
      <c r="F1913" s="2">
        <f t="shared" si="1"/>
        <v>11</v>
      </c>
      <c r="G1913" s="2"/>
      <c r="H1913" s="2"/>
      <c r="I1913" s="2"/>
      <c r="J1913" s="2"/>
      <c r="K1913" s="2"/>
      <c r="L1913" s="2"/>
      <c r="M1913" s="2"/>
      <c r="N1913" s="2"/>
      <c r="O1913" s="2"/>
      <c r="P1913" s="2"/>
      <c r="Q1913" s="2"/>
      <c r="R1913" s="2"/>
      <c r="S1913" s="2"/>
      <c r="T1913" s="2"/>
      <c r="U1913" s="2"/>
      <c r="V1913" s="2"/>
      <c r="W1913" s="2"/>
      <c r="X1913" s="2"/>
      <c r="Y1913" s="2"/>
      <c r="Z1913" s="2"/>
      <c r="AA1913" s="2"/>
    </row>
    <row r="1914">
      <c r="A1914" s="1" t="s">
        <v>4698</v>
      </c>
      <c r="B1914" s="1" t="s">
        <v>4873</v>
      </c>
      <c r="C1914" s="1" t="s">
        <v>4874</v>
      </c>
      <c r="D1914" s="2" t="str">
        <f>IFERROR(__xludf.DUMMYFUNCTION("GOOGLETRANSLATE(B1914, ""en"", ""TL"")"),"Paano tinutugunan ng batas ang mga insidente ng pag-atake o panliligalig sa antas ng kalye batay sa nasyonalidad o pagkamamamayan?")</f>
        <v>Paano tinutugunan ng batas ang mga insidente ng pag-atake o panliligalig sa antas ng kalye batay sa nasyonalidad o pagkamamamayan?</v>
      </c>
      <c r="E1914" s="2" t="str">
        <f>IFERROR(__xludf.DUMMYFUNCTION("GOOGLETRANSLATE(C1914, ""en"", ""TL"")"),"Ang Pilipinas ay walang partikular na batas na direktang tumutugon sa pag-atake o panliligalig batay lamang sa nasyonalidad o pagkamamamayan. Gayunpaman, maraming umiiral na batas ang maaaring gamitin upang usigin ang mga naturang insidente, depende sa ur"&amp;"i ng pag-atake o panliligalig:
* **Revised Penal Code (RPC):** Ito ang pangunahing criminal code at nag-aalok ng pundasyon para sa pag-uusig sa kilos mismo:
* **Assault at Baterya:** Depende sa kalubhaan ng pisikal na pag-atake (slight, serious, physical "&amp;"injuries), maaaring ilapat ang mga nauugnay na probisyon. * **Mga Banta at Alarm:** Ang mga banta ng karahasan o paglikha ng nakakatakot na kapaligiran dahil sa nasyonalidad ay maaaring usigin. * **Anti-Discrimination Law (Republic Act No. 10354):** Ang m"&amp;"as malawak na batas na ito ay nagbabawal sa diskriminasyon batay sa iba't ibang salik, kabilang ang ""nasyonal o lahi na pinagmulan."" Ito ay maaaring bigyang-kahulugan na sumasaklaw sa panliligalig batay sa nasyonalidad at maaaring ilapat sa mga nauugnay"&amp;" na kaso. Gayunpaman, maaaring maging mahirap ang pagpapatupad dahil sa pangangailangang patunayan ang layuning magdiskrimina.
**Mga Karagdagang Pagsasaalang-alang:**
* **Hate Crime Enhancement Law (Republic Act No. 10355):** Bagama't hindi direktang naaa"&amp;"ngkop sa nasyonalidad lamang, pinapahusay ng batas na ito ang mga parusa para sa mga krimen na udyok ng pagkiling o pagkiling. Kung ang pag-atake o panliligalig ay sinamahan ng mga racist o diskriminasyong pananalita tungkol sa nasyonalidad ng biktima, ma"&amp;"aaring isaalang-alang ang batas na ito kasama ng mga opsyon sa itaas.
**Mga Hamon:**
* **Layunin:** Maaaring mahirap patunayan ang layunin ng salarin na magdiskrimina batay sa nasyonalidad. Ang panliligalig ay maaaring batay sa isang nakikitang katangian "&amp;"o simpleng hindi gusto.
* **Underreporting:** Maaaring hindi maiulat ang mga insidente sa antas ng kalye dahil sa takot sa paghihiganti o pakiramdam na hindi gagawa ng aksyon ang mga awtoridad.
**Mga Rekomendasyon:**
* Kung nakaranas ka ng ganitong panlil"&amp;"igalig, iulat ito sa pulisya. Kahit na ang aspeto ng nasyonalidad ay hindi ituloy, ang pag-atake o panliligalig mismo ay maaaring maging batayan para sa mga kaso.
* Isaalang-alang ang paghingi ng tulong sa mga NGO (mga non-government organization) na tumu"&amp;"tuon sa mga isyu laban sa diskriminasyon. Maaari silang mag-alok ng suporta at gabay kung paano magpatuloy. **Looking Ahead:** * Ang Pilipinas ay lumagda sa mga internasyonal na kombensiyon ng karapatang pantao na nagtataguyod ng pagkakapantay-pantay at w"&amp;"alang diskriminasyon. Maaari itong maglagay ng presyon sa pamahalaan na tugunan ang diskriminasyon batay sa nasyonalidad nang mas epektibo.
Sa pamamagitan ng pagsasama-sama ng mga umiiral na batas at pagtataguyod para sa mas matibay na mga legal na balang"&amp;"kas, mas matutugunan ng Pilipinas ang mga insidente ng pang-aatake sa antas ng kalye o panliligalig batay sa nasyonalidad o pagkamamamayan.")</f>
        <v>Ang Pilipinas ay walang partikular na batas na direktang tumutugon sa pag-atake o panliligalig batay lamang sa nasyonalidad o pagkamamamayan. Gayunpaman, maraming umiiral na batas ang maaaring gamitin upang usigin ang mga naturang insidente, depende sa uri ng pag-atake o panliligalig:
* **Revised Penal Code (RPC):** Ito ang pangunahing criminal code at nag-aalok ng pundasyon para sa pag-uusig sa kilos mismo:
* **Assault at Baterya:** Depende sa kalubhaan ng pisikal na pag-atake (slight, serious, physical injuries), maaaring ilapat ang mga nauugnay na probisyon. * **Mga Banta at Alarm:** Ang mga banta ng karahasan o paglikha ng nakakatakot na kapaligiran dahil sa nasyonalidad ay maaaring usigin. * **Anti-Discrimination Law (Republic Act No. 10354):** Ang mas malawak na batas na ito ay nagbabawal sa diskriminasyon batay sa iba't ibang salik, kabilang ang "nasyonal o lahi na pinagmulan." Ito ay maaaring bigyang-kahulugan na sumasaklaw sa panliligalig batay sa nasyonalidad at maaaring ilapat sa mga nauugnay na kaso. Gayunpaman, maaaring maging mahirap ang pagpapatupad dahil sa pangangailangang patunayan ang layuning magdiskrimina.
**Mga Karagdagang Pagsasaalang-alang:**
* **Hate Crime Enhancement Law (Republic Act No. 10355):** Bagama't hindi direktang naaangkop sa nasyonalidad lamang, pinapahusay ng batas na ito ang mga parusa para sa mga krimen na udyok ng pagkiling o pagkiling. Kung ang pag-atake o panliligalig ay sinamahan ng mga racist o diskriminasyong pananalita tungkol sa nasyonalidad ng biktima, maaaring isaalang-alang ang batas na ito kasama ng mga opsyon sa itaas.
**Mga Hamon:**
* **Layunin:** Maaaring mahirap patunayan ang layunin ng salarin na magdiskrimina batay sa nasyonalidad. Ang panliligalig ay maaaring batay sa isang nakikitang katangian o simpleng hindi gusto.
* **Underreporting:** Maaaring hindi maiulat ang mga insidente sa antas ng kalye dahil sa takot sa paghihiganti o pakiramdam na hindi gagawa ng aksyon ang mga awtoridad.
**Mga Rekomendasyon:**
* Kung nakaranas ka ng ganitong panliligalig, iulat ito sa pulisya. Kahit na ang aspeto ng nasyonalidad ay hindi ituloy, ang pag-atake o panliligalig mismo ay maaaring maging batayan para sa mga kaso.
* Isaalang-alang ang paghingi ng tulong sa mga NGO (mga non-government organization) na tumutuon sa mga isyu laban sa diskriminasyon. Maaari silang mag-alok ng suporta at gabay kung paano magpatuloy. **Looking Ahead:** * Ang Pilipinas ay lumagda sa mga internasyonal na kombensiyon ng karapatang pantao na nagtataguyod ng pagkakapantay-pantay at walang diskriminasyon. Maaari itong maglagay ng presyon sa pamahalaan na tugunan ang diskriminasyon batay sa nasyonalidad nang mas epektibo.
Sa pamamagitan ng pagsasama-sama ng mga umiiral na batas at pagtataguyod para sa mas matibay na mga legal na balangkas, mas matutugunan ng Pilipinas ang mga insidente ng pang-aatake sa antas ng kalye o panliligalig batay sa nasyonalidad o pagkamamamayan.</v>
      </c>
      <c r="F1914" s="2">
        <f t="shared" si="1"/>
        <v>0</v>
      </c>
      <c r="G1914" s="2"/>
      <c r="H1914" s="2"/>
      <c r="I1914" s="2"/>
      <c r="J1914" s="2"/>
      <c r="K1914" s="2"/>
      <c r="L1914" s="2"/>
      <c r="M1914" s="2"/>
      <c r="N1914" s="2"/>
      <c r="O1914" s="2"/>
      <c r="P1914" s="2"/>
      <c r="Q1914" s="2"/>
      <c r="R1914" s="2"/>
      <c r="S1914" s="2"/>
      <c r="T1914" s="2"/>
      <c r="U1914" s="2"/>
      <c r="V1914" s="2"/>
      <c r="W1914" s="2"/>
      <c r="X1914" s="2"/>
      <c r="Y1914" s="2"/>
      <c r="Z1914" s="2"/>
      <c r="AA1914" s="2"/>
    </row>
    <row r="1915">
      <c r="A1915" s="1" t="s">
        <v>4698</v>
      </c>
      <c r="B1915" s="1" t="s">
        <v>4875</v>
      </c>
      <c r="C1915" s="1" t="s">
        <v>4876</v>
      </c>
      <c r="D1915" s="2" t="str">
        <f>IFERROR(__xludf.DUMMYFUNCTION("GOOGLETRANSLATE(B1915, ""en"", ""TL"")"),"Anong mga legal na hakbang ang umiiral upang labanan ang mga paglabag sa kapaligiran sa antas ng kalye, tulad ng hindi wastong pagtatapon ng mga mapanganib na materyales?")</f>
        <v>Anong mga legal na hakbang ang umiiral upang labanan ang mga paglabag sa kapaligiran sa antas ng kalye, tulad ng hindi wastong pagtatapon ng mga mapanganib na materyales?</v>
      </c>
      <c r="E1915" s="2" t="str">
        <f>IFERROR(__xludf.DUMMYFUNCTION("GOOGLETRANSLATE(C1915, ""en"", ""TL"")"),"Ang Pilipinas ay may ilang mga legal na hakbang upang labanan ang mga paglabag sa kapaligiran sa antas ng kalye, partikular ang mga may kinalaman sa hindi wastong pagtatapon ng mga mapanganib na materyales. Narito ang isang breakdown ng mga pangunahing ba"&amp;"tas at hamon:
**Mga Batas:**
* **Ecological Solid Waste Management Act (Republic Act No. 9003):** Ito ang pangunahing batas para sa solid waste management, kabilang ang mga mapanganib na materyales.
* **Seksyon 27:** Ipinagbabawal ng seksyong ito ang ""pa"&amp;"gtatapon ng basura, pagtatapon, pagtatapon ng mga produktong basura sa mga pampublikong lugar."" Ang hindi wastong pagtatapon ng mga mapanganib na materyales sa kalye ay sasailalim sa probisyong ito.
* **Seksyon 30:** Ipinag-uutos ng seksyong ito ang ""pa"&amp;"ghihiwalay ng mga basura sa pinagmulan."" Nangangahulugan ito na ang sinumang gumagawa ng mga mapanganib na basura ay kailangang hawakan ito nang naaangkop, hindi itapon ito sa kalye.
* **Toxic Substances and Hazardous and Nuclear Wastes Control Act (Repu"&amp;"blic Act No. 6969):** Ang batas na ito ay partikular na nakatutok sa mga mapanganib na materyales.
* **Seksyon 21:** Ipinagbabawal ng seksyong ito ang ""pag-abandona, pagtatapon o pagtatapon ng anumang nakakalason o mapanganib na basura"" nang hindi sumus"&amp;"unod sa wastong pamamaraan. Direktang tinutugunan nito ang hindi wastong pagtatapon ng mga mapanganib na materyales sa kalye. * **Local Government Code (Republic Act No. 7160):** Ang batas na ito ay nagbibigay ng awtoridad sa mga local government units (L"&amp;"GUs) na magpatibay ng mga ordinansa tungkol sa waste management. Maraming LGU ang may mga ordinansa na may mga partikular na regulasyon at parusa para sa hindi tamang pagtatapon ng basura, kabilang ang mga mapanganib na materyales.
**Mga Hamon:**
* **Pagp"&amp;"apatupad:** Ang epektibong paghuli at pag-uusig sa mga nagkasala sa antas ng kalye ay maaaring maging mahirap dahil sa mga limitasyon sa mapagkukunan at ang kadalian ng isang tao na mabilis na magtapon ng mga mapanganib na materyales.
* **Public Awareness"&amp;":** Maaaring hindi alam ng maraming tao ang mga panganib ng hindi wastong pagtatapon ng mapanganib na basura o ang mga legal na epekto.
**Mga Karagdagang Pagsasaalang-alang:**
* **Extended Producer Responsibility (EPR) Law (Republic Act No. 11895):** Ang "&amp;"medyo bagong batas na ito (2022) ay naglalayong panagutin ang mga producer para sa lifecycle management ng kanilang mga produkto, kabilang ang koleksyon at tamang pagtatapon. Maaari itong magbigay ng insentibo sa mga producer na bumuo ng mas mahusay na mg"&amp;"a programa sa pagkuha para sa mga mapanganib na materyales, na binabawasan ang posibilidad ng pagtatambak sa antas ng kalye.
**Mga Rekomendasyon:**
* **Ulat:** Kung makakita ka ng isang tao na hindi wastong nagtatapon ng mga mapanganib na materyales, iula"&amp;"t ito sa mga awtoridad (mga opisyal ng barangay, mga ahensyang pangkalikasan).
* **Tamang Pagtatapon:** Hikayatin ang wastong pagtatapon ng mga mapanganib na materyales ng mga negosyo at indibidwal. * **Edukasyon sa Komunidad:** Suportahan ang mga inisyat"&amp;"iba upang turuan ang mga komunidad tungkol sa mga panganib ng hindi wastong pagtatapon ng mga mapanganib na basura at ang mga legal na kahihinatnan.
Sa pamamagitan ng pagpapatupad ng mga umiiral na batas, pagtataguyod ng kamalayan ng publiko, at paggamit "&amp;"ng mga bagong regulasyon tulad ng EPR, mapapalakas ng Pilipinas ang paglaban nito sa mga paglabag sa kapaligiran sa antas ng kalye na kinasasangkutan ng mga mapanganib na materyales.")</f>
        <v>Ang Pilipinas ay may ilang mga legal na hakbang upang labanan ang mga paglabag sa kapaligiran sa antas ng kalye, partikular ang mga may kinalaman sa hindi wastong pagtatapon ng mga mapanganib na materyales. Narito ang isang breakdown ng mga pangunahing batas at hamon:
**Mga Batas:**
* **Ecological Solid Waste Management Act (Republic Act No. 9003):** Ito ang pangunahing batas para sa solid waste management, kabilang ang mga mapanganib na materyales.
* **Seksyon 27:** Ipinagbabawal ng seksyong ito ang "pagtatapon ng basura, pagtatapon, pagtatapon ng mga produktong basura sa mga pampublikong lugar." Ang hindi wastong pagtatapon ng mga mapanganib na materyales sa kalye ay sasailalim sa probisyong ito.
* **Seksyon 30:** Ipinag-uutos ng seksyong ito ang "paghihiwalay ng mga basura sa pinagmulan." Nangangahulugan ito na ang sinumang gumagawa ng mga mapanganib na basura ay kailangang hawakan ito nang naaangkop, hindi itapon ito sa kalye.
* **Toxic Substances and Hazardous and Nuclear Wastes Control Act (Republic Act No. 6969):** Ang batas na ito ay partikular na nakatutok sa mga mapanganib na materyales.
* **Seksyon 21:** Ipinagbabawal ng seksyong ito ang "pag-abandona, pagtatapon o pagtatapon ng anumang nakakalason o mapanganib na basura" nang hindi sumusunod sa wastong pamamaraan. Direktang tinutugunan nito ang hindi wastong pagtatapon ng mga mapanganib na materyales sa kalye. * **Local Government Code (Republic Act No. 7160):** Ang batas na ito ay nagbibigay ng awtoridad sa mga local government units (LGUs) na magpatibay ng mga ordinansa tungkol sa waste management. Maraming LGU ang may mga ordinansa na may mga partikular na regulasyon at parusa para sa hindi tamang pagtatapon ng basura, kabilang ang mga mapanganib na materyales.
**Mga Hamon:**
* **Pagpapatupad:** Ang epektibong paghuli at pag-uusig sa mga nagkasala sa antas ng kalye ay maaaring maging mahirap dahil sa mga limitasyon sa mapagkukunan at ang kadalian ng isang tao na mabilis na magtapon ng mga mapanganib na materyales.
* **Public Awareness:** Maaaring hindi alam ng maraming tao ang mga panganib ng hindi wastong pagtatapon ng mapanganib na basura o ang mga legal na epekto.
**Mga Karagdagang Pagsasaalang-alang:**
* **Extended Producer Responsibility (EPR) Law (Republic Act No. 11895):** Ang medyo bagong batas na ito (2022) ay naglalayong panagutin ang mga producer para sa lifecycle management ng kanilang mga produkto, kabilang ang koleksyon at tamang pagtatapon. Maaari itong magbigay ng insentibo sa mga producer na bumuo ng mas mahusay na mga programa sa pagkuha para sa mga mapanganib na materyales, na binabawasan ang posibilidad ng pagtatambak sa antas ng kalye.
**Mga Rekomendasyon:**
* **Ulat:** Kung makakita ka ng isang tao na hindi wastong nagtatapon ng mga mapanganib na materyales, iulat ito sa mga awtoridad (mga opisyal ng barangay, mga ahensyang pangkalikasan).
* **Tamang Pagtatapon:** Hikayatin ang wastong pagtatapon ng mga mapanganib na materyales ng mga negosyo at indibidwal. * **Edukasyon sa Komunidad:** Suportahan ang mga inisyatiba upang turuan ang mga komunidad tungkol sa mga panganib ng hindi wastong pagtatapon ng mga mapanganib na basura at ang mga legal na kahihinatnan.
Sa pamamagitan ng pagpapatupad ng mga umiiral na batas, pagtataguyod ng kamalayan ng publiko, at paggamit ng mga bagong regulasyon tulad ng EPR, mapapalakas ng Pilipinas ang paglaban nito sa mga paglabag sa kapaligiran sa antas ng kalye na kinasasangkutan ng mga mapanganib na materyales.</v>
      </c>
      <c r="F1915" s="2">
        <f t="shared" si="1"/>
        <v>0</v>
      </c>
      <c r="G1915" s="2"/>
      <c r="H1915" s="2"/>
      <c r="I1915" s="2"/>
      <c r="J1915" s="2"/>
      <c r="K1915" s="2"/>
      <c r="L1915" s="2"/>
      <c r="M1915" s="2"/>
      <c r="N1915" s="2"/>
      <c r="O1915" s="2"/>
      <c r="P1915" s="2"/>
      <c r="Q1915" s="2"/>
      <c r="R1915" s="2"/>
      <c r="S1915" s="2"/>
      <c r="T1915" s="2"/>
      <c r="U1915" s="2"/>
      <c r="V1915" s="2"/>
      <c r="W1915" s="2"/>
      <c r="X1915" s="2"/>
      <c r="Y1915" s="2"/>
      <c r="Z1915" s="2"/>
      <c r="AA1915" s="2"/>
    </row>
    <row r="1916">
      <c r="A1916" s="1" t="s">
        <v>4698</v>
      </c>
      <c r="B1916" s="1" t="s">
        <v>4877</v>
      </c>
      <c r="C1916" s="1" t="s">
        <v>4878</v>
      </c>
      <c r="D1916" s="2" t="str">
        <f>IFERROR(__xludf.DUMMYFUNCTION("GOOGLETRANSLATE(B1916, ""en"", ""TL"")"),"Sa ilalim ng anong mga pangyayari maaaring kasuhan ang isang tao ng public conspiracy to commit terrorism-related offenses sa mga lansangan?")</f>
        <v>Sa ilalim ng anong mga pangyayari maaaring kasuhan ang isang tao ng public conspiracy to commit terrorism-related offenses sa mga lansangan?</v>
      </c>
      <c r="E1916" s="2" t="str">
        <f>IFERROR(__xludf.DUMMYFUNCTION("GOOGLETRANSLATE(C1916, ""en"", ""TL"")"),"Ang Pilipinas ay may mga batas upang tugunan ang pampublikong pagsasabwatan upang gumawa ng mga pagkakasala na may kaugnayan sa terorismo. Narito ang isang breakdown ng mga pangunahing punto:
**Mga Batas:**
* **Human Security Act of 2007 (Republic Act No."&amp;" 9372):** Ito ang pangunahing batas laban sa terorismo sa Pilipinas.
* **Seksyon 4 o Conspiracy to Commit Terrorism:** Ang seksyong ito ay nagpaparusa sa dalawa o higit pang mga tao na ""sumasang-ayon na gumawa ng terorismo"" kahit na ang mismong pagkilos"&amp;" ng terorista ay hindi isinasagawa. Ang pagpaplano ng pag-atake ng terorismo sa publiko ay magiging isang krimen sa ilalim ng seksyong ito.
* **Revised Penal Code (RPC):** Ang pangkalahatang criminal code ng Pilipinas ay maaari ding ilapat sa ilang mga ka"&amp;"so:
* **Artikulo 183 o Conspiracy:** Pinaparusahan nito ang mga taong sumasang-ayon na gumawa ng krimen, kahit na ang krimen mismo ay hindi isinasagawa. Maaari itong magamit sa pampublikong pagpaplano ng mga gawaing terorista.
**Ano ang isang krimen?**
Pa"&amp;"ra sa isang tao na masampahan ng pampublikong pagsasabwatan upang gumawa ng terorismo, kailangang may katibayan ng:
* **Kasunduan:** Dapat mayroong patunay na maraming tao ang nagplano o nagtalakay ng teroristang pag-atake nang magkasama sa publiko. * **T"&amp;"iyak na Layunin:** Kailangang ipakita ng mga awtoridad ang layuning magdulot ng pinsala sa mga sibilyan o pampublikong ari-arian sa pamamagitan ng karahasan o pananakot. * **Overt Act:** Maaaring hindi sapat ang simpleng pag-uusap tungkol sa terorismo. Ka"&amp;"ilangang magkaroon ng ilang konkretong aksyon na gagawin sa pagsulong ng pagsasabwatan, tulad ng pagkuha ng mga materyales o mga lokasyon ng pagmamanman.
**Mga Hamon:**
* **Pagtitipon ng Ebidensya:** Ang pagpapatunay ng isang pampublikong pagsasabwatan ay"&amp;" nangangailangan ng katibayan ng kasunduan, layunin, at anumang tahasang pagkilos. Ito ay maaaring maging mahirap para sa mga opisyal ng pagpapatupad ng batas.
* **Balanse:** Kailangang magkaroon ng balanse sa pagitan ng pagprotekta sa pambansang segurida"&amp;"d at pagtataguyod ng kalayaan sa pagsasalita. Ang mga pampublikong talakayan o pagpuna sa mga patakaran ng pamahalaan ay maaaring maisip bilang pagpaplano ng terorismo.
**Mga Rekomendasyon:**
* **Ulat:** Kung makarinig o makakita ka ng mga taong nagpaplan"&amp;"o ng pag-atake ng terorista sa publiko, iulat ito kaagad sa mga awtoridad.
* **Maging Aware:** Magkaroon ng kamalayan sa iyong paligid at iulat ang anumang kahina-hinalang aktibidad sa tamang awtoridad.
**Tandaan:** Mahalagang iulat ang anumang mga potens"&amp;"yal na banta ngunit dapat ding tandaan na hindi lahat ng talakayan ay mga pagsasabwatan sa krimen.")</f>
        <v>Ang Pilipinas ay may mga batas upang tugunan ang pampublikong pagsasabwatan upang gumawa ng mga pagkakasala na may kaugnayan sa terorismo. Narito ang isang breakdown ng mga pangunahing punto:
**Mga Batas:**
* **Human Security Act of 2007 (Republic Act No. 9372):** Ito ang pangunahing batas laban sa terorismo sa Pilipinas.
* **Seksyon 4 o Conspiracy to Commit Terrorism:** Ang seksyong ito ay nagpaparusa sa dalawa o higit pang mga tao na "sumasang-ayon na gumawa ng terorismo" kahit na ang mismong pagkilos ng terorista ay hindi isinasagawa. Ang pagpaplano ng pag-atake ng terorismo sa publiko ay magiging isang krimen sa ilalim ng seksyong ito.
* **Revised Penal Code (RPC):** Ang pangkalahatang criminal code ng Pilipinas ay maaari ding ilapat sa ilang mga kaso:
* **Artikulo 183 o Conspiracy:** Pinaparusahan nito ang mga taong sumasang-ayon na gumawa ng krimen, kahit na ang krimen mismo ay hindi isinasagawa. Maaari itong magamit sa pampublikong pagpaplano ng mga gawaing terorista.
**Ano ang isang krimen?**
Para sa isang tao na masampahan ng pampublikong pagsasabwatan upang gumawa ng terorismo, kailangang may katibayan ng:
* **Kasunduan:** Dapat mayroong patunay na maraming tao ang nagplano o nagtalakay ng teroristang pag-atake nang magkasama sa publiko. * **Tiyak na Layunin:** Kailangang ipakita ng mga awtoridad ang layuning magdulot ng pinsala sa mga sibilyan o pampublikong ari-arian sa pamamagitan ng karahasan o pananakot. * **Overt Act:** Maaaring hindi sapat ang simpleng pag-uusap tungkol sa terorismo. Kailangang magkaroon ng ilang konkretong aksyon na gagawin sa pagsulong ng pagsasabwatan, tulad ng pagkuha ng mga materyales o mga lokasyon ng pagmamanman.
**Mga Hamon:**
* **Pagtitipon ng Ebidensya:** Ang pagpapatunay ng isang pampublikong pagsasabwatan ay nangangailangan ng katibayan ng kasunduan, layunin, at anumang tahasang pagkilos. Ito ay maaaring maging mahirap para sa mga opisyal ng pagpapatupad ng batas.
* **Balanse:** Kailangang magkaroon ng balanse sa pagitan ng pagprotekta sa pambansang seguridad at pagtataguyod ng kalayaan sa pagsasalita. Ang mga pampublikong talakayan o pagpuna sa mga patakaran ng pamahalaan ay maaaring maisip bilang pagpaplano ng terorismo.
**Mga Rekomendasyon:**
* **Ulat:** Kung makarinig o makakita ka ng mga taong nagpaplano ng pag-atake ng terorista sa publiko, iulat ito kaagad sa mga awtoridad.
* **Maging Aware:** Magkaroon ng kamalayan sa iyong paligid at iulat ang anumang kahina-hinalang aktibidad sa tamang awtoridad.
**Tandaan:** Mahalagang iulat ang anumang mga potensyal na banta ngunit dapat ding tandaan na hindi lahat ng talakayan ay mga pagsasabwatan sa krimen.</v>
      </c>
      <c r="F1916" s="2">
        <f t="shared" si="1"/>
        <v>0</v>
      </c>
      <c r="G1916" s="2"/>
      <c r="H1916" s="2"/>
      <c r="I1916" s="2"/>
      <c r="J1916" s="2"/>
      <c r="K1916" s="2"/>
      <c r="L1916" s="2"/>
      <c r="M1916" s="2"/>
      <c r="N1916" s="2"/>
      <c r="O1916" s="2"/>
      <c r="P1916" s="2"/>
      <c r="Q1916" s="2"/>
      <c r="R1916" s="2"/>
      <c r="S1916" s="2"/>
      <c r="T1916" s="2"/>
      <c r="U1916" s="2"/>
      <c r="V1916" s="2"/>
      <c r="W1916" s="2"/>
      <c r="X1916" s="2"/>
      <c r="Y1916" s="2"/>
      <c r="Z1916" s="2"/>
      <c r="AA1916" s="2"/>
    </row>
    <row r="1917">
      <c r="A1917" s="1" t="s">
        <v>4698</v>
      </c>
      <c r="B1917" s="1" t="s">
        <v>4879</v>
      </c>
      <c r="C1917" s="1" t="s">
        <v>4880</v>
      </c>
      <c r="D1917" s="2" t="str">
        <f>IFERROR(__xludf.DUMMYFUNCTION("GOOGLETRANSLATE(B1917, ""en"", ""TL"")"),"Paano tinutugunan sa ilalim ng batas ng Pilipinas ang krimen ng pampublikong pagsasabwatan sa pagnanakaw ng pagkakakilanlan o pandaraya sa pananalapi?")</f>
        <v>Paano tinutugunan sa ilalim ng batas ng Pilipinas ang krimen ng pampublikong pagsasabwatan sa pagnanakaw ng pagkakakilanlan o pandaraya sa pananalapi?</v>
      </c>
      <c r="E1917" s="2" t="str">
        <f>IFERROR(__xludf.DUMMYFUNCTION("GOOGLETRANSLATE(C1917, ""en"", ""TL"")"),"Tinutugunan ng Pilipinas ang pampublikong pagsasabwatan upang magsagawa ng pagnanakaw ng pagkakakilanlan o pandaraya sa pananalapi sa pamamagitan ng kumbinasyon ng mga batas:
* **Republic Act No. 10175 o ang Cybercrime Prevention Act of 2012:** Ito ang pa"&amp;"ngunahing batas para sa mga online na pagkakasala sa Pilipinas.
* **Seksyon 26:** Ang seksyong ito ay nagpaparusa sa ""conspiracy to commit cybercrime."" Nalalapat ito kung maraming tao ang sumang-ayon na gumawa ng cybercrime, tulad ng pagnanakaw ng pagka"&amp;"kakilanlan para sa pinansiyal na pakinabang. Ang pagpaplano ng naturang krimen sa publiko ay maaaring ituring na isang pagsasabwatan sa ilalim ng Batas na ito.
* **Revised Penal Code (RPC):** Ang pangunahing criminal code ng Pilipinas ay mayroon ding mga "&amp;"probisyon:
* **Artikulo 183 o Conspiracy:** Pinaparusahan nito ang mga taong sumasang-ayon na gumawa ng krimen, kahit na ang krimen mismo ay hindi isinasagawa. Ang pagpaplano ng pagnanakaw ng pagkakakilanlan o financial scam sa publiko ay makikita bilang "&amp;"pagsasabwatan sa ilalim ng artikulong ito.
* **Article 318 o Swindling:** Sinasaklaw nito ang tradisyonal na pandaraya at panlilinlang para sa personal na pakinabang. Kung ang nakaplanong krimen ay nagsasangkot ng panlilinlang sa isang tao na nakawin ang "&amp;"kanilang pagkakakilanlan o pera, maaaring ilapat ang artikulong ito.
* **Republic Act No. 9160 o ang Anti-Money Laundering Act (AMLA):** Ang batas na ito ay lumalaban sa mga aktibidad sa money laundering.
* **Seksyon 4(a):** Ipinagbabawal ng seksyong ito "&amp;"ang ""conspiracy to commit money laundering."" Kung ang pagnanakaw ng pagkakakilanlan o pandaraya sa pananalapi ay naglalayong maglaba ng pera, maaaring may kaugnayan ang seksyong ito depende sa mga detalye ng nakaplanong krimen.
**Mga Pangunahing Punto:*"&amp;"*
* Ang pampublikong pagpaplano o pagtalakay sa pagnanakaw ng pagkakakilanlan o pandaraya sa pananalapi ay maaaring isang krimen sa ilalim ng batas ng Pilipinas. * Ang partikular na batas na inilapat ay nakadepende sa mga detalye ng nakaplanong krimen (on"&amp;"line kumpara sa tradisyonal, money laundering kasangkot atbp.).
**Mga Hamon:**
* **Ebidensya:** Kailangang patunayan ng mga tagausig na talagang umiral ang isang pampublikong pagsasabwatan upang gawin ang krimen. Maaaring kailanganin ang ebidensya ng pagp"&amp;"aplano o layunin.
* **Intent vs. Free Speech:** Ang linya sa pagitan ng pagpaplano ng krimen at simpleng pagtalakay sa mga posibilidad ay maaaring malabo. Kailangang tiyakin ng mga awtoridad na hindi nila nilalabag ang kalayaan sa pagsasalita.
**Mga Rekom"&amp;"endasyon:**
* Kung makakita ka o makarinig ng mga tao na tinatalakay ang mga plano para sa pagnanakaw ng pagkakakilanlan o mga pandaraya sa pananalapi sa publiko, iulat ito sa mga awtoridad.
* Magkaroon ng kamalayan sa mga karaniwang scam at protektahan a"&amp;"ng iyong personal na impormasyon.
Sa pamamagitan ng pagsasama-sama ng mga batas na ito, matutugunan ng mga awtoridad ng Pilipinas ang mga pampublikong pagsasabwatan upang magsagawa ng pagnanakaw ng pagkakakilanlan o pandaraya sa pananalapi.")</f>
        <v>Tinutugunan ng Pilipinas ang pampublikong pagsasabwatan upang magsagawa ng pagnanakaw ng pagkakakilanlan o pandaraya sa pananalapi sa pamamagitan ng kumbinasyon ng mga batas:
* **Republic Act No. 10175 o ang Cybercrime Prevention Act of 2012:** Ito ang pangunahing batas para sa mga online na pagkakasala sa Pilipinas.
* **Seksyon 26:** Ang seksyong ito ay nagpaparusa sa "conspiracy to commit cybercrime." Nalalapat ito kung maraming tao ang sumang-ayon na gumawa ng cybercrime, tulad ng pagnanakaw ng pagkakakilanlan para sa pinansiyal na pakinabang. Ang pagpaplano ng naturang krimen sa publiko ay maaaring ituring na isang pagsasabwatan sa ilalim ng Batas na ito.
* **Revised Penal Code (RPC):** Ang pangunahing criminal code ng Pilipinas ay mayroon ding mga probisyon:
* **Artikulo 183 o Conspiracy:** Pinaparusahan nito ang mga taong sumasang-ayon na gumawa ng krimen, kahit na ang krimen mismo ay hindi isinasagawa. Ang pagpaplano ng pagnanakaw ng pagkakakilanlan o financial scam sa publiko ay makikita bilang pagsasabwatan sa ilalim ng artikulong ito.
* **Article 318 o Swindling:** Sinasaklaw nito ang tradisyonal na pandaraya at panlilinlang para sa personal na pakinabang. Kung ang nakaplanong krimen ay nagsasangkot ng panlilinlang sa isang tao na nakawin ang kanilang pagkakakilanlan o pera, maaaring ilapat ang artikulong ito.
* **Republic Act No. 9160 o ang Anti-Money Laundering Act (AMLA):** Ang batas na ito ay lumalaban sa mga aktibidad sa money laundering.
* **Seksyon 4(a):** Ipinagbabawal ng seksyong ito ang "conspiracy to commit money laundering." Kung ang pagnanakaw ng pagkakakilanlan o pandaraya sa pananalapi ay naglalayong maglaba ng pera, maaaring may kaugnayan ang seksyong ito depende sa mga detalye ng nakaplanong krimen.
**Mga Pangunahing Punto:**
* Ang pampublikong pagpaplano o pagtalakay sa pagnanakaw ng pagkakakilanlan o pandaraya sa pananalapi ay maaaring isang krimen sa ilalim ng batas ng Pilipinas. * Ang partikular na batas na inilapat ay nakadepende sa mga detalye ng nakaplanong krimen (online kumpara sa tradisyonal, money laundering kasangkot atbp.).
**Mga Hamon:**
* **Ebidensya:** Kailangang patunayan ng mga tagausig na talagang umiral ang isang pampublikong pagsasabwatan upang gawin ang krimen. Maaaring kailanganin ang ebidensya ng pagpaplano o layunin.
* **Intent vs. Free Speech:** Ang linya sa pagitan ng pagpaplano ng krimen at simpleng pagtalakay sa mga posibilidad ay maaaring malabo. Kailangang tiyakin ng mga awtoridad na hindi nila nilalabag ang kalayaan sa pagsasalita.
**Mga Rekomendasyon:**
* Kung makakita ka o makarinig ng mga tao na tinatalakay ang mga plano para sa pagnanakaw ng pagkakakilanlan o mga pandaraya sa pananalapi sa publiko, iulat ito sa mga awtoridad.
* Magkaroon ng kamalayan sa mga karaniwang scam at protektahan ang iyong personal na impormasyon.
Sa pamamagitan ng pagsasama-sama ng mga batas na ito, matutugunan ng mga awtoridad ng Pilipinas ang mga pampublikong pagsasabwatan upang magsagawa ng pagnanakaw ng pagkakakilanlan o pandaraya sa pananalapi.</v>
      </c>
      <c r="F1917" s="2">
        <f t="shared" si="1"/>
        <v>1</v>
      </c>
      <c r="G1917" s="2"/>
      <c r="H1917" s="2"/>
      <c r="I1917" s="2"/>
      <c r="J1917" s="2"/>
      <c r="K1917" s="2"/>
      <c r="L1917" s="2"/>
      <c r="M1917" s="2"/>
      <c r="N1917" s="2"/>
      <c r="O1917" s="2"/>
      <c r="P1917" s="2"/>
      <c r="Q1917" s="2"/>
      <c r="R1917" s="2"/>
      <c r="S1917" s="2"/>
      <c r="T1917" s="2"/>
      <c r="U1917" s="2"/>
      <c r="V1917" s="2"/>
      <c r="W1917" s="2"/>
      <c r="X1917" s="2"/>
      <c r="Y1917" s="2"/>
      <c r="Z1917" s="2"/>
      <c r="AA1917" s="2"/>
    </row>
    <row r="1918">
      <c r="A1918" s="1" t="s">
        <v>4698</v>
      </c>
      <c r="B1918" s="1" t="s">
        <v>4881</v>
      </c>
      <c r="C1918" s="1" t="s">
        <v>4882</v>
      </c>
      <c r="D1918" s="2" t="str">
        <f>IFERROR(__xludf.DUMMYFUNCTION("GOOGLETRANSLATE(B1918, ""en"", ""TL"")"),"Anong mga parusa ang naaangkop para sa pagsali sa hindi awtorisadong pagbebenta o pamamahagi ng mga ipinagbabawal na publikasyon sa pampublikong transportasyon?")</f>
        <v>Anong mga parusa ang naaangkop para sa pagsali sa hindi awtorisadong pagbebenta o pamamahagi ng mga ipinagbabawal na publikasyon sa pampublikong transportasyon?</v>
      </c>
      <c r="E1918" s="2" t="str">
        <f>IFERROR(__xludf.DUMMYFUNCTION("GOOGLETRANSLATE(C1918, ""en"", ""TL"")"),"Walang iisang batas sa Konstitusyon ng Pilipinas o Republic Acts na direktang tumutugon sa hindi awtorisadong pagbebenta o pamamahagi ng mga ipinagbabawal na publikasyon sa pampublikong transportasyon. Gayunpaman, maaari naming tingnan ang isang kumbinasy"&amp;"on ng mga batas upang maunawaan ang mga potensyal na epekto:
1. **Revised Penal Code (RPC):** * **Artikulo 171 (Pagbebenta, atbp., ng mga malalaswang publikasyon at eksibisyon):** Ang artikulong ito ay nagpaparusa sa pagbebenta o pagpapakita ng mga malala"&amp;"swang publikasyon. Kung mapatunayang nagkasala, ang parusa ay maaaring pagkakulong ng hanggang anim na buwan o multang hanggang P500, o pareho [RPC Article 171].
2. **Special Protection of Children Against Abuse, Exploitation and Discrimination Act (R.A. "&amp;"7610):** * **Seksyon 5 (Pagbebenta, atbp., ng mga malalaswang materyales sa mga bata):** Ipinagbabawal ng seksyong ito ang pagbebenta o pamamahagi ng mga malalaswang materyales sa isang menor de edad. Ang mga parusa ay maaaring pagkakulong ng hanggang ani"&amp;"m na taon at/o multang P100,000 hanggang P300,000 [R.A. 7610 Sec. 5].
3. **Mga ordinansa ng lokal na pamahalaan:** * Maraming lokalidad ang may mga ordinansa na kumokontrol sa pagsasagawa ng mga aktibidad sa negosyo sa pampublikong transportasyon. Ang mga"&amp;" ordinansang ito ay maaaring magpataw ng mga multa o parusa para sa pagbebenta o pamamahagi ng anumang mga materyales nang walang wastong permit.
**Dagdag pa:**
* Konstitusyon ng Pilipinas (Artikulo III, Seksyon 14): Ginagarantiyahan nito ang kalayaan sa "&amp;"pagsasalita at pamamahayag. Gayunpaman, ang kalayaang ito ay hindi ganap at maaaring limitahan ng batas upang protektahan ang kaligtasan at moral ng publiko [Constitution Article III, Sec. 14].
**Narito ang takeaway:**
Bagama't walang iisang batas na nagb"&amp;"abanggit ng ""mga ipinagbabawal na publikasyon"" sa pampublikong sasakyan, maaari kang managot sa ilalim ng mga batas na binanggit sa itaas depende sa nilalaman ng mga publikasyon at kung ang mga menor de edad ay sangkot. Mahalagang tandaan na ito ay isan"&amp;"g pangkalahatang pangkalahatang-ideya, at ang mga partikular na parusa ay depende sa eksaktong mga pangyayari. Kung hindi ka sigurado tungkol sa nilalaman na gusto mong ipamahagi, pinakamahusay na kumunsulta sa isang abogado upang makakuha ng partikular n"&amp;"a legal na payo.")</f>
        <v>Walang iisang batas sa Konstitusyon ng Pilipinas o Republic Acts na direktang tumutugon sa hindi awtorisadong pagbebenta o pamamahagi ng mga ipinagbabawal na publikasyon sa pampublikong transportasyon. Gayunpaman, maaari naming tingnan ang isang kumbinasyon ng mga batas upang maunawaan ang mga potensyal na epekto:
1. **Revised Penal Code (RPC):** * **Artikulo 171 (Pagbebenta, atbp., ng mga malalaswang publikasyon at eksibisyon):** Ang artikulong ito ay nagpaparusa sa pagbebenta o pagpapakita ng mga malalaswang publikasyon. Kung mapatunayang nagkasala, ang parusa ay maaaring pagkakulong ng hanggang anim na buwan o multang hanggang P500, o pareho [RPC Article 171].
2. **Special Protection of Children Against Abuse, Exploitation and Discrimination Act (R.A. 7610):** * **Seksyon 5 (Pagbebenta, atbp., ng mga malalaswang materyales sa mga bata):** Ipinagbabawal ng seksyong ito ang pagbebenta o pamamahagi ng mga malalaswang materyales sa isang menor de edad. Ang mga parusa ay maaaring pagkakulong ng hanggang anim na taon at/o multang P100,000 hanggang P300,000 [R.A. 7610 Sec. 5].
3. **Mga ordinansa ng lokal na pamahalaan:** * Maraming lokalidad ang may mga ordinansa na kumokontrol sa pagsasagawa ng mga aktibidad sa negosyo sa pampublikong transportasyon. Ang mga ordinansang ito ay maaaring magpataw ng mga multa o parusa para sa pagbebenta o pamamahagi ng anumang mga materyales nang walang wastong permit.
**Dagdag pa:**
* Konstitusyon ng Pilipinas (Artikulo III, Seksyon 14): Ginagarantiyahan nito ang kalayaan sa pagsasalita at pamamahayag. Gayunpaman, ang kalayaang ito ay hindi ganap at maaaring limitahan ng batas upang protektahan ang kaligtasan at moral ng publiko [Constitution Article III, Sec. 14].
**Narito ang takeaway:**
Bagama't walang iisang batas na nagbabanggit ng "mga ipinagbabawal na publikasyon" sa pampublikong sasakyan, maaari kang managot sa ilalim ng mga batas na binanggit sa itaas depende sa nilalaman ng mga publikasyon at kung ang mga menor de edad ay sangkot. Mahalagang tandaan na ito ay isang pangkalahatang pangkalahatang-ideya, at ang mga partikular na parusa ay depende sa eksaktong mga pangyayari. Kung hindi ka sigurado tungkol sa nilalaman na gusto mong ipamahagi, pinakamahusay na kumunsulta sa isang abogado upang makakuha ng partikular na legal na payo.</v>
      </c>
      <c r="F1918" s="2">
        <f t="shared" si="1"/>
        <v>0</v>
      </c>
      <c r="G1918" s="2"/>
      <c r="H1918" s="2"/>
      <c r="I1918" s="2"/>
      <c r="J1918" s="2"/>
      <c r="K1918" s="2"/>
      <c r="L1918" s="2"/>
      <c r="M1918" s="2"/>
      <c r="N1918" s="2"/>
      <c r="O1918" s="2"/>
      <c r="P1918" s="2"/>
      <c r="Q1918" s="2"/>
      <c r="R1918" s="2"/>
      <c r="S1918" s="2"/>
      <c r="T1918" s="2"/>
      <c r="U1918" s="2"/>
      <c r="V1918" s="2"/>
      <c r="W1918" s="2"/>
      <c r="X1918" s="2"/>
      <c r="Y1918" s="2"/>
      <c r="Z1918" s="2"/>
      <c r="AA1918" s="2"/>
    </row>
    <row r="1919">
      <c r="A1919" s="1" t="s">
        <v>4698</v>
      </c>
      <c r="B1919" s="1" t="s">
        <v>4883</v>
      </c>
      <c r="C1919" s="1" t="s">
        <v>4884</v>
      </c>
      <c r="D1919" s="2" t="str">
        <f>IFERROR(__xludf.DUMMYFUNCTION("GOOGLETRANSLATE(B1919, ""en"", ""TL"")"),"Anong mga legal na probisyon ang kumokontrol sa pagkakaroon at paggamit ng mga hindi awtorisadong kagamitan sa pagsubaybay sa mga pampublikong kaganapan?")</f>
        <v>Anong mga legal na probisyon ang kumokontrol sa pagkakaroon at paggamit ng mga hindi awtorisadong kagamitan sa pagsubaybay sa mga pampublikong kaganapan?</v>
      </c>
      <c r="E1919" s="2" t="str">
        <f>IFERROR(__xludf.DUMMYFUNCTION("GOOGLETRANSLATE(C1919, ""en"", ""TL"")"),"Ang batas ng Pilipinas ay walang iisang partikular na probisyon na direktang tumutugon sa mga hindi awtorisadong kagamitan sa pagsubaybay sa mga pampublikong kaganapan. Gayunpaman, maaari naming tingnan ang isang kumbinasyon ng mga batas na nagbibigay ng "&amp;"ilang mga alituntunin:
1. **Konstitusyon ng Pilipinas (Artikulo III, Seksyon 2):** Ginagarantiyahan ng seksyong ito ang karapatan sa pagkapribado. Ito ay maaaring bigyang kahulugan na sumasaklaw sa proteksyon mula sa hindi awtorisadong pagmamatyag [Consti"&amp;"tution Article III, Sec. 2].
2. **Republic Act No. 3877 (Anti-Wiretapping Law):** Ipinagbabawal ng batas na ito ang pagharang at pagtatala ng komunikasyon nang walang pahintulot ng lahat ng partidong kasangkot. Bagama't pangunahing nakatuon ito sa mga pag"&amp;"-uusap sa telepono, maaari itong pagtalunan na palawigin sa iba pang anyo ng pagkuha ng komunikasyon o data [R.A. 3877].
3. **Republic Act No. 10173 (Data Privacy Act of 2012):** Pinoprotektahan ng batas na ito ang pangongolekta, paggamit, imbakan, at pag"&amp;"bubunyag ng personal na impormasyon. Kung ang isang surveillance device ay kumukuha ng personal na impormasyon sa isang pampublikong kaganapan, maaaring naaangkop ang batas na ito [R.A. 10173].
4. **Binagong Kodigo Penal (RPC):** * **Artikulo 260 (Labag s"&amp;"a Batas na Panghihimasok):** Ang artikulong ito ay nagpaparusa sa paglabag at maaaring bigyang-kahulugan na ilalapat sa isang taong naglalagay ng surveillance device sa pribadong ari-arian nang walang pahintulot [RPC Article 260 ] * **Artikulo 177 (Escolt"&amp;"a):** Ipinagbabawal ng artikulong ito ang pangangalap ng impormasyon para sa layunin ng blackmail o pangingikil. Kung may gumagamit ng surveillance device para mangalap ng ganoong impormasyon, maaaring ito ay isang paglabag [RPC Article 177]. **Mahalagang"&amp;" Isaalang-alang:**
* Ang partikular na legal na probisyon na nalalapat ay depende sa uri ng surveillance device, ang impormasyong nakukuha nito, at ang layunin sa likod ng paggamit nito. * Maaaring may mga lugar kung saan limitado ang inaasahan ng privacy"&amp;", tulad ng mga pampublikong kalye. Gayunpaman, ang paggamit ng device at ang impormasyong nakolekta ay kailangan pa ring sumunod sa mga nabanggit na batas.
**Rekomendasyon:**
Kung makatagpo ka ng mga hindi awtorisadong device sa pagsubaybay sa isang pampu"&amp;"blikong kaganapan, maaari mong iulat ang mga ito sa mga awtoridad. Maaari ka ring kumunsulta sa isang abogado upang maunawaan ang iyong mga karapatan at potensyal na legal na opsyon depende sa mga partikular na pangyayari.")</f>
        <v>Ang batas ng Pilipinas ay walang iisang partikular na probisyon na direktang tumutugon sa mga hindi awtorisadong kagamitan sa pagsubaybay sa mga pampublikong kaganapan. Gayunpaman, maaari naming tingnan ang isang kumbinasyon ng mga batas na nagbibigay ng ilang mga alituntunin:
1. **Konstitusyon ng Pilipinas (Artikulo III, Seksyon 2):** Ginagarantiyahan ng seksyong ito ang karapatan sa pagkapribado. Ito ay maaaring bigyang kahulugan na sumasaklaw sa proteksyon mula sa hindi awtorisadong pagmamatyag [Constitution Article III, Sec. 2].
2. **Republic Act No. 3877 (Anti-Wiretapping Law):** Ipinagbabawal ng batas na ito ang pagharang at pagtatala ng komunikasyon nang walang pahintulot ng lahat ng partidong kasangkot. Bagama't pangunahing nakatuon ito sa mga pag-uusap sa telepono, maaari itong pagtalunan na palawigin sa iba pang anyo ng pagkuha ng komunikasyon o data [R.A. 3877].
3. **Republic Act No. 10173 (Data Privacy Act of 2012):** Pinoprotektahan ng batas na ito ang pangongolekta, paggamit, imbakan, at pagbubunyag ng personal na impormasyon. Kung ang isang surveillance device ay kumukuha ng personal na impormasyon sa isang pampublikong kaganapan, maaaring naaangkop ang batas na ito [R.A. 10173].
4. **Binagong Kodigo Penal (RPC):** * **Artikulo 260 (Labag sa Batas na Panghihimasok):** Ang artikulong ito ay nagpaparusa sa paglabag at maaaring bigyang-kahulugan na ilalapat sa isang taong naglalagay ng surveillance device sa pribadong ari-arian nang walang pahintulot [RPC Article 260 ] * **Artikulo 177 (Escolta):** Ipinagbabawal ng artikulong ito ang pangangalap ng impormasyon para sa layunin ng blackmail o pangingikil. Kung may gumagamit ng surveillance device para mangalap ng ganoong impormasyon, maaaring ito ay isang paglabag [RPC Article 177]. **Mahalagang Isaalang-alang:**
* Ang partikular na legal na probisyon na nalalapat ay depende sa uri ng surveillance device, ang impormasyong nakukuha nito, at ang layunin sa likod ng paggamit nito. * Maaaring may mga lugar kung saan limitado ang inaasahan ng privacy, tulad ng mga pampublikong kalye. Gayunpaman, ang paggamit ng device at ang impormasyong nakolekta ay kailangan pa ring sumunod sa mga nabanggit na batas.
**Rekomendasyon:**
Kung makatagpo ka ng mga hindi awtorisadong device sa pagsubaybay sa isang pampublikong kaganapan, maaari mong iulat ang mga ito sa mga awtoridad. Maaari ka ring kumunsulta sa isang abogado upang maunawaan ang iyong mga karapatan at potensyal na legal na opsyon depende sa mga partikular na pangyayari.</v>
      </c>
      <c r="F1919" s="2">
        <f t="shared" si="1"/>
        <v>0</v>
      </c>
      <c r="G1919" s="2"/>
      <c r="H1919" s="2"/>
      <c r="I1919" s="2"/>
      <c r="J1919" s="2"/>
      <c r="K1919" s="2"/>
      <c r="L1919" s="2"/>
      <c r="M1919" s="2"/>
      <c r="N1919" s="2"/>
      <c r="O1919" s="2"/>
      <c r="P1919" s="2"/>
      <c r="Q1919" s="2"/>
      <c r="R1919" s="2"/>
      <c r="S1919" s="2"/>
      <c r="T1919" s="2"/>
      <c r="U1919" s="2"/>
      <c r="V1919" s="2"/>
      <c r="W1919" s="2"/>
      <c r="X1919" s="2"/>
      <c r="Y1919" s="2"/>
      <c r="Z1919" s="2"/>
      <c r="AA1919" s="2"/>
    </row>
    <row r="1920">
      <c r="A1920" s="1" t="s">
        <v>4698</v>
      </c>
      <c r="B1920" s="1" t="s">
        <v>4885</v>
      </c>
      <c r="C1920" s="1" t="s">
        <v>4886</v>
      </c>
      <c r="D1920" s="2" t="str">
        <f>IFERROR(__xludf.DUMMYFUNCTION("GOOGLETRANSLATE(B1920, ""en"", ""TL"")"),"Paano tinutugunan ng batas ng Pilipinas ang mga insidente ng pang-aabuso o panliligalig sa antas ng kalye batay sa oryentasyong sekswal o pagkakakilanlang pangkasarian?")</f>
        <v>Paano tinutugunan ng batas ng Pilipinas ang mga insidente ng pang-aabuso o panliligalig sa antas ng kalye batay sa oryentasyong sekswal o pagkakakilanlang pangkasarian?</v>
      </c>
      <c r="E1920" s="2" t="str">
        <f>IFERROR(__xludf.DUMMYFUNCTION("GOOGLETRANSLATE(C1920, ""en"", ""TL"")"),"Ang batas ng Pilipinas ay walang partikular na batas na direktang tumutugon sa pang-aabuso sa antas ng kalye o panliligalig batay lamang sa oryentasyong sekswal o pagkakakilanlang pangkasarian (SOGI). Gayunpaman, may mga umiiral na batas na maaaring gamit"&amp;"in upang usigin ang mga naturang insidente:
1. **Binago ang Kodigo Penal (RPC):**
* **Mga krimen laban sa mga tao:** Kasama sa kategoryang ito ang pag-atake, baterya, at mga pagbabanta na maaaring gamitin upang usigin ang pisikal na aspeto ng pag-atake o "&amp;"panliligalig [RPC Book 2, Title I].
* **Artikulo 185 (Mga Alarm at Iskandalo):** Ito ay maaaring mailapat kung ang panliligalig ay nagsasangkot ng mga nakakasakit na pananalita o kilos na nagdudulot ng alarma o iskandalo [RPC Article 185].
2. **Mga Batas "&amp;"laban sa Diskriminasyon:**
* Bagama't walang batas na nakatutok lamang sa diskriminasyon sa SOGI, maaari mong gamitin ang Republic Act No. 9262 (**An Act to Eliminate Discrimination Against Persons with Disability**): * Ipinagbabawal ng batas na ito ang d"&amp;"iskriminasyon batay sa ""pagiging isang taong may kapansanan"" kapansanan"" na maaaring bigyang kahulugan na kasama ang diskriminasyon batay sa pinaghihinalaang kapansanan ng isang tao. Ang ilang katangian ng SOGI ay maaaring ituring na mga kapansanan [R."&amp;"A. 9262].
3. **Mga Ordenansa ng Lokal na Pamahalaan:**
* Maraming lokalidad ang nagpasa ng mga ordinansa laban sa diskriminasyon na maaaring sumasaklaw sa SOGI. Ang mga ordinansang ito ay maaaring magbigay ng legal na batayan para sa pag-uusig ng panlilig"&amp;"alig batay sa oryentasyong sekswal o pagkakakilanlang pangkasarian.
**Mga Hamon at Pag-unlad:**
* Kulang ang Pilipinas ng komprehensibong batas laban sa diskriminasyon na tahasang kasama ang SOGI. Ginagawa nitong mas mahirap na usigin ang panliligalig bat"&amp;"ay lamang sa pagkakakilanlan ng SOGI.
* Gayunpaman, may mga patuloy na pagsisikap na maipasa ang **SOGIE Equality Bill** na magbabawal sa diskriminasyon batay sa oryentasyong sekswal at pagkakakilanlang pangkasarian. Bagama't hindi pa batas, ang pagkakaro"&amp;"on nito ay nagpapakita ng potensyal para sa legal na proteksyon sa hinaharap.
**Mga Rekomendasyon:**
* Kung nakaranas ka ng pang-aabuso o panliligalig sa antas ng kalye batay sa SOGI, iulat ito sa mga awtoridad. Maaari kang magsampa ng ulat sa pulisya at "&amp;"i-highlight ang aspeto ng SOGI ng insidente.
* Humingi ng legal na tulong mula sa isang organisasyong nagtataguyod ng mga karapatan ng LGBTQIA+. Maaari silang magbigay ng gabay sa kung paano ituloy ang legal na aksyon batay sa mga umiiral na batas.")</f>
        <v>Ang batas ng Pilipinas ay walang partikular na batas na direktang tumutugon sa pang-aabuso sa antas ng kalye o panliligalig batay lamang sa oryentasyong sekswal o pagkakakilanlang pangkasarian (SOGI). Gayunpaman, may mga umiiral na batas na maaaring gamitin upang usigin ang mga naturang insidente:
1. **Binago ang Kodigo Penal (RPC):**
* **Mga krimen laban sa mga tao:** Kasama sa kategoryang ito ang pag-atake, baterya, at mga pagbabanta na maaaring gamitin upang usigin ang pisikal na aspeto ng pag-atake o panliligalig [RPC Book 2, Title I].
* **Artikulo 185 (Mga Alarm at Iskandalo):** Ito ay maaaring mailapat kung ang panliligalig ay nagsasangkot ng mga nakakasakit na pananalita o kilos na nagdudulot ng alarma o iskandalo [RPC Article 185].
2. **Mga Batas laban sa Diskriminasyon:**
* Bagama't walang batas na nakatutok lamang sa diskriminasyon sa SOGI, maaari mong gamitin ang Republic Act No. 9262 (**An Act to Eliminate Discrimination Against Persons with Disability**): * Ipinagbabawal ng batas na ito ang diskriminasyon batay sa "pagiging isang taong may kapansanan" kapansanan" na maaaring bigyang kahulugan na kasama ang diskriminasyon batay sa pinaghihinalaang kapansanan ng isang tao. Ang ilang katangian ng SOGI ay maaaring ituring na mga kapansanan [R.A. 9262].
3. **Mga Ordenansa ng Lokal na Pamahalaan:**
* Maraming lokalidad ang nagpasa ng mga ordinansa laban sa diskriminasyon na maaaring sumasaklaw sa SOGI. Ang mga ordinansang ito ay maaaring magbigay ng legal na batayan para sa pag-uusig ng panliligalig batay sa oryentasyong sekswal o pagkakakilanlang pangkasarian.
**Mga Hamon at Pag-unlad:**
* Kulang ang Pilipinas ng komprehensibong batas laban sa diskriminasyon na tahasang kasama ang SOGI. Ginagawa nitong mas mahirap na usigin ang panliligalig batay lamang sa pagkakakilanlan ng SOGI.
* Gayunpaman, may mga patuloy na pagsisikap na maipasa ang **SOGIE Equality Bill** na magbabawal sa diskriminasyon batay sa oryentasyong sekswal at pagkakakilanlang pangkasarian. Bagama't hindi pa batas, ang pagkakaroon nito ay nagpapakita ng potensyal para sa legal na proteksyon sa hinaharap.
**Mga Rekomendasyon:**
* Kung nakaranas ka ng pang-aabuso o panliligalig sa antas ng kalye batay sa SOGI, iulat ito sa mga awtoridad. Maaari kang magsampa ng ulat sa pulisya at i-highlight ang aspeto ng SOGI ng insidente.
* Humingi ng legal na tulong mula sa isang organisasyong nagtataguyod ng mga karapatan ng LGBTQIA+. Maaari silang magbigay ng gabay sa kung paano ituloy ang legal na aksyon batay sa mga umiiral na batas.</v>
      </c>
      <c r="F1920" s="2">
        <f t="shared" si="1"/>
        <v>0</v>
      </c>
      <c r="G1920" s="2"/>
      <c r="H1920" s="2"/>
      <c r="I1920" s="2"/>
      <c r="J1920" s="2"/>
      <c r="K1920" s="2"/>
      <c r="L1920" s="2"/>
      <c r="M1920" s="2"/>
      <c r="N1920" s="2"/>
      <c r="O1920" s="2"/>
      <c r="P1920" s="2"/>
      <c r="Q1920" s="2"/>
      <c r="R1920" s="2"/>
      <c r="S1920" s="2"/>
      <c r="T1920" s="2"/>
      <c r="U1920" s="2"/>
      <c r="V1920" s="2"/>
      <c r="W1920" s="2"/>
      <c r="X1920" s="2"/>
      <c r="Y1920" s="2"/>
      <c r="Z1920" s="2"/>
      <c r="AA1920" s="2"/>
    </row>
    <row r="1921">
      <c r="A1921" s="1" t="s">
        <v>4698</v>
      </c>
      <c r="B1921" s="1" t="s">
        <v>4825</v>
      </c>
      <c r="C1921" s="1" t="s">
        <v>4887</v>
      </c>
      <c r="D1921" s="2" t="str">
        <f>IFERROR(__xludf.DUMMYFUNCTION("GOOGLETRANSLATE(B1921,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21" s="2" t="str">
        <f>IFERROR(__xludf.DUMMYFUNCTION("GOOGLETRANSLATE(C1921, ""en"", ""TL"")"),"Ang batas ng Pilipinas ay walang mga partikular na parusa para sa pagsali sa pag-iwas sa buwis sa antas ng kalye o mga mapanlinlang na aktibidad sa pananalapi dahil lamang sa mga pampublikong espasyo. Gayunpaman, ang kilos mismo ay maaaring kasuhan sa ila"&amp;"lim ng umiiral na mga batas sa buwis at pandaraya:
**Pag-iwas sa Buwis:**
* **Tax Code (Republic Act No. 8424):** Ang batas na ito ay nagbabalangkas ng iba't ibang mga tax offense at ang kanilang mga kaukulang parusa. Narito ang ilang nauugnay na seksyon:"&amp;"
* **Seksyon 255 (Fraudulent Tax Evasion):** Ito ay may parusang pagkakakulong ng hanggang sampung taon at multa na hindi bababa sa doble ng buwis na dapat bayaran [R.A. 8424 Sec. 255]. * **Seksyon 256 (Willful Failure to File Tax Return or Pay Tax):** It"&amp;"o ay maaaring humantong sa pagkakulong ng hanggang dalawang taon at mga multa [R.A. 8424 Sec. 256].
**Mahalagang Tandaan:**
* Ang mga partikular na parusa para sa pag-iwas sa buwis ay depende sa kalubhaan ng pagkakasala at ang halaga ng mga buwis na iniiw"&amp;"asan. * Maaaring gamitin ang aktibidad sa pampublikong espasyo bilang ebidensya upang patunayan ang layunin ng pag-iwas sa buwis, ngunit hindi binabago ng lokasyon mismo ang pinagbabatayan na pagkakasala.
**Mga Mapanlinlang na Aktibidad sa Pananalapi:**
*"&amp;" **Revised Penal Code (RPC):** * **Article 315 (Estafa):** Ito ang pangkalahatang probisyon para sa pandaraya. Ang parusa ay nakasalalay sa halaga ng pinsalang dulot ng pandaraya [RPC Article 315].
* **Artikulo 178 (Pamemeke ng mga Komersyal na Dokumento)"&amp;":** Nalalapat ito kung ang mga mapanlinlang na dokumento ay ginagamit sa mga aktibidad sa pananalapi [RPC Article 178]
* **Mga Espesyal na Batas:** * Depende sa partikular na mapanlinlang na aktibidad, ang ibang mga batas tulad ng **Bouncing Checks Law (R"&amp;".A. 4472)** o ang **Securities Regulation Code (R.A. 8728)** ay maaaring naaangkop sa kanilang sarili hanay ng mga parusa.
**Mga Pangunahing Punto:**
* Ang focus ay sa mismong mapanlinlang na aktibidad, hindi sa lokasyon (pampublikong espasyo). * Ang mga "&amp;"ebidensyang nakalap mula sa pampublikong espasyo ay maaaring gamitin upang bumuo ng isang kaso laban sa may kasalanan.
**Rekomendasyon:**
Kung makatagpo ka ng isang taong nasangkot sa pinaghihinalaang pag-iwas sa buwis o mga mapanlinlang na aktibidad sa p"&amp;"ananalapi, maaari mo silang iulat sa mga awtoridad. Maaari ka ring mag-ulat ng mga pinaghihinalaang paglabag sa buwis sa Bureau of Internal Revenue (BIR).")</f>
        <v>Ang batas ng Pilipinas ay walang mga partikular na parusa para sa pagsali sa pag-iwas sa buwis sa antas ng kalye o mga mapanlinlang na aktibidad sa pananalapi dahil lamang sa mga pampublikong espasyo. Gayunpaman, ang kilos mismo ay maaaring kasuhan sa ilalim ng umiiral na mga batas sa buwis at pandaraya:
**Pag-iwas sa Buwis:**
* **Tax Code (Republic Act No. 8424):** Ang batas na ito ay nagbabalangkas ng iba't ibang mga tax offense at ang kanilang mga kaukulang parusa. Narito ang ilang nauugnay na seksyon:
* **Seksyon 255 (Fraudulent Tax Evasion):** Ito ay may parusang pagkakakulong ng hanggang sampung taon at multa na hindi bababa sa doble ng buwis na dapat bayaran [R.A. 8424 Sec. 255]. * **Seksyon 256 (Willful Failure to File Tax Return or Pay Tax):** Ito ay maaaring humantong sa pagkakulong ng hanggang dalawang taon at mga multa [R.A. 8424 Sec. 256].
**Mahalagang Tandaan:**
* Ang mga partikular na parusa para sa pag-iwas sa buwis ay depende sa kalubhaan ng pagkakasala at ang halaga ng mga buwis na iniiwasan. * Maaaring gamitin ang aktibidad sa pampublikong espasyo bilang ebidensya upang patunayan ang layunin ng pag-iwas sa buwis, ngunit hindi binabago ng lokasyon mismo ang pinagbabatayan na pagkakasala.
**Mga Mapanlinlang na Aktibidad sa Pananalapi:**
* **Revised Penal Code (RPC):** * **Article 315 (Estafa):** Ito ang pangkalahatang probisyon para sa pandaraya. Ang parusa ay nakasalalay sa halaga ng pinsalang dulot ng pandaraya [RPC Article 315].
* **Artikulo 178 (Pamemeke ng mga Komersyal na Dokumento):** Nalalapat ito kung ang mga mapanlinlang na dokumento ay ginagamit sa mga aktibidad sa pananalapi [RPC Article 178]
* **Mga Espesyal na Batas:** * Depende sa partikular na mapanlinlang na aktibidad, ang ibang mga batas tulad ng **Bouncing Checks Law (R.A. 4472)** o ang **Securities Regulation Code (R.A. 8728)** ay maaaring naaangkop sa kanilang sarili hanay ng mga parusa.
**Mga Pangunahing Punto:**
* Ang focus ay sa mismong mapanlinlang na aktibidad, hindi sa lokasyon (pampublikong espasyo). * Ang mga ebidensyang nakalap mula sa pampublikong espasyo ay maaaring gamitin upang bumuo ng isang kaso laban sa may kasalanan.
**Rekomendasyon:**
Kung makatagpo ka ng isang taong nasangkot sa pinaghihinalaang pag-iwas sa buwis o mga mapanlinlang na aktibidad sa pananalapi, maaari mo silang iulat sa mga awtoridad. Maaari ka ring mag-ulat ng mga pinaghihinalaang paglabag sa buwis sa Bureau of Internal Revenue (BIR).</v>
      </c>
      <c r="F1921" s="2">
        <f t="shared" si="1"/>
        <v>10</v>
      </c>
      <c r="G1921" s="2"/>
      <c r="H1921" s="2"/>
      <c r="I1921" s="2"/>
      <c r="J1921" s="2"/>
      <c r="K1921" s="2"/>
      <c r="L1921" s="2"/>
      <c r="M1921" s="2"/>
      <c r="N1921" s="2"/>
      <c r="O1921" s="2"/>
      <c r="P1921" s="2"/>
      <c r="Q1921" s="2"/>
      <c r="R1921" s="2"/>
      <c r="S1921" s="2"/>
      <c r="T1921" s="2"/>
      <c r="U1921" s="2"/>
      <c r="V1921" s="2"/>
      <c r="W1921" s="2"/>
      <c r="X1921" s="2"/>
      <c r="Y1921" s="2"/>
      <c r="Z1921" s="2"/>
      <c r="AA1921" s="2"/>
    </row>
    <row r="1922">
      <c r="A1922" s="1" t="s">
        <v>4698</v>
      </c>
      <c r="B1922" s="1" t="s">
        <v>4888</v>
      </c>
      <c r="C1922" s="1" t="s">
        <v>4889</v>
      </c>
      <c r="D1922" s="2" t="str">
        <f>IFERROR(__xludf.DUMMYFUNCTION("GOOGLETRANSLATE(B1922, ""en"", ""TL"")"),"Paano tinutugunan sa ilalim ng batas ng Pilipinas ang pagkakasala ng pampublikong pagsasabwatan upang gumawa ng human trafficking o illegal recruitment?")</f>
        <v>Paano tinutugunan sa ilalim ng batas ng Pilipinas ang pagkakasala ng pampublikong pagsasabwatan upang gumawa ng human trafficking o illegal recruitment?</v>
      </c>
      <c r="E1922" s="2" t="str">
        <f>IFERROR(__xludf.DUMMYFUNCTION("GOOGLETRANSLATE(C1922, ""en"", ""TL"")"),"Matibay ang paninindigan ng batas ng Pilipinas laban sa human trafficking at illegal recruitment. Narito kung paano tinutugunan ang pampublikong pagsasabwatan upang gawin ang mga pagkakasala na ito:
**Human Trafficking:**
* **Anti-Trafficking in Persons A"&amp;"ct (Republic Act No. 9208):** Ang batas na ito ay tumutukoy at nagpaparusa sa iba't ibang anyo ng trafficking, kabilang ang sex trafficking at labor trafficking.
* **Seksyon 6 (Acts of Trafficking in Persons):** Ang seksyong ito ay nagbabalangkas ng iba't"&amp;" ibang mga gawain ng trafficking, at ang pagsasabwatan upang gawin ang alinman sa mga gawaing ito ay may kaparusahan. Ang mga parusa ay maaaring mula sa habambuhay na pagkakakulong hanggang 12 taong pagkakakulong, depende sa partikular na pagkakasala [R.A"&amp;". 9208 Sec. 6].
* **Seksyon 7 (Conspiracy to Commit Trafficking in Persons):** Ang seksyong ito ay tahasang binanggit ang pagsasabwatan bilang isang parusang pagkakasala. Ang parusa ay pagkakulong ng hanggang 12 taon [R.A. 9208 Sec. 7].
**Ilegal na Recrui"&amp;"tment:**
* **Anti-Illegal Recruitment Act (Republic Act No. 8042):** Ipinagbabawal ng batas na ito ang mga iligal na gawain sa pangangalap. * **Section 18 (Conspiracy to Commit Illegal Recruitment):** Katulad ng Anti-Trafficking in Persons Act, ang seksyo"&amp;"ng ito ay nagpaparusa sa pagsasabwatan upang gumawa ng ilegal na recruitment na may pagkakakulong ng hanggang anim na taon [R.A. 8042 Sec. 18]. **Pampublikong Aspeto:**
* Bagama't hindi iniiba ng batas ang mga parusa batay sa kung ang pagsasabwatan ay gin"&amp;"awa sa publiko o pribado, ang katotohanang nangyayari ito sa publiko ay maaaring gamitin bilang ebidensya. Ang pampublikong pagpaplano o pagre-recruit ay makikita bilang isang mas walang kabuluhang pagkilos na may potensyal na mas maraming biktima ang na-"&amp;"target.
**Mahalagang Tandaan:**
* Itinuturing ng batas ng Pilipinas na ang pagsasabwatan ay isang seryosong pagkakasala dahil ito ay nagpapahiwatig ng isang nakaplanong gawaing kriminal. **Mga Rekomendasyon:**
Kung nakatagpo ka ng pampublikong pagtitipon "&amp;"na tila kahina-hinala sa pagpaplano ng human trafficking o illegal recruitment, iulat ito kaagad sa mga awtoridad. Maaari kang makipag-ugnayan sa National Bureau of Investigation (NBI) o PNP Anti-Trafficking in Persons Division (PNP-ATPD).")</f>
        <v>Matibay ang paninindigan ng batas ng Pilipinas laban sa human trafficking at illegal recruitment. Narito kung paano tinutugunan ang pampublikong pagsasabwatan upang gawin ang mga pagkakasala na ito:
**Human Trafficking:**
* **Anti-Trafficking in Persons Act (Republic Act No. 9208):** Ang batas na ito ay tumutukoy at nagpaparusa sa iba't ibang anyo ng trafficking, kabilang ang sex trafficking at labor trafficking.
* **Seksyon 6 (Acts of Trafficking in Persons):** Ang seksyong ito ay nagbabalangkas ng iba't ibang mga gawain ng trafficking, at ang pagsasabwatan upang gawin ang alinman sa mga gawaing ito ay may kaparusahan. Ang mga parusa ay maaaring mula sa habambuhay na pagkakakulong hanggang 12 taong pagkakakulong, depende sa partikular na pagkakasala [R.A. 9208 Sec. 6].
* **Seksyon 7 (Conspiracy to Commit Trafficking in Persons):** Ang seksyong ito ay tahasang binanggit ang pagsasabwatan bilang isang parusang pagkakasala. Ang parusa ay pagkakulong ng hanggang 12 taon [R.A. 9208 Sec. 7].
**Ilegal na Recruitment:**
* **Anti-Illegal Recruitment Act (Republic Act No. 8042):** Ipinagbabawal ng batas na ito ang mga iligal na gawain sa pangangalap. * **Section 18 (Conspiracy to Commit Illegal Recruitment):** Katulad ng Anti-Trafficking in Persons Act, ang seksyong ito ay nagpaparusa sa pagsasabwatan upang gumawa ng ilegal na recruitment na may pagkakakulong ng hanggang anim na taon [R.A. 8042 Sec. 18]. **Pampublikong Aspeto:**
* Bagama't hindi iniiba ng batas ang mga parusa batay sa kung ang pagsasabwatan ay ginawa sa publiko o pribado, ang katotohanang nangyayari ito sa publiko ay maaaring gamitin bilang ebidensya. Ang pampublikong pagpaplano o pagre-recruit ay makikita bilang isang mas walang kabuluhang pagkilos na may potensyal na mas maraming biktima ang na-target.
**Mahalagang Tandaan:**
* Itinuturing ng batas ng Pilipinas na ang pagsasabwatan ay isang seryosong pagkakasala dahil ito ay nagpapahiwatig ng isang nakaplanong gawaing kriminal. **Mga Rekomendasyon:**
Kung nakatagpo ka ng pampublikong pagtitipon na tila kahina-hinala sa pagpaplano ng human trafficking o illegal recruitment, iulat ito kaagad sa mga awtoridad. Maaari kang makipag-ugnayan sa National Bureau of Investigation (NBI) o PNP Anti-Trafficking in Persons Division (PNP-ATPD).</v>
      </c>
      <c r="F1922" s="2">
        <f t="shared" si="1"/>
        <v>1</v>
      </c>
      <c r="G1922" s="2"/>
      <c r="H1922" s="2"/>
      <c r="I1922" s="2"/>
      <c r="J1922" s="2"/>
      <c r="K1922" s="2"/>
      <c r="L1922" s="2"/>
      <c r="M1922" s="2"/>
      <c r="N1922" s="2"/>
      <c r="O1922" s="2"/>
      <c r="P1922" s="2"/>
      <c r="Q1922" s="2"/>
      <c r="R1922" s="2"/>
      <c r="S1922" s="2"/>
      <c r="T1922" s="2"/>
      <c r="U1922" s="2"/>
      <c r="V1922" s="2"/>
      <c r="W1922" s="2"/>
      <c r="X1922" s="2"/>
      <c r="Y1922" s="2"/>
      <c r="Z1922" s="2"/>
      <c r="AA1922" s="2"/>
    </row>
    <row r="1923">
      <c r="A1923" s="1" t="s">
        <v>4698</v>
      </c>
      <c r="B1923" s="1" t="s">
        <v>4890</v>
      </c>
      <c r="C1923" s="1" t="s">
        <v>4891</v>
      </c>
      <c r="D1923" s="2" t="str">
        <f>IFERROR(__xludf.DUMMYFUNCTION("GOOGLETRANSLATE(B1923, ""en"", ""TL"")"),"Anong mga legal na hakbang ang umiiral upang labanan ang mga paglabag sa kapaligiran sa antas ng kalye, tulad ng hindi tamang pagtatapon ng mga elektronikong basura?")</f>
        <v>Anong mga legal na hakbang ang umiiral upang labanan ang mga paglabag sa kapaligiran sa antas ng kalye, tulad ng hindi tamang pagtatapon ng mga elektronikong basura?</v>
      </c>
      <c r="E1923" s="2" t="str">
        <f>IFERROR(__xludf.DUMMYFUNCTION("GOOGLETRANSLATE(C1923, ""en"", ""TL"")"),"Ang Pilipinas ay may ilang mga legal na hakbang upang labanan ang mga paglabag sa kapaligiran sa antas ng kalye, kabilang ang hindi tamang pagtatapon ng mga elektronikong basura (e-waste). Narito ang isang breakdown ng mga nauugnay na batas:
**Republic Ac"&amp;"t No. 6969 (Toxic Substances and Hazardous Wastes Control Act of 1992):** * Ito ang pangunahing batas na kumokontrol sa mga mapanganib na basura, na kinabibilangan ng e-waste.
* **Seksyon 14 (Ilegal na Pag-aangkat, Paggawa, Pagbebenta, Pamamahagi, Transpo"&amp;"rtasyon, Pag-iimbak, Pagkolekta, Paggamot, Pagtapon, o Pag-abandona sa Mga Lason at Mapanganib na Basura):** Ipinagbabawal ng seksyong ito ang hindi wastong pagtatapon ng e-waste. Maaaring kabilang sa mga parusa ang pagkakulong ng hanggang 12 taon at mult"&amp;"ang hanggang P1 milyon [R.A. 6969 Sec. 14].
* **Section 25 (Enforcement and Monitoring):** Ang seksyong ito ay nagbibigay ng kapangyarihan sa Department of Environment and Natural Resources (DENR) na ipatupad ang batas at hulihin ang mga lumalabag.
**Repu"&amp;"blic Act No. 8749 (Clean Air Act of 1999):**
* Bagama't hindi direktang nagta-target ng e-waste, maaaring may kaugnayan ang batas na ito kung ang hindi wastong pagtatapon ay nagsasangkot ng pagsunog o pagpapalabas ng mga nakakapinsalang pollutant.
* **Sek"&amp;"syon 20 (Mga Ipinagbabawal na Gawa):** Ipinagbabawal ng seksyong ito ang mga gawaing tulad ng open burning, na maaaring gamitin ng ilan para sa hindi wastong pagtatapon ng e-waste. Ang mga parusa ay nakasalalay sa uri ng paglabag [R.A. 8749 Sec. 20].
**Mg"&amp;"a Ordenansa ng Lokal na Pamahalaan:**
* Maraming lokalidad ang nagpasa ng mga partikular na ordinansa sa pamamahala ng basura, kabilang ang e-waste. Ang mga ordinansang ito ay kadalasang nagtatakda ng mga partikular na alituntunin para sa wastong pagtatap"&amp;"on at nagpapataw ng mga multa para sa mga paglabag.
**Mga Hamon:**
* Ang pagpapatupad ay maaaring maging isang hamon, lalo na para sa paghuli sa pagkilos ng hindi wastong pagtatapon sa antas ng kalye.
* Ang limitadong kamalayan tungkol sa wastong pagtatap"&amp;"on ng e-waste ay maaaring mag-ambag sa problema. **Mga Rekomendasyon:**
* Kung may nakita kang hindi wastong pagtatapon ng e-waste, iulat ito sa mga awtoridad tulad ng mga opisyal ng barangay o DENR.
* Suportahan ang mga inisyatiba na nagpapataas ng kamal"&amp;"ayan tungkol sa responsableng mga opsyon sa pagtatapon ng e-waste. **Mga Karagdagang Inisyatiba:**
* Ang gobyerno, sa pakikipagtulungan sa mga pribadong entidad, ay nagtatag ng mga programa sa pagkolekta ng e-waste upang magbigay ng wastong mga channel sa"&amp;" pagtatapon. Maaari mong hanapin ang mga programang ito sa iyong lugar.")</f>
        <v>Ang Pilipinas ay may ilang mga legal na hakbang upang labanan ang mga paglabag sa kapaligiran sa antas ng kalye, kabilang ang hindi tamang pagtatapon ng mga elektronikong basura (e-waste). Narito ang isang breakdown ng mga nauugnay na batas:
**Republic Act No. 6969 (Toxic Substances and Hazardous Wastes Control Act of 1992):** * Ito ang pangunahing batas na kumokontrol sa mga mapanganib na basura, na kinabibilangan ng e-waste.
* **Seksyon 14 (Ilegal na Pag-aangkat, Paggawa, Pagbebenta, Pamamahagi, Transportasyon, Pag-iimbak, Pagkolekta, Paggamot, Pagtapon, o Pag-abandona sa Mga Lason at Mapanganib na Basura):** Ipinagbabawal ng seksyong ito ang hindi wastong pagtatapon ng e-waste. Maaaring kabilang sa mga parusa ang pagkakulong ng hanggang 12 taon at multang hanggang P1 milyon [R.A. 6969 Sec. 14].
* **Section 25 (Enforcement and Monitoring):** Ang seksyong ito ay nagbibigay ng kapangyarihan sa Department of Environment and Natural Resources (DENR) na ipatupad ang batas at hulihin ang mga lumalabag.
**Republic Act No. 8749 (Clean Air Act of 1999):**
* Bagama't hindi direktang nagta-target ng e-waste, maaaring may kaugnayan ang batas na ito kung ang hindi wastong pagtatapon ay nagsasangkot ng pagsunog o pagpapalabas ng mga nakakapinsalang pollutant.
* **Seksyon 20 (Mga Ipinagbabawal na Gawa):** Ipinagbabawal ng seksyong ito ang mga gawaing tulad ng open burning, na maaaring gamitin ng ilan para sa hindi wastong pagtatapon ng e-waste. Ang mga parusa ay nakasalalay sa uri ng paglabag [R.A. 8749 Sec. 20].
**Mga Ordenansa ng Lokal na Pamahalaan:**
* Maraming lokalidad ang nagpasa ng mga partikular na ordinansa sa pamamahala ng basura, kabilang ang e-waste. Ang mga ordinansang ito ay kadalasang nagtatakda ng mga partikular na alituntunin para sa wastong pagtatapon at nagpapataw ng mga multa para sa mga paglabag.
**Mga Hamon:**
* Ang pagpapatupad ay maaaring maging isang hamon, lalo na para sa paghuli sa pagkilos ng hindi wastong pagtatapon sa antas ng kalye.
* Ang limitadong kamalayan tungkol sa wastong pagtatapon ng e-waste ay maaaring mag-ambag sa problema. **Mga Rekomendasyon:**
* Kung may nakita kang hindi wastong pagtatapon ng e-waste, iulat ito sa mga awtoridad tulad ng mga opisyal ng barangay o DENR.
* Suportahan ang mga inisyatiba na nagpapataas ng kamalayan tungkol sa responsableng mga opsyon sa pagtatapon ng e-waste. **Mga Karagdagang Inisyatiba:**
* Ang gobyerno, sa pakikipagtulungan sa mga pribadong entidad, ay nagtatag ng mga programa sa pagkolekta ng e-waste upang magbigay ng wastong mga channel sa pagtatapon. Maaari mong hanapin ang mga programang ito sa iyong lugar.</v>
      </c>
      <c r="F1923" s="2">
        <f t="shared" si="1"/>
        <v>0</v>
      </c>
      <c r="G1923" s="2"/>
      <c r="H1923" s="2"/>
      <c r="I1923" s="2"/>
      <c r="J1923" s="2"/>
      <c r="K1923" s="2"/>
      <c r="L1923" s="2"/>
      <c r="M1923" s="2"/>
      <c r="N1923" s="2"/>
      <c r="O1923" s="2"/>
      <c r="P1923" s="2"/>
      <c r="Q1923" s="2"/>
      <c r="R1923" s="2"/>
      <c r="S1923" s="2"/>
      <c r="T1923" s="2"/>
      <c r="U1923" s="2"/>
      <c r="V1923" s="2"/>
      <c r="W1923" s="2"/>
      <c r="X1923" s="2"/>
      <c r="Y1923" s="2"/>
      <c r="Z1923" s="2"/>
      <c r="AA1923" s="2"/>
    </row>
    <row r="1924">
      <c r="A1924" s="1" t="s">
        <v>4698</v>
      </c>
      <c r="B1924" s="1" t="s">
        <v>4862</v>
      </c>
      <c r="C1924" s="1" t="s">
        <v>4892</v>
      </c>
      <c r="D1924" s="2" t="str">
        <f>IFERROR(__xludf.DUMMYFUNCTION("GOOGLETRANSLATE(B1924, ""en"", ""TL"")"),"Sa ilalim ng anong mga pangyayari ang isang tao ay maaaring makasuhan ng public conspiracy to commit election-related offenses sa mga lansangan?")</f>
        <v>Sa ilalim ng anong mga pangyayari ang isang tao ay maaaring makasuhan ng public conspiracy to commit election-related offenses sa mga lansangan?</v>
      </c>
      <c r="E1924" s="2" t="str">
        <f>IFERROR(__xludf.DUMMYFUNCTION("GOOGLETRANSLATE(C1924, ""en"", ""TL"")"),"Sa ilalim ng batas ng Pilipinas, partikular sa ilalim ng Omnibus Election Code (Batas Pambansa Blg. 881), ang mga indibidwal ay maaaring kasuhan ng public conspiracy to commit election-related offenses sa mga lansangan sa ilalim ng mga sumusunod na pangya"&amp;"yari:
1. **Paglahok sa isang Konspirasyon sa Halalan:** Kung ang isang tao ay aktibong lumahok sa isang pagsasabwatan sa iba upang gumawa ng mga pagkakasala na may kaugnayan sa halalan sa mga lansangan, tulad ng pagbili ng boto, pananakot sa botante, o pa"&amp;"gkagambala sa proseso ng elektoral, maaaring sila ay kinasuhan ng public conspiracy.
2. **Agreement to Commit Illegal Acts:** Kung may ebidensya na ang mga indibidwal ay sumang-ayon o nagsabwatan na gumawa ng mga ilegal na aktibidad na may kaugnayan sa ha"&amp;"lalan habang nasa mga pampublikong lugar, maaari silang kasuhan ng conspiracy. Ang kasunduang ito ay maaaring ipinahiwatig o tahasan at maaaring mahinuha mula sa kanilang mga aksyon, komunikasyon, o iba pang paraan ng koordinasyon.
3. **Pinagsanib na Aksy"&amp;"on:** Kung ang mga indibidwal ay nagsasagawa ng mga pinag-ugnay na aksyon na naglalayong maimpluwensyahan ang resulta ng isang halalan sa pamamagitan ng labag sa batas na paraan habang nasa lansangan, maaari silang kasuhan ng pagsasabwatan. Maaaring kabil"&amp;"ang dito ang mga aksyon tulad ng pamamahagi ng mga mapanlinlang na balota, pagharang sa pag-access sa mga lugar ng botohan, o pagsasagawa ng mga marahas na pagkilos upang guluhin ang proseso ng pagboto.
4. **Pag-promote ng mga Kasalanan sa Halalan:** Kung"&amp;" ang mga indibidwal ay nagtataguyod o naghihikayat sa iba na gumawa ng mga paglabag na may kaugnayan sa halalan sa mga pampublikong lugar, sa pamamagitan man ng pananalita, pamamahagi ng mga materyales, o iba pang paraan, maaari silang kasuhan ng pagsasab"&amp;"watan kung may ebidensya ng ang kanilang pakikilahok sa pagpaplano o pagpapadali sa mga naturang gawain.
5. **Ebidensya ng Koordinasyon:** Kung may katibayan ng koordinasyon o pagtutulungan ng mga indibidwal o grupo na gumawa ng mga paglabag na may kaugna"&amp;"yan sa halalan sa mga lansangan, gaya ng komunikasyon, pagpaplano ng mga pulong, o magkasanib na operasyon, maaari silang kasuhan ng pagsasabwatan .
Mahalagang tandaan na ang pasanin ng patunay ay nakasalalay sa pag-uusig upang itatag ang pagkakaroon ng i"&amp;"sang pagsasabwatan at ang paglahok ng mga indibidwal dito. Ang mga singil ng pampublikong pagsasabwatan upang gumawa ng mga paglabag na may kaugnayan sa halalan sa mga lansangan ay napapailalim sa angkop na proseso, at ang mga indibidwal na inakusahan ng "&amp;"naturang mga pagkakasala ay may karapatang ipagtanggol ang kanilang sarili sa korte.")</f>
        <v>Sa ilalim ng batas ng Pilipinas, partikular sa ilalim ng Omnibus Election Code (Batas Pambansa Blg. 881), ang mga indibidwal ay maaaring kasuhan ng public conspiracy to commit election-related offenses sa mga lansangan sa ilalim ng mga sumusunod na pangyayari:
1. **Paglahok sa isang Konspirasyon sa Halalan:** Kung ang isang tao ay aktibong lumahok sa isang pagsasabwatan sa iba upang gumawa ng mga pagkakasala na may kaugnayan sa halalan sa mga lansangan, tulad ng pagbili ng boto, pananakot sa botante, o pagkagambala sa proseso ng elektoral, maaaring sila ay kinasuhan ng public conspiracy.
2. **Agreement to Commit Illegal Acts:** Kung may ebidensya na ang mga indibidwal ay sumang-ayon o nagsabwatan na gumawa ng mga ilegal na aktibidad na may kaugnayan sa halalan habang nasa mga pampublikong lugar, maaari silang kasuhan ng conspiracy. Ang kasunduang ito ay maaaring ipinahiwatig o tahasan at maaaring mahinuha mula sa kanilang mga aksyon, komunikasyon, o iba pang paraan ng koordinasyon.
3. **Pinagsanib na Aksyon:** Kung ang mga indibidwal ay nagsasagawa ng mga pinag-ugnay na aksyon na naglalayong maimpluwensyahan ang resulta ng isang halalan sa pamamagitan ng labag sa batas na paraan habang nasa lansangan, maaari silang kasuhan ng pagsasabwatan. Maaaring kabilang dito ang mga aksyon tulad ng pamamahagi ng mga mapanlinlang na balota, pagharang sa pag-access sa mga lugar ng botohan, o pagsasagawa ng mga marahas na pagkilos upang guluhin ang proseso ng pagboto.
4. **Pag-promote ng mga Kasalanan sa Halalan:** Kung ang mga indibidwal ay nagtataguyod o naghihikayat sa iba na gumawa ng mga paglabag na may kaugnayan sa halalan sa mga pampublikong lugar, sa pamamagitan man ng pananalita, pamamahagi ng mga materyales, o iba pang paraan, maaari silang kasuhan ng pagsasabwatan kung may ebidensya ng ang kanilang pakikilahok sa pagpaplano o pagpapadali sa mga naturang gawain.
5. **Ebidensya ng Koordinasyon:** Kung may katibayan ng koordinasyon o pagtutulungan ng mga indibidwal o grupo na gumawa ng mga paglabag na may kaugnayan sa halalan sa mga lansangan, gaya ng komunikasyon, pagpaplano ng mga pulong, o magkasanib na operasyon, maaari silang kasuhan ng pagsasabwatan .
Mahalagang tandaan na ang pasanin ng patunay ay nakasalalay sa pag-uusig upang itatag ang pagkakaroon ng isang pagsasabwatan at ang paglahok ng mga indibidwal dito. Ang mga singil ng pampublikong pagsasabwatan upang gumawa ng mga paglabag na may kaugnayan sa halalan sa mga lansangan ay napapailalim sa angkop na proseso, at ang mga indibidwal na inakusahan ng naturang mga pagkakasala ay may karapatang ipagtanggol ang kanilang sarili sa korte.</v>
      </c>
      <c r="F1924" s="2">
        <f t="shared" si="1"/>
        <v>0</v>
      </c>
      <c r="G1924" s="2"/>
      <c r="H1924" s="2"/>
      <c r="I1924" s="2"/>
      <c r="J1924" s="2"/>
      <c r="K1924" s="2"/>
      <c r="L1924" s="2"/>
      <c r="M1924" s="2"/>
      <c r="N1924" s="2"/>
      <c r="O1924" s="2"/>
      <c r="P1924" s="2"/>
      <c r="Q1924" s="2"/>
      <c r="R1924" s="2"/>
      <c r="S1924" s="2"/>
      <c r="T1924" s="2"/>
      <c r="U1924" s="2"/>
      <c r="V1924" s="2"/>
      <c r="W1924" s="2"/>
      <c r="X1924" s="2"/>
      <c r="Y1924" s="2"/>
      <c r="Z1924" s="2"/>
      <c r="AA1924" s="2"/>
    </row>
    <row r="1925">
      <c r="A1925" s="1" t="s">
        <v>4698</v>
      </c>
      <c r="B1925" s="1" t="s">
        <v>4893</v>
      </c>
      <c r="C1925" s="1" t="s">
        <v>4894</v>
      </c>
      <c r="D1925" s="2" t="str">
        <f>IFERROR(__xludf.DUMMYFUNCTION("GOOGLETRANSLATE(B1925, ""en"", ""TL"")"),"Paano tinutugunan ng batas ang mga insidente ng pag-atake o panliligalig sa antas ng kalye batay sa mga paniniwala o gawi sa relihiyon?")</f>
        <v>Paano tinutugunan ng batas ang mga insidente ng pag-atake o panliligalig sa antas ng kalye batay sa mga paniniwala o gawi sa relihiyon?</v>
      </c>
      <c r="E1925" s="2" t="str">
        <f>IFERROR(__xludf.DUMMYFUNCTION("GOOGLETRANSLATE(C1925, ""en"", ""TL"")"),"Ang Pilipinas ay may mga batas na inilalagay upang maprotektahan laban sa mga pag-atake at panliligalig batay sa mga paniniwala o gawi sa relihiyon. Narito ang isang breakdown kung paano maaaring ilapat ang mga ito:
* **Binago ang Kodigo Penal:** Sinasakl"&amp;"aw nito ang pangkalahatang pag-atake at mga krimen sa harassment. * Ang pag-atake (Artikulo 260) ay maaaring pisikal na karahasan o banta ng karahasan sa isang tao. * Ang harassment (Artikulo 282) ay nagsasangkot ng mga kilos na nagdudulot ng inis, abala,"&amp;" o alarma. * **Anti-Discrimination Law (Republic Act No. 11313):** Ito ay partikular na tumutugon sa diskriminasyon batay sa mga paniniwala sa relihiyon. * Ipinagbabawal nito ang mga gawa na nagreresulta sa kawalan o pagkiling dahil sa relihiyon. Maaaring"&amp;" kabilang dito ang panliligalig at pag-atake na udyok ng pagkiling sa relihiyon.
**Narito kung paano maaaring ilapat ang mga ito sa iyong sitwasyon:**
* Kung ikaw ay pisikal na inaatake o pinagbantaan dahil sa iyong relihiyon, maaari kang magsampa ng mga "&amp;"kaso para sa pag-atake sa ilalim ng Binagong Kodigo Penal.
* Kung sasailalim ka sa mga hindi gustong komento, insulto, o pananakot dahil sa iyong mga paniniwala sa relihiyon, maaari kang magsampa ng mga singil sa harassment sa ilalim ng Revised Penal Code"&amp;" at posibleng mag-claim ng diskriminasyon sa ilalim ng Anti-Discrimination Law.
**Para sa karagdagang tulong:**
* Maaari kang makipag-ugnayan sa Philippine National Police (PNP) [https://pnp.gov.ph/](https://pnp.gov.ph/).
* Maaari kang humingi ng payo sa "&amp;"Commission on Human Rights (CHR) [https://chr.gov.ph/](https://chr.gov.ph/).
* Maaari kang sumangguni sa isang abogado na dalubhasa sa batas sa kriminal o laban sa diskriminasyon.
Tandaan, may karapatan kang isagawa ang iyong relihiyon nang malaya at wala"&amp;"ng takot sa karahasan o panliligalig. Mayroong mga legal na proteksyon na magagamit, kaya huwag mag-atubiling humingi ng tulong kung ikaw ay biktima ng naturang krimen.")</f>
        <v>Ang Pilipinas ay may mga batas na inilalagay upang maprotektahan laban sa mga pag-atake at panliligalig batay sa mga paniniwala o gawi sa relihiyon. Narito ang isang breakdown kung paano maaaring ilapat ang mga ito:
* **Binago ang Kodigo Penal:** Sinasaklaw nito ang pangkalahatang pag-atake at mga krimen sa harassment. * Ang pag-atake (Artikulo 260) ay maaaring pisikal na karahasan o banta ng karahasan sa isang tao. * Ang harassment (Artikulo 282) ay nagsasangkot ng mga kilos na nagdudulot ng inis, abala, o alarma. * **Anti-Discrimination Law (Republic Act No. 11313):** Ito ay partikular na tumutugon sa diskriminasyon batay sa mga paniniwala sa relihiyon. * Ipinagbabawal nito ang mga gawa na nagreresulta sa kawalan o pagkiling dahil sa relihiyon. Maaaring kabilang dito ang panliligalig at pag-atake na udyok ng pagkiling sa relihiyon.
**Narito kung paano maaaring ilapat ang mga ito sa iyong sitwasyon:**
* Kung ikaw ay pisikal na inaatake o pinagbantaan dahil sa iyong relihiyon, maaari kang magsampa ng mga kaso para sa pag-atake sa ilalim ng Binagong Kodigo Penal.
* Kung sasailalim ka sa mga hindi gustong komento, insulto, o pananakot dahil sa iyong mga paniniwala sa relihiyon, maaari kang magsampa ng mga singil sa harassment sa ilalim ng Revised Penal Code at posibleng mag-claim ng diskriminasyon sa ilalim ng Anti-Discrimination Law.
**Para sa karagdagang tulong:**
* Maaari kang makipag-ugnayan sa Philippine National Police (PNP) [https://pnp.gov.ph/](https://pnp.gov.ph/).
* Maaari kang humingi ng payo sa Commission on Human Rights (CHR) [https://chr.gov.ph/](https://chr.gov.ph/).
* Maaari kang sumangguni sa isang abogado na dalubhasa sa batas sa kriminal o laban sa diskriminasyon.
Tandaan, may karapatan kang isagawa ang iyong relihiyon nang malaya at walang takot sa karahasan o panliligalig. Mayroong mga legal na proteksyon na magagamit, kaya huwag mag-atubiling humingi ng tulong kung ikaw ay biktima ng naturang krimen.</v>
      </c>
      <c r="F1925" s="2">
        <f t="shared" si="1"/>
        <v>0</v>
      </c>
      <c r="G1925" s="2"/>
      <c r="H1925" s="2"/>
      <c r="I1925" s="2"/>
      <c r="J1925" s="2"/>
      <c r="K1925" s="2"/>
      <c r="L1925" s="2"/>
      <c r="M1925" s="2"/>
      <c r="N1925" s="2"/>
      <c r="O1925" s="2"/>
      <c r="P1925" s="2"/>
      <c r="Q1925" s="2"/>
      <c r="R1925" s="2"/>
      <c r="S1925" s="2"/>
      <c r="T1925" s="2"/>
      <c r="U1925" s="2"/>
      <c r="V1925" s="2"/>
      <c r="W1925" s="2"/>
      <c r="X1925" s="2"/>
      <c r="Y1925" s="2"/>
      <c r="Z1925" s="2"/>
      <c r="AA1925" s="2"/>
    </row>
    <row r="1926">
      <c r="A1926" s="1" t="s">
        <v>4698</v>
      </c>
      <c r="B1926" s="1" t="s">
        <v>4895</v>
      </c>
      <c r="C1926" s="1" t="s">
        <v>4896</v>
      </c>
      <c r="D1926" s="2" t="str">
        <f>IFERROR(__xludf.DUMMYFUNCTION("GOOGLETRANSLATE(B1926, ""en"", ""TL"")"),"Anong mga parusa ang naaangkop para sa pagsali sa hindi awtorisadong pagbebenta o pamamahagi ng mga ipinagbabawal o malalaswang materyales sa mga pampublikong parke?")</f>
        <v>Anong mga parusa ang naaangkop para sa pagsali sa hindi awtorisadong pagbebenta o pamamahagi ng mga ipinagbabawal o malalaswang materyales sa mga pampublikong parke?</v>
      </c>
      <c r="E1926" s="2" t="str">
        <f>IFERROR(__xludf.DUMMYFUNCTION("GOOGLETRANSLATE(C1926, ""en"", ""TL"")"),"Sa Pilipinas, ang mga parusa sa pagbebenta o pamamahagi ng mga ipinagbabawal o malalaswang materyal sa mga pampublikong parke ay maaaring tugunan ng dalawang pangunahing batas:
1. **Revised Penal Code:** Ito ay sumasaklaw sa mga paglabag sa pampublikong m"&amp;"oral at mabuting kaugalian.
* **Artikulo 315:** Ang artikulong ito ay nagpaparusa sa paglalathala o pagpapakita ng anumang malaswang materyales. Ang mga malaswang materyales ay binibigyang kahulugan bilang mga nakakasakit sa karaniwang kagandahang-asal o "&amp;"may posibilidad na sirain ang moral ng publiko. Maaaring kabilang sa mga parusa ang pagkakulong ng hanggang 6 na buwan at multa. 2. **Mga Lokal na Ordenansa:** Maraming mga lungsod at munisipalidad ang may sariling mga ordinansa na kumokontrol sa mga akti"&amp;"bidad sa mga pampublikong parke. Ang mga ordinansang ito ay maaaring partikular na nagbabawal sa pagbebenta o pamamahagi ng mga malalaswang materyales. Ang mga parusa ay maaaring mag-iba depende sa partikular na ordinansa ngunit karaniwang may kasamang mg"&amp;"a multa o pagkumpiska ng mga materyales.
Narito ang isang breakdown ng mga posibleng kahihinatnan:
* **Mga multa:** Maaari kang mapaharap sa mga multa na ipinag-uutos ng pambansang Binagong Kodigo Penal at potensyal na karagdagang mga multa mula sa mga lo"&amp;"kal na ordinansa.
* **Pagkulong:** Sa matitinding kaso, ang pagkakulong sa maikling panahon ay posible sa ilalim ng Binagong Kodigo Penal.
* **Pagkumpiska:** Maaaring kumpiskahin ng mga awtoridad ang anumang ipinagbabawal o malaswang materyal na sinusubuk"&amp;"an mong ibenta o ipamahagi.
**Mahalagang tandaan na ang kahulugan ng ""mga malaswang materyales"" ay maaaring maging subjective.** Kung hindi ka sigurado kung ang isang bagay ay kwalipikado, pinakamahusay na magkamali sa panig ng pag-iingat at iwasang ibe"&amp;"nta ito sa mga pampublikong parke.
Narito ang ilang mapagkukunan para sa karagdagang impormasyon:
* **Ang Binagong Kodigo Penal:** Maaari mong mahanap ang buong teksto ng Binagong Kodigo Penal online sa pamamagitan ng iba't ibang mga website ng legal na i"&amp;"mpormasyon. * **Mga website ng lokal na pamahalaan:** Karamihan sa mga website ng pamahalaang lungsod at munisipyo ay magkakaroon ng impormasyon sa kanilang mga lokal na ordinansa, kabilang ang mga nauugnay sa mga pampublikong parke.
Tandaan, ang pagsunod"&amp;" sa batas at paggalang sa mga pampublikong espasyo ay mahalaga.")</f>
        <v>Sa Pilipinas, ang mga parusa sa pagbebenta o pamamahagi ng mga ipinagbabawal o malalaswang materyal sa mga pampublikong parke ay maaaring tugunan ng dalawang pangunahing batas:
1. **Revised Penal Code:** Ito ay sumasaklaw sa mga paglabag sa pampublikong moral at mabuting kaugalian.
* **Artikulo 315:** Ang artikulong ito ay nagpaparusa sa paglalathala o pagpapakita ng anumang malaswang materyales. Ang mga malaswang materyales ay binibigyang kahulugan bilang mga nakakasakit sa karaniwang kagandahang-asal o may posibilidad na sirain ang moral ng publiko. Maaaring kabilang sa mga parusa ang pagkakulong ng hanggang 6 na buwan at multa. 2. **Mga Lokal na Ordenansa:** Maraming mga lungsod at munisipalidad ang may sariling mga ordinansa na kumokontrol sa mga aktibidad sa mga pampublikong parke. Ang mga ordinansang ito ay maaaring partikular na nagbabawal sa pagbebenta o pamamahagi ng mga malalaswang materyales. Ang mga parusa ay maaaring mag-iba depende sa partikular na ordinansa ngunit karaniwang may kasamang mga multa o pagkumpiska ng mga materyales.
Narito ang isang breakdown ng mga posibleng kahihinatnan:
* **Mga multa:** Maaari kang mapaharap sa mga multa na ipinag-uutos ng pambansang Binagong Kodigo Penal at potensyal na karagdagang mga multa mula sa mga lokal na ordinansa.
* **Pagkulong:** Sa matitinding kaso, ang pagkakulong sa maikling panahon ay posible sa ilalim ng Binagong Kodigo Penal.
* **Pagkumpiska:** Maaaring kumpiskahin ng mga awtoridad ang anumang ipinagbabawal o malaswang materyal na sinusubukan mong ibenta o ipamahagi.
**Mahalagang tandaan na ang kahulugan ng "mga malaswang materyales" ay maaaring maging subjective.** Kung hindi ka sigurado kung ang isang bagay ay kwalipikado, pinakamahusay na magkamali sa panig ng pag-iingat at iwasang ibenta ito sa mga pampublikong parke.
Narito ang ilang mapagkukunan para sa karagdagang impormasyon:
* **Ang Binagong Kodigo Penal:** Maaari mong mahanap ang buong teksto ng Binagong Kodigo Penal online sa pamamagitan ng iba't ibang mga website ng legal na impormasyon. * **Mga website ng lokal na pamahalaan:** Karamihan sa mga website ng pamahalaang lungsod at munisipyo ay magkakaroon ng impormasyon sa kanilang mga lokal na ordinansa, kabilang ang mga nauugnay sa mga pampublikong parke.
Tandaan, ang pagsunod sa batas at paggalang sa mga pampublikong espasyo ay mahalaga.</v>
      </c>
      <c r="F1926" s="2">
        <f t="shared" si="1"/>
        <v>0</v>
      </c>
      <c r="G1926" s="2"/>
      <c r="H1926" s="2"/>
      <c r="I1926" s="2"/>
      <c r="J1926" s="2"/>
      <c r="K1926" s="2"/>
      <c r="L1926" s="2"/>
      <c r="M1926" s="2"/>
      <c r="N1926" s="2"/>
      <c r="O1926" s="2"/>
      <c r="P1926" s="2"/>
      <c r="Q1926" s="2"/>
      <c r="R1926" s="2"/>
      <c r="S1926" s="2"/>
      <c r="T1926" s="2"/>
      <c r="U1926" s="2"/>
      <c r="V1926" s="2"/>
      <c r="W1926" s="2"/>
      <c r="X1926" s="2"/>
      <c r="Y1926" s="2"/>
      <c r="Z1926" s="2"/>
      <c r="AA1926" s="2"/>
    </row>
    <row r="1927">
      <c r="A1927" s="1" t="s">
        <v>4698</v>
      </c>
      <c r="B1927" s="1" t="s">
        <v>4897</v>
      </c>
      <c r="C1927" s="1" t="s">
        <v>4898</v>
      </c>
      <c r="D1927" s="2" t="str">
        <f>IFERROR(__xludf.DUMMYFUNCTION("GOOGLETRANSLATE(B1927, ""en"", ""TL"")"),"Anong mga legal na probisyon ang kumokontrol sa pagkakaroon at paggamit ng mga hindi awtorisadong kagamitan sa pagsubaybay sa mga pampublikong lugar ng pagsamba?")</f>
        <v>Anong mga legal na probisyon ang kumokontrol sa pagkakaroon at paggamit ng mga hindi awtorisadong kagamitan sa pagsubaybay sa mga pampublikong lugar ng pagsamba?</v>
      </c>
      <c r="E1927" s="2" t="str">
        <f>IFERROR(__xludf.DUMMYFUNCTION("GOOGLETRANSLATE(C1927, ""en"", ""TL"")"),"Walang isa, partikular na batas sa Pilipinas na tumutugon lamang sa mga hindi awtorisadong kagamitan sa pagsubaybay sa mga lugar ng pagsamba. Gayunpaman, maraming mga legal na probisyon ang maaaring bigyang-kahulugan upang ayusin ang mga naturang aksyon:
"&amp;"* **Ang Karapatan sa Pagkapribado (Artikulo III, Seksyon 7 ng Konstitusyon ng Pilipinas):** Ginagarantiyahan nito ang karapatan ng mga tao na maging ligtas sa kanilang mga tao, bahay, papel, at mga epekto laban sa hindi makatwirang mga paghahanap at pagsa"&amp;"msam. Ang mga lugar ng pagsamba ay maaaring ituring na extension ng privacy ng isang tao, lalo na sa panahon ng pagdarasal o pagkukumpisal.
* **Anti-Wiretapping Law (Republic Act No. 3875):** Ipinagbabawal ng batas na ito ang pagharang, pagtatala, o pagpa"&amp;"padala ng komunikasyon nang walang pahintulot ng lahat ng partidong kasangkot. Bagama't tradisyonal na nakatuon sa mga komunikasyon sa telepono, maaari itong pagtalunan na palawigin ang mga pag-record ng audio o video na ginawa nang walang pahintulot sa i"&amp;"sang lugar ng pagsamba.
* **Conspiracy to Commit a Crime (Article 8 of the Revised Penal Code):** Kung ang layunin ng surveillance ay mangalap ng impormasyon para makagawa ng krimen sa lugar ng pagsamba (hal., robbery, kidnapping), maaari itong isaalang-a"&amp;"lang pagsasabwatan.
Narito kung paano maaaring ilapat ang mga probisyong ito:
* **Mga Lihim na Pag-record:** Kung may isang taong lihim na nagre-record ng mga pag-uusap o aktibidad sa isang lugar ng pagsamba nang walang pahintulot ng mga sangkot, maaaring"&amp;" nilalabag nila ang karapatan sa privacy at potensyal na Anti-Wiretapping Law.
* **Malisyosong Layunin:** May papel ang layunin sa likod ng pagsubaybay. Kung ang layunin ay mangalap ng impormasyon para sa aktibidad na kriminal, maaari itong ituring na pag"&amp;"sasabwatan.
**Mahahalagang Punto na Dapat Isaalang-alang:**
* **Pahintulot:** Kung ang mga itinatala sa isang lugar ng pagsamba ay nagbibigay ng kanilang pahintulot, maaaring walang legal na paglabag. * **Public vs. Private Spaces:** Ang mga pampublikong "&amp;"lugar sa loob ng isang lugar ng pagsamba (hal., mga lobby) ay maaaring may iba't ibang legal na pagsasaalang-alang kumpara sa mga confession booth o pribadong prayer area.
**Mga Rekomendasyon:**
* Ang mga lugar ng pagsamba ay maaaring magtatag ng malinaw "&amp;"na mga patakaran tungkol sa pagre-record o surveillance device sa loob ng kanilang lugar.
* Kung pinaghihinalaan mo ang hindi awtorisadong pagsubaybay, maaari mo itong iulat sa pulisya. * Ang pagkonsulta sa isang abogado na dalubhasa sa batas sa privacy a"&amp;"y maaaring magbigay ng mas tiyak na patnubay batay sa iyong sitwasyon.
Bagama't walang iisang batas na direktang tumutugon sa mga hindi awtorisadong surveillance device sa mga lugar ng pagsamba, ang Pilipinas ay may mga legal na prinsipyo na nagpoprotekta"&amp;" sa privacy at komunikasyon na maaaring ilapat sa mga ganitong sitwasyon.")</f>
        <v>Walang isa, partikular na batas sa Pilipinas na tumutugon lamang sa mga hindi awtorisadong kagamitan sa pagsubaybay sa mga lugar ng pagsamba. Gayunpaman, maraming mga legal na probisyon ang maaaring bigyang-kahulugan upang ayusin ang mga naturang aksyon:
* **Ang Karapatan sa Pagkapribado (Artikulo III, Seksyon 7 ng Konstitusyon ng Pilipinas):** Ginagarantiyahan nito ang karapatan ng mga tao na maging ligtas sa kanilang mga tao, bahay, papel, at mga epekto laban sa hindi makatwirang mga paghahanap at pagsamsam. Ang mga lugar ng pagsamba ay maaaring ituring na extension ng privacy ng isang tao, lalo na sa panahon ng pagdarasal o pagkukumpisal.
* **Anti-Wiretapping Law (Republic Act No. 3875):** Ipinagbabawal ng batas na ito ang pagharang, pagtatala, o pagpapadala ng komunikasyon nang walang pahintulot ng lahat ng partidong kasangkot. Bagama't tradisyonal na nakatuon sa mga komunikasyon sa telepono, maaari itong pagtalunan na palawigin ang mga pag-record ng audio o video na ginawa nang walang pahintulot sa isang lugar ng pagsamba.
* **Conspiracy to Commit a Crime (Article 8 of the Revised Penal Code):** Kung ang layunin ng surveillance ay mangalap ng impormasyon para makagawa ng krimen sa lugar ng pagsamba (hal., robbery, kidnapping), maaari itong isaalang-alang pagsasabwatan.
Narito kung paano maaaring ilapat ang mga probisyong ito:
* **Mga Lihim na Pag-record:** Kung may isang taong lihim na nagre-record ng mga pag-uusap o aktibidad sa isang lugar ng pagsamba nang walang pahintulot ng mga sangkot, maaaring nilalabag nila ang karapatan sa privacy at potensyal na Anti-Wiretapping Law.
* **Malisyosong Layunin:** May papel ang layunin sa likod ng pagsubaybay. Kung ang layunin ay mangalap ng impormasyon para sa aktibidad na kriminal, maaari itong ituring na pagsasabwatan.
**Mahahalagang Punto na Dapat Isaalang-alang:**
* **Pahintulot:** Kung ang mga itinatala sa isang lugar ng pagsamba ay nagbibigay ng kanilang pahintulot, maaaring walang legal na paglabag. * **Public vs. Private Spaces:** Ang mga pampublikong lugar sa loob ng isang lugar ng pagsamba (hal., mga lobby) ay maaaring may iba't ibang legal na pagsasaalang-alang kumpara sa mga confession booth o pribadong prayer area.
**Mga Rekomendasyon:**
* Ang mga lugar ng pagsamba ay maaaring magtatag ng malinaw na mga patakaran tungkol sa pagre-record o surveillance device sa loob ng kanilang lugar.
* Kung pinaghihinalaan mo ang hindi awtorisadong pagsubaybay, maaari mo itong iulat sa pulisya. * Ang pagkonsulta sa isang abogado na dalubhasa sa batas sa privacy ay maaaring magbigay ng mas tiyak na patnubay batay sa iyong sitwasyon.
Bagama't walang iisang batas na direktang tumutugon sa mga hindi awtorisadong surveillance device sa mga lugar ng pagsamba, ang Pilipinas ay may mga legal na prinsipyo na nagpoprotekta sa privacy at komunikasyon na maaaring ilapat sa mga ganitong sitwasyon.</v>
      </c>
      <c r="F1927" s="2">
        <f t="shared" si="1"/>
        <v>0</v>
      </c>
      <c r="G1927" s="2"/>
      <c r="H1927" s="2"/>
      <c r="I1927" s="2"/>
      <c r="J1927" s="2"/>
      <c r="K1927" s="2"/>
      <c r="L1927" s="2"/>
      <c r="M1927" s="2"/>
      <c r="N1927" s="2"/>
      <c r="O1927" s="2"/>
      <c r="P1927" s="2"/>
      <c r="Q1927" s="2"/>
      <c r="R1927" s="2"/>
      <c r="S1927" s="2"/>
      <c r="T1927" s="2"/>
      <c r="U1927" s="2"/>
      <c r="V1927" s="2"/>
      <c r="W1927" s="2"/>
      <c r="X1927" s="2"/>
      <c r="Y1927" s="2"/>
      <c r="Z1927" s="2"/>
      <c r="AA1927" s="2"/>
    </row>
    <row r="1928">
      <c r="A1928" s="1" t="s">
        <v>4698</v>
      </c>
      <c r="B1928" s="1" t="s">
        <v>4899</v>
      </c>
      <c r="C1928" s="1" t="s">
        <v>4900</v>
      </c>
      <c r="D1928" s="2" t="str">
        <f>IFERROR(__xludf.DUMMYFUNCTION("GOOGLETRANSLATE(B1928, ""en"", ""TL"")"),"Paano tinutugunan sa ilalim ng batas ng Pilipinas ang krimen ng pampublikong pagsasabwatan upang gumawa ng mga online scam o cyber fraud?")</f>
        <v>Paano tinutugunan sa ilalim ng batas ng Pilipinas ang krimen ng pampublikong pagsasabwatan upang gumawa ng mga online scam o cyber fraud?</v>
      </c>
      <c r="E1928" s="2" t="str">
        <f>IFERROR(__xludf.DUMMYFUNCTION("GOOGLETRANSLATE(C1928, ""en"", ""TL"")"),"Maaaring matugunan ang pampublikong pagsasabwatan upang gumawa ng mga online scam o cyber fraud sa ilalim ng ilang batas ng Pilipinas, narito ang isang breakdown:
* **Republic Act No. 10175 o ang Cybercrime Prevention Act of 2012:** Ito ang pangunahing ba"&amp;"tas na tumatalakay sa mga online na pagkakasala sa Pilipinas.
* **Seksyon 4(c)(4):** Ang seksyong ito ay nagpaparusa sa pagsasabwatan upang gumawa ng anumang cybercrime. Ang cyber fraud ay tinukoy sa ilalim ng batas, at maaaring kabilang sa mga parusa ang"&amp;" pagkakulong ng hanggang sampung (10) taon at multa ng hanggang Php Isang Milyon (PhP 1,000,000.00).
* **Artikulo 8 ng Binagong Kodigo Penal:** Sinasaklaw nito ang krimen ng pagsasabwatan upang gumawa ng krimen. Habang ang Revised Penal Code ay nauna pa s"&amp;"a cybercrime, maaari itong ilapat kasabay ng Cybercrime Prevention Act upang palakasin ang kaso laban sa mga nagpaplano ng online scam.
**Narito kung paano gumagana ang mga batas na ito nang magkasama:**
* **Pagpaplano at Kasunduan:** Para mag-apply ang p"&amp;"agsasabwatan, kailangang may patunay na maraming tao ang sumang-ayon na magplano o gumawa ng online scam o cyber fraud. * **Online Acts:** Nalalapat ang batas ng Pilipinas sa mga online na aksyon na nagta-target o may epekto sa loob ng Pilipinas.
**Mga Ha"&amp;"limbawa ng Public Conspiracy:**
* Dalawa o higit pang tao ang lantarang tinatalakay ang mga planong maglunsad ng phishing scheme sa pamamagitan ng social media.
* Isang grupong nagre-recruit ng mga indibidwal para lumahok sa mga online investment scam.
**"&amp;"Mga Parusa:**
* Ang mga napatunayang nagkasala ng pagsasabwatan upang gumawa ng cyber fraud ay maaaring maharap sa pagkakulong at multa gaya ng itinakda sa Cybercrime Prevention Act.
**Ano ang gagawin kung makatagpo ka ng Public Conspiracy:**
* Isumbong i"&amp;"to sa mga awtoridad. Ang Philippine National Police (PNP) ay may espesyal na yunit na nakatuon sa cybercrime ([https://acg.pnp.gov.ph/](https://acg.pnp.gov.ph/)).
* Magtipon ng ebidensya kung maaari, tulad ng mga screenshot ng mga online na pag-uusap o pa"&amp;"g-post tungkol sa scam.
**Tandaan:** Ang batas ng Pilipinas ay aktibong nagpapatuloy sa mga online na krimen. Kung alam mo ang isang pampublikong pagsasabwatan upang gumawa ng mga online na scam o cyber fraud, ang pag-uulat nito ay makakatulong na protekt"&amp;"ahan ang mga potensyal na biktima.")</f>
        <v>Maaaring matugunan ang pampublikong pagsasabwatan upang gumawa ng mga online scam o cyber fraud sa ilalim ng ilang batas ng Pilipinas, narito ang isang breakdown:
* **Republic Act No. 10175 o ang Cybercrime Prevention Act of 2012:** Ito ang pangunahing batas na tumatalakay sa mga online na pagkakasala sa Pilipinas.
* **Seksyon 4(c)(4):** Ang seksyong ito ay nagpaparusa sa pagsasabwatan upang gumawa ng anumang cybercrime. Ang cyber fraud ay tinukoy sa ilalim ng batas, at maaaring kabilang sa mga parusa ang pagkakulong ng hanggang sampung (10) taon at multa ng hanggang Php Isang Milyon (PhP 1,000,000.00).
* **Artikulo 8 ng Binagong Kodigo Penal:** Sinasaklaw nito ang krimen ng pagsasabwatan upang gumawa ng krimen. Habang ang Revised Penal Code ay nauna pa sa cybercrime, maaari itong ilapat kasabay ng Cybercrime Prevention Act upang palakasin ang kaso laban sa mga nagpaplano ng online scam.
**Narito kung paano gumagana ang mga batas na ito nang magkasama:**
* **Pagpaplano at Kasunduan:** Para mag-apply ang pagsasabwatan, kailangang may patunay na maraming tao ang sumang-ayon na magplano o gumawa ng online scam o cyber fraud. * **Online Acts:** Nalalapat ang batas ng Pilipinas sa mga online na aksyon na nagta-target o may epekto sa loob ng Pilipinas.
**Mga Halimbawa ng Public Conspiracy:**
* Dalawa o higit pang tao ang lantarang tinatalakay ang mga planong maglunsad ng phishing scheme sa pamamagitan ng social media.
* Isang grupong nagre-recruit ng mga indibidwal para lumahok sa mga online investment scam.
**Mga Parusa:**
* Ang mga napatunayang nagkasala ng pagsasabwatan upang gumawa ng cyber fraud ay maaaring maharap sa pagkakulong at multa gaya ng itinakda sa Cybercrime Prevention Act.
**Ano ang gagawin kung makatagpo ka ng Public Conspiracy:**
* Isumbong ito sa mga awtoridad. Ang Philippine National Police (PNP) ay may espesyal na yunit na nakatuon sa cybercrime ([https://acg.pnp.gov.ph/](https://acg.pnp.gov.ph/)).
* Magtipon ng ebidensya kung maaari, tulad ng mga screenshot ng mga online na pag-uusap o pag-post tungkol sa scam.
**Tandaan:** Ang batas ng Pilipinas ay aktibong nagpapatuloy sa mga online na krimen. Kung alam mo ang isang pampublikong pagsasabwatan upang gumawa ng mga online na scam o cyber fraud, ang pag-uulat nito ay makakatulong na protektahan ang mga potensyal na biktima.</v>
      </c>
      <c r="F1928" s="2">
        <f t="shared" si="1"/>
        <v>5</v>
      </c>
      <c r="G1928" s="2"/>
      <c r="H1928" s="2"/>
      <c r="I1928" s="2"/>
      <c r="J1928" s="2"/>
      <c r="K1928" s="2"/>
      <c r="L1928" s="2"/>
      <c r="M1928" s="2"/>
      <c r="N1928" s="2"/>
      <c r="O1928" s="2"/>
      <c r="P1928" s="2"/>
      <c r="Q1928" s="2"/>
      <c r="R1928" s="2"/>
      <c r="S1928" s="2"/>
      <c r="T1928" s="2"/>
      <c r="U1928" s="2"/>
      <c r="V1928" s="2"/>
      <c r="W1928" s="2"/>
      <c r="X1928" s="2"/>
      <c r="Y1928" s="2"/>
      <c r="Z1928" s="2"/>
      <c r="AA1928" s="2"/>
    </row>
    <row r="1929">
      <c r="A1929" s="1" t="s">
        <v>4698</v>
      </c>
      <c r="B1929" s="1" t="s">
        <v>4825</v>
      </c>
      <c r="C1929" s="1" t="s">
        <v>4901</v>
      </c>
      <c r="D1929" s="2" t="str">
        <f>IFERROR(__xludf.DUMMYFUNCTION("GOOGLETRANSLATE(B1929,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29" s="2" t="str">
        <f>IFERROR(__xludf.DUMMYFUNCTION("GOOGLETRANSLATE(C1929, ""en"", ""TL"")"),"Sineseryoso ng batas ng Pilipinas ang pag-iwas sa buwis at mga mapanlinlang na aktibidad sa pananalapi, at maging ang mga paglabag sa antas ng kalye na isinasagawa sa mga pampublikong espasyo ay maaaring magresulta sa malalaking parusa. Narito ang isang b"&amp;"reakdown ng mga nauugnay na batas at mga potensyal na kahihinatnan:
**Pag-iwas sa Buwis:**
* **Tax Code (Republic Act No. 8424):** Ito ang pangunahing batas na namamahala sa pagbubuwis sa Pilipinas.
* **Seksyon 253:** Ang seksyong ito ay nagpaparusa sa ma"&amp;"panlinlang na pag-iwas sa buwis, na maaaring magsama ng hindi naiulat na kita o mga dokumentong manipulahin, na may pagkakakulong ng hanggang sampung (10) taon at mabigat na multa.
* **Seksyon 275:** Kahit na ang hindi gaanong matitinding pagkakasala tula"&amp;"d ng huli na paghahain ng mga tax return o hindi pagbabayad ng mga buwis ay maaaring magkaroon ng mga parusa kabilang ang mga surcharge at posibleng pagkakulong.
**Mga Mapanlinlang na Aktibidad sa Pananalapi:**
* **Binago ang Penal Code:** Sinasaklaw nito"&amp;" ang iba't ibang mapanlinlang na aktibidad na maaaring may kaugnayan sa mga scam sa antas ng kalye.
* **Palsipikasyon ng Mga Pampublikong Dokumento (Artikulo 185):** Kung may gumagamit ng mga pekeng ID o dokumento para magsagawa ng mga transaksyong pinans"&amp;"yal nang ilegal sa mga pampublikong espasyo, nalalapat ang batas na ito. Maaaring kabilang sa mga parusa ang pagkakulong ng hanggang anim (6) na taon.
* **Estafa (Artikulo 315):** Ito ay tumutukoy sa anumang gawa ng panlilinlang upang makakuha ng pinansiy"&amp;"al na kalamangan. Ang mga mapanlinlang na benta o mga scam na isinasagawa sa mga pampublikong espasyo ay maaaring kasuhan sa ilalim ng estafa, na may mga parusa mula sa pagkakulong ng hanggang labing-apat (14) na taon at multa.
**Mahalagang Isaalang-alang"&amp;":**
* **Pampubliko kumpara sa Pribado:** Ang katotohanan na ang krimen ay nagaganap sa isang pampublikong espasyo ay maaaring hindi gaanong makakaapekto sa parusa ngunit maaaring gawing mas malamang ang pangamba ng mga awtoridad.
* **Tindi ng Pagkakasala:"&amp;"** Ang mga parusa ay mag-iiba depende sa kalubhaan ng pag-iwas sa buwis o mapanlinlang na aktibidad. Ang simpleng hindi pagbabayad ng mga buwis ay maaaring magkaroon ng iba't ibang kahihinatnan kumpara sa isang detalyadong pampublikong scam.
**Mga Rekomen"&amp;"dasyon:**
* Kung nakasaksi ka ng nangyayaring krimen, iulat ito sa mga awtoridad. * Kung pinaghihinalaan mo na ikaw ay biktima ng pandaraya sa buwis o isang pandaraya sa pananalapi, humingi ng legal na payo upang maunawaan ang iyong mga opsyon.
* Sumunod "&amp;"sa mga regulasyon sa buwis at iwasan ang anumang aktibidad na maaaring ituring na mapanlinlang.
Sa pamamagitan ng pagsunod sa mga batas ng Pilipinas at pag-uulat ng kahina-hinalang aktibidad, makakatulong ka na matiyak ang isang mas patas na kapaligiran s"&amp;"a pananalapi para sa lahat.")</f>
        <v>Sineseryoso ng batas ng Pilipinas ang pag-iwas sa buwis at mga mapanlinlang na aktibidad sa pananalapi, at maging ang mga paglabag sa antas ng kalye na isinasagawa sa mga pampublikong espasyo ay maaaring magresulta sa malalaking parusa. Narito ang isang breakdown ng mga nauugnay na batas at mga potensyal na kahihinatnan:
**Pag-iwas sa Buwis:**
* **Tax Code (Republic Act No. 8424):** Ito ang pangunahing batas na namamahala sa pagbubuwis sa Pilipinas.
* **Seksyon 253:** Ang seksyong ito ay nagpaparusa sa mapanlinlang na pag-iwas sa buwis, na maaaring magsama ng hindi naiulat na kita o mga dokumentong manipulahin, na may pagkakakulong ng hanggang sampung (10) taon at mabigat na multa.
* **Seksyon 275:** Kahit na ang hindi gaanong matitinding pagkakasala tulad ng huli na paghahain ng mga tax return o hindi pagbabayad ng mga buwis ay maaaring magkaroon ng mga parusa kabilang ang mga surcharge at posibleng pagkakulong.
**Mga Mapanlinlang na Aktibidad sa Pananalapi:**
* **Binago ang Penal Code:** Sinasaklaw nito ang iba't ibang mapanlinlang na aktibidad na maaaring may kaugnayan sa mga scam sa antas ng kalye.
* **Palsipikasyon ng Mga Pampublikong Dokumento (Artikulo 185):** Kung may gumagamit ng mga pekeng ID o dokumento para magsagawa ng mga transaksyong pinansyal nang ilegal sa mga pampublikong espasyo, nalalapat ang batas na ito. Maaaring kabilang sa mga parusa ang pagkakulong ng hanggang anim (6) na taon.
* **Estafa (Artikulo 315):** Ito ay tumutukoy sa anumang gawa ng panlilinlang upang makakuha ng pinansiyal na kalamangan. Ang mga mapanlinlang na benta o mga scam na isinasagawa sa mga pampublikong espasyo ay maaaring kasuhan sa ilalim ng estafa, na may mga parusa mula sa pagkakulong ng hanggang labing-apat (14) na taon at multa.
**Mahalagang Isaalang-alang:**
* **Pampubliko kumpara sa Pribado:** Ang katotohanan na ang krimen ay nagaganap sa isang pampublikong espasyo ay maaaring hindi gaanong makakaapekto sa parusa ngunit maaaring gawing mas malamang ang pangamba ng mga awtoridad.
* **Tindi ng Pagkakasala:** Ang mga parusa ay mag-iiba depende sa kalubhaan ng pag-iwas sa buwis o mapanlinlang na aktibidad. Ang simpleng hindi pagbabayad ng mga buwis ay maaaring magkaroon ng iba't ibang kahihinatnan kumpara sa isang detalyadong pampublikong scam.
**Mga Rekomendasyon:**
* Kung nakasaksi ka ng nangyayaring krimen, iulat ito sa mga awtoridad. * Kung pinaghihinalaan mo na ikaw ay biktima ng pandaraya sa buwis o isang pandaraya sa pananalapi, humingi ng legal na payo upang maunawaan ang iyong mga opsyon.
* Sumunod sa mga regulasyon sa buwis at iwasan ang anumang aktibidad na maaaring ituring na mapanlinlang.
Sa pamamagitan ng pagsunod sa mga batas ng Pilipinas at pag-uulat ng kahina-hinalang aktibidad, makakatulong ka na matiyak ang isang mas patas na kapaligiran sa pananalapi para sa lahat.</v>
      </c>
      <c r="F1929" s="2">
        <f t="shared" si="1"/>
        <v>9</v>
      </c>
      <c r="G1929" s="2"/>
      <c r="H1929" s="2"/>
      <c r="I1929" s="2"/>
      <c r="J1929" s="2"/>
      <c r="K1929" s="2"/>
      <c r="L1929" s="2"/>
      <c r="M1929" s="2"/>
      <c r="N1929" s="2"/>
      <c r="O1929" s="2"/>
      <c r="P1929" s="2"/>
      <c r="Q1929" s="2"/>
      <c r="R1929" s="2"/>
      <c r="S1929" s="2"/>
      <c r="T1929" s="2"/>
      <c r="U1929" s="2"/>
      <c r="V1929" s="2"/>
      <c r="W1929" s="2"/>
      <c r="X1929" s="2"/>
      <c r="Y1929" s="2"/>
      <c r="Z1929" s="2"/>
      <c r="AA1929" s="2"/>
    </row>
    <row r="1930">
      <c r="A1930" s="1" t="s">
        <v>4698</v>
      </c>
      <c r="B1930" s="1" t="s">
        <v>4902</v>
      </c>
      <c r="C1930" s="1" t="s">
        <v>4903</v>
      </c>
      <c r="D1930" s="2" t="str">
        <f>IFERROR(__xludf.DUMMYFUNCTION("GOOGLETRANSLATE(B1930, ""en"", ""TL"")"),"Paano tinutugunan ng batas ng Pilipinas ang mga insidente ng pag-atake o panliligalig sa antas ng kalye batay sa kultura o etnikong pinagmulan?")</f>
        <v>Paano tinutugunan ng batas ng Pilipinas ang mga insidente ng pag-atake o panliligalig sa antas ng kalye batay sa kultura o etnikong pinagmulan?</v>
      </c>
      <c r="E1930" s="2" t="str">
        <f>IFERROR(__xludf.DUMMYFUNCTION("GOOGLETRANSLATE(C1930, ""en"", ""TL"")"),"Ang Pilipinas ay walang iisang batas na partikular na tumutugon sa pag-atake sa antas ng kalye o panliligalig batay lamang sa kultura o etnikong background. Gayunpaman, may mga umiiral na batas na maaaring ilapat sa mga ganitong sitwasyon:
* **Binagong Ko"&amp;"digo Penal:** Sinasaklaw nito ang mga pangkalahatang krimen na maaaring udyukan ng pagkiling sa kultura o etniko.
* **Assault (Artikulo 260):** Nalalapat ito kung mayroong pisikal na karahasan o banta ng karahasan sa isang tao dahil sa kanilang kultura o "&amp;"etnikong pinagmulan.
* **Pangliligalig (Artikulo 282):** Sinasaklaw nito ang mga gawaing nagdudulot ng inis, abala, o alarma na nagmumula sa kultura o etnikong pagtatangi.
* **Anti-Discrimination Law (Republic Act No. 11313):** Ipinagbabawal ng batas na i"&amp;"to ang diskriminasyon batay sa iba't ibang batayan, kabilang ang etnisidad. Bagama't hindi nito tahasang binabanggit ang mga insidente sa antas ng kalye, maaari itong gamitin upang palakasin ang isang kaso kung ang panliligalig ay nagmumula sa kultura o e"&amp;"tnikong pinagmulan.
**Narito kung paano magagamit ang mga batas na ito:**
* **Pisikal na Pag-atake:** Kung ikaw ay pisikal na inaatake dahil sa iyong kultura o etnikong background, maaari kang magsampa ng kaso para sa pag-atake sa ilalim ng Binagong Kodig"&amp;"o Penal.
* **Verbal Harassment:** Kung sasailalim ka sa mga hindi gustong komento, insulto, o pananakot dahil sa iyong kultura o etnikong background, maaari kang magsampa ng mga singil sa harassment sa ilalim ng Binagong Kodigo Penal at posibleng mag-clai"&amp;"m ng diskriminasyon sa ilalim ng Anti-Discrimination Law. **Mga Hamon at Pagsasaalang-alang:**
* **Layunin:** Maaaring mahirap patunayan ang layunin ng may kasalanan na magdiskrimina batay sa kultura o etnikong pinagmulan. * **Kalubhaan:** Kinakategorya n"&amp;"g Binagong Kodigo Penal ang pag-atake at panliligalig batay sa kalubhaan. Ang mga maliliit na insidente ay maaaring mas mahirap i-prosecute.
**Mga Rekomendasyon:**
* **Idokumento ang insidente:** Kung maaari, mangalap ng ebidensya tulad ng mga larawan, vi"&amp;"deo, o mga testimonya ng saksi.
* **Mag-ulat sa mga awtoridad:** Maghain ng ulat ng pulisya upang idokumento ang panliligalig o pag-atake. * **Humingi ng legal na tulong:** Ang isang abogado na dalubhasa sa batas sa kriminal o laban sa diskriminasyon ay m"&amp;"aaaring mag-alok ng partikular na patnubay batay sa iyong sitwasyon.
Bagama't walang iisang batas na partikular na nagta-target ng kultural o etnikong pagkiling sa mga insidente sa antas ng kalye, ang mga umiiral na batas ay maaaring magbigay ng tulong pa"&amp;"ra sa mga biktima. Ang pag-uulat ng mga ganitong insidente at paghingi ng legal na tulong ay mahalagang hakbang tungo sa pagkamit ng hustisya.")</f>
        <v>Ang Pilipinas ay walang iisang batas na partikular na tumutugon sa pag-atake sa antas ng kalye o panliligalig batay lamang sa kultura o etnikong background. Gayunpaman, may mga umiiral na batas na maaaring ilapat sa mga ganitong sitwasyon:
* **Binagong Kodigo Penal:** Sinasaklaw nito ang mga pangkalahatang krimen na maaaring udyukan ng pagkiling sa kultura o etniko.
* **Assault (Artikulo 260):** Nalalapat ito kung mayroong pisikal na karahasan o banta ng karahasan sa isang tao dahil sa kanilang kultura o etnikong pinagmulan.
* **Pangliligalig (Artikulo 282):** Sinasaklaw nito ang mga gawaing nagdudulot ng inis, abala, o alarma na nagmumula sa kultura o etnikong pagtatangi.
* **Anti-Discrimination Law (Republic Act No. 11313):** Ipinagbabawal ng batas na ito ang diskriminasyon batay sa iba't ibang batayan, kabilang ang etnisidad. Bagama't hindi nito tahasang binabanggit ang mga insidente sa antas ng kalye, maaari itong gamitin upang palakasin ang isang kaso kung ang panliligalig ay nagmumula sa kultura o etnikong pinagmulan.
**Narito kung paano magagamit ang mga batas na ito:**
* **Pisikal na Pag-atake:** Kung ikaw ay pisikal na inaatake dahil sa iyong kultura o etnikong background, maaari kang magsampa ng kaso para sa pag-atake sa ilalim ng Binagong Kodigo Penal.
* **Verbal Harassment:** Kung sasailalim ka sa mga hindi gustong komento, insulto, o pananakot dahil sa iyong kultura o etnikong background, maaari kang magsampa ng mga singil sa harassment sa ilalim ng Binagong Kodigo Penal at posibleng mag-claim ng diskriminasyon sa ilalim ng Anti-Discrimination Law. **Mga Hamon at Pagsasaalang-alang:**
* **Layunin:** Maaaring mahirap patunayan ang layunin ng may kasalanan na magdiskrimina batay sa kultura o etnikong pinagmulan. * **Kalubhaan:** Kinakategorya ng Binagong Kodigo Penal ang pag-atake at panliligalig batay sa kalubhaan. Ang mga maliliit na insidente ay maaaring mas mahirap i-prosecute.
**Mga Rekomendasyon:**
* **Idokumento ang insidente:** Kung maaari, mangalap ng ebidensya tulad ng mga larawan, video, o mga testimonya ng saksi.
* **Mag-ulat sa mga awtoridad:** Maghain ng ulat ng pulisya upang idokumento ang panliligalig o pag-atake. * **Humingi ng legal na tulong:** Ang isang abogado na dalubhasa sa batas sa kriminal o laban sa diskriminasyon ay maaaring mag-alok ng partikular na patnubay batay sa iyong sitwasyon.
Bagama't walang iisang batas na partikular na nagta-target ng kultural o etnikong pagkiling sa mga insidente sa antas ng kalye, ang mga umiiral na batas ay maaaring magbigay ng tulong para sa mga biktima. Ang pag-uulat ng mga ganitong insidente at paghingi ng legal na tulong ay mahalagang hakbang tungo sa pagkamit ng hustisya.</v>
      </c>
      <c r="F1930" s="2">
        <f t="shared" si="1"/>
        <v>0</v>
      </c>
      <c r="G1930" s="2"/>
      <c r="H1930" s="2"/>
      <c r="I1930" s="2"/>
      <c r="J1930" s="2"/>
      <c r="K1930" s="2"/>
      <c r="L1930" s="2"/>
      <c r="M1930" s="2"/>
      <c r="N1930" s="2"/>
      <c r="O1930" s="2"/>
      <c r="P1930" s="2"/>
      <c r="Q1930" s="2"/>
      <c r="R1930" s="2"/>
      <c r="S1930" s="2"/>
      <c r="T1930" s="2"/>
      <c r="U1930" s="2"/>
      <c r="V1930" s="2"/>
      <c r="W1930" s="2"/>
      <c r="X1930" s="2"/>
      <c r="Y1930" s="2"/>
      <c r="Z1930" s="2"/>
      <c r="AA1930" s="2"/>
    </row>
    <row r="1931">
      <c r="A1931" s="1" t="s">
        <v>4698</v>
      </c>
      <c r="B1931" s="1" t="s">
        <v>4904</v>
      </c>
      <c r="C1931" s="1" t="s">
        <v>4905</v>
      </c>
      <c r="D1931" s="2" t="str">
        <f>IFERROR(__xludf.DUMMYFUNCTION("GOOGLETRANSLATE(B1931, ""en"", ""TL"")"),"Anong mga legal na hakbang ang umiiral upang labanan ang mga paglabag sa kapaligiran sa antas ng kalye, tulad ng hindi wastong pagtatapon ng mga mapanganib na materyales sa mga pampublikong lugar?")</f>
        <v>Anong mga legal na hakbang ang umiiral upang labanan ang mga paglabag sa kapaligiran sa antas ng kalye, tulad ng hindi wastong pagtatapon ng mga mapanganib na materyales sa mga pampublikong lugar?</v>
      </c>
      <c r="E1931" s="2" t="str">
        <f>IFERROR(__xludf.DUMMYFUNCTION("GOOGLETRANSLATE(C1931, ""en"", ""TL"")"),"Mayroong ilang mga legal na hakbang ang Pilipinas para labanan ang mga paglabag sa kapaligiran sa antas ng kalye, partikular na ang hindi tamang pagtatapon ng mga mapanganib na materyales sa mga pampublikong lugar. Narito ang isang breakdown ng mga nauugn"&amp;"ay na batas at kung paano maipapatupad ang mga ito:
**Mga Batas sa Kapaligiran:**
* **Republic Act No. 6969 o ang Toxic Substances and Hazardous Wastes Control Act of 1990:** Ito ang pangunahing batas na kumokontrol sa mga mapanganib na materyales sa Pili"&amp;"pinas.
* **Seksyon 26:** Ang seksyong ito ay partikular na nagbabawal sa hindi wastong pagtatapon ng mga mapanganib na basura. Kasama sa mga parusa ang pagkakulong ng hanggang sampung (10) taon at mabigat na multa.
* **Seksyon 27:** Nag-uutos din ito ng w"&amp;"astong pag-iimbak at pagdadala ng mga mapanganib na materyales. Ang mga paglabag ay maaaring magresulta sa pagkakulong at multa.
* **Ecological Solid Waste Management Act (Republic Act No. 9003):** Nakatuon ang batas na ito sa wastong mga gawi sa pamamaha"&amp;"la ng basura.
* **Seksyon 4:** Inuuri ng seksyong ito ang iba't ibang uri ng basura, kabilang ang mga mapanganib na basura. Ang hindi tamang pagtatapon ng anumang uri ng uri ng basura ay isang pagkakasala.
* **Seksyon 21:** Ang batas ay nagbibigay ng kapa"&amp;"ngyarihan sa mga local government units (LGUs) na magpatupad ng mga partikular na regulasyon at parusa para sa mga paglabag sa pamamahala ng basura.
**Pagpapatupad:**
* **Environmental Management Bureau (EMB):** Itong ahensya ng gobyerno sa ilalim ng Depa"&amp;"rtment of Environment and Natural Resources (DENR) ay may pananagutan sa pagpapatupad ng mga batas sa kapaligiran. Maaari silang magsagawa ng mga inspeksyon, hulihin ang mga lumalabag, at magsampa ng mga kaso.
* **Local Government Units (LGUs):** Ang mga "&amp;"lungsod at munisipalidad ay may awtoridad na magpatibay ng mga ordinansang partikular sa kanilang mga lugar. Ang mga ordinansang ito ay maaaring magdetalye ng wastong mga kasanayan sa pamamahala ng basura at kaukulang parusa para sa mga paglabag, kabilang"&amp;" ang mga paglabag sa antas ng kalye. * **Mga Opisyal ng Eco ng Barangay:** Ang mga barangay (ang pinakamaliit na yunit ng lokal na pamahalaan) ay maaaring may mga itinalagang eco officer na maaaring magmonitor ng mga gawi sa pagtatapon ng basura at mag-ul"&amp;"at ng mga paglabag sa mga tamang awtoridad.
**Ano ang magagawa mo:**
* **Mag-ulat ng hindi wastong pagtatapon:** Kung nakakita ka ng taong nagtatapon ng mga mapanganib na materyales sa mga pampublikong lugar, iulat ito sa EMB, sa iyong lokal na kapitan ng"&amp;" barangay, o sa lokal na tanggapang pangkapaligiran. * **Maging alam:** Maging pamilyar sa paghihiwalay ng basura at mga regulasyon sa pagtatapon sa iyong lugar.
**Tandaan:** Sa pamamagitan ng pagsunod sa wastong mga gawi sa pagtatapon ng basura at pag-uu"&amp;"lat ng mga paglabag, maaari kang makatulong na panatilihing malinis ang iyong komunidad at protektahan ang kapaligiran.")</f>
        <v>Mayroong ilang mga legal na hakbang ang Pilipinas para labanan ang mga paglabag sa kapaligiran sa antas ng kalye, partikular na ang hindi tamang pagtatapon ng mga mapanganib na materyales sa mga pampublikong lugar. Narito ang isang breakdown ng mga nauugnay na batas at kung paano maipapatupad ang mga ito:
**Mga Batas sa Kapaligiran:**
* **Republic Act No. 6969 o ang Toxic Substances and Hazardous Wastes Control Act of 1990:** Ito ang pangunahing batas na kumokontrol sa mga mapanganib na materyales sa Pilipinas.
* **Seksyon 26:** Ang seksyong ito ay partikular na nagbabawal sa hindi wastong pagtatapon ng mga mapanganib na basura. Kasama sa mga parusa ang pagkakulong ng hanggang sampung (10) taon at mabigat na multa.
* **Seksyon 27:** Nag-uutos din ito ng wastong pag-iimbak at pagdadala ng mga mapanganib na materyales. Ang mga paglabag ay maaaring magresulta sa pagkakulong at multa.
* **Ecological Solid Waste Management Act (Republic Act No. 9003):** Nakatuon ang batas na ito sa wastong mga gawi sa pamamahala ng basura.
* **Seksyon 4:** Inuuri ng seksyong ito ang iba't ibang uri ng basura, kabilang ang mga mapanganib na basura. Ang hindi tamang pagtatapon ng anumang uri ng uri ng basura ay isang pagkakasala.
* **Seksyon 21:** Ang batas ay nagbibigay ng kapangyarihan sa mga local government units (LGUs) na magpatupad ng mga partikular na regulasyon at parusa para sa mga paglabag sa pamamahala ng basura.
**Pagpapatupad:**
* **Environmental Management Bureau (EMB):** Itong ahensya ng gobyerno sa ilalim ng Department of Environment and Natural Resources (DENR) ay may pananagutan sa pagpapatupad ng mga batas sa kapaligiran. Maaari silang magsagawa ng mga inspeksyon, hulihin ang mga lumalabag, at magsampa ng mga kaso.
* **Local Government Units (LGUs):** Ang mga lungsod at munisipalidad ay may awtoridad na magpatibay ng mga ordinansang partikular sa kanilang mga lugar. Ang mga ordinansang ito ay maaaring magdetalye ng wastong mga kasanayan sa pamamahala ng basura at kaukulang parusa para sa mga paglabag, kabilang ang mga paglabag sa antas ng kalye. * **Mga Opisyal ng Eco ng Barangay:** Ang mga barangay (ang pinakamaliit na yunit ng lokal na pamahalaan) ay maaaring may mga itinalagang eco officer na maaaring magmonitor ng mga gawi sa pagtatapon ng basura at mag-ulat ng mga paglabag sa mga tamang awtoridad.
**Ano ang magagawa mo:**
* **Mag-ulat ng hindi wastong pagtatapon:** Kung nakakita ka ng taong nagtatapon ng mga mapanganib na materyales sa mga pampublikong lugar, iulat ito sa EMB, sa iyong lokal na kapitan ng barangay, o sa lokal na tanggapang pangkapaligiran. * **Maging alam:** Maging pamilyar sa paghihiwalay ng basura at mga regulasyon sa pagtatapon sa iyong lugar.
**Tandaan:** Sa pamamagitan ng pagsunod sa wastong mga gawi sa pagtatapon ng basura at pag-uulat ng mga paglabag, maaari kang makatulong na panatilihing malinis ang iyong komunidad at protektahan ang kapaligiran.</v>
      </c>
      <c r="F1931" s="2">
        <f t="shared" si="1"/>
        <v>1</v>
      </c>
      <c r="G1931" s="2"/>
      <c r="H1931" s="2"/>
      <c r="I1931" s="2"/>
      <c r="J1931" s="2"/>
      <c r="K1931" s="2"/>
      <c r="L1931" s="2"/>
      <c r="M1931" s="2"/>
      <c r="N1931" s="2"/>
      <c r="O1931" s="2"/>
      <c r="P1931" s="2"/>
      <c r="Q1931" s="2"/>
      <c r="R1931" s="2"/>
      <c r="S1931" s="2"/>
      <c r="T1931" s="2"/>
      <c r="U1931" s="2"/>
      <c r="V1931" s="2"/>
      <c r="W1931" s="2"/>
      <c r="X1931" s="2"/>
      <c r="Y1931" s="2"/>
      <c r="Z1931" s="2"/>
      <c r="AA1931" s="2"/>
    </row>
    <row r="1932">
      <c r="A1932" s="1" t="s">
        <v>4698</v>
      </c>
      <c r="B1932" s="1" t="s">
        <v>4906</v>
      </c>
      <c r="C1932" s="1" t="s">
        <v>4907</v>
      </c>
      <c r="D1932" s="2" t="str">
        <f>IFERROR(__xludf.DUMMYFUNCTION("GOOGLETRANSLATE(B1932, ""en"", ""TL"")"),"Sa ilalim ng anong mga pangyayari ang isang tao ay maaaring makasuhan ng public conspiracy to commit terrorism-related offenses sa pampublikong transportasyon?")</f>
        <v>Sa ilalim ng anong mga pangyayari ang isang tao ay maaaring makasuhan ng public conspiracy to commit terrorism-related offenses sa pampublikong transportasyon?</v>
      </c>
      <c r="E1932" s="2" t="str">
        <f>IFERROR(__xludf.DUMMYFUNCTION("GOOGLETRANSLATE(C1932, ""en"", ""TL"")"),"Ang Pilipinas ay may matibay na batas laban sa terorismo at pagsasabwatan para gawin ang mga ganitong gawain. Narito ang kailangan mong malaman tungkol sa pampublikong pagsasabwatan na may kaugnayan sa terorismo sa pampublikong transportasyon:
**Batas at "&amp;"Mga Parusa:**
* **Republic Act No. 9514 o ang Anti-Terrorism Act of 2007:** Ito ang pangunahing batas na tumutukoy at nagpaparusa sa terorismo sa Pilipinas.
* **Seksyon 4:** Tinutukoy ng seksyong ito ang terorismo bilang mga gawaing nagdudulot ng karahasa"&amp;"n o takot na may layuning takutin ang publiko o pilitin ang isang gobyerno o internasyonal na organisasyon. * **Seksyon 6:** Ang seksyong ito ay sumasaklaw sa pagsasabwatan upang gumawa ng terorismo. Kung ang dalawa o higit pang tao ay sumang-ayon na magp"&amp;"lano o magsagawa ng isang teroristang gawain, maaari silang kasuhan ng pagsasabwatan kahit na ang mismong gawain ay hindi nakumpleto. Maaaring mabigat ang mga parusa, kabilang ang habambuhay na pagkakakulong.
**Pampublikong Transportasyon:**
* Ang pampubl"&amp;"ikong transportasyon ay partikular na binanggit sa Anti-Terrorism Act. Ang pagpaplano ng pag-atake sa isang bus, tren, eroplano, o anumang iba pang paraan ng pampublikong transportasyon ay maituturing na isang malubhang pagkakasala.
**Public Conspiracy:**"&amp;"
* Upang makasuhan ng public conspiracy, ang pagpaplano o kasunduan na gumawa ng isang teroristang gawa ay dapat gawin nang hayagan o sa paraang madaling marinig o matuklasan ng iba. * Ang mga pribadong talakayan lamang na walang konkretong plano o aksyon"&amp;" ay maaaring hindi sapat para sa mga pampublikong pagsasabwatan. **Kailangan ang Ebidensya:**
* Ang pagpapatupad ng batas ay nangangailangan ng patunay ng kasunduan upang makagawa ng isang gawaing terorista. Maaaring kabilang sa ebidensyang ito ang mga pa"&amp;"g-record ng mga pag-uusap, mga testimonya ng saksi, o mga dokumentong nagbabalangkas sa plano.
**Kahalagahan ng Pag-uulat:**
* Kung pinaghihinalaan mo o narinig ang mga talakayan tungkol sa pagpaplano ng pag-atake ng terorista sa pampublikong transportasy"&amp;"on, iulat ito kaagad sa mga awtoridad. Maaari kang makipag-ugnayan sa Philippine National Police (PNP) hotline 186 o iulat ito sa alinmang ahensyang nagpapatupad ng batas.
**Tandaan:** Ang kaligtasan ng publiko ay pinakamahalaga. Sa pamamagitan ng pag-una"&amp;"wa sa batas at pag-uulat ng kahina-hinalang aktibidad, maaari kang makatulong na maiwasan ang pag-atake ng mga terorista at panatilihing ligtas ang iyong sarili at ang iba.")</f>
        <v>Ang Pilipinas ay may matibay na batas laban sa terorismo at pagsasabwatan para gawin ang mga ganitong gawain. Narito ang kailangan mong malaman tungkol sa pampublikong pagsasabwatan na may kaugnayan sa terorismo sa pampublikong transportasyon:
**Batas at Mga Parusa:**
* **Republic Act No. 9514 o ang Anti-Terrorism Act of 2007:** Ito ang pangunahing batas na tumutukoy at nagpaparusa sa terorismo sa Pilipinas.
* **Seksyon 4:** Tinutukoy ng seksyong ito ang terorismo bilang mga gawaing nagdudulot ng karahasan o takot na may layuning takutin ang publiko o pilitin ang isang gobyerno o internasyonal na organisasyon. * **Seksyon 6:** Ang seksyong ito ay sumasaklaw sa pagsasabwatan upang gumawa ng terorismo. Kung ang dalawa o higit pang tao ay sumang-ayon na magplano o magsagawa ng isang teroristang gawain, maaari silang kasuhan ng pagsasabwatan kahit na ang mismong gawain ay hindi nakumpleto. Maaaring mabigat ang mga parusa, kabilang ang habambuhay na pagkakakulong.
**Pampublikong Transportasyon:**
* Ang pampublikong transportasyon ay partikular na binanggit sa Anti-Terrorism Act. Ang pagpaplano ng pag-atake sa isang bus, tren, eroplano, o anumang iba pang paraan ng pampublikong transportasyon ay maituturing na isang malubhang pagkakasala.
**Public Conspiracy:**
* Upang makasuhan ng public conspiracy, ang pagpaplano o kasunduan na gumawa ng isang teroristang gawa ay dapat gawin nang hayagan o sa paraang madaling marinig o matuklasan ng iba. * Ang mga pribadong talakayan lamang na walang konkretong plano o aksyon ay maaaring hindi sapat para sa mga pampublikong pagsasabwatan. **Kailangan ang Ebidensya:**
* Ang pagpapatupad ng batas ay nangangailangan ng patunay ng kasunduan upang makagawa ng isang gawaing terorista. Maaaring kabilang sa ebidensyang ito ang mga pag-record ng mga pag-uusap, mga testimonya ng saksi, o mga dokumentong nagbabalangkas sa plano.
**Kahalagahan ng Pag-uulat:**
* Kung pinaghihinalaan mo o narinig ang mga talakayan tungkol sa pagpaplano ng pag-atake ng terorista sa pampublikong transportasyon, iulat ito kaagad sa mga awtoridad. Maaari kang makipag-ugnayan sa Philippine National Police (PNP) hotline 186 o iulat ito sa alinmang ahensyang nagpapatupad ng batas.
**Tandaan:** Ang kaligtasan ng publiko ay pinakamahalaga. Sa pamamagitan ng pag-unawa sa batas at pag-uulat ng kahina-hinalang aktibidad, maaari kang makatulong na maiwasan ang pag-atake ng mga terorista at panatilihing ligtas ang iyong sarili at ang iba.</v>
      </c>
      <c r="F1932" s="2">
        <f t="shared" si="1"/>
        <v>0</v>
      </c>
      <c r="G1932" s="2"/>
      <c r="H1932" s="2"/>
      <c r="I1932" s="2"/>
      <c r="J1932" s="2"/>
      <c r="K1932" s="2"/>
      <c r="L1932" s="2"/>
      <c r="M1932" s="2"/>
      <c r="N1932" s="2"/>
      <c r="O1932" s="2"/>
      <c r="P1932" s="2"/>
      <c r="Q1932" s="2"/>
      <c r="R1932" s="2"/>
      <c r="S1932" s="2"/>
      <c r="T1932" s="2"/>
      <c r="U1932" s="2"/>
      <c r="V1932" s="2"/>
      <c r="W1932" s="2"/>
      <c r="X1932" s="2"/>
      <c r="Y1932" s="2"/>
      <c r="Z1932" s="2"/>
      <c r="AA1932" s="2"/>
    </row>
    <row r="1933">
      <c r="A1933" s="1" t="s">
        <v>4698</v>
      </c>
      <c r="B1933" s="1" t="s">
        <v>4849</v>
      </c>
      <c r="C1933" s="1" t="s">
        <v>4908</v>
      </c>
      <c r="D1933" s="2" t="str">
        <f>IFERROR(__xludf.DUMMYFUNCTION("GOOGLETRANSLATE(B1933, ""en"", ""TL"")"),"Paano tinutugunan sa ilalim ng batas ng Pilipinas ang pagkakasala ng pampublikong pagsasabwatan upang magsagawa ng pagnanakaw ng pagkakakilanlan o pandaraya sa pananalapi?")</f>
        <v>Paano tinutugunan sa ilalim ng batas ng Pilipinas ang pagkakasala ng pampublikong pagsasabwatan upang magsagawa ng pagnanakaw ng pagkakakilanlan o pandaraya sa pananalapi?</v>
      </c>
      <c r="E1933" s="2" t="str">
        <f>IFERROR(__xludf.DUMMYFUNCTION("GOOGLETRANSLATE(C1933, ""en"", ""TL"")"),"Sineseryoso ng batas ng Pilipinas ang pampublikong pagsasabwatan upang magsagawa ng pagnanakaw ng pagkakakilanlan o pandaraya sa pananalapi. Narito kung paano maaaring tugunan ng mga kasalukuyang batas ang paglabag na ito:
**Mga Batas at Parusa:**
* **Rep"&amp;"ublic Act No. 10175 o ang Cybercrime Prevention Act of 2012:** Ito ang pangunahing batas para sa mga online na pagkakasala sa Pilipinas.
* **Seksyon 4(c)(4):** Ang seksyong ito ay nagpaparusa sa pagsasabwatan upang gumawa ng anumang cybercrime. Ang pagnan"&amp;"akaw ng pagkakakilanlan at ilang anyo ng pandaraya sa pananalapi ay maaaring may kinalaman sa mga elemento ng cybercrime, na ginagawang naaangkop ang seksyong ito. Kasama sa mga parusa ang pagkakulong ng hanggang sampung (10) taon at multang hanggang Php "&amp;"1 Milyon (PhP 1,000,000.00).
* **Artikulo 8 ng Binagong Kodigo Penal:** Sinasaklaw nito ang pangkalahatang krimen ng pagsasabwatan upang gumawa ng krimen. Kahit na ang pagnanakaw ng pagkakakilanlan o pandaraya sa pananalapi ay hindi nagsasangkot ng mga as"&amp;"peto ng cybercrime, maaari pa ring ilapat ang pagsasabwatan. Ang mga parusa ay depende sa kalubhaan ng nakaplanong krimen.
**Public vs. Private Conspiracy:**
* **Public Conspiracy:** Ito ay tumutukoy sa pagpaplano ng krimen nang hayagan o sa paraang maaar"&amp;"ing marinig o matuklasan ng iba. Ang mga pampublikong talakayan tungkol sa pagnanakaw ng mga pagkakakilanlan o paggawa ng mga pandaraya sa pananalapi ay maaaring maging kwalipikado bilang pampublikong pagsasabwatan.
* **Private Conspiracy:** Habang ang pa"&amp;"gpaplano nang pribado ay hindi mapaparusahan nang mag-isa, maaari itong gamitin bilang ebidensya kung malalaman ng mga awtoridad ang balangkas sa pamamagitan ng ibang paraan.
**Ano ang bumubuo ng ebidensya:**
* Ang tagapagpatupad ng batas ay maghahanap ng"&amp;" patunay ng kasunduan na gawin ang krimen. Maaaring kabilang dito ang:
* Mga pag-record ng mga pag-uusap * Mga text message o online chat tungkol sa plano
* Mga dokumentong nagbabalangkas kung paano sila magnanakaw ng mga pagkakakilanlan o gagawa ng panda"&amp;"raya
**Kahalagahan ng Pag-uulat:**
* Kung ikaw ay nakasaksi o nakarinig ng isang pampublikong pagsasabwatan upang magsagawa ng pagnanakaw ng pagkakakilanlan o pandaraya sa pananalapi, iulat ito sa mga awtoridad. * Philippine National Police (PNP) hotline "&amp;"186
* National Bureau of Investigation (NBI)
* Iulat ito sa anumang ahensyang nagpapatupad ng batas
**Tandaan:** Sa pamamagitan ng pag-uulat ng kahina-hinalang aktibidad, makakatulong ka na maiwasan ang mga krimeng ito at maprotektahan ang mga potensyal n"&amp;"a biktima.")</f>
        <v>Sineseryoso ng batas ng Pilipinas ang pampublikong pagsasabwatan upang magsagawa ng pagnanakaw ng pagkakakilanlan o pandaraya sa pananalapi. Narito kung paano maaaring tugunan ng mga kasalukuyang batas ang paglabag na ito:
**Mga Batas at Parusa:**
* **Republic Act No. 10175 o ang Cybercrime Prevention Act of 2012:** Ito ang pangunahing batas para sa mga online na pagkakasala sa Pilipinas.
* **Seksyon 4(c)(4):** Ang seksyong ito ay nagpaparusa sa pagsasabwatan upang gumawa ng anumang cybercrime. Ang pagnanakaw ng pagkakakilanlan at ilang anyo ng pandaraya sa pananalapi ay maaaring may kinalaman sa mga elemento ng cybercrime, na ginagawang naaangkop ang seksyong ito. Kasama sa mga parusa ang pagkakulong ng hanggang sampung (10) taon at multang hanggang Php 1 Milyon (PhP 1,000,000.00).
* **Artikulo 8 ng Binagong Kodigo Penal:** Sinasaklaw nito ang pangkalahatang krimen ng pagsasabwatan upang gumawa ng krimen. Kahit na ang pagnanakaw ng pagkakakilanlan o pandaraya sa pananalapi ay hindi nagsasangkot ng mga aspeto ng cybercrime, maaari pa ring ilapat ang pagsasabwatan. Ang mga parusa ay depende sa kalubhaan ng nakaplanong krimen.
**Public vs. Private Conspiracy:**
* **Public Conspiracy:** Ito ay tumutukoy sa pagpaplano ng krimen nang hayagan o sa paraang maaaring marinig o matuklasan ng iba. Ang mga pampublikong talakayan tungkol sa pagnanakaw ng mga pagkakakilanlan o paggawa ng mga pandaraya sa pananalapi ay maaaring maging kwalipikado bilang pampublikong pagsasabwatan.
* **Private Conspiracy:** Habang ang pagpaplano nang pribado ay hindi mapaparusahan nang mag-isa, maaari itong gamitin bilang ebidensya kung malalaman ng mga awtoridad ang balangkas sa pamamagitan ng ibang paraan.
**Ano ang bumubuo ng ebidensya:**
* Ang tagapagpatupad ng batas ay maghahanap ng patunay ng kasunduan na gawin ang krimen. Maaaring kabilang dito ang:
* Mga pag-record ng mga pag-uusap * Mga text message o online chat tungkol sa plano
* Mga dokumentong nagbabalangkas kung paano sila magnanakaw ng mga pagkakakilanlan o gagawa ng pandaraya
**Kahalagahan ng Pag-uulat:**
* Kung ikaw ay nakasaksi o nakarinig ng isang pampublikong pagsasabwatan upang magsagawa ng pagnanakaw ng pagkakakilanlan o pandaraya sa pananalapi, iulat ito sa mga awtoridad. * Philippine National Police (PNP) hotline 186
* National Bureau of Investigation (NBI)
* Iulat ito sa anumang ahensyang nagpapatupad ng batas
**Tandaan:** Sa pamamagitan ng pag-uulat ng kahina-hinalang aktibidad, makakatulong ka na maiwasan ang mga krimeng ito at maprotektahan ang mga potensyal na biktima.</v>
      </c>
      <c r="F1933" s="2">
        <f t="shared" si="1"/>
        <v>6</v>
      </c>
      <c r="G1933" s="2"/>
      <c r="H1933" s="2"/>
      <c r="I1933" s="2"/>
      <c r="J1933" s="2"/>
      <c r="K1933" s="2"/>
      <c r="L1933" s="2"/>
      <c r="M1933" s="2"/>
      <c r="N1933" s="2"/>
      <c r="O1933" s="2"/>
      <c r="P1933" s="2"/>
      <c r="Q1933" s="2"/>
      <c r="R1933" s="2"/>
      <c r="S1933" s="2"/>
      <c r="T1933" s="2"/>
      <c r="U1933" s="2"/>
      <c r="V1933" s="2"/>
      <c r="W1933" s="2"/>
      <c r="X1933" s="2"/>
      <c r="Y1933" s="2"/>
      <c r="Z1933" s="2"/>
      <c r="AA1933" s="2"/>
    </row>
    <row r="1934">
      <c r="A1934" s="1" t="s">
        <v>4698</v>
      </c>
      <c r="B1934" s="1" t="s">
        <v>4909</v>
      </c>
      <c r="C1934" s="1" t="s">
        <v>4910</v>
      </c>
      <c r="D1934" s="2" t="str">
        <f>IFERROR(__xludf.DUMMYFUNCTION("GOOGLETRANSLATE(B1934, ""en"", ""TL"")"),"Anong mga parusa ang naaangkop para sa pagsali sa hindi awtorisadong pagbebenta o pamamahagi ng mga ipinagbabawal na publikasyon sa mga pampublikong pamilihan?")</f>
        <v>Anong mga parusa ang naaangkop para sa pagsali sa hindi awtorisadong pagbebenta o pamamahagi ng mga ipinagbabawal na publikasyon sa mga pampublikong pamilihan?</v>
      </c>
      <c r="E1934" s="2" t="str">
        <f>IFERROR(__xludf.DUMMYFUNCTION("GOOGLETRANSLATE(C1934, ""en"", ""TL"")"),"Ang mga parusa para sa pagbebenta o pamamahagi ng mga ipinagbabawal na publikasyon sa mga pampublikong pamilihan ng Pilipinas ay maaaring tugunan ng dalawang pangunahing mapagkukunan:
1. **Pambansang Batas:** * **Binagong Kodigo Penal:** Sinasaklaw nito a"&amp;"ng mga paglabag sa pampublikong moral at mabuting kaugalian.
* **Artikulo 315:** Ang artikulong ito ay nagpaparusa sa paglalathala o pagpapakita ng anumang malaswang materyales. Ang mga malaswang materyales ay binibigyang kahulugan bilang mga nakakasakit "&amp;"sa karaniwang kagandahang-asal o may posibilidad na sirain ang moral ng publiko. Maaaring kabilang dito ang mga materyal na nagpo-promote ng karahasan, mapoot na salita, o mga ilegal na aktibidad. Maaaring kabilang sa mga parusa ang pagkakulong ng hanggan"&amp;"g 6 na buwan at multa.
2. **Mga Lokal na Ordenansa:** * Maraming mga lungsod at munisipalidad ang may sariling mga ordinansa na kumokontrol sa mga aktibidad sa mga pampublikong pamilihan. Maaaring partikular na ipagbawal ng mga ordinansang ito ang pagbebe"&amp;"nta o pamamahagi ng mga malalaswang materyales, mga publikasyong nagsasapanganib sa kaligtasan ng publiko (tulad ng mga manwal sa paggawa ng bomba), o yaong lumalabag sa mga karapatan sa intelektwal na ari-arian (tulad ng mga pirated na libro o pelikula)."&amp;" Ang mga parusa ay maaaring mag-iba depende sa partikular na ordinansa ngunit karaniwang may kasamang mga multa o pagkumpiska ng mga materyales.
Narito ang isang breakdown ng mga posibleng kahihinatnan:
* **Mga multa:** Maaari kang mapaharap sa mga multa "&amp;"na ipinag-uutos ng pambansang Binagong Kodigo Penal at potensyal na karagdagang mga multa mula sa mga lokal na ordinansa. * **Pagkulong:** Sa matitinding kaso, lalo na para sa mga umuulit na nagkasala o pagharap sa mga partikular na mapaminsalang materyal"&amp;"es, ang pagkakulong sa maikling panahon ay posible sa ilalim ng Binagong Kodigo Penal.
* **Pagkumpiska:** Maaaring kumpiskahin ng mga awtoridad ang anumang ipinagbabawal na publikasyong sinusubukan mong ibenta o ipamahagi.
**Mahalagang tandaan na ang kahu"&amp;"lugan ng ""mga ipinagbabawal na publikasyon"" ay maaaring maging subjective.** Narito ang ilang karagdagang pagsasaalang-alang:
* **Nilalaman kumpara sa Copyright:** Habang ang ilang nilalaman ay maaaring ituring na malaswa sa ilalim ng Binagong Kodigo Pe"&amp;"nal, maaaring hindi ito lumalabag sa mga batas sa copyright. * **Mga Lokal na Pagkakaiba-iba:** Ang itinuturing na ipinagbabawal ay maaaring mag-iba ayon sa lokasyon. Pinakamainam na suriin sa iyong lokal na pangangasiwa sa merkado o opisina ng paglilisen"&amp;"sya ng negosyo para sa mga partikular na regulasyon.
**Narito ang ilang mapagkukunan para sa karagdagang impormasyon:**
* **Ang Binagong Kodigo Penal:** Maaari mong mahanap ang buong teksto ng Binagong Kodigo Penal online sa pamamagitan ng iba't ibang mga"&amp;" website ng legal na impormasyon.
* **Mga website ng lokal na pamahalaan:** Karamihan sa mga website ng pamahalaang lungsod at munisipyo ay magkakaroon ng impormasyon sa kanilang mga lokal na ordinansa, kabilang ang mga nauugnay sa mga pampublikong pamili"&amp;"han.
Tandaan, ang pagsunod sa batas at paggalang sa mga pampublikong espasyo ay mahalaga. Kung hindi ka sigurado tungkol sa legalidad ng mga materyales na gusto mong ibenta, pinakamahusay na magkamali sa panig ng pag-iingat at iwasang gawin ito sa mga pam"&amp;"publikong pamilihan.")</f>
        <v>Ang mga parusa para sa pagbebenta o pamamahagi ng mga ipinagbabawal na publikasyon sa mga pampublikong pamilihan ng Pilipinas ay maaaring tugunan ng dalawang pangunahing mapagkukunan:
1. **Pambansang Batas:** * **Binagong Kodigo Penal:** Sinasaklaw nito ang mga paglabag sa pampublikong moral at mabuting kaugalian.
* **Artikulo 315:** Ang artikulong ito ay nagpaparusa sa paglalathala o pagpapakita ng anumang malaswang materyales. Ang mga malaswang materyales ay binibigyang kahulugan bilang mga nakakasakit sa karaniwang kagandahang-asal o may posibilidad na sirain ang moral ng publiko. Maaaring kabilang dito ang mga materyal na nagpo-promote ng karahasan, mapoot na salita, o mga ilegal na aktibidad. Maaaring kabilang sa mga parusa ang pagkakulong ng hanggang 6 na buwan at multa.
2. **Mga Lokal na Ordenansa:** * Maraming mga lungsod at munisipalidad ang may sariling mga ordinansa na kumokontrol sa mga aktibidad sa mga pampublikong pamilihan. Maaaring partikular na ipagbawal ng mga ordinansang ito ang pagbebenta o pamamahagi ng mga malalaswang materyales, mga publikasyong nagsasapanganib sa kaligtasan ng publiko (tulad ng mga manwal sa paggawa ng bomba), o yaong lumalabag sa mga karapatan sa intelektwal na ari-arian (tulad ng mga pirated na libro o pelikula). Ang mga parusa ay maaaring mag-iba depende sa partikular na ordinansa ngunit karaniwang may kasamang mga multa o pagkumpiska ng mga materyales.
Narito ang isang breakdown ng mga posibleng kahihinatnan:
* **Mga multa:** Maaari kang mapaharap sa mga multa na ipinag-uutos ng pambansang Binagong Kodigo Penal at potensyal na karagdagang mga multa mula sa mga lokal na ordinansa. * **Pagkulong:** Sa matitinding kaso, lalo na para sa mga umuulit na nagkasala o pagharap sa mga partikular na mapaminsalang materyales, ang pagkakulong sa maikling panahon ay posible sa ilalim ng Binagong Kodigo Penal.
* **Pagkumpiska:** Maaaring kumpiskahin ng mga awtoridad ang anumang ipinagbabawal na publikasyong sinusubukan mong ibenta o ipamahagi.
**Mahalagang tandaan na ang kahulugan ng "mga ipinagbabawal na publikasyon" ay maaaring maging subjective.** Narito ang ilang karagdagang pagsasaalang-alang:
* **Nilalaman kumpara sa Copyright:** Habang ang ilang nilalaman ay maaaring ituring na malaswa sa ilalim ng Binagong Kodigo Penal, maaaring hindi ito lumalabag sa mga batas sa copyright. * **Mga Lokal na Pagkakaiba-iba:** Ang itinuturing na ipinagbabawal ay maaaring mag-iba ayon sa lokasyon. Pinakamainam na suriin sa iyong lokal na pangangasiwa sa merkado o opisina ng paglilisensya ng negosyo para sa mga partikular na regulasyon.
**Narito ang ilang mapagkukunan para sa karagdagang impormasyon:**
* **Ang Binagong Kodigo Penal:** Maaari mong mahanap ang buong teksto ng Binagong Kodigo Penal online sa pamamagitan ng iba't ibang mga website ng legal na impormasyon.
* **Mga website ng lokal na pamahalaan:** Karamihan sa mga website ng pamahalaang lungsod at munisipyo ay magkakaroon ng impormasyon sa kanilang mga lokal na ordinansa, kabilang ang mga nauugnay sa mga pampublikong pamilihan.
Tandaan, ang pagsunod sa batas at paggalang sa mga pampublikong espasyo ay mahalaga. Kung hindi ka sigurado tungkol sa legalidad ng mga materyales na gusto mong ibenta, pinakamahusay na magkamali sa panig ng pag-iingat at iwasang gawin ito sa mga pampublikong pamilihan.</v>
      </c>
      <c r="F1934" s="2">
        <f t="shared" si="1"/>
        <v>0</v>
      </c>
      <c r="G1934" s="2"/>
      <c r="H1934" s="2"/>
      <c r="I1934" s="2"/>
      <c r="J1934" s="2"/>
      <c r="K1934" s="2"/>
      <c r="L1934" s="2"/>
      <c r="M1934" s="2"/>
      <c r="N1934" s="2"/>
      <c r="O1934" s="2"/>
      <c r="P1934" s="2"/>
      <c r="Q1934" s="2"/>
      <c r="R1934" s="2"/>
      <c r="S1934" s="2"/>
      <c r="T1934" s="2"/>
      <c r="U1934" s="2"/>
      <c r="V1934" s="2"/>
      <c r="W1934" s="2"/>
      <c r="X1934" s="2"/>
      <c r="Y1934" s="2"/>
      <c r="Z1934" s="2"/>
      <c r="AA1934" s="2"/>
    </row>
    <row r="1935">
      <c r="A1935" s="1" t="s">
        <v>4698</v>
      </c>
      <c r="B1935" s="1" t="s">
        <v>4911</v>
      </c>
      <c r="C1935" s="1" t="s">
        <v>4912</v>
      </c>
      <c r="D1935" s="2" t="str">
        <f>IFERROR(__xludf.DUMMYFUNCTION("GOOGLETRANSLATE(B1935, ""en"", ""TL"")"),"Anong mga legal na probisyon ang kumokontrol sa pagkakaroon at paggamit ng mga hindi awtorisadong kagamitan sa pagsubaybay sa mga pampublikong espasyo malapit sa mga paaralan?")</f>
        <v>Anong mga legal na probisyon ang kumokontrol sa pagkakaroon at paggamit ng mga hindi awtorisadong kagamitan sa pagsubaybay sa mga pampublikong espasyo malapit sa mga paaralan?</v>
      </c>
      <c r="E1935" s="2" t="str">
        <f>IFERROR(__xludf.DUMMYFUNCTION("GOOGLETRANSLATE(C1935, ""en"", ""TL"")"),"Ang Pilipinas ay walang iisang, partikular na batas na tumutugon lamang sa mga hindi awtorisadong surveillance device sa mga pampublikong espasyo malapit sa mga paaralan. Gayunpaman, maraming mga legal na probisyon ang maaaring bigyang-kahulugan upang ayu"&amp;"sin ang mga naturang aksyon:
**1. Karapatan sa Pagkapribado (Artikulo III, Seksyon 7 ng Konstitusyon ng Pilipinas):**
Ginagarantiyahan nito ang karapatan ng mga tao na maging ligtas sa kanilang mga tao, bahay, papel, at mga epekto laban sa hindi makatwira"&amp;"ng mga paghahanap at pang-aagaw. Ang mga pampublikong espasyo malapit sa mga paaralan, lalo na ang mga lugar kung saan nagtitipon ang mga mag-aaral, ay maaaring ituring na extension ng privacy ng isang tao, lalo na sa mga pahinga o pagkatapos ng oras ng k"&amp;"lase.
**2. Anti-Wiretapping Law (Republic Act No. 3875):**
Ipinagbabawal ng batas na ito ang pagharang, pagtatala, o pagpapadala ng komunikasyon nang walang pahintulot ng lahat ng partidong kasangkot. Bagama't tradisyonal na nakatuon sa mga komunikasyon s"&amp;"a telepono, maaari itong pagtalunan na palawigin ang mga pag-record ng audio o video na ginawa nang walang pahintulot sa mga pampublikong espasyo malapit sa mga paaralan. Ito ay magiging may kaugnayan kung ang surveillance device ay kumukuha ng mga pag-uu"&amp;"sap ng mga mag-aaral o guro.
**3. Mga Batas sa Proteksyon ng Bata:**
* **Republic Act No. 9995 o ang Anti-Trafficking in Persons Act of 2010:** Pinoprotektahan ng batas na ito ang mga bata mula sa lahat ng uri ng pagsasamantala, kabilang ang mga maaaring "&amp;"mapadali sa pamamagitan ng hindi awtorisadong pagsubaybay. Kung ang layunin ng surveillance ay pinaghihinalaang malisyoso at naglalagay ng panganib sa mga bata, maaaring gamitin ang batas na ito.
* **Republic Act No. 10175 o ang Cybercrime Prevention Act "&amp;"of 2012 (Section 5):** Pinoprotektahan nito ang mga bata mula sa online na sekswal na pang-aabuso at pagsasamantala. Bagama't hindi direktang naaangkop sa mga physical surveillance device, itinatampok nito ang kahalagahan ng pagprotekta sa mga bata mula s"&amp;"a anumang anyo ng pagsubaybay na maaaring gamitin para sa mga malisyosong layunin.
**Mahahalagang Pagsasaalang-alang:**
* **Pahintulot:** Kung ang mga itinatala sa mga pampublikong espasyo malapit sa mga paaralan ay nagbibigay ng kanilang pahintulot, maaa"&amp;"ring walang legal na paglabag. Gayunpaman, ang pagkuha ng pahintulot mula sa mga mag-aaral, lalo na ang mga menor de edad, ay maaaring maging kumplikado. * **Public vs. Semi-Private Space:** Maaaring may iba't ibang legal na pagsasaalang-alang ang mga pam"&amp;"publikong bangketa o kalye kumpara sa mga bakuran ng paaralan o mga lugar na may pinaghihigpitang daan.
**Mga Rekomendasyon:**
* Ang mga paaralan ay maaaring magtatag ng malinaw na mga patakaran tungkol sa mga hindi awtorisadong kagamitan sa pagsubaybay s"&amp;"a loob ng kanilang paligid at mga nakapaligid na lugar. * Kung pinaghihinalaan mo ang hindi awtorisadong pagsubaybay malapit sa isang paaralan, maaari mong iulat ito sa mga awtoridad. * Maaaring ipaalam sa mga magulang at tagapag-alaga ang tungkol sa mga "&amp;"potensyal na panganib at turuan ang kanilang mga karapatan tungkol sa privacy ng kanilang mga anak sa mga pampublikong lugar.
**Bagama't walang iisang batas na direktang tumutugon sa mga hindi awtorisadong surveillance device sa mga pampublikong espasyo m"&amp;"alapit sa mga paaralan, ang Pilipinas ay may mga legal na prinsipyo na nagpoprotekta sa privacy at komunikasyon na maaaring ilapat sa mga ganitong sitwasyon. Ang pagsasama-sama ng mga prinsipyong ito sa mga batas sa pangangalaga ng bata ay maaaring magbig"&amp;"ay ng matibay na batayan para sa pagtugon sa hindi awtorisadong pagsubaybay na nagdudulot ng banta sa privacy o kaligtasan.**")</f>
        <v>Ang Pilipinas ay walang iisang, partikular na batas na tumutugon lamang sa mga hindi awtorisadong surveillance device sa mga pampublikong espasyo malapit sa mga paaralan. Gayunpaman, maraming mga legal na probisyon ang maaaring bigyang-kahulugan upang ayusin ang mga naturang aksyon:
**1. Karapatan sa Pagkapribado (Artikulo III, Seksyon 7 ng Konstitusyon ng Pilipinas):**
Ginagarantiyahan nito ang karapatan ng mga tao na maging ligtas sa kanilang mga tao, bahay, papel, at mga epekto laban sa hindi makatwirang mga paghahanap at pang-aagaw. Ang mga pampublikong espasyo malapit sa mga paaralan, lalo na ang mga lugar kung saan nagtitipon ang mga mag-aaral, ay maaaring ituring na extension ng privacy ng isang tao, lalo na sa mga pahinga o pagkatapos ng oras ng klase.
**2. Anti-Wiretapping Law (Republic Act No. 3875):**
Ipinagbabawal ng batas na ito ang pagharang, pagtatala, o pagpapadala ng komunikasyon nang walang pahintulot ng lahat ng partidong kasangkot. Bagama't tradisyonal na nakatuon sa mga komunikasyon sa telepono, maaari itong pagtalunan na palawigin ang mga pag-record ng audio o video na ginawa nang walang pahintulot sa mga pampublikong espasyo malapit sa mga paaralan. Ito ay magiging may kaugnayan kung ang surveillance device ay kumukuha ng mga pag-uusap ng mga mag-aaral o guro.
**3. Mga Batas sa Proteksyon ng Bata:**
* **Republic Act No. 9995 o ang Anti-Trafficking in Persons Act of 2010:** Pinoprotektahan ng batas na ito ang mga bata mula sa lahat ng uri ng pagsasamantala, kabilang ang mga maaaring mapadali sa pamamagitan ng hindi awtorisadong pagsubaybay. Kung ang layunin ng surveillance ay pinaghihinalaang malisyoso at naglalagay ng panganib sa mga bata, maaaring gamitin ang batas na ito.
* **Republic Act No. 10175 o ang Cybercrime Prevention Act of 2012 (Section 5):** Pinoprotektahan nito ang mga bata mula sa online na sekswal na pang-aabuso at pagsasamantala. Bagama't hindi direktang naaangkop sa mga physical surveillance device, itinatampok nito ang kahalagahan ng pagprotekta sa mga bata mula sa anumang anyo ng pagsubaybay na maaaring gamitin para sa mga malisyosong layunin.
**Mahahalagang Pagsasaalang-alang:**
* **Pahintulot:** Kung ang mga itinatala sa mga pampublikong espasyo malapit sa mga paaralan ay nagbibigay ng kanilang pahintulot, maaaring walang legal na paglabag. Gayunpaman, ang pagkuha ng pahintulot mula sa mga mag-aaral, lalo na ang mga menor de edad, ay maaaring maging kumplikado. * **Public vs. Semi-Private Space:** Maaaring may iba't ibang legal na pagsasaalang-alang ang mga pampublikong bangketa o kalye kumpara sa mga bakuran ng paaralan o mga lugar na may pinaghihigpitang daan.
**Mga Rekomendasyon:**
* Ang mga paaralan ay maaaring magtatag ng malinaw na mga patakaran tungkol sa mga hindi awtorisadong kagamitan sa pagsubaybay sa loob ng kanilang paligid at mga nakapaligid na lugar. * Kung pinaghihinalaan mo ang hindi awtorisadong pagsubaybay malapit sa isang paaralan, maaari mong iulat ito sa mga awtoridad. * Maaaring ipaalam sa mga magulang at tagapag-alaga ang tungkol sa mga potensyal na panganib at turuan ang kanilang mga karapatan tungkol sa privacy ng kanilang mga anak sa mga pampublikong lugar.
**Bagama't walang iisang batas na direktang tumutugon sa mga hindi awtorisadong surveillance device sa mga pampublikong espasyo malapit sa mga paaralan, ang Pilipinas ay may mga legal na prinsipyo na nagpoprotekta sa privacy at komunikasyon na maaaring ilapat sa mga ganitong sitwasyon. Ang pagsasama-sama ng mga prinsipyong ito sa mga batas sa pangangalaga ng bata ay maaaring magbigay ng matibay na batayan para sa pagtugon sa hindi awtorisadong pagsubaybay na nagdudulot ng banta sa privacy o kaligtasan.**</v>
      </c>
      <c r="F1935" s="2">
        <f t="shared" si="1"/>
        <v>2</v>
      </c>
      <c r="G1935" s="2"/>
      <c r="H1935" s="2"/>
      <c r="I1935" s="2"/>
      <c r="J1935" s="2"/>
      <c r="K1935" s="2"/>
      <c r="L1935" s="2"/>
      <c r="M1935" s="2"/>
      <c r="N1935" s="2"/>
      <c r="O1935" s="2"/>
      <c r="P1935" s="2"/>
      <c r="Q1935" s="2"/>
      <c r="R1935" s="2"/>
      <c r="S1935" s="2"/>
      <c r="T1935" s="2"/>
      <c r="U1935" s="2"/>
      <c r="V1935" s="2"/>
      <c r="W1935" s="2"/>
      <c r="X1935" s="2"/>
      <c r="Y1935" s="2"/>
      <c r="Z1935" s="2"/>
      <c r="AA1935" s="2"/>
    </row>
    <row r="1936">
      <c r="A1936" s="1" t="s">
        <v>4698</v>
      </c>
      <c r="B1936" s="1" t="s">
        <v>4913</v>
      </c>
      <c r="C1936" s="1" t="s">
        <v>4914</v>
      </c>
      <c r="D1936" s="2" t="str">
        <f>IFERROR(__xludf.DUMMYFUNCTION("GOOGLETRANSLATE(B1936, ""en"", ""TL"")"),"Paano tinutugunan ng batas ang mga insidente ng pag-atake o panliligalig sa antas ng kalye batay sa kaugnayan o opinyon sa pulitika?")</f>
        <v>Paano tinutugunan ng batas ang mga insidente ng pag-atake o panliligalig sa antas ng kalye batay sa kaugnayan o opinyon sa pulitika?</v>
      </c>
      <c r="E1936" s="2" t="str">
        <f>IFERROR(__xludf.DUMMYFUNCTION("GOOGLETRANSLATE(C1936, ""en"", ""TL"")"),"Ang Pilipinas ay walang partikular na batas na direktang tumutugon sa pag-atake sa antas ng kalye o panliligalig batay lamang sa kaugnayan o opinyon sa pulitika. Gayunpaman, ang mga umiiral na batas ay maaaring gamitin upang matugunan ang mga naturang ins"&amp;"idente:
**Binagong Kodigo Penal:** Sinasaklaw nito ang mga pangkalahatang krimen na maaaring udyukan ng kaugnayan o opinyon sa pulitika:
* **Assault (Artikulo 260):** Nalalapat ito kung mayroong pisikal na karahasan o banta ng karahasan sa isang tao dahil"&amp;" sa kanilang pampulitikang pananaw.
* **Pangliligalig (Artikulo 282):** Sinasaklaw nito ang mga kilos na nagdudulot ng inis, abala, o alarma na nagmumula sa pampulitikang pagtatangi. **Anti-Discrimination Law (Republic Act No. 11313):** Bagama't hindi tah"&amp;"asang binabanggit ang political affiliation, ipinagbabawal nito ang diskriminasyon batay sa ""expression"" na maaaring bigyang-kahulugan na kabilang ang mga pananaw sa pulitika. Maaaring palakasin ng batas na ito ang isang kaso kung ang harassment ay bata"&amp;"y sa paniniwalang pulitikal.
Narito kung paano magagamit ang mga batas na ito:
* **Physical Assault:** Kung ikaw ay pisikal na inaatake dahil sa iyong political affiliation o view, maaari kang magsampa ng mga kaso para sa pag-atake sa ilalim ng Binagong K"&amp;"odigo Penal.
* **Verbal Harassment:** Kung sasailalim ka sa mga hindi gustong komento, insulto, o pananakot dahil sa iyong pampulitikang pananaw, maaari kang magsampa ng mga singil sa harassment sa ilalim ng Revised Penal Code at posibleng mag-claim ng di"&amp;"skriminasyon sa ilalim ng Anti-discrimination Law.
**Mga Hamon at Pagsasaalang-alang:**
* **Layunin:** Maaaring mahirap patunayan ang layunin ng may kasalanan na magdiskrimina batay lamang sa kaugnayan sa pulitika. Maaaring may magkakapatong na mga salik "&amp;"tulad ng personal na poot.
* **Kalubhaan:** Kinakategorya ng Binagong Kodigo Penal ang pag-atake at panliligalig batay sa kalubhaan. Ang mga maliliit na insidente ay maaaring mas mahirap i-prosecute.
**Mga Rekomendasyon:**
* **Idokumento ang insidente:** "&amp;"Kung maaari, mangalap ng ebidensya tulad ng mga larawan, video, o mga testimonya ng saksi. Pinalalakas nito ang iyong kaso.
* **Mag-ulat sa mga awtoridad:** Maghain ng ulat ng pulisya upang idokumento ang panliligalig o pag-atake. * **Humingi ng legal na "&amp;"tulong:** Ang isang abogado na dalubhasa sa batas sa kriminal o laban sa diskriminasyon ay maaaring mag-alok ng partikular na patnubay batay sa iyong sitwasyon. Maaari silang magpayo sa pinakamahusay na paraan ng pagkilos na isinasaalang-alang ang mga par"&amp;"tikular na detalye ng iyong kaso.
**Dagdag pa:**
* Ang ilang local government units (LGUs) ay maaaring may mga ordinansa na partikular na tumutugon sa karahasan o panliligalig na may kaugnayan sa pampulitikang pangangampanya o mga aktibidad sa loob ng kan"&amp;"ilang nasasakupan. Ito ay nagkakahalaga ng pagsuri sa iyong lokal na pamahalaan para sa anumang naturang mga regulasyon.
Bagama't walang partikular na batas na tumutugon sa kaugnayan sa pulitika, ang mga umiiral na batas ay nagbibigay ng tulong para sa mg"&amp;"a biktima. Ang pag-uulat ng mga insidente, pagdodokumento ng ebidensya, at paghingi ng legal na tulong ay mga mahahalagang hakbang tungo sa pagkamit ng hustisya.")</f>
        <v>Ang Pilipinas ay walang partikular na batas na direktang tumutugon sa pag-atake sa antas ng kalye o panliligalig batay lamang sa kaugnayan o opinyon sa pulitika. Gayunpaman, ang mga umiiral na batas ay maaaring gamitin upang matugunan ang mga naturang insidente:
**Binagong Kodigo Penal:** Sinasaklaw nito ang mga pangkalahatang krimen na maaaring udyukan ng kaugnayan o opinyon sa pulitika:
* **Assault (Artikulo 260):** Nalalapat ito kung mayroong pisikal na karahasan o banta ng karahasan sa isang tao dahil sa kanilang pampulitikang pananaw.
* **Pangliligalig (Artikulo 282):** Sinasaklaw nito ang mga kilos na nagdudulot ng inis, abala, o alarma na nagmumula sa pampulitikang pagtatangi. **Anti-Discrimination Law (Republic Act No. 11313):** Bagama't hindi tahasang binabanggit ang political affiliation, ipinagbabawal nito ang diskriminasyon batay sa "expression" na maaaring bigyang-kahulugan na kabilang ang mga pananaw sa pulitika. Maaaring palakasin ng batas na ito ang isang kaso kung ang harassment ay batay sa paniniwalang pulitikal.
Narito kung paano magagamit ang mga batas na ito:
* **Physical Assault:** Kung ikaw ay pisikal na inaatake dahil sa iyong political affiliation o view, maaari kang magsampa ng mga kaso para sa pag-atake sa ilalim ng Binagong Kodigo Penal.
* **Verbal Harassment:** Kung sasailalim ka sa mga hindi gustong komento, insulto, o pananakot dahil sa iyong pampulitikang pananaw, maaari kang magsampa ng mga singil sa harassment sa ilalim ng Revised Penal Code at posibleng mag-claim ng diskriminasyon sa ilalim ng Anti-discrimination Law.
**Mga Hamon at Pagsasaalang-alang:**
* **Layunin:** Maaaring mahirap patunayan ang layunin ng may kasalanan na magdiskrimina batay lamang sa kaugnayan sa pulitika. Maaaring may magkakapatong na mga salik tulad ng personal na poot.
* **Kalubhaan:** Kinakategorya ng Binagong Kodigo Penal ang pag-atake at panliligalig batay sa kalubhaan. Ang mga maliliit na insidente ay maaaring mas mahirap i-prosecute.
**Mga Rekomendasyon:**
* **Idokumento ang insidente:** Kung maaari, mangalap ng ebidensya tulad ng mga larawan, video, o mga testimonya ng saksi. Pinalalakas nito ang iyong kaso.
* **Mag-ulat sa mga awtoridad:** Maghain ng ulat ng pulisya upang idokumento ang panliligalig o pag-atake. * **Humingi ng legal na tulong:** Ang isang abogado na dalubhasa sa batas sa kriminal o laban sa diskriminasyon ay maaaring mag-alok ng partikular na patnubay batay sa iyong sitwasyon. Maaari silang magpayo sa pinakamahusay na paraan ng pagkilos na isinasaalang-alang ang mga partikular na detalye ng iyong kaso.
**Dagdag pa:**
* Ang ilang local government units (LGUs) ay maaaring may mga ordinansa na partikular na tumutugon sa karahasan o panliligalig na may kaugnayan sa pampulitikang pangangampanya o mga aktibidad sa loob ng kanilang nasasakupan. Ito ay nagkakahalaga ng pagsuri sa iyong lokal na pamahalaan para sa anumang naturang mga regulasyon.
Bagama't walang partikular na batas na tumutugon sa kaugnayan sa pulitika, ang mga umiiral na batas ay nagbibigay ng tulong para sa mga biktima. Ang pag-uulat ng mga insidente, pagdodokumento ng ebidensya, at paghingi ng legal na tulong ay mga mahahalagang hakbang tungo sa pagkamit ng hustisya.</v>
      </c>
      <c r="F1936" s="2">
        <f t="shared" si="1"/>
        <v>0</v>
      </c>
      <c r="G1936" s="2"/>
      <c r="H1936" s="2"/>
      <c r="I1936" s="2"/>
      <c r="J1936" s="2"/>
      <c r="K1936" s="2"/>
      <c r="L1936" s="2"/>
      <c r="M1936" s="2"/>
      <c r="N1936" s="2"/>
      <c r="O1936" s="2"/>
      <c r="P1936" s="2"/>
      <c r="Q1936" s="2"/>
      <c r="R1936" s="2"/>
      <c r="S1936" s="2"/>
      <c r="T1936" s="2"/>
      <c r="U1936" s="2"/>
      <c r="V1936" s="2"/>
      <c r="W1936" s="2"/>
      <c r="X1936" s="2"/>
      <c r="Y1936" s="2"/>
      <c r="Z1936" s="2"/>
      <c r="AA1936" s="2"/>
    </row>
    <row r="1937">
      <c r="A1937" s="1" t="s">
        <v>4698</v>
      </c>
      <c r="B1937" s="1" t="s">
        <v>4825</v>
      </c>
      <c r="C1937" s="1" t="s">
        <v>4915</v>
      </c>
      <c r="D1937" s="2" t="str">
        <f>IFERROR(__xludf.DUMMYFUNCTION("GOOGLETRANSLATE(B1937,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37" s="2" t="str">
        <f>IFERROR(__xludf.DUMMYFUNCTION("GOOGLETRANSLATE(C1937, ""en"", ""TL"")"),"Sineseryoso ng Pilipinas ang pag-iwas sa buwis at mga mapanlinlang na aktibidad sa pananalapi, at maging ang mga paglabag sa antas ng kalye na isinasagawa sa mga pampublikong espasyo ay maaaring magresulta sa malalaking parusa. Narito ang isang breakdown "&amp;"ng mga nauugnay na batas at mga potensyal na kahihinatnan:
**Pag-iwas sa Buwis:**
* **Tax Code (Republic Act No. 8424):** Ito ang pangunahing batas na namamahala sa pagbubuwis sa Pilipinas.
* **Seksyon 253:** Ang seksyong ito ay nagpaparusa sa mapanlinlan"&amp;"g na pag-iwas sa buwis, na maaaring magsama ng hindi naiulat na kita o mga dokumentong manipulahin, na may pagkakakulong ng hanggang sampung (10) taon at mabigat na multa. * **Seksyon 275:** Kahit na ang hindi gaanong matitinding pagkakasala tulad ng huli"&amp;" na paghahain ng mga tax return o hindi pagbabayad ng mga buwis ay maaaring magkaroon ng mga parusa kabilang ang mga surcharge at posibleng pagkakulong.
**Mga Mapanlinlang na Aktibidad sa Pananalapi:**
* **Binago ang Penal Code:** Sinasaklaw nito ang iba'"&amp;"t ibang mapanlinlang na aktibidad na maaaring may kaugnayan sa mga scam sa antas ng kalye.
* **Palsipikasyon ng Mga Pampublikong Dokumento (Artikulo 185):** Kung may gumagamit ng mga pekeng ID o dokumento para magsagawa ng mga transaksyong pinansyal nang "&amp;"ilegal sa mga pampublikong espasyo, nalalapat ang batas na ito. Maaaring kabilang sa mga parusa ang pagkakulong ng hanggang anim (6) na taon.
* **Estafa (Artikulo 315):** Ito ay tumutukoy sa anumang gawa ng panlilinlang upang makakuha ng pinansiyal na kal"&amp;"amangan. Ang mga mapanlinlang na benta o mga scam na isinasagawa sa mga pampublikong espasyo ay maaaring kasuhan sa ilalim ng estafa, na may mga parusa mula sa pagkakulong ng hanggang labing-apat (14) na taon at multa.
**Mahahalagang Pagsasaalang-alang:**"&amp;"
* **Pampubliko kumpara sa Pribado:** Ang katotohanan na ang krimen ay nagaganap sa isang pampublikong espasyo ay maaaring hindi gaanong makakaapekto sa parusa ngunit maaaring gawing mas malamang ang pangamba ng mga awtoridad. Maaaring magtaas ng hinala a"&amp;"ng public visibility at humantong sa mas mabilis na interbensyon.
* **Tindi ng Pagkakasala:** Ang mga parusa ay mag-iiba depende sa kalubhaan ng pag-iwas sa buwis o mapanlinlang na aktibidad. Ang simpleng hindi pagbabayad ng maliliit na buwis ay maaaring "&amp;"magkaroon ng iba't ibang kahihinatnan kumpara sa isang detalyadong pampublikong scam na kinasasangkutan ng malalaking halaga ng pera.
**Mga Rekomendasyon:**
* **Kung may nakita kang krimen na nagaganap, iulat ito sa mga awtoridad.** * Philippine National "&amp;"Police (PNP): 186 ang kanilang hotline.
* **Kung pinaghihinalaan mo na ikaw ay isang biktima ng pandaraya sa buwis o isang pampinansyal na scam, humingi ng legal na payo** upang maunawaan ang iyong mga opsyon at posibleng maghabol ng kabayaran.
* **Sumuno"&amp;"d sa mga regulasyon sa buwis at iwasan ang anumang aktibidad na maaaring ituring na mapanlinlang.** Sa pamamagitan ng pagsunod sa mga batas ng Pilipinas at pag-uulat ng kahina-hinalang aktibidad, maaari kang makatulong na matiyak ang isang mas patas na ka"&amp;"paligiran sa pananalapi para sa lahat.")</f>
        <v>Sineseryoso ng Pilipinas ang pag-iwas sa buwis at mga mapanlinlang na aktibidad sa pananalapi, at maging ang mga paglabag sa antas ng kalye na isinasagawa sa mga pampublikong espasyo ay maaaring magresulta sa malalaking parusa. Narito ang isang breakdown ng mga nauugnay na batas at mga potensyal na kahihinatnan:
**Pag-iwas sa Buwis:**
* **Tax Code (Republic Act No. 8424):** Ito ang pangunahing batas na namamahala sa pagbubuwis sa Pilipinas.
* **Seksyon 253:** Ang seksyong ito ay nagpaparusa sa mapanlinlang na pag-iwas sa buwis, na maaaring magsama ng hindi naiulat na kita o mga dokumentong manipulahin, na may pagkakakulong ng hanggang sampung (10) taon at mabigat na multa. * **Seksyon 275:** Kahit na ang hindi gaanong matitinding pagkakasala tulad ng huli na paghahain ng mga tax return o hindi pagbabayad ng mga buwis ay maaaring magkaroon ng mga parusa kabilang ang mga surcharge at posibleng pagkakulong.
**Mga Mapanlinlang na Aktibidad sa Pananalapi:**
* **Binago ang Penal Code:** Sinasaklaw nito ang iba't ibang mapanlinlang na aktibidad na maaaring may kaugnayan sa mga scam sa antas ng kalye.
* **Palsipikasyon ng Mga Pampublikong Dokumento (Artikulo 185):** Kung may gumagamit ng mga pekeng ID o dokumento para magsagawa ng mga transaksyong pinansyal nang ilegal sa mga pampublikong espasyo, nalalapat ang batas na ito. Maaaring kabilang sa mga parusa ang pagkakulong ng hanggang anim (6) na taon.
* **Estafa (Artikulo 315):** Ito ay tumutukoy sa anumang gawa ng panlilinlang upang makakuha ng pinansiyal na kalamangan. Ang mga mapanlinlang na benta o mga scam na isinasagawa sa mga pampublikong espasyo ay maaaring kasuhan sa ilalim ng estafa, na may mga parusa mula sa pagkakulong ng hanggang labing-apat (14) na taon at multa.
**Mahahalagang Pagsasaalang-alang:**
* **Pampubliko kumpara sa Pribado:** Ang katotohanan na ang krimen ay nagaganap sa isang pampublikong espasyo ay maaaring hindi gaanong makakaapekto sa parusa ngunit maaaring gawing mas malamang ang pangamba ng mga awtoridad. Maaaring magtaas ng hinala ang public visibility at humantong sa mas mabilis na interbensyon.
* **Tindi ng Pagkakasala:** Ang mga parusa ay mag-iiba depende sa kalubhaan ng pag-iwas sa buwis o mapanlinlang na aktibidad. Ang simpleng hindi pagbabayad ng maliliit na buwis ay maaaring magkaroon ng iba't ibang kahihinatnan kumpara sa isang detalyadong pampublikong scam na kinasasangkutan ng malalaking halaga ng pera.
**Mga Rekomendasyon:**
* **Kung may nakita kang krimen na nagaganap, iulat ito sa mga awtoridad.** * Philippine National Police (PNP): 186 ang kanilang hotline.
* **Kung pinaghihinalaan mo na ikaw ay isang biktima ng pandaraya sa buwis o isang pampinansyal na scam, humingi ng legal na payo** upang maunawaan ang iyong mga opsyon at posibleng maghabol ng kabayaran.
* **Sumunod sa mga regulasyon sa buwis at iwasan ang anumang aktibidad na maaaring ituring na mapanlinlang.** Sa pamamagitan ng pagsunod sa mga batas ng Pilipinas at pag-uulat ng kahina-hinalang aktibidad, maaari kang makatulong na matiyak ang isang mas patas na kapaligiran sa pananalapi para sa lahat.</v>
      </c>
      <c r="F1937" s="2">
        <f t="shared" si="1"/>
        <v>8</v>
      </c>
      <c r="G1937" s="2"/>
      <c r="H1937" s="2"/>
      <c r="I1937" s="2"/>
      <c r="J1937" s="2"/>
      <c r="K1937" s="2"/>
      <c r="L1937" s="2"/>
      <c r="M1937" s="2"/>
      <c r="N1937" s="2"/>
      <c r="O1937" s="2"/>
      <c r="P1937" s="2"/>
      <c r="Q1937" s="2"/>
      <c r="R1937" s="2"/>
      <c r="S1937" s="2"/>
      <c r="T1937" s="2"/>
      <c r="U1937" s="2"/>
      <c r="V1937" s="2"/>
      <c r="W1937" s="2"/>
      <c r="X1937" s="2"/>
      <c r="Y1937" s="2"/>
      <c r="Z1937" s="2"/>
      <c r="AA1937" s="2"/>
    </row>
    <row r="1938">
      <c r="A1938" s="1" t="s">
        <v>4698</v>
      </c>
      <c r="B1938" s="1" t="s">
        <v>4858</v>
      </c>
      <c r="C1938" s="1" t="s">
        <v>4916</v>
      </c>
      <c r="D1938" s="2" t="str">
        <f>IFERROR(__xludf.DUMMYFUNCTION("GOOGLETRANSLATE(B1938, ""en"", ""TL"")"),"Paano tinutugunan sa ilalim ng batas ng Pilipinas ang krimen ng public conspiracy to commit human trafficking o illegal recruitment?")</f>
        <v>Paano tinutugunan sa ilalim ng batas ng Pilipinas ang krimen ng public conspiracy to commit human trafficking o illegal recruitment?</v>
      </c>
      <c r="E1938" s="2" t="str">
        <f>IFERROR(__xludf.DUMMYFUNCTION("GOOGLETRANSLATE(C1938, ""en"", ""TL"")"),"Ang Pilipinas ay may matibay na batas laban sa human trafficking at illegal recruitment, at ang pampublikong pagsasabwatan upang gawin ang mga krimeng ito ay sineseryoso. Narito kung paano tinutugunan ng batas ng Pilipinas ang partikular na pagkakasala na"&amp;" ito:
**Mga Kaugnay na Batas:**
* **Republic Act No. 9208 o ang Anti-Trafficking in Persons Act of 2003, gaya ng sinusugan ng RA 10364:** Ito ang pangunahing batas laban sa human trafficking.
* **Seksyon 6:** Ang seksyong ito ay nagpaparusa sa trafficking"&amp;" ng mga tao, na maaaring may kinalaman sa pangangalap, transportasyon, pagkukulong, o paggamit ng isang tao sa pamamagitan ng puwersa, pandaraya, pamimilit, o panlilinlang. * **Seksyon 4(a):** Ang seksyong ito ay partikular na binanggit ang pagsasabwatan "&amp;"upang gawin ang alinman sa mga gawain ng trafficking ng mga tao.
* **Republic Act No. 8042 o ang Migrant Workers and Overseas Filipinos Act of 1995:** Pinoprotektahan ng batas na ito ang mga manggagawang Pilipino na pupunta sa ibang bansa.
* **Seksyon 18:"&amp;"** Ipinagbabawal ng seksyong ito ang mga ilegal na gawain sa pangangalap.
* **Seksyon 20:** Katulad ng Anti-Trafficking in Persons Act, pinaparusahan din nito ang pagsasabwatan upang gumawa ng iligal na recruitment.
**Public Conspiracy:**
* Ito ay tumutuk"&amp;"oy sa pagpaplano o pagsang-ayon na gumawa ng krimen nang hayagan o sa paraang maaaring marinig o matuklasan ng iba. Ang mga pampublikong talakayan tungkol sa pag-recruit ng mga tao para sa sapilitang paggawa, sekswal na pagsasamantala, o iba pang anyo ng "&amp;"trafficking sa isang pampublikong espasyo ay maaaring ituring na pampublikong pagsasabwatan.
**Mga Parusa:**
* Ang mga parusa para sa human trafficking at illegal recruitment ay maaaring maging malubha, kabilang ang habambuhay na pagkakakulong at mabigat "&amp;"na multa. * Ang mga partikular na parusa para sa pampublikong pagsasabwatan ay depende sa nilalayong kalubhaan ng paglabag sa trafficking o ilegal na pangangalap na pinaplano.
**Paano Mag-ulat:**
* Kung pinaghihinalaan mo o narinig ang mga talakayan tungk"&amp;"ol sa pagpaplano ng human trafficking o ilegal na pangangalap sa publiko, iulat ito kaagad sa mga awtoridad. * Philippine National Police (PNP) hotline 186
* Inter-Agency Council Against Trafficking (IACAT)
* Bureau of Immigration (BI)
**Tandaan:** Ang ka"&amp;"ligtasan ng publiko at ang proteksyon ng mga mahihinang indibidwal ay pinakamahalaga. Sa pamamagitan ng pag-unawa sa batas at pag-uulat ng kahina-hinalang aktibidad, maaari kang makatulong na maiwasan ang human trafficking at ilegal na pangangalap.")</f>
        <v>Ang Pilipinas ay may matibay na batas laban sa human trafficking at illegal recruitment, at ang pampublikong pagsasabwatan upang gawin ang mga krimeng ito ay sineseryoso. Narito kung paano tinutugunan ng batas ng Pilipinas ang partikular na pagkakasala na ito:
**Mga Kaugnay na Batas:**
* **Republic Act No. 9208 o ang Anti-Trafficking in Persons Act of 2003, gaya ng sinusugan ng RA 10364:** Ito ang pangunahing batas laban sa human trafficking.
* **Seksyon 6:** Ang seksyong ito ay nagpaparusa sa trafficking ng mga tao, na maaaring may kinalaman sa pangangalap, transportasyon, pagkukulong, o paggamit ng isang tao sa pamamagitan ng puwersa, pandaraya, pamimilit, o panlilinlang. * **Seksyon 4(a):** Ang seksyong ito ay partikular na binanggit ang pagsasabwatan upang gawin ang alinman sa mga gawain ng trafficking ng mga tao.
* **Republic Act No. 8042 o ang Migrant Workers and Overseas Filipinos Act of 1995:** Pinoprotektahan ng batas na ito ang mga manggagawang Pilipino na pupunta sa ibang bansa.
* **Seksyon 18:** Ipinagbabawal ng seksyong ito ang mga ilegal na gawain sa pangangalap.
* **Seksyon 20:** Katulad ng Anti-Trafficking in Persons Act, pinaparusahan din nito ang pagsasabwatan upang gumawa ng iligal na recruitment.
**Public Conspiracy:**
* Ito ay tumutukoy sa pagpaplano o pagsang-ayon na gumawa ng krimen nang hayagan o sa paraang maaaring marinig o matuklasan ng iba. Ang mga pampublikong talakayan tungkol sa pag-recruit ng mga tao para sa sapilitang paggawa, sekswal na pagsasamantala, o iba pang anyo ng trafficking sa isang pampublikong espasyo ay maaaring ituring na pampublikong pagsasabwatan.
**Mga Parusa:**
* Ang mga parusa para sa human trafficking at illegal recruitment ay maaaring maging malubha, kabilang ang habambuhay na pagkakakulong at mabigat na multa. * Ang mga partikular na parusa para sa pampublikong pagsasabwatan ay depende sa nilalayong kalubhaan ng paglabag sa trafficking o ilegal na pangangalap na pinaplano.
**Paano Mag-ulat:**
* Kung pinaghihinalaan mo o narinig ang mga talakayan tungkol sa pagpaplano ng human trafficking o ilegal na pangangalap sa publiko, iulat ito kaagad sa mga awtoridad. * Philippine National Police (PNP) hotline 186
* Inter-Agency Council Against Trafficking (IACAT)
* Bureau of Immigration (BI)
**Tandaan:** Ang kaligtasan ng publiko at ang proteksyon ng mga mahihinang indibidwal ay pinakamahalaga. Sa pamamagitan ng pag-unawa sa batas at pag-uulat ng kahina-hinalang aktibidad, maaari kang makatulong na maiwasan ang human trafficking at ilegal na pangangalap.</v>
      </c>
      <c r="F1938" s="2">
        <f t="shared" si="1"/>
        <v>6</v>
      </c>
      <c r="G1938" s="2"/>
      <c r="H1938" s="2"/>
      <c r="I1938" s="2"/>
      <c r="J1938" s="2"/>
      <c r="K1938" s="2"/>
      <c r="L1938" s="2"/>
      <c r="M1938" s="2"/>
      <c r="N1938" s="2"/>
      <c r="O1938" s="2"/>
      <c r="P1938" s="2"/>
      <c r="Q1938" s="2"/>
      <c r="R1938" s="2"/>
      <c r="S1938" s="2"/>
      <c r="T1938" s="2"/>
      <c r="U1938" s="2"/>
      <c r="V1938" s="2"/>
      <c r="W1938" s="2"/>
      <c r="X1938" s="2"/>
      <c r="Y1938" s="2"/>
      <c r="Z1938" s="2"/>
      <c r="AA1938" s="2"/>
    </row>
    <row r="1939">
      <c r="A1939" s="1" t="s">
        <v>4698</v>
      </c>
      <c r="B1939" s="1" t="s">
        <v>4917</v>
      </c>
      <c r="C1939" s="1" t="s">
        <v>4918</v>
      </c>
      <c r="D1939" s="2" t="str">
        <f>IFERROR(__xludf.DUMMYFUNCTION("GOOGLETRANSLATE(B1939, ""en"", ""TL"")"),"Anong mga legal na hakbang ang umiiral upang labanan ang mga paglabag sa kapaligiran sa antas ng kalye, tulad ng hindi tamang pagtatapon ng mga elektronikong basura sa mga pampublikong lugar?")</f>
        <v>Anong mga legal na hakbang ang umiiral upang labanan ang mga paglabag sa kapaligiran sa antas ng kalye, tulad ng hindi tamang pagtatapon ng mga elektronikong basura sa mga pampublikong lugar?</v>
      </c>
      <c r="E1939" s="2" t="str">
        <f>IFERROR(__xludf.DUMMYFUNCTION("GOOGLETRANSLATE(C1939, ""en"", ""TL"")"),"Ang Pilipinas ay may ilang mga legal na hakbang upang labanan ang hindi wastong pagtatapon ng mga elektronikong basura (e-waste) sa mga pampublikong lugar, na inuri bilang isang uri ng paglabag sa kapaligiran sa antas ng kalye. Narito ang isang breakdown "&amp;"ng mga nauugnay na batas at kung paano maipapatupad ang mga ito:
**Mga Batas sa Kapaligiran:**
* **Republic Act No. 6969 o ang Toxic Substances and Hazardous Wastes Control Act of 1990:** Ito ang pangunahing batas na kumokontrol sa mga mapanganib na mater"&amp;"yales sa Pilipinas.
* **Seksyon 26:** Ang seksyong ito ay partikular na nagbabawal sa hindi wastong pagtatapon ng mga mapanganib na basura. Ang e-waste ay kadalasang naglalaman ng mga nakakalason na sangkap tulad ng lead, mercury, at cadmium, na ginagawa "&amp;"itong mapanganib na basura. Kasama sa mga parusa ang pagkakulong ng hanggang sampung (10) taon at mabigat na multa.
* **Seksyon 27:** Nag-uutos din ito ng wastong pag-iimbak at pagdadala ng mga mapanganib na materyales. Nalalapat ito sa mga nangongolekta "&amp;"o nagdadala ng e-waste nang ilegal.
* **Ecological Solid Waste Management Act (Republic Act No. 9003):** Nakatuon ang batas na ito sa wastong mga gawi sa pamamahala ng basura.
* **Seksyon 4:** Inuuri ng seksyong ito ang iba't ibang uri ng basura, kabilang"&amp;" ang mga mapanganib na basura. Ang e-waste ay nasa ilalim ng kategoryang ito. Ang hindi tamang pagtatapon ng anumang uri ng uri ng basura ay isang pagkakasala.
**Pagpapatupad:**
* **Environmental Management Bureau (EMB):** Itong ahensya ng gobyerno sa ila"&amp;"lim ng Department of Environment and Natural Resources (DENR) ay may pananagutan sa pagpapatupad ng mga batas sa kapaligiran. Maaari silang magsagawa ng mga inspeksyon, hulihin ang mga lumalabag, at magsampa ng mga kaso.
* **Local Government Units (LGUs):"&amp;"** Ang mga lungsod at munisipalidad ay may awtoridad na magpatibay ng mga ordinansang partikular sa kanilang mga lugar. Ang mga ordinansang ito ay maaaring magdetalye ng wastong mga pamamaraan sa pagtatapon ng e-waste at kaukulang mga parusa para sa mga p"&amp;"aglabag, kabilang ang mga paglabag sa antas ng kalye. * **Mga Opisyal ng Eco ng Barangay:** Ang mga barangay (ang pinakamaliit na yunit ng lokal na pamahalaan) ay maaaring may mga itinalagang eco officer na maaaring magmonitor ng mga gawi sa pagtatapon ng"&amp;" basura at mag-ulat ng mga paglabag sa pagtatapon ng e-waste sa mga tamang awtoridad.
**Mga Karagdagang Panukala:**
* **Extended Producer Responsibility (EPR):** Ito ay isang patakaran na pinapanagutan ang mga manufacturer para sa pagkolekta at pag-recycl"&amp;"e ng kanilang mga produkto sa pagtatapos ng kanilang lifespan. Ang Pilipinas ay bumubuo ng isang EPR framework para sa e-waste, na magbibigay-insentibo sa wastong pamamaraan ng pagtatapon.
* **E-waste Take-Back Programs:** Nag-aalok ang ilang mga manufact"&amp;"urer at retailer ng mga take-back program kung saan maaaring dalhin ng mga consumer ang kanilang mga lumang electronics para sa wastong pag-recycle o pagtatapon.
**Ano ang magagawa mo:**
* **Mag-ulat ng hindi wastong pagtatapon ng e-waste:** Kung nakakita"&amp;" ka ng taong nagtatapon ng e-waste sa mga pampublikong lugar, iulat ito sa EMB, sa iyong lokal na kapitan ng barangay, o sa lokal na tanggapang pangkapaligiran. * **Maghanap ng mga awtorisadong e-waste collection point:** Huwag itapon ang e-waste gamit an"&amp;"g regular na basura. Maghanap ng mga itinalagang collection point o take-back program para sa wastong pag-recycle o pagtatapon.
* **Ipalaganap ang kamalayan:** Hikayatin ang iba na itapon ang e-waste nang responsable at i-highlight ang mga panganib sa kap"&amp;"aligiran at kalusugan ng hindi wastong pagtatapon.
Sa pamamagitan ng pagsunod sa wastong mga gawi sa pagtatapon ng e-waste, pag-uulat ng mga paglabag, at pagsuporta sa mga responsableng hakbangin, maaari kang makatulong na panatilihing malinis ang iyong k"&amp;"omunidad at protektahan ang kapaligiran.")</f>
        <v>Ang Pilipinas ay may ilang mga legal na hakbang upang labanan ang hindi wastong pagtatapon ng mga elektronikong basura (e-waste) sa mga pampublikong lugar, na inuri bilang isang uri ng paglabag sa kapaligiran sa antas ng kalye. Narito ang isang breakdown ng mga nauugnay na batas at kung paano maipapatupad ang mga ito:
**Mga Batas sa Kapaligiran:**
* **Republic Act No. 6969 o ang Toxic Substances and Hazardous Wastes Control Act of 1990:** Ito ang pangunahing batas na kumokontrol sa mga mapanganib na materyales sa Pilipinas.
* **Seksyon 26:** Ang seksyong ito ay partikular na nagbabawal sa hindi wastong pagtatapon ng mga mapanganib na basura. Ang e-waste ay kadalasang naglalaman ng mga nakakalason na sangkap tulad ng lead, mercury, at cadmium, na ginagawa itong mapanganib na basura. Kasama sa mga parusa ang pagkakulong ng hanggang sampung (10) taon at mabigat na multa.
* **Seksyon 27:** Nag-uutos din ito ng wastong pag-iimbak at pagdadala ng mga mapanganib na materyales. Nalalapat ito sa mga nangongolekta o nagdadala ng e-waste nang ilegal.
* **Ecological Solid Waste Management Act (Republic Act No. 9003):** Nakatuon ang batas na ito sa wastong mga gawi sa pamamahala ng basura.
* **Seksyon 4:** Inuuri ng seksyong ito ang iba't ibang uri ng basura, kabilang ang mga mapanganib na basura. Ang e-waste ay nasa ilalim ng kategoryang ito. Ang hindi tamang pagtatapon ng anumang uri ng uri ng basura ay isang pagkakasala.
**Pagpapatupad:**
* **Environmental Management Bureau (EMB):** Itong ahensya ng gobyerno sa ilalim ng Department of Environment and Natural Resources (DENR) ay may pananagutan sa pagpapatupad ng mga batas sa kapaligiran. Maaari silang magsagawa ng mga inspeksyon, hulihin ang mga lumalabag, at magsampa ng mga kaso.
* **Local Government Units (LGUs):** Ang mga lungsod at munisipalidad ay may awtoridad na magpatibay ng mga ordinansang partikular sa kanilang mga lugar. Ang mga ordinansang ito ay maaaring magdetalye ng wastong mga pamamaraan sa pagtatapon ng e-waste at kaukulang mga parusa para sa mga paglabag, kabilang ang mga paglabag sa antas ng kalye. * **Mga Opisyal ng Eco ng Barangay:** Ang mga barangay (ang pinakamaliit na yunit ng lokal na pamahalaan) ay maaaring may mga itinalagang eco officer na maaaring magmonitor ng mga gawi sa pagtatapon ng basura at mag-ulat ng mga paglabag sa pagtatapon ng e-waste sa mga tamang awtoridad.
**Mga Karagdagang Panukala:**
* **Extended Producer Responsibility (EPR):** Ito ay isang patakaran na pinapanagutan ang mga manufacturer para sa pagkolekta at pag-recycle ng kanilang mga produkto sa pagtatapos ng kanilang lifespan. Ang Pilipinas ay bumubuo ng isang EPR framework para sa e-waste, na magbibigay-insentibo sa wastong pamamaraan ng pagtatapon.
* **E-waste Take-Back Programs:** Nag-aalok ang ilang mga manufacturer at retailer ng mga take-back program kung saan maaaring dalhin ng mga consumer ang kanilang mga lumang electronics para sa wastong pag-recycle o pagtatapon.
**Ano ang magagawa mo:**
* **Mag-ulat ng hindi wastong pagtatapon ng e-waste:** Kung nakakita ka ng taong nagtatapon ng e-waste sa mga pampublikong lugar, iulat ito sa EMB, sa iyong lokal na kapitan ng barangay, o sa lokal na tanggapang pangkapaligiran. * **Maghanap ng mga awtorisadong e-waste collection point:** Huwag itapon ang e-waste gamit ang regular na basura. Maghanap ng mga itinalagang collection point o take-back program para sa wastong pag-recycle o pagtatapon.
* **Ipalaganap ang kamalayan:** Hikayatin ang iba na itapon ang e-waste nang responsable at i-highlight ang mga panganib sa kapaligiran at kalusugan ng hindi wastong pagtatapon.
Sa pamamagitan ng pagsunod sa wastong mga gawi sa pagtatapon ng e-waste, pag-uulat ng mga paglabag, at pagsuporta sa mga responsableng hakbangin, maaari kang makatulong na panatilihing malinis ang iyong komunidad at protektahan ang kapaligiran.</v>
      </c>
      <c r="F1939" s="2">
        <f t="shared" si="1"/>
        <v>0</v>
      </c>
      <c r="G1939" s="2"/>
      <c r="H1939" s="2"/>
      <c r="I1939" s="2"/>
      <c r="J1939" s="2"/>
      <c r="K1939" s="2"/>
      <c r="L1939" s="2"/>
      <c r="M1939" s="2"/>
      <c r="N1939" s="2"/>
      <c r="O1939" s="2"/>
      <c r="P1939" s="2"/>
      <c r="Q1939" s="2"/>
      <c r="R1939" s="2"/>
      <c r="S1939" s="2"/>
      <c r="T1939" s="2"/>
      <c r="U1939" s="2"/>
      <c r="V1939" s="2"/>
      <c r="W1939" s="2"/>
      <c r="X1939" s="2"/>
      <c r="Y1939" s="2"/>
      <c r="Z1939" s="2"/>
      <c r="AA1939" s="2"/>
    </row>
    <row r="1940">
      <c r="A1940" s="1" t="s">
        <v>4698</v>
      </c>
      <c r="B1940" s="1" t="s">
        <v>4919</v>
      </c>
      <c r="C1940" s="1" t="s">
        <v>4920</v>
      </c>
      <c r="D1940" s="2" t="str">
        <f>IFERROR(__xludf.DUMMYFUNCTION("GOOGLETRANSLATE(B1940, ""en"", ""TL"")"),"Sa ilalim ng anong mga pangyayari ang isang tao ay maaaring makasuhan ng public conspiracy to commit election-related offenses in public spaces?")</f>
        <v>Sa ilalim ng anong mga pangyayari ang isang tao ay maaaring makasuhan ng public conspiracy to commit election-related offenses in public spaces?</v>
      </c>
      <c r="E1940" s="2" t="str">
        <f>IFERROR(__xludf.DUMMYFUNCTION("GOOGLETRANSLATE(C1940, ""en"", ""TL"")"),"Sa ilalim ng batas ng Pilipinas, partikular sa ilalim ng Omnibus Election Code (Batas Pambansa Blg. 881), ang isang tao ay maaaring kasuhan ng public conspiracy to commit election-related offenses sa mga pampublikong espasyo sa ilalim ng iba't ibang pagka"&amp;"kataon. Maaaring kabilang sa mga pangyayaring ito ang:
1. ** Pakikipagsabwatan sa Iba:** Kung may ebidensya na ang isang indibidwal ay nakipagsabwatan sa iba upang gumawa ng mga pagkakasala na may kaugnayan sa halalan sa mga pampublikong lugar, tulad ng p"&amp;"agbili ng boto, pananakot sa botante, o pagkagambala sa proseso ng elektoral, maaari silang kasuhan may sabwatan sa publiko. Ang pagsasabwatan na ito ay maaaring may kasamang tahasang mga kasunduan o implicit na pag-unawa sa mga kasangkot na partido.
2. *"&amp;"*Pagpaplano o Pag-oorganisa ng mga Ilegal na Aktibidad:** Kung ang mga indibidwal ay nagpaplano o nag-organisa ng mga ilegal na aktibidad na naglalayong maimpluwensyahan ang resulta ng isang halalan sa mga pampublikong lugar, maaari silang kasuhan ng pags"&amp;"asabwatan. Maaaring kabilang dito ang pag-oorganisa ng mga rally o pagtitipon na may layuning gumawa ng mga paglabag sa halalan, pamamahagi ng mga mapanlinlang na materyales, o pag-uugnay ng mga aksyon upang guluhin ang proseso ng pagboto.
3. **Mga Pinag-"&amp;"ugnay na Pagsisikap:** Kung may katibayan ng pinagsama-samang pagsisikap ng mga indibidwal o grupo na gumawa ng mga paglabag na may kaugnayan sa halalan sa mga pampublikong espasyo, gaya ng sa pamamagitan ng komunikasyon, magkasanib na aksyon, o pinagsasa"&amp;"luhang mapagkukunan, maaari silang kasuhan ng pagsasabwatan. Ang koordinasyong ito ay maaaring magsama ng maraming aktor na nagtutulungan upang makamit ang isang karaniwang iligal na layunin.
4. **Pag-uudyok o Paghihikayat:** Kung ang mga indibidwal ay na"&amp;"g-uudyok o naghihikayat sa iba na gumawa ng mga paglabag na may kaugnayan sa halalan sa mga pampublikong lugar, sa pamamagitan man ng mga talumpati, pamamahagi ng mga materyales, o iba pang paraan, maaari silang kasuhan ng pagsasabwatan. Maaaring kabilang"&amp;" dito ang pag-udyok sa iba na makisali sa pagbili ng boto, pananakot sa botante, o iba pang labag sa batas na aktibidad.
5. **Paggamit ng mga Pampublikong Lugar para sa mga Ilegal na Aktibidad:** Kung ang mga indibidwal ay gumagamit ng mga pampublikong es"&amp;"pasyo bilang mga lugar para sa pagsasagawa ng mga paglabag na may kaugnayan sa halalan, tulad ng pagsasagawa ng mga ilegal na aktibidad sa kampanya, pamamahagi ng mga ipinagbabawal na materyales, o paggawa ng mga karahasan o pananakot, sila maaaring kasuh"&amp;"an ng conspiracy. Kabilang dito ang mga aksyong ginawa sa mga pampublikong espasyo na may layuning sirain ang proseso ng elektoral.
Mahalagang tandaan na ang mga detalye ng pagsingil sa mga indibidwal na may pampublikong pagsasabwatan upang gumawa ng mga "&amp;"paglabag na may kaugnayan sa halalan sa mga pampublikong espasyo ay maaaring mag-iba depende sa mga kalagayan ng bawat kaso at ang ebidensyang makukuha. Ang mga ahensyang nagpapatupad ng batas at mga tagausig ay may pananagutan sa pag-iimbestiga sa mga na"&amp;"turang pagkakasala at pagsasampa ng naaangkop na mga kaso batay sa mga ebidensyang nakalap. Ang mga indibidwal na inakusahan ng gayong mga pagkakasala ay may karapatang ipagtanggol ang kanilang sarili sa korte at ipagpalagay na inosente hanggang sa mapatu"&amp;"nayang nagkasala.")</f>
        <v>Sa ilalim ng batas ng Pilipinas, partikular sa ilalim ng Omnibus Election Code (Batas Pambansa Blg. 881), ang isang tao ay maaaring kasuhan ng public conspiracy to commit election-related offenses sa mga pampublikong espasyo sa ilalim ng iba't ibang pagkakataon. Maaaring kabilang sa mga pangyayaring ito ang:
1. ** Pakikipagsabwatan sa Iba:** Kung may ebidensya na ang isang indibidwal ay nakipagsabwatan sa iba upang gumawa ng mga pagkakasala na may kaugnayan sa halalan sa mga pampublikong lugar, tulad ng pagbili ng boto, pananakot sa botante, o pagkagambala sa proseso ng elektoral, maaari silang kasuhan may sabwatan sa publiko. Ang pagsasabwatan na ito ay maaaring may kasamang tahasang mga kasunduan o implicit na pag-unawa sa mga kasangkot na partido.
2. **Pagpaplano o Pag-oorganisa ng mga Ilegal na Aktibidad:** Kung ang mga indibidwal ay nagpaplano o nag-organisa ng mga ilegal na aktibidad na naglalayong maimpluwensyahan ang resulta ng isang halalan sa mga pampublikong lugar, maaari silang kasuhan ng pagsasabwatan. Maaaring kabilang dito ang pag-oorganisa ng mga rally o pagtitipon na may layuning gumawa ng mga paglabag sa halalan, pamamahagi ng mga mapanlinlang na materyales, o pag-uugnay ng mga aksyon upang guluhin ang proseso ng pagboto.
3. **Mga Pinag-ugnay na Pagsisikap:** Kung may katibayan ng pinagsama-samang pagsisikap ng mga indibidwal o grupo na gumawa ng mga paglabag na may kaugnayan sa halalan sa mga pampublikong espasyo, gaya ng sa pamamagitan ng komunikasyon, magkasanib na aksyon, o pinagsasaluhang mapagkukunan, maaari silang kasuhan ng pagsasabwatan. Ang koordinasyong ito ay maaaring magsama ng maraming aktor na nagtutulungan upang makamit ang isang karaniwang iligal na layunin.
4. **Pag-uudyok o Paghihikayat:** Kung ang mga indibidwal ay nag-uudyok o naghihikayat sa iba na gumawa ng mga paglabag na may kaugnayan sa halalan sa mga pampublikong lugar, sa pamamagitan man ng mga talumpati, pamamahagi ng mga materyales, o iba pang paraan, maaari silang kasuhan ng pagsasabwatan. Maaaring kabilang dito ang pag-udyok sa iba na makisali sa pagbili ng boto, pananakot sa botante, o iba pang labag sa batas na aktibidad.
5. **Paggamit ng mga Pampublikong Lugar para sa mga Ilegal na Aktibidad:** Kung ang mga indibidwal ay gumagamit ng mga pampublikong espasyo bilang mga lugar para sa pagsasagawa ng mga paglabag na may kaugnayan sa halalan, tulad ng pagsasagawa ng mga ilegal na aktibidad sa kampanya, pamamahagi ng mga ipinagbabawal na materyales, o paggawa ng mga karahasan o pananakot, sila maaaring kasuhan ng conspiracy. Kabilang dito ang mga aksyong ginawa sa mga pampublikong espasyo na may layuning sirain ang proseso ng elektoral.
Mahalagang tandaan na ang mga detalye ng pagsingil sa mga indibidwal na may pampublikong pagsasabwatan upang gumawa ng mga paglabag na may kaugnayan sa halalan sa mga pampublikong espasyo ay maaaring mag-iba depende sa mga kalagayan ng bawat kaso at ang ebidensyang makukuha. Ang mga ahensyang nagpapatupad ng batas at mga tagausig ay may pananagutan sa pag-iimbestiga sa mga naturang pagkakasala at pagsasampa ng naaangkop na mga kaso batay sa mga ebidensyang nakalap. Ang mga indibidwal na inakusahan ng gayong mga pagkakasala ay may karapatang ipagtanggol ang kanilang sarili sa korte at ipagpalagay na inosente hanggang sa mapatunayang nagkasala.</v>
      </c>
      <c r="F1940" s="2">
        <f t="shared" si="1"/>
        <v>1</v>
      </c>
      <c r="G1940" s="2"/>
      <c r="H1940" s="2"/>
      <c r="I1940" s="2"/>
      <c r="J1940" s="2"/>
      <c r="K1940" s="2"/>
      <c r="L1940" s="2"/>
      <c r="M1940" s="2"/>
      <c r="N1940" s="2"/>
      <c r="O1940" s="2"/>
      <c r="P1940" s="2"/>
      <c r="Q1940" s="2"/>
      <c r="R1940" s="2"/>
      <c r="S1940" s="2"/>
      <c r="T1940" s="2"/>
      <c r="U1940" s="2"/>
      <c r="V1940" s="2"/>
      <c r="W1940" s="2"/>
      <c r="X1940" s="2"/>
      <c r="Y1940" s="2"/>
      <c r="Z1940" s="2"/>
      <c r="AA1940" s="2"/>
    </row>
    <row r="1941">
      <c r="A1941" s="1" t="s">
        <v>4698</v>
      </c>
      <c r="B1941" s="1" t="s">
        <v>4921</v>
      </c>
      <c r="C1941" s="1" t="s">
        <v>4922</v>
      </c>
      <c r="D1941" s="2" t="str">
        <f>IFERROR(__xludf.DUMMYFUNCTION("GOOGLETRANSLATE(B1941, ""en"", ""TL"")"),"Paano tinutugunan ng batas ng Pilipinas ang mga insidente ng pag-atake o panliligalig sa antas ng kalye batay sa kapansanan o pisikal na kondisyon?")</f>
        <v>Paano tinutugunan ng batas ng Pilipinas ang mga insidente ng pag-atake o panliligalig sa antas ng kalye batay sa kapansanan o pisikal na kondisyon?</v>
      </c>
      <c r="E1941" s="2" t="str">
        <f>IFERROR(__xludf.DUMMYFUNCTION("GOOGLETRANSLATE(C1941, ""en"", ""TL"")"),"Ipinagbabawal ng batas ng Pilipinas ang diskriminasyon batay sa kapansanan at nagbibigay ng mga remedyo para sa mga biktima. Narito ang isang buod:
* **Republic Act No. 7277 (Anti-Discrimination Law)**: Ipinagbabawal ng batas na ito ang diskriminasyon lab"&amp;"an sa mga taong may kapansanan sa trabaho, edukasyon, o access sa mga serbisyo. Pinoprotektahan din sila nito mula sa panliligalig. Mahahanap mo ang batas dito [https://ncda.gov.ph/disability-laws/republic-acts/republic-act-7277/](https://ncda.gov.ph/disa"&amp;"bility-laws/republic-acts /republic-act-7277/).
* **Revised Penal Code (RPC)**: Pinaparusahan din ng RPC ang ilang partikular na gawaing maaaring gawin sa panahon ng insidente ng pag-atake o panliligalig, gaya ng:
* Bahagyang pisikal na pinsala (Artikulo "&amp;"45)
* Mutilation (Artikulo 267)
* Nagbabantang karahasan (Artikulo 148)
* Mga alarma at iskandalo (Artikulo 155)
Upang maghain ng reklamo, maaari kang lumapit sa mga sumusunod na tanggapan:
* Philippine National Police (PNP)
* National Bureau of Investiga"&amp;"tion (NBI)
* Commission on Human Rights (CHR)
Para sa legal na tulong, maaari ka ring makipag-ugnayan sa:
* Public Attorney's Office (PAO)
* Mga korte na may sala na itinalaga para sa mga kaso na kinasasangkutan ng mga taong may kapansanan
Inirerekomenda "&amp;"ko ang pagkonsulta sa isang abogado upang talakayin ang mga detalye ng iyong kaso at matukoy ang pinakaangkop na paraan ng pagkilos.")</f>
        <v>Ipinagbabawal ng batas ng Pilipinas ang diskriminasyon batay sa kapansanan at nagbibigay ng mga remedyo para sa mga biktima. Narito ang isang buod:
* **Republic Act No. 7277 (Anti-Discrimination Law)**: Ipinagbabawal ng batas na ito ang diskriminasyon laban sa mga taong may kapansanan sa trabaho, edukasyon, o access sa mga serbisyo. Pinoprotektahan din sila nito mula sa panliligalig. Mahahanap mo ang batas dito [https://ncda.gov.ph/disability-laws/republic-acts/republic-act-7277/](https://ncda.gov.ph/disability-laws/republic-acts /republic-act-7277/).
* **Revised Penal Code (RPC)**: Pinaparusahan din ng RPC ang ilang partikular na gawaing maaaring gawin sa panahon ng insidente ng pag-atake o panliligalig, gaya ng:
* Bahagyang pisikal na pinsala (Artikulo 45)
* Mutilation (Artikulo 267)
* Nagbabantang karahasan (Artikulo 148)
* Mga alarma at iskandalo (Artikulo 155)
Upang maghain ng reklamo, maaari kang lumapit sa mga sumusunod na tanggapan:
* Philippine National Police (PNP)
* National Bureau of Investigation (NBI)
* Commission on Human Rights (CHR)
Para sa legal na tulong, maaari ka ring makipag-ugnayan sa:
* Public Attorney's Office (PAO)
* Mga korte na may sala na itinalaga para sa mga kaso na kinasasangkutan ng mga taong may kapansanan
Inirerekomenda ko ang pagkonsulta sa isang abogado upang talakayin ang mga detalye ng iyong kaso at matukoy ang pinakaangkop na paraan ng pagkilos.</v>
      </c>
      <c r="F1941" s="2">
        <f t="shared" si="1"/>
        <v>0</v>
      </c>
      <c r="G1941" s="2"/>
      <c r="H1941" s="2"/>
      <c r="I1941" s="2"/>
      <c r="J1941" s="2"/>
      <c r="K1941" s="2"/>
      <c r="L1941" s="2"/>
      <c r="M1941" s="2"/>
      <c r="N1941" s="2"/>
      <c r="O1941" s="2"/>
      <c r="P1941" s="2"/>
      <c r="Q1941" s="2"/>
      <c r="R1941" s="2"/>
      <c r="S1941" s="2"/>
      <c r="T1941" s="2"/>
      <c r="U1941" s="2"/>
      <c r="V1941" s="2"/>
      <c r="W1941" s="2"/>
      <c r="X1941" s="2"/>
      <c r="Y1941" s="2"/>
      <c r="Z1941" s="2"/>
      <c r="AA1941" s="2"/>
    </row>
    <row r="1942">
      <c r="A1942" s="1" t="s">
        <v>4698</v>
      </c>
      <c r="B1942" s="1" t="s">
        <v>4923</v>
      </c>
      <c r="C1942" s="1" t="s">
        <v>4924</v>
      </c>
      <c r="D1942" s="2" t="str">
        <f>IFERROR(__xludf.DUMMYFUNCTION("GOOGLETRANSLATE(B1942, ""en"", ""TL"")"),"Anong mga parusa ang naaangkop para sa pagsali sa hindi awtorisadong pagbebenta o pamamahagi ng mga ipinagbabawal o malaswang materyales sa pampublikong transportasyon?")</f>
        <v>Anong mga parusa ang naaangkop para sa pagsali sa hindi awtorisadong pagbebenta o pamamahagi ng mga ipinagbabawal o malaswang materyales sa pampublikong transportasyon?</v>
      </c>
      <c r="E1942" s="2" t="str">
        <f>IFERROR(__xludf.DUMMYFUNCTION("GOOGLETRANSLATE(C1942, ""en"", ""TL"")"),"Ang mga parusa sa pagbebenta o pamamahagi ng mga ipinagbabawal o malalaswang materyales sa pampublikong transportasyon sa Pilipinas ay nakadepende sa uri ng materyal at sa partikular na batas na nilabag. Narito ang isang breakdown ng dalawang potensyal na"&amp;" paglabag:
**1. Mga malaswang Publication:**
* **Revised Penal Code (RPC) Article 201:** Ang artikulong ito ay nagpaparusa sa produksyon, pag-aangkat, pagbebenta, eksibisyon, at pagkakaroon ng mga malalaswang publikasyon. * Parusa: Hanggang **anim na taon"&amp;"g pagkakakulong** at multa mula **Php6,000.00 hanggang Php200,00.00**.
**2. Anti-Trafficking in Persons Act (Republic Act No. 10368):**
* Nalalapat ang batas na ito kung ang mga materyal na ibinebenta o ipinamamahagi ay itinuturing na child pornography o "&amp;"nagpo-promote ng pang-aabusong sekswal sa bata.
* Parusa: **Reclusion perpetua (habang buhay na pagkakakulong)** at multa mula **Php500,000.00 hanggang Php5,000,000.00**. * Karagdagang parusa: Palaging madiskuwalipika sa paghawak ng pampublikong tungkulin"&amp;" kung ang nagkasala ay empleyado ng gobyerno.
**Mahalagang Paalala:**
* Maaaring may mga partikular na regulasyon na inilabas ng Land Transportation Office (LTO) o ng Department of Transportation (DOTr) tungkol sa pag-uugali ng pampublikong transportasyon"&amp;". Ang mga regulasyong ito ay maaaring may mga karagdagang multa para sa pagbebenta ng mga hindi awtorisadong materyales. **Rekomendasyon:**
* Bagama't walang partikular na batas na direktang tumutugon sa pagbebenta ng mga ipinagbabawal na materyales sa pa"&amp;"mpublikong transportasyon, ang mga nabanggit na batas ay maaaring ilapat depende sa nilalaman ng mga materyales.
* Pinakamainam na kumunsulta sa isang abogado para sa isang mas komprehensibong pagsusuri batay sa mga partikular na detalye ng sitwasyon.")</f>
        <v>Ang mga parusa sa pagbebenta o pamamahagi ng mga ipinagbabawal o malalaswang materyales sa pampublikong transportasyon sa Pilipinas ay nakadepende sa uri ng materyal at sa partikular na batas na nilabag. Narito ang isang breakdown ng dalawang potensyal na paglabag:
**1. Mga malaswang Publication:**
* **Revised Penal Code (RPC) Article 201:** Ang artikulong ito ay nagpaparusa sa produksyon, pag-aangkat, pagbebenta, eksibisyon, at pagkakaroon ng mga malalaswang publikasyon. * Parusa: Hanggang **anim na taong pagkakakulong** at multa mula **Php6,000.00 hanggang Php200,00.00**.
**2. Anti-Trafficking in Persons Act (Republic Act No. 10368):**
* Nalalapat ang batas na ito kung ang mga materyal na ibinebenta o ipinamamahagi ay itinuturing na child pornography o nagpo-promote ng pang-aabusong sekswal sa bata.
* Parusa: **Reclusion perpetua (habang buhay na pagkakakulong)** at multa mula **Php500,000.00 hanggang Php5,000,000.00**. * Karagdagang parusa: Palaging madiskuwalipika sa paghawak ng pampublikong tungkulin kung ang nagkasala ay empleyado ng gobyerno.
**Mahalagang Paalala:**
* Maaaring may mga partikular na regulasyon na inilabas ng Land Transportation Office (LTO) o ng Department of Transportation (DOTr) tungkol sa pag-uugali ng pampublikong transportasyon. Ang mga regulasyong ito ay maaaring may mga karagdagang multa para sa pagbebenta ng mga hindi awtorisadong materyales. **Rekomendasyon:**
* Bagama't walang partikular na batas na direktang tumutugon sa pagbebenta ng mga ipinagbabawal na materyales sa pampublikong transportasyon, ang mga nabanggit na batas ay maaaring ilapat depende sa nilalaman ng mga materyales.
* Pinakamainam na kumunsulta sa isang abogado para sa isang mas komprehensibong pagsusuri batay sa mga partikular na detalye ng sitwasyon.</v>
      </c>
      <c r="F1942" s="2">
        <f t="shared" si="1"/>
        <v>1</v>
      </c>
      <c r="G1942" s="2"/>
      <c r="H1942" s="2"/>
      <c r="I1942" s="2"/>
      <c r="J1942" s="2"/>
      <c r="K1942" s="2"/>
      <c r="L1942" s="2"/>
      <c r="M1942" s="2"/>
      <c r="N1942" s="2"/>
      <c r="O1942" s="2"/>
      <c r="P1942" s="2"/>
      <c r="Q1942" s="2"/>
      <c r="R1942" s="2"/>
      <c r="S1942" s="2"/>
      <c r="T1942" s="2"/>
      <c r="U1942" s="2"/>
      <c r="V1942" s="2"/>
      <c r="W1942" s="2"/>
      <c r="X1942" s="2"/>
      <c r="Y1942" s="2"/>
      <c r="Z1942" s="2"/>
      <c r="AA1942" s="2"/>
    </row>
    <row r="1943">
      <c r="A1943" s="1" t="s">
        <v>4698</v>
      </c>
      <c r="B1943" s="1" t="s">
        <v>4925</v>
      </c>
      <c r="C1943" s="1" t="s">
        <v>4926</v>
      </c>
      <c r="D1943" s="2" t="str">
        <f>IFERROR(__xludf.DUMMYFUNCTION("GOOGLETRANSLATE(B1943, ""en"", ""TL"")"),"Anong mga legal na probisyon ang kumokontrol sa pagmamay-ari at paggamit ng mga hindi awtorisadong surveillance device sa mga pampublikong espasyo malapit sa mga opisina ng gobyerno?")</f>
        <v>Anong mga legal na probisyon ang kumokontrol sa pagmamay-ari at paggamit ng mga hindi awtorisadong surveillance device sa mga pampublikong espasyo malapit sa mga opisina ng gobyerno?</v>
      </c>
      <c r="E1943" s="2" t="str">
        <f>IFERROR(__xludf.DUMMYFUNCTION("GOOGLETRANSLATE(C1943, ""en"", ""TL"")"),"Walang iisang partikular na probisyon ang batas ng Pilipinas na tumutugon lamang sa mga hindi awtorisadong surveillance device sa mga pampublikong espasyo malapit sa mga opisina ng gobyerno. Gayunpaman, maraming batas at regulasyon ang maaaring bigyang-ka"&amp;"hulugan upang masakop ang sitwasyong ito:
1. **Republic Act No. 3875 (Ang Binagong Kodigo Penal):**
* **Artikulo 148 (Nagbabantang Karahasan):** Nalalapat ito kung ang pagsubaybay ay nilayon upang takutin o harass ang mga indibidwal na malapit sa mga tang"&amp;"gapan ng gobyerno.
* **Artikulo 267 (Mutilation):** Ito ay isang malayong posibilidad, ngunit maaari itong magamit kung ang surveillance device ay nagsasangkot ng pisikal na pakikialam sa ari-arian ng isang tao.
2. **Republic Act No. 10173 (Data Privacy A"&amp;"ct of 2012):**
* Pinoprotektahan ng batas na ito ang privacy ng personal na impormasyon. Bagama't hindi nito direktang tinutugunan ang mga device sa pagsubaybay, maaari itong pagtalunan na ang hindi awtorisadong pag-record sa mga pampublikong espasyo ay p"&amp;"osibleng makakuha ng personal na impormasyon. 3. **Mga Espesyal na Batas ng Ilang Ahensya ng Gobyerno:** * Ang ilang ahensya ng gobyerno ay maaaring may sariling mga regulasyon tungkol sa seguridad at pagsubaybay sa loob ng kanilang mga lugar o mga kalapi"&amp;"t na lugar. Ang mga regulasyong ito ay maaaring umabot sa mga pampublikong espasyo at paghigpitan ang mga hindi awtorisadong recording device.
4. ** Makatwirang Pag-asa ng Privacy:**
* Bagama't hindi naka-code sa iisang batas, ang mga Pilipino ay may maka"&amp;"twirang pag-asa ng pagkapribado sa mga pampublikong espasyo, lalo na malapit sa mga tanggapan ng gobyerno kung saan maaaring mangyari ang mga sensitibong aktibidad. Ang hindi awtorisadong pagsubaybay ay maaaring makita bilang isang panghihimasok sa inaasa"&amp;"han na ito.
**Mahalagang Tandaan:**
* Ang interpretasyon at pagpapatupad ng mga batas na ito ay maaaring mag-iba depende sa partikular na mga pangyayari.
**Mga Rekomendasyon:**
* Kung makatagpo ka ng hindi awtorisadong surveillance device malapit sa opisi"&amp;"na ng gobyerno, maaari mong iulat ang mga ito sa mga awtoridad. * Ang Philippine National Police (PNP) o ang mga security personnel ng partikular na tanggapan ng gobyerno ay magandang panimulang punto.
* Kung naniniwala ka na ang iyong privacy ay nilalaba"&amp;"g sa pamamagitan ng hindi awtorisadong pagsubaybay, maaari mong isaalang-alang ang paghanap ng legal na payo upang tuklasin ang mga potensyal na legal na opsyon.")</f>
        <v>Walang iisang partikular na probisyon ang batas ng Pilipinas na tumutugon lamang sa mga hindi awtorisadong surveillance device sa mga pampublikong espasyo malapit sa mga opisina ng gobyerno. Gayunpaman, maraming batas at regulasyon ang maaaring bigyang-kahulugan upang masakop ang sitwasyong ito:
1. **Republic Act No. 3875 (Ang Binagong Kodigo Penal):**
* **Artikulo 148 (Nagbabantang Karahasan):** Nalalapat ito kung ang pagsubaybay ay nilayon upang takutin o harass ang mga indibidwal na malapit sa mga tanggapan ng gobyerno.
* **Artikulo 267 (Mutilation):** Ito ay isang malayong posibilidad, ngunit maaari itong magamit kung ang surveillance device ay nagsasangkot ng pisikal na pakikialam sa ari-arian ng isang tao.
2. **Republic Act No. 10173 (Data Privacy Act of 2012):**
* Pinoprotektahan ng batas na ito ang privacy ng personal na impormasyon. Bagama't hindi nito direktang tinutugunan ang mga device sa pagsubaybay, maaari itong pagtalunan na ang hindi awtorisadong pag-record sa mga pampublikong espasyo ay posibleng makakuha ng personal na impormasyon. 3. **Mga Espesyal na Batas ng Ilang Ahensya ng Gobyerno:** * Ang ilang ahensya ng gobyerno ay maaaring may sariling mga regulasyon tungkol sa seguridad at pagsubaybay sa loob ng kanilang mga lugar o mga kalapit na lugar. Ang mga regulasyong ito ay maaaring umabot sa mga pampublikong espasyo at paghigpitan ang mga hindi awtorisadong recording device.
4. ** Makatwirang Pag-asa ng Privacy:**
* Bagama't hindi naka-code sa iisang batas, ang mga Pilipino ay may makatwirang pag-asa ng pagkapribado sa mga pampublikong espasyo, lalo na malapit sa mga tanggapan ng gobyerno kung saan maaaring mangyari ang mga sensitibong aktibidad. Ang hindi awtorisadong pagsubaybay ay maaaring makita bilang isang panghihimasok sa inaasahan na ito.
**Mahalagang Tandaan:**
* Ang interpretasyon at pagpapatupad ng mga batas na ito ay maaaring mag-iba depende sa partikular na mga pangyayari.
**Mga Rekomendasyon:**
* Kung makatagpo ka ng hindi awtorisadong surveillance device malapit sa opisina ng gobyerno, maaari mong iulat ang mga ito sa mga awtoridad. * Ang Philippine National Police (PNP) o ang mga security personnel ng partikular na tanggapan ng gobyerno ay magandang panimulang punto.
* Kung naniniwala ka na ang iyong privacy ay nilalabag sa pamamagitan ng hindi awtorisadong pagsubaybay, maaari mong isaalang-alang ang paghanap ng legal na payo upang tuklasin ang mga potensyal na legal na opsyon.</v>
      </c>
      <c r="F1943" s="2">
        <f t="shared" si="1"/>
        <v>6</v>
      </c>
      <c r="G1943" s="2"/>
      <c r="H1943" s="2"/>
      <c r="I1943" s="2"/>
      <c r="J1943" s="2"/>
      <c r="K1943" s="2"/>
      <c r="L1943" s="2"/>
      <c r="M1943" s="2"/>
      <c r="N1943" s="2"/>
      <c r="O1943" s="2"/>
      <c r="P1943" s="2"/>
      <c r="Q1943" s="2"/>
      <c r="R1943" s="2"/>
      <c r="S1943" s="2"/>
      <c r="T1943" s="2"/>
      <c r="U1943" s="2"/>
      <c r="V1943" s="2"/>
      <c r="W1943" s="2"/>
      <c r="X1943" s="2"/>
      <c r="Y1943" s="2"/>
      <c r="Z1943" s="2"/>
      <c r="AA1943" s="2"/>
    </row>
    <row r="1944">
      <c r="A1944" s="1" t="s">
        <v>4698</v>
      </c>
      <c r="B1944" s="1" t="s">
        <v>4870</v>
      </c>
      <c r="C1944" s="1" t="s">
        <v>4927</v>
      </c>
      <c r="D1944" s="2" t="str">
        <f>IFERROR(__xludf.DUMMYFUNCTION("GOOGLETRANSLATE(B1944, ""en"", ""TL"")"),"Paano tinutugunan sa ilalim ng batas ng Pilipinas ang pagkakasala ng pampublikong pagsasabwatan upang gumawa ng mga online scam o cyber fraud?")</f>
        <v>Paano tinutugunan sa ilalim ng batas ng Pilipinas ang pagkakasala ng pampublikong pagsasabwatan upang gumawa ng mga online scam o cyber fraud?</v>
      </c>
      <c r="E1944" s="2" t="str">
        <f>IFERROR(__xludf.DUMMYFUNCTION("GOOGLETRANSLATE(C1944, ""en"", ""TL"")"),"Ang pampublikong pagsasabwatan upang gumawa ng mga online scam o cyber fraud ay maaaring matugunan sa ilalim ng ilang mga batas ng Pilipinas, depende sa mga partikular na detalye ng sabwatan at ang nakaplanong scam mismo. Narito ang isang breakdown ng mga"&amp;" nauugnay na batas:
**1. Republic Act No. 10175 (Cybercrime Prevention Act of 2012):**
* Ito ang pangunahing batas na tumatalakay sa mga online scam at cyber fraud sa Pilipinas.
* **Seksyon 26 (Conspiracy to Commit Cybercrime):** Pinarusahan ang pagsasabw"&amp;"atan upang gumawa ng anumang cybercrime na tinukoy sa ilalim ng Act. Kabilang dito ang mga paglabag na nauugnay sa pandaraya tulad ng:
* **Mga Paglabag sa Data (Seksyon 17):** Hindi awtorisadong pag-access o pagharang ng data ng computer.
* **Ilegal na Pa"&amp;"g-access (Seksyon 19):** Pag-access sa isang computer system o network nang walang awtoridad.
* **Maling Paggamit ng Computer (Seksyon 25):** Panghihimasok sa data, system, o network upang magdulot ng pinsala.
* Parusa: Pagkakulong mula **tatlo (3) hangga"&amp;"ng sampung (10) taon** at multa mula **Php100,000.00 hanggang Php1,000,000.00**.
**2. Artikulo 88 (Conspiracy) ng Revised Penal Code (RPC):**
* Ang pangkalahatang pagsasabwatan na probisyon ng RPC ay maaari ding ilapat kung ang nakaplanong online scam o c"&amp;"yber fraud ay bumubuo ng isang krimen sa ilalim ng RPC, tulad ng:
* Estafa (Artikulo 315): Mapanlinlang na paglalaan ng ari-arian.
**3. Republic Act No. 9160 (Ang Anti-Money Laundering Act):**
* Nalalapat ang batas na ito kung ang mga nalikom mula sa naka"&amp;"planong online scam o cyber fraud ay nilalayong i-launder.
* Parusa: Hanggang **walong (8) taong pagkakakulong** at multa mula **Php100,000.00 hanggang Php10,000,000.00**.
**Mahalagang Tandaan:**
* Ang mga partikular na parusa ay depende sa bigat ng pagka"&amp;"kasala at ang pinsalang dulot ng nakaplanong scam.
**Mga Rekomendasyon:**
* Kung pinaghihinalaan mo o may kaalaman ka sa isang pampublikong pagsasabwatan upang gumawa ng mga online scam o cyber fraud, iulat ito sa mga awtoridad.
* Philippine National Poli"&amp;"ce (PNP) Anti-Cybercrime Unit
* National Bureau of Investigation (NBI)
* Maaari mo ring iulat ang mga aktibidad na ito online sa pamamagitan ng reporting portal ng Department of Justice (DOJ): [https://cybercrime.doj.gov.ph/](https://cybercrime.doj.gov.ph"&amp;"/)")</f>
        <v>Ang pampublikong pagsasabwatan upang gumawa ng mga online scam o cyber fraud ay maaaring matugunan sa ilalim ng ilang mga batas ng Pilipinas, depende sa mga partikular na detalye ng sabwatan at ang nakaplanong scam mismo. Narito ang isang breakdown ng mga nauugnay na batas:
**1. Republic Act No. 10175 (Cybercrime Prevention Act of 2012):**
* Ito ang pangunahing batas na tumatalakay sa mga online scam at cyber fraud sa Pilipinas.
* **Seksyon 26 (Conspiracy to Commit Cybercrime):** Pinarusahan ang pagsasabwatan upang gumawa ng anumang cybercrime na tinukoy sa ilalim ng Act. Kabilang dito ang mga paglabag na nauugnay sa pandaraya tulad ng:
* **Mga Paglabag sa Data (Seksyon 17):** Hindi awtorisadong pag-access o pagharang ng data ng computer.
* **Ilegal na Pag-access (Seksyon 19):** Pag-access sa isang computer system o network nang walang awtoridad.
* **Maling Paggamit ng Computer (Seksyon 25):** Panghihimasok sa data, system, o network upang magdulot ng pinsala.
* Parusa: Pagkakulong mula **tatlo (3) hanggang sampung (10) taon** at multa mula **Php100,000.00 hanggang Php1,000,000.00**.
**2. Artikulo 88 (Conspiracy) ng Revised Penal Code (RPC):**
* Ang pangkalahatang pagsasabwatan na probisyon ng RPC ay maaari ding ilapat kung ang nakaplanong online scam o cyber fraud ay bumubuo ng isang krimen sa ilalim ng RPC, tulad ng:
* Estafa (Artikulo 315): Mapanlinlang na paglalaan ng ari-arian.
**3. Republic Act No. 9160 (Ang Anti-Money Laundering Act):**
* Nalalapat ang batas na ito kung ang mga nalikom mula sa nakaplanong online scam o cyber fraud ay nilalayong i-launder.
* Parusa: Hanggang **walong (8) taong pagkakakulong** at multa mula **Php100,000.00 hanggang Php10,000,000.00**.
**Mahalagang Tandaan:**
* Ang mga partikular na parusa ay depende sa bigat ng pagkakasala at ang pinsalang dulot ng nakaplanong scam.
**Mga Rekomendasyon:**
* Kung pinaghihinalaan mo o may kaalaman ka sa isang pampublikong pagsasabwatan upang gumawa ng mga online scam o cyber fraud, iulat ito sa mga awtoridad.
* Philippine National Police (PNP) Anti-Cybercrime Unit
* National Bureau of Investigation (NBI)
* Maaari mo ring iulat ang mga aktibidad na ito online sa pamamagitan ng reporting portal ng Department of Justice (DOJ): [https://cybercrime.doj.gov.ph/](https://cybercrime.doj.gov.ph/)</v>
      </c>
      <c r="F1944" s="2">
        <f t="shared" si="1"/>
        <v>0</v>
      </c>
      <c r="G1944" s="2"/>
      <c r="H1944" s="2"/>
      <c r="I1944" s="2"/>
      <c r="J1944" s="2"/>
      <c r="K1944" s="2"/>
      <c r="L1944" s="2"/>
      <c r="M1944" s="2"/>
      <c r="N1944" s="2"/>
      <c r="O1944" s="2"/>
      <c r="P1944" s="2"/>
      <c r="Q1944" s="2"/>
      <c r="R1944" s="2"/>
      <c r="S1944" s="2"/>
      <c r="T1944" s="2"/>
      <c r="U1944" s="2"/>
      <c r="V1944" s="2"/>
      <c r="W1944" s="2"/>
      <c r="X1944" s="2"/>
      <c r="Y1944" s="2"/>
      <c r="Z1944" s="2"/>
      <c r="AA1944" s="2"/>
    </row>
    <row r="1945">
      <c r="A1945" s="1" t="s">
        <v>4698</v>
      </c>
      <c r="B1945" s="1" t="s">
        <v>4825</v>
      </c>
      <c r="C1945" s="1" t="s">
        <v>4928</v>
      </c>
      <c r="D1945" s="2" t="str">
        <f>IFERROR(__xludf.DUMMYFUNCTION("GOOGLETRANSLATE(B1945,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45" s="2" t="str">
        <f>IFERROR(__xludf.DUMMYFUNCTION("GOOGLETRANSLATE(C1945, ""en"", ""TL"")"),"Walang isa, partikular na batas sa Pilipinas na direktang tumutugon sa pag-iwas sa buwis sa antas ng kalye o mga mapanlinlang na aktibidad sa pananalapi sa mga pampublikong espasyo. Gayunpaman, depende sa uri ng aktibidad, maraming batas at parusa ang maa"&amp;"aring ilapat. Narito ang isang breakdown ng mga posibilidad:
**1. Pag-iwas sa Buwis:**
* **Tax Code (Republic Act No. 8424):** Bagama't hindi direktang nauugnay sa mga aktibidad sa antas ng kalye, binabalangkas ng Tax Code ang mga parusa para sa pag-iwas "&amp;"sa buwis. Maaaring may kaugnayan ito kung ang mapanlinlang na aktibidad sa pananalapi ay nagsasangkot ng pag-iwas sa mga buwis nang buo.
* Ang mga parusa ay maaaring mula sa pagkakulong ng **hanggang sampung (10) taon** hanggang sa mabigat na multa depend"&amp;"e sa halaga ng iniiwasang buwis.
**2. Falsification of Commercial Documents (Artikulo 171 ng Binagong Kodigo Penal):**
* Nalalapat ito kung ang mapanlinlang na aktibidad ay nagsasangkot ng paglikha o paggamit ng mga pekeng resibo, invoice, o iba pang kome"&amp;"rsyal na dokumento para sa mga layunin ng buwis.
* Parusa: Pagkakulong mula **apat (4) na buwan hanggang walong (8) taon** at multa mula **Php200.00 hanggang Php6,000.00**.
**3. Estafa (Artikulo 315 ng Binagong Kodigo Penal):**
* Ito ang pinakamalamang na"&amp;" batas na ilalapat sa maraming pag-iwas sa buwis sa antas ng kalye o mga mapanlinlang na aktibidad sa pananalapi. Nalalapat ito sa anumang gawa ng panlilinlang na nagsasangkot ng panloloko sa ibang tao. * Maaaring kabilang sa mga halimbawa sa mga pampubli"&amp;"kong espasyo ang mga pekeng benta na may mga pekeng resibo o pagmamanipula ng mga instrumento sa pananalapi para sa personal na pakinabang.
* Parusa: Pagkakulong mula **apat (4) na buwan hanggang labingwalong (18) taon** at multa mula **Php200.00 hanggang"&amp;" Php10,000.00**, depende sa halaga ng pinsalang naidulot.
**4. Mga Ordenansa ng Lokal na Pamahalaan:**
* Ang ilang mga local government units (LGUs) ay maaaring may mga ordinansa na partikular na tumutugon sa street vending o impormal na aktibidad sa ekon"&amp;"omiya. Ang mga ordinansang ito ay maaaring may mga parusa para sa hindi pagkuha ng mga wastong permit o pagsali sa mga mapanlinlang na gawain.
**Mahalagang Tandaan:**
* Ang partikular na batas na inilapat at ang kaukulang parusa ay depende sa eksaktong mg"&amp;"a detalye ng mapanlinlang na aktibidad.
**Mga Rekomendasyon:**
* Kung nasaksihan mo ang pag-iwas sa buwis sa antas ng kalye o mga mapanlinlang na aktibidad sa pananalapi, maaari mong iulat ang mga ito sa mga awtoridad.
* Lokal na tagapagpatupad ng batas ("&amp;"Barangay Tanod o PNP)
* Bureau of Internal Revenue (BIR) kung pinaghihinalaan ang tax evasion
Sa pamamagitan ng pag-uulat ng mga naturang aktibidad, makakatulong ka sa pagpigil sa pag-iwas sa buwis at protektahan ang integridad ng sistema ng pananalapi.")</f>
        <v>Walang isa, partikular na batas sa Pilipinas na direktang tumutugon sa pag-iwas sa buwis sa antas ng kalye o mga mapanlinlang na aktibidad sa pananalapi sa mga pampublikong espasyo. Gayunpaman, depende sa uri ng aktibidad, maraming batas at parusa ang maaaring ilapat. Narito ang isang breakdown ng mga posibilidad:
**1. Pag-iwas sa Buwis:**
* **Tax Code (Republic Act No. 8424):** Bagama't hindi direktang nauugnay sa mga aktibidad sa antas ng kalye, binabalangkas ng Tax Code ang mga parusa para sa pag-iwas sa buwis. Maaaring may kaugnayan ito kung ang mapanlinlang na aktibidad sa pananalapi ay nagsasangkot ng pag-iwas sa mga buwis nang buo.
* Ang mga parusa ay maaaring mula sa pagkakulong ng **hanggang sampung (10) taon** hanggang sa mabigat na multa depende sa halaga ng iniiwasang buwis.
**2. Falsification of Commercial Documents (Artikulo 171 ng Binagong Kodigo Penal):**
* Nalalapat ito kung ang mapanlinlang na aktibidad ay nagsasangkot ng paglikha o paggamit ng mga pekeng resibo, invoice, o iba pang komersyal na dokumento para sa mga layunin ng buwis.
* Parusa: Pagkakulong mula **apat (4) na buwan hanggang walong (8) taon** at multa mula **Php200.00 hanggang Php6,000.00**.
**3. Estafa (Artikulo 315 ng Binagong Kodigo Penal):**
* Ito ang pinakamalamang na batas na ilalapat sa maraming pag-iwas sa buwis sa antas ng kalye o mga mapanlinlang na aktibidad sa pananalapi. Nalalapat ito sa anumang gawa ng panlilinlang na nagsasangkot ng panloloko sa ibang tao. * Maaaring kabilang sa mga halimbawa sa mga pampublikong espasyo ang mga pekeng benta na may mga pekeng resibo o pagmamanipula ng mga instrumento sa pananalapi para sa personal na pakinabang.
* Parusa: Pagkakulong mula **apat (4) na buwan hanggang labingwalong (18) taon** at multa mula **Php200.00 hanggang Php10,000.00**, depende sa halaga ng pinsalang naidulot.
**4. Mga Ordenansa ng Lokal na Pamahalaan:**
* Ang ilang mga local government units (LGUs) ay maaaring may mga ordinansa na partikular na tumutugon sa street vending o impormal na aktibidad sa ekonomiya. Ang mga ordinansang ito ay maaaring may mga parusa para sa hindi pagkuha ng mga wastong permit o pagsali sa mga mapanlinlang na gawain.
**Mahalagang Tandaan:**
* Ang partikular na batas na inilapat at ang kaukulang parusa ay depende sa eksaktong mga detalye ng mapanlinlang na aktibidad.
**Mga Rekomendasyon:**
* Kung nasaksihan mo ang pag-iwas sa buwis sa antas ng kalye o mga mapanlinlang na aktibidad sa pananalapi, maaari mong iulat ang mga ito sa mga awtoridad.
* Lokal na tagapagpatupad ng batas (Barangay Tanod o PNP)
* Bureau of Internal Revenue (BIR) kung pinaghihinalaan ang tax evasion
Sa pamamagitan ng pag-uulat ng mga naturang aktibidad, makakatulong ka sa pagpigil sa pag-iwas sa buwis at protektahan ang integridad ng sistema ng pananalapi.</v>
      </c>
      <c r="F1945" s="2">
        <f t="shared" si="1"/>
        <v>7</v>
      </c>
      <c r="G1945" s="2"/>
      <c r="H1945" s="2"/>
      <c r="I1945" s="2"/>
      <c r="J1945" s="2"/>
      <c r="K1945" s="2"/>
      <c r="L1945" s="2"/>
      <c r="M1945" s="2"/>
      <c r="N1945" s="2"/>
      <c r="O1945" s="2"/>
      <c r="P1945" s="2"/>
      <c r="Q1945" s="2"/>
      <c r="R1945" s="2"/>
      <c r="S1945" s="2"/>
      <c r="T1945" s="2"/>
      <c r="U1945" s="2"/>
      <c r="V1945" s="2"/>
      <c r="W1945" s="2"/>
      <c r="X1945" s="2"/>
      <c r="Y1945" s="2"/>
      <c r="Z1945" s="2"/>
      <c r="AA1945" s="2"/>
    </row>
    <row r="1946">
      <c r="A1946" s="1" t="s">
        <v>4698</v>
      </c>
      <c r="B1946" s="1" t="s">
        <v>4929</v>
      </c>
      <c r="C1946" s="1" t="s">
        <v>4930</v>
      </c>
      <c r="D1946" s="2" t="str">
        <f>IFERROR(__xludf.DUMMYFUNCTION("GOOGLETRANSLATE(B1946, ""en"", ""TL"")"),"Paano tinutugunan ng batas ang mga insidente ng pag-atake o panliligalig sa antas ng kalye batay sa nasyonalidad o pagkamamamayan sa mga pampublikong lugar?")</f>
        <v>Paano tinutugunan ng batas ang mga insidente ng pag-atake o panliligalig sa antas ng kalye batay sa nasyonalidad o pagkamamamayan sa mga pampublikong lugar?</v>
      </c>
      <c r="E1946" s="2" t="str">
        <f>IFERROR(__xludf.DUMMYFUNCTION("GOOGLETRANSLATE(C1946, ""en"", ""TL"")"),"Ang batas ng Pilipinas ay walang iisa, partikular na batas na direktang tumutugon sa pag-atake sa antas ng kalye o panliligalig batay lamang sa nasyonalidad o pagkamamamayan. Gayunpaman, mayroong ilang umiiral na batas na maaaring ilapat depende sa uri ng"&amp;" insidente:
* **Revised Penal Code (RPC):** * **Slight Physical Injuries (Artikulo 45):** Nalalapat ito kung ang pag-atake ay nagresulta sa mga menor de edad na pinsala.
* **Mutilation (Artikulo 267):** Ito ay isang malubhang pagkakasala at malabong mangy"&amp;"ari sa karamihan ng mga insidente sa antas ng kalye, ngunit nalalapat kung ang pag-atake ay nagresulta sa matinding pisikal na pinsala.
* **Pagbabanta sa Karahasan (Artikulo 148):** Nalalapat ito kung ang panliligalig ay nagsasangkot ng mga banta ng karah"&amp;"asan.
* **Mga Alarm at Iskandalo (Artikulo 155):** Nalalapat ito kung ang panliligalig ay kasangkot sa paglikha ng nakakagambalang eksena o pampublikong kaguluhan.
* **Anti-Discrimination Law (Republic Act No. 7277):** * Bagama't hindi partikular na nakat"&amp;"uon sa nasyonalidad, ipinagbabawal ng batas na ito ang diskriminasyon batay sa etnisidad. Ito ay maaaring pagtalunan upang masakop ang mga sitwasyon kung saan ang panliligalig ay nagmumula sa nasyonalidad na nauugnay sa isang partikular na etnisidad.
**Ma"&amp;"halagang Tandaan:**
* Ang pagiging epektibo ng paggamit ng mga batas na ito upang tugunan ang panliligalig batay sa nasyonalidad ay maaaring mag-iba depende sa mga detalye ng sitwasyon at interpretasyon ng hukom. * Ang pagpapatunay ng layunin na magdiskri"&amp;"mina batay lamang sa nasyonalidad ay maaaring maging mahirap.
**Mga Rekomendasyon:**
* Kung nakakaranas ka ng pang-aatake sa antas ng kalye o panliligalig batay sa nasyonalidad o pagkamamamayan, iulat ito kaagad sa mga awtoridad.
* Philippine National Pol"&amp;"ice (PNP)
* Mga lokal na opisyal ng Barangay
* Maaari mo ring isaalang-alang ang paghingi ng legal na tulong mula sa isang abogadong dalubhasa sa karapatang pantao o batas laban sa diskriminasyon. Maaari ka nilang payuhan sa pinakamahusay na paraan ng pag"&amp;"kilos batay sa iyong partikular na sitwasyon.
* Karagdagan pa, ang pag-uulat ng insidente sa mga organisasyong nagtataguyod para sa mga karapatan ng migrante o sa iyong embahada/konsulado ay maaaring magbigay ng suporta at mapagkukunan.")</f>
        <v>Ang batas ng Pilipinas ay walang iisa, partikular na batas na direktang tumutugon sa pag-atake sa antas ng kalye o panliligalig batay lamang sa nasyonalidad o pagkamamamayan. Gayunpaman, mayroong ilang umiiral na batas na maaaring ilapat depende sa uri ng insidente:
* **Revised Penal Code (RPC):** * **Slight Physical Injuries (Artikulo 45):** Nalalapat ito kung ang pag-atake ay nagresulta sa mga menor de edad na pinsala.
* **Mutilation (Artikulo 267):** Ito ay isang malubhang pagkakasala at malabong mangyari sa karamihan ng mga insidente sa antas ng kalye, ngunit nalalapat kung ang pag-atake ay nagresulta sa matinding pisikal na pinsala.
* **Pagbabanta sa Karahasan (Artikulo 148):** Nalalapat ito kung ang panliligalig ay nagsasangkot ng mga banta ng karahasan.
* **Mga Alarm at Iskandalo (Artikulo 155):** Nalalapat ito kung ang panliligalig ay kasangkot sa paglikha ng nakakagambalang eksena o pampublikong kaguluhan.
* **Anti-Discrimination Law (Republic Act No. 7277):** * Bagama't hindi partikular na nakatuon sa nasyonalidad, ipinagbabawal ng batas na ito ang diskriminasyon batay sa etnisidad. Ito ay maaaring pagtalunan upang masakop ang mga sitwasyon kung saan ang panliligalig ay nagmumula sa nasyonalidad na nauugnay sa isang partikular na etnisidad.
**Mahalagang Tandaan:**
* Ang pagiging epektibo ng paggamit ng mga batas na ito upang tugunan ang panliligalig batay sa nasyonalidad ay maaaring mag-iba depende sa mga detalye ng sitwasyon at interpretasyon ng hukom. * Ang pagpapatunay ng layunin na magdiskrimina batay lamang sa nasyonalidad ay maaaring maging mahirap.
**Mga Rekomendasyon:**
* Kung nakakaranas ka ng pang-aatake sa antas ng kalye o panliligalig batay sa nasyonalidad o pagkamamamayan, iulat ito kaagad sa mga awtoridad.
* Philippine National Police (PNP)
* Mga lokal na opisyal ng Barangay
* Maaari mo ring isaalang-alang ang paghingi ng legal na tulong mula sa isang abogadong dalubhasa sa karapatang pantao o batas laban sa diskriminasyon. Maaari ka nilang payuhan sa pinakamahusay na paraan ng pagkilos batay sa iyong partikular na sitwasyon.
* Karagdagan pa, ang pag-uulat ng insidente sa mga organisasyong nagtataguyod para sa mga karapatan ng migrante o sa iyong embahada/konsulado ay maaaring magbigay ng suporta at mapagkukunan.</v>
      </c>
      <c r="F1946" s="2">
        <f t="shared" si="1"/>
        <v>0</v>
      </c>
      <c r="G1946" s="2"/>
      <c r="H1946" s="2"/>
      <c r="I1946" s="2"/>
      <c r="J1946" s="2"/>
      <c r="K1946" s="2"/>
      <c r="L1946" s="2"/>
      <c r="M1946" s="2"/>
      <c r="N1946" s="2"/>
      <c r="O1946" s="2"/>
      <c r="P1946" s="2"/>
      <c r="Q1946" s="2"/>
      <c r="R1946" s="2"/>
      <c r="S1946" s="2"/>
      <c r="T1946" s="2"/>
      <c r="U1946" s="2"/>
      <c r="V1946" s="2"/>
      <c r="W1946" s="2"/>
      <c r="X1946" s="2"/>
      <c r="Y1946" s="2"/>
      <c r="Z1946" s="2"/>
      <c r="AA1946" s="2"/>
    </row>
    <row r="1947">
      <c r="A1947" s="1" t="s">
        <v>4698</v>
      </c>
      <c r="B1947" s="1" t="s">
        <v>4904</v>
      </c>
      <c r="C1947" s="1" t="s">
        <v>4931</v>
      </c>
      <c r="D1947" s="2" t="str">
        <f>IFERROR(__xludf.DUMMYFUNCTION("GOOGLETRANSLATE(B1947, ""en"", ""TL"")"),"Anong mga legal na hakbang ang umiiral upang labanan ang mga paglabag sa kapaligiran sa antas ng kalye, tulad ng hindi wastong pagtatapon ng mga mapanganib na materyales sa mga pampublikong lugar?")</f>
        <v>Anong mga legal na hakbang ang umiiral upang labanan ang mga paglabag sa kapaligiran sa antas ng kalye, tulad ng hindi wastong pagtatapon ng mga mapanganib na materyales sa mga pampublikong lugar?</v>
      </c>
      <c r="E1947" s="2" t="str">
        <f>IFERROR(__xludf.DUMMYFUNCTION("GOOGLETRANSLATE(C1947, ""en"", ""TL"")"),"Mayroong ilang mga legal na hakbang ang Pilipinas para labanan ang mga paglabag sa kapaligiran sa antas ng kalye, partikular na ang hindi tamang pagtatapon ng mga mapanganib na materyales sa mga pampublikong lugar. Narito ang isang breakdown ng mga nauugn"&amp;"ay na batas at regulasyon:
**1. Republic Act No. 6969 (Toxic Substances and Hazardous Wastes Control Act of 1990):**
* Ito ang pangunahing batas na namamahala sa pamamahala ng mga mapanganib na basura sa Pilipinas.
* **Seksyon 20 (Illegal na Pagtatapon):*"&amp;"* Ipinagbabawal ang hindi wastong paggamot, pag-iimbak, transportasyon, o pagtatapon ng mga mapanganib na basura.
* **Mga Parusa:** Mga multa mula **Php100,000.00 hanggang Php1,000,000.00** at pagkakulong ng hanggang **labing dalawang (12) taon** para sa "&amp;"mga paglabag.
**2. Ecological Solid Waste Management Act (Republic Act No. 9003):**
* Nakatuon ang batas na ito sa wastong pamamahala ng basura sa pangkalahatan.
* **Seksyon 4 (Mga Ipinagbabawal na Gawa):** Binabalangkas ng seksyong ito ang iba't ibang ga"&amp;"waing nauugnay sa pagtatapon ng basura, kabilang ang:
* Pagkalat ng basura (Seksyon 4(e))
* Ilegal na pagtatapon ng mga espesyal na basura (Seksyon 4(f)) - Ito ay maaaring bigyang kahulugan na kasama ang mga mapanganib na materyales.
* **Mga Parusa:** Mga"&amp;" multa mula **Php300.00 hanggang Php1,000.00** at/o pagkakulong ng hanggang **labing limang (15) araw** para sa mga unang paglabag. Tumaas na mga parusa para sa mga kasunod na pagkakasala.
**3. Mga Ordinansa ng Local Government Unit (LGU):**
* Maraming LG"&amp;"U ang nagpatupad ng kanilang sariling mga ordinansa partikular na tumutugon sa pamamahala at pagtatapon ng basura sa loob ng kanilang mga nasasakupan. * Ang mga ordinansang ito ay maaaring may mas mahigpit na parusa o karagdagang mga alituntunin na may ka"&amp;"ugnayan sa pagtatapon ng mga mapanganib na basura.
**Pagpapatupad:**
* Ang Department of Environment and Natural Resources (DENR) ang pangunahing ahensyang responsable sa pagpapatupad ng mga batas na ito.
* Ang mga opisyal ng barangay at lokal na tagapagp"&amp;"atupad ng batas (PNP) ay maaari ding gumanap sa paghuli sa mga lumalabag at pag-uulat ng mga insidente.
**Mga Karagdagang Panukala:**
* Bukod sa mga legal na kahihinatnan, ang ilang mga LGU ay nagpatupad ng mga programa sa pangongolekta ng basura partikul"&amp;"ar para sa mga mapanganib na materyales.
* Makakatulong ang mga kampanya ng pampublikong kamalayan na turuan ang mga residente tungkol sa wastong pagtatapon ng mga mapanganib na materyales.
**Mga Rekomendasyon:**
* Kung nakakita ka ng isang tao na hindi w"&amp;"astong nagtatapon ng mga mapanganib na materyales, iulat ito sa mga awtoridad.
* Mga opisyal ng barangay o DENR sa pamamagitan ng kanilang rehiyonal o lokal na tanggapan
* Maaari ka ring mag-ulat online sa pamamagitan ng website ng DENR: [https://www.denr"&amp;".gov.ph/](https://www.denr.gov.ph/)
Sa pamamagitan ng pag-uulat ng mga naturang insidente at pagsuporta sa wastong mga hakbangin sa pamamahala ng basura, maaari kang mag-ambag sa isang mas malinis at mas ligtas na kapaligiran sa iyong komunidad.")</f>
        <v>Mayroong ilang mga legal na hakbang ang Pilipinas para labanan ang mga paglabag sa kapaligiran sa antas ng kalye, partikular na ang hindi tamang pagtatapon ng mga mapanganib na materyales sa mga pampublikong lugar. Narito ang isang breakdown ng mga nauugnay na batas at regulasyon:
**1. Republic Act No. 6969 (Toxic Substances and Hazardous Wastes Control Act of 1990):**
* Ito ang pangunahing batas na namamahala sa pamamahala ng mga mapanganib na basura sa Pilipinas.
* **Seksyon 20 (Illegal na Pagtatapon):** Ipinagbabawal ang hindi wastong paggamot, pag-iimbak, transportasyon, o pagtatapon ng mga mapanganib na basura.
* **Mga Parusa:** Mga multa mula **Php100,000.00 hanggang Php1,000,000.00** at pagkakulong ng hanggang **labing dalawang (12) taon** para sa mga paglabag.
**2. Ecological Solid Waste Management Act (Republic Act No. 9003):**
* Nakatuon ang batas na ito sa wastong pamamahala ng basura sa pangkalahatan.
* **Seksyon 4 (Mga Ipinagbabawal na Gawa):** Binabalangkas ng seksyong ito ang iba't ibang gawaing nauugnay sa pagtatapon ng basura, kabilang ang:
* Pagkalat ng basura (Seksyon 4(e))
* Ilegal na pagtatapon ng mga espesyal na basura (Seksyon 4(f)) - Ito ay maaaring bigyang kahulugan na kasama ang mga mapanganib na materyales.
* **Mga Parusa:** Mga multa mula **Php300.00 hanggang Php1,000.00** at/o pagkakulong ng hanggang **labing limang (15) araw** para sa mga unang paglabag. Tumaas na mga parusa para sa mga kasunod na pagkakasala.
**3. Mga Ordinansa ng Local Government Unit (LGU):**
* Maraming LGU ang nagpatupad ng kanilang sariling mga ordinansa partikular na tumutugon sa pamamahala at pagtatapon ng basura sa loob ng kanilang mga nasasakupan. * Ang mga ordinansang ito ay maaaring may mas mahigpit na parusa o karagdagang mga alituntunin na may kaugnayan sa pagtatapon ng mga mapanganib na basura.
**Pagpapatupad:**
* Ang Department of Environment and Natural Resources (DENR) ang pangunahing ahensyang responsable sa pagpapatupad ng mga batas na ito.
* Ang mga opisyal ng barangay at lokal na tagapagpatupad ng batas (PNP) ay maaari ding gumanap sa paghuli sa mga lumalabag at pag-uulat ng mga insidente.
**Mga Karagdagang Panukala:**
* Bukod sa mga legal na kahihinatnan, ang ilang mga LGU ay nagpatupad ng mga programa sa pangongolekta ng basura partikular para sa mga mapanganib na materyales.
* Makakatulong ang mga kampanya ng pampublikong kamalayan na turuan ang mga residente tungkol sa wastong pagtatapon ng mga mapanganib na materyales.
**Mga Rekomendasyon:**
* Kung nakakita ka ng isang tao na hindi wastong nagtatapon ng mga mapanganib na materyales, iulat ito sa mga awtoridad.
* Mga opisyal ng barangay o DENR sa pamamagitan ng kanilang rehiyonal o lokal na tanggapan
* Maaari ka ring mag-ulat online sa pamamagitan ng website ng DENR: [https://www.denr.gov.ph/](https://www.denr.gov.ph/)
Sa pamamagitan ng pag-uulat ng mga naturang insidente at pagsuporta sa wastong mga hakbangin sa pamamahala ng basura, maaari kang mag-ambag sa isang mas malinis at mas ligtas na kapaligiran sa iyong komunidad.</v>
      </c>
      <c r="F1947" s="2">
        <f t="shared" si="1"/>
        <v>0</v>
      </c>
      <c r="G1947" s="2"/>
      <c r="H1947" s="2"/>
      <c r="I1947" s="2"/>
      <c r="J1947" s="2"/>
      <c r="K1947" s="2"/>
      <c r="L1947" s="2"/>
      <c r="M1947" s="2"/>
      <c r="N1947" s="2"/>
      <c r="O1947" s="2"/>
      <c r="P1947" s="2"/>
      <c r="Q1947" s="2"/>
      <c r="R1947" s="2"/>
      <c r="S1947" s="2"/>
      <c r="T1947" s="2"/>
      <c r="U1947" s="2"/>
      <c r="V1947" s="2"/>
      <c r="W1947" s="2"/>
      <c r="X1947" s="2"/>
      <c r="Y1947" s="2"/>
      <c r="Z1947" s="2"/>
      <c r="AA1947" s="2"/>
    </row>
    <row r="1948">
      <c r="A1948" s="1" t="s">
        <v>4698</v>
      </c>
      <c r="B1948" s="1" t="s">
        <v>4932</v>
      </c>
      <c r="C1948" s="1" t="s">
        <v>4933</v>
      </c>
      <c r="D1948" s="2" t="str">
        <f>IFERROR(__xludf.DUMMYFUNCTION("GOOGLETRANSLATE(B1948, ""en"", ""TL"")"),"Sa ilalim ng anong mga pangyayari ang isang tao ay maaaring makasuhan ng pampublikong pagsasabwatan upang gumawa ng mga pagkakasala na nauugnay sa terorismo sa mga pampublikong kaganapan?")</f>
        <v>Sa ilalim ng anong mga pangyayari ang isang tao ay maaaring makasuhan ng pampublikong pagsasabwatan upang gumawa ng mga pagkakasala na nauugnay sa terorismo sa mga pampublikong kaganapan?</v>
      </c>
      <c r="E1948" s="2" t="str">
        <f>IFERROR(__xludf.DUMMYFUNCTION("GOOGLETRANSLATE(C1948, ""en"", ""TL"")"),"Sineseryoso ng batas ng Pilipinas ang pampublikong pagsasabwatan upang gumawa ng mga pagkakasala na may kaugnayan sa terorismo. Narito ang kailangan mong malaman:
* **Republic Act No. 9514 (The Philippine Anti-Terrorism Act of 2020):** Ito ang pangunahing"&amp;" batas na tumutukoy at nagpaparusa sa terorismo sa Pilipinas.
* **Seksyon 4 (Conspiracy to Commit Terrorism):** Ang seksyong ito ay partikular na tumutugon sa pampublikong pagsasabwatan. Maaaring singilin ang isang tao sa ilalim ng seksyong ito kung sila "&amp;"ay:
* **Sumasang-ayon** na magplano o magsagawa ng teroristang pagkilos kasama ang isa o higit pang tao. * **Magsagawa ng anumang tahasang pagkilos** tungo sa paggawa ng isang teroristang pagkilos (Ito ay nangangahulugan ng paggawa ng isang kongkretong ha"&amp;"kbang na higit pa sa pagpaplano, tulad ng pagkuha ng mga materyales o pagsasagawa ng pagsubaybay para sa isang target). * **Layunin** na magdulot ng malawakang takot at panic ay ipinahiwatig.
**Ano ang bumubuo sa isang gawaing terorista?**
Malawakang tinu"&amp;"koy ng batas ang terorismo bilang anumang kilos na kinasasangkutan ng:
* Karahasan o banta ng karahasan.
* Lumilikha ng malubhang panganib sa kaligtasan ng publiko.
* Nilalayon na maghasik ng malawakang takot at gulat.
* Naglalayong pilitin ang isang pama"&amp;"halaan o isang populasyong sibilyan.
**Pampublikong Kaganapan:**
Nalalapat ang batas sa mga pampublikong kaganapan, na maaaring maging anumang lugar kung saan nagtitipon ang mga tao, kabilang ang:
* Mga pagdiriwang
* Mga konsyerto
* Mga kaganapang pampala"&amp;"kasan
* Mga relihiyosong pagtitipon
* Mga mall
* Mga sentro ng pampublikong transportasyon
**Mahalagang Tandaan:**
* Ang mga pangunahing elemento para sa pagsingil ng pampublikong pagsasabwatan ay **kasunduan**, **overt act**, at **intent**. * Hindi kaila"&amp;"ngan ng mga awtoridad ang aktwal na pagkilos ng terorista upang makumpleto upang magsampa ng mga kaso sa ilalim ng batas na ito. Sapat na ang pagsasabwatan lamang.
* Ang katibayan upang patunayan ang isang pampublikong pagsasabwatan ay maaaring magmula sa"&amp;" iba't ibang mapagkukunan, kabilang ang mga testimonya ng saksi, naharang na komunikasyon, o digital na ebidensya.
**Kung pinaghihinalaan mo ang isang pampublikong pagsasabwatan upang gumawa ng terorismo:**
* **I-report kaagad sa mga awtoridad.** * Philip"&amp;"pine National Police (PNP) Anti-Terrorism Task Force (PNP-ATTF)
* Armed Forces of the Philippines (AFP)
**Tandaan:** Laging mas mabuting mag-ulat ng kahina-hinalang aktibidad at magkamali kaysa mag-alinlangan at ipagsapalaran ang isang potensyal na trahed"&amp;"ya.")</f>
        <v>Sineseryoso ng batas ng Pilipinas ang pampublikong pagsasabwatan upang gumawa ng mga pagkakasala na may kaugnayan sa terorismo. Narito ang kailangan mong malaman:
* **Republic Act No. 9514 (The Philippine Anti-Terrorism Act of 2020):** Ito ang pangunahing batas na tumutukoy at nagpaparusa sa terorismo sa Pilipinas.
* **Seksyon 4 (Conspiracy to Commit Terrorism):** Ang seksyong ito ay partikular na tumutugon sa pampublikong pagsasabwatan. Maaaring singilin ang isang tao sa ilalim ng seksyong ito kung sila ay:
* **Sumasang-ayon** na magplano o magsagawa ng teroristang pagkilos kasama ang isa o higit pang tao. * **Magsagawa ng anumang tahasang pagkilos** tungo sa paggawa ng isang teroristang pagkilos (Ito ay nangangahulugan ng paggawa ng isang kongkretong hakbang na higit pa sa pagpaplano, tulad ng pagkuha ng mga materyales o pagsasagawa ng pagsubaybay para sa isang target). * **Layunin** na magdulot ng malawakang takot at panic ay ipinahiwatig.
**Ano ang bumubuo sa isang gawaing terorista?**
Malawakang tinukoy ng batas ang terorismo bilang anumang kilos na kinasasangkutan ng:
* Karahasan o banta ng karahasan.
* Lumilikha ng malubhang panganib sa kaligtasan ng publiko.
* Nilalayon na maghasik ng malawakang takot at gulat.
* Naglalayong pilitin ang isang pamahalaan o isang populasyong sibilyan.
**Pampublikong Kaganapan:**
Nalalapat ang batas sa mga pampublikong kaganapan, na maaaring maging anumang lugar kung saan nagtitipon ang mga tao, kabilang ang:
* Mga pagdiriwang
* Mga konsyerto
* Mga kaganapang pampalakasan
* Mga relihiyosong pagtitipon
* Mga mall
* Mga sentro ng pampublikong transportasyon
**Mahalagang Tandaan:**
* Ang mga pangunahing elemento para sa pagsingil ng pampublikong pagsasabwatan ay **kasunduan**, **overt act**, at **intent**. * Hindi kailangan ng mga awtoridad ang aktwal na pagkilos ng terorista upang makumpleto upang magsampa ng mga kaso sa ilalim ng batas na ito. Sapat na ang pagsasabwatan lamang.
* Ang katibayan upang patunayan ang isang pampublikong pagsasabwatan ay maaaring magmula sa iba't ibang mapagkukunan, kabilang ang mga testimonya ng saksi, naharang na komunikasyon, o digital na ebidensya.
**Kung pinaghihinalaan mo ang isang pampublikong pagsasabwatan upang gumawa ng terorismo:**
* **I-report kaagad sa mga awtoridad.** * Philippine National Police (PNP) Anti-Terrorism Task Force (PNP-ATTF)
* Armed Forces of the Philippines (AFP)
**Tandaan:** Laging mas mabuting mag-ulat ng kahina-hinalang aktibidad at magkamali kaysa mag-alinlangan at ipagsapalaran ang isang potensyal na trahedya.</v>
      </c>
      <c r="F1948" s="2">
        <f t="shared" si="1"/>
        <v>0</v>
      </c>
      <c r="G1948" s="2"/>
      <c r="H1948" s="2"/>
      <c r="I1948" s="2"/>
      <c r="J1948" s="2"/>
      <c r="K1948" s="2"/>
      <c r="L1948" s="2"/>
      <c r="M1948" s="2"/>
      <c r="N1948" s="2"/>
      <c r="O1948" s="2"/>
      <c r="P1948" s="2"/>
      <c r="Q1948" s="2"/>
      <c r="R1948" s="2"/>
      <c r="S1948" s="2"/>
      <c r="T1948" s="2"/>
      <c r="U1948" s="2"/>
      <c r="V1948" s="2"/>
      <c r="W1948" s="2"/>
      <c r="X1948" s="2"/>
      <c r="Y1948" s="2"/>
      <c r="Z1948" s="2"/>
      <c r="AA1948" s="2"/>
    </row>
    <row r="1949">
      <c r="A1949" s="1" t="s">
        <v>4698</v>
      </c>
      <c r="B1949" s="1" t="s">
        <v>4879</v>
      </c>
      <c r="C1949" s="1" t="s">
        <v>4934</v>
      </c>
      <c r="D1949" s="2" t="str">
        <f>IFERROR(__xludf.DUMMYFUNCTION("GOOGLETRANSLATE(B1949, ""en"", ""TL"")"),"Paano tinutugunan sa ilalim ng batas ng Pilipinas ang krimen ng pampublikong pagsasabwatan sa pagnanakaw ng pagkakakilanlan o pandaraya sa pananalapi?")</f>
        <v>Paano tinutugunan sa ilalim ng batas ng Pilipinas ang krimen ng pampublikong pagsasabwatan sa pagnanakaw ng pagkakakilanlan o pandaraya sa pananalapi?</v>
      </c>
      <c r="E1949" s="2" t="str">
        <f>IFERROR(__xludf.DUMMYFUNCTION("GOOGLETRANSLATE(C1949, ""en"", ""TL"")"),"Ang Philippine penal code ay walang partikular na krimen para sa ""public conspiracy to commit identity theft o financial fraud."" Gayunpaman, may ilang mga batas na maaaring gamitin upang tugunan ang ganitong uri ng aktibidad na kriminal:
* **Republic Ac"&amp;"t No. 10175 o ang Cybercrime Prevention Act of 2012 (CPA):** Ang batas na ito ay nagpaparusa sa iba't ibang cybercrimes, kabilang ang pagnanakaw ng pagkakakilanlan (Section 12) at panloloko na nauugnay sa computer (Section 14).
* **Seksyon 12 (Pagnanakaw "&amp;"ng Pagkakakilanlan):** pinaparusahan ang sinumang kumuha ng personal na impormasyon ng ibang tao, kabilang ang mga binanggit sa Seksyon 13 (hal., pangalan, address, numero ng telepono, email address, mga detalye ng bank account) upang gayahin ang taong iy"&amp;"on at dahilan pinsala. * **Section 14 (Computer-Related Offenses):** sumasaklaw sa malawak na hanay ng mga mapanlinlang na aktibidad na ginawa gamit ang isang computer system, kabilang ang hindi awtorisadong pag-access sa data ng computer (hal., pag-hack "&amp;"sa mga online na account ng isang tao) upang magnakaw ng data sa pananalapi o gamitin ito upang dayain ang iba.
* **Artikulo 183 ng Revised Penal Code (RPC):** Ang artikulong ito ay tumatalakay sa krimen ng ""Estafa,"" na isang uri ng pandaraya. Nalalapat"&amp;" ito sa mga sitwasyon kung saan nilinlang ng isang tao ang ibang tao upang makakuha ng hindi patas na kalamangan o magdulot ng pinsala. Ang pampublikong pagsasabwatan para gumawa ng Estafa ay maaaring parusahan sa ilalim ng Artikulo 184 ng RPC.
* **Artiku"&amp;"lo 88 ng RPC:** Sinasaklaw ng artikulong ito ang krimen ng ""Conspiracy,"" na isang kasunduan sa pagitan ng dalawa o higit pang tao na gumawa ng krimen. Dito, maaaring mapatunayan ang pampublikong aspeto kung ang kasunduan sa paggawa ng krimen ay gagawin "&amp;"sa paraang madaling malaman ng publiko.
**Dagdag pa rito, ginagarantiyahan ng Konstitusyon ng Pilipinas (Artikulo III, Seksyon 14) ang karapatan sa pagkapribado.** Ito ay magagamit upang suportahan ang paniwala na ang pagnanakaw ng pagkakakilanlan ay isan"&amp;"g krimen dahil nilalabag nito ang karapatan ng isang tao na kontrolin ang kanilang personal na impormasyon.
**Tandaan, hindi ito legal na payo.** Kung naniniwala kang biktima ka ng pagnanakaw ng pagkakakilanlan o pandaraya sa pananalapi, dapat kang kumuns"&amp;"ulta sa isang abogado upang maunawaan ang iyong mga karapatan at opsyon sa ilalim ng batas ng Pilipinas.")</f>
        <v>Ang Philippine penal code ay walang partikular na krimen para sa "public conspiracy to commit identity theft o financial fraud." Gayunpaman, may ilang mga batas na maaaring gamitin upang tugunan ang ganitong uri ng aktibidad na kriminal:
* **Republic Act No. 10175 o ang Cybercrime Prevention Act of 2012 (CPA):** Ang batas na ito ay nagpaparusa sa iba't ibang cybercrimes, kabilang ang pagnanakaw ng pagkakakilanlan (Section 12) at panloloko na nauugnay sa computer (Section 14).
* **Seksyon 12 (Pagnanakaw ng Pagkakakilanlan):** pinaparusahan ang sinumang kumuha ng personal na impormasyon ng ibang tao, kabilang ang mga binanggit sa Seksyon 13 (hal., pangalan, address, numero ng telepono, email address, mga detalye ng bank account) upang gayahin ang taong iyon at dahilan pinsala. * **Section 14 (Computer-Related Offenses):** sumasaklaw sa malawak na hanay ng mga mapanlinlang na aktibidad na ginawa gamit ang isang computer system, kabilang ang hindi awtorisadong pag-access sa data ng computer (hal., pag-hack sa mga online na account ng isang tao) upang magnakaw ng data sa pananalapi o gamitin ito upang dayain ang iba.
* **Artikulo 183 ng Revised Penal Code (RPC):** Ang artikulong ito ay tumatalakay sa krimen ng "Estafa," na isang uri ng pandaraya. Nalalapat ito sa mga sitwasyon kung saan nilinlang ng isang tao ang ibang tao upang makakuha ng hindi patas na kalamangan o magdulot ng pinsala. Ang pampublikong pagsasabwatan para gumawa ng Estafa ay maaaring parusahan sa ilalim ng Artikulo 184 ng RPC.
* **Artikulo 88 ng RPC:** Sinasaklaw ng artikulong ito ang krimen ng "Conspiracy," na isang kasunduan sa pagitan ng dalawa o higit pang tao na gumawa ng krimen. Dito, maaaring mapatunayan ang pampublikong aspeto kung ang kasunduan sa paggawa ng krimen ay gagawin sa paraang madaling malaman ng publiko.
**Dagdag pa rito, ginagarantiyahan ng Konstitusyon ng Pilipinas (Artikulo III, Seksyon 14) ang karapatan sa pagkapribado.** Ito ay magagamit upang suportahan ang paniwala na ang pagnanakaw ng pagkakakilanlan ay isang krimen dahil nilalabag nito ang karapatan ng isang tao na kontrolin ang kanilang personal na impormasyon.
**Tandaan, hindi ito legal na payo.** Kung naniniwala kang biktima ka ng pagnanakaw ng pagkakakilanlan o pandaraya sa pananalapi, dapat kang kumunsulta sa isang abogado upang maunawaan ang iyong mga karapatan at opsyon sa ilalim ng batas ng Pilipinas.</v>
      </c>
      <c r="F1949" s="2">
        <f t="shared" si="1"/>
        <v>0</v>
      </c>
      <c r="G1949" s="2"/>
      <c r="H1949" s="2"/>
      <c r="I1949" s="2"/>
      <c r="J1949" s="2"/>
      <c r="K1949" s="2"/>
      <c r="L1949" s="2"/>
      <c r="M1949" s="2"/>
      <c r="N1949" s="2"/>
      <c r="O1949" s="2"/>
      <c r="P1949" s="2"/>
      <c r="Q1949" s="2"/>
      <c r="R1949" s="2"/>
      <c r="S1949" s="2"/>
      <c r="T1949" s="2"/>
      <c r="U1949" s="2"/>
      <c r="V1949" s="2"/>
      <c r="W1949" s="2"/>
      <c r="X1949" s="2"/>
      <c r="Y1949" s="2"/>
      <c r="Z1949" s="2"/>
      <c r="AA1949" s="2"/>
    </row>
    <row r="1950">
      <c r="A1950" s="1" t="s">
        <v>4698</v>
      </c>
      <c r="B1950" s="1" t="s">
        <v>4935</v>
      </c>
      <c r="C1950" s="1" t="s">
        <v>4936</v>
      </c>
      <c r="D1950" s="2" t="str">
        <f>IFERROR(__xludf.DUMMYFUNCTION("GOOGLETRANSLATE(B1950, ""en"", ""TL"")"),"Anong mga parusa ang naaangkop para sa pagsali sa hindi awtorisadong pagbebenta o pamamahagi ng mga ipinagbabawal na publikasyon sa mga pampublikong paaralan?")</f>
        <v>Anong mga parusa ang naaangkop para sa pagsali sa hindi awtorisadong pagbebenta o pamamahagi ng mga ipinagbabawal na publikasyon sa mga pampublikong paaralan?</v>
      </c>
      <c r="E1950" s="2" t="str">
        <f>IFERROR(__xludf.DUMMYFUNCTION("GOOGLETRANSLATE(C1950, ""en"", ""TL"")"),"Walang isang batas sa Pilipinas na direktang tumutugon sa hindi awtorisadong pagbebenta o pamamahagi ng mga ipinagbabawal na publikasyon sa mga pampublikong paaralan. Gayunpaman, maaari nating tingnan ang kumbinasyon ng mga batas at regulasyon ng Pilipina"&amp;"s upang maunawaan ang mga posibleng kahihinatnan:
1. **Revised Penal Code (RPC) - Article 190 (Obscenity and Indecent Exposure):** Ang artikulong ito ay nagpaparusa sa paglalathala o pamamahagi ng mga malalaswang materyales. Kung ang mga ipinagbabawal na "&amp;"publikasyon ay nasa ilalim ng kategoryang ito, ang nagbebenta/distributor ay maaaring maharap sa pagkakulong at mga multa.
2. **Republic Act No. 10175 o ang Cybercrime Prevention Act of 2012 (CPA):** Nalalapat ang batas na ito kung ang pamamahagi ay nagsa"&amp;"sangkot ng paggamit ng mga teknolohiya ng impormasyon at komunikasyon (ICT).
* **Seksyon 18 (Mga Pagkakasala sa Nilalaman):** Ipinagbabawal ng seksyong ito ang pamamahagi ng nilalamang nagpo-promote ng pornograpiya ng bata o lumalabag sa karapatan sa priv"&amp;"acy. 3. **Mga Patakaran ng Department of Education (DepEd):** Ang DepEd, sa pamamagitan ng iba't ibang issuance nito (hal., DepEd Orders, Memoranda), ay kinokontrol ang mga learning resources na ginagamit sa mga pampublikong paaralan. Ang mga patakarang i"&amp;"to ay madalas na nagbabawal sa pamamahagi ng mga materyales na:
* Hindi naaangkop sa edad
* Isulong ang karahasan, poot, o diskriminasyon
* Hindi naaayon sa itinakdang kurikulum
**Ang mga parusa sa ilalim ng mga patakaran ng DepEd ay hindi magsasangkot ng"&amp;" pagkakulong, ngunit maaaring kabilang ang:**
* Pagkumpiska ng mga materyales
* Pagdidisiplina laban sa mga sangkot (hal., mga guro, mga tauhan na hindi nagtuturo)
**Tandaan, ang mga partikular na kahihinatnan ay magdedepende sa likas na katangian ng mga "&amp;"ipinagbabawal na publikasyon at kung paano ito ipinamahagi.** Mahalagang kumonsulta sa partikular na patakaran o regulasyon ng DepEd na may kaugnayan sa mga mapagkukunan ng pag-aaral at kumunsulta sa isang abogado para sa mas komprehensibong pag-unawa sa "&amp;"potensyal na legal na implikasyon.")</f>
        <v>Walang isang batas sa Pilipinas na direktang tumutugon sa hindi awtorisadong pagbebenta o pamamahagi ng mga ipinagbabawal na publikasyon sa mga pampublikong paaralan. Gayunpaman, maaari nating tingnan ang kumbinasyon ng mga batas at regulasyon ng Pilipinas upang maunawaan ang mga posibleng kahihinatnan:
1. **Revised Penal Code (RPC) - Article 190 (Obscenity and Indecent Exposure):** Ang artikulong ito ay nagpaparusa sa paglalathala o pamamahagi ng mga malalaswang materyales. Kung ang mga ipinagbabawal na publikasyon ay nasa ilalim ng kategoryang ito, ang nagbebenta/distributor ay maaaring maharap sa pagkakulong at mga multa.
2. **Republic Act No. 10175 o ang Cybercrime Prevention Act of 2012 (CPA):** Nalalapat ang batas na ito kung ang pamamahagi ay nagsasangkot ng paggamit ng mga teknolohiya ng impormasyon at komunikasyon (ICT).
* **Seksyon 18 (Mga Pagkakasala sa Nilalaman):** Ipinagbabawal ng seksyong ito ang pamamahagi ng nilalamang nagpo-promote ng pornograpiya ng bata o lumalabag sa karapatan sa privacy. 3. **Mga Patakaran ng Department of Education (DepEd):** Ang DepEd, sa pamamagitan ng iba't ibang issuance nito (hal., DepEd Orders, Memoranda), ay kinokontrol ang mga learning resources na ginagamit sa mga pampublikong paaralan. Ang mga patakarang ito ay madalas na nagbabawal sa pamamahagi ng mga materyales na:
* Hindi naaangkop sa edad
* Isulong ang karahasan, poot, o diskriminasyon
* Hindi naaayon sa itinakdang kurikulum
**Ang mga parusa sa ilalim ng mga patakaran ng DepEd ay hindi magsasangkot ng pagkakulong, ngunit maaaring kabilang ang:**
* Pagkumpiska ng mga materyales
* Pagdidisiplina laban sa mga sangkot (hal., mga guro, mga tauhan na hindi nagtuturo)
**Tandaan, ang mga partikular na kahihinatnan ay magdedepende sa likas na katangian ng mga ipinagbabawal na publikasyon at kung paano ito ipinamahagi.** Mahalagang kumonsulta sa partikular na patakaran o regulasyon ng DepEd na may kaugnayan sa mga mapagkukunan ng pag-aaral at kumunsulta sa isang abogado para sa mas komprehensibong pag-unawa sa potensyal na legal na implikasyon.</v>
      </c>
      <c r="F1950" s="2">
        <f t="shared" si="1"/>
        <v>0</v>
      </c>
      <c r="G1950" s="2"/>
      <c r="H1950" s="2"/>
      <c r="I1950" s="2"/>
      <c r="J1950" s="2"/>
      <c r="K1950" s="2"/>
      <c r="L1950" s="2"/>
      <c r="M1950" s="2"/>
      <c r="N1950" s="2"/>
      <c r="O1950" s="2"/>
      <c r="P1950" s="2"/>
      <c r="Q1950" s="2"/>
      <c r="R1950" s="2"/>
      <c r="S1950" s="2"/>
      <c r="T1950" s="2"/>
      <c r="U1950" s="2"/>
      <c r="V1950" s="2"/>
      <c r="W1950" s="2"/>
      <c r="X1950" s="2"/>
      <c r="Y1950" s="2"/>
      <c r="Z1950" s="2"/>
      <c r="AA1950" s="2"/>
    </row>
    <row r="1951">
      <c r="A1951" s="1" t="s">
        <v>4698</v>
      </c>
      <c r="B1951" s="1" t="s">
        <v>4937</v>
      </c>
      <c r="C1951" s="1" t="s">
        <v>4938</v>
      </c>
      <c r="D1951" s="2" t="str">
        <f>IFERROR(__xludf.DUMMYFUNCTION("GOOGLETRANSLATE(B1951, ""en"", ""TL"")"),"Anong mga legal na probisyon ang kumokontrol sa pagmamay-ari at paggamit ng mga hindi awtorisadong kagamitan sa pagsubaybay sa mga pampublikong espasyo malapit sa mga cultural heritage site?")</f>
        <v>Anong mga legal na probisyon ang kumokontrol sa pagmamay-ari at paggamit ng mga hindi awtorisadong kagamitan sa pagsubaybay sa mga pampublikong espasyo malapit sa mga cultural heritage site?</v>
      </c>
      <c r="E1951" s="2" t="str">
        <f>IFERROR(__xludf.DUMMYFUNCTION("GOOGLETRANSLATE(C1951, ""en"", ""TL"")"),"Walang isang batas sa Pilipinas na partikular na tumutugon sa pagmamay-ari at paggamit ng mga hindi awtorisadong surveillance device sa mga pampublikong espasyo malapit sa mga cultural heritage site. Gayunpaman, maaari naming tingnan ang isang kumbinasyon"&amp;" ng mga batas na maaaring naaangkop:
* **Konstitusyon ng Pilipinas (Artikulo III, Seksyon 2):** Ginagarantiyahan ng seksyong ito ang karapatan sa pagkapribado. Ang paggamit ng hindi awtorisadong surveillance device ay maaaring makita bilang isang paglabag"&amp;" sa karapatang ito, lalo na kung ito ay kumukuha ng mga tao nang hindi nila alam o pahintulot.
* **Republic Act No. 10175 o ang Cybercrime Prevention Act of 2012 (CPA):**
* **Seksyon 26 (Hindi Awtorisadong Pag-access sa Mga Computer System):** Ito ay maaa"&amp;"ring malapat kung ang surveillance device ay ginagamit para i-hack ang isang computer system na konektado sa cultural heritage site (hal., mga security camera).
* **Republic Act No. 10006 o ang National Cultural Heritage Act of 2009:** Nakatuon ang batas "&amp;"na ito sa pagprotekta sa mga cultural heritage sites. * **Seksyon 19 (Mga Panukala sa Seguridad):** Bagama't hindi nito direktang tinutugunan ang hindi awtorisadong pagsubaybay, binibigyang kapangyarihan nito ang mga ahensya ng gobyerno na magtatag ng mga"&amp;" hakbang sa seguridad upang protektahan ang mga cultural heritage site. Ito ay maaaring bigyang-kahulugan upang payagan ang awtorisadong pagsubaybay para sa mga layuning pangseguridad.
* **Batas Pambansa Blg. 881 o ang Omnibus Election Code:** Nalalapat a"&amp;"ng batas na ito kung ang pagsubaybay ay isinasagawa kaugnay ng isang halalan. Kinokontrol nito ang paggamit ng mga camera at iba pang recording device malapit sa mga lugar ng botohan.
**Dagdag pa rito, maaaring may mga ordinansa ang ilang local government"&amp;" units (LGUs)** na kumokontrol sa paggamit ng mga surveillance device sa mga pampublikong espasyo. **Narito ang isang breakdown ng mga pangunahing punto:**
* Walang iisang batas na partikular sa hindi awtorisadong pagsubaybay malapit sa mga cultural herit"&amp;"age site.
* Maaaring may kaugnayan ang karapatan sa pagkapribado at mga partikular na probisyon ng CPA at National Cultural Heritage Act.
* Ang mga LGU ay maaaring magkaroon ng sarili nilang mga ordinansa sa pagsubaybay sa mga pampublikong lugar. **Mahala"&amp;"gang kumonsulta sa isang abogado** upang makakuha ng mas tiyak na sagot batay sa mga partikular na pangyayari, kabilang ang uri ng surveillance device, layunin nito, at ang lokasyong malapit sa cultural heritage site.")</f>
        <v>Walang isang batas sa Pilipinas na partikular na tumutugon sa pagmamay-ari at paggamit ng mga hindi awtorisadong surveillance device sa mga pampublikong espasyo malapit sa mga cultural heritage site. Gayunpaman, maaari naming tingnan ang isang kumbinasyon ng mga batas na maaaring naaangkop:
* **Konstitusyon ng Pilipinas (Artikulo III, Seksyon 2):** Ginagarantiyahan ng seksyong ito ang karapatan sa pagkapribado. Ang paggamit ng hindi awtorisadong surveillance device ay maaaring makita bilang isang paglabag sa karapatang ito, lalo na kung ito ay kumukuha ng mga tao nang hindi nila alam o pahintulot.
* **Republic Act No. 10175 o ang Cybercrime Prevention Act of 2012 (CPA):**
* **Seksyon 26 (Hindi Awtorisadong Pag-access sa Mga Computer System):** Ito ay maaaring malapat kung ang surveillance device ay ginagamit para i-hack ang isang computer system na konektado sa cultural heritage site (hal., mga security camera).
* **Republic Act No. 10006 o ang National Cultural Heritage Act of 2009:** Nakatuon ang batas na ito sa pagprotekta sa mga cultural heritage sites. * **Seksyon 19 (Mga Panukala sa Seguridad):** Bagama't hindi nito direktang tinutugunan ang hindi awtorisadong pagsubaybay, binibigyang kapangyarihan nito ang mga ahensya ng gobyerno na magtatag ng mga hakbang sa seguridad upang protektahan ang mga cultural heritage site. Ito ay maaaring bigyang-kahulugan upang payagan ang awtorisadong pagsubaybay para sa mga layuning pangseguridad.
* **Batas Pambansa Blg. 881 o ang Omnibus Election Code:** Nalalapat ang batas na ito kung ang pagsubaybay ay isinasagawa kaugnay ng isang halalan. Kinokontrol nito ang paggamit ng mga camera at iba pang recording device malapit sa mga lugar ng botohan.
**Dagdag pa rito, maaaring may mga ordinansa ang ilang local government units (LGUs)** na kumokontrol sa paggamit ng mga surveillance device sa mga pampublikong espasyo. **Narito ang isang breakdown ng mga pangunahing punto:**
* Walang iisang batas na partikular sa hindi awtorisadong pagsubaybay malapit sa mga cultural heritage site.
* Maaaring may kaugnayan ang karapatan sa pagkapribado at mga partikular na probisyon ng CPA at National Cultural Heritage Act.
* Ang mga LGU ay maaaring magkaroon ng sarili nilang mga ordinansa sa pagsubaybay sa mga pampublikong lugar. **Mahalagang kumonsulta sa isang abogado** upang makakuha ng mas tiyak na sagot batay sa mga partikular na pangyayari, kabilang ang uri ng surveillance device, layunin nito, at ang lokasyong malapit sa cultural heritage site.</v>
      </c>
      <c r="F1951" s="2">
        <f t="shared" si="1"/>
        <v>1</v>
      </c>
      <c r="G1951" s="2"/>
      <c r="H1951" s="2"/>
      <c r="I1951" s="2"/>
      <c r="J1951" s="2"/>
      <c r="K1951" s="2"/>
      <c r="L1951" s="2"/>
      <c r="M1951" s="2"/>
      <c r="N1951" s="2"/>
      <c r="O1951" s="2"/>
      <c r="P1951" s="2"/>
      <c r="Q1951" s="2"/>
      <c r="R1951" s="2"/>
      <c r="S1951" s="2"/>
      <c r="T1951" s="2"/>
      <c r="U1951" s="2"/>
      <c r="V1951" s="2"/>
      <c r="W1951" s="2"/>
      <c r="X1951" s="2"/>
      <c r="Y1951" s="2"/>
      <c r="Z1951" s="2"/>
      <c r="AA1951" s="2"/>
    </row>
    <row r="1952">
      <c r="A1952" s="1" t="s">
        <v>4698</v>
      </c>
      <c r="B1952" s="1" t="s">
        <v>4939</v>
      </c>
      <c r="C1952" s="1" t="s">
        <v>4940</v>
      </c>
      <c r="D1952" s="2" t="str">
        <f>IFERROR(__xludf.DUMMYFUNCTION("GOOGLETRANSLATE(B1952, ""en"", ""TL"")"),"Paano tinutugunan ng batas ang mga insidente ng pang-aabuso o panliligalig sa antas ng kalye batay sa oryentasyong sekswal o pagkakakilanlang pangkasarian sa mga pampublikong espasyo?")</f>
        <v>Paano tinutugunan ng batas ang mga insidente ng pang-aabuso o panliligalig sa antas ng kalye batay sa oryentasyong sekswal o pagkakakilanlang pangkasarian sa mga pampublikong espasyo?</v>
      </c>
      <c r="E1952" s="2" t="str">
        <f>IFERROR(__xludf.DUMMYFUNCTION("GOOGLETRANSLATE(C1952, ""en"", ""TL"")"),"Ang Pilipinas ay may medyo bagong batas na tumutugon sa mga insidente ng pang-aabuso sa antas ng kalye o panliligalig batay sa oryentasyong sekswal o pagkakakilanlang pangkasarian (SOGI) sa mga pampublikong espasyo:
* **Republic Act No. 11313 o ang Safe S"&amp;"paces Act of 2019:** Tinutukoy at pinaparusahan ng batas na ito ang **sexual harassment na nakabatay sa kasarian** na kinabibilangan ng panliligalig batay sa SOGI.
Narito ang isang breakdown kung paano nalalapat ang Safe Spaces Act sa iyong sitwasyon:
* *"&amp;"*Kahulugan ng Sekswal na Panliligalig na Nakabatay sa Kasarian:** * Tinutukoy ito ng batas bilang anumang **hindi ginusto at hindi inanyayahang mga sekswal na aksyon o pananalita** laban sa sinumang tao anuman ang motibo (Seksyon 4). Maaaring kabilang dit"&amp;"o ang pasalitang pang-aabuso, mga galaw, o kahit na pisikal na pag-atake kung ito ay sekswal na nagpapahiwatig.
* **Mga sakop na lokasyon:** * Nalalapat ang batas sa **mga pampublikong espasyo** kabilang ang mga kalye, parke, pampublikong transportasyon, "&amp;"at kahit na pribadong pag-aari na mga establisyimento na bukas sa publiko (tulad ng mga mall, restaurant, atbp.) (Seksyon 3)
* **Mga Parusa:** * Ang parusa para sa mga may kasalanan ay maaaring mula sa pagkakakulong ng hanggang anim na buwan hanggang sa m"&amp;"ultang hanggang PhP100,000 (Seksyon 25). Ang eksaktong parusa ay depende sa kalubhaan ng pagkakasala.
**Mga karagdagang puntos na dapat isaalang-alang:**
* **Pag-uulat:** Hinihikayat ng batas ang mga tumatayo at biktima na mag-ulat ng mga insidente sa pul"&amp;"isya o mga opisyal ng barangay (Seksyon 11).
* **Proteksyon:** Ang batas ay nag-uutos na ang mga restaurant, mall, at iba pang mga establisyimento ay magpatupad ng zero-tolerance policy laban sa SOGI-based na panliligalig at magbigay ng tulong sa mga bikt"&amp;"ima (Seksyon 9).
* **Mga Limitasyon:** Mahalagang tandaan na habang ang Safe Spaces Act ay isang makabuluhang hakbang, ang pagpapatupad nito ay nagbabago pa rin. Maaaring may mga hamon sa pag-uusig sa mga kasong ito dahil sa mga salik tulad ng pangangalap"&amp;" ng ebidensya sa mga pampublikong espasyo.
Kung nakaranas o nakasaksi ka ng insidente ng pang-aabuso o panliligalig sa antas ng kalye batay sa SOGI sa isang pampublikong espasyo, hinihikayat kang iulat ito sa mga awtoridad. Makakatulong ito sa pagtaas ng "&amp;"kamalayan at matiyak ang kaligtasan ng iyong sarili at ng iba.")</f>
        <v>Ang Pilipinas ay may medyo bagong batas na tumutugon sa mga insidente ng pang-aabuso sa antas ng kalye o panliligalig batay sa oryentasyong sekswal o pagkakakilanlang pangkasarian (SOGI) sa mga pampublikong espasyo:
* **Republic Act No. 11313 o ang Safe Spaces Act of 2019:** Tinutukoy at pinaparusahan ng batas na ito ang **sexual harassment na nakabatay sa kasarian** na kinabibilangan ng panliligalig batay sa SOGI.
Narito ang isang breakdown kung paano nalalapat ang Safe Spaces Act sa iyong sitwasyon:
* **Kahulugan ng Sekswal na Panliligalig na Nakabatay sa Kasarian:** * Tinutukoy ito ng batas bilang anumang **hindi ginusto at hindi inanyayahang mga sekswal na aksyon o pananalita** laban sa sinumang tao anuman ang motibo (Seksyon 4). Maaaring kabilang dito ang pasalitang pang-aabuso, mga galaw, o kahit na pisikal na pag-atake kung ito ay sekswal na nagpapahiwatig.
* **Mga sakop na lokasyon:** * Nalalapat ang batas sa **mga pampublikong espasyo** kabilang ang mga kalye, parke, pampublikong transportasyon, at kahit na pribadong pag-aari na mga establisyimento na bukas sa publiko (tulad ng mga mall, restaurant, atbp.) (Seksyon 3)
* **Mga Parusa:** * Ang parusa para sa mga may kasalanan ay maaaring mula sa pagkakakulong ng hanggang anim na buwan hanggang sa multang hanggang PhP100,000 (Seksyon 25). Ang eksaktong parusa ay depende sa kalubhaan ng pagkakasala.
**Mga karagdagang puntos na dapat isaalang-alang:**
* **Pag-uulat:** Hinihikayat ng batas ang mga tumatayo at biktima na mag-ulat ng mga insidente sa pulisya o mga opisyal ng barangay (Seksyon 11).
* **Proteksyon:** Ang batas ay nag-uutos na ang mga restaurant, mall, at iba pang mga establisyimento ay magpatupad ng zero-tolerance policy laban sa SOGI-based na panliligalig at magbigay ng tulong sa mga biktima (Seksyon 9).
* **Mga Limitasyon:** Mahalagang tandaan na habang ang Safe Spaces Act ay isang makabuluhang hakbang, ang pagpapatupad nito ay nagbabago pa rin. Maaaring may mga hamon sa pag-uusig sa mga kasong ito dahil sa mga salik tulad ng pangangalap ng ebidensya sa mga pampublikong espasyo.
Kung nakaranas o nakasaksi ka ng insidente ng pang-aabuso o panliligalig sa antas ng kalye batay sa SOGI sa isang pampublikong espasyo, hinihikayat kang iulat ito sa mga awtoridad. Makakatulong ito sa pagtaas ng kamalayan at matiyak ang kaligtasan ng iyong sarili at ng iba.</v>
      </c>
      <c r="F1952" s="2">
        <f t="shared" si="1"/>
        <v>0</v>
      </c>
      <c r="G1952" s="2"/>
      <c r="H1952" s="2"/>
      <c r="I1952" s="2"/>
      <c r="J1952" s="2"/>
      <c r="K1952" s="2"/>
      <c r="L1952" s="2"/>
      <c r="M1952" s="2"/>
      <c r="N1952" s="2"/>
      <c r="O1952" s="2"/>
      <c r="P1952" s="2"/>
      <c r="Q1952" s="2"/>
      <c r="R1952" s="2"/>
      <c r="S1952" s="2"/>
      <c r="T1952" s="2"/>
      <c r="U1952" s="2"/>
      <c r="V1952" s="2"/>
      <c r="W1952" s="2"/>
      <c r="X1952" s="2"/>
      <c r="Y1952" s="2"/>
      <c r="Z1952" s="2"/>
      <c r="AA1952" s="2"/>
    </row>
    <row r="1953">
      <c r="A1953" s="1" t="s">
        <v>4698</v>
      </c>
      <c r="B1953" s="1" t="s">
        <v>4825</v>
      </c>
      <c r="C1953" s="1" t="s">
        <v>4941</v>
      </c>
      <c r="D1953" s="2" t="str">
        <f>IFERROR(__xludf.DUMMYFUNCTION("GOOGLETRANSLATE(B1953,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53" s="2" t="str">
        <f>IFERROR(__xludf.DUMMYFUNCTION("GOOGLETRANSLATE(C1953, ""en"", ""TL"")"),"Ang batas ng Pilipinas ay walang partikular na pagkakasala para sa ""pag-iwas sa buwis sa antas ng kalye o mga mapanlinlang na aktibidad sa pananalapi sa mga pampublikong espasyo."" Gayunpaman, depende sa partikular na aktibidad, maraming batas ang maaari"&amp;"ng gamitin upang parusahan ang nagkasala. Narito ang isang breakdown ng mga posibleng senaryo at nauugnay na batas:
**Scenario 1: Pagbebenta ng mga kalakal nang walang permit o resibo**
* Ito ay maaaring isang paglabag sa mga ordinansa ng lokal na pamahal"&amp;"aan na kumokontrol sa mga business permit at pagbubuwis. Ang mga parusa ay karaniwang may kasamang mga multa at posibleng pagkumpiska ng mga kalakal.
**Scenario 2: Pamemeke ng mga resibo o invoice**
* Ito ay nasa ilalim ng krimen ng Falsification of Priva"&amp;"te Documents sa ilalim ng Article 185 ng Revised Penal Code (RPC). Ang mga parusa ay maaaring mula sa pagkakakulong ng hanggang anim na buwan hanggang anim na taon, depende sa pinsalang dulot.
**Scenario 3: Pagsasagawa ng mga aktibidad sa ilegal na pagsus"&amp;"ugal**
* Iba't ibang batas ang tumutugon sa iligal na pagsusugal, kabilang ang Presidential Decree No. 1602 at Republic Act No. 9287 (An Act to Strengthen the Prohibition on Gambling and Provide for the Penalty Thereof). Maaaring kabilang sa mga parusa an"&amp;"g mga multa at pagkakulong depende sa uri at sukat ng aktibidad ng pagsusugal.
**Scenario 4: Paggamit ng pekeng pera**
* Isa itong krimen sa ilalim ng Article 186 ng RPC na may mga parusang pagkakakulong ng hanggang 12 taon.
**Mahahalagang Punto:**
* **Pa"&amp;"gtitipon ng Ebidensya:** Ang pagpapatupad ng mga batas na ito sa mga pampublikong espasyo ay maaaring maging mahirap dahil sa kahirapan sa pangangalap ng ebidensya. * **Pokus ng Pagpapatupad ng Batas:** Karaniwang inuuna ng mga ahensyang nagpapatupad ng b"&amp;"atas ang mas malakihang pag-iwas sa buwis at pandaraya sa pananalapi kaysa sa mga aktibidad sa antas ng kalye.
**Mahalagang tandaan na ang pag-iwas sa buwis mismo ay hindi isang krimen na maaari kang mahuli sa kalye.** Ang pag-iwas sa buwis ay karaniwang "&amp;"kinasasangkutan ng mga indibidwal o negosyo na sadyang hindi nag-uulat ng kita o kulang sa pagbabayad ng mga buwis na inutang. Ito ay kadalasang natutuklasan sa pamamagitan ng mga audit o imbestigasyon ng Bureau of Internal Revenue (BIR).
**Para sa mas ti"&amp;"yak na sagot sa mga partikular na parusa** na maaaring naaangkop sa isang partikular na sitwasyon, palaging pinakamahusay na kumunsulta sa isang abogado na maaaring magsuri sa mga detalye ng aktibidad na pinag-uusapan.")</f>
        <v>Ang batas ng Pilipinas ay walang partikular na pagkakasala para sa "pag-iwas sa buwis sa antas ng kalye o mga mapanlinlang na aktibidad sa pananalapi sa mga pampublikong espasyo." Gayunpaman, depende sa partikular na aktibidad, maraming batas ang maaaring gamitin upang parusahan ang nagkasala. Narito ang isang breakdown ng mga posibleng senaryo at nauugnay na batas:
**Scenario 1: Pagbebenta ng mga kalakal nang walang permit o resibo**
* Ito ay maaaring isang paglabag sa mga ordinansa ng lokal na pamahalaan na kumokontrol sa mga business permit at pagbubuwis. Ang mga parusa ay karaniwang may kasamang mga multa at posibleng pagkumpiska ng mga kalakal.
**Scenario 2: Pamemeke ng mga resibo o invoice**
* Ito ay nasa ilalim ng krimen ng Falsification of Private Documents sa ilalim ng Article 185 ng Revised Penal Code (RPC). Ang mga parusa ay maaaring mula sa pagkakakulong ng hanggang anim na buwan hanggang anim na taon, depende sa pinsalang dulot.
**Scenario 3: Pagsasagawa ng mga aktibidad sa ilegal na pagsusugal**
* Iba't ibang batas ang tumutugon sa iligal na pagsusugal, kabilang ang Presidential Decree No. 1602 at Republic Act No. 9287 (An Act to Strengthen the Prohibition on Gambling and Provide for the Penalty Thereof). Maaaring kabilang sa mga parusa ang mga multa at pagkakulong depende sa uri at sukat ng aktibidad ng pagsusugal.
**Scenario 4: Paggamit ng pekeng pera**
* Isa itong krimen sa ilalim ng Article 186 ng RPC na may mga parusang pagkakakulong ng hanggang 12 taon.
**Mahahalagang Punto:**
* **Pagtitipon ng Ebidensya:** Ang pagpapatupad ng mga batas na ito sa mga pampublikong espasyo ay maaaring maging mahirap dahil sa kahirapan sa pangangalap ng ebidensya. * **Pokus ng Pagpapatupad ng Batas:** Karaniwang inuuna ng mga ahensyang nagpapatupad ng batas ang mas malakihang pag-iwas sa buwis at pandaraya sa pananalapi kaysa sa mga aktibidad sa antas ng kalye.
**Mahalagang tandaan na ang pag-iwas sa buwis mismo ay hindi isang krimen na maaari kang mahuli sa kalye.** Ang pag-iwas sa buwis ay karaniwang kinasasangkutan ng mga indibidwal o negosyo na sadyang hindi nag-uulat ng kita o kulang sa pagbabayad ng mga buwis na inutang. Ito ay kadalasang natutuklasan sa pamamagitan ng mga audit o imbestigasyon ng Bureau of Internal Revenue (BIR).
**Para sa mas tiyak na sagot sa mga partikular na parusa** na maaaring naaangkop sa isang partikular na sitwasyon, palaging pinakamahusay na kumunsulta sa isang abogado na maaaring magsuri sa mga detalye ng aktibidad na pinag-uusapan.</v>
      </c>
      <c r="F1953" s="2">
        <f t="shared" si="1"/>
        <v>6</v>
      </c>
      <c r="G1953" s="2"/>
      <c r="H1953" s="2"/>
      <c r="I1953" s="2"/>
      <c r="J1953" s="2"/>
      <c r="K1953" s="2"/>
      <c r="L1953" s="2"/>
      <c r="M1953" s="2"/>
      <c r="N1953" s="2"/>
      <c r="O1953" s="2"/>
      <c r="P1953" s="2"/>
      <c r="Q1953" s="2"/>
      <c r="R1953" s="2"/>
      <c r="S1953" s="2"/>
      <c r="T1953" s="2"/>
      <c r="U1953" s="2"/>
      <c r="V1953" s="2"/>
      <c r="W1953" s="2"/>
      <c r="X1953" s="2"/>
      <c r="Y1953" s="2"/>
      <c r="Z1953" s="2"/>
      <c r="AA1953" s="2"/>
    </row>
    <row r="1954">
      <c r="A1954" s="1" t="s">
        <v>4698</v>
      </c>
      <c r="B1954" s="1" t="s">
        <v>4888</v>
      </c>
      <c r="C1954" s="1" t="s">
        <v>4942</v>
      </c>
      <c r="D1954" s="2" t="str">
        <f>IFERROR(__xludf.DUMMYFUNCTION("GOOGLETRANSLATE(B1954, ""en"", ""TL"")"),"Paano tinutugunan sa ilalim ng batas ng Pilipinas ang pagkakasala ng pampublikong pagsasabwatan upang gumawa ng human trafficking o illegal recruitment?")</f>
        <v>Paano tinutugunan sa ilalim ng batas ng Pilipinas ang pagkakasala ng pampublikong pagsasabwatan upang gumawa ng human trafficking o illegal recruitment?</v>
      </c>
      <c r="E1954" s="2" t="str">
        <f>IFERROR(__xludf.DUMMYFUNCTION("GOOGLETRANSLATE(C1954, ""en"", ""TL"")"),"Ang pagsasabwatan ng publiko na gumawa ng human trafficking o illegal recruitment ay isang malubhang pagkakasala sa Pilipinas. Walang iisang batas na direktang tumutugon sa ""pampublikong pagsasabwatan"" para sa mga partikular na krimeng ito, ngunit maram"&amp;"ing batas ang maaaring gamitin upang usigin ang mga nagkasala:
* **Republic Act No. (RA) 9208 o ang Anti-Trafficking in Persons Act of 2003:** Ang batas na ito ay tumutukoy at nagpaparusa sa iba't ibang anyo ng human trafficking, kabilang ang sex traffick"&amp;"ing at forced labor (Seksyon 3).
* **Seksyon 6:** Ang seksyong ito ay nagpaparusa sa pagsasabwatan upang gumawa ng trafficking ng mga tao. Ang parusa ay maaaring kasing taas ng habambuhay na pagkakakulong depende sa partikular na mga pangyayari (hal., kun"&amp;"g may kinalaman ito sa isang menor de edad).
* **RA No. 8042 o ang Special Protection of Children Against Abuse, Exploitation and Discrimination Act (SPCAD):** Pinoprotektahan ng batas na ito ang mga bata mula sa lahat ng uri ng pang-aabuso, pagsasamantal"&amp;"a, at diskriminasyon, kabilang ang trafficking (Seksyon 5).
* **Seksyon 10:** Katulad ng RA 9208, pinarusahan ng seksyong ito ang pagsasabwatan upang gumawa ng child trafficking na may mga parusa mula sa habambuhay na pagkakakulong hanggang 20 taon depend"&amp;"e sa mga pangyayari. * **Artikulo 183 ng Revised Penal Code (RPC):** Ang artikulong ito ay tumatalakay sa krimen ng ""Estafa,"" na isang uri ng pandaraya (kabilang ang iligal na pangangalap).
* **Artikulo 184:** Sinasaklaw ang pagsasabwatan upang gumawa n"&amp;"g Estafa. Mapapatunayan ang pampublikong pagsasabwatan kung ang kasunduan sa paggawa ng krimen ay ginawa sa paraang madaling malaman ng publiko.
* **Artikulo 88 ng RPC:** Sinasaklaw ng artikulong ito ang mismong krimen ng ""Conspiracy"", na isang kasundua"&amp;"n sa pagitan ng dalawa o higit pang tao na gumawa ng krimen.
**Dagdag pa rito, kinikilala ng Philippine jurisprudence ang konsepto ng public conspiracy.** Nangangahulugan ito na kahit na hindi pormal ang kasunduan sa paggawa ng krimen, kung ito ay ginawa "&amp;"sa paraang pampubliko at kilalang-kilala, ang pagsasabwatan ay maaari pa ring maitatag.
**Narito ang isang breakdown ng mga pangunahing punto:**
* Ang pagsasabwatan upang gumawa ng human trafficking o iligal na pangangalap ay isang malubhang krimen.
* Mar"&amp;"aming batas ang maaaring gamitin upang usigin ang mga nagkasala, depende sa partikular na mga pangyayari.
* Ang kaalaman ng publiko sa pagsasabwatan ay maaaring palakasin ang kaso laban sa mga nagkasala. **Tandaan, hindi ito legal na payo.** Kung mayroon "&amp;"kang anumang impormasyon tungkol sa pampublikong pagsasabwatan upang gumawa ng human trafficking o illegal recruitment, dapat mong iulat ito kaagad sa mga awtoridad. Maaari kang makipag-ugnayan sa National Bureau of Investigation (NBI) o sa Philippine Nat"&amp;"ional Police (PNP).")</f>
        <v>Ang pagsasabwatan ng publiko na gumawa ng human trafficking o illegal recruitment ay isang malubhang pagkakasala sa Pilipinas. Walang iisang batas na direktang tumutugon sa "pampublikong pagsasabwatan" para sa mga partikular na krimeng ito, ngunit maraming batas ang maaaring gamitin upang usigin ang mga nagkasala:
* **Republic Act No. (RA) 9208 o ang Anti-Trafficking in Persons Act of 2003:** Ang batas na ito ay tumutukoy at nagpaparusa sa iba't ibang anyo ng human trafficking, kabilang ang sex trafficking at forced labor (Seksyon 3).
* **Seksyon 6:** Ang seksyong ito ay nagpaparusa sa pagsasabwatan upang gumawa ng trafficking ng mga tao. Ang parusa ay maaaring kasing taas ng habambuhay na pagkakakulong depende sa partikular na mga pangyayari (hal., kung may kinalaman ito sa isang menor de edad).
* **RA No. 8042 o ang Special Protection of Children Against Abuse, Exploitation and Discrimination Act (SPCAD):** Pinoprotektahan ng batas na ito ang mga bata mula sa lahat ng uri ng pang-aabuso, pagsasamantala, at diskriminasyon, kabilang ang trafficking (Seksyon 5).
* **Seksyon 10:** Katulad ng RA 9208, pinarusahan ng seksyong ito ang pagsasabwatan upang gumawa ng child trafficking na may mga parusa mula sa habambuhay na pagkakakulong hanggang 20 taon depende sa mga pangyayari. * **Artikulo 183 ng Revised Penal Code (RPC):** Ang artikulong ito ay tumatalakay sa krimen ng "Estafa," na isang uri ng pandaraya (kabilang ang iligal na pangangalap).
* **Artikulo 184:** Sinasaklaw ang pagsasabwatan upang gumawa ng Estafa. Mapapatunayan ang pampublikong pagsasabwatan kung ang kasunduan sa paggawa ng krimen ay ginawa sa paraang madaling malaman ng publiko.
* **Artikulo 88 ng RPC:** Sinasaklaw ng artikulong ito ang mismong krimen ng "Conspiracy", na isang kasunduan sa pagitan ng dalawa o higit pang tao na gumawa ng krimen.
**Dagdag pa rito, kinikilala ng Philippine jurisprudence ang konsepto ng public conspiracy.** Nangangahulugan ito na kahit na hindi pormal ang kasunduan sa paggawa ng krimen, kung ito ay ginawa sa paraang pampubliko at kilalang-kilala, ang pagsasabwatan ay maaari pa ring maitatag.
**Narito ang isang breakdown ng mga pangunahing punto:**
* Ang pagsasabwatan upang gumawa ng human trafficking o iligal na pangangalap ay isang malubhang krimen.
* Maraming batas ang maaaring gamitin upang usigin ang mga nagkasala, depende sa partikular na mga pangyayari.
* Ang kaalaman ng publiko sa pagsasabwatan ay maaaring palakasin ang kaso laban sa mga nagkasala. **Tandaan, hindi ito legal na payo.** Kung mayroon kang anumang impormasyon tungkol sa pampublikong pagsasabwatan upang gumawa ng human trafficking o illegal recruitment, dapat mong iulat ito kaagad sa mga awtoridad. Maaari kang makipag-ugnayan sa National Bureau of Investigation (NBI) o sa Philippine National Police (PNP).</v>
      </c>
      <c r="F1954" s="2">
        <f t="shared" si="1"/>
        <v>0</v>
      </c>
      <c r="G1954" s="2"/>
      <c r="H1954" s="2"/>
      <c r="I1954" s="2"/>
      <c r="J1954" s="2"/>
      <c r="K1954" s="2"/>
      <c r="L1954" s="2"/>
      <c r="M1954" s="2"/>
      <c r="N1954" s="2"/>
      <c r="O1954" s="2"/>
      <c r="P1954" s="2"/>
      <c r="Q1954" s="2"/>
      <c r="R1954" s="2"/>
      <c r="S1954" s="2"/>
      <c r="T1954" s="2"/>
      <c r="U1954" s="2"/>
      <c r="V1954" s="2"/>
      <c r="W1954" s="2"/>
      <c r="X1954" s="2"/>
      <c r="Y1954" s="2"/>
      <c r="Z1954" s="2"/>
      <c r="AA1954" s="2"/>
    </row>
    <row r="1955">
      <c r="A1955" s="1" t="s">
        <v>4698</v>
      </c>
      <c r="B1955" s="1" t="s">
        <v>4943</v>
      </c>
      <c r="C1955" s="1" t="s">
        <v>4944</v>
      </c>
      <c r="D1955" s="2" t="str">
        <f>IFERROR(__xludf.DUMMYFUNCTION("GOOGLETRANSLATE(B1955, ""en"", ""TL"")"),"Anong mga legal na hakbang ang umiiral upang labanan ang mga paglabag sa kapaligiran sa antas ng kalye, tulad ng hindi wastong pagtatapon ng mga elektronikong basura sa mga pampublikong parke?")</f>
        <v>Anong mga legal na hakbang ang umiiral upang labanan ang mga paglabag sa kapaligiran sa antas ng kalye, tulad ng hindi wastong pagtatapon ng mga elektronikong basura sa mga pampublikong parke?</v>
      </c>
      <c r="E1955" s="2" t="str">
        <f>IFERROR(__xludf.DUMMYFUNCTION("GOOGLETRANSLATE(C1955, ""en"", ""TL"")"),"Maraming legal na hakbang ang maaaring gamitin upang labanan ang mga paglabag sa kapaligiran sa antas ng kalye tulad ng hindi tamang pagtatapon ng elektronikong basura (e-waste) sa mga pampublikong parke sa Pilipinas. Narito ang isang breakdown ng mga nau"&amp;"ugnay na batas at regulasyon:
**1. Republic Act No. 6969 o ang Toxic Substances and Hazardous Wastes Control Act of 1992:**
* Ang batas na ito ay kinokontrol ang pamamahala at pagtatapon ng mga mapanganib na basura, kabilang ang e-waste.
* **Seksyon 26:**"&amp;" Ipinagbabawal ng seksyong ito ang ""pagtatapon, pagtatapon, o paglalagay"" ng mga mapanganib na basura sa mga pampublikong lugar tulad ng mga parke. * **Mga Parusa:** Ang mga lumalabag ay maaaring makulong ng hanggang anim na buwan at multa ng hanggang P"&amp;"hP100,000 (Seksyon 27).
**2. Republic Act No. 9003 o ang Ecological Solid Waste Management Act of 2000:**
* Nakatuon ang batas na ito sa wastong pamamahala ng solid waste, kabilang ang mga espesyal na basura tulad ng e-waste.
* **Seksyon 4:** Ipinag-uutos"&amp;" ng seksyong ito ang paghihiwalay ng basura sa pinagmulan, na kinabibilangan ng paghihiwalay ng e-waste mula sa regular na basura. Ang hindi tamang pagtatapon sa mga parke ay lalabag dito.
* **Seksyon 26:** Katulad ng RA 6969, ipinagbabawal nito ang magka"&amp;"lat at iligal na pagtatapon ng basura sa mga pampublikong lugar. * **Mga Parusa:** Mga multa mula PhP300 hanggang PhP1,000 para sa mga unang beses na nagkasala at posibleng mas mataas na mga parusa para sa mga kasunod na pagkakasala (Seksyon 30). **3. Mga"&amp;" Ordinansa ng Local Government Unit (LGU):**
* Maraming LGU ang may mga ordinansa na partikular na tumutugon sa pagtatapon ng basura at pangangalaga sa kapaligiran. Ang mga ordinansang ito ay maaaring may mas mahigpit na parusa o partikular na mga regulas"&amp;"yon sa pagtatapon ng e-waste.
**4. Mga Administrative Order (AOs) ng Department of Environment and Natural Resources (DENR):**
* Nag-isyu ang DENR ng mga AO na nagbibigay ng mas tiyak na mga alituntunin sa pagpapatupad ng mga batas sa kapaligiran. Ang mga"&amp;" ito ay maaaring tumugon sa wastong paghawak at pagtatapon ng e-waste.
**Mga Hamon sa Pagpapatupad:**
* Ang pagpapatupad ng mga batas na ito sa mga pampublikong espasyo tulad ng mga parke ay maaaring maging hamon dahil sa kahirapan sa paghuli ng mga nagka"&amp;"sala sa akto.
* Mahalaga rin ang kamalayan ng publiko tungkol sa wastong pagtatapon ng e-waste.
**Mga Karagdagang Solusyon:**
* **Mga kampanya ng impormasyon:** Pagtuturo sa publiko tungkol sa mga panganib ng hindi wastong pagtatapon ng e-waste at magagam"&amp;"it na mga opsyon sa pag-recycle.
* **Mga itinalagang e-waste collection point:** Pagse-set up ng mga maginhawang lokasyon para sa mga tao upang itapon ang e-waste nang responsable.
* **Pagtutulungan sa pagitan ng mga LGU at barangay:** Pag-uugnay ng mga p"&amp;"agsisikap na subaybayan ang mga pampublikong espasyo at ipatupad ang mga batas sa kapaligiran.
Sa pamamagitan ng pagsasama-sama ng mga legal na hakbang sa kamalayan ng publiko at mga alternatibong opsyon sa pagtatapon, maaaring labanan ng Pilipinas ang mg"&amp;"a paglabag sa kapaligiran sa antas ng kalye at isulong ang responsableng pamamahala ng e-waste.")</f>
        <v>Maraming legal na hakbang ang maaaring gamitin upang labanan ang mga paglabag sa kapaligiran sa antas ng kalye tulad ng hindi tamang pagtatapon ng elektronikong basura (e-waste) sa mga pampublikong parke sa Pilipinas. Narito ang isang breakdown ng mga nauugnay na batas at regulasyon:
**1. Republic Act No. 6969 o ang Toxic Substances and Hazardous Wastes Control Act of 1992:**
* Ang batas na ito ay kinokontrol ang pamamahala at pagtatapon ng mga mapanganib na basura, kabilang ang e-waste.
* **Seksyon 26:** Ipinagbabawal ng seksyong ito ang "pagtatapon, pagtatapon, o paglalagay" ng mga mapanganib na basura sa mga pampublikong lugar tulad ng mga parke. * **Mga Parusa:** Ang mga lumalabag ay maaaring makulong ng hanggang anim na buwan at multa ng hanggang PhP100,000 (Seksyon 27).
**2. Republic Act No. 9003 o ang Ecological Solid Waste Management Act of 2000:**
* Nakatuon ang batas na ito sa wastong pamamahala ng solid waste, kabilang ang mga espesyal na basura tulad ng e-waste.
* **Seksyon 4:** Ipinag-uutos ng seksyong ito ang paghihiwalay ng basura sa pinagmulan, na kinabibilangan ng paghihiwalay ng e-waste mula sa regular na basura. Ang hindi tamang pagtatapon sa mga parke ay lalabag dito.
* **Seksyon 26:** Katulad ng RA 6969, ipinagbabawal nito ang magkalat at iligal na pagtatapon ng basura sa mga pampublikong lugar. * **Mga Parusa:** Mga multa mula PhP300 hanggang PhP1,000 para sa mga unang beses na nagkasala at posibleng mas mataas na mga parusa para sa mga kasunod na pagkakasala (Seksyon 30). **3. Mga Ordinansa ng Local Government Unit (LGU):**
* Maraming LGU ang may mga ordinansa na partikular na tumutugon sa pagtatapon ng basura at pangangalaga sa kapaligiran. Ang mga ordinansang ito ay maaaring may mas mahigpit na parusa o partikular na mga regulasyon sa pagtatapon ng e-waste.
**4. Mga Administrative Order (AOs) ng Department of Environment and Natural Resources (DENR):**
* Nag-isyu ang DENR ng mga AO na nagbibigay ng mas tiyak na mga alituntunin sa pagpapatupad ng mga batas sa kapaligiran. Ang mga ito ay maaaring tumugon sa wastong paghawak at pagtatapon ng e-waste.
**Mga Hamon sa Pagpapatupad:**
* Ang pagpapatupad ng mga batas na ito sa mga pampublikong espasyo tulad ng mga parke ay maaaring maging hamon dahil sa kahirapan sa paghuli ng mga nagkasala sa akto.
* Mahalaga rin ang kamalayan ng publiko tungkol sa wastong pagtatapon ng e-waste.
**Mga Karagdagang Solusyon:**
* **Mga kampanya ng impormasyon:** Pagtuturo sa publiko tungkol sa mga panganib ng hindi wastong pagtatapon ng e-waste at magagamit na mga opsyon sa pag-recycle.
* **Mga itinalagang e-waste collection point:** Pagse-set up ng mga maginhawang lokasyon para sa mga tao upang itapon ang e-waste nang responsable.
* **Pagtutulungan sa pagitan ng mga LGU at barangay:** Pag-uugnay ng mga pagsisikap na subaybayan ang mga pampublikong espasyo at ipatupad ang mga batas sa kapaligiran.
Sa pamamagitan ng pagsasama-sama ng mga legal na hakbang sa kamalayan ng publiko at mga alternatibong opsyon sa pagtatapon, maaaring labanan ng Pilipinas ang mga paglabag sa kapaligiran sa antas ng kalye at isulong ang responsableng pamamahala ng e-waste.</v>
      </c>
      <c r="F1955" s="2">
        <f t="shared" si="1"/>
        <v>0</v>
      </c>
      <c r="G1955" s="2"/>
      <c r="H1955" s="2"/>
      <c r="I1955" s="2"/>
      <c r="J1955" s="2"/>
      <c r="K1955" s="2"/>
      <c r="L1955" s="2"/>
      <c r="M1955" s="2"/>
      <c r="N1955" s="2"/>
      <c r="O1955" s="2"/>
      <c r="P1955" s="2"/>
      <c r="Q1955" s="2"/>
      <c r="R1955" s="2"/>
      <c r="S1955" s="2"/>
      <c r="T1955" s="2"/>
      <c r="U1955" s="2"/>
      <c r="V1955" s="2"/>
      <c r="W1955" s="2"/>
      <c r="X1955" s="2"/>
      <c r="Y1955" s="2"/>
      <c r="Z1955" s="2"/>
      <c r="AA1955" s="2"/>
    </row>
    <row r="1956">
      <c r="A1956" s="1" t="s">
        <v>4698</v>
      </c>
      <c r="B1956" s="1" t="s">
        <v>4945</v>
      </c>
      <c r="C1956" s="1" t="s">
        <v>4946</v>
      </c>
      <c r="D1956" s="2" t="str">
        <f>IFERROR(__xludf.DUMMYFUNCTION("GOOGLETRANSLATE(B1956, ""en"", ""TL"")"),"Sa ilalim ng anong mga pangyayari ang isang tao ay maaaring makasuhan ng public conspiracy to commit election-related offenses sa pampublikong transportasyon?")</f>
        <v>Sa ilalim ng anong mga pangyayari ang isang tao ay maaaring makasuhan ng public conspiracy to commit election-related offenses sa pampublikong transportasyon?</v>
      </c>
      <c r="E1956" s="2" t="str">
        <f>IFERROR(__xludf.DUMMYFUNCTION("GOOGLETRANSLATE(C1956, ""en"", ""TL"")"),"Sa ilalim ng batas ng Pilipinas, partikular sa ilalim ng Omnibus Election Code (Batas Pambansa Blg. 881), ang isang tao ay maaaring kasuhan ng public conspiracy to commit election-related offenses sa pampublikong transportasyon sa ilalim ng iba't ibang pa"&amp;"gkakataon. Maaaring kabilang sa mga pangyayaring ito ang:
1. **Nagsasabwatan sa Pagdala ng mga Ilegal na Materyales:** Kung ang mga indibidwal ay nagsasabwatan na gumamit ng pampublikong transportasyon, tulad ng mga bus, jeepney, o tren, upang maghatid ng"&amp;" mga ilegal na materyales na may kaugnayan sa mga paglabag sa halalan, maaari silang kasuhan ng pampublikong pagsasabwatan. Maaaring kabilang dito ang pagdadala ng mga mapanlinlang na balota, mga ipinagbabawal na materyales sa kampanya, o mga materyales n"&amp;"a ginagamit para sa pagbili ng boto.
2. **Mga Pinag-ugnay na Pagsisikap:** Kung may katibayan ng pinagsama-samang pagsisikap ng mga indibidwal o grupo na gumamit ng pampublikong transportasyon para sa mga paglabag na may kaugnayan sa halalan, tulad ng sa "&amp;"pamamagitan ng komunikasyon, magkasanib na aksyon, o pinagsasaluhang mapagkukunan, maaari silang kasuhan ng pagsasabwatan. Ang koordinasyong ito ay maaaring magsama ng maraming aktor na nagtutulungan upang maghatid ng mga materyales o mga indibidwal na sa"&amp;"ngkot sa mga aktibidad sa ilegal na kampanya.
3. **Paghahatid ng mga Indibidwal para sa Pagbili ng Boto:** Kung ang mga indibidwal ay nagsasabwatan na gumamit ng pampublikong transportasyon upang dalhin ang mga botante sa mga lugar ng botohan para sa layu"&amp;"nin ng pagbili ng boto o pananakot sa botante, maaari silang kasuhan ng pampublikong pagsasabwatan. Maaaring kabilang dito ang pag-aayos ng transportasyon para sa mga botante kapalit ng pera o iba pang mga benepisyo upang maimpluwensyahan ang kanilang pag"&amp;"-uugali sa pagboto.
4. **Paggamit ng Pampublikong Transportasyon para sa Mga Aktibidad ng Kampanya:** Kung ang mga indibidwal ay gumagamit ng pampublikong transportasyon para sa mga aktibidad ng kampanya na lumalabag sa mga batas sa halalan, tulad ng pama"&amp;"mahagi ng mga ipinagbabawal na materyales sa kampanya o paggawa ng mga gawa ng karahasan o pananakot, maaari silang kasuhan ng pagsasabwatan. Kabilang dito ang paggamit ng pampublikong transportasyon upang mapadali ang mga aktibidad ng ilegal na kampanya "&amp;"na naglalayong maimpluwensyahan ang resulta ng isang halalan.
5. **Paghahatid ng mga Hindi Awtorisadong Indibidwal:** Kung ang mga indibidwal ay nagsasabwatan na gumamit ng pampublikong transportasyon upang maghatid ng mga hindi awtorisadong indibidwal, t"&amp;"ulad ng mga hindi residente o hindi karapat-dapat na mga botante, sa mga lugar ng botohan para sa layuning maimpluwensyahan ang resulta ng halalan, maaari silang kasuhan ng pampublikong pagsasabwatan . Ito ay maaaring magsama ng mga pagsisikap na manipula"&amp;"hin ang turnout ng mga botante o manipulahin ang proseso ng elektoral.
Mahalagang tandaan na ang mga detalye ng paniningil sa mga indibidwal na may pampublikong pagsasabwatan upang gumawa ng mga pagkakasala na nauugnay sa halalan sa pampublikong transport"&amp;"asyon ay maaaring mag-iba depende sa mga kalagayan ng bawat kaso at ang ebidensyang makukuha. Ang mga ahensyang nagpapatupad ng batas at mga tagausig ay may pananagutan sa pag-iimbestiga sa mga naturang pagkakasala at pagsasampa ng naaangkop na mga kaso b"&amp;"atay sa mga ebidensyang nakalap. Ang mga indibidwal na inakusahan ng gayong mga pagkakasala ay may karapatang ipagtanggol ang kanilang sarili sa korte at ipagpalagay na inosente hanggang sa mapatunayang nagkasala.")</f>
        <v>Sa ilalim ng batas ng Pilipinas, partikular sa ilalim ng Omnibus Election Code (Batas Pambansa Blg. 881), ang isang tao ay maaaring kasuhan ng public conspiracy to commit election-related offenses sa pampublikong transportasyon sa ilalim ng iba't ibang pagkakataon. Maaaring kabilang sa mga pangyayaring ito ang:
1. **Nagsasabwatan sa Pagdala ng mga Ilegal na Materyales:** Kung ang mga indibidwal ay nagsasabwatan na gumamit ng pampublikong transportasyon, tulad ng mga bus, jeepney, o tren, upang maghatid ng mga ilegal na materyales na may kaugnayan sa mga paglabag sa halalan, maaari silang kasuhan ng pampublikong pagsasabwatan. Maaaring kabilang dito ang pagdadala ng mga mapanlinlang na balota, mga ipinagbabawal na materyales sa kampanya, o mga materyales na ginagamit para sa pagbili ng boto.
2. **Mga Pinag-ugnay na Pagsisikap:** Kung may katibayan ng pinagsama-samang pagsisikap ng mga indibidwal o grupo na gumamit ng pampublikong transportasyon para sa mga paglabag na may kaugnayan sa halalan, tulad ng sa pamamagitan ng komunikasyon, magkasanib na aksyon, o pinagsasaluhang mapagkukunan, maaari silang kasuhan ng pagsasabwatan. Ang koordinasyong ito ay maaaring magsama ng maraming aktor na nagtutulungan upang maghatid ng mga materyales o mga indibidwal na sangkot sa mga aktibidad sa ilegal na kampanya.
3. **Paghahatid ng mga Indibidwal para sa Pagbili ng Boto:** Kung ang mga indibidwal ay nagsasabwatan na gumamit ng pampublikong transportasyon upang dalhin ang mga botante sa mga lugar ng botohan para sa layunin ng pagbili ng boto o pananakot sa botante, maaari silang kasuhan ng pampublikong pagsasabwatan. Maaaring kabilang dito ang pag-aayos ng transportasyon para sa mga botante kapalit ng pera o iba pang mga benepisyo upang maimpluwensyahan ang kanilang pag-uugali sa pagboto.
4. **Paggamit ng Pampublikong Transportasyon para sa Mga Aktibidad ng Kampanya:** Kung ang mga indibidwal ay gumagamit ng pampublikong transportasyon para sa mga aktibidad ng kampanya na lumalabag sa mga batas sa halalan, tulad ng pamamahagi ng mga ipinagbabawal na materyales sa kampanya o paggawa ng mga gawa ng karahasan o pananakot, maaari silang kasuhan ng pagsasabwatan. Kabilang dito ang paggamit ng pampublikong transportasyon upang mapadali ang mga aktibidad ng ilegal na kampanya na naglalayong maimpluwensyahan ang resulta ng isang halalan.
5. **Paghahatid ng mga Hindi Awtorisadong Indibidwal:** Kung ang mga indibidwal ay nagsasabwatan na gumamit ng pampublikong transportasyon upang maghatid ng mga hindi awtorisadong indibidwal, tulad ng mga hindi residente o hindi karapat-dapat na mga botante, sa mga lugar ng botohan para sa layuning maimpluwensyahan ang resulta ng halalan, maaari silang kasuhan ng pampublikong pagsasabwatan . Ito ay maaaring magsama ng mga pagsisikap na manipulahin ang turnout ng mga botante o manipulahin ang proseso ng elektoral.
Mahalagang tandaan na ang mga detalye ng paniningil sa mga indibidwal na may pampublikong pagsasabwatan upang gumawa ng mga pagkakasala na nauugnay sa halalan sa pampublikong transportasyon ay maaaring mag-iba depende sa mga kalagayan ng bawat kaso at ang ebidensyang makukuha. Ang mga ahensyang nagpapatupad ng batas at mga tagausig ay may pananagutan sa pag-iimbestiga sa mga naturang pagkakasala at pagsasampa ng naaangkop na mga kaso batay sa mga ebidensyang nakalap. Ang mga indibidwal na inakusahan ng gayong mga pagkakasala ay may karapatang ipagtanggol ang kanilang sarili sa korte at ipagpalagay na inosente hanggang sa mapatunayang nagkasala.</v>
      </c>
      <c r="F1956" s="2">
        <f t="shared" si="1"/>
        <v>1</v>
      </c>
      <c r="G1956" s="2"/>
      <c r="H1956" s="2"/>
      <c r="I1956" s="2"/>
      <c r="J1956" s="2"/>
      <c r="K1956" s="2"/>
      <c r="L1956" s="2"/>
      <c r="M1956" s="2"/>
      <c r="N1956" s="2"/>
      <c r="O1956" s="2"/>
      <c r="P1956" s="2"/>
      <c r="Q1956" s="2"/>
      <c r="R1956" s="2"/>
      <c r="S1956" s="2"/>
      <c r="T1956" s="2"/>
      <c r="U1956" s="2"/>
      <c r="V1956" s="2"/>
      <c r="W1956" s="2"/>
      <c r="X1956" s="2"/>
      <c r="Y1956" s="2"/>
      <c r="Z1956" s="2"/>
      <c r="AA1956" s="2"/>
    </row>
    <row r="1957">
      <c r="A1957" s="1" t="s">
        <v>4698</v>
      </c>
      <c r="B1957" s="1" t="s">
        <v>4947</v>
      </c>
      <c r="C1957" s="1" t="s">
        <v>4948</v>
      </c>
      <c r="D1957" s="2" t="str">
        <f>IFERROR(__xludf.DUMMYFUNCTION("GOOGLETRANSLATE(B1957, ""en"", ""TL"")"),"Paano tinutugunan ng batas ng Pilipinas ang mga insidente ng pag-atake o panliligalig sa antas ng kalye batay sa mga paniniwala o gawi sa relihiyon sa mga pampublikong lugar?")</f>
        <v>Paano tinutugunan ng batas ng Pilipinas ang mga insidente ng pag-atake o panliligalig sa antas ng kalye batay sa mga paniniwala o gawi sa relihiyon sa mga pampublikong lugar?</v>
      </c>
      <c r="E1957" s="2" t="str">
        <f>IFERROR(__xludf.DUMMYFUNCTION("GOOGLETRANSLATE(C1957, ""en"", ""TL"")"),"Legal na pinoprotektahan ng Pilipinas ang kalayaan sa relihiyon sa ilalim ng Artikulo III, Seksyon 5 ng Konstitusyon nito, na tinitiyak ang karapatan sa relihiyosong propesyon at pagsamba nang walang diskriminasyon. Upang matugunan ang mga insidente ng pa"&amp;"g-atake o panliligalig sa antas ng kalye batay sa mga paniniwala sa relihiyon, ang batas ng Pilipinas ay nagbibigay ng ilang mga probisyon:
Binagong Kodigo Penal (RPC) Artikulo 146: Tumutugon sa iligal na pagkulong at panliligalig, na naaangkop kapag a"&amp;"ng mga indibidwal ay pinigilan o pinagbantaan dahil sa kanilang mga paniniwala sa relihiyon.
Artikulo 260 ng RPC: Nakikitungo sa paninirang-puri sa pamamagitan ng gawa, na sumasaklaw sa mga gawain ng pampublikong kahihiyan o kahihiyan batay sa relihiyo"&amp;"n.
Republic Act No. 9994 (Anti-Terrorism Act of 2020): Bagama't pinupuna dahil sa potensyal na maling paggamit, maaari itong gamitin sa mga kaso kung saan ang relihiyosong pag-uusig ay ginagamit upang maikalat ang takot.
Ang mga legal na balangkas n"&amp;"a ito ay naglalayong pangalagaan ang mga indibidwal mula sa diskriminasyon at pag-uusig batay sa kanilang mga paniniwala sa relihiyon, na sumasalamin sa pangako ng bansa sa pagprotekta sa kalayaan sa relihiyon.")</f>
        <v>Legal na pinoprotektahan ng Pilipinas ang kalayaan sa relihiyon sa ilalim ng Artikulo III, Seksyon 5 ng Konstitusyon nito, na tinitiyak ang karapatan sa relihiyosong propesyon at pagsamba nang walang diskriminasyon. Upang matugunan ang mga insidente ng pag-atake o panliligalig sa antas ng kalye batay sa mga paniniwala sa relihiyon, ang batas ng Pilipinas ay nagbibigay ng ilang mga probisyon:
Binagong Kodigo Penal (RPC) Artikulo 146: Tumutugon sa iligal na pagkulong at panliligalig, na naaangkop kapag ang mga indibidwal ay pinigilan o pinagbantaan dahil sa kanilang mga paniniwala sa relihiyon.
Artikulo 260 ng RPC: Nakikitungo sa paninirang-puri sa pamamagitan ng gawa, na sumasaklaw sa mga gawain ng pampublikong kahihiyan o kahihiyan batay sa relihiyon.
Republic Act No. 9994 (Anti-Terrorism Act of 2020): Bagama't pinupuna dahil sa potensyal na maling paggamit, maaari itong gamitin sa mga kaso kung saan ang relihiyosong pag-uusig ay ginagamit upang maikalat ang takot.
Ang mga legal na balangkas na ito ay naglalayong pangalagaan ang mga indibidwal mula sa diskriminasyon at pag-uusig batay sa kanilang mga paniniwala sa relihiyon, na sumasalamin sa pangako ng bansa sa pagprotekta sa kalayaan sa relihiyon.</v>
      </c>
      <c r="F1957" s="2">
        <f t="shared" si="1"/>
        <v>0</v>
      </c>
      <c r="G1957" s="2"/>
      <c r="H1957" s="2"/>
      <c r="I1957" s="2"/>
      <c r="J1957" s="2"/>
      <c r="K1957" s="2"/>
      <c r="L1957" s="2"/>
      <c r="M1957" s="2"/>
      <c r="N1957" s="2"/>
      <c r="O1957" s="2"/>
      <c r="P1957" s="2"/>
      <c r="Q1957" s="2"/>
      <c r="R1957" s="2"/>
      <c r="S1957" s="2"/>
      <c r="T1957" s="2"/>
      <c r="U1957" s="2"/>
      <c r="V1957" s="2"/>
      <c r="W1957" s="2"/>
      <c r="X1957" s="2"/>
      <c r="Y1957" s="2"/>
      <c r="Z1957" s="2"/>
      <c r="AA1957" s="2"/>
    </row>
    <row r="1958">
      <c r="A1958" s="1" t="s">
        <v>4698</v>
      </c>
      <c r="B1958" s="1" t="s">
        <v>4949</v>
      </c>
      <c r="C1958" s="1" t="s">
        <v>4950</v>
      </c>
      <c r="D1958" s="2" t="str">
        <f>IFERROR(__xludf.DUMMYFUNCTION("GOOGLETRANSLATE(B1958, ""en"", ""TL"")"),"Anong mga parusa ang naaangkop para sa pagsali sa hindi awtorisadong pagbebenta o pamamahagi ng mga ipinagbabawal o malaswang materyales sa mga pampublikong kaganapan?")</f>
        <v>Anong mga parusa ang naaangkop para sa pagsali sa hindi awtorisadong pagbebenta o pamamahagi ng mga ipinagbabawal o malaswang materyales sa mga pampublikong kaganapan?</v>
      </c>
      <c r="E1958" s="2" t="str">
        <f>IFERROR(__xludf.DUMMYFUNCTION("GOOGLETRANSLATE(C1958, ""en"", ""TL"")"),"Ang batas ng Pilipinas ay tumatalakay sa hindi awtorisadong pagbebenta o pamamahagi ng mga ipinagbabawal na materyales sa pamamagitan ng kumbinasyon ng Revised Penal Code (RPC) at Republic Act No. 10951:
Binagong Kodigo Penal (RPC):
Artikulo 201: Sinasa"&amp;"klaw ng artikulong ito ang ""mga imoral na doktrina, malalaswang publikasyon at eksibisyon at malaswang palabas."" Ang mga nagkasala ay nahaharap sa pagkakakulong ng hanggang anim na taon at/o multa mula Php6,000.00 hanggang Php12,000.00. [Pinagmulan: Phi"&amp;"lippine Supreme Court E-Library - G.R. No. 184389]
Republic Act No. 10951 (An Act Strengthening the Anti-Trafficking in Persons Act of 2003):
Seksyon 9: Ang seksyong ito ay partikular na tumutugon sa paggamit ng mga bata sa malalaswang materyal. Ang pag"&amp;"bebenta o pamamahagi ng mga naturang materyal na kinasasangkutan ng isang bata ay makabuluhang nagpapataas ng parusa sa reclusion perpetua (habang buhay na pagkakakulong) at multa mula Php500,000.00 hanggang Php5,000,000.00. [Pinagmulan: website ng Senado"&amp;" ng Pilipinas]
Mahalagang Paalala: Itinaas ng Republic Act No. 10951 ang mga multa sa ilalim ng Article 201 ng RPC. Ang kasalukuyang hanay ng multa ay Php20,000.00 hanggang Php200,000.00. [Pinagmulan: website ng Senado ng Pilipinas]
Samakatuwid, ang mga"&amp;" parusa para sa hindi awtorisadong pagbebenta o pamamahagi ng mga ipinagbabawal na materyales sa mga pampublikong kaganapan ay nakasalalay sa likas na katangian ng materyal at kung ito ay nagsasangkot ng isang bata:
Para sa mga malaswang materyales para "&amp;"sa mga nasa hustong gulang lamang: Pagkakulong ng hanggang anim na taon at multang Php20,000.00 hanggang Php200,000.00.
Para sa mga materyales na kinasasangkutan ng isang bata: Reclusion perpetua (habang buhay na pagkakakulong) at multa na Php500,000.00 "&amp;"hanggang Php5,000,000.00.")</f>
        <v>Ang batas ng Pilipinas ay tumatalakay sa hindi awtorisadong pagbebenta o pamamahagi ng mga ipinagbabawal na materyales sa pamamagitan ng kumbinasyon ng Revised Penal Code (RPC) at Republic Act No. 10951:
Binagong Kodigo Penal (RPC):
Artikulo 201: Sinasaklaw ng artikulong ito ang "mga imoral na doktrina, malalaswang publikasyon at eksibisyon at malaswang palabas." Ang mga nagkasala ay nahaharap sa pagkakakulong ng hanggang anim na taon at/o multa mula Php6,000.00 hanggang Php12,000.00. [Pinagmulan: Philippine Supreme Court E-Library - G.R. No. 184389]
Republic Act No. 10951 (An Act Strengthening the Anti-Trafficking in Persons Act of 2003):
Seksyon 9: Ang seksyong ito ay partikular na tumutugon sa paggamit ng mga bata sa malalaswang materyal. Ang pagbebenta o pamamahagi ng mga naturang materyal na kinasasangkutan ng isang bata ay makabuluhang nagpapataas ng parusa sa reclusion perpetua (habang buhay na pagkakakulong) at multa mula Php500,000.00 hanggang Php5,000,000.00. [Pinagmulan: website ng Senado ng Pilipinas]
Mahalagang Paalala: Itinaas ng Republic Act No. 10951 ang mga multa sa ilalim ng Article 201 ng RPC. Ang kasalukuyang hanay ng multa ay Php20,000.00 hanggang Php200,000.00. [Pinagmulan: website ng Senado ng Pilipinas]
Samakatuwid, ang mga parusa para sa hindi awtorisadong pagbebenta o pamamahagi ng mga ipinagbabawal na materyales sa mga pampublikong kaganapan ay nakasalalay sa likas na katangian ng materyal at kung ito ay nagsasangkot ng isang bata:
Para sa mga malaswang materyales para sa mga nasa hustong gulang lamang: Pagkakulong ng hanggang anim na taon at multang Php20,000.00 hanggang Php200,000.00.
Para sa mga materyales na kinasasangkutan ng isang bata: Reclusion perpetua (habang buhay na pagkakakulong) at multa na Php500,000.00 hanggang Php5,000,000.00.</v>
      </c>
      <c r="F1958" s="2">
        <f t="shared" si="1"/>
        <v>1</v>
      </c>
      <c r="G1958" s="2"/>
      <c r="H1958" s="2"/>
      <c r="I1958" s="2"/>
      <c r="J1958" s="2"/>
      <c r="K1958" s="2"/>
      <c r="L1958" s="2"/>
      <c r="M1958" s="2"/>
      <c r="N1958" s="2"/>
      <c r="O1958" s="2"/>
      <c r="P1958" s="2"/>
      <c r="Q1958" s="2"/>
      <c r="R1958" s="2"/>
      <c r="S1958" s="2"/>
      <c r="T1958" s="2"/>
      <c r="U1958" s="2"/>
      <c r="V1958" s="2"/>
      <c r="W1958" s="2"/>
      <c r="X1958" s="2"/>
      <c r="Y1958" s="2"/>
      <c r="Z1958" s="2"/>
      <c r="AA1958" s="2"/>
    </row>
    <row r="1959">
      <c r="A1959" s="1" t="s">
        <v>4698</v>
      </c>
      <c r="B1959" s="1" t="s">
        <v>4951</v>
      </c>
      <c r="C1959" s="1" t="s">
        <v>4952</v>
      </c>
      <c r="D1959" s="2" t="str">
        <f>IFERROR(__xludf.DUMMYFUNCTION("GOOGLETRANSLATE(B1959, ""en"", ""TL"")"),"Anong mga legal na probisyon ang kumokontrol sa pagkakaroon at paggamit ng mga hindi awtorisadong kagamitan sa pagsubaybay sa mga pampublikong espasyo malapit sa mga pasilidad ng pangangalagang pangkalusugan?")</f>
        <v>Anong mga legal na probisyon ang kumokontrol sa pagkakaroon at paggamit ng mga hindi awtorisadong kagamitan sa pagsubaybay sa mga pampublikong espasyo malapit sa mga pasilidad ng pangangalagang pangkalusugan?</v>
      </c>
      <c r="E1959" s="2" t="str">
        <f>IFERROR(__xludf.DUMMYFUNCTION("GOOGLETRANSLATE(C1959, ""en"", ""TL"")"),"Sa Pilipinas, walang isang komprehensibong pederal na batas na partikular na namamahala sa paggamit ng mga hindi awtorisadong kagamitan sa pagsubaybay sa mga pampublikong lugar na malapit sa mga pasilidad ng pangangalagang pangkalusugan. Gayunpaman, maaar"&amp;"ing gamitin ang iba't ibang umiiral na legal na probisyon depende sa mga pangyayari:
Batas sa Privacy:
Ang Republic Act No. 10173, na kilala rin bilang Data Privacy Act of 2012, ay nagpoprotekta sa privacy ng personal na impormasyon, kabilang ang mg"&amp;"a audio at video recording. Ang hindi awtorisadong pag-record ng mga indibidwal nang walang pahintulot, lalo na sa mga lugar kung saan inaasahan ang privacy tulad ng mga pasukan sa ospital, ay maaaring maging isang paglabag sa ilalim ng batas na ito.
M"&amp;"ga Batas sa Pagsubaybay at Anti-Wiretapping:
Bagama't walang partikular na batas ang nagta-target ng hindi awtorisadong mga device sa pagsubaybay, ang ilang partikular na batas ay tumatalakay sa usapin:
Tinitiyak ng Artikulo III, Seksyon 3(1) ng 1987 "&amp;"Konstitusyon ng Pilipinas ang karapatan sa privacy ng komunikasyon, na posibleng nililimitahan ang hindi awtorisadong pagtatala ng mga pag-uusap sa mga pampublikong espasyo.
Ang Anti-Wiretapping Law (Republic Act No. 4862) ay nagbabawal sa hindi awtorisa"&amp;"dong pagharang at pagtatala ng komunikasyon. Gayunpaman, ang aplikasyon nito sa pag-record ng video sa mga pampublikong espasyo ay hindi gaanong malinaw.
Mga Regulasyon sa Paglapastangan:
Sa ilalim ng Revised Penal Code Article 143, ang paglalagay n"&amp;"g surveillance devices sa pribadong ari-arian nang walang pahintulot ay maaaring ituring na trespassing.
Mga Karagdagang Pagsasaalang-alang:
Maaaring umiral ang mga ordinansa ng lokal na pamahalaan, na kinokontrol ang paggamit ng surveillance camera"&amp;" sa mga pampublikong lugar.
Pagpapatupad:
Ang pagpapatupad ng mga regulasyong ito ay maaaring magdulot ng mga hamon. Gayunpaman, kung ang hindi awtorisadong pagsubaybay malapit sa pasilidad ng pangangalagang pangkalusugan ay sinusunod, ipinapayong gaw"&amp;"in ang mga sumusunod na hakbang:
Ipaalam sa pasilidad ng pangangalagang pangkalusugan at posibleng nagpapatupad ng batas.
Humingi ng legal na patnubay upang maunawaan ang mga potensyal na paglabag sa privacy at mga available na opsyon sa pag-recourse.
"&amp;"Mahalagang kilalanin na ang legal na balangkas na nakapalibot sa mga hindi awtorisadong device sa pagsubaybay ay patuloy na umuunlad.")</f>
        <v>Sa Pilipinas, walang isang komprehensibong pederal na batas na partikular na namamahala sa paggamit ng mga hindi awtorisadong kagamitan sa pagsubaybay sa mga pampublikong lugar na malapit sa mga pasilidad ng pangangalagang pangkalusugan. Gayunpaman, maaaring gamitin ang iba't ibang umiiral na legal na probisyon depende sa mga pangyayari:
Batas sa Privacy:
Ang Republic Act No. 10173, na kilala rin bilang Data Privacy Act of 2012, ay nagpoprotekta sa privacy ng personal na impormasyon, kabilang ang mga audio at video recording. Ang hindi awtorisadong pag-record ng mga indibidwal nang walang pahintulot, lalo na sa mga lugar kung saan inaasahan ang privacy tulad ng mga pasukan sa ospital, ay maaaring maging isang paglabag sa ilalim ng batas na ito.
Mga Batas sa Pagsubaybay at Anti-Wiretapping:
Bagama't walang partikular na batas ang nagta-target ng hindi awtorisadong mga device sa pagsubaybay, ang ilang partikular na batas ay tumatalakay sa usapin:
Tinitiyak ng Artikulo III, Seksyon 3(1) ng 1987 Konstitusyon ng Pilipinas ang karapatan sa privacy ng komunikasyon, na posibleng nililimitahan ang hindi awtorisadong pagtatala ng mga pag-uusap sa mga pampublikong espasyo.
Ang Anti-Wiretapping Law (Republic Act No. 4862) ay nagbabawal sa hindi awtorisadong pagharang at pagtatala ng komunikasyon. Gayunpaman, ang aplikasyon nito sa pag-record ng video sa mga pampublikong espasyo ay hindi gaanong malinaw.
Mga Regulasyon sa Paglapastangan:
Sa ilalim ng Revised Penal Code Article 143, ang paglalagay ng surveillance devices sa pribadong ari-arian nang walang pahintulot ay maaaring ituring na trespassing.
Mga Karagdagang Pagsasaalang-alang:
Maaaring umiral ang mga ordinansa ng lokal na pamahalaan, na kinokontrol ang paggamit ng surveillance camera sa mga pampublikong lugar.
Pagpapatupad:
Ang pagpapatupad ng mga regulasyong ito ay maaaring magdulot ng mga hamon. Gayunpaman, kung ang hindi awtorisadong pagsubaybay malapit sa pasilidad ng pangangalagang pangkalusugan ay sinusunod, ipinapayong gawin ang mga sumusunod na hakbang:
Ipaalam sa pasilidad ng pangangalagang pangkalusugan at posibleng nagpapatupad ng batas.
Humingi ng legal na patnubay upang maunawaan ang mga potensyal na paglabag sa privacy at mga available na opsyon sa pag-recourse.
Mahalagang kilalanin na ang legal na balangkas na nakapalibot sa mga hindi awtorisadong device sa pagsubaybay ay patuloy na umuunlad.</v>
      </c>
      <c r="F1959" s="2">
        <f t="shared" si="1"/>
        <v>4</v>
      </c>
      <c r="G1959" s="2"/>
      <c r="H1959" s="2"/>
      <c r="I1959" s="2"/>
      <c r="J1959" s="2"/>
      <c r="K1959" s="2"/>
      <c r="L1959" s="2"/>
      <c r="M1959" s="2"/>
      <c r="N1959" s="2"/>
      <c r="O1959" s="2"/>
      <c r="P1959" s="2"/>
      <c r="Q1959" s="2"/>
      <c r="R1959" s="2"/>
      <c r="S1959" s="2"/>
      <c r="T1959" s="2"/>
      <c r="U1959" s="2"/>
      <c r="V1959" s="2"/>
      <c r="W1959" s="2"/>
      <c r="X1959" s="2"/>
      <c r="Y1959" s="2"/>
      <c r="Z1959" s="2"/>
      <c r="AA1959" s="2"/>
    </row>
    <row r="1960">
      <c r="A1960" s="1" t="s">
        <v>4698</v>
      </c>
      <c r="B1960" s="1" t="s">
        <v>4899</v>
      </c>
      <c r="C1960" s="1" t="s">
        <v>4953</v>
      </c>
      <c r="D1960" s="2" t="str">
        <f>IFERROR(__xludf.DUMMYFUNCTION("GOOGLETRANSLATE(B1960, ""en"", ""TL"")"),"Paano tinutugunan sa ilalim ng batas ng Pilipinas ang krimen ng pampublikong pagsasabwatan upang gumawa ng mga online scam o cyber fraud?")</f>
        <v>Paano tinutugunan sa ilalim ng batas ng Pilipinas ang krimen ng pampublikong pagsasabwatan upang gumawa ng mga online scam o cyber fraud?</v>
      </c>
      <c r="E1960" s="2" t="str">
        <f>IFERROR(__xludf.DUMMYFUNCTION("GOOGLETRANSLATE(C1960, ""en"", ""TL"")"),"Tinutugunan ng batas ng Pilipinas ang pampublikong pagsasabwatan upang gumawa ng mga online scam o cyber fraud sa pamamagitan ng kumbinasyon ng Revised Penal Code (RPC) at mga espesyal na batas:
Binagong Kodigo Penal (RPC):
Artikulo 183 (Conspiracy to c"&amp;"ommit a crime): Nalalapat ang artikulong ito sa anumang kasunduan sa pagitan ng dalawa o higit pang tao na gumawa ng krimen. Ang parusa ay ang parusa para sa nilalayong krimen na nadagdagan ng isang antas. [Pinagmulan: website ng Philippine Law Commission"&amp;"]
Mga Espesyal na Batas:
Republic Act No. 10175 (Cybercrime Prevention Act of 2012): Ang batas na ito ay partikular na tumatalakay sa mga online na pagkakasala tulad ng cyber fraud.
Seksyon 4(a)(5) (Cyber-swindling): Pinarurusahan ang mga nanloloko sa "&amp;"iba sa pamamagitan ng paggamit ng mga computer system sa pamamagitan ng pagkakakulong ng apat (4) hanggang sampung (10) taon at multang hindi hihigit sa Php Isang Milyon (Php 1,000,000.00) . [Pinagmulan: website ng National Bureau of Investigation]
Aspek"&amp;"tong Pampubliko:
Dahil ang pagsasabwatan ay nangyayari sa publiko, isa pang salik na dapat isaalang-alang ay:
Artikulo 144 (Public Inducement to commit a crime): Pinaparusahan ng artikulong ito ang sinumang pampublikong nag-uudyok sa iba na gumawa ng kr"&amp;"imen. Ang parusa ay arresto mayor (1-6 na buwang pagkakakulong).
Samakatuwid, pinagsama ang mga aspetong ito:
Ang pampublikong pagsasabwatan upang gumawa ng mga online scam o cyber fraud ay malamang na mapaparusahan sa ilalim ng Article 183 (conspiracy)"&amp;" kasabay ng Republic Act No. 10175 (Section 4(a)(5)).
Ang batayang parusa ay pagkakulong ng apat (4) hanggang sampung (10) taon mula sa Cybercrime Prevention Act, na tumaas ng isang degree dahil sa pagsasabwatan (Artikulo 183). Ito ay isasalin sa isang p"&amp;"otensyal na parusa ng pagkakakulong ng anim (6) hanggang labindalawang (12) taon.
Ang karagdagang parusa ng arresto mayor (1-6 na buwang pagkakakulong) mula sa Artikulo 144 (public inducement) ay maaari ding ilapat dahil sa pampublikong kalikasan ng pags"&amp;"asabwatan.")</f>
        <v>Tinutugunan ng batas ng Pilipinas ang pampublikong pagsasabwatan upang gumawa ng mga online scam o cyber fraud sa pamamagitan ng kumbinasyon ng Revised Penal Code (RPC) at mga espesyal na batas:
Binagong Kodigo Penal (RPC):
Artikulo 183 (Conspiracy to commit a crime): Nalalapat ang artikulong ito sa anumang kasunduan sa pagitan ng dalawa o higit pang tao na gumawa ng krimen. Ang parusa ay ang parusa para sa nilalayong krimen na nadagdagan ng isang antas. [Pinagmulan: website ng Philippine Law Commission]
Mga Espesyal na Batas:
Republic Act No. 10175 (Cybercrime Prevention Act of 2012): Ang batas na ito ay partikular na tumatalakay sa mga online na pagkakasala tulad ng cyber fraud.
Seksyon 4(a)(5) (Cyber-swindling): Pinarurusahan ang mga nanloloko sa iba sa pamamagitan ng paggamit ng mga computer system sa pamamagitan ng pagkakakulong ng apat (4) hanggang sampung (10) taon at multang hindi hihigit sa Php Isang Milyon (Php 1,000,000.00) . [Pinagmulan: website ng National Bureau of Investigation]
Aspektong Pampubliko:
Dahil ang pagsasabwatan ay nangyayari sa publiko, isa pang salik na dapat isaalang-alang ay:
Artikulo 144 (Public Inducement to commit a crime): Pinaparusahan ng artikulong ito ang sinumang pampublikong nag-uudyok sa iba na gumawa ng krimen. Ang parusa ay arresto mayor (1-6 na buwang pagkakakulong).
Samakatuwid, pinagsama ang mga aspetong ito:
Ang pampublikong pagsasabwatan upang gumawa ng mga online scam o cyber fraud ay malamang na mapaparusahan sa ilalim ng Article 183 (conspiracy) kasabay ng Republic Act No. 10175 (Section 4(a)(5)).
Ang batayang parusa ay pagkakulong ng apat (4) hanggang sampung (10) taon mula sa Cybercrime Prevention Act, na tumaas ng isang degree dahil sa pagsasabwatan (Artikulo 183). Ito ay isasalin sa isang potensyal na parusa ng pagkakakulong ng anim (6) hanggang labindalawang (12) taon.
Ang karagdagang parusa ng arresto mayor (1-6 na buwang pagkakakulong) mula sa Artikulo 144 (public inducement) ay maaari ding ilapat dahil sa pampublikong kalikasan ng pagsasabwatan.</v>
      </c>
      <c r="F1960" s="2">
        <f t="shared" si="1"/>
        <v>4</v>
      </c>
      <c r="G1960" s="2"/>
      <c r="H1960" s="2"/>
      <c r="I1960" s="2"/>
      <c r="J1960" s="2"/>
      <c r="K1960" s="2"/>
      <c r="L1960" s="2"/>
      <c r="M1960" s="2"/>
      <c r="N1960" s="2"/>
      <c r="O1960" s="2"/>
      <c r="P1960" s="2"/>
      <c r="Q1960" s="2"/>
      <c r="R1960" s="2"/>
      <c r="S1960" s="2"/>
      <c r="T1960" s="2"/>
      <c r="U1960" s="2"/>
      <c r="V1960" s="2"/>
      <c r="W1960" s="2"/>
      <c r="X1960" s="2"/>
      <c r="Y1960" s="2"/>
      <c r="Z1960" s="2"/>
      <c r="AA1960" s="2"/>
    </row>
    <row r="1961">
      <c r="A1961" s="1" t="s">
        <v>4698</v>
      </c>
      <c r="B1961" s="1" t="s">
        <v>4825</v>
      </c>
      <c r="C1961" s="1" t="s">
        <v>4954</v>
      </c>
      <c r="D1961" s="2" t="str">
        <f>IFERROR(__xludf.DUMMYFUNCTION("GOOGLETRANSLATE(B1961,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61" s="2" t="str">
        <f>IFERROR(__xludf.DUMMYFUNCTION("GOOGLETRANSLATE(C1961, ""en"", ""TL"")"),"Sa Pilipinas, walang isang batas na partikular na nagta-target ng ""pag-iwas sa buwis sa antas ng kalye"" o ""mga mapanlinlang na aktibidad sa pananalapi sa mga pampublikong espasyo."" Gayunpaman, ang mga may kasalanan na nagsasagawa ng mga naturang aktib"&amp;"idad ay maaaring maharap sa mga parusa sa ilalim ng iba't ibang umiiral na batas:
Pag-iwas sa Buwis:
Ang Republic Act No. 8424, na kilala rin bilang Tax Code, ay nagtatakda ng mga obligasyon sa buwis at mga parusa para sa hindi pagsunod. Bagama't hi"&amp;"ndi nakakulong sa mga pampublikong espasyo, nalalapat ito sa anumang pagkakataon ng pag-iwas sa buwis, na may mga multa, pagkakulong, o pareho depende sa kalubhaan ng pagkakasala.
Mga Mapanlinlang na Aktibidad:
Sa loob ng Revised Penal Code (RPC), m"&amp;"araming artikulo ang may kaugnayan:
Falsification of Public Documents (RPC Article 185): Naaangkop kung ang mga pekeng dokumento ay ginagamit para sa pinansyal na pakinabang sa mga pampublikong setting (hal., pagbebenta ng mga pekeng resibo).
Estafa (RP"&amp;"C Articles 315-318): Sinasaklaw ang iba't ibang mga mapanlinlang na pamamaraan na may kinalaman sa pera o ari-arian. Kung may nagsasagawa ng scam sa publiko (hal., mga pekeng charity collection), maaaring singilin ang estafa.
Swindling (RPC Article 316):"&amp;" Partikular na tinutugunan ang panlilinlang upang makakuha ng pera o ari-arian.
Public Disorder:
Artikulo 150 ng RPC: Sinasaklaw ang mga kaguluhan sa kaayusan ng publiko. Kung ang mapanlinlang na aktibidad ay nakakagambala sa kapayapaan ng publiko o h"&amp;"umahadlang sa mga naglalakad, maaaring malapat ang singil na ito.
Mga Pagsasaalang-alang sa Konteksto:
Nag-iiba-iba ang mga parusa batay sa mga salik gaya ng halaga ng perang sangkot, presensya ng mga biktima, at mga naunang pagkakasala.
Pag-uulat "&amp;"at Paghahanap ng Tulong:
Kung makatagpo ng pinaghihinalaang pag-iwas sa buwis o mga mapanlinlang na aktibidad:
Abisuhan ang mga awtoridad: Mag-ulat sa pulisya o may-katuturang ahensya ng gobyerno.
Humingi ng legal na tagapayo: Kumonsulta sa isang abo"&amp;"gado kung pinaghihinalaan mong naging biktima ka ng pandaraya, upang tuklasin ang mga magagamit na opsyon.
Napakahalaga na matugunan kaagad ang mga naturang aktibidad upang itaguyod ang legal na integridad at protektahan ang mga pampublikong interes.")</f>
        <v>Sa Pilipinas, walang isang batas na partikular na nagta-target ng "pag-iwas sa buwis sa antas ng kalye" o "mga mapanlinlang na aktibidad sa pananalapi sa mga pampublikong espasyo." Gayunpaman, ang mga may kasalanan na nagsasagawa ng mga naturang aktibidad ay maaaring maharap sa mga parusa sa ilalim ng iba't ibang umiiral na batas:
Pag-iwas sa Buwis:
Ang Republic Act No. 8424, na kilala rin bilang Tax Code, ay nagtatakda ng mga obligasyon sa buwis at mga parusa para sa hindi pagsunod. Bagama't hindi nakakulong sa mga pampublikong espasyo, nalalapat ito sa anumang pagkakataon ng pag-iwas sa buwis, na may mga multa, pagkakulong, o pareho depende sa kalubhaan ng pagkakasala.
Mga Mapanlinlang na Aktibidad:
Sa loob ng Revised Penal Code (RPC), maraming artikulo ang may kaugnayan:
Falsification of Public Documents (RPC Article 185): Naaangkop kung ang mga pekeng dokumento ay ginagamit para sa pinansyal na pakinabang sa mga pampublikong setting (hal., pagbebenta ng mga pekeng resibo).
Estafa (RPC Articles 315-318): Sinasaklaw ang iba't ibang mga mapanlinlang na pamamaraan na may kinalaman sa pera o ari-arian. Kung may nagsasagawa ng scam sa publiko (hal., mga pekeng charity collection), maaaring singilin ang estafa.
Swindling (RPC Article 316): Partikular na tinutugunan ang panlilinlang upang makakuha ng pera o ari-arian.
Public Disorder:
Artikulo 150 ng RPC: Sinasaklaw ang mga kaguluhan sa kaayusan ng publiko. Kung ang mapanlinlang na aktibidad ay nakakagambala sa kapayapaan ng publiko o humahadlang sa mga naglalakad, maaaring malapat ang singil na ito.
Mga Pagsasaalang-alang sa Konteksto:
Nag-iiba-iba ang mga parusa batay sa mga salik gaya ng halaga ng perang sangkot, presensya ng mga biktima, at mga naunang pagkakasala.
Pag-uulat at Paghahanap ng Tulong:
Kung makatagpo ng pinaghihinalaang pag-iwas sa buwis o mga mapanlinlang na aktibidad:
Abisuhan ang mga awtoridad: Mag-ulat sa pulisya o may-katuturang ahensya ng gobyerno.
Humingi ng legal na tagapayo: Kumonsulta sa isang abogado kung pinaghihinalaan mong naging biktima ka ng pandaraya, upang tuklasin ang mga magagamit na opsyon.
Napakahalaga na matugunan kaagad ang mga naturang aktibidad upang itaguyod ang legal na integridad at protektahan ang mga pampublikong interes.</v>
      </c>
      <c r="F1961" s="2">
        <f t="shared" si="1"/>
        <v>5</v>
      </c>
      <c r="G1961" s="2"/>
      <c r="H1961" s="2"/>
      <c r="I1961" s="2"/>
      <c r="J1961" s="2"/>
      <c r="K1961" s="2"/>
      <c r="L1961" s="2"/>
      <c r="M1961" s="2"/>
      <c r="N1961" s="2"/>
      <c r="O1961" s="2"/>
      <c r="P1961" s="2"/>
      <c r="Q1961" s="2"/>
      <c r="R1961" s="2"/>
      <c r="S1961" s="2"/>
      <c r="T1961" s="2"/>
      <c r="U1961" s="2"/>
      <c r="V1961" s="2"/>
      <c r="W1961" s="2"/>
      <c r="X1961" s="2"/>
      <c r="Y1961" s="2"/>
      <c r="Z1961" s="2"/>
      <c r="AA1961" s="2"/>
    </row>
    <row r="1962">
      <c r="A1962" s="1" t="s">
        <v>4698</v>
      </c>
      <c r="B1962" s="1" t="s">
        <v>4955</v>
      </c>
      <c r="C1962" s="1" t="s">
        <v>4956</v>
      </c>
      <c r="D1962" s="2" t="str">
        <f>IFERROR(__xludf.DUMMYFUNCTION("GOOGLETRANSLATE(B1962, ""en"", ""TL"")"),"Paano tinutugunan ng batas ang mga insidente ng pag-atake o panliligalig sa antas ng kalye batay sa kultura o etnikong background sa mga pampublikong espasyo?")</f>
        <v>Paano tinutugunan ng batas ang mga insidente ng pag-atake o panliligalig sa antas ng kalye batay sa kultura o etnikong background sa mga pampublikong espasyo?</v>
      </c>
      <c r="E1962" s="2" t="str">
        <f>IFERROR(__xludf.DUMMYFUNCTION("GOOGLETRANSLATE(C1962, ""en"", ""TL"")"),"Tinutugunan ng batas ng Pilipinas ang pag-atake o panliligalig sa antas ng kalye batay sa kultura o etnikong background sa pamamagitan ng kumbinasyon ng mga umiiral na batas:
Binagong Kodigo Penal (RPC):
Artikulo 140 (Pagpapataw ng kaunting pisikal na p"&amp;"insala): Sinasaklaw ang pisikal na pag-atake na nagreresulta sa mga pinsalang nangangailangan ng medikal na atensyon nang hindi hihigit sa siyam na araw. Ang parusa ay arresto menor (hanggang 1 buwang pagkakulong).
Artikulo 148 (Banta): Tinutugunan ang m"&amp;"ga banta na magdulot ng pinsala, na maaaring pasalita o sa pamamagitan ng mga kilos. Ang parusa ay mula destierro (pagpatapon) hanggang prision correccional minima (pagkakulong ng 6 na buwan hanggang 1 taon).
Artikulo 267 (Diskriminatoryong aksyon): Baga"&amp;"ma't hindi direktang tumutugon sa mga pampublikong espasyo, pinaparusahan nito ang mga kilos na ""gumawa ng hindi nararapat na pagkakaiba laban sa sinumang tao o grupo batay sa... bansang pinagmulan"" sa trabaho, edukasyon, o pag-access sa mga pampublikon"&amp;"g kagamitan. Ang parusa ay prision correccional minima (pagkakulong ng 6 na buwan hanggang 1 taon) o multang Php500.00 hanggang Php1,000.00.
Mga Espesyal na Batas:
Republic Act No. 9262 (Anti-Violence Against Women and their Children Act): Bagama't pang"&amp;"unahing nakatuon sa karahasan sa tahanan, saklaw din nito ang sikolohikal na karahasan na maaaring sumaklaw sa mga pananakot o panliligalig batay sa etnisidad.
Seksyon 5 (e): Tinutugunan ng seksyong ito ang sikolohikal na karahasan, na maaaring magdulot "&amp;"ng pagdurusa sa pag-iisip o emosyonal sa pamamagitan ng mga gawaing tulad ng ""nagdudulot ng takot sa pisikal na pinsala."" Ang parusa ay mula destierro (pagpatapon) hanggang prision correccional minima (pagkakulong ng 6 na buwan hanggang 1 taon).")</f>
        <v>Tinutugunan ng batas ng Pilipinas ang pag-atake o panliligalig sa antas ng kalye batay sa kultura o etnikong background sa pamamagitan ng kumbinasyon ng mga umiiral na batas:
Binagong Kodigo Penal (RPC):
Artikulo 140 (Pagpapataw ng kaunting pisikal na pinsala): Sinasaklaw ang pisikal na pag-atake na nagreresulta sa mga pinsalang nangangailangan ng medikal na atensyon nang hindi hihigit sa siyam na araw. Ang parusa ay arresto menor (hanggang 1 buwang pagkakulong).
Artikulo 148 (Banta): Tinutugunan ang mga banta na magdulot ng pinsala, na maaaring pasalita o sa pamamagitan ng mga kilos. Ang parusa ay mula destierro (pagpatapon) hanggang prision correccional minima (pagkakulong ng 6 na buwan hanggang 1 taon).
Artikulo 267 (Diskriminatoryong aksyon): Bagama't hindi direktang tumutugon sa mga pampublikong espasyo, pinaparusahan nito ang mga kilos na "gumawa ng hindi nararapat na pagkakaiba laban sa sinumang tao o grupo batay sa... bansang pinagmulan" sa trabaho, edukasyon, o pag-access sa mga pampublikong kagamitan. Ang parusa ay prision correccional minima (pagkakulong ng 6 na buwan hanggang 1 taon) o multang Php500.00 hanggang Php1,000.00.
Mga Espesyal na Batas:
Republic Act No. 9262 (Anti-Violence Against Women and their Children Act): Bagama't pangunahing nakatuon sa karahasan sa tahanan, saklaw din nito ang sikolohikal na karahasan na maaaring sumaklaw sa mga pananakot o panliligalig batay sa etnisidad.
Seksyon 5 (e): Tinutugunan ng seksyong ito ang sikolohikal na karahasan, na maaaring magdulot ng pagdurusa sa pag-iisip o emosyonal sa pamamagitan ng mga gawaing tulad ng "nagdudulot ng takot sa pisikal na pinsala." Ang parusa ay mula destierro (pagpatapon) hanggang prision correccional minima (pagkakulong ng 6 na buwan hanggang 1 taon).</v>
      </c>
      <c r="F1962" s="2">
        <f t="shared" si="1"/>
        <v>0</v>
      </c>
      <c r="G1962" s="2"/>
      <c r="H1962" s="2"/>
      <c r="I1962" s="2"/>
      <c r="J1962" s="2"/>
      <c r="K1962" s="2"/>
      <c r="L1962" s="2"/>
      <c r="M1962" s="2"/>
      <c r="N1962" s="2"/>
      <c r="O1962" s="2"/>
      <c r="P1962" s="2"/>
      <c r="Q1962" s="2"/>
      <c r="R1962" s="2"/>
      <c r="S1962" s="2"/>
      <c r="T1962" s="2"/>
      <c r="U1962" s="2"/>
      <c r="V1962" s="2"/>
      <c r="W1962" s="2"/>
      <c r="X1962" s="2"/>
      <c r="Y1962" s="2"/>
      <c r="Z1962" s="2"/>
      <c r="AA1962" s="2"/>
    </row>
    <row r="1963">
      <c r="A1963" s="1" t="s">
        <v>4698</v>
      </c>
      <c r="B1963" s="1" t="s">
        <v>4957</v>
      </c>
      <c r="C1963" s="1" t="s">
        <v>4958</v>
      </c>
      <c r="D1963" s="2" t="str">
        <f>IFERROR(__xludf.DUMMYFUNCTION("GOOGLETRANSLATE(B1963, ""en"", ""TL"")"),"Anong mga legal na hakbang ang umiiral upang labanan ang mga paglabag sa kapaligiran sa antas ng kalye, tulad ng hindi wastong pagtatapon ng mga mapanganib na materyales sa mga pampublikong pamilihan?")</f>
        <v>Anong mga legal na hakbang ang umiiral upang labanan ang mga paglabag sa kapaligiran sa antas ng kalye, tulad ng hindi wastong pagtatapon ng mga mapanganib na materyales sa mga pampublikong pamilihan?</v>
      </c>
      <c r="E1963" s="2" t="str">
        <f>IFERROR(__xludf.DUMMYFUNCTION("GOOGLETRANSLATE(C1963, ""en"", ""TL"")"),"Sa Pilipinas, ang iba't ibang mga legal na hakbang ay inilalagay upang matugunan ang mga paglabag sa kapaligiran sa antas ng kalye, partikular na ang hindi tamang pagtatapon ng mga mapanganib na materyales. Kabilang dito ang:
1. **Republic Act 9003 (Ec"&amp;"ological Solid Waste Management Act of 2000)**: Nag-aalok ang batas na ito ng komprehensibong balangkas para sa pamamahala ng solid waste. Ipinagbabawal nito ang hindi wastong pagtatapon ng basura, itinataguyod ang pagbabawas ng basura sa pinanggalingan, "&amp;"ipinag-uutos ang paghihiwalay at tamang koleksyon, hinihikayat ang paglahok ng pribadong sektor, at ginagawang institusyonal ang pakikilahok ng publiko. Binibigyang-diin ng batas ang mga pamamaraang pangkalikasan tulad ng pag-recycle, pag-compost, at pagl"&amp;"iit ng basura habang pinipigilan ang pagsunog.
2. **Mga Batas sa Pamamahala ng Mapanganib na Basura**: Ang Department of Environment and Natural Resources (DENR) ay nangangasiwa sa pamamahala ng mga mapanganib na basura sa pamamagitan ng mga batas tula"&amp;"d ng Republic Act 6969, na nakatutok sa pagkontrol sa mga nakakalason na sangkap at mapanganib na basura. Ang DENR Administrative Order 29 ay nagbibigay ng mga alituntunin para sa mapanganib na pamamahala ng basura, na dinagdagan ng iba't ibang Environmen"&amp;"tal Management Bureau (EMB) Memorandum Circulars.
3. **Presidential Decree No. 1152 (Philippine Environmental Policy)**: Bagama't hindi partikular sa mga paglabag sa antas ng kalye, binibigyang-diin ng kautusang ito ang makatwirang paggamit ng mga yama"&amp;"ng kagubatan at pakikilahok ng mamamayan sa pagpapanatili ng produktibidad sa kagubatan.
4. **Mga Lokal na Ordinansa at Regulasyon**: Maraming mga local government units (LGUs) ang may sariling mga ordinansa at regulasyon na nauukol sa pamamahala ng ba"&amp;"sura, kadalasang nagpapataw ng mga parusa para sa hindi tamang pagtatapon. Ang mga regulasyong ito ay karaniwang sumasaklaw sa mga pampublikong pamilihan, kalye, at iba pang mga lugar na madaling kapitan ng hindi tamang pagtatapon ng mapanganib na materya"&amp;"l.
Ang pagpapatupad at kamalayan ay mahalaga para matiyak ang pagsunod sa mga batas na ito. Ang pakikipagtulungan ng mga mamamayan, negosyo, at lokal na awtoridad ay mahalaga para sa pagpapaunlad ng isang mas malinis at mas napapanatiling kapaligiran. "&amp;"🌿🌎")</f>
        <v>Sa Pilipinas, ang iba't ibang mga legal na hakbang ay inilalagay upang matugunan ang mga paglabag sa kapaligiran sa antas ng kalye, partikular na ang hindi tamang pagtatapon ng mga mapanganib na materyales. Kabilang dito ang:
1. **Republic Act 9003 (Ecological Solid Waste Management Act of 2000)**: Nag-aalok ang batas na ito ng komprehensibong balangkas para sa pamamahala ng solid waste. Ipinagbabawal nito ang hindi wastong pagtatapon ng basura, itinataguyod ang pagbabawas ng basura sa pinanggalingan, ipinag-uutos ang paghihiwalay at tamang koleksyon, hinihikayat ang paglahok ng pribadong sektor, at ginagawang institusyonal ang pakikilahok ng publiko. Binibigyang-diin ng batas ang mga pamamaraang pangkalikasan tulad ng pag-recycle, pag-compost, at pagliit ng basura habang pinipigilan ang pagsunog.
2. **Mga Batas sa Pamamahala ng Mapanganib na Basura**: Ang Department of Environment and Natural Resources (DENR) ay nangangasiwa sa pamamahala ng mga mapanganib na basura sa pamamagitan ng mga batas tulad ng Republic Act 6969, na nakatutok sa pagkontrol sa mga nakakalason na sangkap at mapanganib na basura. Ang DENR Administrative Order 29 ay nagbibigay ng mga alituntunin para sa mapanganib na pamamahala ng basura, na dinagdagan ng iba't ibang Environmental Management Bureau (EMB) Memorandum Circulars.
3. **Presidential Decree No. 1152 (Philippine Environmental Policy)**: Bagama't hindi partikular sa mga paglabag sa antas ng kalye, binibigyang-diin ng kautusang ito ang makatwirang paggamit ng mga yamang kagubatan at pakikilahok ng mamamayan sa pagpapanatili ng produktibidad sa kagubatan.
4. **Mga Lokal na Ordinansa at Regulasyon**: Maraming mga local government units (LGUs) ang may sariling mga ordinansa at regulasyon na nauukol sa pamamahala ng basura, kadalasang nagpapataw ng mga parusa para sa hindi tamang pagtatapon. Ang mga regulasyong ito ay karaniwang sumasaklaw sa mga pampublikong pamilihan, kalye, at iba pang mga lugar na madaling kapitan ng hindi tamang pagtatapon ng mapanganib na materyal.
Ang pagpapatupad at kamalayan ay mahalaga para matiyak ang pagsunod sa mga batas na ito. Ang pakikipagtulungan ng mga mamamayan, negosyo, at lokal na awtoridad ay mahalaga para sa pagpapaunlad ng isang mas malinis at mas napapanatiling kapaligiran. 🌿🌎</v>
      </c>
      <c r="F1963" s="2">
        <f t="shared" si="1"/>
        <v>0</v>
      </c>
      <c r="G1963" s="2"/>
      <c r="H1963" s="2"/>
      <c r="I1963" s="2"/>
      <c r="J1963" s="2"/>
      <c r="K1963" s="2"/>
      <c r="L1963" s="2"/>
      <c r="M1963" s="2"/>
      <c r="N1963" s="2"/>
      <c r="O1963" s="2"/>
      <c r="P1963" s="2"/>
      <c r="Q1963" s="2"/>
      <c r="R1963" s="2"/>
      <c r="S1963" s="2"/>
      <c r="T1963" s="2"/>
      <c r="U1963" s="2"/>
      <c r="V1963" s="2"/>
      <c r="W1963" s="2"/>
      <c r="X1963" s="2"/>
      <c r="Y1963" s="2"/>
      <c r="Z1963" s="2"/>
      <c r="AA1963" s="2"/>
    </row>
    <row r="1964">
      <c r="A1964" s="1" t="s">
        <v>4698</v>
      </c>
      <c r="B1964" s="1" t="s">
        <v>4959</v>
      </c>
      <c r="C1964" s="1" t="s">
        <v>4960</v>
      </c>
      <c r="D1964" s="2" t="str">
        <f>IFERROR(__xludf.DUMMYFUNCTION("GOOGLETRANSLATE(B1964, ""en"", ""TL"")"),"Sa ilalim ng anong mga pangyayari ang isang tao ay maaaring makasuhan ng pampublikong pagsasabwatan upang gumawa ng mga pagkakasala na may kaugnayan sa terorismo sa mga pampublikong parke?")</f>
        <v>Sa ilalim ng anong mga pangyayari ang isang tao ay maaaring makasuhan ng pampublikong pagsasabwatan upang gumawa ng mga pagkakasala na may kaugnayan sa terorismo sa mga pampublikong parke?</v>
      </c>
      <c r="E1964" s="2" t="str">
        <f>IFERROR(__xludf.DUMMYFUNCTION("GOOGLETRANSLATE(C1964, ""en"", ""TL"")"),"Tinatrato ng Pilipinas ang pampublikong pagsasabwatan upang gumawa ng mga pagkakasala na may kaugnayan sa terorismo sa mga pampublikong parke nang lubos na seryoso. Narito kung paano nalalapat ang batas:
Pangunahing Batas:
Republic Act No. 9516 (Terrori"&amp;"sm Financing Prevention and Suppression Act of 2002): Tinutukoy ng Batas na ito ang terorismo at binabalangkas ang mga parusa para sa pagpopondo at pagpaplano ng mga aktibidad ng terorista.
Binagong Kodigo Penal (RPC):
Artikulo 144 (Public Inducement to"&amp;" Commit a Crime): Pinaparusahan ng artikulong ito ang sinumang pampublikong nag-uudyok sa iba na gumawa ng krimen, kabilang ang terorismo.
Public Conspiracy:
Ang pagpaplano o pagtalakay sa mga gawain ng terorismo sa isang pampublikong espasyo tulad ng i"&amp;"sang parke ay bumubuo ng pampublikong pagsasabwatan sa ilalim ng Artikulo 144.
Ang katibayan ng naturang pagpaplano ay maaaring magkaroon ng iba't ibang anyo:
Mga direktang banta: Hayagan na tinatalakay ang mga planong atakehin ang isang partikular na t"&amp;"arget o magdulot ng pinsala sa mga sibilyan sa isang parke.
Mga materyales sa pangangalap: Pampublikong pagkuha o pag-iimbak ng mga armas, pampasabog, o iba pang materyales na maaaring magamit sa pag-atake ng terorista.
Pag-recruit ng mga kasabwat: Pagh"&amp;"ingi o paghikayat sa iba na sumali sa isang balangkas ng terorista sa paligid ng parke.
Pangunahing Punto: Ang batas ng Pilipinas ay hindi nangangailangan ng aktwal na pagkilos ng terorismo na mangyari para maisampa ang mga kaso.
Mga Potensyal na Parusa"&amp;":
Pampublikong Inducement: Pagkakulong sa arresto mayor (1-6 na buwan).
Terrorism Financing: Pagkakulong ng reclusion temporal (12-20 taon) at multang Php500,000.00 hanggang Php10,000,000.00.
Pagpaplano o pagpaplano ng pag-atake ng terorista: Depende s"&amp;"a nilalayong kalubhaan ng aksyon, ang mga parusa ay maaaring mula sa reclusion perpetua (habang buhay na pagkakakulong) hanggang kamatayan.
Mga Karagdagang Pagsasaalang-alang:
Ang pagpapatupad ng batas ay may malawak na awtoridad na imbestigahan at ares"&amp;"tuhin ang mga indibidwal na pinaghihinalaang nagpaplano ng mga aktibidad ng terorista.
Pre-emptive na mga hakbang: Ang mga awtoridad ay maaaring gumawa ng mga aksyong pang-iwas upang ihinto ang mga potensyal na pag-atake batay sa kapani-paniwalang ebiden"&amp;"sya ng pampublikong pagsasabwatan")</f>
        <v>Tinatrato ng Pilipinas ang pampublikong pagsasabwatan upang gumawa ng mga pagkakasala na may kaugnayan sa terorismo sa mga pampublikong parke nang lubos na seryoso. Narito kung paano nalalapat ang batas:
Pangunahing Batas:
Republic Act No. 9516 (Terrorism Financing Prevention and Suppression Act of 2002): Tinutukoy ng Batas na ito ang terorismo at binabalangkas ang mga parusa para sa pagpopondo at pagpaplano ng mga aktibidad ng terorista.
Binagong Kodigo Penal (RPC):
Artikulo 144 (Public Inducement to Commit a Crime): Pinaparusahan ng artikulong ito ang sinumang pampublikong nag-uudyok sa iba na gumawa ng krimen, kabilang ang terorismo.
Public Conspiracy:
Ang pagpaplano o pagtalakay sa mga gawain ng terorismo sa isang pampublikong espasyo tulad ng isang parke ay bumubuo ng pampublikong pagsasabwatan sa ilalim ng Artikulo 144.
Ang katibayan ng naturang pagpaplano ay maaaring magkaroon ng iba't ibang anyo:
Mga direktang banta: Hayagan na tinatalakay ang mga planong atakehin ang isang partikular na target o magdulot ng pinsala sa mga sibilyan sa isang parke.
Mga materyales sa pangangalap: Pampublikong pagkuha o pag-iimbak ng mga armas, pampasabog, o iba pang materyales na maaaring magamit sa pag-atake ng terorista.
Pag-recruit ng mga kasabwat: Paghingi o paghikayat sa iba na sumali sa isang balangkas ng terorista sa paligid ng parke.
Pangunahing Punto: Ang batas ng Pilipinas ay hindi nangangailangan ng aktwal na pagkilos ng terorismo na mangyari para maisampa ang mga kaso.
Mga Potensyal na Parusa:
Pampublikong Inducement: Pagkakulong sa arresto mayor (1-6 na buwan).
Terrorism Financing: Pagkakulong ng reclusion temporal (12-20 taon) at multang Php500,000.00 hanggang Php10,000,000.00.
Pagpaplano o pagpaplano ng pag-atake ng terorista: Depende sa nilalayong kalubhaan ng aksyon, ang mga parusa ay maaaring mula sa reclusion perpetua (habang buhay na pagkakakulong) hanggang kamatayan.
Mga Karagdagang Pagsasaalang-alang:
Ang pagpapatupad ng batas ay may malawak na awtoridad na imbestigahan at arestuhin ang mga indibidwal na pinaghihinalaang nagpaplano ng mga aktibidad ng terorista.
Pre-emptive na mga hakbang: Ang mga awtoridad ay maaaring gumawa ng mga aksyong pang-iwas upang ihinto ang mga potensyal na pag-atake batay sa kapani-paniwalang ebidensya ng pampublikong pagsasabwatan</v>
      </c>
      <c r="F1964" s="2">
        <f t="shared" si="1"/>
        <v>1</v>
      </c>
      <c r="G1964" s="2"/>
      <c r="H1964" s="2"/>
      <c r="I1964" s="2"/>
      <c r="J1964" s="2"/>
      <c r="K1964" s="2"/>
      <c r="L1964" s="2"/>
      <c r="M1964" s="2"/>
      <c r="N1964" s="2"/>
      <c r="O1964" s="2"/>
      <c r="P1964" s="2"/>
      <c r="Q1964" s="2"/>
      <c r="R1964" s="2"/>
      <c r="S1964" s="2"/>
      <c r="T1964" s="2"/>
      <c r="U1964" s="2"/>
      <c r="V1964" s="2"/>
      <c r="W1964" s="2"/>
      <c r="X1964" s="2"/>
      <c r="Y1964" s="2"/>
      <c r="Z1964" s="2"/>
      <c r="AA1964" s="2"/>
    </row>
    <row r="1965">
      <c r="A1965" s="1" t="s">
        <v>4698</v>
      </c>
      <c r="B1965" s="1" t="s">
        <v>4849</v>
      </c>
      <c r="C1965" s="1" t="s">
        <v>4961</v>
      </c>
      <c r="D1965" s="2" t="str">
        <f>IFERROR(__xludf.DUMMYFUNCTION("GOOGLETRANSLATE(B1965, ""en"", ""TL"")"),"Paano tinutugunan sa ilalim ng batas ng Pilipinas ang pagkakasala ng pampublikong pagsasabwatan upang magsagawa ng pagnanakaw ng pagkakakilanlan o pandaraya sa pananalapi?")</f>
        <v>Paano tinutugunan sa ilalim ng batas ng Pilipinas ang pagkakasala ng pampublikong pagsasabwatan upang magsagawa ng pagnanakaw ng pagkakakilanlan o pandaraya sa pananalapi?</v>
      </c>
      <c r="E1965" s="2" t="str">
        <f>IFERROR(__xludf.DUMMYFUNCTION("GOOGLETRANSLATE(C1965, ""en"", ""TL"")"),"Tinatrato ng batas ng Pilipinas ang pampublikong pagsasabwatan upang magsagawa ng pagnanakaw ng pagkakakilanlan o pandaraya sa pananalapi nang lubos na seryoso, gaya ng nakabalangkas sa ibaba:
Mga Kaugnay na Batas:
Ang mga pangunahing probisyon na t"&amp;"umutugon sa isyung ito ay ang Revised Penal Code (RPC) Articles 8 (Conspiracy) at 318 (Swindling).
Ang Artikulo 8 ay tumutukoy sa pagsasabwatan bilang isang kasunduan sa pagitan ng dalawa o higit pang mga tao na gumawa ng krimen at magpasya sa paraan ng "&amp;"pagpapatupad nito. Ang pagpaplano ng pagnanakaw ng pagkakakilanlan o pandaraya sa pananalapi sa isang pampublikong setting ay tumutupad sa elemento ng kasunduan.
Tinutugunan ng Article 318 (Swindling) ang pandaraya na ginawa ng isang sindikato o grupo. K"&amp;"ung maraming indibidwal ang nasangkot sa pagnanakaw ng pagkakakilanlan o pandaraya sa pananalapi nang magkasama sa publiko, pinalalakas nito ang kaso.
Mga Potensyal na Singilin:
Depende sa mga detalye, maaaring may mga karagdagang singil, gaya ng Fals"&amp;"ification of Public Documents (RPC Article 185) para sa paggamit ng mga pekeng ID o dokumento, o mga paglabag sa ilalim ng Computer Crimes Act (Republic Act No. 10175) para sa paggamit ng teknolohiya sa pandaraya.
Pinahusay na Pag-uusig:
Ang pampublik"&amp;"ong kalikasan ng pagsasabwatan ay nagpapatibay sa kaso ng prosekusyon sa pamamagitan ng pagpapakita ng tahasan na pagwawalang-bahala sa batas at pagpapadali sa pangangalap ng ebidensya, kabilang ang mga saksi at pag-record.
Mga parusa:
Ang mga parusa "&amp;"ay nakasalalay sa kalubhaan ng nakaplanong krimen (naglalayong halagang ninakaw) at ang mga partikular na singil na isinampa. Ang pagsasabwatan sa pangkalahatan ay nagdadala ng termino ng pagkakulong na 6 na buwan hanggang 6 na taon, habang ang mga parusa"&amp;" sa panloloko ay mula 4 hanggang 10 taon depende sa halagang kasangkot.
Kahalagahan ng Pag-uulat:
Kung nakasaksi ka ng pampublikong pagsasabwatan upang magsagawa ng pagnanakaw ng pagkakakilanlan o pandaraya sa pananalapi, ang agarang pag-uulat sa mga "&amp;"awtoridad tulad ng pulisya o National Bureau of Investigation (NBI) ay napakahalaga. Ang pag-uulat ay maaaring makatulong na maiwasan ang krimen at matiyak na ang mga may kasalanan ay nahaharap sa mga legal na kahihinatnan.")</f>
        <v>Tinatrato ng batas ng Pilipinas ang pampublikong pagsasabwatan upang magsagawa ng pagnanakaw ng pagkakakilanlan o pandaraya sa pananalapi nang lubos na seryoso, gaya ng nakabalangkas sa ibaba:
Mga Kaugnay na Batas:
Ang mga pangunahing probisyon na tumutugon sa isyung ito ay ang Revised Penal Code (RPC) Articles 8 (Conspiracy) at 318 (Swindling).
Ang Artikulo 8 ay tumutukoy sa pagsasabwatan bilang isang kasunduan sa pagitan ng dalawa o higit pang mga tao na gumawa ng krimen at magpasya sa paraan ng pagpapatupad nito. Ang pagpaplano ng pagnanakaw ng pagkakakilanlan o pandaraya sa pananalapi sa isang pampublikong setting ay tumutupad sa elemento ng kasunduan.
Tinutugunan ng Article 318 (Swindling) ang pandaraya na ginawa ng isang sindikato o grupo. Kung maraming indibidwal ang nasangkot sa pagnanakaw ng pagkakakilanlan o pandaraya sa pananalapi nang magkasama sa publiko, pinalalakas nito ang kaso.
Mga Potensyal na Singilin:
Depende sa mga detalye, maaaring may mga karagdagang singil, gaya ng Falsification of Public Documents (RPC Article 185) para sa paggamit ng mga pekeng ID o dokumento, o mga paglabag sa ilalim ng Computer Crimes Act (Republic Act No. 10175) para sa paggamit ng teknolohiya sa pandaraya.
Pinahusay na Pag-uusig:
Ang pampublikong kalikasan ng pagsasabwatan ay nagpapatibay sa kaso ng prosekusyon sa pamamagitan ng pagpapakita ng tahasan na pagwawalang-bahala sa batas at pagpapadali sa pangangalap ng ebidensya, kabilang ang mga saksi at pag-record.
Mga parusa:
Ang mga parusa ay nakasalalay sa kalubhaan ng nakaplanong krimen (naglalayong halagang ninakaw) at ang mga partikular na singil na isinampa. Ang pagsasabwatan sa pangkalahatan ay nagdadala ng termino ng pagkakulong na 6 na buwan hanggang 6 na taon, habang ang mga parusa sa panloloko ay mula 4 hanggang 10 taon depende sa halagang kasangkot.
Kahalagahan ng Pag-uulat:
Kung nakasaksi ka ng pampublikong pagsasabwatan upang magsagawa ng pagnanakaw ng pagkakakilanlan o pandaraya sa pananalapi, ang agarang pag-uulat sa mga awtoridad tulad ng pulisya o National Bureau of Investigation (NBI) ay napakahalaga. Ang pag-uulat ay maaaring makatulong na maiwasan ang krimen at matiyak na ang mga may kasalanan ay nahaharap sa mga legal na kahihinatnan.</v>
      </c>
      <c r="F1965" s="2">
        <f t="shared" si="1"/>
        <v>5</v>
      </c>
      <c r="G1965" s="2"/>
      <c r="H1965" s="2"/>
      <c r="I1965" s="2"/>
      <c r="J1965" s="2"/>
      <c r="K1965" s="2"/>
      <c r="L1965" s="2"/>
      <c r="M1965" s="2"/>
      <c r="N1965" s="2"/>
      <c r="O1965" s="2"/>
      <c r="P1965" s="2"/>
      <c r="Q1965" s="2"/>
      <c r="R1965" s="2"/>
      <c r="S1965" s="2"/>
      <c r="T1965" s="2"/>
      <c r="U1965" s="2"/>
      <c r="V1965" s="2"/>
      <c r="W1965" s="2"/>
      <c r="X1965" s="2"/>
      <c r="Y1965" s="2"/>
      <c r="Z1965" s="2"/>
      <c r="AA1965" s="2"/>
    </row>
    <row r="1966">
      <c r="A1966" s="1" t="s">
        <v>4698</v>
      </c>
      <c r="B1966" s="1" t="s">
        <v>4962</v>
      </c>
      <c r="C1966" s="1" t="s">
        <v>4963</v>
      </c>
      <c r="D1966" s="2" t="str">
        <f>IFERROR(__xludf.DUMMYFUNCTION("GOOGLETRANSLATE(B1966, ""en"", ""TL"")"),"Anong mga parusa ang naaangkop para sa pagsali sa hindi awtorisadong pagbebenta o pamamahagi ng mga ipinagbabawal na publikasyon sa mga pampublikong espasyo malapit sa mga paaralan?")</f>
        <v>Anong mga parusa ang naaangkop para sa pagsali sa hindi awtorisadong pagbebenta o pamamahagi ng mga ipinagbabawal na publikasyon sa mga pampublikong espasyo malapit sa mga paaralan?</v>
      </c>
      <c r="E1966" s="2" t="str">
        <f>IFERROR(__xludf.DUMMYFUNCTION("GOOGLETRANSLATE(C1966, ""en"", ""TL"")"),"Sa Pilipinas, ang mga parusa sa pagbebenta o pamamahagi ng mga ipinagbabawal na publikasyon malapit sa mga paaralan ay may kasamang kumbinasyon ng mga batas:
Binagong Kodigo Penal (RPC):
Artikulo 201 (Mga imoral na doktrina, malalaswang publikasyon at e"&amp;"ksibisyon at malaswa na palabas): Nalalapat ang artikulong ito sa pangkalahatang pagbebenta o pamamahagi ng mga malalaswang materyales.
Parusa: Pagkakulong ng hanggang anim na taon at multang Php20,000.00 hanggang Php200,000.00. [Pinagmulan: website ng S"&amp;"enado ng Pilipinas]
Mga Espesyal na Batas:
Republic Act No. 10951 (An Act Strengthening the Anti-Trafficking in Persons Act of 2003):
Seksyon 9: Ang seksyong ito ay partikular na tumatalakay sa pagsasamantala sa bata at paggamit ng mga bata sa mga mala"&amp;"laswang materyales.
Ang pagbebenta o pamamahagi ng mga materyales na kinasasangkutan ng isang bata ay lubos na nagpapataas ng parusa:
Reclusion perpetua (habang buhay na pagkakakulong)
Multa: Php500,000.00 hanggang Php5,000,000.00 [Pinagmulan: website "&amp;"ng Senado ng Pilipinas]
Mga Ordenansa ng Lokal na Pamahalaan:
Maraming mga lokalidad ang may mga karagdagang ordinansa na kumokontrol sa pagbebenta o pamamahagi ng mga hindi naaangkop na materyales malapit sa mga paaralan. Ang mga ordinansang ito ay maa"&amp;"aring magpataw ng mga karagdagang multa o parusa na partikular sa lugar.
Malapit sa mga Paaralan:
Bagama't ang kalapitan sa mga paaralan ay hindi direktang nagpapataas ng parusa sa ilalim ng mga pambansang batas na binanggit sa itaas, maaari itong ituri"&amp;"ng na nagpapalubha sa panahon ng paglilitis. Nangangahulugan ito na ang isang hukom ay maaaring magpataw ng mas mahigpit na sentensiya sa loob ng ibinigay na saklaw.
Samakatuwid, ang mga parusa para sa pagbebenta ng mga ipinagbabawal na publikasyon malap"&amp;"it sa mga paaralan ay maaaring ikategorya bilang:
Para sa mga malaswang materyal na pang-matanda lamang:
Base penalty: Pagkakulong ng hanggang anim na taon at multang Php20,000.00 hanggang Php200,000.00.
Salik na nagpapalubha (malapit sa mga paaralan):"&amp;" Potensyal para sa isang mas malupit na pangungusap sa loob ng ibinigay na hanay.
Para sa mga materyales na kinasasangkutan ng isang bata:
Reclusion perpetua (habang buhay na pagkakakulong)
Multa: Php500,000.00 hanggang Php5,000,000.00")</f>
        <v>Sa Pilipinas, ang mga parusa sa pagbebenta o pamamahagi ng mga ipinagbabawal na publikasyon malapit sa mga paaralan ay may kasamang kumbinasyon ng mga batas:
Binagong Kodigo Penal (RPC):
Artikulo 201 (Mga imoral na doktrina, malalaswang publikasyon at eksibisyon at malaswa na palabas): Nalalapat ang artikulong ito sa pangkalahatang pagbebenta o pamamahagi ng mga malalaswang materyales.
Parusa: Pagkakulong ng hanggang anim na taon at multang Php20,000.00 hanggang Php200,000.00. [Pinagmulan: website ng Senado ng Pilipinas]
Mga Espesyal na Batas:
Republic Act No. 10951 (An Act Strengthening the Anti-Trafficking in Persons Act of 2003):
Seksyon 9: Ang seksyong ito ay partikular na tumatalakay sa pagsasamantala sa bata at paggamit ng mga bata sa mga malalaswang materyales.
Ang pagbebenta o pamamahagi ng mga materyales na kinasasangkutan ng isang bata ay lubos na nagpapataas ng parusa:
Reclusion perpetua (habang buhay na pagkakakulong)
Multa: Php500,000.00 hanggang Php5,000,000.00 [Pinagmulan: website ng Senado ng Pilipinas]
Mga Ordenansa ng Lokal na Pamahalaan:
Maraming mga lokalidad ang may mga karagdagang ordinansa na kumokontrol sa pagbebenta o pamamahagi ng mga hindi naaangkop na materyales malapit sa mga paaralan. Ang mga ordinansang ito ay maaaring magpataw ng mga karagdagang multa o parusa na partikular sa lugar.
Malapit sa mga Paaralan:
Bagama't ang kalapitan sa mga paaralan ay hindi direktang nagpapataas ng parusa sa ilalim ng mga pambansang batas na binanggit sa itaas, maaari itong ituring na nagpapalubha sa panahon ng paglilitis. Nangangahulugan ito na ang isang hukom ay maaaring magpataw ng mas mahigpit na sentensiya sa loob ng ibinigay na saklaw.
Samakatuwid, ang mga parusa para sa pagbebenta ng mga ipinagbabawal na publikasyon malapit sa mga paaralan ay maaaring ikategorya bilang:
Para sa mga malaswang materyal na pang-matanda lamang:
Base penalty: Pagkakulong ng hanggang anim na taon at multang Php20,000.00 hanggang Php200,000.00.
Salik na nagpapalubha (malapit sa mga paaralan): Potensyal para sa isang mas malupit na pangungusap sa loob ng ibinigay na hanay.
Para sa mga materyales na kinasasangkutan ng isang bata:
Reclusion perpetua (habang buhay na pagkakakulong)
Multa: Php500,000.00 hanggang Php5,000,000.00</v>
      </c>
      <c r="F1966" s="2">
        <f t="shared" si="1"/>
        <v>0</v>
      </c>
      <c r="G1966" s="2"/>
      <c r="H1966" s="2"/>
      <c r="I1966" s="2"/>
      <c r="J1966" s="2"/>
      <c r="K1966" s="2"/>
      <c r="L1966" s="2"/>
      <c r="M1966" s="2"/>
      <c r="N1966" s="2"/>
      <c r="O1966" s="2"/>
      <c r="P1966" s="2"/>
      <c r="Q1966" s="2"/>
      <c r="R1966" s="2"/>
      <c r="S1966" s="2"/>
      <c r="T1966" s="2"/>
      <c r="U1966" s="2"/>
      <c r="V1966" s="2"/>
      <c r="W1966" s="2"/>
      <c r="X1966" s="2"/>
      <c r="Y1966" s="2"/>
      <c r="Z1966" s="2"/>
      <c r="AA1966" s="2"/>
    </row>
    <row r="1967">
      <c r="A1967" s="1" t="s">
        <v>4698</v>
      </c>
      <c r="B1967" s="1" t="s">
        <v>4925</v>
      </c>
      <c r="C1967" s="1" t="s">
        <v>4964</v>
      </c>
      <c r="D1967" s="2" t="str">
        <f>IFERROR(__xludf.DUMMYFUNCTION("GOOGLETRANSLATE(B1967, ""en"", ""TL"")"),"Anong mga legal na probisyon ang kumokontrol sa pagmamay-ari at paggamit ng mga hindi awtorisadong surveillance device sa mga pampublikong espasyo malapit sa mga opisina ng gobyerno?")</f>
        <v>Anong mga legal na probisyon ang kumokontrol sa pagmamay-ari at paggamit ng mga hindi awtorisadong surveillance device sa mga pampublikong espasyo malapit sa mga opisina ng gobyerno?</v>
      </c>
      <c r="E1967" s="2" t="str">
        <f>IFERROR(__xludf.DUMMYFUNCTION("GOOGLETRANSLATE(C1967, ""en"", ""TL"")"),"Sa Pilipinas, walang iisang, tuwirang batas na direktang tumutugon sa mga hindi awtorisadong surveillance device sa mga pampublikong espasyo malapit sa mga opisina ng gobyerno. Gayunpaman, maaaring ilapat ang iba't ibang umiiral na legal na probisyon depe"&amp;"nde sa mga pangyayari:
Mga Karapatan sa Pagkapribado at Komunikasyon:
Pinoprotektahan ng Republic Act No. 10173 (Data Privacy Act of 2012) ang privacy ng personal na impormasyon, kabilang ang mga audio at video recording. Ang hindi awtorisadong pagk"&amp;"uha ng mga indibidwal na malapit sa mga tanggapan ng gobyerno nang walang pahintulot ay maaaring maging isang paglabag, lalo na sa mga lugar na may makatwirang inaasahan ng privacy.
Ang Artikulo III, Seksyon 3(1) ng 1987 Konstitusyon ng Pilipinas ay na"&amp;"gpoprotekta sa privacy ng komunikasyon, na posibleng nililimitahan ang hindi awtorisadong pag-record ng mga pag-uusap sa mga pampublikong espasyo malapit sa mga opisina ng gobyerno.
Mga Alalahanin sa Surveillance at Trespass:
Bagama't walang partiku"&amp;"lar na batas ang nagta-target ng mga hindi awtorisadong device sa pagsubaybay, ang ilang partikular na regulasyon ay may kinalaman sa isyu:
Ang Anti-Wiretapping Law (Republic Act No. 4862) ay nagbabawal sa hindi awtorisadong pagharang at pagtatala ng k"&amp;"omunikasyon. Gayunpaman, ang pagiging angkop nito sa pagkuha ng video footage sa mga pampublikong espasyo ay napapailalim sa debate.
Isinasaalang-alang ng Revised Penal Code (RPC) Article 143 (Trespass) ang paglalagay ng mga surveillance device sa pag-"&amp;"aari ng gobyerno nang walang pahintulot bilang trespassing. Gayunpaman, hindi ito aabot sa mga device sa mga pampublikong bangketa o kalye malapit sa mga opisina ng gobyerno.
Mga Lokal na Ordenansa:
Ang ilang lungsod o munisipalidad ay maaaring may "&amp;"mga ordinansang kumokontrol sa paggamit ng surveillance camera sa mga pampublikong lugar, na posibleng nag-aalok ng mas partikular na mga alituntunin para sa paglalagay malapit sa mga gusali ng pamahalaan.
Mga Hamon at Rekomendasyon:
Ang pagpapatupa"&amp;"d ng mga probisyong ito ay maaaring maging mahirap dahil sa umuusbong na legal na tanawin tungkol sa hindi awtorisadong pagsubaybay.
Kung makatagpo ng mga ganoong device: Mag-ulat sa mga awtoridad (pulis o may-katuturang ahensya ng gobyerno) at humingi"&amp;" ng legal na payo kung may mga alalahanin sa privacy.")</f>
        <v>Sa Pilipinas, walang iisang, tuwirang batas na direktang tumutugon sa mga hindi awtorisadong surveillance device sa mga pampublikong espasyo malapit sa mga opisina ng gobyerno. Gayunpaman, maaaring ilapat ang iba't ibang umiiral na legal na probisyon depende sa mga pangyayari:
Mga Karapatan sa Pagkapribado at Komunikasyon:
Pinoprotektahan ng Republic Act No. 10173 (Data Privacy Act of 2012) ang privacy ng personal na impormasyon, kabilang ang mga audio at video recording. Ang hindi awtorisadong pagkuha ng mga indibidwal na malapit sa mga tanggapan ng gobyerno nang walang pahintulot ay maaaring maging isang paglabag, lalo na sa mga lugar na may makatwirang inaasahan ng privacy.
Ang Artikulo III, Seksyon 3(1) ng 1987 Konstitusyon ng Pilipinas ay nagpoprotekta sa privacy ng komunikasyon, na posibleng nililimitahan ang hindi awtorisadong pag-record ng mga pag-uusap sa mga pampublikong espasyo malapit sa mga opisina ng gobyerno.
Mga Alalahanin sa Surveillance at Trespass:
Bagama't walang partikular na batas ang nagta-target ng mga hindi awtorisadong device sa pagsubaybay, ang ilang partikular na regulasyon ay may kinalaman sa isyu:
Ang Anti-Wiretapping Law (Republic Act No. 4862) ay nagbabawal sa hindi awtorisadong pagharang at pagtatala ng komunikasyon. Gayunpaman, ang pagiging angkop nito sa pagkuha ng video footage sa mga pampublikong espasyo ay napapailalim sa debate.
Isinasaalang-alang ng Revised Penal Code (RPC) Article 143 (Trespass) ang paglalagay ng mga surveillance device sa pag-aari ng gobyerno nang walang pahintulot bilang trespassing. Gayunpaman, hindi ito aabot sa mga device sa mga pampublikong bangketa o kalye malapit sa mga opisina ng gobyerno.
Mga Lokal na Ordenansa:
Ang ilang lungsod o munisipalidad ay maaaring may mga ordinansang kumokontrol sa paggamit ng surveillance camera sa mga pampublikong lugar, na posibleng nag-aalok ng mas partikular na mga alituntunin para sa paglalagay malapit sa mga gusali ng pamahalaan.
Mga Hamon at Rekomendasyon:
Ang pagpapatupad ng mga probisyong ito ay maaaring maging mahirap dahil sa umuusbong na legal na tanawin tungkol sa hindi awtorisadong pagsubaybay.
Kung makatagpo ng mga ganoong device: Mag-ulat sa mga awtoridad (pulis o may-katuturang ahensya ng gobyerno) at humingi ng legal na payo kung may mga alalahanin sa privacy.</v>
      </c>
      <c r="F1967" s="2">
        <f t="shared" si="1"/>
        <v>5</v>
      </c>
      <c r="G1967" s="2"/>
      <c r="H1967" s="2"/>
      <c r="I1967" s="2"/>
      <c r="J1967" s="2"/>
      <c r="K1967" s="2"/>
      <c r="L1967" s="2"/>
      <c r="M1967" s="2"/>
      <c r="N1967" s="2"/>
      <c r="O1967" s="2"/>
      <c r="P1967" s="2"/>
      <c r="Q1967" s="2"/>
      <c r="R1967" s="2"/>
      <c r="S1967" s="2"/>
      <c r="T1967" s="2"/>
      <c r="U1967" s="2"/>
      <c r="V1967" s="2"/>
      <c r="W1967" s="2"/>
      <c r="X1967" s="2"/>
      <c r="Y1967" s="2"/>
      <c r="Z1967" s="2"/>
      <c r="AA1967" s="2"/>
    </row>
    <row r="1968">
      <c r="A1968" s="1" t="s">
        <v>4698</v>
      </c>
      <c r="B1968" s="1" t="s">
        <v>4965</v>
      </c>
      <c r="C1968" s="1" t="s">
        <v>4966</v>
      </c>
      <c r="D1968" s="2" t="str">
        <f>IFERROR(__xludf.DUMMYFUNCTION("GOOGLETRANSLATE(B1968, ""en"", ""TL"")"),"Paano tinutugunan ng batas ang mga insidente ng pag-atake o panliligalig sa antas ng kalye batay sa kaugnayan o opinyon sa pulitika sa mga pampublikong lugar?")</f>
        <v>Paano tinutugunan ng batas ang mga insidente ng pag-atake o panliligalig sa antas ng kalye batay sa kaugnayan o opinyon sa pulitika sa mga pampublikong lugar?</v>
      </c>
      <c r="E1968" s="2" t="str">
        <f>IFERROR(__xludf.DUMMYFUNCTION("GOOGLETRANSLATE(C1968, ""en"", ""TL"")"),"Tinutugunan ng Pilipinas ang pag-atake sa antas ng kalye o panliligalig batay sa kaugnayan sa pulitika sa mga pampublikong lugar sa pamamagitan ng kumbinasyon ng mga umiiral na batas, ngunit may mga limitasyon:
Mga Naaangkop na Batas:
Binagong Kodigo Pena"&amp;"l (RPC):
Artikulo 140 (Pagbibigay ng kaunting pisikal na pinsala): Sinasaklaw ang pisikal na pananakit na nagreresulta sa mga pinsalang nangangailangan ng medikal na atensyon nang wala pang siyam na araw. Parusa: Arresto menor (hanggang 1 buwang pagkakulo"&amp;"ng).
Artikulo 148 (Banta): Sinasaklaw ang mga banta na magdulot ng pinsala, pasalita o sa pamamagitan ng mga kilos. Ang parusa ay mula destierro (pagpatapon) hanggang prision correccional minima (pagkakulong ng 6 na buwan hanggang 1 taon).
Artikulo 267 (D"&amp;"iskriminatoryong aksyon): Bagama't hindi direktang tumutugon sa mga pampublikong espasyo, pinaparusahan nito ang mga kilos na nagdidiskrimina laban sa isang tao batay sa ""mga paniniwalang pampulitika"" sa mga partikular na konteksto tulad ng trabaho. Par"&amp;"usa: Prision correccional minima (pagkakulong ng 6 na buwan hanggang 1 taon) o multa na Php500.00 hanggang Php1,000.00.
Mga Limitasyon:
Tumutok sa pisikal na pananakit at pagbabanta: Pangunahing tinutugunan ng mga kasalukuyang batas ang pisikal na pag-ata"&amp;"ke at pagbabanta, hindi ganap na kumukuha ng emosyonal at sikolohikal na epekto ng pandiwang panliligalig batay lamang sa kaugnayan sa pulitika.
Limitadong saklaw ng kaugnayan sa pulitika: Habang ang Artikulo 267 ay tumutugon sa diskriminasyon, nalalapat "&amp;"ito sa mga partikular na sitwasyon at hindi direktang sumasaklaw sa pangkalahatang panliligalig batay lamang sa mga pananaw sa pulitika sa mga pampublikong espasyo.
Pagtugon sa Gap:
Anti-Discrimination Bills: Kasalukuyang kulang ang Pilipinas ng isang kom"&amp;"prehensibong batas laban sa diskriminasyon na partikular na tumutugon sa mga krimen sa pagkapoot o panliligalig na nakabatay lamang sa pulitikal na kaugnayan sa mga pampublikong lugar.
Ilang panukalang Anti-Diskriminasyon ang iminungkahi, na naglalayong m"&amp;"agbigay ng legal na balangkas para sa mga ganitong sitwasyon.
Kasalukuyang Sitwasyon:
Maaaring gamitin ng mga biktima ang mga umiiral na batas upang tugunan ang mga pisikal na aspeto ng pag-atake (Artikulo 140) at mga pagbabanta (Artikulo 148).
Gayunpaman"&amp;", ang legal na paraan para sa puro pandiwang panliligalig na nakabatay lamang sa pulitikal na kaugnayan sa mga pampublikong espasyo ay maaaring limitado sa ilalim ng kasalukuyang batas.")</f>
        <v>Tinutugunan ng Pilipinas ang pag-atake sa antas ng kalye o panliligalig batay sa kaugnayan sa pulitika sa mga pampublikong lugar sa pamamagitan ng kumbinasyon ng mga umiiral na batas, ngunit may mga limitasyon:
Mga Naaangkop na Batas:
Binagong Kodigo Penal (RPC):
Artikulo 140 (Pagbibigay ng kaunting pisikal na pinsala): Sinasaklaw ang pisikal na pananakit na nagreresulta sa mga pinsalang nangangailangan ng medikal na atensyon nang wala pang siyam na araw. Parusa: Arresto menor (hanggang 1 buwang pagkakulong).
Artikulo 148 (Banta): Sinasaklaw ang mga banta na magdulot ng pinsala, pasalita o sa pamamagitan ng mga kilos. Ang parusa ay mula destierro (pagpatapon) hanggang prision correccional minima (pagkakulong ng 6 na buwan hanggang 1 taon).
Artikulo 267 (Diskriminatoryong aksyon): Bagama't hindi direktang tumutugon sa mga pampublikong espasyo, pinaparusahan nito ang mga kilos na nagdidiskrimina laban sa isang tao batay sa "mga paniniwalang pampulitika" sa mga partikular na konteksto tulad ng trabaho. Parusa: Prision correccional minima (pagkakulong ng 6 na buwan hanggang 1 taon) o multa na Php500.00 hanggang Php1,000.00.
Mga Limitasyon:
Tumutok sa pisikal na pananakit at pagbabanta: Pangunahing tinutugunan ng mga kasalukuyang batas ang pisikal na pag-atake at pagbabanta, hindi ganap na kumukuha ng emosyonal at sikolohikal na epekto ng pandiwang panliligalig batay lamang sa kaugnayan sa pulitika.
Limitadong saklaw ng kaugnayan sa pulitika: Habang ang Artikulo 267 ay tumutugon sa diskriminasyon, nalalapat ito sa mga partikular na sitwasyon at hindi direktang sumasaklaw sa pangkalahatang panliligalig batay lamang sa mga pananaw sa pulitika sa mga pampublikong espasyo.
Pagtugon sa Gap:
Anti-Discrimination Bills: Kasalukuyang kulang ang Pilipinas ng isang komprehensibong batas laban sa diskriminasyon na partikular na tumutugon sa mga krimen sa pagkapoot o panliligalig na nakabatay lamang sa pulitikal na kaugnayan sa mga pampublikong lugar.
Ilang panukalang Anti-Diskriminasyon ang iminungkahi, na naglalayong magbigay ng legal na balangkas para sa mga ganitong sitwasyon.
Kasalukuyang Sitwasyon:
Maaaring gamitin ng mga biktima ang mga umiiral na batas upang tugunan ang mga pisikal na aspeto ng pag-atake (Artikulo 140) at mga pagbabanta (Artikulo 148).
Gayunpaman, ang legal na paraan para sa puro pandiwang panliligalig na nakabatay lamang sa pulitikal na kaugnayan sa mga pampublikong espasyo ay maaaring limitado sa ilalim ng kasalukuyang batas.</v>
      </c>
      <c r="F1968" s="2">
        <f t="shared" si="1"/>
        <v>0</v>
      </c>
      <c r="G1968" s="2"/>
      <c r="H1968" s="2"/>
      <c r="I1968" s="2"/>
      <c r="J1968" s="2"/>
      <c r="K1968" s="2"/>
      <c r="L1968" s="2"/>
      <c r="M1968" s="2"/>
      <c r="N1968" s="2"/>
      <c r="O1968" s="2"/>
      <c r="P1968" s="2"/>
      <c r="Q1968" s="2"/>
      <c r="R1968" s="2"/>
      <c r="S1968" s="2"/>
      <c r="T1968" s="2"/>
      <c r="U1968" s="2"/>
      <c r="V1968" s="2"/>
      <c r="W1968" s="2"/>
      <c r="X1968" s="2"/>
      <c r="Y1968" s="2"/>
      <c r="Z1968" s="2"/>
      <c r="AA1968" s="2"/>
    </row>
    <row r="1969">
      <c r="A1969" s="1" t="s">
        <v>4698</v>
      </c>
      <c r="B1969" s="1" t="s">
        <v>4825</v>
      </c>
      <c r="C1969" s="1" t="s">
        <v>4967</v>
      </c>
      <c r="D1969" s="2" t="str">
        <f>IFERROR(__xludf.DUMMYFUNCTION("GOOGLETRANSLATE(B1969,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69" s="2" t="str">
        <f>IFERROR(__xludf.DUMMYFUNCTION("GOOGLETRANSLATE(C1969, ""en"", ""TL"")"),"Bagama't walang partikular na batas sa Pilipinas na direktang tumutugon sa ""pag-iwas sa buwis sa antas ng kalye"" o ""mga mapanlinlang na aktibidad sa pananalapi sa mga pampublikong espasyo,"" ang mga parusa para sa mga naturang pagkakasala ay nag-iiba d"&amp;"epende sa mga batas na nilalabag nila at sa uri ng aktibidad. Narito ang isang breakdown:
Pag-iwas sa Buwis:
Ang Republic Act No. 8424, ang Tax Code, ay nagtatakda ng mga obligasyon sa buwis at mga parusa para sa hindi pagsunod, na naaangkop saanman ang"&amp;" lokasyon. Kasama sa mga parusa ang mga surcharge, interes sa mga hindi nabayarang halaga ng buwis, at pagkakulong para sa matitinding kaso.
Mga Mapanlinlang na Aktibidad:
Sa ilalim ng Binagong Kodigo Penal (RPC):
- Ang Falsification of Public Documents"&amp;" (RPC Article 185) ay may mga parusang hanggang 6 na taong pagkakakulong kung ang mga pekeng dokumento ay ginagamit para sa pinansyal na pakinabang sa publiko.
- Ang Estafa (RPC Articles 315-318) ay sumasaklaw sa iba't ibang mapanlinlang na pakana na kina"&amp;"sasangkutan ng pera o ari-arian sa publiko. Nag-iiba-iba ang mga parusa batay sa halagang nasasangkot at maaaring kasama ang mga multa, pagkakulong, at pag-refund ng mga nadaya na halaga.
- Ang Swindling (RPC Article 316) ay nagsasangkot ng panlilinlang u"&amp;"pang makakuha ng pera o ari-arian sa publiko, na may mga parusang katulad ng Estafa.
Public Disorder:
Tinutugunan ng Artikulo 150 ng RPC ang pampublikong kaguluhan na nagreresulta mula sa mga mapanlinlang na aktibidad, na posibleng humantong sa mga kara"&amp;"gdagang singil na may mga multa at/o maikling pagkakakulong.
Mga Salik na Nakakaimpluwensya sa mga Parusa:
Ang mga parusa ay naiimpluwensyahan ng mga salik tulad ng halaga ng pera na kasangkot, ang pagkakaroon ng mga biktima, at mga naunang pagkakasala,"&amp;" na may mas malaking halaga at paulit-ulit na mga pagkakasala na karaniwang nagreresulta sa mas mabibigat na parusa.
Sa Pilipinas, ang pagsali sa pag-iwas sa buwis sa antas ng kalye o mga mapanlinlang na aktibidad sa pananalapi ay may malaking parusa. Na"&amp;"rito ang mga pangunahing punto:
Pag-iwas sa Buwis:
Maaaring harapin ng mga indibidwal na sumusubok na umiwas sa mga buwis:
- Isang multa mula ₱500,000 hanggang ₱10,000,000.
- Pagkakulong ng 6 hanggang 10 taon.
- Karagdagang mga parusa ayon sa itina"&amp;"kda ng batas.
Mga Mapanlinlang na Resibo at Invoice:
Ang pag-print ng mga mapanlinlang na resibo o mga invoice ay may mga parusang katulad ng pag-iwas sa buwis.
- Ang mga nagbabayad ng buwis sa korporasyon na nabigong magpadala ng data ng mga benta s"&amp;"a sistema ng pag-uulat ng elektronikong benta ng Bureau of Internal Revenue (BIR) ay maaaring maharap sa multa ng isang-ikasampu ng 1 porsiyento ng kanilang taunang netong kita o ₱10,000 bawat araw ng paglabag. Ang patuloy na pagkabigo ay maaaring humanto"&amp;"ng sa permanenteng pagsasara.
Mga Sales Suppression Device:
Ang paggamit, pagmamay-ari, o pagbebenta ng mga kagamitan sa pagsugpo sa pagbebenta ay nagkakaroon ng multa mula ₱500,000 hanggang ₱10,000,000 at pagkakakulong ng 2 hanggang 4 na taon. Ang pi"&amp;"nagsama-samang pagsupil na lumampas sa ₱50 milyon ay itinuturing na economic sabotage.
Mga Paglabag sa Programa sa Pagmarka ng gasolina:
Ang mga paglabag sa fuel marking program, na naglalayong pigilan ang smuggling ng langis, ay nagreresulta sa mga p"&amp;"arusa gaya ng:
- 1 hanggang 2.5 taon na pagkakakulong para sa pekeng resulta ng pagsusulit sa pagmamarka ng gasolina.
- Karagdagang mga parusa, kabilang ang pagbawi ng mga propesyonal na lisensya at pagsasara ng mga pasilidad sa pagsubok, ayon sa itinak"&amp;"da ng korte.
Ang mga parusang ito ay naglalayong tiyakin ang pagsunod sa buwis at panindigan ang integridad sa pananalapi sa mga pampublikong espasyo. Ang pagsunod sa mga legal na kinakailangan ay mahalaga upang maiwasan ang malubhang kahihinatnan.")</f>
        <v>Bagama't walang partikular na batas sa Pilipinas na direktang tumutugon sa "pag-iwas sa buwis sa antas ng kalye" o "mga mapanlinlang na aktibidad sa pananalapi sa mga pampublikong espasyo," ang mga parusa para sa mga naturang pagkakasala ay nag-iiba depende sa mga batas na nilalabag nila at sa uri ng aktibidad. Narito ang isang breakdown:
Pag-iwas sa Buwis:
Ang Republic Act No. 8424, ang Tax Code, ay nagtatakda ng mga obligasyon sa buwis at mga parusa para sa hindi pagsunod, na naaangkop saanman ang lokasyon. Kasama sa mga parusa ang mga surcharge, interes sa mga hindi nabayarang halaga ng buwis, at pagkakulong para sa matitinding kaso.
Mga Mapanlinlang na Aktibidad:
Sa ilalim ng Binagong Kodigo Penal (RPC):
- Ang Falsification of Public Documents (RPC Article 185) ay may mga parusang hanggang 6 na taong pagkakakulong kung ang mga pekeng dokumento ay ginagamit para sa pinansyal na pakinabang sa publiko.
- Ang Estafa (RPC Articles 315-318) ay sumasaklaw sa iba't ibang mapanlinlang na pakana na kinasasangkutan ng pera o ari-arian sa publiko. Nag-iiba-iba ang mga parusa batay sa halagang nasasangkot at maaaring kasama ang mga multa, pagkakulong, at pag-refund ng mga nadaya na halaga.
- Ang Swindling (RPC Article 316) ay nagsasangkot ng panlilinlang upang makakuha ng pera o ari-arian sa publiko, na may mga parusang katulad ng Estafa.
Public Disorder:
Tinutugunan ng Artikulo 150 ng RPC ang pampublikong kaguluhan na nagreresulta mula sa mga mapanlinlang na aktibidad, na posibleng humantong sa mga karagdagang singil na may mga multa at/o maikling pagkakakulong.
Mga Salik na Nakakaimpluwensya sa mga Parusa:
Ang mga parusa ay naiimpluwensyahan ng mga salik tulad ng halaga ng pera na kasangkot, ang pagkakaroon ng mga biktima, at mga naunang pagkakasala, na may mas malaking halaga at paulit-ulit na mga pagkakasala na karaniwang nagreresulta sa mas mabibigat na parusa.
Sa Pilipinas, ang pagsali sa pag-iwas sa buwis sa antas ng kalye o mga mapanlinlang na aktibidad sa pananalapi ay may malaking parusa. Narito ang mga pangunahing punto:
Pag-iwas sa Buwis:
Maaaring harapin ng mga indibidwal na sumusubok na umiwas sa mga buwis:
- Isang multa mula ₱500,000 hanggang ₱10,000,000.
- Pagkakulong ng 6 hanggang 10 taon.
- Karagdagang mga parusa ayon sa itinakda ng batas.
Mga Mapanlinlang na Resibo at Invoice:
Ang pag-print ng mga mapanlinlang na resibo o mga invoice ay may mga parusang katulad ng pag-iwas sa buwis.
- Ang mga nagbabayad ng buwis sa korporasyon na nabigong magpadala ng data ng mga benta sa sistema ng pag-uulat ng elektronikong benta ng Bureau of Internal Revenue (BIR) ay maaaring maharap sa multa ng isang-ikasampu ng 1 porsiyento ng kanilang taunang netong kita o ₱10,000 bawat araw ng paglabag. Ang patuloy na pagkabigo ay maaaring humantong sa permanenteng pagsasara.
Mga Sales Suppression Device:
Ang paggamit, pagmamay-ari, o pagbebenta ng mga kagamitan sa pagsugpo sa pagbebenta ay nagkakaroon ng multa mula ₱500,000 hanggang ₱10,000,000 at pagkakakulong ng 2 hanggang 4 na taon. Ang pinagsama-samang pagsupil na lumampas sa ₱50 milyon ay itinuturing na economic sabotage.
Mga Paglabag sa Programa sa Pagmarka ng gasolina:
Ang mga paglabag sa fuel marking program, na naglalayong pigilan ang smuggling ng langis, ay nagreresulta sa mga parusa gaya ng:
- 1 hanggang 2.5 taon na pagkakakulong para sa pekeng resulta ng pagsusulit sa pagmamarka ng gasolina.
- Karagdagang mga parusa, kabilang ang pagbawi ng mga propesyonal na lisensya at pagsasara ng mga pasilidad sa pagsubok, ayon sa itinakda ng korte.
Ang mga parusang ito ay naglalayong tiyakin ang pagsunod sa buwis at panindigan ang integridad sa pananalapi sa mga pampublikong espasyo. Ang pagsunod sa mga legal na kinakailangan ay mahalaga upang maiwasan ang malubhang kahihinatnan.</v>
      </c>
      <c r="F1969" s="2">
        <f t="shared" si="1"/>
        <v>4</v>
      </c>
      <c r="G1969" s="2"/>
      <c r="H1969" s="2"/>
      <c r="I1969" s="2"/>
      <c r="J1969" s="2"/>
      <c r="K1969" s="2"/>
      <c r="L1969" s="2"/>
      <c r="M1969" s="2"/>
      <c r="N1969" s="2"/>
      <c r="O1969" s="2"/>
      <c r="P1969" s="2"/>
      <c r="Q1969" s="2"/>
      <c r="R1969" s="2"/>
      <c r="S1969" s="2"/>
      <c r="T1969" s="2"/>
      <c r="U1969" s="2"/>
      <c r="V1969" s="2"/>
      <c r="W1969" s="2"/>
      <c r="X1969" s="2"/>
      <c r="Y1969" s="2"/>
      <c r="Z1969" s="2"/>
      <c r="AA1969" s="2"/>
    </row>
    <row r="1970">
      <c r="A1970" s="1" t="s">
        <v>4698</v>
      </c>
      <c r="B1970" s="1" t="s">
        <v>4858</v>
      </c>
      <c r="C1970" s="1" t="s">
        <v>4968</v>
      </c>
      <c r="D1970" s="2" t="str">
        <f>IFERROR(__xludf.DUMMYFUNCTION("GOOGLETRANSLATE(B1970, ""en"", ""TL"")"),"Paano tinutugunan sa ilalim ng batas ng Pilipinas ang krimen ng public conspiracy to commit human trafficking o illegal recruitment?")</f>
        <v>Paano tinutugunan sa ilalim ng batas ng Pilipinas ang krimen ng public conspiracy to commit human trafficking o illegal recruitment?</v>
      </c>
      <c r="E1970" s="2" t="str">
        <f>IFERROR(__xludf.DUMMYFUNCTION("GOOGLETRANSLATE(C1970, ""en"", ""TL"")"),"Malakas ang paninindigan ng Pilipinas laban sa pampublikong pagsasabwatan para gumawa ng human trafficking o illegal recruitment. Narito kung paano tinutugunan ng batas ang mga naturang krimen:
Pangunahing Batas:
Republic Act No. 9208 (Anti-Trafficking "&amp;"in Persons Act of 2003), na sinususugan ng RA 10364 (Expanded Anti-Trafficking in Persons Act of 2012): Tinutukoy ng batas na ito ang human trafficking at binabalangkas ang mga parusa para sa iba't ibang kilos na kasangkot, kabilang ang:
Seksyon 4: Tinut"&amp;"ukoy ang mga gawain ng trafficking tulad ng pangangalap, transportasyon, pagkukulong, o pagtanggap ng isang tao para sa layunin ng prostitusyon, sapilitang paggawa, pang-aalipin, atbp.
Seksyon 4-A: Partikular na tumutuon sa pagsasabwatan upang gumawa ng "&amp;"trafficking.
Binagong Kodigo Penal (RPC):
Artikulo 144 (Public Inducement to Commit a Crime): Pinaparusahan ng artikulong ito ang sinumang pampublikong nag-uudyok sa iba na gumawa ng krimen.
Pagtugon sa Public Conspiracy:
Ang pagpaplano o pagtalakay s"&amp;"a mga gawain ng human trafficking o iligal na pangangalap sa isang pampublikong espasyo ay bumubuo ng pampublikong pagsasabwatan sa ilalim ng Artikulo 144.
Ang katibayan ng naturang pagpaplano ay maaaring may kasamang:
Bukas na mga talakayan: Pampubliko"&amp;"ng pinag-isipan ang mga plano para mag-recruit, maghatid, o magsamantala ng mga indibidwal para sa sapilitang paggawa, prostitusyon, o iba pang anyo ng human trafficking.
Pagbabahagi ng logistik: Tinatalakay ang mga paraan ng pagdadala ng mga biktima, pa"&amp;"gkuha ng mga mapanlinlang na dokumento, o pagtukoy ng mga potensyal na target.
Pag-recruit ng mga kasabwat: Paghingi o paghikayat sa iba na sumali sa pamamaraang kriminal sa isang pampublikong lugar.
Pangunahing Punto: Katulad ng mga kaso ng terorismo, "&amp;"ang batas ng Pilipinas ay hindi nangangailangan ng aktwal na operasyon ng trafficking para maisampa ang mga singil.
Mga Potensyal na Parusa:
Pampublikong Inducement: Pagkakulong sa arresto mayor (1-6 na buwan).
Conspiracy to Commit Trafficking (Seksyon"&amp;" 4-A ng RA 9208):
Pagkakulong ng buhay (reclusion perpetua).
Magmulta ng Php500,000.00 hanggang Php1,000,000.00.")</f>
        <v>Malakas ang paninindigan ng Pilipinas laban sa pampublikong pagsasabwatan para gumawa ng human trafficking o illegal recruitment. Narito kung paano tinutugunan ng batas ang mga naturang krimen:
Pangunahing Batas:
Republic Act No. 9208 (Anti-Trafficking in Persons Act of 2003), na sinususugan ng RA 10364 (Expanded Anti-Trafficking in Persons Act of 2012): Tinutukoy ng batas na ito ang human trafficking at binabalangkas ang mga parusa para sa iba't ibang kilos na kasangkot, kabilang ang:
Seksyon 4: Tinutukoy ang mga gawain ng trafficking tulad ng pangangalap, transportasyon, pagkukulong, o pagtanggap ng isang tao para sa layunin ng prostitusyon, sapilitang paggawa, pang-aalipin, atbp.
Seksyon 4-A: Partikular na tumutuon sa pagsasabwatan upang gumawa ng trafficking.
Binagong Kodigo Penal (RPC):
Artikulo 144 (Public Inducement to Commit a Crime): Pinaparusahan ng artikulong ito ang sinumang pampublikong nag-uudyok sa iba na gumawa ng krimen.
Pagtugon sa Public Conspiracy:
Ang pagpaplano o pagtalakay sa mga gawain ng human trafficking o iligal na pangangalap sa isang pampublikong espasyo ay bumubuo ng pampublikong pagsasabwatan sa ilalim ng Artikulo 144.
Ang katibayan ng naturang pagpaplano ay maaaring may kasamang:
Bukas na mga talakayan: Pampublikong pinag-isipan ang mga plano para mag-recruit, maghatid, o magsamantala ng mga indibidwal para sa sapilitang paggawa, prostitusyon, o iba pang anyo ng human trafficking.
Pagbabahagi ng logistik: Tinatalakay ang mga paraan ng pagdadala ng mga biktima, pagkuha ng mga mapanlinlang na dokumento, o pagtukoy ng mga potensyal na target.
Pag-recruit ng mga kasabwat: Paghingi o paghikayat sa iba na sumali sa pamamaraang kriminal sa isang pampublikong lugar.
Pangunahing Punto: Katulad ng mga kaso ng terorismo, ang batas ng Pilipinas ay hindi nangangailangan ng aktwal na operasyon ng trafficking para maisampa ang mga singil.
Mga Potensyal na Parusa:
Pampublikong Inducement: Pagkakulong sa arresto mayor (1-6 na buwan).
Conspiracy to Commit Trafficking (Seksyon 4-A ng RA 9208):
Pagkakulong ng buhay (reclusion perpetua).
Magmulta ng Php500,000.00 hanggang Php1,000,000.00.</v>
      </c>
      <c r="F1970" s="2">
        <f t="shared" si="1"/>
        <v>5</v>
      </c>
      <c r="G1970" s="2"/>
      <c r="H1970" s="2"/>
      <c r="I1970" s="2"/>
      <c r="J1970" s="2"/>
      <c r="K1970" s="2"/>
      <c r="L1970" s="2"/>
      <c r="M1970" s="2"/>
      <c r="N1970" s="2"/>
      <c r="O1970" s="2"/>
      <c r="P1970" s="2"/>
      <c r="Q1970" s="2"/>
      <c r="R1970" s="2"/>
      <c r="S1970" s="2"/>
      <c r="T1970" s="2"/>
      <c r="U1970" s="2"/>
      <c r="V1970" s="2"/>
      <c r="W1970" s="2"/>
      <c r="X1970" s="2"/>
      <c r="Y1970" s="2"/>
      <c r="Z1970" s="2"/>
      <c r="AA1970" s="2"/>
    </row>
    <row r="1971">
      <c r="A1971" s="1" t="s">
        <v>4698</v>
      </c>
      <c r="B1971" s="1" t="s">
        <v>4969</v>
      </c>
      <c r="C1971" s="1" t="s">
        <v>4970</v>
      </c>
      <c r="D1971" s="2" t="str">
        <f>IFERROR(__xludf.DUMMYFUNCTION("GOOGLETRANSLATE(B1971, ""en"", ""TL"")"),"Anong mga legal na hakbang ang umiiral upang labanan ang mga paglabag sa kapaligiran sa antas ng kalye, tulad ng hindi tamang pagtatapon ng mga elektronikong basura sa pampublikong transportasyon?")</f>
        <v>Anong mga legal na hakbang ang umiiral upang labanan ang mga paglabag sa kapaligiran sa antas ng kalye, tulad ng hindi tamang pagtatapon ng mga elektronikong basura sa pampublikong transportasyon?</v>
      </c>
      <c r="E1971" s="2" t="str">
        <f>IFERROR(__xludf.DUMMYFUNCTION("GOOGLETRANSLATE(C1971, ""en"", ""TL"")"),"Sa Pilipinas, mayroong mga legal na hakbang upang matugunan ang mga paglabag sa kapaligiran sa antas ng kalye, partikular na tungkol sa hindi tamang pagtatapon ng mga elektronikong basura. Narito ang mga pangunahing regulasyon:
Republic Act No. 9003 (E"&amp;"cological Solid Waste Management Act of 2000):
Ang batas na ito ay nagtatatag ng isang komprehensibong programa sa pamamahala ng solidong ekolohikal na basura na may mga layunin tulad ng pangangalaga sa kalusugan ng publiko at sa kapaligiran, pagtataguyo"&amp;"d ng konserbasyon at pagbawi ng mapagkukunan, pagtatakda ng mga alituntunin para sa pamamahala ng basura, at pagsasama ng edukasyon sa pamamahala ng basura sa pormal at di-pormal na kurikulum. Hinihikayat nito ang partisipasyon ng mga local government uni"&amp;"ts, NGOs, pribadong sektor, at publiko sa mga hakbangin sa pamamahala ng basura.
Republic Act No. 6969 (Toxic Substances and Hazardous and Nuclear Waste Control Act):
Pinagtibay noong 1990, ang batas na ito ay tumutugon sa mga mapanganib na basura, ka"&amp;"bilang ang mga elektronikong basura (e-waste). Nagbibigay ito ng mga regulasyon para sa wastong paghawak, pag-iimbak, transportasyon, at pagtatapon ng mga nakakalason na sangkap at mapanganib na basura.
Pinagsamang Balangkas sa Pagpapahusay ng Kalidad "&amp;"ng Hangin at Plano ng Aksyon sa Pagkontrol sa Kalidad ng Hangin (RA No. 8749):
Bagama't hindi partikular na nagta-target ng e-waste, ang batas na ito ay nagtatatag ng mga alituntunin para sa pamamahala at pagkontrol sa polusyon sa hangin. Nilalayon niton"&amp;"g pahusayin ang kalidad ng hangin sa pamamagitan ng multi-sectoral approach.
Mga Lokal na Ordenansa at Regulasyon:
Maraming local government units (LGUs) ang may sariling ordinansa na may kinalaman sa waste management, kasama na ang mga parusa sa hind"&amp;"i tamang pagtatapon. Maaaring mag-iba ang mga regulasyong ito sa mga lungsod o munisipalidad.
Environmental Management Bureau (EMB):
Pinangangasiwaan ng EMB ang mga regulasyon at pagpapatupad ng kapaligiran, nakikipagtulungan sa mga LGU, NGO, at iba p"&amp;"ang stakeholder upang ipatupad ang mga patakaran sa pamamahala ng basura.
Mahalagang tiyakin ang wastong pagtatapon ng basura upang mabawasan ang mga negatibong epekto sa kapaligiran at mga panganib sa kalusugan. Ang pakikipagtulungan ng mga mamamayan,"&amp;" negosyo, at awtoridad ay mahalaga para sa pagsulong ng responsableng mga kasanayan sa pamamahala ng basura sa mga pampublikong espasyo.")</f>
        <v>Sa Pilipinas, mayroong mga legal na hakbang upang matugunan ang mga paglabag sa kapaligiran sa antas ng kalye, partikular na tungkol sa hindi tamang pagtatapon ng mga elektronikong basura. Narito ang mga pangunahing regulasyon:
Republic Act No. 9003 (Ecological Solid Waste Management Act of 2000):
Ang batas na ito ay nagtatatag ng isang komprehensibong programa sa pamamahala ng solidong ekolohikal na basura na may mga layunin tulad ng pangangalaga sa kalusugan ng publiko at sa kapaligiran, pagtataguyod ng konserbasyon at pagbawi ng mapagkukunan, pagtatakda ng mga alituntunin para sa pamamahala ng basura, at pagsasama ng edukasyon sa pamamahala ng basura sa pormal at di-pormal na kurikulum. Hinihikayat nito ang partisipasyon ng mga local government units, NGOs, pribadong sektor, at publiko sa mga hakbangin sa pamamahala ng basura.
Republic Act No. 6969 (Toxic Substances and Hazardous and Nuclear Waste Control Act):
Pinagtibay noong 1990, ang batas na ito ay tumutugon sa mga mapanganib na basura, kabilang ang mga elektronikong basura (e-waste). Nagbibigay ito ng mga regulasyon para sa wastong paghawak, pag-iimbak, transportasyon, at pagtatapon ng mga nakakalason na sangkap at mapanganib na basura.
Pinagsamang Balangkas sa Pagpapahusay ng Kalidad ng Hangin at Plano ng Aksyon sa Pagkontrol sa Kalidad ng Hangin (RA No. 8749):
Bagama't hindi partikular na nagta-target ng e-waste, ang batas na ito ay nagtatatag ng mga alituntunin para sa pamamahala at pagkontrol sa polusyon sa hangin. Nilalayon nitong pahusayin ang kalidad ng hangin sa pamamagitan ng multi-sectoral approach.
Mga Lokal na Ordenansa at Regulasyon:
Maraming local government units (LGUs) ang may sariling ordinansa na may kinalaman sa waste management, kasama na ang mga parusa sa hindi tamang pagtatapon. Maaaring mag-iba ang mga regulasyong ito sa mga lungsod o munisipalidad.
Environmental Management Bureau (EMB):
Pinangangasiwaan ng EMB ang mga regulasyon at pagpapatupad ng kapaligiran, nakikipagtulungan sa mga LGU, NGO, at iba pang stakeholder upang ipatupad ang mga patakaran sa pamamahala ng basura.
Mahalagang tiyakin ang wastong pagtatapon ng basura upang mabawasan ang mga negatibong epekto sa kapaligiran at mga panganib sa kalusugan. Ang pakikipagtulungan ng mga mamamayan, negosyo, at awtoridad ay mahalaga para sa pagsulong ng responsableng mga kasanayan sa pamamahala ng basura sa mga pampublikong espasyo.</v>
      </c>
      <c r="F1971" s="2">
        <f t="shared" si="1"/>
        <v>0</v>
      </c>
      <c r="G1971" s="2"/>
      <c r="H1971" s="2"/>
      <c r="I1971" s="2"/>
      <c r="J1971" s="2"/>
      <c r="K1971" s="2"/>
      <c r="L1971" s="2"/>
      <c r="M1971" s="2"/>
      <c r="N1971" s="2"/>
      <c r="O1971" s="2"/>
      <c r="P1971" s="2"/>
      <c r="Q1971" s="2"/>
      <c r="R1971" s="2"/>
      <c r="S1971" s="2"/>
      <c r="T1971" s="2"/>
      <c r="U1971" s="2"/>
      <c r="V1971" s="2"/>
      <c r="W1971" s="2"/>
      <c r="X1971" s="2"/>
      <c r="Y1971" s="2"/>
      <c r="Z1971" s="2"/>
      <c r="AA1971" s="2"/>
    </row>
    <row r="1972">
      <c r="A1972" s="1" t="s">
        <v>4698</v>
      </c>
      <c r="B1972" s="1" t="s">
        <v>4971</v>
      </c>
      <c r="C1972" s="1" t="s">
        <v>4972</v>
      </c>
      <c r="D1972" s="2" t="str">
        <f>IFERROR(__xludf.DUMMYFUNCTION("GOOGLETRANSLATE(B1972, ""en"", ""TL"")"),"Sa ilalim ng anong mga pangyayari ang isang tao ay maaaring makasuhan ng public conspiracy to commit election-related offenses in public markets?")</f>
        <v>Sa ilalim ng anong mga pangyayari ang isang tao ay maaaring makasuhan ng public conspiracy to commit election-related offenses in public markets?</v>
      </c>
      <c r="E1972" s="2" t="str">
        <f>IFERROR(__xludf.DUMMYFUNCTION("GOOGLETRANSLATE(C1972, ""en"", ""TL"")"),"Sa Pilipinas, maraming batas ang namamahala sa mga paglabag na may kaugnayan sa halalan, at ang pagsali sa pampublikong pagsasabwatan upang gumawa ng mga ganitong pagkakasala sa mga pampublikong pamilihan ay malamang na lumalabag sa ilang mga probisyon ng"&amp;" mga batas na ito. Ang ilan sa mga pangunahing batas na maaaring labagin ay kinabibilangan ng:
Omnibus Election Code (Batas Pambansa Blg. 881): Ang batas na ito ay namamahala sa lahat ng aspeto ng halalan sa Pilipinas. Ang mga paglabag na may kaugnayan s"&amp;"a pagbili ng boto, pamimilit, iligal na pangangampanya, pagpapakalat ng maling impormasyon, pakikialam sa mga materyales sa halalan, pagharang sa proseso ng elektoral, at pagsasabwatan sa paggawa ng mga naturang pagkakasala ay saklaw sa ilalim ng kodigong"&amp;" ito.
Batas Republika Blg. 7166: Ang batas na ito ay nagtatadhana para sa magkakasabay na pambansa at lokal na halalan at tinitiyak ang pagtutugma ng mga termino ng panunungkulan ng mga lokal na opisyal. Maaaring saklawin sa ilalim ng batas na ito ang mg"&amp;"a paglabag na may kaugnayan sa mga iskedyul ng halalan at pagsasagawa ng magkasabay na halalan.
Republic Act No. 9006 (Fair Election Act): Kinokontrol ng batas na ito ang pagsasagawa ng mga kampanya sa halalan, kabilang ang paggamit ng mga materyales sa "&amp;"propaganda, mga advertisement sa kampanya, at ang pagbabawal sa ilang uri ng propaganda sa halalan. Ang mga paglabag na nauugnay sa iligal na pangangampanya at pagpapakalat ng maling impormasyon sa panahon ng mga kampanya sa halalan ay sasailalim sa batas"&amp;" na ito.
Republic Act No. 9369 (Automated Elections Law): Isinasaad ng batas na ito ang paggamit ng mga awtomatikong sistema ng halalan sa Pilipinas. Maaaring saklawin sa ilalim ng batas na ito ang mga paglabag na may kaugnayan sa pakikialam sa mga kagam"&amp;"itan o materyales sa halalan sa mga lugar kung saan isinasagawa ang awtomatikong halalan.
Republic Act No. 10175 (Cybercrime Prevention Act of 2012): Ang batas na ito ay nagpaparusa sa iba't ibang anyo ng cybercrime, kabilang ang mga online na paglabag n"&amp;"a may kaugnayan sa halalan tulad ng pagkalat ng maling impormasyon o pagsali sa online na propaganda. Ang mga paglabag na nauugnay sa pagkalat ng maling impormasyon o propaganda sa pamamagitan ng mga digital na platform ay maaaring saklawin sa ilalim ng b"&amp;"atas na ito.")</f>
        <v>Sa Pilipinas, maraming batas ang namamahala sa mga paglabag na may kaugnayan sa halalan, at ang pagsali sa pampublikong pagsasabwatan upang gumawa ng mga ganitong pagkakasala sa mga pampublikong pamilihan ay malamang na lumalabag sa ilang mga probisyon ng mga batas na ito. Ang ilan sa mga pangunahing batas na maaaring labagin ay kinabibilangan ng:
Omnibus Election Code (Batas Pambansa Blg. 881): Ang batas na ito ay namamahala sa lahat ng aspeto ng halalan sa Pilipinas. Ang mga paglabag na may kaugnayan sa pagbili ng boto, pamimilit, iligal na pangangampanya, pagpapakalat ng maling impormasyon, pakikialam sa mga materyales sa halalan, pagharang sa proseso ng elektoral, at pagsasabwatan sa paggawa ng mga naturang pagkakasala ay saklaw sa ilalim ng kodigong ito.
Batas Republika Blg. 7166: Ang batas na ito ay nagtatadhana para sa magkakasabay na pambansa at lokal na halalan at tinitiyak ang pagtutugma ng mga termino ng panunungkulan ng mga lokal na opisyal. Maaaring saklawin sa ilalim ng batas na ito ang mga paglabag na may kaugnayan sa mga iskedyul ng halalan at pagsasagawa ng magkasabay na halalan.
Republic Act No. 9006 (Fair Election Act): Kinokontrol ng batas na ito ang pagsasagawa ng mga kampanya sa halalan, kabilang ang paggamit ng mga materyales sa propaganda, mga advertisement sa kampanya, at ang pagbabawal sa ilang uri ng propaganda sa halalan. Ang mga paglabag na nauugnay sa iligal na pangangampanya at pagpapakalat ng maling impormasyon sa panahon ng mga kampanya sa halalan ay sasailalim sa batas na ito.
Republic Act No. 9369 (Automated Elections Law): Isinasaad ng batas na ito ang paggamit ng mga awtomatikong sistema ng halalan sa Pilipinas. Maaaring saklawin sa ilalim ng batas na ito ang mga paglabag na may kaugnayan sa pakikialam sa mga kagamitan o materyales sa halalan sa mga lugar kung saan isinasagawa ang awtomatikong halalan.
Republic Act No. 10175 (Cybercrime Prevention Act of 2012): Ang batas na ito ay nagpaparusa sa iba't ibang anyo ng cybercrime, kabilang ang mga online na paglabag na may kaugnayan sa halalan tulad ng pagkalat ng maling impormasyon o pagsali sa online na propaganda. Ang mga paglabag na nauugnay sa pagkalat ng maling impormasyon o propaganda sa pamamagitan ng mga digital na platform ay maaaring saklawin sa ilalim ng batas na ito.</v>
      </c>
      <c r="F1972" s="2">
        <f t="shared" si="1"/>
        <v>0</v>
      </c>
      <c r="G1972" s="2"/>
      <c r="H1972" s="2"/>
      <c r="I1972" s="2"/>
      <c r="J1972" s="2"/>
      <c r="K1972" s="2"/>
      <c r="L1972" s="2"/>
      <c r="M1972" s="2"/>
      <c r="N1972" s="2"/>
      <c r="O1972" s="2"/>
      <c r="P1972" s="2"/>
      <c r="Q1972" s="2"/>
      <c r="R1972" s="2"/>
      <c r="S1972" s="2"/>
      <c r="T1972" s="2"/>
      <c r="U1972" s="2"/>
      <c r="V1972" s="2"/>
      <c r="W1972" s="2"/>
      <c r="X1972" s="2"/>
      <c r="Y1972" s="2"/>
      <c r="Z1972" s="2"/>
      <c r="AA1972" s="2"/>
    </row>
    <row r="1973">
      <c r="A1973" s="1" t="s">
        <v>4698</v>
      </c>
      <c r="B1973" s="1" t="s">
        <v>4973</v>
      </c>
      <c r="C1973" s="1" t="s">
        <v>4974</v>
      </c>
      <c r="D1973" s="2" t="str">
        <f>IFERROR(__xludf.DUMMYFUNCTION("GOOGLETRANSLATE(B1973, ""en"", ""TL"")"),"Paano tinutugunan ng batas ng Pilipinas ang mga insidente ng pag-atake o panliligalig sa antas ng kalye batay sa kapansanan o pisikal na kondisyon sa mga pampublikong espasyo?")</f>
        <v>Paano tinutugunan ng batas ng Pilipinas ang mga insidente ng pag-atake o panliligalig sa antas ng kalye batay sa kapansanan o pisikal na kondisyon sa mga pampublikong espasyo?</v>
      </c>
      <c r="E1973" s="2" t="str">
        <f>IFERROR(__xludf.DUMMYFUNCTION("GOOGLETRANSLATE(C1973, ""en"", ""TL"")"),"Sa Pilipinas, ang Safe Spaces Act (Republic Act No. 11313) ay tumutugon sa mga insidente ng pag-atake sa antas ng kalye o panliligalig sa mga pampublikong espasyo, kabilang ang mga nakabatay sa kapansanan o pisikal na kondisyon. Narito ang mga pangunahing"&amp;" punto:
Kahulugan ng mga Termino:
- Catcalling: Mga hindi gustong pananalita na nakadirekta sa isang tao, kadalasang kinasasangkutan ng pag-whist ng lobo at mga mapanirang komento batay sa kasarian, oryentasyong sekswal, o iba pang salik.
- Online na"&amp;" sekswal na panliligalig na nakabatay sa kasarian: Pag-uugaling naka-target sa isang partikular na indibidwal online, na nagdudulot ng mental o emosyonal na pagkabalisa, kabilang ang mga hindi gustong sekswal na pananalita, pagbabanta, cyberstalking, at o"&amp;"nline na pagnanakaw ng pagkakakilanlan.
- Mga pampublikong espasyo: Sumasaklaw sa mga kalye, eskinita, parke, paaralan, gusali, mall, bar, restaurant, terminal ng transportasyon, opisina ng gobyerno, at lugar ng libangan.
Patakaran at Layunin:
- Itin"&amp;"ataguyod ng batas ang dignidad ng bawat indibidwal at ginagarantiyahan ang buong paggalang sa mga karapatang pantao.
- Kinikilala nito ang mahalagang papel ng kababaihan sa pagbuo ng bansa at tinitiyak ang pagkakapantay-pantay sa harap ng batas para sa l"&amp;"ahat ng kasarian.
- Naglalayong magbigay ng pagkakapantay-pantay, seguridad, at kaligtasan sa parehong pribado at pampublikong espasyo.
Mga Ipinagbabawal na Gawa:
- Ang Safe Spaces Act ay ginagawang kriminal ang catcalling, wolf-whistling, at iba pan"&amp;"g anyo ng pampublikong sekswal na panliligalig.
- Maaaring makulong ng hanggang anim na buwan at multa ng hanggang 500,000 pesos ang mga may kasalanan ng naturang gawain.
Mga Panukala sa Proteksyon:
- Nilalayon ng batas na pasiglahin ang mas ligtas n"&amp;"a mga pampublikong espasyo sa pamamagitan ng pagpaparusa sa panliligalig at pagtataguyod ng paggalang sa lahat ng indibidwal.
- Binibigyang-diin nito ang kahalagahan ng pagkilala at paggalang sa pagkakakilanlan at pagpapahayag ng kasarian.
Mahalagang "&amp;"tandaan na ang batas na ito ay nalalapat sa lahat, anuman ang kanilang kapansanan o pisikal na kondisyon, na naglalayong tiyakin na ang mga pampublikong espasyo ay mananatiling ligtas at magalang para sa lahat ng mga mamamayan.")</f>
        <v>Sa Pilipinas, ang Safe Spaces Act (Republic Act No. 11313) ay tumutugon sa mga insidente ng pag-atake sa antas ng kalye o panliligalig sa mga pampublikong espasyo, kabilang ang mga nakabatay sa kapansanan o pisikal na kondisyon. Narito ang mga pangunahing punto:
Kahulugan ng mga Termino:
- Catcalling: Mga hindi gustong pananalita na nakadirekta sa isang tao, kadalasang kinasasangkutan ng pag-whist ng lobo at mga mapanirang komento batay sa kasarian, oryentasyong sekswal, o iba pang salik.
- Online na sekswal na panliligalig na nakabatay sa kasarian: Pag-uugaling naka-target sa isang partikular na indibidwal online, na nagdudulot ng mental o emosyonal na pagkabalisa, kabilang ang mga hindi gustong sekswal na pananalita, pagbabanta, cyberstalking, at online na pagnanakaw ng pagkakakilanlan.
- Mga pampublikong espasyo: Sumasaklaw sa mga kalye, eskinita, parke, paaralan, gusali, mall, bar, restaurant, terminal ng transportasyon, opisina ng gobyerno, at lugar ng libangan.
Patakaran at Layunin:
- Itinataguyod ng batas ang dignidad ng bawat indibidwal at ginagarantiyahan ang buong paggalang sa mga karapatang pantao.
- Kinikilala nito ang mahalagang papel ng kababaihan sa pagbuo ng bansa at tinitiyak ang pagkakapantay-pantay sa harap ng batas para sa lahat ng kasarian.
- Naglalayong magbigay ng pagkakapantay-pantay, seguridad, at kaligtasan sa parehong pribado at pampublikong espasyo.
Mga Ipinagbabawal na Gawa:
- Ang Safe Spaces Act ay ginagawang kriminal ang catcalling, wolf-whistling, at iba pang anyo ng pampublikong sekswal na panliligalig.
- Maaaring makulong ng hanggang anim na buwan at multa ng hanggang 500,000 pesos ang mga may kasalanan ng naturang gawain.
Mga Panukala sa Proteksyon:
- Nilalayon ng batas na pasiglahin ang mas ligtas na mga pampublikong espasyo sa pamamagitan ng pagpaparusa sa panliligalig at pagtataguyod ng paggalang sa lahat ng indibidwal.
- Binibigyang-diin nito ang kahalagahan ng pagkilala at paggalang sa pagkakakilanlan at pagpapahayag ng kasarian.
Mahalagang tandaan na ang batas na ito ay nalalapat sa lahat, anuman ang kanilang kapansanan o pisikal na kondisyon, na naglalayong tiyakin na ang mga pampublikong espasyo ay mananatiling ligtas at magalang para sa lahat ng mga mamamayan.</v>
      </c>
      <c r="F1973" s="2">
        <f t="shared" si="1"/>
        <v>0</v>
      </c>
      <c r="G1973" s="2"/>
      <c r="H1973" s="2"/>
      <c r="I1973" s="2"/>
      <c r="J1973" s="2"/>
      <c r="K1973" s="2"/>
      <c r="L1973" s="2"/>
      <c r="M1973" s="2"/>
      <c r="N1973" s="2"/>
      <c r="O1973" s="2"/>
      <c r="P1973" s="2"/>
      <c r="Q1973" s="2"/>
      <c r="R1973" s="2"/>
      <c r="S1973" s="2"/>
      <c r="T1973" s="2"/>
      <c r="U1973" s="2"/>
      <c r="V1973" s="2"/>
      <c r="W1973" s="2"/>
      <c r="X1973" s="2"/>
      <c r="Y1973" s="2"/>
      <c r="Z1973" s="2"/>
      <c r="AA1973" s="2"/>
    </row>
    <row r="1974">
      <c r="A1974" s="1" t="s">
        <v>4698</v>
      </c>
      <c r="B1974" s="1" t="s">
        <v>4923</v>
      </c>
      <c r="C1974" s="1" t="s">
        <v>4975</v>
      </c>
      <c r="D1974" s="2" t="str">
        <f>IFERROR(__xludf.DUMMYFUNCTION("GOOGLETRANSLATE(B1974, ""en"", ""TL"")"),"Anong mga parusa ang naaangkop para sa pagsali sa hindi awtorisadong pagbebenta o pamamahagi ng mga ipinagbabawal o malaswang materyales sa pampublikong transportasyon?")</f>
        <v>Anong mga parusa ang naaangkop para sa pagsali sa hindi awtorisadong pagbebenta o pamamahagi ng mga ipinagbabawal o malaswang materyales sa pampublikong transportasyon?</v>
      </c>
      <c r="E1974" s="2" t="str">
        <f>IFERROR(__xludf.DUMMYFUNCTION("GOOGLETRANSLATE(C1974, ""en"", ""TL"")"),"1. Pambansang Antas:
Mga Batas sa Kalaswaan: Karamihan sa mga bansa ay may mga batas laban sa kalaswaan. Sa Pilipinas, ito ay nasa ilalim ng Republic Act No. 9994, na kilala rin bilang Anti-Trafficking in Persons Act of 2010. Ipinagbabawal ng batas na ito"&amp;" ang produksyon, pag-aangkat, pamamahagi, at pagkakaroon ng mga malalaswang materyales, kabilang ang:
Mga materyal na naglalarawan ng mga sekswal na gawain sa paraang lumalabag sa umiiral na pamantayan ng komunidad.
Materyal na nagsasamantala, nang-aabuso"&amp;", o naglalagay ng panganib sa mga bata.
Mga Parusa: Ang mga paglabag sa Anti-Trafficking in Persons Act ay maaaring magresulta sa:
Pagkakulong ng 6 hanggang 12 taon para sa mga unang beses na nagkasala.
Mas mataas na parusa para sa mga kasunod na pagkakas"&amp;"ala.
2. Lokal na Antas:
Ang mga awtoridad sa pampublikong transportasyon ay kadalasang may sariling mga regulasyon tungkol sa pag-uugali ng pasahero at mga ipinagbabawal na bagay. Ang mga regulasyong ito ay maaaring magpataw ng:
Mga multa: Mga multa para "&amp;"sa hindi maayos na pag-uugali o pag-istorbo sa ibang mga pasahero.
Pagkumpiska ng mga materyales: Maaaring kumpiskahin ng mga awtoridad ang anumang ipinagbabawal na materyales na ibinebenta o ipinamamahagi.
Pag-alis mula sa pampublikong sasakyan: Sa malal"&amp;"ang kaso, maaaring alisin ang mga indibidwal sa sasakyan.
Bukod pa rito:
Pampublikong Istorbo: Ang pagsali sa mga naturang aktibidad ay maaari ding ituring na isang pampublikong istorbo, na umaakit ng karagdagang mga parusa.")</f>
        <v>1. Pambansang Antas:
Mga Batas sa Kalaswaan: Karamihan sa mga bansa ay may mga batas laban sa kalaswaan. Sa Pilipinas, ito ay nasa ilalim ng Republic Act No. 9994, na kilala rin bilang Anti-Trafficking in Persons Act of 2010. Ipinagbabawal ng batas na ito ang produksyon, pag-aangkat, pamamahagi, at pagkakaroon ng mga malalaswang materyales, kabilang ang:
Mga materyal na naglalarawan ng mga sekswal na gawain sa paraang lumalabag sa umiiral na pamantayan ng komunidad.
Materyal na nagsasamantala, nang-aabuso, o naglalagay ng panganib sa mga bata.
Mga Parusa: Ang mga paglabag sa Anti-Trafficking in Persons Act ay maaaring magresulta sa:
Pagkakulong ng 6 hanggang 12 taon para sa mga unang beses na nagkasala.
Mas mataas na parusa para sa mga kasunod na pagkakasala.
2. Lokal na Antas:
Ang mga awtoridad sa pampublikong transportasyon ay kadalasang may sariling mga regulasyon tungkol sa pag-uugali ng pasahero at mga ipinagbabawal na bagay. Ang mga regulasyong ito ay maaaring magpataw ng:
Mga multa: Mga multa para sa hindi maayos na pag-uugali o pag-istorbo sa ibang mga pasahero.
Pagkumpiska ng mga materyales: Maaaring kumpiskahin ng mga awtoridad ang anumang ipinagbabawal na materyales na ibinebenta o ipinamamahagi.
Pag-alis mula sa pampublikong sasakyan: Sa malalang kaso, maaaring alisin ang mga indibidwal sa sasakyan.
Bukod pa rito:
Pampublikong Istorbo: Ang pagsali sa mga naturang aktibidad ay maaari ding ituring na isang pampublikong istorbo, na umaakit ng karagdagang mga parusa.</v>
      </c>
      <c r="F1974" s="2">
        <f t="shared" si="1"/>
        <v>0</v>
      </c>
      <c r="G1974" s="2"/>
      <c r="H1974" s="2"/>
      <c r="I1974" s="2"/>
      <c r="J1974" s="2"/>
      <c r="K1974" s="2"/>
      <c r="L1974" s="2"/>
      <c r="M1974" s="2"/>
      <c r="N1974" s="2"/>
      <c r="O1974" s="2"/>
      <c r="P1974" s="2"/>
      <c r="Q1974" s="2"/>
      <c r="R1974" s="2"/>
      <c r="S1974" s="2"/>
      <c r="T1974" s="2"/>
      <c r="U1974" s="2"/>
      <c r="V1974" s="2"/>
      <c r="W1974" s="2"/>
      <c r="X1974" s="2"/>
      <c r="Y1974" s="2"/>
      <c r="Z1974" s="2"/>
      <c r="AA1974" s="2"/>
    </row>
    <row r="1975">
      <c r="A1975" s="1" t="s">
        <v>4698</v>
      </c>
      <c r="B1975" s="1" t="s">
        <v>4937</v>
      </c>
      <c r="C1975" s="1" t="s">
        <v>4976</v>
      </c>
      <c r="D1975" s="2" t="str">
        <f>IFERROR(__xludf.DUMMYFUNCTION("GOOGLETRANSLATE(B1975, ""en"", ""TL"")"),"Anong mga legal na probisyon ang kumokontrol sa pagmamay-ari at paggamit ng mga hindi awtorisadong kagamitan sa pagsubaybay sa mga pampublikong espasyo malapit sa mga cultural heritage site?")</f>
        <v>Anong mga legal na probisyon ang kumokontrol sa pagmamay-ari at paggamit ng mga hindi awtorisadong kagamitan sa pagsubaybay sa mga pampublikong espasyo malapit sa mga cultural heritage site?</v>
      </c>
      <c r="E1975" s="2" t="str">
        <f>IFERROR(__xludf.DUMMYFUNCTION("GOOGLETRANSLATE(C1975, ""en"", ""TL"")"),"Sa Pilipinas, umiiral ang mga legal na probisyon upang pangalagaan ang mga cultural heritage sites at i-regulate ang paggamit ng mga surveillance device sa mga pampublikong espasyo. Tuklasin natin ang mga probisyong ito:
1. **Republic Act No. 10066 (Natio"&amp;"nal Cultural Heritage Act of 2009)**: Ang batas na ito ay naglalayong protektahan at pangalagaan ang pambansang pamana ng kultura. Pinalalakas nito ang National Commission for Culture and the Arts (NCCA) at ang mga kaakibat nitong ahensyang pangkultura. K"&amp;"abilang sa mga pangunahing punto ang:
- Deklarasyon ng mga Prinsipyo at Patakaran: Binibigyang-diin ang pagpapaunlad ng kulturang Pilipino, pagpapanatili ng makasaysayang at kultural na pamana, at pagsasaayos ng disposisyon ng mga kayamanan ng kultura. It"&amp;"inataguyod din nito ang pagkakaisa sa pagkakaiba-iba at malayang pagpapahayag ng masining.
- Mga Layunin: Protektahan, pangalagaan, at itaguyod ang pamana ng kultura; magtatag at palakasin ang mga institusyong pangkultura; tiyakin ang propesyonal na pag-u"&amp;"nlad at kagalingan ng mga manggagawang pangkultura.
- Pinagsanib na Diskarte: Ang mga pagsusumikap sa konserbasyon ay pinuputol sa mga disiplina at teknolohiya.
- Stewardship: Pangangasiwa ng mga mapagkukunan ng pamana para sa kasalukuyan at hinaharap na "&amp;"henerasyon.
2. **Republic Act No. 11961 (Amendment to RA 10066)**: Ang pag-amyenda na ito ay higit na nagpapalakas sa pangangalaga at proteksyon ng pamana ng kultura ng Pilipinas. Ipinakikilala nito ang pagmamapa ng kultura at pinahuhusay ang mga programa"&amp;" sa edukasyon sa pamana ng kultura.
3. **Republic Act No. 9995 (Anti-Photo and Video Voyeurism Act of 2010)**: Tinutugunan ng batas na ito ang mga alalahanin sa privacy na may kaugnayan sa mga device sa pagsubaybay. Ipinagbabawal nito ang pag-record o pag"&amp;"kuha ng photo/video coverage ng pribadong lugar ng isang tao nang walang pahintulot, kahit na binigyan ng paunang pahintulot. Ang mga lumalabag ay maaaring managot para sa photo o video voyeurism.
Ang mga legal na hakbang na ito ay naglalayong pangalagaan"&amp;" ang mga cultural heritage site at protektahan ang mga karapatan sa privacy ng mga indibidwal sa mga pampublikong espasyo, na nag-aambag sa pangkalahatang kagalingan at yaman ng kultura ng Pilipinas.")</f>
        <v>Sa Pilipinas, umiiral ang mga legal na probisyon upang pangalagaan ang mga cultural heritage sites at i-regulate ang paggamit ng mga surveillance device sa mga pampublikong espasyo. Tuklasin natin ang mga probisyong ito:
1. **Republic Act No. 10066 (National Cultural Heritage Act of 2009)**: Ang batas na ito ay naglalayong protektahan at pangalagaan ang pambansang pamana ng kultura. Pinalalakas nito ang National Commission for Culture and the Arts (NCCA) at ang mga kaakibat nitong ahensyang pangkultura. Kabilang sa mga pangunahing punto ang:
- Deklarasyon ng mga Prinsipyo at Patakaran: Binibigyang-diin ang pagpapaunlad ng kulturang Pilipino, pagpapanatili ng makasaysayang at kultural na pamana, at pagsasaayos ng disposisyon ng mga kayamanan ng kultura. Itinataguyod din nito ang pagkakaisa sa pagkakaiba-iba at malayang pagpapahayag ng masining.
- Mga Layunin: Protektahan, pangalagaan, at itaguyod ang pamana ng kultura; magtatag at palakasin ang mga institusyong pangkultura; tiyakin ang propesyonal na pag-unlad at kagalingan ng mga manggagawang pangkultura.
- Pinagsanib na Diskarte: Ang mga pagsusumikap sa konserbasyon ay pinuputol sa mga disiplina at teknolohiya.
- Stewardship: Pangangasiwa ng mga mapagkukunan ng pamana para sa kasalukuyan at hinaharap na henerasyon.
2. **Republic Act No. 11961 (Amendment to RA 10066)**: Ang pag-amyenda na ito ay higit na nagpapalakas sa pangangalaga at proteksyon ng pamana ng kultura ng Pilipinas. Ipinakikilala nito ang pagmamapa ng kultura at pinahuhusay ang mga programa sa edukasyon sa pamana ng kultura.
3. **Republic Act No. 9995 (Anti-Photo and Video Voyeurism Act of 2010)**: Tinutugunan ng batas na ito ang mga alalahanin sa privacy na may kaugnayan sa mga device sa pagsubaybay. Ipinagbabawal nito ang pag-record o pagkuha ng photo/video coverage ng pribadong lugar ng isang tao nang walang pahintulot, kahit na binigyan ng paunang pahintulot. Ang mga lumalabag ay maaaring managot para sa photo o video voyeurism.
Ang mga legal na hakbang na ito ay naglalayong pangalagaan ang mga cultural heritage site at protektahan ang mga karapatan sa privacy ng mga indibidwal sa mga pampublikong espasyo, na nag-aambag sa pangkalahatang kagalingan at yaman ng kultura ng Pilipinas.</v>
      </c>
      <c r="F1975" s="2">
        <f t="shared" si="1"/>
        <v>0</v>
      </c>
      <c r="G1975" s="2"/>
      <c r="H1975" s="2"/>
      <c r="I1975" s="2"/>
      <c r="J1975" s="2"/>
      <c r="K1975" s="2"/>
      <c r="L1975" s="2"/>
      <c r="M1975" s="2"/>
      <c r="N1975" s="2"/>
      <c r="O1975" s="2"/>
      <c r="P1975" s="2"/>
      <c r="Q1975" s="2"/>
      <c r="R1975" s="2"/>
      <c r="S1975" s="2"/>
      <c r="T1975" s="2"/>
      <c r="U1975" s="2"/>
      <c r="V1975" s="2"/>
      <c r="W1975" s="2"/>
      <c r="X1975" s="2"/>
      <c r="Y1975" s="2"/>
      <c r="Z1975" s="2"/>
      <c r="AA1975" s="2"/>
    </row>
    <row r="1976">
      <c r="A1976" s="1" t="s">
        <v>4698</v>
      </c>
      <c r="B1976" s="1" t="s">
        <v>4899</v>
      </c>
      <c r="C1976" s="1" t="s">
        <v>4977</v>
      </c>
      <c r="D1976" s="2" t="str">
        <f>IFERROR(__xludf.DUMMYFUNCTION("GOOGLETRANSLATE(B1976, ""en"", ""TL"")"),"Paano tinutugunan sa ilalim ng batas ng Pilipinas ang krimen ng pampublikong pagsasabwatan upang gumawa ng mga online scam o cyber fraud?")</f>
        <v>Paano tinutugunan sa ilalim ng batas ng Pilipinas ang krimen ng pampublikong pagsasabwatan upang gumawa ng mga online scam o cyber fraud?</v>
      </c>
      <c r="E1976" s="2" t="str">
        <f>IFERROR(__xludf.DUMMYFUNCTION("GOOGLETRANSLATE(C1976, ""en"", ""TL"")"),"Tinutugunan ng Pilipinas ang pampublikong pagsasabwatan upang gumawa ng mga online scam o cyber fraud sa pamamagitan ng kumbinasyon ng mga umiiral na batas:
Republic Act No. 10175 o ang Cybercrime Prevention Act of 2012: Ang pangunahing batas na ito ay di"&amp;"rektang tumutugon sa online na pandaraya at mga kaugnay na aktibidad.
Seksyon 4(a)(5): Sinasaklaw ang ""Conspiracy to commit cybercrime"" na nalalapat sa mga kasunduan na gawin ang alinman sa mga cybercrime na tinukoy sa ilalim ng batas. Kabilang dito ang"&amp;":
Ilegal na pag-access sa mga computer system
Panghihimasok sa data
Panghihimasok ng system
Maling paggamit ng data ng computer
Cyber-squatting
Pagnanakaw ng pagkakakilanlan na may kaugnayan sa computer
Artikulo 8 ng Revised Penal Code (RPC): Ito ay tumat"&amp;"alakay sa krimen ng ""Conspiracy"" sa pangkalahatan.
Artikulo 8, Talata 1: Nagsasaad na ""ang pagsasabwatan upang gumawa ng krimen ay mapaparusahan ng parusang susunod na mas mababa kaysa sa ibinigay para sa krimen mismo.""")</f>
        <v>Tinutugunan ng Pilipinas ang pampublikong pagsasabwatan upang gumawa ng mga online scam o cyber fraud sa pamamagitan ng kumbinasyon ng mga umiiral na batas:
Republic Act No. 10175 o ang Cybercrime Prevention Act of 2012: Ang pangunahing batas na ito ay direktang tumutugon sa online na pandaraya at mga kaugnay na aktibidad.
Seksyon 4(a)(5): Sinasaklaw ang "Conspiracy to commit cybercrime" na nalalapat sa mga kasunduan na gawin ang alinman sa mga cybercrime na tinukoy sa ilalim ng batas. Kabilang dito ang:
Ilegal na pag-access sa mga computer system
Panghihimasok sa data
Panghihimasok ng system
Maling paggamit ng data ng computer
Cyber-squatting
Pagnanakaw ng pagkakakilanlan na may kaugnayan sa computer
Artikulo 8 ng Revised Penal Code (RPC): Ito ay tumatalakay sa krimen ng "Conspiracy" sa pangkalahatan.
Artikulo 8, Talata 1: Nagsasaad na "ang pagsasabwatan upang gumawa ng krimen ay mapaparusahan ng parusang susunod na mas mababa kaysa sa ibinigay para sa krimen mismo."</v>
      </c>
      <c r="F1976" s="2">
        <f t="shared" si="1"/>
        <v>3</v>
      </c>
      <c r="G1976" s="2"/>
      <c r="H1976" s="2"/>
      <c r="I1976" s="2"/>
      <c r="J1976" s="2"/>
      <c r="K1976" s="2"/>
      <c r="L1976" s="2"/>
      <c r="M1976" s="2"/>
      <c r="N1976" s="2"/>
      <c r="O1976" s="2"/>
      <c r="P1976" s="2"/>
      <c r="Q1976" s="2"/>
      <c r="R1976" s="2"/>
      <c r="S1976" s="2"/>
      <c r="T1976" s="2"/>
      <c r="U1976" s="2"/>
      <c r="V1976" s="2"/>
      <c r="W1976" s="2"/>
      <c r="X1976" s="2"/>
      <c r="Y1976" s="2"/>
      <c r="Z1976" s="2"/>
      <c r="AA1976" s="2"/>
    </row>
    <row r="1977">
      <c r="A1977" s="1" t="s">
        <v>4698</v>
      </c>
      <c r="B1977" s="1" t="s">
        <v>4978</v>
      </c>
      <c r="C1977" s="1" t="s">
        <v>4979</v>
      </c>
      <c r="D1977" s="2" t="str">
        <f>IFERROR(__xludf.DUMMYFUNCTION("GOOGLETRANSLATE(B1977, ""en"", ""TL"")"),"Paano tinutugunan ng batas ang mga insidente ng pang-aabuso o panliligalig sa antas ng kalye batay sa oryentasyong sekswal o pagkakakilanlang pangkasarian sa mga pampublikong kaganapan?")</f>
        <v>Paano tinutugunan ng batas ang mga insidente ng pang-aabuso o panliligalig sa antas ng kalye batay sa oryentasyong sekswal o pagkakakilanlang pangkasarian sa mga pampublikong kaganapan?</v>
      </c>
      <c r="E1977" s="2" t="str">
        <f>IFERROR(__xludf.DUMMYFUNCTION("GOOGLETRANSLATE(C1977, ""en"", ""TL"")"),"Tinutugunan ng Pilipinas ang pag-atake sa antas ng kalye o panliligalig batay sa oryentasyong sekswal o pagkakakilanlang pangkasarian (SOGI) sa mga pampublikong kaganapan sa pamamagitan ng kumbinasyon ng mga umiiral na batas at isang medyo bagong aksyon:
"&amp;"Republic Act No. 11313 o ang Safe Spaces Act of 2019: Ang batas na ito ay partikular na tumatalakay sa:
Sekswal na panliligalig na nakabatay sa kasarian: Kabilang dito ang hindi kanais-nais at hindi inanyayahang mga sekswal na aksyon o pananalita laban sa"&amp;" sinumang tao, anuman ang kanilang SOGI, sa mga pampublikong espasyo tulad ng mga kalye at pampublikong kaganapan.
Mga Parusa: Ang batas ay nagsasaad ng mga multa at pagkakulong depende sa kalubhaan ng pagkakasala.
Revised Penal Code (RPC) Provisions: Ang"&amp;" mga kasalukuyang batas sa loob ng RPC ay maaari ding ilapat:
Pisikal na Pag-atake: Depende sa uri ng pag-atake (hal., baterya, mga pisikal na pinsala), naaangkop na mga probisyon sa ilalim ng RPC tungkol sa pag-atake at baterya (Mga Artikulo 260-267).
Mg"&amp;"a Banta at Alarm: Ang mga pananakot o pananakot batay sa SOGI ay maaaring kasuhan sa ilalim ng Artikulo 148 ng RPC.
Pagtugon sa bias na nakabatay sa SOGI:
Bagama't hindi tahasang binabanggit ng Safe Spaces Act ang SOGI, ang mga probisyon nito laban sa sek"&amp;"swal na panliligalig na nakabatay sa kasarian ay sumasaklaw sa mga sitwasyon kung saan ang panliligalig ay nagmumula sa sekswal na oryentasyon o pagkakakilanlang pangkasarian ng biktima.
Mga hamon:
Limitadong Saklaw: Pangunahing nakatuon ang Safe Spaces A"&amp;"ct sa sekswal na panliligalig. Bagama't maaari nitong tugunan ang ilang uri ng pag-atake na nakabatay sa SOGI, hindi nito ganap na sinasaklaw ang mga sitwasyong walang malinaw na elementong sekswal.
Kakulangan ng Partikular na Batas sa Proteksyon ng SOGI:"&amp;" Ang Pilipinas ay kasalukuyang walang komprehensibong batas laban sa diskriminasyon na partikular na nagpoprotekta sa mga indibidwal batay sa kanilang SOGI.
Ano ang ibig sabihin nito:
Ang mga biktima ng pag-atake o panliligalig na nakabatay lamang sa SOGI"&amp;" sa mga pampublikong kaganapan ay maaari pa ring magsampa ng mga kaso sa ilalim ng nauugnay na mga probisyon ng RPC (hal., pag-atake, mga pagbabanta).
Pinalalakas ng Safe Spaces Act ang legal na balangkas sa pamamagitan ng pagtugon sa sexual harassment na"&amp;" udyok ng SOGI sa mga pampublikong espasyo.")</f>
        <v>Tinutugunan ng Pilipinas ang pag-atake sa antas ng kalye o panliligalig batay sa oryentasyong sekswal o pagkakakilanlang pangkasarian (SOGI) sa mga pampublikong kaganapan sa pamamagitan ng kumbinasyon ng mga umiiral na batas at isang medyo bagong aksyon:
Republic Act No. 11313 o ang Safe Spaces Act of 2019: Ang batas na ito ay partikular na tumatalakay sa:
Sekswal na panliligalig na nakabatay sa kasarian: Kabilang dito ang hindi kanais-nais at hindi inanyayahang mga sekswal na aksyon o pananalita laban sa sinumang tao, anuman ang kanilang SOGI, sa mga pampublikong espasyo tulad ng mga kalye at pampublikong kaganapan.
Mga Parusa: Ang batas ay nagsasaad ng mga multa at pagkakulong depende sa kalubhaan ng pagkakasala.
Revised Penal Code (RPC) Provisions: Ang mga kasalukuyang batas sa loob ng RPC ay maaari ding ilapat:
Pisikal na Pag-atake: Depende sa uri ng pag-atake (hal., baterya, mga pisikal na pinsala), naaangkop na mga probisyon sa ilalim ng RPC tungkol sa pag-atake at baterya (Mga Artikulo 260-267).
Mga Banta at Alarm: Ang mga pananakot o pananakot batay sa SOGI ay maaaring kasuhan sa ilalim ng Artikulo 148 ng RPC.
Pagtugon sa bias na nakabatay sa SOGI:
Bagama't hindi tahasang binabanggit ng Safe Spaces Act ang SOGI, ang mga probisyon nito laban sa sekswal na panliligalig na nakabatay sa kasarian ay sumasaklaw sa mga sitwasyon kung saan ang panliligalig ay nagmumula sa sekswal na oryentasyon o pagkakakilanlang pangkasarian ng biktima.
Mga hamon:
Limitadong Saklaw: Pangunahing nakatuon ang Safe Spaces Act sa sekswal na panliligalig. Bagama't maaari nitong tugunan ang ilang uri ng pag-atake na nakabatay sa SOGI, hindi nito ganap na sinasaklaw ang mga sitwasyong walang malinaw na elementong sekswal.
Kakulangan ng Partikular na Batas sa Proteksyon ng SOGI: Ang Pilipinas ay kasalukuyang walang komprehensibong batas laban sa diskriminasyon na partikular na nagpoprotekta sa mga indibidwal batay sa kanilang SOGI.
Ano ang ibig sabihin nito:
Ang mga biktima ng pag-atake o panliligalig na nakabatay lamang sa SOGI sa mga pampublikong kaganapan ay maaari pa ring magsampa ng mga kaso sa ilalim ng nauugnay na mga probisyon ng RPC (hal., pag-atake, mga pagbabanta).
Pinalalakas ng Safe Spaces Act ang legal na balangkas sa pamamagitan ng pagtugon sa sexual harassment na udyok ng SOGI sa mga pampublikong espasyo.</v>
      </c>
      <c r="F1977" s="2">
        <f t="shared" si="1"/>
        <v>0</v>
      </c>
      <c r="G1977" s="2"/>
      <c r="H1977" s="2"/>
      <c r="I1977" s="2"/>
      <c r="J1977" s="2"/>
      <c r="K1977" s="2"/>
      <c r="L1977" s="2"/>
      <c r="M1977" s="2"/>
      <c r="N1977" s="2"/>
      <c r="O1977" s="2"/>
      <c r="P1977" s="2"/>
      <c r="Q1977" s="2"/>
      <c r="R1977" s="2"/>
      <c r="S1977" s="2"/>
      <c r="T1977" s="2"/>
      <c r="U1977" s="2"/>
      <c r="V1977" s="2"/>
      <c r="W1977" s="2"/>
      <c r="X1977" s="2"/>
      <c r="Y1977" s="2"/>
      <c r="Z1977" s="2"/>
      <c r="AA1977" s="2"/>
    </row>
    <row r="1978">
      <c r="A1978" s="1" t="s">
        <v>4698</v>
      </c>
      <c r="B1978" s="1" t="s">
        <v>4980</v>
      </c>
      <c r="C1978" s="1" t="s">
        <v>4981</v>
      </c>
      <c r="D1978" s="2" t="str">
        <f>IFERROR(__xludf.DUMMYFUNCTION("GOOGLETRANSLATE(B1978, ""en"", ""TL"")"),"Anong mga legal na hakbang ang umiiral upang labanan ang mga paglabag sa kapaligiran sa antas ng kalye, tulad ng hindi wastong pagtatapon ng mga mapanganib na materyales sa mga pampublikong parke?")</f>
        <v>Anong mga legal na hakbang ang umiiral upang labanan ang mga paglabag sa kapaligiran sa antas ng kalye, tulad ng hindi wastong pagtatapon ng mga mapanganib na materyales sa mga pampublikong parke?</v>
      </c>
      <c r="E1978" s="2" t="str">
        <f>IFERROR(__xludf.DUMMYFUNCTION("GOOGLETRANSLATE(C1978, ""en"", ""TL"")"),"Sa Pilipinas, ilang mga legal na hakbang ang inilagay upang matugunan ang mga paglabag sa kapaligiran sa antas ng kalye, partikular na tungkol sa hindi wastong pagtatapon ng mga mapanganib na materyales. Narito ang ilang mahahalagang batas at regulasyon:
"&amp;"1. **Republic Act No. 9003 (Ecological Solid Waste Management Act of 2000)**:
- Nagtatatag ng isang ekolohikal na solid waste management program na may mga probisyong nagtitiyak sa kalusugan ng publiko at pangangalaga sa kapaligiran.
- Hinihikayat ang pag"&amp;"-iingat at pagbawi ng mapagkukunan sa pamamagitan ng mga pamamaraan tulad ng pag-compost, pag-recycle, at pagliit ng basura.
- Nagtatakda ng mga alituntunin para sa wastong paghihiwalay, koleksyon, transportasyon, paggamot, at pagtatapon ng solidong basur"&amp;"a.
- Itinataguyod ang pakikilahok ng pribadong sektor sa pamamahala ng basura at hinihikayat ang pampublikong pakikilahok sa mga programa sa pamamahala ng basura.
- Ipinagbabawal ang mga gawain tulad ng hindi tamang pagtatapon ng mga mapanganib na materya"&amp;"les at nagpapataw ng mga parusa para sa mga paglabag.
2. **Republic Act No. 8749 (Clean Air Act)**:
- Pangunahing nakatuon sa pagpapabuti ng kalidad ng hangin, ang batas na ito ay tumutugon din sa pag-iwas sa polusyon at pangangalaga sa kapaligiran.
- Nag"&amp;"tatatag ng Pinagsanib na Balangkas sa Pagpapahusay ng Kalidad ng Hangin at Plano ng Pagkontrol sa Kalidad ng Hangin upang gabayan ang mga pagsisikap sa pamamahala at pagkontrol ng polusyon.
3. **Presidential Decree No. 1152 (Philippine Environmental Code)"&amp;"**:
- Sumasaklaw sa iba't ibang aspeto ng kapaligiran, kabilang ang pangangasiwa sa kagubatan.
- Hinihikayat ang makatuwirang pagsasamantala sa mga yamang kagubatan at binibigyang-diin ang pakikilahok ng mamamayan upang mapanatili ang pinakamataas na prod"&amp;"uktibidad sa kagubatan.
4. **Department Administrative Orders (DAOs)**:
- Ang Environmental Management Bureau (EMB) ay nag-isyu ng mga DAO na may kaugnayan sa mapanganib na pamamahala ng basura.
- Ang mga order na ito ay nagbibigay ng mga partikular na al"&amp;"ituntunin at regulasyon para sa paghawak ng mga mapanganib na materyales.
Ang mga legal na hakbang na ito ay sama-samang naglalayong tugunan ang mga paglabag sa kapaligiran sa antas ng kalye at tiyakin ang wastong pamamahala ng basura at pangangalaga sa k"&amp;"apaligiran sa buong Pilipinas.")</f>
        <v>Sa Pilipinas, ilang mga legal na hakbang ang inilagay upang matugunan ang mga paglabag sa kapaligiran sa antas ng kalye, partikular na tungkol sa hindi wastong pagtatapon ng mga mapanganib na materyales. Narito ang ilang mahahalagang batas at regulasyon:
1. **Republic Act No. 9003 (Ecological Solid Waste Management Act of 2000)**:
- Nagtatatag ng isang ekolohikal na solid waste management program na may mga probisyong nagtitiyak sa kalusugan ng publiko at pangangalaga sa kapaligiran.
- Hinihikayat ang pag-iingat at pagbawi ng mapagkukunan sa pamamagitan ng mga pamamaraan tulad ng pag-compost, pag-recycle, at pagliit ng basura.
- Nagtatakda ng mga alituntunin para sa wastong paghihiwalay, koleksyon, transportasyon, paggamot, at pagtatapon ng solidong basura.
- Itinataguyod ang pakikilahok ng pribadong sektor sa pamamahala ng basura at hinihikayat ang pampublikong pakikilahok sa mga programa sa pamamahala ng basura.
- Ipinagbabawal ang mga gawain tulad ng hindi tamang pagtatapon ng mga mapanganib na materyales at nagpapataw ng mga parusa para sa mga paglabag.
2. **Republic Act No. 8749 (Clean Air Act)**:
- Pangunahing nakatuon sa pagpapabuti ng kalidad ng hangin, ang batas na ito ay tumutugon din sa pag-iwas sa polusyon at pangangalaga sa kapaligiran.
- Nagtatatag ng Pinagsanib na Balangkas sa Pagpapahusay ng Kalidad ng Hangin at Plano ng Pagkontrol sa Kalidad ng Hangin upang gabayan ang mga pagsisikap sa pamamahala at pagkontrol ng polusyon.
3. **Presidential Decree No. 1152 (Philippine Environmental Code)**:
- Sumasaklaw sa iba't ibang aspeto ng kapaligiran, kabilang ang pangangasiwa sa kagubatan.
- Hinihikayat ang makatuwirang pagsasamantala sa mga yamang kagubatan at binibigyang-diin ang pakikilahok ng mamamayan upang mapanatili ang pinakamataas na produktibidad sa kagubatan.
4. **Department Administrative Orders (DAOs)**:
- Ang Environmental Management Bureau (EMB) ay nag-isyu ng mga DAO na may kaugnayan sa mapanganib na pamamahala ng basura.
- Ang mga order na ito ay nagbibigay ng mga partikular na alituntunin at regulasyon para sa paghawak ng mga mapanganib na materyales.
Ang mga legal na hakbang na ito ay sama-samang naglalayong tugunan ang mga paglabag sa kapaligiran sa antas ng kalye at tiyakin ang wastong pamamahala ng basura at pangangalaga sa kapaligiran sa buong Pilipinas.</v>
      </c>
      <c r="F1978" s="2">
        <f t="shared" si="1"/>
        <v>1</v>
      </c>
      <c r="G1978" s="2"/>
      <c r="H1978" s="2"/>
      <c r="I1978" s="2"/>
      <c r="J1978" s="2"/>
      <c r="K1978" s="2"/>
      <c r="L1978" s="2"/>
      <c r="M1978" s="2"/>
      <c r="N1978" s="2"/>
      <c r="O1978" s="2"/>
      <c r="P1978" s="2"/>
      <c r="Q1978" s="2"/>
      <c r="R1978" s="2"/>
      <c r="S1978" s="2"/>
      <c r="T1978" s="2"/>
      <c r="U1978" s="2"/>
      <c r="V1978" s="2"/>
      <c r="W1978" s="2"/>
      <c r="X1978" s="2"/>
      <c r="Y1978" s="2"/>
      <c r="Z1978" s="2"/>
      <c r="AA1978" s="2"/>
    </row>
    <row r="1979">
      <c r="A1979" s="1" t="s">
        <v>4698</v>
      </c>
      <c r="B1979" s="1" t="s">
        <v>4982</v>
      </c>
      <c r="C1979" s="1" t="s">
        <v>4983</v>
      </c>
      <c r="D1979" s="2" t="str">
        <f>IFERROR(__xludf.DUMMYFUNCTION("GOOGLETRANSLATE(B1979, ""en"", ""TL"")"),"Sa ilalim ng anong mga pangyayari ang isang tao ay maaaring makasuhan ng public conspiracy to commit terrorism-related offenses sa mga pampublikong paaralan?")</f>
        <v>Sa ilalim ng anong mga pangyayari ang isang tao ay maaaring makasuhan ng public conspiracy to commit terrorism-related offenses sa mga pampublikong paaralan?</v>
      </c>
      <c r="E1979" s="2" t="str">
        <f>IFERROR(__xludf.DUMMYFUNCTION("GOOGLETRANSLATE(C1979, ""en"", ""TL"")"),"Sa Pilipinas, ang pampublikong pagsasabwatan upang gumawa ng mga pagkakasala na may kaugnayan sa terorismo sa mga pampublikong paaralan ay isang malubhang krimen na tinutugunan sa pamamagitan ng kumbinasyon ng mga umiiral na batas:
Republic Act No. 9516 o"&amp;" ang Terrorism Financing Prevention and Suppression Act of 2007: Ang batas na ito ay tumutukoy at nagpaparusa sa terorismo, kabilang ang:
Pagpaplano, paghahanda, at pagsasabwatan upang gumawa ng mga gawaing terorista.
Pagbibigay ng materyal na suporta sa "&amp;"mga terorista o organisasyong terorista.
Mga Probisyon ng Binagong Kodigo Penal (RPC):
Artikulo 8: Saklaw nito ang krimen ng ""Conspiracy"" sa pangkalahatan.
Seksyon 1: Nagsasaad na ""ang pagsasabwatan upang gumawa ng krimen ay mapaparusahan ng kasunod na"&amp;" parusang mas mababa kaysa sa ibinigay para sa krimen mismo.""
Mga Elemento ng Public Conspiracy:
Kasunduan: Dapat may napatunayang kasunduan sa pagitan ng dalawa o higit pang mga tao na gumawa ng isang teroristang gawain sa isang pampublikong paaralan. A"&amp;"ng kasunduang ito ay maaaring pasalita, nakasulat, o itinatag sa pamamagitan ng mga implicit na aksyon na nagpapakita ng isang nakabahaging plano.
Pampublikong Setting: Ang kasunduan sa paggawa ng kilos ay dapat mangyari sa isang pampublikong paraan o sa "&amp;"pamamagitan ng isang paraan kung saan ang iba ay maaaring magpakita ng kamalayan sa plano.
Batas ng Terorista: Ang nakaplanong aksyon ay dapat na nasa loob ng kahulugan ng terorismo gaya ng nakabalangkas sa Anti-Terrorism Act. Kabilang dito ang mga pagkil"&amp;"os na nilayon upang:
Magdulot ng kamatayan o malubhang pinsala sa katawan sa mga sibilyan.
Ikalat ang takot o takutin ang publiko.
Makagambala sa mga serbisyong pampubliko o mahahalagang imprastraktura.
Mga parusa:
Parusa para sa target na Terrorist Act: "&amp;"Ang batayang parusa ay nakasalalay sa partikular na gawaing binalak (hal., pambobomba, paghostage). Ang mga parusa sa ilalim ng Anti-Terrorism Act ay maaaring mula sa habambuhay na pagkakakulong hanggang sa mahabang sentensiya sa bilangguan.
Pinababang pa"&amp;"rusa para sa pagsasabwatan: Ayon sa Artikulo 8 ng RPC, ang parusa para sa pagsasabwatan ay isang antas na mas mababa kaysa sa parusa para sa target na krimen mismo.")</f>
        <v>Sa Pilipinas, ang pampublikong pagsasabwatan upang gumawa ng mga pagkakasala na may kaugnayan sa terorismo sa mga pampublikong paaralan ay isang malubhang krimen na tinutugunan sa pamamagitan ng kumbinasyon ng mga umiiral na batas:
Republic Act No. 9516 o ang Terrorism Financing Prevention and Suppression Act of 2007: Ang batas na ito ay tumutukoy at nagpaparusa sa terorismo, kabilang ang:
Pagpaplano, paghahanda, at pagsasabwatan upang gumawa ng mga gawaing terorista.
Pagbibigay ng materyal na suporta sa mga terorista o organisasyong terorista.
Mga Probisyon ng Binagong Kodigo Penal (RPC):
Artikulo 8: Saklaw nito ang krimen ng "Conspiracy" sa pangkalahatan.
Seksyon 1: Nagsasaad na "ang pagsasabwatan upang gumawa ng krimen ay mapaparusahan ng kasunod na parusang mas mababa kaysa sa ibinigay para sa krimen mismo."
Mga Elemento ng Public Conspiracy:
Kasunduan: Dapat may napatunayang kasunduan sa pagitan ng dalawa o higit pang mga tao na gumawa ng isang teroristang gawain sa isang pampublikong paaralan. Ang kasunduang ito ay maaaring pasalita, nakasulat, o itinatag sa pamamagitan ng mga implicit na aksyon na nagpapakita ng isang nakabahaging plano.
Pampublikong Setting: Ang kasunduan sa paggawa ng kilos ay dapat mangyari sa isang pampublikong paraan o sa pamamagitan ng isang paraan kung saan ang iba ay maaaring magpakita ng kamalayan sa plano.
Batas ng Terorista: Ang nakaplanong aksyon ay dapat na nasa loob ng kahulugan ng terorismo gaya ng nakabalangkas sa Anti-Terrorism Act. Kabilang dito ang mga pagkilos na nilayon upang:
Magdulot ng kamatayan o malubhang pinsala sa katawan sa mga sibilyan.
Ikalat ang takot o takutin ang publiko.
Makagambala sa mga serbisyong pampubliko o mahahalagang imprastraktura.
Mga parusa:
Parusa para sa target na Terrorist Act: Ang batayang parusa ay nakasalalay sa partikular na gawaing binalak (hal., pambobomba, paghostage). Ang mga parusa sa ilalim ng Anti-Terrorism Act ay maaaring mula sa habambuhay na pagkakakulong hanggang sa mahabang sentensiya sa bilangguan.
Pinababang parusa para sa pagsasabwatan: Ayon sa Artikulo 8 ng RPC, ang parusa para sa pagsasabwatan ay isang antas na mas mababa kaysa sa parusa para sa target na krimen mismo.</v>
      </c>
      <c r="F1979" s="2">
        <f t="shared" si="1"/>
        <v>0</v>
      </c>
      <c r="G1979" s="2"/>
      <c r="H1979" s="2"/>
      <c r="I1979" s="2"/>
      <c r="J1979" s="2"/>
      <c r="K1979" s="2"/>
      <c r="L1979" s="2"/>
      <c r="M1979" s="2"/>
      <c r="N1979" s="2"/>
      <c r="O1979" s="2"/>
      <c r="P1979" s="2"/>
      <c r="Q1979" s="2"/>
      <c r="R1979" s="2"/>
      <c r="S1979" s="2"/>
      <c r="T1979" s="2"/>
      <c r="U1979" s="2"/>
      <c r="V1979" s="2"/>
      <c r="W1979" s="2"/>
      <c r="X1979" s="2"/>
      <c r="Y1979" s="2"/>
      <c r="Z1979" s="2"/>
      <c r="AA1979" s="2"/>
    </row>
    <row r="1980">
      <c r="A1980" s="1" t="s">
        <v>4698</v>
      </c>
      <c r="B1980" s="1" t="s">
        <v>4849</v>
      </c>
      <c r="C1980" s="1" t="s">
        <v>4984</v>
      </c>
      <c r="D1980" s="2" t="str">
        <f>IFERROR(__xludf.DUMMYFUNCTION("GOOGLETRANSLATE(B1980, ""en"", ""TL"")"),"Paano tinutugunan sa ilalim ng batas ng Pilipinas ang pagkakasala ng pampublikong pagsasabwatan upang magsagawa ng pagnanakaw ng pagkakakilanlan o pandaraya sa pananalapi?")</f>
        <v>Paano tinutugunan sa ilalim ng batas ng Pilipinas ang pagkakasala ng pampublikong pagsasabwatan upang magsagawa ng pagnanakaw ng pagkakakilanlan o pandaraya sa pananalapi?</v>
      </c>
      <c r="E1980" s="2" t="str">
        <f>IFERROR(__xludf.DUMMYFUNCTION("GOOGLETRANSLATE(C1980, ""en"", ""TL"")"),"Sa ilalim ng batas ng Pilipinas, ang mga pagkakasala na may kaugnayan sa pagnanakaw ng pagkakakilanlan at pandaraya sa pananalapi ay tinutugunan sa pamamagitan ng iba't ibang mga legal na probisyon. Hatiin natin ang mga nauugnay na aspeto:
1. **Cybercrime"&amp;" Prevention Act of 2012 (Republic Act No. 10175)**:
- Nakatuon ang batas na ito sa mga cybercrime, kabilang ang mga paglabag na nauugnay sa mga computer system, data, at mga network ng komunikasyon.
- Nilalayon nitong pangalagaan ang integridad ng mga com"&amp;"puter system at data sa pamamagitan ng pagpaparusa sa hindi awtorisadong pag-access at pagharang ng komunikasyon.
- Tinukoy ang mga parusa para sa mga pagkakasala tulad ng ilegal na pag-access at pagharang.
2. **Pandaraya sa Pagkakakilanlan**:
- Ang pagga"&amp;"mit ng pagkakakilanlan ng ibang tao upang gumawa ng pandaraya ay isang malubhang pagkakasala sa ilalim ng batas ng Pilipinas, na sakop ng parehong Cybercrime Prevention Act at ng Revised Penal Code.
- Tinutugunan ng Binagong Kodigo Penal ang mga pagkakasa"&amp;"la tulad ng estafa, na kinasasangkutan ng panlilinlang, pandaraya, o maling pagkukunwari, na humahantong sa malubhang legal na kahihinatnan para sa pandaraya sa pananalapi.
3. **Conspiracy**:
- Ang pagsasabwatan ay nagsasangkot ng isang kasunduan sa pagit"&amp;"an ng dalawa o higit pang mga tao na gumawa ng isang felony.
- Sa mga kaso ng pagnanakaw ng pagkakakilanlan o pandaraya sa pananalapi, ang pagsasabwatan ay maaaring may kasamang pagpaplano o pag-uugnay ng mga mapanlinlang na aktibidad.
- Kinikilala ng Bin"&amp;"agong Kodigo Penal ang pagsasabwatan bilang kaparusahan kapag may mga partikular na parusa para dito.
- Ang pagkakaroon lamang sa pinangyarihan ng krimen ay hindi nagtatag ng pagsasabwatan; kinakailangan ang aktibong pakikilahok na may layuning isulong an"&amp;"g karaniwang disenyo.
Sa kabuuan, tinutugunan ng batas ng Pilipinas ang pagnanakaw ng pagkakakilanlan at pandaraya sa pananalapi sa pamamagitan ng kumbinasyon ng batas sa cybercrime, mga probisyon sa Binagong Kodigo Penal, at mga legal na prinsipyo na may"&amp;" kaugnayan sa pagsasabwatan. Ang mga salarin ay maaaring maharap sa mga parusang kriminal batay sa mga pangyayari at ebidensya na ipinakita sa korte.")</f>
        <v>Sa ilalim ng batas ng Pilipinas, ang mga pagkakasala na may kaugnayan sa pagnanakaw ng pagkakakilanlan at pandaraya sa pananalapi ay tinutugunan sa pamamagitan ng iba't ibang mga legal na probisyon. Hatiin natin ang mga nauugnay na aspeto:
1. **Cybercrime Prevention Act of 2012 (Republic Act No. 10175)**:
- Nakatuon ang batas na ito sa mga cybercrime, kabilang ang mga paglabag na nauugnay sa mga computer system, data, at mga network ng komunikasyon.
- Nilalayon nitong pangalagaan ang integridad ng mga computer system at data sa pamamagitan ng pagpaparusa sa hindi awtorisadong pag-access at pagharang ng komunikasyon.
- Tinukoy ang mga parusa para sa mga pagkakasala tulad ng ilegal na pag-access at pagharang.
2. **Pandaraya sa Pagkakakilanlan**:
- Ang paggamit ng pagkakakilanlan ng ibang tao upang gumawa ng pandaraya ay isang malubhang pagkakasala sa ilalim ng batas ng Pilipinas, na sakop ng parehong Cybercrime Prevention Act at ng Revised Penal Code.
- Tinutugunan ng Binagong Kodigo Penal ang mga pagkakasala tulad ng estafa, na kinasasangkutan ng panlilinlang, pandaraya, o maling pagkukunwari, na humahantong sa malubhang legal na kahihinatnan para sa pandaraya sa pananalapi.
3. **Conspiracy**:
- Ang pagsasabwatan ay nagsasangkot ng isang kasunduan sa pagitan ng dalawa o higit pang mga tao na gumawa ng isang felony.
- Sa mga kaso ng pagnanakaw ng pagkakakilanlan o pandaraya sa pananalapi, ang pagsasabwatan ay maaaring may kasamang pagpaplano o pag-uugnay ng mga mapanlinlang na aktibidad.
- Kinikilala ng Binagong Kodigo Penal ang pagsasabwatan bilang kaparusahan kapag may mga partikular na parusa para dito.
- Ang pagkakaroon lamang sa pinangyarihan ng krimen ay hindi nagtatag ng pagsasabwatan; kinakailangan ang aktibong pakikilahok na may layuning isulong ang karaniwang disenyo.
Sa kabuuan, tinutugunan ng batas ng Pilipinas ang pagnanakaw ng pagkakakilanlan at pandaraya sa pananalapi sa pamamagitan ng kumbinasyon ng batas sa cybercrime, mga probisyon sa Binagong Kodigo Penal, at mga legal na prinsipyo na may kaugnayan sa pagsasabwatan. Ang mga salarin ay maaaring maharap sa mga parusang kriminal batay sa mga pangyayari at ebidensya na ipinakita sa korte.</v>
      </c>
      <c r="F1980" s="2">
        <f t="shared" si="1"/>
        <v>4</v>
      </c>
      <c r="G1980" s="2"/>
      <c r="H1980" s="2"/>
      <c r="I1980" s="2"/>
      <c r="J1980" s="2"/>
      <c r="K1980" s="2"/>
      <c r="L1980" s="2"/>
      <c r="M1980" s="2"/>
      <c r="N1980" s="2"/>
      <c r="O1980" s="2"/>
      <c r="P1980" s="2"/>
      <c r="Q1980" s="2"/>
      <c r="R1980" s="2"/>
      <c r="S1980" s="2"/>
      <c r="T1980" s="2"/>
      <c r="U1980" s="2"/>
      <c r="V1980" s="2"/>
      <c r="W1980" s="2"/>
      <c r="X1980" s="2"/>
      <c r="Y1980" s="2"/>
      <c r="Z1980" s="2"/>
      <c r="AA1980" s="2"/>
    </row>
    <row r="1981">
      <c r="A1981" s="1" t="s">
        <v>4698</v>
      </c>
      <c r="B1981" s="1" t="s">
        <v>4985</v>
      </c>
      <c r="C1981" s="1" t="s">
        <v>4986</v>
      </c>
      <c r="D1981" s="2" t="str">
        <f>IFERROR(__xludf.DUMMYFUNCTION("GOOGLETRANSLATE(B1981, ""en"", ""TL"")"),"Anong mga parusa ang naaangkop para sa pagsali sa hindi awtorisadong pagbebenta o pamamahagi ng mga ipinagbabawal na publikasyon sa mga pampublikong lugar na malapit sa mga pasilidad ng pangangalagang pangkalusugan?")</f>
        <v>Anong mga parusa ang naaangkop para sa pagsali sa hindi awtorisadong pagbebenta o pamamahagi ng mga ipinagbabawal na publikasyon sa mga pampublikong lugar na malapit sa mga pasilidad ng pangangalagang pangkalusugan?</v>
      </c>
      <c r="E1981" s="2" t="str">
        <f>IFERROR(__xludf.DUMMYFUNCTION("GOOGLETRANSLATE(C1981, ""en"", ""TL"")"),"Narito ang isang breakdown ng mga potensyal na parusa para sa pagbebenta o pamamahagi ng mga ipinagbabawal na publikasyon sa mga pampublikong espasyo malapit sa mga pasilidad ng pangangalagang pangkalusugan sa Pilipinas:
Paglabag sa mga Partikular na Bata"&amp;"s:
Republic Act No. 8353 o ang Anti-Book Piracy Act of 1997: Ipinagbabawal ng batas na ito ang hindi awtorisadong pagbebenta at pamamahagi ng mga naka-copyright na materyales.
Mga Parusa: Mga multa at pagkakulong depende sa uri at sukat ng pagkakasala.
Re"&amp;"public Act No. 9994 o ang Anti-Trafficking in Persons Act of 2010: Nalalapat kung ang mga publikasyon ay nauuri bilang mga malaswang materyales na:
Ilarawan ang mga sekswal na gawain sa paraang lumalabag sa umiiral na pamantayan ng komunidad.
Pagsamantala"&amp;"hin, pang-aabuso, o ilagay sa panganib ang mga bata.
Mga Parusa: Pagkakulong ng 6 hanggang 12 taon para sa mga unang beses na nagkasala.
Mga Lokal na Ordenansa:
Maraming mga lungsod at munisipalidad ang may mga ordinansang kumokontrol sa pag-uugali sa mga"&amp;" pampublikong espasyo. Ang mga ito ay maaaring partikular na tumugon:
Mga paghihigpit sa pagbebenta: Nililimitahan o ipinagbabawal ang pagbebenta ng mga kalakal sa mga partikular na lugar, kabilang ang mga malapit sa mga pasilidad ng pangangalagang pangka"&amp;"lusugan.
Mga batas sa pampublikong istorbo: Pagpaparusahan sa nakakagambala o hindi maayos na pag-uugali na maaaring kasama ang hindi awtorisadong pagbebenta o pagtatapon ng basura mula sa mga publikasyon.
Pampublikong Istorbo:
Kahit na walang partikular "&amp;"na ordinansa, ang pagbebenta ng mga hindi awtorisadong materyales sa mga pampublikong espasyo ay maaaring ituring na isang pampublikong istorbo, na nagdudulot ng abala at potensyal na panganib sa kaligtasan.
Samakatuwid, ang mga naaangkop na parusa ay dep"&amp;"ende sa partikular na katangian ng mga publikasyon at mga nakapaligid na regulasyon:
Pagbebenta ng mga naka-copyright na materyales: Mga multa at potensyal na pagkakulong sa ilalim ng Anti-Book Piracy Act.
Pagbebenta ng malalaswang materyales: Pagkakulong"&amp;" sa ilalim ng Anti-Trafficking in Persons Act.
Paglabag sa mga lokal na ordinansa: Mga multa para sa mga paglabag sa pagbebenta o pampublikong istorbo.
Mga Karagdagang Pagsasaalang-alang:
Pagkumpiska ng mga materyales: Maaaring kumpiskahin ng mga awtorida"&amp;"d ang anumang ipinagbabawal na publikasyong makikita sa pag-aari ng nagbebenta.
Ulitin ang mga pagkakasala: Maaaring mas mabigat ang mga parusa para sa mga indibidwal na mahuling paulit-ulit na nagsasagawa ng mga naturang aktibidad.")</f>
        <v>Narito ang isang breakdown ng mga potensyal na parusa para sa pagbebenta o pamamahagi ng mga ipinagbabawal na publikasyon sa mga pampublikong espasyo malapit sa mga pasilidad ng pangangalagang pangkalusugan sa Pilipinas:
Paglabag sa mga Partikular na Batas:
Republic Act No. 8353 o ang Anti-Book Piracy Act of 1997: Ipinagbabawal ng batas na ito ang hindi awtorisadong pagbebenta at pamamahagi ng mga naka-copyright na materyales.
Mga Parusa: Mga multa at pagkakulong depende sa uri at sukat ng pagkakasala.
Republic Act No. 9994 o ang Anti-Trafficking in Persons Act of 2010: Nalalapat kung ang mga publikasyon ay nauuri bilang mga malaswang materyales na:
Ilarawan ang mga sekswal na gawain sa paraang lumalabag sa umiiral na pamantayan ng komunidad.
Pagsamantalahin, pang-aabuso, o ilagay sa panganib ang mga bata.
Mga Parusa: Pagkakulong ng 6 hanggang 12 taon para sa mga unang beses na nagkasala.
Mga Lokal na Ordenansa:
Maraming mga lungsod at munisipalidad ang may mga ordinansang kumokontrol sa pag-uugali sa mga pampublikong espasyo. Ang mga ito ay maaaring partikular na tumugon:
Mga paghihigpit sa pagbebenta: Nililimitahan o ipinagbabawal ang pagbebenta ng mga kalakal sa mga partikular na lugar, kabilang ang mga malapit sa mga pasilidad ng pangangalagang pangkalusugan.
Mga batas sa pampublikong istorbo: Pagpaparusahan sa nakakagambala o hindi maayos na pag-uugali na maaaring kasama ang hindi awtorisadong pagbebenta o pagtatapon ng basura mula sa mga publikasyon.
Pampublikong Istorbo:
Kahit na walang partikular na ordinansa, ang pagbebenta ng mga hindi awtorisadong materyales sa mga pampublikong espasyo ay maaaring ituring na isang pampublikong istorbo, na nagdudulot ng abala at potensyal na panganib sa kaligtasan.
Samakatuwid, ang mga naaangkop na parusa ay depende sa partikular na katangian ng mga publikasyon at mga nakapaligid na regulasyon:
Pagbebenta ng mga naka-copyright na materyales: Mga multa at potensyal na pagkakulong sa ilalim ng Anti-Book Piracy Act.
Pagbebenta ng malalaswang materyales: Pagkakulong sa ilalim ng Anti-Trafficking in Persons Act.
Paglabag sa mga lokal na ordinansa: Mga multa para sa mga paglabag sa pagbebenta o pampublikong istorbo.
Mga Karagdagang Pagsasaalang-alang:
Pagkumpiska ng mga materyales: Maaaring kumpiskahin ng mga awtoridad ang anumang ipinagbabawal na publikasyong makikita sa pag-aari ng nagbebenta.
Ulitin ang mga pagkakasala: Maaaring mas mabigat ang mga parusa para sa mga indibidwal na mahuling paulit-ulit na nagsasagawa ng mga naturang aktibidad.</v>
      </c>
      <c r="F1981" s="2">
        <f t="shared" si="1"/>
        <v>0</v>
      </c>
      <c r="G1981" s="2"/>
      <c r="H1981" s="2"/>
      <c r="I1981" s="2"/>
      <c r="J1981" s="2"/>
      <c r="K1981" s="2"/>
      <c r="L1981" s="2"/>
      <c r="M1981" s="2"/>
      <c r="N1981" s="2"/>
      <c r="O1981" s="2"/>
      <c r="P1981" s="2"/>
      <c r="Q1981" s="2"/>
      <c r="R1981" s="2"/>
      <c r="S1981" s="2"/>
      <c r="T1981" s="2"/>
      <c r="U1981" s="2"/>
      <c r="V1981" s="2"/>
      <c r="W1981" s="2"/>
      <c r="X1981" s="2"/>
      <c r="Y1981" s="2"/>
      <c r="Z1981" s="2"/>
      <c r="AA1981" s="2"/>
    </row>
    <row r="1982">
      <c r="A1982" s="1" t="s">
        <v>4698</v>
      </c>
      <c r="B1982" s="1" t="s">
        <v>4925</v>
      </c>
      <c r="C1982" s="1" t="s">
        <v>4987</v>
      </c>
      <c r="D1982" s="2" t="str">
        <f>IFERROR(__xludf.DUMMYFUNCTION("GOOGLETRANSLATE(B1982, ""en"", ""TL"")"),"Anong mga legal na probisyon ang kumokontrol sa pagmamay-ari at paggamit ng mga hindi awtorisadong surveillance device sa mga pampublikong espasyo malapit sa mga opisina ng gobyerno?")</f>
        <v>Anong mga legal na probisyon ang kumokontrol sa pagmamay-ari at paggamit ng mga hindi awtorisadong surveillance device sa mga pampublikong espasyo malapit sa mga opisina ng gobyerno?</v>
      </c>
      <c r="E1982" s="2" t="str">
        <f>IFERROR(__xludf.DUMMYFUNCTION("GOOGLETRANSLATE(C1982, ""en"", ""TL"")"),"Sa Pilipinas, ang paggamit ng mga surveillance device, partikular na ang closed-circuit television (CCTV) system, sa mga pampublikong espasyo malapit sa mga opisina ng gobyerno ay napapailalim sa mga legal na probisyon. Narito ang mga pangunahing alituntu"&amp;"nin at regulasyon:
1. **Data Privacy Act of 2012 (DPA)**:
- Kinokontrol ng DPA ang pagproseso ng personal na data, kabilang ang video at audio footage na nakuha mula sa mga CCTV system.
- Ang mga CCTV system, kapag ginamit nang makatwiran at naaangkop, ay"&amp;" sumusuporta sa kaligtasan at seguridad ngunit dapat isaalang-alang ang epekto nito sa mga karapatan at kalayaan ng mga paksa ng data.
- Ang mga operator ng CCTV system, personal information controllers (PICs) o processor, ay dapat sumunod sa DPA, sa Impl"&amp;"ementing Rules and Regulations (IRR) nito, at mga nauugnay na isyu ng National Privacy Commission (NPC).
Saklaw:
- Nalalapat ang advisory sa lahat ng PIC at PIP na nakikibahagi sa pagproseso ng personal na data sa pamamagitan ng mga CCTV system na tumatak"&amp;"bo sa pampubliko at semi-pampublikong lugar.
- Sinasaklaw nito ang parehong video-only at video na may mga audio CCTV system.
Mga Obligasyon para sa mga Operator ng CCTV:
- Pagsunod: Ang mga operator ay itinuturing na mga PIC at dapat sumunod sa mga probi"&amp;"syon ng DPA at NPC.
- Regular na Pagsusuri: Regular na suriin ang pangangailangan ng paggamit ng CCTV para sa mga tiyak at lehitimong layunin.
- Mga Panukala sa Seguridad: Tiyakin ang wastong seguridad at proteksyon ng nakuhang data.
- Pagsusuri sa Epekto"&amp;" sa Privacy: Magsagawa ng mga pagtatasa upang suriin ang mga implikasyon sa privacy.
- Transparency: Ipaalam sa mga indibidwal ang tungkol sa presensya ng CCTV sa pamamagitan ng signage.
- Pagpapanatili at Pagkasira: Wastong pamahalaan ang mga video at au"&amp;"dio footage na nakuha mula sa mga CCTV.
2. **Safe Spaces Act**:
- Bagama't hindi partikular sa mga surveillance device, ang batas na ito ay tumutugon sa pagkakapantay-pantay, seguridad, at kaligtasan sa parehong pribado at pampublikong espasyo.
Ang mga le"&amp;"gal na hakbang na ito ay naglalayong i-regulate ang paggamit ng mga surveillance device, protektahan ang mga karapatan sa privacy, at tiyakin ang naaangkop na mga kasanayan sa pangangasiwa ng data sa mga pampublikong espasyo malapit sa mga opisina ng goby"&amp;"erno sa Pilipinas.")</f>
        <v>Sa Pilipinas, ang paggamit ng mga surveillance device, partikular na ang closed-circuit television (CCTV) system, sa mga pampublikong espasyo malapit sa mga opisina ng gobyerno ay napapailalim sa mga legal na probisyon. Narito ang mga pangunahing alituntunin at regulasyon:
1. **Data Privacy Act of 2012 (DPA)**:
- Kinokontrol ng DPA ang pagproseso ng personal na data, kabilang ang video at audio footage na nakuha mula sa mga CCTV system.
- Ang mga CCTV system, kapag ginamit nang makatwiran at naaangkop, ay sumusuporta sa kaligtasan at seguridad ngunit dapat isaalang-alang ang epekto nito sa mga karapatan at kalayaan ng mga paksa ng data.
- Ang mga operator ng CCTV system, personal information controllers (PICs) o processor, ay dapat sumunod sa DPA, sa Implementing Rules and Regulations (IRR) nito, at mga nauugnay na isyu ng National Privacy Commission (NPC).
Saklaw:
- Nalalapat ang advisory sa lahat ng PIC at PIP na nakikibahagi sa pagproseso ng personal na data sa pamamagitan ng mga CCTV system na tumatakbo sa pampubliko at semi-pampublikong lugar.
- Sinasaklaw nito ang parehong video-only at video na may mga audio CCTV system.
Mga Obligasyon para sa mga Operator ng CCTV:
- Pagsunod: Ang mga operator ay itinuturing na mga PIC at dapat sumunod sa mga probisyon ng DPA at NPC.
- Regular na Pagsusuri: Regular na suriin ang pangangailangan ng paggamit ng CCTV para sa mga tiyak at lehitimong layunin.
- Mga Panukala sa Seguridad: Tiyakin ang wastong seguridad at proteksyon ng nakuhang data.
- Pagsusuri sa Epekto sa Privacy: Magsagawa ng mga pagtatasa upang suriin ang mga implikasyon sa privacy.
- Transparency: Ipaalam sa mga indibidwal ang tungkol sa presensya ng CCTV sa pamamagitan ng signage.
- Pagpapanatili at Pagkasira: Wastong pamahalaan ang mga video at audio footage na nakuha mula sa mga CCTV.
2. **Safe Spaces Act**:
- Bagama't hindi partikular sa mga surveillance device, ang batas na ito ay tumutugon sa pagkakapantay-pantay, seguridad, at kaligtasan sa parehong pribado at pampublikong espasyo.
Ang mga legal na hakbang na ito ay naglalayong i-regulate ang paggamit ng mga surveillance device, protektahan ang mga karapatan sa privacy, at tiyakin ang naaangkop na mga kasanayan sa pangangasiwa ng data sa mga pampublikong espasyo malapit sa mga opisina ng gobyerno sa Pilipinas.</v>
      </c>
      <c r="F1982" s="2">
        <f t="shared" si="1"/>
        <v>4</v>
      </c>
      <c r="G1982" s="2"/>
      <c r="H1982" s="2"/>
      <c r="I1982" s="2"/>
      <c r="J1982" s="2"/>
      <c r="K1982" s="2"/>
      <c r="L1982" s="2"/>
      <c r="M1982" s="2"/>
      <c r="N1982" s="2"/>
      <c r="O1982" s="2"/>
      <c r="P1982" s="2"/>
      <c r="Q1982" s="2"/>
      <c r="R1982" s="2"/>
      <c r="S1982" s="2"/>
      <c r="T1982" s="2"/>
      <c r="U1982" s="2"/>
      <c r="V1982" s="2"/>
      <c r="W1982" s="2"/>
      <c r="X1982" s="2"/>
      <c r="Y1982" s="2"/>
      <c r="Z1982" s="2"/>
      <c r="AA1982" s="2"/>
    </row>
    <row r="1983">
      <c r="A1983" s="1" t="s">
        <v>4698</v>
      </c>
      <c r="B1983" s="1" t="s">
        <v>4988</v>
      </c>
      <c r="C1983" s="1" t="s">
        <v>4989</v>
      </c>
      <c r="D1983" s="2" t="str">
        <f>IFERROR(__xludf.DUMMYFUNCTION("GOOGLETRANSLATE(B1983, ""en"", ""TL"")"),"Paano tinutugunan ng batas ang mga insidente ng pag-atake o panliligalig sa antas ng kalye batay sa kultura o etnikong background sa mga pampublikong lugar?")</f>
        <v>Paano tinutugunan ng batas ang mga insidente ng pag-atake o panliligalig sa antas ng kalye batay sa kultura o etnikong background sa mga pampublikong lugar?</v>
      </c>
      <c r="E1983" s="2" t="str">
        <f>IFERROR(__xludf.DUMMYFUNCTION("GOOGLETRANSLATE(C1983, ""en"", ""TL"")"),"Tinutugunan ng Pilipinas ang pag-atake sa antas ng kalye o panliligalig batay sa kultura o etnikong background sa mga pampublikong lugar sa pamamagitan ng kumbinasyon ng mga legal na mekanismo, kahit na ang isang komprehensibong batas na partikular na nag"&amp;"ta-target sa mga naturang insidente ay kasalukuyang kulang. Narito ang isang breakdown:
Mga Umiiral na Batas:
Mga Probisyon ng Binagong Kodigo Penal (RPC):
Pisikal na Pag-atake: Depende sa kalubhaan ng pag-atake (hal., baterya, mga pisikal na pinsala), na"&amp;"aangkop na mga probisyon sa ilalim ng RPC tungkol sa pag-atake at baterya (Mga Artikulo 260-267).
Mga Banta at Alarm: Ang mga pananakot o pananakot batay sa kultura o etnikong background ay maaaring kasuhan sa ilalim ng Artikulo 148 ng RPC.
Mga Batas laba"&amp;"n sa Diskriminasyon: Ang Pilipinas ay may limitadong mga batas laban sa diskriminasyon:
Republic Act No. 9262 o ang Anti-Violence Against Women and their Children Act: Bagama't hindi tahasang tinutugunan ang pagkiling sa kultura/etniko, maaari itong ilapa"&amp;"t sa mga sitwasyon kung saan tinatarget ng harassment ang mga kababaihan mula sa partikular na kultura o etnikong pinagmulan.
Republic Act No. 10354 o ang Magna Carta for Persons with Disabilities (MCPD): Pinoprotektahan ang mga indibidwal na may mga kapa"&amp;"nsanan mula sa diskriminasyon, bagama't hindi nito direktang tinutugunan ang pagkiling sa kultura/etniko")</f>
        <v>Tinutugunan ng Pilipinas ang pag-atake sa antas ng kalye o panliligalig batay sa kultura o etnikong background sa mga pampublikong lugar sa pamamagitan ng kumbinasyon ng mga legal na mekanismo, kahit na ang isang komprehensibong batas na partikular na nagta-target sa mga naturang insidente ay kasalukuyang kulang. Narito ang isang breakdown:
Mga Umiiral na Batas:
Mga Probisyon ng Binagong Kodigo Penal (RPC):
Pisikal na Pag-atake: Depende sa kalubhaan ng pag-atake (hal., baterya, mga pisikal na pinsala), naaangkop na mga probisyon sa ilalim ng RPC tungkol sa pag-atake at baterya (Mga Artikulo 260-267).
Mga Banta at Alarm: Ang mga pananakot o pananakot batay sa kultura o etnikong background ay maaaring kasuhan sa ilalim ng Artikulo 148 ng RPC.
Mga Batas laban sa Diskriminasyon: Ang Pilipinas ay may limitadong mga batas laban sa diskriminasyon:
Republic Act No. 9262 o ang Anti-Violence Against Women and their Children Act: Bagama't hindi tahasang tinutugunan ang pagkiling sa kultura/etniko, maaari itong ilapat sa mga sitwasyon kung saan tinatarget ng harassment ang mga kababaihan mula sa partikular na kultura o etnikong pinagmulan.
Republic Act No. 10354 o ang Magna Carta for Persons with Disabilities (MCPD): Pinoprotektahan ang mga indibidwal na may mga kapansanan mula sa diskriminasyon, bagama't hindi nito direktang tinutugunan ang pagkiling sa kultura/etniko</v>
      </c>
      <c r="F1983" s="2">
        <f t="shared" si="1"/>
        <v>0</v>
      </c>
      <c r="G1983" s="2"/>
      <c r="H1983" s="2"/>
      <c r="I1983" s="2"/>
      <c r="J1983" s="2"/>
      <c r="K1983" s="2"/>
      <c r="L1983" s="2"/>
      <c r="M1983" s="2"/>
      <c r="N1983" s="2"/>
      <c r="O1983" s="2"/>
      <c r="P1983" s="2"/>
      <c r="Q1983" s="2"/>
      <c r="R1983" s="2"/>
      <c r="S1983" s="2"/>
      <c r="T1983" s="2"/>
      <c r="U1983" s="2"/>
      <c r="V1983" s="2"/>
      <c r="W1983" s="2"/>
      <c r="X1983" s="2"/>
      <c r="Y1983" s="2"/>
      <c r="Z1983" s="2"/>
      <c r="AA1983" s="2"/>
    </row>
    <row r="1984">
      <c r="A1984" s="1" t="s">
        <v>4698</v>
      </c>
      <c r="B1984" s="1" t="s">
        <v>4825</v>
      </c>
      <c r="C1984" s="1" t="s">
        <v>4990</v>
      </c>
      <c r="D1984" s="2" t="str">
        <f>IFERROR(__xludf.DUMMYFUNCTION("GOOGLETRANSLATE(B1984,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84" s="2" t="str">
        <f>IFERROR(__xludf.DUMMYFUNCTION("GOOGLETRANSLATE(C1984, ""en"", ""TL"")"),"Kung napatunayang nagkasala ng pag-iwas sa buwis sa Pilipinas, ang mga indibidwal na nakikibahagi sa mga mapanlinlang na aktibidad sa pananalapi ay maaaring maharap sa mga sumusunod na parusa:
mga multa:
Ang mga multa para sa pag-iwas sa buwis ay ma"&amp;"laki ang itinaas sa ilalim ng Tax Reform for Acceleration and Inclusion (TRAIN) Act.
Ang mga pagtatangkang iwasan o talunin ang mga buwis sa kita ay maaaring humantong sa mga multa sa pagitan ng PHP 500,000 at PHP 10 milyon.
Dati, ang mga multa para sa "&amp;"pag-iwas sa buwis ay mula lamang sa PHP 30,000 hanggang PHP 100,000.
Bukod pa rito, nalalapat ang mga multa sa mga sangkot sa pag-print ng mga mapanlinlang at hindi awtorisadong resibo o mga invoice ng komersyal/benta.
pagkakulong:
Ang termino ng pag"&amp;"kakulong para sa mga indibidwal na napatunayang nagkasala ng pag-iwas sa buwis ay pinalawig din.
Ang mga nagkasala ay maaari na ngayong makulong sa loob ng isang panahon mula anim hanggang sampung taon, samantalang dati, ang termino ay mula dalawa hangga"&amp;"ng apat na taon.
Iba pang mga Parusa:
Ang multa at parusa para sa pag-iwas sa buwis ay karagdagan sa iba pang mga parusang itinatadhana ng batas.
Ang paghatol o pagpapawalang-sala para sa paglabag ay hindi pumipigil sa pagsasampa ng kasong sibil para"&amp;" sa pangongolekta ng buwis.
Ang mga nagbabayad ng buwis sa korporasyon na nabigong magpadala ng data ng mga benta sa sistema ng pag-uulat ng elektronikong benta ng Bureau of Internal Revenue (BIR) ay maaaring maharap sa mga parusa batay sa kanilang tauna"&amp;"ng netong kita na makikita sa mga na-audit na financial statement.
Ang kabiguang magpadala ng data ng mga benta sa loob ng 180 araw sa isang taon na nabubuwisan ay maaaring magresulta sa permanenteng pagsasara ng mga kumpanya.
Ang paggamit, pagbili, pag"&amp;"mamay-ari, pagbebenta, o pag-aalok ng mga “sales suppression device” upang maiwasan ang mga pagbabayad ng buwis ay maaaring magresulta sa mga multa at pagkakulong.
Mga Paglabag sa Programa sa Pagmarka ng gasolina:
Ang pekeng mga resulta ng pagsusulit "&amp;"sa pagmamarka ng gasolina ay maaaring humantong sa pagkakulong mula sa isang taon hanggang dalawa at kalahating taon.
Ang mga karagdagang parusa, tulad ng pagbawi ng mga propesyonal na lisensya o pagsasara ng mga pasilidad sa pagsusuri ng gasolina, ay ma"&amp;"aari ding ilapat.")</f>
        <v>Kung napatunayang nagkasala ng pag-iwas sa buwis sa Pilipinas, ang mga indibidwal na nakikibahagi sa mga mapanlinlang na aktibidad sa pananalapi ay maaaring maharap sa mga sumusunod na parusa:
mga multa:
Ang mga multa para sa pag-iwas sa buwis ay malaki ang itinaas sa ilalim ng Tax Reform for Acceleration and Inclusion (TRAIN) Act.
Ang mga pagtatangkang iwasan o talunin ang mga buwis sa kita ay maaaring humantong sa mga multa sa pagitan ng PHP 500,000 at PHP 10 milyon.
Dati, ang mga multa para sa pag-iwas sa buwis ay mula lamang sa PHP 30,000 hanggang PHP 100,000.
Bukod pa rito, nalalapat ang mga multa sa mga sangkot sa pag-print ng mga mapanlinlang at hindi awtorisadong resibo o mga invoice ng komersyal/benta.
pagkakulong:
Ang termino ng pagkakulong para sa mga indibidwal na napatunayang nagkasala ng pag-iwas sa buwis ay pinalawig din.
Ang mga nagkasala ay maaari na ngayong makulong sa loob ng isang panahon mula anim hanggang sampung taon, samantalang dati, ang termino ay mula dalawa hanggang apat na taon.
Iba pang mga Parusa:
Ang multa at parusa para sa pag-iwas sa buwis ay karagdagan sa iba pang mga parusang itinatadhana ng batas.
Ang paghatol o pagpapawalang-sala para sa paglabag ay hindi pumipigil sa pagsasampa ng kasong sibil para sa pangongolekta ng buwis.
Ang mga nagbabayad ng buwis sa korporasyon na nabigong magpadala ng data ng mga benta sa sistema ng pag-uulat ng elektronikong benta ng Bureau of Internal Revenue (BIR) ay maaaring maharap sa mga parusa batay sa kanilang taunang netong kita na makikita sa mga na-audit na financial statement.
Ang kabiguang magpadala ng data ng mga benta sa loob ng 180 araw sa isang taon na nabubuwisan ay maaaring magresulta sa permanenteng pagsasara ng mga kumpanya.
Ang paggamit, pagbili, pagmamay-ari, pagbebenta, o pag-aalok ng mga “sales suppression device” upang maiwasan ang mga pagbabayad ng buwis ay maaaring magresulta sa mga multa at pagkakulong.
Mga Paglabag sa Programa sa Pagmarka ng gasolina:
Ang pekeng mga resulta ng pagsusulit sa pagmamarka ng gasolina ay maaaring humantong sa pagkakulong mula sa isang taon hanggang dalawa at kalahating taon.
Ang mga karagdagang parusa, tulad ng pagbawi ng mga propesyonal na lisensya o pagsasara ng mga pasilidad sa pagsusuri ng gasolina, ay maaari ding ilapat.</v>
      </c>
      <c r="F1984" s="2">
        <f t="shared" si="1"/>
        <v>3</v>
      </c>
      <c r="G1984" s="2"/>
      <c r="H1984" s="2"/>
      <c r="I1984" s="2"/>
      <c r="J1984" s="2"/>
      <c r="K1984" s="2"/>
      <c r="L1984" s="2"/>
      <c r="M1984" s="2"/>
      <c r="N1984" s="2"/>
      <c r="O1984" s="2"/>
      <c r="P1984" s="2"/>
      <c r="Q1984" s="2"/>
      <c r="R1984" s="2"/>
      <c r="S1984" s="2"/>
      <c r="T1984" s="2"/>
      <c r="U1984" s="2"/>
      <c r="V1984" s="2"/>
      <c r="W1984" s="2"/>
      <c r="X1984" s="2"/>
      <c r="Y1984" s="2"/>
      <c r="Z1984" s="2"/>
      <c r="AA1984" s="2"/>
    </row>
    <row r="1985">
      <c r="A1985" s="1" t="s">
        <v>4698</v>
      </c>
      <c r="B1985" s="1" t="s">
        <v>4858</v>
      </c>
      <c r="C1985" s="1" t="s">
        <v>4991</v>
      </c>
      <c r="D1985" s="2" t="str">
        <f>IFERROR(__xludf.DUMMYFUNCTION("GOOGLETRANSLATE(B1985, ""en"", ""TL"")"),"Paano tinutugunan sa ilalim ng batas ng Pilipinas ang krimen ng public conspiracy to commit human trafficking o illegal recruitment?")</f>
        <v>Paano tinutugunan sa ilalim ng batas ng Pilipinas ang krimen ng public conspiracy to commit human trafficking o illegal recruitment?</v>
      </c>
      <c r="E1985" s="2" t="str">
        <f>IFERROR(__xludf.DUMMYFUNCTION("GOOGLETRANSLATE(C1985, ""en"", ""TL"")"),"Malakas ang paninindigan ng Pilipinas laban sa pampublikong pagsasabwatan upang gumawa ng human trafficking o ilegal na pangangalap sa pamamagitan ng kumbinasyon ng mga batas:
Republic Act No. 9208 o ang Anti-Trafficking in Persons Act of 2003 (ATIP Act)"&amp;", na sinususugan ng RA 10364:
Seksyon 4: Tinutukoy ang mga gawain ng trafficking ng mga tao, kabilang ang:
Pag-recruit, transportasyon, paglipat, pagkukulong, o pagtanggap ng isang tao
Ibig sabihin: pananakot, puwersa, pamimilit, panlilinlang, o pag-ab"&amp;"uso sa kapangyarihan
Layunin: prostitusyon, pornograpiya, sapilitang paggawa, pang-aalipin, pagkaalipin sa utang, atbp.
Seksyon 5: Binabalangkas ang mga kilos na nagtataguyod ng trafficking, kabilang ang sadyang:
Pagpapaupa ng gusali para sa mga layuni"&amp;"n ng trafficking
Paggawa ng mga pekeng dokumento para sa mga biktima ng trafficking
Republic Act No. 10175 o ang Cybercrime Prevention Act of 2012:
Seksyon 4(a)(5): Tinutugunan ang ""Sabwatan para gumawa ng cybercrime."" Nalalapat ito sa mga kasunduan "&amp;"na gawin ang alinman sa mga cybercrime na tinukoy sa ilalim ng batas, na maaaring magamit sa pagpapadali sa trafficking (hal., online na recruitment).
Mga Probisyon ng Binagong Kodigo Penal (RPC):
Artikulo 8: Sinasaklaw ang krimen ng ""Conspiracy"" sa p"&amp;"angkalahatan.
Seksyon 1: Nagsasaad na ""ang pagsasabwatan upang gumawa ng krimen ay mapaparusahan ng kasunod na parusang mas mababa kaysa sa ibinigay para sa krimen mismo.""
Pagtugon sa Public Conspiracy:
Dalawa o higit pang mga tao: Ang pagpaplano at "&amp;"kasunduan na gawin ang krimen ay dapat na may kasamang napatunayang kasunduan sa pagitan ng hindi bababa sa dalawang indibidwal.
Kalikasan ng publiko: Ang mismong kasunduan ay dapat gawin nang hayagan o sa isang paraan kung saan ang ebidensya ay nagpapat"&amp;"unay sa pampublikong kalikasan ng pagsasabwatan.
Mga parusa:
Trafficking/Illegal Recruitment: Ang mga parusa ay nag-iiba depende sa mga partikular na gawaing ginawa sa ilalim ng ATIP Act (hal., habambuhay na pagkakakulong para sa kwalipikadong trafficki"&amp;"ng).
Pinababang parusa para sa pagsasabwatan: Ayon sa Artikulo 8 ng RPC, ang parusa para sa pagsasabwatan ay isang antas na mas mababa kaysa sa parusa para sa target na krimen mismo (hal., kung ang trafficking ay nagdudulot ng habambuhay na pagkakakulong"&amp;", ang pagsasabwatan ay magkakaroon ng parusang ilang dekada).")</f>
        <v>Malakas ang paninindigan ng Pilipinas laban sa pampublikong pagsasabwatan upang gumawa ng human trafficking o ilegal na pangangalap sa pamamagitan ng kumbinasyon ng mga batas:
Republic Act No. 9208 o ang Anti-Trafficking in Persons Act of 2003 (ATIP Act), na sinususugan ng RA 10364:
Seksyon 4: Tinutukoy ang mga gawain ng trafficking ng mga tao, kabilang ang:
Pag-recruit, transportasyon, paglipat, pagkukulong, o pagtanggap ng isang tao
Ibig sabihin: pananakot, puwersa, pamimilit, panlilinlang, o pag-abuso sa kapangyarihan
Layunin: prostitusyon, pornograpiya, sapilitang paggawa, pang-aalipin, pagkaalipin sa utang, atbp.
Seksyon 5: Binabalangkas ang mga kilos na nagtataguyod ng trafficking, kabilang ang sadyang:
Pagpapaupa ng gusali para sa mga layunin ng trafficking
Paggawa ng mga pekeng dokumento para sa mga biktima ng trafficking
Republic Act No. 10175 o ang Cybercrime Prevention Act of 2012:
Seksyon 4(a)(5): Tinutugunan ang "Sabwatan para gumawa ng cybercrime." Nalalapat ito sa mga kasunduan na gawin ang alinman sa mga cybercrime na tinukoy sa ilalim ng batas, na maaaring magamit sa pagpapadali sa trafficking (hal., online na recruitment).
Mga Probisyon ng Binagong Kodigo Penal (RPC):
Artikulo 8: Sinasaklaw ang krimen ng "Conspiracy" sa pangkalahatan.
Seksyon 1: Nagsasaad na "ang pagsasabwatan upang gumawa ng krimen ay mapaparusahan ng kasunod na parusang mas mababa kaysa sa ibinigay para sa krimen mismo."
Pagtugon sa Public Conspiracy:
Dalawa o higit pang mga tao: Ang pagpaplano at kasunduan na gawin ang krimen ay dapat na may kasamang napatunayang kasunduan sa pagitan ng hindi bababa sa dalawang indibidwal.
Kalikasan ng publiko: Ang mismong kasunduan ay dapat gawin nang hayagan o sa isang paraan kung saan ang ebidensya ay nagpapatunay sa pampublikong kalikasan ng pagsasabwatan.
Mga parusa:
Trafficking/Illegal Recruitment: Ang mga parusa ay nag-iiba depende sa mga partikular na gawaing ginawa sa ilalim ng ATIP Act (hal., habambuhay na pagkakakulong para sa kwalipikadong trafficking).
Pinababang parusa para sa pagsasabwatan: Ayon sa Artikulo 8 ng RPC, ang parusa para sa pagsasabwatan ay isang antas na mas mababa kaysa sa parusa para sa target na krimen mismo (hal., kung ang trafficking ay nagdudulot ng habambuhay na pagkakakulong, ang pagsasabwatan ay magkakaroon ng parusang ilang dekada).</v>
      </c>
      <c r="F1985" s="2">
        <f t="shared" si="1"/>
        <v>4</v>
      </c>
      <c r="G1985" s="2"/>
      <c r="H1985" s="2"/>
      <c r="I1985" s="2"/>
      <c r="J1985" s="2"/>
      <c r="K1985" s="2"/>
      <c r="L1985" s="2"/>
      <c r="M1985" s="2"/>
      <c r="N1985" s="2"/>
      <c r="O1985" s="2"/>
      <c r="P1985" s="2"/>
      <c r="Q1985" s="2"/>
      <c r="R1985" s="2"/>
      <c r="S1985" s="2"/>
      <c r="T1985" s="2"/>
      <c r="U1985" s="2"/>
      <c r="V1985" s="2"/>
      <c r="W1985" s="2"/>
      <c r="X1985" s="2"/>
      <c r="Y1985" s="2"/>
      <c r="Z1985" s="2"/>
      <c r="AA1985" s="2"/>
    </row>
    <row r="1986">
      <c r="A1986" s="1" t="s">
        <v>4698</v>
      </c>
      <c r="B1986" s="1" t="s">
        <v>4992</v>
      </c>
      <c r="C1986" s="1" t="s">
        <v>4993</v>
      </c>
      <c r="D1986" s="2" t="str">
        <f>IFERROR(__xludf.DUMMYFUNCTION("GOOGLETRANSLATE(B1986, ""en"", ""TL"")"),"Anong mga legal na hakbang ang umiiral upang labanan ang mga paglabag sa kapaligiran sa antas ng kalye, tulad ng hindi wastong pagtatapon ng mga elektronikong basura sa mga pampublikong pamilihan?")</f>
        <v>Anong mga legal na hakbang ang umiiral upang labanan ang mga paglabag sa kapaligiran sa antas ng kalye, tulad ng hindi wastong pagtatapon ng mga elektronikong basura sa mga pampublikong pamilihan?</v>
      </c>
      <c r="E1986" s="2" t="str">
        <f>IFERROR(__xludf.DUMMYFUNCTION("GOOGLETRANSLATE(C1986, ""en"", ""TL"")"),"Sa Pilipinas, ang iba't ibang mga legal na hakbang ay inilalagay upang matugunan ang mga paglabag sa kapaligiran sa antas ng kalye, kabilang ang hindi tamang pagtatapon ng mga elektronikong basura (e-waste) sa mga pampublikong espasyo. Suriin natin ang mg"&amp;"a regulasyong ito:
Republic Act No. 11898 (Extended Producer Responsibility Act of 2022):
Institusyonal ng batas na ito ang extended producer responsibility (EPR) sa plastic packaging waste at inaamyenda ang Ecological Solid Waste Management Act of "&amp;"2000 (Republic Act No. 9003).
Ang EPR ay nag-uutos sa mga producer na maging responsable sa kapaligiran sa buong lifecycle ng isang produkto, lalo na sa panahon ng post-consumer o end-of-life stage nito.
Nilalayon ng batas na isulong ang pagbabawas ng b"&amp;"asura, pagbawi, pag-recycle, at pagbuo ng mga produktong pangkalikasan.
Republic Act No. 9003 (Ecological Solid Waste Management Act of 2000):
Ang komprehensibong batas na ito ay nagbibigay ng mga alituntunin para sa pamamahala ng solid waste, kabilan"&amp;"g ang e-waste.
Kinokontrol nito ang pag-aangkat, paggawa, pagproseso, paghawak, pag-iimbak, transportasyon, pagbebenta, pamamahagi, paggamit, paggamot, at pagtatapon ng mga nakakalason na kemikal at mga mapanganib na basura.
Ang e-waste, tulad ng mga co"&amp;"mputer, TV, refrigerator, at cell phone, ay sakop sa ilalim ng regulasyong ito.
Binibigyang-diin ng batas ang wastong mga kasanayan sa pamamahala upang mabawasan ang mga panganib sa kapaligiran at kalusugan na nauugnay sa e-waste.
Mga Alituntunin para s"&amp;"a Pamamahala ng E-Waste:
Naglabas ang Department of Environment and Natural Resources (DENR) ng mga alituntunin para sa pamamahala ng Waste Electrical and Electronic Equipment (WEEE).
Tinutugunan ng mga alituntuning ito ang mga nakakalason na metal (l"&amp;"ead, cadmium, mercury, hexavalent chromium) at flame retardant na karaniwang makikita sa e-waste.
Ang mga generator, transporter, at mga pasilidad sa paggamot na humahawak ng mga mapanganib na basura, kabilang ang WEEE, ay dapat magparehistro sa DENR at "&amp;"sumunod sa isang cradle-to-grave na diskarte sa pamamahala.
Pinapadali ng Online Hazardous Waste Management System ang pagpaparehistro at dokumentasyon.
Environmental Management Bureau (EMB):
Ang EMB, sa ilalim ng DENR, ay nangangasiwa sa pamamahala "&amp;"ng e-waste.
Ang Pilipinas ay nagre-regulate ng e-waste mula noong 1990, kasunod ng pagsasabatas ng RA 6969 (Toxic Substances and Hazardous and Nuclear Waste Control Act).
Nakabuo ang bansa ng humigit-kumulang 3.9 kilo ng e-waste per capita noong nakaraa"&amp;"ng taon.
Mga Wastong Kasanayan sa Pagtatapon:
Upang itapon ang e-waste nang maayos at legal, ang mga organisasyon ay dapat:
Kumuha ng Certificate of Non-Coverage (CNC).
Magrehistro bilang isang Mapanganib na Basura Generator.
Magtalaga ng Pollution"&amp;" Control Officer (PCO).
Tamang tukuyin, iimbak, at lagyan ng label ang mga mapanganib na basura.
Makipag-ugnayan sa isang vendor ng TSD (paggamot, imbakan, at pagtatapon) na akreditado upang pangasiwaan ang e-waste.")</f>
        <v>Sa Pilipinas, ang iba't ibang mga legal na hakbang ay inilalagay upang matugunan ang mga paglabag sa kapaligiran sa antas ng kalye, kabilang ang hindi tamang pagtatapon ng mga elektronikong basura (e-waste) sa mga pampublikong espasyo. Suriin natin ang mga regulasyong ito:
Republic Act No. 11898 (Extended Producer Responsibility Act of 2022):
Institusyonal ng batas na ito ang extended producer responsibility (EPR) sa plastic packaging waste at inaamyenda ang Ecological Solid Waste Management Act of 2000 (Republic Act No. 9003).
Ang EPR ay nag-uutos sa mga producer na maging responsable sa kapaligiran sa buong lifecycle ng isang produkto, lalo na sa panahon ng post-consumer o end-of-life stage nito.
Nilalayon ng batas na isulong ang pagbabawas ng basura, pagbawi, pag-recycle, at pagbuo ng mga produktong pangkalikasan.
Republic Act No. 9003 (Ecological Solid Waste Management Act of 2000):
Ang komprehensibong batas na ito ay nagbibigay ng mga alituntunin para sa pamamahala ng solid waste, kabilang ang e-waste.
Kinokontrol nito ang pag-aangkat, paggawa, pagproseso, paghawak, pag-iimbak, transportasyon, pagbebenta, pamamahagi, paggamit, paggamot, at pagtatapon ng mga nakakalason na kemikal at mga mapanganib na basura.
Ang e-waste, tulad ng mga computer, TV, refrigerator, at cell phone, ay sakop sa ilalim ng regulasyong ito.
Binibigyang-diin ng batas ang wastong mga kasanayan sa pamamahala upang mabawasan ang mga panganib sa kapaligiran at kalusugan na nauugnay sa e-waste.
Mga Alituntunin para sa Pamamahala ng E-Waste:
Naglabas ang Department of Environment and Natural Resources (DENR) ng mga alituntunin para sa pamamahala ng Waste Electrical and Electronic Equipment (WEEE).
Tinutugunan ng mga alituntuning ito ang mga nakakalason na metal (lead, cadmium, mercury, hexavalent chromium) at flame retardant na karaniwang makikita sa e-waste.
Ang mga generator, transporter, at mga pasilidad sa paggamot na humahawak ng mga mapanganib na basura, kabilang ang WEEE, ay dapat magparehistro sa DENR at sumunod sa isang cradle-to-grave na diskarte sa pamamahala.
Pinapadali ng Online Hazardous Waste Management System ang pagpaparehistro at dokumentasyon.
Environmental Management Bureau (EMB):
Ang EMB, sa ilalim ng DENR, ay nangangasiwa sa pamamahala ng e-waste.
Ang Pilipinas ay nagre-regulate ng e-waste mula noong 1990, kasunod ng pagsasabatas ng RA 6969 (Toxic Substances and Hazardous and Nuclear Waste Control Act).
Nakabuo ang bansa ng humigit-kumulang 3.9 kilo ng e-waste per capita noong nakaraang taon.
Mga Wastong Kasanayan sa Pagtatapon:
Upang itapon ang e-waste nang maayos at legal, ang mga organisasyon ay dapat:
Kumuha ng Certificate of Non-Coverage (CNC).
Magrehistro bilang isang Mapanganib na Basura Generator.
Magtalaga ng Pollution Control Officer (PCO).
Tamang tukuyin, iimbak, at lagyan ng label ang mga mapanganib na basura.
Makipag-ugnayan sa isang vendor ng TSD (paggamot, imbakan, at pagtatapon) na akreditado upang pangasiwaan ang e-waste.</v>
      </c>
      <c r="F1986" s="2">
        <f t="shared" si="1"/>
        <v>0</v>
      </c>
      <c r="G1986" s="2"/>
      <c r="H1986" s="2"/>
      <c r="I1986" s="2"/>
      <c r="J1986" s="2"/>
      <c r="K1986" s="2"/>
      <c r="L1986" s="2"/>
      <c r="M1986" s="2"/>
      <c r="N1986" s="2"/>
      <c r="O1986" s="2"/>
      <c r="P1986" s="2"/>
      <c r="Q1986" s="2"/>
      <c r="R1986" s="2"/>
      <c r="S1986" s="2"/>
      <c r="T1986" s="2"/>
      <c r="U1986" s="2"/>
      <c r="V1986" s="2"/>
      <c r="W1986" s="2"/>
      <c r="X1986" s="2"/>
      <c r="Y1986" s="2"/>
      <c r="Z1986" s="2"/>
      <c r="AA1986" s="2"/>
    </row>
    <row r="1987">
      <c r="A1987" s="1" t="s">
        <v>4698</v>
      </c>
      <c r="B1987" s="1" t="s">
        <v>4945</v>
      </c>
      <c r="C1987" s="1" t="s">
        <v>4994</v>
      </c>
      <c r="D1987" s="2" t="str">
        <f>IFERROR(__xludf.DUMMYFUNCTION("GOOGLETRANSLATE(B1987, ""en"", ""TL"")"),"Sa ilalim ng anong mga pangyayari ang isang tao ay maaaring makasuhan ng public conspiracy to commit election-related offenses sa pampublikong transportasyon?")</f>
        <v>Sa ilalim ng anong mga pangyayari ang isang tao ay maaaring makasuhan ng public conspiracy to commit election-related offenses sa pampublikong transportasyon?</v>
      </c>
      <c r="E1987" s="2" t="str">
        <f>IFERROR(__xludf.DUMMYFUNCTION("GOOGLETRANSLATE(C1987, ""en"", ""TL"")"),"Sa Pilipinas, ang pagsali sa pampublikong pagsasabwatan upang gumawa ng mga paglabag na may kaugnayan sa halalan sa pampublikong transportasyon ay maaaring lumabag sa ilang batas, kabilang ang:
Omnibus Election Code (Batas Pambansa Blg. 881): Ang kompreh"&amp;"ensibong batas na ito ay namamahala sa lahat ng aspeto ng halalan sa Pilipinas. Ang mga paglabag na may kaugnayan sa pagdadala ng mga botante nang labag sa batas, pamamahagi ng mga materyales sa kampanya sa loob ng mga pampublikong sasakyan, hindi awtoris"&amp;"adong pangangampanya, pag-uugnay sa pagbili ng boto o mga pamamaraan ng pananakot, pakikialam sa mga materyales sa halalan sa panahon ng transportasyon, at pag-aayos ng mga hindi awtorisadong campaign caravan ay maaaring saklawin sa ilalim ng code na ito."&amp;"
Batas Republika Blg. 7166: Ang batas na ito ay nagtatadhana para sa magkakasabay na pambansa at lokal na halalan at tinitiyak ang pagtutugma ng mga termino ng panunungkulan ng mga lokal na opisyal. Maaaring saklawin sa ilalim ng batas na ito ang mga pag"&amp;"labag na may kaugnayan sa mga iskedyul ng halalan at pagsasagawa ng magkasabay na halalan.
Republic Act No. 9006 (Fair Election Act): Kinokontrol ng batas na ito ang pagsasagawa ng mga kampanya sa halalan, kabilang ang paggamit ng mga materyales sa propa"&amp;"ganda, mga advertisement sa kampanya, at ang pagbabawal sa ilang uri ng propaganda sa halalan. Ang mga paglabag na may kaugnayan sa hindi awtorisadong pangangampanya at pamamahagi ng mga materyales sa kampanya sa loob ng mga pampublikong sasakyan ay mapap"&amp;"asailalim sa batas na ito.
Republic Act No. 10175 (Cybercrime Prevention Act of 2012): Ang batas na ito ay nagpaparusa sa iba't ibang anyo ng cybercrime, kabilang ang mga online na paglabag na may kaugnayan sa halalan tulad ng pagkalat ng maling impormas"&amp;"yon o pagsali sa online na propaganda. Bagama't hindi direktang nauugnay sa pampublikong transportasyon, kung ang mga paglabag na nauugnay sa halalan na ginawa sa pamamagitan ng mga digital na platform ay bahagi ng pagsasabwatan, maaari ding ilapat ang ba"&amp;"tas na ito.")</f>
        <v>Sa Pilipinas, ang pagsali sa pampublikong pagsasabwatan upang gumawa ng mga paglabag na may kaugnayan sa halalan sa pampublikong transportasyon ay maaaring lumabag sa ilang batas, kabilang ang:
Omnibus Election Code (Batas Pambansa Blg. 881): Ang komprehensibong batas na ito ay namamahala sa lahat ng aspeto ng halalan sa Pilipinas. Ang mga paglabag na may kaugnayan sa pagdadala ng mga botante nang labag sa batas, pamamahagi ng mga materyales sa kampanya sa loob ng mga pampublikong sasakyan, hindi awtorisadong pangangampanya, pag-uugnay sa pagbili ng boto o mga pamamaraan ng pananakot, pakikialam sa mga materyales sa halalan sa panahon ng transportasyon, at pag-aayos ng mga hindi awtorisadong campaign caravan ay maaaring saklawin sa ilalim ng code na ito.
Batas Republika Blg. 7166: Ang batas na ito ay nagtatadhana para sa magkakasabay na pambansa at lokal na halalan at tinitiyak ang pagtutugma ng mga termino ng panunungkulan ng mga lokal na opisyal. Maaaring saklawin sa ilalim ng batas na ito ang mga paglabag na may kaugnayan sa mga iskedyul ng halalan at pagsasagawa ng magkasabay na halalan.
Republic Act No. 9006 (Fair Election Act): Kinokontrol ng batas na ito ang pagsasagawa ng mga kampanya sa halalan, kabilang ang paggamit ng mga materyales sa propaganda, mga advertisement sa kampanya, at ang pagbabawal sa ilang uri ng propaganda sa halalan. Ang mga paglabag na may kaugnayan sa hindi awtorisadong pangangampanya at pamamahagi ng mga materyales sa kampanya sa loob ng mga pampublikong sasakyan ay mapapasailalim sa batas na ito.
Republic Act No. 10175 (Cybercrime Prevention Act of 2012): Ang batas na ito ay nagpaparusa sa iba't ibang anyo ng cybercrime, kabilang ang mga online na paglabag na may kaugnayan sa halalan tulad ng pagkalat ng maling impormasyon o pagsali sa online na propaganda. Bagama't hindi direktang nauugnay sa pampublikong transportasyon, kung ang mga paglabag na nauugnay sa halalan na ginawa sa pamamagitan ng mga digital na platform ay bahagi ng pagsasabwatan, maaari ding ilapat ang batas na ito.</v>
      </c>
      <c r="F1987" s="2">
        <f t="shared" si="1"/>
        <v>0</v>
      </c>
      <c r="G1987" s="2"/>
      <c r="H1987" s="2"/>
      <c r="I1987" s="2"/>
      <c r="J1987" s="2"/>
      <c r="K1987" s="2"/>
      <c r="L1987" s="2"/>
      <c r="M1987" s="2"/>
      <c r="N1987" s="2"/>
      <c r="O1987" s="2"/>
      <c r="P1987" s="2"/>
      <c r="Q1987" s="2"/>
      <c r="R1987" s="2"/>
      <c r="S1987" s="2"/>
      <c r="T1987" s="2"/>
      <c r="U1987" s="2"/>
      <c r="V1987" s="2"/>
      <c r="W1987" s="2"/>
      <c r="X1987" s="2"/>
      <c r="Y1987" s="2"/>
      <c r="Z1987" s="2"/>
      <c r="AA1987" s="2"/>
    </row>
    <row r="1988">
      <c r="A1988" s="1" t="s">
        <v>4698</v>
      </c>
      <c r="B1988" s="1" t="s">
        <v>4995</v>
      </c>
      <c r="C1988" s="1" t="s">
        <v>4996</v>
      </c>
      <c r="D1988" s="2" t="str">
        <f>IFERROR(__xludf.DUMMYFUNCTION("GOOGLETRANSLATE(B1988, ""en"", ""TL"")"),"Paano tinutugunan ng batas ng Pilipinas ang mga insidente ng pag-atake o panliligalig sa antas ng kalye batay sa kaugnayan o opinyon sa pulitika sa mga pampublikong espasyo?")</f>
        <v>Paano tinutugunan ng batas ng Pilipinas ang mga insidente ng pag-atake o panliligalig sa antas ng kalye batay sa kaugnayan o opinyon sa pulitika sa mga pampublikong espasyo?</v>
      </c>
      <c r="E1988" s="2" t="str">
        <f>IFERROR(__xludf.DUMMYFUNCTION("GOOGLETRANSLATE(C1988, ""en"", ""TL"")"),"Sa Pilipinas, tinutugunan ng mga legal na probisyon ang mga insidente ng pag-atake o panliligalig sa antas ng kalye batay sa kaugnayan o opinyon sa pulitika sa mga pampublikong espasyo. Narito ang mga kaugnay na batas:
Safe Spaces Act (Republic Act No. 11"&amp;"313):
Tinutukoy ng batas na ito ang sekswal na panliligalig na nakabatay sa kasarian sa mga lansangan, pampublikong espasyo, online na platform, lugar ng trabaho, at mga institusyong pang-edukasyon o pagsasanay.
Ito ay naglalayon na protektahan ang mga in"&amp;"dibidwal mula sa iba't ibang anyo ng panliligalig, kabilang ang mga nauugnay sa pampulitikang kaugnayan o opinyon.
Kabilang sa mga pangunahing probisyon ang:
Catcalling: Mga hindi gustong pananalita na nakadirekta sa isang tao, kadalasan sa anyo ng pagsip"&amp;"ol ng lobo at mapang-asar na paninira.
Online na sekswal na panliligalig sa kasarian: Magsagawa online na nagdudulot ng pagkabalisa sa pag-iisip, emosyonal, o sikolohikal, kabilang ang mga hindi gustong sekswal na pananalita, cyberstalking, at pagnanakaw "&amp;"ng pagkakakilanlan.
Mga pampublikong espasyo: Tumutukoy sa mga kalye, parke, paaralan, opisina ng gobyerno, mga terminal ng transportasyon, at iba pang lugar ng libangan.
Kabilang sa mga parusa sa mga paglabag ay pagkakulong ng hanggang anim na buwan at m"&amp;"ultang hanggang 500,000 pesos.
Deklarasyon ng mga Patakaran:
Pinahahalagahan ng Estado ang dignidad ng tao, ginagarantiyahan ang paggalang sa mga karapatang pantao, at kinikilala ang papel ng kababaihan sa pagbuo ng bansa.
Ang pagkakapantay-pantay, seguri"&amp;"dad, at kaligtasan ay mahalaga hindi lamang sa mga pribadong espasyo kundi pati na rin sa mga pampublikong espasyo.
Pagpapatupad at Pag-uulat:
Ang Land Transportation Franchising and Regulatory Board (LTFRB) ay aktibong nagsusulong ng kamalayan sa Safe Sp"&amp;"aces Act sa loob ng pampublikong sasakyan.
Hinihikayat ang mga mamamayan na mag-ulat ng mga insidente ng panliligalig na ginawa sa mga pampublikong lugar.")</f>
        <v>Sa Pilipinas, tinutugunan ng mga legal na probisyon ang mga insidente ng pag-atake o panliligalig sa antas ng kalye batay sa kaugnayan o opinyon sa pulitika sa mga pampublikong espasyo. Narito ang mga kaugnay na batas:
Safe Spaces Act (Republic Act No. 11313):
Tinutukoy ng batas na ito ang sekswal na panliligalig na nakabatay sa kasarian sa mga lansangan, pampublikong espasyo, online na platform, lugar ng trabaho, at mga institusyong pang-edukasyon o pagsasanay.
Ito ay naglalayon na protektahan ang mga indibidwal mula sa iba't ibang anyo ng panliligalig, kabilang ang mga nauugnay sa pampulitikang kaugnayan o opinyon.
Kabilang sa mga pangunahing probisyon ang:
Catcalling: Mga hindi gustong pananalita na nakadirekta sa isang tao, kadalasan sa anyo ng pagsipol ng lobo at mapang-asar na paninira.
Online na sekswal na panliligalig sa kasarian: Magsagawa online na nagdudulot ng pagkabalisa sa pag-iisip, emosyonal, o sikolohikal, kabilang ang mga hindi gustong sekswal na pananalita, cyberstalking, at pagnanakaw ng pagkakakilanlan.
Mga pampublikong espasyo: Tumutukoy sa mga kalye, parke, paaralan, opisina ng gobyerno, mga terminal ng transportasyon, at iba pang lugar ng libangan.
Kabilang sa mga parusa sa mga paglabag ay pagkakulong ng hanggang anim na buwan at multang hanggang 500,000 pesos.
Deklarasyon ng mga Patakaran:
Pinahahalagahan ng Estado ang dignidad ng tao, ginagarantiyahan ang paggalang sa mga karapatang pantao, at kinikilala ang papel ng kababaihan sa pagbuo ng bansa.
Ang pagkakapantay-pantay, seguridad, at kaligtasan ay mahalaga hindi lamang sa mga pribadong espasyo kundi pati na rin sa mga pampublikong espasyo.
Pagpapatupad at Pag-uulat:
Ang Land Transportation Franchising and Regulatory Board (LTFRB) ay aktibong nagsusulong ng kamalayan sa Safe Spaces Act sa loob ng pampublikong sasakyan.
Hinihikayat ang mga mamamayan na mag-ulat ng mga insidente ng panliligalig na ginawa sa mga pampublikong lugar.</v>
      </c>
      <c r="F1988" s="2">
        <f t="shared" si="1"/>
        <v>0</v>
      </c>
      <c r="G1988" s="2"/>
      <c r="H1988" s="2"/>
      <c r="I1988" s="2"/>
      <c r="J1988" s="2"/>
      <c r="K1988" s="2"/>
      <c r="L1988" s="2"/>
      <c r="M1988" s="2"/>
      <c r="N1988" s="2"/>
      <c r="O1988" s="2"/>
      <c r="P1988" s="2"/>
      <c r="Q1988" s="2"/>
      <c r="R1988" s="2"/>
      <c r="S1988" s="2"/>
      <c r="T1988" s="2"/>
      <c r="U1988" s="2"/>
      <c r="V1988" s="2"/>
      <c r="W1988" s="2"/>
      <c r="X1988" s="2"/>
      <c r="Y1988" s="2"/>
      <c r="Z1988" s="2"/>
      <c r="AA1988" s="2"/>
    </row>
    <row r="1989">
      <c r="A1989" s="1" t="s">
        <v>4698</v>
      </c>
      <c r="B1989" s="1" t="s">
        <v>4911</v>
      </c>
      <c r="C1989" s="1" t="s">
        <v>4997</v>
      </c>
      <c r="D1989" s="2" t="str">
        <f>IFERROR(__xludf.DUMMYFUNCTION("GOOGLETRANSLATE(B1989, ""en"", ""TL"")"),"Anong mga legal na probisyon ang kumokontrol sa pagkakaroon at paggamit ng mga hindi awtorisadong kagamitan sa pagsubaybay sa mga pampublikong espasyo malapit sa mga paaralan?")</f>
        <v>Anong mga legal na probisyon ang kumokontrol sa pagkakaroon at paggamit ng mga hindi awtorisadong kagamitan sa pagsubaybay sa mga pampublikong espasyo malapit sa mga paaralan?</v>
      </c>
      <c r="E1989" s="2" t="str">
        <f>IFERROR(__xludf.DUMMYFUNCTION("GOOGLETRANSLATE(C1989, ""en"", ""TL"")"),"Advisory ng NPC No. 2020-04:
Inilabas ng National Privacy Commission (NPC), ang advisory na ito ay nagbibigay ng mga alituntunin sa paggamit ng mga CCTV system.
Kabilang sa mga pangunahing prinsipyo ang:
Makatwiran at Angkop na Paggamit: Dapat suportahan "&amp;"ng mga CCTV system ang kaligtasan at seguridad habang isinasaalang-alang ang epekto nito sa mga karapatan at kalayaan ng mga paksa ng data.
Regular na Pagsusuri: Dapat pana-panahong tasahin ng mga operator ang pangangailangan ng paggamit ng CCTV para sa m"&amp;"ga tinukoy at lehitimong layunin.
Pagsunod sa Data Privacy Act (DPA): Ang pagpoproseso ng video at audio footage na nakuha mula sa mga CCTV ay nasa ilalim ng DPA. Dapat sumunod ang mga operator (magsusupil man o nagproseso ng personal na impormasyon) sa D"&amp;"PA, sa mga Implementing Rules and Regulations (IRR), at mga inilabas na NPC nito.
Sinasaklaw ng saklaw ang lahat ng PIC at PIP na nakikibahagi sa pagproseso ng personal na data sa pamamagitan ng mga CCTV system na tumatakbo sa mga pampubliko at semi-pampu"&amp;"blikong lugar, kabilang ang mga may kakayahan sa video at audio.
Inaasahan ng Privacy:
Bagama't sa pangkalahatan ay may mas kaunting mga inaasahan sa privacy ang mga pampublikong lugar kumpara sa mga pribadong espasyo, ang sinadyang pagbi-film ng isang ta"&amp;"o nang walang pahintulot nila, lalo na kung nagdudulot ito ng discomfort, ay maaaring magdulot ng mga legal na isyu.
Mga Parusa para sa Hindi Awtorisadong Pag-film:
Ang Republic Act No. 9995 (Ang Anti-Photo and Video Voyeurism Act) ay nagpaparusa sa hindi"&amp;" awtorisadong pagtatala ng mga intimate acts.
Ang mga lumalabag ay maaaring maharap sa pagkakulong at multa.")</f>
        <v>Advisory ng NPC No. 2020-04:
Inilabas ng National Privacy Commission (NPC), ang advisory na ito ay nagbibigay ng mga alituntunin sa paggamit ng mga CCTV system.
Kabilang sa mga pangunahing prinsipyo ang:
Makatwiran at Angkop na Paggamit: Dapat suportahan ng mga CCTV system ang kaligtasan at seguridad habang isinasaalang-alang ang epekto nito sa mga karapatan at kalayaan ng mga paksa ng data.
Regular na Pagsusuri: Dapat pana-panahong tasahin ng mga operator ang pangangailangan ng paggamit ng CCTV para sa mga tinukoy at lehitimong layunin.
Pagsunod sa Data Privacy Act (DPA): Ang pagpoproseso ng video at audio footage na nakuha mula sa mga CCTV ay nasa ilalim ng DPA. Dapat sumunod ang mga operator (magsusupil man o nagproseso ng personal na impormasyon) sa DPA, sa mga Implementing Rules and Regulations (IRR), at mga inilabas na NPC nito.
Sinasaklaw ng saklaw ang lahat ng PIC at PIP na nakikibahagi sa pagproseso ng personal na data sa pamamagitan ng mga CCTV system na tumatakbo sa mga pampubliko at semi-pampublikong lugar, kabilang ang mga may kakayahan sa video at audio.
Inaasahan ng Privacy:
Bagama't sa pangkalahatan ay may mas kaunting mga inaasahan sa privacy ang mga pampublikong lugar kumpara sa mga pribadong espasyo, ang sinadyang pagbi-film ng isang tao nang walang pahintulot nila, lalo na kung nagdudulot ito ng discomfort, ay maaaring magdulot ng mga legal na isyu.
Mga Parusa para sa Hindi Awtorisadong Pag-film:
Ang Republic Act No. 9995 (Ang Anti-Photo and Video Voyeurism Act) ay nagpaparusa sa hindi awtorisadong pagtatala ng mga intimate acts.
Ang mga lumalabag ay maaaring maharap sa pagkakulong at multa.</v>
      </c>
      <c r="F1989" s="2">
        <f t="shared" si="1"/>
        <v>1</v>
      </c>
      <c r="G1989" s="2"/>
      <c r="H1989" s="2"/>
      <c r="I1989" s="2"/>
      <c r="J1989" s="2"/>
      <c r="K1989" s="2"/>
      <c r="L1989" s="2"/>
      <c r="M1989" s="2"/>
      <c r="N1989" s="2"/>
      <c r="O1989" s="2"/>
      <c r="P1989" s="2"/>
      <c r="Q1989" s="2"/>
      <c r="R1989" s="2"/>
      <c r="S1989" s="2"/>
      <c r="T1989" s="2"/>
      <c r="U1989" s="2"/>
      <c r="V1989" s="2"/>
      <c r="W1989" s="2"/>
      <c r="X1989" s="2"/>
      <c r="Y1989" s="2"/>
      <c r="Z1989" s="2"/>
      <c r="AA1989" s="2"/>
    </row>
    <row r="1990">
      <c r="A1990" s="1" t="s">
        <v>4698</v>
      </c>
      <c r="B1990" s="1" t="s">
        <v>4899</v>
      </c>
      <c r="C1990" s="1" t="s">
        <v>4998</v>
      </c>
      <c r="D1990" s="2" t="str">
        <f>IFERROR(__xludf.DUMMYFUNCTION("GOOGLETRANSLATE(B1990, ""en"", ""TL"")"),"Paano tinutugunan sa ilalim ng batas ng Pilipinas ang krimen ng pampublikong pagsasabwatan upang gumawa ng mga online scam o cyber fraud?")</f>
        <v>Paano tinutugunan sa ilalim ng batas ng Pilipinas ang krimen ng pampublikong pagsasabwatan upang gumawa ng mga online scam o cyber fraud?</v>
      </c>
      <c r="E1990" s="2" t="str">
        <f>IFERROR(__xludf.DUMMYFUNCTION("GOOGLETRANSLATE(C1990, ""en"", ""TL"")"),"Tinutugunan ng batas ng Pilipinas ang pampublikong pagsasabwatan upang gumawa ng mga online scam o cyber fraud sa pamamagitan ng iba't ibang probisyon:
Republic Act No. 10175 o ang Cybercrime Prevention Act of 2012: Ang batas na ito ay nagpaparusa sa ilan"&amp;"g cybercrimes, kabilang ang:
Illegal Access: pag-access sa isang computer system nang walang pahintulot 
Panghihimasok sa Data: hindi awtorisadong pagbabago, pagtanggal, pinsala, o pagtatago ng data
Artikulo 183 ng Revised Penal Code (RPC): nagpaparusa sa"&amp;" sabwatan para gumawa ng krimen. Nalalapat ito sa pagpaplano at pagsang-ayon na magsagawa ng labag sa batas nang magkasama.
Bukod pa rito:
Republic Act No. 8424 o ang Consumer Protection Act: pinoprotektahan ang mga mamimili laban sa mapanlinlang at hin"&amp;"di patas na mga gawain sa pagbebenta. Bagama't hindi direktang tinutugunan ang mga online na scam, maaari itong mailapat sa mga kaso kung saan ang online na panloloko ay nakakapinsala sa mga mamimili.")</f>
        <v>Tinutugunan ng batas ng Pilipinas ang pampublikong pagsasabwatan upang gumawa ng mga online scam o cyber fraud sa pamamagitan ng iba't ibang probisyon:
Republic Act No. 10175 o ang Cybercrime Prevention Act of 2012: Ang batas na ito ay nagpaparusa sa ilang cybercrimes, kabilang ang:
Illegal Access: pag-access sa isang computer system nang walang pahintulot 
Panghihimasok sa Data: hindi awtorisadong pagbabago, pagtanggal, pinsala, o pagtatago ng data
Artikulo 183 ng Revised Penal Code (RPC): nagpaparusa sa sabwatan para gumawa ng krimen. Nalalapat ito sa pagpaplano at pagsang-ayon na magsagawa ng labag sa batas nang magkasama.
Bukod pa rito:
Republic Act No. 8424 o ang Consumer Protection Act: pinoprotektahan ang mga mamimili laban sa mapanlinlang at hindi patas na mga gawain sa pagbebenta. Bagama't hindi direktang tinutugunan ang mga online na scam, maaari itong mailapat sa mga kaso kung saan ang online na panloloko ay nakakapinsala sa mga mamimili.</v>
      </c>
      <c r="F1990" s="2">
        <f t="shared" si="1"/>
        <v>2</v>
      </c>
      <c r="G1990" s="2"/>
      <c r="H1990" s="2"/>
      <c r="I1990" s="2"/>
      <c r="J1990" s="2"/>
      <c r="K1990" s="2"/>
      <c r="L1990" s="2"/>
      <c r="M1990" s="2"/>
      <c r="N1990" s="2"/>
      <c r="O1990" s="2"/>
      <c r="P1990" s="2"/>
      <c r="Q1990" s="2"/>
      <c r="R1990" s="2"/>
      <c r="S1990" s="2"/>
      <c r="T1990" s="2"/>
      <c r="U1990" s="2"/>
      <c r="V1990" s="2"/>
      <c r="W1990" s="2"/>
      <c r="X1990" s="2"/>
      <c r="Y1990" s="2"/>
      <c r="Z1990" s="2"/>
      <c r="AA1990" s="2"/>
    </row>
    <row r="1991">
      <c r="A1991" s="1" t="s">
        <v>4698</v>
      </c>
      <c r="B1991" s="1" t="s">
        <v>4825</v>
      </c>
      <c r="C1991" s="1" t="s">
        <v>4999</v>
      </c>
      <c r="D1991" s="2" t="str">
        <f>IFERROR(__xludf.DUMMYFUNCTION("GOOGLETRANSLATE(B1991,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91" s="2" t="str">
        <f>IFERROR(__xludf.DUMMYFUNCTION("GOOGLETRANSLATE(C1991, ""en"", ""TL"")"),"Kung mapatunayang nagkasala, ang mga indibidwal na nakikibahagi sa pag-iwas sa buwis sa Pilipinas ay maaaring maharap sa matinding parusa. Narito ang isang breakdown ng mga potensyal na kahihinatnan:
mga multa:
Malaki ang pagtaas ng multa ng Bureau of I"&amp;"nternal Revenue (BIR) para sa tax evasion sa ilalim ng Tax Reform for Acceleration and Inclusion (TRAIN) Act.
Para sa mga pagtatangkang iwasan o talunin ang mga buwis sa kita, ang multa ay nasa pagitan na ng PHP 500,000 at PHP 10 milyon.
Dati, PHP 30,000 "&amp;"hanggang PHP 100,000 lang ang multa para sa mga nahatulan ng tax evasion.
pagkakulong:
Pinalawig na rin ang pagkakakulong.
Ang mga indibidwal na napatunayang nagkasala ng pag-iwas sa buwis ay maaari na ngayong makulong sa loob ng panahon na mula anim han"&amp;"ggang sampung taon.
Dati, dalawa hanggang apat na taon ang pagkakakulong.
Mga Karagdagang Parusa:
Ang multa at parusa ay karagdagan sa iba pang mga parusang itinatadhana ng batas.
Ang paghatol o pagpapawalang-sala para sa paglabag ay hindi humahadlang sa"&amp;" pagsasampa ng kasong sibil para sa pangongolekta ng buwis.
Ang mga sangkot sa pag-imprenta ng mga mapanlinlang at hindi awtorisadong resibo o komersyal/mga invoice sa pagbebenta ay nahaharap din sa mga katulad na multa at pagkakulong.
Ang mga nagbabayad "&amp;"ng buwis sa korporasyon na nabigong magpadala ng data ng mga benta sa electronic sales reporting system ng BIR ay maaaring maparusahan batay sa kanilang taunang netong kita na makikita sa mga na-audit na financial statement.
Ang kabiguang magpadala ng dat"&amp;"a ng mga benta sa loob ng 180 araw sa isang taon na nabubuwisan ay maaaring magresulta sa permanenteng pagsasara ng mga kumpanya.
Ang paggamit, pagbili, pagmamay-ari, pagbebenta, o pag-aalok ng ""mga kagamitan sa pagsugpo sa pagbebenta"" upang maiwasan an"&amp;"g mga pagbabayad ng buwis ay maaaring humantong sa mga multa at pagkakulong.
Mga Paglabag sa Programa sa Pagmarka ng gasolina:
Ang pekeng mga resulta ng pagsusulit sa pagmamarka ng gasolina ay maaaring magresulta sa pagkakulong mula sa isang taon hanggan"&amp;"g dalawa at kalahating taon.
Ang mga karagdagang parusa, tulad ng pagbawi ng mga propesyonal na lisensya o pagsasara ng mga pasilidad sa pagsusuri ng gasolina, ay maaari ding ilapat.")</f>
        <v>Kung mapatunayang nagkasala, ang mga indibidwal na nakikibahagi sa pag-iwas sa buwis sa Pilipinas ay maaaring maharap sa matinding parusa. Narito ang isang breakdown ng mga potensyal na kahihinatnan:
mga multa:
Malaki ang pagtaas ng multa ng Bureau of Internal Revenue (BIR) para sa tax evasion sa ilalim ng Tax Reform for Acceleration and Inclusion (TRAIN) Act.
Para sa mga pagtatangkang iwasan o talunin ang mga buwis sa kita, ang multa ay nasa pagitan na ng PHP 500,000 at PHP 10 milyon.
Dati, PHP 30,000 hanggang PHP 100,000 lang ang multa para sa mga nahatulan ng tax evasion.
pagkakulong:
Pinalawig na rin ang pagkakakulong.
Ang mga indibidwal na napatunayang nagkasala ng pag-iwas sa buwis ay maaari na ngayong makulong sa loob ng panahon na mula anim hanggang sampung taon.
Dati, dalawa hanggang apat na taon ang pagkakakulong.
Mga Karagdagang Parusa:
Ang multa at parusa ay karagdagan sa iba pang mga parusang itinatadhana ng batas.
Ang paghatol o pagpapawalang-sala para sa paglabag ay hindi humahadlang sa pagsasampa ng kasong sibil para sa pangongolekta ng buwis.
Ang mga sangkot sa pag-imprenta ng mga mapanlinlang at hindi awtorisadong resibo o komersyal/mga invoice sa pagbebenta ay nahaharap din sa mga katulad na multa at pagkakulong.
Ang mga nagbabayad ng buwis sa korporasyon na nabigong magpadala ng data ng mga benta sa electronic sales reporting system ng BIR ay maaaring maparusahan batay sa kanilang taunang netong kita na makikita sa mga na-audit na financial statement.
Ang kabiguang magpadala ng data ng mga benta sa loob ng 180 araw sa isang taon na nabubuwisan ay maaaring magresulta sa permanenteng pagsasara ng mga kumpanya.
Ang paggamit, pagbili, pagmamay-ari, pagbebenta, o pag-aalok ng "mga kagamitan sa pagsugpo sa pagbebenta" upang maiwasan ang mga pagbabayad ng buwis ay maaaring humantong sa mga multa at pagkakulong.
Mga Paglabag sa Programa sa Pagmarka ng gasolina:
Ang pekeng mga resulta ng pagsusulit sa pagmamarka ng gasolina ay maaaring magresulta sa pagkakulong mula sa isang taon hanggang dalawa at kalahating taon.
Ang mga karagdagang parusa, tulad ng pagbawi ng mga propesyonal na lisensya o pagsasara ng mga pasilidad sa pagsusuri ng gasolina, ay maaari ding ilapat.</v>
      </c>
      <c r="F1991" s="2">
        <f t="shared" si="1"/>
        <v>2</v>
      </c>
      <c r="G1991" s="2"/>
      <c r="H1991" s="2"/>
      <c r="I1991" s="2"/>
      <c r="J1991" s="2"/>
      <c r="K1991" s="2"/>
      <c r="L1991" s="2"/>
      <c r="M1991" s="2"/>
      <c r="N1991" s="2"/>
      <c r="O1991" s="2"/>
      <c r="P1991" s="2"/>
      <c r="Q1991" s="2"/>
      <c r="R1991" s="2"/>
      <c r="S1991" s="2"/>
      <c r="T1991" s="2"/>
      <c r="U1991" s="2"/>
      <c r="V1991" s="2"/>
      <c r="W1991" s="2"/>
      <c r="X1991" s="2"/>
      <c r="Y1991" s="2"/>
      <c r="Z1991" s="2"/>
      <c r="AA1991" s="2"/>
    </row>
    <row r="1992">
      <c r="A1992" s="1" t="s">
        <v>4698</v>
      </c>
      <c r="B1992" s="1" t="s">
        <v>5000</v>
      </c>
      <c r="C1992" s="1" t="s">
        <v>5001</v>
      </c>
      <c r="D1992" s="2" t="str">
        <f>IFERROR(__xludf.DUMMYFUNCTION("GOOGLETRANSLATE(B1992, ""en"", ""TL"")"),"Paano tinutugunan ng batas ang mga insidente ng pag-atake o panliligalig sa antas ng kalye batay sa kapansanan o pisikal na kondisyon sa pampublikong transportasyon?")</f>
        <v>Paano tinutugunan ng batas ang mga insidente ng pag-atake o panliligalig sa antas ng kalye batay sa kapansanan o pisikal na kondisyon sa pampublikong transportasyon?</v>
      </c>
      <c r="E1992" s="2" t="str">
        <f>IFERROR(__xludf.DUMMYFUNCTION("GOOGLETRANSLATE(C1992, ""en"", ""TL"")"),"Ang Pilipinas ay may mga legal na hakbang upang tugunan ang pang-aabuso o panliligalig sa antas ng kalye batay sa kapansanan o pisikal na kondisyon sa pampublikong transportasyon:
Republic Act No. 7277 o ang Anti-Discrimination Act: Ipinagbabawal ng bata"&amp;"s na ito ang diskriminasyon laban sa mga taong may kapansanan sa iba't ibang aspeto, kabilang ang access sa mga pampublikong serbisyo tulad ng transportasyon.
Artikulo 266 ng Binagong Kodigo Penal (RPC): Ito ay nagpaparusa sa mga gawaing nagdulot ng mga p"&amp;"insalang pisikal. Ang antas ng parusa ay tumataas kung ang pag-atake ay ginawa sa isang taong may kapansanan.
Artikulo 282 ng RPC: Saklaw nito ang krimen ng ""Slight Physical Injuries."" Bagama't mas magaan ang parusa, nalalapat ito sa mga sitwasyon kung "&amp;"saan ang pag-atake ay nagresulta sa mga menor de edad na pinsala.
Anti-Sexual Harassment Law (Republic Act No. 10354): Bagama't hindi direktang nagta-target sa kapansanan, pinoprotektahan ng batas na ito ang mga indibidwal mula sa sekswal na panliligalig,"&amp;" na maaaring mangyari kasabay ng pag-atake o panliligalig batay sa kapansanan.")</f>
        <v>Ang Pilipinas ay may mga legal na hakbang upang tugunan ang pang-aabuso o panliligalig sa antas ng kalye batay sa kapansanan o pisikal na kondisyon sa pampublikong transportasyon:
Republic Act No. 7277 o ang Anti-Discrimination Act: Ipinagbabawal ng batas na ito ang diskriminasyon laban sa mga taong may kapansanan sa iba't ibang aspeto, kabilang ang access sa mga pampublikong serbisyo tulad ng transportasyon.
Artikulo 266 ng Binagong Kodigo Penal (RPC): Ito ay nagpaparusa sa mga gawaing nagdulot ng mga pinsalang pisikal. Ang antas ng parusa ay tumataas kung ang pag-atake ay ginawa sa isang taong may kapansanan.
Artikulo 282 ng RPC: Saklaw nito ang krimen ng "Slight Physical Injuries." Bagama't mas magaan ang parusa, nalalapat ito sa mga sitwasyon kung saan ang pag-atake ay nagresulta sa mga menor de edad na pinsala.
Anti-Sexual Harassment Law (Republic Act No. 10354): Bagama't hindi direktang nagta-target sa kapansanan, pinoprotektahan ng batas na ito ang mga indibidwal mula sa sekswal na panliligalig, na maaaring mangyari kasabay ng pag-atake o panliligalig batay sa kapansanan.</v>
      </c>
      <c r="F1992" s="2">
        <f t="shared" si="1"/>
        <v>1</v>
      </c>
      <c r="G1992" s="2"/>
      <c r="H1992" s="2"/>
      <c r="I1992" s="2"/>
      <c r="J1992" s="2"/>
      <c r="K1992" s="2"/>
      <c r="L1992" s="2"/>
      <c r="M1992" s="2"/>
      <c r="N1992" s="2"/>
      <c r="O1992" s="2"/>
      <c r="P1992" s="2"/>
      <c r="Q1992" s="2"/>
      <c r="R1992" s="2"/>
      <c r="S1992" s="2"/>
      <c r="T1992" s="2"/>
      <c r="U1992" s="2"/>
      <c r="V1992" s="2"/>
      <c r="W1992" s="2"/>
      <c r="X1992" s="2"/>
      <c r="Y1992" s="2"/>
      <c r="Z1992" s="2"/>
      <c r="AA1992" s="2"/>
    </row>
    <row r="1993">
      <c r="A1993" s="1" t="s">
        <v>4698</v>
      </c>
      <c r="B1993" s="1" t="s">
        <v>5002</v>
      </c>
      <c r="C1993" s="1" t="s">
        <v>5003</v>
      </c>
      <c r="D1993" s="2" t="str">
        <f>IFERROR(__xludf.DUMMYFUNCTION("GOOGLETRANSLATE(B1993, ""en"", ""TL"")"),"Anong mga legal na hakbang ang umiiral upang labanan ang mga paglabag sa kapaligiran sa antas ng kalye, tulad ng hindi wastong pagtatapon ng mga mapanganib na materyales sa mga pampublikong espasyo?")</f>
        <v>Anong mga legal na hakbang ang umiiral upang labanan ang mga paglabag sa kapaligiran sa antas ng kalye, tulad ng hindi wastong pagtatapon ng mga mapanganib na materyales sa mga pampublikong espasyo?</v>
      </c>
      <c r="E1993" s="2" t="str">
        <f>IFERROR(__xludf.DUMMYFUNCTION("GOOGLETRANSLATE(C1993, ""en"", ""TL"")"),"Ang Pilipinas ay may maraming legal na mekanismo na inilalagay upang labanan ang mga paglabag sa kapaligiran sa antas ng kalye, tulad ng hindi awtorisadong pagtatapon ng mga mapanganib na kemikal sa mga pampublikong lugar. Narito ang isang listahan ng naa"&amp;"angkop na batas at ang Konstitusyon: Konstitusyon ng Pilipinas:
• Artikulo II, sugnay 16: Ang sugnay na ito ay nag-aatas sa estado na ""protektahan at itaguyod ang buong pagtatamasa ng kultural na pamana."" Ito ay maaaring ipakahulugan na kasama ang panga"&amp;"ngalaga sa kapaligiran, na isang mahalagang bahagi ng kultural na pamana ng Pilipinas.
Mga batas:
• Ang Ecological Solid Waste Management Act (Republic Act No. 9003) ay ang pangunahing batas na namamahala sa solid waste management. Ipinagbabawal nito ang "&amp;"pagtatapon ng basura, iligal na pagtatapon ng basura, at bukas na pagsunog ng basura. Pinapahintulutan nito ang Department of Environment and Natural Resources (DENR) at mga local government units (LGUs) na magpatibay ng mga batas at magpataw ng mga parus"&amp;"a.
• Ang Toxic Substances and Hazardous and Nuclear Wastes Control Act (Republic Act No. 6969) ay namamahala sa pamamahala ng mga mapanganib na materyales, kabilang ang imbakan, transportasyon, paggamot, at pagtatapon. Mahigpit nitong ipinagbabawal ang hi"&amp;"ndi wastong pagtatapon ng mga mapanganib na basura sa mga pampublikong lugar. Ang mga lumalabag ay nahaharap sa malalaking multa at kulungan.
• Ang Kodigo ng Lokal na Pamahalaan (Republic Act No. 7160) ay nagpapahintulot sa mga LGU na lumikha ng mga ordin"&amp;"ansa na naaayon sa kanilang mga lokalidad. Maraming LGU ang may mga tuntunin na namamahala sa pagtatapon ng basura at kalinisan sa kapaligiran. Ang mga panuntunang ito ay madalas na nagpapataw ng mga multa para sa pagtatapon ng basura, mahinang paghihiwal"&amp;"ay ng basura, at iligal na pagtatapon.
Pagpapatupad:
• DENR: Ang DENR ang pangunahing ahensyang nangangasiwa sa pangangalaga sa kapaligiran. Ito ay may awtoridad na hulihin at usigin ang mga nagkasala. • LGUs: Ang mga LGU, partikular na ang mga barangay ("&amp;"ang pinakamaliit na local government units), ay may mahalagang papel sa pagpapatupad ng mga batas at ordinansang pangkalikasan sa loob ng kanilang mga teritoryo. Para sa mga maliliit na paglabag, ang mga opisyal ng barangay ay may awtoridad na mag-isyu ng"&amp;" mga tiket at multa. • Bantay Kalikasan (Environmental Protection Unit): Ang yunit na ito ng Pambansang Pulisya ng Pilipinas ay tumutulong sa pagpapatupad ng mga regulasyong pangkalikasan.
Karagdagang mga pagsasaalang-alang: • Sistema ng Katarungan ng Bar"&amp;"angay: Para sa maliliit na paglabag tulad ng pagtatapon ng basura, maaaring gamitin ang sistema ng hustisya ng barangay para sa pamamagitan at pagpaparusa. • Paglahok ng Mamamayan: Ang pag-uulat ng mga paglabag sa kapaligiran sa mga opisyal ng barangay o "&amp;"sa DENR ay kritikal sa epektibong pagpapatupad.")</f>
        <v>Ang Pilipinas ay may maraming legal na mekanismo na inilalagay upang labanan ang mga paglabag sa kapaligiran sa antas ng kalye, tulad ng hindi awtorisadong pagtatapon ng mga mapanganib na kemikal sa mga pampublikong lugar. Narito ang isang listahan ng naaangkop na batas at ang Konstitusyon: Konstitusyon ng Pilipinas:
• Artikulo II, sugnay 16: Ang sugnay na ito ay nag-aatas sa estado na "protektahan at itaguyod ang buong pagtatamasa ng kultural na pamana." Ito ay maaaring ipakahulugan na kasama ang pangangalaga sa kapaligiran, na isang mahalagang bahagi ng kultural na pamana ng Pilipinas.
Mga batas:
• Ang Ecological Solid Waste Management Act (Republic Act No. 9003) ay ang pangunahing batas na namamahala sa solid waste management. Ipinagbabawal nito ang pagtatapon ng basura, iligal na pagtatapon ng basura, at bukas na pagsunog ng basura. Pinapahintulutan nito ang Department of Environment and Natural Resources (DENR) at mga local government units (LGUs) na magpatibay ng mga batas at magpataw ng mga parusa.
• Ang Toxic Substances and Hazardous and Nuclear Wastes Control Act (Republic Act No. 6969) ay namamahala sa pamamahala ng mga mapanganib na materyales, kabilang ang imbakan, transportasyon, paggamot, at pagtatapon. Mahigpit nitong ipinagbabawal ang hindi wastong pagtatapon ng mga mapanganib na basura sa mga pampublikong lugar. Ang mga lumalabag ay nahaharap sa malalaking multa at kulungan.
• Ang Kodigo ng Lokal na Pamahalaan (Republic Act No. 7160) ay nagpapahintulot sa mga LGU na lumikha ng mga ordinansa na naaayon sa kanilang mga lokalidad. Maraming LGU ang may mga tuntunin na namamahala sa pagtatapon ng basura at kalinisan sa kapaligiran. Ang mga panuntunang ito ay madalas na nagpapataw ng mga multa para sa pagtatapon ng basura, mahinang paghihiwalay ng basura, at iligal na pagtatapon.
Pagpapatupad:
• DENR: Ang DENR ang pangunahing ahensyang nangangasiwa sa pangangalaga sa kapaligiran. Ito ay may awtoridad na hulihin at usigin ang mga nagkasala. • LGUs: Ang mga LGU, partikular na ang mga barangay (ang pinakamaliit na local government units), ay may mahalagang papel sa pagpapatupad ng mga batas at ordinansang pangkalikasan sa loob ng kanilang mga teritoryo. Para sa mga maliliit na paglabag, ang mga opisyal ng barangay ay may awtoridad na mag-isyu ng mga tiket at multa. • Bantay Kalikasan (Environmental Protection Unit): Ang yunit na ito ng Pambansang Pulisya ng Pilipinas ay tumutulong sa pagpapatupad ng mga regulasyong pangkalikasan.
Karagdagang mga pagsasaalang-alang: • Sistema ng Katarungan ng Barangay: Para sa maliliit na paglabag tulad ng pagtatapon ng basura, maaaring gamitin ang sistema ng hustisya ng barangay para sa pamamagitan at pagpaparusa. • Paglahok ng Mamamayan: Ang pag-uulat ng mga paglabag sa kapaligiran sa mga opisyal ng barangay o sa DENR ay kritikal sa epektibong pagpapatupad.</v>
      </c>
      <c r="F1993" s="2">
        <f t="shared" si="1"/>
        <v>0</v>
      </c>
      <c r="G1993" s="2"/>
      <c r="H1993" s="2"/>
      <c r="I1993" s="2"/>
      <c r="J1993" s="2"/>
      <c r="K1993" s="2"/>
      <c r="L1993" s="2"/>
      <c r="M1993" s="2"/>
      <c r="N1993" s="2"/>
      <c r="O1993" s="2"/>
      <c r="P1993" s="2"/>
      <c r="Q1993" s="2"/>
      <c r="R1993" s="2"/>
      <c r="S1993" s="2"/>
      <c r="T1993" s="2"/>
      <c r="U1993" s="2"/>
      <c r="V1993" s="2"/>
      <c r="W1993" s="2"/>
      <c r="X1993" s="2"/>
      <c r="Y1993" s="2"/>
      <c r="Z1993" s="2"/>
      <c r="AA1993" s="2"/>
    </row>
    <row r="1994">
      <c r="A1994" s="1" t="s">
        <v>4698</v>
      </c>
      <c r="B1994" s="1" t="s">
        <v>4959</v>
      </c>
      <c r="C1994" s="1" t="s">
        <v>5004</v>
      </c>
      <c r="D1994" s="2" t="str">
        <f>IFERROR(__xludf.DUMMYFUNCTION("GOOGLETRANSLATE(B1994, ""en"", ""TL"")"),"Sa ilalim ng anong mga pangyayari ang isang tao ay maaaring makasuhan ng pampublikong pagsasabwatan upang gumawa ng mga pagkakasala na may kaugnayan sa terorismo sa mga pampublikong parke?")</f>
        <v>Sa ilalim ng anong mga pangyayari ang isang tao ay maaaring makasuhan ng pampublikong pagsasabwatan upang gumawa ng mga pagkakasala na may kaugnayan sa terorismo sa mga pampublikong parke?</v>
      </c>
      <c r="E1994" s="2" t="str">
        <f>IFERROR(__xludf.DUMMYFUNCTION("GOOGLETRANSLATE(C1994, ""en"", ""TL"")"),"Ang Anti-Terrorism Act of 2020 ng Pilipinas ay ginagawang criminal felony ang pagsasabwatan para magsagawa ng terorismo. Narito ang mahahalagang punto tungkol sa pagsingil na ito:
1. Ang pagsasabwatan upang gumawa ng terorismo ay tinukoy bilang:
o Ang isa"&amp;"ng pagsasabwatan upang magsagawa ng terorismo ay nangyayari kapag ang dalawa o higit pang mga indibidwal ay sumang-ayon na gumawa ng mga pagkakasala sa terorismo, gaya ng tinukoy at pinarusahan sa Seksyon 4 ng Anti-Terrorism Act.
o Ang kasunduang ito ay n"&amp;"agsasangkot ng pagpaplano o pag-oorganisa ng mga aktibidad na nauugnay sa terorismo.
2. Parusa:
o Ang sinumang mahatulan na nagkasala ng pagsasabwatan upang magsagawa ng terorismo ay nahaharap sa habambuhay na pagkakakulong nang walang posibilidad ng paro"&amp;"l.
o Ang parusang ito ay mabigat at sumasalamin sa kabigatan ng pagkakasala.
3. Konteksto at Aplikasyon:
o Ang mga pangyayari na nakapalibot sa isang akusasyon ng pagsasabwatan upang magsagawa ng terorismo ay maaaring mag-iba. Ang mga indibidwal ay madala"&amp;"s na nagpaplano o nag-uusap ng mga gawaing terorista, tulad ng mga pag-atake, bomba, o iba pang marahas na pagkilos.
o Ang mga pampublikong parke, tulad ng iba pang pampublikong espasyo, ay maaaring magsilbi bilang isang forum para sa mga naturang debate "&amp;"o pagpaplano.
o Maaaring imbestigahan at kasuhan ng mga awtoridad ang mga indibidwal batay sa patunay ng pagkakasangkot nila sa isang pagsasabwatan ng terorista.")</f>
        <v>Ang Anti-Terrorism Act of 2020 ng Pilipinas ay ginagawang criminal felony ang pagsasabwatan para magsagawa ng terorismo. Narito ang mahahalagang punto tungkol sa pagsingil na ito:
1. Ang pagsasabwatan upang gumawa ng terorismo ay tinukoy bilang:
o Ang isang pagsasabwatan upang magsagawa ng terorismo ay nangyayari kapag ang dalawa o higit pang mga indibidwal ay sumang-ayon na gumawa ng mga pagkakasala sa terorismo, gaya ng tinukoy at pinarusahan sa Seksyon 4 ng Anti-Terrorism Act.
o Ang kasunduang ito ay nagsasangkot ng pagpaplano o pag-oorganisa ng mga aktibidad na nauugnay sa terorismo.
2. Parusa:
o Ang sinumang mahatulan na nagkasala ng pagsasabwatan upang magsagawa ng terorismo ay nahaharap sa habambuhay na pagkakakulong nang walang posibilidad ng parol.
o Ang parusang ito ay mabigat at sumasalamin sa kabigatan ng pagkakasala.
3. Konteksto at Aplikasyon:
o Ang mga pangyayari na nakapalibot sa isang akusasyon ng pagsasabwatan upang magsagawa ng terorismo ay maaaring mag-iba. Ang mga indibidwal ay madalas na nagpaplano o nag-uusap ng mga gawaing terorista, tulad ng mga pag-atake, bomba, o iba pang marahas na pagkilos.
o Ang mga pampublikong parke, tulad ng iba pang pampublikong espasyo, ay maaaring magsilbi bilang isang forum para sa mga naturang debate o pagpaplano.
o Maaaring imbestigahan at kasuhan ng mga awtoridad ang mga indibidwal batay sa patunay ng pagkakasangkot nila sa isang pagsasabwatan ng terorista.</v>
      </c>
      <c r="F1994" s="2">
        <f t="shared" si="1"/>
        <v>0</v>
      </c>
      <c r="G1994" s="2"/>
      <c r="H1994" s="2"/>
      <c r="I1994" s="2"/>
      <c r="J1994" s="2"/>
      <c r="K1994" s="2"/>
      <c r="L1994" s="2"/>
      <c r="M1994" s="2"/>
      <c r="N1994" s="2"/>
      <c r="O1994" s="2"/>
      <c r="P1994" s="2"/>
      <c r="Q1994" s="2"/>
      <c r="R1994" s="2"/>
      <c r="S1994" s="2"/>
      <c r="T1994" s="2"/>
      <c r="U1994" s="2"/>
      <c r="V1994" s="2"/>
      <c r="W1994" s="2"/>
      <c r="X1994" s="2"/>
      <c r="Y1994" s="2"/>
      <c r="Z1994" s="2"/>
      <c r="AA1994" s="2"/>
    </row>
    <row r="1995">
      <c r="A1995" s="1" t="s">
        <v>4698</v>
      </c>
      <c r="B1995" s="1" t="s">
        <v>4849</v>
      </c>
      <c r="C1995" s="1" t="s">
        <v>5004</v>
      </c>
      <c r="D1995" s="2" t="str">
        <f>IFERROR(__xludf.DUMMYFUNCTION("GOOGLETRANSLATE(B1995, ""en"", ""TL"")"),"Paano tinutugunan sa ilalim ng batas ng Pilipinas ang pagkakasala ng pampublikong pagsasabwatan upang magsagawa ng pagnanakaw ng pagkakakilanlan o pandaraya sa pananalapi?")</f>
        <v>Paano tinutugunan sa ilalim ng batas ng Pilipinas ang pagkakasala ng pampublikong pagsasabwatan upang magsagawa ng pagnanakaw ng pagkakakilanlan o pandaraya sa pananalapi?</v>
      </c>
      <c r="E1995" s="2" t="str">
        <f>IFERROR(__xludf.DUMMYFUNCTION("GOOGLETRANSLATE(C1995, ""en"", ""TL"")"),"Ang Anti-Terrorism Act of 2020 ng Pilipinas ay ginagawang criminal felony ang pagsasabwatan para magsagawa ng terorismo. Narito ang mahahalagang punto tungkol sa pagsingil na ito:
1. Ang pagsasabwatan upang gumawa ng terorismo ay tinukoy bilang:
o Ang isa"&amp;"ng pagsasabwatan upang magsagawa ng terorismo ay nangyayari kapag ang dalawa o higit pang mga indibidwal ay sumang-ayon na gumawa ng mga pagkakasala sa terorismo, gaya ng tinukoy at pinarusahan sa Seksyon 4 ng Anti-Terrorism Act.
o Ang kasunduang ito ay n"&amp;"agsasangkot ng pagpaplano o pag-oorganisa ng mga aktibidad na nauugnay sa terorismo.
2. Parusa:
o Ang sinumang mahatulan na nagkasala ng pagsasabwatan upang magsagawa ng terorismo ay nahaharap sa habambuhay na pagkakakulong nang walang posibilidad ng paro"&amp;"l.
o Ang parusang ito ay mabigat at sumasalamin sa kabigatan ng pagkakasala.
3. Konteksto at Aplikasyon:
o Ang mga pangyayari na nakapalibot sa isang akusasyon ng pagsasabwatan upang magsagawa ng terorismo ay maaaring mag-iba. Ang mga indibidwal ay madala"&amp;"s na nagpaplano o nag-uusap ng mga gawaing terorista, tulad ng mga pag-atake, bomba, o iba pang marahas na pagkilos.
o Ang mga pampublikong parke, tulad ng iba pang pampublikong espasyo, ay maaaring magsilbi bilang isang forum para sa mga naturang debate "&amp;"o pagpaplano.
o Maaaring imbestigahan at kasuhan ng mga awtoridad ang mga indibidwal batay sa patunay ng pagkakasangkot nila sa isang pagsasabwatan ng terorista.")</f>
        <v>Ang Anti-Terrorism Act of 2020 ng Pilipinas ay ginagawang criminal felony ang pagsasabwatan para magsagawa ng terorismo. Narito ang mahahalagang punto tungkol sa pagsingil na ito:
1. Ang pagsasabwatan upang gumawa ng terorismo ay tinukoy bilang:
o Ang isang pagsasabwatan upang magsagawa ng terorismo ay nangyayari kapag ang dalawa o higit pang mga indibidwal ay sumang-ayon na gumawa ng mga pagkakasala sa terorismo, gaya ng tinukoy at pinarusahan sa Seksyon 4 ng Anti-Terrorism Act.
o Ang kasunduang ito ay nagsasangkot ng pagpaplano o pag-oorganisa ng mga aktibidad na nauugnay sa terorismo.
2. Parusa:
o Ang sinumang mahatulan na nagkasala ng pagsasabwatan upang magsagawa ng terorismo ay nahaharap sa habambuhay na pagkakakulong nang walang posibilidad ng parol.
o Ang parusang ito ay mabigat at sumasalamin sa kabigatan ng pagkakasala.
3. Konteksto at Aplikasyon:
o Ang mga pangyayari na nakapalibot sa isang akusasyon ng pagsasabwatan upang magsagawa ng terorismo ay maaaring mag-iba. Ang mga indibidwal ay madalas na nagpaplano o nag-uusap ng mga gawaing terorista, tulad ng mga pag-atake, bomba, o iba pang marahas na pagkilos.
o Ang mga pampublikong parke, tulad ng iba pang pampublikong espasyo, ay maaaring magsilbi bilang isang forum para sa mga naturang debate o pagpaplano.
o Maaaring imbestigahan at kasuhan ng mga awtoridad ang mga indibidwal batay sa patunay ng pagkakasangkot nila sa isang pagsasabwatan ng terorista.</v>
      </c>
      <c r="F1995" s="2">
        <f t="shared" si="1"/>
        <v>3</v>
      </c>
      <c r="G1995" s="2"/>
      <c r="H1995" s="2"/>
      <c r="I1995" s="2"/>
      <c r="J1995" s="2"/>
      <c r="K1995" s="2"/>
      <c r="L1995" s="2"/>
      <c r="M1995" s="2"/>
      <c r="N1995" s="2"/>
      <c r="O1995" s="2"/>
      <c r="P1995" s="2"/>
      <c r="Q1995" s="2"/>
      <c r="R1995" s="2"/>
      <c r="S1995" s="2"/>
      <c r="T1995" s="2"/>
      <c r="U1995" s="2"/>
      <c r="V1995" s="2"/>
      <c r="W1995" s="2"/>
      <c r="X1995" s="2"/>
      <c r="Y1995" s="2"/>
      <c r="Z1995" s="2"/>
      <c r="AA1995" s="2"/>
    </row>
    <row r="1996">
      <c r="A1996" s="1" t="s">
        <v>4698</v>
      </c>
      <c r="B1996" s="1" t="s">
        <v>5005</v>
      </c>
      <c r="C1996" s="1" t="s">
        <v>5006</v>
      </c>
      <c r="D1996" s="2" t="str">
        <f>IFERROR(__xludf.DUMMYFUNCTION("GOOGLETRANSLATE(B1996, ""en"", ""TL"")"),"Anong mga parusa ang naaangkop para sa pagsali sa hindi awtorisadong pagbebenta o pamamahagi ng mga ipinagbabawal na publikasyon sa mga pampublikong espasyo malapit sa mga cultural heritage site?")</f>
        <v>Anong mga parusa ang naaangkop para sa pagsali sa hindi awtorisadong pagbebenta o pamamahagi ng mga ipinagbabawal na publikasyon sa mga pampublikong espasyo malapit sa mga cultural heritage site?</v>
      </c>
      <c r="E1996" s="2" t="str">
        <f>IFERROR(__xludf.DUMMYFUNCTION("GOOGLETRANSLATE(C1996, ""en"", ""TL"")"),"Bagama't walang partikular na batas na tumutugon lamang sa pagbebenta ng mga ipinagbabawal na publikasyon malapit sa mga cultural heritage site sa Pilipinas, maaaring ipataw ang mga parusa sa pamamagitan ng iba't ibang umiiral na mga regulasyon:
Mga Orden"&amp;"ansa ng Lokal na Pamahalaan:
Maraming mga lungsod at munisipalidad ang may mga ordinansang kumokontrol sa paggamit ng mga pampublikong espasyo. Maaaring ipagbawal ng mga ordinansang ito ang pagbebenta o pagbebenta ng mga bagay na walang wastong permit sa "&amp;"mga partikular na lugar, kabilang ang mga zone na nakapalibot sa mga cultural heritage site.
Ang paglabag sa mga ordinansang ito ay karaniwang nagreresulta sa mga multa o pagkumpiska ng mga kalakal.
Presidential Decree No. 1083:
Ang kautusang ito ay nag-u"&amp;"utos ng paglikha ng isang ""Cultural Protection Zone"" sa paligid ng mga itinalagang makasaysayang landmark, dambana, at sentro ng kultura.
Bagama't hindi nito tahasang binabanggit ang mga ipinagbabawal na publikasyon, maaaring paghigpitan ang mga aktibid"&amp;"ad sa loob ng zone na maaaring magdulot ng ""pagkasira o sagabal sa kultural at makasaysayang halaga"" ng site.
Mga Paghihigpit na Batay sa Nilalaman:
Itinataguyod ng Pilipinas ang kalayaan sa pagsasalita, ngunit ang ilang mga publikasyon ay maaaring itur"&amp;"ing na labag sa batas kung sila ay:
Isulong ang karahasan, poot, o kahalayan.
Lumabag sa mga karapatan sa intelektwal na pag-aari.
Naglalaman ng nilalamang libelo o mapanirang-puri.
Pagbebenta nang Walang Permit:
Ang pagbebenta ng anumang publikasyon, kah"&amp;"it na hindi tahasang ipinagbabawal, ay nangangailangan ng business permit mula sa lokal na pamahalaan.
Ang pagbebenta nang walang permit ay maaaring humantong sa mga multa at pagkumpiska ng mga kalakal.
Samakatuwid, ang mga parusa para sa hindi awtorisado"&amp;"ng pagbebenta ng mga ipinagbabawal na publikasyon malapit sa mga cultural heritage site ay maaaring may kasamang:
Mga multa: Ipinataw para sa paglabag sa mga lokal na ordinansa o pagbebenta nang walang permit.
Pagkumpiska ng mga kalakal: Ang mga publikasy"&amp;"ong ibinebenta nang ilegal ay maaaring sakupin.")</f>
        <v>Bagama't walang partikular na batas na tumutugon lamang sa pagbebenta ng mga ipinagbabawal na publikasyon malapit sa mga cultural heritage site sa Pilipinas, maaaring ipataw ang mga parusa sa pamamagitan ng iba't ibang umiiral na mga regulasyon:
Mga Ordenansa ng Lokal na Pamahalaan:
Maraming mga lungsod at munisipalidad ang may mga ordinansang kumokontrol sa paggamit ng mga pampublikong espasyo. Maaaring ipagbawal ng mga ordinansang ito ang pagbebenta o pagbebenta ng mga bagay na walang wastong permit sa mga partikular na lugar, kabilang ang mga zone na nakapalibot sa mga cultural heritage site.
Ang paglabag sa mga ordinansang ito ay karaniwang nagreresulta sa mga multa o pagkumpiska ng mga kalakal.
Presidential Decree No. 1083:
Ang kautusang ito ay nag-uutos ng paglikha ng isang "Cultural Protection Zone" sa paligid ng mga itinalagang makasaysayang landmark, dambana, at sentro ng kultura.
Bagama't hindi nito tahasang binabanggit ang mga ipinagbabawal na publikasyon, maaaring paghigpitan ang mga aktibidad sa loob ng zone na maaaring magdulot ng "pagkasira o sagabal sa kultural at makasaysayang halaga" ng site.
Mga Paghihigpit na Batay sa Nilalaman:
Itinataguyod ng Pilipinas ang kalayaan sa pagsasalita, ngunit ang ilang mga publikasyon ay maaaring ituring na labag sa batas kung sila ay:
Isulong ang karahasan, poot, o kahalayan.
Lumabag sa mga karapatan sa intelektwal na pag-aari.
Naglalaman ng nilalamang libelo o mapanirang-puri.
Pagbebenta nang Walang Permit:
Ang pagbebenta ng anumang publikasyon, kahit na hindi tahasang ipinagbabawal, ay nangangailangan ng business permit mula sa lokal na pamahalaan.
Ang pagbebenta nang walang permit ay maaaring humantong sa mga multa at pagkumpiska ng mga kalakal.
Samakatuwid, ang mga parusa para sa hindi awtorisadong pagbebenta ng mga ipinagbabawal na publikasyon malapit sa mga cultural heritage site ay maaaring may kasamang:
Mga multa: Ipinataw para sa paglabag sa mga lokal na ordinansa o pagbebenta nang walang permit.
Pagkumpiska ng mga kalakal: Ang mga publikasyong ibinebenta nang ilegal ay maaaring sakupin.</v>
      </c>
      <c r="F1996" s="2">
        <f t="shared" si="1"/>
        <v>3</v>
      </c>
      <c r="G1996" s="2"/>
      <c r="H1996" s="2"/>
      <c r="I1996" s="2"/>
      <c r="J1996" s="2"/>
      <c r="K1996" s="2"/>
      <c r="L1996" s="2"/>
      <c r="M1996" s="2"/>
      <c r="N1996" s="2"/>
      <c r="O1996" s="2"/>
      <c r="P1996" s="2"/>
      <c r="Q1996" s="2"/>
      <c r="R1996" s="2"/>
      <c r="S1996" s="2"/>
      <c r="T1996" s="2"/>
      <c r="U1996" s="2"/>
      <c r="V1996" s="2"/>
      <c r="W1996" s="2"/>
      <c r="X1996" s="2"/>
      <c r="Y1996" s="2"/>
      <c r="Z1996" s="2"/>
      <c r="AA1996" s="2"/>
    </row>
    <row r="1997">
      <c r="A1997" s="1" t="s">
        <v>4698</v>
      </c>
      <c r="B1997" s="1" t="s">
        <v>4925</v>
      </c>
      <c r="C1997" s="1" t="s">
        <v>5007</v>
      </c>
      <c r="D1997" s="2" t="str">
        <f>IFERROR(__xludf.DUMMYFUNCTION("GOOGLETRANSLATE(B1997, ""en"", ""TL"")"),"Anong mga legal na probisyon ang kumokontrol sa pagmamay-ari at paggamit ng mga hindi awtorisadong surveillance device sa mga pampublikong espasyo malapit sa mga opisina ng gobyerno?")</f>
        <v>Anong mga legal na probisyon ang kumokontrol sa pagmamay-ari at paggamit ng mga hindi awtorisadong surveillance device sa mga pampublikong espasyo malapit sa mga opisina ng gobyerno?</v>
      </c>
      <c r="E1997" s="2" t="str">
        <f>IFERROR(__xludf.DUMMYFUNCTION("GOOGLETRANSLATE(C1997, ""en"", ""TL"")"),"Sa Pilipinas, ipinagbabawal ng batas ang paggamit ng mga surveillance device, lalo na ang closed-circuit television (CCTV), sa mga pampublikong lugar malapit sa mga opisina ng gobyerno. Narito ang ilang mahahalagang alituntunin:
1. Ang Data Privacy Act of"&amp;" 2012 (DPA) ay nagsasaad na ang pagkuha, paggamit, pagpapanatili, at pagsira ng video at/o audio footage na natanggap mula sa mga CCTV system ay bumubuo ng personal na pagproseso ng data. Ang mga nagpoproseso ng personal na data sa pamamagitan ng mga CCTV"&amp;" system, bilang mga personal information controller (PIC) man o personal information processor (PIP), ay dapat sumunod sa DPA, sa Implementing Rules and Regulations (IRR) nito, at anumang nauugnay na mga pagpapalabas ng National Privacy Commission (NPC).
"&amp;"2. Mga Pangkalahatang Prinsipyo:
o Kapag ginamit nang maayos, nakakatulong ang mga CCTV system sa kaligtasan at seguridad ng mga tao. o Ang epekto sa mga karapatan at kalayaan ng mga paksa ng data ay dapat matugunan, at dapat na ginagarantiyahan ng mga re"&amp;"gular na pagsusuri na ang CCTV ay ginagamit lamang para sa mga tinukoy at awtorisadong layunin. o Masking (pagtatago ng mga bahagi ng video imagery) ay maaaring gamitin upang pangalagaan ang privacy. o Ang legal na pagsubaybay ng mga awtoridad na nagpapat"&amp;"upad ng batas ay hindi napapailalim sa mga paghihigpit na ito, bagama't ito ay napapailalim pa rin sa Konstitusyon at iba pang nauugnay na batas.
3. Saklaw:
o Nalalapat ito sa lahat ng PIC at PIP na humahawak ng personal na data gamit ang mga CCTV system "&amp;"sa pampubliko at semi-pampublikong lugar. o Kabilang dito ang mga CCTV system na nagre-record ng mga video at ang mga may parehong kakayahan sa video at audio.
4. Kahulugan ng mga Termino:
o CCTV: Isang closed-circuit television o camera surveillance syst"&amp;"em na kumukuha ng mga larawan ng mga indibidwal o iba pang impormasyon tungkol sa kanila. o Paksa ng Data: Isang indibidwal na pinoproseso ang personal na impormasyon. o Ang personal na impormasyon ay anumang impormasyon kung saan ang pagkakakilanlan ng i"&amp;"sang indibidwal ay maaaring patas at agad na matutukoy. o Ang personal information controller (PIC) ay isang indibidwal o entity na namamahala sa pagkolekta, pagproseso, o paggamit ng personal na impormasyon. o Ang masking ay ang proseso ng pagtatago ng m"&amp;"ga bahagi ng video o still images upang maprotektahan ang privacy.")</f>
        <v>Sa Pilipinas, ipinagbabawal ng batas ang paggamit ng mga surveillance device, lalo na ang closed-circuit television (CCTV), sa mga pampublikong lugar malapit sa mga opisina ng gobyerno. Narito ang ilang mahahalagang alituntunin:
1. Ang Data Privacy Act of 2012 (DPA) ay nagsasaad na ang pagkuha, paggamit, pagpapanatili, at pagsira ng video at/o audio footage na natanggap mula sa mga CCTV system ay bumubuo ng personal na pagproseso ng data. Ang mga nagpoproseso ng personal na data sa pamamagitan ng mga CCTV system, bilang mga personal information controller (PIC) man o personal information processor (PIP), ay dapat sumunod sa DPA, sa Implementing Rules and Regulations (IRR) nito, at anumang nauugnay na mga pagpapalabas ng National Privacy Commission (NPC).
2. Mga Pangkalahatang Prinsipyo:
o Kapag ginamit nang maayos, nakakatulong ang mga CCTV system sa kaligtasan at seguridad ng mga tao. o Ang epekto sa mga karapatan at kalayaan ng mga paksa ng data ay dapat matugunan, at dapat na ginagarantiyahan ng mga regular na pagsusuri na ang CCTV ay ginagamit lamang para sa mga tinukoy at awtorisadong layunin. o Masking (pagtatago ng mga bahagi ng video imagery) ay maaaring gamitin upang pangalagaan ang privacy. o Ang legal na pagsubaybay ng mga awtoridad na nagpapatupad ng batas ay hindi napapailalim sa mga paghihigpit na ito, bagama't ito ay napapailalim pa rin sa Konstitusyon at iba pang nauugnay na batas.
3. Saklaw:
o Nalalapat ito sa lahat ng PIC at PIP na humahawak ng personal na data gamit ang mga CCTV system sa pampubliko at semi-pampublikong lugar. o Kabilang dito ang mga CCTV system na nagre-record ng mga video at ang mga may parehong kakayahan sa video at audio.
4. Kahulugan ng mga Termino:
o CCTV: Isang closed-circuit television o camera surveillance system na kumukuha ng mga larawan ng mga indibidwal o iba pang impormasyon tungkol sa kanila. o Paksa ng Data: Isang indibidwal na pinoproseso ang personal na impormasyon. o Ang personal na impormasyon ay anumang impormasyon kung saan ang pagkakakilanlan ng isang indibidwal ay maaaring patas at agad na matutukoy. o Ang personal information controller (PIC) ay isang indibidwal o entity na namamahala sa pagkolekta, pagproseso, o paggamit ng personal na impormasyon. o Ang masking ay ang proseso ng pagtatago ng mga bahagi ng video o still images upang maprotektahan ang privacy.</v>
      </c>
      <c r="F1997" s="2">
        <f t="shared" si="1"/>
        <v>3</v>
      </c>
      <c r="G1997" s="2"/>
      <c r="H1997" s="2"/>
      <c r="I1997" s="2"/>
      <c r="J1997" s="2"/>
      <c r="K1997" s="2"/>
      <c r="L1997" s="2"/>
      <c r="M1997" s="2"/>
      <c r="N1997" s="2"/>
      <c r="O1997" s="2"/>
      <c r="P1997" s="2"/>
      <c r="Q1997" s="2"/>
      <c r="R1997" s="2"/>
      <c r="S1997" s="2"/>
      <c r="T1997" s="2"/>
      <c r="U1997" s="2"/>
      <c r="V1997" s="2"/>
      <c r="W1997" s="2"/>
      <c r="X1997" s="2"/>
      <c r="Y1997" s="2"/>
      <c r="Z1997" s="2"/>
      <c r="AA1997" s="2"/>
    </row>
    <row r="1998">
      <c r="A1998" s="1" t="s">
        <v>4698</v>
      </c>
      <c r="B1998" s="1" t="s">
        <v>5008</v>
      </c>
      <c r="C1998" s="1" t="s">
        <v>5009</v>
      </c>
      <c r="D1998" s="2" t="str">
        <f>IFERROR(__xludf.DUMMYFUNCTION("GOOGLETRANSLATE(B1998, ""en"", ""TL"")"),"Paano tinutugunan ng batas ang mga insidente ng pang-aabuso o panliligalig sa antas ng kalye batay sa oryentasyong sekswal o pagkakakilanlang pangkasarian sa mga pampublikong lugar?")</f>
        <v>Paano tinutugunan ng batas ang mga insidente ng pang-aabuso o panliligalig sa antas ng kalye batay sa oryentasyong sekswal o pagkakakilanlang pangkasarian sa mga pampublikong lugar?</v>
      </c>
      <c r="E1998" s="2" t="str">
        <f>IFERROR(__xludf.DUMMYFUNCTION("GOOGLETRANSLATE(C1998, ""en"", ""TL"")"),"Ang Pilipinas ay gumawa ng mahahalagang hakbang upang tugunan ang pang-aabuso o panliligalig sa antas ng kalye batay sa oryentasyong sekswal o pagkakakilanlang pangkasarian (SOGI) sa mga pampublikong lugar. Narito ang isang breakdown ng legal na balangkas"&amp;":
Republic Act No. 11313 (Safe Spaces Act):
Pinagtibay noong 2019, partikular na tinutugunan ng batas na ito ang gender-based sexual harassment (GBSH).
Bagama't hindi lamang nakatutok sa SOGI, ito ay sumasaklaw sa mga hindi kanais-nais at hindi inanyayaha"&amp;"ng mga sekswal na aksyon o komento laban sa sinumang tao sa iba't ibang mga setting, kabilang ang mga pampublikong espasyo.
Mga pangunahing probisyon ng Batas:
Ipinagbabawal: Pananakot, pangangapa, bastos na pagkakalantad, at iba pang anyo ng sekswal na p"&amp;"anliligalig sa sinuman sa mga pampublikong lugar.
Mga Parusa: Mula sa mga multa hanggang sa pagkakulong depende sa kalubhaan ng pagkakasala.
Mga Panukala sa Proteksyon: Ang mga local government unit (LGUs) ay inaatasan na magtatag ng mga mekanismo para sa"&amp;" pag-uulat at pagtugon sa mga reklamo ng GBSH.
Mga Karagdagang Batas:
Artikulo 266 ng Binagong Kodigo Penal (RPC): Nagpaparusa sa mga gawaing nagdulot ng pisikal na pinsala. Tataas ang parusa kung ang pag-atake ay udyok ng poot o pagkiling, na maaaring su"&amp;"maklaw sa pagkiling batay sa SOGI.
Artikulo 144 ng RPC: Pinarurusahan ang mga gawaing panggulo sa publiko at hindi maayos na pag-uugali. Maaari itong ilapat sa mga sitwasyon kung saan ang panliligalig ay lumilikha ng masamang kapaligiran sa mga pampubliko"&amp;"ng espasyo.")</f>
        <v>Ang Pilipinas ay gumawa ng mahahalagang hakbang upang tugunan ang pang-aabuso o panliligalig sa antas ng kalye batay sa oryentasyong sekswal o pagkakakilanlang pangkasarian (SOGI) sa mga pampublikong lugar. Narito ang isang breakdown ng legal na balangkas:
Republic Act No. 11313 (Safe Spaces Act):
Pinagtibay noong 2019, partikular na tinutugunan ng batas na ito ang gender-based sexual harassment (GBSH).
Bagama't hindi lamang nakatutok sa SOGI, ito ay sumasaklaw sa mga hindi kanais-nais at hindi inanyayahang mga sekswal na aksyon o komento laban sa sinumang tao sa iba't ibang mga setting, kabilang ang mga pampublikong espasyo.
Mga pangunahing probisyon ng Batas:
Ipinagbabawal: Pananakot, pangangapa, bastos na pagkakalantad, at iba pang anyo ng sekswal na panliligalig sa sinuman sa mga pampublikong lugar.
Mga Parusa: Mula sa mga multa hanggang sa pagkakulong depende sa kalubhaan ng pagkakasala.
Mga Panukala sa Proteksyon: Ang mga local government unit (LGUs) ay inaatasan na magtatag ng mga mekanismo para sa pag-uulat at pagtugon sa mga reklamo ng GBSH.
Mga Karagdagang Batas:
Artikulo 266 ng Binagong Kodigo Penal (RPC): Nagpaparusa sa mga gawaing nagdulot ng pisikal na pinsala. Tataas ang parusa kung ang pag-atake ay udyok ng poot o pagkiling, na maaaring sumaklaw sa pagkiling batay sa SOGI.
Artikulo 144 ng RPC: Pinarurusahan ang mga gawaing panggulo sa publiko at hindi maayos na pag-uugali. Maaari itong ilapat sa mga sitwasyon kung saan ang panliligalig ay lumilikha ng masamang kapaligiran sa mga pampublikong espasyo.</v>
      </c>
      <c r="F1998" s="2">
        <f t="shared" si="1"/>
        <v>1</v>
      </c>
      <c r="G1998" s="2"/>
      <c r="H1998" s="2"/>
      <c r="I1998" s="2"/>
      <c r="J1998" s="2"/>
      <c r="K1998" s="2"/>
      <c r="L1998" s="2"/>
      <c r="M1998" s="2"/>
      <c r="N1998" s="2"/>
      <c r="O1998" s="2"/>
      <c r="P1998" s="2"/>
      <c r="Q1998" s="2"/>
      <c r="R1998" s="2"/>
      <c r="S1998" s="2"/>
      <c r="T1998" s="2"/>
      <c r="U1998" s="2"/>
      <c r="V1998" s="2"/>
      <c r="W1998" s="2"/>
      <c r="X1998" s="2"/>
      <c r="Y1998" s="2"/>
      <c r="Z1998" s="2"/>
      <c r="AA1998" s="2"/>
    </row>
    <row r="1999">
      <c r="A1999" s="1" t="s">
        <v>4698</v>
      </c>
      <c r="B1999" s="1" t="s">
        <v>4825</v>
      </c>
      <c r="C1999" s="1" t="s">
        <v>5010</v>
      </c>
      <c r="D1999" s="2" t="str">
        <f>IFERROR(__xludf.DUMMYFUNCTION("GOOGLETRANSLATE(B1999,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1999" s="2" t="str">
        <f>IFERROR(__xludf.DUMMYFUNCTION("GOOGLETRANSLATE(C1999, ""en"", ""TL"")"),"Ang pag-iwas sa buwis at mapanlinlang na aktibidad sa pananalapi ay iba-iba ang parusa sa Pilipinas depende sa pagkakasala. Narito ang mga naaangkop na probisyon:
1. Pag-iwas sa Buwis:
o Ang Republic Act No. 7642 ay nagpapataw ng mga parusa para sa pag-iw"&amp;"as sa buwis, kabilang ang:
 Ang multa ay dapat na mas mababa sa legal na multa o doble ang halaga ng mga buwis, interes, at mga surcharge na dapat bayaran ng nagbabayad ng buwis (alinman ang mas malaki).
 Pagkakulong ng dalawa hanggang apat na taon 1. o"&amp;" Higit pa rito, kinokontrol ng Data Privacy Act of 2012 ang paggamit ng mga teknolohiya sa pagsubaybay, kabilang ang mga CCTV camera, sa mga pampublikong lugar malapit sa mga tanggapan ng gobyerno. Ang mga multa at kulungan ay posibleng mga parusa para sa"&amp;" mga paglabag 2. Mga Mapanlinlang na Aktibidad sa Pinansyal:
o Ang mga parusa para sa mga mapanlinlang na aktibidad gamit ang estafa (swindling) ay depende sa halaga ng mapanlinlang na nakuhang ari-arian:
 Kung hindi lalagpas sa 6,000 piso ang kabuuang h"&amp;"alaga, ang parusa ay arresto mayor.  Kung ang halaga ay lumampas sa 6,000 pesos ngunit hindi lalampas sa 12,000 pesos, ang parusa ay prision correccional sa minimum at medium terms.")</f>
        <v>Ang pag-iwas sa buwis at mapanlinlang na aktibidad sa pananalapi ay iba-iba ang parusa sa Pilipinas depende sa pagkakasala. Narito ang mga naaangkop na probisyon:
1. Pag-iwas sa Buwis:
o Ang Republic Act No. 7642 ay nagpapataw ng mga parusa para sa pag-iwas sa buwis, kabilang ang:
 Ang multa ay dapat na mas mababa sa legal na multa o doble ang halaga ng mga buwis, interes, at mga surcharge na dapat bayaran ng nagbabayad ng buwis (alinman ang mas malaki).
 Pagkakulong ng dalawa hanggang apat na taon 1. o Higit pa rito, kinokontrol ng Data Privacy Act of 2012 ang paggamit ng mga teknolohiya sa pagsubaybay, kabilang ang mga CCTV camera, sa mga pampublikong lugar malapit sa mga tanggapan ng gobyerno. Ang mga multa at kulungan ay posibleng mga parusa para sa mga paglabag 2. Mga Mapanlinlang na Aktibidad sa Pinansyal:
o Ang mga parusa para sa mga mapanlinlang na aktibidad gamit ang estafa (swindling) ay depende sa halaga ng mapanlinlang na nakuhang ari-arian:
 Kung hindi lalagpas sa 6,000 piso ang kabuuang halaga, ang parusa ay arresto mayor.  Kung ang halaga ay lumampas sa 6,000 pesos ngunit hindi lalampas sa 12,000 pesos, ang parusa ay prision correccional sa minimum at medium terms.</v>
      </c>
      <c r="F1999" s="2">
        <f t="shared" si="1"/>
        <v>1</v>
      </c>
      <c r="G1999" s="2"/>
      <c r="H1999" s="2"/>
      <c r="I1999" s="2"/>
      <c r="J1999" s="2"/>
      <c r="K1999" s="2"/>
      <c r="L1999" s="2"/>
      <c r="M1999" s="2"/>
      <c r="N1999" s="2"/>
      <c r="O1999" s="2"/>
      <c r="P1999" s="2"/>
      <c r="Q1999" s="2"/>
      <c r="R1999" s="2"/>
      <c r="S1999" s="2"/>
      <c r="T1999" s="2"/>
      <c r="U1999" s="2"/>
      <c r="V1999" s="2"/>
      <c r="W1999" s="2"/>
      <c r="X1999" s="2"/>
      <c r="Y1999" s="2"/>
      <c r="Z1999" s="2"/>
      <c r="AA1999" s="2"/>
    </row>
    <row r="2000">
      <c r="A2000" s="1" t="s">
        <v>4698</v>
      </c>
      <c r="B2000" s="1" t="s">
        <v>4858</v>
      </c>
      <c r="C2000" s="1" t="s">
        <v>5011</v>
      </c>
      <c r="D2000" s="2" t="str">
        <f>IFERROR(__xludf.DUMMYFUNCTION("GOOGLETRANSLATE(B2000, ""en"", ""TL"")"),"Paano tinutugunan sa ilalim ng batas ng Pilipinas ang krimen ng public conspiracy to commit human trafficking o illegal recruitment?")</f>
        <v>Paano tinutugunan sa ilalim ng batas ng Pilipinas ang krimen ng public conspiracy to commit human trafficking o illegal recruitment?</v>
      </c>
      <c r="E2000" s="2" t="str">
        <f>IFERROR(__xludf.DUMMYFUNCTION("GOOGLETRANSLATE(C2000, ""en"", ""TL"")"),"Sa Pilipinas, ang pampublikong pagsasabwatan upang gumawa ng human trafficking o iligal na pangangalap ay tinutugunan ng mga natatanging hakbang sa pambatasan. Siyasatin natin ang mga ito:
1. Expanded Anti-Trafficking in Persons Act of 2012 (Republic Act "&amp;"No. 10364):
o Sinusubukan ng batas na ito na alisin ang human trafficking, partikular sa mga kababaihan at mga bata. Bumubuo ito ng mga sistemang institusyonal para sa proteksyon at suporta ng mga nai-traffic na indibidwal.
o Mga pangunahing punto na may "&amp;"kaugnayan sa pagsasabwatan:
 Deklarasyon ng Patakaran: Pinahahalagahan ng Estado ang dignidad ng tao, iginagalang ang mga indibidwal na karapatan, at inuuna ang mga hakbang upang maiwasan ang trafficking at suportahan ang pagbawi at muling pagsasama ng m"&amp;"ga biktima sa lipunan.
 Kahulugan ng mga Termino:
 Trafficking in Persons: Kabilang ang pangangalap, transportasyon, paglilipat, pagkukulong, o pagtanggap ng mga tao sa pamamagitan ng pagbabanta, puwersa, pamimilit, panlilinlang, o pag-abuso sa kapangya"&amp;"rihan para sa pagsasamantala (hal., sekswal na pagsasamantala, sapilitang paggawa, pang-aalipin).
 Conspiracy: Kapag ang dalawa o higit pang tao ay sumang-ayon na gumawa ng isang felony (tulad ng trafficking) at nagpasya na isagawa ito.
o Ang mga parusa "&amp;"para sa mga paglabag sa trafficking ay kinabibilangan ng pagkakulong at mga multa
2. Ilegal na Recruitment:
o Ang Republic Act No. 10022 ay may kinalaman sa ipinagbabawal na recruitment. Ang sinumang mapatunayang nagkasala ng ipinagbabawal na pangangalap "&amp;"ay mahaharap:
 Pagkakulong ng hindi bababa sa 12 taon at isang araw, ngunit hindi hihigit sa 20 taon.
 Ang mga multa ay mula P1,000,000.00 hanggang P2,000,000.00..
o Ang pagsasabwatan sa malakihang iligal na pangangalap ay nangyayari kapag tatlo o higit"&amp;" pang mga indibidwal ang nagtutulungan upang gawin ang pagkakasala.")</f>
        <v>Sa Pilipinas, ang pampublikong pagsasabwatan upang gumawa ng human trafficking o iligal na pangangalap ay tinutugunan ng mga natatanging hakbang sa pambatasan. Siyasatin natin ang mga ito:
1. Expanded Anti-Trafficking in Persons Act of 2012 (Republic Act No. 10364):
o Sinusubukan ng batas na ito na alisin ang human trafficking, partikular sa mga kababaihan at mga bata. Bumubuo ito ng mga sistemang institusyonal para sa proteksyon at suporta ng mga nai-traffic na indibidwal.
o Mga pangunahing punto na may kaugnayan sa pagsasabwatan:
 Deklarasyon ng Patakaran: Pinahahalagahan ng Estado ang dignidad ng tao, iginagalang ang mga indibidwal na karapatan, at inuuna ang mga hakbang upang maiwasan ang trafficking at suportahan ang pagbawi at muling pagsasama ng mga biktima sa lipunan.
 Kahulugan ng mga Termino:
 Trafficking in Persons: Kabilang ang pangangalap, transportasyon, paglilipat, pagkukulong, o pagtanggap ng mga tao sa pamamagitan ng pagbabanta, puwersa, pamimilit, panlilinlang, o pag-abuso sa kapangyarihan para sa pagsasamantala (hal., sekswal na pagsasamantala, sapilitang paggawa, pang-aalipin).
 Conspiracy: Kapag ang dalawa o higit pang tao ay sumang-ayon na gumawa ng isang felony (tulad ng trafficking) at nagpasya na isagawa ito.
o Ang mga parusa para sa mga paglabag sa trafficking ay kinabibilangan ng pagkakulong at mga multa
2. Ilegal na Recruitment:
o Ang Republic Act No. 10022 ay may kinalaman sa ipinagbabawal na recruitment. Ang sinumang mapatunayang nagkasala ng ipinagbabawal na pangangalap ay mahaharap:
 Pagkakulong ng hindi bababa sa 12 taon at isang araw, ngunit hindi hihigit sa 20 taon.
 Ang mga multa ay mula P1,000,000.00 hanggang P2,000,000.00..
o Ang pagsasabwatan sa malakihang iligal na pangangalap ay nangyayari kapag tatlo o higit pang mga indibidwal ang nagtutulungan upang gawin ang pagkakasala.</v>
      </c>
      <c r="F2000" s="2">
        <f t="shared" si="1"/>
        <v>3</v>
      </c>
      <c r="G2000" s="2"/>
      <c r="H2000" s="2"/>
      <c r="I2000" s="2"/>
      <c r="J2000" s="2"/>
      <c r="K2000" s="2"/>
      <c r="L2000" s="2"/>
      <c r="M2000" s="2"/>
      <c r="N2000" s="2"/>
      <c r="O2000" s="2"/>
      <c r="P2000" s="2"/>
      <c r="Q2000" s="2"/>
      <c r="R2000" s="2"/>
      <c r="S2000" s="2"/>
      <c r="T2000" s="2"/>
      <c r="U2000" s="2"/>
      <c r="V2000" s="2"/>
      <c r="W2000" s="2"/>
      <c r="X2000" s="2"/>
      <c r="Y2000" s="2"/>
      <c r="Z2000" s="2"/>
      <c r="AA2000" s="2"/>
    </row>
    <row r="2001">
      <c r="A2001" s="1" t="s">
        <v>4698</v>
      </c>
      <c r="B2001" s="1" t="s">
        <v>5012</v>
      </c>
      <c r="C2001" s="1" t="s">
        <v>5013</v>
      </c>
      <c r="D2001" s="2" t="str">
        <f>IFERROR(__xludf.DUMMYFUNCTION("GOOGLETRANSLATE(B2001, ""en"", ""TL"")"),"Anong mga legal na hakbang ang umiiral upang labanan ang mga paglabag sa kapaligiran sa antas ng kalye, tulad ng hindi tamang pagtatapon ng mga elektronikong basura sa mga pampublikong kaganapan?")</f>
        <v>Anong mga legal na hakbang ang umiiral upang labanan ang mga paglabag sa kapaligiran sa antas ng kalye, tulad ng hindi tamang pagtatapon ng mga elektronikong basura sa mga pampublikong kaganapan?</v>
      </c>
      <c r="E2001" s="2" t="str">
        <f>IFERROR(__xludf.DUMMYFUNCTION("GOOGLETRANSLATE(C2001, ""en"", ""TL"")"),"Tinutugunan ng Pilipinas ang mga paglabag sa kapaligiran sa antas ng kalye tulad ng hindi wastong pagtatapon ng e-waste sa pamamagitan ng kumbinasyon ng mga umiiral na batas at regulasyon:
Republic Act No. 6969 o ang Toxic Substances and Hazardous Waste C"&amp;"ontrol Act:
Ang batas na ito ay kinokontrol ang pamamahala at pagtatapon ng mga mapanganib na basura, kabilang ang mga elektronikong basura (e-waste).
Ipinagbabawal nito ang hindi tamang pagtatapon tulad ng pagtatapon sa mga pampublikong espasyo at nag-uu"&amp;"tos ng tamang paggamot at mga pasilidad sa pag-recycle.
Republic Act No. 9003 o ang Ecological Solid Waste Management Act:
Nakatuon ang batas na ito sa pamamahala ng solidong basura, kabilang ang paghihiwalay, pagkolekta, at pagtatapon ng basura.
Binibigy"&amp;"ang-diin nito ang prinsipyo ng polluter-pays, na pinapanagot ang mga indibidwal at entity para sa wastong pagtatapon ng kanilang basura, kabilang ang e-waste na nabuo sa mga pampublikong kaganapan.
Mga Mekanismo ng Pagpapatupad:
Environmental Management B"&amp;"ureau (EMB) ng Department of Environment and Natural Resources (DENR): Ang pangunahing ahensya na responsable sa pagpapatupad ng mga batas at regulasyon sa kapaligiran.
Mga LGU: Magkaroon ng awtoridad na ipatupad ang kanilang sariling mga ordinansa sa pam"&amp;"amahala ng basura at magpataw ng mga parusa para sa mga paglabag.
Mga Parusa para sa Hindi Wastong Pagtatapon ng E-waste:
Mga multa: Mag-iba depende sa uri at kalubhaan ng pagkakasala.
Pagkakulong: Posible sa mga kaso ng paulit-ulit na paglabag o malakiha"&amp;"ng iligal na pagtatapon.")</f>
        <v>Tinutugunan ng Pilipinas ang mga paglabag sa kapaligiran sa antas ng kalye tulad ng hindi wastong pagtatapon ng e-waste sa pamamagitan ng kumbinasyon ng mga umiiral na batas at regulasyon:
Republic Act No. 6969 o ang Toxic Substances and Hazardous Waste Control Act:
Ang batas na ito ay kinokontrol ang pamamahala at pagtatapon ng mga mapanganib na basura, kabilang ang mga elektronikong basura (e-waste).
Ipinagbabawal nito ang hindi tamang pagtatapon tulad ng pagtatapon sa mga pampublikong espasyo at nag-uutos ng tamang paggamot at mga pasilidad sa pag-recycle.
Republic Act No. 9003 o ang Ecological Solid Waste Management Act:
Nakatuon ang batas na ito sa pamamahala ng solidong basura, kabilang ang paghihiwalay, pagkolekta, at pagtatapon ng basura.
Binibigyang-diin nito ang prinsipyo ng polluter-pays, na pinapanagot ang mga indibidwal at entity para sa wastong pagtatapon ng kanilang basura, kabilang ang e-waste na nabuo sa mga pampublikong kaganapan.
Mga Mekanismo ng Pagpapatupad:
Environmental Management Bureau (EMB) ng Department of Environment and Natural Resources (DENR): Ang pangunahing ahensya na responsable sa pagpapatupad ng mga batas at regulasyon sa kapaligiran.
Mga LGU: Magkaroon ng awtoridad na ipatupad ang kanilang sariling mga ordinansa sa pamamahala ng basura at magpataw ng mga parusa para sa mga paglabag.
Mga Parusa para sa Hindi Wastong Pagtatapon ng E-waste:
Mga multa: Mag-iba depende sa uri at kalubhaan ng pagkakasala.
Pagkakulong: Posible sa mga kaso ng paulit-ulit na paglabag o malakihang iligal na pagtatapon.</v>
      </c>
      <c r="F2001" s="2">
        <f t="shared" si="1"/>
        <v>0</v>
      </c>
      <c r="G2001" s="2"/>
      <c r="H2001" s="2"/>
      <c r="I2001" s="2"/>
      <c r="J2001" s="2"/>
      <c r="K2001" s="2"/>
      <c r="L2001" s="2"/>
      <c r="M2001" s="2"/>
      <c r="N2001" s="2"/>
      <c r="O2001" s="2"/>
      <c r="P2001" s="2"/>
      <c r="Q2001" s="2"/>
      <c r="R2001" s="2"/>
      <c r="S2001" s="2"/>
      <c r="T2001" s="2"/>
      <c r="U2001" s="2"/>
      <c r="V2001" s="2"/>
      <c r="W2001" s="2"/>
      <c r="X2001" s="2"/>
      <c r="Y2001" s="2"/>
      <c r="Z2001" s="2"/>
      <c r="AA2001" s="2"/>
    </row>
    <row r="2002">
      <c r="A2002" s="1" t="s">
        <v>4698</v>
      </c>
      <c r="B2002" s="1" t="s">
        <v>4919</v>
      </c>
      <c r="C2002" s="1" t="s">
        <v>5014</v>
      </c>
      <c r="D2002" s="2" t="str">
        <f>IFERROR(__xludf.DUMMYFUNCTION("GOOGLETRANSLATE(B2002, ""en"", ""TL"")"),"Sa ilalim ng anong mga pangyayari ang isang tao ay maaaring makasuhan ng public conspiracy to commit election-related offenses in public spaces?")</f>
        <v>Sa ilalim ng anong mga pangyayari ang isang tao ay maaaring makasuhan ng public conspiracy to commit election-related offenses in public spaces?</v>
      </c>
      <c r="E2002" s="2" t="str">
        <f>IFERROR(__xludf.DUMMYFUNCTION("GOOGLETRANSLATE(C2002, ""en"", ""TL"")"),"Sa Pilipinas, ang pagsali sa mga pampublikong pakana upang magsagawa ng mga paglabag na may kaugnayan sa halalan ay maaaring magresulta sa mga legal na epekto. Narito ang mga pangunahing punto na dapat isaalang-alang:
Pagbili ng Boto:
Ang Republic A"&amp;"ct No. 10364, na tinutukoy din bilang Expanded Anti-Trafficking in Persons Act of 2012, ay tumatalakay sa mga paglabag sa halalan, kabilang ang pagbili ng boto.
Ang pagbili ng boto ay nangyayari kapag ang mga indibidwal ay nag-aalok ng pera, trabaho, o i"&amp;"ba pang mga pakinabang upang maimpluwensyahan ang mga pagpili ng mga botante.
Ang pakikipagtulungan sa pagpaplano ng pagbili ng boto ay kinabibilangan ng dalawa o higit pang mga tao na sumasang-ayon na lumahok sa mga naturang aktibidad.
Kasama sa mga pa"&amp;"rusa sa pagbili ng boto ang pagkakulong at multa ¹.
Premature Campaigning:
Ang Republic Act No. 9369, na kilala bilang Automated Elections System Law, ay nagbabawal sa maagang pangangampanya.
Ang maagang pangangampanya ay nangangailangan ng pagtatagu"&amp;"yod ng mga kandidato bago ang opisyal na panahon ng kampanya.
Ang pagsasabwatan upang makisali sa maagang pangangampanya ay maaaring humantong sa mga legal na epekto.
Kasama sa mga parusa para sa maagang pangangampanya ang pagkakulong at diskwalipikasyo"&amp;"n sa paghawak ng pampublikong katungkulan ³.
Safe Spaces Act (Bawal Bastos Law):
Ang Republic Act No. 11313 ay tumutugon sa iba't ibang mga pagkakasala, kabilang ang tungkol sa mga pampublikong espasyo.
Bagama't hindi lamang nakatuon sa mga paglabag "&amp;"sa halalan, binibigyang-diin nito ang ligtas at magalang na pag-uugali sa mga pampublikong lugar.
Ang layunin nito ay maiwasan ang panliligalig, pananakot, at iba pang hindi naaangkop na pag-uugali.
Ang mga paglabag ay maaaring humantong sa mga parusa ⁵"&amp;".
Pangkalahatang Prinsipyo:
Anumang pakikipagtulungan upang makagawa ng mga paglabag na nauugnay sa halalan sa mga pampublikong espasyo ay maaaring humarap sa legal na pagsisiyasat.
Ang mga partikular na pangyayari at ebidensya ay mahalaga sa pagtuko"&amp;"y ng pagkakasala o kawalang-kasalanan.")</f>
        <v>Sa Pilipinas, ang pagsali sa mga pampublikong pakana upang magsagawa ng mga paglabag na may kaugnayan sa halalan ay maaaring magresulta sa mga legal na epekto. Narito ang mga pangunahing punto na dapat isaalang-alang:
Pagbili ng Boto:
Ang Republic Act No. 10364, na tinutukoy din bilang Expanded Anti-Trafficking in Persons Act of 2012, ay tumatalakay sa mga paglabag sa halalan, kabilang ang pagbili ng boto.
Ang pagbili ng boto ay nangyayari kapag ang mga indibidwal ay nag-aalok ng pera, trabaho, o iba pang mga pakinabang upang maimpluwensyahan ang mga pagpili ng mga botante.
Ang pakikipagtulungan sa pagpaplano ng pagbili ng boto ay kinabibilangan ng dalawa o higit pang mga tao na sumasang-ayon na lumahok sa mga naturang aktibidad.
Kasama sa mga parusa sa pagbili ng boto ang pagkakulong at multa ¹.
Premature Campaigning:
Ang Republic Act No. 9369, na kilala bilang Automated Elections System Law, ay nagbabawal sa maagang pangangampanya.
Ang maagang pangangampanya ay nangangailangan ng pagtataguyod ng mga kandidato bago ang opisyal na panahon ng kampanya.
Ang pagsasabwatan upang makisali sa maagang pangangampanya ay maaaring humantong sa mga legal na epekto.
Kasama sa mga parusa para sa maagang pangangampanya ang pagkakulong at diskwalipikasyon sa paghawak ng pampublikong katungkulan ³.
Safe Spaces Act (Bawal Bastos Law):
Ang Republic Act No. 11313 ay tumutugon sa iba't ibang mga pagkakasala, kabilang ang tungkol sa mga pampublikong espasyo.
Bagama't hindi lamang nakatuon sa mga paglabag sa halalan, binibigyang-diin nito ang ligtas at magalang na pag-uugali sa mga pampublikong lugar.
Ang layunin nito ay maiwasan ang panliligalig, pananakot, at iba pang hindi naaangkop na pag-uugali.
Ang mga paglabag ay maaaring humantong sa mga parusa ⁵.
Pangkalahatang Prinsipyo:
Anumang pakikipagtulungan upang makagawa ng mga paglabag na nauugnay sa halalan sa mga pampublikong espasyo ay maaaring humarap sa legal na pagsisiyasat.
Ang mga partikular na pangyayari at ebidensya ay mahalaga sa pagtukoy ng pagkakasala o kawalang-kasalanan.</v>
      </c>
      <c r="F2002" s="2">
        <f t="shared" si="1"/>
        <v>0</v>
      </c>
      <c r="G2002" s="2"/>
      <c r="H2002" s="2"/>
      <c r="I2002" s="2"/>
      <c r="J2002" s="2"/>
      <c r="K2002" s="2"/>
      <c r="L2002" s="2"/>
      <c r="M2002" s="2"/>
      <c r="N2002" s="2"/>
      <c r="O2002" s="2"/>
      <c r="P2002" s="2"/>
      <c r="Q2002" s="2"/>
      <c r="R2002" s="2"/>
      <c r="S2002" s="2"/>
      <c r="T2002" s="2"/>
      <c r="U2002" s="2"/>
      <c r="V2002" s="2"/>
      <c r="W2002" s="2"/>
      <c r="X2002" s="2"/>
      <c r="Y2002" s="2"/>
      <c r="Z2002" s="2"/>
      <c r="AA2002" s="2"/>
    </row>
    <row r="2003">
      <c r="A2003" s="1" t="s">
        <v>4698</v>
      </c>
      <c r="B2003" s="1" t="s">
        <v>5015</v>
      </c>
      <c r="C2003" s="1" t="s">
        <v>5016</v>
      </c>
      <c r="D2003" s="2" t="str">
        <f>IFERROR(__xludf.DUMMYFUNCTION("GOOGLETRANSLATE(B2003, ""en"", ""TL"")"),"Paano tinutugunan ng batas ng Pilipinas ang mga insidente ng pag-atake o panliligalig sa antas ng kalye batay sa kaugnayan o opinyon sa pulitika sa pampublikong transportasyon?")</f>
        <v>Paano tinutugunan ng batas ng Pilipinas ang mga insidente ng pag-atake o panliligalig sa antas ng kalye batay sa kaugnayan o opinyon sa pulitika sa pampublikong transportasyon?</v>
      </c>
      <c r="E2003" s="2" t="str">
        <f>IFERROR(__xludf.DUMMYFUNCTION("GOOGLETRANSLATE(C2003, ""en"", ""TL"")"),"Binagong Kodigo Penal (RPC):
Artikulo 266: Ang artikulong ito ay nagpaparusa sa mga gawaing nagdulot ng pisikal na pinsala.
Artikulo 144: Saklaw nito ang kaguluhan sa publiko at hindi maayos na pag-uugali.
Artikulo 282: Nalalapat sa mga kaso ng ""Slight P"&amp;"hysical Injuries.""
Ang mga probisyong ito ay maaaring gamitin upang usigin ang may kasalanan kung ang pag-atake ay nagresulta sa pisikal na pinsala o nagdulot ng malaking kaguluhan sa loob ng pampublikong sasakyan.
Batas Anti-Diskriminasyon (Republic Act"&amp;" No. 7277):
Bagama't hindi direktang tina-target ang kaugnayan sa pulitika, ipinagbabawal ng batas na ito ang diskriminasyon batay sa ilang aspeto, kabilang ang ""ideological na paniniwala.""
Sa teorya, maaaring ipangatuwiran na ang isang taong inaatake o"&amp;" hina-harass dahil lamang sa kanilang mga pampulitikang pananaw ay bumubuo ng isang uri ng diskriminasyon sa ideolohiya.
Pag-uudyok sa Sedisyon (Artikulo 146 ng RPC):
Nalalapat ito sa mga matinding sitwasyon kung saan ang panliligalig ay naglalayong magdu"&amp;"lot ng kaguluhan o pampublikong kaguluhan dahil sa mga damdaming pampulitika.")</f>
        <v>Binagong Kodigo Penal (RPC):
Artikulo 266: Ang artikulong ito ay nagpaparusa sa mga gawaing nagdulot ng pisikal na pinsala.
Artikulo 144: Saklaw nito ang kaguluhan sa publiko at hindi maayos na pag-uugali.
Artikulo 282: Nalalapat sa mga kaso ng "Slight Physical Injuries."
Ang mga probisyong ito ay maaaring gamitin upang usigin ang may kasalanan kung ang pag-atake ay nagresulta sa pisikal na pinsala o nagdulot ng malaking kaguluhan sa loob ng pampublikong sasakyan.
Batas Anti-Diskriminasyon (Republic Act No. 7277):
Bagama't hindi direktang tina-target ang kaugnayan sa pulitika, ipinagbabawal ng batas na ito ang diskriminasyon batay sa ilang aspeto, kabilang ang "ideological na paniniwala."
Sa teorya, maaaring ipangatuwiran na ang isang taong inaatake o hina-harass dahil lamang sa kanilang mga pampulitikang pananaw ay bumubuo ng isang uri ng diskriminasyon sa ideolohiya.
Pag-uudyok sa Sedisyon (Artikulo 146 ng RPC):
Nalalapat ito sa mga matinding sitwasyon kung saan ang panliligalig ay naglalayong magdulot ng kaguluhan o pampublikong kaguluhan dahil sa mga damdaming pampulitika.</v>
      </c>
      <c r="F2003" s="2">
        <f t="shared" si="1"/>
        <v>0</v>
      </c>
      <c r="G2003" s="2"/>
      <c r="H2003" s="2"/>
      <c r="I2003" s="2"/>
      <c r="J2003" s="2"/>
      <c r="K2003" s="2"/>
      <c r="L2003" s="2"/>
      <c r="M2003" s="2"/>
      <c r="N2003" s="2"/>
      <c r="O2003" s="2"/>
      <c r="P2003" s="2"/>
      <c r="Q2003" s="2"/>
      <c r="R2003" s="2"/>
      <c r="S2003" s="2"/>
      <c r="T2003" s="2"/>
      <c r="U2003" s="2"/>
      <c r="V2003" s="2"/>
      <c r="W2003" s="2"/>
      <c r="X2003" s="2"/>
      <c r="Y2003" s="2"/>
      <c r="Z2003" s="2"/>
      <c r="AA2003" s="2"/>
    </row>
    <row r="2004">
      <c r="A2004" s="1" t="s">
        <v>4698</v>
      </c>
      <c r="B2004" s="1" t="s">
        <v>5017</v>
      </c>
      <c r="C2004" s="1" t="s">
        <v>5018</v>
      </c>
      <c r="D2004" s="2" t="str">
        <f>IFERROR(__xludf.DUMMYFUNCTION("GOOGLETRANSLATE(B2004, ""en"", ""TL"")"),"Anong mga parusa ang naaangkop para sa pagsali sa hindi awtorisadong pagbebenta o pamamahagi ng mga ipinagbabawal o malalaswang materyales sa mga pampublikong espasyo malapit sa mga paaralan?")</f>
        <v>Anong mga parusa ang naaangkop para sa pagsali sa hindi awtorisadong pagbebenta o pamamahagi ng mga ipinagbabawal o malalaswang materyales sa mga pampublikong espasyo malapit sa mga paaralan?</v>
      </c>
      <c r="E2004" s="2" t="str">
        <f>IFERROR(__xludf.DUMMYFUNCTION("GOOGLETRANSLATE(C2004, ""en"", ""TL"")"),"Sa Pilipinas, ang mga parusa ay ipinapataw para sa pagsali sa hindi awtorisadong pagbebenta o pamamahagi ng mga ipinagbabawal o malalaswang materyales sa mga pampublikong lugar malapit sa mga paaralan. Tuklasin natin ang mga nauugnay na legal na probisyon"&amp;":
Artikulo 201 ng Binagong Kodigo Penal (RPC):
Ang artikulong ito ay tumatalakay sa imoral na mga doktrina, malalaswang publikasyon, at mga eksibisyon, pati na rin ang mga malaswang palabas.
Ang mga nagkasala ay maaaring parusahan sa dalawang paraan:
1st "&amp;"Mode: Pahayagang nagpapaliwanag o nagpapahayag ng mga doktrina na hayagang salungat sa pampublikong moral, at ang nagkasala ay nagsasagawa ng mga ganitong gawain.
2nd Mode: Kinasasangkutan ng pagkakaroon ng malaswang panitikan, at ang mga nagkasala ay maa"&amp;"aring kasangkot sa pagbebenta o pamamahagi ng mga malalaswang materyales o nakikibahagi sa mga malaswang palabas o eksibisyon.
Batas Republika Blg. 10951:
Ang batas na ito ay nagtaas ng mga multa para sa ilang mga paglabag, kabilang ang mga nauugnay sa ma"&amp;"laswang materyales.
Ang fine range para sa mga paglabag sa ilalim ng Article 201 ng RPC ay itinaas sa PHP 20,000.00 hanggang PHP 200,000.00.
Senate Bill No. 734 (Iminungkahing Batas):
Ipinakilala ni Senador Joel Villanueva, ang panukalang batas na ito ay "&amp;"naglalayong hadlangan ang paglaganap ng mga imoral na doktrina, malalaswang publikasyon, at mga bastos na palabas.
Kabilang sa mga iminungkahing parusa ang Prision Mayor sa katamtamang panahon nito (katumbas ng reclusion perpetua) para sa pagbebenta o pam"&amp;"amahagi ng mga ipinagbabawal na materyales at multa mula PHP 500,000.00 hanggang PHP 5,000,000.00.
Ang panukalang batas ay naglalayong magbigay ng higit na proteksyon sa mga menor de edad at i-update ang mga batas ng penal upang matugunan ang advanced na "&amp;"teknolohiya na ginagamit ng mga sangkot sa imoral na aktibidad.")</f>
        <v>Sa Pilipinas, ang mga parusa ay ipinapataw para sa pagsali sa hindi awtorisadong pagbebenta o pamamahagi ng mga ipinagbabawal o malalaswang materyales sa mga pampublikong lugar malapit sa mga paaralan. Tuklasin natin ang mga nauugnay na legal na probisyon:
Artikulo 201 ng Binagong Kodigo Penal (RPC):
Ang artikulong ito ay tumatalakay sa imoral na mga doktrina, malalaswang publikasyon, at mga eksibisyon, pati na rin ang mga malaswang palabas.
Ang mga nagkasala ay maaaring parusahan sa dalawang paraan:
1st Mode: Pahayagang nagpapaliwanag o nagpapahayag ng mga doktrina na hayagang salungat sa pampublikong moral, at ang nagkasala ay nagsasagawa ng mga ganitong gawain.
2nd Mode: Kinasasangkutan ng pagkakaroon ng malaswang panitikan, at ang mga nagkasala ay maaaring kasangkot sa pagbebenta o pamamahagi ng mga malalaswang materyales o nakikibahagi sa mga malaswang palabas o eksibisyon.
Batas Republika Blg. 10951:
Ang batas na ito ay nagtaas ng mga multa para sa ilang mga paglabag, kabilang ang mga nauugnay sa malaswang materyales.
Ang fine range para sa mga paglabag sa ilalim ng Article 201 ng RPC ay itinaas sa PHP 20,000.00 hanggang PHP 200,000.00.
Senate Bill No. 734 (Iminungkahing Batas):
Ipinakilala ni Senador Joel Villanueva, ang panukalang batas na ito ay naglalayong hadlangan ang paglaganap ng mga imoral na doktrina, malalaswang publikasyon, at mga bastos na palabas.
Kabilang sa mga iminungkahing parusa ang Prision Mayor sa katamtamang panahon nito (katumbas ng reclusion perpetua) para sa pagbebenta o pamamahagi ng mga ipinagbabawal na materyales at multa mula PHP 500,000.00 hanggang PHP 5,000,000.00.
Ang panukalang batas ay naglalayong magbigay ng higit na proteksyon sa mga menor de edad at i-update ang mga batas ng penal upang matugunan ang advanced na teknolohiya na ginagamit ng mga sangkot sa imoral na aktibidad.</v>
      </c>
      <c r="F2004" s="2">
        <f t="shared" si="1"/>
        <v>3</v>
      </c>
      <c r="G2004" s="2"/>
      <c r="H2004" s="2"/>
      <c r="I2004" s="2"/>
      <c r="J2004" s="2"/>
      <c r="K2004" s="2"/>
      <c r="L2004" s="2"/>
      <c r="M2004" s="2"/>
      <c r="N2004" s="2"/>
      <c r="O2004" s="2"/>
      <c r="P2004" s="2"/>
      <c r="Q2004" s="2"/>
      <c r="R2004" s="2"/>
      <c r="S2004" s="2"/>
      <c r="T2004" s="2"/>
      <c r="U2004" s="2"/>
      <c r="V2004" s="2"/>
      <c r="W2004" s="2"/>
      <c r="X2004" s="2"/>
      <c r="Y2004" s="2"/>
      <c r="Z2004" s="2"/>
      <c r="AA2004" s="2"/>
    </row>
    <row r="2005">
      <c r="A2005" s="1" t="s">
        <v>4698</v>
      </c>
      <c r="B2005" s="1" t="s">
        <v>4951</v>
      </c>
      <c r="C2005" s="1" t="s">
        <v>5019</v>
      </c>
      <c r="D2005" s="2" t="str">
        <f>IFERROR(__xludf.DUMMYFUNCTION("GOOGLETRANSLATE(B2005, ""en"", ""TL"")"),"Anong mga legal na probisyon ang kumokontrol sa pagkakaroon at paggamit ng mga hindi awtorisadong kagamitan sa pagsubaybay sa mga pampublikong espasyo malapit sa mga pasilidad ng pangangalagang pangkalusugan?")</f>
        <v>Anong mga legal na probisyon ang kumokontrol sa pagkakaroon at paggamit ng mga hindi awtorisadong kagamitan sa pagsubaybay sa mga pampublikong espasyo malapit sa mga pasilidad ng pangangalagang pangkalusugan?</v>
      </c>
      <c r="E2005" s="2" t="str">
        <f>IFERROR(__xludf.DUMMYFUNCTION("GOOGLETRANSLATE(C2005, ""en"", ""TL"")"),"Tinutugunan ng Pilipinas ang hindi awtorisadong pagsubaybay sa mga pampublikong espasyo malapit sa mga pasilidad ng pangangalagang pangkalusugan sa pamamagitan ng kumbinasyon ng mga batas at regulasyon:
Karapatan sa Pagkapribado (Artikulo III, Seksyon 1 "&amp;"ng Konstitusyon ng Pilipinas):
Pinoprotektahan ng pangunahing karapatang ito ang mga indibidwal mula sa hindi makatwirang mga paghahanap at pag-agaw, kabilang ang kanilang privacy sa mga pampublikong espasyo.
Republic Act No. 10175 o ang Cybercrime Prev"&amp;"ention Act of 2012:
Seksyon 4: Ipinagbabawal ang hindi awtorisadong pagharang at pagtatala ng mga signal ng komunikasyon. Maaari itong magamit kung ang surveillance device ay humarang sa mga elektronikong komunikasyon (mga tawag sa telepono, mga mensahe)"&amp;" na nagaganap sa pampublikong espasyo.
Anti-Voyeurism Act (Republic Act No. 9995):
Ang batas na ito ay nagpaparusa sa pagkilos ng lihim na pagmamasid o pagtatala ng isang tao na nakikibahagi sa anumang pribadong gawain.
Bagama't sa pangkalahatan ay hind"&amp;"i ginagarantiyahan ng mga pampublikong espasyo ang kumpletong privacy, ang palihim na pag-film ng mga indibidwal sa loob ng makatuwirang inaasahan ng privacy (hal., mga waiting area sa ospital, mga banyo) ay maaaring ituring na isang paglabag. [inalis ang"&amp;" invalid na URL]
Mga Ordenansa ng Lokal na Pamahalaan:
Maraming mga lungsod at munisipalidad ang may mga ordinansang nagre-regulate sa paggamit ng mga camera at iba pang recording device sa mga pampublikong lugar.
Maaaring paghigpitan ng mga ordinansan"&amp;"g ito ang pag-install at pagpapatakbo ng mga surveillance device nang walang tamang permit o lehitimong layunin.")</f>
        <v>Tinutugunan ng Pilipinas ang hindi awtorisadong pagsubaybay sa mga pampublikong espasyo malapit sa mga pasilidad ng pangangalagang pangkalusugan sa pamamagitan ng kumbinasyon ng mga batas at regulasyon:
Karapatan sa Pagkapribado (Artikulo III, Seksyon 1 ng Konstitusyon ng Pilipinas):
Pinoprotektahan ng pangunahing karapatang ito ang mga indibidwal mula sa hindi makatwirang mga paghahanap at pag-agaw, kabilang ang kanilang privacy sa mga pampublikong espasyo.
Republic Act No. 10175 o ang Cybercrime Prevention Act of 2012:
Seksyon 4: Ipinagbabawal ang hindi awtorisadong pagharang at pagtatala ng mga signal ng komunikasyon. Maaari itong magamit kung ang surveillance device ay humarang sa mga elektronikong komunikasyon (mga tawag sa telepono, mga mensahe) na nagaganap sa pampublikong espasyo.
Anti-Voyeurism Act (Republic Act No. 9995):
Ang batas na ito ay nagpaparusa sa pagkilos ng lihim na pagmamasid o pagtatala ng isang tao na nakikibahagi sa anumang pribadong gawain.
Bagama't sa pangkalahatan ay hindi ginagarantiyahan ng mga pampublikong espasyo ang kumpletong privacy, ang palihim na pag-film ng mga indibidwal sa loob ng makatuwirang inaasahan ng privacy (hal., mga waiting area sa ospital, mga banyo) ay maaaring ituring na isang paglabag. [inalis ang invalid na URL]
Mga Ordenansa ng Lokal na Pamahalaan:
Maraming mga lungsod at munisipalidad ang may mga ordinansang nagre-regulate sa paggamit ng mga camera at iba pang recording device sa mga pampublikong lugar.
Maaaring paghigpitan ng mga ordinansang ito ang pag-install at pagpapatakbo ng mga surveillance device nang walang tamang permit o lehitimong layunin.</v>
      </c>
      <c r="F2005" s="2">
        <f t="shared" si="1"/>
        <v>3</v>
      </c>
      <c r="G2005" s="2"/>
      <c r="H2005" s="2"/>
      <c r="I2005" s="2"/>
      <c r="J2005" s="2"/>
      <c r="K2005" s="2"/>
      <c r="L2005" s="2"/>
      <c r="M2005" s="2"/>
      <c r="N2005" s="2"/>
      <c r="O2005" s="2"/>
      <c r="P2005" s="2"/>
      <c r="Q2005" s="2"/>
      <c r="R2005" s="2"/>
      <c r="S2005" s="2"/>
      <c r="T2005" s="2"/>
      <c r="U2005" s="2"/>
      <c r="V2005" s="2"/>
      <c r="W2005" s="2"/>
      <c r="X2005" s="2"/>
      <c r="Y2005" s="2"/>
      <c r="Z2005" s="2"/>
      <c r="AA2005" s="2"/>
    </row>
    <row r="2006">
      <c r="A2006" s="1" t="s">
        <v>4698</v>
      </c>
      <c r="B2006" s="1" t="s">
        <v>4899</v>
      </c>
      <c r="C2006" s="1" t="s">
        <v>5020</v>
      </c>
      <c r="D2006" s="2" t="str">
        <f>IFERROR(__xludf.DUMMYFUNCTION("GOOGLETRANSLATE(B2006, ""en"", ""TL"")"),"Paano tinutugunan sa ilalim ng batas ng Pilipinas ang krimen ng pampublikong pagsasabwatan upang gumawa ng mga online scam o cyber fraud?")</f>
        <v>Paano tinutugunan sa ilalim ng batas ng Pilipinas ang krimen ng pampublikong pagsasabwatan upang gumawa ng mga online scam o cyber fraud?</v>
      </c>
      <c r="E2006" s="2" t="str">
        <f>IFERROR(__xludf.DUMMYFUNCTION("GOOGLETRANSLATE(C2006, ""en"", ""TL"")"),"Sa Pilipinas, ang krimen ng public conspiracy to commit online scams o cyber fraud ay tinutugunan sa pamamagitan ng iba't ibang legal na probisyon. Tuklasin natin ang mga ito:
1. **Cyber ​​Estafa**:
- Ang Cyber ​​Estafa ay tumutukoy sa mga mapanlinlang na"&amp;" gawain na isinasagawa sa pamamagitan ng paggamit ng Information and Communication Technology (ICT).
- Sinasaklaw nito ang mga mapanlinlang na aktibidad na isinasagawa online, kabilang ang sa pamamagitan ng social media, mga hindi pinagkakatiwalaang websi"&amp;"te, phishing, pag-hack, at mga katulad na taktika.
2. **Estafa sa ilalim ng Artikulo 315 ng Revised Penal Code (RPC)**:
- Ang tradisyunal na estafa, gaya ng tinukoy sa ilalim ng Artikulo 315 ng RPC, ay sumasaklaw sa iba't ibang mapanlinlang na gawain, tul"&amp;"ad ng pagbabago sa sangkap ng mga naihatid na produkto, pag-abuso sa ipinagkatiwalang ari-arian, pagsasamantala sa pirma ng isang tao, at paggamit ng mga maling pagpapanggap o mapanlinlang na gawain.
3. **Cybercrime Prevention Act (Republic Act No. 10175)"&amp;"**:
- Tinutukoy at tinutugunan ng batas na ito ang iba't ibang cybercrime, kabilang ang online na pandaraya.
- Nagbibigay ito ng balangkas para sa pagpigil, pagsisiyasat, pagsugpo, at pagpaparusa sa mga paglabag na may kaugnayan sa cyber, sumasaklaw sa mg"&amp;"a hindi awtorisadong online na transaksyon, mapanlinlang na pamamaraan, at iba pang mga mapanlinlang na kasanayan.
4. **Consumer Act of the Philippines (Republic Act No. 7394)**:
- Bagama't hindi partikular sa cybercrime, pinaparusahan ng Batas na ito ang"&amp;" hindi katapatan ng mga nagbebenta bago, habang, at pagkatapos ng pagbebenta.
- Ipinagbabawal nito ang mga gawa ng pagtatago, maling representasyon, o mapanlinlang na pagmamanipula sa mga transaksyon sa pagbebenta.
Mga Legal na Aksyon:
Ang mga indibidwal "&amp;"na sangkot sa pampublikong pagsasabwatan upang gumawa ng mga online na scam o cyber fraud ay maaaring maharap sa mga kasong kriminal sa ilalim ng mga batas na ito.
Maaaring kabilang sa mga parusa ang mga multa, pagkakulong, o pareho, depende sa kalubhaan "&amp;"ng pagkakasala.")</f>
        <v>Sa Pilipinas, ang krimen ng public conspiracy to commit online scams o cyber fraud ay tinutugunan sa pamamagitan ng iba't ibang legal na probisyon. Tuklasin natin ang mga ito:
1. **Cyber ​​Estafa**:
- Ang Cyber ​​Estafa ay tumutukoy sa mga mapanlinlang na gawain na isinasagawa sa pamamagitan ng paggamit ng Information and Communication Technology (ICT).
- Sinasaklaw nito ang mga mapanlinlang na aktibidad na isinasagawa online, kabilang ang sa pamamagitan ng social media, mga hindi pinagkakatiwalaang website, phishing, pag-hack, at mga katulad na taktika.
2. **Estafa sa ilalim ng Artikulo 315 ng Revised Penal Code (RPC)**:
- Ang tradisyunal na estafa, gaya ng tinukoy sa ilalim ng Artikulo 315 ng RPC, ay sumasaklaw sa iba't ibang mapanlinlang na gawain, tulad ng pagbabago sa sangkap ng mga naihatid na produkto, pag-abuso sa ipinagkatiwalang ari-arian, pagsasamantala sa pirma ng isang tao, at paggamit ng mga maling pagpapanggap o mapanlinlang na gawain.
3. **Cybercrime Prevention Act (Republic Act No. 10175)**:
- Tinutukoy at tinutugunan ng batas na ito ang iba't ibang cybercrime, kabilang ang online na pandaraya.
- Nagbibigay ito ng balangkas para sa pagpigil, pagsisiyasat, pagsugpo, at pagpaparusa sa mga paglabag na may kaugnayan sa cyber, sumasaklaw sa mga hindi awtorisadong online na transaksyon, mapanlinlang na pamamaraan, at iba pang mga mapanlinlang na kasanayan.
4. **Consumer Act of the Philippines (Republic Act No. 7394)**:
- Bagama't hindi partikular sa cybercrime, pinaparusahan ng Batas na ito ang hindi katapatan ng mga nagbebenta bago, habang, at pagkatapos ng pagbebenta.
- Ipinagbabawal nito ang mga gawa ng pagtatago, maling representasyon, o mapanlinlang na pagmamanipula sa mga transaksyon sa pagbebenta.
Mga Legal na Aksyon:
Ang mga indibidwal na sangkot sa pampublikong pagsasabwatan upang gumawa ng mga online na scam o cyber fraud ay maaaring maharap sa mga kasong kriminal sa ilalim ng mga batas na ito.
Maaaring kabilang sa mga parusa ang mga multa, pagkakulong, o pareho, depende sa kalubhaan ng pagkakasala.</v>
      </c>
      <c r="F2006" s="2">
        <f t="shared" si="1"/>
        <v>1</v>
      </c>
      <c r="G2006" s="2"/>
      <c r="H2006" s="2"/>
      <c r="I2006" s="2"/>
      <c r="J2006" s="2"/>
      <c r="K2006" s="2"/>
      <c r="L2006" s="2"/>
      <c r="M2006" s="2"/>
      <c r="N2006" s="2"/>
      <c r="O2006" s="2"/>
      <c r="P2006" s="2"/>
      <c r="Q2006" s="2"/>
      <c r="R2006" s="2"/>
      <c r="S2006" s="2"/>
      <c r="T2006" s="2"/>
      <c r="U2006" s="2"/>
      <c r="V2006" s="2"/>
      <c r="W2006" s="2"/>
      <c r="X2006" s="2"/>
      <c r="Y2006" s="2"/>
      <c r="Z2006" s="2"/>
      <c r="AA2006" s="2"/>
    </row>
    <row r="2007">
      <c r="A2007" s="1" t="s">
        <v>4698</v>
      </c>
      <c r="B2007" s="1" t="s">
        <v>4825</v>
      </c>
      <c r="C2007" s="1" t="s">
        <v>5021</v>
      </c>
      <c r="D2007" s="2" t="str">
        <f>IFERROR(__xludf.DUMMYFUNCTION("GOOGLETRANSLATE(B2007, ""en"", ""TL"")"),"Anong mga parusa ang ipinapataw para sa pagsali sa pag-iwas sa buwis sa antas ng kalye o mga mapanlinlang na aktibidad sa pananalapi sa mga pampublikong espasyo?")</f>
        <v>Anong mga parusa ang ipinapataw para sa pagsali sa pag-iwas sa buwis sa antas ng kalye o mga mapanlinlang na aktibidad sa pananalapi sa mga pampublikong espasyo?</v>
      </c>
      <c r="E2007" s="2" t="str">
        <f>IFERROR(__xludf.DUMMYFUNCTION("GOOGLETRANSLATE(C2007, ""en"", ""TL"")"),"Mahigpit na hindi hinihikayat ng batas ng Pilipinas ang pag-iwas sa buwis sa antas ng kalye at mga mapanlinlang na aktibidad sa pananalapi sa mga pampublikong lugar. Bagama't maaaring hindi direktang mangyari ang mga naturang aktibidad sa kalye, maaari si"&amp;"lang magkaroon ng mga kahihinatnan:
Pag-iwas sa Buwis:
Republic Act No. 8424 o ang Tax Code: Binabalangkas ng batas na ito ang iba't ibang parusa para sa pag-iwas sa buwis, kabilang ang:
Surcharge: Isang karagdagang pananagutan sa buwis na ipinataw sa iba"&amp;"baw ng hindi nabayarang buwis.
Interes: Kinakalkula sa hindi nabayarang halaga ng buwis mula sa takdang petsa.
Pagkakulong: Mula sa ilang buwan hanggang taon depende sa kalubhaan ng pagkakasala. [BIR website ON Bureau of Internal Revenue bir.gov.ph]
Mga M"&amp;"apanlinlang na Aktibidad sa Pananalapi:
Republic Act No. 10175 o ang Cybercrime Prevention Act of 2012: Ang batas na ito ay nagpaparusa sa iba't ibang cybercrimes, kabilang ang:
Pagnanakaw ng Pagkakakilanlan na may kaugnayan sa kompyuter: Paggamit ng impo"&amp;"rmasyon ng pagkakakilanlan ng ibang tao upang ma-access ang mga account sa pananalapi o gumawa ng panloloko.
Ilegal na Pag-access: Pagkuha ng hindi awtorisadong pag-access sa mga sistema ng computer, na posibleng para sa mapanlinlang na layunin.
Artikulo "&amp;"315 ng Revised Penal Code (RPC): Saklaw nito ang krimen ng Falsification of Public Documents. Maaari itong magamit kung ang isang tao ay gumagamit ng mga pekeng dokumento upang magsagawa ng mga mapanlinlang na aktibidad sa pananalapi.")</f>
        <v>Mahigpit na hindi hinihikayat ng batas ng Pilipinas ang pag-iwas sa buwis sa antas ng kalye at mga mapanlinlang na aktibidad sa pananalapi sa mga pampublikong lugar. Bagama't maaaring hindi direktang mangyari ang mga naturang aktibidad sa kalye, maaari silang magkaroon ng mga kahihinatnan:
Pag-iwas sa Buwis:
Republic Act No. 8424 o ang Tax Code: Binabalangkas ng batas na ito ang iba't ibang parusa para sa pag-iwas sa buwis, kabilang ang:
Surcharge: Isang karagdagang pananagutan sa buwis na ipinataw sa ibabaw ng hindi nabayarang buwis.
Interes: Kinakalkula sa hindi nabayarang halaga ng buwis mula sa takdang petsa.
Pagkakulong: Mula sa ilang buwan hanggang taon depende sa kalubhaan ng pagkakasala. [BIR website ON Bureau of Internal Revenue bir.gov.ph]
Mga Mapanlinlang na Aktibidad sa Pananalapi:
Republic Act No. 10175 o ang Cybercrime Prevention Act of 2012: Ang batas na ito ay nagpaparusa sa iba't ibang cybercrimes, kabilang ang:
Pagnanakaw ng Pagkakakilanlan na may kaugnayan sa kompyuter: Paggamit ng impormasyon ng pagkakakilanlan ng ibang tao upang ma-access ang mga account sa pananalapi o gumawa ng panloloko.
Ilegal na Pag-access: Pagkuha ng hindi awtorisadong pag-access sa mga sistema ng computer, na posibleng para sa mapanlinlang na layunin.
Artikulo 315 ng Revised Penal Code (RPC): Saklaw nito ang krimen ng Falsification of Public Documents. Maaari itong magamit kung ang isang tao ay gumagamit ng mga pekeng dokumento upang magsagawa ng mga mapanlinlang na aktibidad sa pananalapi.</v>
      </c>
      <c r="F2007" s="2">
        <f t="shared" si="1"/>
        <v>0</v>
      </c>
      <c r="G2007" s="2"/>
      <c r="H2007" s="2"/>
      <c r="I2007" s="2"/>
      <c r="J2007" s="2"/>
      <c r="K2007" s="2"/>
      <c r="L2007" s="2"/>
      <c r="M2007" s="2"/>
      <c r="N2007" s="2"/>
      <c r="O2007" s="2"/>
      <c r="P2007" s="2"/>
      <c r="Q2007" s="2"/>
      <c r="R2007" s="2"/>
      <c r="S2007" s="2"/>
      <c r="T2007" s="2"/>
      <c r="U2007" s="2"/>
      <c r="V2007" s="2"/>
      <c r="W2007" s="2"/>
      <c r="X2007" s="2"/>
      <c r="Y2007" s="2"/>
      <c r="Z2007" s="2"/>
      <c r="AA2007" s="2"/>
    </row>
    <row r="2008">
      <c r="A2008" s="1" t="s">
        <v>4698</v>
      </c>
      <c r="B2008" s="1" t="s">
        <v>5022</v>
      </c>
      <c r="C2008" s="1" t="s">
        <v>5023</v>
      </c>
      <c r="D2008" s="2" t="str">
        <f>IFERROR(__xludf.DUMMYFUNCTION("GOOGLETRANSLATE(B2008, ""en"", ""TL"")"),"Paano tinutugunan ng batas ang mga insidente ng pag-atake o panliligalig sa antas ng kalye batay sa kapansanan o pisikal na kondisyon sa mga pampublikong kaganapan?")</f>
        <v>Paano tinutugunan ng batas ang mga insidente ng pag-atake o panliligalig sa antas ng kalye batay sa kapansanan o pisikal na kondisyon sa mga pampublikong kaganapan?</v>
      </c>
      <c r="E2008" s="2" t="str">
        <f>IFERROR(__xludf.DUMMYFUNCTION("GOOGLETRANSLATE(C2008, ""en"", ""TL"")"),"Ang Pilipinas ay may mga legal na hakbang upang tugunan ang pang-aabuso o panliligalig sa antas ng kalye batay sa kapansanan o pisikal na kondisyon sa mga pampublikong kaganapan:
Pangunahing Batas:
Republic Act No. 7277 o ang Anti-Discrimination Act:
I"&amp;"pinagbabawal ang diskriminasyon laban sa mga taong may kapansanan sa iba't ibang aspeto.
Binagong Kodigo Penal (RPC):
Artikulo 266: Nagpaparusa sa mga gawaing nagdulot ng pisikal na pinsala. Ang parusa ay tataas kung ang pananakit ay ginawa sa isang taon"&amp;"g may kapansanan.
Artikulo 144 ng RPC: Sumasaklaw sa pampublikong kaguluhan at hindi maayos na pag-uugali. Ito ay maaaring ilapat sa mga sitwasyon kung saan ang harassment ay nakakagambala sa kapayapaan at kaayusan ng pampublikong kaganapan.
Republic Act"&amp;" No. 10354 o ang Anti-Sexual Harassment Act: Bagama't hindi lamang nakatuon sa kapansanan, pinoprotektahan nito ang mga indibidwal mula sa sexual harassment, na maaaring mangyari kasabay ng pag-atake o panliligalig batay sa kapansanan sa panahon ng isang "&amp;"kaganapan.")</f>
        <v>Ang Pilipinas ay may mga legal na hakbang upang tugunan ang pang-aabuso o panliligalig sa antas ng kalye batay sa kapansanan o pisikal na kondisyon sa mga pampublikong kaganapan:
Pangunahing Batas:
Republic Act No. 7277 o ang Anti-Discrimination Act:
Ipinagbabawal ang diskriminasyon laban sa mga taong may kapansanan sa iba't ibang aspeto.
Binagong Kodigo Penal (RPC):
Artikulo 266: Nagpaparusa sa mga gawaing nagdulot ng pisikal na pinsala. Ang parusa ay tataas kung ang pananakit ay ginawa sa isang taong may kapansanan.
Artikulo 144 ng RPC: Sumasaklaw sa pampublikong kaguluhan at hindi maayos na pag-uugali. Ito ay maaaring ilapat sa mga sitwasyon kung saan ang harassment ay nakakagambala sa kapayapaan at kaayusan ng pampublikong kaganapan.
Republic Act No. 10354 o ang Anti-Sexual Harassment Act: Bagama't hindi lamang nakatuon sa kapansanan, pinoprotektahan nito ang mga indibidwal mula sa sexual harassment, na maaaring mangyari kasabay ng pag-atake o panliligalig batay sa kapansanan sa panahon ng isang kaganapan.</v>
      </c>
      <c r="F2008" s="2">
        <f t="shared" si="1"/>
        <v>0</v>
      </c>
      <c r="G2008" s="2"/>
      <c r="H2008" s="2"/>
      <c r="I2008" s="2"/>
      <c r="J2008" s="2"/>
      <c r="K2008" s="2"/>
      <c r="L2008" s="2"/>
      <c r="M2008" s="2"/>
      <c r="N2008" s="2"/>
      <c r="O2008" s="2"/>
      <c r="P2008" s="2"/>
      <c r="Q2008" s="2"/>
      <c r="R2008" s="2"/>
      <c r="S2008" s="2"/>
      <c r="T2008" s="2"/>
      <c r="U2008" s="2"/>
      <c r="V2008" s="2"/>
      <c r="W2008" s="2"/>
      <c r="X2008" s="2"/>
      <c r="Y2008" s="2"/>
      <c r="Z2008" s="2"/>
      <c r="AA2008" s="2"/>
    </row>
    <row r="2009">
      <c r="A2009" s="1" t="s">
        <v>4698</v>
      </c>
      <c r="B2009" s="1" t="s">
        <v>4980</v>
      </c>
      <c r="C2009" s="1" t="s">
        <v>5024</v>
      </c>
      <c r="D2009" s="2" t="str">
        <f>IFERROR(__xludf.DUMMYFUNCTION("GOOGLETRANSLATE(B2009, ""en"", ""TL"")"),"Anong mga legal na hakbang ang umiiral upang labanan ang mga paglabag sa kapaligiran sa antas ng kalye, tulad ng hindi wastong pagtatapon ng mga mapanganib na materyales sa mga pampublikong parke?")</f>
        <v>Anong mga legal na hakbang ang umiiral upang labanan ang mga paglabag sa kapaligiran sa antas ng kalye, tulad ng hindi wastong pagtatapon ng mga mapanganib na materyales sa mga pampublikong parke?</v>
      </c>
      <c r="E2009" s="2" t="str">
        <f>IFERROR(__xludf.DUMMYFUNCTION("GOOGLETRANSLATE(C2009, ""en"", ""TL"")"),"Nilabanan ng Pilipinas ang hindi wastong pagtatapon ng mga mapanganib na materyales sa mga pampublikong parke sa pamamagitan ng kumbinasyon ng mga legal na hakbang at regulasyon:
Pangunahing Batas:
Republic Act No. 6969 o ang Toxic Substances and Hazardou"&amp;"s Waste Control Act:
Kinokontrol ang pamamahala at pagtatapon ng mga mapanganib na basura, kabilang ang iba't ibang mga materyales na maaaring magdulot ng banta sa kalusugan ng publiko at sa kapaligiran kung hindi mapangasiwaan ng maayos.
Ipinagbabawal an"&amp;"g pagtatapon ng basura at hindi tamang pagtatapon ng mga mapanganib na materyales sa mga pampublikong espasyo tulad ng mga parke.
Republic Act No. 9003 o ang Ecological Solid Waste Management Act:
Nakatuon sa pinagsama-samang pamamahala ng solid waste, "&amp;"kabilang ang wastong paghihiwalay, pagkolekta, at pagtatapon ng iba't ibang daloy ng basura.
Bagama't hindi lamang tinatarget ang mapanganib na basura, binibigyang-diin nito ang prinsipyong ""polluter-pays"", na pinapanagot ang mga indibidwal at entity pa"&amp;"ra sa wastong pagtatapon ng kanilang basura.")</f>
        <v>Nilabanan ng Pilipinas ang hindi wastong pagtatapon ng mga mapanganib na materyales sa mga pampublikong parke sa pamamagitan ng kumbinasyon ng mga legal na hakbang at regulasyon:
Pangunahing Batas:
Republic Act No. 6969 o ang Toxic Substances and Hazardous Waste Control Act:
Kinokontrol ang pamamahala at pagtatapon ng mga mapanganib na basura, kabilang ang iba't ibang mga materyales na maaaring magdulot ng banta sa kalusugan ng publiko at sa kapaligiran kung hindi mapangasiwaan ng maayos.
Ipinagbabawal ang pagtatapon ng basura at hindi tamang pagtatapon ng mga mapanganib na materyales sa mga pampublikong espasyo tulad ng mga parke.
Republic Act No. 9003 o ang Ecological Solid Waste Management Act:
Nakatuon sa pinagsama-samang pamamahala ng solid waste, kabilang ang wastong paghihiwalay, pagkolekta, at pagtatapon ng iba't ibang daloy ng basura.
Bagama't hindi lamang tinatarget ang mapanganib na basura, binibigyang-diin nito ang prinsipyong "polluter-pays", na pinapanagot ang mga indibidwal at entity para sa wastong pagtatapon ng kanilang basura.</v>
      </c>
      <c r="F2009" s="2">
        <f t="shared" si="1"/>
        <v>0</v>
      </c>
      <c r="G2009" s="2"/>
      <c r="H2009" s="2"/>
      <c r="I2009" s="2"/>
      <c r="J2009" s="2"/>
      <c r="K2009" s="2"/>
      <c r="L2009" s="2"/>
      <c r="M2009" s="2"/>
      <c r="N2009" s="2"/>
      <c r="O2009" s="2"/>
      <c r="P2009" s="2"/>
      <c r="Q2009" s="2"/>
      <c r="R2009" s="2"/>
      <c r="S2009" s="2"/>
      <c r="T2009" s="2"/>
      <c r="U2009" s="2"/>
      <c r="V2009" s="2"/>
      <c r="W2009" s="2"/>
      <c r="X2009" s="2"/>
      <c r="Y2009" s="2"/>
      <c r="Z2009" s="2"/>
      <c r="AA2009" s="2"/>
    </row>
    <row r="2010">
      <c r="A2010" s="1" t="s">
        <v>4698</v>
      </c>
      <c r="B2010" s="1" t="s">
        <v>5025</v>
      </c>
      <c r="C2010" s="1" t="s">
        <v>5026</v>
      </c>
      <c r="D2010" s="2" t="str">
        <f>IFERROR(__xludf.DUMMYFUNCTION("GOOGLETRANSLATE(B2010, ""en"", ""TL"")"),"Sa ilalim ng anong mga pangyayari ang isang tao ay maaaring makasuhan ng public conspiracy to commit terrorism-related offenses sa mga pampublikong pamilihan?")</f>
        <v>Sa ilalim ng anong mga pangyayari ang isang tao ay maaaring makasuhan ng public conspiracy to commit terrorism-related offenses sa mga pampublikong pamilihan?</v>
      </c>
      <c r="E2010" s="2" t="str">
        <f>IFERROR(__xludf.DUMMYFUNCTION("GOOGLETRANSLATE(C2010, ""en"", ""TL"")"),"Sa Pilipinas, ang pagsasabwatan upang gumawa ng mga paglabag na may kaugnayan sa terorismo sa mga pampublikong pamilihan, kahit na sa yugto ng pagpaplano (public conspiracy), ay isang seryosong krimen at maaaring humantong sa mga kasong kriminal sa ilalim"&amp;" ng mga sumusunod na pangyayari:
Mga Batas ng Pilipinas:
Republic Act No. 10175 o ang Cybercrime Prevention Act of 2012: Ang batas na ito ay nagpaparusa:
Seksyon 4: Pagsasabwatan upang gumawa ng cyberterrorism. Nalalapat ito kung ang pagpaplano ay nagsasa"&amp;"ngkot ng paggamit ng elektronikong komunikasyon upang takutin o takutin ang publiko o magdulot ng pinsala sa kritikal na imprastraktura.
Artikulo 183 ng Revised Penal Code (RPC): Pinarurusahan nito ang ""conspiracy to commit a crime."" Nalalapat ito kung "&amp;"ang mga indibidwal ay sumang-ayon at nagpaplanong magsagawa ng kriminal na pagkilos ng terorismo nang magkasama.
Bukod pa rito:
Republic Act No. 9516 o ang Terrorism Financing Prevention and Suppression Act of 2007: Ang batas na ito ay ginagawang kriminal"&amp;" ang pagpopondo o pagbibigay ng materyal na suporta sa mga teroristang organisasyon.
Presidential Decree No. 1835: Tinutukoy at pinaparusahan ang ilang mga gawa ng rebelyon at subersyon, na maaaring sumaklaw sa mga gawaing pagpaplano ng terorismo na nagla"&amp;"layong ibagsak ang gobyerno.
Mga parusa:
Depende sa uri at kalubhaan ng nakaplanong pagkilos ng terorista, ang mga parusa ay maaaring mula sa pagkakulong hanggang sa habambuhay na sentensiya.")</f>
        <v>Sa Pilipinas, ang pagsasabwatan upang gumawa ng mga paglabag na may kaugnayan sa terorismo sa mga pampublikong pamilihan, kahit na sa yugto ng pagpaplano (public conspiracy), ay isang seryosong krimen at maaaring humantong sa mga kasong kriminal sa ilalim ng mga sumusunod na pangyayari:
Mga Batas ng Pilipinas:
Republic Act No. 10175 o ang Cybercrime Prevention Act of 2012: Ang batas na ito ay nagpaparusa:
Seksyon 4: Pagsasabwatan upang gumawa ng cyberterrorism. Nalalapat ito kung ang pagpaplano ay nagsasangkot ng paggamit ng elektronikong komunikasyon upang takutin o takutin ang publiko o magdulot ng pinsala sa kritikal na imprastraktura.
Artikulo 183 ng Revised Penal Code (RPC): Pinarurusahan nito ang "conspiracy to commit a crime." Nalalapat ito kung ang mga indibidwal ay sumang-ayon at nagpaplanong magsagawa ng kriminal na pagkilos ng terorismo nang magkasama.
Bukod pa rito:
Republic Act No. 9516 o ang Terrorism Financing Prevention and Suppression Act of 2007: Ang batas na ito ay ginagawang kriminal ang pagpopondo o pagbibigay ng materyal na suporta sa mga teroristang organisasyon.
Presidential Decree No. 1835: Tinutukoy at pinaparusahan ang ilang mga gawa ng rebelyon at subersyon, na maaaring sumaklaw sa mga gawaing pagpaplano ng terorismo na naglalayong ibagsak ang gobyerno.
Mga parusa:
Depende sa uri at kalubhaan ng nakaplanong pagkilos ng terorista, ang mga parusa ay maaaring mula sa pagkakulong hanggang sa habambuhay na sentensiya.</v>
      </c>
      <c r="F2010" s="2">
        <f t="shared" si="1"/>
        <v>1</v>
      </c>
      <c r="G2010" s="2"/>
      <c r="H2010" s="2"/>
      <c r="I2010" s="2"/>
      <c r="J2010" s="2"/>
      <c r="K2010" s="2"/>
      <c r="L2010" s="2"/>
      <c r="M2010" s="2"/>
      <c r="N2010" s="2"/>
      <c r="O2010" s="2"/>
      <c r="P2010" s="2"/>
      <c r="Q2010" s="2"/>
      <c r="R2010" s="2"/>
      <c r="S2010" s="2"/>
      <c r="T2010" s="2"/>
      <c r="U2010" s="2"/>
      <c r="V2010" s="2"/>
      <c r="W2010" s="2"/>
      <c r="X2010" s="2"/>
      <c r="Y2010" s="2"/>
      <c r="Z2010" s="2"/>
      <c r="AA2010" s="2"/>
    </row>
    <row r="2011">
      <c r="A2011" s="1" t="s">
        <v>4698</v>
      </c>
      <c r="B2011" s="1" t="s">
        <v>4849</v>
      </c>
      <c r="C2011" s="1" t="s">
        <v>5027</v>
      </c>
      <c r="D2011" s="2" t="str">
        <f>IFERROR(__xludf.DUMMYFUNCTION("GOOGLETRANSLATE(B2011, ""en"", ""TL"")"),"Paano tinutugunan sa ilalim ng batas ng Pilipinas ang pagkakasala ng pampublikong pagsasabwatan upang magsagawa ng pagnanakaw ng pagkakakilanlan o pandaraya sa pananalapi?")</f>
        <v>Paano tinutugunan sa ilalim ng batas ng Pilipinas ang pagkakasala ng pampublikong pagsasabwatan upang magsagawa ng pagnanakaw ng pagkakakilanlan o pandaraya sa pananalapi?</v>
      </c>
      <c r="E2011" s="2" t="str">
        <f>IFERROR(__xludf.DUMMYFUNCTION("GOOGLETRANSLATE(C2011, ""en"", ""TL"")"),"Isinasaalang-alang ng batas ng Pilipinas ang pampublikong pagsasabwatan upang magsagawa ng pagnanakaw ng pagkakakilanlan o pandaraya sa pananalapi at tinutugunan ito sa pamamagitan ng ilang mga probisyon:
Pangunahing Batas:
Republic Act No. 10175 o ang Cy"&amp;"bercrime Prevention Act of 2012 (CPA):
Seksyon 4: Pinaparusahan ang pagsasabwatan upang gumawa ng cybercrime. Nalalapat ito sa mga sitwasyon kung saan pinaplano ng mga indibidwal na gumamit ng internet o elektronikong komunikasyon upang mapadali ang pagna"&amp;"nakaw ng pagkakakilanlan o pandaraya sa pananalapi.
Artikulo 183 ng Revised Penal Code (RPC): Pinarurusahan ang ""conspiracy to commit a crime."" Nalalapat ito sa pagpaplano at pagsang-ayon na magsagawa ng pagnanakaw ng pagkakakilanlan o pandaraya sa pana"&amp;"nalapi nang magkasama.
Mga Karagdagang Batas:
Republic Act No. 8424 o ang Consumer Protection Act: Pinoprotektahan ang mga mamimili laban sa mapanlinlang at hindi patas na mga gawain sa pagbebenta. Bagama't hindi direktang tinutugunan ang pagsasabwatan, m"&amp;"aaaring may kaugnayan ito kung ang mapanlinlang na aktibidad ay naglalayong linlangin ang mga mamimili.
Republic Act No. 9994 o ang Expanded Anti-Trafficking in Persons Act of 2012: Sinasaklaw ang mga gawain ng trafficking ng mga tao, na maaaring may kina"&amp;"laman sa paggamit ng mga nakaw na pagkakakilanlan.
Mga parusa:
Pagkakulong: Nag-iiba-iba depende sa uri at kalubhaan ng nakaplanong krimen. Parehong inireseta ng CPA at RPC ang mga tuntunin ng pagkakulong para sa cybercrime conspiracy at conspiracy to com"&amp;"mit a crime, ayon sa pagkakabanggit.
Mga multa: Ang mga multa sa pananalapi ay maaaring ipataw kasama ng pagkakulong.")</f>
        <v>Isinasaalang-alang ng batas ng Pilipinas ang pampublikong pagsasabwatan upang magsagawa ng pagnanakaw ng pagkakakilanlan o pandaraya sa pananalapi at tinutugunan ito sa pamamagitan ng ilang mga probisyon:
Pangunahing Batas:
Republic Act No. 10175 o ang Cybercrime Prevention Act of 2012 (CPA):
Seksyon 4: Pinaparusahan ang pagsasabwatan upang gumawa ng cybercrime. Nalalapat ito sa mga sitwasyon kung saan pinaplano ng mga indibidwal na gumamit ng internet o elektronikong komunikasyon upang mapadali ang pagnanakaw ng pagkakakilanlan o pandaraya sa pananalapi.
Artikulo 183 ng Revised Penal Code (RPC): Pinarurusahan ang "conspiracy to commit a crime." Nalalapat ito sa pagpaplano at pagsang-ayon na magsagawa ng pagnanakaw ng pagkakakilanlan o pandaraya sa pananalapi nang magkasama.
Mga Karagdagang Batas:
Republic Act No. 8424 o ang Consumer Protection Act: Pinoprotektahan ang mga mamimili laban sa mapanlinlang at hindi patas na mga gawain sa pagbebenta. Bagama't hindi direktang tinutugunan ang pagsasabwatan, maaaring may kaugnayan ito kung ang mapanlinlang na aktibidad ay naglalayong linlangin ang mga mamimili.
Republic Act No. 9994 o ang Expanded Anti-Trafficking in Persons Act of 2012: Sinasaklaw ang mga gawain ng trafficking ng mga tao, na maaaring may kinalaman sa paggamit ng mga nakaw na pagkakakilanlan.
Mga parusa:
Pagkakulong: Nag-iiba-iba depende sa uri at kalubhaan ng nakaplanong krimen. Parehong inireseta ng CPA at RPC ang mga tuntunin ng pagkakulong para sa cybercrime conspiracy at conspiracy to commit a crime, ayon sa pagkakabanggit.
Mga multa: Ang mga multa sa pananalapi ay maaaring ipataw kasama ng pagkakulong.</v>
      </c>
      <c r="F2011" s="2">
        <f t="shared" si="1"/>
        <v>2</v>
      </c>
      <c r="G2011" s="2"/>
      <c r="H2011" s="2"/>
      <c r="I2011" s="2"/>
      <c r="J2011" s="2"/>
      <c r="K2011" s="2"/>
      <c r="L2011" s="2"/>
      <c r="M2011" s="2"/>
      <c r="N2011" s="2"/>
      <c r="O2011" s="2"/>
      <c r="P2011" s="2"/>
      <c r="Q2011" s="2"/>
      <c r="R2011" s="2"/>
      <c r="S2011" s="2"/>
      <c r="T2011" s="2"/>
      <c r="U2011" s="2"/>
      <c r="V2011" s="2"/>
      <c r="W2011" s="2"/>
      <c r="X2011" s="2"/>
      <c r="Y2011" s="2"/>
      <c r="Z2011" s="2"/>
      <c r="AA2011" s="2"/>
    </row>
    <row r="2012">
      <c r="A2012" s="1" t="s">
        <v>4698</v>
      </c>
      <c r="B2012" s="1" t="s">
        <v>5005</v>
      </c>
      <c r="C2012" s="1" t="s">
        <v>5028</v>
      </c>
      <c r="D2012" s="2" t="str">
        <f>IFERROR(__xludf.DUMMYFUNCTION("GOOGLETRANSLATE(B2012, ""en"", ""TL"")"),"Anong mga parusa ang naaangkop para sa pagsali sa hindi awtorisadong pagbebenta o pamamahagi ng mga ipinagbabawal na publikasyon sa mga pampublikong espasyo malapit sa mga cultural heritage site?")</f>
        <v>Anong mga parusa ang naaangkop para sa pagsali sa hindi awtorisadong pagbebenta o pamamahagi ng mga ipinagbabawal na publikasyon sa mga pampublikong espasyo malapit sa mga cultural heritage site?</v>
      </c>
      <c r="E2012" s="2" t="str">
        <f>IFERROR(__xludf.DUMMYFUNCTION("GOOGLETRANSLATE(C2012, ""en"", ""TL"")"),"Sa Pilipinas, ang hindi awtorisadong pagbebenta o pamamahagi ng mga ipinagbabawal na publikasyon sa mga pampublikong espasyo malapit sa mga cultural heritage sites ay napapailalim sa mga legal na parusa. Tuklasin natin ang mga nauugnay na probisyon:
1. **"&amp;"Artikulo 201 ng Binagong Kodigo Penal (RPC)**:
- Tinutugunan ng Artikulo 201 ang mga imoral na doktrina, malalaswang publikasyon, at mga eksibisyon, kabilang ang mga nauugnay sa ipinagbabawal na materyales.
- Ang mga nagkasala ay maaaring maharap sa mga p"&amp;"arusa para sa pagbabago ng sangkap, dami, o kalidad ng anumang bagay na may halaga na naihatid dahil sa isang obligasyon, maling paggamit o pag-convert ng ipinagkatiwalang ari-arian, pagsasamantala sa pirma ng isang tao nang hindi nararapat, o paggamit ng"&amp;" mga maling pagkukunwari o mapanlinlang na gawain.
- Ang mga parusa sa ilalim ng RPC ay maaaring magsama ng mga multa, pagkakulong, o pareho, depende sa partikular na pagkakasala.
2. **Consumer Act of the Philippines (Republic Act No. 7394)**:
- Bagama't "&amp;"hindi partikular sa mga cultural heritage site, pinaparusahan ng Batas na ito ang hindi katapatan ng mga nagbebenta bago, habang, at pagkatapos ng pagbebenta.
- Ipinagbabawal nito ang mga gawa ng pagtatago, maling representasyon, o mapanlinlang na pagmama"&amp;"nipula sa mga transaksyon sa pagbebenta.
- Maaaring maharap ang mga lumalabag sa mga multa, pagkakulong, o pareho.
3. **Mga Lokal na Ordenansa at Regulasyon**:
- Ang ilang mga local government units (LGUs) ay maaaring may mga partikular na ordinansa o reg"&amp;"ulasyon na may kaugnayan sa pagbebenta at pamamahagi ng mga materyales sa mga pampublikong espasyo, lalo na malapit sa mga cultural heritage sites.
- Ang mga ordinansang ito ay maaaring tumugon sa zoning, paglilisensya, at mga uri ng materyales na pinapay"&amp;"agang ibenta.
- Maaaring mag-iba ang mga parusa batay sa mga lokal na batas at mga kasanayan sa pagpapatupad.
Sa kabuuan, ang hindi awtorisadong pagbebenta o pamamahagi ng mga ipinagbabawal na publikasyon malapit sa mga cultural heritage sites ay napapail"&amp;"alim sa mga legal na parusa sa ilalim ng parehong mga pambansang batas at mga lokal na ordinansa. Ang mga nagkasala ay maaaring maharap sa multa, pagkakulong, o iba pang mga hakbang sa pagpaparusa depende sa kalubhaan ng pagkakasala at sa mga naaangkop na"&amp;" legal na probisyon.")</f>
        <v>Sa Pilipinas, ang hindi awtorisadong pagbebenta o pamamahagi ng mga ipinagbabawal na publikasyon sa mga pampublikong espasyo malapit sa mga cultural heritage sites ay napapailalim sa mga legal na parusa. Tuklasin natin ang mga nauugnay na probisyon:
1. **Artikulo 201 ng Binagong Kodigo Penal (RPC)**:
- Tinutugunan ng Artikulo 201 ang mga imoral na doktrina, malalaswang publikasyon, at mga eksibisyon, kabilang ang mga nauugnay sa ipinagbabawal na materyales.
- Ang mga nagkasala ay maaaring maharap sa mga parusa para sa pagbabago ng sangkap, dami, o kalidad ng anumang bagay na may halaga na naihatid dahil sa isang obligasyon, maling paggamit o pag-convert ng ipinagkatiwalang ari-arian, pagsasamantala sa pirma ng isang tao nang hindi nararapat, o paggamit ng mga maling pagkukunwari o mapanlinlang na gawain.
- Ang mga parusa sa ilalim ng RPC ay maaaring magsama ng mga multa, pagkakulong, o pareho, depende sa partikular na pagkakasala.
2. **Consumer Act of the Philippines (Republic Act No. 7394)**:
- Bagama't hindi partikular sa mga cultural heritage site, pinaparusahan ng Batas na ito ang hindi katapatan ng mga nagbebenta bago, habang, at pagkatapos ng pagbebenta.
- Ipinagbabawal nito ang mga gawa ng pagtatago, maling representasyon, o mapanlinlang na pagmamanipula sa mga transaksyon sa pagbebenta.
- Maaaring maharap ang mga lumalabag sa mga multa, pagkakulong, o pareho.
3. **Mga Lokal na Ordenansa at Regulasyon**:
- Ang ilang mga local government units (LGUs) ay maaaring may mga partikular na ordinansa o regulasyon na may kaugnayan sa pagbebenta at pamamahagi ng mga materyales sa mga pampublikong espasyo, lalo na malapit sa mga cultural heritage sites.
- Ang mga ordinansang ito ay maaaring tumugon sa zoning, paglilisensya, at mga uri ng materyales na pinapayagang ibenta.
- Maaaring mag-iba ang mga parusa batay sa mga lokal na batas at mga kasanayan sa pagpapatupad.
Sa kabuuan, ang hindi awtorisadong pagbebenta o pamamahagi ng mga ipinagbabawal na publikasyon malapit sa mga cultural heritage sites ay napapailalim sa mga legal na parusa sa ilalim ng parehong mga pambansang batas at mga lokal na ordinansa. Ang mga nagkasala ay maaaring maharap sa multa, pagkakulong, o iba pang mga hakbang sa pagpaparusa depende sa kalubhaan ng pagkakasala at sa mga naaangkop na legal na probisyon.</v>
      </c>
      <c r="F2012" s="2">
        <f t="shared" si="1"/>
        <v>2</v>
      </c>
      <c r="G2012" s="2"/>
      <c r="H2012" s="2"/>
      <c r="I2012" s="2"/>
      <c r="J2012" s="2"/>
      <c r="K2012" s="2"/>
      <c r="L2012" s="2"/>
      <c r="M2012" s="2"/>
      <c r="N2012" s="2"/>
      <c r="O2012" s="2"/>
      <c r="P2012" s="2"/>
      <c r="Q2012" s="2"/>
      <c r="R2012" s="2"/>
      <c r="S2012" s="2"/>
      <c r="T2012" s="2"/>
      <c r="U2012" s="2"/>
      <c r="V2012" s="2"/>
      <c r="W2012" s="2"/>
      <c r="X2012" s="2"/>
      <c r="Y2012" s="2"/>
      <c r="Z2012" s="2"/>
      <c r="AA2012" s="2"/>
    </row>
    <row r="2013">
      <c r="A2013" s="1" t="s">
        <v>4698</v>
      </c>
      <c r="B2013" s="1" t="s">
        <v>4925</v>
      </c>
      <c r="C2013" s="1" t="s">
        <v>5029</v>
      </c>
      <c r="D2013" s="2" t="str">
        <f>IFERROR(__xludf.DUMMYFUNCTION("GOOGLETRANSLATE(B2013, ""en"", ""TL"")"),"Anong mga legal na probisyon ang kumokontrol sa pagmamay-ari at paggamit ng mga hindi awtorisadong surveillance device sa mga pampublikong espasyo malapit sa mga opisina ng gobyerno?")</f>
        <v>Anong mga legal na probisyon ang kumokontrol sa pagmamay-ari at paggamit ng mga hindi awtorisadong surveillance device sa mga pampublikong espasyo malapit sa mga opisina ng gobyerno?</v>
      </c>
      <c r="E2013" s="2" t="str">
        <f>IFERROR(__xludf.DUMMYFUNCTION("GOOGLETRANSLATE(C2013, ""en"", ""TL"")"),"Tinutugunan ng Pilipinas ang mga hindi awtorisadong kagamitan sa pagsubaybay sa mga pampublikong espasyo malapit sa mga tanggapan ng pamahalaan sa pamamagitan ng kumbinasyon ng mga batas at regulasyon:
Karapatan sa Pagkapribado (Artikulo III, Seksyon 1 ng"&amp;" Konstitusyon ng Pilipinas):
Pinoprotektahan ng pangunahing karapatang ito ang mga indibidwal mula sa hindi makatwirang mga paghahanap at pag-agaw, kabilang ang kanilang privacy sa mga pampublikong espasyo.
Republic Act No. 10175 o ang Cybercrime Preventi"&amp;"on Act of 2012:
Seksyon 4: Ipinagbabawal ng seksyong ito ang hindi awtorisadong pagharang at pagtatala ng mga signal ng komunikasyon. Maaari itong magamit kung ang hindi awtorisadong aparato ay humarang sa mga elektronikong komunikasyon (mga tawag sa tele"&amp;"pono, mga mensahe) na nagaganap sa pampublikong espasyo.
Anti-Voyeurism Act (Republic Act No. 9995):
Pinarurusahan ang pagkilos ng lihim na pagmamasid o pagtatala ng isang tao na nakikibahagi sa anumang pribadong gawain.
Habang ang mga pampublikong espasy"&amp;"o sa pangkalahatan ay may mas mababang inaasahan ng privacy, ang palihim na pag-film ng mga indibidwal sa loob ng makatwirang inaasahan ng privacy (hal., mga lugar na malapit sa mga pasukan ng gusali, mga banyo) ay maaaring ituring na isang paglabag.")</f>
        <v>Tinutugunan ng Pilipinas ang mga hindi awtorisadong kagamitan sa pagsubaybay sa mga pampublikong espasyo malapit sa mga tanggapan ng pamahalaan sa pamamagitan ng kumbinasyon ng mga batas at regulasyon:
Karapatan sa Pagkapribado (Artikulo III, Seksyon 1 ng Konstitusyon ng Pilipinas):
Pinoprotektahan ng pangunahing karapatang ito ang mga indibidwal mula sa hindi makatwirang mga paghahanap at pag-agaw, kabilang ang kanilang privacy sa mga pampublikong espasyo.
Republic Act No. 10175 o ang Cybercrime Prevention Act of 2012:
Seksyon 4: Ipinagbabawal ng seksyong ito ang hindi awtorisadong pagharang at pagtatala ng mga signal ng komunikasyon. Maaari itong magamit kung ang hindi awtorisadong aparato ay humarang sa mga elektronikong komunikasyon (mga tawag sa telepono, mga mensahe) na nagaganap sa pampublikong espasyo.
Anti-Voyeurism Act (Republic Act No. 9995):
Pinarurusahan ang pagkilos ng lihim na pagmamasid o pagtatala ng isang tao na nakikibahagi sa anumang pribadong gawain.
Habang ang mga pampublikong espasyo sa pangkalahatan ay may mas mababang inaasahan ng privacy, ang palihim na pag-film ng mga indibidwal sa loob ng makatwirang inaasahan ng privacy (hal., mga lugar na malapit sa mga pasukan ng gusali, mga banyo) ay maaaring ituring na isang paglabag.</v>
      </c>
      <c r="F2013" s="2">
        <f t="shared" si="1"/>
        <v>2</v>
      </c>
      <c r="G2013" s="2"/>
      <c r="H2013" s="2"/>
      <c r="I2013" s="2"/>
      <c r="J2013" s="2"/>
      <c r="K2013" s="2"/>
      <c r="L2013" s="2"/>
      <c r="M2013" s="2"/>
      <c r="N2013" s="2"/>
      <c r="O2013" s="2"/>
      <c r="P2013" s="2"/>
      <c r="Q2013" s="2"/>
      <c r="R2013" s="2"/>
      <c r="S2013" s="2"/>
      <c r="T2013" s="2"/>
      <c r="U2013" s="2"/>
      <c r="V2013" s="2"/>
      <c r="W2013" s="2"/>
      <c r="X2013" s="2"/>
      <c r="Y2013" s="2"/>
      <c r="Z2013" s="2"/>
      <c r="AA2013" s="2"/>
    </row>
    <row r="2014">
      <c r="A2014" s="1" t="s">
        <v>4698</v>
      </c>
      <c r="B2014" s="1" t="s">
        <v>5030</v>
      </c>
      <c r="C2014" s="1" t="s">
        <v>5031</v>
      </c>
      <c r="D2014" s="2" t="str">
        <f>IFERROR(__xludf.DUMMYFUNCTION("GOOGLETRANSLATE(B2014, ""en"", ""TL"")"),"Paano tinutugunan ng batas ang mga insidente ng pang-aabuso o panliligalig sa antas ng kalye batay sa oryentasyong sekswal o pagkakakilanlang pangkasarian sa pampublikong transportasyon?")</f>
        <v>Paano tinutugunan ng batas ang mga insidente ng pang-aabuso o panliligalig sa antas ng kalye batay sa oryentasyong sekswal o pagkakakilanlang pangkasarian sa pampublikong transportasyon?</v>
      </c>
      <c r="E2014" s="2" t="str">
        <f>IFERROR(__xludf.DUMMYFUNCTION("GOOGLETRANSLATE(C2014, ""en"", ""TL"")"),"Sa Pilipinas, ang **Safe Spaces Act** (Republic Act No. 11313) ay idinisenyo upang tugunan ang mga pagkakataon ng pag-atake sa antas ng kalye o panliligalig batay sa oryentasyong sekswal o pagkakakilanlang pangkasarian sa mga pampublikong lugar, kabilang "&amp;"ang pampublikong transportasyon. Suriin natin ang mga pangunahing punto:
1. **Kahulugan ng Mga Tuntunin**:
- **Catcalling**: Mga hindi gustong komento na nakadirekta sa isang indibidwal, kadalasang kinasasangkutan ng wolf-whistling at mapanirang pananalit"&amp;"a batay sa misogyny, transphobia, homophobia, o sexism.
- **Batay sa kasarian online na sekswal na panliligalig**: Pag-uugali na naglalayon sa isang partikular na tao na nagdudulot ng pagkabalisa sa pag-iisip, emosyonal, o sikolohikal, kabilang ang mga hi"&amp;"ndi hinihinging sekswal na komento, cyberstalking, at online na pagnanakaw ng pagkakakilanlan.
- **Pagkakakilanlan at/o pagpapahayag ng kasarian**: Personal na persepsyon ng pagkakakilanlan na nailalarawan sa pamamagitan ng mga pagpipilian sa pananamit, h"&amp;"ilig, at pag-uugali na umaayon sa mga pamantayang panlalaki o pambabae.
- **Mga pampublikong espasyo**: Sakop ang mga kalye, eskinita, parke, paaralan, gusali, mall, bar, restaurant, terminal ng transportasyon, pampublikong pamilihan, opisina ng gobyerno,"&amp;" pampublikong utility na sasakyan, at iba pang lugar na libangan ¹.
2. **Mga Ipinagbabawal na Gawa**:
- Ipinagbabawal ng Safe Spaces Act ang iba't ibang anyo ng panliligalig sa mga pampublikong espasyo, kabilang ang:
- Catcalling
- Mga hindi gustong seksw"&amp;"al na pananalita at komento
- Mga pananakot
- Hindi awtorisadong pagbabahagi ng mga larawan ng isang tao
- Mga pag-record ng video at audio nang walang pahintulot
- Cyberstalking
- Online na pagnanakaw ng pagkakakilanlan
- Pampublikong kawalanghiyaan o pa"&amp;"glalantad ng mga pribadong bahagi
- Nangangap
- Anumang mga pagsulong (berbal o pisikal) na nakakasagabal sa personal na espasyo at kaligtasan ¹.
3. **Mga Parusa**:
- Ang mga lumalabag sa Safe Spaces Act ay maaaring maharap sa mga parusa gaya ng mga multa"&amp;" at pagkakulong.
- Nilalayon ng batas na magtatag ng mas ligtas na kapaligiran para sa lahat, anuman ang kasarian, oryentasyong sekswal, o pagkakakilanlan ¹.
4. **Pag-uulat at Kamalayan**:
- Hinihikayat ng Land Transportation Franchising and Regulatory Bo"&amp;"ard (LTFRB) ang pag-uulat ng mga insidente ng harassment sa loob ng pampublikong sasakyan.
- Parehong maaaring mag-ulat ang mga pasahero at driver ng mga pangyayari gaya ng pagmumura, catcalling, wolf-whistling, at iba pang nakakasakit na pananalita ².
Ma"&amp;"halagang tandaan na karapat-dapat ang lahat ng paggalang at kaligtasan sa mga pampublikong lugar, kasama na sa panahon ng transportasyon. Ang Safe Spaces Act ay nagsusumikap na protektahan ang mga indibidwal mula sa panliligalig at pagyamanin ang isang ma"&amp;"s napapabilang na lipunan. 🌈🚍🔒")</f>
        <v>Sa Pilipinas, ang **Safe Spaces Act** (Republic Act No. 11313) ay idinisenyo upang tugunan ang mga pagkakataon ng pag-atake sa antas ng kalye o panliligalig batay sa oryentasyong sekswal o pagkakakilanlang pangkasarian sa mga pampublikong lugar, kabilang ang pampublikong transportasyon. Suriin natin ang mga pangunahing punto:
1. **Kahulugan ng Mga Tuntunin**:
- **Catcalling**: Mga hindi gustong komento na nakadirekta sa isang indibidwal, kadalasang kinasasangkutan ng wolf-whistling at mapanirang pananalita batay sa misogyny, transphobia, homophobia, o sexism.
- **Batay sa kasarian online na sekswal na panliligalig**: Pag-uugali na naglalayon sa isang partikular na tao na nagdudulot ng pagkabalisa sa pag-iisip, emosyonal, o sikolohikal, kabilang ang mga hindi hinihinging sekswal na komento, cyberstalking, at online na pagnanakaw ng pagkakakilanlan.
- **Pagkakakilanlan at/o pagpapahayag ng kasarian**: Personal na persepsyon ng pagkakakilanlan na nailalarawan sa pamamagitan ng mga pagpipilian sa pananamit, hilig, at pag-uugali na umaayon sa mga pamantayang panlalaki o pambabae.
- **Mga pampublikong espasyo**: Sakop ang mga kalye, eskinita, parke, paaralan, gusali, mall, bar, restaurant, terminal ng transportasyon, pampublikong pamilihan, opisina ng gobyerno, pampublikong utility na sasakyan, at iba pang lugar na libangan ¹.
2. **Mga Ipinagbabawal na Gawa**:
- Ipinagbabawal ng Safe Spaces Act ang iba't ibang anyo ng panliligalig sa mga pampublikong espasyo, kabilang ang:
- Catcalling
- Mga hindi gustong sekswal na pananalita at komento
- Mga pananakot
- Hindi awtorisadong pagbabahagi ng mga larawan ng isang tao
- Mga pag-record ng video at audio nang walang pahintulot
- Cyberstalking
- Online na pagnanakaw ng pagkakakilanlan
- Pampublikong kawalanghiyaan o paglalantad ng mga pribadong bahagi
- Nangangap
- Anumang mga pagsulong (berbal o pisikal) na nakakasagabal sa personal na espasyo at kaligtasan ¹.
3. **Mga Parusa**:
- Ang mga lumalabag sa Safe Spaces Act ay maaaring maharap sa mga parusa gaya ng mga multa at pagkakulong.
- Nilalayon ng batas na magtatag ng mas ligtas na kapaligiran para sa lahat, anuman ang kasarian, oryentasyong sekswal, o pagkakakilanlan ¹.
4. **Pag-uulat at Kamalayan**:
- Hinihikayat ng Land Transportation Franchising and Regulatory Board (LTFRB) ang pag-uulat ng mga insidente ng harassment sa loob ng pampublikong sasakyan.
- Parehong maaaring mag-ulat ang mga pasahero at driver ng mga pangyayari gaya ng pagmumura, catcalling, wolf-whistling, at iba pang nakakasakit na pananalita ².
Mahalagang tandaan na karapat-dapat ang lahat ng paggalang at kaligtasan sa mga pampublikong lugar, kasama na sa panahon ng transportasyon. Ang Safe Spaces Act ay nagsusumikap na protektahan ang mga indibidwal mula sa panliligalig at pagyamanin ang isang mas napapabilang na lipunan. 🌈🚍🔒</v>
      </c>
      <c r="F2014" s="2">
        <f t="shared" si="1"/>
        <v>0</v>
      </c>
      <c r="G2014" s="2"/>
      <c r="H2014" s="2"/>
      <c r="I2014" s="2"/>
      <c r="J2014" s="2"/>
      <c r="K2014" s="2"/>
      <c r="L2014" s="2"/>
      <c r="M2014" s="2"/>
      <c r="N2014" s="2"/>
      <c r="O2014" s="2"/>
      <c r="P2014" s="2"/>
      <c r="Q2014" s="2"/>
      <c r="R2014" s="2"/>
      <c r="S2014" s="2"/>
      <c r="T2014" s="2"/>
      <c r="U2014" s="2"/>
      <c r="V2014" s="2"/>
      <c r="W2014" s="2"/>
      <c r="X2014" s="2"/>
      <c r="Y2014" s="2"/>
      <c r="Z2014" s="2"/>
      <c r="AA2014" s="2"/>
    </row>
    <row r="2015">
      <c r="A2015" s="1" t="s">
        <v>4698</v>
      </c>
      <c r="B2015" s="1" t="s">
        <v>4858</v>
      </c>
      <c r="C2015" s="1" t="s">
        <v>5032</v>
      </c>
      <c r="D2015" s="2" t="str">
        <f>IFERROR(__xludf.DUMMYFUNCTION("GOOGLETRANSLATE(B2015, ""en"", ""TL"")"),"Paano tinutugunan sa ilalim ng batas ng Pilipinas ang krimen ng public conspiracy to commit human trafficking o illegal recruitment?")</f>
        <v>Paano tinutugunan sa ilalim ng batas ng Pilipinas ang krimen ng public conspiracy to commit human trafficking o illegal recruitment?</v>
      </c>
      <c r="E2015" s="2" t="str">
        <f>IFERROR(__xludf.DUMMYFUNCTION("GOOGLETRANSLATE(C2015, ""en"", ""TL"")"),"Sa Pilipinas, ang krimen ng public conspiracy to commit human trafficking o illegal recruitment ay tinutugunan sa pamamagitan ng iba't ibang legal na probisyon. Tuklasin natin ang mga ito:
1. **Expanded Anti-Trafficking in Persons Act of 2012 (Republic Ac"&amp;"t No. 10364)**:
- Pinalalawak ng Batas na ito ang saklaw ng Republic Act No. 9208, na naglalayong alisin ang trafficking sa mga tao, lalo na ang mga kababaihan at mga bata.
- Kabilang sa mga pangunahing probisyon ang:
- Deklarasyon ng Patakaran: Pinahahal"&amp;"agahan ng Estado ang dignidad ng tao, ginagarantiyahan ang paggalang sa mga karapatan ng indibidwal, at inuuna ang mga hakbang upang protektahan ang mga tao mula sa karahasan, pagsasamantala, at hindi boluntaryong paglipat.
- Kahulugan ng Trafficking in P"&amp;"ersons: Sinasaklaw nito ang pangangalap, transportasyon, paglilipat, pagkukulong, o pagtanggap ng mga taong gumagamit ng mga pagbabanta, puwersa, pamimilit, panlilinlang, o pag-abuso sa kapangyarihan para sa pagsasamantala (hal., sekswal na pagsasamantala"&amp;", sapilitang paggawa, pang-aalipin, pagtanggal ng mga organo ).
- Ang Batas ay nagbibigay ng mga parusa para sa mga trafficker, kabilang ang pagkakulong at mga multa.
2. **Ilegal na Recruitment at ang Parusa Nito**:
- Nakasaad sa Republic Act No. 10022 na"&amp;" sinumang taong mapatunayang nagkasala ng illegal recruitment ay dapat magdusa ng parusang pagkakakulong ng hindi bababa sa labindalawang (12) taon at isang (1) araw ngunit hindi hihigit sa dalawampung (20) taon, kasama ng multa ng hindi bababa sa Isang m"&amp;"ilyong piso (P1,000,000.00) o higit sa Dalawang milyong piso (P2,000,000.00).
3. **Migrant Workers and Overseas Filipinos Act of 1995 (Republic Act No. 8042)**:
- Bagama't hindi partikular sa pampublikong pagsasabwatan, ang Batas na ito ay tumutugon sa il"&amp;"egal na pangangalap.
- Layunin nitong protektahan ang karapatan ng mga overseas Filipino workers (OFWs) at parusahan ang mga illegal recruiter.
- Ang mga pag-amyenda sa ilalim ng Republic Act No. 10022 ay higit na nagpapalakas ng mga parusa para sa illega"&amp;"l recruitment.
Sa mga legal na probisyong ito, ang mga terminong ""trafficking in persons,"" ""illegal recruitment,"" at ""syndicate"" ay malinaw na tinukoy, at ang mga parusa ay binalangkas para sa mga sangkot sa naturang aktibidad. Ang mga batas na ito "&amp;"ay naglalayong labanan ang human trafficking at iligal na pangangalap, pangalagaan ang mga karapatan at kapakanan ng mga indibidwal, partikular na ang mga mahihinang populasyon tulad ng mga kababaihan, mga bata, at mga overseas Filipino worker.")</f>
        <v>Sa Pilipinas, ang krimen ng public conspiracy to commit human trafficking o illegal recruitment ay tinutugunan sa pamamagitan ng iba't ibang legal na probisyon. Tuklasin natin ang mga ito:
1. **Expanded Anti-Trafficking in Persons Act of 2012 (Republic Act No. 10364)**:
- Pinalalawak ng Batas na ito ang saklaw ng Republic Act No. 9208, na naglalayong alisin ang trafficking sa mga tao, lalo na ang mga kababaihan at mga bata.
- Kabilang sa mga pangunahing probisyon ang:
- Deklarasyon ng Patakaran: Pinahahalagahan ng Estado ang dignidad ng tao, ginagarantiyahan ang paggalang sa mga karapatan ng indibidwal, at inuuna ang mga hakbang upang protektahan ang mga tao mula sa karahasan, pagsasamantala, at hindi boluntaryong paglipat.
- Kahulugan ng Trafficking in Persons: Sinasaklaw nito ang pangangalap, transportasyon, paglilipat, pagkukulong, o pagtanggap ng mga taong gumagamit ng mga pagbabanta, puwersa, pamimilit, panlilinlang, o pag-abuso sa kapangyarihan para sa pagsasamantala (hal., sekswal na pagsasamantala, sapilitang paggawa, pang-aalipin, pagtanggal ng mga organo ).
- Ang Batas ay nagbibigay ng mga parusa para sa mga trafficker, kabilang ang pagkakulong at mga multa.
2. **Ilegal na Recruitment at ang Parusa Nito**:
- Nakasaad sa Republic Act No. 10022 na sinumang taong mapatunayang nagkasala ng illegal recruitment ay dapat magdusa ng parusang pagkakakulong ng hindi bababa sa labindalawang (12) taon at isang (1) araw ngunit hindi hihigit sa dalawampung (20) taon, kasama ng multa ng hindi bababa sa Isang milyong piso (P1,000,000.00) o higit sa Dalawang milyong piso (P2,000,000.00).
3. **Migrant Workers and Overseas Filipinos Act of 1995 (Republic Act No. 8042)**:
- Bagama't hindi partikular sa pampublikong pagsasabwatan, ang Batas na ito ay tumutugon sa ilegal na pangangalap.
- Layunin nitong protektahan ang karapatan ng mga overseas Filipino workers (OFWs) at parusahan ang mga illegal recruiter.
- Ang mga pag-amyenda sa ilalim ng Republic Act No. 10022 ay higit na nagpapalakas ng mga parusa para sa illegal recruitment.
Sa mga legal na probisyong ito, ang mga terminong "trafficking in persons," "illegal recruitment," at "syndicate" ay malinaw na tinukoy, at ang mga parusa ay binalangkas para sa mga sangkot sa naturang aktibidad. Ang mga batas na ito ay naglalayong labanan ang human trafficking at iligal na pangangalap, pangalagaan ang mga karapatan at kapakanan ng mga indibidwal, partikular na ang mga mahihinang populasyon tulad ng mga kababaihan, mga bata, at mga overseas Filipino worker.</v>
      </c>
      <c r="F2015" s="2">
        <f t="shared" si="1"/>
        <v>2</v>
      </c>
      <c r="G2015" s="2"/>
      <c r="H2015" s="2"/>
      <c r="I2015" s="2"/>
      <c r="J2015" s="2"/>
      <c r="K2015" s="2"/>
      <c r="L2015" s="2"/>
      <c r="M2015" s="2"/>
      <c r="N2015" s="2"/>
      <c r="O2015" s="2"/>
      <c r="P2015" s="2"/>
      <c r="Q2015" s="2"/>
      <c r="R2015" s="2"/>
      <c r="S2015" s="2"/>
      <c r="T2015" s="2"/>
      <c r="U2015" s="2"/>
      <c r="V2015" s="2"/>
      <c r="W2015" s="2"/>
      <c r="X2015" s="2"/>
      <c r="Y2015" s="2"/>
      <c r="Z2015" s="2"/>
      <c r="AA2015" s="2"/>
    </row>
    <row r="2016">
      <c r="A2016" s="1" t="s">
        <v>4698</v>
      </c>
      <c r="B2016" s="1" t="s">
        <v>5033</v>
      </c>
      <c r="C2016" s="1" t="s">
        <v>5034</v>
      </c>
      <c r="D2016" s="2" t="str">
        <f>IFERROR(__xludf.DUMMYFUNCTION("GOOGLETRANSLATE(B2016, ""en"", ""TL"")"),"Anong mga legal na hakbang ang umiiral upang labanan ang mga paglabag sa kapaligiran sa antas ng kalye, tulad ng hindi wastong pagtatapon ng mga elektronikong basura sa mga pampublikong espasyo?")</f>
        <v>Anong mga legal na hakbang ang umiiral upang labanan ang mga paglabag sa kapaligiran sa antas ng kalye, tulad ng hindi wastong pagtatapon ng mga elektronikong basura sa mga pampublikong espasyo?</v>
      </c>
      <c r="E2016" s="2" t="str">
        <f>IFERROR(__xludf.DUMMYFUNCTION("GOOGLETRANSLATE(C2016, ""en"", ""TL"")"),"Tinatalakay ng Pilipinas ang hindi tamang pagtatapon ng mga elektronikong basura (e-waste) sa mga pampublikong espasyo sa pamamagitan ng kumbinasyon ng mga umiiral na batas at regulasyon sa kapaligiran:
Pangunahing Batas:
Republic Act No. 6969 o ang Toxic"&amp;" Substances and Hazardous Waste Control Act:
Kinokontrol ang pamamahala at pagtatapon ng mga mapanganib na basura, kabilang ang e-waste.
Ipinagbabawal ng batas na ito ang pagtatapon ng basura at hindi tamang pagtatapon ng mga mapanganib na materyales tula"&amp;"d ng e-waste sa mga pampublikong lugar.
Republic Act No. 9003 o ang Ecological Solid Waste Management Act:
Nakatuon sa pinagsama-samang pamamahala ng solid waste, kabilang ang wastong paghihiwalay, pagkolekta, at pagtatapon ng iba't ibang daloy ng basura."&amp;"
Bagama't hindi lamang tina-target ang e-waste, binibigyang-diin nito ang prinsipyong ""polluter-pays"", na pinapanagot ang mga indibidwal at entity para sa wastong pagtatapon ng kanilang basura.
Mga Parusa para sa Hindi Wastong Pagtatapon ng E-waste:
Mga"&amp;" multa: Mag-iba depende sa uri at kalubhaan ng pagkakasala.
Pagkakulong: Posible sa mga kaso ng paulit-ulit na paglabag o malakihang iligal na pagtatapon.")</f>
        <v>Tinatalakay ng Pilipinas ang hindi tamang pagtatapon ng mga elektronikong basura (e-waste) sa mga pampublikong espasyo sa pamamagitan ng kumbinasyon ng mga umiiral na batas at regulasyon sa kapaligiran:
Pangunahing Batas:
Republic Act No. 6969 o ang Toxic Substances and Hazardous Waste Control Act:
Kinokontrol ang pamamahala at pagtatapon ng mga mapanganib na basura, kabilang ang e-waste.
Ipinagbabawal ng batas na ito ang pagtatapon ng basura at hindi tamang pagtatapon ng mga mapanganib na materyales tulad ng e-waste sa mga pampublikong lugar.
Republic Act No. 9003 o ang Ecological Solid Waste Management Act:
Nakatuon sa pinagsama-samang pamamahala ng solid waste, kabilang ang wastong paghihiwalay, pagkolekta, at pagtatapon ng iba't ibang daloy ng basura.
Bagama't hindi lamang tina-target ang e-waste, binibigyang-diin nito ang prinsipyong "polluter-pays", na pinapanagot ang mga indibidwal at entity para sa wastong pagtatapon ng kanilang basura.
Mga Parusa para sa Hindi Wastong Pagtatapon ng E-waste:
Mga multa: Mag-iba depende sa uri at kalubhaan ng pagkakasala.
Pagkakulong: Posible sa mga kaso ng paulit-ulit na paglabag o malakihang iligal na pagtatapon.</v>
      </c>
      <c r="F2016" s="2">
        <f t="shared" si="1"/>
        <v>2</v>
      </c>
      <c r="G2016" s="2"/>
      <c r="H2016" s="2"/>
      <c r="I2016" s="2"/>
      <c r="J2016" s="2"/>
      <c r="K2016" s="2"/>
      <c r="L2016" s="2"/>
      <c r="M2016" s="2"/>
      <c r="N2016" s="2"/>
      <c r="O2016" s="2"/>
      <c r="P2016" s="2"/>
      <c r="Q2016" s="2"/>
      <c r="R2016" s="2"/>
      <c r="S2016" s="2"/>
      <c r="T2016" s="2"/>
      <c r="U2016" s="2"/>
      <c r="V2016" s="2"/>
      <c r="W2016" s="2"/>
      <c r="X2016" s="2"/>
      <c r="Y2016" s="2"/>
      <c r="Z2016" s="2"/>
      <c r="AA2016" s="2"/>
    </row>
    <row r="2017">
      <c r="A2017" s="1" t="s">
        <v>4698</v>
      </c>
      <c r="B2017" s="1" t="s">
        <v>5035</v>
      </c>
      <c r="C2017" s="1" t="s">
        <v>5036</v>
      </c>
      <c r="D2017" s="2" t="str">
        <f>IFERROR(__xludf.DUMMYFUNCTION("GOOGLETRANSLATE(B2017, ""en"", ""TL"")"),"Sa ilalim ng anong mga pangyayari ang isang tao ay maaaring makasuhan ng public conspiracy to commit election-related offenses in public events?")</f>
        <v>Sa ilalim ng anong mga pangyayari ang isang tao ay maaaring makasuhan ng public conspiracy to commit election-related offenses in public events?</v>
      </c>
      <c r="E2017" s="2" t="str">
        <f>IFERROR(__xludf.DUMMYFUNCTION("GOOGLETRANSLATE(C2017, ""en"", ""TL"")"),"Ang pagsali sa pampublikong pagsasabwatan upang gumawa ng mga paglabag na may kaugnayan sa halalan sa mga pampublikong kaganapan sa Pilipinas ay maaaring potensyal na lumabag sa ilang batas, kabilang ang:
Omnibus Election Code (Batas Pambansa Blg. 881): A"&amp;"ng komprehensibong batas na ito ay namamahala sa lahat ng aspeto ng halalan sa Pilipinas. Maaaring saklawin sa ilalim ng code na ito ang mga paglabag na nauugnay sa pag-oorganisa ng mga hindi awtorisadong kaganapan sa kampanya, pag-uugnay sa pagbili ng bo"&amp;"to o pananakot, pagpapakalat ng maling impormasyon o propaganda, pakikialam sa mga materyales sa halalan, paglabag sa mga batas sa pananalapi ng kampanya, at pagsali sa hindi awtorisadong pangangampanya.
Batas Republika Blg. 7166: Ang batas na ito ay nagt"&amp;"atadhana para sa magkakasabay na pambansa at lokal na halalan at tinitiyak ang pagtutugma ng mga termino ng panunungkulan ng mga lokal na opisyal. Maaaring saklawin sa ilalim ng batas na ito ang mga paglabag na may kaugnayan sa mga iskedyul ng halalan at "&amp;"pagsasagawa ng magkasabay na halalan.
Republic Act No. 9006 (Fair Election Act): Kinokontrol ng batas na ito ang pagsasagawa ng mga kampanya sa halalan, kabilang ang paggamit ng mga materyales sa propaganda, mga advertisement sa kampanya, at ang pagbabawa"&amp;"l sa ilang uri ng propaganda sa halalan. Ang mga paglabag na nauugnay sa pagpapakalat ng maling impormasyon o pagsali sa hindi awtorisadong pangangampanya sa mga pampublikong kaganapan ay maaaring mapailalim sa batas na ito.
Republic Act No. 10175 (Cyberc"&amp;"rime Prevention Act of 2012): Ang batas na ito ay nagpaparusa sa iba't ibang anyo ng cybercrime, kabilang ang mga online na paglabag na may kaugnayan sa halalan tulad ng pagkalat ng maling impormasyon o pagsali sa online na propaganda. Bagama't hindi dire"&amp;"ktang nauugnay sa mga pampublikong kaganapan, kung ang mga paglabag na nauugnay sa halalan na ginawa sa pamamagitan ng mga digital na platform ay bahagi ng pagsasabwatan, maaari ding ilapat ang batas na ito.
Ang mga batas na ito ay nagbibigay ng mga parti"&amp;"kular na probisyon at mga parusa para sa iba't ibang mga paglabag na may kaugnayan sa halalan, kabilang ang mga ginawa sa mga setting ng pampublikong kaganapan. Depende sa uri ng pagkakasala at sa mga pangyayaring kasangkot, ang iba pang mga kaugnay na ba"&amp;"tas at regulasyon ay maaari ding mag-aplay.")</f>
        <v>Ang pagsali sa pampublikong pagsasabwatan upang gumawa ng mga paglabag na may kaugnayan sa halalan sa mga pampublikong kaganapan sa Pilipinas ay maaaring potensyal na lumabag sa ilang batas, kabilang ang:
Omnibus Election Code (Batas Pambansa Blg. 881): Ang komprehensibong batas na ito ay namamahala sa lahat ng aspeto ng halalan sa Pilipinas. Maaaring saklawin sa ilalim ng code na ito ang mga paglabag na nauugnay sa pag-oorganisa ng mga hindi awtorisadong kaganapan sa kampanya, pag-uugnay sa pagbili ng boto o pananakot, pagpapakalat ng maling impormasyon o propaganda, pakikialam sa mga materyales sa halalan, paglabag sa mga batas sa pananalapi ng kampanya, at pagsali sa hindi awtorisadong pangangampanya.
Batas Republika Blg. 7166: Ang batas na ito ay nagtatadhana para sa magkakasabay na pambansa at lokal na halalan at tinitiyak ang pagtutugma ng mga termino ng panunungkulan ng mga lokal na opisyal. Maaaring saklawin sa ilalim ng batas na ito ang mga paglabag na may kaugnayan sa mga iskedyul ng halalan at pagsasagawa ng magkasabay na halalan.
Republic Act No. 9006 (Fair Election Act): Kinokontrol ng batas na ito ang pagsasagawa ng mga kampanya sa halalan, kabilang ang paggamit ng mga materyales sa propaganda, mga advertisement sa kampanya, at ang pagbabawal sa ilang uri ng propaganda sa halalan. Ang mga paglabag na nauugnay sa pagpapakalat ng maling impormasyon o pagsali sa hindi awtorisadong pangangampanya sa mga pampublikong kaganapan ay maaaring mapailalim sa batas na ito.
Republic Act No. 10175 (Cybercrime Prevention Act of 2012): Ang batas na ito ay nagpaparusa sa iba't ibang anyo ng cybercrime, kabilang ang mga online na paglabag na may kaugnayan sa halalan tulad ng pagkalat ng maling impormasyon o pagsali sa online na propaganda. Bagama't hindi direktang nauugnay sa mga pampublikong kaganapan, kung ang mga paglabag na nauugnay sa halalan na ginawa sa pamamagitan ng mga digital na platform ay bahagi ng pagsasabwatan, maaari ding ilapat ang batas na ito.
Ang mga batas na ito ay nagbibigay ng mga partikular na probisyon at mga parusa para sa iba't ibang mga paglabag na may kaugnayan sa halalan, kabilang ang mga ginawa sa mga setting ng pampublikong kaganapan. Depende sa uri ng pagkakasala at sa mga pangyayaring kasangkot, ang iba pang mga kaugnay na batas at regulasyon ay maaari ding mag-aplay.</v>
      </c>
      <c r="F2017" s="2">
        <f t="shared" si="1"/>
        <v>0</v>
      </c>
      <c r="G2017" s="2"/>
      <c r="H2017" s="2"/>
      <c r="I2017" s="2"/>
      <c r="J2017" s="2"/>
      <c r="K2017" s="2"/>
      <c r="L2017" s="2"/>
      <c r="M2017" s="2"/>
      <c r="N2017" s="2"/>
      <c r="O2017" s="2"/>
      <c r="P2017" s="2"/>
      <c r="Q2017" s="2"/>
      <c r="R2017" s="2"/>
      <c r="S2017" s="2"/>
      <c r="T2017" s="2"/>
      <c r="U2017" s="2"/>
      <c r="V2017" s="2"/>
      <c r="W2017" s="2"/>
      <c r="X2017" s="2"/>
      <c r="Y2017" s="2"/>
      <c r="Z2017" s="2"/>
      <c r="AA2017" s="2"/>
    </row>
    <row r="2018">
      <c r="A2018" s="1" t="s">
        <v>4698</v>
      </c>
      <c r="B2018" s="1" t="s">
        <v>5037</v>
      </c>
      <c r="C2018" s="1" t="s">
        <v>5038</v>
      </c>
      <c r="D2018" s="2" t="str">
        <f>IFERROR(__xludf.DUMMYFUNCTION("GOOGLETRANSLATE(B2018, ""en"", ""TL"")"),"Paano tinutugunan ng batas ng Pilipinas ang mga insidente ng pag-atake o panliligalig sa antas ng kalye batay sa kaugnayan o opinyon sa pulitika sa mga pampublikong lugar?")</f>
        <v>Paano tinutugunan ng batas ng Pilipinas ang mga insidente ng pag-atake o panliligalig sa antas ng kalye batay sa kaugnayan o opinyon sa pulitika sa mga pampublikong lugar?</v>
      </c>
      <c r="E2018" s="2" t="str">
        <f>IFERROR(__xludf.DUMMYFUNCTION("GOOGLETRANSLATE(C2018, ""en"", ""TL"")"),"Sa Pilipinas, ang mga insidente ng pag-atake sa antas ng kalye o panliligalig batay sa kaugnayan sa pulitika o opinyon sa mga pampublikong lugar ay tinutugunan sa pamamagitan ng mga legal na probisyon. Narito ang mga kaugnay na batas:
1. **Safe Spaces Act"&amp;" (Republic Act No. 11313)**:
- Partikular na tinukoy ng batas na ito ang sekswal na panliligalig na nakabatay sa kasarian sa mga lansangan, pampublikong espasyo, online na platform, lugar ng trabaho, at mga institusyong pang-edukasyon o pagsasanay.
- Kabi"&amp;"lang sa mga pangunahing probisyon ang:
- Catcalling: Mga hindi gustong pananalita na nakadirekta sa isang tao, kadalasan sa anyo ng pag-whistling ng lobo at mapang-asar na paninira.
- Online na sekswal na panliligalig na nakabatay sa kasarian: Magsagawa o"&amp;"nline na nagdudulot ng mental, emosyonal, o sikolohikal na pagkabalisa, kabilang ang mga hindi gustong sekswal na pananalita, cyberstalking, at pagnanakaw ng pagkakakilanlan.
- Mga pampublikong espasyo: Tumutukoy sa mga kalye, parke, paaralan, opisina ng "&amp;"gobyerno, mga terminal ng transportasyon, at iba pang lugar ng libangan.
- Kabilang sa mga parusa sa mga paglabag ay pagkakulong ng hanggang anim na buwan at multang hanggang 500,000 pesos.
2. **Deklarasyon ng Mga Patakaran**:
- Pinahahalagahan ng Estado "&amp;"ang dignidad ng tao, ginagarantiyahan ang paggalang sa mga karapatang pantao, at kinikilala ang papel ng kababaihan sa pagbuo ng bansa.
- Ang pagkakapantay-pantay, seguridad, at kaligtasan ay mahalaga hindi lamang sa mga pribadong espasyo kundi pati na ri"&amp;"n sa mga pampublikong espasyo.
3. **Pagpapatupad at Pag-uulat**:
- Ang Land Transportation Franchising and Regulatory Board (LTFRB) ay aktibong nagtataguyod ng kamalayan sa Safe Spaces Act sa loob ng pampublikong sasakyan.
- Hinihikayat ang mga mamamayan "&amp;"na mag-ulat ng mga insidente ng panliligalig na ginawa sa mga pampublikong lugar.
Ang mga legal na probisyon na ito ay naglalayong tiyakin ang kaligtasan at seguridad ng mga indibidwal sa mga pampublikong espasyo at protektahan sila mula sa panliligalig o"&amp;" pag-atake batay sa pampulitikang kaugnayan o opinyon. Binibigyang-diin nila ang kahalagahan ng pagtataguyod ng mga karapatang pantao at pagtataguyod ng pagkakapantay-pantay sa lahat ng larangan ng lipunan.")</f>
        <v>Sa Pilipinas, ang mga insidente ng pag-atake sa antas ng kalye o panliligalig batay sa kaugnayan sa pulitika o opinyon sa mga pampublikong lugar ay tinutugunan sa pamamagitan ng mga legal na probisyon. Narito ang mga kaugnay na batas:
1. **Safe Spaces Act (Republic Act No. 11313)**:
- Partikular na tinukoy ng batas na ito ang sekswal na panliligalig na nakabatay sa kasarian sa mga lansangan, pampublikong espasyo, online na platform, lugar ng trabaho, at mga institusyong pang-edukasyon o pagsasanay.
- Kabilang sa mga pangunahing probisyon ang:
- Catcalling: Mga hindi gustong pananalita na nakadirekta sa isang tao, kadalasan sa anyo ng pag-whistling ng lobo at mapang-asar na paninira.
- Online na sekswal na panliligalig na nakabatay sa kasarian: Magsagawa online na nagdudulot ng mental, emosyonal, o sikolohikal na pagkabalisa, kabilang ang mga hindi gustong sekswal na pananalita, cyberstalking, at pagnanakaw ng pagkakakilanlan.
- Mga pampublikong espasyo: Tumutukoy sa mga kalye, parke, paaralan, opisina ng gobyerno, mga terminal ng transportasyon, at iba pang lugar ng libangan.
- Kabilang sa mga parusa sa mga paglabag ay pagkakulong ng hanggang anim na buwan at multang hanggang 500,000 pesos.
2. **Deklarasyon ng Mga Patakaran**:
- Pinahahalagahan ng Estado ang dignidad ng tao, ginagarantiyahan ang paggalang sa mga karapatang pantao, at kinikilala ang papel ng kababaihan sa pagbuo ng bansa.
- Ang pagkakapantay-pantay, seguridad, at kaligtasan ay mahalaga hindi lamang sa mga pribadong espasyo kundi pati na rin sa mga pampublikong espasyo.
3. **Pagpapatupad at Pag-uulat**:
- Ang Land Transportation Franchising and Regulatory Board (LTFRB) ay aktibong nagtataguyod ng kamalayan sa Safe Spaces Act sa loob ng pampublikong sasakyan.
- Hinihikayat ang mga mamamayan na mag-ulat ng mga insidente ng panliligalig na ginawa sa mga pampublikong lugar.
Ang mga legal na probisyon na ito ay naglalayong tiyakin ang kaligtasan at seguridad ng mga indibidwal sa mga pampublikong espasyo at protektahan sila mula sa panliligalig o pag-atake batay sa pampulitikang kaugnayan o opinyon. Binibigyang-diin nila ang kahalagahan ng pagtataguyod ng mga karapatang pantao at pagtataguyod ng pagkakapantay-pantay sa lahat ng larangan ng lipunan.</v>
      </c>
      <c r="F2018" s="2">
        <f t="shared" si="1"/>
        <v>0</v>
      </c>
      <c r="G2018" s="2"/>
      <c r="H2018" s="2"/>
      <c r="I2018" s="2"/>
      <c r="J2018" s="2"/>
      <c r="K2018" s="2"/>
      <c r="L2018" s="2"/>
      <c r="M2018" s="2"/>
      <c r="N2018" s="2"/>
      <c r="O2018" s="2"/>
      <c r="P2018" s="2"/>
      <c r="Q2018" s="2"/>
      <c r="R2018" s="2"/>
      <c r="S2018" s="2"/>
      <c r="T2018" s="2"/>
      <c r="U2018" s="2"/>
      <c r="V2018" s="2"/>
      <c r="W2018" s="2"/>
      <c r="X2018" s="2"/>
      <c r="Y2018" s="2"/>
      <c r="Z2018" s="2"/>
      <c r="AA2018" s="2"/>
    </row>
    <row r="2019">
      <c r="A2019" s="1" t="s">
        <v>4698</v>
      </c>
      <c r="B2019" s="1" t="s">
        <v>5017</v>
      </c>
      <c r="C2019" s="1" t="s">
        <v>5039</v>
      </c>
      <c r="D2019" s="2" t="str">
        <f>IFERROR(__xludf.DUMMYFUNCTION("GOOGLETRANSLATE(B2019, ""en"", ""TL"")"),"Anong mga parusa ang naaangkop para sa pagsali sa hindi awtorisadong pagbebenta o pamamahagi ng mga ipinagbabawal o malalaswang materyales sa mga pampublikong espasyo malapit sa mga paaralan?")</f>
        <v>Anong mga parusa ang naaangkop para sa pagsali sa hindi awtorisadong pagbebenta o pamamahagi ng mga ipinagbabawal o malalaswang materyales sa mga pampublikong espasyo malapit sa mga paaralan?</v>
      </c>
      <c r="E2019" s="2" t="str">
        <f>IFERROR(__xludf.DUMMYFUNCTION("GOOGLETRANSLATE(C2019, ""en"", ""TL"")"),"Ang batas ng Pilipinas ay tumatalakay sa hindi awtorisadong pagbebenta o pamamahagi ng mga ipinagbabawal o malalaswang materyales sa mga pampublikong espasyo malapit sa mga paaralan sa pamamagitan ng kumbinasyon ng Revised Penal Code (RPC) at Republic Act"&amp;" No. 7610 (Special Protection of Children Against Abuse, Exploitation and Discrimination Act).
Narito kung paano maaaring ilapat ang mga parusa:
**Binagong Kodigo Penal (RPC):**
* **Artikulo 359:** Pinaparusahan ng artikulong ito ang paglalathala o eksibi"&amp;"syon ng ""anumang malaswang publikasyon, pag-ukit, pag-print o litrato."" Ang parusa ay maaaring arresto mayor (1-6 na buwang pagkakakulong) hanggang prision correccional minimum (6 na buwan at 1 araw hanggang 2 taon at 4 na buwang pagkakakulong).
**Repub"&amp;"lic Act No. 7610 (Special Protection of Children Against Abuse, Exploitation and Discrimination Act):**
* **Seksyon 5:** Ipinagbabawal ng seksyong ito ang pagbebenta, pamamahagi o eksibisyon ng ""anumang malaswang publikasyon o materyal"" sa isang menor d"&amp;"e edad. Ang parusa ay maaaring pagkakulong ng anim (6) na buwan at isang araw hanggang anim (6) na taon at isang araw at multa mula Anim na raang piso (Php600.00) hanggang Apat na libong piso (PhP4,000.00).
* **Seksyon 9:** Ang seksyong ito ay partikular "&amp;"na tumutugon sa paggamit ng isang bata sa paggawa o pamamahagi ng mga malalaswang materyales. Bagama't hindi direktang nauugnay sa pagbebenta malapit sa mga paaralan, pinalalakas nito ang pangkalahatang proteksyon laban sa mga malaswang materyales na kina"&amp;"sasangkutan ng mga bata.
**Mga Pampublikong Lugar Malapit sa Mga Paaralan:**
Bagama't walang partikular na batas na tumutugon lamang sa kalapitan sa mga paaralan, maaaring gamitin ang ibang mga batas upang palakasin ang kaso:
* **Mga Lokal na Ordenansa:**"&amp;" Maraming mga lungsod at munisipalidad ang may mga ordinansang nagre-regulate ng mga aktibidad malapit sa mga paaralan, na maaaring may kasamang mga paghihigpit sa pagbebenta ng mga malalaswang materyales.
**Mahahalagang Pagsasaalang-alang:**
* Ang pagtuk"&amp;"oy sa ""mga malaswang materyales"" ay maaaring subjective. Isasaalang-alang ng mga korte ang mga salik tulad ng:
* Ang nangingibabaw na tema ng materyal na kinuha sa kabuuan
* Kung ito man ay apila sa maingat na mga interes
* Kung ito man ay malinaw na na"&amp;"kakasakit sa mga pamantayan ng komunidad
* Mayroon man itong anumang seryosong pampanitikan, masining, pampulitika, o pang-agham na halaga
* Ang mga partikular na parusa ay depende sa eksaktong katangian ng mga materyales at kung ang isang menor de edad a"&amp;"y sangkot.
**Rekomendasyon:**
Para sa mas tiyak na sagot, palaging pinakamahusay na kumunsulta sa isang abogado na dalubhasa sa batas kriminal o hustisya ng kabataan. Maaari silang magbigay ng mas nuanced na pagsusuri batay sa mga partikular na kalagayan "&amp;"ng kaso.")</f>
        <v>Ang batas ng Pilipinas ay tumatalakay sa hindi awtorisadong pagbebenta o pamamahagi ng mga ipinagbabawal o malalaswang materyales sa mga pampublikong espasyo malapit sa mga paaralan sa pamamagitan ng kumbinasyon ng Revised Penal Code (RPC) at Republic Act No. 7610 (Special Protection of Children Against Abuse, Exploitation and Discrimination Act).
Narito kung paano maaaring ilapat ang mga parusa:
**Binagong Kodigo Penal (RPC):**
* **Artikulo 359:** Pinaparusahan ng artikulong ito ang paglalathala o eksibisyon ng "anumang malaswang publikasyon, pag-ukit, pag-print o litrato." Ang parusa ay maaaring arresto mayor (1-6 na buwang pagkakakulong) hanggang prision correccional minimum (6 na buwan at 1 araw hanggang 2 taon at 4 na buwang pagkakakulong).
**Republic Act No. 7610 (Special Protection of Children Against Abuse, Exploitation and Discrimination Act):**
* **Seksyon 5:** Ipinagbabawal ng seksyong ito ang pagbebenta, pamamahagi o eksibisyon ng "anumang malaswang publikasyon o materyal" sa isang menor de edad. Ang parusa ay maaaring pagkakulong ng anim (6) na buwan at isang araw hanggang anim (6) na taon at isang araw at multa mula Anim na raang piso (Php600.00) hanggang Apat na libong piso (PhP4,000.00).
* **Seksyon 9:** Ang seksyong ito ay partikular na tumutugon sa paggamit ng isang bata sa paggawa o pamamahagi ng mga malalaswang materyales. Bagama't hindi direktang nauugnay sa pagbebenta malapit sa mga paaralan, pinalalakas nito ang pangkalahatang proteksyon laban sa mga malaswang materyales na kinasasangkutan ng mga bata.
**Mga Pampublikong Lugar Malapit sa Mga Paaralan:**
Bagama't walang partikular na batas na tumutugon lamang sa kalapitan sa mga paaralan, maaaring gamitin ang ibang mga batas upang palakasin ang kaso:
* **Mga Lokal na Ordenansa:** Maraming mga lungsod at munisipalidad ang may mga ordinansang nagre-regulate ng mga aktibidad malapit sa mga paaralan, na maaaring may kasamang mga paghihigpit sa pagbebenta ng mga malalaswang materyales.
**Mahahalagang Pagsasaalang-alang:**
* Ang pagtukoy sa "mga malaswang materyales" ay maaaring subjective. Isasaalang-alang ng mga korte ang mga salik tulad ng:
* Ang nangingibabaw na tema ng materyal na kinuha sa kabuuan
* Kung ito man ay apila sa maingat na mga interes
* Kung ito man ay malinaw na nakakasakit sa mga pamantayan ng komunidad
* Mayroon man itong anumang seryosong pampanitikan, masining, pampulitika, o pang-agham na halaga
* Ang mga partikular na parusa ay depende sa eksaktong katangian ng mga materyales at kung ang isang menor de edad ay sangkot.
**Rekomendasyon:**
Para sa mas tiyak na sagot, palaging pinakamahusay na kumunsulta sa isang abogado na dalubhasa sa batas kriminal o hustisya ng kabataan. Maaari silang magbigay ng mas nuanced na pagsusuri batay sa mga partikular na kalagayan ng kaso.</v>
      </c>
      <c r="F2019" s="2">
        <f t="shared" si="1"/>
        <v>2</v>
      </c>
      <c r="G2019" s="2"/>
      <c r="H2019" s="2"/>
      <c r="I2019" s="2"/>
      <c r="J2019" s="2"/>
      <c r="K2019" s="2"/>
      <c r="L2019" s="2"/>
      <c r="M2019" s="2"/>
      <c r="N2019" s="2"/>
      <c r="O2019" s="2"/>
      <c r="P2019" s="2"/>
      <c r="Q2019" s="2"/>
      <c r="R2019" s="2"/>
      <c r="S2019" s="2"/>
      <c r="T2019" s="2"/>
      <c r="U2019" s="2"/>
      <c r="V2019" s="2"/>
      <c r="W2019" s="2"/>
      <c r="X2019" s="2"/>
      <c r="Y2019" s="2"/>
      <c r="Z2019" s="2"/>
      <c r="AA2019" s="2"/>
    </row>
    <row r="2020">
      <c r="A2020" s="1" t="s">
        <v>4698</v>
      </c>
      <c r="B2020" s="1" t="s">
        <v>4951</v>
      </c>
      <c r="C2020" s="1" t="s">
        <v>5040</v>
      </c>
      <c r="D2020" s="2" t="str">
        <f>IFERROR(__xludf.DUMMYFUNCTION("GOOGLETRANSLATE(B2020, ""en"", ""TL"")"),"Anong mga legal na probisyon ang kumokontrol sa pagkakaroon at paggamit ng mga hindi awtorisadong kagamitan sa pagsubaybay sa mga pampublikong espasyo malapit sa mga pasilidad ng pangangalagang pangkalusugan?")</f>
        <v>Anong mga legal na probisyon ang kumokontrol sa pagkakaroon at paggamit ng mga hindi awtorisadong kagamitan sa pagsubaybay sa mga pampublikong espasyo malapit sa mga pasilidad ng pangangalagang pangkalusugan?</v>
      </c>
      <c r="E2020" s="2" t="str">
        <f>IFERROR(__xludf.DUMMYFUNCTION("GOOGLETRANSLATE(C2020, ""en"", ""TL"")"),"Bagama't walang iisang batas na tumutugon lamang sa mga hindi awtorisadong kagamitan sa pagsubaybay sa mga pampublikong lugar na malapit sa mga pasilidad ng pangangalagang pangkalusugan sa Pilipinas, maaaring bigyang-kahulugan ang ilang umiiral na legal n"&amp;"a probisyon upang ayusin ang mga naturang aksyon:
Ang Konstitusyon ng Pilipinas (Artikulo III, Seksyon 2): Ginagarantiyahan nito ang karapatan sa pagkapribado, na kinabibilangan ng proteksyon mula sa hindi makatwirang mga paghahanap at pang-aagaw.
Republi"&amp;"c Act No. 10173 (Data Privacy Act of 2012): Pinoprotektahan ng batas na ito ang pagproseso ng personal na impormasyon, kabilang ang pangongolekta sa pamamagitan ng pagsubaybay. Ipinagbabawal nito ang pangongolekta ng personal na data nang walang pahintulo"&amp;"t ng indibidwal, lalo na ang sensitibong data tulad ng impormasyon sa kalusugan.
Binagong Kodigo Penal (Artikulo 290): Pinaparusahan nito ang ""eavesdropping"" o paggamit ng anumang aparato upang lihim na marinig, itala, o ipadala ang mga pribadong pag-uu"&amp;"sap.
Bukod pa rito, maaaring naaangkop ang mga partikular na regulasyon:
Mga patakaran sa ospital: Maraming mga pasilidad sa pangangalagang pangkalusugan ang may mga panloob na regulasyon na nagbabawal sa hindi awtorisadong pag-record o pagkuha ng mga lar"&amp;"awan sa loob ng kanilang lugar.
Samakatuwid, ang legal na recourse ay malamang na may kasamang:
Paglabag sa privacy ng data: Kung ang surveillance device ay kumukuha ng personal na impormasyon, maaari itong ituring na isang paglabag sa Data Privacy Act.
P"&amp;"agsalakay sa privacy: Ang pagkilos ng pag-install o paggamit ng device para kumuha ng pribadong impormasyon sa isang pampublikong espasyo ay maaaring ituro bilang isang pagsalakay sa privacy sa ilalim ng Konstitusyon.")</f>
        <v>Bagama't walang iisang batas na tumutugon lamang sa mga hindi awtorisadong kagamitan sa pagsubaybay sa mga pampublikong lugar na malapit sa mga pasilidad ng pangangalagang pangkalusugan sa Pilipinas, maaaring bigyang-kahulugan ang ilang umiiral na legal na probisyon upang ayusin ang mga naturang aksyon:
Ang Konstitusyon ng Pilipinas (Artikulo III, Seksyon 2): Ginagarantiyahan nito ang karapatan sa pagkapribado, na kinabibilangan ng proteksyon mula sa hindi makatwirang mga paghahanap at pang-aagaw.
Republic Act No. 10173 (Data Privacy Act of 2012): Pinoprotektahan ng batas na ito ang pagproseso ng personal na impormasyon, kabilang ang pangongolekta sa pamamagitan ng pagsubaybay. Ipinagbabawal nito ang pangongolekta ng personal na data nang walang pahintulot ng indibidwal, lalo na ang sensitibong data tulad ng impormasyon sa kalusugan.
Binagong Kodigo Penal (Artikulo 290): Pinaparusahan nito ang "eavesdropping" o paggamit ng anumang aparato upang lihim na marinig, itala, o ipadala ang mga pribadong pag-uusap.
Bukod pa rito, maaaring naaangkop ang mga partikular na regulasyon:
Mga patakaran sa ospital: Maraming mga pasilidad sa pangangalagang pangkalusugan ang may mga panloob na regulasyon na nagbabawal sa hindi awtorisadong pag-record o pagkuha ng mga larawan sa loob ng kanilang lugar.
Samakatuwid, ang legal na recourse ay malamang na may kasamang:
Paglabag sa privacy ng data: Kung ang surveillance device ay kumukuha ng personal na impormasyon, maaari itong ituring na isang paglabag sa Data Privacy Act.
Pagsalakay sa privacy: Ang pagkilos ng pag-install o paggamit ng device para kumuha ng pribadong impormasyon sa isang pampublikong espasyo ay maaaring ituro bilang isang pagsalakay sa privacy sa ilalim ng Konstitusyon.</v>
      </c>
      <c r="F2020" s="2">
        <f t="shared" si="1"/>
        <v>2</v>
      </c>
      <c r="G2020" s="2"/>
      <c r="H2020" s="2"/>
      <c r="I2020" s="2"/>
      <c r="J2020" s="2"/>
      <c r="K2020" s="2"/>
      <c r="L2020" s="2"/>
      <c r="M2020" s="2"/>
      <c r="N2020" s="2"/>
      <c r="O2020" s="2"/>
      <c r="P2020" s="2"/>
      <c r="Q2020" s="2"/>
      <c r="R2020" s="2"/>
      <c r="S2020" s="2"/>
      <c r="T2020" s="2"/>
      <c r="U2020" s="2"/>
      <c r="V2020" s="2"/>
      <c r="W2020" s="2"/>
      <c r="X2020" s="2"/>
      <c r="Y2020" s="2"/>
      <c r="Z2020" s="2"/>
      <c r="AA2020" s="2"/>
    </row>
    <row r="2021">
      <c r="A2021" s="1" t="s">
        <v>4698</v>
      </c>
      <c r="B2021" s="1" t="s">
        <v>4899</v>
      </c>
      <c r="C2021" s="1" t="s">
        <v>5041</v>
      </c>
      <c r="D2021" s="2" t="str">
        <f>IFERROR(__xludf.DUMMYFUNCTION("GOOGLETRANSLATE(B2021, ""en"", ""TL"")"),"Paano tinutugunan sa ilalim ng batas ng Pilipinas ang krimen ng pampublikong pagsasabwatan upang gumawa ng mga online scam o cyber fraud?")</f>
        <v>Paano tinutugunan sa ilalim ng batas ng Pilipinas ang krimen ng pampublikong pagsasabwatan upang gumawa ng mga online scam o cyber fraud?</v>
      </c>
      <c r="E2021" s="2" t="str">
        <f>IFERROR(__xludf.DUMMYFUNCTION("GOOGLETRANSLATE(C2021, ""en"", ""TL"")"),"Ang pampublikong pagsasabwatan upang gumawa ng mga online scam o cyber fraud ay maaaring matugunan sa ilalim ng ilang mga batas ng Pilipinas, kabilang ang:
* **Artikulo 183 ng Revised Penal Code (RPC)** on Conspiracy to commit a crime: Ang artikulong ito "&amp;"ay nagpaparusa sa dalawa o higit pang tao na sumasang-ayon na gumawa ng krimen at nagpasya na aktwal na isagawa ito.
* **Republic Act No. 10175 o ang Cybercrime Prevention Act of 2012 (CPA)**: Ang batas na ito ay partikular na tumatalakay sa mga online na"&amp;" krimen, kabilang ang:
* **Section 4(c)(4)** on Computer-related Offenses: Ang seksyong ito ay nagpaparusa sa pagsasabwatan upang gawin ang alinman sa mga cybercrime na tinukoy sa ilalim ng CPA. Kasama sa mga cybercrime na ito ang ilegal na pag-access, in"&amp;"terference ng data, interference ng system, maling paggamit ng mga device, at cyber-espionage.
* **Seksyon 15** sa Mga Panloloko na ginawa sa pamamagitan ng isang computer system: Ang seksyong ito ay nagpaparusa sa sinumang tao na kusa at labag sa batas n"&amp;"a gumagamit ng isang computer system upang manlinlang sa ibang tao.
* **Republic Act No. 8424 o ang Consumer Protection Act of the Philippines**: Pinoprotektahan ng batas na ito ang mga consumer laban sa mapanlinlang at hindi patas na mga aksyon sa pagbeb"&amp;"enta. Bagama't hindi nito direktang tinutugunan ang mga online na scam, maaari itong gamitin laban sa mga online na negosyo na nagsasagawa ng mga mapanlinlang na kasanayan.
Ang mga parusa para sa pampublikong pagsasabwatan upang gumawa ng mga online na sc"&amp;"am o cyber fraud ay depende sa partikular na krimen na sangkot at ang halaga ng panloloko na sinubukan o ginawa.")</f>
        <v>Ang pampublikong pagsasabwatan upang gumawa ng mga online scam o cyber fraud ay maaaring matugunan sa ilalim ng ilang mga batas ng Pilipinas, kabilang ang:
* **Artikulo 183 ng Revised Penal Code (RPC)** on Conspiracy to commit a crime: Ang artikulong ito ay nagpaparusa sa dalawa o higit pang tao na sumasang-ayon na gumawa ng krimen at nagpasya na aktwal na isagawa ito.
* **Republic Act No. 10175 o ang Cybercrime Prevention Act of 2012 (CPA)**: Ang batas na ito ay partikular na tumatalakay sa mga online na krimen, kabilang ang:
* **Section 4(c)(4)** on Computer-related Offenses: Ang seksyong ito ay nagpaparusa sa pagsasabwatan upang gawin ang alinman sa mga cybercrime na tinukoy sa ilalim ng CPA. Kasama sa mga cybercrime na ito ang ilegal na pag-access, interference ng data, interference ng system, maling paggamit ng mga device, at cyber-espionage.
* **Seksyon 15** sa Mga Panloloko na ginawa sa pamamagitan ng isang computer system: Ang seksyong ito ay nagpaparusa sa sinumang tao na kusa at labag sa batas na gumagamit ng isang computer system upang manlinlang sa ibang tao.
* **Republic Act No. 8424 o ang Consumer Protection Act of the Philippines**: Pinoprotektahan ng batas na ito ang mga consumer laban sa mapanlinlang at hindi patas na mga aksyon sa pagbebenta. Bagama't hindi nito direktang tinutugunan ang mga online na scam, maaari itong gamitin laban sa mga online na negosyo na nagsasagawa ng mga mapanlinlang na kasanayan.
Ang mga parusa para sa pampublikong pagsasabwatan upang gumawa ng mga online na scam o cyber fraud ay depende sa partikular na krimen na sangkot at ang halaga ng panloloko na sinubukan o ginawa.</v>
      </c>
      <c r="F2021" s="2">
        <f t="shared" si="1"/>
        <v>0</v>
      </c>
      <c r="G2021" s="2"/>
      <c r="H2021" s="2"/>
      <c r="I2021" s="2"/>
      <c r="J2021" s="2"/>
      <c r="K2021" s="2"/>
      <c r="L2021" s="2"/>
      <c r="M2021" s="2"/>
      <c r="N2021" s="2"/>
      <c r="O2021" s="2"/>
      <c r="P2021" s="2"/>
      <c r="Q2021" s="2"/>
      <c r="R2021" s="2"/>
      <c r="S2021" s="2"/>
      <c r="T2021" s="2"/>
      <c r="U2021" s="2"/>
      <c r="V2021" s="2"/>
      <c r="W2021" s="2"/>
      <c r="X2021" s="2"/>
      <c r="Y2021" s="2"/>
      <c r="Z2021" s="2"/>
      <c r="AA2021" s="2"/>
    </row>
    <row r="2022">
      <c r="A2022" s="1" t="s">
        <v>4698</v>
      </c>
      <c r="B2022" s="1" t="s">
        <v>5000</v>
      </c>
      <c r="C2022" s="1" t="s">
        <v>5042</v>
      </c>
      <c r="D2022" s="2" t="str">
        <f>IFERROR(__xludf.DUMMYFUNCTION("GOOGLETRANSLATE(B2022, ""en"", ""TL"")"),"Paano tinutugunan ng batas ang mga insidente ng pag-atake o panliligalig sa antas ng kalye batay sa kapansanan o pisikal na kondisyon sa pampublikong transportasyon?")</f>
        <v>Paano tinutugunan ng batas ang mga insidente ng pag-atake o panliligalig sa antas ng kalye batay sa kapansanan o pisikal na kondisyon sa pampublikong transportasyon?</v>
      </c>
      <c r="E2022" s="2" t="str">
        <f>IFERROR(__xludf.DUMMYFUNCTION("GOOGLETRANSLATE(C2022, ""en"", ""TL"")"),"Sa Pilipinas, ang **Safe Streets and Public Spaces Act** (Republic Act No. 11313) ay tumutugon sa mga pagkakataon ng pag-atake o panliligalig sa antas ng kalye, na sumasaklaw sa iba't ibang salik gaya ng **political affiliation o opinion** sa mga pampubli"&amp;"kong lugar. Narito ang isang pangkalahatang-ideya ng mga pangunahing punto:
1. **Kahulugan ng Panliligalig sa Kalye at Pampublikong Lugar na Nakabatay sa Kasarian**:
- Tinutukoy ng batas ang panliligalig sa kalye at pampublikong espasyo na nakabatay sa ka"&amp;"sarian bilang **mga hindi gustong komento, kilos, at pagkilos na ipinipilit sa isang tao sa mga pampublikong espasyo nang walang pahintulot nila**. Ang mga gawaing ito ay nagta-target ng mga indibidwal batay sa kanilang aktwal o pinaghihinalaang **kasaria"&amp;"n, kasarian, pagpapahayag ng kasarian, o oryentasyong sekswal at pagkakakilanlan**.
- Kinikilala ng batas na maaaring mangyari ang panliligalig sa iba't ibang pampublikong espasyo, kabilang ang mga kalye, eskinita, parke, paaralan, gusali ng gobyerno, mal"&amp;"l, bar, restaurant, terminal ng transportasyon, pampublikong pamilihan, at pampublikong sasakyan ⁷.
2. **Mga Ipinagbabawal na Gawa**:
- Ang mga sumusunod na gawain ay inuri bilang sexual harassment sa ilalim ng Safe Streets Act:
- **Catcalling**: Mga hind"&amp;"i gustong pananalita, pagsipol ng lobo, at sexist o homophobic slurs.
- **Lascivious language**, **stalking**, **rubbing or touching**, **indecent gestures**, **exhibitionism**, at **public masturbation**.
- Anumang mga pagsulong (berbal o pisikal) na nak"&amp;"akasagabal sa personal na espasyo at pisikal na kaligtasan.
- Ang mga pagkilos na ito ay ipinagbabawal sa mga pampublikong espasyo at maaaring magresulta sa mga legal na kahihinatnan ⁷.
3. **Mga Parusa**:
- Ang mga lumalabag sa Safe Streets Act ay maaarin"&amp;"g maharap sa mga parusa, kabilang ang **multa** at **pagkakulong**.
- Nilalayon ng batas na magtatag ng mas ligtas na kapaligiran para sa lahat ng indibidwal, anuman ang kanilang kaugnayan sa pulitika, opinyon, o iba pang personal na katangian ⁷.
4. **Kon"&amp;"teksto at Kahalagahan**:
- Ang panliligalig sa antas ng kalye batay sa kaugnayan sa pulitika o opinyon ay maaaring makasira sa kaligtasan ng publiko, kalayaan sa pagpapahayag, at mga demokratikong pagpapahalaga.
- Ang batas ay nagsisikap na pangalagaan an"&amp;"g mga indibidwal mula sa panliligalig at pagyamanin ang isang mas inklusibo at magalang na lipunan.
Mahalagang kilalanin na ang lahat ay karapat-dapat na madama na ligtas at iginagalang sa mga pampublikong espasyo, anuman ang kanilang paniniwala o kaakiba"&amp;"t sa pulitika.")</f>
        <v>Sa Pilipinas, ang **Safe Streets and Public Spaces Act** (Republic Act No. 11313) ay tumutugon sa mga pagkakataon ng pag-atake o panliligalig sa antas ng kalye, na sumasaklaw sa iba't ibang salik gaya ng **political affiliation o opinion** sa mga pampublikong lugar. Narito ang isang pangkalahatang-ideya ng mga pangunahing punto:
1. **Kahulugan ng Panliligalig sa Kalye at Pampublikong Lugar na Nakabatay sa Kasarian**:
- Tinutukoy ng batas ang panliligalig sa kalye at pampublikong espasyo na nakabatay sa kasarian bilang **mga hindi gustong komento, kilos, at pagkilos na ipinipilit sa isang tao sa mga pampublikong espasyo nang walang pahintulot nila**. Ang mga gawaing ito ay nagta-target ng mga indibidwal batay sa kanilang aktwal o pinaghihinalaang **kasarian, kasarian, pagpapahayag ng kasarian, o oryentasyong sekswal at pagkakakilanlan**.
- Kinikilala ng batas na maaaring mangyari ang panliligalig sa iba't ibang pampublikong espasyo, kabilang ang mga kalye, eskinita, parke, paaralan, gusali ng gobyerno, mall, bar, restaurant, terminal ng transportasyon, pampublikong pamilihan, at pampublikong sasakyan ⁷.
2. **Mga Ipinagbabawal na Gawa**:
- Ang mga sumusunod na gawain ay inuri bilang sexual harassment sa ilalim ng Safe Streets Act:
- **Catcalling**: Mga hindi gustong pananalita, pagsipol ng lobo, at sexist o homophobic slurs.
- **Lascivious language**, **stalking**, **rubbing or touching**, **indecent gestures**, **exhibitionism**, at **public masturbation**.
- Anumang mga pagsulong (berbal o pisikal) na nakakasagabal sa personal na espasyo at pisikal na kaligtasan.
- Ang mga pagkilos na ito ay ipinagbabawal sa mga pampublikong espasyo at maaaring magresulta sa mga legal na kahihinatnan ⁷.
3. **Mga Parusa**:
- Ang mga lumalabag sa Safe Streets Act ay maaaring maharap sa mga parusa, kabilang ang **multa** at **pagkakulong**.
- Nilalayon ng batas na magtatag ng mas ligtas na kapaligiran para sa lahat ng indibidwal, anuman ang kanilang kaugnayan sa pulitika, opinyon, o iba pang personal na katangian ⁷.
4. **Konteksto at Kahalagahan**:
- Ang panliligalig sa antas ng kalye batay sa kaugnayan sa pulitika o opinyon ay maaaring makasira sa kaligtasan ng publiko, kalayaan sa pagpapahayag, at mga demokratikong pagpapahalaga.
- Ang batas ay nagsisikap na pangalagaan ang mga indibidwal mula sa panliligalig at pagyamanin ang isang mas inklusibo at magalang na lipunan.
Mahalagang kilalanin na ang lahat ay karapat-dapat na madama na ligtas at iginagalang sa mga pampublikong espasyo, anuman ang kanilang paniniwala o kaakibat sa pulitika.</v>
      </c>
      <c r="F2022" s="2">
        <f t="shared" si="1"/>
        <v>0</v>
      </c>
      <c r="G2022" s="2"/>
      <c r="H2022" s="2"/>
      <c r="I2022" s="2"/>
      <c r="J2022" s="2"/>
      <c r="K2022" s="2"/>
      <c r="L2022" s="2"/>
      <c r="M2022" s="2"/>
      <c r="N2022" s="2"/>
      <c r="O2022" s="2"/>
      <c r="P2022" s="2"/>
      <c r="Q2022" s="2"/>
      <c r="R2022" s="2"/>
      <c r="S2022" s="2"/>
      <c r="T2022" s="2"/>
      <c r="U2022" s="2"/>
      <c r="V2022" s="2"/>
      <c r="W2022" s="2"/>
      <c r="X2022" s="2"/>
      <c r="Y2022" s="2"/>
      <c r="Z2022" s="2"/>
      <c r="AA2022" s="2"/>
    </row>
    <row r="2023">
      <c r="A2023" s="1" t="s">
        <v>4698</v>
      </c>
      <c r="B2023" s="1" t="s">
        <v>4849</v>
      </c>
      <c r="C2023" s="1" t="s">
        <v>5043</v>
      </c>
      <c r="D2023" s="2" t="str">
        <f>IFERROR(__xludf.DUMMYFUNCTION("GOOGLETRANSLATE(B2023, ""en"", ""TL"")"),"Paano tinutugunan sa ilalim ng batas ng Pilipinas ang pagkakasala ng pampublikong pagsasabwatan upang magsagawa ng pagnanakaw ng pagkakakilanlan o pandaraya sa pananalapi?")</f>
        <v>Paano tinutugunan sa ilalim ng batas ng Pilipinas ang pagkakasala ng pampublikong pagsasabwatan upang magsagawa ng pagnanakaw ng pagkakakilanlan o pandaraya sa pananalapi?</v>
      </c>
      <c r="E2023" s="2" t="str">
        <f>IFERROR(__xludf.DUMMYFUNCTION("GOOGLETRANSLATE(C2023, ""en"", ""TL"")"),"Sa Pilipinas, ang krimen ng pampublikong pagsasabwatan upang gumawa ng pagnanakaw ng pagkakakilanlan o pandaraya sa pananalapi ay tinutugunan sa pamamagitan ng iba't ibang mga legal na probisyon. Tuklasin natin ang mga ito:
1. **Cybercrime Prevention Act "&amp;"of 2012 (Republic Act No. 10175)**:
- Tinutukoy at tinutugunan ng Batas na ito ang iba't ibang anyo ng cybercrime, kabilang ang pagnanakaw ng pagkakakilanlan.
- Nagbibigay ito ng makabuluhang proteksyon sa mga indibidwal laban sa pagnanakaw ng pagkakakila"&amp;"nlan sa pamamagitan ng pagtatatag ng mga legal na hakbang upang maiwasan at maparusahan ang mga may kasalanan ng naturang mga krimen.
- Ang mga biktima ng pagnanakaw ng pagkakakilanlan ay maaaring humingi ng mga pinsala sa korte sibil para sa mga pagkalug"&amp;"i na kanilang naranasan, kabilang ang kabayaran para sa mga pagkalugi sa pananalapi (tulad ng perang ninakaw mula sa mga bank account) at mga pinsala para sa emosyonal na pagkabalisa at pinsala sa reputasyon.
2. **Revised Penal Code (RPC)**:
- Sinasaklaw "&amp;"ng RPC ang iba't ibang mga pagkakasala na may kaugnayan sa pandaraya, panlilinlang, at maling pagkukunwari.
- Ang pagnanakaw ng pagkakakilanlan at pandaraya sa pananalapi ay maaaring mapasailalim sa mga probisyon na may kaugnayan sa estafa (swindling) at "&amp;"iba pang mapanlinlang na gawain.
- Maaaring kabilang sa mga parusa para sa mga paglabag na ito ang pagkakulong, multa, o pareho.
Ang mga legal na probisyon na ito ay naglalayong pangalagaan ang mga indibidwal laban sa pagnanakaw ng pagkakakilanlan at pand"&amp;"araya sa pananalapi, na tinitiyak na ang mga may kasalanan ay mananagot sa kanilang mga aksyon at ang mga biktima ay makakatanggap ng naaangkop na kabayaran para sa anumang pinsalang natamo.")</f>
        <v>Sa Pilipinas, ang krimen ng pampublikong pagsasabwatan upang gumawa ng pagnanakaw ng pagkakakilanlan o pandaraya sa pananalapi ay tinutugunan sa pamamagitan ng iba't ibang mga legal na probisyon. Tuklasin natin ang mga ito:
1. **Cybercrime Prevention Act of 2012 (Republic Act No. 10175)**:
- Tinutukoy at tinutugunan ng Batas na ito ang iba't ibang anyo ng cybercrime, kabilang ang pagnanakaw ng pagkakakilanlan.
- Nagbibigay ito ng makabuluhang proteksyon sa mga indibidwal laban sa pagnanakaw ng pagkakakilanlan sa pamamagitan ng pagtatatag ng mga legal na hakbang upang maiwasan at maparusahan ang mga may kasalanan ng naturang mga krimen.
- Ang mga biktima ng pagnanakaw ng pagkakakilanlan ay maaaring humingi ng mga pinsala sa korte sibil para sa mga pagkalugi na kanilang naranasan, kabilang ang kabayaran para sa mga pagkalugi sa pananalapi (tulad ng perang ninakaw mula sa mga bank account) at mga pinsala para sa emosyonal na pagkabalisa at pinsala sa reputasyon.
2. **Revised Penal Code (RPC)**:
- Sinasaklaw ng RPC ang iba't ibang mga pagkakasala na may kaugnayan sa pandaraya, panlilinlang, at maling pagkukunwari.
- Ang pagnanakaw ng pagkakakilanlan at pandaraya sa pananalapi ay maaaring mapasailalim sa mga probisyon na may kaugnayan sa estafa (swindling) at iba pang mapanlinlang na gawain.
- Maaaring kabilang sa mga parusa para sa mga paglabag na ito ang pagkakulong, multa, o pareho.
Ang mga legal na probisyon na ito ay naglalayong pangalagaan ang mga indibidwal laban sa pagnanakaw ng pagkakakilanlan at pandaraya sa pananalapi, na tinitiyak na ang mga may kasalanan ay mananagot sa kanilang mga aksyon at ang mga biktima ay makakatanggap ng naaangkop na kabayaran para sa anumang pinsalang natamo.</v>
      </c>
      <c r="F2023" s="2">
        <f t="shared" si="1"/>
        <v>1</v>
      </c>
      <c r="G2023" s="2"/>
      <c r="H2023" s="2"/>
      <c r="I2023" s="2"/>
      <c r="J2023" s="2"/>
      <c r="K2023" s="2"/>
      <c r="L2023" s="2"/>
      <c r="M2023" s="2"/>
      <c r="N2023" s="2"/>
      <c r="O2023" s="2"/>
      <c r="P2023" s="2"/>
      <c r="Q2023" s="2"/>
      <c r="R2023" s="2"/>
      <c r="S2023" s="2"/>
      <c r="T2023" s="2"/>
      <c r="U2023" s="2"/>
      <c r="V2023" s="2"/>
      <c r="W2023" s="2"/>
      <c r="X2023" s="2"/>
      <c r="Y2023" s="2"/>
      <c r="Z2023" s="2"/>
      <c r="AA2023" s="2"/>
    </row>
    <row r="2024">
      <c r="A2024" s="1" t="s">
        <v>4698</v>
      </c>
      <c r="B2024" s="1" t="s">
        <v>5005</v>
      </c>
      <c r="C2024" s="1" t="s">
        <v>5044</v>
      </c>
      <c r="D2024" s="2" t="str">
        <f>IFERROR(__xludf.DUMMYFUNCTION("GOOGLETRANSLATE(B2024, ""en"", ""TL"")"),"Anong mga parusa ang naaangkop para sa pagsali sa hindi awtorisadong pagbebenta o pamamahagi ng mga ipinagbabawal na publikasyon sa mga pampublikong espasyo malapit sa mga cultural heritage site?")</f>
        <v>Anong mga parusa ang naaangkop para sa pagsali sa hindi awtorisadong pagbebenta o pamamahagi ng mga ipinagbabawal na publikasyon sa mga pampublikong espasyo malapit sa mga cultural heritage site?</v>
      </c>
      <c r="E2024" s="2" t="str">
        <f>IFERROR(__xludf.DUMMYFUNCTION("GOOGLETRANSLATE(C2024, ""en"", ""TL"")"),"Sa Pilipinas, ang hindi awtorisadong pagbebenta o pamamahagi ng mga ipinagbabawal na publikasyon sa mga pampublikong espasyo malapit sa mga cultural heritage sites ay kinokontrol ng mga legal na probisyon. Narito ang mga kaugnay na punto:
1. **Mga Ipinagb"&amp;"abawal na Lathalain**:
- Ang mga publikasyong ito ay maaaring sumasaklaw sa mga materyal na itinuturing na malaswa, malaswa, o nakakapinsala sa pampublikong moral.
- Ang kanilang presensya ay maaaring magdulot ng banta sa integridad ng mga cultural herita"&amp;"ge site at pampublikong espasyo.
2. **Mga Cultural Heritage Site**:
- Ang mga site na ito ay nagtataglay ng makasaysayang, kultural, o artistikong kahalagahan.
- Ang mga hindi awtorisadong aktibidad sa kanilang paligid ay maaaring makasira sa kanilang int"&amp;"egridad at halaga.
3. **Mga Legal na Bunga**:
- Ang mga parusa para sa hindi awtorisadong pagbebenta o pamamahagi ng mga ipinagbabawal na publikasyon ay nag-iiba depende sa partikular na pagkakasala at mga nauugnay na batas.
- Maaaring kabilang sa mga pos"&amp;"ibleng kahihinatnan ang:
- **Mga multa**: Mga parusang pera na itinakda ng batas.
- **Pagkulong**: Depende sa kalubhaan ng paglabag.
- **Pagkumpiska**: Pag-agaw ng mga ipinagbabawal na materyales.
- **Civil Liability**: Obligasyon na bayaran ang anumang p"&amp;"insalang idinulot.
- Ang eksaktong mga parusa ay nakasalalay sa mga pangyayari at sa mga partikular na legal na probisyon na nilabag.
4. **Kahalagahan ng Pagsunod**:
- Ang pagsunod sa mga regulasyon ay mahalaga para sa pagpapanatili ng ating kasaysayan at"&amp;" pagkakakilanlan na nakapaloob sa mga cultural heritage site.
- Tinitiyak ng pagsunod ang pangangalaga at pagpapahalaga sa mga napakahalagang asset na ito.
Mahalagang kilalanin na ang mga hindi awtorisadong aktibidad na malapit sa mga cultural heritage si"&amp;"te ay maaaring magdulot ng makabuluhang legal at kultural na epekto.")</f>
        <v>Sa Pilipinas, ang hindi awtorisadong pagbebenta o pamamahagi ng mga ipinagbabawal na publikasyon sa mga pampublikong espasyo malapit sa mga cultural heritage sites ay kinokontrol ng mga legal na probisyon. Narito ang mga kaugnay na punto:
1. **Mga Ipinagbabawal na Lathalain**:
- Ang mga publikasyong ito ay maaaring sumasaklaw sa mga materyal na itinuturing na malaswa, malaswa, o nakakapinsala sa pampublikong moral.
- Ang kanilang presensya ay maaaring magdulot ng banta sa integridad ng mga cultural heritage site at pampublikong espasyo.
2. **Mga Cultural Heritage Site**:
- Ang mga site na ito ay nagtataglay ng makasaysayang, kultural, o artistikong kahalagahan.
- Ang mga hindi awtorisadong aktibidad sa kanilang paligid ay maaaring makasira sa kanilang integridad at halaga.
3. **Mga Legal na Bunga**:
- Ang mga parusa para sa hindi awtorisadong pagbebenta o pamamahagi ng mga ipinagbabawal na publikasyon ay nag-iiba depende sa partikular na pagkakasala at mga nauugnay na batas.
- Maaaring kabilang sa mga posibleng kahihinatnan ang:
- **Mga multa**: Mga parusang pera na itinakda ng batas.
- **Pagkulong**: Depende sa kalubhaan ng paglabag.
- **Pagkumpiska**: Pag-agaw ng mga ipinagbabawal na materyales.
- **Civil Liability**: Obligasyon na bayaran ang anumang pinsalang idinulot.
- Ang eksaktong mga parusa ay nakasalalay sa mga pangyayari at sa mga partikular na legal na probisyon na nilabag.
4. **Kahalagahan ng Pagsunod**:
- Ang pagsunod sa mga regulasyon ay mahalaga para sa pagpapanatili ng ating kasaysayan at pagkakakilanlan na nakapaloob sa mga cultural heritage site.
- Tinitiyak ng pagsunod ang pangangalaga at pagpapahalaga sa mga napakahalagang asset na ito.
Mahalagang kilalanin na ang mga hindi awtorisadong aktibidad na malapit sa mga cultural heritage site ay maaaring magdulot ng makabuluhang legal at kultural na epekto.</v>
      </c>
      <c r="F2024" s="2">
        <f t="shared" si="1"/>
        <v>1</v>
      </c>
      <c r="G2024" s="2"/>
      <c r="H2024" s="2"/>
      <c r="I2024" s="2"/>
      <c r="J2024" s="2"/>
      <c r="K2024" s="2"/>
      <c r="L2024" s="2"/>
      <c r="M2024" s="2"/>
      <c r="N2024" s="2"/>
      <c r="O2024" s="2"/>
      <c r="P2024" s="2"/>
      <c r="Q2024" s="2"/>
      <c r="R2024" s="2"/>
      <c r="S2024" s="2"/>
      <c r="T2024" s="2"/>
      <c r="U2024" s="2"/>
      <c r="V2024" s="2"/>
      <c r="W2024" s="2"/>
      <c r="X2024" s="2"/>
      <c r="Y2024" s="2"/>
      <c r="Z2024" s="2"/>
      <c r="AA2024" s="2"/>
    </row>
    <row r="2025">
      <c r="A2025" s="1" t="s">
        <v>4698</v>
      </c>
      <c r="B2025" s="1" t="s">
        <v>4925</v>
      </c>
      <c r="C2025" s="1" t="s">
        <v>5045</v>
      </c>
      <c r="D2025" s="2" t="str">
        <f>IFERROR(__xludf.DUMMYFUNCTION("GOOGLETRANSLATE(B2025, ""en"", ""TL"")"),"Anong mga legal na probisyon ang kumokontrol sa pagmamay-ari at paggamit ng mga hindi awtorisadong surveillance device sa mga pampublikong espasyo malapit sa mga opisina ng gobyerno?")</f>
        <v>Anong mga legal na probisyon ang kumokontrol sa pagmamay-ari at paggamit ng mga hindi awtorisadong surveillance device sa mga pampublikong espasyo malapit sa mga opisina ng gobyerno?</v>
      </c>
      <c r="E2025" s="2" t="str">
        <f>IFERROR(__xludf.DUMMYFUNCTION("GOOGLETRANSLATE(C2025, ""en"", ""TL"")"),"Sa Pilipinas, katulad ng mga pasilidad sa pangangalagang pangkalusugan, walang isang batas na tumutugon lamang sa mga hindi awtorisadong kagamitan sa pagsubaybay sa mga pampublikong espasyo malapit sa mga tanggapan ng gobyerno. Gayunpaman, maaaring gamiti"&amp;"n ang mga kasalukuyang legal na balangkas upang matugunan ang mga ganitong sitwasyon:
Ang Konstitusyon ng Pilipinas (Artikulo III, Seksyon 2): Ginagarantiyahan nito ang karapatan sa pagkapribado, pinoprotektahan ang mga indibidwal mula sa hindi makatwiran"&amp;"g mga paghahanap at pang-aagaw.
Republic Act No. 10173 (Data Privacy Act of 2012): Pinoprotektahan nito ang pagproseso ng personal na impormasyon, kabilang ang pangongolekta sa pamamagitan ng surveillance. Ipinagbabawal nito ang pangongolekta ng personal "&amp;"na data nang walang pahintulot ng isang indibidwal, lalo na ang sensitibong data.
Binagong Kodigo Penal (Artikulo 289): Pinarurusahan nito ang ""espiya"" na kinapapalooban ng pangangalap ng impormasyon, nang walang pahintulot, na maaaring makasama sa pamb"&amp;"ansang seguridad o kaligtasan ng publiko.
Bukod pa rito, maaaring kabilang sa mga nauugnay na regulasyon ang:
Mga partikular na patakaran ng ahensya ng gobyerno: Maraming mga tanggapan ng gobyerno ang may mga regulasyon na naghihigpit sa hindi awtorisadon"&amp;"g pag-record o pagkuha ng mga larawan sa loob ng kanilang lugar.
Ang legal na paraan ay malamang na may kinalaman sa:
Paglabag sa privacy ng data: Kung kumukuha ang device ng personal na impormasyon (tulad ng mga indibidwal na pumapasok/lumalabas sa mga g"&amp;"usali ng pamahalaan), maaari itong maging isang paglabag sa Data Privacy Act.
Pagsalakay sa privacy: Ang pag-install o paggamit ng device para kumuha ng impormasyon sa isang pampublikong espasyo ay maaaring ituro bilang isang pagsalakay sa privacy sa ilal"&amp;"im ng Konstitusyon.
Espionage: Kung ang pagsubaybay ay naglalayong mangalap ng impormasyon na maaaring makakompromiso sa pambansang seguridad, maaari itong mapailalim sa espiya sa ilalim ng Binagong Kodigo Penal (depende sa layunin at impormasyong nakalap"&amp;").")</f>
        <v>Sa Pilipinas, katulad ng mga pasilidad sa pangangalagang pangkalusugan, walang isang batas na tumutugon lamang sa mga hindi awtorisadong kagamitan sa pagsubaybay sa mga pampublikong espasyo malapit sa mga tanggapan ng gobyerno. Gayunpaman, maaaring gamitin ang mga kasalukuyang legal na balangkas upang matugunan ang mga ganitong sitwasyon:
Ang Konstitusyon ng Pilipinas (Artikulo III, Seksyon 2): Ginagarantiyahan nito ang karapatan sa pagkapribado, pinoprotektahan ang mga indibidwal mula sa hindi makatwirang mga paghahanap at pang-aagaw.
Republic Act No. 10173 (Data Privacy Act of 2012): Pinoprotektahan nito ang pagproseso ng personal na impormasyon, kabilang ang pangongolekta sa pamamagitan ng surveillance. Ipinagbabawal nito ang pangongolekta ng personal na data nang walang pahintulot ng isang indibidwal, lalo na ang sensitibong data.
Binagong Kodigo Penal (Artikulo 289): Pinarurusahan nito ang "espiya" na kinapapalooban ng pangangalap ng impormasyon, nang walang pahintulot, na maaaring makasama sa pambansang seguridad o kaligtasan ng publiko.
Bukod pa rito, maaaring kabilang sa mga nauugnay na regulasyon ang:
Mga partikular na patakaran ng ahensya ng gobyerno: Maraming mga tanggapan ng gobyerno ang may mga regulasyon na naghihigpit sa hindi awtorisadong pag-record o pagkuha ng mga larawan sa loob ng kanilang lugar.
Ang legal na paraan ay malamang na may kinalaman sa:
Paglabag sa privacy ng data: Kung kumukuha ang device ng personal na impormasyon (tulad ng mga indibidwal na pumapasok/lumalabas sa mga gusali ng pamahalaan), maaari itong maging isang paglabag sa Data Privacy Act.
Pagsalakay sa privacy: Ang pag-install o paggamit ng device para kumuha ng impormasyon sa isang pampublikong espasyo ay maaaring ituro bilang isang pagsalakay sa privacy sa ilalim ng Konstitusyon.
Espionage: Kung ang pagsubaybay ay naglalayong mangalap ng impormasyon na maaaring makakompromiso sa pambansang seguridad, maaari itong mapailalim sa espiya sa ilalim ng Binagong Kodigo Penal (depende sa layunin at impormasyong nakalap).</v>
      </c>
      <c r="F2025" s="2">
        <f t="shared" si="1"/>
        <v>1</v>
      </c>
      <c r="G2025" s="2"/>
      <c r="H2025" s="2"/>
      <c r="I2025" s="2"/>
      <c r="J2025" s="2"/>
      <c r="K2025" s="2"/>
      <c r="L2025" s="2"/>
      <c r="M2025" s="2"/>
      <c r="N2025" s="2"/>
      <c r="O2025" s="2"/>
      <c r="P2025" s="2"/>
      <c r="Q2025" s="2"/>
      <c r="R2025" s="2"/>
      <c r="S2025" s="2"/>
      <c r="T2025" s="2"/>
      <c r="U2025" s="2"/>
      <c r="V2025" s="2"/>
      <c r="W2025" s="2"/>
      <c r="X2025" s="2"/>
      <c r="Y2025" s="2"/>
      <c r="Z2025" s="2"/>
      <c r="AA2025" s="2"/>
    </row>
    <row r="2026">
      <c r="A2026" s="1" t="s">
        <v>4698</v>
      </c>
      <c r="B2026" s="1" t="s">
        <v>5008</v>
      </c>
      <c r="C2026" s="1" t="s">
        <v>5046</v>
      </c>
      <c r="D2026" s="2" t="str">
        <f>IFERROR(__xludf.DUMMYFUNCTION("GOOGLETRANSLATE(B2026, ""en"", ""TL"")"),"Paano tinutugunan ng batas ang mga insidente ng pang-aabuso o panliligalig sa antas ng kalye batay sa oryentasyong sekswal o pagkakakilanlang pangkasarian sa mga pampublikong lugar?")</f>
        <v>Paano tinutugunan ng batas ang mga insidente ng pang-aabuso o panliligalig sa antas ng kalye batay sa oryentasyong sekswal o pagkakakilanlang pangkasarian sa mga pampublikong lugar?</v>
      </c>
      <c r="E2026" s="2" t="str">
        <f>IFERROR(__xludf.DUMMYFUNCTION("GOOGLETRANSLATE(C2026, ""en"", ""TL"")"),"Sa Pilipinas, ang mga pagkakataon ng pag-atake o panliligalig sa antas ng kalye batay sa oryentasyong sekswal o pagkakakilanlang pangkasarian sa mga pampublikong lugar ay tinutugunan sa pamamagitan ng mga legal na hakbang. Kasama sa mga nauugnay na batas "&amp;"ang:
Ang Safe Spaces Act (Republic Act No. 11313), na partikular na nagbabalangkas ng sekswal na panliligalig na nakabatay sa kasarian sa iba't ibang setting tulad ng mga lansangan, pampublikong espasyo, online na platform, lugar ng trabaho, at mga ins"&amp;"titusyong pang-edukasyon.
Kabilang sa mga pangunahing aspeto ng batas na ito ang:
- Catcalling: Mga hindi gustong pananalita na nakadirekta sa mga indibidwal, kadalasan sa anyo ng pag-whistling ng lobo at mapang-asar na paninira.
- Online na sekswa"&amp;"l na panliligalig na nakabatay sa kasarian: Magsagawa online na nagdudulot ng mental, emosyonal, o sikolohikal na pagkabalisa, kabilang ang mga hindi gustong sekswal na pananalita, cyberstalking, at pagnanakaw ng pagkakakilanlan.
- Kahulugan ng mga pampu"&amp;"blikong espasyo: Kabilang ang mga kalye, parke, paaralan, opisina ng gobyerno, mga terminal ng transportasyon, at iba pang lugar ng libangan.
Ang mga parusa sa mga paglabag sa batas na ito ay maaaring magresulta sa pagkakakulong ng hanggang anim na buw"&amp;"an at multang hanggang 500,000 pesos.
Deklarasyon ng mga Patakaran:
Binibigyang-diin ng pamahalaan ang dignidad ng tao, iginagalang ang mga karapatang pantao, at kinikilala ang papel ng kababaihan sa pagbuo ng bansa.
Ang pagkakapantay-pantay, segurid"&amp;"ad, at kaligtasan ay pinakamahalaga hindi lamang sa mga pribadong espasyo kundi pati na rin sa mga pampublikong lugar, mga online na platform, mga lugar ng trabaho, at mga institusyong pang-edukasyon.
Pagpapatupad at Pag-uulat:
Ang Land Transportation"&amp;" Franchising and Regulatory Board (LTFRB) ay aktibong nagpapataas ng kamalayan tungkol sa Safe Spaces Act sa pampublikong transportasyon.
Hinihikayat ang mga mamamayan na mag-ulat ng mga insidente ng panliligalig na nangyayari sa mga pampublikong lugar.")</f>
        <v>Sa Pilipinas, ang mga pagkakataon ng pag-atake o panliligalig sa antas ng kalye batay sa oryentasyong sekswal o pagkakakilanlang pangkasarian sa mga pampublikong lugar ay tinutugunan sa pamamagitan ng mga legal na hakbang. Kasama sa mga nauugnay na batas ang:
Ang Safe Spaces Act (Republic Act No. 11313), na partikular na nagbabalangkas ng sekswal na panliligalig na nakabatay sa kasarian sa iba't ibang setting tulad ng mga lansangan, pampublikong espasyo, online na platform, lugar ng trabaho, at mga institusyong pang-edukasyon.
Kabilang sa mga pangunahing aspeto ng batas na ito ang:
- Catcalling: Mga hindi gustong pananalita na nakadirekta sa mga indibidwal, kadalasan sa anyo ng pag-whistling ng lobo at mapang-asar na paninira.
- Online na sekswal na panliligalig na nakabatay sa kasarian: Magsagawa online na nagdudulot ng mental, emosyonal, o sikolohikal na pagkabalisa, kabilang ang mga hindi gustong sekswal na pananalita, cyberstalking, at pagnanakaw ng pagkakakilanlan.
- Kahulugan ng mga pampublikong espasyo: Kabilang ang mga kalye, parke, paaralan, opisina ng gobyerno, mga terminal ng transportasyon, at iba pang lugar ng libangan.
Ang mga parusa sa mga paglabag sa batas na ito ay maaaring magresulta sa pagkakakulong ng hanggang anim na buwan at multang hanggang 500,000 pesos.
Deklarasyon ng mga Patakaran:
Binibigyang-diin ng pamahalaan ang dignidad ng tao, iginagalang ang mga karapatang pantao, at kinikilala ang papel ng kababaihan sa pagbuo ng bansa.
Ang pagkakapantay-pantay, seguridad, at kaligtasan ay pinakamahalaga hindi lamang sa mga pribadong espasyo kundi pati na rin sa mga pampublikong lugar, mga online na platform, mga lugar ng trabaho, at mga institusyong pang-edukasyon.
Pagpapatupad at Pag-uulat:
Ang Land Transportation Franchising and Regulatory Board (LTFRB) ay aktibong nagpapataas ng kamalayan tungkol sa Safe Spaces Act sa pampublikong transportasyon.
Hinihikayat ang mga mamamayan na mag-ulat ng mga insidente ng panliligalig na nangyayari sa mga pampublikong lugar.</v>
      </c>
      <c r="F2026" s="2">
        <f t="shared" si="1"/>
        <v>0</v>
      </c>
      <c r="G2026" s="2"/>
      <c r="H2026" s="2"/>
      <c r="I2026" s="2"/>
      <c r="J2026" s="2"/>
      <c r="K2026" s="2"/>
      <c r="L2026" s="2"/>
      <c r="M2026" s="2"/>
      <c r="N2026" s="2"/>
      <c r="O2026" s="2"/>
      <c r="P2026" s="2"/>
      <c r="Q2026" s="2"/>
      <c r="R2026" s="2"/>
      <c r="S2026" s="2"/>
      <c r="T2026" s="2"/>
      <c r="U2026" s="2"/>
      <c r="V2026" s="2"/>
      <c r="W2026" s="2"/>
      <c r="X2026" s="2"/>
      <c r="Y2026" s="2"/>
      <c r="Z2026" s="2"/>
      <c r="AA2026" s="2"/>
    </row>
    <row r="2027">
      <c r="A2027" s="1" t="s">
        <v>4698</v>
      </c>
      <c r="B2027" s="1" t="s">
        <v>4858</v>
      </c>
      <c r="C2027" s="1" t="s">
        <v>5047</v>
      </c>
      <c r="D2027" s="2" t="str">
        <f>IFERROR(__xludf.DUMMYFUNCTION("GOOGLETRANSLATE(B2027, ""en"", ""TL"")"),"Paano tinutugunan sa ilalim ng batas ng Pilipinas ang krimen ng public conspiracy to commit human trafficking o illegal recruitment?")</f>
        <v>Paano tinutugunan sa ilalim ng batas ng Pilipinas ang krimen ng public conspiracy to commit human trafficking o illegal recruitment?</v>
      </c>
      <c r="E2027" s="2" t="str">
        <f>IFERROR(__xludf.DUMMYFUNCTION("GOOGLETRANSLATE(C2027, ""en"", ""TL"")"),"Sa Pilipinas, tinutugunan ng mga legal na hakbang ang krimen ng pampublikong pagsasabwatan upang gumawa ng human trafficking o iligal na pangangalap sa pamamagitan ng iba't ibang mga batas:
Expanded Anti-Trafficking in Persons Act of 2012 (Republic Act"&amp;" No. 10364):
Pinalalawak ng Batas na ito ang saklaw ng Republic Act No. 9208, na naglalayong puksain ang trafficking ng mga tao, partikular na ang mga kababaihan at mga bata.
Iginiit nito ang pagsasaalang-alang ng Estado sa dignidad ng bawat tao at tini"&amp;"tiyak ang proteksyon ng mga indibidwal na karapatan.
Ang Batas ay tumutukoy sa trafficking ng mga tao at nagpapataw ng mga parusa sa mga trafficker, kabilang ang pagkakulong at mga multa.
Ilegal na Recruitment at ang Parusa Nito:
Itinakda ng Republic"&amp;" Act No. 10022 na ang sinumang mapatunayang nagkasala ng illegal recruitment ay mahaharap sa pagkakakulong mula labindalawang (12) taon at isang (1) araw hanggang dalawampung (20) taon, kasama ang multa mula sa Isang milyong piso (P1,000,000.00) hanggang "&amp;"Dalawang milyong piso (P2,000,000.00).
Migrant Workers and Overseas Filipinos Act of 1995 (Republic Act No. 8042):
Bagama't hindi partikular na tinutugunan ang pampublikong pagsasabwatan, ang Batas na ito ay tumatalakay sa iligal na pangangalap.
Sini"&amp;"sikap nitong pangalagaan ang karapatan ng mga overseas Filipino workers (OFWs) at parusahan ang mga illegal recruiter.
Ang mga pagbabagong ipinakilala ng Republic Act No. 10022 ay higit na nagpapatibay sa mga parusa para sa iligal na recruitment.
Kahu"&amp;"lugan ng mga Termino:
Trafficking in Persons: Kinasasangkutan ng iba't ibang gawain tulad ng recruitment, transportasyon, paglipat, o pagkukulong ng mga indibidwal para sa pagsasamantala.
Illegal Recruitment: Sinasaklaw ang mga mapanlinlang na gawi na m"&amp;"ay kaugnayan sa trabaho o pag-deploy sa ibang bansa.
Sindikato: Nagsasaad ng isang grupo ng tatlo (3) o higit pang mga indibidwal na nagsasabwatan o nakikipag-ugnayan sa ilegal na pangangalap.")</f>
        <v>Sa Pilipinas, tinutugunan ng mga legal na hakbang ang krimen ng pampublikong pagsasabwatan upang gumawa ng human trafficking o iligal na pangangalap sa pamamagitan ng iba't ibang mga batas:
Expanded Anti-Trafficking in Persons Act of 2012 (Republic Act No. 10364):
Pinalalawak ng Batas na ito ang saklaw ng Republic Act No. 9208, na naglalayong puksain ang trafficking ng mga tao, partikular na ang mga kababaihan at mga bata.
Iginiit nito ang pagsasaalang-alang ng Estado sa dignidad ng bawat tao at tinitiyak ang proteksyon ng mga indibidwal na karapatan.
Ang Batas ay tumutukoy sa trafficking ng mga tao at nagpapataw ng mga parusa sa mga trafficker, kabilang ang pagkakulong at mga multa.
Ilegal na Recruitment at ang Parusa Nito:
Itinakda ng Republic Act No. 10022 na ang sinumang mapatunayang nagkasala ng illegal recruitment ay mahaharap sa pagkakakulong mula labindalawang (12) taon at isang (1) araw hanggang dalawampung (20) taon, kasama ang multa mula sa Isang milyong piso (P1,000,000.00) hanggang Dalawang milyong piso (P2,000,000.00).
Migrant Workers and Overseas Filipinos Act of 1995 (Republic Act No. 8042):
Bagama't hindi partikular na tinutugunan ang pampublikong pagsasabwatan, ang Batas na ito ay tumatalakay sa iligal na pangangalap.
Sinisikap nitong pangalagaan ang karapatan ng mga overseas Filipino workers (OFWs) at parusahan ang mga illegal recruiter.
Ang mga pagbabagong ipinakilala ng Republic Act No. 10022 ay higit na nagpapatibay sa mga parusa para sa iligal na recruitment.
Kahulugan ng mga Termino:
Trafficking in Persons: Kinasasangkutan ng iba't ibang gawain tulad ng recruitment, transportasyon, paglipat, o pagkukulong ng mga indibidwal para sa pagsasamantala.
Illegal Recruitment: Sinasaklaw ang mga mapanlinlang na gawi na may kaugnayan sa trabaho o pag-deploy sa ibang bansa.
Sindikato: Nagsasaad ng isang grupo ng tatlo (3) o higit pang mga indibidwal na nagsasabwatan o nakikipag-ugnayan sa ilegal na pangangalap.</v>
      </c>
      <c r="F2027" s="2">
        <f t="shared" si="1"/>
        <v>1</v>
      </c>
      <c r="G2027" s="2"/>
      <c r="H2027" s="2"/>
      <c r="I2027" s="2"/>
      <c r="J2027" s="2"/>
      <c r="K2027" s="2"/>
      <c r="L2027" s="2"/>
      <c r="M2027" s="2"/>
      <c r="N2027" s="2"/>
      <c r="O2027" s="2"/>
      <c r="P2027" s="2"/>
      <c r="Q2027" s="2"/>
      <c r="R2027" s="2"/>
      <c r="S2027" s="2"/>
      <c r="T2027" s="2"/>
      <c r="U2027" s="2"/>
      <c r="V2027" s="2"/>
      <c r="W2027" s="2"/>
      <c r="X2027" s="2"/>
      <c r="Y2027" s="2"/>
      <c r="Z2027" s="2"/>
      <c r="AA2027" s="2"/>
    </row>
    <row r="2028">
      <c r="A2028" s="1" t="s">
        <v>4698</v>
      </c>
      <c r="B2028" s="1" t="s">
        <v>5033</v>
      </c>
      <c r="C2028" s="1" t="s">
        <v>5048</v>
      </c>
      <c r="D2028" s="2" t="str">
        <f>IFERROR(__xludf.DUMMYFUNCTION("GOOGLETRANSLATE(B2028, ""en"", ""TL"")"),"Anong mga legal na hakbang ang umiiral upang labanan ang mga paglabag sa kapaligiran sa antas ng kalye, tulad ng hindi wastong pagtatapon ng mga elektronikong basura sa mga pampublikong espasyo?")</f>
        <v>Anong mga legal na hakbang ang umiiral upang labanan ang mga paglabag sa kapaligiran sa antas ng kalye, tulad ng hindi wastong pagtatapon ng mga elektronikong basura sa mga pampublikong espasyo?</v>
      </c>
      <c r="E2028" s="2" t="str">
        <f>IFERROR(__xludf.DUMMYFUNCTION("GOOGLETRANSLATE(C2028, ""en"", ""TL"")"),"Ang Pilipinas ay may ilang mga legal na hakbang upang labanan ang mga paglabag sa kapaligiran sa antas ng kalye, kabilang ang hindi tamang pagtatapon ng mga elektronikong basura (e-waste) sa mga pampublikong espasyo. Narito ang isang breakdown ng ilang pa"&amp;"ngunahing aspeto:
**Pambansang Batas:**
* **Republic Act No. 8749 (Philippine Clean Air Act of 1999):** Ipinagbabawal ng batas na ito ang bukas na pagsunog ng basura, isang karaniwang gawain para sa ilang pagtatapon ng e-waste. * **Republic Act No. 9003 ("&amp;"Ecological Solid Waste Management Act of 2000):** Nakatuon ang batas na ito sa wastong pamamahala ng basura** at ipinagbabawal ang pagtatapon ng lahat ng uri ng basura, kabilang ang e-waste.
* Ipinag-uutos nito ang paghihiwalay ng basura sa pinagmumulan ("&amp;"mga tahanan, negosyo) at nagtatakda ng mga parusa para sa hindi wastong pagtatapon.
* Nagtatatag din ang batas ng prinsipyong ""polluter pays""**, ibig sabihin, ang mga gumagawa ng basura ay may pananagutan sa wastong pamamahala nito.
* **Republic Act No."&amp;" 6969 (Toxic Substances and Hazardous Wastes Regulation Act of 1991):** Ang batas na ito ay kinokontrol ang paghawak, pag-iimbak, transportasyon, paggamot, at pagtatapon ng mga mapanganib na basura**, na maaaring magsama ng ilang uri ng e- basura. * Nanga"&amp;"ngailangan ito ng mga permit para sa pamamahala ng mga mapanganib na basura at binabalangkas ang mga parusa para sa mga paglabag. **Mga Lokal na Ordenansa:**
* Maraming lungsod at munisipalidad sa Pilipinas ang nagpatupad ng mga lokal na ordinansa** na pa"&amp;"rtikular na tumutugon sa pagtatapon ng basura at pagtatapon ng basura. * Ang mga ordinansang ito ay maaaring magtakda ng mga multa para sa hindi tamang pagtatapon ng e-waste at iba pang uri ng basura sa mga pampublikong espasyo.
**Mga Mekanismo ng Pagpapa"&amp;"tupad:**
* Ang Department of Environment and Natural Resources (DENR)** ay ang pangunahing ahensya ng gobyerno na responsable sa pagpapatupad ng mga batas sa kapaligiran. * Ang mga local government units (LGUs) ay gumaganap din ng papel sa pagpapatupad ng"&amp;" mga regulasyon sa pamamahala ng basura** sa loob ng kanilang mga nasasakupan.
**Mga Hamon at Pagsasaalang-alang:**
* **Limited Resources:** Ang DENR at LGUs ay maaaring humarap sa limitadong resources** para sa epektibong pagpapatupad, kabilang ang lakas"&amp;"-tao at kagamitan.
* **Public Awareness:** Ang pagpapataas ng kamalayan ng publiko tungkol sa wastong pagtatapon ng e-waste at ang mga kahihinatnan ng pagtatapon ng basura ay mahalaga para sa pangmatagalang solusyon.
* **Impormal na Pagkolekta ng Basura:*"&amp;"* Ang sektor ng impormal na pangongolekta ng basura** ay maaaring mag-ambag sa hindi tamang pagtatapon ng e-waste. Ang pagtugon sa isyung ito ay nangangailangan ng multi-pronged approach**.
**Sa pangkalahatan, ang Pilipinas ay may legal na balangkas upang"&amp;" tugunan ang mga paglabag sa kapaligiran sa antas ng kalye tulad ng pagtatapon ng e-waste. Gayunpaman, ang epektibong pagpapatupad, mga kampanya sa pampublikong kamalayan, at pakikipagtulungan sa iba't ibang stakeholder ay mahalaga para sa isang komprehen"&amp;"sibong solusyon.**
Narito ang ilang karagdagang mapagkukunan:
* Department of Environment and Natural Resources (DENR): [https://www.denr.gov.ph/](https://www.denr.gov.ph/)
* EcoWaste Coalition: [https://www.ecowastecoalition.org/](https://www.ecowastecoa"&amp;"lition.org/)")</f>
        <v>Ang Pilipinas ay may ilang mga legal na hakbang upang labanan ang mga paglabag sa kapaligiran sa antas ng kalye, kabilang ang hindi tamang pagtatapon ng mga elektronikong basura (e-waste) sa mga pampublikong espasyo. Narito ang isang breakdown ng ilang pangunahing aspeto:
**Pambansang Batas:**
* **Republic Act No. 8749 (Philippine Clean Air Act of 1999):** Ipinagbabawal ng batas na ito ang bukas na pagsunog ng basura, isang karaniwang gawain para sa ilang pagtatapon ng e-waste. * **Republic Act No. 9003 (Ecological Solid Waste Management Act of 2000):** Nakatuon ang batas na ito sa wastong pamamahala ng basura** at ipinagbabawal ang pagtatapon ng lahat ng uri ng basura, kabilang ang e-waste.
* Ipinag-uutos nito ang paghihiwalay ng basura sa pinagmumulan (mga tahanan, negosyo) at nagtatakda ng mga parusa para sa hindi wastong pagtatapon.
* Nagtatatag din ang batas ng prinsipyong "polluter pays"**, ibig sabihin, ang mga gumagawa ng basura ay may pananagutan sa wastong pamamahala nito.
* **Republic Act No. 6969 (Toxic Substances and Hazardous Wastes Regulation Act of 1991):** Ang batas na ito ay kinokontrol ang paghawak, pag-iimbak, transportasyon, paggamot, at pagtatapon ng mga mapanganib na basura**, na maaaring magsama ng ilang uri ng e- basura. * Nangangailangan ito ng mga permit para sa pamamahala ng mga mapanganib na basura at binabalangkas ang mga parusa para sa mga paglabag. **Mga Lokal na Ordenansa:**
* Maraming lungsod at munisipalidad sa Pilipinas ang nagpatupad ng mga lokal na ordinansa** na partikular na tumutugon sa pagtatapon ng basura at pagtatapon ng basura. * Ang mga ordinansang ito ay maaaring magtakda ng mga multa para sa hindi tamang pagtatapon ng e-waste at iba pang uri ng basura sa mga pampublikong espasyo.
**Mga Mekanismo ng Pagpapatupad:**
* Ang Department of Environment and Natural Resources (DENR)** ay ang pangunahing ahensya ng gobyerno na responsable sa pagpapatupad ng mga batas sa kapaligiran. * Ang mga local government units (LGUs) ay gumaganap din ng papel sa pagpapatupad ng mga regulasyon sa pamamahala ng basura** sa loob ng kanilang mga nasasakupan.
**Mga Hamon at Pagsasaalang-alang:**
* **Limited Resources:** Ang DENR at LGUs ay maaaring humarap sa limitadong resources** para sa epektibong pagpapatupad, kabilang ang lakas-tao at kagamitan.
* **Public Awareness:** Ang pagpapataas ng kamalayan ng publiko tungkol sa wastong pagtatapon ng e-waste at ang mga kahihinatnan ng pagtatapon ng basura ay mahalaga para sa pangmatagalang solusyon.
* **Impormal na Pagkolekta ng Basura:** Ang sektor ng impormal na pangongolekta ng basura** ay maaaring mag-ambag sa hindi tamang pagtatapon ng e-waste. Ang pagtugon sa isyung ito ay nangangailangan ng multi-pronged approach**.
**Sa pangkalahatan, ang Pilipinas ay may legal na balangkas upang tugunan ang mga paglabag sa kapaligiran sa antas ng kalye tulad ng pagtatapon ng e-waste. Gayunpaman, ang epektibong pagpapatupad, mga kampanya sa pampublikong kamalayan, at pakikipagtulungan sa iba't ibang stakeholder ay mahalaga para sa isang komprehensibong solusyon.**
Narito ang ilang karagdagang mapagkukunan:
* Department of Environment and Natural Resources (DENR): [https://www.denr.gov.ph/](https://www.denr.gov.ph/)
* EcoWaste Coalition: [https://www.ecowastecoalition.org/](https://www.ecowastecoalition.org/)</v>
      </c>
      <c r="F2028" s="2">
        <f t="shared" si="1"/>
        <v>1</v>
      </c>
      <c r="G2028" s="2"/>
      <c r="H2028" s="2"/>
      <c r="I2028" s="2"/>
      <c r="J2028" s="2"/>
      <c r="K2028" s="2"/>
      <c r="L2028" s="2"/>
      <c r="M2028" s="2"/>
      <c r="N2028" s="2"/>
      <c r="O2028" s="2"/>
      <c r="P2028" s="2"/>
      <c r="Q2028" s="2"/>
      <c r="R2028" s="2"/>
      <c r="S2028" s="2"/>
      <c r="T2028" s="2"/>
      <c r="U2028" s="2"/>
      <c r="V2028" s="2"/>
      <c r="W2028" s="2"/>
      <c r="X2028" s="2"/>
      <c r="Y2028" s="2"/>
      <c r="Z2028" s="2"/>
      <c r="AA2028" s="2"/>
    </row>
    <row r="2029">
      <c r="A2029" s="1" t="s">
        <v>4698</v>
      </c>
      <c r="B2029" s="1" t="s">
        <v>5017</v>
      </c>
      <c r="C2029" s="1" t="s">
        <v>5049</v>
      </c>
      <c r="D2029" s="2" t="str">
        <f>IFERROR(__xludf.DUMMYFUNCTION("GOOGLETRANSLATE(B2029, ""en"", ""TL"")"),"Anong mga parusa ang naaangkop para sa pagsali sa hindi awtorisadong pagbebenta o pamamahagi ng mga ipinagbabawal o malalaswang materyales sa mga pampublikong espasyo malapit sa mga paaralan?")</f>
        <v>Anong mga parusa ang naaangkop para sa pagsali sa hindi awtorisadong pagbebenta o pamamahagi ng mga ipinagbabawal o malalaswang materyales sa mga pampublikong espasyo malapit sa mga paaralan?</v>
      </c>
      <c r="E2029" s="2" t="str">
        <f>IFERROR(__xludf.DUMMYFUNCTION("GOOGLETRANSLATE(C2029, ""en"", ""TL"")"),"Ang hindi awtorisadong pagbebenta o pamamahagi ng mga ipinagbabawal o malalaswang materyales sa mga pampublikong espasyo malapit sa mga paaralan ay pinamamahalaan ng mga legal na probisyon sa Pilipinas. Narito ang mga kaugnay na punto:
1. **Safe Spaces Ac"&amp;"t (Republic Act No. 11313)**:
- Tinutugunan ng batas na ito ang iba't ibang anyo ng panliligalig, kabilang ang mga nauugnay sa malaswang materyal.
- Ang layunin nito ay magtatag ng mas ligtas na kapaligiran para sa lahat ng indibidwal, anuman ang kanilang"&amp;" kasarian, oryentasyong sekswal, o pagkakakilanlan.
- Maaaring kabilang sa mga parusa sa paglabag sa Safe Spaces Act ang pagkakulong at mga multa.
2. **Kodigo Penal**:
- Ipinagbabawal ng Revised Penal Code (RPC) ang mga imoral na doktrina, malalaswang pub"&amp;"likasyon, at eksibisyon.
- Ang mga nagkasala ay maaaring maharap sa pagkakulong at multa ayon sa itinatadhana ng batas.
- Ang eksaktong mga parusa ay depende sa mga pangyayari at sa kalubhaan ng pagkakasala.
3. **Kahalagahan ng Pagsunod**:
- Napakahalaga "&amp;"na igalang ang mga cultural heritage site at pampublikong espasyo upang mapanatili ang ating kasaysayan at pagkakakilanlan.
- Ang pagsunod sa mga regulasyon ay tumitiyak sa pangangalaga at pagpapahalaga sa mga napakahalagang asset na ito.
Mahalagang tanda"&amp;"an na ang mga hindi awtorisadong aktibidad malapit sa mga cultural heritage site ay maaaring magkaroon ng malubhang legal at kultural na implikasyon.")</f>
        <v>Ang hindi awtorisadong pagbebenta o pamamahagi ng mga ipinagbabawal o malalaswang materyales sa mga pampublikong espasyo malapit sa mga paaralan ay pinamamahalaan ng mga legal na probisyon sa Pilipinas. Narito ang mga kaugnay na punto:
1. **Safe Spaces Act (Republic Act No. 11313)**:
- Tinutugunan ng batas na ito ang iba't ibang anyo ng panliligalig, kabilang ang mga nauugnay sa malaswang materyal.
- Ang layunin nito ay magtatag ng mas ligtas na kapaligiran para sa lahat ng indibidwal, anuman ang kanilang kasarian, oryentasyong sekswal, o pagkakakilanlan.
- Maaaring kabilang sa mga parusa sa paglabag sa Safe Spaces Act ang pagkakulong at mga multa.
2. **Kodigo Penal**:
- Ipinagbabawal ng Revised Penal Code (RPC) ang mga imoral na doktrina, malalaswang publikasyon, at eksibisyon.
- Ang mga nagkasala ay maaaring maharap sa pagkakulong at multa ayon sa itinatadhana ng batas.
- Ang eksaktong mga parusa ay depende sa mga pangyayari at sa kalubhaan ng pagkakasala.
3. **Kahalagahan ng Pagsunod**:
- Napakahalaga na igalang ang mga cultural heritage site at pampublikong espasyo upang mapanatili ang ating kasaysayan at pagkakakilanlan.
- Ang pagsunod sa mga regulasyon ay tumitiyak sa pangangalaga at pagpapahalaga sa mga napakahalagang asset na ito.
Mahalagang tandaan na ang mga hindi awtorisadong aktibidad malapit sa mga cultural heritage site ay maaaring magkaroon ng malubhang legal at kultural na implikasyon.</v>
      </c>
      <c r="F2029" s="2">
        <f t="shared" si="1"/>
        <v>1</v>
      </c>
      <c r="G2029" s="2"/>
      <c r="H2029" s="2"/>
      <c r="I2029" s="2"/>
      <c r="J2029" s="2"/>
      <c r="K2029" s="2"/>
      <c r="L2029" s="2"/>
      <c r="M2029" s="2"/>
      <c r="N2029" s="2"/>
      <c r="O2029" s="2"/>
      <c r="P2029" s="2"/>
      <c r="Q2029" s="2"/>
      <c r="R2029" s="2"/>
      <c r="S2029" s="2"/>
      <c r="T2029" s="2"/>
      <c r="U2029" s="2"/>
      <c r="V2029" s="2"/>
      <c r="W2029" s="2"/>
      <c r="X2029" s="2"/>
      <c r="Y2029" s="2"/>
      <c r="Z2029" s="2"/>
      <c r="AA2029" s="2"/>
    </row>
    <row r="2030">
      <c r="A2030" s="1" t="s">
        <v>4698</v>
      </c>
      <c r="B2030" s="1" t="s">
        <v>4951</v>
      </c>
      <c r="C2030" s="1" t="s">
        <v>5050</v>
      </c>
      <c r="D2030" s="2" t="str">
        <f>IFERROR(__xludf.DUMMYFUNCTION("GOOGLETRANSLATE(B2030, ""en"", ""TL"")"),"Anong mga legal na probisyon ang kumokontrol sa pagkakaroon at paggamit ng mga hindi awtorisadong kagamitan sa pagsubaybay sa mga pampublikong espasyo malapit sa mga pasilidad ng pangangalagang pangkalusugan?")</f>
        <v>Anong mga legal na probisyon ang kumokontrol sa pagkakaroon at paggamit ng mga hindi awtorisadong kagamitan sa pagsubaybay sa mga pampublikong espasyo malapit sa mga pasilidad ng pangangalagang pangkalusugan?</v>
      </c>
      <c r="E2030" s="2" t="str">
        <f>IFERROR(__xludf.DUMMYFUNCTION("GOOGLETRANSLATE(C2030, ""en"", ""TL"")"),"Sa Pilipinas, ang paggamit ng mga surveillance device, kabilang ang mga closed-circuit television (CCTV) system, sa mga pampublikong espasyo malapit sa mga pasilidad ng pangangalagang pangkalusugan ay kinokontrol ng mga legal na alituntunin. Narito ang mg"&amp;"a pangunahing probisyon:
Data Privacy Act of 2012 (DPA):
Pinangangasiwaan ng DPA ang pangangasiwa ng personal na data, kabilang ang mga video at audio recording na nakuha mula sa mga CCTV system.
Habang ang mga CCTV system, kapag ginamit nang makatwiran a"&amp;"t naaangkop, ay nagpapahusay sa kaligtasan at seguridad, ang kanilang pagpapatupad ay dapat isaalang-alang ang epekto sa mga karapatan at kalayaan ng mga indibidwal.
Ang mga operator ng CCTV system, maging sila man ay mga personal information controller o"&amp;" processor, ay obligadong sumunod sa DPA, sa Implementing Rules and Regulations (IRR) nito, at mga kaukulang direktiba mula sa National Privacy Commission (NPC).
Mga Kundisyon para sa Legal na Pagproseso:
Ang pagpoproseso ng personal na impormasyon sa pam"&amp;"amagitan ng mga surveillance device ay pinahihintulutan lamang kung hindi tahasang ipinagbabawal ng batas at kung matugunan ang kahit isa sa mga sumusunod na kundisyon:
Nakuha ang pahintulot mula sa paksa ng datos.
Ang pagproseso ay kinakailangan upang ma"&amp;"tupad ang isang legal na obligasyon.
Mahalaga ang pagproseso upang mapangalagaan ang mahahalagang interes ng paksa ng data, kabilang ang buhay at kalusugan.
Kinakailangan ang pagproseso para sa pagganap ng mga tungkulin ng pampublikong awtoridad.
Ang pagp"&amp;"oproseso ay kinakailangan upang ituloy ang mga lehitimong interes ng controller ng personal na impormasyon o isang third party, maliban kung salungat ito sa mga pangunahing karapatan at kalayaan ng paksa ng data.
Sensitibong Personal na Impormasyon:
Ang m"&amp;"ga espesyal na pag-iingat ay kinakailangan para sa sensitibong personal na impormasyon, tulad ng mga klinikal na larawan na naglalaman ng data ng kalusugan ng mga pasyente.
Dapat hawakan ng mga operator ang naturang impormasyon nang may kasipagan at tiyak"&amp;"in ang pagsunod sa DPA.")</f>
        <v>Sa Pilipinas, ang paggamit ng mga surveillance device, kabilang ang mga closed-circuit television (CCTV) system, sa mga pampublikong espasyo malapit sa mga pasilidad ng pangangalagang pangkalusugan ay kinokontrol ng mga legal na alituntunin. Narito ang mga pangunahing probisyon:
Data Privacy Act of 2012 (DPA):
Pinangangasiwaan ng DPA ang pangangasiwa ng personal na data, kabilang ang mga video at audio recording na nakuha mula sa mga CCTV system.
Habang ang mga CCTV system, kapag ginamit nang makatwiran at naaangkop, ay nagpapahusay sa kaligtasan at seguridad, ang kanilang pagpapatupad ay dapat isaalang-alang ang epekto sa mga karapatan at kalayaan ng mga indibidwal.
Ang mga operator ng CCTV system, maging sila man ay mga personal information controller o processor, ay obligadong sumunod sa DPA, sa Implementing Rules and Regulations (IRR) nito, at mga kaukulang direktiba mula sa National Privacy Commission (NPC).
Mga Kundisyon para sa Legal na Pagproseso:
Ang pagpoproseso ng personal na impormasyon sa pamamagitan ng mga surveillance device ay pinahihintulutan lamang kung hindi tahasang ipinagbabawal ng batas at kung matugunan ang kahit isa sa mga sumusunod na kundisyon:
Nakuha ang pahintulot mula sa paksa ng datos.
Ang pagproseso ay kinakailangan upang matupad ang isang legal na obligasyon.
Mahalaga ang pagproseso upang mapangalagaan ang mahahalagang interes ng paksa ng data, kabilang ang buhay at kalusugan.
Kinakailangan ang pagproseso para sa pagganap ng mga tungkulin ng pampublikong awtoridad.
Ang pagpoproseso ay kinakailangan upang ituloy ang mga lehitimong interes ng controller ng personal na impormasyon o isang third party, maliban kung salungat ito sa mga pangunahing karapatan at kalayaan ng paksa ng data.
Sensitibong Personal na Impormasyon:
Ang mga espesyal na pag-iingat ay kinakailangan para sa sensitibong personal na impormasyon, tulad ng mga klinikal na larawan na naglalaman ng data ng kalusugan ng mga pasyente.
Dapat hawakan ng mga operator ang naturang impormasyon nang may kasipagan at tiyakin ang pagsunod sa DPA.</v>
      </c>
      <c r="F2030" s="2">
        <f t="shared" si="1"/>
        <v>1</v>
      </c>
      <c r="G2030" s="2"/>
      <c r="H2030" s="2"/>
      <c r="I2030" s="2"/>
      <c r="J2030" s="2"/>
      <c r="K2030" s="2"/>
      <c r="L2030" s="2"/>
      <c r="M2030" s="2"/>
      <c r="N2030" s="2"/>
      <c r="O2030" s="2"/>
      <c r="P2030" s="2"/>
      <c r="Q2030" s="2"/>
      <c r="R2030" s="2"/>
      <c r="S2030" s="2"/>
      <c r="T2030" s="2"/>
      <c r="U2030" s="2"/>
      <c r="V2030" s="2"/>
      <c r="W2030" s="2"/>
      <c r="X2030" s="2"/>
      <c r="Y2030" s="2"/>
      <c r="Z2030" s="2"/>
      <c r="AA2030" s="2"/>
    </row>
    <row r="2031">
      <c r="A2031" s="1" t="s">
        <v>4698</v>
      </c>
      <c r="B2031" s="1" t="s">
        <v>5025</v>
      </c>
      <c r="C2031" s="1" t="s">
        <v>5051</v>
      </c>
      <c r="D2031" s="2" t="str">
        <f>IFERROR(__xludf.DUMMYFUNCTION("GOOGLETRANSLATE(B2031, ""en"", ""TL"")"),"Sa ilalim ng anong mga pangyayari ang isang tao ay maaaring makasuhan ng public conspiracy to commit terrorism-related offenses sa mga pampublikong pamilihan?")</f>
        <v>Sa ilalim ng anong mga pangyayari ang isang tao ay maaaring makasuhan ng public conspiracy to commit terrorism-related offenses sa mga pampublikong pamilihan?</v>
      </c>
      <c r="E2031" s="2" t="str">
        <f>IFERROR(__xludf.DUMMYFUNCTION("GOOGLETRANSLATE(C2031, ""en"", ""TL"")"),"Sa Pilipinas, maaaring harapin ng mga indibidwal ang mga kaso ng pampublikong pagsasabwatan upang gumawa ng mga pagkakasala na may kaugnayan sa terorismo sa ilalim ng mga partikular na pangyayari, gaya ng nakabalangkas sa mga legal na probisyon:
Republ"&amp;"ic Act No. 10168 (Anti-Money Laundering Act):
Tinutukoy ng batas na ito ang pagkakasala ng pagpopondo sa terorismo at nagpapataw ng mga parusa sa mga nakikibahagi sa mga naturang aktibidad.
Sinasaklaw nito ang mga aksyon na kinasasangkutan ng pagbibigay"&amp;" ng tulong pinansyal o mga mapagkukunan sa mga teroristang organisasyon o indibidwal na sangkot sa terorismo.
Kung dalawa o higit pang mga indibidwal ang nagsabwatan upang gumawa ng mga pagkakasala na may kaugnayan sa pagpopondo ng terorismo, maaari sila"&amp;"ng kasuhan ng pampublikong pagsasabwatan.
Pagpopondo ng Terorista at Pagsasabwatan para Magsagawa ng Terorismo:
Ang pagsasabwatan upang magbigay ng mga pondo, mapagkukunan, o suporta para sa mga aktibidad ng terorista ay itinuturing na isang matinding"&amp;" pagkakasala.
Maaaring mangyari ang mga pagsasabwatan sa mga pampublikong pamilihan o iba pang pampublikong espasyo.
Kasama sa mga parusa para sa mga paglabag na may kaugnayan sa terorismo ang pagkakulong at multa.")</f>
        <v>Sa Pilipinas, maaaring harapin ng mga indibidwal ang mga kaso ng pampublikong pagsasabwatan upang gumawa ng mga pagkakasala na may kaugnayan sa terorismo sa ilalim ng mga partikular na pangyayari, gaya ng nakabalangkas sa mga legal na probisyon:
Republic Act No. 10168 (Anti-Money Laundering Act):
Tinutukoy ng batas na ito ang pagkakasala ng pagpopondo sa terorismo at nagpapataw ng mga parusa sa mga nakikibahagi sa mga naturang aktibidad.
Sinasaklaw nito ang mga aksyon na kinasasangkutan ng pagbibigay ng tulong pinansyal o mga mapagkukunan sa mga teroristang organisasyon o indibidwal na sangkot sa terorismo.
Kung dalawa o higit pang mga indibidwal ang nagsabwatan upang gumawa ng mga pagkakasala na may kaugnayan sa pagpopondo ng terorismo, maaari silang kasuhan ng pampublikong pagsasabwatan.
Pagpopondo ng Terorista at Pagsasabwatan para Magsagawa ng Terorismo:
Ang pagsasabwatan upang magbigay ng mga pondo, mapagkukunan, o suporta para sa mga aktibidad ng terorista ay itinuturing na isang matinding pagkakasala.
Maaaring mangyari ang mga pagsasabwatan sa mga pampublikong pamilihan o iba pang pampublikong espasyo.
Kasama sa mga parusa para sa mga paglabag na may kaugnayan sa terorismo ang pagkakulong at multa.</v>
      </c>
      <c r="F2031" s="2">
        <f t="shared" si="1"/>
        <v>0</v>
      </c>
      <c r="G2031" s="2"/>
      <c r="H2031" s="2"/>
      <c r="I2031" s="2"/>
      <c r="J2031" s="2"/>
      <c r="K2031" s="2"/>
      <c r="L2031" s="2"/>
      <c r="M2031" s="2"/>
      <c r="N2031" s="2"/>
      <c r="O2031" s="2"/>
      <c r="P2031" s="2"/>
      <c r="Q2031" s="2"/>
      <c r="R2031" s="2"/>
      <c r="S2031" s="2"/>
      <c r="T2031" s="2"/>
      <c r="U2031" s="2"/>
      <c r="V2031" s="2"/>
      <c r="W2031" s="2"/>
      <c r="X2031" s="2"/>
      <c r="Y2031" s="2"/>
      <c r="Z2031" s="2"/>
      <c r="AA2031" s="2"/>
    </row>
    <row r="2032">
      <c r="A2032" s="1" t="s">
        <v>4698</v>
      </c>
      <c r="B2032" s="1" t="s">
        <v>4849</v>
      </c>
      <c r="C2032" s="1" t="s">
        <v>5052</v>
      </c>
      <c r="D2032" s="2" t="str">
        <f>IFERROR(__xludf.DUMMYFUNCTION("GOOGLETRANSLATE(B2032, ""en"", ""TL"")"),"Paano tinutugunan sa ilalim ng batas ng Pilipinas ang pagkakasala ng pampublikong pagsasabwatan upang magsagawa ng pagnanakaw ng pagkakakilanlan o pandaraya sa pananalapi?")</f>
        <v>Paano tinutugunan sa ilalim ng batas ng Pilipinas ang pagkakasala ng pampublikong pagsasabwatan upang magsagawa ng pagnanakaw ng pagkakakilanlan o pandaraya sa pananalapi?</v>
      </c>
      <c r="E2032" s="2" t="str">
        <f>IFERROR(__xludf.DUMMYFUNCTION("GOOGLETRANSLATE(C2032, ""en"", ""TL"")"),"Kasama sa Philippine Anti-Cybercrime Law (Republic Act No. 10175) ang mga legal na probisyon upang labanan ang pagnanakaw ng pagkakakilanlan at pandaraya sa pananalapi. Narito ang isang buod ng mga nauugnay na aspeto:
Pagnanakaw ng Pagkakakilanlan:
"&amp;"Ang pagnanakaw ng pagkakakilanlan, na kinasasangkutan ng maling paggamit ng pagkakakilanlan ng ibang tao para sa mapanlinlang na layunin, ay itinuturing na isang makabuluhang pagkakasala sa ilalim ng Cybercrime Prevention Act of 2012.
Tinukoy ng batas an"&amp;"g pagnanakaw ng pagkakakilanlan at nagtatakda ng mga parusa para sa mga napatunayang nagkasala sa paggawa ng mga naturang gawain.
Ang mga biktima ng pagnanakaw ng pagkakakilanlan ay may karapatang maghabol ng mga pinsala sa korte sibil upang mabawi ang m"&amp;"ga pagkalugi na natamo. Maaaring kabilang dito ang paghingi ng kabayaran para sa mga pagkalugi sa pananalapi tulad ng mga pondong ninakaw mula sa mga bank account, pati na rin ang mga pinsala para sa emosyonal na pagkabalisa at pinsala sa reputasyon.")</f>
        <v>Kasama sa Philippine Anti-Cybercrime Law (Republic Act No. 10175) ang mga legal na probisyon upang labanan ang pagnanakaw ng pagkakakilanlan at pandaraya sa pananalapi. Narito ang isang buod ng mga nauugnay na aspeto:
Pagnanakaw ng Pagkakakilanlan:
Ang pagnanakaw ng pagkakakilanlan, na kinasasangkutan ng maling paggamit ng pagkakakilanlan ng ibang tao para sa mapanlinlang na layunin, ay itinuturing na isang makabuluhang pagkakasala sa ilalim ng Cybercrime Prevention Act of 2012.
Tinukoy ng batas ang pagnanakaw ng pagkakakilanlan at nagtatakda ng mga parusa para sa mga napatunayang nagkasala sa paggawa ng mga naturang gawain.
Ang mga biktima ng pagnanakaw ng pagkakakilanlan ay may karapatang maghabol ng mga pinsala sa korte sibil upang mabawi ang mga pagkalugi na natamo. Maaaring kabilang dito ang paghingi ng kabayaran para sa mga pagkalugi sa pananalapi tulad ng mga pondong ninakaw mula sa mga bank account, pati na rin ang mga pinsala para sa emosyonal na pagkabalisa at pinsala sa reputasyon.</v>
      </c>
      <c r="F2032" s="2">
        <f t="shared" si="1"/>
        <v>0</v>
      </c>
      <c r="G2032" s="2"/>
      <c r="H2032" s="2"/>
      <c r="I2032" s="2"/>
      <c r="J2032" s="2"/>
      <c r="K2032" s="2"/>
      <c r="L2032" s="2"/>
      <c r="M2032" s="2"/>
      <c r="N2032" s="2"/>
      <c r="O2032" s="2"/>
      <c r="P2032" s="2"/>
      <c r="Q2032" s="2"/>
      <c r="R2032" s="2"/>
      <c r="S2032" s="2"/>
      <c r="T2032" s="2"/>
      <c r="U2032" s="2"/>
      <c r="V2032" s="2"/>
      <c r="W2032" s="2"/>
      <c r="X2032" s="2"/>
      <c r="Y2032" s="2"/>
      <c r="Z2032" s="2"/>
      <c r="AA2032" s="2"/>
    </row>
    <row r="2033">
      <c r="A2033" s="1" t="s">
        <v>4698</v>
      </c>
      <c r="B2033" s="1" t="s">
        <v>5005</v>
      </c>
      <c r="C2033" s="1" t="s">
        <v>5053</v>
      </c>
      <c r="D2033" s="2" t="str">
        <f>IFERROR(__xludf.DUMMYFUNCTION("GOOGLETRANSLATE(B2033, ""en"", ""TL"")"),"Anong mga parusa ang naaangkop para sa pagsali sa hindi awtorisadong pagbebenta o pamamahagi ng mga ipinagbabawal na publikasyon sa mga pampublikong espasyo malapit sa mga cultural heritage site?")</f>
        <v>Anong mga parusa ang naaangkop para sa pagsali sa hindi awtorisadong pagbebenta o pamamahagi ng mga ipinagbabawal na publikasyon sa mga pampublikong espasyo malapit sa mga cultural heritage site?</v>
      </c>
      <c r="E2033" s="2" t="str">
        <f>IFERROR(__xludf.DUMMYFUNCTION("GOOGLETRANSLATE(C2033, ""en"", ""TL"")"),"Sa Pilipinas, ang hindi awtorisadong pagbebenta o pamamahagi ng mga ipinagbabawal na publikasyon sa mga pampublikong espasyo malapit sa mga cultural heritage sites ay pinamamahalaan ng mga partikular na legal na probisyon. Suriin natin ang mga nauugnay na"&amp;" regulasyon:
Artikulo 201 ng Binagong Kodigo Penal (RPC):
Tinutugunan ng Artikulo 201 ang mga imoral na doktrina, malalaswang publikasyon, at mga eksibisyon, kabilang ang mga may kinalaman sa mga ipinagbabawal na materyales.
Ang mga nagkasala ay maaa"&amp;"ring magkaroon ng mga parusa para sa iba't ibang mga pagkakasala tulad ng:
- Pagbabago sa sangkap, dami, o kalidad ng anumang bagay na may halaga na inihatid dahil sa isang obligasyon.
- Maling paggamit o pag-convert ng pera, kalakal, o iba pang ari-ari"&amp;"an na natanggap sa tiwala o sa komisyon.
- Sinasamantala ang hindi nararapat na pirma ng isang tao.
- Pagsali sa mga maling pagpapanggap o mapanlinlang na gawain.
Maaaring kabilang sa mga parusa sa ilalim ng RPC ang mga multa, pagkakulong, o pareho, de"&amp;"pende sa partikular na pagkakasala.
Consumer Act of the Philippines (Republic Act No. 7394):
Bagama't hindi tahasang iniangkop sa mga kultural na pamana, ang Batas na ito ay tumutugon sa mga hindi tapat na gawi ng mga nagbebenta sa buong proseso ng pa"&amp;"gbebenta.
Ipinagbabawal nito ang mga gawa ng pagtatago, maling representasyon, o mapanlinlang na pagmamanipula sa mga transaksyon sa pagbebenta.
Ang mga lumalabag ay maaaring maharap sa multa, pagkakulong, o pareho.")</f>
        <v>Sa Pilipinas, ang hindi awtorisadong pagbebenta o pamamahagi ng mga ipinagbabawal na publikasyon sa mga pampublikong espasyo malapit sa mga cultural heritage sites ay pinamamahalaan ng mga partikular na legal na probisyon. Suriin natin ang mga nauugnay na regulasyon:
Artikulo 201 ng Binagong Kodigo Penal (RPC):
Tinutugunan ng Artikulo 201 ang mga imoral na doktrina, malalaswang publikasyon, at mga eksibisyon, kabilang ang mga may kinalaman sa mga ipinagbabawal na materyales.
Ang mga nagkasala ay maaaring magkaroon ng mga parusa para sa iba't ibang mga pagkakasala tulad ng:
- Pagbabago sa sangkap, dami, o kalidad ng anumang bagay na may halaga na inihatid dahil sa isang obligasyon.
- Maling paggamit o pag-convert ng pera, kalakal, o iba pang ari-arian na natanggap sa tiwala o sa komisyon.
- Sinasamantala ang hindi nararapat na pirma ng isang tao.
- Pagsali sa mga maling pagpapanggap o mapanlinlang na gawain.
Maaaring kabilang sa mga parusa sa ilalim ng RPC ang mga multa, pagkakulong, o pareho, depende sa partikular na pagkakasala.
Consumer Act of the Philippines (Republic Act No. 7394):
Bagama't hindi tahasang iniangkop sa mga kultural na pamana, ang Batas na ito ay tumutugon sa mga hindi tapat na gawi ng mga nagbebenta sa buong proseso ng pagbebenta.
Ipinagbabawal nito ang mga gawa ng pagtatago, maling representasyon, o mapanlinlang na pagmamanipula sa mga transaksyon sa pagbebenta.
Ang mga lumalabag ay maaaring maharap sa multa, pagkakulong, o pareho.</v>
      </c>
      <c r="F2033" s="2">
        <f t="shared" si="1"/>
        <v>0</v>
      </c>
      <c r="G2033" s="2"/>
      <c r="H2033" s="2"/>
      <c r="I2033" s="2"/>
      <c r="J2033" s="2"/>
      <c r="K2033" s="2"/>
      <c r="L2033" s="2"/>
      <c r="M2033" s="2"/>
      <c r="N2033" s="2"/>
      <c r="O2033" s="2"/>
      <c r="P2033" s="2"/>
      <c r="Q2033" s="2"/>
      <c r="R2033" s="2"/>
      <c r="S2033" s="2"/>
      <c r="T2033" s="2"/>
      <c r="U2033" s="2"/>
      <c r="V2033" s="2"/>
      <c r="W2033" s="2"/>
      <c r="X2033" s="2"/>
      <c r="Y2033" s="2"/>
      <c r="Z2033" s="2"/>
      <c r="AA2033" s="2"/>
    </row>
    <row r="2034">
      <c r="A2034" s="1" t="s">
        <v>4698</v>
      </c>
      <c r="B2034" s="1" t="s">
        <v>4925</v>
      </c>
      <c r="C2034" s="1" t="s">
        <v>5054</v>
      </c>
      <c r="D2034" s="2" t="str">
        <f>IFERROR(__xludf.DUMMYFUNCTION("GOOGLETRANSLATE(B2034, ""en"", ""TL"")"),"Anong mga legal na probisyon ang kumokontrol sa pagmamay-ari at paggamit ng mga hindi awtorisadong surveillance device sa mga pampublikong espasyo malapit sa mga opisina ng gobyerno?")</f>
        <v>Anong mga legal na probisyon ang kumokontrol sa pagmamay-ari at paggamit ng mga hindi awtorisadong surveillance device sa mga pampublikong espasyo malapit sa mga opisina ng gobyerno?</v>
      </c>
      <c r="E2034" s="2" t="str">
        <f>IFERROR(__xludf.DUMMYFUNCTION("GOOGLETRANSLATE(C2034, ""en"", ""TL"")"),"Ang paggamit ng **surveillance device**, partikular na **closed-circuit television (CCTV) systems**, sa mga pampublikong espasyo malapit sa mga opisina ng gobyerno ay pinamamahalaan ng mga legal na probisyon sa Pilipinas. Narito ang mga pangunahing alitun"&amp;"tunin:
1. **Data Privacy Act of 2012 (DPA)**:
- Ang paggamit ng mga CCTV system para sa pagkuha, paggamit, pagpapanatili, at pagtanggal ng video at/o audio footage ay itinuturing na pagproseso ng personal na data sa ilalim ng DPA.
- Ang mga sangkot sa pag"&amp;"proseso ng personal na data sa pamamagitan ng mga CCTV system, bilang **personal information controllers (PICs)** o **personal information processors (PIPs)**, ay kinakailangang sumunod sa DPA, ang Implementing Rules and Regulations (IRR) nito ), at mga n"&amp;"auugnay na direktiba mula sa **National Privacy Commission (NPC)**¹.
2. **Mga Pangkalahatang Prinsipyo**:
- Ang mga CCTV system, kapag ginamit nang makatwiran at naaangkop, ay nakakatulong sa kaligtasan at seguridad ng mga indibidwal.
- Dapat isaalang-ala"&amp;"ng ang epekto sa mga karapatan at kalayaan ng mga paksa ng data, at dapat tiyakin ng mga regular na pagsusuri na ang paggamit ng CCTV ay nananatiling kinakailangan para sa mga partikular at lehitimong layunin.
- Ang masking (pagtatago ng mga bahagi ng vid"&amp;"eo imagery) ay maaaring gamitin upang pangalagaan ang privacy.
- Ang matuwid na pagsubaybay na isinasagawa ng mga ahensyang nagpapatupad ng batas ay hindi napapailalim sa mga probisyong ito ngunit nananatiling napapailalim sa Konstitusyon at iba pang naaa"&amp;"ngkop na mga batas¹.
3. **Saklaw**:
- Ang mga regulasyong ito ay nalalapat sa lahat ng PIC at PIP na nakikibahagi sa pagproseso ng personal na data sa pamamagitan ng mga CCTV system na tumatakbo sa pampubliko at semi-pampublikong lugar.
- Sinasaklaw ng sa"&amp;"klaw ang mga CCTV system na nagre-record ng mga video at ang mga nilagyan ng parehong video at audio na kakayahan¹.
4. **Kahulugan ng Mga Tuntunin**:
- **CCTV**: Closed-circuit television o camera surveillance system na kumukuha ng mga larawan ng mga indi"&amp;"bidwal o iba pang impormasyong nauugnay sa mga indibidwal.
- **Paksa ng Data**: Isang indibidwal na pinoproseso ang personal na data.
- **Personal na Impormasyon**: Anumang impormasyon kung saan ang pagkakakilanlan ng isang indibidwal ay maaaring makatwir"&amp;"an at direktang matiyak.
- **Personal Information Controller (PIC)**: Isang tao o organisasyong kumokontrol sa pangongolekta, pagproseso, o paggamit ng personal na impormasyon.
- **Masking**: Itinatago ang mga bahagi ng video o still imagery para protekta"&amp;"han ang privacy¹.
Mahalagang kilalanin na ang mga hindi awtorisadong device sa pagsubaybay ay maaaring lumabag sa mga karapatan sa privacy, at ang paggamit ng mga ito ay dapat sumunod sa mga legal na kinakailangan at igalang ang indibidwal na privacy.")</f>
        <v>Ang paggamit ng **surveillance device**, partikular na **closed-circuit television (CCTV) systems**, sa mga pampublikong espasyo malapit sa mga opisina ng gobyerno ay pinamamahalaan ng mga legal na probisyon sa Pilipinas. Narito ang mga pangunahing alituntunin:
1. **Data Privacy Act of 2012 (DPA)**:
- Ang paggamit ng mga CCTV system para sa pagkuha, paggamit, pagpapanatili, at pagtanggal ng video at/o audio footage ay itinuturing na pagproseso ng personal na data sa ilalim ng DPA.
- Ang mga sangkot sa pagproseso ng personal na data sa pamamagitan ng mga CCTV system, bilang **personal information controllers (PICs)** o **personal information processors (PIPs)**, ay kinakailangang sumunod sa DPA, ang Implementing Rules and Regulations (IRR) nito ), at mga nauugnay na direktiba mula sa **National Privacy Commission (NPC)**¹.
2. **Mga Pangkalahatang Prinsipyo**:
- Ang mga CCTV system, kapag ginamit nang makatwiran at naaangkop, ay nakakatulong sa kaligtasan at seguridad ng mga indibidwal.
- Dapat isaalang-alang ang epekto sa mga karapatan at kalayaan ng mga paksa ng data, at dapat tiyakin ng mga regular na pagsusuri na ang paggamit ng CCTV ay nananatiling kinakailangan para sa mga partikular at lehitimong layunin.
- Ang masking (pagtatago ng mga bahagi ng video imagery) ay maaaring gamitin upang pangalagaan ang privacy.
- Ang matuwid na pagsubaybay na isinasagawa ng mga ahensyang nagpapatupad ng batas ay hindi napapailalim sa mga probisyong ito ngunit nananatiling napapailalim sa Konstitusyon at iba pang naaangkop na mga batas¹.
3. **Saklaw**:
- Ang mga regulasyong ito ay nalalapat sa lahat ng PIC at PIP na nakikibahagi sa pagproseso ng personal na data sa pamamagitan ng mga CCTV system na tumatakbo sa pampubliko at semi-pampublikong lugar.
- Sinasaklaw ng saklaw ang mga CCTV system na nagre-record ng mga video at ang mga nilagyan ng parehong video at audio na kakayahan¹.
4. **Kahulugan ng Mga Tuntunin**:
- **CCTV**: Closed-circuit television o camera surveillance system na kumukuha ng mga larawan ng mga indibidwal o iba pang impormasyong nauugnay sa mga indibidwal.
- **Paksa ng Data**: Isang indibidwal na pinoproseso ang personal na data.
- **Personal na Impormasyon**: Anumang impormasyon kung saan ang pagkakakilanlan ng isang indibidwal ay maaaring makatwiran at direktang matiyak.
- **Personal Information Controller (PIC)**: Isang tao o organisasyong kumokontrol sa pangongolekta, pagproseso, o paggamit ng personal na impormasyon.
- **Masking**: Itinatago ang mga bahagi ng video o still imagery para protektahan ang privacy¹.
Mahalagang kilalanin na ang mga hindi awtorisadong device sa pagsubaybay ay maaaring lumabag sa mga karapatan sa privacy, at ang paggamit ng mga ito ay dapat sumunod sa mga legal na kinakailangan at igalang ang indibidwal na privacy.</v>
      </c>
      <c r="F2034" s="2">
        <f t="shared" si="1"/>
        <v>0</v>
      </c>
      <c r="G2034" s="2"/>
      <c r="H2034" s="2"/>
      <c r="I2034" s="2"/>
      <c r="J2034" s="2"/>
      <c r="K2034" s="2"/>
      <c r="L2034" s="2"/>
      <c r="M2034" s="2"/>
      <c r="N2034" s="2"/>
      <c r="O2034" s="2"/>
      <c r="P2034" s="2"/>
      <c r="Q2034" s="2"/>
      <c r="R2034" s="2"/>
      <c r="S2034" s="2"/>
      <c r="T2034" s="2"/>
      <c r="U2034" s="2"/>
      <c r="V2034" s="2"/>
      <c r="W2034" s="2"/>
      <c r="X2034" s="2"/>
      <c r="Y2034" s="2"/>
      <c r="Z2034" s="2"/>
      <c r="AA2034" s="2"/>
    </row>
    <row r="2035">
      <c r="A2035" s="1" t="s">
        <v>4698</v>
      </c>
      <c r="B2035" s="1" t="s">
        <v>5033</v>
      </c>
      <c r="C2035" s="1" t="s">
        <v>5055</v>
      </c>
      <c r="D2035" s="2" t="str">
        <f>IFERROR(__xludf.DUMMYFUNCTION("GOOGLETRANSLATE(B2035, ""en"", ""TL"")"),"Anong mga legal na hakbang ang umiiral upang labanan ang mga paglabag sa kapaligiran sa antas ng kalye, tulad ng hindi wastong pagtatapon ng mga elektronikong basura sa mga pampublikong espasyo?")</f>
        <v>Anong mga legal na hakbang ang umiiral upang labanan ang mga paglabag sa kapaligiran sa antas ng kalye, tulad ng hindi wastong pagtatapon ng mga elektronikong basura sa mga pampublikong espasyo?</v>
      </c>
      <c r="E2035" s="2" t="str">
        <f>IFERROR(__xludf.DUMMYFUNCTION("GOOGLETRANSLATE(C2035, ""en"", ""TL"")"),"Sa Pilipinas, inilalagay ang mga legal na hakbang upang matugunan ang mga paglabag sa kapaligiran sa antas ng kalye, kabilang ang hindi wastong pagtatapon ng mga elektronikong basura (e-waste) sa mga pampublikong espasyo. Narito ang mga kaugnay na probisy"&amp;"on:
Ecological Solid Waste Management Act (Republic Act No. 9003):
Ang batas na ito ay nagtatatag ng isang komprehensibong balangkas para sa pamamahala ng solidong basura, na sumasaklaw sa e-waste.
Kabilang sa mga pangunahing elemento ang:
Pagbabawas ng P"&amp;"inagmulan at Pagbabawas ng Basura: Mga nakakahimok na kasanayan tulad ng pag-recycle, muling paggamit, at pagbawi bago itapon.
Pagbabawal sa Pagsusunog: Ipinagbabawal ng Batas ang pagsusunog bilang paraan ng pagtatapon ng basura.
Wastong Paghihiwalay at P"&amp;"agkolekta: Mga patnubay para sa naaangkop na paghawak at pagtatapon ng iba't ibang uri ng basura.
Pagpaparehistro at Regulasyon: Ang mga generator, transporter, at mga pasilidad sa paggamot ng mga mapanganib na basura, kabilang ang e-waste, ay dapat magpa"&amp;"rehistro sa Environmental Management Bureau (EMB).
Mga Parusa: Maaaring mapatawan ng multa, pagkakulong, o pareho ang mga lumalabag.
Mga Kautusang Pang-administratibo ng DENR:
Nag-isyu ang Department of Environment and Natural Resources (DENR) ng mga admi"&amp;"nistratibong utos para i-regulate ang mga mapanganib na basura, kabilang ang e-waste.
Ang mga order na ito ay nagtatatag ng mga alituntunin para sa pamamahala, transportasyon, at pagtatapon ng mga mapanganib na materyales.
Sa partikular, ang DENR Administ"&amp;"rative Order No. 2013-22 ay tumutugon sa pamamahala ng WEEE (waste electrical and electronic equipment) na naglalaman ng mga nakakalason na metal at flame retardant.
Environmental Management Bureau (EMB):
Bilang isang kawanihan sa ilalim ng DENR, ang EMB "&amp;"ay may pananagutan sa pagpapatupad ng mga regulasyon na may kaugnayan sa pamamahala ng e-waste.
Itinataguyod nito ang wastong mga kasanayan sa pagtatapon, hinihikayat ang mga hakbangin sa pag-recycle, at sinusubaybayan ang pagsunod sa mga batas sa kapalig"&amp;"iran.")</f>
        <v>Sa Pilipinas, inilalagay ang mga legal na hakbang upang matugunan ang mga paglabag sa kapaligiran sa antas ng kalye, kabilang ang hindi wastong pagtatapon ng mga elektronikong basura (e-waste) sa mga pampublikong espasyo. Narito ang mga kaugnay na probisyon:
Ecological Solid Waste Management Act (Republic Act No. 9003):
Ang batas na ito ay nagtatatag ng isang komprehensibong balangkas para sa pamamahala ng solidong basura, na sumasaklaw sa e-waste.
Kabilang sa mga pangunahing elemento ang:
Pagbabawas ng Pinagmulan at Pagbabawas ng Basura: Mga nakakahimok na kasanayan tulad ng pag-recycle, muling paggamit, at pagbawi bago itapon.
Pagbabawal sa Pagsusunog: Ipinagbabawal ng Batas ang pagsusunog bilang paraan ng pagtatapon ng basura.
Wastong Paghihiwalay at Pagkolekta: Mga patnubay para sa naaangkop na paghawak at pagtatapon ng iba't ibang uri ng basura.
Pagpaparehistro at Regulasyon: Ang mga generator, transporter, at mga pasilidad sa paggamot ng mga mapanganib na basura, kabilang ang e-waste, ay dapat magparehistro sa Environmental Management Bureau (EMB).
Mga Parusa: Maaaring mapatawan ng multa, pagkakulong, o pareho ang mga lumalabag.
Mga Kautusang Pang-administratibo ng DENR:
Nag-isyu ang Department of Environment and Natural Resources (DENR) ng mga administratibong utos para i-regulate ang mga mapanganib na basura, kabilang ang e-waste.
Ang mga order na ito ay nagtatatag ng mga alituntunin para sa pamamahala, transportasyon, at pagtatapon ng mga mapanganib na materyales.
Sa partikular, ang DENR Administrative Order No. 2013-22 ay tumutugon sa pamamahala ng WEEE (waste electrical and electronic equipment) na naglalaman ng mga nakakalason na metal at flame retardant.
Environmental Management Bureau (EMB):
Bilang isang kawanihan sa ilalim ng DENR, ang EMB ay may pananagutan sa pagpapatupad ng mga regulasyon na may kaugnayan sa pamamahala ng e-waste.
Itinataguyod nito ang wastong mga kasanayan sa pagtatapon, hinihikayat ang mga hakbangin sa pag-recycle, at sinusubaybayan ang pagsunod sa mga batas sa kapaligiran.</v>
      </c>
      <c r="F2035" s="2">
        <f t="shared" si="1"/>
        <v>0</v>
      </c>
      <c r="G2035" s="2"/>
      <c r="H2035" s="2"/>
      <c r="I2035" s="2"/>
      <c r="J2035" s="2"/>
      <c r="K2035" s="2"/>
      <c r="L2035" s="2"/>
      <c r="M2035" s="2"/>
      <c r="N2035" s="2"/>
      <c r="O2035" s="2"/>
      <c r="P2035" s="2"/>
      <c r="Q2035" s="2"/>
      <c r="R2035" s="2"/>
      <c r="S2035" s="2"/>
      <c r="T2035" s="2"/>
      <c r="U2035" s="2"/>
      <c r="V2035" s="2"/>
      <c r="W2035" s="2"/>
      <c r="X2035" s="2"/>
      <c r="Y2035" s="2"/>
      <c r="Z2035" s="2"/>
      <c r="AA2035" s="2"/>
    </row>
    <row r="2036">
      <c r="A2036" s="1" t="s">
        <v>4698</v>
      </c>
      <c r="B2036" s="1" t="s">
        <v>5017</v>
      </c>
      <c r="C2036" s="1" t="s">
        <v>5056</v>
      </c>
      <c r="D2036" s="2" t="str">
        <f>IFERROR(__xludf.DUMMYFUNCTION("GOOGLETRANSLATE(B2036, ""en"", ""TL"")"),"Anong mga parusa ang naaangkop para sa pagsali sa hindi awtorisadong pagbebenta o pamamahagi ng mga ipinagbabawal o malalaswang materyales sa mga pampublikong espasyo malapit sa mga paaralan?")</f>
        <v>Anong mga parusa ang naaangkop para sa pagsali sa hindi awtorisadong pagbebenta o pamamahagi ng mga ipinagbabawal o malalaswang materyales sa mga pampublikong espasyo malapit sa mga paaralan?</v>
      </c>
      <c r="E2036" s="2" t="str">
        <f>IFERROR(__xludf.DUMMYFUNCTION("GOOGLETRANSLATE(C2036, ""en"", ""TL"")"),"Ang hindi awtorisadong pagbebenta o pamamahagi ng mga ipinagbabawal o malalaswang materyales sa mga pampublikong espasyo malapit sa mga paaralan sa Pilipinas ay napapailalim sa mga legal na parusa, gaya ng nakabalangkas sa mga sumusunod na probisyon:
S"&amp;"enate Bill No. 734 (Iminungkahing Batas):
Ipinakilala ni Senador Joel Villanueva, ang panukalang batas na ito ay naglalayong pigilan ang patuloy na paglaganap ng mga imoral na doktrina, malalaswang publikasyon, eksibisyon, at malaswang palabas.
Ang mga "&amp;"iminungkahing parusa ay kinabibilangan ng:
- Prision Mayor sa katamtamang panahon nito (katumbas ng reclusion perpetua) para sa mga indibidwal na sangkot sa pagbebenta o pamamahagi ng mga ipinagbabawal na materyales.
- Isang multa mula Limang daang libo"&amp;"ng piso (₱500,000.00) hanggang Limang milyong piso (₱5,000,000.00).
Layunin ng panukalang batas na pahusayin ang proteksyon para sa mga menor de edad, magpataw ng mas mahigpit na parusa para sa malaswa, pornograpiko, at imoral na mga aktibidad, at i-upda"&amp;"te ang mga batas ng penal upang matugunan ang advanced na teknolohiya na ginagamit ng mga nakikibahagi sa mga aktibidad na nagpapababa sa dignidad ng tao sa pamamagitan ng pagnanasa at kasakiman.
Binagong Kodigo Penal (RPC):
Ang Artikulo 201 ng RPC ay"&amp;" tumatalakay sa mga imoral na doktrina, malalaswang publikasyon, at mga eksibisyon.
Ang mga nagkasala ay maaaring maharap sa pagkakulong at mga multa para sa pagbabago, pag-abuso, o paggamit ng mga maling pagkukunwari na may kaugnayan sa mga malaswang ma"&amp;"teryal.
Maaaring kabilang sa mga parusa sa ilalim ng RPC ang pagkakulong, multa, o pareho, depende sa uri ng pagkakasala.")</f>
        <v>Ang hindi awtorisadong pagbebenta o pamamahagi ng mga ipinagbabawal o malalaswang materyales sa mga pampublikong espasyo malapit sa mga paaralan sa Pilipinas ay napapailalim sa mga legal na parusa, gaya ng nakabalangkas sa mga sumusunod na probisyon:
Senate Bill No. 734 (Iminungkahing Batas):
Ipinakilala ni Senador Joel Villanueva, ang panukalang batas na ito ay naglalayong pigilan ang patuloy na paglaganap ng mga imoral na doktrina, malalaswang publikasyon, eksibisyon, at malaswang palabas.
Ang mga iminungkahing parusa ay kinabibilangan ng:
- Prision Mayor sa katamtamang panahon nito (katumbas ng reclusion perpetua) para sa mga indibidwal na sangkot sa pagbebenta o pamamahagi ng mga ipinagbabawal na materyales.
- Isang multa mula Limang daang libong piso (₱500,000.00) hanggang Limang milyong piso (₱5,000,000.00).
Layunin ng panukalang batas na pahusayin ang proteksyon para sa mga menor de edad, magpataw ng mas mahigpit na parusa para sa malaswa, pornograpiko, at imoral na mga aktibidad, at i-update ang mga batas ng penal upang matugunan ang advanced na teknolohiya na ginagamit ng mga nakikibahagi sa mga aktibidad na nagpapababa sa dignidad ng tao sa pamamagitan ng pagnanasa at kasakiman.
Binagong Kodigo Penal (RPC):
Ang Artikulo 201 ng RPC ay tumatalakay sa mga imoral na doktrina, malalaswang publikasyon, at mga eksibisyon.
Ang mga nagkasala ay maaaring maharap sa pagkakulong at mga multa para sa pagbabago, pag-abuso, o paggamit ng mga maling pagkukunwari na may kaugnayan sa mga malaswang materyal.
Maaaring kabilang sa mga parusa sa ilalim ng RPC ang pagkakulong, multa, o pareho, depende sa uri ng pagkakasala.</v>
      </c>
      <c r="F2036" s="2">
        <f t="shared" si="1"/>
        <v>0</v>
      </c>
      <c r="G2036" s="2"/>
      <c r="H2036" s="2"/>
      <c r="I2036" s="2"/>
      <c r="J2036" s="2"/>
      <c r="K2036" s="2"/>
      <c r="L2036" s="2"/>
      <c r="M2036" s="2"/>
      <c r="N2036" s="2"/>
      <c r="O2036" s="2"/>
      <c r="P2036" s="2"/>
      <c r="Q2036" s="2"/>
      <c r="R2036" s="2"/>
      <c r="S2036" s="2"/>
      <c r="T2036" s="2"/>
      <c r="U2036" s="2"/>
      <c r="V2036" s="2"/>
      <c r="W2036" s="2"/>
      <c r="X2036" s="2"/>
      <c r="Y2036" s="2"/>
      <c r="Z2036" s="2"/>
      <c r="AA2036" s="2"/>
    </row>
    <row r="2037">
      <c r="A2037" s="1" t="s">
        <v>4698</v>
      </c>
      <c r="B2037" s="1" t="s">
        <v>4951</v>
      </c>
      <c r="C2037" s="1" t="s">
        <v>5057</v>
      </c>
      <c r="D2037" s="2" t="str">
        <f>IFERROR(__xludf.DUMMYFUNCTION("GOOGLETRANSLATE(B2037, ""en"", ""TL"")"),"Anong mga legal na probisyon ang kumokontrol sa pagkakaroon at paggamit ng mga hindi awtorisadong kagamitan sa pagsubaybay sa mga pampublikong espasyo malapit sa mga pasilidad ng pangangalagang pangkalusugan?")</f>
        <v>Anong mga legal na probisyon ang kumokontrol sa pagkakaroon at paggamit ng mga hindi awtorisadong kagamitan sa pagsubaybay sa mga pampublikong espasyo malapit sa mga pasilidad ng pangangalagang pangkalusugan?</v>
      </c>
      <c r="E2037" s="2" t="str">
        <f>IFERROR(__xludf.DUMMYFUNCTION("GOOGLETRANSLATE(C2037, ""en"", ""TL"")"),"Ang paggamit ng **surveillance device**, lalo na **closed-circuit television (CCTV) system**, sa mga pampublikong espasyo malapit sa mga pasilidad ng pangangalagang pangkalusugan ay kinokontrol ng mga legal na probisyon sa Pilipinas. Narito ang mga pangun"&amp;"ahing alituntunin:
1. **Data Privacy Act of 2012 (DPA)**:
- Ang pag-record, paggamit, pag-iimbak, at pagtatapon ng video at/o audio footage na nakuha mula sa mga CCTV system ay itinuturing na pagproseso ng personal na data sa ilalim ng DPA.
- Ang mga enti"&amp;"ty na nagpoproseso ng personal na data sa pamamagitan ng CCTV system, bilang **personal information controllers (PICs)** o **personal information processors (PIPs)**, ay obligadong sumunod sa DPA, ang Implementing Rules and Regulations (IRR) nito, at mga "&amp;"nauugnay na direktiba mula sa **National Privacy Commission (NPC)**¹.
2. **Mga Pangkalahatang Prinsipyo**:
- Ang mga CCTV system, kapag na-deploy nang makatwiran at naaangkop, ay nakakatulong sa kaligtasan at seguridad ng mga indibidwal.
- Ang potensyal n"&amp;"a epekto sa mga karapatan at kalayaan ng mga paksa ng data ay dapat na maingat na isaalang-alang, at ang mga pana-panahong pagtatasa ay dapat tiyakin na ang paggamit ng CCTV ay nananatiling makatwiran para sa mga partikular at ayon sa batas na layunin.
- "&amp;"Ang pagsubaybay na isinagawa ng mga ahensyang nagpapatupad ng batas sa loob ng mga legal na hangganan ay hindi pinamamahalaan ng mga probisyong ito ngunit nananatiling napapailalim sa Konstitusyon at iba pang nauugnay na batas¹.
3. **Saklaw**:
- Nalalapat"&amp;" ang Advisory na ito sa lahat ng PIC at PIP na kasangkot sa pagproseso ng personal na data sa pamamagitan ng mga CCTV system na tumatakbo sa pampubliko at semi-pampublikong lugar.
- Sinasaklaw nito ang mga CCTV system na nagre-record ng mga video, gayundi"&amp;"n ang mga nilagyan ng parehong video at audio na kakayahan¹.
Mahalagang tandaan na ang mga hindi awtorisadong device sa pagsubaybay ay maaaring lumabag sa mga karapatan sa privacy, at ang kanilang deployment ay dapat sumunod sa mga legal na kinakailangan "&amp;"habang iginagalang ang indibidwal na privacy.")</f>
        <v>Ang paggamit ng **surveillance device**, lalo na **closed-circuit television (CCTV) system**, sa mga pampublikong espasyo malapit sa mga pasilidad ng pangangalagang pangkalusugan ay kinokontrol ng mga legal na probisyon sa Pilipinas. Narito ang mga pangunahing alituntunin:
1. **Data Privacy Act of 2012 (DPA)**:
- Ang pag-record, paggamit, pag-iimbak, at pagtatapon ng video at/o audio footage na nakuha mula sa mga CCTV system ay itinuturing na pagproseso ng personal na data sa ilalim ng DPA.
- Ang mga entity na nagpoproseso ng personal na data sa pamamagitan ng CCTV system, bilang **personal information controllers (PICs)** o **personal information processors (PIPs)**, ay obligadong sumunod sa DPA, ang Implementing Rules and Regulations (IRR) nito, at mga nauugnay na direktiba mula sa **National Privacy Commission (NPC)**¹.
2. **Mga Pangkalahatang Prinsipyo**:
- Ang mga CCTV system, kapag na-deploy nang makatwiran at naaangkop, ay nakakatulong sa kaligtasan at seguridad ng mga indibidwal.
- Ang potensyal na epekto sa mga karapatan at kalayaan ng mga paksa ng data ay dapat na maingat na isaalang-alang, at ang mga pana-panahong pagtatasa ay dapat tiyakin na ang paggamit ng CCTV ay nananatiling makatwiran para sa mga partikular at ayon sa batas na layunin.
- Ang pagsubaybay na isinagawa ng mga ahensyang nagpapatupad ng batas sa loob ng mga legal na hangganan ay hindi pinamamahalaan ng mga probisyong ito ngunit nananatiling napapailalim sa Konstitusyon at iba pang nauugnay na batas¹.
3. **Saklaw**:
- Nalalapat ang Advisory na ito sa lahat ng PIC at PIP na kasangkot sa pagproseso ng personal na data sa pamamagitan ng mga CCTV system na tumatakbo sa pampubliko at semi-pampublikong lugar.
- Sinasaklaw nito ang mga CCTV system na nagre-record ng mga video, gayundin ang mga nilagyan ng parehong video at audio na kakayahan¹.
Mahalagang tandaan na ang mga hindi awtorisadong device sa pagsubaybay ay maaaring lumabag sa mga karapatan sa privacy, at ang kanilang deployment ay dapat sumunod sa mga legal na kinakailangan habang iginagalang ang indibidwal na privacy.</v>
      </c>
      <c r="F2037" s="2">
        <f t="shared" si="1"/>
        <v>0</v>
      </c>
      <c r="G2037" s="2"/>
      <c r="H2037" s="2"/>
      <c r="I2037" s="2"/>
      <c r="J2037" s="2"/>
      <c r="K2037" s="2"/>
      <c r="L2037" s="2"/>
      <c r="M2037" s="2"/>
      <c r="N2037" s="2"/>
      <c r="O2037" s="2"/>
      <c r="P2037" s="2"/>
      <c r="Q2037" s="2"/>
      <c r="R2037" s="2"/>
      <c r="S2037" s="2"/>
      <c r="T2037" s="2"/>
      <c r="U2037" s="2"/>
      <c r="V2037" s="2"/>
      <c r="W2037" s="2"/>
      <c r="X2037" s="2"/>
      <c r="Y2037" s="2"/>
      <c r="Z2037" s="2"/>
      <c r="AA2037" s="2"/>
    </row>
    <row r="2038">
      <c r="A2038" s="1" t="s">
        <v>4698</v>
      </c>
      <c r="B2038" s="1" t="s">
        <v>4858</v>
      </c>
      <c r="C2038" s="1" t="s">
        <v>5058</v>
      </c>
      <c r="D2038" s="2" t="str">
        <f>IFERROR(__xludf.DUMMYFUNCTION("GOOGLETRANSLATE(B2038, ""en"", ""TL"")"),"Paano tinutugunan sa ilalim ng batas ng Pilipinas ang krimen ng public conspiracy to commit human trafficking o illegal recruitment?")</f>
        <v>Paano tinutugunan sa ilalim ng batas ng Pilipinas ang krimen ng public conspiracy to commit human trafficking o illegal recruitment?</v>
      </c>
      <c r="E2038" s="2" t="str">
        <f>IFERROR(__xludf.DUMMYFUNCTION("GOOGLETRANSLATE(C2038, ""en"", ""TL"")"),"Sa Pilipinas, ang krimen ng pampublikong pagsasabwatan upang gumawa ng human trafficking o illegal recruitment ay tinutugunan sa pamamagitan ng iba't ibang legal na probisyon:
1. Expanded Anti-Trafficking in Persons Act of 2012 (Republic Act No. 10364):
A"&amp;"ng Batas na ito ay nagpapalawak sa saklaw ng Republic Act No. 9208, na may layuning puksain ang trafficking sa mga tao, partikular na ang mga kababaihan at mga bata.
Binibigyang-diin nito ang pangako ng Estado sa pagpapahalaga sa dignidad ng bawat tao at "&amp;"pagtiyak ng paggalang sa mga indibidwal na karapatan.
Tinukoy ng Batas ang trafficking ng mga tao at nagtatakda ng mga parusa para sa mga trafficker, kabilang ang pagkakulong at mga multa.
2. Ilegal na Recruitment at ang Parusa Nito:
Itinakda ng Republic "&amp;"Act No. 10022 na ang mga indibidwal na napatunayang nagkasala ng illegal recruitment ay mahaharap sa pagkakakulong mula labindalawang (12) taon at isang (1) araw hanggang dalawampung (20) taon, na may kasamang multang mula sa Isang milyong piso (P1,000,00"&amp;"0.00). hanggang Dalawang milyong piso (P2,000,000.00).
3. Migrant Workers and Overseas Filipinos Act of 1995 (Republic Act No. 8042):
Bagama't hindi partikular na tinutugunan ang pampublikong pagsasabwatan, ang Batas na ito ay tumatalakay sa iligal na pan"&amp;"gangalap.
Layunin nito na pangalagaan ang karapatan ng mga overseas Filipino workers (OFWs) at parusahan ang mga illegal recruiter.
Ang mga susog na ipinakilala sa ilalim ng Republic Act No. 10022 ay higit na nagpapataas ng mga parusa para sa illegal recr"&amp;"uitment.
Kahulugan ng mga Termino:
- Trafficking in Persons: Sumasaklaw sa iba't ibang aksyon na kinasasangkutan ng pangangalap, transportasyon, paglipat, o pagkukulong ng mga indibidwal para sa pagsasamantala.
- Illegal Recruitment: Kinasasangkutan ng mg"&amp;"a mapanlinlang na gawi na may kaugnayan sa trabaho o pag-deploy sa ibang bansa.
- Sindikato: Tumutukoy sa isang grupo ng tatlo (3) o higit pang mga tao na nagsasabwatan o nakipagsabwatan sa ilegal na pangangalap.")</f>
        <v>Sa Pilipinas, ang krimen ng pampublikong pagsasabwatan upang gumawa ng human trafficking o illegal recruitment ay tinutugunan sa pamamagitan ng iba't ibang legal na probisyon:
1. Expanded Anti-Trafficking in Persons Act of 2012 (Republic Act No. 10364):
Ang Batas na ito ay nagpapalawak sa saklaw ng Republic Act No. 9208, na may layuning puksain ang trafficking sa mga tao, partikular na ang mga kababaihan at mga bata.
Binibigyang-diin nito ang pangako ng Estado sa pagpapahalaga sa dignidad ng bawat tao at pagtiyak ng paggalang sa mga indibidwal na karapatan.
Tinukoy ng Batas ang trafficking ng mga tao at nagtatakda ng mga parusa para sa mga trafficker, kabilang ang pagkakulong at mga multa.
2. Ilegal na Recruitment at ang Parusa Nito:
Itinakda ng Republic Act No. 10022 na ang mga indibidwal na napatunayang nagkasala ng illegal recruitment ay mahaharap sa pagkakakulong mula labindalawang (12) taon at isang (1) araw hanggang dalawampung (20) taon, na may kasamang multang mula sa Isang milyong piso (P1,000,000.00). hanggang Dalawang milyong piso (P2,000,000.00).
3. Migrant Workers and Overseas Filipinos Act of 1995 (Republic Act No. 8042):
Bagama't hindi partikular na tinutugunan ang pampublikong pagsasabwatan, ang Batas na ito ay tumatalakay sa iligal na pangangalap.
Layunin nito na pangalagaan ang karapatan ng mga overseas Filipino workers (OFWs) at parusahan ang mga illegal recruiter.
Ang mga susog na ipinakilala sa ilalim ng Republic Act No. 10022 ay higit na nagpapataas ng mga parusa para sa illegal recruitment.
Kahulugan ng mga Termino:
- Trafficking in Persons: Sumasaklaw sa iba't ibang aksyon na kinasasangkutan ng pangangalap, transportasyon, paglipat, o pagkukulong ng mga indibidwal para sa pagsasamantala.
- Illegal Recruitment: Kinasasangkutan ng mga mapanlinlang na gawi na may kaugnayan sa trabaho o pag-deploy sa ibang bansa.
- Sindikato: Tumutukoy sa isang grupo ng tatlo (3) o higit pang mga tao na nagsasabwatan o nakipagsabwatan sa ilegal na pangangalap.</v>
      </c>
      <c r="F2038" s="2">
        <f t="shared" si="1"/>
        <v>0</v>
      </c>
      <c r="G2038" s="2"/>
      <c r="H2038" s="2"/>
      <c r="I2038" s="2"/>
      <c r="J2038" s="2"/>
      <c r="K2038" s="2"/>
      <c r="L2038" s="2"/>
      <c r="M2038" s="2"/>
      <c r="N2038" s="2"/>
      <c r="O2038" s="2"/>
      <c r="P2038" s="2"/>
      <c r="Q2038" s="2"/>
      <c r="R2038" s="2"/>
      <c r="S2038" s="2"/>
      <c r="T2038" s="2"/>
      <c r="U2038" s="2"/>
      <c r="V2038" s="2"/>
      <c r="W2038" s="2"/>
      <c r="X2038" s="2"/>
      <c r="Y2038" s="2"/>
      <c r="Z2038" s="2"/>
      <c r="AA2038" s="2"/>
    </row>
    <row r="2039">
      <c r="A2039" s="1" t="s">
        <v>4698</v>
      </c>
      <c r="B2039" s="1" t="s">
        <v>4949</v>
      </c>
      <c r="C2039" s="1" t="s">
        <v>5059</v>
      </c>
      <c r="D2039" s="2" t="str">
        <f>IFERROR(__xludf.DUMMYFUNCTION("GOOGLETRANSLATE(B2039, ""en"", ""TL"")"),"Anong mga parusa ang naaangkop para sa pagsali sa hindi awtorisadong pagbebenta o pamamahagi ng mga ipinagbabawal o malaswang materyales sa mga pampublikong kaganapan?")</f>
        <v>Anong mga parusa ang naaangkop para sa pagsali sa hindi awtorisadong pagbebenta o pamamahagi ng mga ipinagbabawal o malaswang materyales sa mga pampublikong kaganapan?</v>
      </c>
      <c r="E2039" s="2" t="str">
        <f>IFERROR(__xludf.DUMMYFUNCTION("GOOGLETRANSLATE(C2039, ""en"", ""TL"")"),"Sa Pilipinas, ang pagbebenta o pamamahagi ng mga ipinagbabawal o malalaswang materyal sa mga pampublikong kaganapan ay maaaring humantong sa mga parusa sa ilalim ng ilang batas, depende sa partikular na katangian ng mga materyales. Narito ang isang breakd"&amp;"own ng mga posibilidad:
**Binagong Kodigo Penal (RPC):**
* **Artikulo 201 (Mga Imoral na Doktrina, Malaswang Publikasyon at Eksibisyon, at Mga Indecent Show):** Ito ang pangunahing batas na nalalapat sa mga malaswang materyal. * Pinaparusahan nito ang mga"&amp;" naglalathala, nagpapakita, o nagbebenta ng malalaswang materyales na may pagkakakulong ng hindi bababa sa anim (6) na buwan o higit sa isang (1) taon** o multang hindi bababa sa isang libong piso (P1,000.00) o mahigit tatlong libong piso (P3,000.00).
* *"&amp;"*Gayunpaman, pinataas ng Republic Act No. 10951 (An Act Amending Article 201 of the Revised Penal Code)** ang mga multa** na nauugnay sa paglabag na ito noong 2017. Ang kasalukuyang saklaw ay P20,000.00 hanggang P200,000.00**.
**Mga Lokal na Ordenansa:**
"&amp;"* Maraming mga lungsod at munisipalidad sa Pilipinas ang may mga lokal na ordinansa** na kumokontrol sa mga aktibidad sa mga pampublikong kaganapan, kabilang ang pagbebenta o pamamahagi ng mga materyales. * Maaaring ipagbawal ng mga ordinansang ito ang pa"&amp;"gbebenta ng mga malaswang materyales o magpataw ng karagdagang multa** para sa mga paglabag.
**Pagtukoy sa Kalaswaan:**
* Ano ang bumubuo sa ""malaswa"" ay maaaring subjective**. Isinasaalang-alang ng mga korte ang mga salik tulad ng:
* Kung ang materyal "&amp;"ay umaakit sa mga mahihinang interes (ibig sabihin, hindi malusog na interes sa mga bagay na sekswal).
* Kung ang materyal ay naglalarawan o naglalarawan ng sekswal na pag-uugali sa isang malinaw na nakakasakit na paraan.
* Kung ang akda ay walang seryoso"&amp;"ng pampanitikan, masining, pampulitika, o siyentipikong halaga.
**Kahalagahan ng Ebidensya:**
* Ang pagpapatupad ng batas ay nangangailangan ng ebidensya** upang patunayan na ang mga materyales ay malaswa. Maaaring kabilang dito ang mga materyal mismo, mg"&amp;"a testimonya ng saksi, o mga opinyon ng eksperto.
**Sino ang Maaaring Magpatupad?:**
* Ang Philippine National Police (PNP)** ay responsable sa pagpapatupad ng mga pambansang batas tulad ng Revised Penal Code.
* Ang mga opisyal ng lokal na pamahalaan (mga"&amp;" barangay tanod) ay maaaring magpatupad ng mga lokal na ordinansa sa loob ng kanilang mga nasasakupan.
**Mga Alternatibo sa Mga Parusa:**
* Sa ilang mga kaso, ang mga unang beses na nagkasala** ay maaaring mag-alok ng mga alternatibo sa mga parusa**. * Ma"&amp;"aaring kabilang dito ang serbisyo sa komunidad** o mga programang pang-edukasyon** sa wastong pag-uugali sa mga pampublikong kaganapan.
**Tandaan:**
Ang mga partikular na parusa na maaari mong harapin ay nakadepende sa eksaktong katangian ng mga materyale"&amp;"s, ang mga lokal na batas na may bisa, at ang pagpapasya ng mga awtoridad. Laging pinakamahusay na magkamali sa panig ng pag-iingat** at iwasan ang pagbebenta o pamamahagi ng mga materyales na maaaring ituring na malaswa sa isang pampublikong kapaligiran."&amp;"
Narito ang ilang mapagkukunan para sa karagdagang impormasyon:
* Philippine National Police (PNP): [https://pnp.gov.ph/](https://pnp.gov.ph/)
* Department of the Interior and Local Government (DILG): [https://www.dilg.gov.ph/](https://www.dilg.gov.ph/)")</f>
        <v>Sa Pilipinas, ang pagbebenta o pamamahagi ng mga ipinagbabawal o malalaswang materyal sa mga pampublikong kaganapan ay maaaring humantong sa mga parusa sa ilalim ng ilang batas, depende sa partikular na katangian ng mga materyales. Narito ang isang breakdown ng mga posibilidad:
**Binagong Kodigo Penal (RPC):**
* **Artikulo 201 (Mga Imoral na Doktrina, Malaswang Publikasyon at Eksibisyon, at Mga Indecent Show):** Ito ang pangunahing batas na nalalapat sa mga malaswang materyal. * Pinaparusahan nito ang mga naglalathala, nagpapakita, o nagbebenta ng malalaswang materyales na may pagkakakulong ng hindi bababa sa anim (6) na buwan o higit sa isang (1) taon** o multang hindi bababa sa isang libong piso (P1,000.00) o mahigit tatlong libong piso (P3,000.00).
* **Gayunpaman, pinataas ng Republic Act No. 10951 (An Act Amending Article 201 of the Revised Penal Code)** ang mga multa** na nauugnay sa paglabag na ito noong 2017. Ang kasalukuyang saklaw ay P20,000.00 hanggang P200,000.00**.
**Mga Lokal na Ordenansa:**
* Maraming mga lungsod at munisipalidad sa Pilipinas ang may mga lokal na ordinansa** na kumokontrol sa mga aktibidad sa mga pampublikong kaganapan, kabilang ang pagbebenta o pamamahagi ng mga materyales. * Maaaring ipagbawal ng mga ordinansang ito ang pagbebenta ng mga malaswang materyales o magpataw ng karagdagang multa** para sa mga paglabag.
**Pagtukoy sa Kalaswaan:**
* Ano ang bumubuo sa "malaswa" ay maaaring subjective**. Isinasaalang-alang ng mga korte ang mga salik tulad ng:
* Kung ang materyal ay umaakit sa mga mahihinang interes (ibig sabihin, hindi malusog na interes sa mga bagay na sekswal).
* Kung ang materyal ay naglalarawan o naglalarawan ng sekswal na pag-uugali sa isang malinaw na nakakasakit na paraan.
* Kung ang akda ay walang seryosong pampanitikan, masining, pampulitika, o siyentipikong halaga.
**Kahalagahan ng Ebidensya:**
* Ang pagpapatupad ng batas ay nangangailangan ng ebidensya** upang patunayan na ang mga materyales ay malaswa. Maaaring kabilang dito ang mga materyal mismo, mga testimonya ng saksi, o mga opinyon ng eksperto.
**Sino ang Maaaring Magpatupad?:**
* Ang Philippine National Police (PNP)** ay responsable sa pagpapatupad ng mga pambansang batas tulad ng Revised Penal Code.
* Ang mga opisyal ng lokal na pamahalaan (mga barangay tanod) ay maaaring magpatupad ng mga lokal na ordinansa sa loob ng kanilang mga nasasakupan.
**Mga Alternatibo sa Mga Parusa:**
* Sa ilang mga kaso, ang mga unang beses na nagkasala** ay maaaring mag-alok ng mga alternatibo sa mga parusa**. * Maaaring kabilang dito ang serbisyo sa komunidad** o mga programang pang-edukasyon** sa wastong pag-uugali sa mga pampublikong kaganapan.
**Tandaan:**
Ang mga partikular na parusa na maaari mong harapin ay nakadepende sa eksaktong katangian ng mga materyales, ang mga lokal na batas na may bisa, at ang pagpapasya ng mga awtoridad. Laging pinakamahusay na magkamali sa panig ng pag-iingat** at iwasan ang pagbebenta o pamamahagi ng mga materyales na maaaring ituring na malaswa sa isang pampublikong kapaligiran.
Narito ang ilang mapagkukunan para sa karagdagang impormasyon:
* Philippine National Police (PNP): [https://pnp.gov.ph/](https://pnp.gov.ph/)
* Department of the Interior and Local Government (DILG): [https://www.dilg.gov.ph/](https://www.dilg.gov.ph/)</v>
      </c>
      <c r="F2039" s="2">
        <f t="shared" si="1"/>
        <v>0</v>
      </c>
      <c r="G2039" s="2"/>
      <c r="H2039" s="2"/>
      <c r="I2039" s="2"/>
      <c r="J2039" s="2"/>
      <c r="K2039" s="2"/>
      <c r="L2039" s="2"/>
      <c r="M2039" s="2"/>
      <c r="N2039" s="2"/>
      <c r="O2039" s="2"/>
      <c r="P2039" s="2"/>
      <c r="Q2039" s="2"/>
      <c r="R2039" s="2"/>
      <c r="S2039" s="2"/>
      <c r="T2039" s="2"/>
      <c r="U2039" s="2"/>
      <c r="V2039" s="2"/>
      <c r="W2039" s="2"/>
      <c r="X2039" s="2"/>
      <c r="Y2039" s="2"/>
      <c r="Z2039" s="2"/>
      <c r="AA2039" s="2"/>
    </row>
    <row r="2040">
      <c r="A2040" s="1" t="s">
        <v>4698</v>
      </c>
      <c r="B2040" s="1" t="s">
        <v>4911</v>
      </c>
      <c r="C2040" s="1" t="s">
        <v>5060</v>
      </c>
      <c r="D2040" s="2" t="str">
        <f>IFERROR(__xludf.DUMMYFUNCTION("GOOGLETRANSLATE(B2040, ""en"", ""TL"")"),"Anong mga legal na probisyon ang kumokontrol sa pagkakaroon at paggamit ng mga hindi awtorisadong kagamitan sa pagsubaybay sa mga pampublikong espasyo malapit sa mga paaralan?")</f>
        <v>Anong mga legal na probisyon ang kumokontrol sa pagkakaroon at paggamit ng mga hindi awtorisadong kagamitan sa pagsubaybay sa mga pampublikong espasyo malapit sa mga paaralan?</v>
      </c>
      <c r="E2040" s="2" t="str">
        <f>IFERROR(__xludf.DUMMYFUNCTION("GOOGLETRANSLATE(C2040, ""en"", ""TL"")"),"Ang paggamit ng **surveillance device**, partikular na **closed-circuit television (CCTV) systems**, sa mga pampublikong espasyo malapit sa mga paaralan ay kinokontrol ng mga legal na probisyon sa Pilipinas. Narito ang mga pangunahing alituntunin:
1. **Da"&amp;"ta Privacy Act of 2012 (DPA)**:
- Ang mga aktibidad ng pagkuha, paggamit, pagpapanatili, at pagtatapon ng video at/o audio footage na nakuha mula sa mga CCTV system ay itinuturing na pagproseso ng personal na data sa ilalim ng DPA.
- Ang mga indibidwal o "&amp;"entity na nagpoproseso ng personal na data sa pamamagitan ng CCTV system, bilang **personal information controllers (PICs)** o **personal information processors (PIPs)**, ay inaatasan na sumunod sa DPA, ang Implementing Rules and Regulations (IRR) nito ),"&amp;" at mga nauugnay na direktiba ng **National Privacy Commission (NPC)**¹.
2. **Mga Pangkalahatang Prinsipyo**:
- Ang mga CCTV system, kapag ginamit nang makatwiran at naaangkop, ay nakakatulong sa kaligtasan at seguridad ng mga indibidwal.
- Dapat isaalang"&amp;"-alang ang potensyal na epekto sa mga karapatan at kalayaan ng mga paksa ng data, at dapat tiyakin ng mga regular na pagtatasa na ang paggamit ng CCTV ay nananatiling kinakailangan para sa mga tinukoy at lehitimong layunin.
- Ang pagsubaybay na isinagawa "&amp;"ng mga ahensyang nagpapatupad ng batas sa loob ng mga legal na hangganan ay hindi pinamamahalaan ng mga probisyong ito ngunit nananatiling napapailalim sa Konstitusyon at iba pang naaangkop na mga batas¹.
3. **Saklaw**:
- Nalalapat ang Advisory na ito sa "&amp;"lahat ng PIC at PIP na nakikibahagi sa pagpoproseso ng personal na data sa pamamagitan ng mga CCTV system na tumatakbo sa pampubliko at semi-pampublikong lugar.
- Sinasaklaw nito ang mga CCTV system na nagre-record ng mga video, gayundin ang mga nilagyan "&amp;"ng parehong video at audio na kakayahan¹.
Mahalagang tandaan na ang mga hindi awtorisadong device sa pagsubaybay ay maaaring lumabag sa mga karapatan sa privacy, at ang paggamit ng mga ito ay dapat sumunod sa mga legal na kinakailangan habang iginagalang "&amp;"ang indibidwal na privacy.")</f>
        <v>Ang paggamit ng **surveillance device**, partikular na **closed-circuit television (CCTV) systems**, sa mga pampublikong espasyo malapit sa mga paaralan ay kinokontrol ng mga legal na probisyon sa Pilipinas. Narito ang mga pangunahing alituntunin:
1. **Data Privacy Act of 2012 (DPA)**:
- Ang mga aktibidad ng pagkuha, paggamit, pagpapanatili, at pagtatapon ng video at/o audio footage na nakuha mula sa mga CCTV system ay itinuturing na pagproseso ng personal na data sa ilalim ng DPA.
- Ang mga indibidwal o entity na nagpoproseso ng personal na data sa pamamagitan ng CCTV system, bilang **personal information controllers (PICs)** o **personal information processors (PIPs)**, ay inaatasan na sumunod sa DPA, ang Implementing Rules and Regulations (IRR) nito ), at mga nauugnay na direktiba ng **National Privacy Commission (NPC)**¹.
2. **Mga Pangkalahatang Prinsipyo**:
- Ang mga CCTV system, kapag ginamit nang makatwiran at naaangkop, ay nakakatulong sa kaligtasan at seguridad ng mga indibidwal.
- Dapat isaalang-alang ang potensyal na epekto sa mga karapatan at kalayaan ng mga paksa ng data, at dapat tiyakin ng mga regular na pagtatasa na ang paggamit ng CCTV ay nananatiling kinakailangan para sa mga tinukoy at lehitimong layunin.
- Ang pagsubaybay na isinagawa ng mga ahensyang nagpapatupad ng batas sa loob ng mga legal na hangganan ay hindi pinamamahalaan ng mga probisyong ito ngunit nananatiling napapailalim sa Konstitusyon at iba pang naaangkop na mga batas¹.
3. **Saklaw**:
- Nalalapat ang Advisory na ito sa lahat ng PIC at PIP na nakikibahagi sa pagpoproseso ng personal na data sa pamamagitan ng mga CCTV system na tumatakbo sa pampubliko at semi-pampublikong lugar.
- Sinasaklaw nito ang mga CCTV system na nagre-record ng mga video, gayundin ang mga nilagyan ng parehong video at audio na kakayahan¹.
Mahalagang tandaan na ang mga hindi awtorisadong device sa pagsubaybay ay maaaring lumabag sa mga karapatan sa privacy, at ang paggamit ng mga ito ay dapat sumunod sa mga legal na kinakailangan habang iginagalang ang indibidwal na privacy.</v>
      </c>
      <c r="F2040" s="2">
        <f t="shared" si="1"/>
        <v>0</v>
      </c>
      <c r="G2040" s="2"/>
      <c r="H2040" s="2"/>
      <c r="I2040" s="2"/>
      <c r="J2040" s="2"/>
      <c r="K2040" s="2"/>
      <c r="L2040" s="2"/>
      <c r="M2040" s="2"/>
      <c r="N2040" s="2"/>
      <c r="O2040" s="2"/>
      <c r="P2040" s="2"/>
      <c r="Q2040" s="2"/>
      <c r="R2040" s="2"/>
      <c r="S2040" s="2"/>
      <c r="T2040" s="2"/>
      <c r="U2040" s="2"/>
      <c r="V2040" s="2"/>
      <c r="W2040" s="2"/>
      <c r="X2040" s="2"/>
      <c r="Y2040" s="2"/>
      <c r="Z2040" s="2"/>
      <c r="AA2040" s="2"/>
    </row>
    <row r="2041">
      <c r="A2041" s="1" t="s">
        <v>5061</v>
      </c>
      <c r="B2041" s="1" t="s">
        <v>5062</v>
      </c>
      <c r="C2041" s="1" t="s">
        <v>5063</v>
      </c>
      <c r="D2041" s="2" t="str">
        <f>IFERROR(__xludf.DUMMYFUNCTION("GOOGLETRANSLATE(B2041, ""en"", ""TL"")"),"Paano tinutukoy at inuuri ng batas ng Pilipinas ang homicide bilang isang marahas na krimen?")</f>
        <v>Paano tinutukoy at inuuri ng batas ng Pilipinas ang homicide bilang isang marahas na krimen?</v>
      </c>
      <c r="E2041" s="2" t="str">
        <f>IFERROR(__xludf.DUMMYFUNCTION("GOOGLETRANSLATE(C2041, ""en"", ""TL"")"),"Inuri ng batas ng Pilipinas ang homicide bilang isang marahas na krimen, pangunahing pinamamahalaan ng mga sumusunod na probisyon:
Binagong Kodigo Penal (RPC):
Artikulo 248: Tinutukoy ang iba't ibang antas ng Pagpatay (""Pagpatay"") na may mga partikular "&amp;"na ""kwalipikasyong pangyayari"" na nagpapataas sa krimen mula sa Homicide. Ang mga pangyayaring ito ay nagsasangkot ng mga elemento tulad ng pagtataksil, pag-abuso sa higit na lakas, maliwanag na pag-iisip, atbp.
Artikulo 249: Tinutukoy ang Homicide (""H"&amp;"omicidio"") bilang ang labag sa batas na pagpatay sa ibang tao nang walang pagkakaroon ng anumang kwalipikadong pangyayari na binanggit sa Artikulo 248. Ito ay may mas mababang parusa kumpara sa Pagpatay.
Kinasasangkutan ng pagkitil ng buhay ng ibang tao:"&amp;" Ito ang pangunahing elemento na naghihiwalay sa homicide sa iba pang mga krimen.
Labag sa batas na pagkilos: Ang pagpatay ay dapat na ilegal. Ang pagtatanggol sa sarili, halimbawa, ay hindi maituturing na homicide.
Klasipikasyon ng Homicide:
Ang batas ng"&amp;" Pilipinas ay may pagkakaiba sa pagitan ng Murder at Homicide batay sa pagkakaroon ng mga kuwalipikadong pangyayari:
Pagpatay: Kapag ang pagpatay ay dinaluhan ng alinman sa mga kuwalipikadong pangyayari na nakalista sa Artikulo 248 (pagtaksilan, maliwanag"&amp;" na premeditasyon, atbp.), ito ay nauuri bilang Pagpatay at nagdadala ng mas mabigat na parusa.
Homicide: Kung ang pagpatay ay kulang sa mga elementong kwalipikado ng Murder, ito ay napapailalim sa Homicide gaya ng tinukoy sa Artikulo 249 at tumatanggap n"&amp;"g hindi gaanong matinding parusa.
Mga Karagdagang Puntos:
Iba pang mga klasipikasyon na may kaugnayan sa homicide: Bukod sa Murder at Homicide, kinikilala din ng Revised Penal Code ang iba pang mga kaugnay na krimen tulad ng Parricide (pagpatay sa isang a"&amp;"scendant) at Infanticide (pagpatay sa isang bata na wala pang tatlong taong gulang). Ang mga ito ay may mga tiyak na probisyon at mga parusa.
Ang homicide ay likas na marahas: Ang mismong pagkilos ng pagkitil ng buhay ay likas na kinasasangkutan ng paggam"&amp;"it ng dahas at nasa ilalim ng kategorya ng mga marahas na krimen.")</f>
        <v>Inuri ng batas ng Pilipinas ang homicide bilang isang marahas na krimen, pangunahing pinamamahalaan ng mga sumusunod na probisyon:
Binagong Kodigo Penal (RPC):
Artikulo 248: Tinutukoy ang iba't ibang antas ng Pagpatay ("Pagpatay") na may mga partikular na "kwalipikasyong pangyayari" na nagpapataas sa krimen mula sa Homicide. Ang mga pangyayaring ito ay nagsasangkot ng mga elemento tulad ng pagtataksil, pag-abuso sa higit na lakas, maliwanag na pag-iisip, atbp.
Artikulo 249: Tinutukoy ang Homicide ("Homicidio") bilang ang labag sa batas na pagpatay sa ibang tao nang walang pagkakaroon ng anumang kwalipikadong pangyayari na binanggit sa Artikulo 248. Ito ay may mas mababang parusa kumpara sa Pagpatay.
Kinasasangkutan ng pagkitil ng buhay ng ibang tao: Ito ang pangunahing elemento na naghihiwalay sa homicide sa iba pang mga krimen.
Labag sa batas na pagkilos: Ang pagpatay ay dapat na ilegal. Ang pagtatanggol sa sarili, halimbawa, ay hindi maituturing na homicide.
Klasipikasyon ng Homicide:
Ang batas ng Pilipinas ay may pagkakaiba sa pagitan ng Murder at Homicide batay sa pagkakaroon ng mga kuwalipikadong pangyayari:
Pagpatay: Kapag ang pagpatay ay dinaluhan ng alinman sa mga kuwalipikadong pangyayari na nakalista sa Artikulo 248 (pagtaksilan, maliwanag na premeditasyon, atbp.), ito ay nauuri bilang Pagpatay at nagdadala ng mas mabigat na parusa.
Homicide: Kung ang pagpatay ay kulang sa mga elementong kwalipikado ng Murder, ito ay napapailalim sa Homicide gaya ng tinukoy sa Artikulo 249 at tumatanggap ng hindi gaanong matinding parusa.
Mga Karagdagang Puntos:
Iba pang mga klasipikasyon na may kaugnayan sa homicide: Bukod sa Murder at Homicide, kinikilala din ng Revised Penal Code ang iba pang mga kaugnay na krimen tulad ng Parricide (pagpatay sa isang ascendant) at Infanticide (pagpatay sa isang bata na wala pang tatlong taong gulang). Ang mga ito ay may mga tiyak na probisyon at mga parusa.
Ang homicide ay likas na marahas: Ang mismong pagkilos ng pagkitil ng buhay ay likas na kinasasangkutan ng paggamit ng dahas at nasa ilalim ng kategorya ng mga marahas na krimen.</v>
      </c>
      <c r="F2041" s="2">
        <f t="shared" si="1"/>
        <v>0</v>
      </c>
      <c r="G2041" s="2"/>
      <c r="H2041" s="2"/>
      <c r="I2041" s="2"/>
      <c r="J2041" s="2"/>
      <c r="K2041" s="2"/>
      <c r="L2041" s="2"/>
      <c r="M2041" s="2"/>
      <c r="N2041" s="2"/>
      <c r="O2041" s="2"/>
      <c r="P2041" s="2"/>
      <c r="Q2041" s="2"/>
      <c r="R2041" s="2"/>
      <c r="S2041" s="2"/>
      <c r="T2041" s="2"/>
      <c r="U2041" s="2"/>
      <c r="V2041" s="2"/>
      <c r="W2041" s="2"/>
      <c r="X2041" s="2"/>
      <c r="Y2041" s="2"/>
      <c r="Z2041" s="2"/>
      <c r="AA2041" s="2"/>
    </row>
    <row r="2042">
      <c r="A2042" s="1" t="s">
        <v>5061</v>
      </c>
      <c r="B2042" s="1" t="s">
        <v>5064</v>
      </c>
      <c r="C2042" s="1" t="s">
        <v>5065</v>
      </c>
      <c r="D2042" s="2" t="str">
        <f>IFERROR(__xludf.DUMMYFUNCTION("GOOGLETRANSLATE(B2042, ""en"", ""TL"")"),"Ano ang mga legal na elemento na kinakailangan upang maitatag ang krimen ng pagpatay sa Pilipinas?")</f>
        <v>Ano ang mga legal na elemento na kinakailangan upang maitatag ang krimen ng pagpatay sa Pilipinas?</v>
      </c>
      <c r="E2042" s="2" t="str">
        <f>IFERROR(__xludf.DUMMYFUNCTION("GOOGLETRANSLATE(C2042, ""en"", ""TL"")"),"Tinukoy ng batas ng Pilipinas ang krimen ng pagpatay sa ilalim ng Revised Penal Code (RPC) partikular sa Artikulo 248. Upang mabuo ang pagpatay, dapat patunayan ng prosekusyon ang presensya ng lahat ng sumusunod na elemento:
Pagpatay ng tao: Ito ang pangu"&amp;"nahing elemento. Ang biktima ay dapat na isang tao na buhay bago ang aksyon na pinag-uusapan.
Pinatay ng akusado ang biktima: Ang prosekusyon ay dapat magbigay ng matibay na ebidensya upang patunayan na ang akusado ay direktang sanhi ng pagkamatay ng bikt"&amp;"ima.
Kwalipikadong pangyayari: Ang elementong ito ay nag-iiba ng Pagpatay sa Homicide. Ang pagpatay ay dapat dumalo ng hindi bababa sa isa sa mga sumusunod na pangyayari na nakalista sa Artikulo 248:
Treachery (""alevosía""): Biglaan at hindi inaasahang p"&amp;"ag-atake sa isang hindi pinaghihinalaang biktima, na hindi nagbibigay sa kanila ng pagkakataong ipagtanggol ang kanilang sarili.
Sinasamantala ang superyoridad (""superioridad""): Gumagamit ng napakatinding puwersa laban sa biktima, na makabuluhang binaba"&amp;"wasan ang kanilang pagkakataong lumaban.
Sa tulong ng mga armadong lalaki (""concurso de dos o más personas""): Pagsangkot ng maraming salarin sa pagpatay.
Ang ibig sabihin ng paggamit ay upang pahinain ang depensa (""empleando medios para debilitar la de"&amp;"fensa""): Gumagamit ng mga paraan upang gawing walang pagtatanggol ang biktima, tulad ng paggamit ng droga o pagdulot ng pagkawala ng malay.
Pag-empleyo ng mga paraan o mga tao upang i-insure o bigyan ng impunity (""asegurando o procurando la impunidad"")"&amp;": Ang pagsasagawa ng mga sadyang aksyon upang matiyak na ang krimen ay hindi mapaparusahan, tulad ng paggamit ng mga lookout o pakikialam sa ebidensya.
Bilang pagsasaalang-alang sa isang presyo, gantimpala o pangako (""por precio, recompensa o promesa""):"&amp;" Paggawa ng pagpatay kapalit ng bayad o iba pang paraan ng kabayaran.
Mahalagang tandaan:
Kawalan ng qualifying circumstances: Kung ang pagpatay ay kulang sa alinman sa mga qualifying elements na binanggit sa itaas, maaari itong uriin bilang Homicide sa i"&amp;"lalim ng Article 249 ng RPC, na may mas mababang parusa.
Parricide at Infanticide: Ang pagpatay sa isang ascendant (magulang, lolo o lola) o isang bata na wala pang tatlong taong gulang ay nasa ilalim ng magkahiwalay na mga probisyon na may natatanging mg"&amp;"a parusa.")</f>
        <v>Tinukoy ng batas ng Pilipinas ang krimen ng pagpatay sa ilalim ng Revised Penal Code (RPC) partikular sa Artikulo 248. Upang mabuo ang pagpatay, dapat patunayan ng prosekusyon ang presensya ng lahat ng sumusunod na elemento:
Pagpatay ng tao: Ito ang pangunahing elemento. Ang biktima ay dapat na isang tao na buhay bago ang aksyon na pinag-uusapan.
Pinatay ng akusado ang biktima: Ang prosekusyon ay dapat magbigay ng matibay na ebidensya upang patunayan na ang akusado ay direktang sanhi ng pagkamatay ng biktima.
Kwalipikadong pangyayari: Ang elementong ito ay nag-iiba ng Pagpatay sa Homicide. Ang pagpatay ay dapat dumalo ng hindi bababa sa isa sa mga sumusunod na pangyayari na nakalista sa Artikulo 248:
Treachery ("alevosía"): Biglaan at hindi inaasahang pag-atake sa isang hindi pinaghihinalaang biktima, na hindi nagbibigay sa kanila ng pagkakataong ipagtanggol ang kanilang sarili.
Sinasamantala ang superyoridad ("superioridad"): Gumagamit ng napakatinding puwersa laban sa biktima, na makabuluhang binabawasan ang kanilang pagkakataong lumaban.
Sa tulong ng mga armadong lalaki ("concurso de dos o más personas"): Pagsangkot ng maraming salarin sa pagpatay.
Ang ibig sabihin ng paggamit ay upang pahinain ang depensa ("empleando medios para debilitar la defensa"): Gumagamit ng mga paraan upang gawing walang pagtatanggol ang biktima, tulad ng paggamit ng droga o pagdulot ng pagkawala ng malay.
Pag-empleyo ng mga paraan o mga tao upang i-insure o bigyan ng impunity ("asegurando o procurando la impunidad"): Ang pagsasagawa ng mga sadyang aksyon upang matiyak na ang krimen ay hindi mapaparusahan, tulad ng paggamit ng mga lookout o pakikialam sa ebidensya.
Bilang pagsasaalang-alang sa isang presyo, gantimpala o pangako ("por precio, recompensa o promesa"): Paggawa ng pagpatay kapalit ng bayad o iba pang paraan ng kabayaran.
Mahalagang tandaan:
Kawalan ng qualifying circumstances: Kung ang pagpatay ay kulang sa alinman sa mga qualifying elements na binanggit sa itaas, maaari itong uriin bilang Homicide sa ilalim ng Article 249 ng RPC, na may mas mababang parusa.
Parricide at Infanticide: Ang pagpatay sa isang ascendant (magulang, lolo o lola) o isang bata na wala pang tatlong taong gulang ay nasa ilalim ng magkahiwalay na mga probisyon na may natatanging mga parusa.</v>
      </c>
      <c r="F2042" s="2">
        <f t="shared" si="1"/>
        <v>0</v>
      </c>
      <c r="G2042" s="2"/>
      <c r="H2042" s="2"/>
      <c r="I2042" s="2"/>
      <c r="J2042" s="2"/>
      <c r="K2042" s="2"/>
      <c r="L2042" s="2"/>
      <c r="M2042" s="2"/>
      <c r="N2042" s="2"/>
      <c r="O2042" s="2"/>
      <c r="P2042" s="2"/>
      <c r="Q2042" s="2"/>
      <c r="R2042" s="2"/>
      <c r="S2042" s="2"/>
      <c r="T2042" s="2"/>
      <c r="U2042" s="2"/>
      <c r="V2042" s="2"/>
      <c r="W2042" s="2"/>
      <c r="X2042" s="2"/>
      <c r="Y2042" s="2"/>
      <c r="Z2042" s="2"/>
      <c r="AA2042" s="2"/>
    </row>
    <row r="2043">
      <c r="A2043" s="1" t="s">
        <v>5061</v>
      </c>
      <c r="B2043" s="1" t="s">
        <v>5066</v>
      </c>
      <c r="C2043" s="1" t="s">
        <v>5067</v>
      </c>
      <c r="D2043" s="2" t="str">
        <f>IFERROR(__xludf.DUMMYFUNCTION("GOOGLETRANSLATE(B2043, ""en"", ""TL"")"),"Paano naiiba ang pagkakasala ng pagpatay ng tao sa pagpatay sa ilalim ng batas ng Pilipinas?")</f>
        <v>Paano naiiba ang pagkakasala ng pagpatay ng tao sa pagpatay sa ilalim ng batas ng Pilipinas?</v>
      </c>
      <c r="E2043" s="2" t="str">
        <f>IFERROR(__xludf.DUMMYFUNCTION("GOOGLETRANSLATE(C2043, ""en"", ""TL"")"),"Ang pangunahing pagkakaiba sa pagitan ng pagpatay at pagpatay ng tao sa Pilipinas ay nasa pagkakaroon ng malisya at ang kalagayan ng pag-iisip ng nagkasala sa panahon ng pagkilos. Narito ang isang breakdown:
Pagpatay (Artikulo 248 ng Binagong Kodigo Pena"&amp;"l):
Malice na naisip: Ito ay tumutukoy sa premeditation o mulat na layunin na magdulot ng pinsala na maaaring humantong sa kamatayan.
Kwalipikadong mga pangyayari: Ang pagpatay ay dapat na may kasamang hindi bababa sa isa sa mga sumusunod:
pagtataksil
"&amp;"
Sinasamantala ang superyor na lakas
Pagtulong ng mga armadong lalaki
Ang ibig sabihin ng pagtatrabaho ay upang pahinain ang depensa
Ang pag-empleyo ay nangangahulugan ng pagtiyak ng impunity
Pagpatay para sa gantimpala o pangako
Manslaughter (hindi "&amp;"tahasang tinukoy sa RPC):
Ang kawalan ng malisya ay naisip: Ang pagpatay ay hindi sinasadya, at ang nagkasala ay walang intensyon na magdulot ng kamatayan.
Dalawang klasipikasyon: Kinikilala ng batas ng Pilipinas ang dalawang uri ng pagpatay ng tao:
Vo"&amp;"luntary Manslaughter:
Nangyayari kapag nangyari ang pagpatay dahil sa isang ""init ng pagsinta"" na pinukaw ng isang gawa na itinuturing na seryosong nakakasakit ng batas.
Halimbawa: Pagpatay kaagad ng isang tao pagkatapos nilang masaksihan ang pag-atak"&amp;"e sa isang mahal sa buhay.
Hindi boluntaryong pagpatay ng tao:
Hindi sinasadyang pagpatay na nagmumula sa:
Kawalang-ingat: Padalus-dalos o walang ingat na pag-uugali na hindi pinapansin ang mga potensyal na kahihinatnan, na humahantong sa kamatayan. (h"&amp;"al., pagmamaneho sa ilalim ng impluwensya)
Kapabayaan: Pagkabigong magsagawa ng nararapat na pangangalaga, na nagreresulta sa isang pagkamatay. (hal., pag-iwan ng mapanganib na bagay na naa-access ng isang bata)")</f>
        <v>Ang pangunahing pagkakaiba sa pagitan ng pagpatay at pagpatay ng tao sa Pilipinas ay nasa pagkakaroon ng malisya at ang kalagayan ng pag-iisip ng nagkasala sa panahon ng pagkilos. Narito ang isang breakdown:
Pagpatay (Artikulo 248 ng Binagong Kodigo Penal):
Malice na naisip: Ito ay tumutukoy sa premeditation o mulat na layunin na magdulot ng pinsala na maaaring humantong sa kamatayan.
Kwalipikadong mga pangyayari: Ang pagpatay ay dapat na may kasamang hindi bababa sa isa sa mga sumusunod:
pagtataksil
Sinasamantala ang superyor na lakas
Pagtulong ng mga armadong lalaki
Ang ibig sabihin ng pagtatrabaho ay upang pahinain ang depensa
Ang pag-empleyo ay nangangahulugan ng pagtiyak ng impunity
Pagpatay para sa gantimpala o pangako
Manslaughter (hindi tahasang tinukoy sa RPC):
Ang kawalan ng malisya ay naisip: Ang pagpatay ay hindi sinasadya, at ang nagkasala ay walang intensyon na magdulot ng kamatayan.
Dalawang klasipikasyon: Kinikilala ng batas ng Pilipinas ang dalawang uri ng pagpatay ng tao:
Voluntary Manslaughter:
Nangyayari kapag nangyari ang pagpatay dahil sa isang "init ng pagsinta" na pinukaw ng isang gawa na itinuturing na seryosong nakakasakit ng batas.
Halimbawa: Pagpatay kaagad ng isang tao pagkatapos nilang masaksihan ang pag-atake sa isang mahal sa buhay.
Hindi boluntaryong pagpatay ng tao:
Hindi sinasadyang pagpatay na nagmumula sa:
Kawalang-ingat: Padalus-dalos o walang ingat na pag-uugali na hindi pinapansin ang mga potensyal na kahihinatnan, na humahantong sa kamatayan. (hal., pagmamaneho sa ilalim ng impluwensya)
Kapabayaan: Pagkabigong magsagawa ng nararapat na pangangalaga, na nagreresulta sa isang pagkamatay. (hal., pag-iwan ng mapanganib na bagay na naa-access ng isang bata)</v>
      </c>
      <c r="F2043" s="2">
        <f t="shared" si="1"/>
        <v>0</v>
      </c>
      <c r="G2043" s="2"/>
      <c r="H2043" s="2"/>
      <c r="I2043" s="2"/>
      <c r="J2043" s="2"/>
      <c r="K2043" s="2"/>
      <c r="L2043" s="2"/>
      <c r="M2043" s="2"/>
      <c r="N2043" s="2"/>
      <c r="O2043" s="2"/>
      <c r="P2043" s="2"/>
      <c r="Q2043" s="2"/>
      <c r="R2043" s="2"/>
      <c r="S2043" s="2"/>
      <c r="T2043" s="2"/>
      <c r="U2043" s="2"/>
      <c r="V2043" s="2"/>
      <c r="W2043" s="2"/>
      <c r="X2043" s="2"/>
      <c r="Y2043" s="2"/>
      <c r="Z2043" s="2"/>
      <c r="AA2043" s="2"/>
    </row>
    <row r="2044">
      <c r="A2044" s="1" t="s">
        <v>5061</v>
      </c>
      <c r="B2044" s="1" t="s">
        <v>5068</v>
      </c>
      <c r="C2044" s="1" t="s">
        <v>5069</v>
      </c>
      <c r="D2044" s="2" t="str">
        <f>IFERROR(__xludf.DUMMYFUNCTION("GOOGLETRANSLATE(B2044, ""en"", ""TL"")"),"Anong mga parusa ang ipinapataw sa paggawa ng parricide sa Pilipinas?")</f>
        <v>Anong mga parusa ang ipinapataw sa paggawa ng parricide sa Pilipinas?</v>
      </c>
      <c r="E2044" s="2" t="str">
        <f>IFERROR(__xludf.DUMMYFUNCTION("GOOGLETRANSLATE(C2044, ""en"", ""TL"")"),"Sa Pilipinas, mabigat ang parusa sa paggawa ng parricide dahil sa bigat ng krimen. Narito ang isang breakdown ng nauugnay na batas at ang kasalukuyang parusa:
Legal na Balangkas:
Binagong Kodigo Penal (RPC) - Artikulo 246: Tinutukoy ang parricide bilang p"&amp;"agpatay sa isang:
Ama, ina, o anak (lehitimo man o hindi lehitimo)
Sinumang ascendant (lolo at lola, lolo at lola, atbp.)
Inapo (apo, apo sa tuhod, atbp.)
asawa
Parusa para sa Parricide:
Reclusion perpetua to death: Ito ang itinakdang parusa sa ilalim ng "&amp;"Artikulo 246.
Ang parusang kamatayan ay inalis: Gayunpaman, ang pagpapatupad ng parusang kamatayan ay inalis sa pamamagitan ng Republic Act No. 9346 noong 2006.
Samakatuwid, ang kasalukuyang parusa para sa parricide sa Pilipinas ay:
Reclusion perpetua: It"&amp;"o ang pinakamataas na parusa para sa karamihan ng mga seryosong krimen at kinapapalooban ng pagkakulong ng hindi bababa sa 20 taon at 1 araw hanggang sa maximum na 40 taon.")</f>
        <v>Sa Pilipinas, mabigat ang parusa sa paggawa ng parricide dahil sa bigat ng krimen. Narito ang isang breakdown ng nauugnay na batas at ang kasalukuyang parusa:
Legal na Balangkas:
Binagong Kodigo Penal (RPC) - Artikulo 246: Tinutukoy ang parricide bilang pagpatay sa isang:
Ama, ina, o anak (lehitimo man o hindi lehitimo)
Sinumang ascendant (lolo at lola, lolo at lola, atbp.)
Inapo (apo, apo sa tuhod, atbp.)
asawa
Parusa para sa Parricide:
Reclusion perpetua to death: Ito ang itinakdang parusa sa ilalim ng Artikulo 246.
Ang parusang kamatayan ay inalis: Gayunpaman, ang pagpapatupad ng parusang kamatayan ay inalis sa pamamagitan ng Republic Act No. 9346 noong 2006.
Samakatuwid, ang kasalukuyang parusa para sa parricide sa Pilipinas ay:
Reclusion perpetua: Ito ang pinakamataas na parusa para sa karamihan ng mga seryosong krimen at kinapapalooban ng pagkakulong ng hindi bababa sa 20 taon at 1 araw hanggang sa maximum na 40 taon.</v>
      </c>
      <c r="F2044" s="2">
        <f t="shared" si="1"/>
        <v>0</v>
      </c>
      <c r="G2044" s="2"/>
      <c r="H2044" s="2"/>
      <c r="I2044" s="2"/>
      <c r="J2044" s="2"/>
      <c r="K2044" s="2"/>
      <c r="L2044" s="2"/>
      <c r="M2044" s="2"/>
      <c r="N2044" s="2"/>
      <c r="O2044" s="2"/>
      <c r="P2044" s="2"/>
      <c r="Q2044" s="2"/>
      <c r="R2044" s="2"/>
      <c r="S2044" s="2"/>
      <c r="T2044" s="2"/>
      <c r="U2044" s="2"/>
      <c r="V2044" s="2"/>
      <c r="W2044" s="2"/>
      <c r="X2044" s="2"/>
      <c r="Y2044" s="2"/>
      <c r="Z2044" s="2"/>
      <c r="AA2044" s="2"/>
    </row>
    <row r="2045">
      <c r="A2045" s="1" t="s">
        <v>5061</v>
      </c>
      <c r="B2045" s="1" t="s">
        <v>5070</v>
      </c>
      <c r="C2045" s="1" t="s">
        <v>5071</v>
      </c>
      <c r="D2045" s="2" t="str">
        <f>IFERROR(__xludf.DUMMYFUNCTION("GOOGLETRANSLATE(B2045, ""en"", ""TL"")"),"Paano tinutugunan ng batas ang krimen ng infanticide at ang mga legal na kahihinatnan nito?")</f>
        <v>Paano tinutugunan ng batas ang krimen ng infanticide at ang mga legal na kahihinatnan nito?</v>
      </c>
      <c r="E2045" s="2" t="str">
        <f>IFERROR(__xludf.DUMMYFUNCTION("GOOGLETRANSLATE(C2045, ""en"", ""TL"")"),"Kinikilala ng batas ng Pilipinas ang infanticide bilang isang hiwalay na krimen mula sa murder o homicide, na kinikilala ang mga natatanging pangyayari na pumapalibot sa pagkamatay ng isang bagong silang na bata. Narito ang isang breakdown ng nauugnay na "&amp;"legal na probisyon at ang mga implikasyon nito:
Legal na Balangkas:
Binagong Kodigo Penal (RPC) - Artikulo 255: Ang artikulong ito ay partikular na tumatalakay sa infanticide:
""Ang parusang ibinigay para sa parricide sa Artikulo 246 at para sa pagpatay s"&amp;"a Artikulo 248 ay dapat ipataw sa sinumang tao na pumatay sa sinumang bata na wala pang tatlong araw na edad.""
Mga Pangunahing Punto:
Limitadong hanay ng edad: Ang infanticide ay nalalapat lamang sa pagpatay sa isang batang wala pang tatlong araw na gula"&amp;"ng.
Parusa: Ang parusang ipinataw ay kapareho ng para sa parricide (Artikulo 246) at pagpatay (Artikulo 248) - reclusion perpetua hanggang kamatayan.
Gayunpaman: Ang parusang kamatayan ay inalis sa Pilipinas sa pamamagitan ng Republic Act No. 9346 noong 2"&amp;"006.
Samakatuwid, ang kasalukuyang parusa para sa infanticide sa Pilipinas ay:
Reclusion perpetua: Ito ang pinakamataas na parusa para sa karamihan ng mga seryosong krimen at kinapapalooban ng pagkakulong ng hindi bababa sa 20 taon at 1 araw hanggang sa m"&amp;"aximum na 40 taon.
Pinababang Parusa para sa mga Ina:
Ang Artikulo 255 ay nagsasaad pa: ""Kung ang krimen na pinarusahan para sa parricide sa Artikulo 246 at para sa pagpatay sa Artikulo 248 ay gagawin ng ina ng bata para sa layunin na itago ang kanyang k"&amp;"ahihiyan, siya ay dapat magdusa ng parusa ng prision correccional sa medium nito at maximum na mga panahon...""
Prision correccional: Ito ay mas mababang parusa kumpara sa reclusion perpetua, mula 6 na buwan at 1 araw hanggang 6 na taon.")</f>
        <v>Kinikilala ng batas ng Pilipinas ang infanticide bilang isang hiwalay na krimen mula sa murder o homicide, na kinikilala ang mga natatanging pangyayari na pumapalibot sa pagkamatay ng isang bagong silang na bata. Narito ang isang breakdown ng nauugnay na legal na probisyon at ang mga implikasyon nito:
Legal na Balangkas:
Binagong Kodigo Penal (RPC) - Artikulo 255: Ang artikulong ito ay partikular na tumatalakay sa infanticide:
"Ang parusang ibinigay para sa parricide sa Artikulo 246 at para sa pagpatay sa Artikulo 248 ay dapat ipataw sa sinumang tao na pumatay sa sinumang bata na wala pang tatlong araw na edad."
Mga Pangunahing Punto:
Limitadong hanay ng edad: Ang infanticide ay nalalapat lamang sa pagpatay sa isang batang wala pang tatlong araw na gulang.
Parusa: Ang parusang ipinataw ay kapareho ng para sa parricide (Artikulo 246) at pagpatay (Artikulo 248) - reclusion perpetua hanggang kamatayan.
Gayunpaman: Ang parusang kamatayan ay inalis sa Pilipinas sa pamamagitan ng Republic Act No. 9346 noong 2006.
Samakatuwid, ang kasalukuyang parusa para sa infanticide sa Pilipinas ay:
Reclusion perpetua: Ito ang pinakamataas na parusa para sa karamihan ng mga seryosong krimen at kinapapalooban ng pagkakulong ng hindi bababa sa 20 taon at 1 araw hanggang sa maximum na 40 taon.
Pinababang Parusa para sa mga Ina:
Ang Artikulo 255 ay nagsasaad pa: "Kung ang krimen na pinarusahan para sa parricide sa Artikulo 246 at para sa pagpatay sa Artikulo 248 ay gagawin ng ina ng bata para sa layunin na itago ang kanyang kahihiyan, siya ay dapat magdusa ng parusa ng prision correccional sa medium nito at maximum na mga panahon..."
Prision correccional: Ito ay mas mababang parusa kumpara sa reclusion perpetua, mula 6 na buwan at 1 araw hanggang 6 na taon.</v>
      </c>
      <c r="F2045" s="2">
        <f t="shared" si="1"/>
        <v>0</v>
      </c>
      <c r="G2045" s="2"/>
      <c r="H2045" s="2"/>
      <c r="I2045" s="2"/>
      <c r="J2045" s="2"/>
      <c r="K2045" s="2"/>
      <c r="L2045" s="2"/>
      <c r="M2045" s="2"/>
      <c r="N2045" s="2"/>
      <c r="O2045" s="2"/>
      <c r="P2045" s="2"/>
      <c r="Q2045" s="2"/>
      <c r="R2045" s="2"/>
      <c r="S2045" s="2"/>
      <c r="T2045" s="2"/>
      <c r="U2045" s="2"/>
      <c r="V2045" s="2"/>
      <c r="W2045" s="2"/>
      <c r="X2045" s="2"/>
      <c r="Y2045" s="2"/>
      <c r="Z2045" s="2"/>
      <c r="AA2045" s="2"/>
    </row>
    <row r="2046">
      <c r="A2046" s="1" t="s">
        <v>5061</v>
      </c>
      <c r="B2046" s="1" t="s">
        <v>5072</v>
      </c>
      <c r="C2046" s="1" t="s">
        <v>5073</v>
      </c>
      <c r="D2046" s="2" t="str">
        <f>IFERROR(__xludf.DUMMYFUNCTION("GOOGLETRANSLATE(B2046, ""en"", ""TL"")"),"Sa ilalim ng anong mga pangyayari ang isang tao ay maaaring makasuhan ng krimen ng frustrated homicide?")</f>
        <v>Sa ilalim ng anong mga pangyayari ang isang tao ay maaaring makasuhan ng krimen ng frustrated homicide?</v>
      </c>
      <c r="E2046" s="2" t="str">
        <f>IFERROR(__xludf.DUMMYFUNCTION("GOOGLETRANSLATE(C2046, ""en"", ""TL"")"),"Frustrated Homicide sa ilalim ng Revised Penal Code (RPC) ng Pilipinas:
Ang isang tao ay maaaring kasuhan ng frustrated homicide sa ilalim ng Article 5, Title 1 ng Revised Penal Code (RPC), na nagbabalangkas sa iba't ibang yugto ng criminal liability.
Kau"&amp;"gnay na Batas:
Tinutukoy ng Artikulo 5 ng RPC ang mga yugto ng pananagutang kriminal:
""Artikulo 5. Mga yugto ng natapos at bigong mga felony. -- Kapag ang kilos na isinagawa ay bumubuo ng lahat ng elemento ng isang felony, at ginawa sa pamamagitan ng hay"&amp;"agang mga gawa, ang felony ay natapos. Kung ang isa o higit pang elemento ay kulang, ito ay bigo .""
Mga Elemento ng Frustrated Homicide:
Dapat patunayan ng prosekusyon ang lahat ng sumusunod na elemento upang magtatag ng frustrated homicide:
Intent to Ki"&amp;"ll: (Artikulo 1 ng RPC) ay tumutukoy sa kriminal na pananagutan: ""Artikulo 1. Kriminal na pananagutan. -- Ang kriminal na pananagutan ay dapat gawin ng sinumang tao na gumawa ng isang felony, bagama't ang pagkilos na ginawa ay ayon sa batas, kung mayroon"&amp;"g kriminal na layunin. "" Kaya naman, tiyak na sinadya ng akusado na kitilin ang buhay ng biktima.
Overt Act: Ang akusado ay dapat magsagawa ng konkretong aksyon na direktang nagtatangkang patayin ang biktima. Ang pagpaplano o paghahanda lamang ay hindi m"&amp;"agiging sapat.
Pagkabigong Gampanan ang Pagpatay: Sa kabila ng pagtatangka at paggamit ng isang potensyal na nakamamatay na sandata, ang biktima ay hindi namamatay dahil sa mga salik na lampas sa kontrol ng nagkasala.
Mga pangyayari na humahantong sa Frus"&amp;"trated Homicide:
Panghihimasok ng ikatlong partido: May pumasok at pinipigilan ang akusado na kumpletuhin ang akto ng pagpatay.
Paglaban ng biktima: Ang biktima ay aktibong nagtatanggol sa kanilang sarili, na humahadlang sa akusado sa pagsasagawa ng pagpa"&amp;"tay.
Medikal na Pamamagitan: Ang napapanahong tulong medikal ay nagliligtas sa buhay ng biktima sa kabila ng pagkakaroon ng matinding pinsala.
May sira na sandata: Ang armas na ginamit ay hindi gumagana o nagpapatunay na hindi sapat upang maging sanhi ng "&amp;"kamatayan.
Mahalagang Pagkakaiba:
Frustrated Homicide vs. Attempted Homicide:
Frustrated Homicide: Ginagawa ng nagkasala ang lahat ng mga aksyon na kinakailangan para sa krimen (pagpatay), ngunit ang biktima ay nakaligtas dahil sa panlabas na mga kadahila"&amp;"nan (tulad ng nabanggit sa itaas).
Attempted Homicide: Ang nagkasala ay gumagawa ng mga hakbang tungo sa pagpatay sa biktima, ngunit ang pagkilos ay nagambala bago umabot sa yugto ng pagtatangkang magdulot ng isang potensyal na nakamamatay na pinsala.
Par"&amp;"usa para sa Frustrated Homicide:
Ang parusa para sa frustrated homicide ay karaniwang hindi gaanong matindi kaysa sa pagpatay o homicide, gaya ng itinakda sa Artikulo 59 ng RPC:
""Artikulo 59. Parusa para sa mga bigong felony. -- Ang parusa para sa isang "&amp;"bigong felony ay dapat na isang antas na mas mababa kaysa sa itinatadhana para sa natapos na felony.""")</f>
        <v>Frustrated Homicide sa ilalim ng Revised Penal Code (RPC) ng Pilipinas:
Ang isang tao ay maaaring kasuhan ng frustrated homicide sa ilalim ng Article 5, Title 1 ng Revised Penal Code (RPC), na nagbabalangkas sa iba't ibang yugto ng criminal liability.
Kaugnay na Batas:
Tinutukoy ng Artikulo 5 ng RPC ang mga yugto ng pananagutang kriminal:
"Artikulo 5. Mga yugto ng natapos at bigong mga felony. -- Kapag ang kilos na isinagawa ay bumubuo ng lahat ng elemento ng isang felony, at ginawa sa pamamagitan ng hayagang mga gawa, ang felony ay natapos. Kung ang isa o higit pang elemento ay kulang, ito ay bigo ."
Mga Elemento ng Frustrated Homicide:
Dapat patunayan ng prosekusyon ang lahat ng sumusunod na elemento upang magtatag ng frustrated homicide:
Intent to Kill: (Artikulo 1 ng RPC) ay tumutukoy sa kriminal na pananagutan: "Artikulo 1. Kriminal na pananagutan. -- Ang kriminal na pananagutan ay dapat gawin ng sinumang tao na gumawa ng isang felony, bagama't ang pagkilos na ginawa ay ayon sa batas, kung mayroong kriminal na layunin. " Kaya naman, tiyak na sinadya ng akusado na kitilin ang buhay ng biktima.
Overt Act: Ang akusado ay dapat magsagawa ng konkretong aksyon na direktang nagtatangkang patayin ang biktima. Ang pagpaplano o paghahanda lamang ay hindi magiging sapat.
Pagkabigong Gampanan ang Pagpatay: Sa kabila ng pagtatangka at paggamit ng isang potensyal na nakamamatay na sandata, ang biktima ay hindi namamatay dahil sa mga salik na lampas sa kontrol ng nagkasala.
Mga pangyayari na humahantong sa Frustrated Homicide:
Panghihimasok ng ikatlong partido: May pumasok at pinipigilan ang akusado na kumpletuhin ang akto ng pagpatay.
Paglaban ng biktima: Ang biktima ay aktibong nagtatanggol sa kanilang sarili, na humahadlang sa akusado sa pagsasagawa ng pagpatay.
Medikal na Pamamagitan: Ang napapanahong tulong medikal ay nagliligtas sa buhay ng biktima sa kabila ng pagkakaroon ng matinding pinsala.
May sira na sandata: Ang armas na ginamit ay hindi gumagana o nagpapatunay na hindi sapat upang maging sanhi ng kamatayan.
Mahalagang Pagkakaiba:
Frustrated Homicide vs. Attempted Homicide:
Frustrated Homicide: Ginagawa ng nagkasala ang lahat ng mga aksyon na kinakailangan para sa krimen (pagpatay), ngunit ang biktima ay nakaligtas dahil sa panlabas na mga kadahilanan (tulad ng nabanggit sa itaas).
Attempted Homicide: Ang nagkasala ay gumagawa ng mga hakbang tungo sa pagpatay sa biktima, ngunit ang pagkilos ay nagambala bago umabot sa yugto ng pagtatangkang magdulot ng isang potensyal na nakamamatay na pinsala.
Parusa para sa Frustrated Homicide:
Ang parusa para sa frustrated homicide ay karaniwang hindi gaanong matindi kaysa sa pagpatay o homicide, gaya ng itinakda sa Artikulo 59 ng RPC:
"Artikulo 59. Parusa para sa mga bigong felony. -- Ang parusa para sa isang bigong felony ay dapat na isang antas na mas mababa kaysa sa itinatadhana para sa natapos na felony."</v>
      </c>
      <c r="F2046" s="2">
        <f t="shared" si="1"/>
        <v>0</v>
      </c>
      <c r="G2046" s="2"/>
      <c r="H2046" s="2"/>
      <c r="I2046" s="2"/>
      <c r="J2046" s="2"/>
      <c r="K2046" s="2"/>
      <c r="L2046" s="2"/>
      <c r="M2046" s="2"/>
      <c r="N2046" s="2"/>
      <c r="O2046" s="2"/>
      <c r="P2046" s="2"/>
      <c r="Q2046" s="2"/>
      <c r="R2046" s="2"/>
      <c r="S2046" s="2"/>
      <c r="T2046" s="2"/>
      <c r="U2046" s="2"/>
      <c r="V2046" s="2"/>
      <c r="W2046" s="2"/>
      <c r="X2046" s="2"/>
      <c r="Y2046" s="2"/>
      <c r="Z2046" s="2"/>
      <c r="AA2046" s="2"/>
    </row>
    <row r="2047">
      <c r="A2047" s="1" t="s">
        <v>5061</v>
      </c>
      <c r="B2047" s="1" t="s">
        <v>5074</v>
      </c>
      <c r="C2047" s="1" t="s">
        <v>5075</v>
      </c>
      <c r="D2047" s="2" t="str">
        <f>IFERROR(__xludf.DUMMYFUNCTION("GOOGLETRANSLATE(B2047, ""en"", ""TL"")"),"Anong mga legal na probisyon ang namamahala sa pagkakasala ng tangkang pagpatay sa Pilipinas?")</f>
        <v>Anong mga legal na probisyon ang namamahala sa pagkakasala ng tangkang pagpatay sa Pilipinas?</v>
      </c>
      <c r="E2047" s="2" t="str">
        <f>IFERROR(__xludf.DUMMYFUNCTION("GOOGLETRANSLATE(C2047, ""en"", ""TL"")"),"Sa Pilipinas, ang tangkang pagpatay ay itinuturing na isang seryosong krimen at pinamamahalaan ng Revised Penal Code, na nagbibigay ng legal na balangkas para sa pagtukoy at pagpaparusa sa mga naturang pagtatangka. Narito ang mga pangunahing punto na may "&amp;"kaugnayan sa tangkang pagpatay:
Kahulugan:
- Ang pagtatangkang pagpatay ay nangyayari kapag may intensyon na pumatay, ngunit ang pagkilos ay hindi nagreresulta sa pagkamatay ng biktima dahil sa mga pangyayari na hindi kontrolado ng salarin.
- Ito ay kinas"&amp;"asangkutan ng akusado na gumagawa ng hayagang mga kilos patungo sa paggawa ng pagpatay ngunit nabigong maging sanhi ng kamatayan ng biktima.
Mga parusa:
- Ang mga parusa para sa tangkang pagpatay ay hindi gaanong matindi kaysa sa para sa aktwal na pagpata"&amp;"y.
- Ang mga partikular na parusa ay nag-iiba depende sa mga salik gaya ng mga pangyayari, ebidensya, at layunin ng akusado.
- Binabalangkas ng Binagong Kodigo Penal ang mga patnubay para sa pagtukoy ng nararapat na parusa sa mga kaso ng tangkang pagpatay"&amp;".")</f>
        <v>Sa Pilipinas, ang tangkang pagpatay ay itinuturing na isang seryosong krimen at pinamamahalaan ng Revised Penal Code, na nagbibigay ng legal na balangkas para sa pagtukoy at pagpaparusa sa mga naturang pagtatangka. Narito ang mga pangunahing punto na may kaugnayan sa tangkang pagpatay:
Kahulugan:
- Ang pagtatangkang pagpatay ay nangyayari kapag may intensyon na pumatay, ngunit ang pagkilos ay hindi nagreresulta sa pagkamatay ng biktima dahil sa mga pangyayari na hindi kontrolado ng salarin.
- Ito ay kinasasangkutan ng akusado na gumagawa ng hayagang mga kilos patungo sa paggawa ng pagpatay ngunit nabigong maging sanhi ng kamatayan ng biktima.
Mga parusa:
- Ang mga parusa para sa tangkang pagpatay ay hindi gaanong matindi kaysa sa para sa aktwal na pagpatay.
- Ang mga partikular na parusa ay nag-iiba depende sa mga salik gaya ng mga pangyayari, ebidensya, at layunin ng akusado.
- Binabalangkas ng Binagong Kodigo Penal ang mga patnubay para sa pagtukoy ng nararapat na parusa sa mga kaso ng tangkang pagpatay.</v>
      </c>
      <c r="F2047" s="2">
        <f t="shared" si="1"/>
        <v>0</v>
      </c>
      <c r="G2047" s="2"/>
      <c r="H2047" s="2"/>
      <c r="I2047" s="2"/>
      <c r="J2047" s="2"/>
      <c r="K2047" s="2"/>
      <c r="L2047" s="2"/>
      <c r="M2047" s="2"/>
      <c r="N2047" s="2"/>
      <c r="O2047" s="2"/>
      <c r="P2047" s="2"/>
      <c r="Q2047" s="2"/>
      <c r="R2047" s="2"/>
      <c r="S2047" s="2"/>
      <c r="T2047" s="2"/>
      <c r="U2047" s="2"/>
      <c r="V2047" s="2"/>
      <c r="W2047" s="2"/>
      <c r="X2047" s="2"/>
      <c r="Y2047" s="2"/>
      <c r="Z2047" s="2"/>
      <c r="AA2047" s="2"/>
    </row>
    <row r="2048">
      <c r="A2048" s="1" t="s">
        <v>5061</v>
      </c>
      <c r="B2048" s="1" t="s">
        <v>5076</v>
      </c>
      <c r="C2048" s="1" t="s">
        <v>5077</v>
      </c>
      <c r="D2048" s="2" t="str">
        <f>IFERROR(__xludf.DUMMYFUNCTION("GOOGLETRANSLATE(B2048, ""en"", ""TL"")"),"Paano nauuri at pinarurusahan ang krimen ng physical injuries sa ilalim ng batas ng Pilipinas?")</f>
        <v>Paano nauuri at pinarurusahan ang krimen ng physical injuries sa ilalim ng batas ng Pilipinas?</v>
      </c>
      <c r="E2048" s="2" t="str">
        <f>IFERROR(__xludf.DUMMYFUNCTION("GOOGLETRANSLATE(C2048, ""en"", ""TL"")"),"Sa Pilipinas, ang krimen ng physical injuries ay inuri at pinarurusahan batay sa kalubhaan ng mga pinsalang natamo, gaya ng nakabalangkas sa Revised Penal Code. Tuklasin natin ang iba't ibang klasipikasyon:
Malubhang Pisikal na Pinsala:
Nangyayari kapag a"&amp;"ng biktima:
Nawawala ang anumang bahagi ng katawan.
Nagiging baliw, impotent, o bulag.
Ay incapacitated para sa higit sa tatlumpung araw.
Ang parusa para sa malubhang pisikal na pinsala ay mula sa prison mayor (pagkakulong ng 12 taon at 1 araw hanggang 20"&amp;" taon) hanggang sa pag-aresto ng mayor sa pinakamataas na panahon nito (pagkakulong ng 4 na buwan at 1 araw hanggang 6 na buwan).
Kung ang biktima ay isang malapit na kamag-anak (hal., ama, ina, anak, asawa), ang parusa ay maaaring tumaas sa reclusion tem"&amp;"poral sa katamtaman at maximum na mga panahon nito (pagkakulong ng 14 na taon 8 buwan at 1 araw hanggang 20 taon) sa ilalim ng ilang mga pangyayari.
Mas Malubhang Pisikal na Pinsala:
Nangyayari kapag ang biktima:
Nawawala ang paggamit ng pananalita, pandi"&amp;"nig, amoy, o mata, kamay, paa, braso, o binti.
Nagiging incapacitated para sa trabaho ng higit sa siyamnapung araw.
Ang parusa para sa hindi gaanong malubhang pisikal na pinsala ay arresto mayor (pagkakulong ng 1 buwan at 1 araw hanggang 6 na buwan).
Kung"&amp;" ang kilos ay ginawa na may layuning insultuhin o saktan ang biktima, maaaring magpataw ng karagdagang multa.
Bahagyang Pisikal na Pinsala:
Isama ang maliit na pinsala na hindi kabilang sa mga nakaraang kategorya.
Ang parusa para sa bahagyang pisikal na p"&amp;"insala ay arresto menor (pagkakulong ng 1 araw hanggang 30 araw).
Pagmaltrato:
Tumutukoy sa malupit o hindi makataong pagtrato sa ibang tao.
Ang parusa para sa maltreatment ay depende sa mga partikular na pangyayari at sa antas ng pinsalang naidulot.
Maha"&amp;"lagang tandaan na ang batas ng Pilipinas ay naglalayong protektahan ang mga indibidwal mula sa pinsala habang tinitiyak ang proporsyonal na parusa para sa mga nagkasala, nagtataguyod ng isang ligtas at magalang na lipunan.")</f>
        <v>Sa Pilipinas, ang krimen ng physical injuries ay inuri at pinarurusahan batay sa kalubhaan ng mga pinsalang natamo, gaya ng nakabalangkas sa Revised Penal Code. Tuklasin natin ang iba't ibang klasipikasyon:
Malubhang Pisikal na Pinsala:
Nangyayari kapag ang biktima:
Nawawala ang anumang bahagi ng katawan.
Nagiging baliw, impotent, o bulag.
Ay incapacitated para sa higit sa tatlumpung araw.
Ang parusa para sa malubhang pisikal na pinsala ay mula sa prison mayor (pagkakulong ng 12 taon at 1 araw hanggang 20 taon) hanggang sa pag-aresto ng mayor sa pinakamataas na panahon nito (pagkakulong ng 4 na buwan at 1 araw hanggang 6 na buwan).
Kung ang biktima ay isang malapit na kamag-anak (hal., ama, ina, anak, asawa), ang parusa ay maaaring tumaas sa reclusion temporal sa katamtaman at maximum na mga panahon nito (pagkakulong ng 14 na taon 8 buwan at 1 araw hanggang 20 taon) sa ilalim ng ilang mga pangyayari.
Mas Malubhang Pisikal na Pinsala:
Nangyayari kapag ang biktima:
Nawawala ang paggamit ng pananalita, pandinig, amoy, o mata, kamay, paa, braso, o binti.
Nagiging incapacitated para sa trabaho ng higit sa siyamnapung araw.
Ang parusa para sa hindi gaanong malubhang pisikal na pinsala ay arresto mayor (pagkakulong ng 1 buwan at 1 araw hanggang 6 na buwan).
Kung ang kilos ay ginawa na may layuning insultuhin o saktan ang biktima, maaaring magpataw ng karagdagang multa.
Bahagyang Pisikal na Pinsala:
Isama ang maliit na pinsala na hindi kabilang sa mga nakaraang kategorya.
Ang parusa para sa bahagyang pisikal na pinsala ay arresto menor (pagkakulong ng 1 araw hanggang 30 araw).
Pagmaltrato:
Tumutukoy sa malupit o hindi makataong pagtrato sa ibang tao.
Ang parusa para sa maltreatment ay depende sa mga partikular na pangyayari at sa antas ng pinsalang naidulot.
Mahalagang tandaan na ang batas ng Pilipinas ay naglalayong protektahan ang mga indibidwal mula sa pinsala habang tinitiyak ang proporsyonal na parusa para sa mga nagkasala, nagtataguyod ng isang ligtas at magalang na lipunan.</v>
      </c>
      <c r="F2048" s="2">
        <f t="shared" si="1"/>
        <v>0</v>
      </c>
      <c r="G2048" s="2"/>
      <c r="H2048" s="2"/>
      <c r="I2048" s="2"/>
      <c r="J2048" s="2"/>
      <c r="K2048" s="2"/>
      <c r="L2048" s="2"/>
      <c r="M2048" s="2"/>
      <c r="N2048" s="2"/>
      <c r="O2048" s="2"/>
      <c r="P2048" s="2"/>
      <c r="Q2048" s="2"/>
      <c r="R2048" s="2"/>
      <c r="S2048" s="2"/>
      <c r="T2048" s="2"/>
      <c r="U2048" s="2"/>
      <c r="V2048" s="2"/>
      <c r="W2048" s="2"/>
      <c r="X2048" s="2"/>
      <c r="Y2048" s="2"/>
      <c r="Z2048" s="2"/>
      <c r="AA2048" s="2"/>
    </row>
    <row r="2049">
      <c r="A2049" s="1" t="s">
        <v>5061</v>
      </c>
      <c r="B2049" s="1" t="s">
        <v>5078</v>
      </c>
      <c r="C2049" s="1" t="s">
        <v>5079</v>
      </c>
      <c r="D2049" s="2" t="str">
        <f>IFERROR(__xludf.DUMMYFUNCTION("GOOGLETRANSLATE(B2049, ""en"", ""TL"")"),"Anong mga parusa ang naaangkop sa pagkakasangkot sa krimen ng robbery with homicide sa Pilipinas?")</f>
        <v>Anong mga parusa ang naaangkop sa pagkakasangkot sa krimen ng robbery with homicide sa Pilipinas?</v>
      </c>
      <c r="E2049" s="2" t="str">
        <f>IFERROR(__xludf.DUMMYFUNCTION("GOOGLETRANSLATE(C2049, ""en"", ""TL"")"),"Sa Pilipinas, matindi ang parusa sa robbery with homicide dahil sa kumbinasyon ng dalawang seryosong krimen. Narito ang isang breakdown ng nauugnay na batas at ang mga naaangkop na parusa:
Legal na Balangkas:
Binagong Kodigo Penal (RPC):
Artikulo 294: Ang"&amp;" artikulong ito ay partikular na tumutugon sa pagnanakaw na may karahasan o pananakot laban sa mga tao at ang mga kaukulang parusa.
Paragraph 1: Nakatuon sa sitwasyon kung saan ""sa kadahilanan o sa okasyon ng pagnanakaw, ang krimen ng homicide ay ginawa."&amp;"""
Parusa para sa Robbery with Homicide:
Artikulo 294, Paragraph 1: Nagsasaad na ang parusa para sa naturang krimen ay: ""Ang parusa ng reclusion perpetua hanggang kamatayan.""
Mahalagang Paalala:
Ang parusang kamatayan ay inalis: Inalis ng Pilipinas ang "&amp;"pagpapatupad ng parusang kamatayan sa pamamagitan ng Republic Act No. 9346 noong 2006.
Samakatuwid, ang kasalukuyang parusa para sa robbery with homicide sa Pilipinas ay:
Reclusion perpetua: Ito ang pinakamataas na parusa para sa karamihan ng mga seryoson"&amp;"g krimen at kinapapalooban ng pagkakulong ng hindi bababa sa 20 taon at 1 araw hanggang sa maximum na 40 taon.
Mga Karagdagang Puntos:
Pagtatraydor o iba pang mga kuwalipikadong pangyayari: Kung ang homicide ay nagsasangkot ng pagtataksil, maliwanag na pr"&amp;"emeditasyon, o iba pang mga elementong kwalipikado sa ilalim ng Artikulo 248 ng RPC, maaaring isaalang-alang ng hukuman ang mga salik na ito sa panahon ng paghatol.
Walang nagpapagaan na mga pangyayari: Ang parusa ng reclusion perpetua ay nalalapat kapag "&amp;"walang nagpapagaan na mga salik tulad ng pagkakaroon ng sakit sa isip o matinding emosyonal na kaguluhan sa kaso.")</f>
        <v>Sa Pilipinas, matindi ang parusa sa robbery with homicide dahil sa kumbinasyon ng dalawang seryosong krimen. Narito ang isang breakdown ng nauugnay na batas at ang mga naaangkop na parusa:
Legal na Balangkas:
Binagong Kodigo Penal (RPC):
Artikulo 294: Ang artikulong ito ay partikular na tumutugon sa pagnanakaw na may karahasan o pananakot laban sa mga tao at ang mga kaukulang parusa.
Paragraph 1: Nakatuon sa sitwasyon kung saan "sa kadahilanan o sa okasyon ng pagnanakaw, ang krimen ng homicide ay ginawa."
Parusa para sa Robbery with Homicide:
Artikulo 294, Paragraph 1: Nagsasaad na ang parusa para sa naturang krimen ay: "Ang parusa ng reclusion perpetua hanggang kamatayan."
Mahalagang Paalala:
Ang parusang kamatayan ay inalis: Inalis ng Pilipinas ang pagpapatupad ng parusang kamatayan sa pamamagitan ng Republic Act No. 9346 noong 2006.
Samakatuwid, ang kasalukuyang parusa para sa robbery with homicide sa Pilipinas ay:
Reclusion perpetua: Ito ang pinakamataas na parusa para sa karamihan ng mga seryosong krimen at kinapapalooban ng pagkakulong ng hindi bababa sa 20 taon at 1 araw hanggang sa maximum na 40 taon.
Mga Karagdagang Puntos:
Pagtatraydor o iba pang mga kuwalipikadong pangyayari: Kung ang homicide ay nagsasangkot ng pagtataksil, maliwanag na premeditasyon, o iba pang mga elementong kwalipikado sa ilalim ng Artikulo 248 ng RPC, maaaring isaalang-alang ng hukuman ang mga salik na ito sa panahon ng paghatol.
Walang nagpapagaan na mga pangyayari: Ang parusa ng reclusion perpetua ay nalalapat kapag walang nagpapagaan na mga salik tulad ng pagkakaroon ng sakit sa isip o matinding emosyonal na kaguluhan sa kaso.</v>
      </c>
      <c r="F2049" s="2">
        <f t="shared" si="1"/>
        <v>0</v>
      </c>
      <c r="G2049" s="2"/>
      <c r="H2049" s="2"/>
      <c r="I2049" s="2"/>
      <c r="J2049" s="2"/>
      <c r="K2049" s="2"/>
      <c r="L2049" s="2"/>
      <c r="M2049" s="2"/>
      <c r="N2049" s="2"/>
      <c r="O2049" s="2"/>
      <c r="P2049" s="2"/>
      <c r="Q2049" s="2"/>
      <c r="R2049" s="2"/>
      <c r="S2049" s="2"/>
      <c r="T2049" s="2"/>
      <c r="U2049" s="2"/>
      <c r="V2049" s="2"/>
      <c r="W2049" s="2"/>
      <c r="X2049" s="2"/>
      <c r="Y2049" s="2"/>
      <c r="Z2049" s="2"/>
      <c r="AA2049" s="2"/>
    </row>
    <row r="2050">
      <c r="A2050" s="1" t="s">
        <v>5061</v>
      </c>
      <c r="B2050" s="1" t="s">
        <v>5080</v>
      </c>
      <c r="C2050" s="1" t="s">
        <v>5081</v>
      </c>
      <c r="D2050" s="2" t="str">
        <f>IFERROR(__xludf.DUMMYFUNCTION("GOOGLETRANSLATE(B2050, ""en"", ""TL"")"),"Paano tinutugunan ng batas ang mga insidente ng pag-atake na nagdudulot ng malubhang pisikal na pinsala?")</f>
        <v>Paano tinutugunan ng batas ang mga insidente ng pag-atake na nagdudulot ng malubhang pisikal na pinsala?</v>
      </c>
      <c r="E2050" s="2" t="str">
        <f>IFERROR(__xludf.DUMMYFUNCTION("GOOGLETRANSLATE(C2050, ""en"", ""TL"")"),"Sa Pilipinas, ang mga insidente ng pag-atake na nagdudulot ng malubhang pinsala sa katawan ay tinutugunan sa pamamagitan ng mga legal na probisyon sa ilalim ng Revised Penal Code. Narito ang mga kaugnay na detalye:
Kahulugan ng Malubhang Pisikal na Pinsal"&amp;"a:
- Ang malubhang pisikal na pinsala ay tumutukoy sa mga pinsalang nagreresulta sa pisikal na deformity o pagkawala ng bahagi ng katawan, na humahantong sa isang makabuluhang pagbabago sa pisikal na anyo ng isang tao.
- Ang legal na batayan para sa pagla"&amp;"bag na ito ay Artikulo 263 ng Binagong Kodigo Penal.
Mga Parusa para sa Malubhang Pisikal na Pinsala:
- Ang mga parusa ay nag-iiba depende sa mga kahihinatnan ng mga pinsalang natamo:
- Kung ang mga pinsala ay naging sanhi ng pagkabaliw ng biktima, tulala"&amp;", kawalan ng lakas, o bulag, ang parusa ay prision mayor (pagkakulong ng 6 na taon at 1 araw hanggang 12 taon).
- Kung ang mga pinsala ay nagresulta sa pagkawala ng pagsasalita, pandinig, amoy, mata, kamay, paa, braso, o binti, o kung ang biktima ay nawal"&amp;"an ng kakayahan para sa trabaho, ang parusa ay prision correccional (pagkakulong ng 6 na buwan at 1 araw hanggang 6 na taon) sa katamtaman at pinakamataas na mga panahon nito.
- Kung ang mga pinsala ay nagdudulot ng deformity o pagkawala ng anumang iba pa"&amp;"ng bahagi ng katawan, o kung ang biktima ay nawalan ng kakayahan nang higit sa siyamnapung araw, ang parusa ay prision correccional sa pinakamababa at katamtamang panahon nito.
- Kung ang sakit o kawalan ng kakayahan para sa paggawa ay tumagal ng higit sa"&amp;" tatlumpung araw, ang parusa ay arresto mayor (pagkakulong ng 1 buwan at 1 araw hanggang 6 na buwan) sa pinakamataas na panahon nito sa prision correccional sa pinakamababang panahon nito.
Nagpapalubha ng mga pangyayari:
- Kung ang pagkakasala ay ginawa l"&amp;"aban sa ilang mga tao (naka-enumerate sa Artikulo 246) o sa ilalim ng mga partikular na pangyayari (nabanggit sa Artikulo 248), ang mga parusa ay maaaring tumaas.
Pagbubukod sa Pagkastigo ng Magulang:
- Ang mga probisyon ay hindi nalalapat sa isang magula"&amp;"ng na nagdudulot ng pisikal na pinsala sa kanilang anak sa pamamagitan ng labis na pagkastigo.
Mahalagang tandaan na ang batas ng Pilipinas ay naglalayong pigilan ang pinsala habang tinitiyak ang proporsyonal na parusa para sa mga nagkasala, nagtataguyod "&amp;"ng isang ligtas at magalang na lipunan.")</f>
        <v>Sa Pilipinas, ang mga insidente ng pag-atake na nagdudulot ng malubhang pinsala sa katawan ay tinutugunan sa pamamagitan ng mga legal na probisyon sa ilalim ng Revised Penal Code. Narito ang mga kaugnay na detalye:
Kahulugan ng Malubhang Pisikal na Pinsala:
- Ang malubhang pisikal na pinsala ay tumutukoy sa mga pinsalang nagreresulta sa pisikal na deformity o pagkawala ng bahagi ng katawan, na humahantong sa isang makabuluhang pagbabago sa pisikal na anyo ng isang tao.
- Ang legal na batayan para sa paglabag na ito ay Artikulo 263 ng Binagong Kodigo Penal.
Mga Parusa para sa Malubhang Pisikal na Pinsala:
- Ang mga parusa ay nag-iiba depende sa mga kahihinatnan ng mga pinsalang natamo:
- Kung ang mga pinsala ay naging sanhi ng pagkabaliw ng biktima, tulala, kawalan ng lakas, o bulag, ang parusa ay prision mayor (pagkakulong ng 6 na taon at 1 araw hanggang 12 taon).
- Kung ang mga pinsala ay nagresulta sa pagkawala ng pagsasalita, pandinig, amoy, mata, kamay, paa, braso, o binti, o kung ang biktima ay nawalan ng kakayahan para sa trabaho, ang parusa ay prision correccional (pagkakulong ng 6 na buwan at 1 araw hanggang 6 na taon) sa katamtaman at pinakamataas na mga panahon nito.
- Kung ang mga pinsala ay nagdudulot ng deformity o pagkawala ng anumang iba pang bahagi ng katawan, o kung ang biktima ay nawalan ng kakayahan nang higit sa siyamnapung araw, ang parusa ay prision correccional sa pinakamababa at katamtamang panahon nito.
- Kung ang sakit o kawalan ng kakayahan para sa paggawa ay tumagal ng higit sa tatlumpung araw, ang parusa ay arresto mayor (pagkakulong ng 1 buwan at 1 araw hanggang 6 na buwan) sa pinakamataas na panahon nito sa prision correccional sa pinakamababang panahon nito.
Nagpapalubha ng mga pangyayari:
- Kung ang pagkakasala ay ginawa laban sa ilang mga tao (naka-enumerate sa Artikulo 246) o sa ilalim ng mga partikular na pangyayari (nabanggit sa Artikulo 248), ang mga parusa ay maaaring tumaas.
Pagbubukod sa Pagkastigo ng Magulang:
- Ang mga probisyon ay hindi nalalapat sa isang magulang na nagdudulot ng pisikal na pinsala sa kanilang anak sa pamamagitan ng labis na pagkastigo.
Mahalagang tandaan na ang batas ng Pilipinas ay naglalayong pigilan ang pinsala habang tinitiyak ang proporsyonal na parusa para sa mga nagkasala, nagtataguyod ng isang ligtas at magalang na lipunan.</v>
      </c>
      <c r="F2050" s="2">
        <f t="shared" si="1"/>
        <v>0</v>
      </c>
      <c r="G2050" s="2"/>
      <c r="H2050" s="2"/>
      <c r="I2050" s="2"/>
      <c r="J2050" s="2"/>
      <c r="K2050" s="2"/>
      <c r="L2050" s="2"/>
      <c r="M2050" s="2"/>
      <c r="N2050" s="2"/>
      <c r="O2050" s="2"/>
      <c r="P2050" s="2"/>
      <c r="Q2050" s="2"/>
      <c r="R2050" s="2"/>
      <c r="S2050" s="2"/>
      <c r="T2050" s="2"/>
      <c r="U2050" s="2"/>
      <c r="V2050" s="2"/>
      <c r="W2050" s="2"/>
      <c r="X2050" s="2"/>
      <c r="Y2050" s="2"/>
      <c r="Z2050" s="2"/>
      <c r="AA2050" s="2"/>
    </row>
    <row r="2051">
      <c r="A2051" s="1" t="s">
        <v>5061</v>
      </c>
      <c r="B2051" s="1" t="s">
        <v>5082</v>
      </c>
      <c r="C2051" s="1" t="s">
        <v>5083</v>
      </c>
      <c r="D2051" s="2" t="str">
        <f>IFERROR(__xludf.DUMMYFUNCTION("GOOGLETRANSLATE(B2051, ""en"", ""TL"")"),"Anong mga legal na elemento ang dapat patunayan upang maitatag ang krimen ng panggagahasa sa Pilipinas?")</f>
        <v>Anong mga legal na elemento ang dapat patunayan upang maitatag ang krimen ng panggagahasa sa Pilipinas?</v>
      </c>
      <c r="E2051" s="2" t="str">
        <f>IFERROR(__xludf.DUMMYFUNCTION("GOOGLETRANSLATE(C2051, ""en"", ""TL"")"),"Sa Pilipinas, upang maitatag ang krimen ng panggagahasa, ang mga sumusunod na legal na elemento ay dapat patunayan:
1. Kaalaman sa laman:
- Ang nagkasala ay dapat na nakikibahagi sa makalaman na kaalaman, na tumutukoy sa pakikipagtalik, sa biktima.
- Ang "&amp;"elementong ito ay nangangailangan ng patunay ng pagtagos ng sekswal.
2. Kakulangan ng Pahintulot:
- Ang kilos ay dapat na ginawa nang walang pahintulot ng biktima.
- Napakahalaga ng pahintulot, at anumang sekswal na gawain na walang malinaw at boluntaryon"&amp;"g kasunduan ay bumubuo ng panggagahasa.
3. Puwersa, Banta, o Pananakot:
- Maaaring mangyari ang panggagahasa sa pamamagitan ng paggamit ng puwersa, pananakot, o pananakot.
- Ang biktima ay dapat na napilitang labag sa kanilang kalooban dahil sa mga salik "&amp;"na ito.
4. Edad o Kondisyon ng Pag-iisip:
- Kung ang biktima ay wala pang labing-anim (16) taong gulang o may kapansanan sa pag-iisip, maaaring itatag ang panggagahasa kahit na walang puwersa, pagbabanta, o pananakot.
5. Pagbubukod sa Pagkakaiba ng Edad:
"&amp;"- Walang pananagutan sa krimen kung ang nagkasala ay may karnal na kaalaman sa isang taong wala pang labing anim (16) taong gulang, at ang pagkakaiba ng edad sa pagitan ng mga partido ay hindi hihigit sa tatlong (3) taon.
- Gayunpaman, ang pagbubukod na i"&amp;"to ay hindi nalalapat kung ang biktima ay wala pang labintatlong (13) taong gulang.
Mahalagang tandaan na ang mga elementong ito ay dapat na mapatunayan nang walang makatwirang pagdududa sa korte upang maitatag ang krimen ng panggagahasa.")</f>
        <v>Sa Pilipinas, upang maitatag ang krimen ng panggagahasa, ang mga sumusunod na legal na elemento ay dapat patunayan:
1. Kaalaman sa laman:
- Ang nagkasala ay dapat na nakikibahagi sa makalaman na kaalaman, na tumutukoy sa pakikipagtalik, sa biktima.
- Ang elementong ito ay nangangailangan ng patunay ng pagtagos ng sekswal.
2. Kakulangan ng Pahintulot:
- Ang kilos ay dapat na ginawa nang walang pahintulot ng biktima.
- Napakahalaga ng pahintulot, at anumang sekswal na gawain na walang malinaw at boluntaryong kasunduan ay bumubuo ng panggagahasa.
3. Puwersa, Banta, o Pananakot:
- Maaaring mangyari ang panggagahasa sa pamamagitan ng paggamit ng puwersa, pananakot, o pananakot.
- Ang biktima ay dapat na napilitang labag sa kanilang kalooban dahil sa mga salik na ito.
4. Edad o Kondisyon ng Pag-iisip:
- Kung ang biktima ay wala pang labing-anim (16) taong gulang o may kapansanan sa pag-iisip, maaaring itatag ang panggagahasa kahit na walang puwersa, pagbabanta, o pananakot.
5. Pagbubukod sa Pagkakaiba ng Edad:
- Walang pananagutan sa krimen kung ang nagkasala ay may karnal na kaalaman sa isang taong wala pang labing anim (16) taong gulang, at ang pagkakaiba ng edad sa pagitan ng mga partido ay hindi hihigit sa tatlong (3) taon.
- Gayunpaman, ang pagbubukod na ito ay hindi nalalapat kung ang biktima ay wala pang labintatlong (13) taong gulang.
Mahalagang tandaan na ang mga elementong ito ay dapat na mapatunayan nang walang makatwirang pagdududa sa korte upang maitatag ang krimen ng panggagahasa.</v>
      </c>
      <c r="F2051" s="2">
        <f t="shared" si="1"/>
        <v>0</v>
      </c>
      <c r="G2051" s="2"/>
      <c r="H2051" s="2"/>
      <c r="I2051" s="2"/>
      <c r="J2051" s="2"/>
      <c r="K2051" s="2"/>
      <c r="L2051" s="2"/>
      <c r="M2051" s="2"/>
      <c r="N2051" s="2"/>
      <c r="O2051" s="2"/>
      <c r="P2051" s="2"/>
      <c r="Q2051" s="2"/>
      <c r="R2051" s="2"/>
      <c r="S2051" s="2"/>
      <c r="T2051" s="2"/>
      <c r="U2051" s="2"/>
      <c r="V2051" s="2"/>
      <c r="W2051" s="2"/>
      <c r="X2051" s="2"/>
      <c r="Y2051" s="2"/>
      <c r="Z2051" s="2"/>
      <c r="AA2051" s="2"/>
    </row>
    <row r="2052">
      <c r="A2052" s="1" t="s">
        <v>5061</v>
      </c>
      <c r="B2052" s="1" t="s">
        <v>5084</v>
      </c>
      <c r="C2052" s="1" t="s">
        <v>5085</v>
      </c>
      <c r="D2052" s="2" t="str">
        <f>IFERROR(__xludf.DUMMYFUNCTION("GOOGLETRANSLATE(B2052, ""en"", ""TL"")"),"Paano tinukoy at pinaparusahan ang mga insidente ng sekswal na pag-atake at mga gawa ng kahalayan?")</f>
        <v>Paano tinukoy at pinaparusahan ang mga insidente ng sekswal na pag-atake at mga gawa ng kahalayan?</v>
      </c>
      <c r="E2052" s="2" t="str">
        <f>IFERROR(__xludf.DUMMYFUNCTION("GOOGLETRANSLATE(C2052, ""en"", ""TL"")"),"Sa Pilipinas, ang sexual assault at acts of lasciviousness ay dalawang magkaibang legal na termino na may magkakaibang kahulugan at parusa:
Sekswal na Pag-atake:
- Ang sexual assault ay tumutukoy sa anumang hindi sinasang-ayunan na sekswal na gawaing gina"&amp;"wa laban sa ibang tao.
- Ito ay sumasaklaw sa mga gawain tulad ng panggagahasa, pagtatangkang panggagahasa, at sekswal na panliligalig.
- Ang mga parusa para sa sekswal na pag-atake ay nag-iiba depende sa partikular na pagkakasala at sa mga pangyayari.
Mg"&amp;"a Gawa ng Lasciviousness:
- Ang mga gawain ng kahalayan ay nagsasangkot ng mga malaswa o mahalay na gawain na hindi kinakailangang humantong sa pakikipagtalik.
- Ang mga gawaing ito ay itinuturing na mga gawaing paghahanda sa mga kaso ng tangkang panggaga"&amp;"hasa.
- Ang mga parusa para sa mga gawa ng kahalayan ay nakasalalay sa mga partikular na pangyayari at antas ng pinsalang naidulot.
Napakahalagang tandaan na ang batas ng Pilipinas ay naglalayong protektahan ang mga indibidwal mula sa pinsala habang tinit"&amp;"iyak ang katimbang na mga parusa para sa mga nagkasala, na nagsusulong ng isang ligtas at magalang na lipunan.")</f>
        <v>Sa Pilipinas, ang sexual assault at acts of lasciviousness ay dalawang magkaibang legal na termino na may magkakaibang kahulugan at parusa:
Sekswal na Pag-atake:
- Ang sexual assault ay tumutukoy sa anumang hindi sinasang-ayunan na sekswal na gawaing ginawa laban sa ibang tao.
- Ito ay sumasaklaw sa mga gawain tulad ng panggagahasa, pagtatangkang panggagahasa, at sekswal na panliligalig.
- Ang mga parusa para sa sekswal na pag-atake ay nag-iiba depende sa partikular na pagkakasala at sa mga pangyayari.
Mga Gawa ng Lasciviousness:
- Ang mga gawain ng kahalayan ay nagsasangkot ng mga malaswa o mahalay na gawain na hindi kinakailangang humantong sa pakikipagtalik.
- Ang mga gawaing ito ay itinuturing na mga gawaing paghahanda sa mga kaso ng tangkang panggagahasa.
- Ang mga parusa para sa mga gawa ng kahalayan ay nakasalalay sa mga partikular na pangyayari at antas ng pinsalang naidulot.
Napakahalagang tandaan na ang batas ng Pilipinas ay naglalayong protektahan ang mga indibidwal mula sa pinsala habang tinitiyak ang katimbang na mga parusa para sa mga nagkasala, na nagsusulong ng isang ligtas at magalang na lipunan.</v>
      </c>
      <c r="F2052" s="2">
        <f t="shared" si="1"/>
        <v>0</v>
      </c>
      <c r="G2052" s="2"/>
      <c r="H2052" s="2"/>
      <c r="I2052" s="2"/>
      <c r="J2052" s="2"/>
      <c r="K2052" s="2"/>
      <c r="L2052" s="2"/>
      <c r="M2052" s="2"/>
      <c r="N2052" s="2"/>
      <c r="O2052" s="2"/>
      <c r="P2052" s="2"/>
      <c r="Q2052" s="2"/>
      <c r="R2052" s="2"/>
      <c r="S2052" s="2"/>
      <c r="T2052" s="2"/>
      <c r="U2052" s="2"/>
      <c r="V2052" s="2"/>
      <c r="W2052" s="2"/>
      <c r="X2052" s="2"/>
      <c r="Y2052" s="2"/>
      <c r="Z2052" s="2"/>
      <c r="AA2052" s="2"/>
    </row>
    <row r="2053">
      <c r="A2053" s="1" t="s">
        <v>5061</v>
      </c>
      <c r="B2053" s="1" t="s">
        <v>5086</v>
      </c>
      <c r="C2053" s="1" t="s">
        <v>5087</v>
      </c>
      <c r="D2053" s="2" t="str">
        <f>IFERROR(__xludf.DUMMYFUNCTION("GOOGLETRANSLATE(B2053, ""en"", ""TL"")"),"Sa ilalim ng anong mga pangyayari ang isang tao ay maaaring makasuhan ng krimen ng pagdukot o pagkidnap?")</f>
        <v>Sa ilalim ng anong mga pangyayari ang isang tao ay maaaring makasuhan ng krimen ng pagdukot o pagkidnap?</v>
      </c>
      <c r="E2053" s="2" t="str">
        <f>IFERROR(__xludf.DUMMYFUNCTION("GOOGLETRANSLATE(C2053, ""en"", ""TL"")"),"Ang tekstong ibinigay mo ay lumilitaw na bahagi ng isang legal na probisyon tungkol sa nagpapalubha na mga pangyayari sa mga kaso ng kidnapping o detensyon. Ang mga nagpapalubhang pangyayari na ito ay maaaring magpapataas sa kalubhaan ng pagkakasala at hu"&amp;"mantong sa mas matitinding parusa. Narito ang paliwanag ng bawat isa:
1. Kung ang pagkidnap o pagkulong ay tumagal ng higit sa limang araw:
- Nalalapat ang nagpapalubhang pangyayaring ito kapag ang biktima ay nakakulong sa loob ng mahabang panahon na higi"&amp;"t sa limang araw. Ang matagal na pagkakakulong ay nagpapalala sa trauma at panganib na kinakaharap ng biktima, na nangangailangan ng mas mataas na parusa para sa may kasalanan.
2. Kung ito ay ginawa gayahin ang pampublikong awtoridad:
- Ito ay tumutukoy s"&amp;"a mga kaso kung saan ang salarin ay nagkukunwaring may awtoridad mula sa gobyerno o nagsisilbing pampublikong opisyal upang maisagawa ang pagkidnap o pagkulong. Ang ganitong mga aksyon ay nagsasamantala sa pagtitiwala o lumikha ng isang ilusyon ng pagigin"&amp;"g lehitimo, na ginagawang mas malala ang pagkakasala.
3. Kung anumang malubhang pisikal na pinsala ay naidulot sa taong kinidnap o pinigil; o kung ang mga pagbabanta na papatayin siya ay ginawa:
- Ang nagpapalubhang pangyayari na ito ay nalalapat kapag an"&amp;"g biktima ay nagtamo ng malubhang pisikal na pinsala o kapag ang salarin ay nagbanta na papatayin ang biktima sa panahon ng pagkidnap o pagkulong. Ang pagdudulot ng malubhang pinsala sa katawan o paggawa ng mga pagbabanta ng kamatayan ay nagpapataas ng ka"&amp;"lubhaan ng pagkakasala at nagpapataas ng panganib na kinakaharap ng biktima.
Ang mga nagpapalubhang pangyayari na ito ay maaaring humantong sa mas mabibigat na parusa para sa may kasalanan kapag napatunayang nagkasala, na sumasalamin sa tumaas na bigat ng"&amp;" krimen dahil sa mga karagdagang elemento na naroroon sa pagkakasala.")</f>
        <v>Ang tekstong ibinigay mo ay lumilitaw na bahagi ng isang legal na probisyon tungkol sa nagpapalubha na mga pangyayari sa mga kaso ng kidnapping o detensyon. Ang mga nagpapalubhang pangyayari na ito ay maaaring magpapataas sa kalubhaan ng pagkakasala at humantong sa mas matitinding parusa. Narito ang paliwanag ng bawat isa:
1. Kung ang pagkidnap o pagkulong ay tumagal ng higit sa limang araw:
- Nalalapat ang nagpapalubhang pangyayaring ito kapag ang biktima ay nakakulong sa loob ng mahabang panahon na higit sa limang araw. Ang matagal na pagkakakulong ay nagpapalala sa trauma at panganib na kinakaharap ng biktima, na nangangailangan ng mas mataas na parusa para sa may kasalanan.
2. Kung ito ay ginawa gayahin ang pampublikong awtoridad:
- Ito ay tumutukoy sa mga kaso kung saan ang salarin ay nagkukunwaring may awtoridad mula sa gobyerno o nagsisilbing pampublikong opisyal upang maisagawa ang pagkidnap o pagkulong. Ang ganitong mga aksyon ay nagsasamantala sa pagtitiwala o lumikha ng isang ilusyon ng pagiging lehitimo, na ginagawang mas malala ang pagkakasala.
3. Kung anumang malubhang pisikal na pinsala ay naidulot sa taong kinidnap o pinigil; o kung ang mga pagbabanta na papatayin siya ay ginawa:
- Ang nagpapalubhang pangyayari na ito ay nalalapat kapag ang biktima ay nagtamo ng malubhang pisikal na pinsala o kapag ang salarin ay nagbanta na papatayin ang biktima sa panahon ng pagkidnap o pagkulong. Ang pagdudulot ng malubhang pinsala sa katawan o paggawa ng mga pagbabanta ng kamatayan ay nagpapataas ng kalubhaan ng pagkakasala at nagpapataas ng panganib na kinakaharap ng biktima.
Ang mga nagpapalubhang pangyayari na ito ay maaaring humantong sa mas mabibigat na parusa para sa may kasalanan kapag napatunayang nagkasala, na sumasalamin sa tumaas na bigat ng krimen dahil sa mga karagdagang elemento na naroroon sa pagkakasala.</v>
      </c>
      <c r="F2053" s="2">
        <f t="shared" si="1"/>
        <v>0</v>
      </c>
      <c r="G2053" s="2"/>
      <c r="H2053" s="2"/>
      <c r="I2053" s="2"/>
      <c r="J2053" s="2"/>
      <c r="K2053" s="2"/>
      <c r="L2053" s="2"/>
      <c r="M2053" s="2"/>
      <c r="N2053" s="2"/>
      <c r="O2053" s="2"/>
      <c r="P2053" s="2"/>
      <c r="Q2053" s="2"/>
      <c r="R2053" s="2"/>
      <c r="S2053" s="2"/>
      <c r="T2053" s="2"/>
      <c r="U2053" s="2"/>
      <c r="V2053" s="2"/>
      <c r="W2053" s="2"/>
      <c r="X2053" s="2"/>
      <c r="Y2053" s="2"/>
      <c r="Z2053" s="2"/>
      <c r="AA2053" s="2"/>
    </row>
    <row r="2054">
      <c r="A2054" s="1" t="s">
        <v>5061</v>
      </c>
      <c r="B2054" s="1" t="s">
        <v>5088</v>
      </c>
      <c r="C2054" s="1" t="s">
        <v>5089</v>
      </c>
      <c r="D2054" s="2" t="str">
        <f>IFERROR(__xludf.DUMMYFUNCTION("GOOGLETRANSLATE(B2054, ""en"", ""TL"")"),"Anong mga legal na hakbang ang umiiral upang labanan ang krimen ng human trafficking sa Pilipinas?")</f>
        <v>Anong mga legal na hakbang ang umiiral upang labanan ang krimen ng human trafficking sa Pilipinas?</v>
      </c>
      <c r="E2054" s="2" t="str">
        <f>IFERROR(__xludf.DUMMYFUNCTION("GOOGLETRANSLATE(C2054, ""en"", ""TL"")"),"Ang Pilipinas ay nagpatupad ng iba't ibang legal na hakbang upang labanan ang human trafficking, na nagpapakita ng matibay na pangako sa pagtugon sa kritikal na isyung ito. Narito ang isang komprehensibong pangkalahatang-ideya:
Balangkas na Pambatasan:
Ex"&amp;"panded Anti-Trafficking in Persons Act of 2012 (Republic Act No. 10364): Ang batas na ito ay nagsususog sa orihinal na Anti-Trafficking in Persons Act (RA 9208) at nagpapatibay sa legal na balangkas laban sa human trafficking. Kabilang sa mga pangunahing "&amp;"probisyon ang:
Pinalawak na kahulugan ng trafficking: Sumasaklaw sa iba't ibang anyo ng pagsasamantala, kabilang ang sapilitang paggawa, sekswal na pagsasamantala, at pag-aalis ng organ.
Mga pinataas na parusa: Nagtatakda ng mas matitinding parusa para sa"&amp;" mga nagkasala, mula sa habambuhay na pagkakakulong at mabigat na multa hanggang sa pinakamataas na parusang kamatayan para sa mga partikular na pangyayari.
Mga hakbang sa proteksyon: Nag-uutos sa paglikha ng isang National Inter-Agency Council Against Tr"&amp;"afficking (NIACAT) para sa mga pinag-ugnay na pagsisikap.
Tulong sa biktima: Nagbibigay ng mga mekanismo para sa pagkilala sa biktima, pagsagip, mga serbisyo ng suporta, at proteksyon ng saksi.
Iba pang Mga Kaugnay na Batas:
Special Protection of Children"&amp;" Against Abuse, Exploitation and Discrimination Act (RA 7610): Pinoprotektahan ang mga bata mula sa lahat ng uri ng pang-aabuso, kabilang ang trafficking.
Migrant Workers and Overseas Filipinos Act (RA 10022): Pinangangalagaan ang mga karapatan at kapakan"&amp;"an ng mga migranteng manggagawang Pilipino, isang potensyal na target na grupo para sa trafficking.
Pagpapatupad ng Batas:
Ang Pambansang Pulisya ng Pilipinas (PNP): May nakatalagang Anti-Trafficking in Persons Division (ATPD) na may tungkuling mag-imbest"&amp;"iga sa mga kaso ng trafficking, hulihin ang mga nagkasala, at iligtas ang mga biktima.
Inter-Agency Council Against Trafficking (IACAT): Isang katawan ng gobyerno na binubuo ng iba't ibang ahensya na nagtutulungang labanan ang trafficking. Nag-coordinate "&amp;"ito ng mga pagsisikap sa pag-iwas, proteksyon, pag-uusig, at muling pagsasama ng mga biktima.
International Cooperation:
Ang Pilipinas ay aktibong nakikilahok sa mga internasyonal na kasunduan upang labanan ang human trafficking, tulad ng:
United Nations "&amp;"Convention against Transnational Organized Crime (UNTOC) Protocol to Prevent, Suppress and Parusahan ang Trafficking in Persons, Lalo na ang mga Babae at Bata.
ASEAN Convention Against Trafficking in Persons, Especially Women and Children.")</f>
        <v>Ang Pilipinas ay nagpatupad ng iba't ibang legal na hakbang upang labanan ang human trafficking, na nagpapakita ng matibay na pangako sa pagtugon sa kritikal na isyung ito. Narito ang isang komprehensibong pangkalahatang-ideya:
Balangkas na Pambatasan:
Expanded Anti-Trafficking in Persons Act of 2012 (Republic Act No. 10364): Ang batas na ito ay nagsususog sa orihinal na Anti-Trafficking in Persons Act (RA 9208) at nagpapatibay sa legal na balangkas laban sa human trafficking. Kabilang sa mga pangunahing probisyon ang:
Pinalawak na kahulugan ng trafficking: Sumasaklaw sa iba't ibang anyo ng pagsasamantala, kabilang ang sapilitang paggawa, sekswal na pagsasamantala, at pag-aalis ng organ.
Mga pinataas na parusa: Nagtatakda ng mas matitinding parusa para sa mga nagkasala, mula sa habambuhay na pagkakakulong at mabigat na multa hanggang sa pinakamataas na parusang kamatayan para sa mga partikular na pangyayari.
Mga hakbang sa proteksyon: Nag-uutos sa paglikha ng isang National Inter-Agency Council Against Trafficking (NIACAT) para sa mga pinag-ugnay na pagsisikap.
Tulong sa biktima: Nagbibigay ng mga mekanismo para sa pagkilala sa biktima, pagsagip, mga serbisyo ng suporta, at proteksyon ng saksi.
Iba pang Mga Kaugnay na Batas:
Special Protection of Children Against Abuse, Exploitation and Discrimination Act (RA 7610): Pinoprotektahan ang mga bata mula sa lahat ng uri ng pang-aabuso, kabilang ang trafficking.
Migrant Workers and Overseas Filipinos Act (RA 10022): Pinangangalagaan ang mga karapatan at kapakanan ng mga migranteng manggagawang Pilipino, isang potensyal na target na grupo para sa trafficking.
Pagpapatupad ng Batas:
Ang Pambansang Pulisya ng Pilipinas (PNP): May nakatalagang Anti-Trafficking in Persons Division (ATPD) na may tungkuling mag-imbestiga sa mga kaso ng trafficking, hulihin ang mga nagkasala, at iligtas ang mga biktima.
Inter-Agency Council Against Trafficking (IACAT): Isang katawan ng gobyerno na binubuo ng iba't ibang ahensya na nagtutulungang labanan ang trafficking. Nag-coordinate ito ng mga pagsisikap sa pag-iwas, proteksyon, pag-uusig, at muling pagsasama ng mga biktima.
International Cooperation:
Ang Pilipinas ay aktibong nakikilahok sa mga internasyonal na kasunduan upang labanan ang human trafficking, tulad ng:
United Nations Convention against Transnational Organized Crime (UNTOC) Protocol to Prevent, Suppress and Parusahan ang Trafficking in Persons, Lalo na ang mga Babae at Bata.
ASEAN Convention Against Trafficking in Persons, Especially Women and Children.</v>
      </c>
      <c r="F2054" s="2">
        <f t="shared" si="1"/>
        <v>0</v>
      </c>
      <c r="G2054" s="2"/>
      <c r="H2054" s="2"/>
      <c r="I2054" s="2"/>
      <c r="J2054" s="2"/>
      <c r="K2054" s="2"/>
      <c r="L2054" s="2"/>
      <c r="M2054" s="2"/>
      <c r="N2054" s="2"/>
      <c r="O2054" s="2"/>
      <c r="P2054" s="2"/>
      <c r="Q2054" s="2"/>
      <c r="R2054" s="2"/>
      <c r="S2054" s="2"/>
      <c r="T2054" s="2"/>
      <c r="U2054" s="2"/>
      <c r="V2054" s="2"/>
      <c r="W2054" s="2"/>
      <c r="X2054" s="2"/>
      <c r="Y2054" s="2"/>
      <c r="Z2054" s="2"/>
      <c r="AA2054" s="2"/>
    </row>
    <row r="2055">
      <c r="A2055" s="1" t="s">
        <v>5061</v>
      </c>
      <c r="B2055" s="1" t="s">
        <v>5090</v>
      </c>
      <c r="C2055" s="1" t="s">
        <v>5091</v>
      </c>
      <c r="D2055" s="2" t="str">
        <f>IFERROR(__xludf.DUMMYFUNCTION("GOOGLETRANSLATE(B2055, ""en"", ""TL"")"),"Paano tinutugunan ng batas ang mga insidente ng torture at ang mga legal na kahihinatnan para sa mga may kasalanan?")</f>
        <v>Paano tinutugunan ng batas ang mga insidente ng torture at ang mga legal na kahihinatnan para sa mga may kasalanan?</v>
      </c>
      <c r="E2055" s="2" t="str">
        <f>IFERROR(__xludf.DUMMYFUNCTION("GOOGLETRANSLATE(C2055, ""en"", ""TL"")"),"Ang Pilipinas ay may partikular na batas upang tugunan ang torture at ang mga kahihinatnan nito para sa mga may kasalanan. Narito ang isang breakdown ng mga pangunahing aspeto:
**Anti-Torture Act of 2009 (Republic Act No. 9745):**
* Isinakriminal ng batas"&amp;" na ito ang torture** at nagbibigay ng balangkas para sa pagsisiyasat, pag-uusig, at pagpigil sa torture sa loob ng Pilipinas.
**Kahulugan ng Torture:**
* Tinutukoy ng batas ang torture bilang ang sinadyang pagpapahirap o pagdurusa, pisikal man o mental**"&amp;", sa isang tao para sa mga layunin tulad ng:
* Pagpaparusa sa kanya para sa isang gawa na nagawa niya o ng ibang tao o pinaghihinalaang nagawa niya
* Pagbabanta o pananakot sa kanya o sa ibang tao
* Pagpipilit sa kanya o sa ibang tao na magbigay ng imporm"&amp;"asyon o isang pagtatapat
* Pagpipilit sa kanya o sa ibang tao sa anumang dahilan batay sa anumang uri ng diskriminasyon
**Mga Gawa na Itinuring na Torture:**
* Ang batas ay nagdedetalye ng iba't ibang gawain na maaaring ituring na tortyur, kabilang ang:
*"&amp;" Pisikal na karahasan (pambubugbog, electric shock, atbp.)
* Mga banta ng karahasan
* Sikolohikal na pang-aabuso
* Matagal na nag-iisa na pagkakakulong
* Kawalan ng pagkain, tubig, o pagtulog
**Mga Parusa para sa Torture:**
* Ang mga parusa para sa tortur"&amp;"e ay mabigat**, depende sa kalubhaan ng mga gawang ginawa at ang resultang pinsala sa biktima. * Ang mga parusa ay mula sa reclusion perpetua (pagkakulong ng hanggang 40 taon)** hanggang sa reclusion temporal (pagkakulong nang hindi bababa sa 12 taon at 1"&amp;" araw)**.
**Pagsisiyasat at Pag-uusig:**
* Ang batas ay nag-uutos ng maagap at walang kinikilingan na imbestigasyon** sa lahat ng mga paratang sa tortyur. * Ang Commission on Human Rights (CHR)** ay gumaganap ng mahalagang papel sa pag-iimbestiga sa mga k"&amp;"aso ng torture.
* Ang mga may kasalanan ay maaaring managot ng kriminal**, anuman ang kanilang posisyon o katayuan (hal., mga opisyal ng pagpapatupad ng batas, mga opisyal ng estado).
**Proteksyon para sa mga Biktima:**
* Ginagarantiyahan ng Anti-Torture "&amp;"Act ang mga biktima ng torture ng ilang karapatan, kabilang ang:
* Ang karapatan sa medikal at sikolohikal na pangangalaga
* Legal na tulong
* Kabayaran
**Mga Hamon at Pagsasaalang-alang:**
* **Pagpapatupad:** Ang pagtiyak sa epektibong pagpapatupad ng ba"&amp;"tas ay mahalaga. Nangangailangan ito ng sapat na pagsasanay para sa mga opisyal ng pagpapatupad ng batas at hudikatura sa pagtukoy at pag-iimbestiga sa mga kaso ng torture.
* **Culture of Impunity:** Ang pagtugon sa isang kultura ng impunity** kung saan a"&amp;"ng mga may kasalanan ay nararamdaman na maaari silang kumilos nang walang kahihinatnan ay mahalaga para sa pangmatagalang pagbabago.
**Sa pangkalahatan, ang Pilipinas ay may legal na balangkas para labanan ang torture. Gayunpaman, kailangan ang patuloy na"&amp;" pagsisikap upang palakasin ang mga mekanismo ng pagpapatupad, isulong ang pananagutan, at tiyakin ang komprehensibong suporta para sa mga biktima.**
Narito ang ilang mapagkukunan para sa karagdagang impormasyon:
* Commission on Human Rights (CHR): [https"&amp;"://chr.gov.ph/](https://chr.gov.ph/)
* Department of Justice (DOJ): [https://www.doj.gov.ph/](https://www.doj.gov.ph/)")</f>
        <v>Ang Pilipinas ay may partikular na batas upang tugunan ang torture at ang mga kahihinatnan nito para sa mga may kasalanan. Narito ang isang breakdown ng mga pangunahing aspeto:
**Anti-Torture Act of 2009 (Republic Act No. 9745):**
* Isinakriminal ng batas na ito ang torture** at nagbibigay ng balangkas para sa pagsisiyasat, pag-uusig, at pagpigil sa torture sa loob ng Pilipinas.
**Kahulugan ng Torture:**
* Tinutukoy ng batas ang torture bilang ang sinadyang pagpapahirap o pagdurusa, pisikal man o mental**, sa isang tao para sa mga layunin tulad ng:
* Pagpaparusa sa kanya para sa isang gawa na nagawa niya o ng ibang tao o pinaghihinalaang nagawa niya
* Pagbabanta o pananakot sa kanya o sa ibang tao
* Pagpipilit sa kanya o sa ibang tao na magbigay ng impormasyon o isang pagtatapat
* Pagpipilit sa kanya o sa ibang tao sa anumang dahilan batay sa anumang uri ng diskriminasyon
**Mga Gawa na Itinuring na Torture:**
* Ang batas ay nagdedetalye ng iba't ibang gawain na maaaring ituring na tortyur, kabilang ang:
* Pisikal na karahasan (pambubugbog, electric shock, atbp.)
* Mga banta ng karahasan
* Sikolohikal na pang-aabuso
* Matagal na nag-iisa na pagkakakulong
* Kawalan ng pagkain, tubig, o pagtulog
**Mga Parusa para sa Torture:**
* Ang mga parusa para sa torture ay mabigat**, depende sa kalubhaan ng mga gawang ginawa at ang resultang pinsala sa biktima. * Ang mga parusa ay mula sa reclusion perpetua (pagkakulong ng hanggang 40 taon)** hanggang sa reclusion temporal (pagkakulong nang hindi bababa sa 12 taon at 1 araw)**.
**Pagsisiyasat at Pag-uusig:**
* Ang batas ay nag-uutos ng maagap at walang kinikilingan na imbestigasyon** sa lahat ng mga paratang sa tortyur. * Ang Commission on Human Rights (CHR)** ay gumaganap ng mahalagang papel sa pag-iimbestiga sa mga kaso ng torture.
* Ang mga may kasalanan ay maaaring managot ng kriminal**, anuman ang kanilang posisyon o katayuan (hal., mga opisyal ng pagpapatupad ng batas, mga opisyal ng estado).
**Proteksyon para sa mga Biktima:**
* Ginagarantiyahan ng Anti-Torture Act ang mga biktima ng torture ng ilang karapatan, kabilang ang:
* Ang karapatan sa medikal at sikolohikal na pangangalaga
* Legal na tulong
* Kabayaran
**Mga Hamon at Pagsasaalang-alang:**
* **Pagpapatupad:** Ang pagtiyak sa epektibong pagpapatupad ng batas ay mahalaga. Nangangailangan ito ng sapat na pagsasanay para sa mga opisyal ng pagpapatupad ng batas at hudikatura sa pagtukoy at pag-iimbestiga sa mga kaso ng torture.
* **Culture of Impunity:** Ang pagtugon sa isang kultura ng impunity** kung saan ang mga may kasalanan ay nararamdaman na maaari silang kumilos nang walang kahihinatnan ay mahalaga para sa pangmatagalang pagbabago.
**Sa pangkalahatan, ang Pilipinas ay may legal na balangkas para labanan ang torture. Gayunpaman, kailangan ang patuloy na pagsisikap upang palakasin ang mga mekanismo ng pagpapatupad, isulong ang pananagutan, at tiyakin ang komprehensibong suporta para sa mga biktima.**
Narito ang ilang mapagkukunan para sa karagdagang impormasyon:
* Commission on Human Rights (CHR): [https://chr.gov.ph/](https://chr.gov.ph/)
* Department of Justice (DOJ): [https://www.doj.gov.ph/](https://www.doj.gov.ph/)</v>
      </c>
      <c r="F2055" s="2">
        <f t="shared" si="1"/>
        <v>0</v>
      </c>
      <c r="G2055" s="2"/>
      <c r="H2055" s="2"/>
      <c r="I2055" s="2"/>
      <c r="J2055" s="2"/>
      <c r="K2055" s="2"/>
      <c r="L2055" s="2"/>
      <c r="M2055" s="2"/>
      <c r="N2055" s="2"/>
      <c r="O2055" s="2"/>
      <c r="P2055" s="2"/>
      <c r="Q2055" s="2"/>
      <c r="R2055" s="2"/>
      <c r="S2055" s="2"/>
      <c r="T2055" s="2"/>
      <c r="U2055" s="2"/>
      <c r="V2055" s="2"/>
      <c r="W2055" s="2"/>
      <c r="X2055" s="2"/>
      <c r="Y2055" s="2"/>
      <c r="Z2055" s="2"/>
      <c r="AA2055" s="2"/>
    </row>
    <row r="2056">
      <c r="A2056" s="1" t="s">
        <v>5061</v>
      </c>
      <c r="B2056" s="1" t="s">
        <v>5092</v>
      </c>
      <c r="C2056" s="1" t="s">
        <v>5093</v>
      </c>
      <c r="D2056" s="2" t="str">
        <f>IFERROR(__xludf.DUMMYFUNCTION("GOOGLETRANSLATE(B2056, ""en"", ""TL"")"),"Anong mga parusa ang naaangkop para sa pagsali sa krimen ng arson at malicious mischief?")</f>
        <v>Anong mga parusa ang naaangkop para sa pagsali sa krimen ng arson at malicious mischief?</v>
      </c>
      <c r="E2056" s="2" t="str">
        <f>IFERROR(__xludf.DUMMYFUNCTION("GOOGLETRANSLATE(C2056, ""en"", ""TL"")"),"Sa Pilipinas, ang isang tao ay maaaring kasuhan ng krimen ng pagdukot o pagkidnap sa ilalim ng mga partikular na pangyayari. Suriin natin ang mga legal na aspeto:
Pagkidnap at Malubhang Illegal na Detensyon:
- Kahulugan: Ang pagkidnap ay tumutukoy sa sapi"&amp;"litang transportasyon o pagdukot ng mga indibidwal na labag sa kanilang kalooban. Ang seryosong iligal na pagpigil ay kinapapalooban ng aktwal na pagkakait ng kalayaan ng isang biktima, kasama ng malinaw na katibayan ng layunin ng akusado na ipatupad ang "&amp;"naturang pagkakait.
- Legal na Batayan: Binabalangkas ng Artikulo 267 ng Binagong Kodigo Penal ang pagkakasala ng kidnapping at seryosong iligal na pagkulong. Ang sinumang pribadong indibidwal na kumidnap o nagkulong sa iba, sa gayo'y inaalis sa kanila an"&amp;"g kalayaan, ay maaaring maharap sa parusang reclusion perpetua hanggang kamatayan sa ilalim ng mga sumusunod na pangyayari:
- Ang pagkidnap o pagkulong ay tumatagal ng higit sa tatlong araw.
- Ang kilos ay ginawa sa pamamagitan ng pagtulad sa pampublikong"&amp;" awtoridad.
- Malubhang pisikal na pinsala ay ibinibigay sa biktima o mga banta na papatayin sila.
- Kung ang biktima ay isang menor de edad (maliban kapag ang akusado ay isang magulang, babae, o isang pampublikong opisyal), ang parusa ay maaaring kamatay"&amp;"an kung ang pagkakasala ay naglalayong mangikil ng ransom mula sa biktima o sinumang ibang tao.
- Sa mga kaso kung saan ang biktima ay pinatay, namatay dahil sa detensyon, ginahasa, o isinailalim sa tortyur o dehumanizing na mga gawain, ang pinakamataas n"&amp;"a parusa ay dapat ipataw (tulad ng sinusugan ng R.A. 7659).
- Mga Mode ng Komisyon:
- Pagkidnap at Malubhang Illegal na Detensyon: Ang nagkasala ay isang pribadong indibidwal na kumikidnap o nagdedetine ng iba, na inaalis sa kanila ang kalayaan. Ang pagka"&amp;"kasala ay maaaring may kinalaman sa alinman sa mga pangyayaring nabanggit sa itaas.
- Kidnapping for Ransom: Ang mode na ito ay partikular na nagta-target ng pangingikil ng ransom mula sa biktima.
- Tagal ng Detensyon:
- Kung ang biktima ay menor de edad,"&amp;" ang tagal ng pagkakakulong ay hindi materyal. Kahit na ang detensyon ay tumagal ng wala pang tatlong araw, maaari pa rin itong maging kidnapping kung may ibang elemento.
Ang mga legal na probisyon na ito ay naglalayong protektahan ang mga indibidwal mula"&amp;" sa labag sa batas na pagkakait ng kalayaan at magpataw ng matinding parusa sa mga may kasalanan ng pagdukot o pagkidnap.")</f>
        <v>Sa Pilipinas, ang isang tao ay maaaring kasuhan ng krimen ng pagdukot o pagkidnap sa ilalim ng mga partikular na pangyayari. Suriin natin ang mga legal na aspeto:
Pagkidnap at Malubhang Illegal na Detensyon:
- Kahulugan: Ang pagkidnap ay tumutukoy sa sapilitang transportasyon o pagdukot ng mga indibidwal na labag sa kanilang kalooban. Ang seryosong iligal na pagpigil ay kinapapalooban ng aktwal na pagkakait ng kalayaan ng isang biktima, kasama ng malinaw na katibayan ng layunin ng akusado na ipatupad ang naturang pagkakait.
- Legal na Batayan: Binabalangkas ng Artikulo 267 ng Binagong Kodigo Penal ang pagkakasala ng kidnapping at seryosong iligal na pagkulong. Ang sinumang pribadong indibidwal na kumidnap o nagkulong sa iba, sa gayo'y inaalis sa kanila ang kalayaan, ay maaaring maharap sa parusang reclusion perpetua hanggang kamatayan sa ilalim ng mga sumusunod na pangyayari:
- Ang pagkidnap o pagkulong ay tumatagal ng higit sa tatlong araw.
- Ang kilos ay ginawa sa pamamagitan ng pagtulad sa pampublikong awtoridad.
- Malubhang pisikal na pinsala ay ibinibigay sa biktima o mga banta na papatayin sila.
- Kung ang biktima ay isang menor de edad (maliban kapag ang akusado ay isang magulang, babae, o isang pampublikong opisyal), ang parusa ay maaaring kamatayan kung ang pagkakasala ay naglalayong mangikil ng ransom mula sa biktima o sinumang ibang tao.
- Sa mga kaso kung saan ang biktima ay pinatay, namatay dahil sa detensyon, ginahasa, o isinailalim sa tortyur o dehumanizing na mga gawain, ang pinakamataas na parusa ay dapat ipataw (tulad ng sinusugan ng R.A. 7659).
- Mga Mode ng Komisyon:
- Pagkidnap at Malubhang Illegal na Detensyon: Ang nagkasala ay isang pribadong indibidwal na kumikidnap o nagdedetine ng iba, na inaalis sa kanila ang kalayaan. Ang pagkakasala ay maaaring may kinalaman sa alinman sa mga pangyayaring nabanggit sa itaas.
- Kidnapping for Ransom: Ang mode na ito ay partikular na nagta-target ng pangingikil ng ransom mula sa biktima.
- Tagal ng Detensyon:
- Kung ang biktima ay menor de edad, ang tagal ng pagkakakulong ay hindi materyal. Kahit na ang detensyon ay tumagal ng wala pang tatlong araw, maaari pa rin itong maging kidnapping kung may ibang elemento.
Ang mga legal na probisyon na ito ay naglalayong protektahan ang mga indibidwal mula sa labag sa batas na pagkakait ng kalayaan at magpataw ng matinding parusa sa mga may kasalanan ng pagdukot o pagkidnap.</v>
      </c>
      <c r="F2056" s="2">
        <f t="shared" si="1"/>
        <v>0</v>
      </c>
      <c r="G2056" s="2"/>
      <c r="H2056" s="2"/>
      <c r="I2056" s="2"/>
      <c r="J2056" s="2"/>
      <c r="K2056" s="2"/>
      <c r="L2056" s="2"/>
      <c r="M2056" s="2"/>
      <c r="N2056" s="2"/>
      <c r="O2056" s="2"/>
      <c r="P2056" s="2"/>
      <c r="Q2056" s="2"/>
      <c r="R2056" s="2"/>
      <c r="S2056" s="2"/>
      <c r="T2056" s="2"/>
      <c r="U2056" s="2"/>
      <c r="V2056" s="2"/>
      <c r="W2056" s="2"/>
      <c r="X2056" s="2"/>
      <c r="Y2056" s="2"/>
      <c r="Z2056" s="2"/>
      <c r="AA2056" s="2"/>
    </row>
    <row r="2057">
      <c r="A2057" s="1" t="s">
        <v>5061</v>
      </c>
      <c r="B2057" s="1" t="s">
        <v>5094</v>
      </c>
      <c r="C2057" s="1" t="s">
        <v>5095</v>
      </c>
      <c r="D2057" s="2" t="str">
        <f>IFERROR(__xludf.DUMMYFUNCTION("GOOGLETRANSLATE(B2057, ""en"", ""TL"")"),"Paano kinokontrol at pinaparusahan ang pagkakasala ng iligal na pagmamay-ari ng mga baril o pampasabog?")</f>
        <v>Paano kinokontrol at pinaparusahan ang pagkakasala ng iligal na pagmamay-ari ng mga baril o pampasabog?</v>
      </c>
      <c r="E2057" s="2" t="str">
        <f>IFERROR(__xludf.DUMMYFUNCTION("GOOGLETRANSLATE(C2057, ""en"", ""TL"")"),"Sa Pilipinas, ang pagkakasala ng iligal na pagdadala ng mga baril o pampasabog ay mahigpit na kinokontrol at may malalaking parusa. Suriin natin ang mga detalye:
Ilegal na Pag-aari ng mga Baril:
- Ang parusa para sa iligal na pagmamay-ari ng mga baril ay "&amp;"mula 12 taon at isang araw hanggang 20 taon ng pagkakulong, depende sa mga pangyayari ng pagkakasala.
- Binabalangkas ng Republic Act No. 10591 ang mga probisyon na may kaugnayan sa mga baril, kabilang ang mga parusa para sa labag sa batas na pagkuha o pa"&amp;"gmamay-ari.
- Ang hindi pagsunod sa mga probisyong ito ay itinuturing na ilegal na pagmamay-ari ng baril at pinarurusahan sa ilalim ng batas.
Ilegal na Pag-aari ng mga Pasasabog:
- R.A. 9516 (Republic Act No. 9516) ay nagsususog sa mga probisyon ng Presid"&amp;"ential Decree No. 1866, na nagsasaad ng mga batas na may kaugnayan sa iligal/labag sa batas na pagmamay-ari, paggawa, pakikitungo, pagkuha, o disposisyon ng mga baril, bala, pampasabog, o mga instrumento na ginagamit sa kanilang paggawa .
- Mga pangunahin"&amp;"g punto mula sa R.A. 9516 ay kinabibilangan ng:
- Labag sa batas na Paggawa, Pagbebenta, Pagkuha, Disposisyon, Pag-aangkat, o Pagmamay-ari ng Isang Paputok o Incendiary na Device:
- Ang parusa para sa paglabag na ito ay reclusion perpetua (habang buhay na"&amp;" pagkakakulong).
- Nalalapat ito sa sinumang kusa at labag sa batas na gumagawa, nagtitipon, nakipag-deal sa, nakakakuha, nagtatapon, nag-import, o nagtataglay ng anumang pampasabog o nakakasunog na aparato na may kaalaman sa pagkakaroon at katangian nito"&amp;".
- Ang pagmamay-ari lamang ng naturang aparato ay itinuturing na katibayan ng kaalaman sa likas na paputok o pagsunog nito.
- Ang pansamantala, hindi sinasadya, hindi nakakapinsalang pag-aari para sa pagsuko sa mga awtoridad ay hindi kasama sa paglabag n"&amp;"a ito.
- Labag sa Batas na Paggawa, Pagbebenta, Pagkuha, Disposisyon, Pag-aangkat, o Pagmamay-ari ng Bahagi, Ingredient, Makinarya, Tool, o Instrumentong Ginagamit para sa mga Explosive:
- Ang mga katulad na parusa ay nalalapat sa mga sangkot sa paggawa, "&amp;"pagtatayo, pagpupulong, paghahatid, o pagpapasabog ng mga pampasabog.
Ang mga regulasyong ito ay naglalayong hadlangan ang iligal na pag-aari at paggamit ng mga baril at pampasabog, pagpapabuti ng kaligtasan at seguridad ng publiko sa Pilipinas.")</f>
        <v>Sa Pilipinas, ang pagkakasala ng iligal na pagdadala ng mga baril o pampasabog ay mahigpit na kinokontrol at may malalaking parusa. Suriin natin ang mga detalye:
Ilegal na Pag-aari ng mga Baril:
- Ang parusa para sa iligal na pagmamay-ari ng mga baril ay mula 12 taon at isang araw hanggang 20 taon ng pagkakulong, depende sa mga pangyayari ng pagkakasala.
- Binabalangkas ng Republic Act No. 10591 ang mga probisyon na may kaugnayan sa mga baril, kabilang ang mga parusa para sa labag sa batas na pagkuha o pagmamay-ari.
- Ang hindi pagsunod sa mga probisyong ito ay itinuturing na ilegal na pagmamay-ari ng baril at pinarurusahan sa ilalim ng batas.
Ilegal na Pag-aari ng mga Pasasabog:
- R.A. 9516 (Republic Act No. 9516) ay nagsususog sa mga probisyon ng Presidential Decree No. 1866, na nagsasaad ng mga batas na may kaugnayan sa iligal/labag sa batas na pagmamay-ari, paggawa, pakikitungo, pagkuha, o disposisyon ng mga baril, bala, pampasabog, o mga instrumento na ginagamit sa kanilang paggawa .
- Mga pangunahing punto mula sa R.A. 9516 ay kinabibilangan ng:
- Labag sa batas na Paggawa, Pagbebenta, Pagkuha, Disposisyon, Pag-aangkat, o Pagmamay-ari ng Isang Paputok o Incendiary na Device:
- Ang parusa para sa paglabag na ito ay reclusion perpetua (habang buhay na pagkakakulong).
- Nalalapat ito sa sinumang kusa at labag sa batas na gumagawa, nagtitipon, nakipag-deal sa, nakakakuha, nagtatapon, nag-import, o nagtataglay ng anumang pampasabog o nakakasunog na aparato na may kaalaman sa pagkakaroon at katangian nito.
- Ang pagmamay-ari lamang ng naturang aparato ay itinuturing na katibayan ng kaalaman sa likas na paputok o pagsunog nito.
- Ang pansamantala, hindi sinasadya, hindi nakakapinsalang pag-aari para sa pagsuko sa mga awtoridad ay hindi kasama sa paglabag na ito.
- Labag sa Batas na Paggawa, Pagbebenta, Pagkuha, Disposisyon, Pag-aangkat, o Pagmamay-ari ng Bahagi, Ingredient, Makinarya, Tool, o Instrumentong Ginagamit para sa mga Explosive:
- Ang mga katulad na parusa ay nalalapat sa mga sangkot sa paggawa, pagtatayo, pagpupulong, paghahatid, o pagpapasabog ng mga pampasabog.
Ang mga regulasyong ito ay naglalayong hadlangan ang iligal na pag-aari at paggamit ng mga baril at pampasabog, pagpapabuti ng kaligtasan at seguridad ng publiko sa Pilipinas.</v>
      </c>
      <c r="F2057" s="2">
        <f t="shared" si="1"/>
        <v>0</v>
      </c>
      <c r="G2057" s="2"/>
      <c r="H2057" s="2"/>
      <c r="I2057" s="2"/>
      <c r="J2057" s="2"/>
      <c r="K2057" s="2"/>
      <c r="L2057" s="2"/>
      <c r="M2057" s="2"/>
      <c r="N2057" s="2"/>
      <c r="O2057" s="2"/>
      <c r="P2057" s="2"/>
      <c r="Q2057" s="2"/>
      <c r="R2057" s="2"/>
      <c r="S2057" s="2"/>
      <c r="T2057" s="2"/>
      <c r="U2057" s="2"/>
      <c r="V2057" s="2"/>
      <c r="W2057" s="2"/>
      <c r="X2057" s="2"/>
      <c r="Y2057" s="2"/>
      <c r="Z2057" s="2"/>
      <c r="AA2057" s="2"/>
    </row>
    <row r="2058">
      <c r="A2058" s="1" t="s">
        <v>5061</v>
      </c>
      <c r="B2058" s="1" t="s">
        <v>5096</v>
      </c>
      <c r="C2058" s="1" t="s">
        <v>5097</v>
      </c>
      <c r="D2058" s="2" t="str">
        <f>IFERROR(__xludf.DUMMYFUNCTION("GOOGLETRANSLATE(B2058, ""en"", ""TL"")"),"Anong mga legal na probisyon ang namamahala sa krimen ng mga pisikal na pinsala na nagreresulta sa kamatayan?")</f>
        <v>Anong mga legal na probisyon ang namamahala sa krimen ng mga pisikal na pinsala na nagreresulta sa kamatayan?</v>
      </c>
      <c r="E2058" s="2" t="str">
        <f>IFERROR(__xludf.DUMMYFUNCTION("GOOGLETRANSLATE(C2058, ""en"", ""TL"")"),"Sa Pilipinas, ang mga legal na probisyon na namamahala sa krimen ng physical injuries na nagreresulta sa kamatayan ay nakabalangkas sa Revised Penal Code. Tuklasin natin ang mga nauugnay na detalye:
Malubhang Pisikal na Pinsala:
- Tinutugunan ng Artikulo "&amp;"263 ng Binagong Kodigo Penal ang mga malubhang pinsalang pisikal. Ito ay nagsasaad na sinumang tao na sumugat, bumugbog, o umaatake sa iba ay dapat magkasala ng krimen ng malubhang pisikal na pinsala.
- Ang mga parusa para sa mga malubhang pinsalang pisik"&amp;"al ay nag-iiba batay sa mga kahihinatnan ng mga pinsalang natamo:
- Kung ang nasugatan ay naging baliw, tulala, walang lakas, o bulag dahil sa mga pisikal na pinsala, ang parusa ay prision mayor.
- Kung ang nasugatan ay nawalan ng paggamit ng pananalita, "&amp;"pandinig, amoy, mata, kamay, paa, braso, o binti, o nawalan ng kakayahan para sa nakagawiang trabaho, ang parusa ay prision correccional sa medium at maximum na mga panahon nito.
- Kung ang taong nasugatan ay naging deformed, nawalan ng anumang bahagi ng "&amp;"katawan, o nawalan ng kakayahan para sa trabaho nang higit sa siyamnapung araw, ang parusa ay prision correccional sa pinakamababa at katamtamang panahon nito.
- Kung ang mga pinsala ay nagdudulot ng sakit o kawalan ng kakayahan para sa paggawa na tumatag"&amp;"al ng higit sa tatlumpung araw, ang parusa ay arresto mayor sa pinakamataas na panahon nito sa prision correccional sa pinakamababang panahon nito.
- Ang mga parusang ito ay maaaring tumaas kung ang pagkakasala ay ginawa laban sa mga partikular na indibid"&amp;"wal o sa ilalim ng ilang mga pangyayari.
Di-gaanong Malubhang Pisikal na Pinsala na may Layong Pumatay o Saktan:
- Kapag hindi gaanong seryosong pisikal na pinsala ang natamo na may malinaw na layunin na pumatay o makasakit, ang nagkasala ay nahaharap sa "&amp;"parusa ng arresto mayor at multang hindi hihigit sa 500 pesos.
Mga Pambihirang Kalagayan:
- Sa mga kaso ng isang magulong away kung saan ang mga malalang pisikal na pinsala ay natamo sa mga kalahok, at ang responsableng tao ay hindi matukoy, ang parusa ay"&amp;" ang susunod na mas mababang antas kaysa sa ibinigay para sa mga pinsala.
- Para sa hindi gaanong malubhang pinsala kung saan hindi matukoy ang responsableng tao, ang mga gumamit ng karahasan sa nasaktang partido ay nahaharap sa arresto mayor.
Ang mga leg"&amp;"al na probisyon na ito ay naglalayong i-regulate at parusahan ang mga gawa ng pisikal na karahasan habang tinitiyak ang proporsyonal na parusa batay sa kalubhaan ng mga pinsalang natamo.")</f>
        <v>Sa Pilipinas, ang mga legal na probisyon na namamahala sa krimen ng physical injuries na nagreresulta sa kamatayan ay nakabalangkas sa Revised Penal Code. Tuklasin natin ang mga nauugnay na detalye:
Malubhang Pisikal na Pinsala:
- Tinutugunan ng Artikulo 263 ng Binagong Kodigo Penal ang mga malubhang pinsalang pisikal. Ito ay nagsasaad na sinumang tao na sumugat, bumugbog, o umaatake sa iba ay dapat magkasala ng krimen ng malubhang pisikal na pinsala.
- Ang mga parusa para sa mga malubhang pinsalang pisikal ay nag-iiba batay sa mga kahihinatnan ng mga pinsalang natamo:
- Kung ang nasugatan ay naging baliw, tulala, walang lakas, o bulag dahil sa mga pisikal na pinsala, ang parusa ay prision mayor.
- Kung ang nasugatan ay nawalan ng paggamit ng pananalita, pandinig, amoy, mata, kamay, paa, braso, o binti, o nawalan ng kakayahan para sa nakagawiang trabaho, ang parusa ay prision correccional sa medium at maximum na mga panahon nito.
- Kung ang taong nasugatan ay naging deformed, nawalan ng anumang bahagi ng katawan, o nawalan ng kakayahan para sa trabaho nang higit sa siyamnapung araw, ang parusa ay prision correccional sa pinakamababa at katamtamang panahon nito.
- Kung ang mga pinsala ay nagdudulot ng sakit o kawalan ng kakayahan para sa paggawa na tumatagal ng higit sa tatlumpung araw, ang parusa ay arresto mayor sa pinakamataas na panahon nito sa prision correccional sa pinakamababang panahon nito.
- Ang mga parusang ito ay maaaring tumaas kung ang pagkakasala ay ginawa laban sa mga partikular na indibidwal o sa ilalim ng ilang mga pangyayari.
Di-gaanong Malubhang Pisikal na Pinsala na may Layong Pumatay o Saktan:
- Kapag hindi gaanong seryosong pisikal na pinsala ang natamo na may malinaw na layunin na pumatay o makasakit, ang nagkasala ay nahaharap sa parusa ng arresto mayor at multang hindi hihigit sa 500 pesos.
Mga Pambihirang Kalagayan:
- Sa mga kaso ng isang magulong away kung saan ang mga malalang pisikal na pinsala ay natamo sa mga kalahok, at ang responsableng tao ay hindi matukoy, ang parusa ay ang susunod na mas mababang antas kaysa sa ibinigay para sa mga pinsala.
- Para sa hindi gaanong malubhang pinsala kung saan hindi matukoy ang responsableng tao, ang mga gumamit ng karahasan sa nasaktang partido ay nahaharap sa arresto mayor.
Ang mga legal na probisyon na ito ay naglalayong i-regulate at parusahan ang mga gawa ng pisikal na karahasan habang tinitiyak ang proporsyonal na parusa batay sa kalubhaan ng mga pinsalang natamo.</v>
      </c>
      <c r="F2058" s="2">
        <f t="shared" si="1"/>
        <v>0</v>
      </c>
      <c r="G2058" s="2"/>
      <c r="H2058" s="2"/>
      <c r="I2058" s="2"/>
      <c r="J2058" s="2"/>
      <c r="K2058" s="2"/>
      <c r="L2058" s="2"/>
      <c r="M2058" s="2"/>
      <c r="N2058" s="2"/>
      <c r="O2058" s="2"/>
      <c r="P2058" s="2"/>
      <c r="Q2058" s="2"/>
      <c r="R2058" s="2"/>
      <c r="S2058" s="2"/>
      <c r="T2058" s="2"/>
      <c r="U2058" s="2"/>
      <c r="V2058" s="2"/>
      <c r="W2058" s="2"/>
      <c r="X2058" s="2"/>
      <c r="Y2058" s="2"/>
      <c r="Z2058" s="2"/>
      <c r="AA2058" s="2"/>
    </row>
    <row r="2059">
      <c r="A2059" s="1" t="s">
        <v>5061</v>
      </c>
      <c r="B2059" s="1" t="s">
        <v>5098</v>
      </c>
      <c r="C2059" s="1" t="s">
        <v>5099</v>
      </c>
      <c r="D2059" s="2" t="str">
        <f>IFERROR(__xludf.DUMMYFUNCTION("GOOGLETRANSLATE(B2059, ""en"", ""TL"")"),"Sa ilalim ng anong mga pangyayari ang isang tao ay maaaring makasuhan ng krimen ng pagnanakaw na may karahasan o pananakot sa mga tao?")</f>
        <v>Sa ilalim ng anong mga pangyayari ang isang tao ay maaaring makasuhan ng krimen ng pagnanakaw na may karahasan o pananakot sa mga tao?</v>
      </c>
      <c r="E2059" s="2" t="str">
        <f>IFERROR(__xludf.DUMMYFUNCTION("GOOGLETRANSLATE(C2059, ""en"", ""TL"")"),"Sa Pilipinas, ang isang tao ay maaaring kasuhan ng krimen ng pagnanakaw na may karahasan o pananakot sa mga tao sa ilalim ng mga partikular na pangyayari. Tuklasin natin ang mga legal na probisyon na namamahala sa paglabag na ito:
Konsepto ng Pagnanakaw:
"&amp;"- Ang pagnanakaw ay isang pagkakasala na ginawa ng ""kahit sinong tao na, na may layuning makakuha, ay kukuha ng anumang personal na ari-arian na pag-aari ng iba, sa pamamagitan ng karahasan o pananakot sa sinumang tao, o paggamit ng dahas sa anumang baga"&amp;"y"".
- Kapag ang karahasan o pananakot ay sangkot, ito ay tataas sa pagkakasala ng pagnanakaw na may karahasan o pananakot sa mga tao.
Legal na Batayan:
- Binabalangkas ng Artikulo 294 ng Binagong Kodigo Penal ang mga parusa para sa pagnanakaw na may kara"&amp;"hasan laban o pananakot sa mga tao.
- Ang mga parusa ay depende sa kalubhaan ng pagkakasala at ang mga resultang kahihinatnan.
Mga parusa:
- Pagnanakaw na may Homicide, Rape, Mutilation, o Arson:
- Kung, sa panahon ng pagnanakaw, ang krimen ng homicide ay"&amp;" ginawa, ang parusa ay reclusion perpetua hanggang kamatayan.
- Ang parehong parusa ay nalalapat kung ang pagnanakaw ay sinamahan ng panggagahasa, sinadyang pagputol, o panununog.
- Pagnanakaw na may Pisikal na Pinsala:
- Kung ang mga pisikal na pinsala ("&amp;"tulad ng tinukoy sa Artikulo 263) ay ginawa sa panahon ng pagnanakaw, ang parusa ay:
- Reclusion temporal sa katamtamang panahon nito hanggang reclusion perpetua.
- Tinutukoy ng mga partikular na pinsala ang kalubhaan ng parusa.
- Labis na Karahasan o Pan"&amp;"anakot:
- Kung ang karahasan o pananakot na ginamit sa pagnanakaw ay malinaw na hindi kailangan para sa krimen, ang parusa ay:
- Prision mayor sa maximum period nito hanggang reclusion temporal sa medium period nito.
- Kung ang nagkasala ay nagdulot ng pi"&amp;"sikal na pinsala sa isang inosenteng tao sa panahon ng pagnanakaw, ang parusa ay:
- Prision correccional sa maximum period nito hanggang prision mayor sa medium period nito.
- Iba pang mga Kaso:
- Para sa ibang mga sitwasyon, ang parusa ay:
- Prision corr"&amp;"eccional sa maximum period nito hanggang prision mayor sa medium period nito.
Mga Pinasimpleng Mode ng Pagnanakaw sa ilalim ng Artikulo 294:
- Ang sumusunod na talahanayan ay nagbubuod sa iba't ibang paraan ng pagnanakaw sa ilalim ng Artikulo 294:
- Robbe"&amp;"ry with Homicide, Rape, Mutilation, o Arson: Nalalapat ang mga parusa kapag nangyari ang mga krimeng ito sa panahon ng pagnanakaw.
- Pagnanakaw na may Pisikal na Pinsala: Nag-iiba ang mga parusa batay sa mga natamo na pinsala.
- Labis na Karahasan o Panan"&amp;"akot: Ang hindi kinakailangang karahasan ay humahantong sa isang partikular na parusa.
- Iba pang mga Kaso: Pangkalahatang parusa para sa pagnanakaw na may karahasan o pananakot.")</f>
        <v>Sa Pilipinas, ang isang tao ay maaaring kasuhan ng krimen ng pagnanakaw na may karahasan o pananakot sa mga tao sa ilalim ng mga partikular na pangyayari. Tuklasin natin ang mga legal na probisyon na namamahala sa paglabag na ito:
Konsepto ng Pagnanakaw:
- Ang pagnanakaw ay isang pagkakasala na ginawa ng "kahit sinong tao na, na may layuning makakuha, ay kukuha ng anumang personal na ari-arian na pag-aari ng iba, sa pamamagitan ng karahasan o pananakot sa sinumang tao, o paggamit ng dahas sa anumang bagay".
- Kapag ang karahasan o pananakot ay sangkot, ito ay tataas sa pagkakasala ng pagnanakaw na may karahasan o pananakot sa mga tao.
Legal na Batayan:
- Binabalangkas ng Artikulo 294 ng Binagong Kodigo Penal ang mga parusa para sa pagnanakaw na may karahasan laban o pananakot sa mga tao.
- Ang mga parusa ay depende sa kalubhaan ng pagkakasala at ang mga resultang kahihinatnan.
Mga parusa:
- Pagnanakaw na may Homicide, Rape, Mutilation, o Arson:
- Kung, sa panahon ng pagnanakaw, ang krimen ng homicide ay ginawa, ang parusa ay reclusion perpetua hanggang kamatayan.
- Ang parehong parusa ay nalalapat kung ang pagnanakaw ay sinamahan ng panggagahasa, sinadyang pagputol, o panununog.
- Pagnanakaw na may Pisikal na Pinsala:
- Kung ang mga pisikal na pinsala (tulad ng tinukoy sa Artikulo 263) ay ginawa sa panahon ng pagnanakaw, ang parusa ay:
- Reclusion temporal sa katamtamang panahon nito hanggang reclusion perpetua.
- Tinutukoy ng mga partikular na pinsala ang kalubhaan ng parusa.
- Labis na Karahasan o Pananakot:
- Kung ang karahasan o pananakot na ginamit sa pagnanakaw ay malinaw na hindi kailangan para sa krimen, ang parusa ay:
- Prision mayor sa maximum period nito hanggang reclusion temporal sa medium period nito.
- Kung ang nagkasala ay nagdulot ng pisikal na pinsala sa isang inosenteng tao sa panahon ng pagnanakaw, ang parusa ay:
- Prision correccional sa maximum period nito hanggang prision mayor sa medium period nito.
- Iba pang mga Kaso:
- Para sa ibang mga sitwasyon, ang parusa ay:
- Prision correccional sa maximum period nito hanggang prision mayor sa medium period nito.
Mga Pinasimpleng Mode ng Pagnanakaw sa ilalim ng Artikulo 294:
- Ang sumusunod na talahanayan ay nagbubuod sa iba't ibang paraan ng pagnanakaw sa ilalim ng Artikulo 294:
- Robbery with Homicide, Rape, Mutilation, o Arson: Nalalapat ang mga parusa kapag nangyari ang mga krimeng ito sa panahon ng pagnanakaw.
- Pagnanakaw na may Pisikal na Pinsala: Nag-iiba ang mga parusa batay sa mga natamo na pinsala.
- Labis na Karahasan o Pananakot: Ang hindi kinakailangang karahasan ay humahantong sa isang partikular na parusa.
- Iba pang mga Kaso: Pangkalahatang parusa para sa pagnanakaw na may karahasan o pananakot.</v>
      </c>
      <c r="F2059" s="2">
        <f t="shared" si="1"/>
        <v>0</v>
      </c>
      <c r="G2059" s="2"/>
      <c r="H2059" s="2"/>
      <c r="I2059" s="2"/>
      <c r="J2059" s="2"/>
      <c r="K2059" s="2"/>
      <c r="L2059" s="2"/>
      <c r="M2059" s="2"/>
      <c r="N2059" s="2"/>
      <c r="O2059" s="2"/>
      <c r="P2059" s="2"/>
      <c r="Q2059" s="2"/>
      <c r="R2059" s="2"/>
      <c r="S2059" s="2"/>
      <c r="T2059" s="2"/>
      <c r="U2059" s="2"/>
      <c r="V2059" s="2"/>
      <c r="W2059" s="2"/>
      <c r="X2059" s="2"/>
      <c r="Y2059" s="2"/>
      <c r="Z2059" s="2"/>
      <c r="AA2059" s="2"/>
    </row>
    <row r="2060">
      <c r="A2060" s="1" t="s">
        <v>5061</v>
      </c>
      <c r="B2060" s="1" t="s">
        <v>5100</v>
      </c>
      <c r="C2060" s="1" t="s">
        <v>5101</v>
      </c>
      <c r="D2060" s="2" t="str">
        <f>IFERROR(__xludf.DUMMYFUNCTION("GOOGLETRANSLATE(B2060, ""en"", ""TL"")"),"Paano tinutugunan ng batas ang mga insidente ng panliligalig at ang mga legal na kahihinatnan nito?")</f>
        <v>Paano tinutugunan ng batas ang mga insidente ng panliligalig at ang mga legal na kahihinatnan nito?</v>
      </c>
      <c r="E2060" s="2" t="str">
        <f>IFERROR(__xludf.DUMMYFUNCTION("GOOGLETRANSLATE(C2060, ""en"", ""TL"")"),"Sa **Philippines**, ang pagtugon sa mga insidente ng **panliligalig** ay nagsasangkot ng pag-unawa sa mga legal na karapatan at opsyon. Tuklasin natin ang mga pangkalahatang legal na mekanismo at kahihinatnan na nauugnay sa panliligalig:
1. **Mga Batas sa"&amp;" Panliligalig sa Pilipinas**:
- Maaaring magkaroon ng iba't ibang anyo ang panliligalig, kabilang ang mga masasakit na mensahe, lalo na sa digital age.
- **Ang Artikulo 26 ng Kodigo Sibil** ay kinikilala ang karapatan sa pagkapribado at nagbibigay ng mga "&amp;"remedyo para sa mga pinsalang dulot ng mga labag sa batas na gawaing lumalabag sa pagkapribado.
- **Anti-Cybercrime Law (Republic Act No. 10175)** ay tumutugon sa online na panliligalig, kabilang ang cyberbullying, cyberstalking, at mga nakakasakit na men"&amp;"sahe.
- **Anti-Sexual Harassment Act (Republic Act No. 7877)** ay nagpoprotekta sa mga indibidwal mula sa sekswal na panliligalig sa mga lugar ng trabaho, paaralan, at pampublikong espasyo.
- **Ang Violence Against Women and Their Children Act (Republic A"&amp;"ct No. 9262)** ay sumasaklaw sa panliligalig laban sa kababaihan at mga bata, kabilang ang sikolohikal na pinsala.
- **Mga Order sa Proteksyon**:
- Maaaring humingi ang mga biktima ng **Temporary Protection Orders (TPOs)** o **Permanent Protection Orders "&amp;"(PPOs)** mula sa mga korte upang maiwasan ang karagdagang panliligalig.
- Maaaring ipagbawal ng mga utos na ito ang nanliligalig na makipag-ugnayan sa biktima o lumapit sa kanilang tirahan o lugar ng trabaho.
- **Mga Parusa sa Kriminal**:
- Depende sa kal"&amp;"ubhaan, ang panliligalig ay maaaring humantong sa mga kasong kriminal gaya ng **oral defamation**, **grave threats**, o **unjust vexation**.
- Kasama sa mga parusa ang mga multa, pagkakulong, o pareho.
- **Mga Remedyong Sibil**:
- Ang mga biktima ay maaar"&amp;"ing magsampa ng mga kasong sibil para sa mga pinsala laban sa nanliligalig.
- Maaaring kabilang sa mga pinsala ang kabayaran para sa emosyonal na pagkabalisa, mga gastusing medikal, at bayad sa abogado.
- **Kumonsulta sa Mga Legal na Propesyonal**:
- Para"&amp;" sa personalized na payo, kumunsulta sa mga eksperto sa batas na maaaring gumabay sa iyo batay sa iyong mga partikular na sitwasyon¹.
2. **Respicio &amp; Co. Law Firm**:
- Kung nahaharap ka sa panliligalig sa pamamagitan ng mga masasakit na mensahe sa Pilipin"&amp;"as, isaalang-alang ang pagkonsulta sa **Respicio &amp; Co. Law Firm**.
- Ang kanilang koponan ay maaaring magbigay ng personalized na tulong na angkop sa iyong sitwasyon.
- Tandaan na ang artikulong ito ay nag-aalok ng pangkalahatang impormasyon at hindi bumu"&amp;"buo ng legal na payo. Humingi ng mga kwalipikadong propesyonal para sa gabay¹.
Ang panliligalig ay isang seryosong bagay, at mayroong mga legal na paraan upang protektahan ang mga indibidwal at panagutin ang mga nagkasala. Humingi ng propesyonal na payo u"&amp;"pang epektibong mag-navigate sa iyong partikular na sitwasyon.")</f>
        <v>Sa **Philippines**, ang pagtugon sa mga insidente ng **panliligalig** ay nagsasangkot ng pag-unawa sa mga legal na karapatan at opsyon. Tuklasin natin ang mga pangkalahatang legal na mekanismo at kahihinatnan na nauugnay sa panliligalig:
1. **Mga Batas sa Panliligalig sa Pilipinas**:
- Maaaring magkaroon ng iba't ibang anyo ang panliligalig, kabilang ang mga masasakit na mensahe, lalo na sa digital age.
- **Ang Artikulo 26 ng Kodigo Sibil** ay kinikilala ang karapatan sa pagkapribado at nagbibigay ng mga remedyo para sa mga pinsalang dulot ng mga labag sa batas na gawaing lumalabag sa pagkapribado.
- **Anti-Cybercrime Law (Republic Act No. 10175)** ay tumutugon sa online na panliligalig, kabilang ang cyberbullying, cyberstalking, at mga nakakasakit na mensahe.
- **Anti-Sexual Harassment Act (Republic Act No. 7877)** ay nagpoprotekta sa mga indibidwal mula sa sekswal na panliligalig sa mga lugar ng trabaho, paaralan, at pampublikong espasyo.
- **Ang Violence Against Women and Their Children Act (Republic Act No. 9262)** ay sumasaklaw sa panliligalig laban sa kababaihan at mga bata, kabilang ang sikolohikal na pinsala.
- **Mga Order sa Proteksyon**:
- Maaaring humingi ang mga biktima ng **Temporary Protection Orders (TPOs)** o **Permanent Protection Orders (PPOs)** mula sa mga korte upang maiwasan ang karagdagang panliligalig.
- Maaaring ipagbawal ng mga utos na ito ang nanliligalig na makipag-ugnayan sa biktima o lumapit sa kanilang tirahan o lugar ng trabaho.
- **Mga Parusa sa Kriminal**:
- Depende sa kalubhaan, ang panliligalig ay maaaring humantong sa mga kasong kriminal gaya ng **oral defamation**, **grave threats**, o **unjust vexation**.
- Kasama sa mga parusa ang mga multa, pagkakulong, o pareho.
- **Mga Remedyong Sibil**:
- Ang mga biktima ay maaaring magsampa ng mga kasong sibil para sa mga pinsala laban sa nanliligalig.
- Maaaring kabilang sa mga pinsala ang kabayaran para sa emosyonal na pagkabalisa, mga gastusing medikal, at bayad sa abogado.
- **Kumonsulta sa Mga Legal na Propesyonal**:
- Para sa personalized na payo, kumunsulta sa mga eksperto sa batas na maaaring gumabay sa iyo batay sa iyong mga partikular na sitwasyon¹.
2. **Respicio &amp; Co. Law Firm**:
- Kung nahaharap ka sa panliligalig sa pamamagitan ng mga masasakit na mensahe sa Pilipinas, isaalang-alang ang pagkonsulta sa **Respicio &amp; Co. Law Firm**.
- Ang kanilang koponan ay maaaring magbigay ng personalized na tulong na angkop sa iyong sitwasyon.
- Tandaan na ang artikulong ito ay nag-aalok ng pangkalahatang impormasyon at hindi bumubuo ng legal na payo. Humingi ng mga kwalipikadong propesyonal para sa gabay¹.
Ang panliligalig ay isang seryosong bagay, at mayroong mga legal na paraan upang protektahan ang mga indibidwal at panagutin ang mga nagkasala. Humingi ng propesyonal na payo upang epektibong mag-navigate sa iyong partikular na sitwasyon.</v>
      </c>
      <c r="F2060" s="2">
        <f t="shared" si="1"/>
        <v>0</v>
      </c>
      <c r="G2060" s="2"/>
      <c r="H2060" s="2"/>
      <c r="I2060" s="2"/>
      <c r="J2060" s="2"/>
      <c r="K2060" s="2"/>
      <c r="L2060" s="2"/>
      <c r="M2060" s="2"/>
      <c r="N2060" s="2"/>
      <c r="O2060" s="2"/>
      <c r="P2060" s="2"/>
      <c r="Q2060" s="2"/>
      <c r="R2060" s="2"/>
      <c r="S2060" s="2"/>
      <c r="T2060" s="2"/>
      <c r="U2060" s="2"/>
      <c r="V2060" s="2"/>
      <c r="W2060" s="2"/>
      <c r="X2060" s="2"/>
      <c r="Y2060" s="2"/>
      <c r="Z2060" s="2"/>
      <c r="AA2060" s="2"/>
    </row>
    <row r="2061">
      <c r="A2061" s="1" t="s">
        <v>5061</v>
      </c>
      <c r="B2061" s="1" t="s">
        <v>5102</v>
      </c>
      <c r="C2061" s="1" t="s">
        <v>5103</v>
      </c>
      <c r="D2061" s="2" t="str">
        <f>IFERROR(__xludf.DUMMYFUNCTION("GOOGLETRANSLATE(B2061, ""en"", ""TL"")"),"Anong mga parusa ang ipinapataw sa paggawa ng krimen ng carnapping sa Pilipinas?")</f>
        <v>Anong mga parusa ang ipinapataw sa paggawa ng krimen ng carnapping sa Pilipinas?</v>
      </c>
      <c r="E2061" s="2" t="str">
        <f>IFERROR(__xludf.DUMMYFUNCTION("GOOGLETRANSLATE(C2061, ""en"", ""TL"")"),"Ang mga parusa para sa carnapping sa Pilipinas ay nakasalalay sa mga partikular na kalagayan ng krimen, partikular kung ginamit ang karahasan o pananakot. Narito ang isang breakdown ng mga parusa batay sa Anti-Trafficking in Persons Act of 2003 (Republic "&amp;"Act No. 9208), na sinususugan ng Expanded Anti-Trafficking in Persons Act of 2012 (Republic Act No. 10364):
**Carnapping nang walang Karahasan o Pananakot:**
* Kung ang carnapping ay ginawa nang walang karahasan laban o pananakot sa mga tao, o puwersa sa "&amp;"mga bagay**, ang parusa ay pagkakulong nang hindi bababa sa **dalawampung (20) taon at isang (1) araw ngunit hindi hihigit sa tatlumpung (30) taon**.
**Carnapping na may Karahasan o Pananakot:**
* Kung ang carnapping ay ginawa **sa pamamagitan ng karahasa"&amp;"n laban o pananakot sa sinumang tao, o puwersa sa mga bagay**, ang parusa ay pagkakulong nang hindi bababa sa **tatlumpung (30) taon at isang (1) araw ngunit hindi hihigit sa higit sa apatnapung (40) taon**.
**Carnapping na Nagreresulta sa Kamatayan o Pan"&amp;"ggagahasa:**
* Ang pinakamatinding parusa, **habang buhay na pagkakakulong**, ay ipinapataw kapag ang may-ari, tsuper, o sakay ng carnapped na sasakyan ay **pinatay o ginahasa** sa paggawa ng carnapping.
**Mga Karagdagang Pagsasaalang-alang:**
* **Pagtata"&amp;"go ng Carnapping:** Isang hiwalay na parusa ng pagkakulong sa loob ng **anim (6) na taon hanggang labindalawang (12) taon** ay ipinapataw para sa sinumang magtago ng carnapped na sasakyan.
* **Mga multa:** Ang mga multa ay maaari ding ipataw kasama ng pag"&amp;"kakulong, na ang halaga ay katumbas ng halaga sa pagkuha ng kotse** na sangkot sa krimen.
**Mahahalagang Paalala:**
* Ito ang mga itinakdang parusa** sa ilalim ng batas. Ang aktwal na sentensiya ay maaaring mag-iba** depende sa mga partikular na katotohan"&amp;"an ng kaso at sa pagpapasya ng hukuman.
* Ang carnapping ay isang seryosong krimen** sa Pilipinas, at ang mga parusa ay nagpapakita ng bigat ng pagkakasala.
**Kung may hinala kang kaso ng carnapping, i-report kaagad** sa mga awtoridad. Maaari kang makipag"&amp;"-ugnayan sa Anti-Trafficking in Persons Division (NBI-ATPD hotline) ng National Bureau of Investigation o sa iyong lokal na tanggapan ng PNP-WCPC.")</f>
        <v>Ang mga parusa para sa carnapping sa Pilipinas ay nakasalalay sa mga partikular na kalagayan ng krimen, partikular kung ginamit ang karahasan o pananakot. Narito ang isang breakdown ng mga parusa batay sa Anti-Trafficking in Persons Act of 2003 (Republic Act No. 9208), na sinususugan ng Expanded Anti-Trafficking in Persons Act of 2012 (Republic Act No. 10364):
**Carnapping nang walang Karahasan o Pananakot:**
* Kung ang carnapping ay ginawa nang walang karahasan laban o pananakot sa mga tao, o puwersa sa mga bagay**, ang parusa ay pagkakulong nang hindi bababa sa **dalawampung (20) taon at isang (1) araw ngunit hindi hihigit sa tatlumpung (30) taon**.
**Carnapping na may Karahasan o Pananakot:**
* Kung ang carnapping ay ginawa **sa pamamagitan ng karahasan laban o pananakot sa sinumang tao, o puwersa sa mga bagay**, ang parusa ay pagkakulong nang hindi bababa sa **tatlumpung (30) taon at isang (1) araw ngunit hindi hihigit sa higit sa apatnapung (40) taon**.
**Carnapping na Nagreresulta sa Kamatayan o Panggagahasa:**
* Ang pinakamatinding parusa, **habang buhay na pagkakakulong**, ay ipinapataw kapag ang may-ari, tsuper, o sakay ng carnapped na sasakyan ay **pinatay o ginahasa** sa paggawa ng carnapping.
**Mga Karagdagang Pagsasaalang-alang:**
* **Pagtatago ng Carnapping:** Isang hiwalay na parusa ng pagkakulong sa loob ng **anim (6) na taon hanggang labindalawang (12) taon** ay ipinapataw para sa sinumang magtago ng carnapped na sasakyan.
* **Mga multa:** Ang mga multa ay maaari ding ipataw kasama ng pagkakulong, na ang halaga ay katumbas ng halaga sa pagkuha ng kotse** na sangkot sa krimen.
**Mahahalagang Paalala:**
* Ito ang mga itinakdang parusa** sa ilalim ng batas. Ang aktwal na sentensiya ay maaaring mag-iba** depende sa mga partikular na katotohanan ng kaso at sa pagpapasya ng hukuman.
* Ang carnapping ay isang seryosong krimen** sa Pilipinas, at ang mga parusa ay nagpapakita ng bigat ng pagkakasala.
**Kung may hinala kang kaso ng carnapping, i-report kaagad** sa mga awtoridad. Maaari kang makipag-ugnayan sa Anti-Trafficking in Persons Division (NBI-ATPD hotline) ng National Bureau of Investigation o sa iyong lokal na tanggapan ng PNP-WCPC.</v>
      </c>
      <c r="F2061" s="2">
        <f t="shared" si="1"/>
        <v>0</v>
      </c>
      <c r="G2061" s="2"/>
      <c r="H2061" s="2"/>
      <c r="I2061" s="2"/>
      <c r="J2061" s="2"/>
      <c r="K2061" s="2"/>
      <c r="L2061" s="2"/>
      <c r="M2061" s="2"/>
      <c r="N2061" s="2"/>
      <c r="O2061" s="2"/>
      <c r="P2061" s="2"/>
      <c r="Q2061" s="2"/>
      <c r="R2061" s="2"/>
      <c r="S2061" s="2"/>
      <c r="T2061" s="2"/>
      <c r="U2061" s="2"/>
      <c r="V2061" s="2"/>
      <c r="W2061" s="2"/>
      <c r="X2061" s="2"/>
      <c r="Y2061" s="2"/>
      <c r="Z2061" s="2"/>
      <c r="AA2061" s="2"/>
    </row>
    <row r="2062">
      <c r="A2062" s="1" t="s">
        <v>5061</v>
      </c>
      <c r="B2062" s="1" t="s">
        <v>5104</v>
      </c>
      <c r="C2062" s="1" t="s">
        <v>5105</v>
      </c>
      <c r="D2062" s="2" t="str">
        <f>IFERROR(__xludf.DUMMYFUNCTION("GOOGLETRANSLATE(B2062, ""en"", ""TL"")"),"Paano binibigyang kahulugan at pinarurusahan ang pagkakasala ng mga malubhang banta sa ilalim ng batas ng Pilipinas?")</f>
        <v>Paano binibigyang kahulugan at pinarurusahan ang pagkakasala ng mga malubhang banta sa ilalim ng batas ng Pilipinas?</v>
      </c>
      <c r="E2062" s="2" t="str">
        <f>IFERROR(__xludf.DUMMYFUNCTION("GOOGLETRANSLATE(C2062, ""en"", ""TL"")"),"Tinutukoy at pinaparusahan ng Pilipinas ang mga malalang banta sa ilalim ng Artikulo 282 ng Revised Penal Code (RPC). Narito ang isang breakdown ng mga pangunahing aspeto:
**Kahulugan ng Malubhang Banta:**
Tinukoy ng batas ang mga malubhang pagbabanta bil"&amp;"ang sinumang tao na magbanta sa iba na may pananakit sa tao, karangalan, o ari-arian ng huli o ng kanyang pamilya ng anumang maling katumbas ng isang krimen. **Mga Elemento ng Pagkakasala:**
Mayroong tatlong mahahalagang elemento na bumubuo ng malubhang b"&amp;"anta:
1. **Banta:** Dapat mayroong pasalita o nakasulat na pagbabanta na ipinaalam sa biktima. 2. **Pagiging Seryoso ng Banta:** Ang banta ay dapat na sapat na seryoso upang lumikha ng isang tunay at may batayan na takot sa isip ng biktima na ang banta ay"&amp;" isasagawa. 3. **Maling Pagsasaalang-alang sa Isang Krimen:** Ang banta ay dapat na magdulot ng maling gawa na itinuturing na krimen sa ilalim ng batas ng Pilipinas. **Mga Kondisyon na Banta kumpara sa Mga Walang Kondisyon na Banta:**
Ang parusa para sa m"&amp;"ga malubhang banta ay nag-iiba depende sa kung ang banta ay may kondisyon o walang kondisyon:
* **Mga Kondisyon na Banta:** Kung ang nagkasala ay gumawa ng banta na may isang kundisyon at naabot ang kanilang layunin (hal., humihingi ng pera at natanggap i"&amp;"to), ang parusa ay isang antas na mas mababa kaysa sa krimen na pinagbantaan. Kung ang layunin ay hindi nakamit, ang parusa ay dalawang degree na mas mababa.
* **Unconditional Threats:** Kung ang pagbabanta ay ginawa nang walang anumang kundisyon, ang par"&amp;"usa ay arresto mayor (pagkakulong ng 1 buwan at 1 araw hanggang 6 na buwan) at multang hindi hihigit sa Isang daang libong piso (P100,000.00).
**Mga Halimbawa ng Grave Threats:**
* Pagbabanta na papatayin o sasaktan ang isang tao.
* Pagbabanta na sirain o"&amp;" sirain ang ari-arian ng isang tao.
* Nagbabanta na ilantad ang nakakahiyang sikreto ng isang tao.
**Mahahalagang Pagsasaalang-alang:**
* **Takot sa Biktima:** Ang pansariling takot** ng biktima ay isang mahalagang elemento. Kahit na hindi nilayon ng sala"&amp;"rin na isagawa ang pagbabanta, kung nagdulot ito ng tunay na takot sa biktima, maaari itong ituring na mga seryosong banta.
* **Maling Akusasyon:** Ang paghahain ng maling grave threats na reklamo ay isa ring krimen.
**Kung naniniwala ka na ikaw o isang t"&amp;"aong kilala mo ay biktima ng malubhang pagbabanta, iulat ito kaagad sa mga awtoridad**. Maaari kang makipag-ugnayan sa iyong lokal na istasyon ng pulisya o sa National Bureau of Investigation (NBI).
Narito ang ilang mapagkukunan para sa karagdagang imporm"&amp;"asyon:
* Ang Binagong Kodigo Penal ng Pilipinas - Artikulo 282: [https://elibrary.judiciary.gov.ph/thebookshelf/showdocs/21/66324](https://elibrary.judiciary.gov.ph/thebookshelf/showdocs/ 21/66324)
* Department of Justice (DOJ): [https://www.doj.gov.ph/]("&amp;"https://www.doj.gov.ph/)")</f>
        <v>Tinutukoy at pinaparusahan ng Pilipinas ang mga malalang banta sa ilalim ng Artikulo 282 ng Revised Penal Code (RPC). Narito ang isang breakdown ng mga pangunahing aspeto:
**Kahulugan ng Malubhang Banta:**
Tinukoy ng batas ang mga malubhang pagbabanta bilang sinumang tao na magbanta sa iba na may pananakit sa tao, karangalan, o ari-arian ng huli o ng kanyang pamilya ng anumang maling katumbas ng isang krimen. **Mga Elemento ng Pagkakasala:**
Mayroong tatlong mahahalagang elemento na bumubuo ng malubhang banta:
1. **Banta:** Dapat mayroong pasalita o nakasulat na pagbabanta na ipinaalam sa biktima. 2. **Pagiging Seryoso ng Banta:** Ang banta ay dapat na sapat na seryoso upang lumikha ng isang tunay at may batayan na takot sa isip ng biktima na ang banta ay isasagawa. 3. **Maling Pagsasaalang-alang sa Isang Krimen:** Ang banta ay dapat na magdulot ng maling gawa na itinuturing na krimen sa ilalim ng batas ng Pilipinas. **Mga Kondisyon na Banta kumpara sa Mga Walang Kondisyon na Banta:**
Ang parusa para sa mga malubhang banta ay nag-iiba depende sa kung ang banta ay may kondisyon o walang kondisyon:
* **Mga Kondisyon na Banta:** Kung ang nagkasala ay gumawa ng banta na may isang kundisyon at naabot ang kanilang layunin (hal., humihingi ng pera at natanggap ito), ang parusa ay isang antas na mas mababa kaysa sa krimen na pinagbantaan. Kung ang layunin ay hindi nakamit, ang parusa ay dalawang degree na mas mababa.
* **Unconditional Threats:** Kung ang pagbabanta ay ginawa nang walang anumang kundisyon, ang parusa ay arresto mayor (pagkakulong ng 1 buwan at 1 araw hanggang 6 na buwan) at multang hindi hihigit sa Isang daang libong piso (P100,000.00).
**Mga Halimbawa ng Grave Threats:**
* Pagbabanta na papatayin o sasaktan ang isang tao.
* Pagbabanta na sirain o sirain ang ari-arian ng isang tao.
* Nagbabanta na ilantad ang nakakahiyang sikreto ng isang tao.
**Mahahalagang Pagsasaalang-alang:**
* **Takot sa Biktima:** Ang pansariling takot** ng biktima ay isang mahalagang elemento. Kahit na hindi nilayon ng salarin na isagawa ang pagbabanta, kung nagdulot ito ng tunay na takot sa biktima, maaari itong ituring na mga seryosong banta.
* **Maling Akusasyon:** Ang paghahain ng maling grave threats na reklamo ay isa ring krimen.
**Kung naniniwala ka na ikaw o isang taong kilala mo ay biktima ng malubhang pagbabanta, iulat ito kaagad sa mga awtoridad**. Maaari kang makipag-ugnayan sa iyong lokal na istasyon ng pulisya o sa National Bureau of Investigation (NBI).
Narito ang ilang mapagkukunan para sa karagdagang impormasyon:
* Ang Binagong Kodigo Penal ng Pilipinas - Artikulo 282: [https://elibrary.judiciary.gov.ph/thebookshelf/showdocs/21/66324](https://elibrary.judiciary.gov.ph/thebookshelf/showdocs/ 21/66324)
* Department of Justice (DOJ): [https://www.doj.gov.ph/](https://www.doj.gov.ph/)</v>
      </c>
      <c r="F2062" s="2">
        <f t="shared" si="1"/>
        <v>0</v>
      </c>
      <c r="G2062" s="2"/>
      <c r="H2062" s="2"/>
      <c r="I2062" s="2"/>
      <c r="J2062" s="2"/>
      <c r="K2062" s="2"/>
      <c r="L2062" s="2"/>
      <c r="M2062" s="2"/>
      <c r="N2062" s="2"/>
      <c r="O2062" s="2"/>
      <c r="P2062" s="2"/>
      <c r="Q2062" s="2"/>
      <c r="R2062" s="2"/>
      <c r="S2062" s="2"/>
      <c r="T2062" s="2"/>
      <c r="U2062" s="2"/>
      <c r="V2062" s="2"/>
      <c r="W2062" s="2"/>
      <c r="X2062" s="2"/>
      <c r="Y2062" s="2"/>
      <c r="Z2062" s="2"/>
      <c r="AA2062" s="2"/>
    </row>
    <row r="2063">
      <c r="A2063" s="1" t="s">
        <v>5061</v>
      </c>
      <c r="B2063" s="1" t="s">
        <v>5106</v>
      </c>
      <c r="C2063" s="1" t="s">
        <v>5107</v>
      </c>
      <c r="D2063" s="2" t="str">
        <f>IFERROR(__xludf.DUMMYFUNCTION("GOOGLETRANSLATE(B2063, ""en"", ""TL"")"),"Anong mga legal na elemento ang dapat mapatunayang magtatag ng krimen ng estafa sa pamamagitan ng karahasan o pananakot?")</f>
        <v>Anong mga legal na elemento ang dapat mapatunayang magtatag ng krimen ng estafa sa pamamagitan ng karahasan o pananakot?</v>
      </c>
      <c r="E2063" s="2" t="str">
        <f>IFERROR(__xludf.DUMMYFUNCTION("GOOGLETRANSLATE(C2063, ""en"", ""TL"")"),"Upang maitatag ang krimen ng estafa sa pamamagitan ng karahasan o pananakot sa Pilipinas, kailangang patunayan ang mga partikular na legal na elemento. Suriin natin ang mga elementong ito:
**Estafa Defined**:
Ang Estafa ay isang kriminal na pagkakasala sa"&amp;" ilalim ng Revised Penal Code (RPC) na nagsasangkot ng mga mapanlinlang na gawain na nagreresulta sa pagkawala ng pananalapi o ari-arian sa ibang tao. Sinasaklaw nito ang iba't ibang paraan, kabilang ang mga ginawa sa pamamagitan ng karahasan o pananakot."&amp;"
**Mga Elemento ng Estafa Sa pamamagitan ng Karahasan o Pananakot**:
Upang matagumpay na makapagsampa ng kaso ng estafa batay sa karahasan o pananakot, dapat itatag ng nagrereklamo ang mga sumusunod na elemento:
1. **Maling Pagpapanggap, Mapanlinlang na B"&amp;"atas, o Panlilinlang**:
Ang akusado ay dapat na gumawa ng maling pagkukunwari, mapanlinlang na gawa, o mapanlinlang na pag-uugali.
2. **Layong Manloko**:
Dapat ay sinadya ng akusado na dayain ang nagrereklamo.
3. **Pag-asa sa Panlilinlang**:
Ang nagrerekl"&amp;"amo ay umasa sa maling representasyon o mapanlinlang na gawa.
4. **Pinsala o Prejudice**:
Ang pagkilos ay nagresulta sa pagkawala ng pananalapi, pinsala, o pagkiling laban sa nagrereklamo.
**Mga Tukoy na Legal na Probisyon**:
Ang Artikulo 315 ng RPC ay su"&amp;"masaklaw sa iba't ibang paraan ng estafa, kabilang ang mga may kinalaman sa karahasan o pananakot. Ang mga elemento ay maaaring mag-iba depende sa partikular na mga pangyayari at paraan ng estafa.
Tandaan na ang mga legal na paglilitis ay nangangailangan "&amp;"ng masusing ebidensya at pagsunod sa mga legal na pamamaraan. Humingi ng propesyonal na legal na payo kung sangkot ka sa ganoong kaso.")</f>
        <v>Upang maitatag ang krimen ng estafa sa pamamagitan ng karahasan o pananakot sa Pilipinas, kailangang patunayan ang mga partikular na legal na elemento. Suriin natin ang mga elementong ito:
**Estafa Defined**:
Ang Estafa ay isang kriminal na pagkakasala sa ilalim ng Revised Penal Code (RPC) na nagsasangkot ng mga mapanlinlang na gawain na nagreresulta sa pagkawala ng pananalapi o ari-arian sa ibang tao. Sinasaklaw nito ang iba't ibang paraan, kabilang ang mga ginawa sa pamamagitan ng karahasan o pananakot.
**Mga Elemento ng Estafa Sa pamamagitan ng Karahasan o Pananakot**:
Upang matagumpay na makapagsampa ng kaso ng estafa batay sa karahasan o pananakot, dapat itatag ng nagrereklamo ang mga sumusunod na elemento:
1. **Maling Pagpapanggap, Mapanlinlang na Batas, o Panlilinlang**:
Ang akusado ay dapat na gumawa ng maling pagkukunwari, mapanlinlang na gawa, o mapanlinlang na pag-uugali.
2. **Layong Manloko**:
Dapat ay sinadya ng akusado na dayain ang nagrereklamo.
3. **Pag-asa sa Panlilinlang**:
Ang nagrereklamo ay umasa sa maling representasyon o mapanlinlang na gawa.
4. **Pinsala o Prejudice**:
Ang pagkilos ay nagresulta sa pagkawala ng pananalapi, pinsala, o pagkiling laban sa nagrereklamo.
**Mga Tukoy na Legal na Probisyon**:
Ang Artikulo 315 ng RPC ay sumasaklaw sa iba't ibang paraan ng estafa, kabilang ang mga may kinalaman sa karahasan o pananakot. Ang mga elemento ay maaaring mag-iba depende sa partikular na mga pangyayari at paraan ng estafa.
Tandaan na ang mga legal na paglilitis ay nangangailangan ng masusing ebidensya at pagsunod sa mga legal na pamamaraan. Humingi ng propesyonal na legal na payo kung sangkot ka sa ganoong kaso.</v>
      </c>
      <c r="F2063" s="2">
        <f t="shared" si="1"/>
        <v>0</v>
      </c>
      <c r="G2063" s="2"/>
      <c r="H2063" s="2"/>
      <c r="I2063" s="2"/>
      <c r="J2063" s="2"/>
      <c r="K2063" s="2"/>
      <c r="L2063" s="2"/>
      <c r="M2063" s="2"/>
      <c r="N2063" s="2"/>
      <c r="O2063" s="2"/>
      <c r="P2063" s="2"/>
      <c r="Q2063" s="2"/>
      <c r="R2063" s="2"/>
      <c r="S2063" s="2"/>
      <c r="T2063" s="2"/>
      <c r="U2063" s="2"/>
      <c r="V2063" s="2"/>
      <c r="W2063" s="2"/>
      <c r="X2063" s="2"/>
      <c r="Y2063" s="2"/>
      <c r="Z2063" s="2"/>
      <c r="AA2063" s="2"/>
    </row>
    <row r="2064">
      <c r="A2064" s="1" t="s">
        <v>5061</v>
      </c>
      <c r="B2064" s="1" t="s">
        <v>5108</v>
      </c>
      <c r="C2064" s="1" t="s">
        <v>5109</v>
      </c>
      <c r="D2064" s="2" t="str">
        <f>IFERROR(__xludf.DUMMYFUNCTION("GOOGLETRANSLATE(B2064, ""en"", ""TL"")"),"Paano inuuri at pinarurusahan ang mga insidente ng matinding pamimilit sa sistemang legal?")</f>
        <v>Paano inuuri at pinarurusahan ang mga insidente ng matinding pamimilit sa sistemang legal?</v>
      </c>
      <c r="E2064" s="2" t="str">
        <f>IFERROR(__xludf.DUMMYFUNCTION("GOOGLETRANSLATE(C2064, ""en"", ""TL"")"),"Pinarusahan ng Pilipinas ang grave coercion sa ilalim ng Article 286 ng Revised Penal Code (RPC). Narito ang isang breakdown kung paano ito inuri at pinarurusahan:
**Kahulugan ng Grave Coercion:**
Ang matinding pamimilit ay nangyayari kapag pinipilit ng i"&amp;"sang tao ang iba na gumawa ng isang bagay na labag sa kanyang kalooban sa pamamagitan ng karahasan, pananakot, hindi nararapat na impluwensya, o banta ng alinman sa mga ito. **Mga Pangunahing Elemento:**
Mayroong tatlong mahahalagang elemento para sa mati"&amp;"nding pamimilit:
1. **Pagpipilitan:** Pinipilit ng salarin ang biktima na gumawa ng isang bagay na labag sa kanilang kalooban.
2. **Ibig sabihin:** Ang pagpilit ay nakakamit sa pamamagitan ng karahasan, pananakot, hindi nararapat na impluwensya, o pagbaba"&amp;"nta ng alinman sa mga ito.
* **Karahasan:** Ito ay maaaring pisikal na karahasan o mga banta ng karahasan.
* **Pananakot:** Ito ay maaaring mga banta ng pinsala sa biktima, kanilang reputasyon, o kanilang ari-arian.
* **Hindi Nararapat na Impluwensiya:** "&amp;"Kabilang dito ang pagsasamantala sa kahinaan o relasyon ng biktima upang pilitin sila.
3. **Act or Omission:** Pinipilit ng pamimilit ang biktima na kumilos sa isang tiyak na paraan o pinipigilan silang kumilos.
**Mga Klasipikasyon ng Grave Coercion:**
An"&amp;"g pag-uuri at parusa para sa matinding pamimilit ay nakasalalay sa mga partikular na paraan na ginamit:
* **Grave Coercion with Violence or Intimidation:** Kung ginamit ang karahasan o pananakot, ang parusa ay pagkakulong sa loob ng isang termino mula sa "&amp;"**reclusion temporal na minimum (12 taon at 1 araw hanggang 14 na taon at 8 buwan)** hanggang * *reclusion temporal medium (14 na taon at 8 buwan hanggang 17 taon at 4 na buwan)**.
* **Grave Coercion with Undue Influence:** Kung gumamit ng hindi nararapat"&amp;" na impluwensya, ang parusa ay pagkakulong sa loob ng isang termino mula **arresto mayor (1 buwan at 1 araw hanggang 6 na buwan)** hanggang **reclusion menor (6 na buwan at 1 araw hanggang 4 na taon at 2 buwan)**.
**Mga Halimbawa ng Grave Coercion:**
* Pa"&amp;"gbabanta sa isang tao na may pisikal na pananakit upang pilitin silang mag-abot ng pera.
* Paggamit ng isang posisyon ng awtoridad upang pilitin ang isang tao sa pakikipagtalik.
* Pagpipilit sa isang tao na pumirma sa isang kontrata sa ilalim ng banta ng "&amp;"karahasan.
**Mahahalagang Pagsasaalang-alang:**
* Ang kalubhaan ng parusa** ay depende sa mga partikular na pangyayari ng kaso at ang pinsalang naidulot sa biktima. * **Relasyon sa Pagitan ng Perpetrator at Biktima:** Ang relasyon sa pagitan ng salarin at"&amp;" ng biktima ay maaari ding isaalang-alang. Halimbawa, ang matinding pamimilit na kinasasangkutan ng isang taong nasa awtoridad ay maaaring magkaroon ng mas matinding parusa.
**Kung naniniwala kang biktima ka ng grave coercion, iulat ito kaagad sa mga awto"&amp;"ridad.** Maaari kang makipag-ugnayan sa iyong lokal na istasyon ng pulisya o sa National Bureau of Investigation (NBI).
Narito ang ilang mapagkukunan para sa karagdagang impormasyon:
* Ang Binagong Kodigo Penal ng Pilipinas - Artikulo 286: [inalis ang di-"&amp;"wastong URL]
* Department of Justice (DOJ): [https://www.doj.gov.ph/](https://www.doj.gov.ph/)")</f>
        <v>Pinarusahan ng Pilipinas ang grave coercion sa ilalim ng Article 286 ng Revised Penal Code (RPC). Narito ang isang breakdown kung paano ito inuri at pinarurusahan:
**Kahulugan ng Grave Coercion:**
Ang matinding pamimilit ay nangyayari kapag pinipilit ng isang tao ang iba na gumawa ng isang bagay na labag sa kanyang kalooban sa pamamagitan ng karahasan, pananakot, hindi nararapat na impluwensya, o banta ng alinman sa mga ito. **Mga Pangunahing Elemento:**
Mayroong tatlong mahahalagang elemento para sa matinding pamimilit:
1. **Pagpipilitan:** Pinipilit ng salarin ang biktima na gumawa ng isang bagay na labag sa kanilang kalooban.
2. **Ibig sabihin:** Ang pagpilit ay nakakamit sa pamamagitan ng karahasan, pananakot, hindi nararapat na impluwensya, o pagbabanta ng alinman sa mga ito.
* **Karahasan:** Ito ay maaaring pisikal na karahasan o mga banta ng karahasan.
* **Pananakot:** Ito ay maaaring mga banta ng pinsala sa biktima, kanilang reputasyon, o kanilang ari-arian.
* **Hindi Nararapat na Impluwensiya:** Kabilang dito ang pagsasamantala sa kahinaan o relasyon ng biktima upang pilitin sila.
3. **Act or Omission:** Pinipilit ng pamimilit ang biktima na kumilos sa isang tiyak na paraan o pinipigilan silang kumilos.
**Mga Klasipikasyon ng Grave Coercion:**
Ang pag-uuri at parusa para sa matinding pamimilit ay nakasalalay sa mga partikular na paraan na ginamit:
* **Grave Coercion with Violence or Intimidation:** Kung ginamit ang karahasan o pananakot, ang parusa ay pagkakulong sa loob ng isang termino mula sa **reclusion temporal na minimum (12 taon at 1 araw hanggang 14 na taon at 8 buwan)** hanggang * *reclusion temporal medium (14 na taon at 8 buwan hanggang 17 taon at 4 na buwan)**.
* **Grave Coercion with Undue Influence:** Kung gumamit ng hindi nararapat na impluwensya, ang parusa ay pagkakulong sa loob ng isang termino mula **arresto mayor (1 buwan at 1 araw hanggang 6 na buwan)** hanggang **reclusion menor (6 na buwan at 1 araw hanggang 4 na taon at 2 buwan)**.
**Mga Halimbawa ng Grave Coercion:**
* Pagbabanta sa isang tao na may pisikal na pananakit upang pilitin silang mag-abot ng pera.
* Paggamit ng isang posisyon ng awtoridad upang pilitin ang isang tao sa pakikipagtalik.
* Pagpipilit sa isang tao na pumirma sa isang kontrata sa ilalim ng banta ng karahasan.
**Mahahalagang Pagsasaalang-alang:**
* Ang kalubhaan ng parusa** ay depende sa mga partikular na pangyayari ng kaso at ang pinsalang naidulot sa biktima. * **Relasyon sa Pagitan ng Perpetrator at Biktima:** Ang relasyon sa pagitan ng salarin at ng biktima ay maaari ding isaalang-alang. Halimbawa, ang matinding pamimilit na kinasasangkutan ng isang taong nasa awtoridad ay maaaring magkaroon ng mas matinding parusa.
**Kung naniniwala kang biktima ka ng grave coercion, iulat ito kaagad sa mga awtoridad.** Maaari kang makipag-ugnayan sa iyong lokal na istasyon ng pulisya o sa National Bureau of Investigation (NBI).
Narito ang ilang mapagkukunan para sa karagdagang impormasyon:
* Ang Binagong Kodigo Penal ng Pilipinas - Artikulo 286: [inalis ang di-wastong URL]
* Department of Justice (DOJ): [https://www.doj.gov.ph/](https://www.doj.gov.ph/)</v>
      </c>
      <c r="F2064" s="2">
        <f t="shared" si="1"/>
        <v>0</v>
      </c>
      <c r="G2064" s="2"/>
      <c r="H2064" s="2"/>
      <c r="I2064" s="2"/>
      <c r="J2064" s="2"/>
      <c r="K2064" s="2"/>
      <c r="L2064" s="2"/>
      <c r="M2064" s="2"/>
      <c r="N2064" s="2"/>
      <c r="O2064" s="2"/>
      <c r="P2064" s="2"/>
      <c r="Q2064" s="2"/>
      <c r="R2064" s="2"/>
      <c r="S2064" s="2"/>
      <c r="T2064" s="2"/>
      <c r="U2064" s="2"/>
      <c r="V2064" s="2"/>
      <c r="W2064" s="2"/>
      <c r="X2064" s="2"/>
      <c r="Y2064" s="2"/>
      <c r="Z2064" s="2"/>
      <c r="AA2064" s="2"/>
    </row>
    <row r="2065">
      <c r="A2065" s="1" t="s">
        <v>5061</v>
      </c>
      <c r="B2065" s="1" t="s">
        <v>5110</v>
      </c>
      <c r="C2065" s="1" t="s">
        <v>5111</v>
      </c>
      <c r="D2065" s="2" t="str">
        <f>IFERROR(__xludf.DUMMYFUNCTION("GOOGLETRANSLATE(B2065, ""en"", ""TL"")"),"Sa ilalim ng anong mga pangyayari ang isang tao ay maaaring makasuhan ng krimen ng malicious mischief na nagreresulta sa pinsala sa ari-arian ng gobyerno?")</f>
        <v>Sa ilalim ng anong mga pangyayari ang isang tao ay maaaring makasuhan ng krimen ng malicious mischief na nagreresulta sa pinsala sa ari-arian ng gobyerno?</v>
      </c>
      <c r="E2065" s="2" t="str">
        <f>IFERROR(__xludf.DUMMYFUNCTION("GOOGLETRANSLATE(C2065, ""en"", ""TL"")"),"Sa Pilipinas, ang isang tao ay maaaring kasuhan ng krimen ng malicious mischief na nagresulta sa pinsala sa ari-arian ng gobyerno sa ilalim ng Article 327 ng Revised Penal Code (RPC) kapag ang mga sumusunod na elemento ay naroroon lahat:
* **Sinadya na Sa"&amp;"nhi ng Pinsala:** Ang nagkasala ay sadyang nagdulot ng pinsala sa ari-arian ng pamahalaan. Nangangahulugan ito na hindi ito sinasadya o hindi sinasadya.
* **Ang Pinsala na Hindi Nahuhulog sa Ibang Mga Krimen:** Ang pinsalang dulot ay hindi bumubuo ng isan"&amp;"g hiwalay na krimen tulad ng panununog o paninira na may partikular na layunin (hal., pampulitikang protesta). * **Malisyosong Layunin:** Ang pinsala ay dulot ng malisya, ibig sabihin ang nagkasala ay kumilos nang may masamang kalooban o sama ng loob sa g"&amp;"obyerno o sa ari-arian mismo.
**Mga Halimbawa ng mga pangyayari na humahantong sa mga singilin:**
* May bumabato at nagbabasag ng mga bintana ng isang gusali ng gobyerno.
* Sinisira ang ari-arian ng gobyerno gamit ang graffiti o pintura.
* Ang pakikialam "&amp;"o pagsira ng mga kagamitan o kasangkapan ng gobyerno.
* Iligal na pagpasok at pagsira sa isang pasilidad ng gobyerno.
**Mahahalagang Pagsasaalang-alang:**
* **Tindi ng Pinsala:** Ang kalubhaan ng pinsala ay maaaring makaapekto sa parusang ipinataw. Ang ka"&amp;"unting pinsala ay maaaring magresulta sa mas magaan na mga parusa, habang ang makabuluhang pagkasira ay maaaring humantong sa mas malupit na mga pangungusap.
* **Layunin at Motibo:** Ang layunin at motibo** sa likod ng pagkilos ay mahalaga. Kung ang pinsa"&amp;"la ay hindi sinasadya o nagresulta mula sa kapabayaan, hindi ito maituturing na malisyosong kalokohan. * **Kahulugan ng Ari-arian ng Pamahalaan:** Ang ""pag-aari ng pamahalaan"" ay sumasaklaw sa iba't ibang bagay na pag-aari ng estado o alinman sa mga pam"&amp;"pulitikang subdibisyon nito, kabilang ang mga gusali, sasakyan, kagamitan, imprastraktura, at likas na yaman na pinagkakatiwalaan. **Potensyal na Mga Parusa:**
Ang parusa para sa malisyosong kapilyuhan na nagreresulta sa pinsala sa ari-arian ng pamahalaan"&amp;" ay depende sa halaga ng pinsalang idinulot:
* **Halaga na Mas Mababa sa P5,000:** Parusa ng **arresto menor (1 hanggang 10 araw)** o multa hanggang P200.00.
* **Halaga sa Pagitan ng P5,000 at P30,000:** Isang parusa ng **arresto mayor (1 buwan at 1 araw "&amp;"hanggang 6 na buwan)**.
* **Halaga na Lumampas sa P30,000:** Isang parusa ng **reclusion temporal na minimum (12 taon at 1 araw hanggang 14 na taon at 8 buwan)**.
**Mga Karagdagang Pagsasaalang-alang:**
* **Restitution:** Maaari ding utusan ng korte ang n"&amp;"agkasala na ibalik sa gobyerno ang pinsalang dulot nito.
* **Kaso Sibil:** Maaari ding magsampa ng hiwalay na kasong sibil ang pamahalaan** upang mabawi ang halaga ng pagkukumpuni o pinsala.
**Tandaan:** Mahalagang igalang ang ari-arian ng pamahalaan. Kun"&amp;"g nakasaksi ka ng paninira o pinsala sa ari-arian ng gobyerno, iulat kaagad sa mga awtoridad**.")</f>
        <v>Sa Pilipinas, ang isang tao ay maaaring kasuhan ng krimen ng malicious mischief na nagresulta sa pinsala sa ari-arian ng gobyerno sa ilalim ng Article 327 ng Revised Penal Code (RPC) kapag ang mga sumusunod na elemento ay naroroon lahat:
* **Sinadya na Sanhi ng Pinsala:** Ang nagkasala ay sadyang nagdulot ng pinsala sa ari-arian ng pamahalaan. Nangangahulugan ito na hindi ito sinasadya o hindi sinasadya.
* **Ang Pinsala na Hindi Nahuhulog sa Ibang Mga Krimen:** Ang pinsalang dulot ay hindi bumubuo ng isang hiwalay na krimen tulad ng panununog o paninira na may partikular na layunin (hal., pampulitikang protesta). * **Malisyosong Layunin:** Ang pinsala ay dulot ng malisya, ibig sabihin ang nagkasala ay kumilos nang may masamang kalooban o sama ng loob sa gobyerno o sa ari-arian mismo.
**Mga Halimbawa ng mga pangyayari na humahantong sa mga singilin:**
* May bumabato at nagbabasag ng mga bintana ng isang gusali ng gobyerno.
* Sinisira ang ari-arian ng gobyerno gamit ang graffiti o pintura.
* Ang pakikialam o pagsira ng mga kagamitan o kasangkapan ng gobyerno.
* Iligal na pagpasok at pagsira sa isang pasilidad ng gobyerno.
**Mahahalagang Pagsasaalang-alang:**
* **Tindi ng Pinsala:** Ang kalubhaan ng pinsala ay maaaring makaapekto sa parusang ipinataw. Ang kaunting pinsala ay maaaring magresulta sa mas magaan na mga parusa, habang ang makabuluhang pagkasira ay maaaring humantong sa mas malupit na mga pangungusap.
* **Layunin at Motibo:** Ang layunin at motibo** sa likod ng pagkilos ay mahalaga. Kung ang pinsala ay hindi sinasadya o nagresulta mula sa kapabayaan, hindi ito maituturing na malisyosong kalokohan. * **Kahulugan ng Ari-arian ng Pamahalaan:** Ang "pag-aari ng pamahalaan" ay sumasaklaw sa iba't ibang bagay na pag-aari ng estado o alinman sa mga pampulitikang subdibisyon nito, kabilang ang mga gusali, sasakyan, kagamitan, imprastraktura, at likas na yaman na pinagkakatiwalaan. **Potensyal na Mga Parusa:**
Ang parusa para sa malisyosong kapilyuhan na nagreresulta sa pinsala sa ari-arian ng pamahalaan ay depende sa halaga ng pinsalang idinulot:
* **Halaga na Mas Mababa sa P5,000:** Parusa ng **arresto menor (1 hanggang 10 araw)** o multa hanggang P200.00.
* **Halaga sa Pagitan ng P5,000 at P30,000:** Isang parusa ng **arresto mayor (1 buwan at 1 araw hanggang 6 na buwan)**.
* **Halaga na Lumampas sa P30,000:** Isang parusa ng **reclusion temporal na minimum (12 taon at 1 araw hanggang 14 na taon at 8 buwan)**.
**Mga Karagdagang Pagsasaalang-alang:**
* **Restitution:** Maaari ding utusan ng korte ang nagkasala na ibalik sa gobyerno ang pinsalang dulot nito.
* **Kaso Sibil:** Maaari ding magsampa ng hiwalay na kasong sibil ang pamahalaan** upang mabawi ang halaga ng pagkukumpuni o pinsala.
**Tandaan:** Mahalagang igalang ang ari-arian ng pamahalaan. Kung nakasaksi ka ng paninira o pinsala sa ari-arian ng gobyerno, iulat kaagad sa mga awtoridad**.</v>
      </c>
      <c r="F2065" s="2">
        <f t="shared" si="1"/>
        <v>0</v>
      </c>
      <c r="G2065" s="2"/>
      <c r="H2065" s="2"/>
      <c r="I2065" s="2"/>
      <c r="J2065" s="2"/>
      <c r="K2065" s="2"/>
      <c r="L2065" s="2"/>
      <c r="M2065" s="2"/>
      <c r="N2065" s="2"/>
      <c r="O2065" s="2"/>
      <c r="P2065" s="2"/>
      <c r="Q2065" s="2"/>
      <c r="R2065" s="2"/>
      <c r="S2065" s="2"/>
      <c r="T2065" s="2"/>
      <c r="U2065" s="2"/>
      <c r="V2065" s="2"/>
      <c r="W2065" s="2"/>
      <c r="X2065" s="2"/>
      <c r="Y2065" s="2"/>
      <c r="Z2065" s="2"/>
      <c r="AA2065" s="2"/>
    </row>
    <row r="2066">
      <c r="A2066" s="1" t="s">
        <v>5061</v>
      </c>
      <c r="B2066" s="1" t="s">
        <v>5112</v>
      </c>
      <c r="C2066" s="1" t="s">
        <v>5113</v>
      </c>
      <c r="D2066" s="2" t="str">
        <f>IFERROR(__xludf.DUMMYFUNCTION("GOOGLETRANSLATE(B2066, ""en"", ""TL"")"),"Anong mga parusa ang naaangkop para sa pagsali sa krimen ng pandarambong at mga kaugnay na pagkakasala nito?")</f>
        <v>Anong mga parusa ang naaangkop para sa pagsali sa krimen ng pandarambong at mga kaugnay na pagkakasala nito?</v>
      </c>
      <c r="E2066" s="2" t="str">
        <f>IFERROR(__xludf.DUMMYFUNCTION("GOOGLETRANSLATE(C2066, ""en"", ""TL"")"),"Ang Pilipinas ay may dalawang pronged na diskarte sa pagtugon sa pandarambong at mga kaugnay nitong pagkakasala:
1. **International Law:** Sumusunod ang Pilipinas sa United Nations Convention on the Law of the Sea (UNCLOS)**, na nagbibigay ng balangkas pa"&amp;"ra sa pagtukoy at pag-uusig sa piracy sa matataas na dagat (international waters).
2. **Pambansang Batas:** Ang Pilipinas ay may dalawang lokal na batas na tumutugon sa pandarambong sa loob ng teritoryong karagatan ng Pilipinas:
* **The Revised Penal Code"&amp;" (RPC):** Pinalawak nito ang kahulugan ng piracy beyond the high seas para isama ang mga gawang ginawa sa loob ng karagatan ng Pilipinas.
* **Republic Act No. 7659 (The Anti-Piracy and Anti-Maritime Terrorism Act of 1994):** Ang batas na ito ay partikular"&amp;" na nakatutok sa pamimirata at mga kaugnay na pagkakasala sa loob ng teritoryong karagatan ng Pilipinas.
**Mga Parusa para sa Piracy:**
Ang mga parusa para sa pamimirata ay nakadepende sa partikular na batas na inilapat at sa kalubhaan ng pagkakasala. Nar"&amp;"ito ang isang pangkalahatang breakdown:
* **UNCLOS:** Tinutukoy ang piracy bilang iba't ibang kilos kabilang ang karahasan, detensyon, o depredation laban sa isang pribadong sasakyang-dagat o mga tripulante nito para sa pribadong layunin. Ang mga bansang "&amp;"lumagda, kabilang ang Pilipinas, ay obligadong makipagtulungan sa pag-uusig sa mga pirata na nahuli sa karagatan. Ang mga parusa ay tinutukoy ng pambansang batas ng bansang nag-uusig.
* **Revised Penal Code (RPC):** Tinutukoy ang piracy bilang pagnanakaw "&amp;"o sapilitang pagkuha ng ari-arian sa dagat o sa loob ng karagatan ng Pilipinas. Ang mga parusa ay mula sa reclusion perpetua (pagkakulong ng hanggang 40 taon)** hanggang **reclusion temporal maximum (14 na taon at 8 buwan hanggang 17 taon at 4 na buwan)**"&amp;", depende sa pagkakaroon ng mga nagpapalubha na salik tulad ng pagpatay, pisikal na pinsala, o pagkidnap. * **Republic Act No. 7659:** Nagbibigay ng mas komprehensibong depinisyon ng piracy sa loob ng karagatan ng Pilipinas, kabilang ang mga pagkilos tula"&amp;"d ng pagsakay sa isang sasakyang-dagat na may layuning magsagawa ng pagnanakaw, pag-hijack, o pag-hostage. Malubha ang mga parusa**, mula sa **habang buhay na pagkakakulong** hanggang **reclusion perpetua**, depende sa partikular na pagkakasala at pagkaka"&amp;"roon ng mga nagpapalubha na pangyayari.
**Mga Kaugnay na Pagkakasala at Parusa:**
* **Robbery at Sea:** Katulad ng piracy ngunit maaaring mangyari ang robbery sa dagat sa labas ng territorial waters ng Pilipinas. Nalalapat ang mga parusa sa ilalim ng RPC."&amp;"
* **Maritime Terrorism:** Kumikilos tulad ng paggamit ng sisidlan bilang sandata o pagbabanta ng karahasan para sa mga layuning pampulitika. Nalalapat ang mga parusa sa ilalim ng RA 9516 (Terrorism Financing Prevention and Suppression Act of 2002), na ma"&amp;"aaring kabilang ang habambuhay na pagkakakulong.
**Mga Hamon at Pagsasaalang-alang:**
* **Mga Isyu sa Hurisdiksiyon:** Ang pagtukoy sa eksaktong lokasyon ng isang insidente (teritoryal na katubigan kumpara sa matataas na dagat) ay maaaring maging kumplika"&amp;"do at makakaapekto sa mga naaangkop na batas.
* **International Cooperation:** Ang epektibong pag-uusig ng piracy ay kadalasang nangangailangan ng kooperasyon sa pagitan ng mga bansa, lalo na para sa mga pagkakasala sa mga karagatan.
* **Resource Constrai"&amp;"nts:** Ang pagpapatupad ng mga batas at pagpapatrolya sa malalawak na lugar sa dagat ay maaaring maging hamon para sa Pilipinas. **Sa pangkalahatan, ang Pilipinas ay may legal na balangkas upang tugunan ang pandarambong at mga kaugnay na pagkakasala. Gayu"&amp;"npaman, ang internasyonal na kooperasyon at patuloy na pagsisikap na palakasin ang mga mekanismo ng pagpapatupad ay napakahalaga para labanan ang masalimuot na krimeng ito.**
Narito ang ilang mapagkukunan para sa karagdagang impormasyon:
* Department of F"&amp;"oreign Affairs (DFA): [https://dfa.gov.ph/](https://dfa.gov.ph/) * Philippine Coast Guard (PCG): [https://coastguard.gov. ph/](https://coastguard.gov.ph/)
* United Nations Office on Drugs and Crime (UNODC): [https://www.unodc.org/unodc/en/piracy/index.htm"&amp;"l](https://www.unodc.org/unodc/en/piracy/ index.html)")</f>
        <v>Ang Pilipinas ay may dalawang pronged na diskarte sa pagtugon sa pandarambong at mga kaugnay nitong pagkakasala:
1. **International Law:** Sumusunod ang Pilipinas sa United Nations Convention on the Law of the Sea (UNCLOS)**, na nagbibigay ng balangkas para sa pagtukoy at pag-uusig sa piracy sa matataas na dagat (international waters).
2. **Pambansang Batas:** Ang Pilipinas ay may dalawang lokal na batas na tumutugon sa pandarambong sa loob ng teritoryong karagatan ng Pilipinas:
* **The Revised Penal Code (RPC):** Pinalawak nito ang kahulugan ng piracy beyond the high seas para isama ang mga gawang ginawa sa loob ng karagatan ng Pilipinas.
* **Republic Act No. 7659 (The Anti-Piracy and Anti-Maritime Terrorism Act of 1994):** Ang batas na ito ay partikular na nakatutok sa pamimirata at mga kaugnay na pagkakasala sa loob ng teritoryong karagatan ng Pilipinas.
**Mga Parusa para sa Piracy:**
Ang mga parusa para sa pamimirata ay nakadepende sa partikular na batas na inilapat at sa kalubhaan ng pagkakasala. Narito ang isang pangkalahatang breakdown:
* **UNCLOS:** Tinutukoy ang piracy bilang iba't ibang kilos kabilang ang karahasan, detensyon, o depredation laban sa isang pribadong sasakyang-dagat o mga tripulante nito para sa pribadong layunin. Ang mga bansang lumagda, kabilang ang Pilipinas, ay obligadong makipagtulungan sa pag-uusig sa mga pirata na nahuli sa karagatan. Ang mga parusa ay tinutukoy ng pambansang batas ng bansang nag-uusig.
* **Revised Penal Code (RPC):** Tinutukoy ang piracy bilang pagnanakaw o sapilitang pagkuha ng ari-arian sa dagat o sa loob ng karagatan ng Pilipinas. Ang mga parusa ay mula sa reclusion perpetua (pagkakulong ng hanggang 40 taon)** hanggang **reclusion temporal maximum (14 na taon at 8 buwan hanggang 17 taon at 4 na buwan)**, depende sa pagkakaroon ng mga nagpapalubha na salik tulad ng pagpatay, pisikal na pinsala, o pagkidnap. * **Republic Act No. 7659:** Nagbibigay ng mas komprehensibong depinisyon ng piracy sa loob ng karagatan ng Pilipinas, kabilang ang mga pagkilos tulad ng pagsakay sa isang sasakyang-dagat na may layuning magsagawa ng pagnanakaw, pag-hijack, o pag-hostage. Malubha ang mga parusa**, mula sa **habang buhay na pagkakakulong** hanggang **reclusion perpetua**, depende sa partikular na pagkakasala at pagkakaroon ng mga nagpapalubha na pangyayari.
**Mga Kaugnay na Pagkakasala at Parusa:**
* **Robbery at Sea:** Katulad ng piracy ngunit maaaring mangyari ang robbery sa dagat sa labas ng territorial waters ng Pilipinas. Nalalapat ang mga parusa sa ilalim ng RPC.
* **Maritime Terrorism:** Kumikilos tulad ng paggamit ng sisidlan bilang sandata o pagbabanta ng karahasan para sa mga layuning pampulitika. Nalalapat ang mga parusa sa ilalim ng RA 9516 (Terrorism Financing Prevention and Suppression Act of 2002), na maaaring kabilang ang habambuhay na pagkakakulong.
**Mga Hamon at Pagsasaalang-alang:**
* **Mga Isyu sa Hurisdiksiyon:** Ang pagtukoy sa eksaktong lokasyon ng isang insidente (teritoryal na katubigan kumpara sa matataas na dagat) ay maaaring maging kumplikado at makakaapekto sa mga naaangkop na batas.
* **International Cooperation:** Ang epektibong pag-uusig ng piracy ay kadalasang nangangailangan ng kooperasyon sa pagitan ng mga bansa, lalo na para sa mga pagkakasala sa mga karagatan.
* **Resource Constraints:** Ang pagpapatupad ng mga batas at pagpapatrolya sa malalawak na lugar sa dagat ay maaaring maging hamon para sa Pilipinas. **Sa pangkalahatan, ang Pilipinas ay may legal na balangkas upang tugunan ang pandarambong at mga kaugnay na pagkakasala. Gayunpaman, ang internasyonal na kooperasyon at patuloy na pagsisikap na palakasin ang mga mekanismo ng pagpapatupad ay napakahalaga para labanan ang masalimuot na krimeng ito.**
Narito ang ilang mapagkukunan para sa karagdagang impormasyon:
* Department of Foreign Affairs (DFA): [https://dfa.gov.ph/](https://dfa.gov.ph/) * Philippine Coast Guard (PCG): [https://coastguard.gov. ph/](https://coastguard.gov.ph/)
* United Nations Office on Drugs and Crime (UNODC): [https://www.unodc.org/unodc/en/piracy/index.html](https://www.unodc.org/unodc/en/piracy/ index.html)</v>
      </c>
      <c r="F2066" s="2">
        <f t="shared" si="1"/>
        <v>0</v>
      </c>
      <c r="G2066" s="2"/>
      <c r="H2066" s="2"/>
      <c r="I2066" s="2"/>
      <c r="J2066" s="2"/>
      <c r="K2066" s="2"/>
      <c r="L2066" s="2"/>
      <c r="M2066" s="2"/>
      <c r="N2066" s="2"/>
      <c r="O2066" s="2"/>
      <c r="P2066" s="2"/>
      <c r="Q2066" s="2"/>
      <c r="R2066" s="2"/>
      <c r="S2066" s="2"/>
      <c r="T2066" s="2"/>
      <c r="U2066" s="2"/>
      <c r="V2066" s="2"/>
      <c r="W2066" s="2"/>
      <c r="X2066" s="2"/>
      <c r="Y2066" s="2"/>
      <c r="Z2066" s="2"/>
      <c r="AA2066" s="2"/>
    </row>
    <row r="2067">
      <c r="A2067" s="1" t="s">
        <v>5061</v>
      </c>
      <c r="B2067" s="1" t="s">
        <v>5114</v>
      </c>
      <c r="C2067" s="1" t="s">
        <v>5115</v>
      </c>
      <c r="D2067" s="2" t="str">
        <f>IFERROR(__xludf.DUMMYFUNCTION("GOOGLETRANSLATE(B2067, ""en"", ""TL"")"),"Paano tinutugunan ng batas ang mga insidente ng iligal na pagmamay-ari at paggamit ng mga pampasabog o mga kagamitang pang-apoy?")</f>
        <v>Paano tinutugunan ng batas ang mga insidente ng iligal na pagmamay-ari at paggamit ng mga pampasabog o mga kagamitang pang-apoy?</v>
      </c>
      <c r="E2067" s="2" t="str">
        <f>IFERROR(__xludf.DUMMYFUNCTION("GOOGLETRANSLATE(C2067, ""en"", ""TL"")"),"Ang Pilipinas ay may mahigpit na batas na inilalagay upang hadlangan at parusahan ang iligal na pagmamay-ari at paggamit ng mga pampasabog o incendiary device. Narito ang isang breakdown ng mga pangunahing legal na hakbang:
**Pangunahing Batas:**
* **Repu"&amp;"blic Act No. 9516 (Isang Batas na Magpapataw ng Mas Matitinding Parusa sa Iligal o Arbitraryong Pagkulong, Sapilitang Pagwala, Torture, at Pagpatay at Upang Lumikha ng People's Law Enforcement Board, Amend Batas Pambansa Blg. 881 at para sa Iba Pang Layun"&amp;"in):* * Ito ang pangunahing batas na tumutugon sa iligal na pagmamay-ari at paggamit ng mga pampasabog o mga kagamitang pang-apoy.
**Mga Pangunahing Probisyon ng RA 9516:**
* **Seksyon 3:** Ang seksyong ito ay nagpaparusa sa mga sumusunod na aksyon:
* **L"&amp;"abag sa Batas na Paggawa, Pagbebenta, Pagkuha, Disposisyon, Pag-aangkat o Pagmamay-ari:** Nalalapat ito sa sinumang tao na kusa at labag sa batas na nagtataglay ng mga pampasabog o mga kagamitang pang-apoy na may kaalaman sa kanilang kalikasan at kakayaha"&amp;"ng magdulot ng pinsala. Ang aparato ay dapat na may kakayahang gumawa ng mga mapanirang epekto sa mga bagay o magdulot ng pinsala o kamatayan.
* **Pagmamay-ari ng mga Bahagi o Sangkap:** Pinaparusahan din ng batas ang pagmamay-ari ng anumang bahagi, sangk"&amp;"ap, makinarya, kasangkapan, o instrumento na ginagamit sa paggawa ng mga pampasabog o mga aparatong pang-apoy, kung ang layunin ay lumikha ng mga naturang device.
**Mga Parusa:**
* Ang parusa para sa parehong mga pagkakasala sa ilalim ng Seksyon 3 ay recl"&amp;"usion perpetua** (pagkakulong hanggang 40 taon).
**Pagpapalagay ng Labag sa Batas na Paggawa:**
* **Republic Act No. 1866 (Isang Batas na Kumokontrol sa Paggawa, Pag-aangkat, Pagbebenta, Pagmamay-ari at Paggamit ng mga Pasasabog at Paputok):** Ang mas lum"&amp;"ang batas na ito, bagama't hindi ang pangunahing batas para sa mga ilegal na paputok, ay may kasamang pagpapalagay ng labag sa batas na paggawa* *. Kung ang isang tao ay nagtataglay ng makinarya o kasangkapan na partikular na ginagamit para sa paggawa ng "&amp;"mga pampasabog, ipinapalagay na nilayon nilang gawin ang mga ito nang ilegal.
**Mga Karagdagang Pagsasaalang-alang:**
* **Kaalaman at Layunin:** Upang mahatulan, dapat patunayan ng prosekusyon ang kaalaman at layunin** ng akusado. Ang tao ay dapat na sady"&amp;"ang nagmamay-ari ng mga pampasabog o mga tool para sa paggawa ng mga ito, at dapat ay nilayon nilang gamitin ang mga ito nang ilegal.
* **Mga Exemption:** May mga exemption** para sa mga nagtataglay ng mga pampasabog o incendiary device na may legal na pe"&amp;"rmit, gaya ng mga ahensya ng gobyerno, lisensyadong manufacturer, o mga negosyong may mga lehitimong gamit (hal., pagmimina).
**Kahalagahan ng Pag-uulat:**
* Kung pinaghihinalaan mo ang isang tao ay ilegal na nagmamay-ari o gumagamit ng mga pampasabog, iu"&amp;"lat ito kaagad sa mga awtoridad**. Makipag-ugnayan sa iyong lokal na istasyon ng pulisya o sa Philippine National Police (PNP) Anti-Terrorism Unit.
**Sa pangkalahatan, ang Pilipinas ay may matibay na legal na balangkas upang hadlangan at parusahan ang ili"&amp;"gal na pagmamay-ari at paggamit ng mga pampasabog o mga kagamitang pang-apoy. Ang mga batas na ito ay mahalaga para sa kaligtasan ng publiko at pambansang seguridad.**
Narito ang ilang mapagkukunan para sa karagdagang impormasyon:
* Philippine National Po"&amp;"lice (PNP): [https://pnp.gov.ph/](https://pnp.gov.ph/)
* Department of Justice (DOJ): [https://www.doj.gov.ph/](https://www.doj.gov.ph/)")</f>
        <v>Ang Pilipinas ay may mahigpit na batas na inilalagay upang hadlangan at parusahan ang iligal na pagmamay-ari at paggamit ng mga pampasabog o incendiary device. Narito ang isang breakdown ng mga pangunahing legal na hakbang:
**Pangunahing Batas:**
* **Republic Act No. 9516 (Isang Batas na Magpapataw ng Mas Matitinding Parusa sa Iligal o Arbitraryong Pagkulong, Sapilitang Pagwala, Torture, at Pagpatay at Upang Lumikha ng People's Law Enforcement Board, Amend Batas Pambansa Blg. 881 at para sa Iba Pang Layunin):* * Ito ang pangunahing batas na tumutugon sa iligal na pagmamay-ari at paggamit ng mga pampasabog o mga kagamitang pang-apoy.
**Mga Pangunahing Probisyon ng RA 9516:**
* **Seksyon 3:** Ang seksyong ito ay nagpaparusa sa mga sumusunod na aksyon:
* **Labag sa Batas na Paggawa, Pagbebenta, Pagkuha, Disposisyon, Pag-aangkat o Pagmamay-ari:** Nalalapat ito sa sinumang tao na kusa at labag sa batas na nagtataglay ng mga pampasabog o mga kagamitang pang-apoy na may kaalaman sa kanilang kalikasan at kakayahang magdulot ng pinsala. Ang aparato ay dapat na may kakayahang gumawa ng mga mapanirang epekto sa mga bagay o magdulot ng pinsala o kamatayan.
* **Pagmamay-ari ng mga Bahagi o Sangkap:** Pinaparusahan din ng batas ang pagmamay-ari ng anumang bahagi, sangkap, makinarya, kasangkapan, o instrumento na ginagamit sa paggawa ng mga pampasabog o mga aparatong pang-apoy, kung ang layunin ay lumikha ng mga naturang device.
**Mga Parusa:**
* Ang parusa para sa parehong mga pagkakasala sa ilalim ng Seksyon 3 ay reclusion perpetua** (pagkakulong hanggang 40 taon).
**Pagpapalagay ng Labag sa Batas na Paggawa:**
* **Republic Act No. 1866 (Isang Batas na Kumokontrol sa Paggawa, Pag-aangkat, Pagbebenta, Pagmamay-ari at Paggamit ng mga Pasasabog at Paputok):** Ang mas lumang batas na ito, bagama't hindi ang pangunahing batas para sa mga ilegal na paputok, ay may kasamang pagpapalagay ng labag sa batas na paggawa* *. Kung ang isang tao ay nagtataglay ng makinarya o kasangkapan na partikular na ginagamit para sa paggawa ng mga pampasabog, ipinapalagay na nilayon nilang gawin ang mga ito nang ilegal.
**Mga Karagdagang Pagsasaalang-alang:**
* **Kaalaman at Layunin:** Upang mahatulan, dapat patunayan ng prosekusyon ang kaalaman at layunin** ng akusado. Ang tao ay dapat na sadyang nagmamay-ari ng mga pampasabog o mga tool para sa paggawa ng mga ito, at dapat ay nilayon nilang gamitin ang mga ito nang ilegal.
* **Mga Exemption:** May mga exemption** para sa mga nagtataglay ng mga pampasabog o incendiary device na may legal na permit, gaya ng mga ahensya ng gobyerno, lisensyadong manufacturer, o mga negosyong may mga lehitimong gamit (hal., pagmimina).
**Kahalagahan ng Pag-uulat:**
* Kung pinaghihinalaan mo ang isang tao ay ilegal na nagmamay-ari o gumagamit ng mga pampasabog, iulat ito kaagad sa mga awtoridad**. Makipag-ugnayan sa iyong lokal na istasyon ng pulisya o sa Philippine National Police (PNP) Anti-Terrorism Unit.
**Sa pangkalahatan, ang Pilipinas ay may matibay na legal na balangkas upang hadlangan at parusahan ang iligal na pagmamay-ari at paggamit ng mga pampasabog o mga kagamitang pang-apoy. Ang mga batas na ito ay mahalaga para sa kaligtasan ng publiko at pambansang seguridad.**
Narito ang ilang mapagkukunan para sa karagdagang impormasyon:
* Philippine National Police (PNP): [https://pnp.gov.ph/](https://pnp.gov.ph/)
* Department of Justice (DOJ): [https://www.doj.gov.ph/](https://www.doj.gov.ph/)</v>
      </c>
      <c r="F2067" s="2">
        <f t="shared" si="1"/>
        <v>0</v>
      </c>
      <c r="G2067" s="2"/>
      <c r="H2067" s="2"/>
      <c r="I2067" s="2"/>
      <c r="J2067" s="2"/>
      <c r="K2067" s="2"/>
      <c r="L2067" s="2"/>
      <c r="M2067" s="2"/>
      <c r="N2067" s="2"/>
      <c r="O2067" s="2"/>
      <c r="P2067" s="2"/>
      <c r="Q2067" s="2"/>
      <c r="R2067" s="2"/>
      <c r="S2067" s="2"/>
      <c r="T2067" s="2"/>
      <c r="U2067" s="2"/>
      <c r="V2067" s="2"/>
      <c r="W2067" s="2"/>
      <c r="X2067" s="2"/>
      <c r="Y2067" s="2"/>
      <c r="Z2067" s="2"/>
      <c r="AA2067" s="2"/>
    </row>
    <row r="2068">
      <c r="A2068" s="1" t="s">
        <v>5061</v>
      </c>
      <c r="B2068" s="1" t="s">
        <v>5116</v>
      </c>
      <c r="C2068" s="1" t="s">
        <v>5117</v>
      </c>
      <c r="D2068" s="2" t="str">
        <f>IFERROR(__xludf.DUMMYFUNCTION("GOOGLETRANSLATE(B2068, ""en"", ""TL"")"),"Anong mga legal na probisyon ang namamahala sa krimen ng pag-hijack at ang mga legal na kahihinatnan nito?")</f>
        <v>Anong mga legal na probisyon ang namamahala sa krimen ng pag-hijack at ang mga legal na kahihinatnan nito?</v>
      </c>
      <c r="E2068" s="2" t="str">
        <f>IFERROR(__xludf.DUMMYFUNCTION("GOOGLETRANSLATE(C2068, ""en"", ""TL"")"),"Ang Pilipinas ay may mga partikular na legal na probisyon upang tugunan ang pag-hijack, partikular ang pag-hijack ng sasakyang panghimpapawid, na may matinding parusa para sa mga may kasalanan. Narito ang isang breakdown ng mga pangunahing aspeto:
**Pangu"&amp;"nahing Batas:**
* **Republic Act No. 6235 (An Act Prohibiting Certain Acts Inimical to Civil Aviation, and for Other Purposes):** Ang batas na ito ang pangunahing batas tungkol sa krimen ng pag-hijack ng sasakyang panghimpapawid sa Pilipinas.
**Kahulugan "&amp;"ng Pag-hijack:**
* Tinukoy ng Seksyon 1 ng batas ang pag-hijack bilang sinumang tao na pumipilit ng pagbabago sa takbo o destinasyon ng isang sasakyang panghimpapawid ng Philippine registry, o upang agawin o agawin ang kontrol nito, habang ito ay nasa pag"&amp;"lipad. * Ang ""Sa paglipad"" ay tinukoy bilang ang sandaling ang lahat ng panlabas na pinto ay sarado pagkatapos ng embarkasyon hanggang sa alinman sa mga naturang pinto ay mabuksan para sa pagbaba**.
**Mga Gawa na Itinuturing na Pag-hijack:**
* Paglihis "&amp;"ng sasakyang panghimpapawid mula sa nakaplanong ruta nito sa pamamagitan ng puwersa o banta ng puwersa.
* Pag-agaw ng kontrol ng isang sasakyang panghimpapawid mula sa piloto at tripulante.
* Pag-hostage ng mga pasahero o tripulante sa sakay ng sasakyang "&amp;"panghimpapawid.
**Mga Parusa para sa Pag-hijack:**
* Ang Seksyon 6 ng batas ay nagsasaad ng parusang pagkakakulong ng hindi bababa sa limang (5) taon ngunit hindi hihigit sa sampung (10) taon** o multang hindi bababa sa sampung libong piso (P10,000.00) ng"&amp;"unit hindi hihigit sa dalawampu libong piso (P20,000.00).
* Kung ang pag-hijack ay nagresulta sa kamatayan, mga pisikal na pinsala, o malubhang pinsala sa sasakyang panghimpapawid**, ang parusa ay reclusion perpetua** (pagkakulong ng hanggang 40 taon).
**"&amp;"Internasyonal na Kooperasyon:**
* Sumusunod din ang Pilipinas sa mga internasyonal na kombensiyon tungkol sa seguridad ng abyasyon, tulad ng Convention on Offenses and Certain Other Acts Committed on Board Aircraft (Tokyo Convention)**. Itinataguyod nito "&amp;"ang internasyonal na kooperasyon sa pagsisiyasat, pag-uusig, at pagpigil sa pag-hijack ng sasakyang panghimpapawid.
**Iba pang Posibleng Pagsasaalang-alang:**
* **Pag-hijack ng mga Land Vehicle:** Habang ang RA 6235 ay nakatuon sa pag-hijack ng sasakyang "&amp;"panghimpapawid, ang pag-hijack ng mga sasakyang panlupa (hal., mga bus) ay maaaring kasuhan sa ilalim ng Revised Penal Code (RPC)** depende sa partikular na mga pangyayari, tulad ng pagnanakaw o pamimilit. **Kahalagahan ng Pag-uulat:**
* Kung nasaksihan m"&amp;"o o pinaghihinalaan mo ang pag-hijack ng sasakyang panghimpapawid, agad itong iulat sa mga awtoridad**. Makipag-ugnayan sa seguridad sa paliparan, lokal na tagapagpatupad ng batas, o sa Civil Aviation Authority of the Philippines (CAAP).
**Sa pangkalahata"&amp;"n, ang Pilipinas ay may malinaw na legal na mga hakbang upang matugunan ang pag-hijack ng sasakyang panghimpapawid. Ang mga hakbang na ito ay nagbibigay-priyoridad sa kaligtasan ng pasahero at humahadlang sa mga potensyal na hijacker sa pamamagitan ng mah"&amp;"igpit na parusa at internasyonal na kooperasyon.** Narito ang ilang mapagkukunan para sa karagdagang impormasyon:
* Civil Aviation Authority of the Philippines (CAAP): [https://www.caap.gov.ph/](https://www.caap.gov.ph/)
* Department of Transportation (DO"&amp;"Tr): [https://www.dotr.gov.ph/](https://www.dotr.gov.ph/)")</f>
        <v>Ang Pilipinas ay may mga partikular na legal na probisyon upang tugunan ang pag-hijack, partikular ang pag-hijack ng sasakyang panghimpapawid, na may matinding parusa para sa mga may kasalanan. Narito ang isang breakdown ng mga pangunahing aspeto:
**Pangunahing Batas:**
* **Republic Act No. 6235 (An Act Prohibiting Certain Acts Inimical to Civil Aviation, and for Other Purposes):** Ang batas na ito ang pangunahing batas tungkol sa krimen ng pag-hijack ng sasakyang panghimpapawid sa Pilipinas.
**Kahulugan ng Pag-hijack:**
* Tinukoy ng Seksyon 1 ng batas ang pag-hijack bilang sinumang tao na pumipilit ng pagbabago sa takbo o destinasyon ng isang sasakyang panghimpapawid ng Philippine registry, o upang agawin o agawin ang kontrol nito, habang ito ay nasa paglipad. * Ang "Sa paglipad" ay tinukoy bilang ang sandaling ang lahat ng panlabas na pinto ay sarado pagkatapos ng embarkasyon hanggang sa alinman sa mga naturang pinto ay mabuksan para sa pagbaba**.
**Mga Gawa na Itinuturing na Pag-hijack:**
* Paglihis ng sasakyang panghimpapawid mula sa nakaplanong ruta nito sa pamamagitan ng puwersa o banta ng puwersa.
* Pag-agaw ng kontrol ng isang sasakyang panghimpapawid mula sa piloto at tripulante.
* Pag-hostage ng mga pasahero o tripulante sa sakay ng sasakyang panghimpapawid.
**Mga Parusa para sa Pag-hijack:**
* Ang Seksyon 6 ng batas ay nagsasaad ng parusang pagkakakulong ng hindi bababa sa limang (5) taon ngunit hindi hihigit sa sampung (10) taon** o multang hindi bababa sa sampung libong piso (P10,000.00) ngunit hindi hihigit sa dalawampu libong piso (P20,000.00).
* Kung ang pag-hijack ay nagresulta sa kamatayan, mga pisikal na pinsala, o malubhang pinsala sa sasakyang panghimpapawid**, ang parusa ay reclusion perpetua** (pagkakulong ng hanggang 40 taon).
**Internasyonal na Kooperasyon:**
* Sumusunod din ang Pilipinas sa mga internasyonal na kombensiyon tungkol sa seguridad ng abyasyon, tulad ng Convention on Offenses and Certain Other Acts Committed on Board Aircraft (Tokyo Convention)**. Itinataguyod nito ang internasyonal na kooperasyon sa pagsisiyasat, pag-uusig, at pagpigil sa pag-hijack ng sasakyang panghimpapawid.
**Iba pang Posibleng Pagsasaalang-alang:**
* **Pag-hijack ng mga Land Vehicle:** Habang ang RA 6235 ay nakatuon sa pag-hijack ng sasakyang panghimpapawid, ang pag-hijack ng mga sasakyang panlupa (hal., mga bus) ay maaaring kasuhan sa ilalim ng Revised Penal Code (RPC)** depende sa partikular na mga pangyayari, tulad ng pagnanakaw o pamimilit. **Kahalagahan ng Pag-uulat:**
* Kung nasaksihan mo o pinaghihinalaan mo ang pag-hijack ng sasakyang panghimpapawid, agad itong iulat sa mga awtoridad**. Makipag-ugnayan sa seguridad sa paliparan, lokal na tagapagpatupad ng batas, o sa Civil Aviation Authority of the Philippines (CAAP).
**Sa pangkalahatan, ang Pilipinas ay may malinaw na legal na mga hakbang upang matugunan ang pag-hijack ng sasakyang panghimpapawid. Ang mga hakbang na ito ay nagbibigay-priyoridad sa kaligtasan ng pasahero at humahadlang sa mga potensyal na hijacker sa pamamagitan ng mahigpit na parusa at internasyonal na kooperasyon.** Narito ang ilang mapagkukunan para sa karagdagang impormasyon:
* Civil Aviation Authority of the Philippines (CAAP): [https://www.caap.gov.ph/](https://www.caap.gov.ph/)
* Department of Transportation (DOTr): [https://www.dotr.gov.ph/](https://www.dotr.gov.ph/)</v>
      </c>
      <c r="F2068" s="2">
        <f t="shared" si="1"/>
        <v>0</v>
      </c>
      <c r="G2068" s="2"/>
      <c r="H2068" s="2"/>
      <c r="I2068" s="2"/>
      <c r="J2068" s="2"/>
      <c r="K2068" s="2"/>
      <c r="L2068" s="2"/>
      <c r="M2068" s="2"/>
      <c r="N2068" s="2"/>
      <c r="O2068" s="2"/>
      <c r="P2068" s="2"/>
      <c r="Q2068" s="2"/>
      <c r="R2068" s="2"/>
      <c r="S2068" s="2"/>
      <c r="T2068" s="2"/>
      <c r="U2068" s="2"/>
      <c r="V2068" s="2"/>
      <c r="W2068" s="2"/>
      <c r="X2068" s="2"/>
      <c r="Y2068" s="2"/>
      <c r="Z2068" s="2"/>
      <c r="AA2068" s="2"/>
    </row>
    <row r="2069">
      <c r="A2069" s="1" t="s">
        <v>5061</v>
      </c>
      <c r="B2069" s="1" t="s">
        <v>5118</v>
      </c>
      <c r="C2069" s="1" t="s">
        <v>5119</v>
      </c>
      <c r="D2069" s="2" t="str">
        <f>IFERROR(__xludf.DUMMYFUNCTION("GOOGLETRANSLATE(B2069, ""en"", ""TL"")"),"Sa ilalim ng anong mga pangyayari ang isang tao ay maaaring makasuhan ng krimen ng terorismo?")</f>
        <v>Sa ilalim ng anong mga pangyayari ang isang tao ay maaaring makasuhan ng krimen ng terorismo?</v>
      </c>
      <c r="E2069" s="2" t="str">
        <f>IFERROR(__xludf.DUMMYFUNCTION("GOOGLETRANSLATE(C2069, ""en"", ""TL"")"),"Ang Pilipinas ay may partikular na batas upang tugunan ang terorismo at ang pagpopondo nito: ang **Republic Act No. 10168 (The Anti-Terrorism Act of 2020)**. Tinutukoy ng batas na ito ang terorismo at binabalangkas ang mga pangyayari kung saan maaaring ka"&amp;"suhan ang isang tao sa krimeng ito.
Narito ang isang breakdown ng mga pangunahing punto:
**Kahulugan ng Terorismo:**
Ang isang tao ay gumagawa ng terorismo kung siya ay gumawa, magtangka, o magsabwatan na gumawa ng mga gawaing terorista sa anumang paraan,"&amp;" direkta o hindi direkta, labag sa batas at kusa. **Kasama sa Mga Gawaing Terorista:**
* Nagdudulot ng kamatayan, pinsala, o pinsala sa ari-arian upang takutin ang publiko o pilitin ang isang gobyerno o internasyonal na organisasyon.
* Inilalagay sa panga"&amp;"nib ang kaligtasan ng publiko sa pamamagitan ng mga mapanganib na paraan tulad ng mga pampasabog, mapanganib na materyales, biological na ahente, o mga sandatang nuklear.
* Pag-agaw o pag-okupa sa mga gusali, lugar, sistema ng transportasyon, o pasilidad "&amp;"ng komunikasyon.
* Naglalabas ng mga mapanganib na sangkap o nagdudulot ng sunog, baha, o pagsabog.
* Panghihimasok sa mga kritikal na imprastraktura (hal., mga power grid, mga network ng komunikasyon).
**Mga sirkumstansya para sa mga Singilin:**
Ang isan"&amp;"g tao ay maaaring kasuhan ng terorismo sa ilalim ng mga sumusunod na sitwasyon:
* **Direktang Komisyon:** Personal na gumawa ng alinman sa tinukoy na mga gawaing terorista. * **Pagtatangka:** Pagtatangkang gumawa ng isang gawaing terorista. * **Conspiracy"&amp;":** Pagsang-ayon sa iba na magplano o magsagawa ng teroristang gawain.
* **Pagbibigay ng Materyal na Suporta:** Alam na nagbibigay ng tulong pinansyal, suporta sa logistik, o mga mapagkukunan sa isang teroristang organisasyon o indibidwal na nagpaplano ng"&amp;" isang teroristang pagkilos.
**Mahahalagang Pagsasaalang-alang:**
* **Layunin:** Binibigyang-diin ng batas ang layunin** na magdulot ng takot o pananakot sa pamamagitan ng karahasan o pamimilit. Ang mga kilos-protesta o hindi pagsang-ayon na pinoprotektah"&amp;"an ng kalayaan sa pagpapahayag** ay hindi itinuturing na terorismo.
* **Humanitarian Exemption:** Ang batas ay nagbibigay ng humanitarian exemption** para sa mga kilos na isinagawa para sa mga lehitimong layunin ng humanitarian, tulad ng pagbibigay ng pag"&amp;"kain o tulong medikal sa mga conflict zone.
* **Nararapat na Proseso:** Binabalangkas ng batas ang mga partikular na pamamaraan para sa pag-aresto, pagkulong, at pagsisiyasat** ng mga pinaghihinalaang terorista, na tinitiyak na protektado ang mga karapata"&amp;"n sa nararapat na proseso**.
**Mga Kritiko at Alalahanin:**
* **Kalabuan:** Ang ilang mga kritiko ay nangangatuwiran na ang kahulugan ng batas ng terorismo ay masyadong malabo**, na posibleng humantong sa pang-aabuso** at mga paglabag sa karapatang pantao"&amp;"**.
* **Overstepping on Freedoms:** Umiiral ang mga alalahanin na maaaring pigilan ng batas ang lehitimong hindi pagsang-ayon** at kalayaan sa pagpapahayag**.
**Sa pangkalahatan, may legal na balangkas ang Pilipinas para labanan ang terorismo. Gayunpaman,"&amp;" ang mga patuloy na talakayan at potensyal na pagbabago ay naglalayong balansehin ang mga pangangailangan ng pambansang seguridad sa pagtataguyod ng mga pangunahing karapatan.**
Narito ang ilang mapagkukunan para sa karagdagang impormasyon:
* Department o"&amp;"f Justice (DOJ): [https://www.doj.gov.ph/](https://www.doj.gov.ph/)
* Commission on Human Rights (CHR): [https://chr.gov.ph/](https://chr.gov.ph/)")</f>
        <v>Ang Pilipinas ay may partikular na batas upang tugunan ang terorismo at ang pagpopondo nito: ang **Republic Act No. 10168 (The Anti-Terrorism Act of 2020)**. Tinutukoy ng batas na ito ang terorismo at binabalangkas ang mga pangyayari kung saan maaaring kasuhan ang isang tao sa krimeng ito.
Narito ang isang breakdown ng mga pangunahing punto:
**Kahulugan ng Terorismo:**
Ang isang tao ay gumagawa ng terorismo kung siya ay gumawa, magtangka, o magsabwatan na gumawa ng mga gawaing terorista sa anumang paraan, direkta o hindi direkta, labag sa batas at kusa. **Kasama sa Mga Gawaing Terorista:**
* Nagdudulot ng kamatayan, pinsala, o pinsala sa ari-arian upang takutin ang publiko o pilitin ang isang gobyerno o internasyonal na organisasyon.
* Inilalagay sa panganib ang kaligtasan ng publiko sa pamamagitan ng mga mapanganib na paraan tulad ng mga pampasabog, mapanganib na materyales, biological na ahente, o mga sandatang nuklear.
* Pag-agaw o pag-okupa sa mga gusali, lugar, sistema ng transportasyon, o pasilidad ng komunikasyon.
* Naglalabas ng mga mapanganib na sangkap o nagdudulot ng sunog, baha, o pagsabog.
* Panghihimasok sa mga kritikal na imprastraktura (hal., mga power grid, mga network ng komunikasyon).
**Mga sirkumstansya para sa mga Singilin:**
Ang isang tao ay maaaring kasuhan ng terorismo sa ilalim ng mga sumusunod na sitwasyon:
* **Direktang Komisyon:** Personal na gumawa ng alinman sa tinukoy na mga gawaing terorista. * **Pagtatangka:** Pagtatangkang gumawa ng isang gawaing terorista. * **Conspiracy:** Pagsang-ayon sa iba na magplano o magsagawa ng teroristang gawain.
* **Pagbibigay ng Materyal na Suporta:** Alam na nagbibigay ng tulong pinansyal, suporta sa logistik, o mga mapagkukunan sa isang teroristang organisasyon o indibidwal na nagpaplano ng isang teroristang pagkilos.
**Mahahalagang Pagsasaalang-alang:**
* **Layunin:** Binibigyang-diin ng batas ang layunin** na magdulot ng takot o pananakot sa pamamagitan ng karahasan o pamimilit. Ang mga kilos-protesta o hindi pagsang-ayon na pinoprotektahan ng kalayaan sa pagpapahayag** ay hindi itinuturing na terorismo.
* **Humanitarian Exemption:** Ang batas ay nagbibigay ng humanitarian exemption** para sa mga kilos na isinagawa para sa mga lehitimong layunin ng humanitarian, tulad ng pagbibigay ng pagkain o tulong medikal sa mga conflict zone.
* **Nararapat na Proseso:** Binabalangkas ng batas ang mga partikular na pamamaraan para sa pag-aresto, pagkulong, at pagsisiyasat** ng mga pinaghihinalaang terorista, na tinitiyak na protektado ang mga karapatan sa nararapat na proseso**.
**Mga Kritiko at Alalahanin:**
* **Kalabuan:** Ang ilang mga kritiko ay nangangatuwiran na ang kahulugan ng batas ng terorismo ay masyadong malabo**, na posibleng humantong sa pang-aabuso** at mga paglabag sa karapatang pantao**.
* **Overstepping on Freedoms:** Umiiral ang mga alalahanin na maaaring pigilan ng batas ang lehitimong hindi pagsang-ayon** at kalayaan sa pagpapahayag**.
**Sa pangkalahatan, may legal na balangkas ang Pilipinas para labanan ang terorismo. Gayunpaman, ang mga patuloy na talakayan at potensyal na pagbabago ay naglalayong balansehin ang mga pangangailangan ng pambansang seguridad sa pagtataguyod ng mga pangunahing karapatan.**
Narito ang ilang mapagkukunan para sa karagdagang impormasyon:
* Department of Justice (DOJ): [https://www.doj.gov.ph/](https://www.doj.gov.ph/)
* Commission on Human Rights (CHR): [https://chr.gov.ph/](https://chr.gov.ph/)</v>
      </c>
      <c r="F2069" s="2">
        <f t="shared" si="1"/>
        <v>0</v>
      </c>
      <c r="G2069" s="2"/>
      <c r="H2069" s="2"/>
      <c r="I2069" s="2"/>
      <c r="J2069" s="2"/>
      <c r="K2069" s="2"/>
      <c r="L2069" s="2"/>
      <c r="M2069" s="2"/>
      <c r="N2069" s="2"/>
      <c r="O2069" s="2"/>
      <c r="P2069" s="2"/>
      <c r="Q2069" s="2"/>
      <c r="R2069" s="2"/>
      <c r="S2069" s="2"/>
      <c r="T2069" s="2"/>
      <c r="U2069" s="2"/>
      <c r="V2069" s="2"/>
      <c r="W2069" s="2"/>
      <c r="X2069" s="2"/>
      <c r="Y2069" s="2"/>
      <c r="Z2069" s="2"/>
      <c r="AA2069" s="2"/>
    </row>
    <row r="2070">
      <c r="A2070" s="1" t="s">
        <v>5061</v>
      </c>
      <c r="B2070" s="1" t="s">
        <v>5120</v>
      </c>
      <c r="C2070" s="1" t="s">
        <v>5121</v>
      </c>
      <c r="D2070" s="2" t="str">
        <f>IFERROR(__xludf.DUMMYFUNCTION("GOOGLETRANSLATE(B2070, ""en"", ""TL"")"),"Paano binibigyang kahulugan at pinarurusahan ang pagkakasala ng rebelyon o insureksyon sa ilalim ng batas ng Pilipinas?")</f>
        <v>Paano binibigyang kahulugan at pinarurusahan ang pagkakasala ng rebelyon o insureksyon sa ilalim ng batas ng Pilipinas?</v>
      </c>
      <c r="E2070" s="2" t="str">
        <f>IFERROR(__xludf.DUMMYFUNCTION("GOOGLETRANSLATE(C2070, ""en"", ""TL"")"),"Sa Pilipinas, ang krimen ng paghihimagsik o pag-aalsa ay tinukoy at pinaparusahan tulad ng sumusunod:
**Konsepto**:
Binabalangkas ng Article 134 ng Revised Penal Code ang pagkakasala ng rebelyon o insureksyon. Ito ay nangyayari kapag ang mga indibidwal ay"&amp;" bumangon sa publiko at humawak ng armas laban sa gobyerno na may layuning:
1. Pag-alis ng katapatan sa pamahalaan o sa mga batas nito mula sa teritoryo ng Philippine Islands o anumang bahagi nito.
2. Pag-aalis sa Punong Tagapagpaganap o Lehislatura, sa k"&amp;"abuuan o bahagyang, ng kanilang mga kapangyarihan o prerogatives.
**Mga Elemento ng Pagkakasala**:
Upang maitatag ang krimen ng paghihimagsik o pag-aalsa, ang mga sumusunod na elemento ay dapat patunayan:
1. Ang nagkasala sa publiko ay bumangon at humawak"&amp;" ng armas laban sa gobyerno.
2. Ang mga gawaing ito ay naglalayong alisin ang katapatan sa gobyerno o sa mga batas nito tungkol sa Philippine Islands o anumang bahagi nito.
3. Bilang resulta, ang Punong Tagapagpaganap o ang Lehislatura ay buo o bahagyang "&amp;"pinagkaitan ng kanilang mga kapangyarihan o prerogatives.
**Lider**:
Kapag ang rebelyon, insureksyon, o kudeta ay kulang sa mga kilalang pinuno, sinumang tao na epektibong namamahala sa iba, nagsasalita para sa kanila, pumirma ng mga resibo, o nagsasagawa"&amp;" ng mga katulad na gawain sa ngalan ng mga rebelde ay ituturing na pinuno.
**Parusa**:
Ang parusa sa rebellion o insurrection ay reclusion perpetua to death. Ang matinding parusang ito ay sumasalamin sa bigat ng pagkakasala at ang epekto nito sa katatagan"&amp;" ng pamahalaan at lipunan.")</f>
        <v>Sa Pilipinas, ang krimen ng paghihimagsik o pag-aalsa ay tinukoy at pinaparusahan tulad ng sumusunod:
**Konsepto**:
Binabalangkas ng Article 134 ng Revised Penal Code ang pagkakasala ng rebelyon o insureksyon. Ito ay nangyayari kapag ang mga indibidwal ay bumangon sa publiko at humawak ng armas laban sa gobyerno na may layuning:
1. Pag-alis ng katapatan sa pamahalaan o sa mga batas nito mula sa teritoryo ng Philippine Islands o anumang bahagi nito.
2. Pag-aalis sa Punong Tagapagpaganap o Lehislatura, sa kabuuan o bahagyang, ng kanilang mga kapangyarihan o prerogatives.
**Mga Elemento ng Pagkakasala**:
Upang maitatag ang krimen ng paghihimagsik o pag-aalsa, ang mga sumusunod na elemento ay dapat patunayan:
1. Ang nagkasala sa publiko ay bumangon at humawak ng armas laban sa gobyerno.
2. Ang mga gawaing ito ay naglalayong alisin ang katapatan sa gobyerno o sa mga batas nito tungkol sa Philippine Islands o anumang bahagi nito.
3. Bilang resulta, ang Punong Tagapagpaganap o ang Lehislatura ay buo o bahagyang pinagkaitan ng kanilang mga kapangyarihan o prerogatives.
**Lider**:
Kapag ang rebelyon, insureksyon, o kudeta ay kulang sa mga kilalang pinuno, sinumang tao na epektibong namamahala sa iba, nagsasalita para sa kanila, pumirma ng mga resibo, o nagsasagawa ng mga katulad na gawain sa ngalan ng mga rebelde ay ituturing na pinuno.
**Parusa**:
Ang parusa sa rebellion o insurrection ay reclusion perpetua to death. Ang matinding parusang ito ay sumasalamin sa bigat ng pagkakasala at ang epekto nito sa katatagan ng pamahalaan at lipunan.</v>
      </c>
      <c r="F2070" s="2">
        <f t="shared" si="1"/>
        <v>0</v>
      </c>
      <c r="G2070" s="2"/>
      <c r="H2070" s="2"/>
      <c r="I2070" s="2"/>
      <c r="J2070" s="2"/>
      <c r="K2070" s="2"/>
      <c r="L2070" s="2"/>
      <c r="M2070" s="2"/>
      <c r="N2070" s="2"/>
      <c r="O2070" s="2"/>
      <c r="P2070" s="2"/>
      <c r="Q2070" s="2"/>
      <c r="R2070" s="2"/>
      <c r="S2070" s="2"/>
      <c r="T2070" s="2"/>
      <c r="U2070" s="2"/>
      <c r="V2070" s="2"/>
      <c r="W2070" s="2"/>
      <c r="X2070" s="2"/>
      <c r="Y2070" s="2"/>
      <c r="Z2070" s="2"/>
      <c r="AA2070" s="2"/>
    </row>
    <row r="2071">
      <c r="A2071" s="1" t="s">
        <v>5061</v>
      </c>
      <c r="B2071" s="1" t="s">
        <v>5122</v>
      </c>
      <c r="C2071" s="1" t="s">
        <v>5123</v>
      </c>
      <c r="D2071" s="2" t="str">
        <f>IFERROR(__xludf.DUMMYFUNCTION("GOOGLETRANSLATE(B2071, ""en"", ""TL"")"),"Anong mga parusa ang ipinapataw sa paggawa ng krimen ng sedisyon sa Pilipinas?")</f>
        <v>Anong mga parusa ang ipinapataw sa paggawa ng krimen ng sedisyon sa Pilipinas?</v>
      </c>
      <c r="E2071" s="2" t="str">
        <f>IFERROR(__xludf.DUMMYFUNCTION("GOOGLETRANSLATE(C2071, ""en"", ""TL"")"),"Sa Pilipinas, ang krimen ng sedisyon ay may mga tiyak na parusa batay sa antas ng pagkakasangkot. Tuklasin natin ang mga parusang ito:
**Lider ng Sedisyon**:
Ang pinuno ng isang seditious act ay nahaharap sa mga sumusunod na parusa:
- Pagkakulong m"&amp;"ula 6 na taon at 1 araw hanggang 8 taon.
- Isang multa na hindi hihigit sa ₱2 milyon.
**Ibang Kalahok sa Sedisyon**:
Ang mga indibidwal na lumahok sa sedisyon (nang hindi pinuno) ay napapailalim sa mga sumusunod na parusa:
- Pagkakulong mula 4 na "&amp;"taon, 2 buwan, at 1 araw hanggang 6 na taon.
- Isang multa na hindi hihigit sa ₱1 milyon.")</f>
        <v>Sa Pilipinas, ang krimen ng sedisyon ay may mga tiyak na parusa batay sa antas ng pagkakasangkot. Tuklasin natin ang mga parusang ito:
**Lider ng Sedisyon**:
Ang pinuno ng isang seditious act ay nahaharap sa mga sumusunod na parusa:
- Pagkakulong mula 6 na taon at 1 araw hanggang 8 taon.
- Isang multa na hindi hihigit sa ₱2 milyon.
**Ibang Kalahok sa Sedisyon**:
Ang mga indibidwal na lumahok sa sedisyon (nang hindi pinuno) ay napapailalim sa mga sumusunod na parusa:
- Pagkakulong mula 4 na taon, 2 buwan, at 1 araw hanggang 6 na taon.
- Isang multa na hindi hihigit sa ₱1 milyon.</v>
      </c>
      <c r="F2071" s="2">
        <f t="shared" si="1"/>
        <v>0</v>
      </c>
      <c r="G2071" s="2"/>
      <c r="H2071" s="2"/>
      <c r="I2071" s="2"/>
      <c r="J2071" s="2"/>
      <c r="K2071" s="2"/>
      <c r="L2071" s="2"/>
      <c r="M2071" s="2"/>
      <c r="N2071" s="2"/>
      <c r="O2071" s="2"/>
      <c r="P2071" s="2"/>
      <c r="Q2071" s="2"/>
      <c r="R2071" s="2"/>
      <c r="S2071" s="2"/>
      <c r="T2071" s="2"/>
      <c r="U2071" s="2"/>
      <c r="V2071" s="2"/>
      <c r="W2071" s="2"/>
      <c r="X2071" s="2"/>
      <c r="Y2071" s="2"/>
      <c r="Z2071" s="2"/>
      <c r="AA2071" s="2"/>
    </row>
    <row r="2072">
      <c r="A2072" s="1" t="s">
        <v>5061</v>
      </c>
      <c r="B2072" s="1" t="s">
        <v>5124</v>
      </c>
      <c r="C2072" s="1" t="s">
        <v>5125</v>
      </c>
      <c r="D2072" s="2" t="str">
        <f>IFERROR(__xludf.DUMMYFUNCTION("GOOGLETRANSLATE(B2072, ""en"", ""TL"")"),"Paano tinutugunan ng batas ang mga insidente ng kaguluhan sa publiko at ang mga legal na kahihinatnan nito?")</f>
        <v>Paano tinutugunan ng batas ang mga insidente ng kaguluhan sa publiko at ang mga legal na kahihinatnan nito?</v>
      </c>
      <c r="E2072" s="2" t="str">
        <f>IFERROR(__xludf.DUMMYFUNCTION("GOOGLETRANSLATE(C2072, ""en"", ""TL"")"),"Ang Pilipinas ay may ilang mga batas at regulasyon na tumutugon sa kaguluhan sa publiko at ang mga kahihinatnan nito. Narito ang isang breakdown ng mga pangunahing aspeto:
**Pangunahing Layunin:**
* Pagpapanatili ng kapayapaan at kaayusan sa mga pampublik"&amp;"ong espasyo.
* Pagprotekta sa kaligtasan at kapakanan ng publiko.
* Tinitiyak ang malayang daloy ng mga tao at trapiko.
**Legal na Balangkas:**
* **Binagong Kodigo Penal (RPC):** Pinalalawak nito ang batas sa kriminal at kasama ang mga probisyong may kaug"&amp;"nayan sa pampublikong kaguluhan, gaya ng:
* **Kagulo:** Isang pagtitipon na may layuning magdulot ng karahasan o alarma.
* **Mga kaguluhan:** Isang magulong pagpupulong na gumagawa ng pampublikong karahasan na may iisang layunin.
* **Rebelyon:** Isang buk"&amp;"as at armadong pag-aalsa laban sa gobyerno.
* **Alarm at Iskandalo:** Nagdudulot ng kaguluhan o pagkagalit ng publiko.
* **Mga Espesyal na Batas:** Ang mga karagdagang batas ay tumutugon sa mga partikular na aspeto ng pampublikong kaguluhan:
* **Mga Ordin"&amp;"ansa:** Ang mga local government unit (LGU) ay maaaring magpatibay ng mga ordinansa na tumutugon sa mga partikular na alalahanin sa kaayusan ng publiko sa kanilang mga nasasakupan (hal., mga curfew sa ingay, mga parusa sa pagtatapon ng basura).
* **Batas "&amp;"Pambansa Blg. 881 (The Omnibus Election Code):** Ipinagbabawal ang karahasan, pananakot, at pagkagambala sa mga proseso ng elektoral.
* **Republic Act No. 6912 (The Act Establishing the Dangerous Drugs Board, Defining Dangerous Drugs, Their Ilegal Sale, P"&amp;"ossession, Manufacturing and Cultivation, Providing for Forfeiture of Assets Deriving Do It, and for Other Purposes):** Tumutugon sa pampublikong kaguluhan sanhi ng mga aktibidad na may kaugnayan sa droga.
**Mga Halimbawa ng Public Disorder:**
* Pagharang"&amp;" sa mga kalsada o pampublikong espasyo.
* Pagsali sa mga marahas na protesta o rally.
* Nagdudulot ng malalakas na ingay o kaguluhan sa mga pampublikong lugar.
* Lumilikha ng mga mapanganib o hindi malinis na kondisyon.
**Mga Legal na Bunga:**
Ang mga par"&amp;"usa para sa pampublikong kaguluhan ay nag-iiba depende sa partikular na pagkakasala at sa kalubhaan ng akto. Narito ang ilang halimbawa:
* **Minor Offenses:** Maaaring magresulta sa mga multa o panandaliang pagkakulong.
* **Malubhang Mga Pagkakasala:** Tu"&amp;"lad ng mga kaguluhan o paghihimagsik, ay maaaring humantong sa makabuluhang oras ng pagkakakulong at mabigat na multa.
* **Paglabag sa Mga Lokal na Ordenansa:** Maaaring magkaroon ng multa o serbisyo sa komunidad.
**Kahalagahan ng Proporsyonalidad:**
Ang "&amp;"tagapagpatupad ng batas ay may responsibilidad na panatilihin ang kaayusan ngunit dapat gumamit ng proporsyonal na puwersa**. Ang labis na puwersa laban sa mapayapang protesta ay maaaring isang paglabag sa karapatang pantao.
**Pakikipag-ugnayan sa Komunid"&amp;"ad:**
Ang mga epektibong tugon sa pampublikong kaguluhan ay kadalasang may kinalaman sa pakikipag-ugnayan sa komunidad** at pagtugon sa mga ugat na sanhi ng pagkabigo o kaguluhan.
**Sa pangkalahatan, may legal na balangkas ang Pilipinas para tugunan ang k"&amp;"aguluhan sa publiko. Ang pagkakaroon ng balanse sa pagitan ng pagpapanatili ng kaayusan, pagtataguyod ng mga indibidwal na karapatan, at pagtugon sa mga pangunahing isyu ay mahalaga para sa pangmatagalang kapayapaan at katatagan.**
Narito ang ilang mapagk"&amp;"ukunan para sa karagdagang impormasyon:
* Philippine National Police (PNP): [https://pnp.gov.ph/](https://pnp.gov.ph/)
* Commission on Human Rights (CHR): [https://chr.gov.ph/](https://chr.gov.ph/)
* Department of the Interior and Local Government (DILG):"&amp;" [https://dilg.gov.ph/](https://dilg.gov.ph/)")</f>
        <v>Ang Pilipinas ay may ilang mga batas at regulasyon na tumutugon sa kaguluhan sa publiko at ang mga kahihinatnan nito. Narito ang isang breakdown ng mga pangunahing aspeto:
**Pangunahing Layunin:**
* Pagpapanatili ng kapayapaan at kaayusan sa mga pampublikong espasyo.
* Pagprotekta sa kaligtasan at kapakanan ng publiko.
* Tinitiyak ang malayang daloy ng mga tao at trapiko.
**Legal na Balangkas:**
* **Binagong Kodigo Penal (RPC):** Pinalalawak nito ang batas sa kriminal at kasama ang mga probisyong may kaugnayan sa pampublikong kaguluhan, gaya ng:
* **Kagulo:** Isang pagtitipon na may layuning magdulot ng karahasan o alarma.
* **Mga kaguluhan:** Isang magulong pagpupulong na gumagawa ng pampublikong karahasan na may iisang layunin.
* **Rebelyon:** Isang bukas at armadong pag-aalsa laban sa gobyerno.
* **Alarm at Iskandalo:** Nagdudulot ng kaguluhan o pagkagalit ng publiko.
* **Mga Espesyal na Batas:** Ang mga karagdagang batas ay tumutugon sa mga partikular na aspeto ng pampublikong kaguluhan:
* **Mga Ordinansa:** Ang mga local government unit (LGU) ay maaaring magpatibay ng mga ordinansa na tumutugon sa mga partikular na alalahanin sa kaayusan ng publiko sa kanilang mga nasasakupan (hal., mga curfew sa ingay, mga parusa sa pagtatapon ng basura).
* **Batas Pambansa Blg. 881 (The Omnibus Election Code):** Ipinagbabawal ang karahasan, pananakot, at pagkagambala sa mga proseso ng elektoral.
* **Republic Act No. 6912 (The Act Establishing the Dangerous Drugs Board, Defining Dangerous Drugs, Their Ilegal Sale, Possession, Manufacturing and Cultivation, Providing for Forfeiture of Assets Deriving Do It, and for Other Purposes):** Tumutugon sa pampublikong kaguluhan sanhi ng mga aktibidad na may kaugnayan sa droga.
**Mga Halimbawa ng Public Disorder:**
* Pagharang sa mga kalsada o pampublikong espasyo.
* Pagsali sa mga marahas na protesta o rally.
* Nagdudulot ng malalakas na ingay o kaguluhan sa mga pampublikong lugar.
* Lumilikha ng mga mapanganib o hindi malinis na kondisyon.
**Mga Legal na Bunga:**
Ang mga parusa para sa pampublikong kaguluhan ay nag-iiba depende sa partikular na pagkakasala at sa kalubhaan ng akto. Narito ang ilang halimbawa:
* **Minor Offenses:** Maaaring magresulta sa mga multa o panandaliang pagkakulong.
* **Malubhang Mga Pagkakasala:** Tulad ng mga kaguluhan o paghihimagsik, ay maaaring humantong sa makabuluhang oras ng pagkakakulong at mabigat na multa.
* **Paglabag sa Mga Lokal na Ordenansa:** Maaaring magkaroon ng multa o serbisyo sa komunidad.
**Kahalagahan ng Proporsyonalidad:**
Ang tagapagpatupad ng batas ay may responsibilidad na panatilihin ang kaayusan ngunit dapat gumamit ng proporsyonal na puwersa**. Ang labis na puwersa laban sa mapayapang protesta ay maaaring isang paglabag sa karapatang pantao.
**Pakikipag-ugnayan sa Komunidad:**
Ang mga epektibong tugon sa pampublikong kaguluhan ay kadalasang may kinalaman sa pakikipag-ugnayan sa komunidad** at pagtugon sa mga ugat na sanhi ng pagkabigo o kaguluhan.
**Sa pangkalahatan, may legal na balangkas ang Pilipinas para tugunan ang kaguluhan sa publiko. Ang pagkakaroon ng balanse sa pagitan ng pagpapanatili ng kaayusan, pagtataguyod ng mga indibidwal na karapatan, at pagtugon sa mga pangunahing isyu ay mahalaga para sa pangmatagalang kapayapaan at katatagan.**
Narito ang ilang mapagkukunan para sa karagdagang impormasyon:
* Philippine National Police (PNP): [https://pnp.gov.ph/](https://pnp.gov.ph/)
* Commission on Human Rights (CHR): [https://chr.gov.ph/](https://chr.gov.ph/)
* Department of the Interior and Local Government (DILG): [https://dilg.gov.ph/](https://dilg.gov.ph/)</v>
      </c>
      <c r="F2072" s="2">
        <f t="shared" si="1"/>
        <v>0</v>
      </c>
      <c r="G2072" s="2"/>
      <c r="H2072" s="2"/>
      <c r="I2072" s="2"/>
      <c r="J2072" s="2"/>
      <c r="K2072" s="2"/>
      <c r="L2072" s="2"/>
      <c r="M2072" s="2"/>
      <c r="N2072" s="2"/>
      <c r="O2072" s="2"/>
      <c r="P2072" s="2"/>
      <c r="Q2072" s="2"/>
      <c r="R2072" s="2"/>
      <c r="S2072" s="2"/>
      <c r="T2072" s="2"/>
      <c r="U2072" s="2"/>
      <c r="V2072" s="2"/>
      <c r="W2072" s="2"/>
      <c r="X2072" s="2"/>
      <c r="Y2072" s="2"/>
      <c r="Z2072" s="2"/>
      <c r="AA2072" s="2"/>
    </row>
    <row r="2073">
      <c r="A2073" s="1" t="s">
        <v>5061</v>
      </c>
      <c r="B2073" s="1" t="s">
        <v>5126</v>
      </c>
      <c r="C2073" s="1" t="s">
        <v>5127</v>
      </c>
      <c r="D2073" s="2" t="str">
        <f>IFERROR(__xludf.DUMMYFUNCTION("GOOGLETRANSLATE(B2073, ""en"", ""TL"")"),"Anong mga legal na elemento ang dapat patunayan upang maitatag ang krimen ng pag-uudyok sa pagrerebelde?")</f>
        <v>Anong mga legal na elemento ang dapat patunayan upang maitatag ang krimen ng pag-uudyok sa pagrerebelde?</v>
      </c>
      <c r="E2073" s="2" t="str">
        <f>IFERROR(__xludf.DUMMYFUNCTION("GOOGLETRANSLATE(C2073, ""en"", ""TL"")"),"Sa Pilipinas, ang pag-uudyok sa paghihimagsik ay nagsasangkot ng mga partikular na legal na elemento na dapat patunayan. Tuklasin natin ang mga elementong ito:
**Konsepto**:
Tinutukoy ng Article 138 ng Revised Penal Code (RPC) ang pag-uudyok sa rebelyon.
"&amp;"Nangyayari ang pagkakasala kapag ang isang tao, nang hindi humawak ng armas o lantarang sumasalungat sa gobyerno, ay nag-uudyok sa iba na gawin ang alinman sa mga gawaing tinukoy sa Artikulo 134 ng RPC.
Ang mga gawaing ito ay naglalayong i-destabilize ang"&amp;" gobyerno o may kinalaman sa rebelyon o insureksyon.
**Mga Elemento ng Pagkakasala**:
Upang maitaguyod ang pag-uudyok sa paghihimagsik, ang mga sumusunod na elemento ay dapat patunayan:
1. Ang nagkasala ay nag-uudyok sa iba na isagawa ang alinman sa mga g"&amp;"awaing tinukoy sa Artikulo 134 ng RPC.
2. Ang pag-uudyok ay nangyayari sa pamamagitan ng mga talumpati, proklamasyon, sulat, emblema, banner, o iba pang representasyon na may parehong layunin.
3. Ginagawa ito ng nagkasala nang hindi humawak ng armas o hay"&amp;"agang lumalaban sa Pamahalaan.
Sa buod, ang pag-uudyok sa paghihimagsik ay nagsasangkot ng paghikayat sa iba na gumawa ng mga gawaing sumisira sa katatagan ng pamahalaan. Ang mga legal na kahihinatnan ay ipinapatupad upang mapanatili ang kaayusan ng publi"&amp;"ko at protektahan ang tuntunin ng batas.")</f>
        <v>Sa Pilipinas, ang pag-uudyok sa paghihimagsik ay nagsasangkot ng mga partikular na legal na elemento na dapat patunayan. Tuklasin natin ang mga elementong ito:
**Konsepto**:
Tinutukoy ng Article 138 ng Revised Penal Code (RPC) ang pag-uudyok sa rebelyon.
Nangyayari ang pagkakasala kapag ang isang tao, nang hindi humawak ng armas o lantarang sumasalungat sa gobyerno, ay nag-uudyok sa iba na gawin ang alinman sa mga gawaing tinukoy sa Artikulo 134 ng RPC.
Ang mga gawaing ito ay naglalayong i-destabilize ang gobyerno o may kinalaman sa rebelyon o insureksyon.
**Mga Elemento ng Pagkakasala**:
Upang maitaguyod ang pag-uudyok sa paghihimagsik, ang mga sumusunod na elemento ay dapat patunayan:
1. Ang nagkasala ay nag-uudyok sa iba na isagawa ang alinman sa mga gawaing tinukoy sa Artikulo 134 ng RPC.
2. Ang pag-uudyok ay nangyayari sa pamamagitan ng mga talumpati, proklamasyon, sulat, emblema, banner, o iba pang representasyon na may parehong layunin.
3. Ginagawa ito ng nagkasala nang hindi humawak ng armas o hayagang lumalaban sa Pamahalaan.
Sa buod, ang pag-uudyok sa paghihimagsik ay nagsasangkot ng paghikayat sa iba na gumawa ng mga gawaing sumisira sa katatagan ng pamahalaan. Ang mga legal na kahihinatnan ay ipinapatupad upang mapanatili ang kaayusan ng publiko at protektahan ang tuntunin ng batas.</v>
      </c>
      <c r="F2073" s="2">
        <f t="shared" si="1"/>
        <v>0</v>
      </c>
      <c r="G2073" s="2"/>
      <c r="H2073" s="2"/>
      <c r="I2073" s="2"/>
      <c r="J2073" s="2"/>
      <c r="K2073" s="2"/>
      <c r="L2073" s="2"/>
      <c r="M2073" s="2"/>
      <c r="N2073" s="2"/>
      <c r="O2073" s="2"/>
      <c r="P2073" s="2"/>
      <c r="Q2073" s="2"/>
      <c r="R2073" s="2"/>
      <c r="S2073" s="2"/>
      <c r="T2073" s="2"/>
      <c r="U2073" s="2"/>
      <c r="V2073" s="2"/>
      <c r="W2073" s="2"/>
      <c r="X2073" s="2"/>
      <c r="Y2073" s="2"/>
      <c r="Z2073" s="2"/>
      <c r="AA2073" s="2"/>
    </row>
    <row r="2074">
      <c r="A2074" s="1" t="s">
        <v>5061</v>
      </c>
      <c r="B2074" s="1" t="s">
        <v>5128</v>
      </c>
      <c r="C2074" s="1" t="s">
        <v>5129</v>
      </c>
      <c r="D2074" s="2" t="str">
        <f>IFERROR(__xludf.DUMMYFUNCTION("GOOGLETRANSLATE(B2074, ""en"", ""TL"")"),"Paano inuuri at pinaparusahan ang mga insidente ng labag sa batas na pag-aresto at pagkulong?")</f>
        <v>Paano inuuri at pinaparusahan ang mga insidente ng labag sa batas na pag-aresto at pagkulong?</v>
      </c>
      <c r="E2074" s="2" t="str">
        <f>IFERROR(__xludf.DUMMYFUNCTION("GOOGLETRANSLATE(C2074, ""en"", ""TL"")"),"Pinarurusahan ng Pilipinas ang labag sa batas na pag-aresto at pagkulong sa ilalim ng dalawang pangunahing klasipikasyon, na may iba't ibang mga parusa depende sa mga pangyayari:
**1. Arbitraryong Detensyon (Artikulo 124 ng Binagong Kodigo Penal):**
Nalal"&amp;"apat ito kapag pinigil ng isang pampublikong opisyal o empleyado ang isang tao **nang walang legal na batayan**. Narito ang isang breakdown:
* **Mga Elemento:**
* Isang pampublikong opisyal o empleyado ang may kagagawan.
* Ang detensyon ay isinasagawa nan"&amp;"g walang warrant of arrest o anumang iba pang legal na katwiran.
* **Mga Parusa:**
* Ang kalubhaan ng parusa ay depende sa tagal ng pagkakakulong:
* **Wala pang 3 araw:** Arresto mayor (pagkakulong ng 1 buwan at 1 araw hanggang 6 na buwan)
* **3 hanggang "&amp;"15 araw:** Prision correccional medium at maximum (pagkakulong ng 6 na buwan at 1 araw hanggang 6 na taon)
* **Higit sa 15 araw ngunit hindi hihigit sa 6 na buwan:** Prision mayor (pagkakulong ng 6 na taon at 1 araw hanggang 12 taon)
* **Paglampas sa 6 na"&amp;" buwan:** Reclusion temporal (pagkakulong ng 12 taon at 1 araw hanggang 14 na taon at 8 buwan)
**2. Labag sa Batas na Pag-aresto (Artikulo 269 ng Binagong Kodigo Penal):**
Nalalapat ito kapag ang isang tao, **hindi naman isang pampublikong opisyal**, ay n"&amp;"ag-aresto o nagdetine ng ibang tao **nang walang legal na dahilan**. Narito ang isang breakdown:
* **Mga Elemento:**
* Ang may kasalanan ay hindi kinakailangang isang pampublikong opisyal. * Ang pag-aresto o pagkulong ay ginagawa nang walang warrant o anu"&amp;"mang iba pang legal na katwiran.
* Ang intensyon ay ihatid ang nahuling tao sa nararapat na awtoridad. (Kung ang tao ay hindi naihatid sa mga awtoridad, ang pagkakasala ay maaaring ituring na ilegal na pagkidnap o pagkidnap)
* **Penalty:**
* Arresto mayor"&amp;" (pagkakulong ng 1 buwan at 1 araw hanggang 6 na buwan) na may multang hindi hihigit sa P500.00 pesos. **Mahahalagang Pagsasaalang-alang:**
* **Paghain ng Reklamo:** Kung naniniwala kang biktima ka ng labag sa batas na pag-aresto o pagkulong, maaari kang "&amp;"magsampa ng pormal na reklamo sa Commission on Human Rights (CHR) o sa Opisina ng Ombudsman.
* **Kasong Sibil:** Bilang karagdagan sa mga kasong kriminal, maaari mo ring ituloy ang isang hiwalay na kasong sibil para sa mga pinsala.
* **Tungkulin ng Pulis:"&amp;"** Mahalagang tandaan na ang mga opisyal ng pulisya ay may awtoridad na magsagawa ng mga walang warrant na pag-aresto sa ilalim ng ilang mga pangyayari na nakabalangkas sa Philippine Rules of Criminal Procedure.
**Kabuuan:**
Ang Pilipinas ay may mga legal"&amp;" na pananggalang laban sa labag sa batas na pag-aresto at pagkulong. Ang pag-unawa sa iyong mga karapatan at ang mga wastong pamamaraan para sa pag-aresto ay makakatulong na protektahan ang iyong sarili mula sa mga naturang paglabag.
Narito ang ilang mapa"&amp;"gkukunan para sa karagdagang impormasyon:
* Commission on Human Rights (CHR): [https://chr.gov.ph/](https://chr.gov.ph/)
* Tanggapan ng Ombudsman: [inalis ang di-wastong URL]
* Department of Justice (DOJ): [https://www.doj.gov.ph/](https://www.doj.gov.ph/"&amp;")")</f>
        <v>Pinarurusahan ng Pilipinas ang labag sa batas na pag-aresto at pagkulong sa ilalim ng dalawang pangunahing klasipikasyon, na may iba't ibang mga parusa depende sa mga pangyayari:
**1. Arbitraryong Detensyon (Artikulo 124 ng Binagong Kodigo Penal):**
Nalalapat ito kapag pinigil ng isang pampublikong opisyal o empleyado ang isang tao **nang walang legal na batayan**. Narito ang isang breakdown:
* **Mga Elemento:**
* Isang pampublikong opisyal o empleyado ang may kagagawan.
* Ang detensyon ay isinasagawa nang walang warrant of arrest o anumang iba pang legal na katwiran.
* **Mga Parusa:**
* Ang kalubhaan ng parusa ay depende sa tagal ng pagkakakulong:
* **Wala pang 3 araw:** Arresto mayor (pagkakulong ng 1 buwan at 1 araw hanggang 6 na buwan)
* **3 hanggang 15 araw:** Prision correccional medium at maximum (pagkakulong ng 6 na buwan at 1 araw hanggang 6 na taon)
* **Higit sa 15 araw ngunit hindi hihigit sa 6 na buwan:** Prision mayor (pagkakulong ng 6 na taon at 1 araw hanggang 12 taon)
* **Paglampas sa 6 na buwan:** Reclusion temporal (pagkakulong ng 12 taon at 1 araw hanggang 14 na taon at 8 buwan)
**2. Labag sa Batas na Pag-aresto (Artikulo 269 ng Binagong Kodigo Penal):**
Nalalapat ito kapag ang isang tao, **hindi naman isang pampublikong opisyal**, ay nag-aresto o nagdetine ng ibang tao **nang walang legal na dahilan**. Narito ang isang breakdown:
* **Mga Elemento:**
* Ang may kasalanan ay hindi kinakailangang isang pampublikong opisyal. * Ang pag-aresto o pagkulong ay ginagawa nang walang warrant o anumang iba pang legal na katwiran.
* Ang intensyon ay ihatid ang nahuling tao sa nararapat na awtoridad. (Kung ang tao ay hindi naihatid sa mga awtoridad, ang pagkakasala ay maaaring ituring na ilegal na pagkidnap o pagkidnap)
* **Penalty:**
* Arresto mayor (pagkakulong ng 1 buwan at 1 araw hanggang 6 na buwan) na may multang hindi hihigit sa P500.00 pesos. **Mahahalagang Pagsasaalang-alang:**
* **Paghain ng Reklamo:** Kung naniniwala kang biktima ka ng labag sa batas na pag-aresto o pagkulong, maaari kang magsampa ng pormal na reklamo sa Commission on Human Rights (CHR) o sa Opisina ng Ombudsman.
* **Kasong Sibil:** Bilang karagdagan sa mga kasong kriminal, maaari mo ring ituloy ang isang hiwalay na kasong sibil para sa mga pinsala.
* **Tungkulin ng Pulis:** Mahalagang tandaan na ang mga opisyal ng pulisya ay may awtoridad na magsagawa ng mga walang warrant na pag-aresto sa ilalim ng ilang mga pangyayari na nakabalangkas sa Philippine Rules of Criminal Procedure.
**Kabuuan:**
Ang Pilipinas ay may mga legal na pananggalang laban sa labag sa batas na pag-aresto at pagkulong. Ang pag-unawa sa iyong mga karapatan at ang mga wastong pamamaraan para sa pag-aresto ay makakatulong na protektahan ang iyong sarili mula sa mga naturang paglabag.
Narito ang ilang mapagkukunan para sa karagdagang impormasyon:
* Commission on Human Rights (CHR): [https://chr.gov.ph/](https://chr.gov.ph/)
* Tanggapan ng Ombudsman: [inalis ang di-wastong URL]
* Department of Justice (DOJ): [https://www.doj.gov.ph/](https://www.doj.gov.ph/)</v>
      </c>
      <c r="F2074" s="2">
        <f t="shared" si="1"/>
        <v>0</v>
      </c>
      <c r="G2074" s="2"/>
      <c r="H2074" s="2"/>
      <c r="I2074" s="2"/>
      <c r="J2074" s="2"/>
      <c r="K2074" s="2"/>
      <c r="L2074" s="2"/>
      <c r="M2074" s="2"/>
      <c r="N2074" s="2"/>
      <c r="O2074" s="2"/>
      <c r="P2074" s="2"/>
      <c r="Q2074" s="2"/>
      <c r="R2074" s="2"/>
      <c r="S2074" s="2"/>
      <c r="T2074" s="2"/>
      <c r="U2074" s="2"/>
      <c r="V2074" s="2"/>
      <c r="W2074" s="2"/>
      <c r="X2074" s="2"/>
      <c r="Y2074" s="2"/>
      <c r="Z2074" s="2"/>
      <c r="AA2074" s="2"/>
    </row>
    <row r="2075">
      <c r="A2075" s="1" t="s">
        <v>5061</v>
      </c>
      <c r="B2075" s="1" t="s">
        <v>5130</v>
      </c>
      <c r="C2075" s="1" t="s">
        <v>5131</v>
      </c>
      <c r="D2075" s="2" t="str">
        <f>IFERROR(__xludf.DUMMYFUNCTION("GOOGLETRANSLATE(B2075, ""en"", ""TL"")"),"Sa ilalim ng anong mga pangyayari maaaring kasuhan ang isang tao ng krimen ng kidnapping for ransom?")</f>
        <v>Sa ilalim ng anong mga pangyayari maaaring kasuhan ang isang tao ng krimen ng kidnapping for ransom?</v>
      </c>
      <c r="E2075" s="2" t="str">
        <f>IFERROR(__xludf.DUMMYFUNCTION("GOOGLETRANSLATE(C2075, ""en"", ""TL"")"),"Sa Pilipinas, maaaring kasuhan ang isang tao ng krimen ng kidnapping for ransom sa ilalim ng mga partikular na pangyayari. Tuklasin natin ang mga legal na elemento at parusa na nauugnay sa paglabag na ito:
**Legal na Batayan**:
Ang krimen ng kidnapping fo"&amp;"r ransom ay pinamamahalaan ng Article 267 ng Revised Penal Code (RPC).
Binabalangkas ng artikulo ang mga elemento ng pagkakasala at ang kaukulang mga parusa.
**Mga Elemento ng Kidnapping for Ransom**:
Upang maitatag ang krimen ng kidnapping para sa ransom"&amp;", ang mga sumusunod na elemento ay dapat patunayan:
1. Ang akusado ay isang pribadong indibidwal.
2. Ang mga akusado ay kumikidnap o nagkulong ng ibang tao, na inaalis sa kanila ang kanilang kalayaan.
3. Ang pagkidnap o pagkulong ay labag sa batas.
4. Ang"&amp;" biktima ay kinidnap o pinigil para sa ransom.
**Mga Parusa**:
Ang mga parusa para sa pagkidnap para sa ransom ay depende sa mga partikular na pangyayari:
- Kung ang pagkidnap o pagkulong ay tumagal ng higit sa tatlong araw, ang parusa ay reclusion perpet"&amp;"ua hanggang kamatayan.
- Kung ginagaya ng akusado ang pampublikong awtoridad, ang parehong parusa ay nalalapat.
- Kung ang biktima ay may malubhang pinsala sa katawan o ginawa ang mga pagbabanta na papatayin ang biktima, ang parusa ay nananatiling reclusi"&amp;"on perpetua hanggang kamatayan.
- Kung ang biktima ay menor de edad, maliban kung ang akusado ay alinman sa mga magulang, babae, o pampublikong opisyal, ang parusa ay reclusion perpetua hanggang kamatayan.
- Kapag ang pagkidnap o pagkulong ay ginawa para "&amp;"sa layunin ng pangingikil ng ransom, kahit na wala sa mga pangyayari sa itaas ang naroroon, ang parusa ay nananatiling kamatayan.
- Kung ang biktima ay pinatay, namatay bilang resulta ng pagkakakulong, ginahasa, o isinailalim sa tortyur o dehumanizing na "&amp;"mga gawain, ang pinakamataas na parusa ay ipinapataw.
Ang mga legal na probisyon na ito ay naglalayong protektahan ang mga indibidwal mula sa matinding krimen ng kidnapping para sa ransom at tiyakin ang matinding parusa para sa mga nagkasala na sangkot sa"&amp;" naturang mga karumal-dumal na gawain.")</f>
        <v>Sa Pilipinas, maaaring kasuhan ang isang tao ng krimen ng kidnapping for ransom sa ilalim ng mga partikular na pangyayari. Tuklasin natin ang mga legal na elemento at parusa na nauugnay sa paglabag na ito:
**Legal na Batayan**:
Ang krimen ng kidnapping for ransom ay pinamamahalaan ng Article 267 ng Revised Penal Code (RPC).
Binabalangkas ng artikulo ang mga elemento ng pagkakasala at ang kaukulang mga parusa.
**Mga Elemento ng Kidnapping for Ransom**:
Upang maitatag ang krimen ng kidnapping para sa ransom, ang mga sumusunod na elemento ay dapat patunayan:
1. Ang akusado ay isang pribadong indibidwal.
2. Ang mga akusado ay kumikidnap o nagkulong ng ibang tao, na inaalis sa kanila ang kanilang kalayaan.
3. Ang pagkidnap o pagkulong ay labag sa batas.
4. Ang biktima ay kinidnap o pinigil para sa ransom.
**Mga Parusa**:
Ang mga parusa para sa pagkidnap para sa ransom ay depende sa mga partikular na pangyayari:
- Kung ang pagkidnap o pagkulong ay tumagal ng higit sa tatlong araw, ang parusa ay reclusion perpetua hanggang kamatayan.
- Kung ginagaya ng akusado ang pampublikong awtoridad, ang parehong parusa ay nalalapat.
- Kung ang biktima ay may malubhang pinsala sa katawan o ginawa ang mga pagbabanta na papatayin ang biktima, ang parusa ay nananatiling reclusion perpetua hanggang kamatayan.
- Kung ang biktima ay menor de edad, maliban kung ang akusado ay alinman sa mga magulang, babae, o pampublikong opisyal, ang parusa ay reclusion perpetua hanggang kamatayan.
- Kapag ang pagkidnap o pagkulong ay ginawa para sa layunin ng pangingikil ng ransom, kahit na wala sa mga pangyayari sa itaas ang naroroon, ang parusa ay nananatiling kamatayan.
- Kung ang biktima ay pinatay, namatay bilang resulta ng pagkakakulong, ginahasa, o isinailalim sa tortyur o dehumanizing na mga gawain, ang pinakamataas na parusa ay ipinapataw.
Ang mga legal na probisyon na ito ay naglalayong protektahan ang mga indibidwal mula sa matinding krimen ng kidnapping para sa ransom at tiyakin ang matinding parusa para sa mga nagkasala na sangkot sa naturang mga karumal-dumal na gawain.</v>
      </c>
      <c r="F2075" s="2">
        <f t="shared" si="1"/>
        <v>0</v>
      </c>
      <c r="G2075" s="2"/>
      <c r="H2075" s="2"/>
      <c r="I2075" s="2"/>
      <c r="J2075" s="2"/>
      <c r="K2075" s="2"/>
      <c r="L2075" s="2"/>
      <c r="M2075" s="2"/>
      <c r="N2075" s="2"/>
      <c r="O2075" s="2"/>
      <c r="P2075" s="2"/>
      <c r="Q2075" s="2"/>
      <c r="R2075" s="2"/>
      <c r="S2075" s="2"/>
      <c r="T2075" s="2"/>
      <c r="U2075" s="2"/>
      <c r="V2075" s="2"/>
      <c r="W2075" s="2"/>
      <c r="X2075" s="2"/>
      <c r="Y2075" s="2"/>
      <c r="Z2075" s="2"/>
      <c r="AA2075" s="2"/>
    </row>
    <row r="2076">
      <c r="A2076" s="1" t="s">
        <v>5061</v>
      </c>
      <c r="B2076" s="1" t="s">
        <v>5132</v>
      </c>
      <c r="C2076" s="1" t="s">
        <v>5133</v>
      </c>
      <c r="D2076" s="2" t="str">
        <f>IFERROR(__xludf.DUMMYFUNCTION("GOOGLETRANSLATE(B2076, ""en"", ""TL"")"),"Anong mga parusa ang naaangkop sa pagsali sa krimen ng mutiny sa Pilipinas?")</f>
        <v>Anong mga parusa ang naaangkop sa pagsali sa krimen ng mutiny sa Pilipinas?</v>
      </c>
      <c r="E2076" s="2" t="str">
        <f>IFERROR(__xludf.DUMMYFUNCTION("GOOGLETRANSLATE(C2076, ""en"", ""TL"")"),"Sa Pilipinas, ang pag-aalsa ay isang malubhang pagkakasala laban sa gobyerno at militar. Ang mga parusa para sa pag-aalsa ay nakasalalay sa kalubhaan ng kilos at sa papel ng nagkasala. Narito ang isang breakdown ng mga pangunahing punto:
**Pangunahing Bat"&amp;"as:**
* **Revised Penal Code (RPC):** Ang Artikulo 139 ng RPC ay tumutukoy at nagpaparusa sa krimen ng pag-aalsa.
**Kahulugan ng Mutiny:**
Ang pag-aalsa ay isang pag-aalsa ng isang grupo ng mga tauhan ng militar laban sa kanilang nakatataas na mga opisyal"&amp;", na may layuning ibagsak ang legal na awtoridad o labanan ang mga utos nito.
**Mga Uri ng Mutiny at Mga Parusa:**
Ang RPC ay may pagkakaiba sa pagitan ng dalawang kategorya ng pag-aalsa, na may iba't ibang parusa:
* **Pag-promote, Pagpapanatili, o Pamumu"&amp;"no ng isang Pag-aalsa:** Kung ang isang tao ay nagtataguyod, nagpapanatili, o namumuno sa isang pag-aalsa, mahaharap siya sa parusa ng **reclusion perpetua** (pagkakulong ng hanggang 40 taon).
* **Paglahok sa isang Mutiny:** Kung ang isang tao ay nakikila"&amp;"hok lamang sa isang pag-aalsa, mahaharap sila sa parusa ng **reclusion temporal** (pagkakulong ng 12 taon at 1 araw hanggang 14 na taon at 8 buwan).
**Sabwatan at Panukala:**
Pinaparusahan din ng batas ang **conspiracy and proposal to commit mutiny**. Ang"&amp;" mga parusa para sa mga ito ay hindi gaanong mabigat:
* Conspiracy: Prision correccional sa maximum period nito at multang hindi hihigit sa P5,000.00 pesos.
* Panukala: Prision correccional sa katamtamang panahon nito at multang hindi hihigit sa P2,000.00"&amp;" pesos.
**Mga Karagdagang Pagsasaalang-alang:**
* **Batas Militar:** Ang mga tauhan ng militar ay maaari ding harapin ang mga karagdagang aksyong pandisiplina sa ilalim ng Articles of War of the Armed Forces of the Philippines (AFP).
* **Mga Salik ng Kalu"&amp;"bhaan:** Ang mga partikular na pangyayari ng pag-aalsa, gaya ng karahasan o mga nasawi, ay maaaring maka-impluwensya sa tindi ng parusang ipinataw.
**Kamakailang Halimbawa:**
Ang Oakwood Mutiny ng 2004 ay isang kapansin-pansing halimbawa. Habang ang mga p"&amp;"inuno ay nahaharap sa mga kaso ng reclusion perpetua**, hindi lahat ng mga kalahok ay pinarusahan nang kasingbigat. Pinalaya ang ilang sundalo matapos matukoy na niloko sila ng kanilang mga opisyal.
**Sa pangkalahatan, ang Pilipinas ay may mahigpit na leg"&amp;"al na balangkas upang hadlangan at parusahan ang pag-aalsa. Ito ay mahalaga sa pagpapanatili ng kaayusan at disiplina sa loob ng militar.**
Narito ang ilang mapagkukunan para sa karagdagang impormasyon:
* Armed Forces of the Philippines (AFP): [inalis ang"&amp;" invalid na URL]
* Department of National Defense (DND): [https://www.dnd.gov.ph/](https://www.dnd.gov.ph/)")</f>
        <v>Sa Pilipinas, ang pag-aalsa ay isang malubhang pagkakasala laban sa gobyerno at militar. Ang mga parusa para sa pag-aalsa ay nakasalalay sa kalubhaan ng kilos at sa papel ng nagkasala. Narito ang isang breakdown ng mga pangunahing punto:
**Pangunahing Batas:**
* **Revised Penal Code (RPC):** Ang Artikulo 139 ng RPC ay tumutukoy at nagpaparusa sa krimen ng pag-aalsa.
**Kahulugan ng Mutiny:**
Ang pag-aalsa ay isang pag-aalsa ng isang grupo ng mga tauhan ng militar laban sa kanilang nakatataas na mga opisyal, na may layuning ibagsak ang legal na awtoridad o labanan ang mga utos nito.
**Mga Uri ng Mutiny at Mga Parusa:**
Ang RPC ay may pagkakaiba sa pagitan ng dalawang kategorya ng pag-aalsa, na may iba't ibang parusa:
* **Pag-promote, Pagpapanatili, o Pamumuno ng isang Pag-aalsa:** Kung ang isang tao ay nagtataguyod, nagpapanatili, o namumuno sa isang pag-aalsa, mahaharap siya sa parusa ng **reclusion perpetua** (pagkakulong ng hanggang 40 taon).
* **Paglahok sa isang Mutiny:** Kung ang isang tao ay nakikilahok lamang sa isang pag-aalsa, mahaharap sila sa parusa ng **reclusion temporal** (pagkakulong ng 12 taon at 1 araw hanggang 14 na taon at 8 buwan).
**Sabwatan at Panukala:**
Pinaparusahan din ng batas ang **conspiracy and proposal to commit mutiny**. Ang mga parusa para sa mga ito ay hindi gaanong mabigat:
* Conspiracy: Prision correccional sa maximum period nito at multang hindi hihigit sa P5,000.00 pesos.
* Panukala: Prision correccional sa katamtamang panahon nito at multang hindi hihigit sa P2,000.00 pesos.
**Mga Karagdagang Pagsasaalang-alang:**
* **Batas Militar:** Ang mga tauhan ng militar ay maaari ding harapin ang mga karagdagang aksyong pandisiplina sa ilalim ng Articles of War of the Armed Forces of the Philippines (AFP).
* **Mga Salik ng Kalubhaan:** Ang mga partikular na pangyayari ng pag-aalsa, gaya ng karahasan o mga nasawi, ay maaaring maka-impluwensya sa tindi ng parusang ipinataw.
**Kamakailang Halimbawa:**
Ang Oakwood Mutiny ng 2004 ay isang kapansin-pansing halimbawa. Habang ang mga pinuno ay nahaharap sa mga kaso ng reclusion perpetua**, hindi lahat ng mga kalahok ay pinarusahan nang kasingbigat. Pinalaya ang ilang sundalo matapos matukoy na niloko sila ng kanilang mga opisyal.
**Sa pangkalahatan, ang Pilipinas ay may mahigpit na legal na balangkas upang hadlangan at parusahan ang pag-aalsa. Ito ay mahalaga sa pagpapanatili ng kaayusan at disiplina sa loob ng militar.**
Narito ang ilang mapagkukunan para sa karagdagang impormasyon:
* Armed Forces of the Philippines (AFP): [inalis ang invalid na URL]
* Department of National Defense (DND): [https://www.dnd.gov.ph/](https://www.dnd.gov.ph/)</v>
      </c>
      <c r="F2076" s="2">
        <f t="shared" si="1"/>
        <v>0</v>
      </c>
      <c r="G2076" s="2"/>
      <c r="H2076" s="2"/>
      <c r="I2076" s="2"/>
      <c r="J2076" s="2"/>
      <c r="K2076" s="2"/>
      <c r="L2076" s="2"/>
      <c r="M2076" s="2"/>
      <c r="N2076" s="2"/>
      <c r="O2076" s="2"/>
      <c r="P2076" s="2"/>
      <c r="Q2076" s="2"/>
      <c r="R2076" s="2"/>
      <c r="S2076" s="2"/>
      <c r="T2076" s="2"/>
      <c r="U2076" s="2"/>
      <c r="V2076" s="2"/>
      <c r="W2076" s="2"/>
      <c r="X2076" s="2"/>
      <c r="Y2076" s="2"/>
      <c r="Z2076" s="2"/>
      <c r="AA2076" s="2"/>
    </row>
    <row r="2077">
      <c r="A2077" s="1" t="s">
        <v>5061</v>
      </c>
      <c r="B2077" s="1" t="s">
        <v>5134</v>
      </c>
      <c r="C2077" s="1" t="s">
        <v>5135</v>
      </c>
      <c r="D2077" s="2" t="str">
        <f>IFERROR(__xludf.DUMMYFUNCTION("GOOGLETRANSLATE(B2077, ""en"", ""TL"")"),"Paano binibigyang kahulugan at pinaparusahan ang pagkakasala ng kuwalipikadong panunuhol sa ilalim ng batas ng Pilipinas?")</f>
        <v>Paano binibigyang kahulugan at pinaparusahan ang pagkakasala ng kuwalipikadong panunuhol sa ilalim ng batas ng Pilipinas?</v>
      </c>
      <c r="E2077" s="2" t="str">
        <f>IFERROR(__xludf.DUMMYFUNCTION("GOOGLETRANSLATE(C2077, ""en"", ""TL"")"),"Sa Pilipinas, ang qualified bribery ay isang seryosong paglabag na inuri sa ilalim ng Article 211-A ng Revised Penal Code (RPC). Narito ang isang breakdown ng kahulugan at parusa nito:
**Kahulugan ng Kwalipikadong Panunuhol:**
Ang qualified bribery ay nan"&amp;"gyayari kapag ang isang **public officer na ipinagkatiwala sa pagpapatupad ng batas** ay umiwas sa pag-aresto o pag-uusig sa isang nagkasala na nakagawa ng krimen na may parusang **reclusion perpetua (12 taon at 1 araw hanggang 40 taon)** at/o ** kamataya"&amp;"n**, **bilang pagsasaalang-alang sa anumang alok, pangako, regalo, o regalo**.
**Mga Pangunahing Elemento:**
* **Perpetrator:** Ang nagkasala ay dapat isang pampublikong opisyal na pinagkatiwalaan ng mga tungkulin sa pagpapatupad ng batas (hal., pulis, cu"&amp;"stoms inspector).
* **Pagkasalang Binalewala:** Ang pampublikong opisyal ay sadyang nagpapabaya sa pag-aresto o pag-uusig sa isang krimen na may parusang reclusion perpetua at/o kamatayan.
* **Pagganyak:** Ang kawalan ng pagkilos ng opisyal ay udyok ng pa"&amp;"gtanggap ng isang alok, pangako, regalo, o regalo.
**Pagkaiba mula sa Di-tuwirang Panunuhol:**
* **Di-tuwirang panunuhol** (Artikulo 211 ng RPC) ay nagsasangkot ng isang pampublikong opisyal na tumatanggap ng mga regalo dahil sa kanilang katungkulan, ngun"&amp;"it hindi kinakailangang kasangkot sa pagpapabaya sa kanilang mga tungkulin.
* **Ang kuwalipikadong panunuhol** ay isang mas malubhang pagkakasala dahil direktang nakakaapekto ito sa takbo ng pagpapatupad ng batas at hustisya.
**Penalty:**
Ang parusa para "&amp;"sa kuwalipikadong panunuhol ay malupit. Ang pampublikong opisyal na napatunayang nagkasala ay dumaranas ng **parehong parusa** na ipapataw sana sa nagkasala para sa **orihinal na krimen na hindi na-prosecut**.
**Halimbawa:**
* Kung ang isang pulis ay tuma"&amp;"nggap ng suhol upang huwag pansinin ang isang operasyon ng pagtutulak ng droga, maaari silang maharap sa parehong parusa bilang isang drug trafficker, na maaaring reclusion perpetua. **Kahalagahan ng Pagtaguyod ng Pagpapatupad ng Batas:**
Ang kuwalipikado"&amp;"ng panunuhol ay sumisira sa tuntunin ng batas at tiwala ng publiko sa pagpapatupad ng batas. Ang mga mahigpit na parusa ay nagsisilbing hadlang at tinitiyak na itinataguyod ng mga opisyal ang kanilang mga tungkulin.
**Sino ang Maaaring Singilin?**
* Hindi"&amp;" lamang ang pampublikong opisyal na tumatanggap ng suhol kundi pati na rin ang **taong nag-aalok** ng suhol ay maaaring makasuhan ng parehong mga parusa sa ilalim ng Artikulo 211-A ng RPC (hindi kasama ang mga parusa tulad ng disqualification at suspensio"&amp;"n, na nalalapat lamang sa publiko mga opisyal).
**Sa pangkalahatan, ang qualified bribery ay isang seryosong krimen sa Pilipinas. Napakahalaga para sa pagpapanatili ng isang makatarungan at patas na sistemang legal na pinapanagot ang lahat.**
Narito ang i"&amp;"lang mapagkukunan para sa karagdagang impormasyon:
* Binagong Kodigo Penal ng Pilipinas - Artikulo 211-A: [invalid URL article 211 a ng binagong kodigo penal ON The Lawphil Project lawphil.net]
* Tanggapan ng Ombudsman: [invalid URL ombudsman gov ph]")</f>
        <v>Sa Pilipinas, ang qualified bribery ay isang seryosong paglabag na inuri sa ilalim ng Article 211-A ng Revised Penal Code (RPC). Narito ang isang breakdown ng kahulugan at parusa nito:
**Kahulugan ng Kwalipikadong Panunuhol:**
Ang qualified bribery ay nangyayari kapag ang isang **public officer na ipinagkatiwala sa pagpapatupad ng batas** ay umiwas sa pag-aresto o pag-uusig sa isang nagkasala na nakagawa ng krimen na may parusang **reclusion perpetua (12 taon at 1 araw hanggang 40 taon)** at/o ** kamatayan**, **bilang pagsasaalang-alang sa anumang alok, pangako, regalo, o regalo**.
**Mga Pangunahing Elemento:**
* **Perpetrator:** Ang nagkasala ay dapat isang pampublikong opisyal na pinagkatiwalaan ng mga tungkulin sa pagpapatupad ng batas (hal., pulis, customs inspector).
* **Pagkasalang Binalewala:** Ang pampublikong opisyal ay sadyang nagpapabaya sa pag-aresto o pag-uusig sa isang krimen na may parusang reclusion perpetua at/o kamatayan.
* **Pagganyak:** Ang kawalan ng pagkilos ng opisyal ay udyok ng pagtanggap ng isang alok, pangako, regalo, o regalo.
**Pagkaiba mula sa Di-tuwirang Panunuhol:**
* **Di-tuwirang panunuhol** (Artikulo 211 ng RPC) ay nagsasangkot ng isang pampublikong opisyal na tumatanggap ng mga regalo dahil sa kanilang katungkulan, ngunit hindi kinakailangang kasangkot sa pagpapabaya sa kanilang mga tungkulin.
* **Ang kuwalipikadong panunuhol** ay isang mas malubhang pagkakasala dahil direktang nakakaapekto ito sa takbo ng pagpapatupad ng batas at hustisya.
**Penalty:**
Ang parusa para sa kuwalipikadong panunuhol ay malupit. Ang pampublikong opisyal na napatunayang nagkasala ay dumaranas ng **parehong parusa** na ipapataw sana sa nagkasala para sa **orihinal na krimen na hindi na-prosecut**.
**Halimbawa:**
* Kung ang isang pulis ay tumanggap ng suhol upang huwag pansinin ang isang operasyon ng pagtutulak ng droga, maaari silang maharap sa parehong parusa bilang isang drug trafficker, na maaaring reclusion perpetua. **Kahalagahan ng Pagtaguyod ng Pagpapatupad ng Batas:**
Ang kuwalipikadong panunuhol ay sumisira sa tuntunin ng batas at tiwala ng publiko sa pagpapatupad ng batas. Ang mga mahigpit na parusa ay nagsisilbing hadlang at tinitiyak na itinataguyod ng mga opisyal ang kanilang mga tungkulin.
**Sino ang Maaaring Singilin?**
* Hindi lamang ang pampublikong opisyal na tumatanggap ng suhol kundi pati na rin ang **taong nag-aalok** ng suhol ay maaaring makasuhan ng parehong mga parusa sa ilalim ng Artikulo 211-A ng RPC (hindi kasama ang mga parusa tulad ng disqualification at suspension, na nalalapat lamang sa publiko mga opisyal).
**Sa pangkalahatan, ang qualified bribery ay isang seryosong krimen sa Pilipinas. Napakahalaga para sa pagpapanatili ng isang makatarungan at patas na sistemang legal na pinapanagot ang lahat.**
Narito ang ilang mapagkukunan para sa karagdagang impormasyon:
* Binagong Kodigo Penal ng Pilipinas - Artikulo 211-A: [invalid URL article 211 a ng binagong kodigo penal ON The Lawphil Project lawphil.net]
* Tanggapan ng Ombudsman: [invalid URL ombudsman gov ph]</v>
      </c>
      <c r="F2077" s="2">
        <f t="shared" si="1"/>
        <v>0</v>
      </c>
      <c r="G2077" s="2"/>
      <c r="H2077" s="2"/>
      <c r="I2077" s="2"/>
      <c r="J2077" s="2"/>
      <c r="K2077" s="2"/>
      <c r="L2077" s="2"/>
      <c r="M2077" s="2"/>
      <c r="N2077" s="2"/>
      <c r="O2077" s="2"/>
      <c r="P2077" s="2"/>
      <c r="Q2077" s="2"/>
      <c r="R2077" s="2"/>
      <c r="S2077" s="2"/>
      <c r="T2077" s="2"/>
      <c r="U2077" s="2"/>
      <c r="V2077" s="2"/>
      <c r="W2077" s="2"/>
      <c r="X2077" s="2"/>
      <c r="Y2077" s="2"/>
      <c r="Z2077" s="2"/>
      <c r="AA2077" s="2"/>
    </row>
    <row r="2078">
      <c r="A2078" s="1" t="s">
        <v>5061</v>
      </c>
      <c r="B2078" s="1" t="s">
        <v>5136</v>
      </c>
      <c r="C2078" s="1" t="s">
        <v>5137</v>
      </c>
      <c r="D2078" s="2" t="str">
        <f>IFERROR(__xludf.DUMMYFUNCTION("GOOGLETRANSLATE(B2078, ""en"", ""TL"")"),"Anong mga legal na probisyon ang namamahala sa krimen ng karahasan na nauugnay sa halalan at ang mga kahihinatnan nito?")</f>
        <v>Anong mga legal na probisyon ang namamahala sa krimen ng karahasan na nauugnay sa halalan at ang mga kahihinatnan nito?</v>
      </c>
      <c r="E2078" s="2" t="str">
        <f>IFERROR(__xludf.DUMMYFUNCTION("GOOGLETRANSLATE(C2078, ""en"", ""TL"")"),"Ang Pilipinas ay may ilang mga legal na probisyon upang tugunan ang karahasan na may kaugnayan sa halalan at ang mga kahihinatnan nito. Ang mga probisyong ito ay naglalayong tiyakin ang mapayapa at maayos na halalan. Narito ang isang breakdown ng mga pang"&amp;"unahing aspeto:
**Pangunahing Batas:**
* **Ang Omnibus Election Code (Batas Pambansa Blg. 881):** Ito ang pangunahing batas na namamahala sa mga halalan sa Pilipinas. Kabilang dito ang mga partikular na probisyon sa karahasan, pananakot, at iba pang banta"&amp;" na nakadirekta sa mga botante, kandidato, at opisyal ng halalan.
* **Revised Penal Code (RPC):** Ang mas malawak na code na ito ay naglalaman ng mga probisyon para sa iba't ibang krimen na maaaring mangyari sa panahon ng halalan, tulad ng pagpatay, pag-a"&amp;"take, at pamimilit.
**Mga Pagkakasala na Kaugnay ng Halalan:**
Binabalangkas ng Omnibus Election Code ang ilang mga paglabag na nauugnay sa halalan na bumubuo ng karahasan o pananakot:
* **Karahasan laban sa mga Kandidato o Botante:** Pagbabanta, panlilig"&amp;"alig, pananakit, o pagpatay sa isang kandidato o botante upang maimpluwensyahan ang kanilang desisyon o pigilan sila sa paglahok sa mga halalan.
* **Pagkagambala sa mga Aktibidad sa Halalan:** Paggawa ng mga kilos na nakakagambala o pumipigil sa pagsasaga"&amp;"wa ng mapayapang halalan, tulad ng pagsira sa mga balota o pag-atake sa mga lugar ng botohan.
* **Pagbili at Pagbebenta ng mga Boto:** Paggamit ng pera, regalo, o iba pang panghihikayat upang maimpluwensyahan ang pagpili ng isang botante.
* **Pagpipilit:*"&amp;"* Pagpipilit sa isang tao na bumoto para sa isang partikular na kandidato o pananakot sa kanila na huwag bumoto.
**Mga Parusa:**
Ang mga parusa para sa karahasan na nauugnay sa halalan ay nag-iiba depende sa partikular na pagkakasala at sa kalubhaan ng ak"&amp;"to. Narito ang isang pangkalahatang breakdown:
* **Mga Malubhang Pagkakasala:** Ang mga pagkakasala na nagdudulot ng kamatayan, pinsala, o makabuluhang pagkaantala sa mga halalan ay maaaring magresulta sa pagkakulong ng ilang taon, pagkadiskwalipikasyon s"&amp;"a paghawak ng pampublikong tungkulin, at mabigat na multa.
* **Hindi gaanong Seryosong mga Pagkakasala:** Ang mga aktibidad tulad ng pagbili ng boto at pananakot ay maaaring magkaroon ng mas maiikling mga sentensiya sa pagkakulong at multa.
**Pagpapatupad"&amp;":**
Ang Commission on Elections (COMELEC) ay ang pangunahing katawan na responsable sa pagpapatupad ng mga batas sa halalan at pag-iimbestiga sa mga paglabag na may kaugnayan sa halalan. Nagtatrabaho sila kasama ng mga ahensyang nagpapatupad ng batas upan"&amp;"g matiyak ang mapayapang halalan.
**Kahalagahan ng Pag-uulat:**
Kung ikaw ay nakasaksi o nakaranas ng anumang uri ng karahasan o pananakot na may kaugnayan sa halalan, mahalagang iulat ito kaagad** sa COMELEC o tagapagpatupad ng batas. **Paglahok ng Mamam"&amp;"ayan:**
Ang isang mahusay na kaalaman at aktibong mamamayan ay mahalaga para maiwasan ang karahasan na nauugnay sa halalan. Makakatulong ang mga botante sa pamamagitan ng:
* **Pagtuturo sa kanilang sarili tungkol sa kanilang mga karapatan at responsibilid"&amp;"ad.**
* **Pag-uulat ng anumang kahina-hinalang aktibidad sa mga awtoridad.**
* **Pagsusulong ng mapayapa at magalang na pangangampanya.**
**Sa pangkalahatan, ang Pilipinas ay may legal na balangkas upang tugunan ang karahasan na may kaugnayan sa halalan. "&amp;"Gayunpaman, kailangan ang patuloy na pagsisikap upang matiyak ang isang kultura ng mapayapang halalan kung saan pakiramdam ng lahat ay ligtas na lumahok.**
Narito ang ilang mapagkukunan para sa karagdagang impormasyon:
* Commission on Elections (COMELEC):"&amp;" [https://comelec.gov.ph/](https://comelec.gov.ph/)
* Department of Justice (DOJ): [https://www.doj.gov.ph/](https://www.doj.gov.ph/)")</f>
        <v>Ang Pilipinas ay may ilang mga legal na probisyon upang tugunan ang karahasan na may kaugnayan sa halalan at ang mga kahihinatnan nito. Ang mga probisyong ito ay naglalayong tiyakin ang mapayapa at maayos na halalan. Narito ang isang breakdown ng mga pangunahing aspeto:
**Pangunahing Batas:**
* **Ang Omnibus Election Code (Batas Pambansa Blg. 881):** Ito ang pangunahing batas na namamahala sa mga halalan sa Pilipinas. Kabilang dito ang mga partikular na probisyon sa karahasan, pananakot, at iba pang banta na nakadirekta sa mga botante, kandidato, at opisyal ng halalan.
* **Revised Penal Code (RPC):** Ang mas malawak na code na ito ay naglalaman ng mga probisyon para sa iba't ibang krimen na maaaring mangyari sa panahon ng halalan, tulad ng pagpatay, pag-atake, at pamimilit.
**Mga Pagkakasala na Kaugnay ng Halalan:**
Binabalangkas ng Omnibus Election Code ang ilang mga paglabag na nauugnay sa halalan na bumubuo ng karahasan o pananakot:
* **Karahasan laban sa mga Kandidato o Botante:** Pagbabanta, panliligalig, pananakit, o pagpatay sa isang kandidato o botante upang maimpluwensyahan ang kanilang desisyon o pigilan sila sa paglahok sa mga halalan.
* **Pagkagambala sa mga Aktibidad sa Halalan:** Paggawa ng mga kilos na nakakagambala o pumipigil sa pagsasagawa ng mapayapang halalan, tulad ng pagsira sa mga balota o pag-atake sa mga lugar ng botohan.
* **Pagbili at Pagbebenta ng mga Boto:** Paggamit ng pera, regalo, o iba pang panghihikayat upang maimpluwensyahan ang pagpili ng isang botante.
* **Pagpipilit:** Pagpipilit sa isang tao na bumoto para sa isang partikular na kandidato o pananakot sa kanila na huwag bumoto.
**Mga Parusa:**
Ang mga parusa para sa karahasan na nauugnay sa halalan ay nag-iiba depende sa partikular na pagkakasala at sa kalubhaan ng akto. Narito ang isang pangkalahatang breakdown:
* **Mga Malubhang Pagkakasala:** Ang mga pagkakasala na nagdudulot ng kamatayan, pinsala, o makabuluhang pagkaantala sa mga halalan ay maaaring magresulta sa pagkakulong ng ilang taon, pagkadiskwalipikasyon sa paghawak ng pampublikong tungkulin, at mabigat na multa.
* **Hindi gaanong Seryosong mga Pagkakasala:** Ang mga aktibidad tulad ng pagbili ng boto at pananakot ay maaaring magkaroon ng mas maiikling mga sentensiya sa pagkakulong at multa.
**Pagpapatupad:**
Ang Commission on Elections (COMELEC) ay ang pangunahing katawan na responsable sa pagpapatupad ng mga batas sa halalan at pag-iimbestiga sa mga paglabag na may kaugnayan sa halalan. Nagtatrabaho sila kasama ng mga ahensyang nagpapatupad ng batas upang matiyak ang mapayapang halalan.
**Kahalagahan ng Pag-uulat:**
Kung ikaw ay nakasaksi o nakaranas ng anumang uri ng karahasan o pananakot na may kaugnayan sa halalan, mahalagang iulat ito kaagad** sa COMELEC o tagapagpatupad ng batas. **Paglahok ng Mamamayan:**
Ang isang mahusay na kaalaman at aktibong mamamayan ay mahalaga para maiwasan ang karahasan na nauugnay sa halalan. Makakatulong ang mga botante sa pamamagitan ng:
* **Pagtuturo sa kanilang sarili tungkol sa kanilang mga karapatan at responsibilidad.**
* **Pag-uulat ng anumang kahina-hinalang aktibidad sa mga awtoridad.**
* **Pagsusulong ng mapayapa at magalang na pangangampanya.**
**Sa pangkalahatan, ang Pilipinas ay may legal na balangkas upang tugunan ang karahasan na may kaugnayan sa halalan. Gayunpaman, kailangan ang patuloy na pagsisikap upang matiyak ang isang kultura ng mapayapang halalan kung saan pakiramdam ng lahat ay ligtas na lumahok.**
Narito ang ilang mapagkukunan para sa karagdagang impormasyon:
* Commission on Elections (COMELEC): [https://comelec.gov.ph/](https://comelec.gov.ph/)
* Department of Justice (DOJ): [https://www.doj.gov.ph/](https://www.doj.gov.ph/)</v>
      </c>
      <c r="F2078" s="2">
        <f t="shared" si="1"/>
        <v>0</v>
      </c>
      <c r="G2078" s="2"/>
      <c r="H2078" s="2"/>
      <c r="I2078" s="2"/>
      <c r="J2078" s="2"/>
      <c r="K2078" s="2"/>
      <c r="L2078" s="2"/>
      <c r="M2078" s="2"/>
      <c r="N2078" s="2"/>
      <c r="O2078" s="2"/>
      <c r="P2078" s="2"/>
      <c r="Q2078" s="2"/>
      <c r="R2078" s="2"/>
      <c r="S2078" s="2"/>
      <c r="T2078" s="2"/>
      <c r="U2078" s="2"/>
      <c r="V2078" s="2"/>
      <c r="W2078" s="2"/>
      <c r="X2078" s="2"/>
      <c r="Y2078" s="2"/>
      <c r="Z2078" s="2"/>
      <c r="AA2078" s="2"/>
    </row>
    <row r="2079">
      <c r="A2079" s="1" t="s">
        <v>5061</v>
      </c>
      <c r="B2079" s="1" t="s">
        <v>5138</v>
      </c>
      <c r="C2079" s="1" t="s">
        <v>5139</v>
      </c>
      <c r="D2079" s="2" t="str">
        <f>IFERROR(__xludf.DUMMYFUNCTION("GOOGLETRANSLATE(B2079, ""en"", ""TL"")"),"Sa ilalim ng anong mga pangyayari ang isang tao ay maaaring makasuhan ng krimen ng panliligalig sa isang pampublikong opisyal?")</f>
        <v>Sa ilalim ng anong mga pangyayari ang isang tao ay maaaring makasuhan ng krimen ng panliligalig sa isang pampublikong opisyal?</v>
      </c>
      <c r="E2079" s="2" t="str">
        <f>IFERROR(__xludf.DUMMYFUNCTION("GOOGLETRANSLATE(C2079, ""en"", ""TL"")"),"Sa Pilipinas, walang partikular na krimen na tanging tinukoy bilang ""panliligalig sa isang pampublikong opisyal."" Gayunpaman, ang mga pampublikong opisyal ay may ilang partikular na proteksyon laban sa hindi naaangkop na pag-uugali, at depende sa mga pa"&amp;"ngyayari, ang mga aksyon ng isang tao ay maaaring sumailalim sa iba't ibang umiiral na batas. Narito ang isang breakdown ng mga nauugnay na punto:
**Mga Potensyal na Batas para sa Pampublikong Panggigipit:**
* **Revised Penal Code (RPC):** Ito ay nagpapal"&amp;"awak ng batas sa kriminal at nag-aalok ng mga probisyon na maaaring naaangkop depende sa uri ng panliligalig: * **Mga Banta at Alarm:** Kung ang panliligalig ay nagsasangkot ng mga banta ng karahasan o pinsala, ito ay maaaring kasuhan sa ilalim ng Artikul"&amp;"o 148 ng RPC para sa pagdulot ng alarma at iskandalo.
* **Pagpipilit:** Kung ang panliligalig ay naglalayong pilitin ang pampublikong opisyal na kumilos sa isang tiyak na paraan, maaari itong ituring na pamimilit sa ilalim ng Artikulo 149 ng RPC.
* **Pagh"&amp;"arang sa Katarungan:** Kung ang panliligalig ay humadlang sa pampublikong opisyal sa pagtupad sa kanilang mga tungkulin, ito ay makikita bilang obstruction of justice sa ilalim ng Artikulo 150 ng RPC.
* **Mga Espesyal na Batas:** Sa ilang mga kaso, maaari"&amp;"ng mag-alok ng proteksyon ang mga partikular na batas:
* **Anti-Cybercrime Act (Republic Act No. 10175):** Kung ang panliligalig ay nangyayari online sa pamamagitan ng elektronikong komunikasyon, maaaring ilapat ang Anti-Cybercrime Act.
**Mga Pangunahing "&amp;"Pagsasaalang-alang:**
* **Katangian ng Panliligalig:** Ang kalubhaan at katangian ng panliligalig ay tutukuyin ang pinakaangkop na legal na tugon. * **Layunin at Epekto:** Ang layunin sa likod ng panliligalig at ang epekto nito sa pampublikong opisyal ay "&amp;"mahahalagang salik.
* **Balanse ng mga Karapatan:** Kailangang balansehin ang karapatan ng mga pampublikong opisyal na gampanan ang kanilang mga tungkulin nang walang panliligalig na may karapatan sa malayang pananalita at pagpapahayag.
**Mga Alternatibon"&amp;"g Pagkilos:**
* **Mga Reklamo sa Administratibo:** Para sa hindi gaanong matitinding anyo ng panliligalig, maaaring magsampa ng administratibong reklamo ang isang mamamayan sa ahensya kung saan nagtatrabaho ang pampublikong opisyal.
**Kabuuan:**
Bagama't "&amp;"walang iisang batas na ""panliligalig sa isang pampublikong opisyal"", ang Pilipinas ay may mga legal na mekanismo upang tugunan ang hindi naaangkop na pag-uugali sa mga pampublikong opisyal. Ang partikular na batas na inilapat ay depende sa eksaktong kat"&amp;"angian ng panliligalig. Narito ang ilang mapagkukunan para sa karagdagang impormasyon:
* Revised Penal Code of the Philippines: [invalid URL article 211 a of the revised penal code ON The Lawphil Project lawphil.net] * Commission on Human Rights (CHR): [h"&amp;"ttps://chr.gov.ph/](https ://chr.gov.ph/)")</f>
        <v>Sa Pilipinas, walang partikular na krimen na tanging tinukoy bilang "panliligalig sa isang pampublikong opisyal." Gayunpaman, ang mga pampublikong opisyal ay may ilang partikular na proteksyon laban sa hindi naaangkop na pag-uugali, at depende sa mga pangyayari, ang mga aksyon ng isang tao ay maaaring sumailalim sa iba't ibang umiiral na batas. Narito ang isang breakdown ng mga nauugnay na punto:
**Mga Potensyal na Batas para sa Pampublikong Panggigipit:**
* **Revised Penal Code (RPC):** Ito ay nagpapalawak ng batas sa kriminal at nag-aalok ng mga probisyon na maaaring naaangkop depende sa uri ng panliligalig: * **Mga Banta at Alarm:** Kung ang panliligalig ay nagsasangkot ng mga banta ng karahasan o pinsala, ito ay maaaring kasuhan sa ilalim ng Artikulo 148 ng RPC para sa pagdulot ng alarma at iskandalo.
* **Pagpipilit:** Kung ang panliligalig ay naglalayong pilitin ang pampublikong opisyal na kumilos sa isang tiyak na paraan, maaari itong ituring na pamimilit sa ilalim ng Artikulo 149 ng RPC.
* **Pagharang sa Katarungan:** Kung ang panliligalig ay humadlang sa pampublikong opisyal sa pagtupad sa kanilang mga tungkulin, ito ay makikita bilang obstruction of justice sa ilalim ng Artikulo 150 ng RPC.
* **Mga Espesyal na Batas:** Sa ilang mga kaso, maaaring mag-alok ng proteksyon ang mga partikular na batas:
* **Anti-Cybercrime Act (Republic Act No. 10175):** Kung ang panliligalig ay nangyayari online sa pamamagitan ng elektronikong komunikasyon, maaaring ilapat ang Anti-Cybercrime Act.
**Mga Pangunahing Pagsasaalang-alang:**
* **Katangian ng Panliligalig:** Ang kalubhaan at katangian ng panliligalig ay tutukuyin ang pinakaangkop na legal na tugon. * **Layunin at Epekto:** Ang layunin sa likod ng panliligalig at ang epekto nito sa pampublikong opisyal ay mahahalagang salik.
* **Balanse ng mga Karapatan:** Kailangang balansehin ang karapatan ng mga pampublikong opisyal na gampanan ang kanilang mga tungkulin nang walang panliligalig na may karapatan sa malayang pananalita at pagpapahayag.
**Mga Alternatibong Pagkilos:**
* **Mga Reklamo sa Administratibo:** Para sa hindi gaanong matitinding anyo ng panliligalig, maaaring magsampa ng administratibong reklamo ang isang mamamayan sa ahensya kung saan nagtatrabaho ang pampublikong opisyal.
**Kabuuan:**
Bagama't walang iisang batas na "panliligalig sa isang pampublikong opisyal", ang Pilipinas ay may mga legal na mekanismo upang tugunan ang hindi naaangkop na pag-uugali sa mga pampublikong opisyal. Ang partikular na batas na inilapat ay depende sa eksaktong katangian ng panliligalig. Narito ang ilang mapagkukunan para sa karagdagang impormasyon:
* Revised Penal Code of the Philippines: [invalid URL article 211 a of the revised penal code ON The Lawphil Project lawphil.net] * Commission on Human Rights (CHR): [https://chr.gov.ph/](https ://chr.gov.ph/)</v>
      </c>
      <c r="F2079" s="2">
        <f t="shared" si="1"/>
        <v>0</v>
      </c>
      <c r="G2079" s="2"/>
      <c r="H2079" s="2"/>
      <c r="I2079" s="2"/>
      <c r="J2079" s="2"/>
      <c r="K2079" s="2"/>
      <c r="L2079" s="2"/>
      <c r="M2079" s="2"/>
      <c r="N2079" s="2"/>
      <c r="O2079" s="2"/>
      <c r="P2079" s="2"/>
      <c r="Q2079" s="2"/>
      <c r="R2079" s="2"/>
      <c r="S2079" s="2"/>
      <c r="T2079" s="2"/>
      <c r="U2079" s="2"/>
      <c r="V2079" s="2"/>
      <c r="W2079" s="2"/>
      <c r="X2079" s="2"/>
      <c r="Y2079" s="2"/>
      <c r="Z2079" s="2"/>
      <c r="AA2079" s="2"/>
    </row>
    <row r="2080">
      <c r="A2080" s="1" t="s">
        <v>5061</v>
      </c>
      <c r="B2080" s="1" t="s">
        <v>5140</v>
      </c>
      <c r="C2080" s="1" t="s">
        <v>5141</v>
      </c>
      <c r="D2080" s="2" t="str">
        <f>IFERROR(__xludf.DUMMYFUNCTION("GOOGLETRANSLATE(B2080, ""en"", ""TL"")"),"Paano tinutugunan ng batas ang mga insidente ng pag-atake laban sa mga taong nasa awtoridad at ang mga legal na kahihinatnan nito?")</f>
        <v>Paano tinutugunan ng batas ang mga insidente ng pag-atake laban sa mga taong nasa awtoridad at ang mga legal na kahihinatnan nito?</v>
      </c>
      <c r="E2080" s="2" t="str">
        <f>IFERROR(__xludf.DUMMYFUNCTION("GOOGLETRANSLATE(C2080, ""en"", ""TL"")"),"Pinarusahan ng Pilipinas ang pag-atake laban sa mga taong may awtoridad sa ilalim ng Revised Penal Code (RPC). Narito ang isang breakdown ng mga pangunahing punto:
**Pangunahing Batas:**
* **Revised Penal Code (RPC):** Ang Artikulo 148 ng RPC ay partikula"&amp;"r na tumutugon sa pag-atake laban sa mga taong may awtoridad.
**Kahulugan ng Pag-atake:**
Ang isang pag-atake laban sa isang taong may awtoridad ay nangyayari kapag ang isang tao, **nang walang pampublikong pag-aalsa**, ay gumamit ng puwersa o pananakot l"&amp;"aban sa isang taong may awtoridad o kanilang mga ahente habang sila ay nakikibahagi sa pagganap ng kanilang mga opisyal na tungkulin o dahil sa naturang pagganap . **Mga Pangunahing Pagsasaalang-alang:**
* **Pampublikong Pag-aalsa:** Naiiba nito ang pag-a"&amp;"take sa rebelyon, na kinasasangkutan ng marahas na pag-aalsa laban sa gobyerno.
* **Pagganap ng Tungkulin:** Ang pag-atake ay dapat mangyari habang isinasagawa ng taong may awtoridad ang kanilang mga opisyal na tungkulin.
**Kalubhaan at Mga Parusa:**
Ang "&amp;"kalubhaan ng pag-atake at ang pagkakaroon ng armas ay tumutukoy sa parusa:
* **Assault with a Weapon o Pagpapatong ng Kamay:** Kung gumamit ng armas o pisikal na inatake ng nagkasala ang taong may awtoridad, ang parusa ay prision correccional sa katamtama"&amp;"n at pinakamataas na mga panahon nito (pagkakulong ng 6 na buwan at 1 araw hanggang 6 na taon ) at multang hindi hihigit sa P200,000.00 pesos.
* **Serious Disobedience:** Kung ang pag-atake ay nagsasangkot ng malubhang pagsuway o pagtutol nang walang arma"&amp;"s o pisikal na pag-atake, ang parusa ay arresto mayor (pagkakulong ng 1 buwan at 1 araw hanggang 6 na buwan) at multang hindi hihigit sa P100,000.00 pesos.
* **Hindi Seryosong Pagsuway:** Ang pagsuway na hindi seryoso ay nasa ilalim ng Artikulo 151 ng RPC"&amp;" (paglaban at pagsuway sa isang taong may awtoridad) at maaaring magresulta sa arresto menor (pagkakulong ng 1 hanggang 10 araw) o multa mula P2,000.00 hanggang P20,000.00 pesos. **Sino ang isang Person in Authority?**
Itinuturing ng batas ang iba't ibang"&amp;" indibidwal bilang ""mga taong nasa awtoridad"":
* Mga opisyal ng pagpapatupad ng batas (pulis, militar)
* Mga pampublikong opisyal (mga empleyado ng gobyerno sa pagganap ng kanilang mga tungkulin)
* Mga tauhan ng hukuman (mga hukom, tagausig)
* Mga opisy"&amp;"al ng halalan habang naka-duty
**Kahalagahan ng Paggalang sa Awtoridad:**
Ang batas ay naglalayong tiyakin na ang mga taong may awtoridad ay maaaring gampanan ang kanilang mga tungkulin nang walang takot sa karahasan o pananakot. Ito ay mahalaga para sa p"&amp;"agpapanatili ng kaayusan at pagpapatupad ng batas.
**Gayunpaman, kinikilala din ng batas ang karapatan sa mapayapang protesta.** Kung ang isang protesta ay mananatiling mapayapa, kahit na ito ay nagsasangkot ng pagsuway, hindi ito nangangahulugang pag-ata"&amp;"ke laban sa isang taong may awtoridad.
**Sa pangkalahatan, ang Pilipinas ay may legal na balangkas upang pigilan ang mga pag-atake sa mga taong may awtoridad. Mahalagang maunawaan ang batas at tumugon nang naaangkop upang maiwasan ang mga legal na kahihin"&amp;"atnan.**
Narito ang ilang mapagkukunan para sa karagdagang impormasyon:
* Binagong Kodigo Penal ng Pilipinas - Artikulo 148: [invalid URL article 211 a of the revised penal code ON The Lawphil Project lawphil.net]
* Commission on Human Rights (CHR): [http"&amp;"s://chr.gov.ph/](https://chr.gov.ph/)")</f>
        <v>Pinarusahan ng Pilipinas ang pag-atake laban sa mga taong may awtoridad sa ilalim ng Revised Penal Code (RPC). Narito ang isang breakdown ng mga pangunahing punto:
**Pangunahing Batas:**
* **Revised Penal Code (RPC):** Ang Artikulo 148 ng RPC ay partikular na tumutugon sa pag-atake laban sa mga taong may awtoridad.
**Kahulugan ng Pag-atake:**
Ang isang pag-atake laban sa isang taong may awtoridad ay nangyayari kapag ang isang tao, **nang walang pampublikong pag-aalsa**, ay gumamit ng puwersa o pananakot laban sa isang taong may awtoridad o kanilang mga ahente habang sila ay nakikibahagi sa pagganap ng kanilang mga opisyal na tungkulin o dahil sa naturang pagganap . **Mga Pangunahing Pagsasaalang-alang:**
* **Pampublikong Pag-aalsa:** Naiiba nito ang pag-atake sa rebelyon, na kinasasangkutan ng marahas na pag-aalsa laban sa gobyerno.
* **Pagganap ng Tungkulin:** Ang pag-atake ay dapat mangyari habang isinasagawa ng taong may awtoridad ang kanilang mga opisyal na tungkulin.
**Kalubhaan at Mga Parusa:**
Ang kalubhaan ng pag-atake at ang pagkakaroon ng armas ay tumutukoy sa parusa:
* **Assault with a Weapon o Pagpapatong ng Kamay:** Kung gumamit ng armas o pisikal na inatake ng nagkasala ang taong may awtoridad, ang parusa ay prision correccional sa katamtaman at pinakamataas na mga panahon nito (pagkakulong ng 6 na buwan at 1 araw hanggang 6 na taon ) at multang hindi hihigit sa P200,000.00 pesos.
* **Serious Disobedience:** Kung ang pag-atake ay nagsasangkot ng malubhang pagsuway o pagtutol nang walang armas o pisikal na pag-atake, ang parusa ay arresto mayor (pagkakulong ng 1 buwan at 1 araw hanggang 6 na buwan) at multang hindi hihigit sa P100,000.00 pesos.
* **Hindi Seryosong Pagsuway:** Ang pagsuway na hindi seryoso ay nasa ilalim ng Artikulo 151 ng RPC (paglaban at pagsuway sa isang taong may awtoridad) at maaaring magresulta sa arresto menor (pagkakulong ng 1 hanggang 10 araw) o multa mula P2,000.00 hanggang P20,000.00 pesos. **Sino ang isang Person in Authority?**
Itinuturing ng batas ang iba't ibang indibidwal bilang "mga taong nasa awtoridad":
* Mga opisyal ng pagpapatupad ng batas (pulis, militar)
* Mga pampublikong opisyal (mga empleyado ng gobyerno sa pagganap ng kanilang mga tungkulin)
* Mga tauhan ng hukuman (mga hukom, tagausig)
* Mga opisyal ng halalan habang naka-duty
**Kahalagahan ng Paggalang sa Awtoridad:**
Ang batas ay naglalayong tiyakin na ang mga taong may awtoridad ay maaaring gampanan ang kanilang mga tungkulin nang walang takot sa karahasan o pananakot. Ito ay mahalaga para sa pagpapanatili ng kaayusan at pagpapatupad ng batas.
**Gayunpaman, kinikilala din ng batas ang karapatan sa mapayapang protesta.** Kung ang isang protesta ay mananatiling mapayapa, kahit na ito ay nagsasangkot ng pagsuway, hindi ito nangangahulugang pag-atake laban sa isang taong may awtoridad.
**Sa pangkalahatan, ang Pilipinas ay may legal na balangkas upang pigilan ang mga pag-atake sa mga taong may awtoridad. Mahalagang maunawaan ang batas at tumugon nang naaangkop upang maiwasan ang mga legal na kahihinatnan.**
Narito ang ilang mapagkukunan para sa karagdagang impormasyon:
* Binagong Kodigo Penal ng Pilipinas - Artikulo 148: [invalid URL article 211 a of the revised penal code ON The Lawphil Project lawphil.net]
* Commission on Human Rights (CHR): [https://chr.gov.ph/](https://chr.gov.ph/)</v>
      </c>
      <c r="F2080" s="2">
        <f t="shared" si="1"/>
        <v>0</v>
      </c>
      <c r="G2080" s="2"/>
      <c r="H2080" s="2"/>
      <c r="I2080" s="2"/>
      <c r="J2080" s="2"/>
      <c r="K2080" s="2"/>
      <c r="L2080" s="2"/>
      <c r="M2080" s="2"/>
      <c r="N2080" s="2"/>
      <c r="O2080" s="2"/>
      <c r="P2080" s="2"/>
      <c r="Q2080" s="2"/>
      <c r="R2080" s="2"/>
      <c r="S2080" s="2"/>
      <c r="T2080" s="2"/>
      <c r="U2080" s="2"/>
      <c r="V2080" s="2"/>
      <c r="W2080" s="2"/>
      <c r="X2080" s="2"/>
      <c r="Y2080" s="2"/>
      <c r="Z2080" s="2"/>
      <c r="AA2080" s="2"/>
    </row>
    <row r="2081">
      <c r="A2081" s="1" t="s">
        <v>5061</v>
      </c>
      <c r="B2081" s="1" t="s">
        <v>5142</v>
      </c>
      <c r="C2081" s="1" t="s">
        <v>5143</v>
      </c>
      <c r="D2081" s="2" t="str">
        <f>IFERROR(__xludf.DUMMYFUNCTION("GOOGLETRANSLATE(B2081, ""en"", ""TL"")"),"Anong mga parusa ang ipinapataw sa paggawa ng krimen ng iligal na pagdadala ng mga baril o pampasabog ng isang pribadong indibidwal?")</f>
        <v>Anong mga parusa ang ipinapataw sa paggawa ng krimen ng iligal na pagdadala ng mga baril o pampasabog ng isang pribadong indibidwal?</v>
      </c>
      <c r="E2081" s="2" t="str">
        <f>IFERROR(__xludf.DUMMYFUNCTION("GOOGLETRANSLATE(C2081, ""en"", ""TL"")"),"Sa ilalim ng batas ng Pilipinas, partikular ang Republic Act No. 10591, o ang ""Comprehensive Firearms and Ammunition Regulation Act,"" ang mga parusa para sa paggawa ng krimen ng iligal na pagdadala ng mga baril o pampasabog ng isang pribadong indibidwal"&amp;" ay nag-iiba depende sa mga pangyayari ng pagkakasala at sa uri ng baril o pampasabog na sangkot. Narito ang mga pangkalahatang parusa:
1. **Ilegal na Pagmamay-ari ng mga Baril:**
- Kung ang isang pribadong indibidwal ay napatunayang nagkasala ng iligal n"&amp;"a pagmamay-ari ng mga baril na walang valid na lisensya o permit to possess, maaari silang mapaharap sa pagkakakulong mula anim na taon at isang araw hanggang labindalawang taon.
- Kung ang baril ay nauuri bilang ""light firearms"" tulad ng handguns, rifl"&amp;"es, o shotguns, ang parusa ay maaaring mas mataas, na may pagkakakulong mula anim na taon at isang araw hanggang labindalawang taon, at multa mula ₱30,000 hanggang ₱300,000.
- Para sa mga baril na nauuri bilang ""high-powered firearms"" tulad ng automatic"&amp;" rifles, machine gun, o artillery, ang parusa ay maaaring mas mataas, na may pagkakakulong mula labindalawang taon at isang araw hanggang dalawampung taon, at multa mula ₱100,000 hanggang ₱ 500,000.
2. **Ilegal na Pag-aari ng mga Pasasabog:**
- Kung ang i"&amp;"sang pribadong indibidwal ay napatunayang nagkasala ng iligal na pagmamay-ari ng mga pampasabog nang walang kaukulang awtoridad o permit, maaari silang makulong mula anim na taon at isang araw hanggang labindalawang taon, at multang mula ₱40,000 hanggang "&amp;"₱500,000.
Mahalagang tandaan na ang mga parusang ito ay maaaring sumailalim sa pagpapahusay kung may mga nagpapalubha na pangyayari, tulad ng pagkakaroon ng maraming baril o pampasabog, pag-aari sa panahon ng paggawa ng isa pang krimen, o pag-aari bilang "&amp;"pagpapatuloy ng paghihimagsik, insureksyon, o terorismo.
Dagdag pa rito, pinapayagan ng batas ang pagkumpiska ng mga iligal na baril o pampasabog at ang pagkansela ng anumang umiiral na mga lisensya o permit na hawak ng indibidwal na napatunayang nagkasal"&amp;"a sa pagkakasala.
Ang mga indibidwal na inakusahan ng iligal na pag-aari ng mga baril o pampasabog ay may karapatan sa angkop na proseso at legal na representasyon. Maipapayo na kumunsulta sa isang abogado para sa partikular na legal na payo at tulong kun"&amp;"g nahaharap sa mga kasong may kaugnayan sa iligal na pag-aari ng mga baril o pampasabog.")</f>
        <v>Sa ilalim ng batas ng Pilipinas, partikular ang Republic Act No. 10591, o ang "Comprehensive Firearms and Ammunition Regulation Act," ang mga parusa para sa paggawa ng krimen ng iligal na pagdadala ng mga baril o pampasabog ng isang pribadong indibidwal ay nag-iiba depende sa mga pangyayari ng pagkakasala at sa uri ng baril o pampasabog na sangkot. Narito ang mga pangkalahatang parusa:
1. **Ilegal na Pagmamay-ari ng mga Baril:**
- Kung ang isang pribadong indibidwal ay napatunayang nagkasala ng iligal na pagmamay-ari ng mga baril na walang valid na lisensya o permit to possess, maaari silang mapaharap sa pagkakakulong mula anim na taon at isang araw hanggang labindalawang taon.
- Kung ang baril ay nauuri bilang "light firearms" tulad ng handguns, rifles, o shotguns, ang parusa ay maaaring mas mataas, na may pagkakakulong mula anim na taon at isang araw hanggang labindalawang taon, at multa mula ₱30,000 hanggang ₱300,000.
- Para sa mga baril na nauuri bilang "high-powered firearms" tulad ng automatic rifles, machine gun, o artillery, ang parusa ay maaaring mas mataas, na may pagkakakulong mula labindalawang taon at isang araw hanggang dalawampung taon, at multa mula ₱100,000 hanggang ₱ 500,000.
2. **Ilegal na Pag-aari ng mga Pasasabog:**
- Kung ang isang pribadong indibidwal ay napatunayang nagkasala ng iligal na pagmamay-ari ng mga pampasabog nang walang kaukulang awtoridad o permit, maaari silang makulong mula anim na taon at isang araw hanggang labindalawang taon, at multang mula ₱40,000 hanggang ₱500,000.
Mahalagang tandaan na ang mga parusang ito ay maaaring sumailalim sa pagpapahusay kung may mga nagpapalubha na pangyayari, tulad ng pagkakaroon ng maraming baril o pampasabog, pag-aari sa panahon ng paggawa ng isa pang krimen, o pag-aari bilang pagpapatuloy ng paghihimagsik, insureksyon, o terorismo.
Dagdag pa rito, pinapayagan ng batas ang pagkumpiska ng mga iligal na baril o pampasabog at ang pagkansela ng anumang umiiral na mga lisensya o permit na hawak ng indibidwal na napatunayang nagkasala sa pagkakasala.
Ang mga indibidwal na inakusahan ng iligal na pag-aari ng mga baril o pampasabog ay may karapatan sa angkop na proseso at legal na representasyon. Maipapayo na kumunsulta sa isang abogado para sa partikular na legal na payo at tulong kung nahaharap sa mga kasong may kaugnayan sa iligal na pag-aari ng mga baril o pampasabog.</v>
      </c>
      <c r="F2081" s="2">
        <f t="shared" si="1"/>
        <v>0</v>
      </c>
      <c r="G2081" s="2"/>
      <c r="H2081" s="2"/>
      <c r="I2081" s="2"/>
      <c r="J2081" s="2"/>
      <c r="K2081" s="2"/>
      <c r="L2081" s="2"/>
      <c r="M2081" s="2"/>
      <c r="N2081" s="2"/>
      <c r="O2081" s="2"/>
      <c r="P2081" s="2"/>
      <c r="Q2081" s="2"/>
      <c r="R2081" s="2"/>
      <c r="S2081" s="2"/>
      <c r="T2081" s="2"/>
      <c r="U2081" s="2"/>
      <c r="V2081" s="2"/>
      <c r="W2081" s="2"/>
      <c r="X2081" s="2"/>
      <c r="Y2081" s="2"/>
      <c r="Z2081" s="2"/>
      <c r="AA2081" s="2"/>
    </row>
    <row r="2082">
      <c r="A2082" s="1" t="s">
        <v>5061</v>
      </c>
      <c r="B2082" s="1" t="s">
        <v>5144</v>
      </c>
      <c r="C2082" s="1" t="s">
        <v>5145</v>
      </c>
      <c r="D2082" s="2" t="str">
        <f>IFERROR(__xludf.DUMMYFUNCTION("GOOGLETRANSLATE(B2082, ""en"", ""TL"")"),"Paano kinokontrol at pinaparusahan ang pagkakasala ng paglaban at pagsuway sa isang taong may awtoridad?")</f>
        <v>Paano kinokontrol at pinaparusahan ang pagkakasala ng paglaban at pagsuway sa isang taong may awtoridad?</v>
      </c>
      <c r="E2082" s="2" t="str">
        <f>IFERROR(__xludf.DUMMYFUNCTION("GOOGLETRANSLATE(C2082, ""en"", ""TL"")"),"Tinutugunan ng Philippine Revised Penal Code ang pagkakasala ng paglaban at pagsuway sa isang taong may awtoridad o sa mga ahente ng naturang tao. Tuklasin natin ang mga legal na probisyon at parusa:
**Konsepto**:
Tinutukoy ng Artikulo 151 ng Binagong Kod"&amp;"igo Penal ang pagkakasalang ito.
Nalalapat ito sa sinumang tao na, hindi kasama sa ibang mga partikular na probisyon, ay lumalaban o seryosong sumuway sa sinumang may awtoridad o sa kanilang mga ahente habang nagsasagawa ng mga opisyal na tungkulin.
**Mga"&amp;" Parusa**:
**Paglaban o Malubhang Pagsuway**:
Kung malubha ang pagsuway o pagtutol, ang parusa ay arresto mayor (pagkakulong) at multang hindi hihigit sa ₱100,000.
**Hindi gaanong Seryosong Pagsuway**:
Kapag ang pagsuway ay hindi seryoso, ang parusa ay al"&amp;"inman sa arresto menor (pagkakulong) o multang mula ₱2,000 hanggang ₱20,000.
**Mode ng Komisyon**:
Ang mga elemento ng pagkakasala ay kinabibilangan ng:
1. Ang nagkasala ay hindi kasama sa ibang mga probisyon (hal., direkta o hindi direktang pag-atake, pa"&amp;"gsuway sa pagpapatawag ng lehislatura o Constitutional Commission).
2. Ang nagkasala ay lumalaban o seryosong sumuway sa sinumang may awtoridad o sa kanilang mga ahente sa panahon ng pagganap ng mga opisyal na tungkulin.
Ang mga legal na probisyon na ito "&amp;"ay naglalayong tiyakin ang paggalang sa awtoridad at mapanatili ang kaayusan sa lipunan sa pamamagitan ng pagpaparusa sa mga kilos ng pagtutol o pagsuway sa mga taong may awtoridad o kanilang mga ahente.")</f>
        <v>Tinutugunan ng Philippine Revised Penal Code ang pagkakasala ng paglaban at pagsuway sa isang taong may awtoridad o sa mga ahente ng naturang tao. Tuklasin natin ang mga legal na probisyon at parusa:
**Konsepto**:
Tinutukoy ng Artikulo 151 ng Binagong Kodigo Penal ang pagkakasalang ito.
Nalalapat ito sa sinumang tao na, hindi kasama sa ibang mga partikular na probisyon, ay lumalaban o seryosong sumuway sa sinumang may awtoridad o sa kanilang mga ahente habang nagsasagawa ng mga opisyal na tungkulin.
**Mga Parusa**:
**Paglaban o Malubhang Pagsuway**:
Kung malubha ang pagsuway o pagtutol, ang parusa ay arresto mayor (pagkakulong) at multang hindi hihigit sa ₱100,000.
**Hindi gaanong Seryosong Pagsuway**:
Kapag ang pagsuway ay hindi seryoso, ang parusa ay alinman sa arresto menor (pagkakulong) o multang mula ₱2,000 hanggang ₱20,000.
**Mode ng Komisyon**:
Ang mga elemento ng pagkakasala ay kinabibilangan ng:
1. Ang nagkasala ay hindi kasama sa ibang mga probisyon (hal., direkta o hindi direktang pag-atake, pagsuway sa pagpapatawag ng lehislatura o Constitutional Commission).
2. Ang nagkasala ay lumalaban o seryosong sumuway sa sinumang may awtoridad o sa kanilang mga ahente sa panahon ng pagganap ng mga opisyal na tungkulin.
Ang mga legal na probisyon na ito ay naglalayong tiyakin ang paggalang sa awtoridad at mapanatili ang kaayusan sa lipunan sa pamamagitan ng pagpaparusa sa mga kilos ng pagtutol o pagsuway sa mga taong may awtoridad o kanilang mga ahente.</v>
      </c>
      <c r="F2082" s="2">
        <f t="shared" si="1"/>
        <v>0</v>
      </c>
      <c r="G2082" s="2"/>
      <c r="H2082" s="2"/>
      <c r="I2082" s="2"/>
      <c r="J2082" s="2"/>
      <c r="K2082" s="2"/>
      <c r="L2082" s="2"/>
      <c r="M2082" s="2"/>
      <c r="N2082" s="2"/>
      <c r="O2082" s="2"/>
      <c r="P2082" s="2"/>
      <c r="Q2082" s="2"/>
      <c r="R2082" s="2"/>
      <c r="S2082" s="2"/>
      <c r="T2082" s="2"/>
      <c r="U2082" s="2"/>
      <c r="V2082" s="2"/>
      <c r="W2082" s="2"/>
      <c r="X2082" s="2"/>
      <c r="Y2082" s="2"/>
      <c r="Z2082" s="2"/>
      <c r="AA2082" s="2"/>
    </row>
    <row r="2083">
      <c r="A2083" s="1" t="s">
        <v>5061</v>
      </c>
      <c r="B2083" s="1" t="s">
        <v>5146</v>
      </c>
      <c r="C2083" s="1" t="s">
        <v>5147</v>
      </c>
      <c r="D2083" s="2" t="str">
        <f>IFERROR(__xludf.DUMMYFUNCTION("GOOGLETRANSLATE(B2083, ""en"", ""TL"")"),"Paano nauuri at pinarurusahan ang mga insidente ng malubhang maling pag-uugali at malfeasance sa opisina?")</f>
        <v>Paano nauuri at pinarurusahan ang mga insidente ng malubhang maling pag-uugali at malfeasance sa opisina?</v>
      </c>
      <c r="E2083" s="2" t="str">
        <f>IFERROR(__xludf.DUMMYFUNCTION("GOOGLETRANSLATE(C2083, ""en"", ""TL"")"),"Sa Pilipinas, ang grave misconduct at malfeasance sa opisina ay inuri bilang mga pagkakasala laban sa serbisyo publiko sa ilalim ng Title II ng Revised Penal Code (RPC). Nagdadala sila ng malubhang parusa para sa mga pampublikong opisyal o empleyado na lu"&amp;"malabag sa tiwala ng publiko. Narito ang isang breakdown ng mga pangunahing punto:
**Mga Pag-uuri:**
* **Grave Misconduct:** Ito ay tumutukoy sa **nakakamalay na kilos** ng isang pampublikong opisyal na **malaking pagwawalang-bahala sa itinatag na mga pam"&amp;"antayang etikal** o **sinasadyang pagkabigong gampanan ang mga opisyal na tungkulin**. Sinasalamin nito ang isang **malubhang paglabag** laban sa serbisyo publiko. (Artikulo 208 ng RPC)
* **Malfeasance:** Ito ay tumutukoy sa **maling pag-uugali** ng isang"&amp;" pampublikong opisyal na may kaugnayan sa kanilang opisina. Ito ay nagsasangkot ng **komisyon ng isang kilos na ipinagbabawal ng batas** o **pagtanggal sa isang tungkulin na iniaatas ng batas**. (Artikulo 218 ng RPC)
**Mga Halimbawa:**
* **Grave misconduc"&amp;"t:** Falsifying official documents, using public office for personal gain, abuse of authority.
* **Malfeasance:** Pagtanggap ng suhol, pagsali sa mga hindi awtorisadong aktibidad sa negosyo habang nasa opisina, pagpapabaya sa tungkulin.
**Mga Parusa:**
An"&amp;"g mga parusa para sa malubhang maling pag-uugali at malfeasance ay nag-iiba depende sa kalubhaan ng pagkakasala at sa partikular na probisyon na nilabag. Narito ang isang pangkalahatang breakdown:
* **Destierro (Banishment):** Pansamantala o permanenteng "&amp;"pagpapatapon mula sa isang partikular na lugar o teritoryo.
* **Prision correccional (Pagkulong):** Mula 6 na buwan at 1 araw hanggang 6 na taon.
* **Perpetual Disqualification:** Pinagbawalan sa paghawak ng pampublikong katungkulan at paggamit ng mga kar"&amp;"apatan sa pagboto.
* **Mga multa:** Mga variable na halaga depende sa pagkakasala.
**Sino ang Maaaring Singilin?**
Nalalapat ang batas sa lahat ng pampublikong opisyal at empleyado, kabilang ang:
* Mga nahalal na opisyal (pambansa at lokal)
* Mga lingkod-"&amp;"bayan
* Mga tauhan ng militar at pulis
**Sino ang Maaaring Magsampa ng Mga Singilin?**
* **Ombudsman:** Isang independiyenteng katawan na may awtoridad na imbestigahan at usigin ang mga pampublikong opisyal.
* **Sinumang mamamayan:** Maaaring magsampa ng "&amp;"pormal na reklamo sa opisina ng Ombudsman.
**Kahalagahan ng Pananagutan:**
Ang mga mahigpit na parusa para sa malubhang maling pag-uugali at malfeasance ay nagsisilbing hadlang at nagtataguyod ng **pananagutan** sa mga pampublikong opisyal. Nakakatulong i"&amp;"to sa **mapanatili ang tiwala ng publiko** sa mga institusyon ng gobyerno.
**Mga Karagdagang Pagsasaalang-alang:**
* **Mga Pamamaraang Pang-administratibo:** Ang mga pampublikong opisyal na nahaharap sa mga kaso ay maaari ding sumailalim sa **mga paglilit"&amp;"is sa administratibo** sa loob ng kanilang ahensya, na maaaring magresulta sa pagkatanggal o pagkakasuspinde.
* **Due Process:** Ang akusado ay may karapatan sa **due process** at isang patas na paglilitis.
**Sa pangkalahatan, ang Pilipinas ay may legal n"&amp;"a balangkas upang tugunan ang malubhang maling pag-uugali at maling gawain sa panunungkulan. Nakakatulong ito na matiyak na itinataguyod ng mga pampublikong opisyal ang tiwala ng publiko at gumaganap ng kanilang mga tungkulin sa etikal na paraan.**
Narito"&amp;" ang ilang mapagkukunan para sa karagdagang impormasyon:
* Tanggapan ng Ombudsman: [invalid URL ombudsman gov ph]
* Revised Penal Code of the Philippines - Title II: [invalid URL the revised penal code book 1 ON The Lawphil Project lawphil.net]")</f>
        <v>Sa Pilipinas, ang grave misconduct at malfeasance sa opisina ay inuri bilang mga pagkakasala laban sa serbisyo publiko sa ilalim ng Title II ng Revised Penal Code (RPC). Nagdadala sila ng malubhang parusa para sa mga pampublikong opisyal o empleyado na lumalabag sa tiwala ng publiko. Narito ang isang breakdown ng mga pangunahing punto:
**Mga Pag-uuri:**
* **Grave Misconduct:** Ito ay tumutukoy sa **nakakamalay na kilos** ng isang pampublikong opisyal na **malaking pagwawalang-bahala sa itinatag na mga pamantayang etikal** o **sinasadyang pagkabigong gampanan ang mga opisyal na tungkulin**. Sinasalamin nito ang isang **malubhang paglabag** laban sa serbisyo publiko. (Artikulo 208 ng RPC)
* **Malfeasance:** Ito ay tumutukoy sa **maling pag-uugali** ng isang pampublikong opisyal na may kaugnayan sa kanilang opisina. Ito ay nagsasangkot ng **komisyon ng isang kilos na ipinagbabawal ng batas** o **pagtanggal sa isang tungkulin na iniaatas ng batas**. (Artikulo 218 ng RPC)
**Mga Halimbawa:**
* **Grave misconduct:** Falsifying official documents, using public office for personal gain, abuse of authority.
* **Malfeasance:** Pagtanggap ng suhol, pagsali sa mga hindi awtorisadong aktibidad sa negosyo habang nasa opisina, pagpapabaya sa tungkulin.
**Mga Parusa:**
Ang mga parusa para sa malubhang maling pag-uugali at malfeasance ay nag-iiba depende sa kalubhaan ng pagkakasala at sa partikular na probisyon na nilabag. Narito ang isang pangkalahatang breakdown:
* **Destierro (Banishment):** Pansamantala o permanenteng pagpapatapon mula sa isang partikular na lugar o teritoryo.
* **Prision correccional (Pagkulong):** Mula 6 na buwan at 1 araw hanggang 6 na taon.
* **Perpetual Disqualification:** Pinagbawalan sa paghawak ng pampublikong katungkulan at paggamit ng mga karapatan sa pagboto.
* **Mga multa:** Mga variable na halaga depende sa pagkakasala.
**Sino ang Maaaring Singilin?**
Nalalapat ang batas sa lahat ng pampublikong opisyal at empleyado, kabilang ang:
* Mga nahalal na opisyal (pambansa at lokal)
* Mga lingkod-bayan
* Mga tauhan ng militar at pulis
**Sino ang Maaaring Magsampa ng Mga Singilin?**
* **Ombudsman:** Isang independiyenteng katawan na may awtoridad na imbestigahan at usigin ang mga pampublikong opisyal.
* **Sinumang mamamayan:** Maaaring magsampa ng pormal na reklamo sa opisina ng Ombudsman.
**Kahalagahan ng Pananagutan:**
Ang mga mahigpit na parusa para sa malubhang maling pag-uugali at malfeasance ay nagsisilbing hadlang at nagtataguyod ng **pananagutan** sa mga pampublikong opisyal. Nakakatulong ito sa **mapanatili ang tiwala ng publiko** sa mga institusyon ng gobyerno.
**Mga Karagdagang Pagsasaalang-alang:**
* **Mga Pamamaraang Pang-administratibo:** Ang mga pampublikong opisyal na nahaharap sa mga kaso ay maaari ding sumailalim sa **mga paglilitis sa administratibo** sa loob ng kanilang ahensya, na maaaring magresulta sa pagkatanggal o pagkakasuspinde.
* **Due Process:** Ang akusado ay may karapatan sa **due process** at isang patas na paglilitis.
**Sa pangkalahatan, ang Pilipinas ay may legal na balangkas upang tugunan ang malubhang maling pag-uugali at maling gawain sa panunungkulan. Nakakatulong ito na matiyak na itinataguyod ng mga pampublikong opisyal ang tiwala ng publiko at gumaganap ng kanilang mga tungkulin sa etikal na paraan.**
Narito ang ilang mapagkukunan para sa karagdagang impormasyon:
* Tanggapan ng Ombudsman: [invalid URL ombudsman gov ph]
* Revised Penal Code of the Philippines - Title II: [invalid URL the revised penal code book 1 ON The Lawphil Project lawphil.net]</v>
      </c>
      <c r="F2083" s="2">
        <f t="shared" si="1"/>
        <v>0</v>
      </c>
      <c r="G2083" s="2"/>
      <c r="H2083" s="2"/>
      <c r="I2083" s="2"/>
      <c r="J2083" s="2"/>
      <c r="K2083" s="2"/>
      <c r="L2083" s="2"/>
      <c r="M2083" s="2"/>
      <c r="N2083" s="2"/>
      <c r="O2083" s="2"/>
      <c r="P2083" s="2"/>
      <c r="Q2083" s="2"/>
      <c r="R2083" s="2"/>
      <c r="S2083" s="2"/>
      <c r="T2083" s="2"/>
      <c r="U2083" s="2"/>
      <c r="V2083" s="2"/>
      <c r="W2083" s="2"/>
      <c r="X2083" s="2"/>
      <c r="Y2083" s="2"/>
      <c r="Z2083" s="2"/>
      <c r="AA2083" s="2"/>
    </row>
    <row r="2084">
      <c r="A2084" s="1" t="s">
        <v>5061</v>
      </c>
      <c r="B2084" s="1" t="s">
        <v>5148</v>
      </c>
      <c r="C2084" s="1" t="s">
        <v>5149</v>
      </c>
      <c r="D2084" s="2" t="str">
        <f>IFERROR(__xludf.DUMMYFUNCTION("GOOGLETRANSLATE(B2084, ""en"", ""TL"")"),"Sa ilalim ng anong mga pangyayari maaaring kasuhan ang isang tao ng krimen ng usurpation of authority o official functions?")</f>
        <v>Sa ilalim ng anong mga pangyayari maaaring kasuhan ang isang tao ng krimen ng usurpation of authority o official functions?</v>
      </c>
      <c r="E2084" s="2" t="str">
        <f>IFERROR(__xludf.DUMMYFUNCTION("GOOGLETRANSLATE(C2084, ""en"", ""TL"")"),"Sa Pilipinas, ang krimen ng usurpation of authority o official functions ay pinarurusahan sa ilalim ng Article 177 ng Revised Penal Code (RPC). Narito ang isang breakdown ng mga pangunahing punto kung kailan maaaring makasuhan ang isang tao sa paglabag na"&amp;" ito:
**Mga Elemento ng Krimen:**
Mayroong tatlong pangunahing elemento na kailangang patunayan para ang isang tao ay makasuhan ng usurpation of authority o opisyal na tungkulin:
1. **Pagkukunwari ng Opisyal na Posisyon:** Ang tao ay dapat **kumilos na pa"&amp;"rang may hawak silang isang opisyal na posisyon**. Maaaring kabilang dito ang pagsusuot ng uniporme, pagpapakita ng mga pekeng dokumento, o pasalitang pag-aangkin bilang isang awtorisadong opisyal.
2. **Pagsasagawa ng mga Gawa na May Kaugnayan sa Awtorida"&amp;"d:** Ang tao ay dapat **gumawa ng isang kilos** na **nauukol sa isang taong nasa awtoridad o pampublikong opisyal**. Maaaring kabilang dito ang pag-isyu ng mga order, pag-aresto, pagsasagawa ng mga inspeksyon, o pagkolekta ng mga bayarin. 3. **Acting with"&amp;"out Legal Entitlement:** Ang tao ay dapat **ginagawa ito nang walang legal na karapatan na gawin ito**. Hindi nila hawak ang tunay na posisyon at kulang sa legal na awtoridad na gawin ang mga ganitong gawain.
**Mga Halimbawa ng Usurpation:**
* May nagpapa"&amp;"nggap na pulis para huminto sa mga motorista.
* Ang isang indibidwal ay nagpapanggap na isang inspektor ng kalusugan at humihingi ng pera sa mga negosyo.
* Ang isang tao ay nagpapanggap bilang isang opisyal ng gobyerno at nangongolekta ng mga bayarin para"&amp;" sa isang pekeng programa.
**Mahahalagang Pagsasaalang-alang:**
* **Good Faith Defense:** Kung maipapakita ng tao na kumilos siya nang may mabuting loob at tunay na naniniwalang mayroon silang awtoridad, maaari itong magsilbing depensa laban sa paratang.
"&amp;"* **Mere Disagreement:** Ang mga hindi pagkakasundo sa mga aksyon ng isang tunay na opisyal ay hindi bubuo ng usurpation. * **Saklaw ng Pagkakasala:** Nalalapat ang batas sa parehong **mga pampublikong opisyal** na lumalampas sa kanilang awtoridad at **mg"&amp;"a pribadong indibidwal** na maling nag-aangkin ng mga opisyal na posisyon.
**Mga Parusa:**
Ang parusa para sa pag-agaw ng awtoridad o opisyal na tungkulin ay nakasalalay sa kung ang tao ay nagkunwaring may mataas na antas ng posisyon o mas karaniwan:
* **"&amp;"Na may Pagkukunwari ng Mataas na Awtoridad:** Ang parusa ay **prision correccional sa maximum na panahon nito sa reclusion temporal sa minimum na panahon nito** (pagkakulong ng 2 taon at 1 araw hanggang 8 taon).
* **Walang Pagkukunwari ng Mataas na Awtori"&amp;"dad:** Ang parusa ay **prision correccional sa pinakamababa at katamtamang panahon nito** (pagkakulong ng 6 na buwan at 1 araw hanggang 2 taon at 4 na buwan).
**Sa pangkalahatan, layunin ng Pilipinas na pigilan ang mga indibidwal na magpanggap bilang mga "&amp;"opisyal at abusuhin ang awtoridad. Nakakatulong ito na mapanatili ang kaayusan at pinoprotektahan ang mga mamamayan mula sa mga scam o panliligalig.**
Narito ang ilang mapagkukunan para sa karagdagang impormasyon:
* Binagong Kodigo Penal ng Pilipinas - Ar"&amp;"tikulo 177: [invalid URL article 177 of the revised penal code ON The Lawphil Project lawphil.net]
* Commission on Human Rights (CHR): [https://chr.gov.ph/](https://chr.gov.ph/)")</f>
        <v>Sa Pilipinas, ang krimen ng usurpation of authority o official functions ay pinarurusahan sa ilalim ng Article 177 ng Revised Penal Code (RPC). Narito ang isang breakdown ng mga pangunahing punto kung kailan maaaring makasuhan ang isang tao sa paglabag na ito:
**Mga Elemento ng Krimen:**
Mayroong tatlong pangunahing elemento na kailangang patunayan para ang isang tao ay makasuhan ng usurpation of authority o opisyal na tungkulin:
1. **Pagkukunwari ng Opisyal na Posisyon:** Ang tao ay dapat **kumilos na parang may hawak silang isang opisyal na posisyon**. Maaaring kabilang dito ang pagsusuot ng uniporme, pagpapakita ng mga pekeng dokumento, o pasalitang pag-aangkin bilang isang awtorisadong opisyal.
2. **Pagsasagawa ng mga Gawa na May Kaugnayan sa Awtoridad:** Ang tao ay dapat **gumawa ng isang kilos** na **nauukol sa isang taong nasa awtoridad o pampublikong opisyal**. Maaaring kabilang dito ang pag-isyu ng mga order, pag-aresto, pagsasagawa ng mga inspeksyon, o pagkolekta ng mga bayarin. 3. **Acting without Legal Entitlement:** Ang tao ay dapat **ginagawa ito nang walang legal na karapatan na gawin ito**. Hindi nila hawak ang tunay na posisyon at kulang sa legal na awtoridad na gawin ang mga ganitong gawain.
**Mga Halimbawa ng Usurpation:**
* May nagpapanggap na pulis para huminto sa mga motorista.
* Ang isang indibidwal ay nagpapanggap na isang inspektor ng kalusugan at humihingi ng pera sa mga negosyo.
* Ang isang tao ay nagpapanggap bilang isang opisyal ng gobyerno at nangongolekta ng mga bayarin para sa isang pekeng programa.
**Mahahalagang Pagsasaalang-alang:**
* **Good Faith Defense:** Kung maipapakita ng tao na kumilos siya nang may mabuting loob at tunay na naniniwalang mayroon silang awtoridad, maaari itong magsilbing depensa laban sa paratang.
* **Mere Disagreement:** Ang mga hindi pagkakasundo sa mga aksyon ng isang tunay na opisyal ay hindi bubuo ng usurpation. * **Saklaw ng Pagkakasala:** Nalalapat ang batas sa parehong **mga pampublikong opisyal** na lumalampas sa kanilang awtoridad at **mga pribadong indibidwal** na maling nag-aangkin ng mga opisyal na posisyon.
**Mga Parusa:**
Ang parusa para sa pag-agaw ng awtoridad o opisyal na tungkulin ay nakasalalay sa kung ang tao ay nagkunwaring may mataas na antas ng posisyon o mas karaniwan:
* **Na may Pagkukunwari ng Mataas na Awtoridad:** Ang parusa ay **prision correccional sa maximum na panahon nito sa reclusion temporal sa minimum na panahon nito** (pagkakulong ng 2 taon at 1 araw hanggang 8 taon).
* **Walang Pagkukunwari ng Mataas na Awtoridad:** Ang parusa ay **prision correccional sa pinakamababa at katamtamang panahon nito** (pagkakulong ng 6 na buwan at 1 araw hanggang 2 taon at 4 na buwan).
**Sa pangkalahatan, layunin ng Pilipinas na pigilan ang mga indibidwal na magpanggap bilang mga opisyal at abusuhin ang awtoridad. Nakakatulong ito na mapanatili ang kaayusan at pinoprotektahan ang mga mamamayan mula sa mga scam o panliligalig.**
Narito ang ilang mapagkukunan para sa karagdagang impormasyon:
* Binagong Kodigo Penal ng Pilipinas - Artikulo 177: [invalid URL article 177 of the revised penal code ON The Lawphil Project lawphil.net]
* Commission on Human Rights (CHR): [https://chr.gov.ph/](https://chr.gov.ph/)</v>
      </c>
      <c r="F2084" s="2">
        <f t="shared" si="1"/>
        <v>0</v>
      </c>
      <c r="G2084" s="2"/>
      <c r="H2084" s="2"/>
      <c r="I2084" s="2"/>
      <c r="J2084" s="2"/>
      <c r="K2084" s="2"/>
      <c r="L2084" s="2"/>
      <c r="M2084" s="2"/>
      <c r="N2084" s="2"/>
      <c r="O2084" s="2"/>
      <c r="P2084" s="2"/>
      <c r="Q2084" s="2"/>
      <c r="R2084" s="2"/>
      <c r="S2084" s="2"/>
      <c r="T2084" s="2"/>
      <c r="U2084" s="2"/>
      <c r="V2084" s="2"/>
      <c r="W2084" s="2"/>
      <c r="X2084" s="2"/>
      <c r="Y2084" s="2"/>
      <c r="Z2084" s="2"/>
      <c r="AA2084" s="2"/>
    </row>
    <row r="2085">
      <c r="A2085" s="1" t="s">
        <v>5061</v>
      </c>
      <c r="B2085" s="1" t="s">
        <v>5150</v>
      </c>
      <c r="C2085" s="1" t="s">
        <v>5151</v>
      </c>
      <c r="D2085" s="2" t="str">
        <f>IFERROR(__xludf.DUMMYFUNCTION("GOOGLETRANSLATE(B2085, ""en"", ""TL"")"),"Anong mga legal na hakbang ang umiiral upang labanan ang krimen ng rebelyon o insureksyon laban sa gobyerno?")</f>
        <v>Anong mga legal na hakbang ang umiiral upang labanan ang krimen ng rebelyon o insureksyon laban sa gobyerno?</v>
      </c>
      <c r="E2085" s="2" t="str">
        <f>IFERROR(__xludf.DUMMYFUNCTION("GOOGLETRANSLATE(C2085, ""en"", ""TL"")"),"Sa Pilipinas, umiiral ang mga legal na hakbang upang labanan ang krimen ng rebelyon o insureksyon laban sa gobyerno. Tuklasin natin ang mga hakbang na ito:
**Konsepto ng Paghihimagsik o Paghihimagsik**:
Tinutukoy ng Article 134 ng Revised Penal Code (RPC)"&amp;" ang rebellion o insurrection.
Ito ay nangyayari kapag ang mga indibidwal ay bumangon sa publiko at humawak ng armas laban sa gobyerno na may layuning:
- Pag-alis ng katapatan sa pamahalaan o sa mga batas nito mula sa teritoryo ng Philippine Islands o anu"&amp;"mang bahagi nito.
- Pag-aalis sa Punong Tagapagpaganap o Lehislatura, buo o bahagyang, ng kanilang mga kapangyarihan o prerogatives.
**Mga Parusa para sa Rebelyon o Insureksyon**:
Ang parusa sa rebellion o insurrection ay reclusion perpetua to death.
Ang "&amp;"matinding parusang ito ay sumasalamin sa bigat ng pagkakasala at ang epekto nito sa katatagan ng pamahalaan at lipunan.
**Sabwatan at Panukala na Magsagawa ng Paghihimagsik**:
Ang pagsasabwatan at mungkahi na gumawa ng paghihimagsik o pag-aalsa ay mapapar"&amp;"usahan din:
- Prisión correccional sa pinakamataas na panahon nito at multa na hindi hihigit sa ₱1,000,000.
- Prisión correccional sa katamtamang panahon nito at multa na hindi hihigit sa ₱400,000.
**Pag-alis ng mga Karapatan at Pagkumpiska ng Ari-arian**"&amp;":
Ang sinumang taong mapatunayang nagkasala ng pagrerebelde, pag-aalsa, o kaugnay na mga pagkakasala ay maaaring magdusa:
- Pag-alis ng mga karapatan sa pagkamamamayan (kung isang mamamayan ng Pilipinas).
- Pagkumpiska ng ari-arian, totoo man o personal, "&amp;"pabor sa Estado.")</f>
        <v>Sa Pilipinas, umiiral ang mga legal na hakbang upang labanan ang krimen ng rebelyon o insureksyon laban sa gobyerno. Tuklasin natin ang mga hakbang na ito:
**Konsepto ng Paghihimagsik o Paghihimagsik**:
Tinutukoy ng Article 134 ng Revised Penal Code (RPC) ang rebellion o insurrection.
Ito ay nangyayari kapag ang mga indibidwal ay bumangon sa publiko at humawak ng armas laban sa gobyerno na may layuning:
- Pag-alis ng katapatan sa pamahalaan o sa mga batas nito mula sa teritoryo ng Philippine Islands o anumang bahagi nito.
- Pag-aalis sa Punong Tagapagpaganap o Lehislatura, buo o bahagyang, ng kanilang mga kapangyarihan o prerogatives.
**Mga Parusa para sa Rebelyon o Insureksyon**:
Ang parusa sa rebellion o insurrection ay reclusion perpetua to death.
Ang matinding parusang ito ay sumasalamin sa bigat ng pagkakasala at ang epekto nito sa katatagan ng pamahalaan at lipunan.
**Sabwatan at Panukala na Magsagawa ng Paghihimagsik**:
Ang pagsasabwatan at mungkahi na gumawa ng paghihimagsik o pag-aalsa ay mapaparusahan din:
- Prisión correccional sa pinakamataas na panahon nito at multa na hindi hihigit sa ₱1,000,000.
- Prisión correccional sa katamtamang panahon nito at multa na hindi hihigit sa ₱400,000.
**Pag-alis ng mga Karapatan at Pagkumpiska ng Ari-arian**:
Ang sinumang taong mapatunayang nagkasala ng pagrerebelde, pag-aalsa, o kaugnay na mga pagkakasala ay maaaring magdusa:
- Pag-alis ng mga karapatan sa pagkamamamayan (kung isang mamamayan ng Pilipinas).
- Pagkumpiska ng ari-arian, totoo man o personal, pabor sa Estado.</v>
      </c>
      <c r="F2085" s="2">
        <f t="shared" si="1"/>
        <v>0</v>
      </c>
      <c r="G2085" s="2"/>
      <c r="H2085" s="2"/>
      <c r="I2085" s="2"/>
      <c r="J2085" s="2"/>
      <c r="K2085" s="2"/>
      <c r="L2085" s="2"/>
      <c r="M2085" s="2"/>
      <c r="N2085" s="2"/>
      <c r="O2085" s="2"/>
      <c r="P2085" s="2"/>
      <c r="Q2085" s="2"/>
      <c r="R2085" s="2"/>
      <c r="S2085" s="2"/>
      <c r="T2085" s="2"/>
      <c r="U2085" s="2"/>
      <c r="V2085" s="2"/>
      <c r="W2085" s="2"/>
      <c r="X2085" s="2"/>
      <c r="Y2085" s="2"/>
      <c r="Z2085" s="2"/>
      <c r="AA2085" s="2"/>
    </row>
    <row r="2086">
      <c r="A2086" s="1" t="s">
        <v>5061</v>
      </c>
      <c r="B2086" s="1" t="s">
        <v>5152</v>
      </c>
      <c r="C2086" s="1" t="s">
        <v>5153</v>
      </c>
      <c r="D2086" s="2" t="str">
        <f>IFERROR(__xludf.DUMMYFUNCTION("GOOGLETRANSLATE(B2086, ""en"", ""TL"")"),"Paano tinutugunan ng batas ang mga insidente ng pagtataksil at ang mga legal na kahihinatnan para sa mga may kasalanan?")</f>
        <v>Paano tinutugunan ng batas ang mga insidente ng pagtataksil at ang mga legal na kahihinatnan para sa mga may kasalanan?</v>
      </c>
      <c r="E2086" s="2" t="str">
        <f>IFERROR(__xludf.DUMMYFUNCTION("GOOGLETRANSLATE(C2086, ""en"", ""TL"")"),"Ang Pilipinas ay may partikular na batas upang tugunan ang pagtataksil, na binabalangkas ang mga gawaing itinuturing na pagtataksil at ang mga parusa para sa mga gumawa nito. Narito ang isang breakdown ng mga pangunahing aspeto:
**Pangunahing Batas:**
* *"&amp;"*Artikulo 114 ng Binagong Kodigo Penal (RPC):** Tinutukoy at pinaparusahan ng artikulong ito ang krimen ng pagtataksil.
**Kahulugan ng Pagtataksil:**
Ang pagtataksil ay isang krimen na ginawa ng isang mamamayang Pilipino na, dahil sa katapatan sa Republik"&amp;"a ng Pilipinas, ay nakagawa ng alinman sa mga sumusunod na gawain:
* **Direktang nakipagsabwatan o nakiisa sa anumang pakikipagsabwatan sa kaaway ng Pilipinas noong panahon ng digmaan**. * Kabilang dito ang pagbibigay ng tulong o aliw sa kaaway, kahit na "&amp;"walang pormal na deklarasyon ng digmaan.
* **Sumusunod sa kaaway, nagbibigay sa kanila ng tulong o kaginhawahan**. * Maaaring kabilang dito ang pagbibigay ng military intelligence, logistical support, o tulong sa propaganda. * **Kusang nagbibigay ng impor"&amp;"masyon sa paniktik sa isang dayuhang kapangyarihan hinggil sa mga plano ng militar o pambansang pagtatanggol ng Pilipinas**.
**Mahahalagang Pagsasaalang-alang:**
* **Citizenship Requirement:** Tanging mga mamamayang Pilipino ang maaaring kasuhan ng pagtat"&amp;"aksil.
* **Konteksto sa Panahon ng Digmaan:** Habang ang ""kaaway"" ay malawak na tinukoy, ang pagkilos ay karaniwang nangyayari sa panahon ng digmaan.
* **Overt Act Requirement:** Dapat mayroong malinaw at mapapatunayang gawa ng pagkakanulo, hindi lamang"&amp;" mga saloobin o opinyon.
**Mga Parusa para sa Pagtataksil:**
Ang parusa para sa pagtataksil ay mabigat:
* **Kamatayan:** Ito ang parusang kamatayan para sa krimen ng pagtataksil sa Pilipinas.
**Mga Pagpuna at Pagsasaalang-alang:**
* **Death Penalty:** Ang"&amp;" Pilipinas ay may patuloy na debate tungkol sa death penalty**, na may ilan na nagsusulong para sa abolisyon nito.
* **Mahigpit na Interpretasyon:** Ang mga hukuman ay may posibilidad na bigyang-kahulugan ang batas nang mahigpit** upang maiwasan ang pang-"&amp;"aabuso at matiyak ang pagiging patas.
**Sa pangkalahatan, ang Pilipinas ay may malinaw na legal na kahulugan ng pagtataksil at isang mabigat na parusa upang hadlangan ang mga ganitong gawain. Gayunpaman, nananatiling may kaugnayan ang mga talakayan tungko"&amp;"l sa parusang kamatayan at ang partikular na konteksto ng panahon ng digmaan.**
Narito ang ilang mapagkukunan para sa karagdagang impormasyon:
* Binagong Kodigo Penal ng Pilipinas - Artikulo 114: [invalid URL article 114 ng binagong kodigo penal ON The La"&amp;"wphil Project lawphil.net]")</f>
        <v>Ang Pilipinas ay may partikular na batas upang tugunan ang pagtataksil, na binabalangkas ang mga gawaing itinuturing na pagtataksil at ang mga parusa para sa mga gumawa nito. Narito ang isang breakdown ng mga pangunahing aspeto:
**Pangunahing Batas:**
* **Artikulo 114 ng Binagong Kodigo Penal (RPC):** Tinutukoy at pinaparusahan ng artikulong ito ang krimen ng pagtataksil.
**Kahulugan ng Pagtataksil:**
Ang pagtataksil ay isang krimen na ginawa ng isang mamamayang Pilipino na, dahil sa katapatan sa Republika ng Pilipinas, ay nakagawa ng alinman sa mga sumusunod na gawain:
* **Direktang nakipagsabwatan o nakiisa sa anumang pakikipagsabwatan sa kaaway ng Pilipinas noong panahon ng digmaan**. * Kabilang dito ang pagbibigay ng tulong o aliw sa kaaway, kahit na walang pormal na deklarasyon ng digmaan.
* **Sumusunod sa kaaway, nagbibigay sa kanila ng tulong o kaginhawahan**. * Maaaring kabilang dito ang pagbibigay ng military intelligence, logistical support, o tulong sa propaganda. * **Kusang nagbibigay ng impormasyon sa paniktik sa isang dayuhang kapangyarihan hinggil sa mga plano ng militar o pambansang pagtatanggol ng Pilipinas**.
**Mahahalagang Pagsasaalang-alang:**
* **Citizenship Requirement:** Tanging mga mamamayang Pilipino ang maaaring kasuhan ng pagtataksil.
* **Konteksto sa Panahon ng Digmaan:** Habang ang "kaaway" ay malawak na tinukoy, ang pagkilos ay karaniwang nangyayari sa panahon ng digmaan.
* **Overt Act Requirement:** Dapat mayroong malinaw at mapapatunayang gawa ng pagkakanulo, hindi lamang mga saloobin o opinyon.
**Mga Parusa para sa Pagtataksil:**
Ang parusa para sa pagtataksil ay mabigat:
* **Kamatayan:** Ito ang parusang kamatayan para sa krimen ng pagtataksil sa Pilipinas.
**Mga Pagpuna at Pagsasaalang-alang:**
* **Death Penalty:** Ang Pilipinas ay may patuloy na debate tungkol sa death penalty**, na may ilan na nagsusulong para sa abolisyon nito.
* **Mahigpit na Interpretasyon:** Ang mga hukuman ay may posibilidad na bigyang-kahulugan ang batas nang mahigpit** upang maiwasan ang pang-aabuso at matiyak ang pagiging patas.
**Sa pangkalahatan, ang Pilipinas ay may malinaw na legal na kahulugan ng pagtataksil at isang mabigat na parusa upang hadlangan ang mga ganitong gawain. Gayunpaman, nananatiling may kaugnayan ang mga talakayan tungkol sa parusang kamatayan at ang partikular na konteksto ng panahon ng digmaan.**
Narito ang ilang mapagkukunan para sa karagdagang impormasyon:
* Binagong Kodigo Penal ng Pilipinas - Artikulo 114: [invalid URL article 114 ng binagong kodigo penal ON The Lawphil Project lawphil.net]</v>
      </c>
      <c r="F2086" s="2">
        <f t="shared" si="1"/>
        <v>0</v>
      </c>
      <c r="G2086" s="2"/>
      <c r="H2086" s="2"/>
      <c r="I2086" s="2"/>
      <c r="J2086" s="2"/>
      <c r="K2086" s="2"/>
      <c r="L2086" s="2"/>
      <c r="M2086" s="2"/>
      <c r="N2086" s="2"/>
      <c r="O2086" s="2"/>
      <c r="P2086" s="2"/>
      <c r="Q2086" s="2"/>
      <c r="R2086" s="2"/>
      <c r="S2086" s="2"/>
      <c r="T2086" s="2"/>
      <c r="U2086" s="2"/>
      <c r="V2086" s="2"/>
      <c r="W2086" s="2"/>
      <c r="X2086" s="2"/>
      <c r="Y2086" s="2"/>
      <c r="Z2086" s="2"/>
      <c r="AA2086" s="2"/>
    </row>
    <row r="2087">
      <c r="A2087" s="1" t="s">
        <v>5061</v>
      </c>
      <c r="B2087" s="1" t="s">
        <v>5154</v>
      </c>
      <c r="C2087" s="1" t="s">
        <v>5155</v>
      </c>
      <c r="D2087" s="2" t="str">
        <f>IFERROR(__xludf.DUMMYFUNCTION("GOOGLETRANSLATE(B2087, ""en"", ""TL"")"),"Anong mga parusa ang naaangkop para sa pagsali sa krimen ng espiya at mga kaugnay na pagkakasala nito?")</f>
        <v>Anong mga parusa ang naaangkop para sa pagsali sa krimen ng espiya at mga kaugnay na pagkakasala nito?</v>
      </c>
      <c r="E2087" s="2" t="str">
        <f>IFERROR(__xludf.DUMMYFUNCTION("GOOGLETRANSLATE(C2087, ""en"", ""TL"")"),"Pinarurusahan ng Pilipinas ang paniniktik at mga kaugnay na aktibidad sa ilalim ng **Espionage Act of 1996 (Republic Act No. 8556)**. Narito ang isang breakdown ng mga pangunahing punto at mga parusa:
**Espionage Act Offenses:**
Tinukoy ng batas ang ilang"&amp;" gawain bilang espiya at binabalangkas ang mga kaukulang parusa:
* **Espionage:** Ito ay nagsasangkot ng pangangalap, pagpapadala, o paghahatid ng classified na impormasyon sa isang dayuhang kapangyarihan o ahente nito, sa pag-alam na ang impormasyon ay m"&amp;"aaaring gamitin sa pagtatangi ng Pilipinas. (**Penalty:** Reclusion perpetua o kamatayan)
* **Paghingi ng Klasipikadong Impormasyon:** Sinasadyang manghingi, mang-akit, o manghikayat sa ibang tao na gumawa ng paniniktik. (**Penalty:** Reclusion temporal m"&amp;"inimum to medium o multa mula P500,000.00 hanggang P1,000,000.00 pesos)
* **Pag-espiya at Pag-iwas sa Tungkulin:** Isang miyembro ng Armed Forces of the Philippines (AFP) o ahensyang nagpapatupad ng batas na gumagawa ng espionage habang nasa tungkulin o u"&amp;"miiwas sa kanilang tungkulin na pigilan ang espionage. (**Penalty:** Reclusion perpetua o kamatayan)
* **Pagkawala ng Klasipikadong Impormasyon:** Isang taong pinagkatiwalaan sa pag-iingat ng classified na impormasyon na nagpapahintulot sa pagkawala, pagk"&amp;"asira, o hindi awtorisadong pagsisiwalat nito sa pamamagitan ng kapabayaan o kawalan ng kakayahan. (**Penalty:** Prision mayor o multa mula P300,000.00 hanggang P500,000.00 pesos)
**Mahahalagang Pagsasaalang-alang:**
* **Pag-uuri ng Impormasyon:** Ang par"&amp;"tikular na impormasyong ina-access o ipinapadala ay kailangang uriin bilang ""lihim"" o ""nangungunang lihim"" para mailapat ang batas.
* **Knowledge of Prejudice:** Dapat alam ng nagkasala na ang impormasyon ay maaaring gamitin para saktan ang Pilipinas."&amp;" * **Layunin at Motibo:** Ang layunin at motibo ng tao para sa pagsasagawa ng mga aktibidad na ito ay mahalagang mga salik.
**Mga Kaugnay na Pagkakasala:**
* **Ilegal na Pagmamay-ari ng Klasipikadong Impormasyon:** Alam na nagtataglay ng classified na imp"&amp;"ormasyon nang walang pahintulot. (**Penalty:** Prision correccional medium to maximum o multa mula P100,000.00 hanggang P300,000.00 pesos)
* **Paggamit ng Klasipikadong Impormasyon para sa Personal na Kapakinabangan:** Paggamit ng classified na impormasyo"&amp;"n para sa personal na pakinabang o hindi awtorisadong layunin. (**Penalty:** Katulad ng illegal possession)
**Sa pangkalahatan, ang Pilipinas ay may mahigpit na legal na balangkas upang hadlangan at parusahan ang mga aktibidad ng espiya na nagbabanta sa p"&amp;"ambansang seguridad.**
**Narito ang ilang mapagkukunan para sa karagdagang impormasyon:**
* Espionage Act of 1996 (Republic Act No. 8556): [https://chanrobles.com/](https://chanrobles.com/)
* Department of National Defense (DND): [https://www.dnd.gov.ph/]"&amp;"(https://www.dnd.gov.ph/)")</f>
        <v>Pinarurusahan ng Pilipinas ang paniniktik at mga kaugnay na aktibidad sa ilalim ng **Espionage Act of 1996 (Republic Act No. 8556)**. Narito ang isang breakdown ng mga pangunahing punto at mga parusa:
**Espionage Act Offenses:**
Tinukoy ng batas ang ilang gawain bilang espiya at binabalangkas ang mga kaukulang parusa:
* **Espionage:** Ito ay nagsasangkot ng pangangalap, pagpapadala, o paghahatid ng classified na impormasyon sa isang dayuhang kapangyarihan o ahente nito, sa pag-alam na ang impormasyon ay maaaring gamitin sa pagtatangi ng Pilipinas. (**Penalty:** Reclusion perpetua o kamatayan)
* **Paghingi ng Klasipikadong Impormasyon:** Sinasadyang manghingi, mang-akit, o manghikayat sa ibang tao na gumawa ng paniniktik. (**Penalty:** Reclusion temporal minimum to medium o multa mula P500,000.00 hanggang P1,000,000.00 pesos)
* **Pag-espiya at Pag-iwas sa Tungkulin:** Isang miyembro ng Armed Forces of the Philippines (AFP) o ahensyang nagpapatupad ng batas na gumagawa ng espionage habang nasa tungkulin o umiiwas sa kanilang tungkulin na pigilan ang espionage. (**Penalty:** Reclusion perpetua o kamatayan)
* **Pagkawala ng Klasipikadong Impormasyon:** Isang taong pinagkatiwalaan sa pag-iingat ng classified na impormasyon na nagpapahintulot sa pagkawala, pagkasira, o hindi awtorisadong pagsisiwalat nito sa pamamagitan ng kapabayaan o kawalan ng kakayahan. (**Penalty:** Prision mayor o multa mula P300,000.00 hanggang P500,000.00 pesos)
**Mahahalagang Pagsasaalang-alang:**
* **Pag-uuri ng Impormasyon:** Ang partikular na impormasyong ina-access o ipinapadala ay kailangang uriin bilang "lihim" o "nangungunang lihim" para mailapat ang batas.
* **Knowledge of Prejudice:** Dapat alam ng nagkasala na ang impormasyon ay maaaring gamitin para saktan ang Pilipinas. * **Layunin at Motibo:** Ang layunin at motibo ng tao para sa pagsasagawa ng mga aktibidad na ito ay mahalagang mga salik.
**Mga Kaugnay na Pagkakasala:**
* **Ilegal na Pagmamay-ari ng Klasipikadong Impormasyon:** Alam na nagtataglay ng classified na impormasyon nang walang pahintulot. (**Penalty:** Prision correccional medium to maximum o multa mula P100,000.00 hanggang P300,000.00 pesos)
* **Paggamit ng Klasipikadong Impormasyon para sa Personal na Kapakinabangan:** Paggamit ng classified na impormasyon para sa personal na pakinabang o hindi awtorisadong layunin. (**Penalty:** Katulad ng illegal possession)
**Sa pangkalahatan, ang Pilipinas ay may mahigpit na legal na balangkas upang hadlangan at parusahan ang mga aktibidad ng espiya na nagbabanta sa pambansang seguridad.**
**Narito ang ilang mapagkukunan para sa karagdagang impormasyon:**
* Espionage Act of 1996 (Republic Act No. 8556): [https://chanrobles.com/](https://chanrobles.com/)
* Department of National Defense (DND): [https://www.dnd.gov.ph/](https://www.dnd.gov.ph/)</v>
      </c>
      <c r="F2087" s="2">
        <f t="shared" si="1"/>
        <v>0</v>
      </c>
      <c r="G2087" s="2"/>
      <c r="H2087" s="2"/>
      <c r="I2087" s="2"/>
      <c r="J2087" s="2"/>
      <c r="K2087" s="2"/>
      <c r="L2087" s="2"/>
      <c r="M2087" s="2"/>
      <c r="N2087" s="2"/>
      <c r="O2087" s="2"/>
      <c r="P2087" s="2"/>
      <c r="Q2087" s="2"/>
      <c r="R2087" s="2"/>
      <c r="S2087" s="2"/>
      <c r="T2087" s="2"/>
      <c r="U2087" s="2"/>
      <c r="V2087" s="2"/>
      <c r="W2087" s="2"/>
      <c r="X2087" s="2"/>
      <c r="Y2087" s="2"/>
      <c r="Z2087" s="2"/>
      <c r="AA2087" s="2"/>
    </row>
    <row r="2088">
      <c r="A2088" s="1" t="s">
        <v>5061</v>
      </c>
      <c r="B2088" s="1" t="s">
        <v>5156</v>
      </c>
      <c r="C2088" s="1" t="s">
        <v>5157</v>
      </c>
      <c r="D2088" s="2" t="str">
        <f>IFERROR(__xludf.DUMMYFUNCTION("GOOGLETRANSLATE(B2088, ""en"", ""TL"")"),"Paano binibigyang kahulugan at pinarurusahan ang pagkakasala ng misprision of treason sa ilalim ng batas ng Pilipinas?")</f>
        <v>Paano binibigyang kahulugan at pinarurusahan ang pagkakasala ng misprision of treason sa ilalim ng batas ng Pilipinas?</v>
      </c>
      <c r="E2088" s="2" t="str">
        <f>IFERROR(__xludf.DUMMYFUNCTION("GOOGLETRANSLATE(C2088, ""en"", ""TL"")"),"Pinarusahan ng Pilipinas ang maling pagtataksil sa ilalim ng **Artikulo 118 ng Revised Penal Code (RPC)**. Narito ang isang breakdown ng pagkakasala at ang mga kahihinatnan nito:
**Kahulugan ng Maling Pagtataksil:**
Ang maling pagtataksil ay nangyayari ka"&amp;"pag ang isang tao, **alam na ang pagtataksil ay pinaplano o ginagawa**, ay hindi nagbubunyag ng impormasyong ito **sa lalong madaling panahon** sa isang itinalagang awtoridad. **Mga Pangunahing Elemento:**
* **Kaalaman sa Pagtataksil:** Dapat alam ng tao "&amp;"na ang isang taksil na gawa ay pinaplano o isinasagawa. * **Pagkabigong Mag-ulat:** Dapat **kusa nilang itago** ang kaalamang ito at **huwag iulat ito** sa kaukulang awtoridad.
* **Mga Itinalagang Awtoridad:** Tinutukoy ng batas kung sino ang dapat ipaala"&amp;"m. Kabilang dito ang:
* Gobernador ng probinsya
* Mayor ng Lungsod
* Sinumang hukom ng isang hukuman ng rekord
**Pagkakaiba sa Treason:**
Ang maling pagtataksil ay naiiba sa pagtataksil mismo. Habang ang pagtataksil ay nagsasangkot ng aktibong pakikilahok"&amp;" sa mga aksyon laban sa bansa, ang maling pagtataksil ay tungkol sa **alam na pagtatago** ng mga naturang gawain.
**Parusa para sa Maling Pagtataksil:**
Ang parusa para sa maling pagtataksil ay pagkakulong, bagaman hindi kasingbigat ng parusa para sa pagt"&amp;"ataksil mismo:
* **Pagkulong:** Ang partikular na tagal ay maaaring mag-iba depende sa pagpapasya ng korte, ngunit karaniwan itong nasa saklaw ng **prision correccional medium hanggang maximum** (pagkakulong ng 6 na buwan at 1 araw hanggang 6 na taon).
* "&amp;"**Fine:** Ang hukuman ay maaari ding magpataw ng multa kasabay ng pagkakulong.
**Kahalagahan ng Pag-uulat:**
Layunin ng batas na hikayatin ang mga tao na mag-ulat ng anumang kaalaman sa mga taksil na gawain upang maiwasan ang mga ito na magtagumpay. Ang m"&amp;"aagang pagsisiwalat ay nagpapahintulot sa mga awtoridad na kumilos at pangalagaan ang pambansang seguridad.
**Gayunpaman, mahalagang tandaan na walang obligasyon na mag-ulat** **mga hinala** o hindi kumpirmadong impormasyon. Ang kaalaman ay kailangang **k"&amp;"onkreto at tiyak** para mailapat ang batas.
**Sa pangkalahatan, ang maling pagtataksil ay hindi hinihikayat ang pagtatago ng mga nakaplano o patuloy na pagtataksil. Nakakatulong ito na mapanatili ang pambansang seguridad sa pamamagitan ng pagpayag sa mga "&amp;"awtoridad na mamagitan kaagad.**
Narito ang ilang mapagkukunan para sa karagdagang impormasyon:
* Binagong Kodigo Penal ng Pilipinas - Artikulo 118: [invalid URL article 118 ng binagong kodigo penal ON The Lawphil Project lawphil.net]
* Department of Just"&amp;"ice (DOJ): [https://www.doj.gov.ph/](https://www.doj.gov.ph/)")</f>
        <v>Pinarusahan ng Pilipinas ang maling pagtataksil sa ilalim ng **Artikulo 118 ng Revised Penal Code (RPC)**. Narito ang isang breakdown ng pagkakasala at ang mga kahihinatnan nito:
**Kahulugan ng Maling Pagtataksil:**
Ang maling pagtataksil ay nangyayari kapag ang isang tao, **alam na ang pagtataksil ay pinaplano o ginagawa**, ay hindi nagbubunyag ng impormasyong ito **sa lalong madaling panahon** sa isang itinalagang awtoridad. **Mga Pangunahing Elemento:**
* **Kaalaman sa Pagtataksil:** Dapat alam ng tao na ang isang taksil na gawa ay pinaplano o isinasagawa. * **Pagkabigong Mag-ulat:** Dapat **kusa nilang itago** ang kaalamang ito at **huwag iulat ito** sa kaukulang awtoridad.
* **Mga Itinalagang Awtoridad:** Tinutukoy ng batas kung sino ang dapat ipaalam. Kabilang dito ang:
* Gobernador ng probinsya
* Mayor ng Lungsod
* Sinumang hukom ng isang hukuman ng rekord
**Pagkakaiba sa Treason:**
Ang maling pagtataksil ay naiiba sa pagtataksil mismo. Habang ang pagtataksil ay nagsasangkot ng aktibong pakikilahok sa mga aksyon laban sa bansa, ang maling pagtataksil ay tungkol sa **alam na pagtatago** ng mga naturang gawain.
**Parusa para sa Maling Pagtataksil:**
Ang parusa para sa maling pagtataksil ay pagkakulong, bagaman hindi kasingbigat ng parusa para sa pagtataksil mismo:
* **Pagkulong:** Ang partikular na tagal ay maaaring mag-iba depende sa pagpapasya ng korte, ngunit karaniwan itong nasa saklaw ng **prision correccional medium hanggang maximum** (pagkakulong ng 6 na buwan at 1 araw hanggang 6 na taon).
* **Fine:** Ang hukuman ay maaari ding magpataw ng multa kasabay ng pagkakulong.
**Kahalagahan ng Pag-uulat:**
Layunin ng batas na hikayatin ang mga tao na mag-ulat ng anumang kaalaman sa mga taksil na gawain upang maiwasan ang mga ito na magtagumpay. Ang maagang pagsisiwalat ay nagpapahintulot sa mga awtoridad na kumilos at pangalagaan ang pambansang seguridad.
**Gayunpaman, mahalagang tandaan na walang obligasyon na mag-ulat** **mga hinala** o hindi kumpirmadong impormasyon. Ang kaalaman ay kailangang **konkreto at tiyak** para mailapat ang batas.
**Sa pangkalahatan, ang maling pagtataksil ay hindi hinihikayat ang pagtatago ng mga nakaplano o patuloy na pagtataksil. Nakakatulong ito na mapanatili ang pambansang seguridad sa pamamagitan ng pagpayag sa mga awtoridad na mamagitan kaagad.**
Narito ang ilang mapagkukunan para sa karagdagang impormasyon:
* Binagong Kodigo Penal ng Pilipinas - Artikulo 118: [invalid URL article 118 ng binagong kodigo penal ON The Lawphil Project lawphil.net]
* Department of Justice (DOJ): [https://www.doj.gov.ph/](https://www.doj.gov.ph/)</v>
      </c>
      <c r="F2088" s="2">
        <f t="shared" si="1"/>
        <v>0</v>
      </c>
      <c r="G2088" s="2"/>
      <c r="H2088" s="2"/>
      <c r="I2088" s="2"/>
      <c r="J2088" s="2"/>
      <c r="K2088" s="2"/>
      <c r="L2088" s="2"/>
      <c r="M2088" s="2"/>
      <c r="N2088" s="2"/>
      <c r="O2088" s="2"/>
      <c r="P2088" s="2"/>
      <c r="Q2088" s="2"/>
      <c r="R2088" s="2"/>
      <c r="S2088" s="2"/>
      <c r="T2088" s="2"/>
      <c r="U2088" s="2"/>
      <c r="V2088" s="2"/>
      <c r="W2088" s="2"/>
      <c r="X2088" s="2"/>
      <c r="Y2088" s="2"/>
      <c r="Z2088" s="2"/>
      <c r="AA2088" s="2"/>
    </row>
    <row r="2089">
      <c r="A2089" s="1" t="s">
        <v>5061</v>
      </c>
      <c r="B2089" s="1" t="s">
        <v>5158</v>
      </c>
      <c r="C2089" s="1" t="s">
        <v>5159</v>
      </c>
      <c r="D2089" s="2" t="str">
        <f>IFERROR(__xludf.DUMMYFUNCTION("GOOGLETRANSLATE(B2089, ""en"", ""TL"")"),"Sa ilalim ng anong mga pangyayari ang isang tao ay maaaring makasuhan ng krimen ng pagkukubli o pagtatago sa isang taong nagkasala ng isang malaking kasalanan?")</f>
        <v>Sa ilalim ng anong mga pangyayari ang isang tao ay maaaring makasuhan ng krimen ng pagkukubli o pagtatago sa isang taong nagkasala ng isang malaking kasalanan?</v>
      </c>
      <c r="E2089" s="2" t="str">
        <f>IFERROR(__xludf.DUMMYFUNCTION("GOOGLETRANSLATE(C2089, ""en"", ""TL"")"),"Sa Pilipinas, ang pag-iingat o pagtatago sa isang taong nagkasala ng isang malaking paglabag ay nasa ilalim ng krimen ng **accessory liability** ayon sa nakabalangkas sa Revised Penal Code (RPC). Narito ang isang breakdown ng mga pangunahing punto:
**Pang"&amp;"unahing Batas:**
* **Artikulo 18 ng Revised Penal Code (RPC):** Tinutukoy ng artikulong ito ang iba't ibang kategorya ng mga accessory sa mga krimen, kabilang ang mga nagkukubli o nagtatago ng mga kriminal.
**Mga Uri ng Accessory:**
Ang RPC ay nakikilala "&amp;"sa pagitan ng dalawang uri ng mga accessory:
* **Mga accessory bago ang katotohanan:** Ang mga indibidwal na ito ay lumahok sa pagpaplano o paghahanda ng krimen ngunit hindi pisikal na naroroon sa panahon ng pagpapatupad nito.
* **Mga accessory pagkatapos"&amp;" ng katotohanan:** Ang mga indibidwal na ito **alam alam** na tumutulong sa isang pangunahing nagkasala **pagkatapos magawa ang krimen**. Maaaring kabilang dito ang pagkukubli o pagtatago sa kanila.
**Tumuon sa Mga Pagkasalang Kapital:**
Partikular na bin"&amp;"anggit ng batas ang pag-iingat o pagtatago sa isang taong nagkasala ng **capital offense**. Ang mga paglabag sa kamatayan ay mga krimen na may parusang kamatayan sa Pilipinas, kahit na mayroong moratorium sa mga pagbitay. Kasama sa mga halimbawa ang pagta"&amp;"taksil, pagpatay, at ilang mga paglabag sa trafficking ng droga.
**Mga Elemento ng Krimen:**
Para sa isang tao na makasuhan ng pananagutan ng accessory para sa pagkukubli sa isang kriminal:
* **Kaalaman sa Krimen:** Dapat nilang malaman na ang taong tinut"&amp;"ulungan nila ay nakagawa ng isang malaking paglabag. * **Pagtatago o Pagkukulong:** Dapat silang gumawa ng ilang aksyon upang itago ang kriminal o bigyan sila ng ligtas na lugar upang maiwasan ang pag-aresto o pag-uusig.
**Mga Pangunahing Pagsasaalang-ala"&amp;"ng:**
* **Degree of Knowledge:** Ang **lawak ng kaalaman** tungkol sa partikular na krimen ay mahalaga. Ang isang taong nag-aalok lamang ng pangkalahatang tulong sa isang taong walang kamalayan sa kanilang kriminal na nakaraan ay hindi mananagot.
* **Kata"&amp;"ngian ng Tulong:** Mahalaga rin ang uri ng tulong na ibinigay. Ang pag-aalok ng isang lugar na matutuluyan para sa isang gabi ay maaaring iba sa paggawa ng isang pangmatagalang lugar ng pagtataguan.
* **Layunin at Motibo:** Ang **layunin at motibo** sa li"&amp;"kod ng pagkukunwari sa kriminal ay mahalagang salik. Maaaring iba ang pagtingin sa pagtulong sa isang miyembro ng pamilya dahil sa takot kaysa sa pagtulong sa isang kriminal para sa personal na pakinabang.
**Parusa para sa Pananagutan ng Accessory:**
Ang "&amp;"parusa para sa pananagutan ng accessory ay nakasalalay sa bigat ng pangunahing pagkakasala at ang antas ng paglahok ng accessory:
* **Lesser Penalty:** Ang parusa para sa accessory ay karaniwang **isang antas na mas mababa** kaysa sa parusa ng pangunahing"&amp;" nagkasala.
* **Maximum Penalty:** Sa ilang mga kaso, ang accessory ay maaaring humarap sa **parehong parusa** bilang pangunahing nagkasala, lalo na kung ang kanilang tungkulin ay mahalaga.
**Sa pangkalahatan, hindi hinihikayat ng Pilipinas ang pagtulong "&amp;"sa mga kriminal sa pamamagitan ng pagpaparusa sa mga nagtatago o nagtatago sa kanila, lalo na ang mga nagkasala ng mga paglabag sa kamatayan. Pinipigilan nito ang mga indibidwal na tulungan ang mga takas at tumulong sa pagpapanatili ng batas at kaayusan.*"&amp;"*
Narito ang ilang mapagkukunan para sa karagdagang impormasyon:
* Binagong Kodigo Penal ng Pilipinas - Artikulo 18: [invalid URL article 18 of the revised penal code ON The Lawphil Project lawphil.net]
* Department of Justice (DOJ): [https://www.doj.gov."&amp;"ph/](https://www.doj.gov.ph/)")</f>
        <v>Sa Pilipinas, ang pag-iingat o pagtatago sa isang taong nagkasala ng isang malaking paglabag ay nasa ilalim ng krimen ng **accessory liability** ayon sa nakabalangkas sa Revised Penal Code (RPC). Narito ang isang breakdown ng mga pangunahing punto:
**Pangunahing Batas:**
* **Artikulo 18 ng Revised Penal Code (RPC):** Tinutukoy ng artikulong ito ang iba't ibang kategorya ng mga accessory sa mga krimen, kabilang ang mga nagkukubli o nagtatago ng mga kriminal.
**Mga Uri ng Accessory:**
Ang RPC ay nakikilala sa pagitan ng dalawang uri ng mga accessory:
* **Mga accessory bago ang katotohanan:** Ang mga indibidwal na ito ay lumahok sa pagpaplano o paghahanda ng krimen ngunit hindi pisikal na naroroon sa panahon ng pagpapatupad nito.
* **Mga accessory pagkatapos ng katotohanan:** Ang mga indibidwal na ito **alam alam** na tumutulong sa isang pangunahing nagkasala **pagkatapos magawa ang krimen**. Maaaring kabilang dito ang pagkukubli o pagtatago sa kanila.
**Tumuon sa Mga Pagkasalang Kapital:**
Partikular na binanggit ng batas ang pag-iingat o pagtatago sa isang taong nagkasala ng **capital offense**. Ang mga paglabag sa kamatayan ay mga krimen na may parusang kamatayan sa Pilipinas, kahit na mayroong moratorium sa mga pagbitay. Kasama sa mga halimbawa ang pagtataksil, pagpatay, at ilang mga paglabag sa trafficking ng droga.
**Mga Elemento ng Krimen:**
Para sa isang tao na makasuhan ng pananagutan ng accessory para sa pagkukubli sa isang kriminal:
* **Kaalaman sa Krimen:** Dapat nilang malaman na ang taong tinutulungan nila ay nakagawa ng isang malaking paglabag. * **Pagtatago o Pagkukulong:** Dapat silang gumawa ng ilang aksyon upang itago ang kriminal o bigyan sila ng ligtas na lugar upang maiwasan ang pag-aresto o pag-uusig.
**Mga Pangunahing Pagsasaalang-alang:**
* **Degree of Knowledge:** Ang **lawak ng kaalaman** tungkol sa partikular na krimen ay mahalaga. Ang isang taong nag-aalok lamang ng pangkalahatang tulong sa isang taong walang kamalayan sa kanilang kriminal na nakaraan ay hindi mananagot.
* **Katangian ng Tulong:** Mahalaga rin ang uri ng tulong na ibinigay. Ang pag-aalok ng isang lugar na matutuluyan para sa isang gabi ay maaaring iba sa paggawa ng isang pangmatagalang lugar ng pagtataguan.
* **Layunin at Motibo:** Ang **layunin at motibo** sa likod ng pagkukunwari sa kriminal ay mahalagang salik. Maaaring iba ang pagtingin sa pagtulong sa isang miyembro ng pamilya dahil sa takot kaysa sa pagtulong sa isang kriminal para sa personal na pakinabang.
**Parusa para sa Pananagutan ng Accessory:**
Ang parusa para sa pananagutan ng accessory ay nakasalalay sa bigat ng pangunahing pagkakasala at ang antas ng paglahok ng accessory:
* **Lesser Penalty:** Ang parusa para sa accessory ay karaniwang **isang antas na mas mababa** kaysa sa parusa ng pangunahing nagkasala.
* **Maximum Penalty:** Sa ilang mga kaso, ang accessory ay maaaring humarap sa **parehong parusa** bilang pangunahing nagkasala, lalo na kung ang kanilang tungkulin ay mahalaga.
**Sa pangkalahatan, hindi hinihikayat ng Pilipinas ang pagtulong sa mga kriminal sa pamamagitan ng pagpaparusa sa mga nagtatago o nagtatago sa kanila, lalo na ang mga nagkasala ng mga paglabag sa kamatayan. Pinipigilan nito ang mga indibidwal na tulungan ang mga takas at tumulong sa pagpapanatili ng batas at kaayusan.**
Narito ang ilang mapagkukunan para sa karagdagang impormasyon:
* Binagong Kodigo Penal ng Pilipinas - Artikulo 18: [invalid URL article 18 of the revised penal code ON The Lawphil Project lawphil.net]
* Department of Justice (DOJ): [https://www.doj.gov.ph/](https://www.doj.gov.ph/)</v>
      </c>
      <c r="F2089" s="2">
        <f t="shared" si="1"/>
        <v>0</v>
      </c>
      <c r="G2089" s="2"/>
      <c r="H2089" s="2"/>
      <c r="I2089" s="2"/>
      <c r="J2089" s="2"/>
      <c r="K2089" s="2"/>
      <c r="L2089" s="2"/>
      <c r="M2089" s="2"/>
      <c r="N2089" s="2"/>
      <c r="O2089" s="2"/>
      <c r="P2089" s="2"/>
      <c r="Q2089" s="2"/>
      <c r="R2089" s="2"/>
      <c r="S2089" s="2"/>
      <c r="T2089" s="2"/>
      <c r="U2089" s="2"/>
      <c r="V2089" s="2"/>
      <c r="W2089" s="2"/>
      <c r="X2089" s="2"/>
      <c r="Y2089" s="2"/>
      <c r="Z2089" s="2"/>
      <c r="AA2089" s="2"/>
    </row>
    <row r="2090">
      <c r="A2090" s="1" t="s">
        <v>5061</v>
      </c>
      <c r="B2090" s="1" t="s">
        <v>5160</v>
      </c>
      <c r="C2090" s="1" t="s">
        <v>5161</v>
      </c>
      <c r="D2090" s="2" t="str">
        <f>IFERROR(__xludf.DUMMYFUNCTION("GOOGLETRANSLATE(B2090, ""en"", ""TL"")"),"Paano tinutugunan ng batas ang mga insidente ng kabiguan na labanan o pigilan ang paggawa ng rebelyon?")</f>
        <v>Paano tinutugunan ng batas ang mga insidente ng kabiguan na labanan o pigilan ang paggawa ng rebelyon?</v>
      </c>
      <c r="E2090" s="2" t="str">
        <f>IFERROR(__xludf.DUMMYFUNCTION("GOOGLETRANSLATE(C2090, ""en"", ""TL"")"),"Tinutugunan ng Article 136 ng Revised Penal Code (RPC) ang pagkakasala ng disloyalty ng mga pampublikong opisyal o empleyado na nabigong lumaban o maiwasan ang isang rebelyon. Tuklasin natin ang mga legal na probisyon:
**Disloyalty of Public Officers or E"&amp;"mployees**:
Nalalapat ang pagkakasalang ito sa mga pampublikong opisyal o empleyado na:
- Nabigong labanan ang isang paghihimagsik sa lahat ng paraan sa kanilang kapangyarihan.
- Patuloy na gampanan ang kanilang mga tungkulin sa ilalim ng kontrol ng mga r"&amp;"ebelde.
- Tanggapin ang mga appointment sa opisina sa ilalim ng mga rebelde.
**Parusa**:
Ang parusa para sa hindi katapatan ng mga pampublikong opisyal o empleyado ay prisión correccional sa pinakamababang panahon nito.
Tandaan na ang mga pampublikong opi"&amp;"syal at empleyado ay may tungkulin na itaguyod ang batas at protektahan ang gobyerno. Ang pagkabigong labanan o pigilan ang paghihimagsik ay sumisira sa kaayusan at katatagan ng publiko, at ang mga legal na kahihinatnan ay ipinapatupad upang mapanatili an"&amp;"g panuntunan ng batas.")</f>
        <v>Tinutugunan ng Article 136 ng Revised Penal Code (RPC) ang pagkakasala ng disloyalty ng mga pampublikong opisyal o empleyado na nabigong lumaban o maiwasan ang isang rebelyon. Tuklasin natin ang mga legal na probisyon:
**Disloyalty of Public Officers or Employees**:
Nalalapat ang pagkakasalang ito sa mga pampublikong opisyal o empleyado na:
- Nabigong labanan ang isang paghihimagsik sa lahat ng paraan sa kanilang kapangyarihan.
- Patuloy na gampanan ang kanilang mga tungkulin sa ilalim ng kontrol ng mga rebelde.
- Tanggapin ang mga appointment sa opisina sa ilalim ng mga rebelde.
**Parusa**:
Ang parusa para sa hindi katapatan ng mga pampublikong opisyal o empleyado ay prisión correccional sa pinakamababang panahon nito.
Tandaan na ang mga pampublikong opisyal at empleyado ay may tungkulin na itaguyod ang batas at protektahan ang gobyerno. Ang pagkabigong labanan o pigilan ang paghihimagsik ay sumisira sa kaayusan at katatagan ng publiko, at ang mga legal na kahihinatnan ay ipinapatupad upang mapanatili ang panuntunan ng batas.</v>
      </c>
      <c r="F2090" s="2">
        <f t="shared" si="1"/>
        <v>0</v>
      </c>
      <c r="G2090" s="2"/>
      <c r="H2090" s="2"/>
      <c r="I2090" s="2"/>
      <c r="J2090" s="2"/>
      <c r="K2090" s="2"/>
      <c r="L2090" s="2"/>
      <c r="M2090" s="2"/>
      <c r="N2090" s="2"/>
      <c r="O2090" s="2"/>
      <c r="P2090" s="2"/>
      <c r="Q2090" s="2"/>
      <c r="R2090" s="2"/>
      <c r="S2090" s="2"/>
      <c r="T2090" s="2"/>
      <c r="U2090" s="2"/>
      <c r="V2090" s="2"/>
      <c r="W2090" s="2"/>
      <c r="X2090" s="2"/>
      <c r="Y2090" s="2"/>
      <c r="Z2090" s="2"/>
      <c r="AA2090" s="2"/>
    </row>
    <row r="2091">
      <c r="A2091" s="1" t="s">
        <v>5061</v>
      </c>
      <c r="B2091" s="1" t="s">
        <v>5162</v>
      </c>
      <c r="C2091" s="1" t="s">
        <v>5163</v>
      </c>
      <c r="D2091" s="2" t="str">
        <f>IFERROR(__xludf.DUMMYFUNCTION("GOOGLETRANSLATE(B2091, ""en"", ""TL"")"),"Anong mga parusa ang ipinapataw sa paggawa ng krimen ng qualified piracy sa Pilipinas?")</f>
        <v>Anong mga parusa ang ipinapataw sa paggawa ng krimen ng qualified piracy sa Pilipinas?</v>
      </c>
      <c r="E2091" s="2" t="str">
        <f>IFERROR(__xludf.DUMMYFUNCTION("GOOGLETRANSLATE(C2091, ""en"", ""TL"")"),"Sa Pilipinas, ang qualified piracy ay isang seryosong paglabag na may malupit na parusa. Narito ang isang breakdown ng krimen at ang mga kahihinatnan nito:
**Batas:**
* **Artikulo 123 ng Binagong Kodigo Penal (RPC):** Tinutukoy at pinaparusahan ng artikul"&amp;"ong ito ang kwalipikadong pandarambong.
**Kahulugan ng Kwalipikadong Piracy:**
Ang qualified piracy ay nangyayari kapag ang isang tao ay gumawa ng alinman sa mga gawaing binanggit sa Article 122 (general piracy) **sa ilalim ng alinman sa mga sumusunod na "&amp;"pangyayari**:
* **Pag-agaw sa isang sisidlan sa pamamagitan ng pagsakay o pagpapaputok dito:** Ito ay kinabibilangan ng paggamit ng karahasan o mga banta ng karahasan upang kontrolin ang isang sasakyang-dagat.
* **Pag-abandona sa mga biktima nang walang p"&amp;"araan ng pagliligtas sa kanilang sarili:** Kabilang dito ang pag-iwan sa mga tripulante at mga pasahero ng nasamsam na barko sa isang mapanganib na sitwasyon nang walang anumang paraan upang humingi ng tulong.
* **Ang krimen ay may kasamang pagpatay, homi"&amp;"cide, pisikal na pinsala, o panggagahasa:** Ang pagkakaroon ng mga marahas na gawaing ito kasama ng piracy ay nagpapataas ng pagkakasala sa mas matinding antas.
**Mahahalagang Pagsasaalang-alang:**
* **Lokasyon:** Ang krimen ay dapat mangyari sa matataas "&amp;"na dagat o karagatan ng Pilipinas.
* **Layunin at Motibo:** Ang kilos ay dapat na sinadya at hinihimok ng intensyong pagnakawan o agawin ang sasakyang pandagat at/o ang kargamento nito.
**Parusa para sa Kwalipikadong Piracy:**
Ang parusa para sa kwalipika"&amp;"dong pamimirata ay malubha:
* **Reclusion perpetua to death:** Isinasalin ito sa pagkakakulong ng hindi bababa sa 20 taon at 1 araw hanggang kamatayan. Ang partikular na parusa ay nakasalalay sa bigat ng pagkakasala at pagpapasya ng korte.
**Paghahambing "&amp;"sa Pangkalahatang Piracy:**
* **General piracy** (Artikulo 122 ng RPC) ay may mas mababang parusa na **reclusion temporal** (pagkakulong ng 12 taon at 1 araw hanggang 20 taon). **Sa pangkalahatan, ang Pilipinas ay naglalayon na hadlangan ang pamimirata at"&amp;" protektahan ang mga sasakyang pandagat at ang kanilang mga tauhan sa pamamagitan ng matinding parusa para sa mga kwalipikadong pamimirata.** Narito ang ilang mga mapagkukunan para sa karagdagang impormasyon:
* Binagong Kodigo Penal ng Pilipinas - Artikul"&amp;"o 122 at 123: [hindi wastong URL na artikulo 122 123 ng binagong kodigo penal ON The Lawphil Project lawphil.net]
* Philippine Coast Guard (PCG): [inalis ang invalid na URL]")</f>
        <v>Sa Pilipinas, ang qualified piracy ay isang seryosong paglabag na may malupit na parusa. Narito ang isang breakdown ng krimen at ang mga kahihinatnan nito:
**Batas:**
* **Artikulo 123 ng Binagong Kodigo Penal (RPC):** Tinutukoy at pinaparusahan ng artikulong ito ang kwalipikadong pandarambong.
**Kahulugan ng Kwalipikadong Piracy:**
Ang qualified piracy ay nangyayari kapag ang isang tao ay gumawa ng alinman sa mga gawaing binanggit sa Article 122 (general piracy) **sa ilalim ng alinman sa mga sumusunod na pangyayari**:
* **Pag-agaw sa isang sisidlan sa pamamagitan ng pagsakay o pagpapaputok dito:** Ito ay kinabibilangan ng paggamit ng karahasan o mga banta ng karahasan upang kontrolin ang isang sasakyang-dagat.
* **Pag-abandona sa mga biktima nang walang paraan ng pagliligtas sa kanilang sarili:** Kabilang dito ang pag-iwan sa mga tripulante at mga pasahero ng nasamsam na barko sa isang mapanganib na sitwasyon nang walang anumang paraan upang humingi ng tulong.
* **Ang krimen ay may kasamang pagpatay, homicide, pisikal na pinsala, o panggagahasa:** Ang pagkakaroon ng mga marahas na gawaing ito kasama ng piracy ay nagpapataas ng pagkakasala sa mas matinding antas.
**Mahahalagang Pagsasaalang-alang:**
* **Lokasyon:** Ang krimen ay dapat mangyari sa matataas na dagat o karagatan ng Pilipinas.
* **Layunin at Motibo:** Ang kilos ay dapat na sinadya at hinihimok ng intensyong pagnakawan o agawin ang sasakyang pandagat at/o ang kargamento nito.
**Parusa para sa Kwalipikadong Piracy:**
Ang parusa para sa kwalipikadong pamimirata ay malubha:
* **Reclusion perpetua to death:** Isinasalin ito sa pagkakakulong ng hindi bababa sa 20 taon at 1 araw hanggang kamatayan. Ang partikular na parusa ay nakasalalay sa bigat ng pagkakasala at pagpapasya ng korte.
**Paghahambing sa Pangkalahatang Piracy:**
* **General piracy** (Artikulo 122 ng RPC) ay may mas mababang parusa na **reclusion temporal** (pagkakulong ng 12 taon at 1 araw hanggang 20 taon). **Sa pangkalahatan, ang Pilipinas ay naglalayon na hadlangan ang pamimirata at protektahan ang mga sasakyang pandagat at ang kanilang mga tauhan sa pamamagitan ng matinding parusa para sa mga kwalipikadong pamimirata.** Narito ang ilang mga mapagkukunan para sa karagdagang impormasyon:
* Binagong Kodigo Penal ng Pilipinas - Artikulo 122 at 123: [hindi wastong URL na artikulo 122 123 ng binagong kodigo penal ON The Lawphil Project lawphil.net]
* Philippine Coast Guard (PCG): [inalis ang invalid na URL]</v>
      </c>
      <c r="F2091" s="2">
        <f t="shared" si="1"/>
        <v>0</v>
      </c>
      <c r="G2091" s="2"/>
      <c r="H2091" s="2"/>
      <c r="I2091" s="2"/>
      <c r="J2091" s="2"/>
      <c r="K2091" s="2"/>
      <c r="L2091" s="2"/>
      <c r="M2091" s="2"/>
      <c r="N2091" s="2"/>
      <c r="O2091" s="2"/>
      <c r="P2091" s="2"/>
      <c r="Q2091" s="2"/>
      <c r="R2091" s="2"/>
      <c r="S2091" s="2"/>
      <c r="T2091" s="2"/>
      <c r="U2091" s="2"/>
      <c r="V2091" s="2"/>
      <c r="W2091" s="2"/>
      <c r="X2091" s="2"/>
      <c r="Y2091" s="2"/>
      <c r="Z2091" s="2"/>
      <c r="AA2091" s="2"/>
    </row>
    <row r="2092">
      <c r="A2092" s="1" t="s">
        <v>5061</v>
      </c>
      <c r="B2092" s="1" t="s">
        <v>5164</v>
      </c>
      <c r="C2092" s="1" t="s">
        <v>5165</v>
      </c>
      <c r="D2092" s="2" t="str">
        <f>IFERROR(__xludf.DUMMYFUNCTION("GOOGLETRANSLATE(B2092, ""en"", ""TL"")"),"Paano binibigyang kahulugan at pinarurusahan ang pagkakasala ng pagkukubli o pagtatago ng mga takas mula sa hustisya?")</f>
        <v>Paano binibigyang kahulugan at pinarurusahan ang pagkakasala ng pagkukubli o pagtatago ng mga takas mula sa hustisya?</v>
      </c>
      <c r="E2092" s="2" t="str">
        <f>IFERROR(__xludf.DUMMYFUNCTION("GOOGLETRANSLATE(C2092, ""en"", ""TL"")"),"Sa Pilipinas, ang pag-iingat o pagtatago ng mga pugante sa hustisya ay nasa ilalim ng konsepto ng **accessory liability** na nakabalangkas sa Artikulo 18 ng Revised Penal Code (RPC). Narito ang isang breakdown ng mga pangunahing punto:
**Krimen:**
Ang pag"&amp;"kilos ng pagkukubli o pagtatago sa isang taong hinahanap para sa isang krimen ay ginagawa kang accessory pagkatapos ng katotohanan.
**Artikulo 18 ng Binagong Kodigo Penal (RPC):**
Tinutukoy ng artikulong ito ang iba't ibang kategorya ng mga accessory sa m"&amp;"ga krimen, kabilang ang mga tumutulong sa mga kriminal pagkatapos gawin ang krimen.
**Tumutok sa mga Nakatakas:**
Partikular na nalalapat ang batas sa mga sitwasyon kung saan sadyang tinutulungan mo ang isang tao na nakagawa na ng krimen at umiiwas sa pag"&amp;"-aresto o pag-uusig.
**Mga Elemento ng Krimen:**
* **Kaalaman sa Krimen:** Dapat alam mo na ang taong tinutulungan mo ay isang takas at nakagawa ng krimen. * **Pagkukubli o Pagkulong:** Dapat kang gumawa ng ilang aksyon upang itago ang takas o bigyan sila"&amp;" ng isang ligtas na lugar upang maiwasan ang pag-aresto o pag-uusig. Maaaring kabilang dito ang:
* Nag-aalok sa kanila ng tirahan
* Pagbibigay sa kanila ng transportasyon o tulong pinansyal
* Pagtulong sa kanila na lumikha ng isang maling pagkakakilanlan
"&amp;"**Mga Pangunahing Pagsasaalang-alang:**
* **Degree of Knowledge:** Ang lawak ng iyong kaalaman tungkol sa partikular na krimen ay mahalaga. Ang isang tao na nag-aalok lamang ng pangkalahatang tulong sa isang taong hindi alam ang kanilang katayuan sa takas"&amp;" ay hindi mananagot.
* **Katangian ng Tulong:** Mahalaga rin ang uri ng tulong na ibinigay. Ang pag-aalok ng isang lugar na matutuluyan para sa isang gabi ay maaaring iba sa paggawa ng isang pangmatagalang lugar ng pagtataguan. * **Layunin at Motibo:** An"&amp;"g iyong layunin at motibo sa likod ng pagkukubli sa takas ay mahalagang salik. Maaaring iba ang pagtingin sa pagtulong sa isang miyembro ng pamilya dahil sa takot kaysa sa pagtulong sa isang kriminal para sa personal na pakinabang.
**Parusa para sa Panana"&amp;"gutan ng Accessory:**
Ang parusa para sa pananagutan ng accessory ay nakasalalay sa bigat ng pangunahing pagkakasala (ang krimen na ginawa ng takas) at ang antas ng paglahok ng accessory:
* **Lesser Penalty:** Sa pangkalahatan, ang parusa para sa accessor"&amp;"y ay **isang antas na mas mababa** kaysa sa parusa ng pangunahing nagkasala.
* **Maximum na Parusa:** Sa ilang mga kaso, ang accessory ay maaaring humarap sa **parehong parusa** bilang pangunahing nagkasala, lalo na kung ang kanilang tungkulin sa pagtulon"&amp;"g sa takas ay mahalaga.
**Halimbawa:**
Kung tutulungan mo ang isang tao na nakagawa ng pagnanakaw (isang hindi gaanong seryosong krimen) upang makaiwas sa pag-aresto, maaari kang mapaharap sa mas magaang parusa kaysa sa mismong magnanakaw. Gayunpaman, kun"&amp;"g tutulungan mo ang isang mamamatay-tao sa pamamagitan ng pagbibigay ng ligtas na bahay at pagtulong sa kanila na tumakas sa bansa, maaari kang humarap sa parehong parusa (reclusion perpetua) gaya ng mamamatay-tao.
**Sa pangkalahatan, hindi hinihikayat ng"&amp;" Pilipinas ang pagtulong sa mga takas sa pamamagitan ng pagpaparusa sa mga nagtatago o nagtatago sa kanila. Pinipigilan nito ang mga indibidwal na tulungan ang mga kriminal at tumulong na mapanatili ang batas at kaayusan.**
Narito ang ilang mapagkukunan p"&amp;"ara sa karagdagang impormasyon:
* Binagong Kodigo Penal ng Pilipinas - Artikulo 18: [invalid URL article 18 of the revised penal code ON The Lawphil Project lawphil.net]
* Department of Justice (DOJ): [https://www.doj.gov.ph/](https://www.doj.gov.ph/)")</f>
        <v>Sa Pilipinas, ang pag-iingat o pagtatago ng mga pugante sa hustisya ay nasa ilalim ng konsepto ng **accessory liability** na nakabalangkas sa Artikulo 18 ng Revised Penal Code (RPC). Narito ang isang breakdown ng mga pangunahing punto:
**Krimen:**
Ang pagkilos ng pagkukubli o pagtatago sa isang taong hinahanap para sa isang krimen ay ginagawa kang accessory pagkatapos ng katotohanan.
**Artikulo 18 ng Binagong Kodigo Penal (RPC):**
Tinutukoy ng artikulong ito ang iba't ibang kategorya ng mga accessory sa mga krimen, kabilang ang mga tumutulong sa mga kriminal pagkatapos gawin ang krimen.
**Tumutok sa mga Nakatakas:**
Partikular na nalalapat ang batas sa mga sitwasyon kung saan sadyang tinutulungan mo ang isang tao na nakagawa na ng krimen at umiiwas sa pag-aresto o pag-uusig.
**Mga Elemento ng Krimen:**
* **Kaalaman sa Krimen:** Dapat alam mo na ang taong tinutulungan mo ay isang takas at nakagawa ng krimen. * **Pagkukubli o Pagkulong:** Dapat kang gumawa ng ilang aksyon upang itago ang takas o bigyan sila ng isang ligtas na lugar upang maiwasan ang pag-aresto o pag-uusig. Maaaring kabilang dito ang:
* Nag-aalok sa kanila ng tirahan
* Pagbibigay sa kanila ng transportasyon o tulong pinansyal
* Pagtulong sa kanila na lumikha ng isang maling pagkakakilanlan
**Mga Pangunahing Pagsasaalang-alang:**
* **Degree of Knowledge:** Ang lawak ng iyong kaalaman tungkol sa partikular na krimen ay mahalaga. Ang isang tao na nag-aalok lamang ng pangkalahatang tulong sa isang taong hindi alam ang kanilang katayuan sa takas ay hindi mananagot.
* **Katangian ng Tulong:** Mahalaga rin ang uri ng tulong na ibinigay. Ang pag-aalok ng isang lugar na matutuluyan para sa isang gabi ay maaaring iba sa paggawa ng isang pangmatagalang lugar ng pagtataguan. * **Layunin at Motibo:** Ang iyong layunin at motibo sa likod ng pagkukubli sa takas ay mahalagang salik. Maaaring iba ang pagtingin sa pagtulong sa isang miyembro ng pamilya dahil sa takot kaysa sa pagtulong sa isang kriminal para sa personal na pakinabang.
**Parusa para sa Pananagutan ng Accessory:**
Ang parusa para sa pananagutan ng accessory ay nakasalalay sa bigat ng pangunahing pagkakasala (ang krimen na ginawa ng takas) at ang antas ng paglahok ng accessory:
* **Lesser Penalty:** Sa pangkalahatan, ang parusa para sa accessory ay **isang antas na mas mababa** kaysa sa parusa ng pangunahing nagkasala.
* **Maximum na Parusa:** Sa ilang mga kaso, ang accessory ay maaaring humarap sa **parehong parusa** bilang pangunahing nagkasala, lalo na kung ang kanilang tungkulin sa pagtulong sa takas ay mahalaga.
**Halimbawa:**
Kung tutulungan mo ang isang tao na nakagawa ng pagnanakaw (isang hindi gaanong seryosong krimen) upang makaiwas sa pag-aresto, maaari kang mapaharap sa mas magaang parusa kaysa sa mismong magnanakaw. Gayunpaman, kung tutulungan mo ang isang mamamatay-tao sa pamamagitan ng pagbibigay ng ligtas na bahay at pagtulong sa kanila na tumakas sa bansa, maaari kang humarap sa parehong parusa (reclusion perpetua) gaya ng mamamatay-tao.
**Sa pangkalahatan, hindi hinihikayat ng Pilipinas ang pagtulong sa mga takas sa pamamagitan ng pagpaparusa sa mga nagtatago o nagtatago sa kanila. Pinipigilan nito ang mga indibidwal na tulungan ang mga kriminal at tumulong na mapanatili ang batas at kaayusan.**
Narito ang ilang mapagkukunan para sa karagdagang impormasyon:
* Binagong Kodigo Penal ng Pilipinas - Artikulo 18: [invalid URL article 18 of the revised penal code ON The Lawphil Project lawphil.net]
* Department of Justice (DOJ): [https://www.doj.gov.ph/](https://www.doj.gov.ph/)</v>
      </c>
      <c r="F2092" s="2">
        <f t="shared" si="1"/>
        <v>0</v>
      </c>
      <c r="G2092" s="2"/>
      <c r="H2092" s="2"/>
      <c r="I2092" s="2"/>
      <c r="J2092" s="2"/>
      <c r="K2092" s="2"/>
      <c r="L2092" s="2"/>
      <c r="M2092" s="2"/>
      <c r="N2092" s="2"/>
      <c r="O2092" s="2"/>
      <c r="P2092" s="2"/>
      <c r="Q2092" s="2"/>
      <c r="R2092" s="2"/>
      <c r="S2092" s="2"/>
      <c r="T2092" s="2"/>
      <c r="U2092" s="2"/>
      <c r="V2092" s="2"/>
      <c r="W2092" s="2"/>
      <c r="X2092" s="2"/>
      <c r="Y2092" s="2"/>
      <c r="Z2092" s="2"/>
      <c r="AA2092" s="2"/>
    </row>
    <row r="2093">
      <c r="A2093" s="1" t="s">
        <v>5061</v>
      </c>
      <c r="B2093" s="1" t="s">
        <v>5166</v>
      </c>
      <c r="C2093" s="1" t="s">
        <v>5167</v>
      </c>
      <c r="D2093" s="2" t="str">
        <f>IFERROR(__xludf.DUMMYFUNCTION("GOOGLETRANSLATE(B2093, ""en"", ""TL"")"),"Anong mga legal na probisyon ang namamahala sa krimen ng kuwalipikadong panunuhol na kinasasangkutan ng mga pampublikong opisyal?")</f>
        <v>Anong mga legal na probisyon ang namamahala sa krimen ng kuwalipikadong panunuhol na kinasasangkutan ng mga pampublikong opisyal?</v>
      </c>
      <c r="E2093" s="2" t="str">
        <f>IFERROR(__xludf.DUMMYFUNCTION("GOOGLETRANSLATE(C2093, ""en"", ""TL"")"),"Sa Pilipinas, ang krimen ng kwalipikadong panunuhol na kinasasangkutan ng mga pampublikong opisyal ay pangunahing pinamamahalaan ng isang partikular na probisyon sa loob ng Revised Penal Code (RPC):
* **Artikulo 211-A ng Revised Penal Code (RPC):** Ang ar"&amp;"tikulong ito ay partikular na tumutugon sa kwalipikadong panunuhol na kinasasangkutan ng mga pampublikong opisyal na pinagkatiwalaan ng mga tungkulin sa pagpapatupad ng batas.
**Mga Mahahalagang Punto ng Artikulo 211-A:**
* **Tumutok sa mga Opisyal na Nag"&amp;"papatupad ng Batas:** Nalalapat ang batas sa mga pampublikong opisyal **na pinagkatiwalaan ng pagpapatupad ng batas**, gaya ng mga opisyal ng pulisya, tagausig, o mga miyembro ng mga ahensyang nag-iimbestiga.
* **Specific Act of Omission:** Nagaganap ang "&amp;"krimen kapag ang pampublikong opisyal **ay umiwas sa pag-aresto o pag-uusig** sa isang nagkasala na nakagawa ng krimen na may parusang **reclusion perpetua** (pagkakulong ng 20 taon at 1 araw hanggang 40 taon) at/o **kamatayan**. * **Pagsasaalang-alang pa"&amp;"ra sa Hindi Pagkilos:** Ang hindi pagkilos ng opisyal ay dapat **bilang pagsasaalang-alang sa** isang alok, pangako, regalo, o regalo. Nangangahulugan ito na sila ay inalok ng suhol upang hindi gampanan ang kanilang legal na tungkulin sa pag-aresto o pag-"&amp;"uusig sa nagkasala.
**Mahahalagang Pagsasaalang-alang:**
* **Walang Kinakailangan para sa Pagtanggap ng Suhol:** Ang opisyal ay hindi kinakailangang **tanggapin** ang suhol; basta **pagsang-ayon na huwag kumilos** dahil sa alok ay sapat na para sa krimen "&amp;"na gagawin.
* **Tindi ng Pagkakasala:** Ang krimen ay itinuturing na malubha dahil sinisira nito ang sistema ng hustisya sa pamamagitan ng pagpapahintulot sa mga kriminal na umiwas sa pag-uusig sa pamamagitan ng panunuhol.
**Parusa para sa Kwalipikadong P"&amp;"anunuhol:**
Ang parusa para sa kwalipikadong panunuhol sa ilalim ng Artikulo 211-A ay malubha:
* **Parehong Parusa gaya ng Unobserved Crime:** Ang pampublikong opisyal na gumawa ng kuwalipikadong panunuhol ay nahaharap sa **parehong parusa** gaya ng krime"&amp;"n na dapat nilang usigin ngunit nabigong gawin dahil sa suhol. Ito ay maaaring **reclusion perpetua** o kahit **death**. **Mga Karagdagang Probisyon:**
* **Artikulo 210 ng RPC:** Ang artikulong ito ay tumutugon sa **direktang panunuhol**, na kinasasangkut"&amp;"an ng isang pampublikong opisyal na sumasang-ayon na magsagawa ng isang ilegal na gawain kapalit ng isang suhol.
* **Republic Act No. 3019 (The Anti-Graft and Corrupt Practices Act):** Kasama sa mas malawak na batas na ito ang mga probisyon laban sa iba't"&amp;" ibang anyo ng katiwalian, kabilang ang panunuhol sa mga pampublikong opisyal.
**Sa pangkalahatan, ang Pilipinas ay may matibay na legal na balangkas upang pigilan ang panunuhol, partikular na kinasasangkutan ng mga opisyal ng pagpapatupad ng batas na pin"&amp;"agkatiwalaang itaguyod ang batas.**
Narito ang ilang mapagkukunan para sa karagdagang impormasyon:
* Binagong Kodigo Penal ng Pilipinas - Artikulo 211-A: [invalid URL article 211 a ng binagong kodigo penal ON The Lawphil Project lawphil.net]
* Tanggapan n"&amp;"g Ombudsman: [invalid URL ombudsman gov ph]")</f>
        <v>Sa Pilipinas, ang krimen ng kwalipikadong panunuhol na kinasasangkutan ng mga pampublikong opisyal ay pangunahing pinamamahalaan ng isang partikular na probisyon sa loob ng Revised Penal Code (RPC):
* **Artikulo 211-A ng Revised Penal Code (RPC):** Ang artikulong ito ay partikular na tumutugon sa kwalipikadong panunuhol na kinasasangkutan ng mga pampublikong opisyal na pinagkatiwalaan ng mga tungkulin sa pagpapatupad ng batas.
**Mga Mahahalagang Punto ng Artikulo 211-A:**
* **Tumutok sa mga Opisyal na Nagpapatupad ng Batas:** Nalalapat ang batas sa mga pampublikong opisyal **na pinagkatiwalaan ng pagpapatupad ng batas**, gaya ng mga opisyal ng pulisya, tagausig, o mga miyembro ng mga ahensyang nag-iimbestiga.
* **Specific Act of Omission:** Nagaganap ang krimen kapag ang pampublikong opisyal **ay umiwas sa pag-aresto o pag-uusig** sa isang nagkasala na nakagawa ng krimen na may parusang **reclusion perpetua** (pagkakulong ng 20 taon at 1 araw hanggang 40 taon) at/o **kamatayan**. * **Pagsasaalang-alang para sa Hindi Pagkilos:** Ang hindi pagkilos ng opisyal ay dapat **bilang pagsasaalang-alang sa** isang alok, pangako, regalo, o regalo. Nangangahulugan ito na sila ay inalok ng suhol upang hindi gampanan ang kanilang legal na tungkulin sa pag-aresto o pag-uusig sa nagkasala.
**Mahahalagang Pagsasaalang-alang:**
* **Walang Kinakailangan para sa Pagtanggap ng Suhol:** Ang opisyal ay hindi kinakailangang **tanggapin** ang suhol; basta **pagsang-ayon na huwag kumilos** dahil sa alok ay sapat na para sa krimen na gagawin.
* **Tindi ng Pagkakasala:** Ang krimen ay itinuturing na malubha dahil sinisira nito ang sistema ng hustisya sa pamamagitan ng pagpapahintulot sa mga kriminal na umiwas sa pag-uusig sa pamamagitan ng panunuhol.
**Parusa para sa Kwalipikadong Panunuhol:**
Ang parusa para sa kwalipikadong panunuhol sa ilalim ng Artikulo 211-A ay malubha:
* **Parehong Parusa gaya ng Unobserved Crime:** Ang pampublikong opisyal na gumawa ng kuwalipikadong panunuhol ay nahaharap sa **parehong parusa** gaya ng krimen na dapat nilang usigin ngunit nabigong gawin dahil sa suhol. Ito ay maaaring **reclusion perpetua** o kahit **death**. **Mga Karagdagang Probisyon:**
* **Artikulo 210 ng RPC:** Ang artikulong ito ay tumutugon sa **direktang panunuhol**, na kinasasangkutan ng isang pampublikong opisyal na sumasang-ayon na magsagawa ng isang ilegal na gawain kapalit ng isang suhol.
* **Republic Act No. 3019 (The Anti-Graft and Corrupt Practices Act):** Kasama sa mas malawak na batas na ito ang mga probisyon laban sa iba't ibang anyo ng katiwalian, kabilang ang panunuhol sa mga pampublikong opisyal.
**Sa pangkalahatan, ang Pilipinas ay may matibay na legal na balangkas upang pigilan ang panunuhol, partikular na kinasasangkutan ng mga opisyal ng pagpapatupad ng batas na pinagkatiwalaang itaguyod ang batas.**
Narito ang ilang mapagkukunan para sa karagdagang impormasyon:
* Binagong Kodigo Penal ng Pilipinas - Artikulo 211-A: [invalid URL article 211 a ng binagong kodigo penal ON The Lawphil Project lawphil.net]
* Tanggapan ng Ombudsman: [invalid URL ombudsman gov ph]</v>
      </c>
      <c r="F2093" s="2">
        <f t="shared" si="1"/>
        <v>0</v>
      </c>
      <c r="G2093" s="2"/>
      <c r="H2093" s="2"/>
      <c r="I2093" s="2"/>
      <c r="J2093" s="2"/>
      <c r="K2093" s="2"/>
      <c r="L2093" s="2"/>
      <c r="M2093" s="2"/>
      <c r="N2093" s="2"/>
      <c r="O2093" s="2"/>
      <c r="P2093" s="2"/>
      <c r="Q2093" s="2"/>
      <c r="R2093" s="2"/>
      <c r="S2093" s="2"/>
      <c r="T2093" s="2"/>
      <c r="U2093" s="2"/>
      <c r="V2093" s="2"/>
      <c r="W2093" s="2"/>
      <c r="X2093" s="2"/>
      <c r="Y2093" s="2"/>
      <c r="Z2093" s="2"/>
      <c r="AA2093" s="2"/>
    </row>
    <row r="2094">
      <c r="A2094" s="1" t="s">
        <v>5061</v>
      </c>
      <c r="B2094" s="1" t="s">
        <v>5168</v>
      </c>
      <c r="C2094" s="1" t="s">
        <v>5169</v>
      </c>
      <c r="D2094" s="2" t="str">
        <f>IFERROR(__xludf.DUMMYFUNCTION("GOOGLETRANSLATE(B2094, ""en"", ""TL"")"),"Sa ilalim ng anong mga pangyayari ang isang tao ay maaaring makasuhan ng krimen ng obstruction of justice?")</f>
        <v>Sa ilalim ng anong mga pangyayari ang isang tao ay maaaring makasuhan ng krimen ng obstruction of justice?</v>
      </c>
      <c r="E2094" s="2" t="str">
        <f>IFERROR(__xludf.DUMMYFUNCTION("GOOGLETRANSLATE(C2094, ""en"", ""TL"")"),"Pinarurusahan ng Pilipinas ang pagharang sa hustisya sa ilalim ng ilang batas, depende sa partikular na gawaing ginawa. Narito ang isang breakdown ng mga pangunahing aspeto:
**Pangunahing Batas:**
* **Revised Penal Code (RPC):** Ang pangunahing criminal c"&amp;"ode na ito ay kinabibilangan ng Artikulo 150 na tumutugon sa paglaban at pagsuway sa isang taong may awtoridad.
* **Presidential Decree No. 1829 (PD 1829):** Ang partikular na batas na ito ay nagpaparusa sa mga partikular na gawain na humahadlang sa pagda"&amp;"kip, imbestigasyon, at pag-uusig sa mga kriminal.
**Mga Sirkumstansya para sa Paghadlang sa Katarungan:**
Ang isang tao ay maaaring kasuhan ng obstruction of justice sa ilalim ng iba't ibang pagkakataon, kabilang ang:
* **Resisting Arrest:** Ito ay nagsas"&amp;"angkot ng pisikal o pasalitang paglaban sa pag-aresto ng isang legal na awtoridad. (RPC Artikulo 150)
* **Pagbabanta sa mga Saksi:** Kabilang dito ang pananakot o mga banta na nakadirekta sa isang tao upang pigilan silang tumestigo sa isang legal na kaso."&amp;" (PD 1829)
* **Pakikialam sa Ebidensya:** Kabilang dito ang pagbabago, pagsira, o pagtatago ng ebidensya na may kaugnayan sa isang krimen. (PD 1829)
* **Harboring Fugitives:** Ito ay nagsasangkot ng sadyang pagbibigay ng tirahan o tulong sa isang taong um"&amp;"iiwas sa pag-aresto o pag-uusig. (Accessory liability sa ilalim ng RPC Article 18)
* **Perjury:** Ito ay nagsasangkot ng sadyang paggawa ng mga maling pahayag sa ilalim ng panunumpa sa isang paglilitis sa korte. (RPC Artikulo 183)
* **Panunuhol sa mga Pam"&amp;"publikong Opisyal:** Kabilang dito ang pag-aalok ng pera o pabor sa isang pampublikong opisyal upang maimpluwensyahan ang kanilang desisyon o hindi pagkilos sa isang legal na kaso. (RPC Article 210 o mga partikular na probisyon tulad ng Article 211-A)
**M"&amp;"ahahalagang Pagsasaalang-alang:**
* **Layunin at Motibo:** Ang **layunin** at **motibo** ng tao para hadlangan ang hustisya ay mahalagang mga salik. Maaaring hindi mananagot ang isang taong hindi sinasadyang humahadlang sa isang pagsisiyasat kumpara sa is"&amp;"ang taong sadyang nakikialam sa ebidensya.
* **Kaalaman sa Krimen:** Sa ilang mga kaso, **kaalaman sa isang krimen na ginagawa** ay kinakailangan para sa mga singil sa obstruction of justice. Halimbawa, ang simpleng pagtulong sa isang nawawalang kaibigan "&amp;"ay hindi magiging hadlang kung hindi mo alam na siya ay isang takas.
**Mga Parusa para sa Obstruction of Justice:**
Ang parusa para sa pagharang sa hustisya ay nag-iiba-iba depende sa partikular na gawaing ginawa at sa nauugnay na batas:
* **Resistance an"&amp;"d Disobedience (RPC Article 150):** Ito ay maaaring magresulta sa arresto menor (pagkakulong ng 1 hanggang 10 araw) o multa mula P2,000.00 hanggang P20,000.00 pesos.
* **PD 1829:** Ang batas na ito ay nagsasaad ng mga parusa mula sa **prision correccional"&amp;"** (pagkakulong sa loob ng 6 na buwan at 1 araw hanggang 6 na taon) at mga multa hanggang sa mas matataas na parusa depende sa partikular na batas.
**Sa pangkalahatan, nilalayon ng Pilipinas na tiyakin ang maayos na proseso ng hudisyal sa pamamagitan ng p"&amp;"agpaparusa sa mga kilos na humahadlang sa mga pagsisiyasat, paglilitis, at pagpapatupad ng mga legal na utos.**
Narito ang ilang mapagkukunan para sa karagdagang impormasyon:
* Binagong Kodigo Penal ng Pilipinas: [invalid URL article 18 of the revised pen"&amp;"al code ON The Lawphil Project lawphil.net]
* Presidential Decree No. 1829: [https://lawphil.net/statutes/presdecs/pd1981/pd_1829_1981.html](https://lawphil.net/statutes/presdecs/pd1981/pd_1829_1981.html)")</f>
        <v>Pinarurusahan ng Pilipinas ang pagharang sa hustisya sa ilalim ng ilang batas, depende sa partikular na gawaing ginawa. Narito ang isang breakdown ng mga pangunahing aspeto:
**Pangunahing Batas:**
* **Revised Penal Code (RPC):** Ang pangunahing criminal code na ito ay kinabibilangan ng Artikulo 150 na tumutugon sa paglaban at pagsuway sa isang taong may awtoridad.
* **Presidential Decree No. 1829 (PD 1829):** Ang partikular na batas na ito ay nagpaparusa sa mga partikular na gawain na humahadlang sa pagdakip, imbestigasyon, at pag-uusig sa mga kriminal.
**Mga Sirkumstansya para sa Paghadlang sa Katarungan:**
Ang isang tao ay maaaring kasuhan ng obstruction of justice sa ilalim ng iba't ibang pagkakataon, kabilang ang:
* **Resisting Arrest:** Ito ay nagsasangkot ng pisikal o pasalitang paglaban sa pag-aresto ng isang legal na awtoridad. (RPC Artikulo 150)
* **Pagbabanta sa mga Saksi:** Kabilang dito ang pananakot o mga banta na nakadirekta sa isang tao upang pigilan silang tumestigo sa isang legal na kaso. (PD 1829)
* **Pakikialam sa Ebidensya:** Kabilang dito ang pagbabago, pagsira, o pagtatago ng ebidensya na may kaugnayan sa isang krimen. (PD 1829)
* **Harboring Fugitives:** Ito ay nagsasangkot ng sadyang pagbibigay ng tirahan o tulong sa isang taong umiiwas sa pag-aresto o pag-uusig. (Accessory liability sa ilalim ng RPC Article 18)
* **Perjury:** Ito ay nagsasangkot ng sadyang paggawa ng mga maling pahayag sa ilalim ng panunumpa sa isang paglilitis sa korte. (RPC Artikulo 183)
* **Panunuhol sa mga Pampublikong Opisyal:** Kabilang dito ang pag-aalok ng pera o pabor sa isang pampublikong opisyal upang maimpluwensyahan ang kanilang desisyon o hindi pagkilos sa isang legal na kaso. (RPC Article 210 o mga partikular na probisyon tulad ng Article 211-A)
**Mahahalagang Pagsasaalang-alang:**
* **Layunin at Motibo:** Ang **layunin** at **motibo** ng tao para hadlangan ang hustisya ay mahalagang mga salik. Maaaring hindi mananagot ang isang taong hindi sinasadyang humahadlang sa isang pagsisiyasat kumpara sa isang taong sadyang nakikialam sa ebidensya.
* **Kaalaman sa Krimen:** Sa ilang mga kaso, **kaalaman sa isang krimen na ginagawa** ay kinakailangan para sa mga singil sa obstruction of justice. Halimbawa, ang simpleng pagtulong sa isang nawawalang kaibigan ay hindi magiging hadlang kung hindi mo alam na siya ay isang takas.
**Mga Parusa para sa Obstruction of Justice:**
Ang parusa para sa pagharang sa hustisya ay nag-iiba-iba depende sa partikular na gawaing ginawa at sa nauugnay na batas:
* **Resistance and Disobedience (RPC Article 150):** Ito ay maaaring magresulta sa arresto menor (pagkakulong ng 1 hanggang 10 araw) o multa mula P2,000.00 hanggang P20,000.00 pesos.
* **PD 1829:** Ang batas na ito ay nagsasaad ng mga parusa mula sa **prision correccional** (pagkakulong sa loob ng 6 na buwan at 1 araw hanggang 6 na taon) at mga multa hanggang sa mas matataas na parusa depende sa partikular na batas.
**Sa pangkalahatan, nilalayon ng Pilipinas na tiyakin ang maayos na proseso ng hudisyal sa pamamagitan ng pagpaparusa sa mga kilos na humahadlang sa mga pagsisiyasat, paglilitis, at pagpapatupad ng mga legal na utos.**
Narito ang ilang mapagkukunan para sa karagdagang impormasyon:
* Binagong Kodigo Penal ng Pilipinas: [invalid URL article 18 of the revised penal code ON The Lawphil Project lawphil.net]
* Presidential Decree No. 1829: [https://lawphil.net/statutes/presdecs/pd1981/pd_1829_1981.html](https://lawphil.net/statutes/presdecs/pd1981/pd_1829_1981.html)</v>
      </c>
      <c r="F2094" s="2">
        <f t="shared" si="1"/>
        <v>0</v>
      </c>
      <c r="G2094" s="2"/>
      <c r="H2094" s="2"/>
      <c r="I2094" s="2"/>
      <c r="J2094" s="2"/>
      <c r="K2094" s="2"/>
      <c r="L2094" s="2"/>
      <c r="M2094" s="2"/>
      <c r="N2094" s="2"/>
      <c r="O2094" s="2"/>
      <c r="P2094" s="2"/>
      <c r="Q2094" s="2"/>
      <c r="R2094" s="2"/>
      <c r="S2094" s="2"/>
      <c r="T2094" s="2"/>
      <c r="U2094" s="2"/>
      <c r="V2094" s="2"/>
      <c r="W2094" s="2"/>
      <c r="X2094" s="2"/>
      <c r="Y2094" s="2"/>
      <c r="Z2094" s="2"/>
      <c r="AA2094" s="2"/>
    </row>
    <row r="2095">
      <c r="A2095" s="1" t="s">
        <v>5061</v>
      </c>
      <c r="B2095" s="1" t="s">
        <v>5170</v>
      </c>
      <c r="C2095" s="1" t="s">
        <v>5171</v>
      </c>
      <c r="D2095" s="2" t="str">
        <f>IFERROR(__xludf.DUMMYFUNCTION("GOOGLETRANSLATE(B2095, ""en"", ""TL"")"),"Paano tinutugunan ng batas ang mga insidente ng pakikialam sa ebidensya at mga legal na kahihinatnan nito?")</f>
        <v>Paano tinutugunan ng batas ang mga insidente ng pakikialam sa ebidensya at mga legal na kahihinatnan nito?</v>
      </c>
      <c r="E2095" s="2" t="str">
        <f>IFERROR(__xludf.DUMMYFUNCTION("GOOGLETRANSLATE(C2095, ""en"", ""TL"")"),"Ang Pilipinas ay may matibay na legal na probisyon upang pigilan ang pakikialam sa ebidensya, na kinikilala ang kahalagahan nito sa sistema ng hustisya. Narito ang isang breakdown kung paano tinutugunan ng batas ang krimeng ito at ang mga kahihinatnan nit"&amp;"o:
**Pangunahing Batas:**
* **Revised Penal Code (RPC):** Bagama't hindi tahasang binanggit bilang ""pakikialam sa ebidensya,"" ang mga nauugnay na probisyon ay tumutugon sa pagbabago o pagtatago ng ebidensya.
* Artikulo 185: Falsification ng isang pribad"&amp;"ong indibidwal
* Artikulo 186: Falsification ng isang pampublikong opisyal
* **Presidential Decree No. 1829 (PD 1829):** Ang partikular na batas na ito ay direktang nagpaparusa sa mga kilos na humahadlang sa hustisya, kabilang ang pakikialam sa ebidensya."&amp;"
**Tumuon sa Pagbabago o Pagtatago ng Ebidensya:**
Ang mga batas ay hindi gumagamit ng terminong ""pakikialam"" ngunit tumutuon sa mga aksyon na nagbabago o nagtatago ng ebidensya:
* **Pagsira:** Sadyang sinisira o sinisira ang ebidensya na maaaring may k"&amp;"augnayan sa isang pagsisiyasat ng kriminal o legal na paglilitis.
* **Pagbabago:** Pagbabago ng katibayan sa paraang maling kumakatawan sa katotohanan o humahadlang sa paggamit nito sa hukuman.
* **Pagtatago:** Pagtatago o pag-alis ng ebidensiya upang mai"&amp;"wasang matuklasan ito ng nagpapatupad ng batas o maiharap sa korte.
**Sino ang Makakagawa ng Krimen?**
* **Mga Pribadong Indibidwal:** Sinuman, hindi lamang ang mga sangkot sa kaso, ay maaaring kasuhan sa ilalim ng Artikulo 185 ng RPC.
* **Mga Pampublikon"&amp;"g Opisyal:** Ang mga pampublikong opisyal na nakikialam sa ebidensya ay nahaharap sa mas mabigat na parusa sa ilalim ng Artikulo 186 ng RPC dahil sa kanilang posisyong pinagkakatiwalaan.
**Mga Parusa para sa Pakialam sa Ebidensya:**
Ang parusa ay depende "&amp;"sa partikular na batas at sa tungkulin ng nagkasala:
* **RPC Article 185:** Para sa mga pribadong indibidwal, ang parusa ay **prision mayor** (pagkakulong ng 6 na taon at 1 araw hanggang 8 taon) at multa.
* **RPC Article 186:** Ang mga pampublikong opisya"&amp;"l ay nahaharap sa mas mabigat na parusa na **reclusion temporal** (pagkakulong ng 12 taon at 1 araw hanggang 20 taon) na may walang hanggang diskwalipikasyon at multa.
* **PD 1829:** Ang batas na ito ay nagtatakda ng mga parusa **depende sa kalubhaan ng p"&amp;"agkakasala**, mula sa prision correccional hanggang reclusion temporal.
**Kahalagahan ng Pagpapanatili ng Ebidensya:**
Ang pakikialam sa ebidensya ay isang malubhang pagkakasala dahil sinisira nito ang kakayahan ng sistema ng hustisya na matukoy ang katot"&amp;"ohanan at panagutin ang mga may kasalanan. Ang pag-iingat ng ebidensya ay mahalaga para sa mga patas na paglilitis at pagprotekta sa mga karapatan ng mga akusado at ng mga biktima.
**Mahalagang tandaan na ang hindi sinasadyang pagkasira o pagkawala ng ebi"&amp;"densya ay hindi nangangahulugang maituturing na pakikialam.** Ang pagkilos ay dapat gawin **sinasadya at may kaalaman na ang ebidensya ay may kaugnayan sa isang krimen.**
**Sa pangkalahatan, ang Pilipinas ay may legal na balangkas upang pigilan ang pakiki"&amp;"alam sa ebidensya at tiyakin ang integridad nito sa buong proseso ng hudisyal.**
Narito ang ilang mapagkukunan para sa karagdagang impormasyon:
* Binagong Kodigo Penal ng Pilipinas - Mga Artikulo 185 &amp; 186: [hindi wastong URL na artikulo 185 ng binagong k"&amp;"odigo penal SA The Lawphil Project lawphil.net]
* Presidential Decree No. 1829: [https://lawphil.net/statutes/presdecs/pd1981/pd_1829_1981.html](https://lawphil.net/statutes/presdecs/pd1981/pd_1829_1981.html)")</f>
        <v>Ang Pilipinas ay may matibay na legal na probisyon upang pigilan ang pakikialam sa ebidensya, na kinikilala ang kahalagahan nito sa sistema ng hustisya. Narito ang isang breakdown kung paano tinutugunan ng batas ang krimeng ito at ang mga kahihinatnan nito:
**Pangunahing Batas:**
* **Revised Penal Code (RPC):** Bagama't hindi tahasang binanggit bilang "pakikialam sa ebidensya," ang mga nauugnay na probisyon ay tumutugon sa pagbabago o pagtatago ng ebidensya.
* Artikulo 185: Falsification ng isang pribadong indibidwal
* Artikulo 186: Falsification ng isang pampublikong opisyal
* **Presidential Decree No. 1829 (PD 1829):** Ang partikular na batas na ito ay direktang nagpaparusa sa mga kilos na humahadlang sa hustisya, kabilang ang pakikialam sa ebidensya.
**Tumuon sa Pagbabago o Pagtatago ng Ebidensya:**
Ang mga batas ay hindi gumagamit ng terminong "pakikialam" ngunit tumutuon sa mga aksyon na nagbabago o nagtatago ng ebidensya:
* **Pagsira:** Sadyang sinisira o sinisira ang ebidensya na maaaring may kaugnayan sa isang pagsisiyasat ng kriminal o legal na paglilitis.
* **Pagbabago:** Pagbabago ng katibayan sa paraang maling kumakatawan sa katotohanan o humahadlang sa paggamit nito sa hukuman.
* **Pagtatago:** Pagtatago o pag-alis ng ebidensiya upang maiwasang matuklasan ito ng nagpapatupad ng batas o maiharap sa korte.
**Sino ang Makakagawa ng Krimen?**
* **Mga Pribadong Indibidwal:** Sinuman, hindi lamang ang mga sangkot sa kaso, ay maaaring kasuhan sa ilalim ng Artikulo 185 ng RPC.
* **Mga Pampublikong Opisyal:** Ang mga pampublikong opisyal na nakikialam sa ebidensya ay nahaharap sa mas mabigat na parusa sa ilalim ng Artikulo 186 ng RPC dahil sa kanilang posisyong pinagkakatiwalaan.
**Mga Parusa para sa Pakialam sa Ebidensya:**
Ang parusa ay depende sa partikular na batas at sa tungkulin ng nagkasala:
* **RPC Article 185:** Para sa mga pribadong indibidwal, ang parusa ay **prision mayor** (pagkakulong ng 6 na taon at 1 araw hanggang 8 taon) at multa.
* **RPC Article 186:** Ang mga pampublikong opisyal ay nahaharap sa mas mabigat na parusa na **reclusion temporal** (pagkakulong ng 12 taon at 1 araw hanggang 20 taon) na may walang hanggang diskwalipikasyon at multa.
* **PD 1829:** Ang batas na ito ay nagtatakda ng mga parusa **depende sa kalubhaan ng pagkakasala**, mula sa prision correccional hanggang reclusion temporal.
**Kahalagahan ng Pagpapanatili ng Ebidensya:**
Ang pakikialam sa ebidensya ay isang malubhang pagkakasala dahil sinisira nito ang kakayahan ng sistema ng hustisya na matukoy ang katotohanan at panagutin ang mga may kasalanan. Ang pag-iingat ng ebidensya ay mahalaga para sa mga patas na paglilitis at pagprotekta sa mga karapatan ng mga akusado at ng mga biktima.
**Mahalagang tandaan na ang hindi sinasadyang pagkasira o pagkawala ng ebidensya ay hindi nangangahulugang maituturing na pakikialam.** Ang pagkilos ay dapat gawin **sinasadya at may kaalaman na ang ebidensya ay may kaugnayan sa isang krimen.**
**Sa pangkalahatan, ang Pilipinas ay may legal na balangkas upang pigilan ang pakikialam sa ebidensya at tiyakin ang integridad nito sa buong proseso ng hudisyal.**
Narito ang ilang mapagkukunan para sa karagdagang impormasyon:
* Binagong Kodigo Penal ng Pilipinas - Mga Artikulo 185 &amp; 186: [hindi wastong URL na artikulo 185 ng binagong kodigo penal SA The Lawphil Project lawphil.net]
* Presidential Decree No. 1829: [https://lawphil.net/statutes/presdecs/pd1981/pd_1829_1981.html](https://lawphil.net/statutes/presdecs/pd1981/pd_1829_1981.html)</v>
      </c>
      <c r="F2095" s="2">
        <f t="shared" si="1"/>
        <v>0</v>
      </c>
      <c r="G2095" s="2"/>
      <c r="H2095" s="2"/>
      <c r="I2095" s="2"/>
      <c r="J2095" s="2"/>
      <c r="K2095" s="2"/>
      <c r="L2095" s="2"/>
      <c r="M2095" s="2"/>
      <c r="N2095" s="2"/>
      <c r="O2095" s="2"/>
      <c r="P2095" s="2"/>
      <c r="Q2095" s="2"/>
      <c r="R2095" s="2"/>
      <c r="S2095" s="2"/>
      <c r="T2095" s="2"/>
      <c r="U2095" s="2"/>
      <c r="V2095" s="2"/>
      <c r="W2095" s="2"/>
      <c r="X2095" s="2"/>
      <c r="Y2095" s="2"/>
      <c r="Z2095" s="2"/>
      <c r="AA2095" s="2"/>
    </row>
    <row r="2096">
      <c r="A2096" s="1" t="s">
        <v>5061</v>
      </c>
      <c r="B2096" s="1" t="s">
        <v>5172</v>
      </c>
      <c r="C2096" s="1" t="s">
        <v>5173</v>
      </c>
      <c r="D2096" s="2" t="str">
        <f>IFERROR(__xludf.DUMMYFUNCTION("GOOGLETRANSLATE(B2096, ""en"", ""TL"")"),"Anong mga parusa ang naaangkop para sa pagsali sa krimen ng pagsisiwalat ng pagkakakilanlan ng isang lihim na ahente ng pagpapatupad ng batas?")</f>
        <v>Anong mga parusa ang naaangkop para sa pagsali sa krimen ng pagsisiwalat ng pagkakakilanlan ng isang lihim na ahente ng pagpapatupad ng batas?</v>
      </c>
      <c r="E2096" s="2" t="str">
        <f>IFERROR(__xludf.DUMMYFUNCTION("GOOGLETRANSLATE(C2096, ""en"", ""TL"")"),"Sa Pilipinas, ang pagsisiwalat ng pagkakakilanlan ng isang tago na ahenteng nagpapatupad ng batas ay isang malubhang pagkakasala. Tuklasin natin ang mga legal na parusa na nauugnay sa krimeng ito:
**Cybercrime Prevention Act of 2012 (Republic Act No. 1017"&amp;"5):**
- Tinutukoy at tinutugunan ng batas na ito ang iba't ibang cybercrime, kabilang ang mga pagkakasala na nauugnay sa pagnanakaw ng pagkakakilanlan at hindi awtorisadong pagsisiwalat.
- Ang pagsisiwalat ng pagkakakilanlan ng isang tago na ahenteng nagp"&amp;"apatupad ng batas ay may parusa sa ilalim ng batas na ito.
**Mga Parusa:**
- Pagkakulong mula 6 na taon at 1 araw hanggang 12 taon.
- Isang multa na hindi bababa sa ₱200,000 hanggang sa isang maximum na halaga na naaayon sa pinsalang natamo o pareho.
**Pr"&amp;"oteksyon ng mga Tagong Ahente:**
- Kinikilala ng batas ang kahalagahan ng pag-iingat sa pagkakakilanlan ng mga tago na ahente para sa pambansang seguridad at mga layunin ng pagpapatupad ng batas.
- Maaaring ikompromiso ng hindi awtorisadong pagsisiwalat a"&amp;"ng mga patuloy na pagsisiyasat at ilagay sa panganib ang kaligtasan ng mga ahenteng ito.")</f>
        <v>Sa Pilipinas, ang pagsisiwalat ng pagkakakilanlan ng isang tago na ahenteng nagpapatupad ng batas ay isang malubhang pagkakasala. Tuklasin natin ang mga legal na parusa na nauugnay sa krimeng ito:
**Cybercrime Prevention Act of 2012 (Republic Act No. 10175):**
- Tinutukoy at tinutugunan ng batas na ito ang iba't ibang cybercrime, kabilang ang mga pagkakasala na nauugnay sa pagnanakaw ng pagkakakilanlan at hindi awtorisadong pagsisiwalat.
- Ang pagsisiwalat ng pagkakakilanlan ng isang tago na ahenteng nagpapatupad ng batas ay may parusa sa ilalim ng batas na ito.
**Mga Parusa:**
- Pagkakulong mula 6 na taon at 1 araw hanggang 12 taon.
- Isang multa na hindi bababa sa ₱200,000 hanggang sa isang maximum na halaga na naaayon sa pinsalang natamo o pareho.
**Proteksyon ng mga Tagong Ahente:**
- Kinikilala ng batas ang kahalagahan ng pag-iingat sa pagkakakilanlan ng mga tago na ahente para sa pambansang seguridad at mga layunin ng pagpapatupad ng batas.
- Maaaring ikompromiso ng hindi awtorisadong pagsisiwalat ang mga patuloy na pagsisiyasat at ilagay sa panganib ang kaligtasan ng mga ahenteng ito.</v>
      </c>
      <c r="F2096" s="2">
        <f t="shared" si="1"/>
        <v>0</v>
      </c>
      <c r="G2096" s="2"/>
      <c r="H2096" s="2"/>
      <c r="I2096" s="2"/>
      <c r="J2096" s="2"/>
      <c r="K2096" s="2"/>
      <c r="L2096" s="2"/>
      <c r="M2096" s="2"/>
      <c r="N2096" s="2"/>
      <c r="O2096" s="2"/>
      <c r="P2096" s="2"/>
      <c r="Q2096" s="2"/>
      <c r="R2096" s="2"/>
      <c r="S2096" s="2"/>
      <c r="T2096" s="2"/>
      <c r="U2096" s="2"/>
      <c r="V2096" s="2"/>
      <c r="W2096" s="2"/>
      <c r="X2096" s="2"/>
      <c r="Y2096" s="2"/>
      <c r="Z2096" s="2"/>
      <c r="AA2096" s="2"/>
    </row>
    <row r="2097">
      <c r="A2097" s="1" t="s">
        <v>5061</v>
      </c>
      <c r="B2097" s="1" t="s">
        <v>5174</v>
      </c>
      <c r="C2097" s="1" t="s">
        <v>5175</v>
      </c>
      <c r="D2097" s="2" t="str">
        <f>IFERROR(__xludf.DUMMYFUNCTION("GOOGLETRANSLATE(B2097, ""en"", ""TL"")"),"Paano kinokontrol at pinaparusahan ang pagkakasala ng pagkukubli o pagtatago ng mga taong kamakailan lamang ay nakagawa ng krimen?")</f>
        <v>Paano kinokontrol at pinaparusahan ang pagkakasala ng pagkukubli o pagtatago ng mga taong kamakailan lamang ay nakagawa ng krimen?</v>
      </c>
      <c r="E2097" s="2" t="str">
        <f>IFERROR(__xludf.DUMMYFUNCTION("GOOGLETRANSLATE(C2097, ""en"", ""TL"")"),"Ikaw ay ganap na tama. Humihingi ako ng paumanhin para sa pagkakamali sa nakaraang tugon. Bagama't nalalapat ang konsepto ng pananagutan ng accessory sa pag-iingat ng mga pugante, walang partikular na batas na nakatutok lamang sa ""pagkukulong sa mga kama"&amp;"kailang kriminal.""
Narito ang isang mas tumpak na breakdown:
**Mga Kaugnay na Batas:**
* **Binago ang Kodigo Penal (RPC):**
* **Artikulo 18:** Tinutukoy ang pananagutan ng accessory, na maaaring ilapat sa mga nagkukubli ng mga pugante.
* **Dekreto ng Pan"&amp;"gulo Blg. 1829 (PD 1829):**
* **Seksyon 3(c):** Partikular na pinaparusahan ang pagkukubli o pagtatago, o pagpapadali sa pagtakas ng, sinumang taong kilala mo o may makatwirang batayan upang maniwala na nakagawa ng anumang pagkakasala sa ilalim ng umiiral"&amp;" na mga batas ng penal upang maiwasan ang kanilang pag-aresto, pag-uusig, at pananalig.
**Mga Pangunahing Punto:**
* **Tumuon sa Pag-iwas sa Hustisya:** Ang diin ay sa pagtulong sa isang taong nakagawa ng krimen at aktibong umiiwas na mahuli (takas).
* **"&amp;"Kaalaman sa Krimen:** Dapat alam mo na ang taong tinutulungan mo ay isang takas at nakagawa ng krimen.
* **Pagtatago o Pagpapadali sa Pagtakas:** Dapat aktibong itago ng iyong mga aksyon ang takas o tulungan silang makatakas mula sa mga legal na awtoridad"&amp;". Maaaring kabilang dito ang:
* Nag-aalok ng tirahan
* Pagbibigay ng transportasyon o tulong pinansyal
* Paglikha ng maling pagkakakilanlan
* **Layong Harangin ang Hustisya:** May ipinahiwatig na layunin na hadlangan ang legal na proseso sa pamamagitan ng"&amp;" pagpigil sa pag-aresto o pag-uusig ng pugante.
**Penalty:**
* **Accessory Liability (RPC Article 18):** Ang parusa ay depende sa kalubhaan ng **pangunahing pagkakasala** (ang krimen na ginawa ng takas). Ito ay karaniwang isang antas na mas mababa kaysa s"&amp;"a parusa ng punong-guro, ngunit maaaring pareho sa matitinding kaso.
* **PD 1829:** Nagtatakda ng mga parusa **depende sa mga pangyayari**, mula sa prision correccional (pagkakulong ng 6 na buwan at 1 araw hanggang 6 na taon) at mga multa hanggang sa posi"&amp;"bleng mas mataas na mga parusa.
**Kahalagahan:**
Layunin ng Pilipinas na pigilan ang pagtulong sa mga pugante dahil sinisira nito ang sistema ng hustisya. Sa pamamagitan ng pagpaparusa sa mga kumupkop sa kanila, maaaring hulihin ng mga awtoridad ang mga k"&amp;"riminal at matiyak na sila ay mananagot.
**Mga Karagdagang Pagsasaalang-alang:**
* **Degree of Knowledge:** Ang lawak ng iyong kaalaman tungkol sa krimen at ang katayuan ng takas ay mahalaga. Ang hindi alam na pagtulong sa isang tao ay hindi maituturing n"&amp;"a nagkukubli.
* **Katangian ng Tulong:** Ang uri ng tulong na ibinigay ay mahalaga. Ang pag-aalok ng isang lugar upang manatili para sa isang maikling sandali ay maaaring iba sa paggawa ng isang pangmatagalang lugar ng pagtataguan.
* **Layunin at Motibo:*"&amp;"* Ang iyong layunin at motibo sa pagtulong sa takas ay mahalagang salik. Maaaring iba ang pagtingin sa pagtulong sa isang miyembro ng pamilya kaysa sa pagtulong sa isang kriminal para sa personal na pakinabang.
**Sa pangkalahatan, ang Pilipinas ay may leg"&amp;"al na balangkas upang hadlangan ang pagkilos ng pagkukulong sa mga takas at isulong ang pagtataguyod ng batas.**
Narito ang ilang mapagkukunan para sa karagdagang impormasyon:
* Binagong Kodigo Penal ng Pilipinas - Artikulo 18: [invalid URL article 18 of "&amp;"the revised penal code ON The Lawphil Project lawphil.net]
* Presidential Decree No. 1829: [https://lawphil.net/statutes/presdecs/pd1981/pd_1829_1981.html](https://lawphil.net/statutes/presdecs/pd1981/pd_1829_1981.html)
* Department of Justice (DOJ): [htt"&amp;"ps://www.doj.gov.ph/](https://www.doj.gov.ph/)")</f>
        <v>Ikaw ay ganap na tama. Humihingi ako ng paumanhin para sa pagkakamali sa nakaraang tugon. Bagama't nalalapat ang konsepto ng pananagutan ng accessory sa pag-iingat ng mga pugante, walang partikular na batas na nakatutok lamang sa "pagkukulong sa mga kamakailang kriminal."
Narito ang isang mas tumpak na breakdown:
**Mga Kaugnay na Batas:**
* **Binago ang Kodigo Penal (RPC):**
* **Artikulo 18:** Tinutukoy ang pananagutan ng accessory, na maaaring ilapat sa mga nagkukubli ng mga pugante.
* **Dekreto ng Pangulo Blg. 1829 (PD 1829):**
* **Seksyon 3(c):** Partikular na pinaparusahan ang pagkukubli o pagtatago, o pagpapadali sa pagtakas ng, sinumang taong kilala mo o may makatwirang batayan upang maniwala na nakagawa ng anumang pagkakasala sa ilalim ng umiiral na mga batas ng penal upang maiwasan ang kanilang pag-aresto, pag-uusig, at pananalig.
**Mga Pangunahing Punto:**
* **Tumuon sa Pag-iwas sa Hustisya:** Ang diin ay sa pagtulong sa isang taong nakagawa ng krimen at aktibong umiiwas na mahuli (takas).
* **Kaalaman sa Krimen:** Dapat alam mo na ang taong tinutulungan mo ay isang takas at nakagawa ng krimen.
* **Pagtatago o Pagpapadali sa Pagtakas:** Dapat aktibong itago ng iyong mga aksyon ang takas o tulungan silang makatakas mula sa mga legal na awtoridad. Maaaring kabilang dito ang:
* Nag-aalok ng tirahan
* Pagbibigay ng transportasyon o tulong pinansyal
* Paglikha ng maling pagkakakilanlan
* **Layong Harangin ang Hustisya:** May ipinahiwatig na layunin na hadlangan ang legal na proseso sa pamamagitan ng pagpigil sa pag-aresto o pag-uusig ng pugante.
**Penalty:**
* **Accessory Liability (RPC Article 18):** Ang parusa ay depende sa kalubhaan ng **pangunahing pagkakasala** (ang krimen na ginawa ng takas). Ito ay karaniwang isang antas na mas mababa kaysa sa parusa ng punong-guro, ngunit maaaring pareho sa matitinding kaso.
* **PD 1829:** Nagtatakda ng mga parusa **depende sa mga pangyayari**, mula sa prision correccional (pagkakulong ng 6 na buwan at 1 araw hanggang 6 na taon) at mga multa hanggang sa posibleng mas mataas na mga parusa.
**Kahalagahan:**
Layunin ng Pilipinas na pigilan ang pagtulong sa mga pugante dahil sinisira nito ang sistema ng hustisya. Sa pamamagitan ng pagpaparusa sa mga kumupkop sa kanila, maaaring hulihin ng mga awtoridad ang mga kriminal at matiyak na sila ay mananagot.
**Mga Karagdagang Pagsasaalang-alang:**
* **Degree of Knowledge:** Ang lawak ng iyong kaalaman tungkol sa krimen at ang katayuan ng takas ay mahalaga. Ang hindi alam na pagtulong sa isang tao ay hindi maituturing na nagkukubli.
* **Katangian ng Tulong:** Ang uri ng tulong na ibinigay ay mahalaga. Ang pag-aalok ng isang lugar upang manatili para sa isang maikling sandali ay maaaring iba sa paggawa ng isang pangmatagalang lugar ng pagtataguan.
* **Layunin at Motibo:** Ang iyong layunin at motibo sa pagtulong sa takas ay mahalagang salik. Maaaring iba ang pagtingin sa pagtulong sa isang miyembro ng pamilya kaysa sa pagtulong sa isang kriminal para sa personal na pakinabang.
**Sa pangkalahatan, ang Pilipinas ay may legal na balangkas upang hadlangan ang pagkilos ng pagkukulong sa mga takas at isulong ang pagtataguyod ng batas.**
Narito ang ilang mapagkukunan para sa karagdagang impormasyon:
* Binagong Kodigo Penal ng Pilipinas - Artikulo 18: [invalid URL article 18 of the revised penal code ON The Lawphil Project lawphil.net]
* Presidential Decree No. 1829: [https://lawphil.net/statutes/presdecs/pd1981/pd_1829_1981.html](https://lawphil.net/statutes/presdecs/pd1981/pd_1829_1981.html)
* Department of Justice (DOJ): [https://www.doj.gov.ph/](https://www.doj.gov.ph/)</v>
      </c>
      <c r="F2097" s="2">
        <f t="shared" si="1"/>
        <v>0</v>
      </c>
      <c r="G2097" s="2"/>
      <c r="H2097" s="2"/>
      <c r="I2097" s="2"/>
      <c r="J2097" s="2"/>
      <c r="K2097" s="2"/>
      <c r="L2097" s="2"/>
      <c r="M2097" s="2"/>
      <c r="N2097" s="2"/>
      <c r="O2097" s="2"/>
      <c r="P2097" s="2"/>
      <c r="Q2097" s="2"/>
      <c r="R2097" s="2"/>
      <c r="S2097" s="2"/>
      <c r="T2097" s="2"/>
      <c r="U2097" s="2"/>
      <c r="V2097" s="2"/>
      <c r="W2097" s="2"/>
      <c r="X2097" s="2"/>
      <c r="Y2097" s="2"/>
      <c r="Z2097" s="2"/>
      <c r="AA2097" s="2"/>
    </row>
    <row r="2098">
      <c r="A2098" s="1" t="s">
        <v>5061</v>
      </c>
      <c r="B2098" s="1" t="s">
        <v>5176</v>
      </c>
      <c r="C2098" s="1" t="s">
        <v>5177</v>
      </c>
      <c r="D2098" s="2" t="str">
        <f>IFERROR(__xludf.DUMMYFUNCTION("GOOGLETRANSLATE(B2098, ""en"", ""TL"")"),"Sa ilalim ng anong mga pangyayari ang isang tao ay maaaring makasuhan ng krimen ng pagkukubli o pagtatago sa isang nakatakas na bilanggo?")</f>
        <v>Sa ilalim ng anong mga pangyayari ang isang tao ay maaaring makasuhan ng krimen ng pagkukubli o pagtatago sa isang nakatakas na bilanggo?</v>
      </c>
      <c r="E2098" s="2" t="str">
        <f>IFERROR(__xludf.DUMMYFUNCTION("GOOGLETRANSLATE(C2098, ""en"", ""TL"")"),"Sa Pilipinas, ang pagkukubli o pagtatago sa isang nakatakas na bilanggo ay isang krimen na tinutugunan sa ilalim ng konsepto ng **accessory liability** na nakabalangkas sa Revised Penal Code (RPC). Narito ang isang breakdown ng mga pangunahing punto:
**Ba"&amp;"tas:**
* **Artikulo 18 ng Revised Penal Code (RPC):** Tinutukoy ang iba't ibang kategorya ng mga accessory sa mga krimen, kabilang ang mga tumutulong sa mga kriminal pagkatapos gawin ang krimen.
**Tumuon sa Nakatakas na Mga Bilanggo:**
Partikular na nalal"&amp;"apat ang batas na ito sa mga sitwasyon kung saan sadyang tinutulungan mo ang isang taong **nakatakas mula sa legal na pag-iingat**. Maaaring kabilang dito ang mga bilanggo na tumakas sa mga kulungan, detensyon center, o kalahating bahay.
**Mga Elemento ng"&amp;" Krimen:**
* **Kaalaman sa Pagtakas:** Dapat alam mo na ang taong tinutulungan mo ay isang nakatakas na bilanggo.
* **Pagkukubli o Pagkulong:** Dapat kang gumawa ng ilang aksyon upang itago ang nakatakas o bigyan sila ng isang ligtas na lugar upang maiwas"&amp;"ang mahuli muli. Maaaring kabilang dito ang:
* Nag-aalok sa kanila ng tirahan
* Pagbibigay sa kanila ng transportasyon o tulong pinansyal
* Pagtulong sa kanila na lumikha ng isang maling pagkakakilanlan
**Mga Pangunahing Pagsasaalang-alang:**
* **Degree o"&amp;"f Knowledge:** Ang lawak ng iyong kaalaman tungkol sa pagtakas ay mahalaga. Ang isang tao na nag-aalok lamang ng pangkalahatang tulong sa isang taong hindi alam ang kanilang katayuan sa pagtakas ay hindi mananagot.
* **Katangian ng Tulong:** Mahalaga rin "&amp;"ang uri ng tulong na ibinigay. Ang pag-aalok ng isang lugar na matutuluyan para sa isang gabi ay maaaring iba sa paggawa ng isang pangmatagalang lugar ng pagtataguan.
* **Layunin at Motibo:** Ang iyong layunin at motibo sa likod ng pagkukubli sa tumakas a"&amp;"y mahalagang salik. Ang pagtulong sa isang nawawalang kakilala dahil sa takot ay maaaring iba ang pagtingin kaysa pagtulong sa isang mapanganib na kriminal para sa personal na pakinabang.
**Parusa para sa Pananagutan ng Accessory:**
Ang parusa para sa pan"&amp;"anagutan ng accessory ay nakasalalay sa bigat ng **pangunahing pagkakasala** (ang krimen na orihinal na ginawa ng nakatakas) at ang antas ng paglahok ng accessory:
* **Lesser Penalty:** Sa pangkalahatan, ang parusa para sa accessory ay **isang antas na ma"&amp;"s mababa** kaysa sa parusa ng pangunahing nagkasala.
* **Maximum na Parusa:** Sa ilang mga kaso, ang accessory ay maaaring maharap sa **parehong parusa** bilang pangunahing nagkasala, lalo na kung ang kanilang tungkulin sa pagtulong sa tumakas ay mahalaga"&amp;".
**Halimbawa:**
Kung tutulungan mo ang isang taong nakatakas pagkatapos na arestuhin dahil sa pagnanakaw (isang hindi gaanong seryosong krimen) upang maiwasang mahuli muli, maaari kang mapaharap sa mas magaang parusa kaysa sa tumakas mismo. Gayunpaman, k"&amp;"ung tutulungan mo ang isang mamamatay-tao na nakatakas sa bilangguan sa pamamagitan ng pagbibigay ng ligtas na bahay at pagtulong sa kanila na tumakas sa bansa, maaari kang humarap sa parehong parusa (reclusion perpetua) gaya ng mamamatay-tao.
**Sa pangka"&amp;"lahatan, hindi hinihikayat ng Pilipinas na tulungan ang mga nakatakas na bilanggo sa pamamagitan ng pagpaparusa sa mga kumukulong o nagtatago sa kanila. Pinipigilan nito ang mga indibidwal na tulungan ang mga pugante at tinutulungan ang mga nagpapatupad n"&amp;"g batas na mahuli silang muli.**
Narito ang ilang mapagkukunan para sa karagdagang impormasyon:
* Binagong Kodigo Penal ng Pilipinas - Artikulo 18: [invalid URL article 18 of the revised penal code ON The Lawphil Project lawphil.net]
* Bureau of Jail Mana"&amp;"gement and Penology (BJMP): [https://www.bjmp.gov.ph/](https://www.bjmp.gov.ph/)")</f>
        <v>Sa Pilipinas, ang pagkukubli o pagtatago sa isang nakatakas na bilanggo ay isang krimen na tinutugunan sa ilalim ng konsepto ng **accessory liability** na nakabalangkas sa Revised Penal Code (RPC). Narito ang isang breakdown ng mga pangunahing punto:
**Batas:**
* **Artikulo 18 ng Revised Penal Code (RPC):** Tinutukoy ang iba't ibang kategorya ng mga accessory sa mga krimen, kabilang ang mga tumutulong sa mga kriminal pagkatapos gawin ang krimen.
**Tumuon sa Nakatakas na Mga Bilanggo:**
Partikular na nalalapat ang batas na ito sa mga sitwasyon kung saan sadyang tinutulungan mo ang isang taong **nakatakas mula sa legal na pag-iingat**. Maaaring kabilang dito ang mga bilanggo na tumakas sa mga kulungan, detensyon center, o kalahating bahay.
**Mga Elemento ng Krimen:**
* **Kaalaman sa Pagtakas:** Dapat alam mo na ang taong tinutulungan mo ay isang nakatakas na bilanggo.
* **Pagkukubli o Pagkulong:** Dapat kang gumawa ng ilang aksyon upang itago ang nakatakas o bigyan sila ng isang ligtas na lugar upang maiwasang mahuli muli. Maaaring kabilang dito ang:
* Nag-aalok sa kanila ng tirahan
* Pagbibigay sa kanila ng transportasyon o tulong pinansyal
* Pagtulong sa kanila na lumikha ng isang maling pagkakakilanlan
**Mga Pangunahing Pagsasaalang-alang:**
* **Degree of Knowledge:** Ang lawak ng iyong kaalaman tungkol sa pagtakas ay mahalaga. Ang isang tao na nag-aalok lamang ng pangkalahatang tulong sa isang taong hindi alam ang kanilang katayuan sa pagtakas ay hindi mananagot.
* **Katangian ng Tulong:** Mahalaga rin ang uri ng tulong na ibinigay. Ang pag-aalok ng isang lugar na matutuluyan para sa isang gabi ay maaaring iba sa paggawa ng isang pangmatagalang lugar ng pagtataguan.
* **Layunin at Motibo:** Ang iyong layunin at motibo sa likod ng pagkukubli sa tumakas ay mahalagang salik. Ang pagtulong sa isang nawawalang kakilala dahil sa takot ay maaaring iba ang pagtingin kaysa pagtulong sa isang mapanganib na kriminal para sa personal na pakinabang.
**Parusa para sa Pananagutan ng Accessory:**
Ang parusa para sa pananagutan ng accessory ay nakasalalay sa bigat ng **pangunahing pagkakasala** (ang krimen na orihinal na ginawa ng nakatakas) at ang antas ng paglahok ng accessory:
* **Lesser Penalty:** Sa pangkalahatan, ang parusa para sa accessory ay **isang antas na mas mababa** kaysa sa parusa ng pangunahing nagkasala.
* **Maximum na Parusa:** Sa ilang mga kaso, ang accessory ay maaaring maharap sa **parehong parusa** bilang pangunahing nagkasala, lalo na kung ang kanilang tungkulin sa pagtulong sa tumakas ay mahalaga.
**Halimbawa:**
Kung tutulungan mo ang isang taong nakatakas pagkatapos na arestuhin dahil sa pagnanakaw (isang hindi gaanong seryosong krimen) upang maiwasang mahuli muli, maaari kang mapaharap sa mas magaang parusa kaysa sa tumakas mismo. Gayunpaman, kung tutulungan mo ang isang mamamatay-tao na nakatakas sa bilangguan sa pamamagitan ng pagbibigay ng ligtas na bahay at pagtulong sa kanila na tumakas sa bansa, maaari kang humarap sa parehong parusa (reclusion perpetua) gaya ng mamamatay-tao.
**Sa pangkalahatan, hindi hinihikayat ng Pilipinas na tulungan ang mga nakatakas na bilanggo sa pamamagitan ng pagpaparusa sa mga kumukulong o nagtatago sa kanila. Pinipigilan nito ang mga indibidwal na tulungan ang mga pugante at tinutulungan ang mga nagpapatupad ng batas na mahuli silang muli.**
Narito ang ilang mapagkukunan para sa karagdagang impormasyon:
* Binagong Kodigo Penal ng Pilipinas - Artikulo 18: [invalid URL article 18 of the revised penal code ON The Lawphil Project lawphil.net]
* Bureau of Jail Management and Penology (BJMP): [https://www.bjmp.gov.ph/](https://www.bjmp.gov.ph/)</v>
      </c>
      <c r="F2098" s="2">
        <f t="shared" si="1"/>
        <v>0</v>
      </c>
      <c r="G2098" s="2"/>
      <c r="H2098" s="2"/>
      <c r="I2098" s="2"/>
      <c r="J2098" s="2"/>
      <c r="K2098" s="2"/>
      <c r="L2098" s="2"/>
      <c r="M2098" s="2"/>
      <c r="N2098" s="2"/>
      <c r="O2098" s="2"/>
      <c r="P2098" s="2"/>
      <c r="Q2098" s="2"/>
      <c r="R2098" s="2"/>
      <c r="S2098" s="2"/>
      <c r="T2098" s="2"/>
      <c r="U2098" s="2"/>
      <c r="V2098" s="2"/>
      <c r="W2098" s="2"/>
      <c r="X2098" s="2"/>
      <c r="Y2098" s="2"/>
      <c r="Z2098" s="2"/>
      <c r="AA2098" s="2"/>
    </row>
    <row r="2099">
      <c r="A2099" s="1" t="s">
        <v>5061</v>
      </c>
      <c r="B2099" s="1" t="s">
        <v>5178</v>
      </c>
      <c r="C2099" s="1" t="s">
        <v>5179</v>
      </c>
      <c r="D2099" s="2" t="str">
        <f>IFERROR(__xludf.DUMMYFUNCTION("GOOGLETRANSLATE(B2099, ""en"", ""TL"")"),"Anong mga legal na hakbang ang umiiral upang labanan ang krimen ng pag-hijack ng sasakyang panghimpapawid o sasakyang-dagat?")</f>
        <v>Anong mga legal na hakbang ang umiiral upang labanan ang krimen ng pag-hijack ng sasakyang panghimpapawid o sasakyang-dagat?</v>
      </c>
      <c r="E2099" s="2" t="str">
        <f>IFERROR(__xludf.DUMMYFUNCTION("GOOGLETRANSLATE(C2099, ""en"", ""TL"")"),"Sa Pilipinas, umiiral ang mga legal na hakbang upang labanan ang krimen ng pag-hijack ng mga sasakyang panghimpapawid o sasakyang-dagat. Tuklasin natin ang mga hakbang na ito:
**Anti-Hijacking Law (Republic Act No. 6235):**
- Ang batas na ito ay partikula"&amp;"r na tumutugon sa mga gawaing laban sa civil aviation.
- Ipinagbabawal nito ang sinumang tao na magpilit ng pagbabago sa takbo o destinasyon ng isang sasakyang panghimpapawid ng Philippine registry o pag-agaw o pag-agaw ng kontrol habang ito ay nasa pagli"&amp;"pad.
**Mga Parusa:**
- Ang mga lumalabag ay nahaharap sa pagkakulong ng hindi bababa sa labindalawang taon ngunit hindi hihigit sa dalawampung taon o multang hindi bababa sa ₱20,000 ngunit hindi hihigit sa ₱40,000.
- Layunin ng batas na pigilan ang mga in"&amp;"sidente ng pag-hijack at protektahan ang kaligtasan ng civil aviation.
**Armed Forces of the Philippines (AFP) Modernization Act (Republic Act No. 10349):**
- Tinitiyak ng batas na ito ang paglalaan ng mga pondo para sa build-up ng mga sasakyang panghimpa"&amp;"pawid, sasakyang-dagat, at materyal upang mapahusay ang postura ng depensa ng bansa.
- Pinalalakas nito ang mga kakayahan ng AFP na tumugon sa mga banta, kabilang ang mga sitwasyon sa pag-hijack.")</f>
        <v>Sa Pilipinas, umiiral ang mga legal na hakbang upang labanan ang krimen ng pag-hijack ng mga sasakyang panghimpapawid o sasakyang-dagat. Tuklasin natin ang mga hakbang na ito:
**Anti-Hijacking Law (Republic Act No. 6235):**
- Ang batas na ito ay partikular na tumutugon sa mga gawaing laban sa civil aviation.
- Ipinagbabawal nito ang sinumang tao na magpilit ng pagbabago sa takbo o destinasyon ng isang sasakyang panghimpapawid ng Philippine registry o pag-agaw o pag-agaw ng kontrol habang ito ay nasa paglipad.
**Mga Parusa:**
- Ang mga lumalabag ay nahaharap sa pagkakulong ng hindi bababa sa labindalawang taon ngunit hindi hihigit sa dalawampung taon o multang hindi bababa sa ₱20,000 ngunit hindi hihigit sa ₱40,000.
- Layunin ng batas na pigilan ang mga insidente ng pag-hijack at protektahan ang kaligtasan ng civil aviation.
**Armed Forces of the Philippines (AFP) Modernization Act (Republic Act No. 10349):**
- Tinitiyak ng batas na ito ang paglalaan ng mga pondo para sa build-up ng mga sasakyang panghimpapawid, sasakyang-dagat, at materyal upang mapahusay ang postura ng depensa ng bansa.
- Pinalalakas nito ang mga kakayahan ng AFP na tumugon sa mga banta, kabilang ang mga sitwasyon sa pag-hijack.</v>
      </c>
      <c r="F2099" s="2">
        <f t="shared" si="1"/>
        <v>0</v>
      </c>
      <c r="G2099" s="2"/>
      <c r="H2099" s="2"/>
      <c r="I2099" s="2"/>
      <c r="J2099" s="2"/>
      <c r="K2099" s="2"/>
      <c r="L2099" s="2"/>
      <c r="M2099" s="2"/>
      <c r="N2099" s="2"/>
      <c r="O2099" s="2"/>
      <c r="P2099" s="2"/>
      <c r="Q2099" s="2"/>
      <c r="R2099" s="2"/>
      <c r="S2099" s="2"/>
      <c r="T2099" s="2"/>
      <c r="U2099" s="2"/>
      <c r="V2099" s="2"/>
      <c r="W2099" s="2"/>
      <c r="X2099" s="2"/>
      <c r="Y2099" s="2"/>
      <c r="Z2099" s="2"/>
      <c r="AA2099" s="2"/>
    </row>
    <row r="2100">
      <c r="A2100" s="1" t="s">
        <v>5061</v>
      </c>
      <c r="B2100" s="1" t="s">
        <v>5180</v>
      </c>
      <c r="C2100" s="1" t="s">
        <v>5181</v>
      </c>
      <c r="D2100" s="2" t="str">
        <f>IFERROR(__xludf.DUMMYFUNCTION("GOOGLETRANSLATE(B2100, ""en"", ""TL"")"),"Paano tinutugunan ng batas ang mga insidente ng hindi awtorisadong pagsisiwalat ng classified information at ang mga legal na kahihinatnan nito?")</f>
        <v>Paano tinutugunan ng batas ang mga insidente ng hindi awtorisadong pagsisiwalat ng classified information at ang mga legal na kahihinatnan nito?</v>
      </c>
      <c r="E2100" s="2" t="str">
        <f>IFERROR(__xludf.DUMMYFUNCTION("GOOGLETRANSLATE(C2100, ""en"", ""TL"")"),"Ang Pilipinas ay may ilang mga batas at regulasyon na tumutugon sa hindi awtorisadong pagsisiwalat ng classified information. Narito ang isang breakdown ng mga pangunahing aspeto:
**Pangunahing Pinagmulan:**
* **Executive Order No. 608 (EO 608):** Ang exe"&amp;"cutive order na ito ay partikular na nakatuon sa pag-uuri at proteksyon ng classified na impormasyon.
* **Revised Penal Code (RPC):** Bagama't hindi tahasang binabanggit ang ""classified information,"" tinutugunan ng ilang artikulo ang hindi awtorisadong "&amp;"pagbubunyag ng mga kumpidensyal na dokumento.
* **Memorandum Circular Blg. 78 ng 1964:** Ang sirkular na ito na inisyu ng Opisina ng Pangulo ay nagbibigay ng mga detalyadong patnubay para sa paghawak ng klasipikadong impormasyon.
**Tumuon sa Klasipikadong"&amp;" Impormasyon:**
Ang EO 608 ay nagtatatag ng isang sistema para sa pag-uuri ng impormasyon ng pamahalaan at binibigyang-diin ang kahalagahan ng pagprotekta nito. Ang ""classified information"" ay tumutukoy sa data na maaaring magdulot ng **katangi-tanging "&amp;"malubhang pinsala sa pambansang seguridad** kung isiwalat nang walang pahintulot.
**Hindi Pinahintulutang Pagbubunyag:**
Ipinagbabawal ng mga batas at regulasyon ang iba't ibang anyo ng hindi awtorisadong pagsisiwalat, kabilang ang:
* Pagbabahagi ng inuri"&amp;"-uri na impormasyon sa mga hindi awtorisadong indibidwal
* Binibigyang salita ang inuri-uri na impormasyon sa mga hindi secure na setting
* Ang pag-iwan ng mga naiuri na dokumento nang walang pag-aalaga o pagkawala ng mga ito
* Pampublikong paglalabas ng "&amp;"inuri-uri na impormasyon sa pamamagitan ng anumang media (nakasulat, binibigkas, digital)
**Mahahalagang Pagsasaalang-alang:**
* **Antas ng Pag-uuri:** Ang kalubhaan ng pagkakasala ay nakasalalay sa antas ng pag-uuri (Nangungunang Lihim, Lihim, Kumpidensy"&amp;"al) ng impormasyong isiniwalat.
* **Layunin at Motibo:** Ang **intent** at **motive** ng tao para sa pagsisiwalat ng impormasyon ay mahalagang mga salik. Ang isang taong hindi sinasadyang nagbubunyag ng inuri-uri na impormasyon ay maaaring mapaharap sa ma"&amp;"s mababang parusa kaysa sa isang taong sadyang nag-leak nito para sa personal na pakinabang.
**Mga Legal na Bunga:**
* **EO 608:** Isinasaalang-alang ang hindi awtorisadong pagsisiwalat bilang **mabigat na pagkakasala**, na may mga parusa na tinutukoy ng "&amp;"mga tuntunin sa pagdidisiplina ng ahensya.
* **RPC (posibleng aplikasyon):** Ang mga artikulo tulad ng 18 (accessory liability) at 217 (paglabag sa mga lihim) ay maaaring ilapat sa ilang mga kaso, na nagreresulta sa pagkakulong at mga multa.
* **Memorandu"&amp;"m Circular No. 78:** Bagama't hindi direktang nagpapataw ng mga parusa, binibigyang-diin nito ang mga potensyal na **mga parusang pang-administratibo** para sa maling paghawak ng inuri-uri na impormasyon.
**Sa pangkalahatan, layunin ng Pilipinas na protek"&amp;"tahan ang mga sensitibong impormasyon ng pamahalaan upang mapangalagaan ang pambansang seguridad. Ang mga mahigpit na regulasyon at potensyal na kahihinatnan ay humahadlang sa hindi awtorisadong pagsisiwalat at tinitiyak ang responsableng pangangasiwa ng "&amp;"classified data.**
Narito ang ilang mapagkukunan para sa karagdagang impormasyon:
* Executive Order No. 608: [https://www.officialgazette.gov.ph/2007/03/30/executive-order-no-608-s-2007/](https://www.officialgazette.gov. ph/2007/03/30/executive-order-no-6"&amp;"08-s-2007/)
* Binagong Kodigo Penal ng Pilipinas: [invalid URL article 18 of the revised penal code ON The Lawphil Project lawphil.net]
* Opisina ng Pangulo - Memorandum Circular Blg. 78: (Hindi available sa publiko online ang source, maaaring may mga nak"&amp;"a-archive na bersyon ang mga website ng gobyerno)")</f>
        <v>Ang Pilipinas ay may ilang mga batas at regulasyon na tumutugon sa hindi awtorisadong pagsisiwalat ng classified information. Narito ang isang breakdown ng mga pangunahing aspeto:
**Pangunahing Pinagmulan:**
* **Executive Order No. 608 (EO 608):** Ang executive order na ito ay partikular na nakatuon sa pag-uuri at proteksyon ng classified na impormasyon.
* **Revised Penal Code (RPC):** Bagama't hindi tahasang binabanggit ang "classified information," tinutugunan ng ilang artikulo ang hindi awtorisadong pagbubunyag ng mga kumpidensyal na dokumento.
* **Memorandum Circular Blg. 78 ng 1964:** Ang sirkular na ito na inisyu ng Opisina ng Pangulo ay nagbibigay ng mga detalyadong patnubay para sa paghawak ng klasipikadong impormasyon.
**Tumuon sa Klasipikadong Impormasyon:**
Ang EO 608 ay nagtatatag ng isang sistema para sa pag-uuri ng impormasyon ng pamahalaan at binibigyang-diin ang kahalagahan ng pagprotekta nito. Ang "classified information" ay tumutukoy sa data na maaaring magdulot ng **katangi-tanging malubhang pinsala sa pambansang seguridad** kung isiwalat nang walang pahintulot.
**Hindi Pinahintulutang Pagbubunyag:**
Ipinagbabawal ng mga batas at regulasyon ang iba't ibang anyo ng hindi awtorisadong pagsisiwalat, kabilang ang:
* Pagbabahagi ng inuri-uri na impormasyon sa mga hindi awtorisadong indibidwal
* Binibigyang salita ang inuri-uri na impormasyon sa mga hindi secure na setting
* Ang pag-iwan ng mga naiuri na dokumento nang walang pag-aalaga o pagkawala ng mga ito
* Pampublikong paglalabas ng inuri-uri na impormasyon sa pamamagitan ng anumang media (nakasulat, binibigkas, digital)
**Mahahalagang Pagsasaalang-alang:**
* **Antas ng Pag-uuri:** Ang kalubhaan ng pagkakasala ay nakasalalay sa antas ng pag-uuri (Nangungunang Lihim, Lihim, Kumpidensyal) ng impormasyong isiniwalat.
* **Layunin at Motibo:** Ang **intent** at **motive** ng tao para sa pagsisiwalat ng impormasyon ay mahalagang mga salik. Ang isang taong hindi sinasadyang nagbubunyag ng inuri-uri na impormasyon ay maaaring mapaharap sa mas mababang parusa kaysa sa isang taong sadyang nag-leak nito para sa personal na pakinabang.
**Mga Legal na Bunga:**
* **EO 608:** Isinasaalang-alang ang hindi awtorisadong pagsisiwalat bilang **mabigat na pagkakasala**, na may mga parusa na tinutukoy ng mga tuntunin sa pagdidisiplina ng ahensya.
* **RPC (posibleng aplikasyon):** Ang mga artikulo tulad ng 18 (accessory liability) at 217 (paglabag sa mga lihim) ay maaaring ilapat sa ilang mga kaso, na nagreresulta sa pagkakulong at mga multa.
* **Memorandum Circular No. 78:** Bagama't hindi direktang nagpapataw ng mga parusa, binibigyang-diin nito ang mga potensyal na **mga parusang pang-administratibo** para sa maling paghawak ng inuri-uri na impormasyon.
**Sa pangkalahatan, layunin ng Pilipinas na protektahan ang mga sensitibong impormasyon ng pamahalaan upang mapangalagaan ang pambansang seguridad. Ang mga mahigpit na regulasyon at potensyal na kahihinatnan ay humahadlang sa hindi awtorisadong pagsisiwalat at tinitiyak ang responsableng pangangasiwa ng classified data.**
Narito ang ilang mapagkukunan para sa karagdagang impormasyon:
* Executive Order No. 608: [https://www.officialgazette.gov.ph/2007/03/30/executive-order-no-608-s-2007/](https://www.officialgazette.gov. ph/2007/03/30/executive-order-no-608-s-2007/)
* Binagong Kodigo Penal ng Pilipinas: [invalid URL article 18 of the revised penal code ON The Lawphil Project lawphil.net]
* Opisina ng Pangulo - Memorandum Circular Blg. 78: (Hindi available sa publiko online ang source, maaaring may mga naka-archive na bersyon ang mga website ng gobyerno)</v>
      </c>
      <c r="F2100" s="2">
        <f t="shared" si="1"/>
        <v>0</v>
      </c>
      <c r="G2100" s="2"/>
      <c r="H2100" s="2"/>
      <c r="I2100" s="2"/>
      <c r="J2100" s="2"/>
      <c r="K2100" s="2"/>
      <c r="L2100" s="2"/>
      <c r="M2100" s="2"/>
      <c r="N2100" s="2"/>
      <c r="O2100" s="2"/>
      <c r="P2100" s="2"/>
      <c r="Q2100" s="2"/>
      <c r="R2100" s="2"/>
      <c r="S2100" s="2"/>
      <c r="T2100" s="2"/>
      <c r="U2100" s="2"/>
      <c r="V2100" s="2"/>
      <c r="W2100" s="2"/>
      <c r="X2100" s="2"/>
      <c r="Y2100" s="2"/>
      <c r="Z2100" s="2"/>
      <c r="AA2100" s="2"/>
    </row>
    <row r="2101">
      <c r="A2101" s="1" t="s">
        <v>5061</v>
      </c>
      <c r="B2101" s="1" t="s">
        <v>5182</v>
      </c>
      <c r="C2101" s="1" t="s">
        <v>5183</v>
      </c>
      <c r="D2101" s="2" t="str">
        <f>IFERROR(__xludf.DUMMYFUNCTION("GOOGLETRANSLATE(B2101, ""en"", ""TL"")"),"Anong mga parusa ang ipinapataw sa paggawa ng krimen ng espiya na kinasasangkutan ng pagnanakaw ng mga lihim ng gobyerno?")</f>
        <v>Anong mga parusa ang ipinapataw sa paggawa ng krimen ng espiya na kinasasangkutan ng pagnanakaw ng mga lihim ng gobyerno?</v>
      </c>
      <c r="E2101" s="2" t="str">
        <f>IFERROR(__xludf.DUMMYFUNCTION("GOOGLETRANSLATE(C2101, ""en"", ""TL"")"),"Sa Pilipinas, ang pagkakasala ng espiya ay kinabibilangan ng pagnanakaw ng mga lihim ng gobyerno. Tuklasin natin ang mga legal na parusa na nauugnay sa krimeng ito:
**Espionage (Artikulo 117, Binagong Kodigo Penal):**
- Ang parusa para sa espionage ay pri"&amp;"sion correccional (pagkakulong).
- Ito ay maaaring ipataw sa sinumang tao na:
1. Nang walang awtoridad, pumapasok sa isang barkong pandigma, kuta, o establisyimento o reserbasyon ng hukbong-dagat o militar upang makakuha ng kumpidensyal na impormasyon na "&amp;"may kaugnayan sa pagtatanggol sa Kapuluan ng Pilipinas.
2. Ang pagkakaroon, dahil sa pampublikong katungkulan na hawak, ng mga kumpidensyal na artikulo, datos, o impormasyon, ay nagbubunyag ng mga nilalaman nito sa isang kinatawan ng isang dayuhang bansa."&amp;"
- Kung ang nagkasala ay isang pampublikong opisyal o empleyado, ang parusa sa susunod na mas mataas sa antas ay dapat ipataw.")</f>
        <v>Sa Pilipinas, ang pagkakasala ng espiya ay kinabibilangan ng pagnanakaw ng mga lihim ng gobyerno. Tuklasin natin ang mga legal na parusa na nauugnay sa krimeng ito:
**Espionage (Artikulo 117, Binagong Kodigo Penal):**
- Ang parusa para sa espionage ay prision correccional (pagkakulong).
- Ito ay maaaring ipataw sa sinumang tao na:
1. Nang walang awtoridad, pumapasok sa isang barkong pandigma, kuta, o establisyimento o reserbasyon ng hukbong-dagat o militar upang makakuha ng kumpidensyal na impormasyon na may kaugnayan sa pagtatanggol sa Kapuluan ng Pilipinas.
2. Ang pagkakaroon, dahil sa pampublikong katungkulan na hawak, ng mga kumpidensyal na artikulo, datos, o impormasyon, ay nagbubunyag ng mga nilalaman nito sa isang kinatawan ng isang dayuhang bansa.
- Kung ang nagkasala ay isang pampublikong opisyal o empleyado, ang parusa sa susunod na mas mataas sa antas ay dapat ipataw.</v>
      </c>
      <c r="F2101" s="2">
        <f t="shared" si="1"/>
        <v>0</v>
      </c>
      <c r="G2101" s="2"/>
      <c r="H2101" s="2"/>
      <c r="I2101" s="2"/>
      <c r="J2101" s="2"/>
      <c r="K2101" s="2"/>
      <c r="L2101" s="2"/>
      <c r="M2101" s="2"/>
      <c r="N2101" s="2"/>
      <c r="O2101" s="2"/>
      <c r="P2101" s="2"/>
      <c r="Q2101" s="2"/>
      <c r="R2101" s="2"/>
      <c r="S2101" s="2"/>
      <c r="T2101" s="2"/>
      <c r="U2101" s="2"/>
      <c r="V2101" s="2"/>
      <c r="W2101" s="2"/>
      <c r="X2101" s="2"/>
      <c r="Y2101" s="2"/>
      <c r="Z2101" s="2"/>
      <c r="AA2101" s="2"/>
    </row>
    <row r="2102">
      <c r="A2102" s="1" t="s">
        <v>5061</v>
      </c>
      <c r="B2102" s="1" t="s">
        <v>5184</v>
      </c>
      <c r="C2102" s="1" t="s">
        <v>5185</v>
      </c>
      <c r="D2102" s="2" t="str">
        <f>IFERROR(__xludf.DUMMYFUNCTION("GOOGLETRANSLATE(B2102, ""en"", ""TL"")"),"Paano tinukoy at pinaparusahan ang pagkakasala ng pag-uudyok sa digmaan o pagbibigay ng mga motibo para sa paghihiganti?")</f>
        <v>Paano tinukoy at pinaparusahan ang pagkakasala ng pag-uudyok sa digmaan o pagbibigay ng mga motibo para sa paghihiganti?</v>
      </c>
      <c r="E2102" s="2" t="str">
        <f>IFERROR(__xludf.DUMMYFUNCTION("GOOGLETRANSLATE(C2102, ""en"", ""TL"")"),"Sa Pilipinas, ang krimen ng pag-uudyok sa digmaan o pagbibigay ng motibo para sa paghihiganti ay nasa ilalim ng Artikulo 118 ng Revised Penal Code (RPC). Narito ang isang breakdown ng mga pangunahing punto:
**Batas:**
* **Artikulo 118 ng Revised Penal Cod"&amp;"e (RPC):** Ang artikulong ito ay partikular na tumutugon sa pagpukaw o pagbibigay ng mga dahilan para sa digmaan o paghihiganti.
**Tumuon sa Pag-uudyok ng Salungatan:**
Nilalayon ng batas na pigilan ang mga indibidwal mula sa mga aksyon na maaaring humant"&amp;"ong sa karahasan at armadong tunggalian. Narito ang mga pangunahing aspeto ng pagkakasala:
* **Pag-uudyok sa Digmaan:** Ito ay nagsasangkot ng anumang mga salita, aksyon, o publikasyon na sadyang naghihikayat o pumupukaw ng digmaan, alinman sa panloob (di"&amp;"gmaang sibil) o panlabas (laban sa ibang bansa).
* **Pagbibigay Mga Motibo para sa Paghihiganti:** Ito ay tumutukoy sa mga pagkilos na maaaring humantong sa paghihiganti o paghihiganti ng mga pag-atake, alinman sa mga indibidwal o grupo. Maaaring kabilang"&amp;" dito ang pagpapalaganap ng mapoot na salita o pag-uudyok ng karahasan laban sa isang partikular na grupo ng mga tao.
**Sino ang Makakagawa ng Krimen:**
* **Mga Pampublikong Opisyal o Empleyado:** Mas mabigat ang parusa para sa mga opisyal ng gobyerno na "&amp;"umaabuso sa kanilang posisyon para mag-udyok ng digmaan o paghihiganti.
* **Mga Pribadong Indibidwal:** Kahit na ang mga ordinaryong mamamayan ay maaaring makasuhan kung ang kanilang mga aksyon ay nakakatugon sa mga elemento ng krimen.
**Mga Elemento ng K"&amp;"rimen:**
* **Labag sa batas o Hindi awtorisadong Mga Gawa:** Ang mga aksyon ay dapat na ilegal at hindi pinapahintulutan ng anumang legal na awtoridad.
* **Pag-uudyok ng Digmaan o Paghihiganti:** Dapat ay may malinaw na layunin o mataas ang posibilidad na"&amp;" ang mga aksyon ay mauuwi sa digmaan o marahas na paghihiganti.
**Mahahalagang Pagsasaalang-alang:**
* **Freedom of Speech:** Itinataguyod ng Pilipinas ang kalayaan sa pagsasalita, ngunit ito ay may mga limitasyon. Ang pagpuna sa gobyerno o pagpapahayag n"&amp;"g hindi pagsang-ayon ay karaniwang pinapayagan, ngunit ang pag-uudyok ng karahasan o digmaan ay hindi.
* **Konteksto at Layunin:** Ang konteksto kung saan nangyayari ang mga salita o kilos at ang layunin ng tao ay mahalagang mga salik sa pagtukoy ng pagka"&amp;"kasala.
**Parusa para sa Pag-uudyok ng Digmaan o Paghihiganti:**
* **Mga Pampublikong Opisyal o Empleyado:** Pagkakulong sa ilalim ng parusa ng **reclusion temporal** (12 taon at 1 araw hanggang 20 taon)
* **Mga Pribadong Indibidwal:** Pagkakulong sa ilal"&amp;"im ng parusa ng **prision mayor** (6 na taon at 1 araw hanggang 8 taon)
**Sa pangkalahatan, hindi hinihikayat ng Pilipinas ang mga pagkilos na maaaring humantong sa karahasan at digmaan sa pamamagitan ng pagpaparusa sa mga nag-uudyok ng salungatan o paghi"&amp;"higanti.** Narito ang ilang mapagkukunan para sa karagdagang impormasyon:
* Binagong Kodigo Penal ng Pilipinas - Artikulo 118: [invalid URL article 118 ng binagong kodigo penal ON The Lawphil Project lawphil.net]
* Commission on Human Rights of the Philip"&amp;"pines (CHR): [https://www.chr.gov.ph/](https://www.chr.gov.ph/)")</f>
        <v>Sa Pilipinas, ang krimen ng pag-uudyok sa digmaan o pagbibigay ng motibo para sa paghihiganti ay nasa ilalim ng Artikulo 118 ng Revised Penal Code (RPC). Narito ang isang breakdown ng mga pangunahing punto:
**Batas:**
* **Artikulo 118 ng Revised Penal Code (RPC):** Ang artikulong ito ay partikular na tumutugon sa pagpukaw o pagbibigay ng mga dahilan para sa digmaan o paghihiganti.
**Tumuon sa Pag-uudyok ng Salungatan:**
Nilalayon ng batas na pigilan ang mga indibidwal mula sa mga aksyon na maaaring humantong sa karahasan at armadong tunggalian. Narito ang mga pangunahing aspeto ng pagkakasala:
* **Pag-uudyok sa Digmaan:** Ito ay nagsasangkot ng anumang mga salita, aksyon, o publikasyon na sadyang naghihikayat o pumupukaw ng digmaan, alinman sa panloob (digmaang sibil) o panlabas (laban sa ibang bansa).
* **Pagbibigay Mga Motibo para sa Paghihiganti:** Ito ay tumutukoy sa mga pagkilos na maaaring humantong sa paghihiganti o paghihiganti ng mga pag-atake, alinman sa mga indibidwal o grupo. Maaaring kabilang dito ang pagpapalaganap ng mapoot na salita o pag-uudyok ng karahasan laban sa isang partikular na grupo ng mga tao.
**Sino ang Makakagawa ng Krimen:**
* **Mga Pampublikong Opisyal o Empleyado:** Mas mabigat ang parusa para sa mga opisyal ng gobyerno na umaabuso sa kanilang posisyon para mag-udyok ng digmaan o paghihiganti.
* **Mga Pribadong Indibidwal:** Kahit na ang mga ordinaryong mamamayan ay maaaring makasuhan kung ang kanilang mga aksyon ay nakakatugon sa mga elemento ng krimen.
**Mga Elemento ng Krimen:**
* **Labag sa batas o Hindi awtorisadong Mga Gawa:** Ang mga aksyon ay dapat na ilegal at hindi pinapahintulutan ng anumang legal na awtoridad.
* **Pag-uudyok ng Digmaan o Paghihiganti:** Dapat ay may malinaw na layunin o mataas ang posibilidad na ang mga aksyon ay mauuwi sa digmaan o marahas na paghihiganti.
**Mahahalagang Pagsasaalang-alang:**
* **Freedom of Speech:** Itinataguyod ng Pilipinas ang kalayaan sa pagsasalita, ngunit ito ay may mga limitasyon. Ang pagpuna sa gobyerno o pagpapahayag ng hindi pagsang-ayon ay karaniwang pinapayagan, ngunit ang pag-uudyok ng karahasan o digmaan ay hindi.
* **Konteksto at Layunin:** Ang konteksto kung saan nangyayari ang mga salita o kilos at ang layunin ng tao ay mahalagang mga salik sa pagtukoy ng pagkakasala.
**Parusa para sa Pag-uudyok ng Digmaan o Paghihiganti:**
* **Mga Pampublikong Opisyal o Empleyado:** Pagkakulong sa ilalim ng parusa ng **reclusion temporal** (12 taon at 1 araw hanggang 20 taon)
* **Mga Pribadong Indibidwal:** Pagkakulong sa ilalim ng parusa ng **prision mayor** (6 na taon at 1 araw hanggang 8 taon)
**Sa pangkalahatan, hindi hinihikayat ng Pilipinas ang mga pagkilos na maaaring humantong sa karahasan at digmaan sa pamamagitan ng pagpaparusa sa mga nag-uudyok ng salungatan o paghihiganti.** Narito ang ilang mapagkukunan para sa karagdagang impormasyon:
* Binagong Kodigo Penal ng Pilipinas - Artikulo 118: [invalid URL article 118 ng binagong kodigo penal ON The Lawphil Project lawphil.net]
* Commission on Human Rights of the Philippines (CHR): [https://www.chr.gov.ph/](https://www.chr.gov.ph/)</v>
      </c>
      <c r="F2102" s="2">
        <f t="shared" si="1"/>
        <v>0</v>
      </c>
      <c r="G2102" s="2"/>
      <c r="H2102" s="2"/>
      <c r="I2102" s="2"/>
      <c r="J2102" s="2"/>
      <c r="K2102" s="2"/>
      <c r="L2102" s="2"/>
      <c r="M2102" s="2"/>
      <c r="N2102" s="2"/>
      <c r="O2102" s="2"/>
      <c r="P2102" s="2"/>
      <c r="Q2102" s="2"/>
      <c r="R2102" s="2"/>
      <c r="S2102" s="2"/>
      <c r="T2102" s="2"/>
      <c r="U2102" s="2"/>
      <c r="V2102" s="2"/>
      <c r="W2102" s="2"/>
      <c r="X2102" s="2"/>
      <c r="Y2102" s="2"/>
      <c r="Z2102" s="2"/>
      <c r="AA2102" s="2"/>
    </row>
    <row r="2103">
      <c r="A2103" s="1" t="s">
        <v>5061</v>
      </c>
      <c r="B2103" s="1" t="s">
        <v>5186</v>
      </c>
      <c r="C2103" s="1" t="s">
        <v>5187</v>
      </c>
      <c r="D2103" s="2" t="str">
        <f>IFERROR(__xludf.DUMMYFUNCTION("GOOGLETRANSLATE(B2103, ""en"", ""TL"")"),"Anong mga legal na probisyon ang namamahala sa krimen ng hindi awtorisadong paggamit o pagsisiwalat ng mga may pribilehiyong komunikasyon?")</f>
        <v>Anong mga legal na probisyon ang namamahala sa krimen ng hindi awtorisadong paggamit o pagsisiwalat ng mga may pribilehiyong komunikasyon?</v>
      </c>
      <c r="E2103" s="2" t="str">
        <f>IFERROR(__xludf.DUMMYFUNCTION("GOOGLETRANSLATE(C2103, ""en"", ""TL"")"),"Sa Pilipinas, ang krimen ng hindi awtorisadong paggamit o pagsisiwalat ng mga privileged na komunikasyon ay kinokontrol ng Data Privacy Act of 2012 (Republic Act No. 10173). Tuklasin natin ang mga nauugnay na probisyon:
**Proteksyon ng Privileged Communic"&amp;"ation:**
- Tinutugunan ng Artikulo 14, Seksyon 13 ng Data Privacy Act ang sensitibong personal na impormasyon at may pribilehiyong impormasyon.
- Kinikilala nito na ang mga tagakontrol ng personal na impormasyon ay maaaring gumamit ng prinsipyo ng privile"&amp;"ged communication kaysa privileged information na ayon sa batas nilang kinokontrol o pinoproseso.
- Alinsunod sa umiiral na mga batas at regulasyon, ang anumang ebidensyang nakalap sa may pribilehiyong impormasyon ay hindi tinatanggap.
**Mga Parusa para s"&amp;"a Di-awtorisadong Pagbubunyag:**
- Ang hindi awtorisadong pagsisiwalat ng personal na impormasyon na hindi sakop ng kaagad na naunang seksyon nang walang pahintulot ng paksa ng data ay mapaparusahan ng:
- Pagkakulong mula sa isang (1) taon hanggang tatlon"&amp;"g (3) taon.
- Isang multa na hindi bababa sa ₱500,000 ngunit hindi hihigit sa ₱1,000,000.")</f>
        <v>Sa Pilipinas, ang krimen ng hindi awtorisadong paggamit o pagsisiwalat ng mga privileged na komunikasyon ay kinokontrol ng Data Privacy Act of 2012 (Republic Act No. 10173). Tuklasin natin ang mga nauugnay na probisyon:
**Proteksyon ng Privileged Communication:**
- Tinutugunan ng Artikulo 14, Seksyon 13 ng Data Privacy Act ang sensitibong personal na impormasyon at may pribilehiyong impormasyon.
- Kinikilala nito na ang mga tagakontrol ng personal na impormasyon ay maaaring gumamit ng prinsipyo ng privileged communication kaysa privileged information na ayon sa batas nilang kinokontrol o pinoproseso.
- Alinsunod sa umiiral na mga batas at regulasyon, ang anumang ebidensyang nakalap sa may pribilehiyong impormasyon ay hindi tinatanggap.
**Mga Parusa para sa Di-awtorisadong Pagbubunyag:**
- Ang hindi awtorisadong pagsisiwalat ng personal na impormasyon na hindi sakop ng kaagad na naunang seksyon nang walang pahintulot ng paksa ng data ay mapaparusahan ng:
- Pagkakulong mula sa isang (1) taon hanggang tatlong (3) taon.
- Isang multa na hindi bababa sa ₱500,000 ngunit hindi hihigit sa ₱1,000,000.</v>
      </c>
      <c r="F2103" s="2">
        <f t="shared" si="1"/>
        <v>0</v>
      </c>
      <c r="G2103" s="2"/>
      <c r="H2103" s="2"/>
      <c r="I2103" s="2"/>
      <c r="J2103" s="2"/>
      <c r="K2103" s="2"/>
      <c r="L2103" s="2"/>
      <c r="M2103" s="2"/>
      <c r="N2103" s="2"/>
      <c r="O2103" s="2"/>
      <c r="P2103" s="2"/>
      <c r="Q2103" s="2"/>
      <c r="R2103" s="2"/>
      <c r="S2103" s="2"/>
      <c r="T2103" s="2"/>
      <c r="U2103" s="2"/>
      <c r="V2103" s="2"/>
      <c r="W2103" s="2"/>
      <c r="X2103" s="2"/>
      <c r="Y2103" s="2"/>
      <c r="Z2103" s="2"/>
      <c r="AA2103" s="2"/>
    </row>
    <row r="2104">
      <c r="A2104" s="1" t="s">
        <v>5061</v>
      </c>
      <c r="B2104" s="1" t="s">
        <v>5188</v>
      </c>
      <c r="C2104" s="1" t="s">
        <v>5189</v>
      </c>
      <c r="D2104" s="2" t="str">
        <f>IFERROR(__xludf.DUMMYFUNCTION("GOOGLETRANSLATE(B2104, ""en"", ""TL"")"),"Sa ilalim ng anong mga pangyayari ang isang tao ay maaaring makasuhan ng krimen ng sabotahe laban sa gobyerno?")</f>
        <v>Sa ilalim ng anong mga pangyayari ang isang tao ay maaaring makasuhan ng krimen ng sabotahe laban sa gobyerno?</v>
      </c>
      <c r="E2104" s="2" t="str">
        <f>IFERROR(__xludf.DUMMYFUNCTION("GOOGLETRANSLATE(C2104, ""en"", ""TL"")"),"Ang Pilipinas **ay walang isa, partikular na batas** na direktang tumutugon sa ""sabotahe laban sa gobyerno."" Gayunpaman, maraming umiiral na batas at probisyon ang maaaring gamitin upang usigin ang mga aksyon na maaaring ituring na sabotahe depende sa p"&amp;"artikular na mga pangyayari. Narito ang isang breakdown ng nauugnay na legal na framework:
**Mga Kaugnay na Batas:**
* **Revised Penal Code (RPC):** * **Artikulo 146-148 (Rebelyon):** Ang mga artikulong ito ay nagpaparusa sa mga gawa ng paghihimagsik laba"&amp;"n sa awtoridad ng pamahalaan. Bagama't hindi direktang sabotahe, ang mga marahas na aksyon na naglalayong ibagsak ang gobyerno ay maaaring isaalang-alang sa ilalim ng mga probisyong ito.
* **Mga Artikulo 150-151 (Paglaban at Pagsuway sa Isang Taong May Aw"&amp;"toridad):** Ang mga artikulong ito ay nagpaparusa sa paglaban sa pag-aresto o pagsuway sa mga utos ng batas mula sa mga awtoridad, na maaaring may kaugnayan kung ang sabotahe ay may kasamang pagharang sa pagpapatupad ng batas.
* **Artikulo 185 (Pamemeke n"&amp;"g isang Pribadong Indibidwal) at Artikulo 186 (Pamemeke ng isang Pampublikong Opisyal):** Tinutugunan ng mga artikulong ito ang pakikialam o palsipikasyon ng mga dokumento o ebidensya, na maaaring may kaugnayan kung ang sabotahe ay may kasamang pagmamanip"&amp;"ula ng kritikal na impormasyon ng pamahalaan.
* **Presidential Decree No. 1829 (PD 1829):** Ang partikular na batas na ito ay nagpaparusa sa mga gawaing humahadlang sa pagdakip, imbestigasyon, at pag-uusig sa mga kriminal. Ang mga aksyon na humahadlang sa"&amp;" mga pagsisiyasat o pumipigil sa mga awtoridad sa pagsasagawa ng kanilang mga tungkulin ay maaaring isaalang-alang sa ilalim ng PD 1829.
**Mga Pangunahing Punto:**
* **Tumuon sa Mga Partikular na Gawa:** Ang Pilipinas ay nag-uusig ng mga aksyon batay sa *"&amp;"*mga partikular na akto** na ginawa, hindi isang pangkalahatang termino tulad ng ""sabotahe."" Nakatuon ang pansin sa **epekto** ng mga aksyon sa tungkulin ng pamahalaan o sa kakayahan nitong mapanatili ang kaayusan.
* **Kalubhaan at Layunin:** Ang kalubh"&amp;"aan ng pagkakasala at ang **layunin** sa likod ng mga aksyon ay mahalagang salik. Ang isang tao na hindi sinasadyang nasira ang ari-arian ng gobyerno ay hindi kakasuhan ng sabotahe, ngunit ang sadyang pakikialam sa kritikal na imprastraktura ay maaaring m"&amp;"angyari.
**Mga Halimbawa:**
* **Pagsira sa Pampublikong Imprastraktura:** Maaaring singilin sa ilalim ng RPC o PD 1829 ang isang taong sadyang sumisira sa mga tulay, power grid, o communication tower depende sa kalubhaan.
* **Pag-hack ng mga Sistema ng Pa"&amp;"mahalaan:** Ang mga indibidwal na nagha-hack sa mga computer system ng pamahalaan at nakakagambala sa mga kritikal na operasyon ay maaaring kasuhan ng mga paglabag na nauugnay sa mga krimen sa computer o falsification.
* **Mga Marahas na Akda Laban sa Pam"&amp;"ahalaan:** Ang mga pagkilos ng paghihimagsik o terorismo na naglalayong guluhin ang mga tungkulin ng pamahalaan o manakit sa mga opisyal ay malamang na mapapasailalim sa mga probisyon ng RPC sa paghihimagsik.
**Sa pangkalahatan, may legal na balangkas ang"&amp;" Pilipinas para tugunan ang iba't ibang aksyon na maaaring ituring na sabotahe laban sa gobyerno. Ang mga partikular na batas na inilapat ay nakadepende sa uri ng kilos, epekto nito, at layunin ng nagkasala.**
Narito ang ilang mapagkukunan para sa karagda"&amp;"gang impormasyon:
* Binagong Kodigo Penal ng Pilipinas: [invalid URL article 18 of the revised penal code ON The Lawphil Project lawphil.net]
* Presidential Decree No. 1829: [https://lawphil.net/statutes/presdecs/pd1981/pd_1829_1981.html](https://lawphil."&amp;"net/statutes/presdecs/pd1981/pd_1829_1981.html)")</f>
        <v>Ang Pilipinas **ay walang isa, partikular na batas** na direktang tumutugon sa "sabotahe laban sa gobyerno." Gayunpaman, maraming umiiral na batas at probisyon ang maaaring gamitin upang usigin ang mga aksyon na maaaring ituring na sabotahe depende sa partikular na mga pangyayari. Narito ang isang breakdown ng nauugnay na legal na framework:
**Mga Kaugnay na Batas:**
* **Revised Penal Code (RPC):** * **Artikulo 146-148 (Rebelyon):** Ang mga artikulong ito ay nagpaparusa sa mga gawa ng paghihimagsik laban sa awtoridad ng pamahalaan. Bagama't hindi direktang sabotahe, ang mga marahas na aksyon na naglalayong ibagsak ang gobyerno ay maaaring isaalang-alang sa ilalim ng mga probisyong ito.
* **Mga Artikulo 150-151 (Paglaban at Pagsuway sa Isang Taong May Awtoridad):** Ang mga artikulong ito ay nagpaparusa sa paglaban sa pag-aresto o pagsuway sa mga utos ng batas mula sa mga awtoridad, na maaaring may kaugnayan kung ang sabotahe ay may kasamang pagharang sa pagpapatupad ng batas.
* **Artikulo 185 (Pamemeke ng isang Pribadong Indibidwal) at Artikulo 186 (Pamemeke ng isang Pampublikong Opisyal):** Tinutugunan ng mga artikulong ito ang pakikialam o palsipikasyon ng mga dokumento o ebidensya, na maaaring may kaugnayan kung ang sabotahe ay may kasamang pagmamanipula ng kritikal na impormasyon ng pamahalaan.
* **Presidential Decree No. 1829 (PD 1829):** Ang partikular na batas na ito ay nagpaparusa sa mga gawaing humahadlang sa pagdakip, imbestigasyon, at pag-uusig sa mga kriminal. Ang mga aksyon na humahadlang sa mga pagsisiyasat o pumipigil sa mga awtoridad sa pagsasagawa ng kanilang mga tungkulin ay maaaring isaalang-alang sa ilalim ng PD 1829.
**Mga Pangunahing Punto:**
* **Tumuon sa Mga Partikular na Gawa:** Ang Pilipinas ay nag-uusig ng mga aksyon batay sa **mga partikular na akto** na ginawa, hindi isang pangkalahatang termino tulad ng "sabotahe." Nakatuon ang pansin sa **epekto** ng mga aksyon sa tungkulin ng pamahalaan o sa kakayahan nitong mapanatili ang kaayusan.
* **Kalubhaan at Layunin:** Ang kalubhaan ng pagkakasala at ang **layunin** sa likod ng mga aksyon ay mahalagang salik. Ang isang tao na hindi sinasadyang nasira ang ari-arian ng gobyerno ay hindi kakasuhan ng sabotahe, ngunit ang sadyang pakikialam sa kritikal na imprastraktura ay maaaring mangyari.
**Mga Halimbawa:**
* **Pagsira sa Pampublikong Imprastraktura:** Maaaring singilin sa ilalim ng RPC o PD 1829 ang isang taong sadyang sumisira sa mga tulay, power grid, o communication tower depende sa kalubhaan.
* **Pag-hack ng mga Sistema ng Pamahalaan:** Ang mga indibidwal na nagha-hack sa mga computer system ng pamahalaan at nakakagambala sa mga kritikal na operasyon ay maaaring kasuhan ng mga paglabag na nauugnay sa mga krimen sa computer o falsification.
* **Mga Marahas na Akda Laban sa Pamahalaan:** Ang mga pagkilos ng paghihimagsik o terorismo na naglalayong guluhin ang mga tungkulin ng pamahalaan o manakit sa mga opisyal ay malamang na mapapasailalim sa mga probisyon ng RPC sa paghihimagsik.
**Sa pangkalahatan, may legal na balangkas ang Pilipinas para tugunan ang iba't ibang aksyon na maaaring ituring na sabotahe laban sa gobyerno. Ang mga partikular na batas na inilapat ay nakadepende sa uri ng kilos, epekto nito, at layunin ng nagkasala.**
Narito ang ilang mapagkukunan para sa karagdagang impormasyon:
* Binagong Kodigo Penal ng Pilipinas: [invalid URL article 18 of the revised penal code ON The Lawphil Project lawphil.net]
* Presidential Decree No. 1829: [https://lawphil.net/statutes/presdecs/pd1981/pd_1829_1981.html](https://lawphil.net/statutes/presdecs/pd1981/pd_1829_1981.html)</v>
      </c>
      <c r="F2104" s="2">
        <f t="shared" si="1"/>
        <v>0</v>
      </c>
      <c r="G2104" s="2"/>
      <c r="H2104" s="2"/>
      <c r="I2104" s="2"/>
      <c r="J2104" s="2"/>
      <c r="K2104" s="2"/>
      <c r="L2104" s="2"/>
      <c r="M2104" s="2"/>
      <c r="N2104" s="2"/>
      <c r="O2104" s="2"/>
      <c r="P2104" s="2"/>
      <c r="Q2104" s="2"/>
      <c r="R2104" s="2"/>
      <c r="S2104" s="2"/>
      <c r="T2104" s="2"/>
      <c r="U2104" s="2"/>
      <c r="V2104" s="2"/>
      <c r="W2104" s="2"/>
      <c r="X2104" s="2"/>
      <c r="Y2104" s="2"/>
      <c r="Z2104" s="2"/>
      <c r="AA2104" s="2"/>
    </row>
    <row r="2105">
      <c r="A2105" s="1" t="s">
        <v>5061</v>
      </c>
      <c r="B2105" s="1" t="s">
        <v>5190</v>
      </c>
      <c r="C2105" s="1" t="s">
        <v>5191</v>
      </c>
      <c r="D2105" s="2" t="str">
        <f>IFERROR(__xludf.DUMMYFUNCTION("GOOGLETRANSLATE(B2105, ""en"", ""TL"")"),"Paano tinutugunan ng batas ang mga insidente ng pakikialam sa mahahalagang pampublikong kagamitan at ang mga legal na kahihinatnan nito?")</f>
        <v>Paano tinutugunan ng batas ang mga insidente ng pakikialam sa mahahalagang pampublikong kagamitan at ang mga legal na kahihinatnan nito?</v>
      </c>
      <c r="E2105" s="2" t="str">
        <f>IFERROR(__xludf.DUMMYFUNCTION("GOOGLETRANSLATE(C2105, ""en"", ""TL"")"),"Ang Pilipinas ay may ilang mga batas na tumutugon sa pakikialam sa mahahalagang pampublikong kagamitan at ang mga legal na kahihinatnan ay maaaring malubha. Narito ang isang breakdown:
Mga Kaugnay na Batas:
Binagong Kodigo Penal (RPC):
Artikulo 179: Pinar"&amp;"urusahan ang krimen ng ""Destructive Arson"" na nagsasangkot ng pinsala sa pamamagitan ng sunog sa anumang pampublikong kagamitan, tulad ng:
""Mga pabrika, makinarya, bodega o kamalig, archive, aklatan, museo, sasakyang-dagat, at iba pang mga gusali na na"&amp;"katuon sa pampublikong paggamit.""
""Mga tulay, dike, dam, at aqueduct; mga linya ng kuryente, ilaw, at telegrapo; mga istasyon ng telepono o radyo; mga paliparan, riles, at mga pasilidad ng mga ito.""
Artikulo 318: Tinutugunan ang krimen ng ""Kalokohan"""&amp;" na naaangkop sa:
""Nagdudulot ng pinsala sa ari-arian na pagmamay-ari ng iba.""
Mga Partikular na Parusa:
Mapanirang Arson (Artikulo 179): Depende sa resulta ng pinsala, ang parusa ay maaaring mula sa:
Reclusion perpetua hanggang kamatayan: Kung ang mga "&amp;"resulta ng kamatayan o mga pinsala ay nangyari.
Reclusion temporal: Para magdulot ng malaking pinsala.
Prision mayor: Para sa maliit na pinsala.
Mischief (Artikulo 318): Ang parusa ay nag-iiba batay sa halaga ng pinsalang dulot:
Prision correccional sa mi"&amp;"nimum at medium periods nito: Kung ang pinsala ay lumampas sa 5,000 pesos ngunit hindi lalampas sa 30,000 pesos.
Destierro: Kung lumampas sa 300 pesos ang damage pero hindi lalampas sa 5,000 pesos.
Mga Karagdagang Pagsasaalang-alang:
Mga Partikular na Bat"&amp;"as: Maaaring may mga karagdagang regulasyon ang ilang partikular na utility na tumutugon sa pakikialam.
Halimbawa, pinaparusahan ng Philippine Clean Water Act (RA 9275) ang mga gawaing nagdudulot ng polusyon sa mga pinagmumulan ng tubig.
Batas sa Cybersec"&amp;"urity: Ang pakikialam sa mahahalagang pampublikong utilidad sa pamamagitan ng pag-hack o katulad na mga elektronikong paraan ay maaari ding mapasailalim sa Cybercrime Prevention Act (RA 10175).
Mga Legal na Bunga:
Ang mga indibidwal na napatunayang nagkas"&amp;"ala ng pakikialam sa mahahalagang pampublikong kagamitan ay nahaharap sa pagkakulong at mabigat na multa depende sa partikular na pagkakasala at ang resulta ng pinsala.
Bukod pa rito, maaari silang managot para sa mga pinsalang sibil upang mabayaran ang h"&amp;"alaga ng pag-aayos at mga potensyal na pagkaantala na dulot.")</f>
        <v>Ang Pilipinas ay may ilang mga batas na tumutugon sa pakikialam sa mahahalagang pampublikong kagamitan at ang mga legal na kahihinatnan ay maaaring malubha. Narito ang isang breakdown:
Mga Kaugnay na Batas:
Binagong Kodigo Penal (RPC):
Artikulo 179: Pinarurusahan ang krimen ng "Destructive Arson" na nagsasangkot ng pinsala sa pamamagitan ng sunog sa anumang pampublikong kagamitan, tulad ng:
"Mga pabrika, makinarya, bodega o kamalig, archive, aklatan, museo, sasakyang-dagat, at iba pang mga gusali na nakatuon sa pampublikong paggamit."
"Mga tulay, dike, dam, at aqueduct; mga linya ng kuryente, ilaw, at telegrapo; mga istasyon ng telepono o radyo; mga paliparan, riles, at mga pasilidad ng mga ito."
Artikulo 318: Tinutugunan ang krimen ng "Kalokohan" na naaangkop sa:
"Nagdudulot ng pinsala sa ari-arian na pagmamay-ari ng iba."
Mga Partikular na Parusa:
Mapanirang Arson (Artikulo 179): Depende sa resulta ng pinsala, ang parusa ay maaaring mula sa:
Reclusion perpetua hanggang kamatayan: Kung ang mga resulta ng kamatayan o mga pinsala ay nangyari.
Reclusion temporal: Para magdulot ng malaking pinsala.
Prision mayor: Para sa maliit na pinsala.
Mischief (Artikulo 318): Ang parusa ay nag-iiba batay sa halaga ng pinsalang dulot:
Prision correccional sa minimum at medium periods nito: Kung ang pinsala ay lumampas sa 5,000 pesos ngunit hindi lalampas sa 30,000 pesos.
Destierro: Kung lumampas sa 300 pesos ang damage pero hindi lalampas sa 5,000 pesos.
Mga Karagdagang Pagsasaalang-alang:
Mga Partikular na Batas: Maaaring may mga karagdagang regulasyon ang ilang partikular na utility na tumutugon sa pakikialam.
Halimbawa, pinaparusahan ng Philippine Clean Water Act (RA 9275) ang mga gawaing nagdudulot ng polusyon sa mga pinagmumulan ng tubig.
Batas sa Cybersecurity: Ang pakikialam sa mahahalagang pampublikong utilidad sa pamamagitan ng pag-hack o katulad na mga elektronikong paraan ay maaari ding mapasailalim sa Cybercrime Prevention Act (RA 10175).
Mga Legal na Bunga:
Ang mga indibidwal na napatunayang nagkasala ng pakikialam sa mahahalagang pampublikong kagamitan ay nahaharap sa pagkakulong at mabigat na multa depende sa partikular na pagkakasala at ang resulta ng pinsala.
Bukod pa rito, maaari silang managot para sa mga pinsalang sibil upang mabayaran ang halaga ng pag-aayos at mga potensyal na pagkaantala na dulot.</v>
      </c>
      <c r="F2105" s="2">
        <f t="shared" si="1"/>
        <v>0</v>
      </c>
      <c r="G2105" s="2"/>
      <c r="H2105" s="2"/>
      <c r="I2105" s="2"/>
      <c r="J2105" s="2"/>
      <c r="K2105" s="2"/>
      <c r="L2105" s="2"/>
      <c r="M2105" s="2"/>
      <c r="N2105" s="2"/>
      <c r="O2105" s="2"/>
      <c r="P2105" s="2"/>
      <c r="Q2105" s="2"/>
      <c r="R2105" s="2"/>
      <c r="S2105" s="2"/>
      <c r="T2105" s="2"/>
      <c r="U2105" s="2"/>
      <c r="V2105" s="2"/>
      <c r="W2105" s="2"/>
      <c r="X2105" s="2"/>
      <c r="Y2105" s="2"/>
      <c r="Z2105" s="2"/>
      <c r="AA2105" s="2"/>
    </row>
    <row r="2106">
      <c r="A2106" s="1" t="s">
        <v>5061</v>
      </c>
      <c r="B2106" s="1" t="s">
        <v>5192</v>
      </c>
      <c r="C2106" s="1" t="s">
        <v>5193</v>
      </c>
      <c r="D2106" s="2" t="str">
        <f>IFERROR(__xludf.DUMMYFUNCTION("GOOGLETRANSLATE(B2106, ""en"", ""TL"")"),"Anong mga parusa ang naaangkop para sa pagsali sa krimen ng hindi awtorisadong pagmamay-ari at paggamit ng mga klasipikadong dokumento?")</f>
        <v>Anong mga parusa ang naaangkop para sa pagsali sa krimen ng hindi awtorisadong pagmamay-ari at paggamit ng mga klasipikadong dokumento?</v>
      </c>
      <c r="E2106" s="2" t="str">
        <f>IFERROR(__xludf.DUMMYFUNCTION("GOOGLETRANSLATE(C2106, ""en"", ""TL"")"),"Ang Pilipinas ay walang iisang batas na direktang tumutugon sa ""unauthorized possession and use of classified documents."" Gayunpaman, mayroong ilang mga umiiral na batas at regulasyon na maaaring gamitin upang usigin ang mga naturang aksyon, na may mga "&amp;"parusa na nag-iiba depende sa kalubhaan ng pagkakasala at sa katayuan ng nagkasala. Narito ang isang breakdown:
**Mga Kaugnay na Batas at Regulasyon:**
* **Executive Order No. 608 (EO 608):** Ang executive order na ito ay nakatuon sa pag-uuri at proteksyo"&amp;"n ng classified information. Hindi nito tinukoy ang mga parusa ngunit binibigyang-diin ang kahalagahan ng pag-iingat ng mga naiuri na dokumento.
* **Revised Penal Code (RPC):** Maaaring ilapat ang ilang partikular na artikulo sa ilang mga kaso:
* **Artiku"&amp;"lo 18 (Accessory Liability):** Nalalapat ito kung may tumulong sa ibang tao (hal., isang espiya) sa pagkakaroon o paggamit ng mga classified na dokumento. Ang parusa ay nakasalalay sa pangunahing pagkakasala. * **Artikulo 217 (Paglabag sa mga Lihim):** Na"&amp;"lalapat ito kung may nagbubunyag ng classified na impormasyon sa mga hindi awtorisadong indibidwal. Ang parusa ay maaaring pagkakulong at multa. * **Memorandum Circular Blg. 78 ng 1964:** Ang sirkular na ito mula sa Opisina ng Pangulo ay nagbabalangkas ng"&amp;" mga patnubay para sa paghawak ng classified information. Bagama't hindi nagpapataw ng mga direktang parusa, itinatampok nito ang mga potensyal na **mga parusang pang-administratibo** para sa maling paghawak ng mga naiuri na dokumento para sa mga tauhan n"&amp;"g pamahalaan.
**Mga Pangunahing Pagsasaalang-alang:**
* **Antas ng Pag-uuri:** Ang kalubhaan ng pagkakasala ay depende sa antas ng pag-uuri (Nangungunang Lihim, Lihim, Kumpidensyal) ng impormasyong na-access. * **Intention and Motive:** Ang **intent** (hi"&amp;"ndi sinasadya o sinasadya) at **motive** (personal na pakinabang, espionage) ng tao ay mga mahahalagang salik.
* **Katayuan ng Nagkasala:** Maaaring mag-iba ang mga parusa batay sa kung ang nagkasala ay isang **opisyal ng gobyerno** na pinagkatiwalaan ng "&amp;"classified na impormasyon o isang **pribadong mamamayan**. **Potensyal na Mga Parusa:**
* **Mga Opisyal ng Gobyerno:**
* **Mga Pagkilos na Pandisiplina:** Depende sa mga regulasyon ng ahensya, maaaring may kasama itong pagsususpinde, pagwawakas, o mga kas"&amp;"ong kriminal.
* **Mga Criminal Charges (RPC):** Depende sa mga pangyayari, ang pagkakulong at mga multa ay maaaring ipataw sa ilalim ng mga artikulo tulad ng pananagutan ng accessory o paglabag sa mga lihim.
* **Mga Pribadong Mamamayan:**
* **Mga Criminal"&amp;" Charges (RPC):** Kung mapatunayang nagkasala, ang pagkakulong at mga multa ay maaaring ipataw sa ilalim ng mga artikulo tulad ng pananagutan sa accessory o paglabag sa mga lihim.
**Sa pangkalahatan, sineseryoso ng Pilipinas ang hindi awtorisadong pag-acc"&amp;"ess at paggamit ng mga classified na dokumento. Bagama't walang iisang batas na may partikular na parusa, ang mga umiiral na legal na balangkas ay maaaring magpataw ng makabuluhang kahihinatnan sa parehong mga opisyal ng gobyerno at pribadong mamamayan na"&amp;" nakikibahagi sa mga naturang aktibidad.**
Narito ang ilang mapagkukunan para sa karagdagang impormasyon:
* Executive Order No. 608: [https://www.officialgazette.gov.ph/2007/03/30/executive-order-no-608-s-2007/](https://www.officialgazette.gov. ph/2007/03"&amp;"/30/executive-order-no-608-s-2007/)
* Binagong Kodigo Penal ng Pilipinas: [invalid URL article 18 of the revised penal code ON The Lawphil Project lawphil.net]
* Opisina ng Pangulo - Memorandum Circular Blg. 78: (Hindi available sa publiko online ang sour"&amp;"ce, maaaring may mga naka-archive na bersyon ang mga website ng gobyerno)")</f>
        <v>Ang Pilipinas ay walang iisang batas na direktang tumutugon sa "unauthorized possession and use of classified documents." Gayunpaman, mayroong ilang mga umiiral na batas at regulasyon na maaaring gamitin upang usigin ang mga naturang aksyon, na may mga parusa na nag-iiba depende sa kalubhaan ng pagkakasala at sa katayuan ng nagkasala. Narito ang isang breakdown:
**Mga Kaugnay na Batas at Regulasyon:**
* **Executive Order No. 608 (EO 608):** Ang executive order na ito ay nakatuon sa pag-uuri at proteksyon ng classified information. Hindi nito tinukoy ang mga parusa ngunit binibigyang-diin ang kahalagahan ng pag-iingat ng mga naiuri na dokumento.
* **Revised Penal Code (RPC):** Maaaring ilapat ang ilang partikular na artikulo sa ilang mga kaso:
* **Artikulo 18 (Accessory Liability):** Nalalapat ito kung may tumulong sa ibang tao (hal., isang espiya) sa pagkakaroon o paggamit ng mga classified na dokumento. Ang parusa ay nakasalalay sa pangunahing pagkakasala. * **Artikulo 217 (Paglabag sa mga Lihim):** Nalalapat ito kung may nagbubunyag ng classified na impormasyon sa mga hindi awtorisadong indibidwal. Ang parusa ay maaaring pagkakulong at multa. * **Memorandum Circular Blg. 78 ng 1964:** Ang sirkular na ito mula sa Opisina ng Pangulo ay nagbabalangkas ng mga patnubay para sa paghawak ng classified information. Bagama't hindi nagpapataw ng mga direktang parusa, itinatampok nito ang mga potensyal na **mga parusang pang-administratibo** para sa maling paghawak ng mga naiuri na dokumento para sa mga tauhan ng pamahalaan.
**Mga Pangunahing Pagsasaalang-alang:**
* **Antas ng Pag-uuri:** Ang kalubhaan ng pagkakasala ay depende sa antas ng pag-uuri (Nangungunang Lihim, Lihim, Kumpidensyal) ng impormasyong na-access. * **Intention and Motive:** Ang **intent** (hindi sinasadya o sinasadya) at **motive** (personal na pakinabang, espionage) ng tao ay mga mahahalagang salik.
* **Katayuan ng Nagkasala:** Maaaring mag-iba ang mga parusa batay sa kung ang nagkasala ay isang **opisyal ng gobyerno** na pinagkatiwalaan ng classified na impormasyon o isang **pribadong mamamayan**. **Potensyal na Mga Parusa:**
* **Mga Opisyal ng Gobyerno:**
* **Mga Pagkilos na Pandisiplina:** Depende sa mga regulasyon ng ahensya, maaaring may kasama itong pagsususpinde, pagwawakas, o mga kasong kriminal.
* **Mga Criminal Charges (RPC):** Depende sa mga pangyayari, ang pagkakulong at mga multa ay maaaring ipataw sa ilalim ng mga artikulo tulad ng pananagutan ng accessory o paglabag sa mga lihim.
* **Mga Pribadong Mamamayan:**
* **Mga Criminal Charges (RPC):** Kung mapatunayang nagkasala, ang pagkakulong at mga multa ay maaaring ipataw sa ilalim ng mga artikulo tulad ng pananagutan sa accessory o paglabag sa mga lihim.
**Sa pangkalahatan, sineseryoso ng Pilipinas ang hindi awtorisadong pag-access at paggamit ng mga classified na dokumento. Bagama't walang iisang batas na may partikular na parusa, ang mga umiiral na legal na balangkas ay maaaring magpataw ng makabuluhang kahihinatnan sa parehong mga opisyal ng gobyerno at pribadong mamamayan na nakikibahagi sa mga naturang aktibidad.**
Narito ang ilang mapagkukunan para sa karagdagang impormasyon:
* Executive Order No. 608: [https://www.officialgazette.gov.ph/2007/03/30/executive-order-no-608-s-2007/](https://www.officialgazette.gov. ph/2007/03/30/executive-order-no-608-s-2007/)
* Binagong Kodigo Penal ng Pilipinas: [invalid URL article 18 of the revised penal code ON The Lawphil Project lawphil.net]
* Opisina ng Pangulo - Memorandum Circular Blg. 78: (Hindi available sa publiko online ang source, maaaring may mga naka-archive na bersyon ang mga website ng gobyerno)</v>
      </c>
      <c r="F2106" s="2">
        <f t="shared" si="1"/>
        <v>0</v>
      </c>
      <c r="G2106" s="2"/>
      <c r="H2106" s="2"/>
      <c r="I2106" s="2"/>
      <c r="J2106" s="2"/>
      <c r="K2106" s="2"/>
      <c r="L2106" s="2"/>
      <c r="M2106" s="2"/>
      <c r="N2106" s="2"/>
      <c r="O2106" s="2"/>
      <c r="P2106" s="2"/>
      <c r="Q2106" s="2"/>
      <c r="R2106" s="2"/>
      <c r="S2106" s="2"/>
      <c r="T2106" s="2"/>
      <c r="U2106" s="2"/>
      <c r="V2106" s="2"/>
      <c r="W2106" s="2"/>
      <c r="X2106" s="2"/>
      <c r="Y2106" s="2"/>
      <c r="Z2106" s="2"/>
      <c r="AA2106" s="2"/>
    </row>
    <row r="2107">
      <c r="A2107" s="1" t="s">
        <v>5061</v>
      </c>
      <c r="B2107" s="1" t="s">
        <v>5194</v>
      </c>
      <c r="C2107" s="1" t="s">
        <v>5195</v>
      </c>
      <c r="D2107" s="2" t="str">
        <f>IFERROR(__xludf.DUMMYFUNCTION("GOOGLETRANSLATE(B2107, ""en"", ""TL"")"),"Paano binibigyang kahulugan at pinarurusahan sa ilalim ng batas ng Pilipinas ang pagkakasala ng pagkukubli o pagtatago ng mga taong nagkasala ng subersyon?")</f>
        <v>Paano binibigyang kahulugan at pinarurusahan sa ilalim ng batas ng Pilipinas ang pagkakasala ng pagkukubli o pagtatago ng mga taong nagkasala ng subersyon?</v>
      </c>
      <c r="E2107" s="2" t="str">
        <f>IFERROR(__xludf.DUMMYFUNCTION("GOOGLETRANSLATE(C2107, ""en"", ""TL"")"),"Ang Pilipinas **ay walang partikular na batas** na direktang tumutugon sa ""pagkukubli o pagtatago sa mga taong nagkasala ng subversion."" Gayunpaman, ang mga umiiral na batas ay maaaring ilapat upang usigin ang mga naturang aksyon depende sa partikular n"&amp;"a mga pangyayari ng ""subersibong aksyon"" at ang layunin sa likod ng pagkukubli sa tao.
Narito ang isang breakdown ng nauugnay na legal na framework:
**Revised Penal Code (RPC) Provisions:**
* **Artikulo 146-148 (Rebelyon):** Nakatuon ang mga artikulong "&amp;"ito sa paghihimagsik laban sa awtoridad ng pamahalaan. Kung ang taong kinukulong ay isang taong nakagawa ng mga kilos na tinukoy bilang paghihimagsik (hal., pag-aangkin ng armas laban sa gobyerno), kung gayon ang pagkukunwari sa kanila ay maaaring ituring"&amp;" na **kaugnay na pananagutan** sa ilalim ng:
* **Artikulo 18:** Nalalapat ang artikulong ito sa mga tumulong sa mga kriminal pagkatapos magawa ang krimen. Ang parusa ay depende sa kalubhaan ng paghihimagsik (pangunahing pagkakasala).
* **Artikulo 118 (Pag"&amp;"-uudyok sa Digmaan o Pagbibigay ng mga Motibo para sa Paghihiganti):** Kung ang taong kinikimkim ay kasangkot sa mga aksyon tulad ng pag-uudyok na ibagsak ang gobyerno (kahit na mapayapa), kung gayon ang pagkukunwari sa kanila ay maaaring ituring na tumut"&amp;"ulong sa gawaing ito, na ay isang krimen sa ilalim ng artikulong ito.
**Dekreto ng Pangulo Blg. 1829 (PD 1829):**
* **Seksyon 3(c):** Ang seksyon na ito ay nagpaparusa sa mga gawa ng pagkukubli o pagtatago sa sinumang kilala mo o may makatwirang batayan u"&amp;"pang maniwala na nakagawa ng anumang pagkakasala upang maiwasan ang kanilang pag-aresto, pag-uusig, at paghatol. Ito ay maaaring ilapat kung ang taong kinukulong ay hinahanap para sa mga krimeng nauugnay sa subbersyon na tinukoy sa ilalim ng ibang mga bat"&amp;"as.
**Mga Pangunahing Pagsasaalang-alang:**
* **Katangian ng Subersibong Batas:** Ang partikular na kilos na itinuturing na ""subversion"" ay mahalaga. Kung ito ay nagsasangkot ng marahas na rebelyon, iba't ibang batas ang nalalapat kumpara sa isang taong"&amp;" nagsusulong para sa mapayapang pagbabago sa pulitika na maaaring ituring ng pamahalaan na subersibo. * **Kaalaman at Layunin:** Ang taong kumukupkop sa takas ay dapat magkaroon ng kamalayan na ang tao ay pinaghahanap para sa mga pagkakasala na may kaugna"&amp;"yan sa subbersyon at dapat nilayon na hadlangan ang kanilang paghuli. Walang pananagutan ang isang taong hindi sinasadyang nag-aalok ng tirahan.
**Sa pangkalahatan, bagama't walang iisang batas para sa pag-iingat sa mga nagkasala ng subbersyon, ang Pilipi"&amp;"nas ay may mga legal na tool para matugunan ang mga ganitong sitwasyon sa pamamagitan ng accessory liability, pag-uudyok sa digmaan, at pagharang sa mga batas ng hustisya.** Narito ang ilang mapagkukunan para sa karagdagang impormasyon:
* Binagong Kodigo "&amp;"Penal ng Pilipinas: [invalid URL article 18 of the revised penal code ON The Lawphil Project lawphil.net]
* Presidential Decree No. 1829: [https://lawphil.net/statutes/presdecs/pd1981/pd_1829_1981.html](https://lawphil.net/statutes/presdecs/pd1981/pd_1829"&amp;"_1981.html)
* Department of Justice (DOJ): [https://www.doj.gov.ph/](https://www.doj.gov.ph/)")</f>
        <v>Ang Pilipinas **ay walang partikular na batas** na direktang tumutugon sa "pagkukubli o pagtatago sa mga taong nagkasala ng subversion." Gayunpaman, ang mga umiiral na batas ay maaaring ilapat upang usigin ang mga naturang aksyon depende sa partikular na mga pangyayari ng "subersibong aksyon" at ang layunin sa likod ng pagkukubli sa tao.
Narito ang isang breakdown ng nauugnay na legal na framework:
**Revised Penal Code (RPC) Provisions:**
* **Artikulo 146-148 (Rebelyon):** Nakatuon ang mga artikulong ito sa paghihimagsik laban sa awtoridad ng pamahalaan. Kung ang taong kinukulong ay isang taong nakagawa ng mga kilos na tinukoy bilang paghihimagsik (hal., pag-aangkin ng armas laban sa gobyerno), kung gayon ang pagkukunwari sa kanila ay maaaring ituring na **kaugnay na pananagutan** sa ilalim ng:
* **Artikulo 18:** Nalalapat ang artikulong ito sa mga tumulong sa mga kriminal pagkatapos magawa ang krimen. Ang parusa ay depende sa kalubhaan ng paghihimagsik (pangunahing pagkakasala).
* **Artikulo 118 (Pag-uudyok sa Digmaan o Pagbibigay ng mga Motibo para sa Paghihiganti):** Kung ang taong kinikimkim ay kasangkot sa mga aksyon tulad ng pag-uudyok na ibagsak ang gobyerno (kahit na mapayapa), kung gayon ang pagkukunwari sa kanila ay maaaring ituring na tumutulong sa gawaing ito, na ay isang krimen sa ilalim ng artikulong ito.
**Dekreto ng Pangulo Blg. 1829 (PD 1829):**
* **Seksyon 3(c):** Ang seksyon na ito ay nagpaparusa sa mga gawa ng pagkukubli o pagtatago sa sinumang kilala mo o may makatwirang batayan upang maniwala na nakagawa ng anumang pagkakasala upang maiwasan ang kanilang pag-aresto, pag-uusig, at paghatol. Ito ay maaaring ilapat kung ang taong kinukulong ay hinahanap para sa mga krimeng nauugnay sa subbersyon na tinukoy sa ilalim ng ibang mga batas.
**Mga Pangunahing Pagsasaalang-alang:**
* **Katangian ng Subersibong Batas:** Ang partikular na kilos na itinuturing na "subversion" ay mahalaga. Kung ito ay nagsasangkot ng marahas na rebelyon, iba't ibang batas ang nalalapat kumpara sa isang taong nagsusulong para sa mapayapang pagbabago sa pulitika na maaaring ituring ng pamahalaan na subersibo. * **Kaalaman at Layunin:** Ang taong kumukupkop sa takas ay dapat magkaroon ng kamalayan na ang tao ay pinaghahanap para sa mga pagkakasala na may kaugnayan sa subbersyon at dapat nilayon na hadlangan ang kanilang paghuli. Walang pananagutan ang isang taong hindi sinasadyang nag-aalok ng tirahan.
**Sa pangkalahatan, bagama't walang iisang batas para sa pag-iingat sa mga nagkasala ng subbersyon, ang Pilipinas ay may mga legal na tool para matugunan ang mga ganitong sitwasyon sa pamamagitan ng accessory liability, pag-uudyok sa digmaan, at pagharang sa mga batas ng hustisya.** Narito ang ilang mapagkukunan para sa karagdagang impormasyon:
* Binagong Kodigo Penal ng Pilipinas: [invalid URL article 18 of the revised penal code ON The Lawphil Project lawphil.net]
* Presidential Decree No. 1829: [https://lawphil.net/statutes/presdecs/pd1981/pd_1829_1981.html](https://lawphil.net/statutes/presdecs/pd1981/pd_1829_1981.html)
* Department of Justice (DOJ): [https://www.doj.gov.ph/](https://www.doj.gov.ph/)</v>
      </c>
      <c r="F2107" s="2">
        <f t="shared" si="1"/>
        <v>0</v>
      </c>
      <c r="G2107" s="2"/>
      <c r="H2107" s="2"/>
      <c r="I2107" s="2"/>
      <c r="J2107" s="2"/>
      <c r="K2107" s="2"/>
      <c r="L2107" s="2"/>
      <c r="M2107" s="2"/>
      <c r="N2107" s="2"/>
      <c r="O2107" s="2"/>
      <c r="P2107" s="2"/>
      <c r="Q2107" s="2"/>
      <c r="R2107" s="2"/>
      <c r="S2107" s="2"/>
      <c r="T2107" s="2"/>
      <c r="U2107" s="2"/>
      <c r="V2107" s="2"/>
      <c r="W2107" s="2"/>
      <c r="X2107" s="2"/>
      <c r="Y2107" s="2"/>
      <c r="Z2107" s="2"/>
      <c r="AA2107" s="2"/>
    </row>
    <row r="2108">
      <c r="A2108" s="1" t="s">
        <v>5061</v>
      </c>
      <c r="B2108" s="1" t="s">
        <v>5196</v>
      </c>
      <c r="C2108" s="1" t="s">
        <v>5197</v>
      </c>
      <c r="D2108" s="2" t="str">
        <f>IFERROR(__xludf.DUMMYFUNCTION("GOOGLETRANSLATE(B2108, ""en"", ""TL"")"),"Anong mga legal na hakbang ang umiiral upang labanan ang krimen ng destabilisasyon o pag-uudyok sa sedisyon?")</f>
        <v>Anong mga legal na hakbang ang umiiral upang labanan ang krimen ng destabilisasyon o pag-uudyok sa sedisyon?</v>
      </c>
      <c r="E2108" s="2" t="str">
        <f>IFERROR(__xludf.DUMMYFUNCTION("GOOGLETRANSLATE(C2108, ""en"", ""TL"")"),"Ang Pilipinas ay may iba't ibang mga legal na hakbang upang matugunan ang destabilisasyon at pag-uudyok sa sedisyon, na naglalayong mapanatili ang pambansang seguridad at kaayusan ng publiko. Narito ang isang breakdown ng mga nauugnay na batas at mga pote"&amp;"nsyal na kahihinatnan:
Pangunahing Batas:
Binagong Kodigo Penal (RPC):
Artikulo 142: Nakatuon sa ""Pag-uudyok sa Sedisyon"":
Pinaparusahan ang mga indibidwal na, nang hindi direktang nakikilahok, ay nag-uudyok sa iba na:
Galit sa gobyerno o ibagsak ang mg"&amp;"a institusyon nito.
Lumikha ng malubhang kaguluhan o pampublikong kaguluhan.
Atake sa pwersa ng gobyerno.
Artikulo 146: Tinutugunan ang krimen ng ""Rebelyon"":
Pinaparusahan ang mga tumataas sa publiko at humawak ng armas laban sa gobyerno.
Presidential D"&amp;"ecree No. 1834 (Susog sa Artikulo 142):
Pinalalakas ang mga probisyon na may kaugnayan sa pag-uudyok sa sedisyon sa pamamagitan ng pagsasama ng:
Mga parusa para sa paggamit ng mga talumpati, proklamasyon, sulat, o iba pang paraan ng komunikasyon upang mag"&amp;"-udyok ng paghihimagsik o sedisyon.
Pagpaparusa sa pagtatago ng mga naturang aktibidad.
Mga Legal na Panukala:
Mga ahensyang nagpapatupad ng batas: Ang Philippine National Police (PNP) at National Bureau of Investigation (NBI) ay inatasang mag-imbestiga a"&amp;"t hulihin ang mga indibidwal na pinaghihinalaang nag-uudyok ng sedisyon o nakikibahagi sa mga aktibidad na naglalayong i-destabilize ang gobyerno.
Pagtitipon ng ebidensya: Maaaring gumamit ang mga awtoridad ng iba't ibang paraan upang mangalap ng ebidensy"&amp;"a, kabilang ang pagsubaybay sa mga aktibidad sa social media, pangangalap ng mga testimonya ng saksi, at pagsusuri ng mga channel ng komunikasyon.
Pag-uusig: Kung mayroong sapat na ebidensya, ang kaso ay ihaharap sa korte.
Mga parusa:
Pag-uudyok sa Sedisy"&amp;"on (Artikulo 142): Pagkakulong mula sa reclusion perpetua hanggang kamatayan.
Rebelyon (Artikulo 146): Katulad na saklaw ng parusa bilang pag-uudyok sa sedisyon.")</f>
        <v>Ang Pilipinas ay may iba't ibang mga legal na hakbang upang matugunan ang destabilisasyon at pag-uudyok sa sedisyon, na naglalayong mapanatili ang pambansang seguridad at kaayusan ng publiko. Narito ang isang breakdown ng mga nauugnay na batas at mga potensyal na kahihinatnan:
Pangunahing Batas:
Binagong Kodigo Penal (RPC):
Artikulo 142: Nakatuon sa "Pag-uudyok sa Sedisyon":
Pinaparusahan ang mga indibidwal na, nang hindi direktang nakikilahok, ay nag-uudyok sa iba na:
Galit sa gobyerno o ibagsak ang mga institusyon nito.
Lumikha ng malubhang kaguluhan o pampublikong kaguluhan.
Atake sa pwersa ng gobyerno.
Artikulo 146: Tinutugunan ang krimen ng "Rebelyon":
Pinaparusahan ang mga tumataas sa publiko at humawak ng armas laban sa gobyerno.
Presidential Decree No. 1834 (Susog sa Artikulo 142):
Pinalalakas ang mga probisyon na may kaugnayan sa pag-uudyok sa sedisyon sa pamamagitan ng pagsasama ng:
Mga parusa para sa paggamit ng mga talumpati, proklamasyon, sulat, o iba pang paraan ng komunikasyon upang mag-udyok ng paghihimagsik o sedisyon.
Pagpaparusa sa pagtatago ng mga naturang aktibidad.
Mga Legal na Panukala:
Mga ahensyang nagpapatupad ng batas: Ang Philippine National Police (PNP) at National Bureau of Investigation (NBI) ay inatasang mag-imbestiga at hulihin ang mga indibidwal na pinaghihinalaang nag-uudyok ng sedisyon o nakikibahagi sa mga aktibidad na naglalayong i-destabilize ang gobyerno.
Pagtitipon ng ebidensya: Maaaring gumamit ang mga awtoridad ng iba't ibang paraan upang mangalap ng ebidensya, kabilang ang pagsubaybay sa mga aktibidad sa social media, pangangalap ng mga testimonya ng saksi, at pagsusuri ng mga channel ng komunikasyon.
Pag-uusig: Kung mayroong sapat na ebidensya, ang kaso ay ihaharap sa korte.
Mga parusa:
Pag-uudyok sa Sedisyon (Artikulo 142): Pagkakulong mula sa reclusion perpetua hanggang kamatayan.
Rebelyon (Artikulo 146): Katulad na saklaw ng parusa bilang pag-uudyok sa sedisyon.</v>
      </c>
      <c r="F2108" s="2">
        <f t="shared" si="1"/>
        <v>0</v>
      </c>
      <c r="G2108" s="2"/>
      <c r="H2108" s="2"/>
      <c r="I2108" s="2"/>
      <c r="J2108" s="2"/>
      <c r="K2108" s="2"/>
      <c r="L2108" s="2"/>
      <c r="M2108" s="2"/>
      <c r="N2108" s="2"/>
      <c r="O2108" s="2"/>
      <c r="P2108" s="2"/>
      <c r="Q2108" s="2"/>
      <c r="R2108" s="2"/>
      <c r="S2108" s="2"/>
      <c r="T2108" s="2"/>
      <c r="U2108" s="2"/>
      <c r="V2108" s="2"/>
      <c r="W2108" s="2"/>
      <c r="X2108" s="2"/>
      <c r="Y2108" s="2"/>
      <c r="Z2108" s="2"/>
      <c r="AA2108" s="2"/>
    </row>
    <row r="2109">
      <c r="A2109" s="1" t="s">
        <v>5061</v>
      </c>
      <c r="B2109" s="1" t="s">
        <v>5198</v>
      </c>
      <c r="C2109" s="1" t="s">
        <v>5199</v>
      </c>
      <c r="D2109" s="2" t="str">
        <f>IFERROR(__xludf.DUMMYFUNCTION("GOOGLETRANSLATE(B2109, ""en"", ""TL"")"),"Sa ilalim ng anong mga pangyayari maaaring kasuhan ang isang tao ng krimen ng rebelyon o insureksyon laban sa gobyerno?")</f>
        <v>Sa ilalim ng anong mga pangyayari maaaring kasuhan ang isang tao ng krimen ng rebelyon o insureksyon laban sa gobyerno?</v>
      </c>
      <c r="E2109" s="2" t="str">
        <f>IFERROR(__xludf.DUMMYFUNCTION("GOOGLETRANSLATE(C2109, ""en"", ""TL"")"),"Sa Pilipinas, ang krimen ng rebelyon o pag-aalsa laban sa gobyerno ay tinukoy sa Revised Penal Code (RPC) Articles 146 to 148. Narito ang isang breakdown ng mga pangunahing punto:
**Mga Elemento ng Krimen:**
* **Bukas at Armadong Pag-aalsa:** Ang aksyon a"&amp;"y dapat na may kasamang **bukas at armadong pag-aalsa** laban sa awtoridad ng pamahalaan. Ang mapayapang protesta o pagpapahayag ng hindi pagsang-ayon ay hindi mapapailalim sa kategoryang ito.
* **Paggamit ng Puwersa o Karahasan:** Ang aksyon ay dapat na "&amp;"may kasamang paggamit ng **puwersa o karahasan** upang ibagsak ang pamahalaan o upang labanan ang pagpapatupad nito ng mga batas.
* **Layunin ng Pag-aalsa:** Ang pag-aalsa ay dapat na naglalayong alisin ang kontrol mula sa pamahalaan o isang bahagi nito, "&amp;"humiwalay sa bansa, o alisin sa pamahalaan ang mga lehitimong kapangyarihan nito.
**Mga Degree ng Rebelyon:**
Ang RPC ay nakikilala sa pagitan ng dalawang antas ng paghihimagsik:
* **Simple Rebellion (Artikulo 146):** Ito ang mas mababang pagkakasala at n"&amp;"aaangkop sa mga direktang lumahok sa armadong pag-aalsa. Kasama sa parusa ang pagkakulong mula sa **reclusion temporal medium** (12 taon at 1 araw hanggang 14 na taon at 8 buwan) hanggang **reclusion temporal maximum** (14 na taon at 8 buwan hanggang 17 t"&amp;"aon at 4 na buwan).
* **Complex Rebellion (Artikulo 148):** Ito ang mas malubhang pagkakasala at nalalapat sa mga pinuno, pasimuno, o yaong nag-uudyok sa iba na sumali sa paghihimagsik. Ang parusa ay maaaring kasing harsh ng **reclusion perpetua** (habang"&amp;" buhay na pagkakakulong).
**Mahahalagang Pagsasaalang-alang:**
* **Motibo at Layunin:** Habang ang rebelyon ay nagsasangkot ng puwersahang pagkilos, ang **motibo at layunin** sa likod ng pag-aalsa ay isinasaalang-alang din. Ang pakikipaglaban para sa tuna"&amp;"y na mga hinaing o pagbabago sa lipunan ay maaaring iba ang pagtingin sa isang marahas na pagtatangka na agawin ang kapangyarihan para sa personal na pakinabang.
* **Scale of Uprising:** Ang **scale** ng rebelyon ay mahalaga din. Ang isang maliit, naka-lo"&amp;"calize na pag-aalsa na may kaunting epekto ay maaaring tratuhin nang iba kaysa sa isang malawakan at mahusay na coordinated na pagtatangka upang ibagsak ang gobyerno.
**Sa pangkalahatan, sineseryoso ng Pilipinas ang rebelyon at insureksyon. Ang mga ito ay"&amp;" itinuturing na malalaking pagkakasala na may malalaking parusa upang pigilan ang mga indibidwal na gumamit ng karahasan para ibagsak ang gobyerno.**
Narito ang ilang mapagkukunan para sa karagdagang impormasyon:
* Binagong Kodigo Penal ng Pilipinas - Mga"&amp;" Artikulo 146-148: [invalid URL article 18 of the revised penal code ON The Lawphil Project lawphil.net]
* Korte Suprema ng Pilipinas: [https://sc.judiciary.gov.ph/](https://sc.judiciary.gov.ph/)")</f>
        <v>Sa Pilipinas, ang krimen ng rebelyon o pag-aalsa laban sa gobyerno ay tinukoy sa Revised Penal Code (RPC) Articles 146 to 148. Narito ang isang breakdown ng mga pangunahing punto:
**Mga Elemento ng Krimen:**
* **Bukas at Armadong Pag-aalsa:** Ang aksyon ay dapat na may kasamang **bukas at armadong pag-aalsa** laban sa awtoridad ng pamahalaan. Ang mapayapang protesta o pagpapahayag ng hindi pagsang-ayon ay hindi mapapailalim sa kategoryang ito.
* **Paggamit ng Puwersa o Karahasan:** Ang aksyon ay dapat na may kasamang paggamit ng **puwersa o karahasan** upang ibagsak ang pamahalaan o upang labanan ang pagpapatupad nito ng mga batas.
* **Layunin ng Pag-aalsa:** Ang pag-aalsa ay dapat na naglalayong alisin ang kontrol mula sa pamahalaan o isang bahagi nito, humiwalay sa bansa, o alisin sa pamahalaan ang mga lehitimong kapangyarihan nito.
**Mga Degree ng Rebelyon:**
Ang RPC ay nakikilala sa pagitan ng dalawang antas ng paghihimagsik:
* **Simple Rebellion (Artikulo 146):** Ito ang mas mababang pagkakasala at naaangkop sa mga direktang lumahok sa armadong pag-aalsa. Kasama sa parusa ang pagkakulong mula sa **reclusion temporal medium** (12 taon at 1 araw hanggang 14 na taon at 8 buwan) hanggang **reclusion temporal maximum** (14 na taon at 8 buwan hanggang 17 taon at 4 na buwan).
* **Complex Rebellion (Artikulo 148):** Ito ang mas malubhang pagkakasala at nalalapat sa mga pinuno, pasimuno, o yaong nag-uudyok sa iba na sumali sa paghihimagsik. Ang parusa ay maaaring kasing harsh ng **reclusion perpetua** (habang buhay na pagkakakulong).
**Mahahalagang Pagsasaalang-alang:**
* **Motibo at Layunin:** Habang ang rebelyon ay nagsasangkot ng puwersahang pagkilos, ang **motibo at layunin** sa likod ng pag-aalsa ay isinasaalang-alang din. Ang pakikipaglaban para sa tunay na mga hinaing o pagbabago sa lipunan ay maaaring iba ang pagtingin sa isang marahas na pagtatangka na agawin ang kapangyarihan para sa personal na pakinabang.
* **Scale of Uprising:** Ang **scale** ng rebelyon ay mahalaga din. Ang isang maliit, naka-localize na pag-aalsa na may kaunting epekto ay maaaring tratuhin nang iba kaysa sa isang malawakan at mahusay na coordinated na pagtatangka upang ibagsak ang gobyerno.
**Sa pangkalahatan, sineseryoso ng Pilipinas ang rebelyon at insureksyon. Ang mga ito ay itinuturing na malalaking pagkakasala na may malalaking parusa upang pigilan ang mga indibidwal na gumamit ng karahasan para ibagsak ang gobyerno.**
Narito ang ilang mapagkukunan para sa karagdagang impormasyon:
* Binagong Kodigo Penal ng Pilipinas - Mga Artikulo 146-148: [invalid URL article 18 of the revised penal code ON The Lawphil Project lawphil.net]
* Korte Suprema ng Pilipinas: [https://sc.judiciary.gov.ph/](https://sc.judiciary.gov.ph/)</v>
      </c>
      <c r="F2109" s="2">
        <f t="shared" si="1"/>
        <v>0</v>
      </c>
      <c r="G2109" s="2"/>
      <c r="H2109" s="2"/>
      <c r="I2109" s="2"/>
      <c r="J2109" s="2"/>
      <c r="K2109" s="2"/>
      <c r="L2109" s="2"/>
      <c r="M2109" s="2"/>
      <c r="N2109" s="2"/>
      <c r="O2109" s="2"/>
      <c r="P2109" s="2"/>
      <c r="Q2109" s="2"/>
      <c r="R2109" s="2"/>
      <c r="S2109" s="2"/>
      <c r="T2109" s="2"/>
      <c r="U2109" s="2"/>
      <c r="V2109" s="2"/>
      <c r="W2109" s="2"/>
      <c r="X2109" s="2"/>
      <c r="Y2109" s="2"/>
      <c r="Z2109" s="2"/>
      <c r="AA2109" s="2"/>
    </row>
    <row r="2110">
      <c r="A2110" s="1" t="s">
        <v>5061</v>
      </c>
      <c r="B2110" s="1" t="s">
        <v>5200</v>
      </c>
      <c r="C2110" s="1" t="s">
        <v>5201</v>
      </c>
      <c r="D2110" s="2" t="str">
        <f>IFERROR(__xludf.DUMMYFUNCTION("GOOGLETRANSLATE(B2110, ""en"", ""TL"")"),"Paano tinutugunan ng batas ang mga insidente ng hindi awtorisadong pagsisiwalat ng kumpidensyal na impormasyon at ang mga legal na kahihinatnan nito?")</f>
        <v>Paano tinutugunan ng batas ang mga insidente ng hindi awtorisadong pagsisiwalat ng kumpidensyal na impormasyon at ang mga legal na kahihinatnan nito?</v>
      </c>
      <c r="E2110" s="2" t="str">
        <f>IFERROR(__xludf.DUMMYFUNCTION("GOOGLETRANSLATE(C2110, ""en"", ""TL"")"),"Ang Pilipinas ay may ilang mga batas na tumutugon sa hindi awtorisadong pagbubunyag ng kumpidensyal na impormasyon, na nagbibigay-diin sa kahalagahan ng pagkapribado ng data at seguridad ng impormasyon. Narito ang isang breakdown ng nauugnay na legal na b"&amp;"alangkas at mga potensyal na kahihinatnan:
Pangunahing Batas:
Republic Act No. 10173 (Data Privacy Act of 2012):
Pinoprotektahan ng komprehensibong batas na ito ang pagproseso ng personal na impormasyon.
Binabalangkas nito ang iba't ibang mga probisyon tu"&amp;"ngkol sa:
Pahintulot: Dapat iproseso ang personal na impormasyon nang may kaalamang pahintulot ng indibidwal.
Mga pananggalang sa seguridad: Dapat magpatupad ang mga organisasyon ng mga naaangkop na hakbang sa seguridad upang maprotektahan ang personal na"&amp;" impormasyon mula sa hindi awtorisadong pag-access, paggamit, o pagsisiwalat.
Mga paglabag sa data: Dapat ipaalam ng mga entity ang mga apektadong indibidwal at ang National Privacy Commission (NPC) kung sakaling magkaroon ng anumang mga paglabag sa data."&amp;"
Binagong Kodigo Penal (RPC):
Artikulo 265: Tinutugunan ang krimen ng ""Espionage"":
Pinarurusahan ang labag sa batas na pangangalap, pagmamay-ari, o pagsisiwalat ng classified na impormasyon.
Artikulo 318: Nakatuon sa krimen ng ""Kalokohan"":
Naaangkop s"&amp;"a mga sitwasyon kung saan ang pagbubunyag ng kumpidensyal na impormasyon, bagama't hindi inuri, ay nagdudulot ng pinsala o pagkiling.
Iba pang Mga Kaugnay na Batas:
Maaaring ilapat ang mga espesyal na batas depende sa uri ng impormasyong ibinunyag.
Halimb"&amp;"awa, ang hindi awtorisadong pagsisiwalat ng mga medikal na rekord ay maaaring nasa ilalim ng mga partikular na regulasyon na nauugnay sa privacy ng pasyente.
Mga Legal na Bunga:
Batas sa Privacy ng Data (RA 10173):
Ang National Privacy Commission (NPC) ay"&amp;" may awtoridad na magpataw ng mga administratibong parusa, kabilang ang:
Itigil at itigil ang mga utos: Pagbabawal sa karagdagang pagproseso ng personal na impormasyon.
Mga multa: Mula P500,000 hanggang P5,000,000 depende sa uri ng paglabag.
Binagong Kodi"&amp;"go Penal (RPC):
Espionage (Artikulo 265): May parusang reclusion temporal maximum hanggang reclusion perpetua.
Mischief (Artikulo 318): Nag-iiba ang parusa batay sa lawak ng pinsalang naidulot (sumangguni sa nakaraang paliwanag).")</f>
        <v>Ang Pilipinas ay may ilang mga batas na tumutugon sa hindi awtorisadong pagbubunyag ng kumpidensyal na impormasyon, na nagbibigay-diin sa kahalagahan ng pagkapribado ng data at seguridad ng impormasyon. Narito ang isang breakdown ng nauugnay na legal na balangkas at mga potensyal na kahihinatnan:
Pangunahing Batas:
Republic Act No. 10173 (Data Privacy Act of 2012):
Pinoprotektahan ng komprehensibong batas na ito ang pagproseso ng personal na impormasyon.
Binabalangkas nito ang iba't ibang mga probisyon tungkol sa:
Pahintulot: Dapat iproseso ang personal na impormasyon nang may kaalamang pahintulot ng indibidwal.
Mga pananggalang sa seguridad: Dapat magpatupad ang mga organisasyon ng mga naaangkop na hakbang sa seguridad upang maprotektahan ang personal na impormasyon mula sa hindi awtorisadong pag-access, paggamit, o pagsisiwalat.
Mga paglabag sa data: Dapat ipaalam ng mga entity ang mga apektadong indibidwal at ang National Privacy Commission (NPC) kung sakaling magkaroon ng anumang mga paglabag sa data.
Binagong Kodigo Penal (RPC):
Artikulo 265: Tinutugunan ang krimen ng "Espionage":
Pinarurusahan ang labag sa batas na pangangalap, pagmamay-ari, o pagsisiwalat ng classified na impormasyon.
Artikulo 318: Nakatuon sa krimen ng "Kalokohan":
Naaangkop sa mga sitwasyon kung saan ang pagbubunyag ng kumpidensyal na impormasyon, bagama't hindi inuri, ay nagdudulot ng pinsala o pagkiling.
Iba pang Mga Kaugnay na Batas:
Maaaring ilapat ang mga espesyal na batas depende sa uri ng impormasyong ibinunyag.
Halimbawa, ang hindi awtorisadong pagsisiwalat ng mga medikal na rekord ay maaaring nasa ilalim ng mga partikular na regulasyon na nauugnay sa privacy ng pasyente.
Mga Legal na Bunga:
Batas sa Privacy ng Data (RA 10173):
Ang National Privacy Commission (NPC) ay may awtoridad na magpataw ng mga administratibong parusa, kabilang ang:
Itigil at itigil ang mga utos: Pagbabawal sa karagdagang pagproseso ng personal na impormasyon.
Mga multa: Mula P500,000 hanggang P5,000,000 depende sa uri ng paglabag.
Binagong Kodigo Penal (RPC):
Espionage (Artikulo 265): May parusang reclusion temporal maximum hanggang reclusion perpetua.
Mischief (Artikulo 318): Nag-iiba ang parusa batay sa lawak ng pinsalang naidulot (sumangguni sa nakaraang paliwanag).</v>
      </c>
      <c r="F2110" s="2">
        <f t="shared" si="1"/>
        <v>0</v>
      </c>
      <c r="G2110" s="2"/>
      <c r="H2110" s="2"/>
      <c r="I2110" s="2"/>
      <c r="J2110" s="2"/>
      <c r="K2110" s="2"/>
      <c r="L2110" s="2"/>
      <c r="M2110" s="2"/>
      <c r="N2110" s="2"/>
      <c r="O2110" s="2"/>
      <c r="P2110" s="2"/>
      <c r="Q2110" s="2"/>
      <c r="R2110" s="2"/>
      <c r="S2110" s="2"/>
      <c r="T2110" s="2"/>
      <c r="U2110" s="2"/>
      <c r="V2110" s="2"/>
      <c r="W2110" s="2"/>
      <c r="X2110" s="2"/>
      <c r="Y2110" s="2"/>
      <c r="Z2110" s="2"/>
      <c r="AA2110" s="2"/>
    </row>
    <row r="2111">
      <c r="A2111" s="1" t="s">
        <v>5061</v>
      </c>
      <c r="B2111" s="1" t="s">
        <v>5202</v>
      </c>
      <c r="C2111" s="1" t="s">
        <v>5203</v>
      </c>
      <c r="D2111" s="2" t="str">
        <f>IFERROR(__xludf.DUMMYFUNCTION("GOOGLETRANSLATE(B2111, ""en"", ""TL"")"),"Anong mga parusa ang ipinapataw para sa paggawa ng krimen ng espiya na kinasasangkutan ng paghahatid ng sensitibong impormasyon sa mga dayuhang pamahalaan?")</f>
        <v>Anong mga parusa ang ipinapataw para sa paggawa ng krimen ng espiya na kinasasangkutan ng paghahatid ng sensitibong impormasyon sa mga dayuhang pamahalaan?</v>
      </c>
      <c r="E2111" s="2" t="str">
        <f>IFERROR(__xludf.DUMMYFUNCTION("GOOGLETRANSLATE(C2111, ""en"", ""TL"")"),"Pinarurusahan ng batas ng Pilipinas ang paniniktik na kinasasangkutan ng paghahatid ng sensitibong impormasyon sa mga dayuhang pamahalaan sa ilalim ng sumusunod na pangunahing batas:
* **Binago ang Kodigo Penal (RPC):**
* **Artikulo 82:** Espionage - Ang "&amp;"artikulong ito ay nagpaparusa sa akto ng pag-espiya para sa isang dayuhang kapangyarihan at pagpapadala ng impormasyon na maaaring makapinsala sa pambansang seguridad ng Pilipinas. Ang parusa ay maaaring **reclusion perpetua (life imprisonment)** hanggang"&amp;" kamatayan.
**Dagdag pa rito, maaaring naaangkop ang ibang mga batas depende sa partikular na katangian ng impormasyong ipinadala:**
* **Republic Act No. 6235 o ang Anti-Wiretapping Act:** Ang batas na ito ay nagpaparusa sa hindi awtorisadong pagharang at"&amp;" pagsisiwalat ng mga signal ng komunikasyon. Kung ang na-intercept na impormasyon ay ipinadala sa isang dayuhang pamahalaan, maaari itong magamit upang palakasin ang kaso ng espiya sa ilalim ng RPC.
* **Republic Act No. 10175 o ang Cybercrime Prevention A"&amp;"ct of 2012 (CPA):** Ang batas na ito ay nagpaparusa sa ilang mga cybercrime, kabilang ang:
* **Seksyon 12:** Ilegal na Pag-access - Nalalapat ito kung ang espionage ay kasangkot sa pagkakaroon ng hindi awtorisadong pag-access sa isang computer system upan"&amp;"g magnakaw ng sensitibong impormasyon.
* **Seksyon 14:** Panghihimasok sa Data - Nalalapat ito kung ang espionage ay nagsasangkot ng pagbabago o pagsira ng sensitibong data.
**Ang mga parusa sa ilalim ng mga batas na ito ay maaaring mula sa pagkakakulong "&amp;"ng ilang buwan hanggang ilang taon, depende sa partikular na paglabag.**
**Mahalagang Tandaan:**
* Ang paniniktik ay isang seryosong krimen na maaaring magbanta sa pambansang seguridad. Ang mga partikular na parusa ay depende sa kalubhaan ng pagkakasala, "&amp;"ang uri ng impormasyong ipinadala, at ang potensyal na pinsalang idulot.
* Kinikilala din ng batas ng Pilipinas ang konsepto ng ""classified information."" Ang hindi awtorisadong pagsisiwalat ng classified na impormasyon ay maaaring magresulta sa karagdag"&amp;"ang mga parusa sa ilalim ng mga partikular na batas o executive issuance.
**Rekomendasyon:**
Para sa isang mas komprehensibong pag-unawa sa mga potensyal na parusa at naaangkop na mga batas sa isang partikular na kaso ng espiya, inirerekomenda ang pagkons"&amp;"ulta sa isang abogado na dalubhasa sa pambansang seguridad o cybercrime.")</f>
        <v>Pinarurusahan ng batas ng Pilipinas ang paniniktik na kinasasangkutan ng paghahatid ng sensitibong impormasyon sa mga dayuhang pamahalaan sa ilalim ng sumusunod na pangunahing batas:
* **Binago ang Kodigo Penal (RPC):**
* **Artikulo 82:** Espionage - Ang artikulong ito ay nagpaparusa sa akto ng pag-espiya para sa isang dayuhang kapangyarihan at pagpapadala ng impormasyon na maaaring makapinsala sa pambansang seguridad ng Pilipinas. Ang parusa ay maaaring **reclusion perpetua (life imprisonment)** hanggang kamatayan.
**Dagdag pa rito, maaaring naaangkop ang ibang mga batas depende sa partikular na katangian ng impormasyong ipinadala:**
* **Republic Act No. 6235 o ang Anti-Wiretapping Act:** Ang batas na ito ay nagpaparusa sa hindi awtorisadong pagharang at pagsisiwalat ng mga signal ng komunikasyon. Kung ang na-intercept na impormasyon ay ipinadala sa isang dayuhang pamahalaan, maaari itong magamit upang palakasin ang kaso ng espiya sa ilalim ng RPC.
* **Republic Act No. 10175 o ang Cybercrime Prevention Act of 2012 (CPA):** Ang batas na ito ay nagpaparusa sa ilang mga cybercrime, kabilang ang:
* **Seksyon 12:** Ilegal na Pag-access - Nalalapat ito kung ang espionage ay kasangkot sa pagkakaroon ng hindi awtorisadong pag-access sa isang computer system upang magnakaw ng sensitibong impormasyon.
* **Seksyon 14:** Panghihimasok sa Data - Nalalapat ito kung ang espionage ay nagsasangkot ng pagbabago o pagsira ng sensitibong data.
**Ang mga parusa sa ilalim ng mga batas na ito ay maaaring mula sa pagkakakulong ng ilang buwan hanggang ilang taon, depende sa partikular na paglabag.**
**Mahalagang Tandaan:**
* Ang paniniktik ay isang seryosong krimen na maaaring magbanta sa pambansang seguridad. Ang mga partikular na parusa ay depende sa kalubhaan ng pagkakasala, ang uri ng impormasyong ipinadala, at ang potensyal na pinsalang idulot.
* Kinikilala din ng batas ng Pilipinas ang konsepto ng "classified information." Ang hindi awtorisadong pagsisiwalat ng classified na impormasyon ay maaaring magresulta sa karagdagang mga parusa sa ilalim ng mga partikular na batas o executive issuance.
**Rekomendasyon:**
Para sa isang mas komprehensibong pag-unawa sa mga potensyal na parusa at naaangkop na mga batas sa isang partikular na kaso ng espiya, inirerekomenda ang pagkonsulta sa isang abogado na dalubhasa sa pambansang seguridad o cybercrime.</v>
      </c>
      <c r="F2111" s="2">
        <f t="shared" si="1"/>
        <v>0</v>
      </c>
      <c r="G2111" s="2"/>
      <c r="H2111" s="2"/>
      <c r="I2111" s="2"/>
      <c r="J2111" s="2"/>
      <c r="K2111" s="2"/>
      <c r="L2111" s="2"/>
      <c r="M2111" s="2"/>
      <c r="N2111" s="2"/>
      <c r="O2111" s="2"/>
      <c r="P2111" s="2"/>
      <c r="Q2111" s="2"/>
      <c r="R2111" s="2"/>
      <c r="S2111" s="2"/>
      <c r="T2111" s="2"/>
      <c r="U2111" s="2"/>
      <c r="V2111" s="2"/>
      <c r="W2111" s="2"/>
      <c r="X2111" s="2"/>
      <c r="Y2111" s="2"/>
      <c r="Z2111" s="2"/>
      <c r="AA2111" s="2"/>
    </row>
    <row r="2112">
      <c r="A2112" s="1" t="s">
        <v>5061</v>
      </c>
      <c r="B2112" s="1" t="s">
        <v>5204</v>
      </c>
      <c r="C2112" s="1" t="s">
        <v>5205</v>
      </c>
      <c r="D2112" s="2" t="str">
        <f>IFERROR(__xludf.DUMMYFUNCTION("GOOGLETRANSLATE(B2112, ""en"", ""TL"")"),"Paano binibigyang kahulugan at pinarurusahan ang pagkakasala ng pagkukubli o pagtatago ng mga taong nagkasala ng terorismo?")</f>
        <v>Paano binibigyang kahulugan at pinarurusahan ang pagkakasala ng pagkukubli o pagtatago ng mga taong nagkasala ng terorismo?</v>
      </c>
      <c r="E2112" s="2" t="str">
        <f>IFERROR(__xludf.DUMMYFUNCTION("GOOGLETRANSLATE(C2112, ""en"", ""TL"")"),"Sa Pilipinas, ang pagkakasala ng pag-iingat o pagtatago ng mga taong nagkasala ng terorismo ay pangunahing tinutugunan sa ilalim ng Republic Act No. 11479, o ang Anti-Terrorism Act of 2020. Ang batas na ito ay nagbibigay ng mga kahulugan at mga parusa par"&amp;"a sa iba't ibang gawain na may kaugnayan sa terorismo, kabilang ang pagkukubli o pagtatago terorista o mga taong sangkot sa mga aktibidad ng terorista.
1. **Kahulugan ng Pagkakasala:**
Ang pagkukubli o pagtatago ng mga taong nagkasala ng terorismo ay tumu"&amp;"tukoy sa pagkilos ng sadyang pagbibigay ng kanlungan, tirahan, o tulong sa mga indibidwal na sangkot sa mga aktibidad ng terorista. Ang pagkakasalang ito ay sumasaklaw sa pagtulong o pag-abay sa mga terorista sa pamamagitan ng pagbibigay sa kanila ng mga "&amp;"ligtas na kanlungan, suporta sa logistik, o iba pang paraan ng tulong upang maiwasan ang paghuli o pag-uusig.
2. **Mga Parusa:**
Sa ilalim ng Anti-Terrorism Act of 2020, ang mga parusa para sa pagkubli o pagtatago ng mga taong nagkasala sa terorismo ay ma"&amp;"lubha. Ang sinumang mapatunayang nagkasala sa paglabag na ito ay maaaring maharap sa pagkakulong mula labindalawang taon hanggang dalawampung taon nang walang benepisyo ng parol.
3. **Nagpapalubha ng mga pangyayari:**
Ang batas ay nagbibigay din ng mga pi"&amp;"nahusay na parusa kung may mga nagpapalubha na pangyayari. Halimbawa, kung ang pagkakasala ay ginawa ng mga pampublikong opisyal o tauhan ng pagpapatupad ng batas, o kung ito ay nagsasangkot ng paggamit ng mga pampublikong mapagkukunan o pasilidad, ang mg"&amp;"a parusa ay maaaring tumaas.
4. **Pagkumpiska ng mga Asset:**
Bilang karagdagan sa pagkakulong, pinapayagan ng batas ang pagkumpiska ng mga ari-arian at ari-arian na ginamit sa paggawa ng pagkakasala. Kabilang dito ang mga ari-arian o ari-arian na nakuha "&amp;"sa pamamagitan ng kinita ng pagkukubli o pagtatago ng mga terorista.
5. **Iba pang Legal na Bunga:**
Ang mga indibidwal na nahatulang nagkulong o nagtago ng mga taong nagkasala sa terorismo ay maaari ding harapin ang iba pang mga legal na kahihinatnan, ga"&amp;"ya ng pagiging mismong mga terorista o pagiging napapailalim sa pagsubaybay, pagsubaybay, o iba pang mga hakbang sa pagpapatupad ng batas.
Mahalagang tandaan na ang Anti-Terrorism Act of 2020 ay nahaharap sa pagsisiyasat at pagpuna mula sa iba't ibang sek"&amp;"tor tungkol sa mga probisyon nito sa mga karapatang pantao at kalayaang sibil. Gayunpaman, sa huling pag-update ko noong Enero 2022, nananatiling may bisa ang batas. Ang sinumang inakusahan ng pagkukubli o pagtatago ng mga taong nagkasala ng terorismo ay "&amp;"may karapatan sa angkop na proseso at legal na representasyon, at ipinapayong humingi ng tulong sa isang kwalipikadong abogado para sa legal na payo at representasyon.")</f>
        <v>Sa Pilipinas, ang pagkakasala ng pag-iingat o pagtatago ng mga taong nagkasala ng terorismo ay pangunahing tinutugunan sa ilalim ng Republic Act No. 11479, o ang Anti-Terrorism Act of 2020. Ang batas na ito ay nagbibigay ng mga kahulugan at mga parusa para sa iba't ibang gawain na may kaugnayan sa terorismo, kabilang ang pagkukubli o pagtatago terorista o mga taong sangkot sa mga aktibidad ng terorista.
1. **Kahulugan ng Pagkakasala:**
Ang pagkukubli o pagtatago ng mga taong nagkasala ng terorismo ay tumutukoy sa pagkilos ng sadyang pagbibigay ng kanlungan, tirahan, o tulong sa mga indibidwal na sangkot sa mga aktibidad ng terorista. Ang pagkakasalang ito ay sumasaklaw sa pagtulong o pag-abay sa mga terorista sa pamamagitan ng pagbibigay sa kanila ng mga ligtas na kanlungan, suporta sa logistik, o iba pang paraan ng tulong upang maiwasan ang paghuli o pag-uusig.
2. **Mga Parusa:**
Sa ilalim ng Anti-Terrorism Act of 2020, ang mga parusa para sa pagkubli o pagtatago ng mga taong nagkasala sa terorismo ay malubha. Ang sinumang mapatunayang nagkasala sa paglabag na ito ay maaaring maharap sa pagkakulong mula labindalawang taon hanggang dalawampung taon nang walang benepisyo ng parol.
3. **Nagpapalubha ng mga pangyayari:**
Ang batas ay nagbibigay din ng mga pinahusay na parusa kung may mga nagpapalubha na pangyayari. Halimbawa, kung ang pagkakasala ay ginawa ng mga pampublikong opisyal o tauhan ng pagpapatupad ng batas, o kung ito ay nagsasangkot ng paggamit ng mga pampublikong mapagkukunan o pasilidad, ang mga parusa ay maaaring tumaas.
4. **Pagkumpiska ng mga Asset:**
Bilang karagdagan sa pagkakulong, pinapayagan ng batas ang pagkumpiska ng mga ari-arian at ari-arian na ginamit sa paggawa ng pagkakasala. Kabilang dito ang mga ari-arian o ari-arian na nakuha sa pamamagitan ng kinita ng pagkukubli o pagtatago ng mga terorista.
5. **Iba pang Legal na Bunga:**
Ang mga indibidwal na nahatulang nagkulong o nagtago ng mga taong nagkasala sa terorismo ay maaari ding harapin ang iba pang mga legal na kahihinatnan, gaya ng pagiging mismong mga terorista o pagiging napapailalim sa pagsubaybay, pagsubaybay, o iba pang mga hakbang sa pagpapatupad ng batas.
Mahalagang tandaan na ang Anti-Terrorism Act of 2020 ay nahaharap sa pagsisiyasat at pagpuna mula sa iba't ibang sektor tungkol sa mga probisyon nito sa mga karapatang pantao at kalayaang sibil. Gayunpaman, sa huling pag-update ko noong Enero 2022, nananatiling may bisa ang batas. Ang sinumang inakusahan ng pagkukubli o pagtatago ng mga taong nagkasala ng terorismo ay may karapatan sa angkop na proseso at legal na representasyon, at ipinapayong humingi ng tulong sa isang kwalipikadong abogado para sa legal na payo at representasyon.</v>
      </c>
      <c r="F2112" s="2">
        <f t="shared" si="1"/>
        <v>0</v>
      </c>
      <c r="G2112" s="2"/>
      <c r="H2112" s="2"/>
      <c r="I2112" s="2"/>
      <c r="J2112" s="2"/>
      <c r="K2112" s="2"/>
      <c r="L2112" s="2"/>
      <c r="M2112" s="2"/>
      <c r="N2112" s="2"/>
      <c r="O2112" s="2"/>
      <c r="P2112" s="2"/>
      <c r="Q2112" s="2"/>
      <c r="R2112" s="2"/>
      <c r="S2112" s="2"/>
      <c r="T2112" s="2"/>
      <c r="U2112" s="2"/>
      <c r="V2112" s="2"/>
      <c r="W2112" s="2"/>
      <c r="X2112" s="2"/>
      <c r="Y2112" s="2"/>
      <c r="Z2112" s="2"/>
      <c r="AA2112" s="2"/>
    </row>
    <row r="2113">
      <c r="A2113" s="1" t="s">
        <v>5061</v>
      </c>
      <c r="B2113" s="1" t="s">
        <v>5206</v>
      </c>
      <c r="C2113" s="1" t="s">
        <v>5207</v>
      </c>
      <c r="D2113" s="2" t="str">
        <f>IFERROR(__xludf.DUMMYFUNCTION("GOOGLETRANSLATE(B2113, ""en"", ""TL"")"),"Anong mga legal na probisyon ang namamahala sa krimen ng pagharang sa mga operasyon ng pamahalaan at ang mga legal na kahihinatnan nito?")</f>
        <v>Anong mga legal na probisyon ang namamahala sa krimen ng pagharang sa mga operasyon ng pamahalaan at ang mga legal na kahihinatnan nito?</v>
      </c>
      <c r="E2113" s="2" t="str">
        <f>IFERROR(__xludf.DUMMYFUNCTION("GOOGLETRANSLATE(C2113, ""en"", ""TL"")"),"Tinutugunan ng Philippine Revised Penal Code ang pagkakasala ng obstruction of government operations. Tuklasin natin ang mga nauugnay na legal na probisyon at parusa:
**Pagharang sa Katarungan (PD 1829):**
Ang Artikulo 1429 ng Binagong Kodigo Penal ay tum"&amp;"utukoy sa pagharang sa hustisya. Nalalapat ito sa sinumang tao na sadyang o sadyang humahadlang, humahadlang, bumigo, o nagpapaantala sa pagdakip sa mga pinaghihinalaan at sa pagsisiyasat at pag-uusig ng mga kasong kriminal sa pamamagitan ng paggawa ng al"&amp;"inman sa mga sumusunod na gawain:
1. Lumalaban o seryosong sumuway sa sinumang may awtoridad o sa kanilang mga ahente.
2. Pagtanggi na maging saksi o magbigay ng ebidensya.
3. Pagpigil sa mga testigo na tumestigo.
4. Pakialam sa ebidensya.
5. Pagkukubli o"&amp;" pagtatago ng mga kriminal.
**Mga Parusa:**
Ang parusa para sa obstruction of justice ay prision correccional sa pinakamataas na panahon nito o multa mula ₱1,000 hanggang ₱6,000, o pareho, sa pagpapasya ng korte.")</f>
        <v>Tinutugunan ng Philippine Revised Penal Code ang pagkakasala ng obstruction of government operations. Tuklasin natin ang mga nauugnay na legal na probisyon at parusa:
**Pagharang sa Katarungan (PD 1829):**
Ang Artikulo 1429 ng Binagong Kodigo Penal ay tumutukoy sa pagharang sa hustisya. Nalalapat ito sa sinumang tao na sadyang o sadyang humahadlang, humahadlang, bumigo, o nagpapaantala sa pagdakip sa mga pinaghihinalaan at sa pagsisiyasat at pag-uusig ng mga kasong kriminal sa pamamagitan ng paggawa ng alinman sa mga sumusunod na gawain:
1. Lumalaban o seryosong sumuway sa sinumang may awtoridad o sa kanilang mga ahente.
2. Pagtanggi na maging saksi o magbigay ng ebidensya.
3. Pagpigil sa mga testigo na tumestigo.
4. Pakialam sa ebidensya.
5. Pagkukubli o pagtatago ng mga kriminal.
**Mga Parusa:**
Ang parusa para sa obstruction of justice ay prision correccional sa pinakamataas na panahon nito o multa mula ₱1,000 hanggang ₱6,000, o pareho, sa pagpapasya ng korte.</v>
      </c>
      <c r="F2113" s="2">
        <f t="shared" si="1"/>
        <v>0</v>
      </c>
      <c r="G2113" s="2"/>
      <c r="H2113" s="2"/>
      <c r="I2113" s="2"/>
      <c r="J2113" s="2"/>
      <c r="K2113" s="2"/>
      <c r="L2113" s="2"/>
      <c r="M2113" s="2"/>
      <c r="N2113" s="2"/>
      <c r="O2113" s="2"/>
      <c r="P2113" s="2"/>
      <c r="Q2113" s="2"/>
      <c r="R2113" s="2"/>
      <c r="S2113" s="2"/>
      <c r="T2113" s="2"/>
      <c r="U2113" s="2"/>
      <c r="V2113" s="2"/>
      <c r="W2113" s="2"/>
      <c r="X2113" s="2"/>
      <c r="Y2113" s="2"/>
      <c r="Z2113" s="2"/>
      <c r="AA2113" s="2"/>
    </row>
    <row r="2114">
      <c r="A2114" s="1" t="s">
        <v>5061</v>
      </c>
      <c r="B2114" s="1" t="s">
        <v>5208</v>
      </c>
      <c r="C2114" s="1" t="s">
        <v>5209</v>
      </c>
      <c r="D2114" s="2" t="str">
        <f>IFERROR(__xludf.DUMMYFUNCTION("GOOGLETRANSLATE(B2114, ""en"", ""TL"")"),"Sa ilalim ng anong mga pangyayari ang isang tao ay maaaring makasuhan ng krimen ng hindi awtorisadong pagsisiwalat ng mga klasipikadong dokumento sa mga hindi awtorisadong tao?")</f>
        <v>Sa ilalim ng anong mga pangyayari ang isang tao ay maaaring makasuhan ng krimen ng hindi awtorisadong pagsisiwalat ng mga klasipikadong dokumento sa mga hindi awtorisadong tao?</v>
      </c>
      <c r="E2114" s="2" t="str">
        <f>IFERROR(__xludf.DUMMYFUNCTION("GOOGLETRANSLATE(C2114, ""en"", ""TL"")"),"Sa Pilipinas, ang hindi awtorisadong pagsisiwalat ng mga klasipikadong dokumento sa mga hindi awtorisadong tao ay isang malubhang pagkakasala na pinarurusahan ng batas. Narito ang isang breakdown ng mga nauugnay na pangyayari at legal na kahihinatnan:
"&amp;"Pangunahing Batas:
Binagong Kodigo Penal (RPC):
Artikulo 265 (Espionage): Direktang tinutugunan ng pangunahing batas na ito ang hindi awtorisadong pagsisiwalat ng classified information. Pinaparusahan nito ang mga indibidwal na:
Magtipon: Kumuha ng c"&amp;"lassified na impormasyon nang walang legal na awtoridad.
Pagmamay-ari: Magkaroon ng uri ng impormasyon sa kanilang kontrol nang walang pahintulot.
Maghatid: Magpadala ng classified na impormasyon sa mga hindi awtorisadong tao.
I-publish: Gawing pampubl"&amp;"iko ang uri ng impormasyon sa anumang paraan.
Mga Elemento ng Krimen:
Para makasuhan ang isang tao sa ilalim ng Artikulo 265, dapat patunayan ng prosekusyon ang mga sumusunod na elemento:
Klasipikadong Impormasyon: Ang impormasyong ibinunyag ay dap"&amp;"at na uriin bilang kumpidensyal o pinaghihigpitan ng pamahalaan dahil sa pagiging sensitibo nito at potensyal na makapinsala sa pambansang seguridad.
Hindi awtorisadong Pagsisiwalat: Dapat na sinadya ng akusado na ihayag o ipinadala ang classified na imp"&amp;"ormasyon sa isang tao na walang legal na awtoridad na i-access ito.
Kaalaman sa Pag-uuri: Dapat ay alam ng akusado ang uri ng uri ng impormasyong kanilang isiniwalat.
Mga pangyayari na humahantong sa mga singilin:
Pagbabahagi ng mga classified na dok"&amp;"umento sa mga indibidwal na kulang sa kinakailangang security clearance.
Pag-leak ng classified na impormasyon sa media o sa pampublikong domain.
Pagbebenta o pangangalakal ng classified na impormasyon sa mga dayuhang entity o indibidwal.
Ang hindi sin"&amp;"asadyang pagsisiwalat ng inuri-uri na impormasyon dahil sa matinding kapabayaan o maling paghawak (kawalang-ingat).
Dagdag na Pagsusuri para sa mga Opisyal ng Pamahalaan:
Espionage Act (Republic Act No. 6770): Pinalalakas ng batas na ito ang mga umiir"&amp;"al na probisyon sa espionage, partikular para sa mga opisyal ng gobyerno na humahawak ng classified information.
Parusa para sa Espionage:
Reclusion temporal maximum hanggang reclusion perpetua: Ito ay isang matinding saklaw ng parusa,
kinasasangkuta"&amp;"n ng pagkakulong ng hindi bababa sa 12 taon at 1 araw hanggang sa maximum na 40 taon.")</f>
        <v>Sa Pilipinas, ang hindi awtorisadong pagsisiwalat ng mga klasipikadong dokumento sa mga hindi awtorisadong tao ay isang malubhang pagkakasala na pinarurusahan ng batas. Narito ang isang breakdown ng mga nauugnay na pangyayari at legal na kahihinatnan:
Pangunahing Batas:
Binagong Kodigo Penal (RPC):
Artikulo 265 (Espionage): Direktang tinutugunan ng pangunahing batas na ito ang hindi awtorisadong pagsisiwalat ng classified information. Pinaparusahan nito ang mga indibidwal na:
Magtipon: Kumuha ng classified na impormasyon nang walang legal na awtoridad.
Pagmamay-ari: Magkaroon ng uri ng impormasyon sa kanilang kontrol nang walang pahintulot.
Maghatid: Magpadala ng classified na impormasyon sa mga hindi awtorisadong tao.
I-publish: Gawing pampubliko ang uri ng impormasyon sa anumang paraan.
Mga Elemento ng Krimen:
Para makasuhan ang isang tao sa ilalim ng Artikulo 265, dapat patunayan ng prosekusyon ang mga sumusunod na elemento:
Klasipikadong Impormasyon: Ang impormasyong ibinunyag ay dapat na uriin bilang kumpidensyal o pinaghihigpitan ng pamahalaan dahil sa pagiging sensitibo nito at potensyal na makapinsala sa pambansang seguridad.
Hindi awtorisadong Pagsisiwalat: Dapat na sinadya ng akusado na ihayag o ipinadala ang classified na impormasyon sa isang tao na walang legal na awtoridad na i-access ito.
Kaalaman sa Pag-uuri: Dapat ay alam ng akusado ang uri ng uri ng impormasyong kanilang isiniwalat.
Mga pangyayari na humahantong sa mga singilin:
Pagbabahagi ng mga classified na dokumento sa mga indibidwal na kulang sa kinakailangang security clearance.
Pag-leak ng classified na impormasyon sa media o sa pampublikong domain.
Pagbebenta o pangangalakal ng classified na impormasyon sa mga dayuhang entity o indibidwal.
Ang hindi sinasadyang pagsisiwalat ng inuri-uri na impormasyon dahil sa matinding kapabayaan o maling paghawak (kawalang-ingat).
Dagdag na Pagsusuri para sa mga Opisyal ng Pamahalaan:
Espionage Act (Republic Act No. 6770): Pinalalakas ng batas na ito ang mga umiiral na probisyon sa espionage, partikular para sa mga opisyal ng gobyerno na humahawak ng classified information.
Parusa para sa Espionage:
Reclusion temporal maximum hanggang reclusion perpetua: Ito ay isang matinding saklaw ng parusa,
kinasasangkutan ng pagkakulong ng hindi bababa sa 12 taon at 1 araw hanggang sa maximum na 40 taon.</v>
      </c>
      <c r="F2114" s="2">
        <f t="shared" si="1"/>
        <v>0</v>
      </c>
      <c r="G2114" s="2"/>
      <c r="H2114" s="2"/>
      <c r="I2114" s="2"/>
      <c r="J2114" s="2"/>
      <c r="K2114" s="2"/>
      <c r="L2114" s="2"/>
      <c r="M2114" s="2"/>
      <c r="N2114" s="2"/>
      <c r="O2114" s="2"/>
      <c r="P2114" s="2"/>
      <c r="Q2114" s="2"/>
      <c r="R2114" s="2"/>
      <c r="S2114" s="2"/>
      <c r="T2114" s="2"/>
      <c r="U2114" s="2"/>
      <c r="V2114" s="2"/>
      <c r="W2114" s="2"/>
      <c r="X2114" s="2"/>
      <c r="Y2114" s="2"/>
      <c r="Z2114" s="2"/>
      <c r="AA2114" s="2"/>
    </row>
    <row r="2115">
      <c r="A2115" s="1" t="s">
        <v>5061</v>
      </c>
      <c r="B2115" s="1" t="s">
        <v>5210</v>
      </c>
      <c r="C2115" s="1" t="s">
        <v>5211</v>
      </c>
      <c r="D2115" s="2" t="str">
        <f>IFERROR(__xludf.DUMMYFUNCTION("GOOGLETRANSLATE(B2115, ""en"", ""TL"")"),"Anong mga parusa ang naaangkop para sa pagsali sa krimen ng pagkukubli o pagtatago ng mga indibidwal na sangkot sa espiya?")</f>
        <v>Anong mga parusa ang naaangkop para sa pagsali sa krimen ng pagkukubli o pagtatago ng mga indibidwal na sangkot sa espiya?</v>
      </c>
      <c r="E2115" s="2" t="str">
        <f>IFERROR(__xludf.DUMMYFUNCTION("GOOGLETRANSLATE(C2115, ""en"", ""TL"")"),"Oo, ang pagkikimkim o pagtatago ng mga indibidwal na sangkot sa espiya ay talagang isang malubhang pagkakasala sa Pilipinas. Gaya ng nabanggit mo, ang Article 1429 ng Revised Penal Code ay tumutugon sa obstruction of justice, na kinabibilangan ng pagkukub"&amp;"li o pagtatago ng mga kriminal. Ang paglabag na ito ay sumisira sa pambansang seguridad at ang integridad ng mga operasyon ng pamahalaan, na ginagawa itong maparusahan ng pagkakulong, gaya ng iyong sinabi. Ang pagpigil sa hindi awtorisadong pagsisiwalat n"&amp;"g sensitibong impormasyon ay mahalaga sa pangangalaga ng pambansang interes at pagpapanatili ng kaligtasan ng publiko.")</f>
        <v>Oo, ang pagkikimkim o pagtatago ng mga indibidwal na sangkot sa espiya ay talagang isang malubhang pagkakasala sa Pilipinas. Gaya ng nabanggit mo, ang Article 1429 ng Revised Penal Code ay tumutugon sa obstruction of justice, na kinabibilangan ng pagkukubli o pagtatago ng mga kriminal. Ang paglabag na ito ay sumisira sa pambansang seguridad at ang integridad ng mga operasyon ng pamahalaan, na ginagawa itong maparusahan ng pagkakulong, gaya ng iyong sinabi. Ang pagpigil sa hindi awtorisadong pagsisiwalat ng sensitibong impormasyon ay mahalaga sa pangangalaga ng pambansang interes at pagpapanatili ng kaligtasan ng publiko.</v>
      </c>
      <c r="F2115" s="2">
        <f t="shared" si="1"/>
        <v>0</v>
      </c>
      <c r="G2115" s="2"/>
      <c r="H2115" s="2"/>
      <c r="I2115" s="2"/>
      <c r="J2115" s="2"/>
      <c r="K2115" s="2"/>
      <c r="L2115" s="2"/>
      <c r="M2115" s="2"/>
      <c r="N2115" s="2"/>
      <c r="O2115" s="2"/>
      <c r="P2115" s="2"/>
      <c r="Q2115" s="2"/>
      <c r="R2115" s="2"/>
      <c r="S2115" s="2"/>
      <c r="T2115" s="2"/>
      <c r="U2115" s="2"/>
      <c r="V2115" s="2"/>
      <c r="W2115" s="2"/>
      <c r="X2115" s="2"/>
      <c r="Y2115" s="2"/>
      <c r="Z2115" s="2"/>
      <c r="AA2115" s="2"/>
    </row>
    <row r="2116">
      <c r="A2116" s="1" t="s">
        <v>5061</v>
      </c>
      <c r="B2116" s="1" t="s">
        <v>5212</v>
      </c>
      <c r="C2116" s="1" t="s">
        <v>5213</v>
      </c>
      <c r="D2116" s="2" t="str">
        <f>IFERROR(__xludf.DUMMYFUNCTION("GOOGLETRANSLATE(B2116, ""en"", ""TL"")"),"Paano tinukoy at pinaparusahan ang pagkakasala ng pagkukunwari o pagtatago sa mga indibidwal na nagkasala ng pagtataksil?")</f>
        <v>Paano tinukoy at pinaparusahan ang pagkakasala ng pagkukunwari o pagtatago sa mga indibidwal na nagkasala ng pagtataksil?</v>
      </c>
      <c r="E2116" s="2" t="str">
        <f>IFERROR(__xludf.DUMMYFUNCTION("GOOGLETRANSLATE(C2116, ""en"", ""TL"")"),"Sa Pilipinas, ang pagkakasala ng pag-iingat o pagtatago ng mga indibidwal na nagkasala ng pagtataksil ay tinutugunan sa ilalim ng Binagong Kodigo Penal (Act No. 3815), partikular sa ilalim ng Title One on Crimes Against National Security and the Law of Na"&amp;"tions.
1. **Kahulugan ng Pagkakasala:**
Ang pagkukubli o pagtatago sa mga indibidwal na nagkasala ng pagtataksil ay tumutukoy sa pagkilos na sadyang nagbibigay ng kanlungan, kanlungan, o tulong sa mga taong nakagawa ng kataksilan laban sa gobyerno ng Pili"&amp;"pinas. Ang pagtataksil ay kinapapalooban ng mga gawain tulad ng pagpapataw ng digmaan laban sa gobyerno, pagsunod sa mga kaaway ng estado, o pagbibigay ng tulong o aliw sa mga kaaway ng Pilipinas.
2. **Mga Parusa:**
Sa ilalim ng Revised Penal Code, mabiga"&amp;"t ang parusa sa pagtataksil. Ang sinumang mapatunayang nagkasala ng pagtataksil ay maaaring maharap sa parusang reclusion perpetua hanggang kamatayan. Ang reclusion perpetua ay isang termino ng pagkakulong na 20 taon at 1 araw hanggang 40 taon, nang walan"&amp;"g posibilidad ng parol.
3. **Nagpapalubha ng mga pangyayari:**
Ang parusa para sa pagtataksil ay maaaring tumaas kung may mga nagpapalubha na pangyayari. Halimbawa, kung ang pagtataksil ay nagresulta sa pagkamatay ng pinuno ng estado o iba pang matataas n"&amp;"a opisyal, o kung ito ay nagsasangkot ng paggamit ng mga mapanirang armas o pamamaraan, ang parusa ay maaaring mapahusay.
4. **Pagkumpiska ng mga Asset:**
Bilang karagdagan sa pagkakulong, ang hukuman ay maaaring mag-utos na kumpiskahin ang mga ari-arian "&amp;"at ari-arian na nakuha sa pamamagitan ng mga taksil na gawain o ginamit sa paggawa ng pagkakasala.
5. **Mga Legal na Bunga:**
Ang mga indibidwal na napatunayang nagkasala sa pagkukubli o pagtatago ng mga indibidwal na nagkasala ng pagtataksil ay maaari di"&amp;"ng harapin ang mga legal na kahihinatnan, kabilang ang pagkakulong at pagkumpiska ng mga ari-arian. Bukod pa rito, maaari silang sumailalim sa pagsubaybay, pagsubaybay, o iba pang mga hakbang sa pagpapatupad ng batas.
Mahalagang tandaan na ang pagtataksil"&amp;" ay isang matinding pagkakasala sa ilalim ng batas ng Pilipinas, at ang mga indibidwal na inakusahan ng paglabag na ito ay may karapatan sa angkop na proseso at legal na representasyon. Maipapayo na humingi ng tulong mula sa isang kwalipikadong abogado pa"&amp;"ra sa legal na payo at representasyon kung nahaharap sa mga kasong may kaugnayan sa pagtataksil o pagkukubli sa mga indibidwal na nagkasala ng pagtataksil.")</f>
        <v>Sa Pilipinas, ang pagkakasala ng pag-iingat o pagtatago ng mga indibidwal na nagkasala ng pagtataksil ay tinutugunan sa ilalim ng Binagong Kodigo Penal (Act No. 3815), partikular sa ilalim ng Title One on Crimes Against National Security and the Law of Nations.
1. **Kahulugan ng Pagkakasala:**
Ang pagkukubli o pagtatago sa mga indibidwal na nagkasala ng pagtataksil ay tumutukoy sa pagkilos na sadyang nagbibigay ng kanlungan, kanlungan, o tulong sa mga taong nakagawa ng kataksilan laban sa gobyerno ng Pilipinas. Ang pagtataksil ay kinapapalooban ng mga gawain tulad ng pagpapataw ng digmaan laban sa gobyerno, pagsunod sa mga kaaway ng estado, o pagbibigay ng tulong o aliw sa mga kaaway ng Pilipinas.
2. **Mga Parusa:**
Sa ilalim ng Revised Penal Code, mabigat ang parusa sa pagtataksil. Ang sinumang mapatunayang nagkasala ng pagtataksil ay maaaring maharap sa parusang reclusion perpetua hanggang kamatayan. Ang reclusion perpetua ay isang termino ng pagkakulong na 20 taon at 1 araw hanggang 40 taon, nang walang posibilidad ng parol.
3. **Nagpapalubha ng mga pangyayari:**
Ang parusa para sa pagtataksil ay maaaring tumaas kung may mga nagpapalubha na pangyayari. Halimbawa, kung ang pagtataksil ay nagresulta sa pagkamatay ng pinuno ng estado o iba pang matataas na opisyal, o kung ito ay nagsasangkot ng paggamit ng mga mapanirang armas o pamamaraan, ang parusa ay maaaring mapahusay.
4. **Pagkumpiska ng mga Asset:**
Bilang karagdagan sa pagkakulong, ang hukuman ay maaaring mag-utos na kumpiskahin ang mga ari-arian at ari-arian na nakuha sa pamamagitan ng mga taksil na gawain o ginamit sa paggawa ng pagkakasala.
5. **Mga Legal na Bunga:**
Ang mga indibidwal na napatunayang nagkasala sa pagkukubli o pagtatago ng mga indibidwal na nagkasala ng pagtataksil ay maaari ding harapin ang mga legal na kahihinatnan, kabilang ang pagkakulong at pagkumpiska ng mga ari-arian. Bukod pa rito, maaari silang sumailalim sa pagsubaybay, pagsubaybay, o iba pang mga hakbang sa pagpapatupad ng batas.
Mahalagang tandaan na ang pagtataksil ay isang matinding pagkakasala sa ilalim ng batas ng Pilipinas, at ang mga indibidwal na inakusahan ng paglabag na ito ay may karapatan sa angkop na proseso at legal na representasyon. Maipapayo na humingi ng tulong mula sa isang kwalipikadong abogado para sa legal na payo at representasyon kung nahaharap sa mga kasong may kaugnayan sa pagtataksil o pagkukubli sa mga indibidwal na nagkasala ng pagtataksil.</v>
      </c>
      <c r="F2116" s="2">
        <f t="shared" si="1"/>
        <v>0</v>
      </c>
      <c r="G2116" s="2"/>
      <c r="H2116" s="2"/>
      <c r="I2116" s="2"/>
      <c r="J2116" s="2"/>
      <c r="K2116" s="2"/>
      <c r="L2116" s="2"/>
      <c r="M2116" s="2"/>
      <c r="N2116" s="2"/>
      <c r="O2116" s="2"/>
      <c r="P2116" s="2"/>
      <c r="Q2116" s="2"/>
      <c r="R2116" s="2"/>
      <c r="S2116" s="2"/>
      <c r="T2116" s="2"/>
      <c r="U2116" s="2"/>
      <c r="V2116" s="2"/>
      <c r="W2116" s="2"/>
      <c r="X2116" s="2"/>
      <c r="Y2116" s="2"/>
      <c r="Z2116" s="2"/>
      <c r="AA2116" s="2"/>
    </row>
    <row r="2117">
      <c r="A2117" s="1" t="s">
        <v>5061</v>
      </c>
      <c r="B2117" s="1" t="s">
        <v>5214</v>
      </c>
      <c r="C2117" s="1" t="s">
        <v>5215</v>
      </c>
      <c r="D2117" s="2" t="str">
        <f>IFERROR(__xludf.DUMMYFUNCTION("GOOGLETRANSLATE(B2117, ""en"", ""TL"")"),"Anong mga legal na hakbang ang umiiral upang labanan ang krimen ng sabotahe laban sa mahahalagang pampublikong kagamitan?")</f>
        <v>Anong mga legal na hakbang ang umiiral upang labanan ang krimen ng sabotahe laban sa mahahalagang pampublikong kagamitan?</v>
      </c>
      <c r="E2117" s="2" t="str">
        <f>IFERROR(__xludf.DUMMYFUNCTION("GOOGLETRANSLATE(C2117, ""en"", ""TL"")"),"Ang Pilipinas ay may matibay na legal na balangkas upang labanan ang sabotahe laban sa mahahalagang pampublikong kagamitan, na kinikilala ang kritikal na papel na ginagampanan ng mga imprastraktura na ito sa pambansang kagalingan. Narito ang isang breakdo"&amp;"wn ng mga nauugnay na hakbang:
Pangunahing Batas:
Binagong Kodigo Penal (RPC):
Artikulo 179 (Destructive Arson): Direktang tinutugunan ng batas na ito ang sinadyang pinsalang dulot ng sunog sa iba't ibang pampublikong kagamitan, kabilang ang:
Mga linya ng"&amp;" kuryente, mga transformer, at iba pang imprastraktura ng kuryente.
Water treatment plant, pipeline, at reservoir.
Mga pasilidad ng komunikasyon tulad ng mga linya ng telepono, istasyon ng radyo, at cell tower.
Artikulo 318 (Kalokohan): Nalalapat ang mas "&amp;"malawak na probisyong ito sa mga sitwasyon kung saan sinisira ng isang tao ang ari-arian na pagmamay-ari ng iba, na sumasaklaw sa:
Ang paninira ay nagdudulot ng pagkagambala sa mga kagamitan.
Ang pakikialam sa mahahalagang bahagi na humahantong sa mga mal"&amp;"functions.
Mga Partikular na Parusa:
Mapanirang Arson (Artikulo 179): Ang parusa ay nag-iiba depende sa resulta ng pinsala:
Reclusion perpetua to death: Naaangkop sa mga kaso na may mga pagkamatay o matinding pinsala.
Reclusion temporal: Para magdulot ng "&amp;"malaking pinsala sa imprastraktura ng utility.
Prision mayor: Para sa maliit na pinsala.
Mischief (Artikulo 318): Ang parusa ay depende sa halaga ng pinsala:
Prision correccional sa minimum at medium periods nito: Kung ang pinsala ay lumampas sa 5,000 pes"&amp;"os ngunit hindi lalampas sa 30,000 pesos.
Destierro: Kung lumampas sa 300 pesos ang damage pero hindi lalampas sa 5,000 pesos.
Mga Karagdagang Pagsasaalang-alang:
Mga Partikular na Batas: Maaaring may mga karagdagang regulasyon ang ilang partikular na uti"&amp;"lity na tumutugon sa sabotage.
Clean Water Act (RA 9275): Nagpaparusa sa mga gawaing nagdudulot ng polusyon sa pinagmumulan ng tubig, na maaaring resulta ng pagsasabotahe sa mga water treatment plant.
Cybersecurity Law: Ang pakikialam sa mahahalagang pamp"&amp;"ublikong utilidad sa pamamagitan ng pag-hack o katulad na mga elektronikong paraan ay maaaring nasa ilalim ng Cybercrime Prevention Act (RA 10175).")</f>
        <v>Ang Pilipinas ay may matibay na legal na balangkas upang labanan ang sabotahe laban sa mahahalagang pampublikong kagamitan, na kinikilala ang kritikal na papel na ginagampanan ng mga imprastraktura na ito sa pambansang kagalingan. Narito ang isang breakdown ng mga nauugnay na hakbang:
Pangunahing Batas:
Binagong Kodigo Penal (RPC):
Artikulo 179 (Destructive Arson): Direktang tinutugunan ng batas na ito ang sinadyang pinsalang dulot ng sunog sa iba't ibang pampublikong kagamitan, kabilang ang:
Mga linya ng kuryente, mga transformer, at iba pang imprastraktura ng kuryente.
Water treatment plant, pipeline, at reservoir.
Mga pasilidad ng komunikasyon tulad ng mga linya ng telepono, istasyon ng radyo, at cell tower.
Artikulo 318 (Kalokohan): Nalalapat ang mas malawak na probisyong ito sa mga sitwasyon kung saan sinisira ng isang tao ang ari-arian na pagmamay-ari ng iba, na sumasaklaw sa:
Ang paninira ay nagdudulot ng pagkagambala sa mga kagamitan.
Ang pakikialam sa mahahalagang bahagi na humahantong sa mga malfunctions.
Mga Partikular na Parusa:
Mapanirang Arson (Artikulo 179): Ang parusa ay nag-iiba depende sa resulta ng pinsala:
Reclusion perpetua to death: Naaangkop sa mga kaso na may mga pagkamatay o matinding pinsala.
Reclusion temporal: Para magdulot ng malaking pinsala sa imprastraktura ng utility.
Prision mayor: Para sa maliit na pinsala.
Mischief (Artikulo 318): Ang parusa ay depende sa halaga ng pinsala:
Prision correccional sa minimum at medium periods nito: Kung ang pinsala ay lumampas sa 5,000 pesos ngunit hindi lalampas sa 30,000 pesos.
Destierro: Kung lumampas sa 300 pesos ang damage pero hindi lalampas sa 5,000 pesos.
Mga Karagdagang Pagsasaalang-alang:
Mga Partikular na Batas: Maaaring may mga karagdagang regulasyon ang ilang partikular na utility na tumutugon sa sabotage.
Clean Water Act (RA 9275): Nagpaparusa sa mga gawaing nagdudulot ng polusyon sa pinagmumulan ng tubig, na maaaring resulta ng pagsasabotahe sa mga water treatment plant.
Cybersecurity Law: Ang pakikialam sa mahahalagang pampublikong utilidad sa pamamagitan ng pag-hack o katulad na mga elektronikong paraan ay maaaring nasa ilalim ng Cybercrime Prevention Act (RA 10175).</v>
      </c>
      <c r="F2117" s="2">
        <f t="shared" si="1"/>
        <v>0</v>
      </c>
      <c r="G2117" s="2"/>
      <c r="H2117" s="2"/>
      <c r="I2117" s="2"/>
      <c r="J2117" s="2"/>
      <c r="K2117" s="2"/>
      <c r="L2117" s="2"/>
      <c r="M2117" s="2"/>
      <c r="N2117" s="2"/>
      <c r="O2117" s="2"/>
      <c r="P2117" s="2"/>
      <c r="Q2117" s="2"/>
      <c r="R2117" s="2"/>
      <c r="S2117" s="2"/>
      <c r="T2117" s="2"/>
      <c r="U2117" s="2"/>
      <c r="V2117" s="2"/>
      <c r="W2117" s="2"/>
      <c r="X2117" s="2"/>
      <c r="Y2117" s="2"/>
      <c r="Z2117" s="2"/>
      <c r="AA2117" s="2"/>
    </row>
    <row r="2118">
      <c r="A2118" s="1" t="s">
        <v>5061</v>
      </c>
      <c r="B2118" s="1" t="s">
        <v>5216</v>
      </c>
      <c r="C2118" s="1" t="s">
        <v>5217</v>
      </c>
      <c r="D2118" s="2" t="str">
        <f>IFERROR(__xludf.DUMMYFUNCTION("GOOGLETRANSLATE(B2118, ""en"", ""TL"")"),"Sa ilalim ng anong mga pangyayari ang isang tao ay maaaring makasuhan ng krimen ng hindi awtorisadong pagmamay-ari at paggamit ng mga classified na dokumento?")</f>
        <v>Sa ilalim ng anong mga pangyayari ang isang tao ay maaaring makasuhan ng krimen ng hindi awtorisadong pagmamay-ari at paggamit ng mga classified na dokumento?</v>
      </c>
      <c r="E2118" s="2" t="str">
        <f>IFERROR(__xludf.DUMMYFUNCTION("GOOGLETRANSLATE(C2118, ""en"", ""TL"")"),"Sa Pilipinas, ang hindi awtorisadong pagmamay-ari at paggamit ng mga classified na dokumento ay isang matinding pagkakasala na may mahigpit na legal na kahihinatnan. Narito ang isang breakdown ng mga nauugnay na pangyayari at mga potensyal na singil:
Pan"&amp;"gunahing Batas:
Binagong Kodigo Penal (RPC):
Artikulo 265 (Espionage): Direktang tinutugunan ng pangunahing batas na ito ang hindi awtorisadong pangangasiwa ng classified information. Pinaparusahan nito ang mga indibidwal na:
Magtipon: Kumuha ng classi"&amp;"fied na impormasyon nang walang legal na awtoridad.
Pagmamay-ari: Magkaroon ng uri ng impormasyon sa kanilang kontrol nang walang pahintulot.
Maghatid: Magpadala ng classified na impormasyon sa mga hindi awtorisadong tao.
I-publish: Gawing pampubliko a"&amp;"ng uri ng impormasyon sa anumang paraan.
Mga Elemento ng Krimen:
Para makasuhan ang isang tao sa ilalim ng Artikulo 265, dapat patunayan ng prosekusyon ang sumusunod:
Mga Classified na Dokumento: Ang mga dokumentong kasangkot ay dapat na opisyal na ita"&amp;"laga bilang classified na impormasyon dahil sa kanilang sensitibong katangian at potensyal na makapinsala sa pambansang seguridad.
Hindi awtorisadong Pag-aari: Ang akusado ay dapat na may kontrol sa mga naiuri na dokumento nang walang legal na awtoridad "&amp;"o wastong clearance sa seguridad.
Kaalaman sa Pag-uuri: Dapat ay alam ng akusado ang uri ng uri ng mga dokumentong kanilang taglay.
Mga pangyayari na humahantong sa mga singilin:
Pagnanakaw ng mga klasipikadong dokumento: Ito ay bumubuo ng parehong hin"&amp;"di awtorisadong pagtitipon at pagmamay-ari.
Paghahanap at pagpapanatili ng mga nawawala o nailagay na naiuri na mga dokumento: Ang hindi pag-uulat ng pagtuklas at pagsuko ng mga dokumento sa mga tamang awtoridad ay maaaring ituring na ilegal na pagmamay-"&amp;"ari.
Ang pag-access sa mga classified na dokumento na lampas sa awtorisadong saklaw ng isang tao: Ang isang indibidwal na may security clearance para sa isang partikular na antas ng classified na impormasyon na lampas sa kanilang access level at ang pagk"&amp;"akaroon ng mga naturang dokumento nang labag sa batas ay mananagot.
Paggamit ng mga classified na dokumento para sa personal na pakinabang o hindi awtorisadong layunin: Maaari itong sumaklaw sa mga aktibidad tulad ng pagbebenta ng impormasyon, paggamit n"&amp;"ito para i-blackmail ang isang tao, o kahit na paggamit nito para sa personal na pananaliksik sa labas ng awtorisadong konteksto.
Dagdag na Pagsusuri para sa mga Opisyal ng Pamahalaan:
Espionage Act (Republic Act No. 6770): Pinalalakas ng batas na ito"&amp;" ang mga umiiral na probisyon sa espionage, partikular para sa mga opisyal ng gobyerno na humahawak ng classified information. Binibigyang-diin nito ang kanilang responsibilidad na pangalagaan ang mga naiuri na dokumento at nagpapataw ng mas matinding par"&amp;"usa para sa maling paghawak.
Parusa para sa Espionage:
Reclusion temporal maximum hanggang reclusion perpetua: Ito ay isang matinding saklaw ng parusa,
kinasasangkutan ng pagkakulong ng hindi bababa sa 12 taon at 1 araw hanggang sa maximum na 40 taon.")</f>
        <v>Sa Pilipinas, ang hindi awtorisadong pagmamay-ari at paggamit ng mga classified na dokumento ay isang matinding pagkakasala na may mahigpit na legal na kahihinatnan. Narito ang isang breakdown ng mga nauugnay na pangyayari at mga potensyal na singil:
Pangunahing Batas:
Binagong Kodigo Penal (RPC):
Artikulo 265 (Espionage): Direktang tinutugunan ng pangunahing batas na ito ang hindi awtorisadong pangangasiwa ng classified information. Pinaparusahan nito ang mga indibidwal na:
Magtipon: Kumuha ng classified na impormasyon nang walang legal na awtoridad.
Pagmamay-ari: Magkaroon ng uri ng impormasyon sa kanilang kontrol nang walang pahintulot.
Maghatid: Magpadala ng classified na impormasyon sa mga hindi awtorisadong tao.
I-publish: Gawing pampubliko ang uri ng impormasyon sa anumang paraan.
Mga Elemento ng Krimen:
Para makasuhan ang isang tao sa ilalim ng Artikulo 265, dapat patunayan ng prosekusyon ang sumusunod:
Mga Classified na Dokumento: Ang mga dokumentong kasangkot ay dapat na opisyal na italaga bilang classified na impormasyon dahil sa kanilang sensitibong katangian at potensyal na makapinsala sa pambansang seguridad.
Hindi awtorisadong Pag-aari: Ang akusado ay dapat na may kontrol sa mga naiuri na dokumento nang walang legal na awtoridad o wastong clearance sa seguridad.
Kaalaman sa Pag-uuri: Dapat ay alam ng akusado ang uri ng uri ng mga dokumentong kanilang taglay.
Mga pangyayari na humahantong sa mga singilin:
Pagnanakaw ng mga klasipikadong dokumento: Ito ay bumubuo ng parehong hindi awtorisadong pagtitipon at pagmamay-ari.
Paghahanap at pagpapanatili ng mga nawawala o nailagay na naiuri na mga dokumento: Ang hindi pag-uulat ng pagtuklas at pagsuko ng mga dokumento sa mga tamang awtoridad ay maaaring ituring na ilegal na pagmamay-ari.
Ang pag-access sa mga classified na dokumento na lampas sa awtorisadong saklaw ng isang tao: Ang isang indibidwal na may security clearance para sa isang partikular na antas ng classified na impormasyon na lampas sa kanilang access level at ang pagkakaroon ng mga naturang dokumento nang labag sa batas ay mananagot.
Paggamit ng mga classified na dokumento para sa personal na pakinabang o hindi awtorisadong layunin: Maaari itong sumaklaw sa mga aktibidad tulad ng pagbebenta ng impormasyon, paggamit nito para i-blackmail ang isang tao, o kahit na paggamit nito para sa personal na pananaliksik sa labas ng awtorisadong konteksto.
Dagdag na Pagsusuri para sa mga Opisyal ng Pamahalaan:
Espionage Act (Republic Act No. 6770): Pinalalakas ng batas na ito ang mga umiiral na probisyon sa espionage, partikular para sa mga opisyal ng gobyerno na humahawak ng classified information. Binibigyang-diin nito ang kanilang responsibilidad na pangalagaan ang mga naiuri na dokumento at nagpapataw ng mas matinding parusa para sa maling paghawak.
Parusa para sa Espionage:
Reclusion temporal maximum hanggang reclusion perpetua: Ito ay isang matinding saklaw ng parusa,
kinasasangkutan ng pagkakulong ng hindi bababa sa 12 taon at 1 araw hanggang sa maximum na 40 taon.</v>
      </c>
      <c r="F2118" s="2">
        <f t="shared" si="1"/>
        <v>0</v>
      </c>
      <c r="G2118" s="2"/>
      <c r="H2118" s="2"/>
      <c r="I2118" s="2"/>
      <c r="J2118" s="2"/>
      <c r="K2118" s="2"/>
      <c r="L2118" s="2"/>
      <c r="M2118" s="2"/>
      <c r="N2118" s="2"/>
      <c r="O2118" s="2"/>
      <c r="P2118" s="2"/>
      <c r="Q2118" s="2"/>
      <c r="R2118" s="2"/>
      <c r="S2118" s="2"/>
      <c r="T2118" s="2"/>
      <c r="U2118" s="2"/>
      <c r="V2118" s="2"/>
      <c r="W2118" s="2"/>
      <c r="X2118" s="2"/>
      <c r="Y2118" s="2"/>
      <c r="Z2118" s="2"/>
      <c r="AA2118" s="2"/>
    </row>
    <row r="2119">
      <c r="A2119" s="1" t="s">
        <v>5061</v>
      </c>
      <c r="B2119" s="1" t="s">
        <v>5218</v>
      </c>
      <c r="C2119" s="1" t="s">
        <v>5219</v>
      </c>
      <c r="D2119" s="2" t="str">
        <f>IFERROR(__xludf.DUMMYFUNCTION("GOOGLETRANSLATE(B2119, ""en"", ""TL"")"),"Paano tinutugunan ng batas ang mga insidente ng pakikialam sa mahahalagang imprastraktura ng pamahalaan at ang mga legal na kahihinatnan nito?")</f>
        <v>Paano tinutugunan ng batas ang mga insidente ng pakikialam sa mahahalagang imprastraktura ng pamahalaan at ang mga legal na kahihinatnan nito?</v>
      </c>
      <c r="E2119" s="2" t="str">
        <f>IFERROR(__xludf.DUMMYFUNCTION("GOOGLETRANSLATE(C2119, ""en"", ""TL"")"),"Sa Pilipinas, ang mga insidente ng pakikialam sa mahahalagang imprastraktura ng pamahalaan ay tinutugunan sa ilalim ng iba't ibang batas at regulasyon, depende sa partikular na uri ng pagkakasala. Ang mga legal na kahihinatnan para sa mga naturang gawain "&amp;"ay maaaring mag-iba batay sa kalubhaan ng pakikialam at ang potensyal na epekto sa kaligtasan ng publiko, seguridad, o paggana ng mga serbisyo ng pamahalaan. Narito ang isang pangkalahatang-ideya:
1. **Mga Probisyon sa Kodigo sa Kriminal:**
- Ang pakikial"&amp;"am sa mahahalagang imprastraktura ng pamahalaan ay maaaring bumuo ng mga pagkakasala sa ilalim ng Binagong Kodigo Penal, tulad ng malisyosong kapilyuhan (Artikulo 327) o pagsira ng pampublikong ari-arian (Artikulo 327).
- Maaaring kabilang sa mga parusa p"&amp;"ara sa mga paglabag na ito ang pagkakulong at mga multa, depende sa halaga ng pinsalang dulot at iba pang nagpapalubha na mga pangyayari.
2. **Anti-Terrorism Act of 2020:**
- Ang mga gawaing pansabotahe o terorismo na nagta-target sa mahahalagang imprastr"&amp;"aktura ng pamahalaan ay maaaring kasuhan sa ilalim ng Anti-Terrorism Act of 2020 (Republic Act No. 11479).
- Maaaring malubha ang mga parusa sa ilalim ng batas na ito, kabilang ang pagkakulong mula labindalawang taon hanggang habambuhay na pagkakakulong n"&amp;"ang walang posibilidad ng parol, gayundin ang mga multa at iba pang legal na kahihinatnan.
3. **Ibang Kaugnay na Batas:**
- Ang iba't ibang mga batas at regulasyon ay maaari ding ilapat depende sa partikular na uri ng imprastraktura na kasangkot. Halimbaw"&amp;"a, ang pakikialam sa imprastraktura ng transportasyon ay maaaring matugunan sa ilalim ng mga batas na namamahala sa kaligtasan at seguridad sa transportasyon, habang ang pakikialam sa imprastraktura ng komunikasyon ay maaaring matugunan sa ilalim ng mga b"&amp;"atas na namamahala sa telekomunikasyon.
- Maaaring mag-iba-iba ang mga parusa at legal na kahihinatnan sa ilalim ng mga batas na ito ngunit kadalasang kinabibilangan ng mga probisyon para sa pag-uusig ng kriminal, multa, at iba pang mga parusa.
4. **Sibil"&amp;" na Pananagutan:**
- Bilang karagdagan sa mga parusang kriminal, ang mga indibidwal o entity na responsable sa pakikialam sa mahahalagang imprastraktura ng pamahalaan ay maaaring sibil na managot para sa mga pinsalang dulot.
- Maaaring magsampa ng mga kas"&amp;"ong sibil upang humingi ng kabayaran para sa mga gastos sa pag-aayos o pagpapalit ng mga nasirang imprastraktura, gayundin para sa anumang iba pang pagkalugi sa ekonomiya o hindi pang-ekonomiya na natamo bilang resulta ng pakikialam.
Mahalagang tandaan na"&amp;" ang mga legal na kahihinatnan para sa pakikialam sa mahahalagang imprastraktura ng pamahalaan ay maaaring maging malubha, at ang mga indibidwal o entity na inakusahan ng naturang mga pagkakasala ay may karapatan sa angkop na proseso at legal na represent"&amp;"asyon. Maipapayo na humingi ng tulong sa isang kwalipikadong abogado para sa legal na payo at representasyon kung nahaharap sa mga kasong may kaugnayan sa pakikialam sa mahahalagang imprastraktura ng pamahalaan. Bukod pa rito, ang pagpigil at pagtugon sa "&amp;"mga ganitong insidente ay kadalasang nagsasangkot ng pakikipagtulungan sa mga ahensyang nagpapatupad ng batas, mga awtoridad ng gobyerno, at mga nauugnay na stakeholder upang matiyak ang kaligtasan, seguridad, at integridad ng kritikal na imprastraktura.")</f>
        <v>Sa Pilipinas, ang mga insidente ng pakikialam sa mahahalagang imprastraktura ng pamahalaan ay tinutugunan sa ilalim ng iba't ibang batas at regulasyon, depende sa partikular na uri ng pagkakasala. Ang mga legal na kahihinatnan para sa mga naturang gawain ay maaaring mag-iba batay sa kalubhaan ng pakikialam at ang potensyal na epekto sa kaligtasan ng publiko, seguridad, o paggana ng mga serbisyo ng pamahalaan. Narito ang isang pangkalahatang-ideya:
1. **Mga Probisyon sa Kodigo sa Kriminal:**
- Ang pakikialam sa mahahalagang imprastraktura ng pamahalaan ay maaaring bumuo ng mga pagkakasala sa ilalim ng Binagong Kodigo Penal, tulad ng malisyosong kapilyuhan (Artikulo 327) o pagsira ng pampublikong ari-arian (Artikulo 327).
- Maaaring kabilang sa mga parusa para sa mga paglabag na ito ang pagkakulong at mga multa, depende sa halaga ng pinsalang dulot at iba pang nagpapalubha na mga pangyayari.
2. **Anti-Terrorism Act of 2020:**
- Ang mga gawaing pansabotahe o terorismo na nagta-target sa mahahalagang imprastraktura ng pamahalaan ay maaaring kasuhan sa ilalim ng Anti-Terrorism Act of 2020 (Republic Act No. 11479).
- Maaaring malubha ang mga parusa sa ilalim ng batas na ito, kabilang ang pagkakulong mula labindalawang taon hanggang habambuhay na pagkakakulong nang walang posibilidad ng parol, gayundin ang mga multa at iba pang legal na kahihinatnan.
3. **Ibang Kaugnay na Batas:**
- Ang iba't ibang mga batas at regulasyon ay maaari ding ilapat depende sa partikular na uri ng imprastraktura na kasangkot. Halimbawa, ang pakikialam sa imprastraktura ng transportasyon ay maaaring matugunan sa ilalim ng mga batas na namamahala sa kaligtasan at seguridad sa transportasyon, habang ang pakikialam sa imprastraktura ng komunikasyon ay maaaring matugunan sa ilalim ng mga batas na namamahala sa telekomunikasyon.
- Maaaring mag-iba-iba ang mga parusa at legal na kahihinatnan sa ilalim ng mga batas na ito ngunit kadalasang kinabibilangan ng mga probisyon para sa pag-uusig ng kriminal, multa, at iba pang mga parusa.
4. **Sibil na Pananagutan:**
- Bilang karagdagan sa mga parusang kriminal, ang mga indibidwal o entity na responsable sa pakikialam sa mahahalagang imprastraktura ng pamahalaan ay maaaring sibil na managot para sa mga pinsalang dulot.
- Maaaring magsampa ng mga kasong sibil upang humingi ng kabayaran para sa mga gastos sa pag-aayos o pagpapalit ng mga nasirang imprastraktura, gayundin para sa anumang iba pang pagkalugi sa ekonomiya o hindi pang-ekonomiya na natamo bilang resulta ng pakikialam.
Mahalagang tandaan na ang mga legal na kahihinatnan para sa pakikialam sa mahahalagang imprastraktura ng pamahalaan ay maaaring maging malubha, at ang mga indibidwal o entity na inakusahan ng naturang mga pagkakasala ay may karapatan sa angkop na proseso at legal na representasyon. Maipapayo na humingi ng tulong sa isang kwalipikadong abogado para sa legal na payo at representasyon kung nahaharap sa mga kasong may kaugnayan sa pakikialam sa mahahalagang imprastraktura ng pamahalaan. Bukod pa rito, ang pagpigil at pagtugon sa mga ganitong insidente ay kadalasang nagsasangkot ng pakikipagtulungan sa mga ahensyang nagpapatupad ng batas, mga awtoridad ng gobyerno, at mga nauugnay na stakeholder upang matiyak ang kaligtasan, seguridad, at integridad ng kritikal na imprastraktura.</v>
      </c>
      <c r="F2119" s="2">
        <f t="shared" si="1"/>
        <v>0</v>
      </c>
      <c r="G2119" s="2"/>
      <c r="H2119" s="2"/>
      <c r="I2119" s="2"/>
      <c r="J2119" s="2"/>
      <c r="K2119" s="2"/>
      <c r="L2119" s="2"/>
      <c r="M2119" s="2"/>
      <c r="N2119" s="2"/>
      <c r="O2119" s="2"/>
      <c r="P2119" s="2"/>
      <c r="Q2119" s="2"/>
      <c r="R2119" s="2"/>
      <c r="S2119" s="2"/>
      <c r="T2119" s="2"/>
      <c r="U2119" s="2"/>
      <c r="V2119" s="2"/>
      <c r="W2119" s="2"/>
      <c r="X2119" s="2"/>
      <c r="Y2119" s="2"/>
      <c r="Z2119" s="2"/>
      <c r="AA2119" s="2"/>
    </row>
    <row r="2120">
      <c r="A2120" s="1" t="s">
        <v>5061</v>
      </c>
      <c r="B2120" s="1" t="s">
        <v>5220</v>
      </c>
      <c r="C2120" s="1" t="s">
        <v>5221</v>
      </c>
      <c r="D2120" s="2" t="str">
        <f>IFERROR(__xludf.DUMMYFUNCTION("GOOGLETRANSLATE(B2120, ""en"", ""TL"")"),"Anong mga parusa ang ipinapataw para sa paggawa ng krimen ng hindi awtorisadong pagsisiwalat ng mga may pribilehiyong komunikasyon?")</f>
        <v>Anong mga parusa ang ipinapataw para sa paggawa ng krimen ng hindi awtorisadong pagsisiwalat ng mga may pribilehiyong komunikasyon?</v>
      </c>
      <c r="E2120" s="2" t="str">
        <f>IFERROR(__xludf.DUMMYFUNCTION("GOOGLETRANSLATE(C2120, ""en"", ""TL"")"),"Sa Pilipinas, ang hindi awtorisadong pagsisiwalat ng mga may pribilehiyong komunikasyon ay karaniwang tinutugunan sa ilalim ng mga probisyon ng Binagong Kodigo Penal at iba pang nauugnay na batas. Ang mga parusa para sa paggawa ng krimeng ito ay maaaring "&amp;"mag-iba depende sa partikular na mga pangyayari at mga batas na naaangkop sa kaso. Narito ang isang pangkalahatang-ideya:
1. **Binago ang Kodigo Penal (RPC):**
- Ang hindi awtorisadong pagsisiwalat ng mga may pribilehiyong komunikasyon ay maaaring nasa il"&amp;"alim ng mga probisyon ng RPC, partikular sa ilalim ng mga krimen tulad ng pagbubunyag ng mga lihim (Artikulo 291) o paglabag sa tirahan (Artikulo 129).
- Maaaring kabilang sa mga parusa sa ilalim ng mga probisyong ito ang pagkakulong at mga multa, depende"&amp;" sa uri at kalubhaan ng pagsisiwalat at iba pang nagpapalubha na mga pangyayari.
2. **Data Privacy Act of 2012 (Republic Act No. 10173):**
- Sa mga kaso na kinasasangkutan ng hindi awtorisadong pagbubunyag ng personal o sensitibong impormasyon, kabilang a"&amp;"ng mga privileged na komunikasyon, maaaring ilapat ang Data Privacy Act of 2012.
- Sa ilalim ng batas na ito, ang mga indibidwal o entity na napatunayang nagkasala ng hindi awtorisadong pagsisiwalat ng personal na data ay maaaring maharap sa pagkakakulong"&amp;" mula sa isang taon hanggang anim na taon at/o mga multa mula ₱500,000 hanggang ₱5,000,000, depende sa mga partikular na probisyon na nilabag.
3. **Ibang Kaugnay na Batas:**
- Depende sa likas na katangian ng mga may pribilehiyong komunikasyon na kasangko"&amp;"t, ang iba pang mga batas at regulasyon ay maaari ding mag-aplay. Halimbawa, ang ilang propesyon o industriya ay maaaring magkaroon ng mga partikular na panuntunan o mga code ng pag-uugali na namamahala sa pangangasiwa at pagsisiwalat ng may pribilehiyong"&amp;" impormasyon, at ang mga paglabag sa mga panuntunang ito ay maaaring magresulta sa mga propesyonal na parusa o iba pang mga parusa.
4. **Sibil na Pananagutan:**
- Bilang karagdagan sa mga parusang kriminal, ang mga indibidwal o entity na responsable para "&amp;"sa hindi awtorisadong pagsisiwalat ng mga privileged na komunikasyon ay maaari ding managot sa sibil para sa mga pinsalang idinulot.
- Maaaring magsampa ng mga kasong sibil upang humingi ng kabayaran para sa anumang pinsala o pagkalugi na natamo bilang re"&amp;"sulta ng hindi awtorisadong pagsisiwalat, kabilang ang mga pinsala para sa pinsala sa reputasyon, pagkalugi sa pananalapi, o iba pang pinsala.
Mahalagang tandaan na ang hindi awtorisadong pagsisiwalat ng mga privileged na komunikasyon ay isang malubhang p"&amp;"agkakasala na maaaring magkaroon ng legal at reputasyon na kahihinatnan. Ang mga indibidwal o entidad na inakusahan ng krimeng ito ay may karapatan sa angkop na proseso at legal na representasyon. Maipapayo na humingi ng tulong mula sa isang kwalipikadong"&amp;" abogado para sa legal na payo at representasyon kung nahaharap sa mga singil na may kaugnayan sa hindi awtorisadong pagsisiwalat ng mga privileged na komunikasyon. Bukod pa rito, ang pagpigil sa hindi awtorisadong pagsisiwalat ay kadalasang nagsasangkot "&amp;"ng pagpapatupad ng naaangkop na mga hakbang sa seguridad, pagsasanay, at pagsunod sa mga nauugnay na batas at regulasyon.")</f>
        <v>Sa Pilipinas, ang hindi awtorisadong pagsisiwalat ng mga may pribilehiyong komunikasyon ay karaniwang tinutugunan sa ilalim ng mga probisyon ng Binagong Kodigo Penal at iba pang nauugnay na batas. Ang mga parusa para sa paggawa ng krimeng ito ay maaaring mag-iba depende sa partikular na mga pangyayari at mga batas na naaangkop sa kaso. Narito ang isang pangkalahatang-ideya:
1. **Binago ang Kodigo Penal (RPC):**
- Ang hindi awtorisadong pagsisiwalat ng mga may pribilehiyong komunikasyon ay maaaring nasa ilalim ng mga probisyon ng RPC, partikular sa ilalim ng mga krimen tulad ng pagbubunyag ng mga lihim (Artikulo 291) o paglabag sa tirahan (Artikulo 129).
- Maaaring kabilang sa mga parusa sa ilalim ng mga probisyong ito ang pagkakulong at mga multa, depende sa uri at kalubhaan ng pagsisiwalat at iba pang nagpapalubha na mga pangyayari.
2. **Data Privacy Act of 2012 (Republic Act No. 10173):**
- Sa mga kaso na kinasasangkutan ng hindi awtorisadong pagbubunyag ng personal o sensitibong impormasyon, kabilang ang mga privileged na komunikasyon, maaaring ilapat ang Data Privacy Act of 2012.
- Sa ilalim ng batas na ito, ang mga indibidwal o entity na napatunayang nagkasala ng hindi awtorisadong pagsisiwalat ng personal na data ay maaaring maharap sa pagkakakulong mula sa isang taon hanggang anim na taon at/o mga multa mula ₱500,000 hanggang ₱5,000,000, depende sa mga partikular na probisyon na nilabag.
3. **Ibang Kaugnay na Batas:**
- Depende sa likas na katangian ng mga may pribilehiyong komunikasyon na kasangkot, ang iba pang mga batas at regulasyon ay maaari ding mag-aplay. Halimbawa, ang ilang propesyon o industriya ay maaaring magkaroon ng mga partikular na panuntunan o mga code ng pag-uugali na namamahala sa pangangasiwa at pagsisiwalat ng may pribilehiyong impormasyon, at ang mga paglabag sa mga panuntunang ito ay maaaring magresulta sa mga propesyonal na parusa o iba pang mga parusa.
4. **Sibil na Pananagutan:**
- Bilang karagdagan sa mga parusang kriminal, ang mga indibidwal o entity na responsable para sa hindi awtorisadong pagsisiwalat ng mga privileged na komunikasyon ay maaari ding managot sa sibil para sa mga pinsalang idinulot.
- Maaaring magsampa ng mga kasong sibil upang humingi ng kabayaran para sa anumang pinsala o pagkalugi na natamo bilang resulta ng hindi awtorisadong pagsisiwalat, kabilang ang mga pinsala para sa pinsala sa reputasyon, pagkalugi sa pananalapi, o iba pang pinsala.
Mahalagang tandaan na ang hindi awtorisadong pagsisiwalat ng mga privileged na komunikasyon ay isang malubhang pagkakasala na maaaring magkaroon ng legal at reputasyon na kahihinatnan. Ang mga indibidwal o entidad na inakusahan ng krimeng ito ay may karapatan sa angkop na proseso at legal na representasyon. Maipapayo na humingi ng tulong mula sa isang kwalipikadong abogado para sa legal na payo at representasyon kung nahaharap sa mga singil na may kaugnayan sa hindi awtorisadong pagsisiwalat ng mga privileged na komunikasyon. Bukod pa rito, ang pagpigil sa hindi awtorisadong pagsisiwalat ay kadalasang nagsasangkot ng pagpapatupad ng naaangkop na mga hakbang sa seguridad, pagsasanay, at pagsunod sa mga nauugnay na batas at regulasyon.</v>
      </c>
      <c r="F2120" s="2">
        <f t="shared" si="1"/>
        <v>0</v>
      </c>
      <c r="G2120" s="2"/>
      <c r="H2120" s="2"/>
      <c r="I2120" s="2"/>
      <c r="J2120" s="2"/>
      <c r="K2120" s="2"/>
      <c r="L2120" s="2"/>
      <c r="M2120" s="2"/>
      <c r="N2120" s="2"/>
      <c r="O2120" s="2"/>
      <c r="P2120" s="2"/>
      <c r="Q2120" s="2"/>
      <c r="R2120" s="2"/>
      <c r="S2120" s="2"/>
      <c r="T2120" s="2"/>
      <c r="U2120" s="2"/>
      <c r="V2120" s="2"/>
      <c r="W2120" s="2"/>
      <c r="X2120" s="2"/>
      <c r="Y2120" s="2"/>
      <c r="Z2120" s="2"/>
      <c r="AA2120" s="2"/>
    </row>
    <row r="2121">
      <c r="A2121" s="1" t="s">
        <v>5061</v>
      </c>
      <c r="B2121" s="1" t="s">
        <v>5222</v>
      </c>
      <c r="C2121" s="1" t="s">
        <v>5223</v>
      </c>
      <c r="D2121" s="2" t="str">
        <f>IFERROR(__xludf.DUMMYFUNCTION("GOOGLETRANSLATE(B2121, ""en"", ""TL"")"),"Paano binibigyang kahulugan at pinaparusahan ang pagkakasala ng pagkukubli o pagtatago sa mga indibidwal na sangkot sa destabilisasyon?")</f>
        <v>Paano binibigyang kahulugan at pinaparusahan ang pagkakasala ng pagkukubli o pagtatago sa mga indibidwal na sangkot sa destabilisasyon?</v>
      </c>
      <c r="E2121" s="2" t="str">
        <f>IFERROR(__xludf.DUMMYFUNCTION("GOOGLETRANSLATE(C2121, ""en"", ""TL"")"),"Sa Pilipinas, ang pagkakasala ng pagkukubli o pagtatago sa mga indibidwal na sangkot sa destabilisasyon ay tinutugunan sa ilalim ng iba't ibang batas at regulasyon, depende sa mga partikular na kalagayan ng pagkakasala. Ang terminong ""destabilisasyon"" a"&amp;"y karaniwang tumutukoy sa mga gawaing naglalayong ibagsak o pahinain ang gobyerno o magdulot ng kaguluhan sa pulitika. Narito ang isang pangkalahatang-ideya kung paano matukoy at maparusahan ang pagkakasalang ito:
1. **Mga Batas sa Pambansang Seguridad:**"&amp;"
- Ang mga gawa ng pagkukubli o pagtatago sa mga indibidwal na sangkot sa destabilisasyon ay maaaring kasuhan sa ilalim ng mga batas sa pambansang seguridad, tulad ng Revised Penal Code (RPC) o Human Security Act of 2007 (Republic Act No. 9372), na tumutu"&amp;"gon sa mga gawa ng terorismo at mga kaugnay na pagkakasala .
2. **Binago ang Kodigo Penal (RPC):**
- Ang RPC ay naglalaman ng mga probisyon na may kaugnayan sa mga krimen laban sa pampublikong kaayusan, tulad ng paghihimagsik (Artikulo 134) o pag-uudyok s"&amp;"a sedisyon (Artikulo 142), na maaaring sumasaklaw sa mga pagkilos ng destabilisasyon.
- Maaaring kabilang sa mga parusa sa ilalim ng mga probisyong ito ang pagkakulong at mga multa, depende sa uri at kalubhaan ng pagkakasala at iba pang nagpapalubha na mg"&amp;"a pangyayari.
3. **Anti-Terrorism Act of 2020:**
- Ang Anti-Terrorism Act of 2020 (Republic Act No. 11479) ay nagbibigay ng mga hakbang upang maiwasan at labanan ang terorismo, kabilang ang mga pagkakasala na may kaugnayan sa pagsasabwatan upang gumawa ng"&amp;" terorismo o magbigay ng suporta sa mga terorista.
- Ang pagkukulong o pagtatago sa mga indibidwal na sangkot sa mga gawain ng terorismo o destabilisasyon ay maaaring kasuhan sa ilalim ng batas na ito, na may mga parusa kabilang ang pagkakulong mula labin"&amp;"dalawang taon hanggang habambuhay na pagkakakulong nang walang posibilidad ng parol, gayundin ng mga multa at iba pang legal na kahihinatnan.
4. **Ibang Kaugnay na Batas:**
- Depende sa partikular na katangian ng mga aktibidad sa destabilisasyon na kasang"&amp;"kot, ang iba pang mga batas at regulasyon ay maaari ding ilapat. Halimbawa, ang mga paglabag sa mga batas sa halalan, sedisyon, o pag-uudyok sa karahasan ay maaaring kasuhan sa ilalim ng mga nauugnay na batas.
5. **Civil Liability:**
- Bilang karagdagan s"&amp;"a mga parusang kriminal, ang mga indibidwal o entity na responsable sa pagkubli o pagtatago sa mga indibidwal na sangkot sa destabilisasyon ay maaari ding sibil na managot para sa mga pinsalang idinulot.
- Maaaring magsampa ng mga kasong sibil upang humin"&amp;"gi ng kabayaran para sa anumang pinsala o pagkalugi na natamo bilang resulta ng mga aktibidad ng destabilisasyon, kabilang ang mga pinsala para sa pinsala sa reputasyon, pagkalugi sa pananalapi, o iba pang pinsala.
Mahalagang tandaan na ang pagkakasala ng"&amp;" pagkukubli o pagtatago sa mga indibidwal na sangkot sa destabilisasyon ay isang seryosong bagay na may potensyal na legal at panlipunang mga kahihinatnan. Ang mga indibidwal o entidad na inakusahan ng paglabag na ito ay may karapatan sa angkop na proseso"&amp;" at legal na representasyon. Maipapayo na humingi ng tulong mula sa isang kwalipikadong abogado para sa legal na payo at representasyon kung nahaharap sa mga kasong may kaugnayan sa pagkukubli o pagtatago ng mga indibidwal na sangkot sa destabilisasyon. B"&amp;"ukod pa rito, ang pagpigil at pagtugon sa destabilisasyon ay kadalasang nagsasangkot ng pakikipagtulungan sa mga ahensyang nagpapatupad ng batas, mga awtoridad ng gobyerno, at mga nauugnay na stakeholder upang mapanatili ang kapayapaan, seguridad, at kata"&amp;"tagan.")</f>
        <v>Sa Pilipinas, ang pagkakasala ng pagkukubli o pagtatago sa mga indibidwal na sangkot sa destabilisasyon ay tinutugunan sa ilalim ng iba't ibang batas at regulasyon, depende sa mga partikular na kalagayan ng pagkakasala. Ang terminong "destabilisasyon" ay karaniwang tumutukoy sa mga gawaing naglalayong ibagsak o pahinain ang gobyerno o magdulot ng kaguluhan sa pulitika. Narito ang isang pangkalahatang-ideya kung paano matukoy at maparusahan ang pagkakasalang ito:
1. **Mga Batas sa Pambansang Seguridad:**
- Ang mga gawa ng pagkukubli o pagtatago sa mga indibidwal na sangkot sa destabilisasyon ay maaaring kasuhan sa ilalim ng mga batas sa pambansang seguridad, tulad ng Revised Penal Code (RPC) o Human Security Act of 2007 (Republic Act No. 9372), na tumutugon sa mga gawa ng terorismo at mga kaugnay na pagkakasala .
2. **Binago ang Kodigo Penal (RPC):**
- Ang RPC ay naglalaman ng mga probisyon na may kaugnayan sa mga krimen laban sa pampublikong kaayusan, tulad ng paghihimagsik (Artikulo 134) o pag-uudyok sa sedisyon (Artikulo 142), na maaaring sumasaklaw sa mga pagkilos ng destabilisasyon.
- Maaaring kabilang sa mga parusa sa ilalim ng mga probisyong ito ang pagkakulong at mga multa, depende sa uri at kalubhaan ng pagkakasala at iba pang nagpapalubha na mga pangyayari.
3. **Anti-Terrorism Act of 2020:**
- Ang Anti-Terrorism Act of 2020 (Republic Act No. 11479) ay nagbibigay ng mga hakbang upang maiwasan at labanan ang terorismo, kabilang ang mga pagkakasala na may kaugnayan sa pagsasabwatan upang gumawa ng terorismo o magbigay ng suporta sa mga terorista.
- Ang pagkukulong o pagtatago sa mga indibidwal na sangkot sa mga gawain ng terorismo o destabilisasyon ay maaaring kasuhan sa ilalim ng batas na ito, na may mga parusa kabilang ang pagkakulong mula labindalawang taon hanggang habambuhay na pagkakakulong nang walang posibilidad ng parol, gayundin ng mga multa at iba pang legal na kahihinatnan.
4. **Ibang Kaugnay na Batas:**
- Depende sa partikular na katangian ng mga aktibidad sa destabilisasyon na kasangkot, ang iba pang mga batas at regulasyon ay maaari ding ilapat. Halimbawa, ang mga paglabag sa mga batas sa halalan, sedisyon, o pag-uudyok sa karahasan ay maaaring kasuhan sa ilalim ng mga nauugnay na batas.
5. **Civil Liability:**
- Bilang karagdagan sa mga parusang kriminal, ang mga indibidwal o entity na responsable sa pagkubli o pagtatago sa mga indibidwal na sangkot sa destabilisasyon ay maaari ding sibil na managot para sa mga pinsalang idinulot.
- Maaaring magsampa ng mga kasong sibil upang humingi ng kabayaran para sa anumang pinsala o pagkalugi na natamo bilang resulta ng mga aktibidad ng destabilisasyon, kabilang ang mga pinsala para sa pinsala sa reputasyon, pagkalugi sa pananalapi, o iba pang pinsala.
Mahalagang tandaan na ang pagkakasala ng pagkukubli o pagtatago sa mga indibidwal na sangkot sa destabilisasyon ay isang seryosong bagay na may potensyal na legal at panlipunang mga kahihinatnan. Ang mga indibidwal o entidad na inakusahan ng paglabag na ito ay may karapatan sa angkop na proseso at legal na representasyon. Maipapayo na humingi ng tulong mula sa isang kwalipikadong abogado para sa legal na payo at representasyon kung nahaharap sa mga kasong may kaugnayan sa pagkukubli o pagtatago ng mga indibidwal na sangkot sa destabilisasyon. Bukod pa rito, ang pagpigil at pagtugon sa destabilisasyon ay kadalasang nagsasangkot ng pakikipagtulungan sa mga ahensyang nagpapatupad ng batas, mga awtoridad ng gobyerno, at mga nauugnay na stakeholder upang mapanatili ang kapayapaan, seguridad, at katatagan.</v>
      </c>
      <c r="F2121" s="2">
        <f t="shared" si="1"/>
        <v>0</v>
      </c>
      <c r="G2121" s="2"/>
      <c r="H2121" s="2"/>
      <c r="I2121" s="2"/>
      <c r="J2121" s="2"/>
      <c r="K2121" s="2"/>
      <c r="L2121" s="2"/>
      <c r="M2121" s="2"/>
      <c r="N2121" s="2"/>
      <c r="O2121" s="2"/>
      <c r="P2121" s="2"/>
      <c r="Q2121" s="2"/>
      <c r="R2121" s="2"/>
      <c r="S2121" s="2"/>
      <c r="T2121" s="2"/>
      <c r="U2121" s="2"/>
      <c r="V2121" s="2"/>
      <c r="W2121" s="2"/>
      <c r="X2121" s="2"/>
      <c r="Y2121" s="2"/>
      <c r="Z2121" s="2"/>
      <c r="AA2121" s="2"/>
    </row>
    <row r="2122">
      <c r="A2122" s="1" t="s">
        <v>5061</v>
      </c>
      <c r="B2122" s="1" t="s">
        <v>5224</v>
      </c>
      <c r="C2122" s="1" t="s">
        <v>5225</v>
      </c>
      <c r="D2122" s="2" t="str">
        <f>IFERROR(__xludf.DUMMYFUNCTION("GOOGLETRANSLATE(B2122, ""en"", ""TL"")"),"Anong mga legal na probisyon ang namamahala sa krimen ng pagharang sa mga operasyon ng pamahalaan sa pamamagitan ng cyberattacks at ang mga legal na kahihinatnan nito?")</f>
        <v>Anong mga legal na probisyon ang namamahala sa krimen ng pagharang sa mga operasyon ng pamahalaan sa pamamagitan ng cyberattacks at ang mga legal na kahihinatnan nito?</v>
      </c>
      <c r="E2122" s="2" t="str">
        <f>IFERROR(__xludf.DUMMYFUNCTION("GOOGLETRANSLATE(C2122, ""en"", ""TL"")"),"Sa Pilipinas, ang krimen ng pagharang sa mga operasyon ng gobyerno sa pamamagitan ng cyberattacks ay tinutugunan sa ilalim ng iba't ibang batas at regulasyon, partikular ang mga may kaugnayan sa cybercrime, pambansang seguridad, at kaayusan ng publiko. Na"&amp;"rito ang mga pangunahing legal na probisyon at ang kanilang kaukulang legal na kahihinatnan:
1. **Cybercrime Prevention Act of 2012 (Republic Act No. 10175):**
- Ang Cybercrime Prevention Act of 2012 ay naglalaman ng mga probisyon na nauugnay sa iba't iba"&amp;"ng cybercrimes, kabilang ang mga pagkakasala na nakakagambala sa mga computer system, data network, o kritikal na imprastraktura.
- Sa ilalim ng batas na ito, ang mga cyberattack na humahadlang sa mga operasyon ng pamahalaan, tulad ng mga pag-atake ng Dis"&amp;"tributed Denial of Service (DDoS) na nagta-target sa mga website o network ng pamahalaan, ay maaaring kasuhan.
- Maaaring kabilang sa mga parusa sa ilalim ng Cybercrime Prevention Act ang pagkakulong at mga multa, depende sa partikular na pagkakasalang gi"&amp;"nawa at iba pang nagpapalubha na mga pangyayari.
2. **Anti-Terrorism Act of 2020 (Republic Act No. 11479):**
- Ang Anti-Terrorism Act of 2020 ay nagbibigay ng mga hakbang upang maiwasan at labanan ang terorismo, kabilang ang mga pagkakasala na may kaugnay"&amp;"an sa cyberterrorism o cyberattacks na naglalayong hadlangan ang mga operasyon ng pamahalaan.
- Ang mga cyberattack na nakakagambala sa mga serbisyo ng gobyerno, kritikal na imprastraktura, o pambansang seguridad ay maaaring kasuhan sa ilalim ng batas na "&amp;"ito.
- Maaaring kabilang sa mga parusa sa ilalim ng Anti-Terrorism Act ang pagkakulong mula labindalawang taon hanggang habambuhay na pagkakakulong nang walang posibilidad ng parol, gayundin ang mga multa at iba pang legal na kahihinatnan.
3. **Binago ang"&amp;" Kodigo Penal (RPC):**
- Ang RPC ay naglalaman ng mga probisyon na may kaugnayan sa mga krimen laban sa pampublikong kaayusan at pambansang seguridad, tulad ng rebelyon (Artikulo 134) o pag-uudyok sa sedisyon (Artikulo 142), na maaaring sumasaklaw sa mga "&amp;"gawa ng cyberattacks na naglalayong hadlangan ang mga operasyon ng pamahalaan.
- Maaaring kabilang sa mga parusa sa ilalim ng RPC ang pagkakulong at mga multa, depende sa partikular na pagkakasala na ginawa at iba pang nagpapalubha na mga pangyayari.
4. *"&amp;"*Data Privacy Act of 2012 (Republic Act No. 10173):**
- Ang Data Privacy Act of 2012 ay naglalaman ng mga probisyon na may kaugnayan sa proteksyon ng personal na data at impormasyon.
- Ang mga cyberattack na may kinalaman sa hindi awtorisadong pag-access "&amp;"sa mga database ng pamahalaan o ang hindi awtorisadong pagbubunyag ng sensitibong impormasyon ng pamahalaan ay maaaring lumabag sa batas na ito.
- Maaaring kabilang sa mga parusa sa ilalim ng Data Privacy Act ang pagkakulong mula sa isang taon hanggang an"&amp;"im na taon at/o mga multa mula ₱500,000 hanggang ₱5,000,000, depende sa mga partikular na probisyon na nilabag.
5. **Iba pang Mga Kaugnay na Batas:**
- Depende sa partikular na katangian ng mga cyberattack at ang epekto nito sa mga pagpapatakbo ng pamahal"&amp;"aan, ang iba pang mga batas at regulasyon ay maaari ding ilapat. Maaaring kabilang dito ang mga batas na nauugnay sa pambansang seguridad, telekomunikasyon, o kritikal na proteksyon sa imprastraktura.
Mahalagang tandaan na ang mga legal na kahihinatnan pa"&amp;"ra sa pagharang sa mga operasyon ng pamahalaan sa pamamagitan ng cyberattacks ay maaaring maging malubha, dahil sa potensyal na epekto sa kaligtasan ng publiko, seguridad, at paggana ng mga serbisyo ng pamahalaan. Ang mga indibidwal o entidad na inakusaha"&amp;"n ng naturang mga pagkakasala ay may karapatan sa angkop na proseso at legal na representasyon. Maipapayo na humingi ng tulong sa isang kwalipikadong abogado para sa legal na payo at representasyon kung nahaharap sa mga kasong may kaugnayan sa pagharang s"&amp;"a mga operasyon ng pamahalaan sa pamamagitan ng cyberattacks. Bukod pa rito, ang pagpigil at pagtugon sa mga cyberattack ay kadalasang nagsasangkot ng pakikipagtulungan sa mga ahensyang nagpapatupad ng batas, mga awtoridad ng gobyerno, at mga nauugnay na "&amp;"stakeholder upang matiyak ang seguridad at integridad ng mga digital na imprastraktura at serbisyo.")</f>
        <v>Sa Pilipinas, ang krimen ng pagharang sa mga operasyon ng gobyerno sa pamamagitan ng cyberattacks ay tinutugunan sa ilalim ng iba't ibang batas at regulasyon, partikular ang mga may kaugnayan sa cybercrime, pambansang seguridad, at kaayusan ng publiko. Narito ang mga pangunahing legal na probisyon at ang kanilang kaukulang legal na kahihinatnan:
1. **Cybercrime Prevention Act of 2012 (Republic Act No. 10175):**
- Ang Cybercrime Prevention Act of 2012 ay naglalaman ng mga probisyon na nauugnay sa iba't ibang cybercrimes, kabilang ang mga pagkakasala na nakakagambala sa mga computer system, data network, o kritikal na imprastraktura.
- Sa ilalim ng batas na ito, ang mga cyberattack na humahadlang sa mga operasyon ng pamahalaan, tulad ng mga pag-atake ng Distributed Denial of Service (DDoS) na nagta-target sa mga website o network ng pamahalaan, ay maaaring kasuhan.
- Maaaring kabilang sa mga parusa sa ilalim ng Cybercrime Prevention Act ang pagkakulong at mga multa, depende sa partikular na pagkakasalang ginawa at iba pang nagpapalubha na mga pangyayari.
2. **Anti-Terrorism Act of 2020 (Republic Act No. 11479):**
- Ang Anti-Terrorism Act of 2020 ay nagbibigay ng mga hakbang upang maiwasan at labanan ang terorismo, kabilang ang mga pagkakasala na may kaugnayan sa cyberterrorism o cyberattacks na naglalayong hadlangan ang mga operasyon ng pamahalaan.
- Ang mga cyberattack na nakakagambala sa mga serbisyo ng gobyerno, kritikal na imprastraktura, o pambansang seguridad ay maaaring kasuhan sa ilalim ng batas na ito.
- Maaaring kabilang sa mga parusa sa ilalim ng Anti-Terrorism Act ang pagkakulong mula labindalawang taon hanggang habambuhay na pagkakakulong nang walang posibilidad ng parol, gayundin ang mga multa at iba pang legal na kahihinatnan.
3. **Binago ang Kodigo Penal (RPC):**
- Ang RPC ay naglalaman ng mga probisyon na may kaugnayan sa mga krimen laban sa pampublikong kaayusan at pambansang seguridad, tulad ng rebelyon (Artikulo 134) o pag-uudyok sa sedisyon (Artikulo 142), na maaaring sumasaklaw sa mga gawa ng cyberattacks na naglalayong hadlangan ang mga operasyon ng pamahalaan.
- Maaaring kabilang sa mga parusa sa ilalim ng RPC ang pagkakulong at mga multa, depende sa partikular na pagkakasala na ginawa at iba pang nagpapalubha na mga pangyayari.
4. **Data Privacy Act of 2012 (Republic Act No. 10173):**
- Ang Data Privacy Act of 2012 ay naglalaman ng mga probisyon na may kaugnayan sa proteksyon ng personal na data at impormasyon.
- Ang mga cyberattack na may kinalaman sa hindi awtorisadong pag-access sa mga database ng pamahalaan o ang hindi awtorisadong pagbubunyag ng sensitibong impormasyon ng pamahalaan ay maaaring lumabag sa batas na ito.
- Maaaring kabilang sa mga parusa sa ilalim ng Data Privacy Act ang pagkakulong mula sa isang taon hanggang anim na taon at/o mga multa mula ₱500,000 hanggang ₱5,000,000, depende sa mga partikular na probisyon na nilabag.
5. **Iba pang Mga Kaugnay na Batas:**
- Depende sa partikular na katangian ng mga cyberattack at ang epekto nito sa mga pagpapatakbo ng pamahalaan, ang iba pang mga batas at regulasyon ay maaari ding ilapat. Maaaring kabilang dito ang mga batas na nauugnay sa pambansang seguridad, telekomunikasyon, o kritikal na proteksyon sa imprastraktura.
Mahalagang tandaan na ang mga legal na kahihinatnan para sa pagharang sa mga operasyon ng pamahalaan sa pamamagitan ng cyberattacks ay maaaring maging malubha, dahil sa potensyal na epekto sa kaligtasan ng publiko, seguridad, at paggana ng mga serbisyo ng pamahalaan. Ang mga indibidwal o entidad na inakusahan ng naturang mga pagkakasala ay may karapatan sa angkop na proseso at legal na representasyon. Maipapayo na humingi ng tulong sa isang kwalipikadong abogado para sa legal na payo at representasyon kung nahaharap sa mga kasong may kaugnayan sa pagharang sa mga operasyon ng pamahalaan sa pamamagitan ng cyberattacks. Bukod pa rito, ang pagpigil at pagtugon sa mga cyberattack ay kadalasang nagsasangkot ng pakikipagtulungan sa mga ahensyang nagpapatupad ng batas, mga awtoridad ng gobyerno, at mga nauugnay na stakeholder upang matiyak ang seguridad at integridad ng mga digital na imprastraktura at serbisyo.</v>
      </c>
      <c r="F2122" s="2">
        <f t="shared" si="1"/>
        <v>0</v>
      </c>
      <c r="G2122" s="2"/>
      <c r="H2122" s="2"/>
      <c r="I2122" s="2"/>
      <c r="J2122" s="2"/>
      <c r="K2122" s="2"/>
      <c r="L2122" s="2"/>
      <c r="M2122" s="2"/>
      <c r="N2122" s="2"/>
      <c r="O2122" s="2"/>
      <c r="P2122" s="2"/>
      <c r="Q2122" s="2"/>
      <c r="R2122" s="2"/>
      <c r="S2122" s="2"/>
      <c r="T2122" s="2"/>
      <c r="U2122" s="2"/>
      <c r="V2122" s="2"/>
      <c r="W2122" s="2"/>
      <c r="X2122" s="2"/>
      <c r="Y2122" s="2"/>
      <c r="Z2122" s="2"/>
      <c r="AA2122" s="2"/>
    </row>
    <row r="2123">
      <c r="A2123" s="1" t="s">
        <v>5061</v>
      </c>
      <c r="B2123" s="1" t="s">
        <v>5226</v>
      </c>
      <c r="C2123" s="1" t="s">
        <v>5227</v>
      </c>
      <c r="D2123" s="2" t="str">
        <f>IFERROR(__xludf.DUMMYFUNCTION("GOOGLETRANSLATE(B2123, ""en"", ""TL"")"),"Sa ilalim ng anong mga pangyayari ang isang tao ay maaaring makasuhan ng krimen ng pagkukubli o pagtatago sa mga indibidwal na nagkasala ng subersyon?")</f>
        <v>Sa ilalim ng anong mga pangyayari ang isang tao ay maaaring makasuhan ng krimen ng pagkukubli o pagtatago sa mga indibidwal na nagkasala ng subersyon?</v>
      </c>
      <c r="E2123" s="2" t="str">
        <f>IFERROR(__xludf.DUMMYFUNCTION("GOOGLETRANSLATE(C2123, ""en"", ""TL"")"),"Mahalagang tandaan na habang ang subversion ay talagang isang seryosong pagkakasala, ang mga partikular na parusa para sa pag-iingat o pagtatago sa mga indibidwal na nagkasala ng subversion ay maaaring mag-iba depende sa mga kalagayan ng kaso at sa pagpap"&amp;"asya ng hukuman. Bukod pa rito, ang kalubhaan ng mga parusa ay maaaring maimpluwensyahan ng mga salik gaya ng antas ng pagkakasangkot, ang lawak ng pinsalang dulot, at ang potensyal na banta sa pambansang seguridad.
Ang mga legal na probisyon tungkol sa s"&amp;"ubversion at mga kaugnay na paglabag ay naglalayong pangalagaan ang integridad ng gobyerno at mapangalagaan ang pambansang seguridad. Samakatuwid, ang mga indibidwal ay dapat na umiwas sa paggawa ng mga aktibidad na sumisira sa itinatag na awtoridad at ma"&amp;"ghangad na sirain ang istruktura ng pamamahala ng bansa. Ang pagsunod sa batas ay mahalaga sa pagpapanatili ng kapayapaan, kaayusan, at katatagan sa loob ng bansa.")</f>
        <v>Mahalagang tandaan na habang ang subversion ay talagang isang seryosong pagkakasala, ang mga partikular na parusa para sa pag-iingat o pagtatago sa mga indibidwal na nagkasala ng subversion ay maaaring mag-iba depende sa mga kalagayan ng kaso at sa pagpapasya ng hukuman. Bukod pa rito, ang kalubhaan ng mga parusa ay maaaring maimpluwensyahan ng mga salik gaya ng antas ng pagkakasangkot, ang lawak ng pinsalang dulot, at ang potensyal na banta sa pambansang seguridad.
Ang mga legal na probisyon tungkol sa subversion at mga kaugnay na paglabag ay naglalayong pangalagaan ang integridad ng gobyerno at mapangalagaan ang pambansang seguridad. Samakatuwid, ang mga indibidwal ay dapat na umiwas sa paggawa ng mga aktibidad na sumisira sa itinatag na awtoridad at maghangad na sirain ang istruktura ng pamamahala ng bansa. Ang pagsunod sa batas ay mahalaga sa pagpapanatili ng kapayapaan, kaayusan, at katatagan sa loob ng bansa.</v>
      </c>
      <c r="F2123" s="2">
        <f t="shared" si="1"/>
        <v>0</v>
      </c>
      <c r="G2123" s="2"/>
      <c r="H2123" s="2"/>
      <c r="I2123" s="2"/>
      <c r="J2123" s="2"/>
      <c r="K2123" s="2"/>
      <c r="L2123" s="2"/>
      <c r="M2123" s="2"/>
      <c r="N2123" s="2"/>
      <c r="O2123" s="2"/>
      <c r="P2123" s="2"/>
      <c r="Q2123" s="2"/>
      <c r="R2123" s="2"/>
      <c r="S2123" s="2"/>
      <c r="T2123" s="2"/>
      <c r="U2123" s="2"/>
      <c r="V2123" s="2"/>
      <c r="W2123" s="2"/>
      <c r="X2123" s="2"/>
      <c r="Y2123" s="2"/>
      <c r="Z2123" s="2"/>
      <c r="AA2123" s="2"/>
    </row>
    <row r="2124">
      <c r="A2124" s="1" t="s">
        <v>5061</v>
      </c>
      <c r="B2124" s="1" t="s">
        <v>5228</v>
      </c>
      <c r="C2124" s="1" t="s">
        <v>5229</v>
      </c>
      <c r="D2124" s="2" t="str">
        <f>IFERROR(__xludf.DUMMYFUNCTION("GOOGLETRANSLATE(B2124, ""en"", ""TL"")"),"Paano tinutugunan ng batas ang mga insidente ng hindi awtorisadong pagmamay-ari at paggamit ng mga classified na dokumento at ang mga legal na kahihinatnan nito?")</f>
        <v>Paano tinutugunan ng batas ang mga insidente ng hindi awtorisadong pagmamay-ari at paggamit ng mga classified na dokumento at ang mga legal na kahihinatnan nito?</v>
      </c>
      <c r="E2124" s="2" t="str">
        <f>IFERROR(__xludf.DUMMYFUNCTION("GOOGLETRANSLATE(C2124, ""en"", ""TL"")"),"Sa Pilipinas, ang mga insidente ng hindi awtorisadong pagmamay-ari at paggamit ng mga classified na dokumento ay tinutugunan sa ilalim ng iba't ibang batas at regulasyon, partikular na ang mga may kaugnayan sa pambansang seguridad, seguridad ng impormasyo"&amp;"n, at privacy ng data. Ang hindi awtorisadong pagmamay-ari at paggamit ng mga naiuri na dokumento ay maaaring may kinalaman sa pag-access, pagkuha, o pagpapakalat ng sensitibo o kumpidensyal na impormasyon nang walang wastong pahintulot. Narito kung paano"&amp;" karaniwang tinutugunan ng batas ang mga naturang insidente at ang kanilang mga legal na kahihinatnan:
1. **Mga Batas sa Pambansang Seguridad:**
- Ang hindi awtorisadong pagmamay-ari at paggamit ng mga classified na dokumento ay maaaring maging mga paglab"&amp;"ag sa mga batas ng pambansang seguridad, gaya ng Revised Penal Code (RPC) o National Security Act.
- Sa ilalim ng mga batas na ito, ang mga indibidwal o entity na napatunayang nagkasala ng hindi awtorisadong pagmamay-ari at paggamit ng mga classified na d"&amp;"okumento ay maaaring humarap sa kriminal na pag-uusig at mga parusa, kabilang ang pagkakulong at mga multa, depende sa partikular na pagkakasala na ginawa at iba pang nagpapalubha na mga pangyayari.
2. **Opisyal na Secrets Act:**
- Bagama't walang partiku"&amp;"lar na ""Official Secrets Act"" ang Pilipinas tulad ng ilang ibang bansa, ang mga probisyon na may kaugnayan sa proteksyon ng classified na impormasyon ay maaaring matagpuan sa iba't ibang batas, regulasyon, at patakaran ng pamahalaan.
- Ang hindi awtoris"&amp;"adong pagmamay-ari at paggamit ng mga classified na dokumento ay maaaring kasuhan sa ilalim ng mga nauugnay na probisyon ng mga umiiral na batas at regulasyon na namamahala sa lihim ng pamahalaan, pagiging kumpidensyal, at pambansang seguridad.
3. **Data "&amp;"Privacy Act of 2012 (Republic Act No. 10173):**
- Ang Data Privacy Act of 2012 ay naglalaman ng mga probisyon na may kaugnayan sa proteksyon ng personal na data at impormasyon, kabilang ang sensitibo o kumpidensyal na impormasyong hawak ng mga ahensya ng "&amp;"gobyerno o pribadong entity.
- Ang hindi awtorisadong pagmamay-ari at paggamit ng mga classified na dokumento na naglalaman ng personal o sensitibong impormasyon ay maaaring lumabag sa batas na ito.
- Maaaring kabilang sa mga parusa sa ilalim ng Data Priv"&amp;"acy Act ang pagkakulong mula sa isang taon hanggang anim na taon at/o mga multa mula ₱500,000 hanggang ₱5,000,000, depende sa mga partikular na probisyon na nilabag.
4. **Ibang Kaugnay na Batas:**
- Depende sa uri at nilalaman ng mga klasipikadong dokumen"&amp;"tong kasangkot, ang iba pang mga batas at regulasyon ay maaari ding ilapat. Maaaring kabilang dito ang mga batas na nauugnay sa seguridad ng impormasyon, intelektwal na ari-arian, o transparency at pananagutan ng gobyerno.
5. **Civil Liability:**
- Bilang"&amp;" karagdagan sa mga parusang kriminal, ang mga indibidwal o entity na responsable para sa hindi awtorisadong pagmamay-ari at paggamit ng mga classified na dokumento ay maaari ding managot sa sibil para sa mga pinsalang idinulot.
- Maaaring magsampa ng mga "&amp;"kasong sibil upang humingi ng kabayaran para sa anumang pinsala o pagkalugi na natamo bilang resulta ng hindi awtorisadong pagmamay-ari at paggamit ng mga classified na dokumento, kabilang ang mga pinsala para sa pinsala sa reputasyon, pagkalugi sa panana"&amp;"lapi, o iba pang pinsala.
Mahalagang tandaan na ang mga legal na kahihinatnan para sa hindi awtorisadong pagmamay-ari at paggamit ng mga classified na dokumento ay maaaring malubha, dahil sa potensyal na epekto sa pambansang seguridad, kaligtasan ng publi"&amp;"ko, at mga indibidwal na karapatan sa privacy. Ang mga indibidwal o entidad na inakusahan ng naturang mga pagkakasala ay may karapatan sa angkop na proseso at legal na representasyon. Maipapayo na humingi ng tulong mula sa isang kwalipikadong abogado para"&amp;" sa legal na payo at representasyon kung nahaharap sa mga kasong may kaugnayan sa hindi awtorisadong pagmamay-ari at paggamit ng mga classified na dokumento. Bukod pa rito, ang pagpigil at pagtugon sa mga ganitong insidente ay kadalasang nagsasangkot ng p"&amp;"agpapatupad ng naaangkop na mga hakbang sa seguridad, pagsasanay, at pagsunod sa mga nauugnay na batas at regulasyon.")</f>
        <v>Sa Pilipinas, ang mga insidente ng hindi awtorisadong pagmamay-ari at paggamit ng mga classified na dokumento ay tinutugunan sa ilalim ng iba't ibang batas at regulasyon, partikular na ang mga may kaugnayan sa pambansang seguridad, seguridad ng impormasyon, at privacy ng data. Ang hindi awtorisadong pagmamay-ari at paggamit ng mga naiuri na dokumento ay maaaring may kinalaman sa pag-access, pagkuha, o pagpapakalat ng sensitibo o kumpidensyal na impormasyon nang walang wastong pahintulot. Narito kung paano karaniwang tinutugunan ng batas ang mga naturang insidente at ang kanilang mga legal na kahihinatnan:
1. **Mga Batas sa Pambansang Seguridad:**
- Ang hindi awtorisadong pagmamay-ari at paggamit ng mga classified na dokumento ay maaaring maging mga paglabag sa mga batas ng pambansang seguridad, gaya ng Revised Penal Code (RPC) o National Security Act.
- Sa ilalim ng mga batas na ito, ang mga indibidwal o entity na napatunayang nagkasala ng hindi awtorisadong pagmamay-ari at paggamit ng mga classified na dokumento ay maaaring humarap sa kriminal na pag-uusig at mga parusa, kabilang ang pagkakulong at mga multa, depende sa partikular na pagkakasala na ginawa at iba pang nagpapalubha na mga pangyayari.
2. **Opisyal na Secrets Act:**
- Bagama't walang partikular na "Official Secrets Act" ang Pilipinas tulad ng ilang ibang bansa, ang mga probisyon na may kaugnayan sa proteksyon ng classified na impormasyon ay maaaring matagpuan sa iba't ibang batas, regulasyon, at patakaran ng pamahalaan.
- Ang hindi awtorisadong pagmamay-ari at paggamit ng mga classified na dokumento ay maaaring kasuhan sa ilalim ng mga nauugnay na probisyon ng mga umiiral na batas at regulasyon na namamahala sa lihim ng pamahalaan, pagiging kumpidensyal, at pambansang seguridad.
3. **Data Privacy Act of 2012 (Republic Act No. 10173):**
- Ang Data Privacy Act of 2012 ay naglalaman ng mga probisyon na may kaugnayan sa proteksyon ng personal na data at impormasyon, kabilang ang sensitibo o kumpidensyal na impormasyong hawak ng mga ahensya ng gobyerno o pribadong entity.
- Ang hindi awtorisadong pagmamay-ari at paggamit ng mga classified na dokumento na naglalaman ng personal o sensitibong impormasyon ay maaaring lumabag sa batas na ito.
- Maaaring kabilang sa mga parusa sa ilalim ng Data Privacy Act ang pagkakulong mula sa isang taon hanggang anim na taon at/o mga multa mula ₱500,000 hanggang ₱5,000,000, depende sa mga partikular na probisyon na nilabag.
4. **Ibang Kaugnay na Batas:**
- Depende sa uri at nilalaman ng mga klasipikadong dokumentong kasangkot, ang iba pang mga batas at regulasyon ay maaari ding ilapat. Maaaring kabilang dito ang mga batas na nauugnay sa seguridad ng impormasyon, intelektwal na ari-arian, o transparency at pananagutan ng gobyerno.
5. **Civil Liability:**
- Bilang karagdagan sa mga parusang kriminal, ang mga indibidwal o entity na responsable para sa hindi awtorisadong pagmamay-ari at paggamit ng mga classified na dokumento ay maaari ding managot sa sibil para sa mga pinsalang idinulot.
- Maaaring magsampa ng mga kasong sibil upang humingi ng kabayaran para sa anumang pinsala o pagkalugi na natamo bilang resulta ng hindi awtorisadong pagmamay-ari at paggamit ng mga classified na dokumento, kabilang ang mga pinsala para sa pinsala sa reputasyon, pagkalugi sa pananalapi, o iba pang pinsala.
Mahalagang tandaan na ang mga legal na kahihinatnan para sa hindi awtorisadong pagmamay-ari at paggamit ng mga classified na dokumento ay maaaring malubha, dahil sa potensyal na epekto sa pambansang seguridad, kaligtasan ng publiko, at mga indibidwal na karapatan sa privacy. Ang mga indibidwal o entidad na inakusahan ng naturang mga pagkakasala ay may karapatan sa angkop na proseso at legal na representasyon. Maipapayo na humingi ng tulong mula sa isang kwalipikadong abogado para sa legal na payo at representasyon kung nahaharap sa mga kasong may kaugnayan sa hindi awtorisadong pagmamay-ari at paggamit ng mga classified na dokumento. Bukod pa rito, ang pagpigil at pagtugon sa mga ganitong insidente ay kadalasang nagsasangkot ng pagpapatupad ng naaangkop na mga hakbang sa seguridad, pagsasanay, at pagsunod sa mga nauugnay na batas at regulasyon.</v>
      </c>
      <c r="F2124" s="2">
        <f t="shared" si="1"/>
        <v>0</v>
      </c>
      <c r="G2124" s="2"/>
      <c r="H2124" s="2"/>
      <c r="I2124" s="2"/>
      <c r="J2124" s="2"/>
      <c r="K2124" s="2"/>
      <c r="L2124" s="2"/>
      <c r="M2124" s="2"/>
      <c r="N2124" s="2"/>
      <c r="O2124" s="2"/>
      <c r="P2124" s="2"/>
      <c r="Q2124" s="2"/>
      <c r="R2124" s="2"/>
      <c r="S2124" s="2"/>
      <c r="T2124" s="2"/>
      <c r="U2124" s="2"/>
      <c r="V2124" s="2"/>
      <c r="W2124" s="2"/>
      <c r="X2124" s="2"/>
      <c r="Y2124" s="2"/>
      <c r="Z2124" s="2"/>
      <c r="AA2124" s="2"/>
    </row>
    <row r="2125">
      <c r="A2125" s="1" t="s">
        <v>5061</v>
      </c>
      <c r="B2125" s="1" t="s">
        <v>5230</v>
      </c>
      <c r="C2125" s="1" t="s">
        <v>5231</v>
      </c>
      <c r="D2125" s="2" t="str">
        <f>IFERROR(__xludf.DUMMYFUNCTION("GOOGLETRANSLATE(B2125, ""en"", ""TL"")"),"Anong mga parusa ang naaangkop para sa pagsali sa krimen ng hindi awtorisadong pagsisiwalat ng kumpidensyal na impormasyon sa mga hindi awtorisadong tao?")</f>
        <v>Anong mga parusa ang naaangkop para sa pagsali sa krimen ng hindi awtorisadong pagsisiwalat ng kumpidensyal na impormasyon sa mga hindi awtorisadong tao?</v>
      </c>
      <c r="E2125" s="2" t="str">
        <f>IFERROR(__xludf.DUMMYFUNCTION("GOOGLETRANSLATE(C2125, ""en"", ""TL"")"),"Ang mga parusa para sa hindi awtorisadong pagsisiwalat ng kumpidensyal na impormasyon sa Pilipinas ay nakasalalay sa uri ng impormasyong isiniwalat, ang konteksto ng sitwasyon, at ang mga partikular na batas na kasangkot. Narito ang isang breakdown ng mga"&amp;" potensyal na kahihinatnan:
Batas sa Privacy ng Data (RA 10173):
Nakatuon ang batas na ito sa pagprotekta sa personal na impormasyon. Ang hindi awtorisadong pagsisiwalat ay maaaring humantong sa:
Mga parusang administratibo ng National Privacy Commission "&amp;"(NPC):
Itigil at itigil ang mga utos: Pagbabawal sa karagdagang pagproseso ng impormasyon.
Mga multa: Mula P500,000 hanggang P5,000,000 depende sa uri at kalubhaan ng paglabag.
Binagong Kodigo Penal (RPC):
Artikulo 265 (Espionage): Nalalapat kapag may kin"&amp;"alaman ang classified information. Ito ay nagpaparusa:
Pangangalap ng inuri-uri na impormasyon nang walang pahintulot.
Ang pagkakaroon ng classified information nang walang legal na awtoridad.
Paghahatid ng inuri-uri na impormasyon sa mga hindi awtorisado"&amp;"ng tao. (Reclusion temporal maximum to reclusion perpetua: 12 taon 1 araw hanggang 40 taon na pagkakakulong).
Pag-publish ng classified information.
Artikulo 318 (Kalokohan): Tumutugon sa mga sitwasyon kung saan nagdudulot ng pinsala o pagkiling ang pagsi"&amp;"siwalat ng hindi na-classified na kumpidensyal na impormasyon.
Nag-iiba ang parusa batay sa lawak ng pinsala:
Destierro: Kung lumampas sa 300 pesos ang damage pero hindi lalampas sa 5,000 pesos.
Prision correccional sa minimum at medium periods nito: Kung"&amp;" ang pinsala ay higit sa 5,000 pesos ngunit mas mababa sa 30,000 pesos.")</f>
        <v>Ang mga parusa para sa hindi awtorisadong pagsisiwalat ng kumpidensyal na impormasyon sa Pilipinas ay nakasalalay sa uri ng impormasyong isiniwalat, ang konteksto ng sitwasyon, at ang mga partikular na batas na kasangkot. Narito ang isang breakdown ng mga potensyal na kahihinatnan:
Batas sa Privacy ng Data (RA 10173):
Nakatuon ang batas na ito sa pagprotekta sa personal na impormasyon. Ang hindi awtorisadong pagsisiwalat ay maaaring humantong sa:
Mga parusang administratibo ng National Privacy Commission (NPC):
Itigil at itigil ang mga utos: Pagbabawal sa karagdagang pagproseso ng impormasyon.
Mga multa: Mula P500,000 hanggang P5,000,000 depende sa uri at kalubhaan ng paglabag.
Binagong Kodigo Penal (RPC):
Artikulo 265 (Espionage): Nalalapat kapag may kinalaman ang classified information. Ito ay nagpaparusa:
Pangangalap ng inuri-uri na impormasyon nang walang pahintulot.
Ang pagkakaroon ng classified information nang walang legal na awtoridad.
Paghahatid ng inuri-uri na impormasyon sa mga hindi awtorisadong tao. (Reclusion temporal maximum to reclusion perpetua: 12 taon 1 araw hanggang 40 taon na pagkakakulong).
Pag-publish ng classified information.
Artikulo 318 (Kalokohan): Tumutugon sa mga sitwasyon kung saan nagdudulot ng pinsala o pagkiling ang pagsisiwalat ng hindi na-classified na kumpidensyal na impormasyon.
Nag-iiba ang parusa batay sa lawak ng pinsala:
Destierro: Kung lumampas sa 300 pesos ang damage pero hindi lalampas sa 5,000 pesos.
Prision correccional sa minimum at medium periods nito: Kung ang pinsala ay higit sa 5,000 pesos ngunit mas mababa sa 30,000 pesos.</v>
      </c>
      <c r="F2125" s="2">
        <f t="shared" si="1"/>
        <v>0</v>
      </c>
      <c r="G2125" s="2"/>
      <c r="H2125" s="2"/>
      <c r="I2125" s="2"/>
      <c r="J2125" s="2"/>
      <c r="K2125" s="2"/>
      <c r="L2125" s="2"/>
      <c r="M2125" s="2"/>
      <c r="N2125" s="2"/>
      <c r="O2125" s="2"/>
      <c r="P2125" s="2"/>
      <c r="Q2125" s="2"/>
      <c r="R2125" s="2"/>
      <c r="S2125" s="2"/>
      <c r="T2125" s="2"/>
      <c r="U2125" s="2"/>
      <c r="V2125" s="2"/>
      <c r="W2125" s="2"/>
      <c r="X2125" s="2"/>
      <c r="Y2125" s="2"/>
      <c r="Z2125" s="2"/>
      <c r="AA2125" s="2"/>
    </row>
    <row r="2126">
      <c r="A2126" s="1" t="s">
        <v>5061</v>
      </c>
      <c r="B2126" s="1" t="s">
        <v>5232</v>
      </c>
      <c r="C2126" s="1" t="s">
        <v>5233</v>
      </c>
      <c r="D2126" s="2" t="str">
        <f>IFERROR(__xludf.DUMMYFUNCTION("GOOGLETRANSLATE(B2126, ""en"", ""TL"")"),"Paano tinukoy at pinaparusahan ang pagkakasala ng pagkukubli o pagtatago sa mga indibidwal na sangkot sa paghihimagsik o pag-aalsa?")</f>
        <v>Paano tinukoy at pinaparusahan ang pagkakasala ng pagkukubli o pagtatago sa mga indibidwal na sangkot sa paghihimagsik o pag-aalsa?</v>
      </c>
      <c r="E2126" s="2" t="str">
        <f>IFERROR(__xludf.DUMMYFUNCTION("GOOGLETRANSLATE(C2126, ""en"", ""TL"")"),"Sa Pilipinas, ang pagkakasala ng pagkukubli o pagtatago sa mga indibidwal na sangkot sa paghihimagsik o pag-aalsa ay pangunahing tinutugunan sa ilalim ng Revised Penal Code (RPC), partikular sa ilalim ng mga krimen laban sa pampublikong kaayusan at mga kr"&amp;"imen laban sa batas ng mga bansa. Narito kung paano tinukoy at pinaparusahan ang pagkakasala:
1. **Kahulugan ng Pagkakasala:**
- Ang pagkukubli o pagtatago sa mga indibidwal na sangkot sa paghihimagsik o pag-aalsa ay tumutukoy sa pagkilos ng sadyang pagbi"&amp;"bigay ng kanlungan, kanlungan, o tulong sa mga taong nakagawa o sangkot sa mga pagkilos ng paghihimagsik o pag-aalsa laban sa gobyerno.
- Ang paghihimagsik ay nagsasangkot ng mga pagkilos ng karahasan o armadong paglaban laban sa awtoridad ng pamahalaan, "&amp;"habang ang insureksyon ay tumutukoy sa pagbangon laban sa awtoridad ng sibil o pulitikal.
2. **Mga Parusa sa ilalim ng Binagong Kodigo Penal:**
- Ang mga indibidwal na napatunayang nagkasala ng pagkukunwari o pagtatago ng mga indibidwal na sangkot sa pagh"&amp;"ihimagsik o pag-aalsa ay maaaring kasuhan sa ilalim ng nauugnay na mga probisyon ng Binagong Kodigo Penal.
- Sa ilalim ng RPC, ang rebelyon (Artikulo 134) at insureksyon (Artikulo 136) ay may parusang pagkakulong mula sa reclusion perpetua (pagkakulong ng"&amp;" 20 taon at 1 araw hanggang 40 taon) hanggang kamatayan, depende sa kalubhaan ng pagkakasala at iba pang nagpapalubha na pangyayari .
- Ang pagkukulong o pagtatago sa mga indibidwal na sangkot sa paghihimagsik o pag-aalsa ay maaaring ituring na isang gawa"&amp;" ng pagtulong o pagsang-ayon sa paghihimagsik o pag-aalsa, at ang mga indibidwal na napatunayang nagkasala ay maaaring humarap sa mga katulad na parusa gaya ng mga direktang sangkot sa paghihimagsik o insureksyon.
3. **Ibang Legal na Bunga:**
- Bilang kar"&amp;"agdagan sa mga parusang kriminal, ang mga indibidwal o entity na responsable sa pagkubli o pagtatago sa mga indibidwal na sangkot sa paghihimagsik o pag-aalsa ay maaari ding harapin ang iba pang mga legal na kahihinatnan, tulad ng pagkumpiska ng mga ari-a"&amp;"rian o ari-arian na ginamit sa paggawa ng pagkakasala.
- Maaari ding mag-apply ang civil liability, at ang mga indibidwal o entity ay maaaring sibil na managot para sa mga pinsalang dulot ng kanilang mga aksyon sa pagkukubli o pagtatago sa mga indibidwal "&amp;"na sangkot sa rebelyon o insureksyon.
Mahalagang tandaan na ang pagkakasala ng pagkukubli o pagtatago sa mga indibidwal na sangkot sa paghihimagsik o pag-aalsa ay itinuturing na isang malubhang pagkakasala laban sa kaayusan ng publiko at pambansang seguri"&amp;"dad. Ang mga indibidwal o entidad na inakusahan ng paglabag na ito ay may karapatan sa angkop na proseso at legal na representasyon. Maipapayo na humingi ng tulong sa isang kwalipikadong abogado para sa legal na payo at representasyon kung nahaharap sa mg"&amp;"a kasong may kaugnayan sa pagkukubli o pagtatago ng mga indibidwal na sangkot sa paghihimagsik o insureksyon. Bukod pa rito, ang pagpigil at pagtugon sa mga ganitong insidente ay kadalasang nagsasangkot ng pakikipagtulungan sa mga ahensyang nagpapatupad n"&amp;"g batas, mga awtoridad ng gobyerno, at mga nauugnay na stakeholder upang mapanatili ang kapayapaan, seguridad, at katatagan.")</f>
        <v>Sa Pilipinas, ang pagkakasala ng pagkukubli o pagtatago sa mga indibidwal na sangkot sa paghihimagsik o pag-aalsa ay pangunahing tinutugunan sa ilalim ng Revised Penal Code (RPC), partikular sa ilalim ng mga krimen laban sa pampublikong kaayusan at mga krimen laban sa batas ng mga bansa. Narito kung paano tinukoy at pinaparusahan ang pagkakasala:
1. **Kahulugan ng Pagkakasala:**
- Ang pagkukubli o pagtatago sa mga indibidwal na sangkot sa paghihimagsik o pag-aalsa ay tumutukoy sa pagkilos ng sadyang pagbibigay ng kanlungan, kanlungan, o tulong sa mga taong nakagawa o sangkot sa mga pagkilos ng paghihimagsik o pag-aalsa laban sa gobyerno.
- Ang paghihimagsik ay nagsasangkot ng mga pagkilos ng karahasan o armadong paglaban laban sa awtoridad ng pamahalaan, habang ang insureksyon ay tumutukoy sa pagbangon laban sa awtoridad ng sibil o pulitikal.
2. **Mga Parusa sa ilalim ng Binagong Kodigo Penal:**
- Ang mga indibidwal na napatunayang nagkasala ng pagkukunwari o pagtatago ng mga indibidwal na sangkot sa paghihimagsik o pag-aalsa ay maaaring kasuhan sa ilalim ng nauugnay na mga probisyon ng Binagong Kodigo Penal.
- Sa ilalim ng RPC, ang rebelyon (Artikulo 134) at insureksyon (Artikulo 136) ay may parusang pagkakulong mula sa reclusion perpetua (pagkakulong ng 20 taon at 1 araw hanggang 40 taon) hanggang kamatayan, depende sa kalubhaan ng pagkakasala at iba pang nagpapalubha na pangyayari .
- Ang pagkukulong o pagtatago sa mga indibidwal na sangkot sa paghihimagsik o pag-aalsa ay maaaring ituring na isang gawa ng pagtulong o pagsang-ayon sa paghihimagsik o pag-aalsa, at ang mga indibidwal na napatunayang nagkasala ay maaaring humarap sa mga katulad na parusa gaya ng mga direktang sangkot sa paghihimagsik o insureksyon.
3. **Ibang Legal na Bunga:**
- Bilang karagdagan sa mga parusang kriminal, ang mga indibidwal o entity na responsable sa pagkubli o pagtatago sa mga indibidwal na sangkot sa paghihimagsik o pag-aalsa ay maaari ding harapin ang iba pang mga legal na kahihinatnan, tulad ng pagkumpiska ng mga ari-arian o ari-arian na ginamit sa paggawa ng pagkakasala.
- Maaari ding mag-apply ang civil liability, at ang mga indibidwal o entity ay maaaring sibil na managot para sa mga pinsalang dulot ng kanilang mga aksyon sa pagkukubli o pagtatago sa mga indibidwal na sangkot sa rebelyon o insureksyon.
Mahalagang tandaan na ang pagkakasala ng pagkukubli o pagtatago sa mga indibidwal na sangkot sa paghihimagsik o pag-aalsa ay itinuturing na isang malubhang pagkakasala laban sa kaayusan ng publiko at pambansang seguridad. Ang mga indibidwal o entidad na inakusahan ng paglabag na ito ay may karapatan sa angkop na proseso at legal na representasyon. Maipapayo na humingi ng tulong sa isang kwalipikadong abogado para sa legal na payo at representasyon kung nahaharap sa mga kasong may kaugnayan sa pagkukubli o pagtatago ng mga indibidwal na sangkot sa paghihimagsik o insureksyon. Bukod pa rito, ang pagpigil at pagtugon sa mga ganitong insidente ay kadalasang nagsasangkot ng pakikipagtulungan sa mga ahensyang nagpapatupad ng batas, mga awtoridad ng gobyerno, at mga nauugnay na stakeholder upang mapanatili ang kapayapaan, seguridad, at katatagan.</v>
      </c>
      <c r="F2126" s="2">
        <f t="shared" si="1"/>
        <v>2</v>
      </c>
      <c r="G2126" s="2"/>
      <c r="H2126" s="2"/>
      <c r="I2126" s="2"/>
      <c r="J2126" s="2"/>
      <c r="K2126" s="2"/>
      <c r="L2126" s="2"/>
      <c r="M2126" s="2"/>
      <c r="N2126" s="2"/>
      <c r="O2126" s="2"/>
      <c r="P2126" s="2"/>
      <c r="Q2126" s="2"/>
      <c r="R2126" s="2"/>
      <c r="S2126" s="2"/>
      <c r="T2126" s="2"/>
      <c r="U2126" s="2"/>
      <c r="V2126" s="2"/>
      <c r="W2126" s="2"/>
      <c r="X2126" s="2"/>
      <c r="Y2126" s="2"/>
      <c r="Z2126" s="2"/>
      <c r="AA2126" s="2"/>
    </row>
    <row r="2127">
      <c r="A2127" s="1" t="s">
        <v>5061</v>
      </c>
      <c r="B2127" s="1" t="s">
        <v>5234</v>
      </c>
      <c r="C2127" s="1" t="s">
        <v>5235</v>
      </c>
      <c r="D2127" s="2" t="str">
        <f>IFERROR(__xludf.DUMMYFUNCTION("GOOGLETRANSLATE(B2127, ""en"", ""TL"")"),"Anong mga legal na hakbang ang umiiral upang labanan ang krimen ng sabotahe laban sa mga computer system at network ng gobyerno?")</f>
        <v>Anong mga legal na hakbang ang umiiral upang labanan ang krimen ng sabotahe laban sa mga computer system at network ng gobyerno?</v>
      </c>
      <c r="E2127" s="2" t="str">
        <f>IFERROR(__xludf.DUMMYFUNCTION("GOOGLETRANSLATE(C2127, ""en"", ""TL"")"),"Sa Pilipinas, maraming legal na hakbang ang umiiral upang labanan ang krimen ng sabotahe laban sa mga computer system at network ng gobyerno. Ang mga hakbang na ito ay pangunahing pinamamahalaan ng Cybercrime Prevention Act of 2012 (Republic Act No. 10175"&amp;") at iba pang nauugnay na batas at regulasyon. Narito kung paano tinutugunan ng mga legal na hakbang na ito ang krimen ng sabotahe laban sa mga computer system at network ng gobyerno:
1. **Cybercrime Prevention Act of 2012 (RA 10175):**
- Ang Cybercrime P"&amp;"revention Act of 2012 ay naglalaman ng mga probisyon na naglalayong pigilan at labanan ang iba't ibang anyo ng cybercrimes, kabilang ang sabotahe laban sa mga computer system at network ng pamahalaan.
- Sa ilalim ng batas na ito, ang pananabotahe laban sa"&amp;" mga computer system at network ng gobyerno ay itinuturing na isang kriminal na pagkakasala. Sinasaklaw nito ang mga pagkilos tulad ng hindi awtorisadong pag-access, panghihimasok, o pagkagambala sa mga computer system o network ng pamahalaan na may layun"&amp;"ing magdulot ng pinsala, pagkaantala, o pagkalugi sa ekonomiya.
- Maaaring kabilang sa mga parusa sa ilalim ng Cybercrime Prevention Act ang pagkakulong at mga multa, depende sa partikular na pagkakasalang ginawa at iba pang nagpapalubha na mga pangyayari"&amp;".
- Naglalaan din ang batas para sa paglikha ng mga espesyal na yunit sa loob ng mga ahensyang nagpapatupad ng batas upang imbestigahan at usigin ang mga cybercrime, kabilang ang sabotahe laban sa mga computer system at network ng pamahalaan.
2. **Anti-Cy"&amp;"bercrime Task Force:**
- Nagtatag ang gobyerno ng Pilipinas ng mga espesyal na yunit, tulad ng Anti-Cybercrime Task Force, upang tugunan ang mga cybercrime, kabilang ang sabotahe laban sa mga computer system at network ng gobyerno.
- Ang mga task force na"&amp;" ito ay nakikipagtulungan sa iba pang ahensyang nagpapatupad ng batas, mga kagawaran ng gobyerno, at mga kasosyo sa pribadong sektor upang epektibong maiwasan, mag-imbestiga, at mag-prosecute ng mga cybercrime.
3. **Mga Patakaran at Alituntunin sa Segurid"&amp;"ad ng Impormasyon:**
- Ang mga ahensya ng gobyerno ay inaatasan na magpatupad ng mga patakaran sa seguridad ng impormasyon, mga alituntunin, at mga protocol upang mapangalagaan ang kanilang mga computer system at network laban sa mga banta sa cyber, kabil"&amp;"ang ang sabotahe.
- Maaaring kasama sa mga patakarang ito ang mga hakbang gaya ng mga kontrol sa pag-access, pag-encrypt, regular na pagsusuri sa seguridad, at mga pamamaraan sa pagtugon sa insidente upang agad na matukoy at mabawasan ang mga banta sa cyb"&amp;"er.
4. **International Cooperation:**
- Nakikilahok ang Pilipinas sa mga pandaigdigang pagsisikap na labanan ang mga cybercrime at palakasin ang mga hakbang sa cybersecurity. Kabilang dito ang pakikipagtulungan sa iba pang mga bansa, internasyonal na orga"&amp;"nisasyon, at mga ahensyang nagpapatupad ng batas upang matugunan nang epektibo ang mga transnational cyber threat.
5. **Pampublikong Kamalayan at Edukasyon:**
- Ang pamahalaan ay nagsasagawa ng mga pampublikong kampanya sa kamalayan at mga hakbangin na pa"&amp;"ng-edukasyon upang itaas ang kamalayan tungkol sa mga banta sa cyber at isulong ang mga pinakamahusay na kasanayan sa cybersecurity sa mga empleyado ng gobyerno, mga stakeholder ng pribadong sektor, at sa pangkalahatang publiko.
Mahalagang tandaan na ang "&amp;"paglaban sa sabotahe laban sa mga computer system at network ng pamahalaan ay nangangailangan ng maraming aspeto, na kinasasangkutan ng mga legal, teknikal, at mga hakbang sa pagpapatakbo. Ang pakikipagtulungan sa pagitan ng mga ahensya ng gobyerno, mga a"&amp;"wtoridad sa pagpapatupad ng batas, pribadong sektor, at iba pang mga stakeholder ay napakahalaga upang epektibong maiwasan, matukoy, at tumugon sa mga banta sa cyber at mapangalagaan ang pambansang seguridad at pampublikong interes.")</f>
        <v>Sa Pilipinas, maraming legal na hakbang ang umiiral upang labanan ang krimen ng sabotahe laban sa mga computer system at network ng gobyerno. Ang mga hakbang na ito ay pangunahing pinamamahalaan ng Cybercrime Prevention Act of 2012 (Republic Act No. 10175) at iba pang nauugnay na batas at regulasyon. Narito kung paano tinutugunan ng mga legal na hakbang na ito ang krimen ng sabotahe laban sa mga computer system at network ng gobyerno:
1. **Cybercrime Prevention Act of 2012 (RA 10175):**
- Ang Cybercrime Prevention Act of 2012 ay naglalaman ng mga probisyon na naglalayong pigilan at labanan ang iba't ibang anyo ng cybercrimes, kabilang ang sabotahe laban sa mga computer system at network ng pamahalaan.
- Sa ilalim ng batas na ito, ang pananabotahe laban sa mga computer system at network ng gobyerno ay itinuturing na isang kriminal na pagkakasala. Sinasaklaw nito ang mga pagkilos tulad ng hindi awtorisadong pag-access, panghihimasok, o pagkagambala sa mga computer system o network ng pamahalaan na may layuning magdulot ng pinsala, pagkaantala, o pagkalugi sa ekonomiya.
- Maaaring kabilang sa mga parusa sa ilalim ng Cybercrime Prevention Act ang pagkakulong at mga multa, depende sa partikular na pagkakasalang ginawa at iba pang nagpapalubha na mga pangyayari.
- Naglalaan din ang batas para sa paglikha ng mga espesyal na yunit sa loob ng mga ahensyang nagpapatupad ng batas upang imbestigahan at usigin ang mga cybercrime, kabilang ang sabotahe laban sa mga computer system at network ng pamahalaan.
2. **Anti-Cybercrime Task Force:**
- Nagtatag ang gobyerno ng Pilipinas ng mga espesyal na yunit, tulad ng Anti-Cybercrime Task Force, upang tugunan ang mga cybercrime, kabilang ang sabotahe laban sa mga computer system at network ng gobyerno.
- Ang mga task force na ito ay nakikipagtulungan sa iba pang ahensyang nagpapatupad ng batas, mga kagawaran ng gobyerno, at mga kasosyo sa pribadong sektor upang epektibong maiwasan, mag-imbestiga, at mag-prosecute ng mga cybercrime.
3. **Mga Patakaran at Alituntunin sa Seguridad ng Impormasyon:**
- Ang mga ahensya ng gobyerno ay inaatasan na magpatupad ng mga patakaran sa seguridad ng impormasyon, mga alituntunin, at mga protocol upang mapangalagaan ang kanilang mga computer system at network laban sa mga banta sa cyber, kabilang ang sabotahe.
- Maaaring kasama sa mga patakarang ito ang mga hakbang gaya ng mga kontrol sa pag-access, pag-encrypt, regular na pagsusuri sa seguridad, at mga pamamaraan sa pagtugon sa insidente upang agad na matukoy at mabawasan ang mga banta sa cyber.
4. **International Cooperation:**
- Nakikilahok ang Pilipinas sa mga pandaigdigang pagsisikap na labanan ang mga cybercrime at palakasin ang mga hakbang sa cybersecurity. Kabilang dito ang pakikipagtulungan sa iba pang mga bansa, internasyonal na organisasyon, at mga ahensyang nagpapatupad ng batas upang matugunan nang epektibo ang mga transnational cyber threat.
5. **Pampublikong Kamalayan at Edukasyon:**
- Ang pamahalaan ay nagsasagawa ng mga pampublikong kampanya sa kamalayan at mga hakbangin na pang-edukasyon upang itaas ang kamalayan tungkol sa mga banta sa cyber at isulong ang mga pinakamahusay na kasanayan sa cybersecurity sa mga empleyado ng gobyerno, mga stakeholder ng pribadong sektor, at sa pangkalahatang publiko.
Mahalagang tandaan na ang paglaban sa sabotahe laban sa mga computer system at network ng pamahalaan ay nangangailangan ng maraming aspeto, na kinasasangkutan ng mga legal, teknikal, at mga hakbang sa pagpapatakbo. Ang pakikipagtulungan sa pagitan ng mga ahensya ng gobyerno, mga awtoridad sa pagpapatupad ng batas, pribadong sektor, at iba pang mga stakeholder ay napakahalaga upang epektibong maiwasan, matukoy, at tumugon sa mga banta sa cyber at mapangalagaan ang pambansang seguridad at pampublikong interes.</v>
      </c>
      <c r="F2127" s="2">
        <f t="shared" si="1"/>
        <v>1</v>
      </c>
      <c r="G2127" s="2"/>
      <c r="H2127" s="2"/>
      <c r="I2127" s="2"/>
      <c r="J2127" s="2"/>
      <c r="K2127" s="2"/>
      <c r="L2127" s="2"/>
      <c r="M2127" s="2"/>
      <c r="N2127" s="2"/>
      <c r="O2127" s="2"/>
      <c r="P2127" s="2"/>
      <c r="Q2127" s="2"/>
      <c r="R2127" s="2"/>
      <c r="S2127" s="2"/>
      <c r="T2127" s="2"/>
      <c r="U2127" s="2"/>
      <c r="V2127" s="2"/>
      <c r="W2127" s="2"/>
      <c r="X2127" s="2"/>
      <c r="Y2127" s="2"/>
      <c r="Z2127" s="2"/>
      <c r="AA2127" s="2"/>
    </row>
    <row r="2128">
      <c r="A2128" s="1" t="s">
        <v>5061</v>
      </c>
      <c r="B2128" s="1" t="s">
        <v>5236</v>
      </c>
      <c r="C2128" s="1" t="s">
        <v>5237</v>
      </c>
      <c r="D2128" s="2" t="str">
        <f>IFERROR(__xludf.DUMMYFUNCTION("GOOGLETRANSLATE(B2128, ""en"", ""TL"")"),"Sa ilalim ng anong mga pangyayari ang isang tao ay maaaring makasuhan ng krimen ng hindi awtorisadong pagmamay-ari at paggamit ng kumpidensyal na impormasyon?")</f>
        <v>Sa ilalim ng anong mga pangyayari ang isang tao ay maaaring makasuhan ng krimen ng hindi awtorisadong pagmamay-ari at paggamit ng kumpidensyal na impormasyon?</v>
      </c>
      <c r="E2128" s="2" t="str">
        <f>IFERROR(__xludf.DUMMYFUNCTION("GOOGLETRANSLATE(C2128, ""en"", ""TL"")"),"Sa Pilipinas, ang isang tao ay maaaring kasuhan ng krimen ng hindi awtorisadong pagmamay-ari at paggamit ng kumpidensyal na impormasyon sa ilalim ng iba't ibang pagkakataon, lalo na kung sinasadya nilang kumuha, nagtataglay, o gumamit ng kumpidensyal na i"&amp;"mpormasyon nang walang tamang awtorisasyon. Narito ang ilang karaniwang sitwasyon kung saan maaaring malapat ang mga naturang singil:
1. **Hindi Pinahintulutang Pag-access:** Kung ang isang tao ay nakakuha ng access sa kumpidensyal na impormasyon sa pamam"&amp;"agitan ng hindi awtorisadong paraan, tulad ng pag-hack sa isang computer system, pag-access sa mga pinaghihigpitang file o database, o pag-bypass sa mga hakbang sa seguridad, maaari silang kasuhan ng hindi awtorisadong pagmamay-ari at paggamit ng kumpiden"&amp;"syal na impormasyon.
2. **Maling Paggamit ng Privileged Access:** Kung ang isang indibidwal na may awtorisadong pag-access sa kumpidensyal na impormasyon ay maling gumamit ng access na iyon para sa hindi awtorisadong layunin, tulad ng pagsisiwalat ng impo"&amp;"rmasyon sa mga hindi awtorisadong partido, paggamit nito para sa personal na pakinabang, o pagsali sa iba pang mga ipinagbabawal na aktibidad, sila maaaring kasuhan ng paglabag na ito.
3. **Paglabag sa Mga Kasunduan sa Pagiging Kumpidensyal:** Kung ang is"&amp;"ang tao ay lumabag sa mga kasunduan sa pagiging kumpidensyal o mga obligasyong kontraktwal sa pamamagitan ng pagsisiwalat o paggamit ng kumpidensyal na impormasyon na lumalabag sa mga tuntunin ng kasunduan, maaari silang managot para sa hindi awtorisadong"&amp;" pagmamay-ari at paggamit ng kumpidensyal na impormasyon.
4. **Pagnanakaw o Hindi Awtorisadong Pagkuha:** Kung ang isang tao ay nakakuha ng kumpidensyal na impormasyon sa pamamagitan ng pagnanakaw, panlilinlang, o iba pang labag sa batas na paraan, maaari"&amp;" silang kasuhan ng hindi awtorisadong pagmamay-ari at paggamit ng kumpidensyal na impormasyon.
5. **Hindi Wastong Pangangasiwa ng Klasipikadong Impormasyon:** Kung ang isang tao na pinagkatiwalaan sa paghawak ng classified o sensitibong impormasyon ng pam"&amp;"ahalaan ay hindi sumunod sa mga protocol ng seguridad o maling paghawak sa impormasyon, na magreresulta sa hindi awtorisadong pagsisiwalat o paggamit, maaari silang kasuhan ng paglabag na ito.
Mahalagang tandaan na ang mga partikular na pangyayari at layu"&amp;"nin sa likod ng hindi awtorisadong pagmamay-ari at paggamit ng kumpidensyal na impormasyon ay tutukuyin ang posibilidad ng mga pagsingil na maisampa at ang kalubhaan ng mga potensyal na legal na kahihinatnan. Bukod pa rito, ang mga batas na namamahala sa "&amp;"proteksyon ng kumpidensyal na impormasyon ay maaaring mag-iba depende sa konteksto, gaya ng mga batas na nauugnay sa privacy ng data, intelektwal na ari-arian, pambansang seguridad, o mga propesyonal na pamantayan at etika.
Ang mga indibidwal na inakusaha"&amp;"n ng hindi awtorisadong pagmamay-ari at paggamit ng kumpidensyal na impormasyon ay may karapatan sa angkop na proseso at legal na representasyon. Maipapayo na humingi ng tulong mula sa isang kwalipikadong abogado para sa legal na payo at representasyon ku"&amp;"ng nahaharap sa mga kasong may kaugnayan sa hindi awtorisadong pagmamay-ari at paggamit ng kumpidensyal na impormasyon. Bukod pa rito, ang pagpigil sa mga ganitong insidente ay kadalasang nagsasangkot ng pagpapatupad ng naaangkop na mga hakbang sa segurid"&amp;"ad, pagsasanay, at pagsunod sa mga nauugnay na batas at regulasyon na namamahala sa proteksyon ng kumpidensyal na impormasyon.")</f>
        <v>Sa Pilipinas, ang isang tao ay maaaring kasuhan ng krimen ng hindi awtorisadong pagmamay-ari at paggamit ng kumpidensyal na impormasyon sa ilalim ng iba't ibang pagkakataon, lalo na kung sinasadya nilang kumuha, nagtataglay, o gumamit ng kumpidensyal na impormasyon nang walang tamang awtorisasyon. Narito ang ilang karaniwang sitwasyon kung saan maaaring malapat ang mga naturang singil:
1. **Hindi Pinahintulutang Pag-access:** Kung ang isang tao ay nakakuha ng access sa kumpidensyal na impormasyon sa pamamagitan ng hindi awtorisadong paraan, tulad ng pag-hack sa isang computer system, pag-access sa mga pinaghihigpitang file o database, o pag-bypass sa mga hakbang sa seguridad, maaari silang kasuhan ng hindi awtorisadong pagmamay-ari at paggamit ng kumpidensyal na impormasyon.
2. **Maling Paggamit ng Privileged Access:** Kung ang isang indibidwal na may awtorisadong pag-access sa kumpidensyal na impormasyon ay maling gumamit ng access na iyon para sa hindi awtorisadong layunin, tulad ng pagsisiwalat ng impormasyon sa mga hindi awtorisadong partido, paggamit nito para sa personal na pakinabang, o pagsali sa iba pang mga ipinagbabawal na aktibidad, sila maaaring kasuhan ng paglabag na ito.
3. **Paglabag sa Mga Kasunduan sa Pagiging Kumpidensyal:** Kung ang isang tao ay lumabag sa mga kasunduan sa pagiging kumpidensyal o mga obligasyong kontraktwal sa pamamagitan ng pagsisiwalat o paggamit ng kumpidensyal na impormasyon na lumalabag sa mga tuntunin ng kasunduan, maaari silang managot para sa hindi awtorisadong pagmamay-ari at paggamit ng kumpidensyal na impormasyon.
4. **Pagnanakaw o Hindi Awtorisadong Pagkuha:** Kung ang isang tao ay nakakuha ng kumpidensyal na impormasyon sa pamamagitan ng pagnanakaw, panlilinlang, o iba pang labag sa batas na paraan, maaari silang kasuhan ng hindi awtorisadong pagmamay-ari at paggamit ng kumpidensyal na impormasyon.
5. **Hindi Wastong Pangangasiwa ng Klasipikadong Impormasyon:** Kung ang isang tao na pinagkatiwalaan sa paghawak ng classified o sensitibong impormasyon ng pamahalaan ay hindi sumunod sa mga protocol ng seguridad o maling paghawak sa impormasyon, na magreresulta sa hindi awtorisadong pagsisiwalat o paggamit, maaari silang kasuhan ng paglabag na ito.
Mahalagang tandaan na ang mga partikular na pangyayari at layunin sa likod ng hindi awtorisadong pagmamay-ari at paggamit ng kumpidensyal na impormasyon ay tutukuyin ang posibilidad ng mga pagsingil na maisampa at ang kalubhaan ng mga potensyal na legal na kahihinatnan. Bukod pa rito, ang mga batas na namamahala sa proteksyon ng kumpidensyal na impormasyon ay maaaring mag-iba depende sa konteksto, gaya ng mga batas na nauugnay sa privacy ng data, intelektwal na ari-arian, pambansang seguridad, o mga propesyonal na pamantayan at etika.
Ang mga indibidwal na inakusahan ng hindi awtorisadong pagmamay-ari at paggamit ng kumpidensyal na impormasyon ay may karapatan sa angkop na proseso at legal na representasyon. Maipapayo na humingi ng tulong mula sa isang kwalipikadong abogado para sa legal na payo at representasyon kung nahaharap sa mga kasong may kaugnayan sa hindi awtorisadong pagmamay-ari at paggamit ng kumpidensyal na impormasyon. Bukod pa rito, ang pagpigil sa mga ganitong insidente ay kadalasang nagsasangkot ng pagpapatupad ng naaangkop na mga hakbang sa seguridad, pagsasanay, at pagsunod sa mga nauugnay na batas at regulasyon na namamahala sa proteksyon ng kumpidensyal na impormasyon.</v>
      </c>
      <c r="F2128" s="2">
        <f t="shared" si="1"/>
        <v>1</v>
      </c>
      <c r="G2128" s="2"/>
      <c r="H2128" s="2"/>
      <c r="I2128" s="2"/>
      <c r="J2128" s="2"/>
      <c r="K2128" s="2"/>
      <c r="L2128" s="2"/>
      <c r="M2128" s="2"/>
      <c r="N2128" s="2"/>
      <c r="O2128" s="2"/>
      <c r="P2128" s="2"/>
      <c r="Q2128" s="2"/>
      <c r="R2128" s="2"/>
      <c r="S2128" s="2"/>
      <c r="T2128" s="2"/>
      <c r="U2128" s="2"/>
      <c r="V2128" s="2"/>
      <c r="W2128" s="2"/>
      <c r="X2128" s="2"/>
      <c r="Y2128" s="2"/>
      <c r="Z2128" s="2"/>
      <c r="AA2128" s="2"/>
    </row>
    <row r="2129">
      <c r="A2129" s="1" t="s">
        <v>5061</v>
      </c>
      <c r="B2129" s="1" t="s">
        <v>5238</v>
      </c>
      <c r="C2129" s="1" t="s">
        <v>5239</v>
      </c>
      <c r="D2129" s="2" t="str">
        <f>IFERROR(__xludf.DUMMYFUNCTION("GOOGLETRANSLATE(B2129, ""en"", ""TL"")"),"Paano tinutugunan ng batas ang mga insidente ng hindi awtorisadong pagsisiwalat ng mga naiuri na dokumento sa mga hindi awtorisadong tao at ang mga legal na kahihinatnan nito?")</f>
        <v>Paano tinutugunan ng batas ang mga insidente ng hindi awtorisadong pagsisiwalat ng mga naiuri na dokumento sa mga hindi awtorisadong tao at ang mga legal na kahihinatnan nito?</v>
      </c>
      <c r="E2129" s="2" t="str">
        <f>IFERROR(__xludf.DUMMYFUNCTION("GOOGLETRANSLATE(C2129, ""en"", ""TL"")"),"Napakahalagang bigyang-diin na ang hindi awtorisadong pagsisiwalat ng mga naiuri na dokumento ay nagdudulot ng malalaking panganib sa pambansang seguridad at maaaring magkaroon ng matitinding legal na kahihinatnan. Ang mga parusa para sa mga naturang pagk"&amp;"akasala ay inilaan upang hadlangan ang mga indibidwal mula sa pagsali sa mga aktibidad na nakompromiso ang sensitibong impormasyon at sumisira sa integridad ng mga operasyon ng pamahalaan.
Higit pa rito, ang mga indibidwal na pinagkatiwalaan ng access "&amp;"sa mga classified na materyales ay dapat sumunod sa mga mahigpit na protocol at alituntunin upang matiyak ang proteksyon ng naturang impormasyon. Anumang paglabag sa mga protocol na ito, sinadya man o hindi, ay maaaring magkaroon ng malubhang epekto.
S"&amp;"a mahigpit na pagpapatupad ng mga legal na probisyon at mga parusa para sa hindi awtorisadong pagsisiwalat, nilalayon ng mga awtoridad na pangalagaan ang mga interes ng pambansang seguridad at panindigan ang pagiging kompidensiyal ng classified na imporma"&amp;"syon. Ang pagsunod sa mga regulasyong ito ay mahalaga sa pagpapanatili ng tiwala at tiwala ng publiko sa mga institusyon ng gobyerno.")</f>
        <v>Napakahalagang bigyang-diin na ang hindi awtorisadong pagsisiwalat ng mga naiuri na dokumento ay nagdudulot ng malalaking panganib sa pambansang seguridad at maaaring magkaroon ng matitinding legal na kahihinatnan. Ang mga parusa para sa mga naturang pagkakasala ay inilaan upang hadlangan ang mga indibidwal mula sa pagsali sa mga aktibidad na nakompromiso ang sensitibong impormasyon at sumisira sa integridad ng mga operasyon ng pamahalaan.
Higit pa rito, ang mga indibidwal na pinagkatiwalaan ng access sa mga classified na materyales ay dapat sumunod sa mga mahigpit na protocol at alituntunin upang matiyak ang proteksyon ng naturang impormasyon. Anumang paglabag sa mga protocol na ito, sinadya man o hindi, ay maaaring magkaroon ng malubhang epekto.
Sa mahigpit na pagpapatupad ng mga legal na probisyon at mga parusa para sa hindi awtorisadong pagsisiwalat, nilalayon ng mga awtoridad na pangalagaan ang mga interes ng pambansang seguridad at panindigan ang pagiging kompidensiyal ng classified na impormasyon. Ang pagsunod sa mga regulasyong ito ay mahalaga sa pagpapanatili ng tiwala at tiwala ng publiko sa mga institusyon ng gobyerno.</v>
      </c>
      <c r="F2129" s="2">
        <f t="shared" si="1"/>
        <v>2</v>
      </c>
      <c r="G2129" s="2"/>
      <c r="H2129" s="2"/>
      <c r="I2129" s="2"/>
      <c r="J2129" s="2"/>
      <c r="K2129" s="2"/>
      <c r="L2129" s="2"/>
      <c r="M2129" s="2"/>
      <c r="N2129" s="2"/>
      <c r="O2129" s="2"/>
      <c r="P2129" s="2"/>
      <c r="Q2129" s="2"/>
      <c r="R2129" s="2"/>
      <c r="S2129" s="2"/>
      <c r="T2129" s="2"/>
      <c r="U2129" s="2"/>
      <c r="V2129" s="2"/>
      <c r="W2129" s="2"/>
      <c r="X2129" s="2"/>
      <c r="Y2129" s="2"/>
      <c r="Z2129" s="2"/>
      <c r="AA2129" s="2"/>
    </row>
    <row r="2130">
      <c r="A2130" s="1" t="s">
        <v>5061</v>
      </c>
      <c r="B2130" s="1" t="s">
        <v>5240</v>
      </c>
      <c r="C2130" s="1" t="s">
        <v>5241</v>
      </c>
      <c r="D2130" s="2" t="str">
        <f>IFERROR(__xludf.DUMMYFUNCTION("GOOGLETRANSLATE(B2130, ""en"", ""TL"")"),"Anong mga parusa ang ipinapataw para sa paggawa ng krimen ng pagkukubli o pagtatago sa mga indibidwal na sangkot sa terorismo?")</f>
        <v>Anong mga parusa ang ipinapataw para sa paggawa ng krimen ng pagkukubli o pagtatago sa mga indibidwal na sangkot sa terorismo?</v>
      </c>
      <c r="E2130" s="2" t="str">
        <f>IFERROR(__xludf.DUMMYFUNCTION("GOOGLETRANSLATE(C2130, ""en"", ""TL"")"),"Sa Pilipinas, ang pag-iingat o pagtatago sa mga indibidwal na sangkot sa terorismo ay isang malubhang pagkakasala at may malalaking parusa. Narito ang isang breakdown ng mga nauugnay na batas at mga potensyal na kahihinatnan:
Pangunahing Batas:
Bina"&amp;"gong Kodigo Penal (RPC):
Artikulo 180 (Pabor sa Desertion): Ito ang nagsisilbing pangunahing legal na batayan. Nakasaad dito:
""Ang parusa ng alkalde ng bilangguan sa katamtaman at pinakamataas na mga panahon nito ay dapat ipataw sa sinumang tao na, na "&amp;"may kaalaman sa katotohanan, ay dapat magtago o magtago, o magbigay ng anumang tulong o kaginhawaan sa, isang tumakas mula sa sandatahang lakas ng Pilipinas, o isang taong tumalikod mula sa sandatahang lakas ng isang dayuhang kapangyarihan.""
Mga Pangu"&amp;"nahing Punto:
Kaalaman sa Terorismo: Ang batas ay nagbibigay-diin na ang indibidwal na kumukupkop sa tao ay dapat magkaroon ng kamalayan sa kanilang pagkakasangkot sa terorismo.
Pagtulong at Pag-aaliw: Ang pagbibigay ng tirahan, tulong, o anumang anyo"&amp;" ng suporta sa nakatagong indibidwal ay nasa ilalim ng probisyong ito.
Parusa:
Prision mayor sa katamtaman at pinakamataas na panahon nito: Isinasalin ito sa pagkakakulong mula 6 na taon at 1 araw hanggang 12 taon.
Mga Karagdagang Pagsasaalang-alang:"&amp;"
Anti-Terrorism Act of 2020 (RA 11479): Bagama't hindi tahasang tinutugunan ang harboring, pinalalakas ng batas na ito ang legal na balangkas laban sa terorismo.
Potensyal para sa Mga Pagsingil sa Accessory: Depende sa mga pangyayari, ang indibidwal n"&amp;"a kumukupkop sa terorista ay maaaring maharap sa mga karagdagang singil:
Accessory sa krimen ng terorismo: Ito ay maaaring humantong sa isang mas malupit na parusa batay sa partikular na gawaing terorista na ginawa ng nakatagong indibidwal.
Halimbawa:
"&amp;"
Ang isang tao ay sadyang pinahihintulutan ang isang suspek na hinahanap para sa mga aktibidad ng terorista na manatili sa kanilang tahanan. Ito ay malamang na ituring na isang paglabag sa Artikulo 180 (Pabor sa Desertion) dahil sa:
Kaalaman sa pagkakas"&amp;"angkot ng indibidwal sa terorismo (batay sa mga natitirang warrant o pampublikong impormasyon).
Nagbibigay ng kanlungan at potensyal na tumulong sa kanilang pagtatago mula sa mga awtoridad.")</f>
        <v>Sa Pilipinas, ang pag-iingat o pagtatago sa mga indibidwal na sangkot sa terorismo ay isang malubhang pagkakasala at may malalaking parusa. Narito ang isang breakdown ng mga nauugnay na batas at mga potensyal na kahihinatnan:
Pangunahing Batas:
Binagong Kodigo Penal (RPC):
Artikulo 180 (Pabor sa Desertion): Ito ang nagsisilbing pangunahing legal na batayan. Nakasaad dito:
"Ang parusa ng alkalde ng bilangguan sa katamtaman at pinakamataas na mga panahon nito ay dapat ipataw sa sinumang tao na, na may kaalaman sa katotohanan, ay dapat magtago o magtago, o magbigay ng anumang tulong o kaginhawaan sa, isang tumakas mula sa sandatahang lakas ng Pilipinas, o isang taong tumalikod mula sa sandatahang lakas ng isang dayuhang kapangyarihan."
Mga Pangunahing Punto:
Kaalaman sa Terorismo: Ang batas ay nagbibigay-diin na ang indibidwal na kumukupkop sa tao ay dapat magkaroon ng kamalayan sa kanilang pagkakasangkot sa terorismo.
Pagtulong at Pag-aaliw: Ang pagbibigay ng tirahan, tulong, o anumang anyo ng suporta sa nakatagong indibidwal ay nasa ilalim ng probisyong ito.
Parusa:
Prision mayor sa katamtaman at pinakamataas na panahon nito: Isinasalin ito sa pagkakakulong mula 6 na taon at 1 araw hanggang 12 taon.
Mga Karagdagang Pagsasaalang-alang:
Anti-Terrorism Act of 2020 (RA 11479): Bagama't hindi tahasang tinutugunan ang harboring, pinalalakas ng batas na ito ang legal na balangkas laban sa terorismo.
Potensyal para sa Mga Pagsingil sa Accessory: Depende sa mga pangyayari, ang indibidwal na kumukupkop sa terorista ay maaaring maharap sa mga karagdagang singil:
Accessory sa krimen ng terorismo: Ito ay maaaring humantong sa isang mas malupit na parusa batay sa partikular na gawaing terorista na ginawa ng nakatagong indibidwal.
Halimbawa:
Ang isang tao ay sadyang pinahihintulutan ang isang suspek na hinahanap para sa mga aktibidad ng terorista na manatili sa kanilang tahanan. Ito ay malamang na ituring na isang paglabag sa Artikulo 180 (Pabor sa Desertion) dahil sa:
Kaalaman sa pagkakasangkot ng indibidwal sa terorismo (batay sa mga natitirang warrant o pampublikong impormasyon).
Nagbibigay ng kanlungan at potensyal na tumulong sa kanilang pagtatago mula sa mga awtoridad.</v>
      </c>
      <c r="F2130" s="2">
        <f t="shared" si="1"/>
        <v>0</v>
      </c>
      <c r="G2130" s="2"/>
      <c r="H2130" s="2"/>
      <c r="I2130" s="2"/>
      <c r="J2130" s="2"/>
      <c r="K2130" s="2"/>
      <c r="L2130" s="2"/>
      <c r="M2130" s="2"/>
      <c r="N2130" s="2"/>
      <c r="O2130" s="2"/>
      <c r="P2130" s="2"/>
      <c r="Q2130" s="2"/>
      <c r="R2130" s="2"/>
      <c r="S2130" s="2"/>
      <c r="T2130" s="2"/>
      <c r="U2130" s="2"/>
      <c r="V2130" s="2"/>
      <c r="W2130" s="2"/>
      <c r="X2130" s="2"/>
      <c r="Y2130" s="2"/>
      <c r="Z2130" s="2"/>
      <c r="AA2130" s="2"/>
    </row>
    <row r="2131">
      <c r="A2131" s="1" t="s">
        <v>5061</v>
      </c>
      <c r="B2131" s="1" t="s">
        <v>5242</v>
      </c>
      <c r="C2131" s="1" t="s">
        <v>5243</v>
      </c>
      <c r="D2131" s="2" t="str">
        <f>IFERROR(__xludf.DUMMYFUNCTION("GOOGLETRANSLATE(B2131, ""en"", ""TL"")"),"Paano tinukoy at pinaparusahan sa ilalim ng batas ng Pilipinas ang pagkakasala ng hindi awtorisadong pagmamay-ari at paggamit ng kumpidensyal na impormasyon?")</f>
        <v>Paano tinukoy at pinaparusahan sa ilalim ng batas ng Pilipinas ang pagkakasala ng hindi awtorisadong pagmamay-ari at paggamit ng kumpidensyal na impormasyon?</v>
      </c>
      <c r="E2131" s="2" t="str">
        <f>IFERROR(__xludf.DUMMYFUNCTION("GOOGLETRANSLATE(C2131, ""en"", ""TL"")"),"Sa Pilipinas, ang pagkakasala ng hindi awtorisadong pagmamay-ari at paggamit ng kumpidensyal na impormasyon ay pangunahing tinutugunan sa ilalim ng Data Privacy Act of 2012 (Republic Act No. 10173) at iba pang nauugnay na batas at regulasyon na may kaugna"&amp;"yan sa proteksyon at privacy ng data. Narito kung paano tinukoy at pinaparusahan ang pagkakasala sa ilalim ng batas ng Pilipinas:
1. **Kahulugan ng Pagkakasala:**
- Ang hindi awtorisadong pagmamay-ari at paggamit ng kumpidensyal na impormasyon ay tumutuko"&amp;"y sa pagkuha, pagmamay-ari, o paggamit ng sensitibo o kumpidensyal na impormasyon nang walang wastong awtorisasyon o pahintulot.
- Ang paglabag na ito ay maaaring may kinalaman sa pag-access, pagkopya, pagsisiwalat, o paggamit ng kumpidensyal na impormasy"&amp;"on para sa mga hindi awtorisadong layunin, tulad ng personal na pakinabang, malisyosong layunin, o sa paglabag sa mga batas at regulasyon sa privacy ng data.
2. **Data Privacy Act of 2012 (RA 10173):**
- Ang Data Privacy Act of 2012 ay naglalaman ng mga p"&amp;"robisyon na may kaugnayan sa proteksyon ng personal na data at impormasyon, kabilang ang kumpidensyal na impormasyong hawak ng mga indibidwal, organisasyon, o ahensya ng gobyerno.
- Sa ilalim ng batas na ito, ang hindi awtorisadong pagmamay-ari at paggami"&amp;"t ng kumpidensyal na impormasyon ay maaaring maging mga paglabag sa mga karapatan at obligasyon sa privacy ng data.
- Maaaring kabilang sa mga parusa para sa mga paglabag sa Data Privacy Act ang pagkakulong mula sa isang taon hanggang anim na taon at/o mg"&amp;"a multa mula ₱500,000 hanggang ₱5,000,000, depende sa mga partikular na probisyon na nilabag.
3. **Civil Liability:**
- Bilang karagdagan sa mga parusang kriminal, ang mga indibidwal o entity na responsable para sa hindi awtorisadong pagmamay-ari at pagga"&amp;"mit ng kumpidensyal na impormasyon ay maaari ding panagutin bilang sibil para sa mga pinsalang idinulot.
- Maaaring magsampa ng mga kasong sibil upang humingi ng kabayaran para sa anumang pinsala o pagkalugi na naranasan bilang resulta ng hindi awtorisado"&amp;"ng pagmamay-ari at paggamit ng kumpidensyal na impormasyon, kabilang ang mga pinsala para sa pinsala sa reputasyon, pagkalugi sa pananalapi, o iba pang pinsala.
4. **Iba pang Legal na Bunga:**
- Depende sa mga partikular na pangyayari at epekto ng hindi a"&amp;"wtorisadong pagmamay-ari at paggamit ng kumpidensyal na impormasyon, maaaring malapat ang iba pang mga legal na kahihinatnan.
- Maaaring kabilang dito ang mga aksyong pandisiplina, mga propesyonal na parusa, o iba pang mga parusang administratibo na ipina"&amp;"taw ng mga awtoridad sa regulasyon, mga propesyonal na organisasyon, o mga tagapag-empleyo.
Mahalagang tandaan na ang Data Privacy Act of 2012 ay naglalayong protektahan ang karapatan ng mga indibidwal sa privacy at tiyakin ang responsableng pangangasiwa "&amp;"at pagproseso ng personal na data at impormasyon. Ang mga paglabag sa batas na ito, kabilang ang hindi awtorisadong pagmamay-ari at paggamit ng kumpidensyal na impormasyon, ay sineseryoso at maaaring magresulta sa mga legal na kahihinatnan. Ang mga indibi"&amp;"dwal na inakusahan ng naturang mga pagkakasala ay may karapatan sa angkop na proseso at legal na representasyon. Maipapayo na humingi ng tulong mula sa isang kwalipikadong abogado para sa legal na payo at representasyon kung nahaharap sa mga kasong may ka"&amp;"ugnayan sa hindi awtorisadong pagmamay-ari at paggamit ng kumpidensyal na impormasyon. Bukod pa rito, ang pagpigil sa mga ganitong insidente ay kadalasang nagsasangkot ng pagpapatupad ng naaangkop na mga hakbang sa seguridad, pagsasanay, at pagsunod sa mg"&amp;"a nauugnay na batas at regulasyon sa privacy ng data.")</f>
        <v>Sa Pilipinas, ang pagkakasala ng hindi awtorisadong pagmamay-ari at paggamit ng kumpidensyal na impormasyon ay pangunahing tinutugunan sa ilalim ng Data Privacy Act of 2012 (Republic Act No. 10173) at iba pang nauugnay na batas at regulasyon na may kaugnayan sa proteksyon at privacy ng data. Narito kung paano tinukoy at pinaparusahan ang pagkakasala sa ilalim ng batas ng Pilipinas:
1. **Kahulugan ng Pagkakasala:**
- Ang hindi awtorisadong pagmamay-ari at paggamit ng kumpidensyal na impormasyon ay tumutukoy sa pagkuha, pagmamay-ari, o paggamit ng sensitibo o kumpidensyal na impormasyon nang walang wastong awtorisasyon o pahintulot.
- Ang paglabag na ito ay maaaring may kinalaman sa pag-access, pagkopya, pagsisiwalat, o paggamit ng kumpidensyal na impormasyon para sa mga hindi awtorisadong layunin, tulad ng personal na pakinabang, malisyosong layunin, o sa paglabag sa mga batas at regulasyon sa privacy ng data.
2. **Data Privacy Act of 2012 (RA 10173):**
- Ang Data Privacy Act of 2012 ay naglalaman ng mga probisyon na may kaugnayan sa proteksyon ng personal na data at impormasyon, kabilang ang kumpidensyal na impormasyong hawak ng mga indibidwal, organisasyon, o ahensya ng gobyerno.
- Sa ilalim ng batas na ito, ang hindi awtorisadong pagmamay-ari at paggamit ng kumpidensyal na impormasyon ay maaaring maging mga paglabag sa mga karapatan at obligasyon sa privacy ng data.
- Maaaring kabilang sa mga parusa para sa mga paglabag sa Data Privacy Act ang pagkakulong mula sa isang taon hanggang anim na taon at/o mga multa mula ₱500,000 hanggang ₱5,000,000, depende sa mga partikular na probisyon na nilabag.
3. **Civil Liability:**
- Bilang karagdagan sa mga parusang kriminal, ang mga indibidwal o entity na responsable para sa hindi awtorisadong pagmamay-ari at paggamit ng kumpidensyal na impormasyon ay maaari ding panagutin bilang sibil para sa mga pinsalang idinulot.
- Maaaring magsampa ng mga kasong sibil upang humingi ng kabayaran para sa anumang pinsala o pagkalugi na naranasan bilang resulta ng hindi awtorisadong pagmamay-ari at paggamit ng kumpidensyal na impormasyon, kabilang ang mga pinsala para sa pinsala sa reputasyon, pagkalugi sa pananalapi, o iba pang pinsala.
4. **Iba pang Legal na Bunga:**
- Depende sa mga partikular na pangyayari at epekto ng hindi awtorisadong pagmamay-ari at paggamit ng kumpidensyal na impormasyon, maaaring malapat ang iba pang mga legal na kahihinatnan.
- Maaaring kabilang dito ang mga aksyong pandisiplina, mga propesyonal na parusa, o iba pang mga parusang administratibo na ipinataw ng mga awtoridad sa regulasyon, mga propesyonal na organisasyon, o mga tagapag-empleyo.
Mahalagang tandaan na ang Data Privacy Act of 2012 ay naglalayong protektahan ang karapatan ng mga indibidwal sa privacy at tiyakin ang responsableng pangangasiwa at pagproseso ng personal na data at impormasyon. Ang mga paglabag sa batas na ito, kabilang ang hindi awtorisadong pagmamay-ari at paggamit ng kumpidensyal na impormasyon, ay sineseryoso at maaaring magresulta sa mga legal na kahihinatnan. Ang mga indibidwal na inakusahan ng naturang mga pagkakasala ay may karapatan sa angkop na proseso at legal na representasyon. Maipapayo na humingi ng tulong mula sa isang kwalipikadong abogado para sa legal na payo at representasyon kung nahaharap sa mga kasong may kaugnayan sa hindi awtorisadong pagmamay-ari at paggamit ng kumpidensyal na impormasyon. Bukod pa rito, ang pagpigil sa mga ganitong insidente ay kadalasang nagsasangkot ng pagpapatupad ng naaangkop na mga hakbang sa seguridad, pagsasanay, at pagsunod sa mga nauugnay na batas at regulasyon sa privacy ng data.</v>
      </c>
      <c r="F2131" s="2">
        <f t="shared" si="1"/>
        <v>1</v>
      </c>
      <c r="G2131" s="2"/>
      <c r="H2131" s="2"/>
      <c r="I2131" s="2"/>
      <c r="J2131" s="2"/>
      <c r="K2131" s="2"/>
      <c r="L2131" s="2"/>
      <c r="M2131" s="2"/>
      <c r="N2131" s="2"/>
      <c r="O2131" s="2"/>
      <c r="P2131" s="2"/>
      <c r="Q2131" s="2"/>
      <c r="R2131" s="2"/>
      <c r="S2131" s="2"/>
      <c r="T2131" s="2"/>
      <c r="U2131" s="2"/>
      <c r="V2131" s="2"/>
      <c r="W2131" s="2"/>
      <c r="X2131" s="2"/>
      <c r="Y2131" s="2"/>
      <c r="Z2131" s="2"/>
      <c r="AA2131" s="2"/>
    </row>
    <row r="2132">
      <c r="A2132" s="1" t="s">
        <v>5061</v>
      </c>
      <c r="B2132" s="1" t="s">
        <v>5244</v>
      </c>
      <c r="C2132" s="1" t="s">
        <v>5245</v>
      </c>
      <c r="D2132" s="2" t="str">
        <f>IFERROR(__xludf.DUMMYFUNCTION("GOOGLETRANSLATE(B2132, ""en"", ""TL"")"),"Anong mga legal na probisyon ang namamahala sa krimen ng hindi awtorisadong pagsisiwalat ng mga naiuri na dokumento sa mga hindi awtorisadong tao at ang mga legal na kahihinatnan nito?")</f>
        <v>Anong mga legal na probisyon ang namamahala sa krimen ng hindi awtorisadong pagsisiwalat ng mga naiuri na dokumento sa mga hindi awtorisadong tao at ang mga legal na kahihinatnan nito?</v>
      </c>
      <c r="E2132" s="2" t="str">
        <f>IFERROR(__xludf.DUMMYFUNCTION("GOOGLETRANSLATE(C2132, ""en"", ""TL"")"),"Sa Pilipinas, ang krimen ng hindi awtorisadong pagsisiwalat ng mga klasipikadong dokumento sa mga hindi awtorisadong tao ay pangunahing pinamamahalaan ng iba't ibang batas at regulasyon na may kaugnayan sa pambansang seguridad, lihim ng gobyerno, at prote"&amp;"ksyon ng classified na impormasyon. Narito ang mga pangunahing legal na probisyon at ang kanilang kaukulang legal na kahihinatnan:
1. **Binago ang Kodigo Penal (RPC):**
- Ang hindi awtorisadong pagsisiwalat ng mga klasipikadong dokumento ay maaaring kasuh"&amp;"an sa ilalim ng mga kaugnay na probisyon ng Binagong Kodigo Penal, partikular ang mga may kaugnayan sa mga krimen laban sa kaayusan ng publiko at pambansang seguridad.
- Depende sa mga partikular na pangyayari, ang hindi awtorisadong pagsisiwalat ng mga c"&amp;"lassified na dokumento ay maaaring bumuo ng mga pagkakasala gaya ng espionage (Artikulo 117), pagbubunyag ng mga lihim (Artikulo 291), o paglabag sa batas sa espiya (Artikulo 117).
- Maaaring kabilang sa mga parusa sa ilalim ng mga probisyong ito ang pagk"&amp;"akulong at mga multa, depende sa kalubhaan ng pagkakasala at iba pang nagpapalubha na mga pangyayari.
2. **Opisyal na Secrets Act:**
- Bagama't walang partikular na ""Official Secrets Act"" ang Pilipinas tulad ng ilang ibang bansa, ang mga probisyon na ma"&amp;"y kaugnayan sa proteksyon ng classified na impormasyon ay maaaring matagpuan sa iba't ibang batas, regulasyon, at patakaran ng pamahalaan.
- Ang hindi awtorisadong pagsisiwalat ng mga klasipikadong dokumento ay maaaring kasuhan sa ilalim ng mga nauugnay n"&amp;"a probisyon ng mga umiiral na batas at regulasyon na namamahala sa lihim ng pamahalaan, pagiging kumpidensyal, at pambansang seguridad.
3. **Data Privacy Act of 2012 (Republic Act No. 10173):**
- Ang Data Privacy Act of 2012 ay naglalaman ng mga probisyon"&amp;" na may kaugnayan sa proteksyon ng personal na data at impormasyon, kabilang ang sensitibo o kumpidensyal na impormasyong hawak ng mga ahensya ng gobyerno o pribadong entity.
- Ang hindi awtorisadong pagsisiwalat ng mga classified na dokumento na naglalam"&amp;"an ng personal o sensitibong impormasyon ay maaaring lumabag sa batas na ito.
- Maaaring kabilang sa mga parusa sa ilalim ng Data Privacy Act ang pagkakulong mula sa isang taon hanggang anim na taon at/o mga multa mula ₱500,000 hanggang ₱5,000,000, depend"&amp;"e sa mga partikular na probisyon na nilabag.
4. **Ibang Kaugnay na Batas:**
- Depende sa partikular na katangian at nilalaman ng mga naiuri na dokumentong kasangkot, ang iba pang mga batas at regulasyon ay maaari ding mag-aplay. Maaaring kabilang dito ang"&amp;" mga batas na nauugnay sa pambansang seguridad, seguridad ng impormasyon, intelektwal na ari-arian, o transparency at pananagutan ng pamahalaan.
5. **Civil Liability:**
- Bilang karagdagan sa mga parusang kriminal, ang mga indibidwal o entity na responsab"&amp;"le para sa hindi awtorisadong pagsisiwalat ng mga klasipikadong dokumento ay maaari ding managot sa sibil para sa mga pinsalang dulot.
- Maaaring magsampa ng mga kasong sibil upang humingi ng kabayaran para sa anumang pinsala o pagkalugi na natamo bilang "&amp;"resulta ng hindi awtorisadong pagsisiwalat, kabilang ang mga pinsala para sa pinsala sa reputasyon, pagkalugi sa pananalapi, o iba pang pinsala.
Mahalagang tandaan na ang hindi awtorisadong pagsisiwalat ng mga naiuri na dokumento ay itinuturing na isang m"&amp;"alubhang pagkakasala laban sa pambansang seguridad at kaayusan ng publiko. Ang mga indibidwal o entidad na inakusahan ng paglabag na ito ay may karapatan sa angkop na proseso at legal na representasyon. Maipapayo na humingi ng tulong mula sa isang kwalipi"&amp;"kadong abogado para sa legal na payo at representasyon kung nahaharap sa mga singil na may kaugnayan sa hindi awtorisadong pagsisiwalat ng mga classified na dokumento. Bukod pa rito, ang pagpigil sa mga ganitong insidente ay kadalasang nagsasangkot ng pag"&amp;"papatupad ng naaangkop na mga hakbang sa seguridad, pagsasanay, at pagsunod sa mga nauugnay na batas at regulasyon na namamahala sa proteksyon ng classified na impormasyon.")</f>
        <v>Sa Pilipinas, ang krimen ng hindi awtorisadong pagsisiwalat ng mga klasipikadong dokumento sa mga hindi awtorisadong tao ay pangunahing pinamamahalaan ng iba't ibang batas at regulasyon na may kaugnayan sa pambansang seguridad, lihim ng gobyerno, at proteksyon ng classified na impormasyon. Narito ang mga pangunahing legal na probisyon at ang kanilang kaukulang legal na kahihinatnan:
1. **Binago ang Kodigo Penal (RPC):**
- Ang hindi awtorisadong pagsisiwalat ng mga klasipikadong dokumento ay maaaring kasuhan sa ilalim ng mga kaugnay na probisyon ng Binagong Kodigo Penal, partikular ang mga may kaugnayan sa mga krimen laban sa kaayusan ng publiko at pambansang seguridad.
- Depende sa mga partikular na pangyayari, ang hindi awtorisadong pagsisiwalat ng mga classified na dokumento ay maaaring bumuo ng mga pagkakasala gaya ng espionage (Artikulo 117), pagbubunyag ng mga lihim (Artikulo 291), o paglabag sa batas sa espiya (Artikulo 117).
- Maaaring kabilang sa mga parusa sa ilalim ng mga probisyong ito ang pagkakulong at mga multa, depende sa kalubhaan ng pagkakasala at iba pang nagpapalubha na mga pangyayari.
2. **Opisyal na Secrets Act:**
- Bagama't walang partikular na "Official Secrets Act" ang Pilipinas tulad ng ilang ibang bansa, ang mga probisyon na may kaugnayan sa proteksyon ng classified na impormasyon ay maaaring matagpuan sa iba't ibang batas, regulasyon, at patakaran ng pamahalaan.
- Ang hindi awtorisadong pagsisiwalat ng mga klasipikadong dokumento ay maaaring kasuhan sa ilalim ng mga nauugnay na probisyon ng mga umiiral na batas at regulasyon na namamahala sa lihim ng pamahalaan, pagiging kumpidensyal, at pambansang seguridad.
3. **Data Privacy Act of 2012 (Republic Act No. 10173):**
- Ang Data Privacy Act of 2012 ay naglalaman ng mga probisyon na may kaugnayan sa proteksyon ng personal na data at impormasyon, kabilang ang sensitibo o kumpidensyal na impormasyong hawak ng mga ahensya ng gobyerno o pribadong entity.
- Ang hindi awtorisadong pagsisiwalat ng mga classified na dokumento na naglalaman ng personal o sensitibong impormasyon ay maaaring lumabag sa batas na ito.
- Maaaring kabilang sa mga parusa sa ilalim ng Data Privacy Act ang pagkakulong mula sa isang taon hanggang anim na taon at/o mga multa mula ₱500,000 hanggang ₱5,000,000, depende sa mga partikular na probisyon na nilabag.
4. **Ibang Kaugnay na Batas:**
- Depende sa partikular na katangian at nilalaman ng mga naiuri na dokumentong kasangkot, ang iba pang mga batas at regulasyon ay maaari ding mag-aplay. Maaaring kabilang dito ang mga batas na nauugnay sa pambansang seguridad, seguridad ng impormasyon, intelektwal na ari-arian, o transparency at pananagutan ng pamahalaan.
5. **Civil Liability:**
- Bilang karagdagan sa mga parusang kriminal, ang mga indibidwal o entity na responsable para sa hindi awtorisadong pagsisiwalat ng mga klasipikadong dokumento ay maaari ding managot sa sibil para sa mga pinsalang dulot.
- Maaaring magsampa ng mga kasong sibil upang humingi ng kabayaran para sa anumang pinsala o pagkalugi na natamo bilang resulta ng hindi awtorisadong pagsisiwalat, kabilang ang mga pinsala para sa pinsala sa reputasyon, pagkalugi sa pananalapi, o iba pang pinsala.
Mahalagang tandaan na ang hindi awtorisadong pagsisiwalat ng mga naiuri na dokumento ay itinuturing na isang malubhang pagkakasala laban sa pambansang seguridad at kaayusan ng publiko. Ang mga indibidwal o entidad na inakusahan ng paglabag na ito ay may karapatan sa angkop na proseso at legal na representasyon. Maipapayo na humingi ng tulong mula sa isang kwalipikadong abogado para sa legal na payo at representasyon kung nahaharap sa mga singil na may kaugnayan sa hindi awtorisadong pagsisiwalat ng mga classified na dokumento. Bukod pa rito, ang pagpigil sa mga ganitong insidente ay kadalasang nagsasangkot ng pagpapatupad ng naaangkop na mga hakbang sa seguridad, pagsasanay, at pagsunod sa mga nauugnay na batas at regulasyon na namamahala sa proteksyon ng classified na impormasyon.</v>
      </c>
      <c r="F2132" s="2">
        <f t="shared" si="1"/>
        <v>1</v>
      </c>
      <c r="G2132" s="2"/>
      <c r="H2132" s="2"/>
      <c r="I2132" s="2"/>
      <c r="J2132" s="2"/>
      <c r="K2132" s="2"/>
      <c r="L2132" s="2"/>
      <c r="M2132" s="2"/>
      <c r="N2132" s="2"/>
      <c r="O2132" s="2"/>
      <c r="P2132" s="2"/>
      <c r="Q2132" s="2"/>
      <c r="R2132" s="2"/>
      <c r="S2132" s="2"/>
      <c r="T2132" s="2"/>
      <c r="U2132" s="2"/>
      <c r="V2132" s="2"/>
      <c r="W2132" s="2"/>
      <c r="X2132" s="2"/>
      <c r="Y2132" s="2"/>
      <c r="Z2132" s="2"/>
      <c r="AA2132" s="2"/>
    </row>
    <row r="2133">
      <c r="A2133" s="1" t="s">
        <v>5061</v>
      </c>
      <c r="B2133" s="1" t="s">
        <v>5246</v>
      </c>
      <c r="C2133" s="1" t="s">
        <v>5247</v>
      </c>
      <c r="D2133" s="2" t="str">
        <f>IFERROR(__xludf.DUMMYFUNCTION("GOOGLETRANSLATE(B2133, ""en"", ""TL"")"),"Paano tinutugunan ng batas ang mga insidente ng hindi awtorisadong pagmamay-ari at paggamit ng kumpidensyal na impormasyon at ang mga legal na kahihinatnan nito?")</f>
        <v>Paano tinutugunan ng batas ang mga insidente ng hindi awtorisadong pagmamay-ari at paggamit ng kumpidensyal na impormasyon at ang mga legal na kahihinatnan nito?</v>
      </c>
      <c r="E2133" s="2" t="str">
        <f>IFERROR(__xludf.DUMMYFUNCTION("GOOGLETRANSLATE(C2133, ""en"", ""TL"")"),"Sa katunayan, ang mga kasunduan sa pagiging kumpidensyal at mga NDA ay may mahalagang papel sa pag-iingat ng sensitibong impormasyon sa mga relasyon sa negosyo. Ang paglabag sa mga kasunduang ito ay maaaring humantong sa mga legal na kahihinatnan, kabilan"&amp;"g ang mga remedyo ng sibil at mga parusang kriminal. Mahalaga para sa mga kasangkot na partido na maunawaan ang kanilang mga obligasyon at responsibilidad tungkol sa kumpidensyal na impormasyon upang maiwasan ang anumang hindi awtorisadong pagsisiwalat.
H"&amp;"igit pa rito, ang mga batas sa intelektwal na ari-arian ay nagbibigay ng karagdagang proteksyon para sa mga lihim ng kalakalan at impormasyon sa pagmamay-ari. Ang hindi awtorisadong pagsisiwalat ng mga lihim ng kalakalan ay maaaring magresulta sa hindi pa"&amp;"tas na mga singil sa kompetisyon at mga parusa sa ilalim ng mga batas na ito.
Sa pangkalahatan, ang pagsunod sa mga kasunduan sa pagiging kumpidensyal at paggalang sa pagiging kumpidensyal ng impormasyon ay mahalaga para sa pagpapaunlad ng tiwala at pagpa"&amp;"panatili ng integridad ng mga relasyon sa negosyo. Ang mga legal na hakbang ay inilagay upang matugunan ang mga paglabag sa pagiging kumpidensyal at matiyak ang pananagutan para sa hindi awtorisadong pagsisiwalat.")</f>
        <v>Sa katunayan, ang mga kasunduan sa pagiging kumpidensyal at mga NDA ay may mahalagang papel sa pag-iingat ng sensitibong impormasyon sa mga relasyon sa negosyo. Ang paglabag sa mga kasunduang ito ay maaaring humantong sa mga legal na kahihinatnan, kabilang ang mga remedyo ng sibil at mga parusang kriminal. Mahalaga para sa mga kasangkot na partido na maunawaan ang kanilang mga obligasyon at responsibilidad tungkol sa kumpidensyal na impormasyon upang maiwasan ang anumang hindi awtorisadong pagsisiwalat.
Higit pa rito, ang mga batas sa intelektwal na ari-arian ay nagbibigay ng karagdagang proteksyon para sa mga lihim ng kalakalan at impormasyon sa pagmamay-ari. Ang hindi awtorisadong pagsisiwalat ng mga lihim ng kalakalan ay maaaring magresulta sa hindi patas na mga singil sa kompetisyon at mga parusa sa ilalim ng mga batas na ito.
Sa pangkalahatan, ang pagsunod sa mga kasunduan sa pagiging kumpidensyal at paggalang sa pagiging kumpidensyal ng impormasyon ay mahalaga para sa pagpapaunlad ng tiwala at pagpapanatili ng integridad ng mga relasyon sa negosyo. Ang mga legal na hakbang ay inilagay upang matugunan ang mga paglabag sa pagiging kumpidensyal at matiyak ang pananagutan para sa hindi awtorisadong pagsisiwalat.</v>
      </c>
      <c r="F2133" s="2">
        <f t="shared" si="1"/>
        <v>1</v>
      </c>
      <c r="G2133" s="2"/>
      <c r="H2133" s="2"/>
      <c r="I2133" s="2"/>
      <c r="J2133" s="2"/>
      <c r="K2133" s="2"/>
      <c r="L2133" s="2"/>
      <c r="M2133" s="2"/>
      <c r="N2133" s="2"/>
      <c r="O2133" s="2"/>
      <c r="P2133" s="2"/>
      <c r="Q2133" s="2"/>
      <c r="R2133" s="2"/>
      <c r="S2133" s="2"/>
      <c r="T2133" s="2"/>
      <c r="U2133" s="2"/>
      <c r="V2133" s="2"/>
      <c r="W2133" s="2"/>
      <c r="X2133" s="2"/>
      <c r="Y2133" s="2"/>
      <c r="Z2133" s="2"/>
      <c r="AA2133" s="2"/>
    </row>
    <row r="2134">
      <c r="A2134" s="1" t="s">
        <v>5061</v>
      </c>
      <c r="B2134" s="1" t="s">
        <v>5248</v>
      </c>
      <c r="C2134" s="1" t="s">
        <v>5249</v>
      </c>
      <c r="D2134" s="2" t="str">
        <f>IFERROR(__xludf.DUMMYFUNCTION("GOOGLETRANSLATE(B2134, ""en"", ""TL"")"),"Anong mga parusa ang naaangkop para sa pagsali sa krimen ng hindi awtorisadong pagsisiwalat ng mga naiuri na dokumento sa mga hindi awtorisadong tao?")</f>
        <v>Anong mga parusa ang naaangkop para sa pagsali sa krimen ng hindi awtorisadong pagsisiwalat ng mga naiuri na dokumento sa mga hindi awtorisadong tao?</v>
      </c>
      <c r="E2134" s="2" t="str">
        <f>IFERROR(__xludf.DUMMYFUNCTION("GOOGLETRANSLATE(C2134, ""en"", ""TL"")"),"Ang mga parusa para sa pagsali sa krimen ng hindi awtorisadong pagsisiwalat ng mga klasipikadong dokumento sa mga hindi awtorisadong tao sa Pilipinas ay maaaring mag-iba depende sa mga partikular na kalagayan ng pagkakasala at sa mga batas kung saan ang i"&amp;"ndibidwal ay iniuusig. Narito ang isang pangkalahatang pangkalahatang-ideya ng mga potensyal na parusa:
1. **Binago ang Kodigo Penal (RPC):**
- Ang hindi awtorisadong pagsisiwalat ng mga klasipikadong dokumento ay maaaring kasuhan sa ilalim ng mga nauugna"&amp;"y na probisyon ng Binagong Kodigo Penal, tulad ng espiya (Artikulo 117) o paghahayag ng mga lihim (Artikulo 291).
- Maaaring kabilang sa mga parusa sa ilalim ng mga probisyong ito ang pagkakulong at mga multa, depende sa kalubhaan ng pagkakasala at iba pa"&amp;"ng nagpapalubha na mga pangyayari.
- Halimbawa, ang paniniktik sa ilalim ng Artikulo 117 ng RPC ay may mga parusa mula sa prision correccional sa maximum na panahon nito hanggang sa reclusion perpetua (pagkakulong ng 20 taon at 1 araw hanggang 40 taon), d"&amp;"epende sa bigat ng pagkakasala at pagkakasangkot ng mga dayuhang ahente .
2. **Data Privacy Act of 2012 (Republic Act No. 10173):**
- Ang hindi awtorisadong pagbubunyag ng mga classified na dokumento na naglalaman ng personal o sensitibong impormasyon ay "&amp;"maaaring lumabag sa Data Privacy Act of 2012.
- Maaaring kabilang sa mga parusa sa ilalim ng Data Privacy Act ang pagkakulong mula sa isang taon hanggang anim na taon at/o mga multa mula ₱500,000 hanggang ₱5,000,000, depende sa mga partikular na probisyon"&amp;" na nilabag.
3. **Ibang Kaugnay na Batas:**
- Depende sa partikular na katangian at nilalaman ng mga klasipikadong dokumentong kasangkot, ang iba pang mga batas at regulasyon ay maaari ding ilapat, gaya ng mga batas na nauugnay sa pambansang seguridad, se"&amp;"guridad ng impormasyon, o lihim ng pamahalaan.
- Maaaring mag-iba-iba ang mga parusa sa ilalim ng mga batas na ito ngunit kadalasang kinabibilangan ng pagkakulong at mga multa, pati na rin ang iba pang mga legal na kahihinatnan.
4. **Sibil na Pananagutan:"&amp;"**
- Bilang karagdagan sa mga parusang kriminal, ang mga indibidwal o entity na responsable para sa hindi awtorisadong pagsisiwalat ng mga klasipikadong dokumento ay maaari ding managot sa sibil para sa mga pinsalang dulot.
- Maaaring magsampa ng mga kaso"&amp;"ng sibil upang humingi ng kabayaran para sa anumang pinsala o pagkalugi na natamo bilang resulta ng hindi awtorisadong pagsisiwalat, kabilang ang mga pinsala para sa pinsala sa reputasyon, pagkalugi sa pananalapi, o iba pang pinsala.
Mahalagang tandaan na"&amp;" ang hindi awtorisadong pagsisiwalat ng mga naiuri na dokumento ay itinuturing na isang malubhang pagkakasala laban sa pambansang seguridad at kaayusan ng publiko. Ang mga parusa ay maaaring mabigat, at ang mga indibidwal na nahatulan ng krimeng ito ay ma"&amp;"aaring maharap sa pagkakulong at malaking multa. Bukod pa rito, maaari ding mag-apply ang civil liability, at ang mga indibidwal o entity na responsable para sa hindi awtorisadong pagsisiwalat ay maaaring panagutin para sa mga pinsalang naidulot. Kung nah"&amp;"aharap sa mga singil na may kaugnayan sa hindi awtorisadong pagsisiwalat ng mga naiuri na dokumento, ipinapayong humingi ng tulong mula sa isang kwalipikadong abogado para sa legal na payo at representasyon.")</f>
        <v>Ang mga parusa para sa pagsali sa krimen ng hindi awtorisadong pagsisiwalat ng mga klasipikadong dokumento sa mga hindi awtorisadong tao sa Pilipinas ay maaaring mag-iba depende sa mga partikular na kalagayan ng pagkakasala at sa mga batas kung saan ang indibidwal ay iniuusig. Narito ang isang pangkalahatang pangkalahatang-ideya ng mga potensyal na parusa:
1. **Binago ang Kodigo Penal (RPC):**
- Ang hindi awtorisadong pagsisiwalat ng mga klasipikadong dokumento ay maaaring kasuhan sa ilalim ng mga nauugnay na probisyon ng Binagong Kodigo Penal, tulad ng espiya (Artikulo 117) o paghahayag ng mga lihim (Artikulo 291).
- Maaaring kabilang sa mga parusa sa ilalim ng mga probisyong ito ang pagkakulong at mga multa, depende sa kalubhaan ng pagkakasala at iba pang nagpapalubha na mga pangyayari.
- Halimbawa, ang paniniktik sa ilalim ng Artikulo 117 ng RPC ay may mga parusa mula sa prision correccional sa maximum na panahon nito hanggang sa reclusion perpetua (pagkakulong ng 20 taon at 1 araw hanggang 40 taon), depende sa bigat ng pagkakasala at pagkakasangkot ng mga dayuhang ahente .
2. **Data Privacy Act of 2012 (Republic Act No. 10173):**
- Ang hindi awtorisadong pagbubunyag ng mga classified na dokumento na naglalaman ng personal o sensitibong impormasyon ay maaaring lumabag sa Data Privacy Act of 2012.
- Maaaring kabilang sa mga parusa sa ilalim ng Data Privacy Act ang pagkakulong mula sa isang taon hanggang anim na taon at/o mga multa mula ₱500,000 hanggang ₱5,000,000, depende sa mga partikular na probisyon na nilabag.
3. **Ibang Kaugnay na Batas:**
- Depende sa partikular na katangian at nilalaman ng mga klasipikadong dokumentong kasangkot, ang iba pang mga batas at regulasyon ay maaari ding ilapat, gaya ng mga batas na nauugnay sa pambansang seguridad, seguridad ng impormasyon, o lihim ng pamahalaan.
- Maaaring mag-iba-iba ang mga parusa sa ilalim ng mga batas na ito ngunit kadalasang kinabibilangan ng pagkakulong at mga multa, pati na rin ang iba pang mga legal na kahihinatnan.
4. **Sibil na Pananagutan:**
- Bilang karagdagan sa mga parusang kriminal, ang mga indibidwal o entity na responsable para sa hindi awtorisadong pagsisiwalat ng mga klasipikadong dokumento ay maaari ding managot sa sibil para sa mga pinsalang dulot.
- Maaaring magsampa ng mga kasong sibil upang humingi ng kabayaran para sa anumang pinsala o pagkalugi na natamo bilang resulta ng hindi awtorisadong pagsisiwalat, kabilang ang mga pinsala para sa pinsala sa reputasyon, pagkalugi sa pananalapi, o iba pang pinsala.
Mahalagang tandaan na ang hindi awtorisadong pagsisiwalat ng mga naiuri na dokumento ay itinuturing na isang malubhang pagkakasala laban sa pambansang seguridad at kaayusan ng publiko. Ang mga parusa ay maaaring mabigat, at ang mga indibidwal na nahatulan ng krimeng ito ay maaaring maharap sa pagkakulong at malaking multa. Bukod pa rito, maaari ding mag-apply ang civil liability, at ang mga indibidwal o entity na responsable para sa hindi awtorisadong pagsisiwalat ay maaaring panagutin para sa mga pinsalang naidulot. Kung nahaharap sa mga singil na may kaugnayan sa hindi awtorisadong pagsisiwalat ng mga naiuri na dokumento, ipinapayong humingi ng tulong mula sa isang kwalipikadong abogado para sa legal na payo at representasyon.</v>
      </c>
      <c r="F2134" s="2">
        <f t="shared" si="1"/>
        <v>1</v>
      </c>
      <c r="G2134" s="2"/>
      <c r="H2134" s="2"/>
      <c r="I2134" s="2"/>
      <c r="J2134" s="2"/>
      <c r="K2134" s="2"/>
      <c r="L2134" s="2"/>
      <c r="M2134" s="2"/>
      <c r="N2134" s="2"/>
      <c r="O2134" s="2"/>
      <c r="P2134" s="2"/>
      <c r="Q2134" s="2"/>
      <c r="R2134" s="2"/>
      <c r="S2134" s="2"/>
      <c r="T2134" s="2"/>
      <c r="U2134" s="2"/>
      <c r="V2134" s="2"/>
      <c r="W2134" s="2"/>
      <c r="X2134" s="2"/>
      <c r="Y2134" s="2"/>
      <c r="Z2134" s="2"/>
      <c r="AA2134" s="2"/>
    </row>
    <row r="2135">
      <c r="A2135" s="1" t="s">
        <v>5061</v>
      </c>
      <c r="B2135" s="1" t="s">
        <v>5232</v>
      </c>
      <c r="C2135" s="1" t="s">
        <v>5250</v>
      </c>
      <c r="D2135" s="2" t="str">
        <f>IFERROR(__xludf.DUMMYFUNCTION("GOOGLETRANSLATE(B2135, ""en"", ""TL"")"),"Paano tinukoy at pinaparusahan ang pagkakasala ng pagkukubli o pagtatago sa mga indibidwal na sangkot sa paghihimagsik o pag-aalsa?")</f>
        <v>Paano tinukoy at pinaparusahan ang pagkakasala ng pagkukubli o pagtatago sa mga indibidwal na sangkot sa paghihimagsik o pag-aalsa?</v>
      </c>
      <c r="E2135" s="2" t="str">
        <f>IFERROR(__xludf.DUMMYFUNCTION("GOOGLETRANSLATE(C2135, ""en"", ""TL"")"),"Pinarusahan ng Pilipinas ang pagkukubli o pagtatago sa mga indibidwal na sangkot sa paghihimagsik o pag-aalsa. Narito ang isang breakdown ng mga nauugnay na batas at mga potensyal na kahihinatnan:
Pangunahing Batas:
Binagong Kodigo Penal (RPC):
Artikulo 1"&amp;"42 (Pag-uudyok sa Sedisyon): Bagama't hindi direktang tinutugunan ang pagkukubli, ginagawa nitong kriminal ang mga aksyon na maaaring humantong sa paghihimagsik.
Artikulo 146 (Rebelyon): Tinutukoy ang krimen ng paghihimagsik bilang:
""Ang pagtaas ng publi"&amp;"ko at armadong pag-aalsa laban sa gobyerno na may bukas na layunin na ibagsak ito.""
Artikulo 180 (Pabor sa Desertion): Ang probisyong ito ay nagsisilbing pangunahing legal na batayan para sa pagkukubli sa mga indibidwal na sangkot sa paghihimagsik/pag-aa"&amp;"lsa.
Mga Pangunahing Punto:
Kaalaman sa Paglahok: Ang taong nagkikimkim sa indibidwal ay dapat magkaroon ng kamalayan sa kanilang pakikilahok sa paghihimagsik o pag-aalsa.
Pagtulong at Pag-aaliw: Ang pagbibigay ng anumang anyo ng suporta, kabilang ang tir"&amp;"ahan, mga mapagkukunan, o tulong upang maiwasan ang mga awtoridad, ay nasa ilalim ng kategoryang ito.
Parusa:
Artikulo 180 (Pabor sa Desertion):
Prison mayor sa katamtaman at pinakamataas na panahon: Pagkakulong mula 6 na taon at 1 araw hanggang 12 taon.
"&amp;"Mga Karagdagang Pagsasaalang-alang:
Potensyal para sa Mga Pagsingil sa Accessory: Depende sa mga pangyayari, ang indibidwal na kumukupkop sa rebelde/insurgent ay maaaring maharap sa mga karagdagang singil:
Accessory sa krimen ng paghihimagsik/pag-aalsa: I"&amp;"to ay maaaring humantong sa isang mas malupit na parusa batay sa mga partikular na kilos na ginawa ng nakatagong (mga) indibidwal.
Halimbawa:
Ang isang tao ay sadyang nagbibigay ng ligtas na bahay at mga mapagkukunan sa mga indibidwal na hinahanap para sa"&amp;" kanilang pagkakasangkot sa isang armadong pag-aalsa laban sa gobyerno. Ito ay malamang na ituring na isang paglabag sa Artikulo 180 dahil sa:
Kaalaman sa kanilang pagkakasangkot sa paghihimagsik (batay sa mga ulat ng balita o sa kanilang status na wanted"&amp;").
Pagbibigay ng kanlungan at pagtulong sa kanila sa pag-iwas sa mga awtoridad.")</f>
        <v>Pinarusahan ng Pilipinas ang pagkukubli o pagtatago sa mga indibidwal na sangkot sa paghihimagsik o pag-aalsa. Narito ang isang breakdown ng mga nauugnay na batas at mga potensyal na kahihinatnan:
Pangunahing Batas:
Binagong Kodigo Penal (RPC):
Artikulo 142 (Pag-uudyok sa Sedisyon): Bagama't hindi direktang tinutugunan ang pagkukubli, ginagawa nitong kriminal ang mga aksyon na maaaring humantong sa paghihimagsik.
Artikulo 146 (Rebelyon): Tinutukoy ang krimen ng paghihimagsik bilang:
"Ang pagtaas ng publiko at armadong pag-aalsa laban sa gobyerno na may bukas na layunin na ibagsak ito."
Artikulo 180 (Pabor sa Desertion): Ang probisyong ito ay nagsisilbing pangunahing legal na batayan para sa pagkukubli sa mga indibidwal na sangkot sa paghihimagsik/pag-aalsa.
Mga Pangunahing Punto:
Kaalaman sa Paglahok: Ang taong nagkikimkim sa indibidwal ay dapat magkaroon ng kamalayan sa kanilang pakikilahok sa paghihimagsik o pag-aalsa.
Pagtulong at Pag-aaliw: Ang pagbibigay ng anumang anyo ng suporta, kabilang ang tirahan, mga mapagkukunan, o tulong upang maiwasan ang mga awtoridad, ay nasa ilalim ng kategoryang ito.
Parusa:
Artikulo 180 (Pabor sa Desertion):
Prison mayor sa katamtaman at pinakamataas na panahon: Pagkakulong mula 6 na taon at 1 araw hanggang 12 taon.
Mga Karagdagang Pagsasaalang-alang:
Potensyal para sa Mga Pagsingil sa Accessory: Depende sa mga pangyayari, ang indibidwal na kumukupkop sa rebelde/insurgent ay maaaring maharap sa mga karagdagang singil:
Accessory sa krimen ng paghihimagsik/pag-aalsa: Ito ay maaaring humantong sa isang mas malupit na parusa batay sa mga partikular na kilos na ginawa ng nakatagong (mga) indibidwal.
Halimbawa:
Ang isang tao ay sadyang nagbibigay ng ligtas na bahay at mga mapagkukunan sa mga indibidwal na hinahanap para sa kanilang pagkakasangkot sa isang armadong pag-aalsa laban sa gobyerno. Ito ay malamang na ituring na isang paglabag sa Artikulo 180 dahil sa:
Kaalaman sa kanilang pagkakasangkot sa paghihimagsik (batay sa mga ulat ng balita o sa kanilang status na wanted).
Pagbibigay ng kanlungan at pagtulong sa kanila sa pag-iwas sa mga awtoridad.</v>
      </c>
      <c r="F2135" s="2">
        <f t="shared" si="1"/>
        <v>1</v>
      </c>
      <c r="G2135" s="2"/>
      <c r="H2135" s="2"/>
      <c r="I2135" s="2"/>
      <c r="J2135" s="2"/>
      <c r="K2135" s="2"/>
      <c r="L2135" s="2"/>
      <c r="M2135" s="2"/>
      <c r="N2135" s="2"/>
      <c r="O2135" s="2"/>
      <c r="P2135" s="2"/>
      <c r="Q2135" s="2"/>
      <c r="R2135" s="2"/>
      <c r="S2135" s="2"/>
      <c r="T2135" s="2"/>
      <c r="U2135" s="2"/>
      <c r="V2135" s="2"/>
      <c r="W2135" s="2"/>
      <c r="X2135" s="2"/>
      <c r="Y2135" s="2"/>
      <c r="Z2135" s="2"/>
      <c r="AA2135" s="2"/>
    </row>
    <row r="2136">
      <c r="A2136" s="1" t="s">
        <v>5061</v>
      </c>
      <c r="B2136" s="1" t="s">
        <v>5234</v>
      </c>
      <c r="C2136" s="1" t="s">
        <v>5251</v>
      </c>
      <c r="D2136" s="2" t="str">
        <f>IFERROR(__xludf.DUMMYFUNCTION("GOOGLETRANSLATE(B2136, ""en"", ""TL"")"),"Anong mga legal na hakbang ang umiiral upang labanan ang krimen ng sabotahe laban sa mga computer system at network ng gobyerno?")</f>
        <v>Anong mga legal na hakbang ang umiiral upang labanan ang krimen ng sabotahe laban sa mga computer system at network ng gobyerno?</v>
      </c>
      <c r="E2136" s="2" t="str">
        <f>IFERROR(__xludf.DUMMYFUNCTION("GOOGLETRANSLATE(C2136, ""en"", ""TL"")"),"Ang Pilipinas ay nagpatupad ng iba't ibang legal na hakbang upang labanan ang sabotahe laban sa mga computer system at network ng gobyerno, na kinikilala ang kritikal na papel ng cybersecurity sa pagprotekta sa sensitibong impormasyon at pambansang impras"&amp;"traktura. Narito ang isang breakdown ng mga nauugnay na batas at hakbang:
Pangunahing Batas:
Binagong Kodigo Penal (RPC):
Artikulo 179 (Destructive Arson): Nalalapat ang batas na ito sa mga sitwasyon kung saan ang sabotahe ay nagdudulot ng pisikal "&amp;"na pinsala:
Ang mga nakakapinsalang bahagi ng imprastraktura tulad ng mga linya ng kuryente o server ay maaaring ituring na arson kung sunog ang ginamit.
Artikulo 318 (Kalokohan): Ang mas malawak na probisyong ito ay sumasaklaw sa iba't ibang gawaing na"&amp;"gdudulot ng pinsala sa ari-arian, kabilang ang:
Ang pakikialam sa computer hardware o software na humahantong sa pagkaantala ng mga serbisyo ng gobyerno.
Nagiging sanhi ng pagkawala ng data o katiwalian sa pamamagitan ng hindi awtorisadong pag-access.
"&amp;"Batas sa Cybersecurity:
Republic Act No. 10175 (Cybercrime Prevention Act of 2012): Direktang tinutugunan ng batas na ito ang mas malawak na hanay ng mga cybercrime:
Ilegal na Pag-access: Pagkuha ng hindi awtorisadong pag-access sa isang computer syst"&amp;"em o network, partikular na ang mga sistema ng pamahalaan na naglalaman ng sensitibong data.
Panghihimasok sa Data: Pagbabago, pagbabago, pagsira, pagtanggal, o pagsugpo sa data nang walang pahintulot.
Panghihimasok ng System: Sinasadyang ipakilala ang "&amp;"malisyosong code o mga programa upang maantala ang paggana ng mga sistema ng pamahalaan.
Mga Karagdagang Batas:
Espionage Act (RA No. 6770): Bagama't hindi lamang nakatuon sa mga aktibidad sa cyber, pinalalakas ng batas na ito ang mga parusa para sa e"&amp;"spionage, kabilang ang:
Pangangalap, pagtataglay, o pagpapadala ng classified na impormasyon sa pamamagitan ng elektronikong paraan. Maaaring malapat ito sa mga sitwasyon kung saan nagnanakaw ang mga indibidwal ng classified data mula sa mga network ng g"&amp;"obyerno.
Karagdagang Legal na Bunga:
Ang mga indibidwal na napatunayang nagkasala sa mga krimeng ito ay hindi lamang nahaharap sa pagkakulong kundi pati na rin:
Mga multa: Depende sa partikular na pagkakasala at ang resultang pinsala.
Pananagutan ng"&amp;" sibil: Pananagutan upang mabayaran ang halaga ng pag-aayos, pagkaantala sa serbisyo, at potensyal na pagkalugi sa ekonomiya na dulot ng sabotahe.")</f>
        <v>Ang Pilipinas ay nagpatupad ng iba't ibang legal na hakbang upang labanan ang sabotahe laban sa mga computer system at network ng gobyerno, na kinikilala ang kritikal na papel ng cybersecurity sa pagprotekta sa sensitibong impormasyon at pambansang imprastraktura. Narito ang isang breakdown ng mga nauugnay na batas at hakbang:
Pangunahing Batas:
Binagong Kodigo Penal (RPC):
Artikulo 179 (Destructive Arson): Nalalapat ang batas na ito sa mga sitwasyon kung saan ang sabotahe ay nagdudulot ng pisikal na pinsala:
Ang mga nakakapinsalang bahagi ng imprastraktura tulad ng mga linya ng kuryente o server ay maaaring ituring na arson kung sunog ang ginamit.
Artikulo 318 (Kalokohan): Ang mas malawak na probisyong ito ay sumasaklaw sa iba't ibang gawaing nagdudulot ng pinsala sa ari-arian, kabilang ang:
Ang pakikialam sa computer hardware o software na humahantong sa pagkaantala ng mga serbisyo ng gobyerno.
Nagiging sanhi ng pagkawala ng data o katiwalian sa pamamagitan ng hindi awtorisadong pag-access.
Batas sa Cybersecurity:
Republic Act No. 10175 (Cybercrime Prevention Act of 2012): Direktang tinutugunan ng batas na ito ang mas malawak na hanay ng mga cybercrime:
Ilegal na Pag-access: Pagkuha ng hindi awtorisadong pag-access sa isang computer system o network, partikular na ang mga sistema ng pamahalaan na naglalaman ng sensitibong data.
Panghihimasok sa Data: Pagbabago, pagbabago, pagsira, pagtanggal, o pagsugpo sa data nang walang pahintulot.
Panghihimasok ng System: Sinasadyang ipakilala ang malisyosong code o mga programa upang maantala ang paggana ng mga sistema ng pamahalaan.
Mga Karagdagang Batas:
Espionage Act (RA No. 6770): Bagama't hindi lamang nakatuon sa mga aktibidad sa cyber, pinalalakas ng batas na ito ang mga parusa para sa espionage, kabilang ang:
Pangangalap, pagtataglay, o pagpapadala ng classified na impormasyon sa pamamagitan ng elektronikong paraan. Maaaring malapat ito sa mga sitwasyon kung saan nagnanakaw ang mga indibidwal ng classified data mula sa mga network ng gobyerno.
Karagdagang Legal na Bunga:
Ang mga indibidwal na napatunayang nagkasala sa mga krimeng ito ay hindi lamang nahaharap sa pagkakulong kundi pati na rin:
Mga multa: Depende sa partikular na pagkakasala at ang resultang pinsala.
Pananagutan ng sibil: Pananagutan upang mabayaran ang halaga ng pag-aayos, pagkaantala sa serbisyo, at potensyal na pagkalugi sa ekonomiya na dulot ng sabotahe.</v>
      </c>
      <c r="F2136" s="2">
        <f t="shared" si="1"/>
        <v>0</v>
      </c>
      <c r="G2136" s="2"/>
      <c r="H2136" s="2"/>
      <c r="I2136" s="2"/>
      <c r="J2136" s="2"/>
      <c r="K2136" s="2"/>
      <c r="L2136" s="2"/>
      <c r="M2136" s="2"/>
      <c r="N2136" s="2"/>
      <c r="O2136" s="2"/>
      <c r="P2136" s="2"/>
      <c r="Q2136" s="2"/>
      <c r="R2136" s="2"/>
      <c r="S2136" s="2"/>
      <c r="T2136" s="2"/>
      <c r="U2136" s="2"/>
      <c r="V2136" s="2"/>
      <c r="W2136" s="2"/>
      <c r="X2136" s="2"/>
      <c r="Y2136" s="2"/>
      <c r="Z2136" s="2"/>
      <c r="AA2136" s="2"/>
    </row>
    <row r="2137">
      <c r="A2137" s="1" t="s">
        <v>5061</v>
      </c>
      <c r="B2137" s="1" t="s">
        <v>5236</v>
      </c>
      <c r="C2137" s="1" t="s">
        <v>5252</v>
      </c>
      <c r="D2137" s="2" t="str">
        <f>IFERROR(__xludf.DUMMYFUNCTION("GOOGLETRANSLATE(B2137, ""en"", ""TL"")"),"Sa ilalim ng anong mga pangyayari ang isang tao ay maaaring makasuhan ng krimen ng hindi awtorisadong pagmamay-ari at paggamit ng kumpidensyal na impormasyon?")</f>
        <v>Sa ilalim ng anong mga pangyayari ang isang tao ay maaaring makasuhan ng krimen ng hindi awtorisadong pagmamay-ari at paggamit ng kumpidensyal na impormasyon?</v>
      </c>
      <c r="E2137" s="2" t="str">
        <f>IFERROR(__xludf.DUMMYFUNCTION("GOOGLETRANSLATE(C2137, ""en"", ""TL"")"),"Sa Pilipinas, ang isang tao ay maaaring kasuhan ng krimen ng hindi awtorisadong pagmamay-ari at paggamit ng kumpidensyal na impormasyon sa ilalim ng iba't ibang pagkakataon, lalo na kung sadyang nakakakuha, nagtataglay, o gumagamit ng kumpidensyal na impo"&amp;"rmasyon nang walang wastong awtorisasyon o pahintulot. Narito ang ilang karaniwang sitwasyon kung saan maaaring malapat ang mga naturang singil:
1. **Pag-access o Pagkuha ng Impormasyon Nang Walang Awtorisasyon:**
- Kung ang isang tao ay nakakuha ng acces"&amp;"s sa kumpidensyal na impormasyon sa pamamagitan ng hindi awtorisadong paraan, tulad ng pag-hack sa isang computer system, pag-access sa mga pinaghihigpitang file o database, o pag-bypass sa mga hakbang sa seguridad, maaari silang kasuhan ng hindi awtorisa"&amp;"dong pagmamay-ari at paggamit ng kumpidensyal na impormasyon.
2. **Maling Paggamit ng Privileged Access:**
- Ang mga indibidwal na may awtorisadong pag-access sa kumpidensyal na impormasyon ay maaaring singilin kung maling gamitin ang access na iyon para "&amp;"sa hindi awtorisadong layunin. Maaaring kabilang dito ang pagsisiwalat ng impormasyon sa mga hindi awtorisadong partido, paggamit nito para sa personal na pakinabang, o pagsali sa iba pang mga ipinagbabawal na aktibidad.
3. **Paglabag sa Mga Kasunduan sa "&amp;"Pagiging Kumpidensyal:**
- Kung ang isang tao ay lumabag sa mga kasunduan sa pagiging kumpidensyal o mga obligasyong kontraktwal sa pamamagitan ng pagsisiwalat o paggamit ng kumpidensyal na impormasyon na lumalabag sa mga tuntunin ng kasunduan, maaari sil"&amp;"ang kasuhan ng hindi awtorisadong pagmamay-ari at paggamit ng kumpidensyal na impormasyon.
4. **Pagnanakaw o Hindi Awtorisadong Pagkuha:**
- Kung ang isang tao ay nakakuha ng kumpidensyal na impormasyon sa pamamagitan ng pagnanakaw, panlilinlang, o iba pa"&amp;"ng labag sa batas na paraan, maaari silang kasuhan ng hindi awtorisadong pagmamay-ari at paggamit ng kumpidensyal na impormasyon.
5. **Hindi Wastong Pangangasiwa ng Klasipikadong Impormasyon:**
- Maaaring singilin ang mga indibidwal na pinagkatiwalaan sa "&amp;"paghawak ng classified o sensitibong impormasyon ng gobyerno kung hindi sila sumunod sa mga protocol ng seguridad o maling paghawak ng impormasyon, na magreresulta sa hindi awtorisadong pagsisiwalat o paggamit.
Mahalagang tandaan na ang mga partikular na "&amp;"pangyayari at layunin sa likod ng hindi awtorisadong pagmamay-ari at paggamit ng kumpidensyal na impormasyon ay tutukuyin ang posibilidad ng mga pagsingil na maisampa at ang kalubhaan ng mga potensyal na legal na kahihinatnan. Bukod pa rito, ang mga batas"&amp;" na namamahala sa proteksyon ng kumpidensyal na impormasyon ay maaaring mag-iba depende sa konteksto, gaya ng mga batas na nauugnay sa privacy ng data, intelektwal na ari-arian, pambansang seguridad, o mga propesyonal na pamantayan at etika.
Ang mga indib"&amp;"idwal na inakusahan ng hindi awtorisadong pagmamay-ari at paggamit ng kumpidensyal na impormasyon ay may karapatan sa angkop na proseso at legal na representasyon. Maipapayo na humingi ng tulong mula sa isang kwalipikadong abogado para sa legal na payo at"&amp;" representasyon kung nahaharap sa mga kasong may kaugnayan sa hindi awtorisadong pagmamay-ari at paggamit ng kumpidensyal na impormasyon. Bukod pa rito, ang pagpigil sa mga ganitong insidente ay kadalasang nagsasangkot ng pagpapatupad ng naaangkop na mga "&amp;"hakbang sa seguridad, pagsasanay, at pagsunod sa mga nauugnay na batas at regulasyon na namamahala sa proteksyon ng kumpidensyal na impormasyon.")</f>
        <v>Sa Pilipinas, ang isang tao ay maaaring kasuhan ng krimen ng hindi awtorisadong pagmamay-ari at paggamit ng kumpidensyal na impormasyon sa ilalim ng iba't ibang pagkakataon, lalo na kung sadyang nakakakuha, nagtataglay, o gumagamit ng kumpidensyal na impormasyon nang walang wastong awtorisasyon o pahintulot. Narito ang ilang karaniwang sitwasyon kung saan maaaring malapat ang mga naturang singil:
1. **Pag-access o Pagkuha ng Impormasyon Nang Walang Awtorisasyon:**
- Kung ang isang tao ay nakakuha ng access sa kumpidensyal na impormasyon sa pamamagitan ng hindi awtorisadong paraan, tulad ng pag-hack sa isang computer system, pag-access sa mga pinaghihigpitang file o database, o pag-bypass sa mga hakbang sa seguridad, maaari silang kasuhan ng hindi awtorisadong pagmamay-ari at paggamit ng kumpidensyal na impormasyon.
2. **Maling Paggamit ng Privileged Access:**
- Ang mga indibidwal na may awtorisadong pag-access sa kumpidensyal na impormasyon ay maaaring singilin kung maling gamitin ang access na iyon para sa hindi awtorisadong layunin. Maaaring kabilang dito ang pagsisiwalat ng impormasyon sa mga hindi awtorisadong partido, paggamit nito para sa personal na pakinabang, o pagsali sa iba pang mga ipinagbabawal na aktibidad.
3. **Paglabag sa Mga Kasunduan sa Pagiging Kumpidensyal:**
- Kung ang isang tao ay lumabag sa mga kasunduan sa pagiging kumpidensyal o mga obligasyong kontraktwal sa pamamagitan ng pagsisiwalat o paggamit ng kumpidensyal na impormasyon na lumalabag sa mga tuntunin ng kasunduan, maaari silang kasuhan ng hindi awtorisadong pagmamay-ari at paggamit ng kumpidensyal na impormasyon.
4. **Pagnanakaw o Hindi Awtorisadong Pagkuha:**
- Kung ang isang tao ay nakakuha ng kumpidensyal na impormasyon sa pamamagitan ng pagnanakaw, panlilinlang, o iba pang labag sa batas na paraan, maaari silang kasuhan ng hindi awtorisadong pagmamay-ari at paggamit ng kumpidensyal na impormasyon.
5. **Hindi Wastong Pangangasiwa ng Klasipikadong Impormasyon:**
- Maaaring singilin ang mga indibidwal na pinagkatiwalaan sa paghawak ng classified o sensitibong impormasyon ng gobyerno kung hindi sila sumunod sa mga protocol ng seguridad o maling paghawak ng impormasyon, na magreresulta sa hindi awtorisadong pagsisiwalat o paggamit.
Mahalagang tandaan na ang mga partikular na pangyayari at layunin sa likod ng hindi awtorisadong pagmamay-ari at paggamit ng kumpidensyal na impormasyon ay tutukuyin ang posibilidad ng mga pagsingil na maisampa at ang kalubhaan ng mga potensyal na legal na kahihinatnan. Bukod pa rito, ang mga batas na namamahala sa proteksyon ng kumpidensyal na impormasyon ay maaaring mag-iba depende sa konteksto, gaya ng mga batas na nauugnay sa privacy ng data, intelektwal na ari-arian, pambansang seguridad, o mga propesyonal na pamantayan at etika.
Ang mga indibidwal na inakusahan ng hindi awtorisadong pagmamay-ari at paggamit ng kumpidensyal na impormasyon ay may karapatan sa angkop na proseso at legal na representasyon. Maipapayo na humingi ng tulong mula sa isang kwalipikadong abogado para sa legal na payo at representasyon kung nahaharap sa mga kasong may kaugnayan sa hindi awtorisadong pagmamay-ari at paggamit ng kumpidensyal na impormasyon. Bukod pa rito, ang pagpigil sa mga ganitong insidente ay kadalasang nagsasangkot ng pagpapatupad ng naaangkop na mga hakbang sa seguridad, pagsasanay, at pagsunod sa mga nauugnay na batas at regulasyon na namamahala sa proteksyon ng kumpidensyal na impormasyon.</v>
      </c>
      <c r="F2137" s="2">
        <f t="shared" si="1"/>
        <v>0</v>
      </c>
      <c r="G2137" s="2"/>
      <c r="H2137" s="2"/>
      <c r="I2137" s="2"/>
      <c r="J2137" s="2"/>
      <c r="K2137" s="2"/>
      <c r="L2137" s="2"/>
      <c r="M2137" s="2"/>
      <c r="N2137" s="2"/>
      <c r="O2137" s="2"/>
      <c r="P2137" s="2"/>
      <c r="Q2137" s="2"/>
      <c r="R2137" s="2"/>
      <c r="S2137" s="2"/>
      <c r="T2137" s="2"/>
      <c r="U2137" s="2"/>
      <c r="V2137" s="2"/>
      <c r="W2137" s="2"/>
      <c r="X2137" s="2"/>
      <c r="Y2137" s="2"/>
      <c r="Z2137" s="2"/>
      <c r="AA2137" s="2"/>
    </row>
    <row r="2138">
      <c r="A2138" s="1" t="s">
        <v>5061</v>
      </c>
      <c r="B2138" s="1" t="s">
        <v>5238</v>
      </c>
      <c r="C2138" s="1" t="s">
        <v>5253</v>
      </c>
      <c r="D2138" s="2" t="str">
        <f>IFERROR(__xludf.DUMMYFUNCTION("GOOGLETRANSLATE(B2138, ""en"", ""TL"")"),"Paano tinutugunan ng batas ang mga insidente ng hindi awtorisadong pagsisiwalat ng mga naiuri na dokumento sa mga hindi awtorisadong tao at ang mga legal na kahihinatnan nito?")</f>
        <v>Paano tinutugunan ng batas ang mga insidente ng hindi awtorisadong pagsisiwalat ng mga naiuri na dokumento sa mga hindi awtorisadong tao at ang mga legal na kahihinatnan nito?</v>
      </c>
      <c r="E2138" s="2" t="str">
        <f>IFERROR(__xludf.DUMMYFUNCTION("GOOGLETRANSLATE(C2138, ""en"", ""TL"")"),"Sa Pilipinas, ang mga insidente ng hindi awtorisadong pagsisiwalat ng mga klasipikadong dokumento sa mga hindi awtorisadong tao ay tinutugunan sa ilalim ng iba't ibang batas at regulasyon na naglalayong protektahan ang pambansang seguridad, lihim ng pamah"&amp;"alaan, at kumpidensyal na impormasyon. Ang mga legal na kahihinatnan para sa naturang hindi awtorisadong pagsisiwalat ay maaaring mag-iba depende sa mga partikular na pangyayari at sa mga batas kung saan ang indibidwal ay iniuusig. Narito kung paano karan"&amp;"iwang tinutugunan ng batas ang mga insidenteng ito at ang kanilang mga legal na kahihinatnan:
1. **Binago ang Kodigo Penal (RPC):**
- Ang hindi awtorisadong pagsisiwalat ng mga klasipikadong dokumento ay maaaring kasuhan sa ilalim ng mga kaugnay na probis"&amp;"yon ng Binagong Kodigo Penal, partikular ang mga may kaugnayan sa mga krimen laban sa kaayusan ng publiko at pambansang seguridad.
- Depende sa mga partikular na pangyayari, ang hindi awtorisadong pagsisiwalat ng mga classified na dokumento ay maaaring bu"&amp;"muo ng mga pagkakasala gaya ng espionage (Artikulo 117), pagbubunyag ng mga lihim (Artikulo 291), o paglabag sa batas sa espiya (Artikulo 117).
- Maaaring kabilang sa mga parusa sa ilalim ng mga probisyong ito ang pagkakulong at mga multa, depende sa kalu"&amp;"bhaan ng pagkakasala at iba pang nagpapalubha na mga pangyayari.
2. **Data Privacy Act of 2012 (Republic Act No. 10173):**
- Ang Data Privacy Act of 2012 ay naglalaman ng mga probisyon na may kaugnayan sa proteksyon ng personal na data at impormasyon, kab"&amp;"ilang ang sensitibo o kumpidensyal na impormasyong hawak ng mga ahensya ng gobyerno o pribadong entity.
- Ang hindi awtorisadong pagsisiwalat ng mga classified na dokumento na naglalaman ng personal o sensitibong impormasyon ay maaaring lumabag sa batas n"&amp;"a ito.
- Maaaring kabilang sa mga parusa sa ilalim ng Data Privacy Act ang pagkakulong mula sa isang taon hanggang anim na taon at/o mga multa mula ₱500,000 hanggang ₱5,000,000, depende sa mga partikular na probisyon na nilabag.
3. **Opisyal na Secrets Ac"&amp;"t:**
- Bagama't walang partikular na ""Official Secrets Act"" ang Pilipinas tulad ng ilang ibang bansa, ang mga probisyon na may kaugnayan sa proteksyon ng classified na impormasyon ay maaaring matagpuan sa iba't ibang batas, regulasyon, at patakaran ng p"&amp;"amahalaan.
- Ang hindi awtorisadong pagsisiwalat ng mga klasipikadong dokumento ay maaaring kasuhan sa ilalim ng mga nauugnay na probisyon ng mga umiiral na batas at regulasyon na namamahala sa lihim ng pamahalaan, pagiging kumpidensyal, at pambansang seg"&amp;"uridad.
4. **Ibang Kaugnay na Batas:**
- Depende sa partikular na katangian at nilalaman ng mga klasipikadong dokumentong kasangkot, ang iba pang mga batas at regulasyon ay maaari ding ilapat, tulad ng mga batas na nauugnay sa pambansang seguridad, seguri"&amp;"dad ng impormasyon, o transparency at pananagutan ng pamahalaan.
5. **Civil Liability:**
- Bilang karagdagan sa mga parusang kriminal, ang mga indibidwal o entity na responsable para sa hindi awtorisadong pagsisiwalat ng mga klasipikadong dokumento ay maa"&amp;"ari ding managot sa sibil para sa mga pinsalang dulot.
- Maaaring magsampa ng mga kasong sibil upang humingi ng kabayaran para sa anumang pinsala o pagkalugi na natamo bilang resulta ng hindi awtorisadong pagsisiwalat, kabilang ang mga pinsala para sa pin"&amp;"sala sa reputasyon, pagkalugi sa pananalapi, o iba pang pinsala.
Mahalagang tandaan na ang hindi awtorisadong pagsisiwalat ng mga naiuri na dokumento ay itinuturing na isang malubhang pagkakasala laban sa pambansang seguridad at kaayusan ng publiko. Ang m"&amp;"ga parusa ay maaaring mabigat, at ang mga indibidwal na nahatulan ng krimeng ito ay maaaring maharap sa pagkakulong at malaking multa. Bukod pa rito, maaari ding mag-apply ang civil liability, at ang mga indibidwal o entity na responsable para sa hindi aw"&amp;"torisadong pagsisiwalat ay maaaring panagutin para sa mga pinsalang naidulot. Kung nahaharap sa mga singil na may kaugnayan sa hindi awtorisadong pagsisiwalat ng mga naiuri na dokumento, ipinapayong humingi ng tulong mula sa isang kwalipikadong abogado pa"&amp;"ra sa legal na payo at representasyon.")</f>
        <v>Sa Pilipinas, ang mga insidente ng hindi awtorisadong pagsisiwalat ng mga klasipikadong dokumento sa mga hindi awtorisadong tao ay tinutugunan sa ilalim ng iba't ibang batas at regulasyon na naglalayong protektahan ang pambansang seguridad, lihim ng pamahalaan, at kumpidensyal na impormasyon. Ang mga legal na kahihinatnan para sa naturang hindi awtorisadong pagsisiwalat ay maaaring mag-iba depende sa mga partikular na pangyayari at sa mga batas kung saan ang indibidwal ay iniuusig. Narito kung paano karaniwang tinutugunan ng batas ang mga insidenteng ito at ang kanilang mga legal na kahihinatnan:
1. **Binago ang Kodigo Penal (RPC):**
- Ang hindi awtorisadong pagsisiwalat ng mga klasipikadong dokumento ay maaaring kasuhan sa ilalim ng mga kaugnay na probisyon ng Binagong Kodigo Penal, partikular ang mga may kaugnayan sa mga krimen laban sa kaayusan ng publiko at pambansang seguridad.
- Depende sa mga partikular na pangyayari, ang hindi awtorisadong pagsisiwalat ng mga classified na dokumento ay maaaring bumuo ng mga pagkakasala gaya ng espionage (Artikulo 117), pagbubunyag ng mga lihim (Artikulo 291), o paglabag sa batas sa espiya (Artikulo 117).
- Maaaring kabilang sa mga parusa sa ilalim ng mga probisyong ito ang pagkakulong at mga multa, depende sa kalubhaan ng pagkakasala at iba pang nagpapalubha na mga pangyayari.
2. **Data Privacy Act of 2012 (Republic Act No. 10173):**
- Ang Data Privacy Act of 2012 ay naglalaman ng mga probisyon na may kaugnayan sa proteksyon ng personal na data at impormasyon, kabilang ang sensitibo o kumpidensyal na impormasyong hawak ng mga ahensya ng gobyerno o pribadong entity.
- Ang hindi awtorisadong pagsisiwalat ng mga classified na dokumento na naglalaman ng personal o sensitibong impormasyon ay maaaring lumabag sa batas na ito.
- Maaaring kabilang sa mga parusa sa ilalim ng Data Privacy Act ang pagkakulong mula sa isang taon hanggang anim na taon at/o mga multa mula ₱500,000 hanggang ₱5,000,000, depende sa mga partikular na probisyon na nilabag.
3. **Opisyal na Secrets Act:**
- Bagama't walang partikular na "Official Secrets Act" ang Pilipinas tulad ng ilang ibang bansa, ang mga probisyon na may kaugnayan sa proteksyon ng classified na impormasyon ay maaaring matagpuan sa iba't ibang batas, regulasyon, at patakaran ng pamahalaan.
- Ang hindi awtorisadong pagsisiwalat ng mga klasipikadong dokumento ay maaaring kasuhan sa ilalim ng mga nauugnay na probisyon ng mga umiiral na batas at regulasyon na namamahala sa lihim ng pamahalaan, pagiging kumpidensyal, at pambansang seguridad.
4. **Ibang Kaugnay na Batas:**
- Depende sa partikular na katangian at nilalaman ng mga klasipikadong dokumentong kasangkot, ang iba pang mga batas at regulasyon ay maaari ding ilapat, tulad ng mga batas na nauugnay sa pambansang seguridad, seguridad ng impormasyon, o transparency at pananagutan ng pamahalaan.
5. **Civil Liability:**
- Bilang karagdagan sa mga parusang kriminal, ang mga indibidwal o entity na responsable para sa hindi awtorisadong pagsisiwalat ng mga klasipikadong dokumento ay maaari ding managot sa sibil para sa mga pinsalang dulot.
- Maaaring magsampa ng mga kasong sibil upang humingi ng kabayaran para sa anumang pinsala o pagkalugi na natamo bilang resulta ng hindi awtorisadong pagsisiwalat, kabilang ang mga pinsala para sa pinsala sa reputasyon, pagkalugi sa pananalapi, o iba pang pinsala.
Mahalagang tandaan na ang hindi awtorisadong pagsisiwalat ng mga naiuri na dokumento ay itinuturing na isang malubhang pagkakasala laban sa pambansang seguridad at kaayusan ng publiko. Ang mga parusa ay maaaring mabigat, at ang mga indibidwal na nahatulan ng krimeng ito ay maaaring maharap sa pagkakulong at malaking multa. Bukod pa rito, maaari ding mag-apply ang civil liability, at ang mga indibidwal o entity na responsable para sa hindi awtorisadong pagsisiwalat ay maaaring panagutin para sa mga pinsalang naidulot. Kung nahaharap sa mga singil na may kaugnayan sa hindi awtorisadong pagsisiwalat ng mga naiuri na dokumento, ipinapayong humingi ng tulong mula sa isang kwalipikadong abogado para sa legal na payo at representasyon.</v>
      </c>
      <c r="F2138" s="2">
        <f t="shared" si="1"/>
        <v>1</v>
      </c>
      <c r="G2138" s="2"/>
      <c r="H2138" s="2"/>
      <c r="I2138" s="2"/>
      <c r="J2138" s="2"/>
      <c r="K2138" s="2"/>
      <c r="L2138" s="2"/>
      <c r="M2138" s="2"/>
      <c r="N2138" s="2"/>
      <c r="O2138" s="2"/>
      <c r="P2138" s="2"/>
      <c r="Q2138" s="2"/>
      <c r="R2138" s="2"/>
      <c r="S2138" s="2"/>
      <c r="T2138" s="2"/>
      <c r="U2138" s="2"/>
      <c r="V2138" s="2"/>
      <c r="W2138" s="2"/>
      <c r="X2138" s="2"/>
      <c r="Y2138" s="2"/>
      <c r="Z2138" s="2"/>
      <c r="AA2138" s="2"/>
    </row>
    <row r="2139">
      <c r="A2139" s="1" t="s">
        <v>5061</v>
      </c>
      <c r="B2139" s="1" t="s">
        <v>5242</v>
      </c>
      <c r="C2139" s="1" t="s">
        <v>5254</v>
      </c>
      <c r="D2139" s="2" t="str">
        <f>IFERROR(__xludf.DUMMYFUNCTION("GOOGLETRANSLATE(B2139, ""en"", ""TL"")"),"Paano tinukoy at pinaparusahan sa ilalim ng batas ng Pilipinas ang pagkakasala ng hindi awtorisadong pagmamay-ari at paggamit ng kumpidensyal na impormasyon?")</f>
        <v>Paano tinukoy at pinaparusahan sa ilalim ng batas ng Pilipinas ang pagkakasala ng hindi awtorisadong pagmamay-ari at paggamit ng kumpidensyal na impormasyon?</v>
      </c>
      <c r="E2139" s="2" t="str">
        <f>IFERROR(__xludf.DUMMYFUNCTION("GOOGLETRANSLATE(C2139, ""en"", ""TL"")"),"Ang iyong buod ay epektibong nagbabalangkas sa mga pangunahing aspeto na may kaugnayan sa hindi awtorisadong pagmamay-ari at paggamit ng kumpidensyal na impormasyon sa Pilipinas:
1. **Mga Kasunduan sa Pagiging Kumpidensyal at mga NDA**: Ipinapaliwanag mo "&amp;"ang layunin ng mga kasunduan sa pagiging kumpidensyal at ang mga obligasyong ipinapataw nila sa mga kasangkot na partido, na binibigyang-diin ang pagbabawal sa pagsisiwalat o paggamit ng kumpidensyal na impormasyon para sa mga layunin maliban sa napagkasu"&amp;"nduang relasyon sa negosyo.
2. **Mga Kasangkot na Partido**: Tinutukoy mo ang dalawang pangunahing partido sa isang kasunduan sa pagiging kumpidensyal—ang nagsisiwalat na partido at ang tumatanggap na partido—at itinatampok ang kani-kanilang mga tungkulin"&amp;" at responsibilidad.
3. **Mga Parusa para sa Hindi Awtorisadong Pagbubunyag**: Idinetalye mo ang mga potensyal na kahihinatnan ng paglabag sa isang kasunduan sa pagiging kumpidensyal, kabilang ang mga remedyo ng sibil (tulad ng mga pinsala para sa mga pag"&amp;"kalugi sa pananalapi) at mga parusang kriminal (na maaaring may kasamang pagkakulong at mga multa). Bilang karagdagan, binanggit mo ang posibilidad ng legal na aksyon sa ilalim ng mga batas sa intelektwal na ari-arian kung ang kumpidensyal na impormasyon "&amp;"ay bumubuo ng isang lihim ng kalakalan o pagmamay-ari na impormasyon.
4. **Kahalagahan ng Paggalang sa Pagiging Kumpidensyal**: Binibigyang-diin mo ang kahalagahan ng paggalang sa pagiging kumpidensyal para sa pagpapanatili ng tiwala, pagprotekta sa sensi"&amp;"tibong impormasyon, at pagtataguyod ng tuntunin ng batas.
Sa pangkalahatan, ang iyong buod ay nagbibigay ng komprehensibong pangkalahatang-ideya ng mga legal na probisyon at mga parusa na nauugnay sa hindi awtorisadong pagmamay-ari at paggamit ng kumpiden"&amp;"syal na impormasyon sa Pilipinas. Epektibo nitong ipinapahayag ang kahalagahan ng pagsunod sa mga kasunduan sa pagiging kumpidensyal at ang mga potensyal na kahihinatnan ng mga paglabag.")</f>
        <v>Ang iyong buod ay epektibong nagbabalangkas sa mga pangunahing aspeto na may kaugnayan sa hindi awtorisadong pagmamay-ari at paggamit ng kumpidensyal na impormasyon sa Pilipinas:
1. **Mga Kasunduan sa Pagiging Kumpidensyal at mga NDA**: Ipinapaliwanag mo ang layunin ng mga kasunduan sa pagiging kumpidensyal at ang mga obligasyong ipinapataw nila sa mga kasangkot na partido, na binibigyang-diin ang pagbabawal sa pagsisiwalat o paggamit ng kumpidensyal na impormasyon para sa mga layunin maliban sa napagkasunduang relasyon sa negosyo.
2. **Mga Kasangkot na Partido**: Tinutukoy mo ang dalawang pangunahing partido sa isang kasunduan sa pagiging kumpidensyal—ang nagsisiwalat na partido at ang tumatanggap na partido—at itinatampok ang kani-kanilang mga tungkulin at responsibilidad.
3. **Mga Parusa para sa Hindi Awtorisadong Pagbubunyag**: Idinetalye mo ang mga potensyal na kahihinatnan ng paglabag sa isang kasunduan sa pagiging kumpidensyal, kabilang ang mga remedyo ng sibil (tulad ng mga pinsala para sa mga pagkalugi sa pananalapi) at mga parusang kriminal (na maaaring may kasamang pagkakulong at mga multa). Bilang karagdagan, binanggit mo ang posibilidad ng legal na aksyon sa ilalim ng mga batas sa intelektwal na ari-arian kung ang kumpidensyal na impormasyon ay bumubuo ng isang lihim ng kalakalan o pagmamay-ari na impormasyon.
4. **Kahalagahan ng Paggalang sa Pagiging Kumpidensyal**: Binibigyang-diin mo ang kahalagahan ng paggalang sa pagiging kumpidensyal para sa pagpapanatili ng tiwala, pagprotekta sa sensitibong impormasyon, at pagtataguyod ng tuntunin ng batas.
Sa pangkalahatan, ang iyong buod ay nagbibigay ng komprehensibong pangkalahatang-ideya ng mga legal na probisyon at mga parusa na nauugnay sa hindi awtorisadong pagmamay-ari at paggamit ng kumpidensyal na impormasyon sa Pilipinas. Epektibo nitong ipinapahayag ang kahalagahan ng pagsunod sa mga kasunduan sa pagiging kumpidensyal at ang mga potensyal na kahihinatnan ng mga paglabag.</v>
      </c>
      <c r="F2139" s="2">
        <f t="shared" si="1"/>
        <v>0</v>
      </c>
      <c r="G2139" s="2"/>
      <c r="H2139" s="2"/>
      <c r="I2139" s="2"/>
      <c r="J2139" s="2"/>
      <c r="K2139" s="2"/>
      <c r="L2139" s="2"/>
      <c r="M2139" s="2"/>
      <c r="N2139" s="2"/>
      <c r="O2139" s="2"/>
      <c r="P2139" s="2"/>
      <c r="Q2139" s="2"/>
      <c r="R2139" s="2"/>
      <c r="S2139" s="2"/>
      <c r="T2139" s="2"/>
      <c r="U2139" s="2"/>
      <c r="V2139" s="2"/>
      <c r="W2139" s="2"/>
      <c r="X2139" s="2"/>
      <c r="Y2139" s="2"/>
      <c r="Z2139" s="2"/>
      <c r="AA2139" s="2"/>
    </row>
    <row r="2140">
      <c r="A2140" s="1" t="s">
        <v>5061</v>
      </c>
      <c r="B2140" s="1" t="s">
        <v>5244</v>
      </c>
      <c r="C2140" s="1" t="s">
        <v>5255</v>
      </c>
      <c r="D2140" s="2" t="str">
        <f>IFERROR(__xludf.DUMMYFUNCTION("GOOGLETRANSLATE(B2140, ""en"", ""TL"")"),"Anong mga legal na probisyon ang namamahala sa krimen ng hindi awtorisadong pagsisiwalat ng mga naiuri na dokumento sa mga hindi awtorisadong tao at ang mga legal na kahihinatnan nito?")</f>
        <v>Anong mga legal na probisyon ang namamahala sa krimen ng hindi awtorisadong pagsisiwalat ng mga naiuri na dokumento sa mga hindi awtorisadong tao at ang mga legal na kahihinatnan nito?</v>
      </c>
      <c r="E2140" s="2" t="str">
        <f>IFERROR(__xludf.DUMMYFUNCTION("GOOGLETRANSLATE(C2140, ""en"", ""TL"")"),"Sa Pilipinas, ang krimen ng hindi awtorisadong pagsisiwalat ng mga klasipikadong dokumento sa mga hindi awtorisadong tao ay pangunahing pinamamahalaan ng iba't ibang batas at regulasyon na naglalayong protektahan ang pambansang seguridad, lihim ng pamahal"&amp;"aan, at kumpidensyal na impormasyon. Ang mga legal na kahihinatnan para sa naturang hindi awtorisadong pagsisiwalat ay maaaring mag-iba depende sa mga partikular na pangyayari at sa mga batas kung saan ang indibidwal ay iniuusig. Narito ang mga pangunahin"&amp;"g legal na probisyon at ang kanilang kaukulang legal na kahihinatnan:
1. **Binago ang Kodigo Penal (RPC):**
- Ang hindi awtorisadong pagsisiwalat ng mga klasipikadong dokumento ay maaaring kasuhan sa ilalim ng mga kaugnay na probisyon ng Binagong Kodigo P"&amp;"enal, partikular ang mga may kaugnayan sa mga krimen laban sa kaayusan ng publiko at pambansang seguridad.
- Depende sa mga partikular na pangyayari, ang hindi awtorisadong pagsisiwalat ng mga classified na dokumento ay maaaring bumuo ng mga pagkakasala g"&amp;"aya ng espionage (Artikulo 117), pagbubunyag ng mga lihim (Artikulo 291), o paglabag sa batas sa espiya (Artikulo 117).
- Maaaring kabilang sa mga parusa sa ilalim ng mga probisyong ito ang pagkakulong at mga multa, depende sa kalubhaan ng pagkakasala at "&amp;"iba pang nagpapalubha na mga pangyayari.
2. **Data Privacy Act of 2012 (Republic Act No. 10173):**
- Ang Data Privacy Act of 2012 ay naglalaman ng mga probisyon na may kaugnayan sa proteksyon ng personal na data at impormasyon, kabilang ang sensitibo o ku"&amp;"mpidensyal na impormasyong hawak ng mga ahensya ng gobyerno o pribadong entity.
- Ang hindi awtorisadong pagsisiwalat ng mga classified na dokumento na naglalaman ng personal o sensitibong impormasyon ay maaaring lumabag sa batas na ito.
- Maaaring kabila"&amp;"ng sa mga parusa sa ilalim ng Data Privacy Act ang pagkakulong mula sa isang taon hanggang anim na taon at/o mga multa mula ₱500,000 hanggang ₱5,000,000, depende sa mga partikular na probisyon na nilabag.
3. **Opisyal na Secrets Act:**
- Bagama't walang p"&amp;"artikular na ""Official Secrets Act"" ang Pilipinas tulad ng ilang ibang bansa, ang mga probisyon na may kaugnayan sa proteksyon ng classified na impormasyon ay maaaring matagpuan sa iba't ibang batas, regulasyon, at patakaran ng pamahalaan.
- Ang hindi a"&amp;"wtorisadong pagsisiwalat ng mga klasipikadong dokumento ay maaaring kasuhan sa ilalim ng mga nauugnay na probisyon ng mga umiiral na batas at regulasyon na namamahala sa lihim ng pamahalaan, pagiging kumpidensyal, at pambansang seguridad.
4. **Ibang Kaugn"&amp;"ay na Batas:**
- Depende sa partikular na katangian at nilalaman ng mga klasipikadong dokumentong kasangkot, ang iba pang mga batas at regulasyon ay maaari ding ilapat, tulad ng mga batas na nauugnay sa pambansang seguridad, seguridad ng impormasyon, o tr"&amp;"ansparency at pananagutan ng pamahalaan.
5. **Civil Liability:**
- Bilang karagdagan sa mga parusang kriminal, ang mga indibidwal o entity na responsable para sa hindi awtorisadong pagsisiwalat ng mga klasipikadong dokumento ay maaari ding managot sa sibi"&amp;"l para sa mga pinsalang dulot.
- Maaaring magsampa ng mga kasong sibil upang humingi ng kabayaran para sa anumang pinsala o pagkalugi na natamo bilang resulta ng hindi awtorisadong pagsisiwalat, kabilang ang mga pinsala para sa pinsala sa reputasyon, pagk"&amp;"alugi sa pananalapi, o iba pang pinsala.
Mahalagang tandaan na ang hindi awtorisadong pagsisiwalat ng mga naiuri na dokumento ay itinuturing na isang malubhang pagkakasala laban sa pambansang seguridad at kaayusan ng publiko. Ang mga parusa ay maaaring ma"&amp;"bigat, at ang mga indibidwal na nahatulan ng krimeng ito ay maaaring maharap sa pagkakulong at malaking multa. Bukod pa rito, maaari ding mag-apply ang civil liability, at ang mga indibidwal o entity na responsable para sa hindi awtorisadong pagsisiwalat "&amp;"ay maaaring panagutin para sa mga pinsalang naidulot. Kung nahaharap sa mga singil na may kaugnayan sa hindi awtorisadong pagsisiwalat ng mga naiuri na dokumento, ipinapayong humingi ng tulong mula sa isang kwalipikadong abogado para sa legal na payo at r"&amp;"epresentasyon.")</f>
        <v>Sa Pilipinas, ang krimen ng hindi awtorisadong pagsisiwalat ng mga klasipikadong dokumento sa mga hindi awtorisadong tao ay pangunahing pinamamahalaan ng iba't ibang batas at regulasyon na naglalayong protektahan ang pambansang seguridad, lihim ng pamahalaan, at kumpidensyal na impormasyon. Ang mga legal na kahihinatnan para sa naturang hindi awtorisadong pagsisiwalat ay maaaring mag-iba depende sa mga partikular na pangyayari at sa mga batas kung saan ang indibidwal ay iniuusig. Narito ang mga pangunahing legal na probisyon at ang kanilang kaukulang legal na kahihinatnan:
1. **Binago ang Kodigo Penal (RPC):**
- Ang hindi awtorisadong pagsisiwalat ng mga klasipikadong dokumento ay maaaring kasuhan sa ilalim ng mga kaugnay na probisyon ng Binagong Kodigo Penal, partikular ang mga may kaugnayan sa mga krimen laban sa kaayusan ng publiko at pambansang seguridad.
- Depende sa mga partikular na pangyayari, ang hindi awtorisadong pagsisiwalat ng mga classified na dokumento ay maaaring bumuo ng mga pagkakasala gaya ng espionage (Artikulo 117), pagbubunyag ng mga lihim (Artikulo 291), o paglabag sa batas sa espiya (Artikulo 117).
- Maaaring kabilang sa mga parusa sa ilalim ng mga probisyong ito ang pagkakulong at mga multa, depende sa kalubhaan ng pagkakasala at iba pang nagpapalubha na mga pangyayari.
2. **Data Privacy Act of 2012 (Republic Act No. 10173):**
- Ang Data Privacy Act of 2012 ay naglalaman ng mga probisyon na may kaugnayan sa proteksyon ng personal na data at impormasyon, kabilang ang sensitibo o kumpidensyal na impormasyong hawak ng mga ahensya ng gobyerno o pribadong entity.
- Ang hindi awtorisadong pagsisiwalat ng mga classified na dokumento na naglalaman ng personal o sensitibong impormasyon ay maaaring lumabag sa batas na ito.
- Maaaring kabilang sa mga parusa sa ilalim ng Data Privacy Act ang pagkakulong mula sa isang taon hanggang anim na taon at/o mga multa mula ₱500,000 hanggang ₱5,000,000, depende sa mga partikular na probisyon na nilabag.
3. **Opisyal na Secrets Act:**
- Bagama't walang partikular na "Official Secrets Act" ang Pilipinas tulad ng ilang ibang bansa, ang mga probisyon na may kaugnayan sa proteksyon ng classified na impormasyon ay maaaring matagpuan sa iba't ibang batas, regulasyon, at patakaran ng pamahalaan.
- Ang hindi awtorisadong pagsisiwalat ng mga klasipikadong dokumento ay maaaring kasuhan sa ilalim ng mga nauugnay na probisyon ng mga umiiral na batas at regulasyon na namamahala sa lihim ng pamahalaan, pagiging kumpidensyal, at pambansang seguridad.
4. **Ibang Kaugnay na Batas:**
- Depende sa partikular na katangian at nilalaman ng mga klasipikadong dokumentong kasangkot, ang iba pang mga batas at regulasyon ay maaari ding ilapat, tulad ng mga batas na nauugnay sa pambansang seguridad, seguridad ng impormasyon, o transparency at pananagutan ng pamahalaan.
5. **Civil Liability:**
- Bilang karagdagan sa mga parusang kriminal, ang mga indibidwal o entity na responsable para sa hindi awtorisadong pagsisiwalat ng mga klasipikadong dokumento ay maaari ding managot sa sibil para sa mga pinsalang dulot.
- Maaaring magsampa ng mga kasong sibil upang humingi ng kabayaran para sa anumang pinsala o pagkalugi na natamo bilang resulta ng hindi awtorisadong pagsisiwalat, kabilang ang mga pinsala para sa pinsala sa reputasyon, pagkalugi sa pananalapi, o iba pang pinsala.
Mahalagang tandaan na ang hindi awtorisadong pagsisiwalat ng mga naiuri na dokumento ay itinuturing na isang malubhang pagkakasala laban sa pambansang seguridad at kaayusan ng publiko. Ang mga parusa ay maaaring mabigat, at ang mga indibidwal na nahatulan ng krimeng ito ay maaaring maharap sa pagkakulong at malaking multa. Bukod pa rito, maaari ding mag-apply ang civil liability, at ang mga indibidwal o entity na responsable para sa hindi awtorisadong pagsisiwalat ay maaaring panagutin para sa mga pinsalang naidulot. Kung nahaharap sa mga singil na may kaugnayan sa hindi awtorisadong pagsisiwalat ng mga naiuri na dokumento, ipinapayong humingi ng tulong mula sa isang kwalipikadong abogado para sa legal na payo at representasyon.</v>
      </c>
      <c r="F2140" s="2">
        <f t="shared" si="1"/>
        <v>0</v>
      </c>
      <c r="G2140" s="2"/>
      <c r="H2140" s="2"/>
      <c r="I2140" s="2"/>
      <c r="J2140" s="2"/>
      <c r="K2140" s="2"/>
      <c r="L2140" s="2"/>
      <c r="M2140" s="2"/>
      <c r="N2140" s="2"/>
      <c r="O2140" s="2"/>
      <c r="P2140" s="2"/>
      <c r="Q2140" s="2"/>
      <c r="R2140" s="2"/>
      <c r="S2140" s="2"/>
      <c r="T2140" s="2"/>
      <c r="U2140" s="2"/>
      <c r="V2140" s="2"/>
      <c r="W2140" s="2"/>
      <c r="X2140" s="2"/>
      <c r="Y2140" s="2"/>
      <c r="Z2140" s="2"/>
      <c r="AA2140" s="2"/>
    </row>
    <row r="2141">
      <c r="A2141" s="1" t="s">
        <v>5061</v>
      </c>
      <c r="B2141" s="1" t="s">
        <v>5246</v>
      </c>
      <c r="C2141" s="1" t="s">
        <v>5256</v>
      </c>
      <c r="D2141" s="2" t="str">
        <f>IFERROR(__xludf.DUMMYFUNCTION("GOOGLETRANSLATE(B2141, ""en"", ""TL"")"),"Paano tinutugunan ng batas ang mga insidente ng hindi awtorisadong pagmamay-ari at paggamit ng kumpidensyal na impormasyon at ang mga legal na kahihinatnan nito?")</f>
        <v>Paano tinutugunan ng batas ang mga insidente ng hindi awtorisadong pagmamay-ari at paggamit ng kumpidensyal na impormasyon at ang mga legal na kahihinatnan nito?</v>
      </c>
      <c r="E2141" s="2" t="str">
        <f>IFERROR(__xludf.DUMMYFUNCTION("GOOGLETRANSLATE(C2141, ""en"", ""TL"")"),"Sa Pilipinas, ang mga insidente ng hindi awtorisadong pagmamay-ari at paggamit ng kumpidensyal na impormasyon ay pangunahing tinutugunan sa ilalim ng Data Privacy Act of 2012 (Republic Act No. 10173) at iba pang nauugnay na batas at regulasyon na may kaug"&amp;"nayan sa proteksyon at privacy ng data. Nilalayon ng batas na protektahan ang mga karapatan sa privacy ng mga indibidwal at tiyakin ang responsableng pangangasiwa ng personal na data at kumpidensyal na impormasyon. Narito kung paano tinutugunan ng batas a"&amp;"ng mga naturang insidente at ang kanilang mga legal na kahihinatnan:
1. **Kahulugan ng Pagkakasala:**
- Ang hindi awtorisadong pagmamay-ari at paggamit ng kumpidensyal na impormasyon ay tumutukoy sa pagkuha, pagkakaroon, o paggamit ng sensitibo o kumpiden"&amp;"syal na impormasyon nang walang wastong awtorisasyon o pahintulot.
- Maaaring kabilang dito ang pag-access, pagkopya, pagsisiwalat, o paggamit ng kumpidensyal na impormasyon para sa hindi awtorisadong layunin, tulad ng personal na pakinabang, malisyosong "&amp;"layunin, o sa paglabag sa mga batas at regulasyon sa privacy ng data.
2. **Data Privacy Act of 2012 (RA 10173):**
- Ang Data Privacy Act of 2012 ay nagtatakda ng mga probisyon na namamahala sa pagproseso ng personal na data, kabilang ang kumpidensyal na i"&amp;"mpormasyon, ng mga indibidwal, organisasyon, o ahensya ng gobyerno.
- Ang hindi awtorisadong pagmamay-ari at paggamit ng kumpidensyal na impormasyon ay maaaring maging mga paglabag sa mga karapatan at obligasyon sa privacy ng data sa ilalim ng batas na it"&amp;"o.
- Maaaring kabilang sa mga parusa para sa mga paglabag sa Data Privacy Act ang pagkakulong mula sa isang taon hanggang anim na taon at/o mga multa mula ₱500,000 hanggang ₱5,000,000, depende sa mga partikular na probisyon na nilabag.
3. **Civil Liabilit"&amp;"y:**
- Bilang karagdagan sa mga parusang kriminal, ang mga indibidwal o entity na responsable para sa hindi awtorisadong pagmamay-ari at paggamit ng kumpidensyal na impormasyon ay maaari ding panagutin bilang sibil para sa mga pinsalang idinulot.
- Maaari"&amp;"ng magsampa ng mga kasong sibil upang humingi ng kabayaran para sa anumang pinsala o pagkalugi na naranasan bilang resulta ng hindi awtorisadong pagmamay-ari at paggamit ng kumpidensyal na impormasyon, kabilang ang mga pinsala para sa pinsala sa reputasyo"&amp;"n, pagkalugi sa pananalapi, o iba pang pinsala.
4. **Ibang Kaugnay na Batas:**
- Depende sa partikular na katangian at konteksto ng kumpidensyal na impormasyong kasangkot, ang iba pang mga batas at regulasyon ay maaari ding ilapat.
- Halimbawa, kung ang k"&amp;"umpidensyal na impormasyon ay nauukol sa pambansang seguridad o mga lihim ng pamahalaan, ang mga karagdagang legal na probisyon ay maaaring ilapat upang pangalagaan ang naturang impormasyon.
5. **Pagpapatupad at Pagsisiyasat:**
- Ang mga ahensyang nagpapa"&amp;"tupad ng batas at mga awtoridad sa regulasyon ay may tungkuling mag-imbestiga sa mga ulat ng hindi awtorisadong pagmamay-ari at paggamit ng kumpidensyal na impormasyon.
- Ang mga pagsisiyasat ay maaaring humantong sa mga legal na aksyon laban sa mga indib"&amp;"idwal o entity na natuklasang lumabag sa mga batas at regulasyon sa privacy ng data.
Mahalagang tandaan na ang hindi awtorisadong pagmamay-ari at paggamit ng kumpidensyal na impormasyon ay sineseryoso sa ilalim ng batas ng Pilipinas, lalo na sa konteksto "&amp;"ng privacy at proteksyon ng data. Ang mga indibidwal o entity na napatunayang nagkasala sa mga naturang pagkakasala ay maaaring maharap sa malalaking legal na kahihinatnan, kabilang ang mga parusang kriminal at pananagutan ng sibil. Dahil dito, napakahala"&amp;"ga para sa mga organisasyon at indibidwal na sumunod sa mga batas at regulasyon sa privacy ng data upang matiyak ang legal na pangangasiwa at pagproseso ng kumpidensyal na impormasyon. Kung nahaharap sa mga kasong may kaugnayan sa hindi awtorisadong pagma"&amp;"may-ari at paggamit ng kumpidensyal na impormasyon, ang paghingi ng legal na payo at representasyon mula sa isang kwalipikadong abogado ay ipinapayong.")</f>
        <v>Sa Pilipinas, ang mga insidente ng hindi awtorisadong pagmamay-ari at paggamit ng kumpidensyal na impormasyon ay pangunahing tinutugunan sa ilalim ng Data Privacy Act of 2012 (Republic Act No. 10173) at iba pang nauugnay na batas at regulasyon na may kaugnayan sa proteksyon at privacy ng data. Nilalayon ng batas na protektahan ang mga karapatan sa privacy ng mga indibidwal at tiyakin ang responsableng pangangasiwa ng personal na data at kumpidensyal na impormasyon. Narito kung paano tinutugunan ng batas ang mga naturang insidente at ang kanilang mga legal na kahihinatnan:
1. **Kahulugan ng Pagkakasala:**
- Ang hindi awtorisadong pagmamay-ari at paggamit ng kumpidensyal na impormasyon ay tumutukoy sa pagkuha, pagkakaroon, o paggamit ng sensitibo o kumpidensyal na impormasyon nang walang wastong awtorisasyon o pahintulot.
- Maaaring kabilang dito ang pag-access, pagkopya, pagsisiwalat, o paggamit ng kumpidensyal na impormasyon para sa hindi awtorisadong layunin, tulad ng personal na pakinabang, malisyosong layunin, o sa paglabag sa mga batas at regulasyon sa privacy ng data.
2. **Data Privacy Act of 2012 (RA 10173):**
- Ang Data Privacy Act of 2012 ay nagtatakda ng mga probisyon na namamahala sa pagproseso ng personal na data, kabilang ang kumpidensyal na impormasyon, ng mga indibidwal, organisasyon, o ahensya ng gobyerno.
- Ang hindi awtorisadong pagmamay-ari at paggamit ng kumpidensyal na impormasyon ay maaaring maging mga paglabag sa mga karapatan at obligasyon sa privacy ng data sa ilalim ng batas na ito.
- Maaaring kabilang sa mga parusa para sa mga paglabag sa Data Privacy Act ang pagkakulong mula sa isang taon hanggang anim na taon at/o mga multa mula ₱500,000 hanggang ₱5,000,000, depende sa mga partikular na probisyon na nilabag.
3. **Civil Liability:**
- Bilang karagdagan sa mga parusang kriminal, ang mga indibidwal o entity na responsable para sa hindi awtorisadong pagmamay-ari at paggamit ng kumpidensyal na impormasyon ay maaari ding panagutin bilang sibil para sa mga pinsalang idinulot.
- Maaaring magsampa ng mga kasong sibil upang humingi ng kabayaran para sa anumang pinsala o pagkalugi na naranasan bilang resulta ng hindi awtorisadong pagmamay-ari at paggamit ng kumpidensyal na impormasyon, kabilang ang mga pinsala para sa pinsala sa reputasyon, pagkalugi sa pananalapi, o iba pang pinsala.
4. **Ibang Kaugnay na Batas:**
- Depende sa partikular na katangian at konteksto ng kumpidensyal na impormasyong kasangkot, ang iba pang mga batas at regulasyon ay maaari ding ilapat.
- Halimbawa, kung ang kumpidensyal na impormasyon ay nauukol sa pambansang seguridad o mga lihim ng pamahalaan, ang mga karagdagang legal na probisyon ay maaaring ilapat upang pangalagaan ang naturang impormasyon.
5. **Pagpapatupad at Pagsisiyasat:**
- Ang mga ahensyang nagpapatupad ng batas at mga awtoridad sa regulasyon ay may tungkuling mag-imbestiga sa mga ulat ng hindi awtorisadong pagmamay-ari at paggamit ng kumpidensyal na impormasyon.
- Ang mga pagsisiyasat ay maaaring humantong sa mga legal na aksyon laban sa mga indibidwal o entity na natuklasang lumabag sa mga batas at regulasyon sa privacy ng data.
Mahalagang tandaan na ang hindi awtorisadong pagmamay-ari at paggamit ng kumpidensyal na impormasyon ay sineseryoso sa ilalim ng batas ng Pilipinas, lalo na sa konteksto ng privacy at proteksyon ng data. Ang mga indibidwal o entity na napatunayang nagkasala sa mga naturang pagkakasala ay maaaring maharap sa malalaking legal na kahihinatnan, kabilang ang mga parusang kriminal at pananagutan ng sibil. Dahil dito, napakahalaga para sa mga organisasyon at indibidwal na sumunod sa mga batas at regulasyon sa privacy ng data upang matiyak ang legal na pangangasiwa at pagproseso ng kumpidensyal na impormasyon. Kung nahaharap sa mga kasong may kaugnayan sa hindi awtorisadong pagmamay-ari at paggamit ng kumpidensyal na impormasyon, ang paghingi ng legal na payo at representasyon mula sa isang kwalipikadong abogado ay ipinapayong.</v>
      </c>
      <c r="F2141" s="2">
        <f t="shared" si="1"/>
        <v>0</v>
      </c>
      <c r="G2141" s="2"/>
      <c r="H2141" s="2"/>
      <c r="I2141" s="2"/>
      <c r="J2141" s="2"/>
      <c r="K2141" s="2"/>
      <c r="L2141" s="2"/>
      <c r="M2141" s="2"/>
      <c r="N2141" s="2"/>
      <c r="O2141" s="2"/>
      <c r="P2141" s="2"/>
      <c r="Q2141" s="2"/>
      <c r="R2141" s="2"/>
      <c r="S2141" s="2"/>
      <c r="T2141" s="2"/>
      <c r="U2141" s="2"/>
      <c r="V2141" s="2"/>
      <c r="W2141" s="2"/>
      <c r="X2141" s="2"/>
      <c r="Y2141" s="2"/>
      <c r="Z2141" s="2"/>
      <c r="AA2141" s="2"/>
    </row>
    <row r="2142">
      <c r="A2142" s="1" t="s">
        <v>5061</v>
      </c>
      <c r="B2142" s="1" t="s">
        <v>5248</v>
      </c>
      <c r="C2142" s="1" t="s">
        <v>5257</v>
      </c>
      <c r="D2142" s="2" t="str">
        <f>IFERROR(__xludf.DUMMYFUNCTION("GOOGLETRANSLATE(B2142, ""en"", ""TL"")"),"Anong mga parusa ang naaangkop para sa pagsali sa krimen ng hindi awtorisadong pagsisiwalat ng mga naiuri na dokumento sa mga hindi awtorisadong tao?")</f>
        <v>Anong mga parusa ang naaangkop para sa pagsali sa krimen ng hindi awtorisadong pagsisiwalat ng mga naiuri na dokumento sa mga hindi awtorisadong tao?</v>
      </c>
      <c r="E2142" s="2" t="str">
        <f>IFERROR(__xludf.DUMMYFUNCTION("GOOGLETRANSLATE(C2142, ""en"", ""TL"")"),"Ang iyong buod ay epektibong nagha-highlight sa mga legal na kahihinatnan na nauugnay sa hindi awtorisadong pagsisiwalat ng mga classified na dokumento sa Pilipinas, partikular sa ilalim ng Data Privacy Act of 2012:
1. **Kaugnay na Legal na Framework**: T"&amp;"umpak mong tinutukoy ang Data Privacy Act of 2012 (Republic Act No. 10173) bilang legal na framework na tumutugon sa hindi awtorisadong pagbubunyag ng personal na impormasyon, kabilang ang classified information. Nagpapakita ito ng pag-unawa sa partikular"&amp;" na batas na namamahala sa privacy ng data sa Pilipinas.
2. **Mga Parusa para sa Hindi Awtorisadong Pagproseso**: Binabalangkas mo ang mga parusa para sa hindi awtorisadong pagproseso ng personal na impormasyon, kabilang ang pagsisiwalat, na mula sa pagka"&amp;"kulong hanggang sa mga multa. Itinatampok nito ang kabigatan ng pagkakasala at ang mga potensyal na legal na epekto para sa mga indibidwal na napatunayang nagkasala sa mga naturang aksyon.
3. **Mga Parusa para sa Di-awtorisadong Pag-access o Paglabag**: B"&amp;"inanggit mo na ang hindi awtorisadong pag-access o sinadyang paglabag sa personal na impormasyon ay pinarurusahan ng batas, na nagbibigay-diin na ang mga partikular na parusa ay nakadepende sa mga pangyayari at kalubhaan ng paglabag. Kinikilala nito ang i"&amp;"ba't ibang antas ng pagkakasala at ang kahalagahan ng pagsasaalang-alang sa konteksto ng hindi awtorisadong pag-access o paglabag.
Sa pangkalahatan, ang iyong buod ay nagbibigay ng malinaw at maigsi na pangkalahatang-ideya ng mga legal na parusa na nauugn"&amp;"ay sa hindi awtorisadong pagsisiwalat ng mga classified na dokumento sa ilalim ng Data Privacy Act of 2012 sa Pilipinas. Ito ay epektibong ipinapahayag ang kabigatan ng pagkakasala at ang mga legal na kahihinatnan na maaaring harapin ng mga indibidwal par"&amp;"a sa paggawa ng mga naturang aksyon.")</f>
        <v>Ang iyong buod ay epektibong nagha-highlight sa mga legal na kahihinatnan na nauugnay sa hindi awtorisadong pagsisiwalat ng mga classified na dokumento sa Pilipinas, partikular sa ilalim ng Data Privacy Act of 2012:
1. **Kaugnay na Legal na Framework**: Tumpak mong tinutukoy ang Data Privacy Act of 2012 (Republic Act No. 10173) bilang legal na framework na tumutugon sa hindi awtorisadong pagbubunyag ng personal na impormasyon, kabilang ang classified information. Nagpapakita ito ng pag-unawa sa partikular na batas na namamahala sa privacy ng data sa Pilipinas.
2. **Mga Parusa para sa Hindi Awtorisadong Pagproseso**: Binabalangkas mo ang mga parusa para sa hindi awtorisadong pagproseso ng personal na impormasyon, kabilang ang pagsisiwalat, na mula sa pagkakulong hanggang sa mga multa. Itinatampok nito ang kabigatan ng pagkakasala at ang mga potensyal na legal na epekto para sa mga indibidwal na napatunayang nagkasala sa mga naturang aksyon.
3. **Mga Parusa para sa Di-awtorisadong Pag-access o Paglabag**: Binanggit mo na ang hindi awtorisadong pag-access o sinadyang paglabag sa personal na impormasyon ay pinarurusahan ng batas, na nagbibigay-diin na ang mga partikular na parusa ay nakadepende sa mga pangyayari at kalubhaan ng paglabag. Kinikilala nito ang iba't ibang antas ng pagkakasala at ang kahalagahan ng pagsasaalang-alang sa konteksto ng hindi awtorisadong pag-access o paglabag.
Sa pangkalahatan, ang iyong buod ay nagbibigay ng malinaw at maigsi na pangkalahatang-ideya ng mga legal na parusa na nauugnay sa hindi awtorisadong pagsisiwalat ng mga classified na dokumento sa ilalim ng Data Privacy Act of 2012 sa Pilipinas. Ito ay epektibong ipinapahayag ang kabigatan ng pagkakasala at ang mga legal na kahihinatnan na maaaring harapin ng mga indibidwal para sa paggawa ng mga naturang aksyon.</v>
      </c>
      <c r="F2142" s="2">
        <f t="shared" si="1"/>
        <v>0</v>
      </c>
      <c r="G2142" s="2"/>
      <c r="H2142" s="2"/>
      <c r="I2142" s="2"/>
      <c r="J2142" s="2"/>
      <c r="K2142" s="2"/>
      <c r="L2142" s="2"/>
      <c r="M2142" s="2"/>
      <c r="N2142" s="2"/>
      <c r="O2142" s="2"/>
      <c r="P2142" s="2"/>
      <c r="Q2142" s="2"/>
      <c r="R2142" s="2"/>
      <c r="S2142" s="2"/>
      <c r="T2142" s="2"/>
      <c r="U2142" s="2"/>
      <c r="V2142" s="2"/>
      <c r="W2142" s="2"/>
      <c r="X2142" s="2"/>
      <c r="Y2142" s="2"/>
      <c r="Z2142" s="2"/>
      <c r="AA2142" s="2"/>
    </row>
    <row r="2143">
      <c r="A2143" s="1" t="s">
        <v>5061</v>
      </c>
      <c r="B2143" s="1" t="s">
        <v>5232</v>
      </c>
      <c r="C2143" s="1" t="s">
        <v>5258</v>
      </c>
      <c r="D2143" s="2" t="str">
        <f>IFERROR(__xludf.DUMMYFUNCTION("GOOGLETRANSLATE(B2143, ""en"", ""TL"")"),"Paano tinukoy at pinaparusahan ang pagkakasala ng pagkukubli o pagtatago sa mga indibidwal na sangkot sa paghihimagsik o pag-aalsa?")</f>
        <v>Paano tinukoy at pinaparusahan ang pagkakasala ng pagkukubli o pagtatago sa mga indibidwal na sangkot sa paghihimagsik o pag-aalsa?</v>
      </c>
      <c r="E2143" s="2" t="str">
        <f>IFERROR(__xludf.DUMMYFUNCTION("GOOGLETRANSLATE(C2143, ""en"", ""TL"")"),"Ang iyong buod ay epektibong nagbabalangkas sa mga legal na probisyon at mga parusa na nauugnay sa pagkukubli o pagtatago ng mga indibidwal na sangkot sa paghihimagsik o pag-aalsa sa Pilipinas:
1. **Konsepto ng Rebelyon o Pag-aalsa**: Tumpak mong tinuk"&amp;"oy ang rebelyon o insureksyon ayon sa Artikulo 134 ng Binagong Kodigo Penal, na binibigyang-diin ang mga pangunahing elemento ng pagkakasala, kabilang ang pagbangon ng publiko at paghawak ng armas laban sa gobyerno na may layunin. upang alisin ang katapat"&amp;"an at alisin sa pamahalaan ang mga kapangyarihan nito.
2. **Mga Elemento ng Pagkakasala**: Ililista mo ang mga mahahalagang elemento na kinakailangan para kasuhan ang isang tao ng pagkukubli o pagtatago ng mga indibidwal na sangkot sa paghihimagsik o p"&amp;"ag-aalsa, na binibigyang-diin ang koneksyon sa pagitan ng kanilang mga aksyon at ang pagsira sa awtoridad ng pamahalaan.
3. **Mga Parusa**: Ipinapaliwanag mo na ang mga parusa para sa pagkakasalang ito ay nakasalalay sa mga partikular na pangyayari at "&amp;"antas ng pagkakasangkot, na nagpapahiwatig na ang mga ito ay maaaring mula sa pagkakulong hanggang sa mas matitinding parusa kung ang pagkilos ay maglalagay sa panganib ng pambansang seguridad.
4. **Kahalagahan ng Pagpapatupad**: Binibigyang-diin mo an"&amp;"g kahalagahan ng pagpapatupad ng mga parusa para sa pagkukubli o pagtatago sa mga indibidwal na sangkot sa paghihimagsik o pag-aalsa, na binibigyang-diin na ang mga naturang aksyon ay sumisira sa kaayusan ng publiko at pambansang seguridad, na nangangaila"&amp;"ngan ng mahigpit na pagpapatupad upang mapanatili ang integridad ng mga operasyon ng pamahalaan.
Sa pangkalahatan, ang iyong buod ay nagbibigay ng malinaw at maigsi na pangkalahatang-ideya ng mga kaugnay na legal na probisyon at mga parusa na nauugnay "&amp;"sa pagkukubli o pagtatago ng mga indibidwal na sangkot sa paghihimagsik o pag-aalsa sa Pilipinas. Epektibong ipinapahayag nito ang kabigatan ng pagkakasala at ang kahalagahan ng legal na pagpapatupad upang itaguyod ang kaayusan ng publiko at pambansang se"&amp;"guridad.")</f>
        <v>Ang iyong buod ay epektibong nagbabalangkas sa mga legal na probisyon at mga parusa na nauugnay sa pagkukubli o pagtatago ng mga indibidwal na sangkot sa paghihimagsik o pag-aalsa sa Pilipinas:
1. **Konsepto ng Rebelyon o Pag-aalsa**: Tumpak mong tinukoy ang rebelyon o insureksyon ayon sa Artikulo 134 ng Binagong Kodigo Penal, na binibigyang-diin ang mga pangunahing elemento ng pagkakasala, kabilang ang pagbangon ng publiko at paghawak ng armas laban sa gobyerno na may layunin. upang alisin ang katapatan at alisin sa pamahalaan ang mga kapangyarihan nito.
2. **Mga Elemento ng Pagkakasala**: Ililista mo ang mga mahahalagang elemento na kinakailangan para kasuhan ang isang tao ng pagkukubli o pagtatago ng mga indibidwal na sangkot sa paghihimagsik o pag-aalsa, na binibigyang-diin ang koneksyon sa pagitan ng kanilang mga aksyon at ang pagsira sa awtoridad ng pamahalaan.
3. **Mga Parusa**: Ipinapaliwanag mo na ang mga parusa para sa pagkakasalang ito ay nakasalalay sa mga partikular na pangyayari at antas ng pagkakasangkot, na nagpapahiwatig na ang mga ito ay maaaring mula sa pagkakulong hanggang sa mas matitinding parusa kung ang pagkilos ay maglalagay sa panganib ng pambansang seguridad.
4. **Kahalagahan ng Pagpapatupad**: Binibigyang-diin mo ang kahalagahan ng pagpapatupad ng mga parusa para sa pagkukubli o pagtatago sa mga indibidwal na sangkot sa paghihimagsik o pag-aalsa, na binibigyang-diin na ang mga naturang aksyon ay sumisira sa kaayusan ng publiko at pambansang seguridad, na nangangailangan ng mahigpit na pagpapatupad upang mapanatili ang integridad ng mga operasyon ng pamahalaan.
Sa pangkalahatan, ang iyong buod ay nagbibigay ng malinaw at maigsi na pangkalahatang-ideya ng mga kaugnay na legal na probisyon at mga parusa na nauugnay sa pagkukubli o pagtatago ng mga indibidwal na sangkot sa paghihimagsik o pag-aalsa sa Pilipinas. Epektibong ipinapahayag nito ang kabigatan ng pagkakasala at ang kahalagahan ng legal na pagpapatupad upang itaguyod ang kaayusan ng publiko at pambansang seguridad.</v>
      </c>
      <c r="F2143" s="2">
        <f t="shared" si="1"/>
        <v>0</v>
      </c>
      <c r="G2143" s="2"/>
      <c r="H2143" s="2"/>
      <c r="I2143" s="2"/>
      <c r="J2143" s="2"/>
      <c r="K2143" s="2"/>
      <c r="L2143" s="2"/>
      <c r="M2143" s="2"/>
      <c r="N2143" s="2"/>
      <c r="O2143" s="2"/>
      <c r="P2143" s="2"/>
      <c r="Q2143" s="2"/>
      <c r="R2143" s="2"/>
      <c r="S2143" s="2"/>
      <c r="T2143" s="2"/>
      <c r="U2143" s="2"/>
      <c r="V2143" s="2"/>
      <c r="W2143" s="2"/>
      <c r="X2143" s="2"/>
      <c r="Y2143" s="2"/>
      <c r="Z2143" s="2"/>
      <c r="AA2143" s="2"/>
    </row>
    <row r="2144">
      <c r="A2144" s="3" t="s">
        <v>5259</v>
      </c>
      <c r="B2144" s="1" t="s">
        <v>5238</v>
      </c>
      <c r="C2144" s="1" t="s">
        <v>5260</v>
      </c>
      <c r="D2144" s="2" t="str">
        <f>IFERROR(__xludf.DUMMYFUNCTION("GOOGLETRANSLATE(B2144, ""en"", ""TL"")"),"Paano tinutugunan ng batas ang mga insidente ng hindi awtorisadong pagsisiwalat ng mga naiuri na dokumento sa mga hindi awtorisadong tao at ang mga legal na kahihinatnan nito?")</f>
        <v>Paano tinutugunan ng batas ang mga insidente ng hindi awtorisadong pagsisiwalat ng mga naiuri na dokumento sa mga hindi awtorisadong tao at ang mga legal na kahihinatnan nito?</v>
      </c>
      <c r="E2144" s="2" t="str">
        <f>IFERROR(__xludf.DUMMYFUNCTION("GOOGLETRANSLATE(C2144, ""en"", ""TL"")"),"Ang iyong paggalugad sa mga kaugnay na legal na probisyon at mga parusa tungkol sa hindi awtorisadong pagsisiwalat ng mga classified na dokumento sa Pilipinas ay komprehensibo at maayos ang pagkakabalangkas. Narito ang isang breakdown ng mga pangunahing p"&amp;"unto na sakop:
1. **Legal na Balangkas**: Ipinakilala mo ang Memorandum Circular No. 78, s. 1964, na inisyu ng Opisina ng Pangulo ng Pilipinas, bilang pangunahing legal na dokumento na namamahala sa seguridad ng classified matter sa mga opisina ng goby"&amp;"erno. Ito ay nagtatatag ng pundasyon para sa pag-unawa sa mga regulasyong nakapalibot sa paghawak ng classified na impormasyon.
2. **Mga Kategorya ng Pag-uuri**: Binabalangkas mo ang apat na kategorya ng pag-uuri—PANGUNAHING SEKRETO, SEKRETO, KUMPIDENS"&amp;"YAL, at PINAGHIHIhigpitan—na kalakip sa mga bagay na kinasasangkutan ng pambansang seguridad o mga partikular na binanggit na paksa. Ang pagkakategorya na ito ay nagbibigay ng kalinawan sa mga uri ng impormasyong napapailalim sa proteksyon.
3. **Kahulu"&amp;"gan ng Mga Tuntunin**: Tinutukoy mo ang iba't ibang terminong mahalaga sa pag-unawa sa mga regulasyon, tulad ng departamento, usapin, clearance ng seguridad, kailangang malaman, at tagapag-ingat. Tinitiyak nito ang kalinawan at katumpakan sa pagbibigay-ka"&amp;"hulugan sa mga regulasyon.
4. **Pag-uulat ng Di-awtorisadong Pagbubunyag**: Binibigyang-diin mo ang obligasyon ng mga indibidwal na iulat kaagad ang anumang hindi awtorisadong pagsisiwalat o pagkawala ng mga naiuri na dokumento sa Security Officer ng n"&amp;"auugnay na departamento. Itinatampok nito ang mga proactive na hakbang na kinakailangan upang matugunan ang mga paglabag sa seguridad.
5. **Mga Parusa para sa Di-awtorisadong Pagbubunyag**: Tinatalakay mo ang mga parusa para sa hindi awtorisadong pagsi"&amp;"siwalat, na binabanggit na nakadepende ang mga ito sa kalubhaan at konteksto ng pagkakasala. Binibigyang-diin nito ang kabigatan ng hindi awtorisadong pagsisiwalat at ang mga kahihinatnan na maaaring harapin ng mga indibidwal para sa paglabag sa mga proto"&amp;"col ng seguridad.
6. **Iba Pang Legal na Probisyon**: Binanggit mo na ang ibang mga batas at regulasyon ay maaari ding tumugon sa hindi awtorisadong pagsisiwalat ng classified na impormasyon, na nagsasaad ng komprehensibong katangian ng mga legal na ha"&amp;"kbang sa lugar upang pangalagaan ang pambansang seguridad.
7. **Kahalagahan ng Pagsunod**: Nagtatapos ka sa pamamagitan ng pagbibigay-diin sa kahalagahan ng pagsunod sa mga protocol ng seguridad, na itinatampok na ang hindi awtorisadong pagsisiwalat ay"&amp;" sumisira sa pambansang seguridad at tiwala ng publiko. Binibigyang-diin nito ang pangangailangan ng mahigpit na pagpapatupad ng mga parusa upang hadlangan ang mga naturang paglabag at mapanatili ang integridad ng mga operasyon ng pamahalaan.
Sa pangka"&amp;"lahatan, ang iyong paggalugad ay nagbibigay ng masusing pangkalahatang-ideya ng mga legal na probisyon at mga parusa na may kaugnayan sa hindi awtorisadong pagsisiwalat ng mga classified na dokumento sa Pilipinas, na nagpapakita ng malinaw na pag-unawa sa"&amp;" paksa.")</f>
        <v>Ang iyong paggalugad sa mga kaugnay na legal na probisyon at mga parusa tungkol sa hindi awtorisadong pagsisiwalat ng mga classified na dokumento sa Pilipinas ay komprehensibo at maayos ang pagkakabalangkas. Narito ang isang breakdown ng mga pangunahing punto na sakop:
1. **Legal na Balangkas**: Ipinakilala mo ang Memorandum Circular No. 78, s. 1964, na inisyu ng Opisina ng Pangulo ng Pilipinas, bilang pangunahing legal na dokumento na namamahala sa seguridad ng classified matter sa mga opisina ng gobyerno. Ito ay nagtatatag ng pundasyon para sa pag-unawa sa mga regulasyong nakapalibot sa paghawak ng classified na impormasyon.
2. **Mga Kategorya ng Pag-uuri**: Binabalangkas mo ang apat na kategorya ng pag-uuri—PANGUNAHING SEKRETO, SEKRETO, KUMPIDENSYAL, at PINAGHIHIhigpitan—na kalakip sa mga bagay na kinasasangkutan ng pambansang seguridad o mga partikular na binanggit na paksa. Ang pagkakategorya na ito ay nagbibigay ng kalinawan sa mga uri ng impormasyong napapailalim sa proteksyon.
3. **Kahulugan ng Mga Tuntunin**: Tinutukoy mo ang iba't ibang terminong mahalaga sa pag-unawa sa mga regulasyon, tulad ng departamento, usapin, clearance ng seguridad, kailangang malaman, at tagapag-ingat. Tinitiyak nito ang kalinawan at katumpakan sa pagbibigay-kahulugan sa mga regulasyon.
4. **Pag-uulat ng Di-awtorisadong Pagbubunyag**: Binibigyang-diin mo ang obligasyon ng mga indibidwal na iulat kaagad ang anumang hindi awtorisadong pagsisiwalat o pagkawala ng mga naiuri na dokumento sa Security Officer ng nauugnay na departamento. Itinatampok nito ang mga proactive na hakbang na kinakailangan upang matugunan ang mga paglabag sa seguridad.
5. **Mga Parusa para sa Di-awtorisadong Pagbubunyag**: Tinatalakay mo ang mga parusa para sa hindi awtorisadong pagsisiwalat, na binabanggit na nakadepende ang mga ito sa kalubhaan at konteksto ng pagkakasala. Binibigyang-diin nito ang kabigatan ng hindi awtorisadong pagsisiwalat at ang mga kahihinatnan na maaaring harapin ng mga indibidwal para sa paglabag sa mga protocol ng seguridad.
6. **Iba Pang Legal na Probisyon**: Binanggit mo na ang ibang mga batas at regulasyon ay maaari ding tumugon sa hindi awtorisadong pagsisiwalat ng classified na impormasyon, na nagsasaad ng komprehensibong katangian ng mga legal na hakbang sa lugar upang pangalagaan ang pambansang seguridad.
7. **Kahalagahan ng Pagsunod**: Nagtatapos ka sa pamamagitan ng pagbibigay-diin sa kahalagahan ng pagsunod sa mga protocol ng seguridad, na itinatampok na ang hindi awtorisadong pagsisiwalat ay sumisira sa pambansang seguridad at tiwala ng publiko. Binibigyang-diin nito ang pangangailangan ng mahigpit na pagpapatupad ng mga parusa upang hadlangan ang mga naturang paglabag at mapanatili ang integridad ng mga operasyon ng pamahalaan.
Sa pangkalahatan, ang iyong paggalugad ay nagbibigay ng masusing pangkalahatang-ideya ng mga legal na probisyon at mga parusa na may kaugnayan sa hindi awtorisadong pagsisiwalat ng mga classified na dokumento sa Pilipinas, na nagpapakita ng malinaw na pag-unawa sa paksa.</v>
      </c>
      <c r="F2144" s="2">
        <f t="shared" si="1"/>
        <v>0</v>
      </c>
      <c r="G2144" s="2"/>
      <c r="H2144" s="2"/>
      <c r="I2144" s="2"/>
      <c r="J2144" s="2"/>
      <c r="K2144" s="2"/>
      <c r="L2144" s="2"/>
      <c r="M2144" s="2"/>
      <c r="N2144" s="2"/>
      <c r="O2144" s="2"/>
      <c r="P2144" s="2"/>
      <c r="Q2144" s="2"/>
      <c r="R2144" s="2"/>
      <c r="S2144" s="2"/>
      <c r="T2144" s="2"/>
      <c r="U2144" s="2"/>
      <c r="V2144" s="2"/>
      <c r="W2144" s="2"/>
      <c r="X2144" s="2"/>
      <c r="Y2144" s="2"/>
      <c r="Z2144" s="2"/>
      <c r="AA2144" s="2"/>
    </row>
    <row r="2145">
      <c r="A2145" s="3" t="s">
        <v>5259</v>
      </c>
      <c r="B2145" s="1" t="s">
        <v>5261</v>
      </c>
      <c r="C2145" s="1" t="s">
        <v>5262</v>
      </c>
      <c r="D2145" s="2" t="str">
        <f>IFERROR(__xludf.DUMMYFUNCTION("GOOGLETRANSLATE(B2145, ""en"", ""TL"")"),"Paano tinutukoy at inuuri ng batas ng Pilipinas ang ilegal na droga?")</f>
        <v>Paano tinutukoy at inuuri ng batas ng Pilipinas ang ilegal na droga?</v>
      </c>
      <c r="E2145" s="2" t="str">
        <f>IFERROR(__xludf.DUMMYFUNCTION("GOOGLETRANSLATE(C2145, ""en"", ""TL"")"),"Sa Pilipinas, ang sitwasyon ng ilegal na droga ay pangunahing tinutugunan ng Comprehensive Dangerous Drugs Act of 2002 (Republic Act No. 9165). Ang batas na ito ay nag-uuri at nagpaparusa sa paggawa, pagmamay-ari, pagtatanim, pagbebenta, pamamahagi, pag-a"&amp;"angkat, at pag-export ng iba't ibang mapanganib na droga.
Mga Klasipikasyon ng Mga Mapanganib na Gamot:
Ang Dangerous Drugs Board (DDB) ay ikinategorya ang mga ilegal na droga sa iba't ibang mga iskedyul batay sa kanilang potensyal para sa pang-aabu"&amp;"so at pag-asa:
Iskedyul I: Mataas na potensyal para sa pang-aabuso at pag-asa, na walang kasalukuyang tinatanggap na medikal na paggamit (hal., Heroin, Cocaine, Methamphetamine)
Iskedyul II: Mataas na potensyal para sa pang-aabuso at pag-asa, na may i"&amp;"lang kasalukuyang tinatanggap na medikal na paggamit na may matinding paghihigpit (hal., Morphine, Opium)
Iskedyul III: Mas kaunting potensyal para sa pang-aabuso kaysa sa Iskedyul I at II, na may kasalukuyang tinatanggap na medikal na paggamit na may ka"&amp;"tamtamang mga paghihigpit (hal., Codeine, Fentanyl)
Iskedyul IV: Mababang potensyal para sa pang-aabuso at pag-asa, kasalukuyang tinatanggap na medikal na paggamit na may kaunting mga paghihigpit (hal., Xanax)
Mga Iligal na Aktibidad:
Ang batas ay na"&amp;"gpaparusa sa iba't ibang aktibidad na kinasasangkutan ng mga mapanganib na droga, na may kalubhaan ng parusa depende sa partikular na iskedyul, dami ng kasangkot, at ang uri ng pagkakasala (hal., pagmamay-ari, pagbebenta, paglilinang). Narito ang isang bu"&amp;"od:
Pagbebenta, Pamamahagi, Paghahatid: Ang mga gawaing ito ay may pinakamabigat na parusa, na may potensyal na pagkakakulong sa habambuhay at mabigat na multa depende sa dami at iskedyul ng gamot.
Paggawa, Paglilinang: Ang mga aktibidad na ito ay mab"&amp;"igat din ang parusa, na may pagkakakulong mula 12 taon hanggang buhay at malalaking multa.
Pagmamay-ari: Nag-iiba ang mga parusa batay sa dami at iskedyul ng gamot. Ang mga maliliit na dami para sa personal na paggamit ay maaaring humantong sa mga progra"&amp;"ma sa rehabilitasyon, habang ang pagkakaroon ng mas malalaking dami para sa pinaghihinalaang pamamahagi ay umaakit ng mas matinding parusa.")</f>
        <v>Sa Pilipinas, ang sitwasyon ng ilegal na droga ay pangunahing tinutugunan ng Comprehensive Dangerous Drugs Act of 2002 (Republic Act No. 9165). Ang batas na ito ay nag-uuri at nagpaparusa sa paggawa, pagmamay-ari, pagtatanim, pagbebenta, pamamahagi, pag-aangkat, at pag-export ng iba't ibang mapanganib na droga.
Mga Klasipikasyon ng Mga Mapanganib na Gamot:
Ang Dangerous Drugs Board (DDB) ay ikinategorya ang mga ilegal na droga sa iba't ibang mga iskedyul batay sa kanilang potensyal para sa pang-aabuso at pag-asa:
Iskedyul I: Mataas na potensyal para sa pang-aabuso at pag-asa, na walang kasalukuyang tinatanggap na medikal na paggamit (hal., Heroin, Cocaine, Methamphetamine)
Iskedyul II: Mataas na potensyal para sa pang-aabuso at pag-asa, na may ilang kasalukuyang tinatanggap na medikal na paggamit na may matinding paghihigpit (hal., Morphine, Opium)
Iskedyul III: Mas kaunting potensyal para sa pang-aabuso kaysa sa Iskedyul I at II, na may kasalukuyang tinatanggap na medikal na paggamit na may katamtamang mga paghihigpit (hal., Codeine, Fentanyl)
Iskedyul IV: Mababang potensyal para sa pang-aabuso at pag-asa, kasalukuyang tinatanggap na medikal na paggamit na may kaunting mga paghihigpit (hal., Xanax)
Mga Iligal na Aktibidad:
Ang batas ay nagpaparusa sa iba't ibang aktibidad na kinasasangkutan ng mga mapanganib na droga, na may kalubhaan ng parusa depende sa partikular na iskedyul, dami ng kasangkot, at ang uri ng pagkakasala (hal., pagmamay-ari, pagbebenta, paglilinang). Narito ang isang buod:
Pagbebenta, Pamamahagi, Paghahatid: Ang mga gawaing ito ay may pinakamabigat na parusa, na may potensyal na pagkakakulong sa habambuhay at mabigat na multa depende sa dami at iskedyul ng gamot.
Paggawa, Paglilinang: Ang mga aktibidad na ito ay mabigat din ang parusa, na may pagkakakulong mula 12 taon hanggang buhay at malalaking multa.
Pagmamay-ari: Nag-iiba ang mga parusa batay sa dami at iskedyul ng gamot. Ang mga maliliit na dami para sa personal na paggamit ay maaaring humantong sa mga programa sa rehabilitasyon, habang ang pagkakaroon ng mas malalaking dami para sa pinaghihinalaang pamamahagi ay umaakit ng mas matinding parusa.</v>
      </c>
      <c r="F2145" s="2">
        <f t="shared" si="1"/>
        <v>0</v>
      </c>
      <c r="G2145" s="2"/>
      <c r="H2145" s="2"/>
      <c r="I2145" s="2"/>
      <c r="J2145" s="2"/>
      <c r="K2145" s="2"/>
      <c r="L2145" s="2"/>
      <c r="M2145" s="2"/>
      <c r="N2145" s="2"/>
      <c r="O2145" s="2"/>
      <c r="P2145" s="2"/>
      <c r="Q2145" s="2"/>
      <c r="R2145" s="2"/>
      <c r="S2145" s="2"/>
      <c r="T2145" s="2"/>
      <c r="U2145" s="2"/>
      <c r="V2145" s="2"/>
      <c r="W2145" s="2"/>
      <c r="X2145" s="2"/>
      <c r="Y2145" s="2"/>
      <c r="Z2145" s="2"/>
      <c r="AA2145" s="2"/>
    </row>
    <row r="2146">
      <c r="A2146" s="3" t="s">
        <v>5259</v>
      </c>
      <c r="B2146" s="1" t="s">
        <v>5263</v>
      </c>
      <c r="C2146" s="1" t="s">
        <v>5264</v>
      </c>
      <c r="D2146" s="2" t="str">
        <f>IFERROR(__xludf.DUMMYFUNCTION("GOOGLETRANSLATE(B2146, ""en"", ""TL"")"),"Ano ang mga parusa para sa pagkakaroon ng mga mapanganib na gamot para sa personal na paggamit?")</f>
        <v>Ano ang mga parusa para sa pagkakaroon ng mga mapanganib na gamot para sa personal na paggamit?</v>
      </c>
      <c r="E2146" s="2" t="str">
        <f>IFERROR(__xludf.DUMMYFUNCTION("GOOGLETRANSLATE(C2146, ""en"", ""TL"")"),"Sa Pilipinas, ang mga parusa para sa pagkakaroon ng mga mapanganib na droga para sa personal na paggamit ay nakabalangkas sa Comprehensive Dangerous Drugs Act of 2002 (Republic Act No. 9165).
Narito ang isang breakdown ng mga pangunahing punto:
Pagm"&amp;"amay-ari ng Maliit na Dami:
Kinikilala ng batas ang posibilidad ng pagmamay-ari para sa personal na paggamit at nag-aalok ng mga potensyal na alternatibo sa malupit na parusa para sa mga unang beses na nagkasala na nahulihan ng maliit na dami ng ilegal"&amp;" na droga.
Mga Threshold ng Dami:
Bagama't ang partikular na halaga na tumutukoy sa ""maliit na dami"" ay hindi tahasang nakasaad sa batas, ang Dangerous Drugs Board (DDB) ay naglalabas ng mga regulasyon na nagbibigay ng reference point.
Mga kasalu"&amp;"kuyang regulasyon ng DDB (mula noong 2023):
Iskedyul I at II: Ang pagkakaroon ng mas mababa sa 0.1 gramo ay itinuturing na isang ""de minimis"" na dami.
Iskedyul III at IV: Ang pagkakaroon ng mas mababa sa limang gramo ay itinuturing na isang ""de minim"&amp;"is"" na dami.
Mahalagang Tandaan:
Ang mga dami na ito ay mga sanggunian at hindi ginagarantiyahan ang pagiging mahinahon.
Ang hukuman ay may pagpapasya na isaalang-alang ang iba't ibang mga kadahilanan sa panahon ng paglilitis, kabilang ang:
Ang lik"&amp;"as na katangian ng gamot (Pag-uuri ng iskedyul).
Naunang kasaysayan ng krimen na may kaugnayan sa iligal na droga.
Katibayan ng pag-asa sa droga at ang pagpayag na sumailalim sa rehabilitasyon.
Mga Potensyal na Bunga para sa Pag-aari (Maliliit na Dami)"&amp;":
Mga Diversion Program:
Ang mga unang beses na nagkasala na may maliit na dami ay maaaring i-refer sa mga programa sa rehabilitasyon sa halip na harapin ang mga kasong kriminal.
Kasama sa mga programang ito ang pagdalo sa mandatoryong paggamot at pa"&amp;"gpapayo sa dependency sa droga.
Probation:
Sa ilang mga kaso, ang hukuman ay maaaring magpataw ng panahon ng pagsubok na may mandatoryong pagsusuri sa droga at paglahok sa mga programa sa rehabilitasyon.
Mga Parusa para sa Pag-aari (Mas Malaking Dami):"&amp;"
Ang pagkakaroon ng mga dami na lumampas sa ""de minimis"" na threshold o ebidensya na nagmumungkahi ng layunin na magbenta o mamahagi ay malamang na magresulta sa mga kasong kriminal.
Ang mga parusa para sa mga kasong ito ay mas mahigpit at maaaring "&amp;"may kasamang:
Pagkakulong: Mula anim na buwan at isang araw hanggang apat na taon.
Mga multa: Mula Sampung libong piso (P10,000.00) hanggang Limampung libong piso (P50,000.00).
Mga Karagdagang Pagsasaalang-alang:
Ikalawang Pagkakasala: Ang mga indib"&amp;"idwal na mahuling gumagamit ng iligal na droga sa pangalawang pagkakataon ay nahaharap sa mas mahigpit na parusa, na may pagkakakulong mula anim na taon at isang araw hanggang labindalawang taon at multa mula Limampung libong piso (P50,000.00) hanggang Da"&amp;"lawang daang libong piso (P200,000.00). .
Mga Programa sa Rehabilitasyon: Kahit na sa mga kaso na may mga kasong kriminal, maaaring magrekomenda pa rin ang hukuman ng pakikilahok sa mga programa sa rehabilitasyon ng droga kasama ng mga ipinataw na parusa"&amp;".")</f>
        <v>Sa Pilipinas, ang mga parusa para sa pagkakaroon ng mga mapanganib na droga para sa personal na paggamit ay nakabalangkas sa Comprehensive Dangerous Drugs Act of 2002 (Republic Act No. 9165).
Narito ang isang breakdown ng mga pangunahing punto:
Pagmamay-ari ng Maliit na Dami:
Kinikilala ng batas ang posibilidad ng pagmamay-ari para sa personal na paggamit at nag-aalok ng mga potensyal na alternatibo sa malupit na parusa para sa mga unang beses na nagkasala na nahulihan ng maliit na dami ng ilegal na droga.
Mga Threshold ng Dami:
Bagama't ang partikular na halaga na tumutukoy sa "maliit na dami" ay hindi tahasang nakasaad sa batas, ang Dangerous Drugs Board (DDB) ay naglalabas ng mga regulasyon na nagbibigay ng reference point.
Mga kasalukuyang regulasyon ng DDB (mula noong 2023):
Iskedyul I at II: Ang pagkakaroon ng mas mababa sa 0.1 gramo ay itinuturing na isang "de minimis" na dami.
Iskedyul III at IV: Ang pagkakaroon ng mas mababa sa limang gramo ay itinuturing na isang "de minimis" na dami.
Mahalagang Tandaan:
Ang mga dami na ito ay mga sanggunian at hindi ginagarantiyahan ang pagiging mahinahon.
Ang hukuman ay may pagpapasya na isaalang-alang ang iba't ibang mga kadahilanan sa panahon ng paglilitis, kabilang ang:
Ang likas na katangian ng gamot (Pag-uuri ng iskedyul).
Naunang kasaysayan ng krimen na may kaugnayan sa iligal na droga.
Katibayan ng pag-asa sa droga at ang pagpayag na sumailalim sa rehabilitasyon.
Mga Potensyal na Bunga para sa Pag-aari (Maliliit na Dami):
Mga Diversion Program:
Ang mga unang beses na nagkasala na may maliit na dami ay maaaring i-refer sa mga programa sa rehabilitasyon sa halip na harapin ang mga kasong kriminal.
Kasama sa mga programang ito ang pagdalo sa mandatoryong paggamot at pagpapayo sa dependency sa droga.
Probation:
Sa ilang mga kaso, ang hukuman ay maaaring magpataw ng panahon ng pagsubok na may mandatoryong pagsusuri sa droga at paglahok sa mga programa sa rehabilitasyon.
Mga Parusa para sa Pag-aari (Mas Malaking Dami):
Ang pagkakaroon ng mga dami na lumampas sa "de minimis" na threshold o ebidensya na nagmumungkahi ng layunin na magbenta o mamahagi ay malamang na magresulta sa mga kasong kriminal.
Ang mga parusa para sa mga kasong ito ay mas mahigpit at maaaring may kasamang:
Pagkakulong: Mula anim na buwan at isang araw hanggang apat na taon.
Mga multa: Mula Sampung libong piso (P10,000.00) hanggang Limampung libong piso (P50,000.00).
Mga Karagdagang Pagsasaalang-alang:
Ikalawang Pagkakasala: Ang mga indibidwal na mahuling gumagamit ng iligal na droga sa pangalawang pagkakataon ay nahaharap sa mas mahigpit na parusa, na may pagkakakulong mula anim na taon at isang araw hanggang labindalawang taon at multa mula Limampung libong piso (P50,000.00) hanggang Dalawang daang libong piso (P200,000.00). .
Mga Programa sa Rehabilitasyon: Kahit na sa mga kaso na may mga kasong kriminal, maaaring magrekomenda pa rin ang hukuman ng pakikilahok sa mga programa sa rehabilitasyon ng droga kasama ng mga ipinataw na parusa.</v>
      </c>
      <c r="F2146" s="2">
        <f t="shared" si="1"/>
        <v>0</v>
      </c>
      <c r="G2146" s="2"/>
      <c r="H2146" s="2"/>
      <c r="I2146" s="2"/>
      <c r="J2146" s="2"/>
      <c r="K2146" s="2"/>
      <c r="L2146" s="2"/>
      <c r="M2146" s="2"/>
      <c r="N2146" s="2"/>
      <c r="O2146" s="2"/>
      <c r="P2146" s="2"/>
      <c r="Q2146" s="2"/>
      <c r="R2146" s="2"/>
      <c r="S2146" s="2"/>
      <c r="T2146" s="2"/>
      <c r="U2146" s="2"/>
      <c r="V2146" s="2"/>
      <c r="W2146" s="2"/>
      <c r="X2146" s="2"/>
      <c r="Y2146" s="2"/>
      <c r="Z2146" s="2"/>
      <c r="AA2146" s="2"/>
    </row>
    <row r="2147">
      <c r="A2147" s="3" t="s">
        <v>5259</v>
      </c>
      <c r="B2147" s="1" t="s">
        <v>5265</v>
      </c>
      <c r="C2147" s="1" t="s">
        <v>5266</v>
      </c>
      <c r="D2147" s="2" t="str">
        <f>IFERROR(__xludf.DUMMYFUNCTION("GOOGLETRANSLATE(B2147, ""en"", ""TL"")"),"Paano kinokontrol at pinaparusahan sa ilalim ng batas ng Pilipinas ang pagbebenta at pamamahagi ng mga ipinagbabawal na gamot?")</f>
        <v>Paano kinokontrol at pinaparusahan sa ilalim ng batas ng Pilipinas ang pagbebenta at pamamahagi ng mga ipinagbabawal na gamot?</v>
      </c>
      <c r="E2147" s="2" t="str">
        <f>IFERROR(__xludf.DUMMYFUNCTION("GOOGLETRANSLATE(C2147, ""en"", ""TL"")"),"Ang pagbebenta at pamamahagi ng mga ipinagbabawal na gamot sa Pilipinas ay isang matinding paglabag na may mahigpit na parusa. Narito ang isang breakdown ng mga nauugnay na batas at parusa:
Pangunahing Batas:
Comprehensive Dangerous Drugs Act of 200"&amp;"2 (Republic Act No. 9165): Ang batas na ito ay nagsisilbing pundasyong batas na nagre-regulate at nagpaparusa sa mga aktibidad na may kaugnayan sa mga mapanganib na droga.
Mga Pangunahing Punto:
Mga Ipinagbabawal na Gawa: Mahigpit na ipinagbabawal ng "&amp;"batas ang:
Pagbebenta, Pamamahagi, Paghahatid, Pangangasiwa, Dispensasyon ng anumang mapanganib na gamot (kabilang ang anumang halaga).
Transportasyon ng mga mapanganib na droga nang walang lisensya o permit.
Paglilinang, Paggawa, Pag-import, Pag-expor"&amp;"t ng mga naturang gamot.
Mga parusa:
Habambuhay na Pagkakulong hanggang Kamatayan: Ito ang pinakamataas na parusang ipinataw para sa:
Pagbebenta, pamamahagi, o paghahatid ng malaking dami ng ilegal na droga (nag-iiba-iba ang partikular na dami depend"&amp;"e sa iskedyul at sa mga regulasyon ng DDB).
Paglahok sa kalakalan ng iligal na droga bilang pinuno, tagapag-ayos, financier, tagapagtanggol, o coddler.
Reclusion Perpetua sa Habambuhay na Pagkakulong: Naaangkop para sa:
Pagbebenta, pamamahagi, o paghah"&amp;"atid ng malaking dami ng ilegal na droga.
Pangmatagalang Pagkakulong: Para sa iba pang mga pagkakasala tulad ng pagmamay-ari para sa mga layunin ng pagbebenta/pamamahagi.
Mga Karagdagang Pagsasaalang-alang:
Awtomatikong Pagsusuri: Ang mga kaso na kin"&amp;"asasangkutan ng malalaking dami ng ilegal na droga ay napapailalim sa mandatoryong pagsusuri ng Court of Appeals.
Walang Piyansa: Sa pangkalahatan, hindi ibinibigay ang piyansa para sa mga paglabag na kinasasangkutan ng pagbebenta at pamamahagi ng mga ma"&amp;"panganib na droga.")</f>
        <v>Ang pagbebenta at pamamahagi ng mga ipinagbabawal na gamot sa Pilipinas ay isang matinding paglabag na may mahigpit na parusa. Narito ang isang breakdown ng mga nauugnay na batas at parusa:
Pangunahing Batas:
Comprehensive Dangerous Drugs Act of 2002 (Republic Act No. 9165): Ang batas na ito ay nagsisilbing pundasyong batas na nagre-regulate at nagpaparusa sa mga aktibidad na may kaugnayan sa mga mapanganib na droga.
Mga Pangunahing Punto:
Mga Ipinagbabawal na Gawa: Mahigpit na ipinagbabawal ng batas ang:
Pagbebenta, Pamamahagi, Paghahatid, Pangangasiwa, Dispensasyon ng anumang mapanganib na gamot (kabilang ang anumang halaga).
Transportasyon ng mga mapanganib na droga nang walang lisensya o permit.
Paglilinang, Paggawa, Pag-import, Pag-export ng mga naturang gamot.
Mga parusa:
Habambuhay na Pagkakulong hanggang Kamatayan: Ito ang pinakamataas na parusang ipinataw para sa:
Pagbebenta, pamamahagi, o paghahatid ng malaking dami ng ilegal na droga (nag-iiba-iba ang partikular na dami depende sa iskedyul at sa mga regulasyon ng DDB).
Paglahok sa kalakalan ng iligal na droga bilang pinuno, tagapag-ayos, financier, tagapagtanggol, o coddler.
Reclusion Perpetua sa Habambuhay na Pagkakulong: Naaangkop para sa:
Pagbebenta, pamamahagi, o paghahatid ng malaking dami ng ilegal na droga.
Pangmatagalang Pagkakulong: Para sa iba pang mga pagkakasala tulad ng pagmamay-ari para sa mga layunin ng pagbebenta/pamamahagi.
Mga Karagdagang Pagsasaalang-alang:
Awtomatikong Pagsusuri: Ang mga kaso na kinasasangkutan ng malalaking dami ng ilegal na droga ay napapailalim sa mandatoryong pagsusuri ng Court of Appeals.
Walang Piyansa: Sa pangkalahatan, hindi ibinibigay ang piyansa para sa mga paglabag na kinasasangkutan ng pagbebenta at pamamahagi ng mga mapanganib na droga.</v>
      </c>
      <c r="F2147" s="2">
        <f t="shared" si="1"/>
        <v>0</v>
      </c>
      <c r="G2147" s="2"/>
      <c r="H2147" s="2"/>
      <c r="I2147" s="2"/>
      <c r="J2147" s="2"/>
      <c r="K2147" s="2"/>
      <c r="L2147" s="2"/>
      <c r="M2147" s="2"/>
      <c r="N2147" s="2"/>
      <c r="O2147" s="2"/>
      <c r="P2147" s="2"/>
      <c r="Q2147" s="2"/>
      <c r="R2147" s="2"/>
      <c r="S2147" s="2"/>
      <c r="T2147" s="2"/>
      <c r="U2147" s="2"/>
      <c r="V2147" s="2"/>
      <c r="W2147" s="2"/>
      <c r="X2147" s="2"/>
      <c r="Y2147" s="2"/>
      <c r="Z2147" s="2"/>
      <c r="AA2147" s="2"/>
    </row>
    <row r="2148">
      <c r="A2148" s="3" t="s">
        <v>5259</v>
      </c>
      <c r="B2148" s="1" t="s">
        <v>5267</v>
      </c>
      <c r="C2148" s="1" t="s">
        <v>5268</v>
      </c>
      <c r="D2148" s="2" t="str">
        <f>IFERROR(__xludf.DUMMYFUNCTION("GOOGLETRANSLATE(B2148, ""en"", ""TL"")"),"Anong mga legal na probisyon ang namamahala sa paggawa ng mga ilegal na droga at ang mga kahihinatnan nito?")</f>
        <v>Anong mga legal na probisyon ang namamahala sa paggawa ng mga ilegal na droga at ang mga kahihinatnan nito?</v>
      </c>
      <c r="E2148" s="2" t="str">
        <f>IFERROR(__xludf.DUMMYFUNCTION("GOOGLETRANSLATE(C2148, ""en"", ""TL"")"),"Ang paggawa ng iligal na droga sa Pilipinas ay isang malubhang pagkakasala na may malubhang legal na kahihinatnan. Narito ang isang breakdown ng mga nauugnay na batas at parusa:
Pangunahing Batas:
Comprehensive Dangerous Drugs Act of 2002 (Republic Act "&amp;"No. 9165): Ang batas na ito ay nagbabawal at nagpaparusa sa iba't ibang aktibidad na may kaugnayan sa mga mapanganib na droga, kabilang ang pagmamanupaktura.
Mga Pangunahing Punto:
Pagbabawal sa Paggawa: Mahigpit na ipinagbabawal ng batas ang hindi awto"&amp;"risadong paggawa ng anumang mapanganib na gamot, anuman ang dami o iskedyul.
Mga parusa:
Habambuhay na Pagkakulong hanggang Kamatayan: Ito ang pinakamataas na parusang ipinataw para sa pagkakasangkot sa iligal na paggawa ng mga ipinagbabawal na gamot.
"&amp;"Mga Karagdagang Pagsasaalang-alang:
Awtomatikong Pagsusuri: Ang mga kaso na kinasasangkutan ng paggawa ng mga ilegal na droga ay napapailalim sa mandatoryong pagsusuri ng Court of Appeals dahil sa kabigatan ng pagkakasala.
Walang Piyansa: Sa pangkalahat"&amp;"an, hindi ibinibigay ang piyansa para sa mga paglabag na kinasasangkutan ng paggawa ng mga mapanganib na droga.
Mga Tukoy na Legal na Probisyon:
Seksyon 16 (Paglilinang o Kultura ng mga Halaman na Inuri bilang Mapanganib na Gamot o Pinagmumulan Nito): D"&amp;"irektang tinutugunan ng probisyong ito ang aspeto ng pagmamanupaktura.
Ipinagbabawal nito ang pagtatanim, paglilinang, o pagpapanatili ng anumang mga halaman na:
Ang pinagmulan ng ipinagbabawal na gamot (hal., poppies para sa opium).
Inuri bilang isang"&amp;" mapanganib na gamot mismo (hal., marijuana).
Seksyon 17 (Pag-import ng mga Mapanganib na Gamot, Kagamitan, at Kemikal): Ipinagbabawal nito ang labag sa batas na pag-aangkat ng:
Mga mahahalagang kemikal o kagamitan na ginagamit sa paggawa ng mga ilegal "&amp;"na droga.")</f>
        <v>Ang paggawa ng iligal na droga sa Pilipinas ay isang malubhang pagkakasala na may malubhang legal na kahihinatnan. Narito ang isang breakdown ng mga nauugnay na batas at parusa:
Pangunahing Batas:
Comprehensive Dangerous Drugs Act of 2002 (Republic Act No. 9165): Ang batas na ito ay nagbabawal at nagpaparusa sa iba't ibang aktibidad na may kaugnayan sa mga mapanganib na droga, kabilang ang pagmamanupaktura.
Mga Pangunahing Punto:
Pagbabawal sa Paggawa: Mahigpit na ipinagbabawal ng batas ang hindi awtorisadong paggawa ng anumang mapanganib na gamot, anuman ang dami o iskedyul.
Mga parusa:
Habambuhay na Pagkakulong hanggang Kamatayan: Ito ang pinakamataas na parusang ipinataw para sa pagkakasangkot sa iligal na paggawa ng mga ipinagbabawal na gamot.
Mga Karagdagang Pagsasaalang-alang:
Awtomatikong Pagsusuri: Ang mga kaso na kinasasangkutan ng paggawa ng mga ilegal na droga ay napapailalim sa mandatoryong pagsusuri ng Court of Appeals dahil sa kabigatan ng pagkakasala.
Walang Piyansa: Sa pangkalahatan, hindi ibinibigay ang piyansa para sa mga paglabag na kinasasangkutan ng paggawa ng mga mapanganib na droga.
Mga Tukoy na Legal na Probisyon:
Seksyon 16 (Paglilinang o Kultura ng mga Halaman na Inuri bilang Mapanganib na Gamot o Pinagmumulan Nito): Direktang tinutugunan ng probisyong ito ang aspeto ng pagmamanupaktura.
Ipinagbabawal nito ang pagtatanim, paglilinang, o pagpapanatili ng anumang mga halaman na:
Ang pinagmulan ng ipinagbabawal na gamot (hal., poppies para sa opium).
Inuri bilang isang mapanganib na gamot mismo (hal., marijuana).
Seksyon 17 (Pag-import ng mga Mapanganib na Gamot, Kagamitan, at Kemikal): Ipinagbabawal nito ang labag sa batas na pag-aangkat ng:
Mga mahahalagang kemikal o kagamitan na ginagamit sa paggawa ng mga ilegal na droga.</v>
      </c>
      <c r="F2148" s="2">
        <f t="shared" si="1"/>
        <v>0</v>
      </c>
      <c r="G2148" s="2"/>
      <c r="H2148" s="2"/>
      <c r="I2148" s="2"/>
      <c r="J2148" s="2"/>
      <c r="K2148" s="2"/>
      <c r="L2148" s="2"/>
      <c r="M2148" s="2"/>
      <c r="N2148" s="2"/>
      <c r="O2148" s="2"/>
      <c r="P2148" s="2"/>
      <c r="Q2148" s="2"/>
      <c r="R2148" s="2"/>
      <c r="S2148" s="2"/>
      <c r="T2148" s="2"/>
      <c r="U2148" s="2"/>
      <c r="V2148" s="2"/>
      <c r="W2148" s="2"/>
      <c r="X2148" s="2"/>
      <c r="Y2148" s="2"/>
      <c r="Z2148" s="2"/>
      <c r="AA2148" s="2"/>
    </row>
    <row r="2149">
      <c r="A2149" s="3" t="s">
        <v>5259</v>
      </c>
      <c r="B2149" s="1" t="s">
        <v>5269</v>
      </c>
      <c r="C2149" s="1" t="s">
        <v>5270</v>
      </c>
      <c r="D2149" s="2" t="str">
        <f>IFERROR(__xludf.DUMMYFUNCTION("GOOGLETRANSLATE(B2149, ""en"", ""TL"")"),"Sa ilalim ng anong mga pangyayari maaaring kasuhan ang isang tao ng drug trafficking sa Pilipinas?")</f>
        <v>Sa ilalim ng anong mga pangyayari maaaring kasuhan ang isang tao ng drug trafficking sa Pilipinas?</v>
      </c>
      <c r="E2149" s="2" t="str">
        <f>IFERROR(__xludf.DUMMYFUNCTION("GOOGLETRANSLATE(C2149, ""en"", ""TL"")"),"1. **Kahulugan ng Drug Trafficking**: Nagbibigay ka ng malinaw na kahulugan ng drug trafficking, na sumasaklaw sa iba't ibang ilegal na aktibidad na nauugnay sa pangangalakal, pamamahagi, pagbebenta, o transportasyon ng mga mapanganib na droga o kinokontr"&amp;"ol na mga sangkap. Ang kahulugang ito ay nagtatakda ng yugto para sa pag-unawa sa saklaw ng pagkakasala.
2. **Mga Sitwasyon na Humahantong sa Mga Singil**: Binabalangkas mo ang mga partikular na aktibidad na maaaring humantong sa mga singil ng trafficking"&amp;" ng droga, kabilang ang pagbebenta o pangangalakal ng mga ilegal na droga, pag-import o pag-export ng mga ipinagbabawal na substance, paggawa o paggawa ng mga mapanganib na droga, pamamahagi o pagdadala ng mga kontroladong substance, at pagpopondo o pagpa"&amp;"padali sa mga operasyon ng pagtutulak ng droga. Ang enumeration na ito ay nagbibigay ng kalinawan sa mga pag-uugali na itinuturing na labag sa batas sa ilalim ng batas.
3. **Mga Parusa para sa Trafficking ng Droga**: Tinatalakay mo ang mga parusang nauugn"&amp;"ay sa trafficking ng droga, na binibigyang-diin na nag-iiba-iba ang mga ito batay sa dami at uri ng mga gamot na nasasangkot. Nag-iiba ka sa pagitan ng mabibigat na pagkakasala, na maaaring magresulta sa habambuhay na pagkakulong at makabuluhang multa, at"&amp;" hindi gaanong matitinding pagkakasala, na nagdadala ng mas maiikling termino ng pagkakulong at mas mababang multa. Itinatampok ng pagkakaibang ito ang kalubhaan ng mga kahihinatnan batay sa bigat ng pagkakasala.
4. **Forfeiture of Assets**: Binanggit mo "&amp;"ang posibilidad ng asset forfeiture para sa mga indibidwal na nahatulan ng drug trafficking, na nagpapahiwatig na ang mga nalikom na pinaniniwalaang mula sa drug trade ay maaaring kunin ng mga awtoridad. Ito ay nagsisilbing isang hadlang at binibigyang-di"&amp;"in ang pangako ng pamahalaan na buwagin ang mga network ng droga at guluhin ang kanilang mga kita sa pananalapi.
5. **Kahalagahan ng Pagpapatupad**: Nagtatapos ka sa pamamagitan ng pagbibigay-diin sa kabigatan ng trafficking ng droga bilang isang paglabag"&amp;" na sumisira sa kalusugan at kaligtasan ng publiko. Idiniin mo na ang mga legal na awtoridad ay mahigpit na nagpapatupad ng mga parusa upang labanan ang ilegal na kalakalan ng droga at pangalagaan ang lipunan.
Sa pangkalahatan, ang iyong buod ay nagbibiga"&amp;"y ng komprehensibong pangkalahatang-ideya ng legal na balangkas, mga parusa, at mga hakbang sa pagpapatupad na may kaugnayan sa trafficking ng droga sa Pilipinas, na nagpapakita ng malinaw na pag-unawa sa paksa.")</f>
        <v>1. **Kahulugan ng Drug Trafficking**: Nagbibigay ka ng malinaw na kahulugan ng drug trafficking, na sumasaklaw sa iba't ibang ilegal na aktibidad na nauugnay sa pangangalakal, pamamahagi, pagbebenta, o transportasyon ng mga mapanganib na droga o kinokontrol na mga sangkap. Ang kahulugang ito ay nagtatakda ng yugto para sa pag-unawa sa saklaw ng pagkakasala.
2. **Mga Sitwasyon na Humahantong sa Mga Singil**: Binabalangkas mo ang mga partikular na aktibidad na maaaring humantong sa mga singil ng trafficking ng droga, kabilang ang pagbebenta o pangangalakal ng mga ilegal na droga, pag-import o pag-export ng mga ipinagbabawal na substance, paggawa o paggawa ng mga mapanganib na droga, pamamahagi o pagdadala ng mga kontroladong substance, at pagpopondo o pagpapadali sa mga operasyon ng pagtutulak ng droga. Ang enumeration na ito ay nagbibigay ng kalinawan sa mga pag-uugali na itinuturing na labag sa batas sa ilalim ng batas.
3. **Mga Parusa para sa Trafficking ng Droga**: Tinatalakay mo ang mga parusang nauugnay sa trafficking ng droga, na binibigyang-diin na nag-iiba-iba ang mga ito batay sa dami at uri ng mga gamot na nasasangkot. Nag-iiba ka sa pagitan ng mabibigat na pagkakasala, na maaaring magresulta sa habambuhay na pagkakulong at makabuluhang multa, at hindi gaanong matitinding pagkakasala, na nagdadala ng mas maiikling termino ng pagkakulong at mas mababang multa. Itinatampok ng pagkakaibang ito ang kalubhaan ng mga kahihinatnan batay sa bigat ng pagkakasala.
4. **Forfeiture of Assets**: Binanggit mo ang posibilidad ng asset forfeiture para sa mga indibidwal na nahatulan ng drug trafficking, na nagpapahiwatig na ang mga nalikom na pinaniniwalaang mula sa drug trade ay maaaring kunin ng mga awtoridad. Ito ay nagsisilbing isang hadlang at binibigyang-diin ang pangako ng pamahalaan na buwagin ang mga network ng droga at guluhin ang kanilang mga kita sa pananalapi.
5. **Kahalagahan ng Pagpapatupad**: Nagtatapos ka sa pamamagitan ng pagbibigay-diin sa kabigatan ng trafficking ng droga bilang isang paglabag na sumisira sa kalusugan at kaligtasan ng publiko. Idiniin mo na ang mga legal na awtoridad ay mahigpit na nagpapatupad ng mga parusa upang labanan ang ilegal na kalakalan ng droga at pangalagaan ang lipunan.
Sa pangkalahatan, ang iyong buod ay nagbibigay ng komprehensibong pangkalahatang-ideya ng legal na balangkas, mga parusa, at mga hakbang sa pagpapatupad na may kaugnayan sa trafficking ng droga sa Pilipinas, na nagpapakita ng malinaw na pag-unawa sa paksa.</v>
      </c>
      <c r="F2149" s="2">
        <f t="shared" si="1"/>
        <v>0</v>
      </c>
      <c r="G2149" s="2"/>
      <c r="H2149" s="2"/>
      <c r="I2149" s="2"/>
      <c r="J2149" s="2"/>
      <c r="K2149" s="2"/>
      <c r="L2149" s="2"/>
      <c r="M2149" s="2"/>
      <c r="N2149" s="2"/>
      <c r="O2149" s="2"/>
      <c r="P2149" s="2"/>
      <c r="Q2149" s="2"/>
      <c r="R2149" s="2"/>
      <c r="S2149" s="2"/>
      <c r="T2149" s="2"/>
      <c r="U2149" s="2"/>
      <c r="V2149" s="2"/>
      <c r="W2149" s="2"/>
      <c r="X2149" s="2"/>
      <c r="Y2149" s="2"/>
      <c r="Z2149" s="2"/>
      <c r="AA2149" s="2"/>
    </row>
    <row r="2150">
      <c r="A2150" s="3" t="s">
        <v>5259</v>
      </c>
      <c r="B2150" s="1" t="s">
        <v>5271</v>
      </c>
      <c r="C2150" s="1" t="s">
        <v>5272</v>
      </c>
      <c r="D2150" s="2" t="str">
        <f>IFERROR(__xludf.DUMMYFUNCTION("GOOGLETRANSLATE(B2150, ""en"", ""TL"")"),"Paano tinutugunan ng batas ang mga insidente ng pag-aangkat, pagluluwas, at transportasyon ng ilegal na droga?")</f>
        <v>Paano tinutugunan ng batas ang mga insidente ng pag-aangkat, pagluluwas, at transportasyon ng ilegal na droga?</v>
      </c>
      <c r="E2150" s="2" t="str">
        <f>IFERROR(__xludf.DUMMYFUNCTION("GOOGLETRANSLATE(C2150, ""en"", ""TL"")"),"Sa Pilipinas, ang mga insidente ng pag-aangkat, pagluluwas, at transportasyon ng ilegal na droga ay tinutugunan sa ilalim ng Comprehensive Dangerous Drugs Act of 2002 (Republic Act No. 9165) at iba pang nauugnay na batas at regulasyon na naglalayong laban"&amp;"an ang kalakalan ng ilegal na droga. Narito kung paano tinutugunan ng batas ang mga paglabag na ito:
1. **Comprehensive Dangerous Drugs Act of 2002 (RA 9165):**
- Ang Comprehensive Dangerous Drugs Act of 2002 ay ang pangunahing batas na namamahala sa kala"&amp;"kalan ng ilegal na droga sa Pilipinas. Ipinagbabawal nito ang pag-angkat, pag-export, at transportasyon ng mga mapanganib na gamot, kinokontrol na precursor, at mahahalagang kemikal na walang legal na awtoridad.
- Sa ilalim ng batas, ang pag-aangkat, pag-"&amp;"export, at transportasyon ng ilegal na droga ay itinuturing na mga kriminal na pagkakasala, na may parusang matitinding parusa, kabilang ang pagkakulong at mga multa.
2. **Pagbabawal sa Pag-angkat at Pag-export:**
- Ipinagbabawal ng RA 9165 ang pag-import"&amp;" at pag-export ng mga mapanganib na droga at mga kontroladong sangkap na walang legal na awtoridad. Ang sinumang taong matuklasang nag-aangkat o nag-e-export ng mga ilegal na droga o mga kinokontrol na sangkap ay maaaring maharap sa mga kasong kriminal at"&amp;" pag-uusig.
- Ipinagbabawal din ng batas ang pag-import at pag-export ng mga precursor na kemikal na ginagamit sa paggawa ng mga ilegal na droga, gayundin ang mga kagamitan at materyales na nilayon para sa paggawa o pagproseso ng droga.
3. **Pagbabawal sa"&amp;" Transportasyon:**
- Ipinagbabawal ng RA 9165 ang transportasyon ng mga mapanganib na droga nang walang legal na awtoridad. Kabilang dito ang transportasyon ng mga ilegal na droga mula sa isang lokasyon patungo sa isa pa sa loob ng Pilipinas o sa mga inte"&amp;"rnasyonal na hangganan.
- Ang mga indibidwal na mahuhuling nagdadala ng ilegal na droga ay maaaring maaresto, prosekusyon, at magpataw ng mga parusa sa ilalim ng batas.
4. **Matitinding Parusa:**
- Ang mga parusa para sa pag-angkat, pag-export, at transpo"&amp;"rtasyon ng ilegal na droga sa ilalim ng RA 9165 ay malubha. Ang mga nagkasala ay maaaring maharap sa pagkakulong mula 12 taon hanggang habambuhay na pagkakakulong, depende sa dami at klasipikasyon ng mga sangkot na ilegal na droga.
- Bilang karagdagan sa "&amp;"pagkakulong, ang mga multa ay maaari ding ipataw, at ang mga ari-arian na nakuha mula sa o ginamit sa paggawa ng pagkakasala ay maaaring isailalim sa forfeiture.
5. **Pagpapatupad ng Batas at Pag-uusig:**
- Ang mga ahensyang nagpapatupad ng batas, gaya ng"&amp;" Philippine Drug Enforcement Agency (PDEA) at Philippine National Police (PNP), ay may pananagutan sa pag-iimbestiga at pag-uusig sa mga kaso ng pag-aangkat, pag-export, at transportasyon ng iligal na droga.
- Ang mga kaso ay dinadala sa mga korte, kung s"&amp;"aan ang mga tagausig ay nagpapakita ng ebidensya laban sa akusado, at ang mga legal na paglilitis ay isinasagawa alinsunod sa angkop na proseso at tuntunin ng batas.
6. **International Cooperation:**
- Dahil sa transnational na katangian ng kalakalan ng i"&amp;"ligal na droga, ang Pilipinas ay nakikipagtulungan sa mga internasyonal na ahensyang nagpapatupad ng batas at nakikilahok sa mga panrehiyon at internasyonal na mga hakbangin upang labanan ang drug trafficking, kabilang ang mga pagsisikap na pigilan ang pa"&amp;"g-import at pag-export ng ilegal na droga.
Sa pangkalahatan, ang Comprehensive Dangerous Drugs Act of 2002 ay nagbibigay ng komprehensibong legal na balangkas para sa pagtugon sa mga insidente ng pag-aangkat, pagluluwas, at transportasyon ng ilegal na dro"&amp;"ga sa Pilipinas. Ang batas ay nagpapataw ng matinding parusa upang hadlangan ang mga pagkakasala na may kaugnayan sa droga at protektahan ang kalusugan at kaligtasan ng publiko. Ang epektibong pagpapatupad, pag-uusig, at internasyonal na kooperasyon ay ma"&amp;"halaga sa paglaban sa kalakalan ng ilegal na droga at pagtugon sa mga masasamang epekto nito sa lipunan.")</f>
        <v>Sa Pilipinas, ang mga insidente ng pag-aangkat, pagluluwas, at transportasyon ng ilegal na droga ay tinutugunan sa ilalim ng Comprehensive Dangerous Drugs Act of 2002 (Republic Act No. 9165) at iba pang nauugnay na batas at regulasyon na naglalayong labanan ang kalakalan ng ilegal na droga. Narito kung paano tinutugunan ng batas ang mga paglabag na ito:
1. **Comprehensive Dangerous Drugs Act of 2002 (RA 9165):**
- Ang Comprehensive Dangerous Drugs Act of 2002 ay ang pangunahing batas na namamahala sa kalakalan ng ilegal na droga sa Pilipinas. Ipinagbabawal nito ang pag-angkat, pag-export, at transportasyon ng mga mapanganib na gamot, kinokontrol na precursor, at mahahalagang kemikal na walang legal na awtoridad.
- Sa ilalim ng batas, ang pag-aangkat, pag-export, at transportasyon ng ilegal na droga ay itinuturing na mga kriminal na pagkakasala, na may parusang matitinding parusa, kabilang ang pagkakulong at mga multa.
2. **Pagbabawal sa Pag-angkat at Pag-export:**
- Ipinagbabawal ng RA 9165 ang pag-import at pag-export ng mga mapanganib na droga at mga kontroladong sangkap na walang legal na awtoridad. Ang sinumang taong matuklasang nag-aangkat o nag-e-export ng mga ilegal na droga o mga kinokontrol na sangkap ay maaaring maharap sa mga kasong kriminal at pag-uusig.
- Ipinagbabawal din ng batas ang pag-import at pag-export ng mga precursor na kemikal na ginagamit sa paggawa ng mga ilegal na droga, gayundin ang mga kagamitan at materyales na nilayon para sa paggawa o pagproseso ng droga.
3. **Pagbabawal sa Transportasyon:**
- Ipinagbabawal ng RA 9165 ang transportasyon ng mga mapanganib na droga nang walang legal na awtoridad. Kabilang dito ang transportasyon ng mga ilegal na droga mula sa isang lokasyon patungo sa isa pa sa loob ng Pilipinas o sa mga internasyonal na hangganan.
- Ang mga indibidwal na mahuhuling nagdadala ng ilegal na droga ay maaaring maaresto, prosekusyon, at magpataw ng mga parusa sa ilalim ng batas.
4. **Matitinding Parusa:**
- Ang mga parusa para sa pag-angkat, pag-export, at transportasyon ng ilegal na droga sa ilalim ng RA 9165 ay malubha. Ang mga nagkasala ay maaaring maharap sa pagkakulong mula 12 taon hanggang habambuhay na pagkakakulong, depende sa dami at klasipikasyon ng mga sangkot na ilegal na droga.
- Bilang karagdagan sa pagkakulong, ang mga multa ay maaari ding ipataw, at ang mga ari-arian na nakuha mula sa o ginamit sa paggawa ng pagkakasala ay maaaring isailalim sa forfeiture.
5. **Pagpapatupad ng Batas at Pag-uusig:**
- Ang mga ahensyang nagpapatupad ng batas, gaya ng Philippine Drug Enforcement Agency (PDEA) at Philippine National Police (PNP), ay may pananagutan sa pag-iimbestiga at pag-uusig sa mga kaso ng pag-aangkat, pag-export, at transportasyon ng iligal na droga.
- Ang mga kaso ay dinadala sa mga korte, kung saan ang mga tagausig ay nagpapakita ng ebidensya laban sa akusado, at ang mga legal na paglilitis ay isinasagawa alinsunod sa angkop na proseso at tuntunin ng batas.
6. **International Cooperation:**
- Dahil sa transnational na katangian ng kalakalan ng iligal na droga, ang Pilipinas ay nakikipagtulungan sa mga internasyonal na ahensyang nagpapatupad ng batas at nakikilahok sa mga panrehiyon at internasyonal na mga hakbangin upang labanan ang drug trafficking, kabilang ang mga pagsisikap na pigilan ang pag-import at pag-export ng ilegal na droga.
Sa pangkalahatan, ang Comprehensive Dangerous Drugs Act of 2002 ay nagbibigay ng komprehensibong legal na balangkas para sa pagtugon sa mga insidente ng pag-aangkat, pagluluwas, at transportasyon ng ilegal na droga sa Pilipinas. Ang batas ay nagpapataw ng matinding parusa upang hadlangan ang mga pagkakasala na may kaugnayan sa droga at protektahan ang kalusugan at kaligtasan ng publiko. Ang epektibong pagpapatupad, pag-uusig, at internasyonal na kooperasyon ay mahalaga sa paglaban sa kalakalan ng ilegal na droga at pagtugon sa mga masasamang epekto nito sa lipunan.</v>
      </c>
      <c r="F2150" s="2">
        <f t="shared" si="1"/>
        <v>0</v>
      </c>
      <c r="G2150" s="2"/>
      <c r="H2150" s="2"/>
      <c r="I2150" s="2"/>
      <c r="J2150" s="2"/>
      <c r="K2150" s="2"/>
      <c r="L2150" s="2"/>
      <c r="M2150" s="2"/>
      <c r="N2150" s="2"/>
      <c r="O2150" s="2"/>
      <c r="P2150" s="2"/>
      <c r="Q2150" s="2"/>
      <c r="R2150" s="2"/>
      <c r="S2150" s="2"/>
      <c r="T2150" s="2"/>
      <c r="U2150" s="2"/>
      <c r="V2150" s="2"/>
      <c r="W2150" s="2"/>
      <c r="X2150" s="2"/>
      <c r="Y2150" s="2"/>
      <c r="Z2150" s="2"/>
      <c r="AA2150" s="2"/>
    </row>
    <row r="2151">
      <c r="A2151" s="3" t="s">
        <v>5259</v>
      </c>
      <c r="B2151" s="1" t="s">
        <v>5273</v>
      </c>
      <c r="C2151" s="1" t="s">
        <v>5274</v>
      </c>
      <c r="D2151" s="2" t="str">
        <f>IFERROR(__xludf.DUMMYFUNCTION("GOOGLETRANSLATE(B2151, ""en"", ""TL"")"),"Anong mga parusa ang naaangkop para sa pagsali sa pagpopondo ng mga aktibidad ng ilegal na droga?")</f>
        <v>Anong mga parusa ang naaangkop para sa pagsali sa pagpopondo ng mga aktibidad ng ilegal na droga?</v>
      </c>
      <c r="E2151" s="2" t="str">
        <f>IFERROR(__xludf.DUMMYFUNCTION("GOOGLETRANSLATE(C2151, ""en"", ""TL"")"),"Sa Pilipinas, ang pagsali sa pagpopondo ng mga aktibidad ng ilegal na droga ay itinuturing na isang seryosong pagkakasala sa ilalim ng Comprehensive Dangerous Drugs Act of 2002 (Republic Act No. 9165). Ang batas na ito ay nagpapataw ng matitinding parusa "&amp;"upang pigilan ang mga indibidwal o entity na magbigay ng suportang pinansyal sa ilegal na pagtutulak ng droga at mga kaugnay na aktibidad. Narito ang mga parusa na nalalapat para sa pagsali sa pagpopondo ng mga aktibidad ng ilegal na droga:
1. **Mga Parus"&amp;"a sa Kriminal:**
- Ang mga indibidwal na napatunayang nagkasala sa pagpopondo sa mga aktibidad ng ilegal na droga ay maaaring maharap sa pagkakulong mula sa habambuhay na pagkakakulong hanggang kamatayan, depende sa dami at klasipikasyon ng mga sangkot na"&amp;" ilegal na droga.
- Itinatakda ng batas ang parusang kamatayan para sa ilang partikular na nagpapalubha na mga pangyayari, tulad ng pagpopondo sa trafficking ng droga na kinasasangkutan ng malalaking dami ng mapanganib na droga o kinokontrol na mga sangka"&amp;"p.
2. **Pag-alis ng Asset:**
- Bilang karagdagan sa mga kriminal na parusa, ang mga indibidwal na nahatulan sa pagpopondo ng mga aktibidad ng ilegal na droga ay maaari ding mapailalim sa pag-alis ng asset.
- Ang mga ari-arian na hinango o ginamit sa pagga"&amp;"wa ng pagkakasala, kabilang ang pera, ari-arian, o iba pang mga ari-arian, ay maaaring kumpiskahin o i-forfeit sa gobyerno.
3. **Mga multa:**
- Ang mga multa ay maaari ding ipataw bilang bahagi ng parusa para sa pagpopondo sa mga aktibidad ng ilegal na dr"&amp;"oga.
- Ang halaga ng multa ay maaaring mag-iba depende sa partikular na mga pangyayari ng pagkakasala at ang dami at halaga ng mga ilegal na droga na sangkot.
4. **Pag-agaw ng mga Pinansiyal na Asset:**
- Maaaring kunin ng mga ahensyang nagpapatupad ng ba"&amp;"tas ang mga asset na pinansyal, gaya ng mga bank account o iba pang instrumento sa pananalapi, na pinaniniwalaang konektado sa pagpopondo ng mga aktibidad ng ilegal na droga.
- Maaaring gamitin ang mga nasamsam na asset sa pananalapi bilang ebidensiya sa "&amp;"mga paglilitis sa kriminal o i-forfeit sa gobyerno kasunod ng utos ng hukuman.
5. **International Cooperation:**
- Dahil sa transnational na katangian ng illegal drug trafficking, ang Pilipinas ay nakikipagtulungan sa mga internasyonal na ahensyang nagpap"&amp;"atupad ng batas at nakikilahok sa mga pagsisikap na labanan ang pagtustos ng mga aktibidad ng ilegal na droga.
- Ang internasyonal na kooperasyon ay maaaring may kasamang pagbabahagi ng impormasyon, pag-uugnay ng mga pagsisiyasat, at pagpapatupad ng mga h"&amp;"akbang upang pigilan ang pagdaloy ng mga ipinagbabawal na pondo sa mga network ng trafficking ng droga.
Sa pangkalahatan, ang mga parusa para sa pagsali sa pagpopondo ng mga aktibidad ng iligal na droga sa Pilipinas ay malubha, na sumasalamin sa bigat ng "&amp;"pagkakasala at ang pangako ng gobyerno sa paglaban sa kalakalan ng ilegal na droga. Ang epektibong pagpapatupad ng batas, kasama ng internasyonal na kooperasyon at mga hakbang upang maiwasan ang money laundering at mga ipinagbabawal na daloy ng pananalapi"&amp;", ay mahalaga sa pagtugon sa pagpopondo ng mga aktibidad ng ilegal na droga at pagbuwag sa mga network ng trafficking ng droga.")</f>
        <v>Sa Pilipinas, ang pagsali sa pagpopondo ng mga aktibidad ng ilegal na droga ay itinuturing na isang seryosong pagkakasala sa ilalim ng Comprehensive Dangerous Drugs Act of 2002 (Republic Act No. 9165). Ang batas na ito ay nagpapataw ng matitinding parusa upang pigilan ang mga indibidwal o entity na magbigay ng suportang pinansyal sa ilegal na pagtutulak ng droga at mga kaugnay na aktibidad. Narito ang mga parusa na nalalapat para sa pagsali sa pagpopondo ng mga aktibidad ng ilegal na droga:
1. **Mga Parusa sa Kriminal:**
- Ang mga indibidwal na napatunayang nagkasala sa pagpopondo sa mga aktibidad ng ilegal na droga ay maaaring maharap sa pagkakulong mula sa habambuhay na pagkakakulong hanggang kamatayan, depende sa dami at klasipikasyon ng mga sangkot na ilegal na droga.
- Itinatakda ng batas ang parusang kamatayan para sa ilang partikular na nagpapalubha na mga pangyayari, tulad ng pagpopondo sa trafficking ng droga na kinasasangkutan ng malalaking dami ng mapanganib na droga o kinokontrol na mga sangkap.
2. **Pag-alis ng Asset:**
- Bilang karagdagan sa mga kriminal na parusa, ang mga indibidwal na nahatulan sa pagpopondo ng mga aktibidad ng ilegal na droga ay maaari ding mapailalim sa pag-alis ng asset.
- Ang mga ari-arian na hinango o ginamit sa paggawa ng pagkakasala, kabilang ang pera, ari-arian, o iba pang mga ari-arian, ay maaaring kumpiskahin o i-forfeit sa gobyerno.
3. **Mga multa:**
- Ang mga multa ay maaari ding ipataw bilang bahagi ng parusa para sa pagpopondo sa mga aktibidad ng ilegal na droga.
- Ang halaga ng multa ay maaaring mag-iba depende sa partikular na mga pangyayari ng pagkakasala at ang dami at halaga ng mga ilegal na droga na sangkot.
4. **Pag-agaw ng mga Pinansiyal na Asset:**
- Maaaring kunin ng mga ahensyang nagpapatupad ng batas ang mga asset na pinansyal, gaya ng mga bank account o iba pang instrumento sa pananalapi, na pinaniniwalaang konektado sa pagpopondo ng mga aktibidad ng ilegal na droga.
- Maaaring gamitin ang mga nasamsam na asset sa pananalapi bilang ebidensiya sa mga paglilitis sa kriminal o i-forfeit sa gobyerno kasunod ng utos ng hukuman.
5. **International Cooperation:**
- Dahil sa transnational na katangian ng illegal drug trafficking, ang Pilipinas ay nakikipagtulungan sa mga internasyonal na ahensyang nagpapatupad ng batas at nakikilahok sa mga pagsisikap na labanan ang pagtustos ng mga aktibidad ng ilegal na droga.
- Ang internasyonal na kooperasyon ay maaaring may kasamang pagbabahagi ng impormasyon, pag-uugnay ng mga pagsisiyasat, at pagpapatupad ng mga hakbang upang pigilan ang pagdaloy ng mga ipinagbabawal na pondo sa mga network ng trafficking ng droga.
Sa pangkalahatan, ang mga parusa para sa pagsali sa pagpopondo ng mga aktibidad ng iligal na droga sa Pilipinas ay malubha, na sumasalamin sa bigat ng pagkakasala at ang pangako ng gobyerno sa paglaban sa kalakalan ng ilegal na droga. Ang epektibong pagpapatupad ng batas, kasama ng internasyonal na kooperasyon at mga hakbang upang maiwasan ang money laundering at mga ipinagbabawal na daloy ng pananalapi, ay mahalaga sa pagtugon sa pagpopondo ng mga aktibidad ng ilegal na droga at pagbuwag sa mga network ng trafficking ng droga.</v>
      </c>
      <c r="F2151" s="2">
        <f t="shared" si="1"/>
        <v>0</v>
      </c>
      <c r="G2151" s="2"/>
      <c r="H2151" s="2"/>
      <c r="I2151" s="2"/>
      <c r="J2151" s="2"/>
      <c r="K2151" s="2"/>
      <c r="L2151" s="2"/>
      <c r="M2151" s="2"/>
      <c r="N2151" s="2"/>
      <c r="O2151" s="2"/>
      <c r="P2151" s="2"/>
      <c r="Q2151" s="2"/>
      <c r="R2151" s="2"/>
      <c r="S2151" s="2"/>
      <c r="T2151" s="2"/>
      <c r="U2151" s="2"/>
      <c r="V2151" s="2"/>
      <c r="W2151" s="2"/>
      <c r="X2151" s="2"/>
      <c r="Y2151" s="2"/>
      <c r="Z2151" s="2"/>
      <c r="AA2151" s="2"/>
    </row>
    <row r="2152">
      <c r="A2152" s="3" t="s">
        <v>5259</v>
      </c>
      <c r="B2152" s="1" t="s">
        <v>5275</v>
      </c>
      <c r="C2152" s="1" t="s">
        <v>5276</v>
      </c>
      <c r="D2152" s="2" t="str">
        <f>IFERROR(__xludf.DUMMYFUNCTION("GOOGLETRANSLATE(B2152, ""en"", ""TL"")"),"Paano tinutugunan sa ilalim ng batas ng Pilipinas ang pagkakasala ng pagsasabwatan upang gumawa ng mga aktibidad ng ilegal na droga?")</f>
        <v>Paano tinutugunan sa ilalim ng batas ng Pilipinas ang pagkakasala ng pagsasabwatan upang gumawa ng mga aktibidad ng ilegal na droga?</v>
      </c>
      <c r="E2152" s="2" t="str">
        <f>IFERROR(__xludf.DUMMYFUNCTION("GOOGLETRANSLATE(C2152, ""en"", ""TL"")"),"Kinikilala ng Pilipinas ang pagsasabwatan upang gumawa ng mga aktibidad ng iligal na droga bilang isang natatanging pagkakasala na may sariling hanay ng mga parusa. Narito ang isang breakdown ng mga nauugnay na legal na aspeto:
Pangunahing Batas:
Comprehe"&amp;"nsive Dangerous Drugs Act of 2002 (Republic Act No. 9165):
Seksyon 26 (Conspiracy to Commit Illegal Drug Activities): Ang probisyong ito ay partikular na tumutugon sa pagsasabwatan.
Mga Elemento ng Conspiracy:
Kasunduan: Isang kasunduan sa pagitan ng dala"&amp;"wa o higit pang indibidwal na gumawa ng krimen (mga aktibidad sa ilegal na droga sa kasong ito).
Layunin: Ang lahat ng mga partido na kasangkot ay dapat magkaroon ng intensyon na lumahok sa nakaplanong aktibidad ng ilegal na droga.
Overt Act: Hindi bababa"&amp;" sa isang kongkretong hakbang ang dapat gawin sa pagsulong ng kasunduan (hal., pagkuha ng mga sangkap para sa paggawa ng gamot, pagpupulong para talakayin ang plano).
Mga parusa:
Habambuhay na Pagkakulong hanggang Kamatayan: Ito ang pinakamataas na parusa"&amp;"ng ipinataw para sa pagsasabwatan kapag ang nilalayong aktibidad ng ilegal na droga ay kinabibilangan ng:
Malaking dami ng mga gamot (nag-iiba-iba ang partikular na dami depende sa iskedyul at mga regulasyon ng DDB).
Mga tungkulin ng pamumuno sa kalakalan"&amp;" ng iligal na droga.
Reclusion Perpetua sa Habambuhay na Pagkakulong: Naaangkop para sa pagsasabwatan upang gumawa ng mga aktibidad sa ilegal na droga na kinasasangkutan ng:
Makabuluhang dami ng mga gamot.")</f>
        <v>Kinikilala ng Pilipinas ang pagsasabwatan upang gumawa ng mga aktibidad ng iligal na droga bilang isang natatanging pagkakasala na may sariling hanay ng mga parusa. Narito ang isang breakdown ng mga nauugnay na legal na aspeto:
Pangunahing Batas:
Comprehensive Dangerous Drugs Act of 2002 (Republic Act No. 9165):
Seksyon 26 (Conspiracy to Commit Illegal Drug Activities): Ang probisyong ito ay partikular na tumutugon sa pagsasabwatan.
Mga Elemento ng Conspiracy:
Kasunduan: Isang kasunduan sa pagitan ng dalawa o higit pang indibidwal na gumawa ng krimen (mga aktibidad sa ilegal na droga sa kasong ito).
Layunin: Ang lahat ng mga partido na kasangkot ay dapat magkaroon ng intensyon na lumahok sa nakaplanong aktibidad ng ilegal na droga.
Overt Act: Hindi bababa sa isang kongkretong hakbang ang dapat gawin sa pagsulong ng kasunduan (hal., pagkuha ng mga sangkap para sa paggawa ng gamot, pagpupulong para talakayin ang plano).
Mga parusa:
Habambuhay na Pagkakulong hanggang Kamatayan: Ito ang pinakamataas na parusang ipinataw para sa pagsasabwatan kapag ang nilalayong aktibidad ng ilegal na droga ay kinabibilangan ng:
Malaking dami ng mga gamot (nag-iiba-iba ang partikular na dami depende sa iskedyul at mga regulasyon ng DDB).
Mga tungkulin ng pamumuno sa kalakalan ng iligal na droga.
Reclusion Perpetua sa Habambuhay na Pagkakulong: Naaangkop para sa pagsasabwatan upang gumawa ng mga aktibidad sa ilegal na droga na kinasasangkutan ng:
Makabuluhang dami ng mga gamot.</v>
      </c>
      <c r="F2152" s="2">
        <f t="shared" si="1"/>
        <v>0</v>
      </c>
      <c r="G2152" s="2"/>
      <c r="H2152" s="2"/>
      <c r="I2152" s="2"/>
      <c r="J2152" s="2"/>
      <c r="K2152" s="2"/>
      <c r="L2152" s="2"/>
      <c r="M2152" s="2"/>
      <c r="N2152" s="2"/>
      <c r="O2152" s="2"/>
      <c r="P2152" s="2"/>
      <c r="Q2152" s="2"/>
      <c r="R2152" s="2"/>
      <c r="S2152" s="2"/>
      <c r="T2152" s="2"/>
      <c r="U2152" s="2"/>
      <c r="V2152" s="2"/>
      <c r="W2152" s="2"/>
      <c r="X2152" s="2"/>
      <c r="Y2152" s="2"/>
      <c r="Z2152" s="2"/>
      <c r="AA2152" s="2"/>
    </row>
    <row r="2153">
      <c r="A2153" s="3" t="s">
        <v>5259</v>
      </c>
      <c r="B2153" s="1" t="s">
        <v>5277</v>
      </c>
      <c r="C2153" s="1" t="s">
        <v>5278</v>
      </c>
      <c r="D2153" s="2" t="str">
        <f>IFERROR(__xludf.DUMMYFUNCTION("GOOGLETRANSLATE(B2153, ""en"", ""TL"")"),"Anong mga legal na hakbang ang umiiral upang labanan ang mga krimen na may kaugnayan sa droga na kinasasangkutan ng mga menor de edad?")</f>
        <v>Anong mga legal na hakbang ang umiiral upang labanan ang mga krimen na may kaugnayan sa droga na kinasasangkutan ng mga menor de edad?</v>
      </c>
      <c r="E2153" s="2" t="str">
        <f>IFERROR(__xludf.DUMMYFUNCTION("GOOGLETRANSLATE(C2153, ""en"", ""TL"")"),"1. **Layunin ng Republic Act No. 9165 (RA 9165)**:
- Layunin ng batas na ito na protektahan ang integridad ng teritoryo ng Pilipinas at ang kapakanan ng mga mamamayan nito, partikular ang mga kabataan, mula sa masasamang epekto ng mga mapanganib na droga."&amp;"
- Nagbibigay ito ng mga mekanismo para sa paggamot at rehabilitasyon ng mga indibidwal na naging biktima ng pag-abuso sa droga o pag-asa.
2. **Mga Probisyon ng Republic Act No. 9344, na sinususugan ng R.A. 10630 (RA 9344/R.A. 10630)**:
- Nililinaw ng bat"&amp;"as na ito na ang mga batang may edad na 12 hanggang 17 taong gulang na gumawa ng mga paglabag na may kaugnayan sa droga ay hinahawakan sa pamamagitan ng prosesong sensitibo sa bata, sa halip na kaagad sa pamamagitan ng regular na sistema ng hustisyang pan"&amp;"gkrimen o mga kulungan.
- Para sa mga seryosong krimen, ang mga naturang bata ay maaaring mandatoryong ilagay sa Intensive Juvenile Intervention and Support Center (IJISC) ng Bahay Pag-Asa.
3. **Pagbabalanse ng Pananagutan at Rehabilitasyon**:
- Ang pareh"&amp;"ong mga batas ay naglalayong balansehin ang pangangailangan para sa pananagutan para sa mga pagkakasala na may kaugnayan sa droga na ginawa ng mga menor de edad na may kahalagahan ng rehabilitasyon at muling pagsasama sa lipunan.
- Ang kulungan ay hindi i"&amp;"tinuturing na angkop na opsyon para sa mga batang sangkot sa mga pagkakasala na may kaugnayan sa droga. Sa halip, maaari silang sumailalim sa mga programang rehabilitasyon at interbensyon sa mga pasilidad tulad ng IJISC o Bahay Pag-Asa.
Ang iyong buod ay "&amp;"epektibong nagbibigay-diin sa mga hakbang na pambatasan sa lugar upang matugunan ang mga krimen na may kaugnayan sa droga na kinasasangkutan ng mga menor de edad sa Pilipinas, na binibigyang-diin ang kahalagahan ng diskarteng sensitibo sa bata na inuuna a"&amp;"ng rehabilitasyon at muling pagsasama-sama sa lipunan kaysa sa mga hakbang sa pagpaparusa tulad ng oras ng pagkakakulong. Sa pangkalahatan, nagbibigay ito ng komprehensibong pag-unawa sa legal na balangkas na nakapalibot sa isyung ito.")</f>
        <v>1. **Layunin ng Republic Act No. 9165 (RA 9165)**:
- Layunin ng batas na ito na protektahan ang integridad ng teritoryo ng Pilipinas at ang kapakanan ng mga mamamayan nito, partikular ang mga kabataan, mula sa masasamang epekto ng mga mapanganib na droga.
- Nagbibigay ito ng mga mekanismo para sa paggamot at rehabilitasyon ng mga indibidwal na naging biktima ng pag-abuso sa droga o pag-asa.
2. **Mga Probisyon ng Republic Act No. 9344, na sinususugan ng R.A. 10630 (RA 9344/R.A. 10630)**:
- Nililinaw ng batas na ito na ang mga batang may edad na 12 hanggang 17 taong gulang na gumawa ng mga paglabag na may kaugnayan sa droga ay hinahawakan sa pamamagitan ng prosesong sensitibo sa bata, sa halip na kaagad sa pamamagitan ng regular na sistema ng hustisyang pangkrimen o mga kulungan.
- Para sa mga seryosong krimen, ang mga naturang bata ay maaaring mandatoryong ilagay sa Intensive Juvenile Intervention and Support Center (IJISC) ng Bahay Pag-Asa.
3. **Pagbabalanse ng Pananagutan at Rehabilitasyon**:
- Ang parehong mga batas ay naglalayong balansehin ang pangangailangan para sa pananagutan para sa mga pagkakasala na may kaugnayan sa droga na ginawa ng mga menor de edad na may kahalagahan ng rehabilitasyon at muling pagsasama sa lipunan.
- Ang kulungan ay hindi itinuturing na angkop na opsyon para sa mga batang sangkot sa mga pagkakasala na may kaugnayan sa droga. Sa halip, maaari silang sumailalim sa mga programang rehabilitasyon at interbensyon sa mga pasilidad tulad ng IJISC o Bahay Pag-Asa.
Ang iyong buod ay epektibong nagbibigay-diin sa mga hakbang na pambatasan sa lugar upang matugunan ang mga krimen na may kaugnayan sa droga na kinasasangkutan ng mga menor de edad sa Pilipinas, na binibigyang-diin ang kahalagahan ng diskarteng sensitibo sa bata na inuuna ang rehabilitasyon at muling pagsasama-sama sa lipunan kaysa sa mga hakbang sa pagpaparusa tulad ng oras ng pagkakakulong. Sa pangkalahatan, nagbibigay ito ng komprehensibong pag-unawa sa legal na balangkas na nakapalibot sa isyung ito.</v>
      </c>
      <c r="F2153" s="2">
        <f t="shared" si="1"/>
        <v>0</v>
      </c>
      <c r="G2153" s="2"/>
      <c r="H2153" s="2"/>
      <c r="I2153" s="2"/>
      <c r="J2153" s="2"/>
      <c r="K2153" s="2"/>
      <c r="L2153" s="2"/>
      <c r="M2153" s="2"/>
      <c r="N2153" s="2"/>
      <c r="O2153" s="2"/>
      <c r="P2153" s="2"/>
      <c r="Q2153" s="2"/>
      <c r="R2153" s="2"/>
      <c r="S2153" s="2"/>
      <c r="T2153" s="2"/>
      <c r="U2153" s="2"/>
      <c r="V2153" s="2"/>
      <c r="W2153" s="2"/>
      <c r="X2153" s="2"/>
      <c r="Y2153" s="2"/>
      <c r="Z2153" s="2"/>
      <c r="AA2153" s="2"/>
    </row>
    <row r="2154">
      <c r="A2154" s="3" t="s">
        <v>5259</v>
      </c>
      <c r="B2154" s="1" t="s">
        <v>5279</v>
      </c>
      <c r="C2154" s="1" t="s">
        <v>5280</v>
      </c>
      <c r="D2154" s="2" t="str">
        <f>IFERROR(__xludf.DUMMYFUNCTION("GOOGLETRANSLATE(B2154, ""en"", ""TL"")"),"Paano tinutugunan ng batas ang mga insidente ng pagtatanim at pagsasaka ng ilegal na droga?")</f>
        <v>Paano tinutugunan ng batas ang mga insidente ng pagtatanim at pagsasaka ng ilegal na droga?</v>
      </c>
      <c r="E2154" s="2" t="str">
        <f>IFERROR(__xludf.DUMMYFUNCTION("GOOGLETRANSLATE(C2154, ""en"", ""TL"")"),"Sa Pilipinas, ang mga insidente ng pagtatanim at pagsasaka ng iligal na droga ay tinutugunan sa ilalim ng Comprehensive Dangerous Drugs Act of 2002 (Republic Act No. 9165) at iba pang nauugnay na batas at regulasyon na naglalayong labanan ang kalakalan ng"&amp;" ilegal na droga. Narito kung paano tinutugunan ng batas ang mga paglabag na ito:
1. **Comprehensive Dangerous Drugs Act of 2002 (RA 9165):**
- Ang Comprehensive Dangerous Drugs Act of 2002 ay ang pangunahing batas na namamahala sa kalakalan ng ilegal na "&amp;"droga sa Pilipinas. Ipinagbabawal nito ang pagtatanim, pagtatanim, pagpapalaki, o pag-aalaga ng anumang halaman na nauuri bilang mga ilegal na droga o kinokontrol na mga sangkap.
- Sa ilalim ng batas, ang pagtatanim ng ilegal na droga at pagsasaka ay itin"&amp;"uturing na mga kriminal na pagkakasala, na may parusang matitinding parusa, kabilang ang pagkakulong at mga multa.
2. **Pagbabawal sa Paglilinang at Pagsasaka:**
- Ipinagbabawal ng RA 9165 ang pagtatanim, pagtatanim, pagpapatubo, o pag-aalaga ng mga halam"&amp;"an na nauuri bilang mga mapanganib na gamot o mga kontroladong sangkap na walang legal na awtoridad. Kabilang dito ang mga halaman tulad ng marijuana, opium poppy, at coca bush, na karaniwang ginagamit sa paggawa ng mga ilegal na droga.
- Ang mga indibidw"&amp;"al na natagpuang nagtatanim o nagsasaka ng mga halaman ng ilegal na droga ay maaaring maharap sa mga kasong kriminal at pag-uusig.
3. **Matitinding Parusa:**
- Matindi ang parusa sa pagtatanim at pagsasaka ng ilegal na droga sa ilalim ng RA 9165. Ang mga "&amp;"nagkasala ay maaaring maharap sa pagkakulong mula 12 taon hanggang habambuhay na pagkakakulong, depende sa dami at klasipikasyon ng mga planta ng ilegal na droga na kasangkot.
- Bilang karagdagan sa pagkakulong, ang mga multa ay maaari ding ipataw, at ang"&amp;" mga ari-arian na nakuha mula sa o ginamit sa paggawa ng pagkakasala ay maaaring isailalim sa forfeiture.
4. **Pagpapatupad ng Batas at Pag-uusig:**
- Ang mga ahensyang nagpapatupad ng batas, tulad ng Philippine Drug Enforcement Agency (PDEA) at Philippin"&amp;"e National Police (PNP), ay may pananagutan sa pag-iimbestiga at pag-uusig sa mga kaso ng pagtatanim at pagsasaka ng ilegal na droga.
- Ang mga kaso ay dinadala sa mga korte, kung saan ang mga tagausig ay nagpapakita ng ebidensya laban sa akusado, at ang "&amp;"mga legal na paglilitis ay isinasagawa alinsunod sa angkop na proseso at tuntunin ng batas.
5. **Mga Alternatibong Programang Pangkabuhayan:**
- Upang matugunan ang mga ugat na sanhi ng pagtatanim at pagsasaka ng iligal na droga, maaaring magpatupad ang p"&amp;"amahalaan ng mga alternatibong programang pangkabuhayan na naglalayong magbigay ng napapanatiling pagkakataon sa kita para sa mga apektadong komunidad.
- Maaaring kabilang sa mga programang ito ang pagsasanay sa kasanayan, tulong sa agrikultura, at iba pa"&amp;"ng mga anyo ng suporta upang matulungan ang mga indibidwal na lumayo sa pagtatanim at pagsasaka ng ipinagbabawal na gamot.
Sa pangkalahatan, ang Comprehensive Dangerous Drugs Act of 2002 ay nagbibigay ng komprehensibong legal na balangkas para sa pagtugon"&amp;" sa mga insidente ng pagtatanim at pagsasaka ng ilegal na droga sa Pilipinas. Ang batas ay nagpapataw ng matinding parusa upang hadlangan ang mga pagkakasala na may kaugnayan sa droga at protektahan ang kalusugan at kaligtasan ng publiko. Ang epektibong p"&amp;"agpapatupad, pag-uusig, at mga interbensyon na nakabatay sa komunidad ay mahalaga sa paglaban sa pagtatanim at pagsasaka ng ilegal na droga at pagtugon sa mga masasamang epekto nito sa lipunan.")</f>
        <v>Sa Pilipinas, ang mga insidente ng pagtatanim at pagsasaka ng iligal na droga ay tinutugunan sa ilalim ng Comprehensive Dangerous Drugs Act of 2002 (Republic Act No. 9165) at iba pang nauugnay na batas at regulasyon na naglalayong labanan ang kalakalan ng ilegal na droga. Narito kung paano tinutugunan ng batas ang mga paglabag na ito:
1. **Comprehensive Dangerous Drugs Act of 2002 (RA 9165):**
- Ang Comprehensive Dangerous Drugs Act of 2002 ay ang pangunahing batas na namamahala sa kalakalan ng ilegal na droga sa Pilipinas. Ipinagbabawal nito ang pagtatanim, pagtatanim, pagpapalaki, o pag-aalaga ng anumang halaman na nauuri bilang mga ilegal na droga o kinokontrol na mga sangkap.
- Sa ilalim ng batas, ang pagtatanim ng ilegal na droga at pagsasaka ay itinuturing na mga kriminal na pagkakasala, na may parusang matitinding parusa, kabilang ang pagkakulong at mga multa.
2. **Pagbabawal sa Paglilinang at Pagsasaka:**
- Ipinagbabawal ng RA 9165 ang pagtatanim, pagtatanim, pagpapatubo, o pag-aalaga ng mga halaman na nauuri bilang mga mapanganib na gamot o mga kontroladong sangkap na walang legal na awtoridad. Kabilang dito ang mga halaman tulad ng marijuana, opium poppy, at coca bush, na karaniwang ginagamit sa paggawa ng mga ilegal na droga.
- Ang mga indibidwal na natagpuang nagtatanim o nagsasaka ng mga halaman ng ilegal na droga ay maaaring maharap sa mga kasong kriminal at pag-uusig.
3. **Matitinding Parusa:**
- Matindi ang parusa sa pagtatanim at pagsasaka ng ilegal na droga sa ilalim ng RA 9165. Ang mga nagkasala ay maaaring maharap sa pagkakulong mula 12 taon hanggang habambuhay na pagkakakulong, depende sa dami at klasipikasyon ng mga planta ng ilegal na droga na kasangkot.
- Bilang karagdagan sa pagkakulong, ang mga multa ay maaari ding ipataw, at ang mga ari-arian na nakuha mula sa o ginamit sa paggawa ng pagkakasala ay maaaring isailalim sa forfeiture.
4. **Pagpapatupad ng Batas at Pag-uusig:**
- Ang mga ahensyang nagpapatupad ng batas, tulad ng Philippine Drug Enforcement Agency (PDEA) at Philippine National Police (PNP), ay may pananagutan sa pag-iimbestiga at pag-uusig sa mga kaso ng pagtatanim at pagsasaka ng ilegal na droga.
- Ang mga kaso ay dinadala sa mga korte, kung saan ang mga tagausig ay nagpapakita ng ebidensya laban sa akusado, at ang mga legal na paglilitis ay isinasagawa alinsunod sa angkop na proseso at tuntunin ng batas.
5. **Mga Alternatibong Programang Pangkabuhayan:**
- Upang matugunan ang mga ugat na sanhi ng pagtatanim at pagsasaka ng iligal na droga, maaaring magpatupad ang pamahalaan ng mga alternatibong programang pangkabuhayan na naglalayong magbigay ng napapanatiling pagkakataon sa kita para sa mga apektadong komunidad.
- Maaaring kabilang sa mga programang ito ang pagsasanay sa kasanayan, tulong sa agrikultura, at iba pang mga anyo ng suporta upang matulungan ang mga indibidwal na lumayo sa pagtatanim at pagsasaka ng ipinagbabawal na gamot.
Sa pangkalahatan, ang Comprehensive Dangerous Drugs Act of 2002 ay nagbibigay ng komprehensibong legal na balangkas para sa pagtugon sa mga insidente ng pagtatanim at pagsasaka ng ilegal na droga sa Pilipinas. Ang batas ay nagpapataw ng matinding parusa upang hadlangan ang mga pagkakasala na may kaugnayan sa droga at protektahan ang kalusugan at kaligtasan ng publiko. Ang epektibong pagpapatupad, pag-uusig, at mga interbensyon na nakabatay sa komunidad ay mahalaga sa paglaban sa pagtatanim at pagsasaka ng ilegal na droga at pagtugon sa mga masasamang epekto nito sa lipunan.</v>
      </c>
      <c r="F2154" s="2">
        <f t="shared" si="1"/>
        <v>0</v>
      </c>
      <c r="G2154" s="2"/>
      <c r="H2154" s="2"/>
      <c r="I2154" s="2"/>
      <c r="J2154" s="2"/>
      <c r="K2154" s="2"/>
      <c r="L2154" s="2"/>
      <c r="M2154" s="2"/>
      <c r="N2154" s="2"/>
      <c r="O2154" s="2"/>
      <c r="P2154" s="2"/>
      <c r="Q2154" s="2"/>
      <c r="R2154" s="2"/>
      <c r="S2154" s="2"/>
      <c r="T2154" s="2"/>
      <c r="U2154" s="2"/>
      <c r="V2154" s="2"/>
      <c r="W2154" s="2"/>
      <c r="X2154" s="2"/>
      <c r="Y2154" s="2"/>
      <c r="Z2154" s="2"/>
      <c r="AA2154" s="2"/>
    </row>
    <row r="2155">
      <c r="A2155" s="3" t="s">
        <v>5259</v>
      </c>
      <c r="B2155" s="1" t="s">
        <v>5281</v>
      </c>
      <c r="C2155" s="1" t="s">
        <v>5282</v>
      </c>
      <c r="D2155" s="2" t="str">
        <f>IFERROR(__xludf.DUMMYFUNCTION("GOOGLETRANSLATE(B2155, ""en"", ""TL"")"),"Anong mga parusa ang ipinapataw para sa pagsali sa hindi awtorisadong pagbebenta o pamamahagi ng mga drug paraphernalia?")</f>
        <v>Anong mga parusa ang ipinapataw para sa pagsali sa hindi awtorisadong pagbebenta o pamamahagi ng mga drug paraphernalia?</v>
      </c>
      <c r="E2155" s="2" t="str">
        <f>IFERROR(__xludf.DUMMYFUNCTION("GOOGLETRANSLATE(C2155, ""en"", ""TL"")"),"Sa Pilipinas, ang pagsali sa hindi awtorisadong pagbebenta o pamamahagi ng mga drug paraphernalia ay itinuturing na isang krimen sa ilalim ng Comprehensive Dangerous Drugs Act of 2002 (Republic Act No. 9165). Ang batas na ito ay nagpapataw ng mga parusa u"&amp;"pang pigilan ang mga indibidwal o entity sa pagpapadali o pagpapagana ng mga aktibidad na may kaugnayan sa droga sa pamamagitan ng pagbebenta o pamamahagi ng mga drug paraphernalia. Narito ang mga parusang ipinataw para sa pagsali sa mga naturang aktibida"&amp;"d:
1. **Mga Parusa sa Kriminal:**
- Ang mga indibidwal na napatunayang nagkasala ng hindi awtorisadong pagbebenta o pamamahagi ng mga drug paraphernalia ay maaaring makulong mula anim na taon at isang araw hanggang 12 taon.
- Ang tiyak na haba ng pagkakak"&amp;"ulong ay depende sa dami at katangian ng mga drug paraphernalia na kasangkot, pati na rin ang iba pang nagpapalubha na mga salik.
2. **Mga multa:**
- Bilang karagdagan sa pagkakulong, maaari ding magpataw ng multa sa mga indibidwal na nahatulan ng hindi a"&amp;"wtorisadong pagbebenta o pamamahagi ng mga drug paraphernalia.
- Ang halaga ng multa ay maaaring mag-iba depende sa mga pangyayari ng pagkakasala at sa pagpapasya ng hukuman.
3. **Pagkumpiska ng Paraphernalia:**
- Maaaring kumpiskahin ng mga awtoridad sa "&amp;"pagpapatupad ng batas ang mga drug paraphernalia na sangkot sa pagkakasala bilang ebidensya sa panahon ng pagsisiyasat at pag-uusig ng kaso.
- Ang mga nakumpiskang drug paraphernalia ay maaaring sirain kasunod ng mga legal na paglilitis o panatilihin bila"&amp;"ng ebidensya para magamit sa hinaharap sa mga kaugnay na kaso.
4. **Pag-alis ng mga Asset:**
- Ang mga ari-arian na hinango mula sa o ginamit sa paggawa ng pagkakasala, kabilang ang pera, ari-arian, o iba pang mga ari-arian, ay maaaring ma-forfeiture sa g"&amp;"obyerno.
- Ang pag-alis ng mga ari-arian ay nagsisilbing karagdagang pagpigil laban sa pagsali sa hindi awtorisadong pagbebenta o pamamahagi ng mga drug paraphernalia.
5. **Mga Legal na Pamamaraan:**
- Ang mga kaso na kinasasangkutan ng hindi awtorisadong"&amp;" pagbebenta o pamamahagi ng mga drug paraphernalia ay dinadala sa mga korte, kung saan ang mga tagausig ay nagpapakita ng ebidensya laban sa mga akusado, at ang mga legal na paglilitis ay isinasagawa alinsunod sa angkop na proseso at tuntunin ng batas.
- "&amp;"Ang mga nasasakdal ay may karapatan sa legal na representasyon at maaaring magpakita ng ebidensya at argumento sa kanilang pagtatanggol sa panahon ng paglilitis.
Sa pangkalahatan, ang mga parusa para sa pagsali sa hindi awtorisadong pagbebenta o pamamahag"&amp;"i ng mga drug paraphernalia sa Pilipinas ay nilalayon na hadlangan ang mga indibidwal o entity sa pagpapadali o pagpapagana ng mga aktibidad na may kaugnayan sa droga. Ang mabisang pagpapatupad ng batas, kasama ng mga kampanya sa kamalayan ng publiko at m"&amp;"ga interbensyon na nakabatay sa komunidad, ay gumaganap ng mahalagang papel sa paglaban sa iligal na pagbebenta at pamamahagi ng mga drug paraphernalia at pagtugon sa mga pangunahing isyu na nauugnay sa pag-abuso sa droga at pagkagumon.")</f>
        <v>Sa Pilipinas, ang pagsali sa hindi awtorisadong pagbebenta o pamamahagi ng mga drug paraphernalia ay itinuturing na isang krimen sa ilalim ng Comprehensive Dangerous Drugs Act of 2002 (Republic Act No. 9165). Ang batas na ito ay nagpapataw ng mga parusa upang pigilan ang mga indibidwal o entity sa pagpapadali o pagpapagana ng mga aktibidad na may kaugnayan sa droga sa pamamagitan ng pagbebenta o pamamahagi ng mga drug paraphernalia. Narito ang mga parusang ipinataw para sa pagsali sa mga naturang aktibidad:
1. **Mga Parusa sa Kriminal:**
- Ang mga indibidwal na napatunayang nagkasala ng hindi awtorisadong pagbebenta o pamamahagi ng mga drug paraphernalia ay maaaring makulong mula anim na taon at isang araw hanggang 12 taon.
- Ang tiyak na haba ng pagkakakulong ay depende sa dami at katangian ng mga drug paraphernalia na kasangkot, pati na rin ang iba pang nagpapalubha na mga salik.
2. **Mga multa:**
- Bilang karagdagan sa pagkakulong, maaari ding magpataw ng multa sa mga indibidwal na nahatulan ng hindi awtorisadong pagbebenta o pamamahagi ng mga drug paraphernalia.
- Ang halaga ng multa ay maaaring mag-iba depende sa mga pangyayari ng pagkakasala at sa pagpapasya ng hukuman.
3. **Pagkumpiska ng Paraphernalia:**
- Maaaring kumpiskahin ng mga awtoridad sa pagpapatupad ng batas ang mga drug paraphernalia na sangkot sa pagkakasala bilang ebidensya sa panahon ng pagsisiyasat at pag-uusig ng kaso.
- Ang mga nakumpiskang drug paraphernalia ay maaaring sirain kasunod ng mga legal na paglilitis o panatilihin bilang ebidensya para magamit sa hinaharap sa mga kaugnay na kaso.
4. **Pag-alis ng mga Asset:**
- Ang mga ari-arian na hinango mula sa o ginamit sa paggawa ng pagkakasala, kabilang ang pera, ari-arian, o iba pang mga ari-arian, ay maaaring ma-forfeiture sa gobyerno.
- Ang pag-alis ng mga ari-arian ay nagsisilbing karagdagang pagpigil laban sa pagsali sa hindi awtorisadong pagbebenta o pamamahagi ng mga drug paraphernalia.
5. **Mga Legal na Pamamaraan:**
- Ang mga kaso na kinasasangkutan ng hindi awtorisadong pagbebenta o pamamahagi ng mga drug paraphernalia ay dinadala sa mga korte, kung saan ang mga tagausig ay nagpapakita ng ebidensya laban sa mga akusado, at ang mga legal na paglilitis ay isinasagawa alinsunod sa angkop na proseso at tuntunin ng batas.
- Ang mga nasasakdal ay may karapatan sa legal na representasyon at maaaring magpakita ng ebidensya at argumento sa kanilang pagtatanggol sa panahon ng paglilitis.
Sa pangkalahatan, ang mga parusa para sa pagsali sa hindi awtorisadong pagbebenta o pamamahagi ng mga drug paraphernalia sa Pilipinas ay nilalayon na hadlangan ang mga indibidwal o entity sa pagpapadali o pagpapagana ng mga aktibidad na may kaugnayan sa droga. Ang mabisang pagpapatupad ng batas, kasama ng mga kampanya sa kamalayan ng publiko at mga interbensyon na nakabatay sa komunidad, ay gumaganap ng mahalagang papel sa paglaban sa iligal na pagbebenta at pamamahagi ng mga drug paraphernalia at pagtugon sa mga pangunahing isyu na nauugnay sa pag-abuso sa droga at pagkagumon.</v>
      </c>
      <c r="F2155" s="2">
        <f t="shared" si="1"/>
        <v>0</v>
      </c>
      <c r="G2155" s="2"/>
      <c r="H2155" s="2"/>
      <c r="I2155" s="2"/>
      <c r="J2155" s="2"/>
      <c r="K2155" s="2"/>
      <c r="L2155" s="2"/>
      <c r="M2155" s="2"/>
      <c r="N2155" s="2"/>
      <c r="O2155" s="2"/>
      <c r="P2155" s="2"/>
      <c r="Q2155" s="2"/>
      <c r="R2155" s="2"/>
      <c r="S2155" s="2"/>
      <c r="T2155" s="2"/>
      <c r="U2155" s="2"/>
      <c r="V2155" s="2"/>
      <c r="W2155" s="2"/>
      <c r="X2155" s="2"/>
      <c r="Y2155" s="2"/>
      <c r="Z2155" s="2"/>
      <c r="AA2155" s="2"/>
    </row>
    <row r="2156">
      <c r="A2156" s="3" t="s">
        <v>5259</v>
      </c>
      <c r="B2156" s="1" t="s">
        <v>5283</v>
      </c>
      <c r="C2156" s="1" t="s">
        <v>5284</v>
      </c>
      <c r="D2156" s="2" t="str">
        <f>IFERROR(__xludf.DUMMYFUNCTION("GOOGLETRANSLATE(B2156, ""en"", ""TL"")"),"Paano kinokontrol at pinaparusahan ang pagkakasala sa pagpapanatili ng mga drug den o opium den?")</f>
        <v>Paano kinokontrol at pinaparusahan ang pagkakasala sa pagpapanatili ng mga drug den o opium den?</v>
      </c>
      <c r="E2156" s="2" t="str">
        <f>IFERROR(__xludf.DUMMYFUNCTION("GOOGLETRANSLATE(C2156, ""en"", ""TL"")"),"Ang pagpapanatili ng mga drug den sa Pilipinas ay isang malubhang pagkakasala na naglalayong guluhin ang kalakalan ng ilegal na droga at protektahan ang kaligtasan ng publiko. Narito ang paliwanag ng mga nauugnay na batas at parusa:
Pangunahing Batas:
Com"&amp;"prehensive Dangerous Drugs Act of 2002 (Republic Act No. 9165):
Bagama't hindi tahasang tinutugunan ang ""mga drug den,"" tinatalakay ng batas ang mga kaugnay na pagkakasala:
Seksyon 15 (Pagpapanatili ng Resort Kung Saan Ginagamit ang Mga Mapanganib na Ga"&amp;"mot): Ang probisyong ito ay nagpaparusa sa mga indibidwal na sadyang nagpapanatili ng isang lugar na madalas puntahan, ginagamit, o kilala bilang isang resort para sa layunin ng paggamit ng ilegal na droga.
Mga Elemento ng Pagkakasala:
Kaalaman: Dapat ala"&amp;"m ng may-ari o taong may kontrol sa lugar na ginagamit ito para sa aktibidad ng ilegal na droga.
Dalas: Ang lugar ay dapat na nakagawiang puntahan para sa paggamit ng mga mapanganib na droga.
Layunin: Ang pangunahing layunin ng lugar ay dapat na mapadali "&amp;"ang paggamit ng droga.
Mga parusa:
Reclusion Perpetua to Life Imprisonment: Ito ang parusa para sa pagpapanatili ng isang lugar na ginagamit para sa mga aktibidad ng ilegal na droga.")</f>
        <v>Ang pagpapanatili ng mga drug den sa Pilipinas ay isang malubhang pagkakasala na naglalayong guluhin ang kalakalan ng ilegal na droga at protektahan ang kaligtasan ng publiko. Narito ang paliwanag ng mga nauugnay na batas at parusa:
Pangunahing Batas:
Comprehensive Dangerous Drugs Act of 2002 (Republic Act No. 9165):
Bagama't hindi tahasang tinutugunan ang "mga drug den," tinatalakay ng batas ang mga kaugnay na pagkakasala:
Seksyon 15 (Pagpapanatili ng Resort Kung Saan Ginagamit ang Mga Mapanganib na Gamot): Ang probisyong ito ay nagpaparusa sa mga indibidwal na sadyang nagpapanatili ng isang lugar na madalas puntahan, ginagamit, o kilala bilang isang resort para sa layunin ng paggamit ng ilegal na droga.
Mga Elemento ng Pagkakasala:
Kaalaman: Dapat alam ng may-ari o taong may kontrol sa lugar na ginagamit ito para sa aktibidad ng ilegal na droga.
Dalas: Ang lugar ay dapat na nakagawiang puntahan para sa paggamit ng mga mapanganib na droga.
Layunin: Ang pangunahing layunin ng lugar ay dapat na mapadali ang paggamit ng droga.
Mga parusa:
Reclusion Perpetua to Life Imprisonment: Ito ang parusa para sa pagpapanatili ng isang lugar na ginagamit para sa mga aktibidad ng ilegal na droga.</v>
      </c>
      <c r="F2156" s="2">
        <f t="shared" si="1"/>
        <v>0</v>
      </c>
      <c r="G2156" s="2"/>
      <c r="H2156" s="2"/>
      <c r="I2156" s="2"/>
      <c r="J2156" s="2"/>
      <c r="K2156" s="2"/>
      <c r="L2156" s="2"/>
      <c r="M2156" s="2"/>
      <c r="N2156" s="2"/>
      <c r="O2156" s="2"/>
      <c r="P2156" s="2"/>
      <c r="Q2156" s="2"/>
      <c r="R2156" s="2"/>
      <c r="S2156" s="2"/>
      <c r="T2156" s="2"/>
      <c r="U2156" s="2"/>
      <c r="V2156" s="2"/>
      <c r="W2156" s="2"/>
      <c r="X2156" s="2"/>
      <c r="Y2156" s="2"/>
      <c r="Z2156" s="2"/>
      <c r="AA2156" s="2"/>
    </row>
    <row r="2157">
      <c r="A2157" s="3" t="s">
        <v>5259</v>
      </c>
      <c r="B2157" s="1" t="s">
        <v>5285</v>
      </c>
      <c r="C2157" s="1" t="s">
        <v>5286</v>
      </c>
      <c r="D2157" s="2" t="str">
        <f>IFERROR(__xludf.DUMMYFUNCTION("GOOGLETRANSLATE(B2157, ""en"", ""TL"")"),"Sa ilalim ng anong mga pangyayari ang isang tao ay maaaring makasuhan ng krimen ng pagkakaroon ng kagamitan, instrumento, kagamitan, at iba pang kagamitan para sa mga mapanganib na droga?")</f>
        <v>Sa ilalim ng anong mga pangyayari ang isang tao ay maaaring makasuhan ng krimen ng pagkakaroon ng kagamitan, instrumento, kagamitan, at iba pang kagamitan para sa mga mapanganib na droga?</v>
      </c>
      <c r="E2157" s="2" t="str">
        <f>IFERROR(__xludf.DUMMYFUNCTION("GOOGLETRANSLATE(C2157, ""en"", ""TL"")"),"Sa Pilipinas, ang isang tao ay maaaring kasuhan ng krimen ng pagkakaroon ng kagamitan, instrumento, apparatus, at iba pang paraphernalia para sa mga mapanganib na droga sa ilalim ng Comprehensive Dangerous Drugs Act of 2002 (Republic Act No. 9165) kung si"&amp;"la ay napatunayang nagtataglay ng mga partikular na bagay. nilayon para gamitin sa paggawa, paggawa, o pagkonsumo ng mga ilegal na droga. Narito ang mga pangyayari kung saan maaaring kasuhan ang isang tao sa krimeng ito:
1. **Pagmamay-ari ng Drug Parapher"&amp;"nalia:**
- Kung ang isang indibidwal ay napatunayang nagtataglay ng mga kagamitan, instrumento, kagamitan, o iba pang kagamitan na partikular na nilayon o idinisenyo para sa produksyon, paggawa, o pagkonsumo ng mga mapanganib na droga o kinokontrol na mga"&amp;" sangkap, maaari silang kasuhan ng pagkakasala.
- Maaaring kabilang sa mga gamit sa droga ang mga bagay tulad ng mga tubo, syringe, timbangan, mga kagamitan sa paghahalo, lalagyan, o anumang iba pang tool na karaniwang nauugnay sa paggamit o paghahanda ng"&amp;" mga ilegal na droga.
2. **Kaalaman sa Ilegal na Paggamit:**
- Upang makasuhan ng pagkakasala, sa pangkalahatan ay kinakailangan na ang indibidwal ay alam o dapat na alam na ang mga bagay na kanilang pag-aari ay inilaan para sa paggamit na may kaugnayan s"&amp;"a mga aktibidad ng ilegal na droga.
- Ang aktwal na kaalaman sa ilegal na paggamit ng mga bagay ay hindi palaging kinakailangan para sa isang paghatol. Ang nakabubuo na kaalaman, kung saan alam ng isang makatwirang tao ang ilegal na katangian ng mga bagay"&amp;", ay maaaring sapat na para sa pagsingil.
3. **Layong Gamitin:**
- Ang pagkakaroon ng mga drug paraphernalia ay dapat na may kasamang layunin na gamitin ang mga bagay na may kaugnayan sa mga aktibidad ng ilegal na droga. Ang layuning ito ay maaaring mahin"&amp;"uha mula sa mga pangyayari na nakapalibot sa pagmamay-ari, tulad ng pagkakaroon ng mga gamot o nalalabi sa droga, ang paraan kung saan ginagamit o iniimbak ang mga bagay, o iba pang ebidensya ng mga aktibidad na nauugnay sa droga.
4. **Dami at Uri ng Para"&amp;"phernalia:**
- Ang uri at dami ng mga drug paraphernalia na nasa pag-aari ng indibidwal ay maaari ding isaalang-alang sa pagtukoy kung magsasampa ng mga kaso.
- Ang pagkakaroon ng malaking dami ng mga drug paraphernalia, partikular na ang mga bagay na kar"&amp;"aniwang nauugnay sa paggawa o pamamahagi ng droga, ay maaaring magmungkahi ng pagkakasangkot sa mas malalang mga paglabag na may kaugnayan sa droga at tumaas ang posibilidad na maisampa ang mga singil.
5. **Ebidensya at Mga Kalagayan:**
- Karaniwang umaas"&amp;"a ang mga tagausig sa mga ebidensyang nakalap sa panahon ng mga operasyon ng pagpapatupad ng batas, tulad ng mga ulat ng pulisya, mga pahayag ng saksi, pisikal na ebidensya, at anumang mga pahayag na ginawa ng mga akusado, upang suportahan ang mga singil "&amp;"ng pagkakaroon ng mga drug paraphernalia.
Sa pangkalahatan, ang mga pangyayari na nakapalibot sa pagmamay-ari ng kagamitan, instrumento, kagamitan, at iba pang kagamitan para sa mga mapanganib na droga ay mga kritikal na salik sa pagtukoy kung ang isang i"&amp;"ndibidwal ay maaaring makasuhan ng paglabag na ito. Dapat itatag ng prosekusyon na ang mga bagay ay inilaan para sa paggamit kaugnay ng mga aktibidad ng ilegal na droga at na sinasadya ng indibidwal ang mga ito at may layuning gamitin ang mga ito nang lab"&amp;"ag sa batas.")</f>
        <v>Sa Pilipinas, ang isang tao ay maaaring kasuhan ng krimen ng pagkakaroon ng kagamitan, instrumento, apparatus, at iba pang paraphernalia para sa mga mapanganib na droga sa ilalim ng Comprehensive Dangerous Drugs Act of 2002 (Republic Act No. 9165) kung sila ay napatunayang nagtataglay ng mga partikular na bagay. nilayon para gamitin sa paggawa, paggawa, o pagkonsumo ng mga ilegal na droga. Narito ang mga pangyayari kung saan maaaring kasuhan ang isang tao sa krimeng ito:
1. **Pagmamay-ari ng Drug Paraphernalia:**
- Kung ang isang indibidwal ay napatunayang nagtataglay ng mga kagamitan, instrumento, kagamitan, o iba pang kagamitan na partikular na nilayon o idinisenyo para sa produksyon, paggawa, o pagkonsumo ng mga mapanganib na droga o kinokontrol na mga sangkap, maaari silang kasuhan ng pagkakasala.
- Maaaring kabilang sa mga gamit sa droga ang mga bagay tulad ng mga tubo, syringe, timbangan, mga kagamitan sa paghahalo, lalagyan, o anumang iba pang tool na karaniwang nauugnay sa paggamit o paghahanda ng mga ilegal na droga.
2. **Kaalaman sa Ilegal na Paggamit:**
- Upang makasuhan ng pagkakasala, sa pangkalahatan ay kinakailangan na ang indibidwal ay alam o dapat na alam na ang mga bagay na kanilang pag-aari ay inilaan para sa paggamit na may kaugnayan sa mga aktibidad ng ilegal na droga.
- Ang aktwal na kaalaman sa ilegal na paggamit ng mga bagay ay hindi palaging kinakailangan para sa isang paghatol. Ang nakabubuo na kaalaman, kung saan alam ng isang makatwirang tao ang ilegal na katangian ng mga bagay, ay maaaring sapat na para sa pagsingil.
3. **Layong Gamitin:**
- Ang pagkakaroon ng mga drug paraphernalia ay dapat na may kasamang layunin na gamitin ang mga bagay na may kaugnayan sa mga aktibidad ng ilegal na droga. Ang layuning ito ay maaaring mahinuha mula sa mga pangyayari na nakapalibot sa pagmamay-ari, tulad ng pagkakaroon ng mga gamot o nalalabi sa droga, ang paraan kung saan ginagamit o iniimbak ang mga bagay, o iba pang ebidensya ng mga aktibidad na nauugnay sa droga.
4. **Dami at Uri ng Paraphernalia:**
- Ang uri at dami ng mga drug paraphernalia na nasa pag-aari ng indibidwal ay maaari ding isaalang-alang sa pagtukoy kung magsasampa ng mga kaso.
- Ang pagkakaroon ng malaking dami ng mga drug paraphernalia, partikular na ang mga bagay na karaniwang nauugnay sa paggawa o pamamahagi ng droga, ay maaaring magmungkahi ng pagkakasangkot sa mas malalang mga paglabag na may kaugnayan sa droga at tumaas ang posibilidad na maisampa ang mga singil.
5. **Ebidensya at Mga Kalagayan:**
- Karaniwang umaasa ang mga tagausig sa mga ebidensyang nakalap sa panahon ng mga operasyon ng pagpapatupad ng batas, tulad ng mga ulat ng pulisya, mga pahayag ng saksi, pisikal na ebidensya, at anumang mga pahayag na ginawa ng mga akusado, upang suportahan ang mga singil ng pagkakaroon ng mga drug paraphernalia.
Sa pangkalahatan, ang mga pangyayari na nakapalibot sa pagmamay-ari ng kagamitan, instrumento, kagamitan, at iba pang kagamitan para sa mga mapanganib na droga ay mga kritikal na salik sa pagtukoy kung ang isang indibidwal ay maaaring makasuhan ng paglabag na ito. Dapat itatag ng prosekusyon na ang mga bagay ay inilaan para sa paggamit kaugnay ng mga aktibidad ng ilegal na droga at na sinasadya ng indibidwal ang mga ito at may layuning gamitin ang mga ito nang labag sa batas.</v>
      </c>
      <c r="F2157" s="2">
        <f t="shared" si="1"/>
        <v>0</v>
      </c>
      <c r="G2157" s="2"/>
      <c r="H2157" s="2"/>
      <c r="I2157" s="2"/>
      <c r="J2157" s="2"/>
      <c r="K2157" s="2"/>
      <c r="L2157" s="2"/>
      <c r="M2157" s="2"/>
      <c r="N2157" s="2"/>
      <c r="O2157" s="2"/>
      <c r="P2157" s="2"/>
      <c r="Q2157" s="2"/>
      <c r="R2157" s="2"/>
      <c r="S2157" s="2"/>
      <c r="T2157" s="2"/>
      <c r="U2157" s="2"/>
      <c r="V2157" s="2"/>
      <c r="W2157" s="2"/>
      <c r="X2157" s="2"/>
      <c r="Y2157" s="2"/>
      <c r="Z2157" s="2"/>
      <c r="AA2157" s="2"/>
    </row>
    <row r="2158">
      <c r="A2158" s="3" t="s">
        <v>5259</v>
      </c>
      <c r="B2158" s="1" t="s">
        <v>5287</v>
      </c>
      <c r="C2158" s="1" t="s">
        <v>5288</v>
      </c>
      <c r="D2158" s="2" t="str">
        <f>IFERROR(__xludf.DUMMYFUNCTION("GOOGLETRANSLATE(B2158, ""en"", ""TL"")"),"Anong mga legal na probisyon ang namamahala sa krimen ng maling paggamit, maling paggamit, o hindi pagsagot sa mga nakumpiskang mapanganib na droga?")</f>
        <v>Anong mga legal na probisyon ang namamahala sa krimen ng maling paggamit, maling paggamit, o hindi pagsagot sa mga nakumpiskang mapanganib na droga?</v>
      </c>
      <c r="E2158" s="2" t="str">
        <f>IFERROR(__xludf.DUMMYFUNCTION("GOOGLETRANSLATE(C2158, ""en"", ""TL"")"),"Ang Pilipinas ay may mahigpit na legal na mga hakbang upang matiyak ang wastong paghawak at pananagutan ng mga nakumpiskang mapanganib na droga. Narito ang paliwanag ng mga nauugnay na probisyon:
Pangunahing Batas:
Comprehensive Dangerous Drugs Act of 200"&amp;"2 (Republic Act No. 9165):
Seksyon 27 (Criminal Liability ng isang Pampublikong Opisyal o Empleyado): Direktang tinutugunan ng probisyong ito ang pagkakasala.
Pagkakasira ng Pagkakasala:
Nalalapat ang seksyong ito sa sinumang pampublikong opisyal o empley"&amp;"ado na may tungkulin sa paghawak ng mga nakumpiskang mapanganib na droga na gumawa ng:
Maling paggamit: Sinasadyang kunin ang mga nakumpiskang gamot para sa personal na paggamit o pakinabang, o ilihis ang mga ito para sa hindi awtorisadong layunin.
Maling"&amp;" Paggamit: Paggamit ng mga nakumpiskang gamot para sa isang layunin maliban sa kung ano ang legal na awtorisado.
Pagkabigong Account: Kawalan ng kakayahang ipakita ang legal na disposisyon (pagsira, paggamit bilang ebidensya, atbp.) ng mga nakumpiskang dr"&amp;"oga.
Mga parusa:
Habambuhay na Pagkakulong hanggang Kamatayan: Ito ang pinakamataas na parusang ipinataw para sa pagkakasala.
Fine: Ranging from Five hundred thousand pesos (P500,000.00) to Ten million pesos (P10,000,000.00).
Perpetual Disqualification: G"&amp;"anap at permanenteng diskwalipikasyon sa paghawak ng anumang pampublikong katungkulan.")</f>
        <v>Ang Pilipinas ay may mahigpit na legal na mga hakbang upang matiyak ang wastong paghawak at pananagutan ng mga nakumpiskang mapanganib na droga. Narito ang paliwanag ng mga nauugnay na probisyon:
Pangunahing Batas:
Comprehensive Dangerous Drugs Act of 2002 (Republic Act No. 9165):
Seksyon 27 (Criminal Liability ng isang Pampublikong Opisyal o Empleyado): Direktang tinutugunan ng probisyong ito ang pagkakasala.
Pagkakasira ng Pagkakasala:
Nalalapat ang seksyong ito sa sinumang pampublikong opisyal o empleyado na may tungkulin sa paghawak ng mga nakumpiskang mapanganib na droga na gumawa ng:
Maling paggamit: Sinasadyang kunin ang mga nakumpiskang gamot para sa personal na paggamit o pakinabang, o ilihis ang mga ito para sa hindi awtorisadong layunin.
Maling Paggamit: Paggamit ng mga nakumpiskang gamot para sa isang layunin maliban sa kung ano ang legal na awtorisado.
Pagkabigong Account: Kawalan ng kakayahang ipakita ang legal na disposisyon (pagsira, paggamit bilang ebidensya, atbp.) ng mga nakumpiskang droga.
Mga parusa:
Habambuhay na Pagkakulong hanggang Kamatayan: Ito ang pinakamataas na parusang ipinataw para sa pagkakasala.
Fine: Ranging from Five hundred thousand pesos (P500,000.00) to Ten million pesos (P10,000,000.00).
Perpetual Disqualification: Ganap at permanenteng diskwalipikasyon sa paghawak ng anumang pampublikong katungkulan.</v>
      </c>
      <c r="F2158" s="2">
        <f t="shared" si="1"/>
        <v>0</v>
      </c>
      <c r="G2158" s="2"/>
      <c r="H2158" s="2"/>
      <c r="I2158" s="2"/>
      <c r="J2158" s="2"/>
      <c r="K2158" s="2"/>
      <c r="L2158" s="2"/>
      <c r="M2158" s="2"/>
      <c r="N2158" s="2"/>
      <c r="O2158" s="2"/>
      <c r="P2158" s="2"/>
      <c r="Q2158" s="2"/>
      <c r="R2158" s="2"/>
      <c r="S2158" s="2"/>
      <c r="T2158" s="2"/>
      <c r="U2158" s="2"/>
      <c r="V2158" s="2"/>
      <c r="W2158" s="2"/>
      <c r="X2158" s="2"/>
      <c r="Y2158" s="2"/>
      <c r="Z2158" s="2"/>
      <c r="AA2158" s="2"/>
    </row>
    <row r="2159">
      <c r="A2159" s="3" t="s">
        <v>5259</v>
      </c>
      <c r="B2159" s="1" t="s">
        <v>5289</v>
      </c>
      <c r="C2159" s="1" t="s">
        <v>5290</v>
      </c>
      <c r="D2159" s="2" t="str">
        <f>IFERROR(__xludf.DUMMYFUNCTION("GOOGLETRANSLATE(B2159, ""en"", ""TL"")"),"Paano tinutugunan ng batas ang mga insidente ng illegal drug trafficking gamit ang mga electronic device o mga sistema ng komunikasyon?")</f>
        <v>Paano tinutugunan ng batas ang mga insidente ng illegal drug trafficking gamit ang mga electronic device o mga sistema ng komunikasyon?</v>
      </c>
      <c r="E2159" s="2" t="str">
        <f>IFERROR(__xludf.DUMMYFUNCTION("GOOGLETRANSLATE(C2159, ""en"", ""TL"")"),"Sa Pilipinas, ang mga insidente ng illegal drug trafficking gamit ang mga electronic device o communication system ay tinutugunan sa ilalim ng Comprehensive Dangerous Drugs Act of 2002 (Republic Act No. 9165) at iba pang nauugnay na batas at regulasyon na"&amp;" naglalayong labanan ang illegal drug trade. Narito kung paano tinutugunan ng batas ang mga paglabag na ito:
1. **Comprehensive Dangerous Drugs Act of 2002 (RA 9165):**
- Ang Comprehensive Dangerous Drugs Act of 2002 ay ang pangunahing batas na namamahala"&amp;" sa kalakalan ng ilegal na droga sa Pilipinas. Ipinagbabawal nito ang iba't ibang aktibidad na may kaugnayan sa droga, kabilang ang trafficking, pamamahagi, at pagbebenta ng mga mapanganib na droga o mga kinokontrol na sangkap.
- Sa ilalim ng batas, ang i"&amp;"llegal drug trafficking gamit ang mga elektronikong device o sistema ng komunikasyon ay itinuturing na isang kriminal na pagkakasala, na may parusang matitinding parusa, kabilang ang pagkakulong at mga multa.
2. **Pagbabawal sa Drug Trafficking:**
- Ipina"&amp;"gbabawal ng RA 9165 ang trafficking, pamamahagi, pagbebenta, at transportasyon ng mga mapanganib na droga o mga kinokontrol na sangkap nang walang legal na awtoridad.
- Ang pagbabawal na ito ay sumasaklaw sa lahat ng anyo ng drug trafficking, kabilang ang"&amp;" mga aktibidad na pinadali o isinasagawa sa pamamagitan ng mga elektronikong aparato o mga sistema ng komunikasyon.
3. **Pinahusay na Mga Parusa para sa mga Lumalalang Sirkumstansya:**
- Ang batas ay nagtatadhana ng mga pinahusay na parusa para sa mga pag"&amp;"labag sa trafficking ng droga na kinasasangkutan ng mga nagpapalubha na pangyayari, tulad ng paggamit ng mga elektronikong aparato o mga sistema ng komunikasyon sa paggawa ng pagkakasala.
- Maaaring kasama sa nagpapalubha na mga pangyayari ang paggamit ng"&amp;" internet, mga mobile phone, mga platform ng social media, o iba pang mga elektronikong paraan upang mapadali ang mga transaksyon sa droga, i-coordinate ang mga network ng pamamahagi, o makipag-ugnayan sa mga supplier o customer.
4. **Cybercrime Preventio"&amp;"n Act:**
- Ang Cybercrime Prevention Act of 2012 (Republic Act No. 10175) ay maaari ding gamitin sa mga kaso na kinasasangkutan ng illegal drug trafficking gamit ang mga electronic device o communication system.
- Ang batas na ito ay nagpaparusa sa iba't "&amp;"ibang cybercrimes, kabilang ang mga pagkakasala na nauugnay sa mga ilegal na aktibidad sa online, pag-hack ng computer, pagnanakaw ng pagkakakilanlan, at online na pandaraya.
5. **Pagpapatupad ng Batas at Pag-uusig:**
- Ang mga ahensyang nagpapatupad ng b"&amp;"atas, gaya ng Philippine Drug Enforcement Agency (PDEA) at Philippine National Police (PNP), ay may pananagutan sa pag-iimbestiga at pag-uusig sa mga kaso ng illegal drug trafficking, kabilang ang mga may kinalaman sa mga electronic device o communication"&amp;" system.
- Ang mga kaso ay dinadala sa mga korte, kung saan ang mga tagausig ay nagpapakita ng ebidensya laban sa akusado, at ang mga legal na paglilitis ay isinasagawa alinsunod sa angkop na proseso at tuntunin ng batas.
6. **International Cooperation:**"&amp;"
- Dahil sa transnational na katangian ng kalakalan ng ilegal na droga, ang Pilipinas ay nakikipagtulungan sa mga internasyonal na ahensyang nagpapatupad ng batas at nakikilahok sa mga pagsisikap na labanan ang trafficking ng droga, kabilang ang mga onlin"&amp;"e na aktibidad ng trafficking ng droga.
- Ang pakikipagtulungan sa internasyonal ay maaaring may kasamang pagbabahagi ng impormasyon, pag-uugnay ng mga pagsisiyasat, at pagpapatupad ng mga hakbang upang maantala ang mga network ng online na trafficking ng"&amp;" droga.
Sa pangkalahatan, ang Comprehensive Dangerous Drugs Act of 2002 ay nagbibigay ng komprehensibong legal na balangkas para sa pagtugon sa mga insidente ng illegal drug trafficking gamit ang mga elektronikong device o sistema ng komunikasyon sa Pilip"&amp;"inas. Ang batas ay nagpapataw ng matinding parusa upang hadlangan ang mga pagkakasala na may kaugnayan sa droga at protektahan ang kalusugan at kaligtasan ng publiko. Ang epektibong pagpapatupad, pag-uusig, at internasyonal na kooperasyon ay mahalaga sa p"&amp;"aglaban sa online na trafficking ng droga at pagtugon sa mga nakakapinsalang epekto nito sa lipunan.")</f>
        <v>Sa Pilipinas, ang mga insidente ng illegal drug trafficking gamit ang mga electronic device o communication system ay tinutugunan sa ilalim ng Comprehensive Dangerous Drugs Act of 2002 (Republic Act No. 9165) at iba pang nauugnay na batas at regulasyon na naglalayong labanan ang illegal drug trade. Narito kung paano tinutugunan ng batas ang mga paglabag na ito:
1. **Comprehensive Dangerous Drugs Act of 2002 (RA 9165):**
- Ang Comprehensive Dangerous Drugs Act of 2002 ay ang pangunahing batas na namamahala sa kalakalan ng ilegal na droga sa Pilipinas. Ipinagbabawal nito ang iba't ibang aktibidad na may kaugnayan sa droga, kabilang ang trafficking, pamamahagi, at pagbebenta ng mga mapanganib na droga o mga kinokontrol na sangkap.
- Sa ilalim ng batas, ang illegal drug trafficking gamit ang mga elektronikong device o sistema ng komunikasyon ay itinuturing na isang kriminal na pagkakasala, na may parusang matitinding parusa, kabilang ang pagkakulong at mga multa.
2. **Pagbabawal sa Drug Trafficking:**
- Ipinagbabawal ng RA 9165 ang trafficking, pamamahagi, pagbebenta, at transportasyon ng mga mapanganib na droga o mga kinokontrol na sangkap nang walang legal na awtoridad.
- Ang pagbabawal na ito ay sumasaklaw sa lahat ng anyo ng drug trafficking, kabilang ang mga aktibidad na pinadali o isinasagawa sa pamamagitan ng mga elektronikong aparato o mga sistema ng komunikasyon.
3. **Pinahusay na Mga Parusa para sa mga Lumalalang Sirkumstansya:**
- Ang batas ay nagtatadhana ng mga pinahusay na parusa para sa mga paglabag sa trafficking ng droga na kinasasangkutan ng mga nagpapalubha na pangyayari, tulad ng paggamit ng mga elektronikong aparato o mga sistema ng komunikasyon sa paggawa ng pagkakasala.
- Maaaring kasama sa nagpapalubha na mga pangyayari ang paggamit ng internet, mga mobile phone, mga platform ng social media, o iba pang mga elektronikong paraan upang mapadali ang mga transaksyon sa droga, i-coordinate ang mga network ng pamamahagi, o makipag-ugnayan sa mga supplier o customer.
4. **Cybercrime Prevention Act:**
- Ang Cybercrime Prevention Act of 2012 (Republic Act No. 10175) ay maaari ding gamitin sa mga kaso na kinasasangkutan ng illegal drug trafficking gamit ang mga electronic device o communication system.
- Ang batas na ito ay nagpaparusa sa iba't ibang cybercrimes, kabilang ang mga pagkakasala na nauugnay sa mga ilegal na aktibidad sa online, pag-hack ng computer, pagnanakaw ng pagkakakilanlan, at online na pandaraya.
5. **Pagpapatupad ng Batas at Pag-uusig:**
- Ang mga ahensyang nagpapatupad ng batas, gaya ng Philippine Drug Enforcement Agency (PDEA) at Philippine National Police (PNP), ay may pananagutan sa pag-iimbestiga at pag-uusig sa mga kaso ng illegal drug trafficking, kabilang ang mga may kinalaman sa mga electronic device o communication system.
- Ang mga kaso ay dinadala sa mga korte, kung saan ang mga tagausig ay nagpapakita ng ebidensya laban sa akusado, at ang mga legal na paglilitis ay isinasagawa alinsunod sa angkop na proseso at tuntunin ng batas.
6. **International Cooperation:**
- Dahil sa transnational na katangian ng kalakalan ng ilegal na droga, ang Pilipinas ay nakikipagtulungan sa mga internasyonal na ahensyang nagpapatupad ng batas at nakikilahok sa mga pagsisikap na labanan ang trafficking ng droga, kabilang ang mga online na aktibidad ng trafficking ng droga.
- Ang pakikipagtulungan sa internasyonal ay maaaring may kasamang pagbabahagi ng impormasyon, pag-uugnay ng mga pagsisiyasat, at pagpapatupad ng mga hakbang upang maantala ang mga network ng online na trafficking ng droga.
Sa pangkalahatan, ang Comprehensive Dangerous Drugs Act of 2002 ay nagbibigay ng komprehensibong legal na balangkas para sa pagtugon sa mga insidente ng illegal drug trafficking gamit ang mga elektronikong device o sistema ng komunikasyon sa Pilipinas. Ang batas ay nagpapataw ng matinding parusa upang hadlangan ang mga pagkakasala na may kaugnayan sa droga at protektahan ang kalusugan at kaligtasan ng publiko. Ang epektibong pagpapatupad, pag-uusig, at internasyonal na kooperasyon ay mahalaga sa paglaban sa online na trafficking ng droga at pagtugon sa mga nakakapinsalang epekto nito sa lipunan.</v>
      </c>
      <c r="F2159" s="2">
        <f t="shared" si="1"/>
        <v>0</v>
      </c>
      <c r="G2159" s="2"/>
      <c r="H2159" s="2"/>
      <c r="I2159" s="2"/>
      <c r="J2159" s="2"/>
      <c r="K2159" s="2"/>
      <c r="L2159" s="2"/>
      <c r="M2159" s="2"/>
      <c r="N2159" s="2"/>
      <c r="O2159" s="2"/>
      <c r="P2159" s="2"/>
      <c r="Q2159" s="2"/>
      <c r="R2159" s="2"/>
      <c r="S2159" s="2"/>
      <c r="T2159" s="2"/>
      <c r="U2159" s="2"/>
      <c r="V2159" s="2"/>
      <c r="W2159" s="2"/>
      <c r="X2159" s="2"/>
      <c r="Y2159" s="2"/>
      <c r="Z2159" s="2"/>
      <c r="AA2159" s="2"/>
    </row>
    <row r="2160">
      <c r="A2160" s="3" t="s">
        <v>5259</v>
      </c>
      <c r="B2160" s="1" t="s">
        <v>5291</v>
      </c>
      <c r="C2160" s="1" t="s">
        <v>5292</v>
      </c>
      <c r="D2160" s="2" t="str">
        <f>IFERROR(__xludf.DUMMYFUNCTION("GOOGLETRANSLATE(B2160, ""en"", ""TL"")"),"Anong mga parusa ang naaangkop para sa pagsali sa labag sa batas na pagrereseta ng mga mapanganib na gamot?")</f>
        <v>Anong mga parusa ang naaangkop para sa pagsali sa labag sa batas na pagrereseta ng mga mapanganib na gamot?</v>
      </c>
      <c r="E2160" s="2" t="str">
        <f>IFERROR(__xludf.DUMMYFUNCTION("GOOGLETRANSLATE(C2160, ""en"", ""TL"")"),"Ang labag sa batas na pagrereseta ng mga mapanganib na gamot sa Pilipinas ay may matinding parusa gaya ng nakabalangkas sa Comprehensive Dangerous Drugs Act of 2002 (Republic Act No. 9165). Narito ang isang breakdown ng mga nauugnay na probisyon:
Mga Pang"&amp;"unahing Pagkakasala:
Labag sa Batas na Reseta (Seksyon 19): Ang probisyong ito ay tumutugon sa pagkilos ng pag-iisyu ng reseta o anumang dokumentong nagpapatunay na isang reseta para sa anumang mapanganib na gamot, nang hindi pinapahintulutan ng batas.
Hi"&amp;"ndi Kailangang Reseta (Seksyon 18): Nalalapat ito sa mga lisensyadong medikal na practitioner na nagrereseta ng mga mapanganib na gamot sa isang pasyente na walang lehitimong medikal na pangangailangan.
Mga parusa:
Labag sa batas na Reseta: Ang paglabag n"&amp;"a ito ay may pinakamabigat na parusa:
Habambuhay na Pagkakulong hanggang Kamatayan.
Fine: Ranging from Five hundred thousand pesos (P500,000.00) to Ten million pesos (P10,000,000.00).
Hindi Kinakailangang Reseta: Para sa mga lisensyadong medikal na practi"&amp;"tioner:
Pagkakulong: Mula sa labindalawang (12) taon at isang (1) araw hanggang dalawampung (20) taon.
Fine: Ranging from One hundred thousand pesos (P100,000.00) to Five hundred thousand pesos (P500,000.00).
Karagdagang Parusa: Pagbawi ng Lisensya para M"&amp;"agsanay ng Medisina.")</f>
        <v>Ang labag sa batas na pagrereseta ng mga mapanganib na gamot sa Pilipinas ay may matinding parusa gaya ng nakabalangkas sa Comprehensive Dangerous Drugs Act of 2002 (Republic Act No. 9165). Narito ang isang breakdown ng mga nauugnay na probisyon:
Mga Pangunahing Pagkakasala:
Labag sa Batas na Reseta (Seksyon 19): Ang probisyong ito ay tumutugon sa pagkilos ng pag-iisyu ng reseta o anumang dokumentong nagpapatunay na isang reseta para sa anumang mapanganib na gamot, nang hindi pinapahintulutan ng batas.
Hindi Kailangang Reseta (Seksyon 18): Nalalapat ito sa mga lisensyadong medikal na practitioner na nagrereseta ng mga mapanganib na gamot sa isang pasyente na walang lehitimong medikal na pangangailangan.
Mga parusa:
Labag sa batas na Reseta: Ang paglabag na ito ay may pinakamabigat na parusa:
Habambuhay na Pagkakulong hanggang Kamatayan.
Fine: Ranging from Five hundred thousand pesos (P500,000.00) to Ten million pesos (P10,000,000.00).
Hindi Kinakailangang Reseta: Para sa mga lisensyadong medikal na practitioner:
Pagkakulong: Mula sa labindalawang (12) taon at isang (1) araw hanggang dalawampung (20) taon.
Fine: Ranging from One hundred thousand pesos (P100,000.00) to Five hundred thousand pesos (P500,000.00).
Karagdagang Parusa: Pagbawi ng Lisensya para Magsanay ng Medisina.</v>
      </c>
      <c r="F2160" s="2">
        <f t="shared" si="1"/>
        <v>0</v>
      </c>
      <c r="G2160" s="2"/>
      <c r="H2160" s="2"/>
      <c r="I2160" s="2"/>
      <c r="J2160" s="2"/>
      <c r="K2160" s="2"/>
      <c r="L2160" s="2"/>
      <c r="M2160" s="2"/>
      <c r="N2160" s="2"/>
      <c r="O2160" s="2"/>
      <c r="P2160" s="2"/>
      <c r="Q2160" s="2"/>
      <c r="R2160" s="2"/>
      <c r="S2160" s="2"/>
      <c r="T2160" s="2"/>
      <c r="U2160" s="2"/>
      <c r="V2160" s="2"/>
      <c r="W2160" s="2"/>
      <c r="X2160" s="2"/>
      <c r="Y2160" s="2"/>
      <c r="Z2160" s="2"/>
      <c r="AA2160" s="2"/>
    </row>
    <row r="2161">
      <c r="A2161" s="3" t="s">
        <v>5259</v>
      </c>
      <c r="B2161" s="1" t="s">
        <v>5293</v>
      </c>
      <c r="C2161" s="1" t="s">
        <v>5294</v>
      </c>
      <c r="D2161" s="2" t="str">
        <f>IFERROR(__xludf.DUMMYFUNCTION("GOOGLETRANSLATE(B2161, ""en"", ""TL"")"),"Paano kinokontrol at pinaparusahan ang pagkakasala ng reseta at dispensasyon ng ilegal na gamot ng isang manggagamot?")</f>
        <v>Paano kinokontrol at pinaparusahan ang pagkakasala ng reseta at dispensasyon ng ilegal na gamot ng isang manggagamot?</v>
      </c>
      <c r="E2161" s="2" t="str">
        <f>IFERROR(__xludf.DUMMYFUNCTION("GOOGLETRANSLATE(C2161, ""en"", ""TL"")"),"Sa Pilipinas, ang iligal na reseta at dispensasyon ng mga mapanganib na gamot ng isang manggagamot ay isang malubhang pagkakasala na may malaking kahihinatnan. Narito ang isang breakdown ng mga nauugnay na batas at parusa:
Pangunahing Batas:
Comprehensive"&amp;" Dangerous Drugs Act of 2002 (Republic Act No. 9165): Ang batas na ito ay bumubuo ng legal na pundasyon para sa pagtugon sa paglabag na ito.
Mga Tukoy na Probisyon:
Labag sa Batas na Reseta (Seksyon 19): Direktang naaangkop ang seksyong ito. Pinaparusahan"&amp;" nito ang mga indibidwal na nag-iisyu ng reseta o anumang dokumentong nagpapatunay na isang reseta para sa anumang mapanganib na gamot nang hindi pinapahintulutan ng batas.
Mga Labag sa Batas na Aktibidad:
Mga manggagamot na nagbibigay ng mga reseta para "&amp;"sa mga mapanganib na gamot:
Nang walang lehitimong medikal na pangangailangan: Nalalapat ito kahit na ang manggagamot ay may wastong lisensya. (Seksyon 18)
Sa labas ng saklaw ng kanilang pagsasanay: Maaaring kabilang dito ang pagbibigay ng mga reseta para"&amp;" sa mga gamot na hindi sila kwalipikadong magreseta.
Para sa personal na pakinabang o bilang bahagi ng operasyon ng pagtutulak ng droga.
Mga parusa:
Labag sa batas na Reseta: Ito ay may pinakamabigat na parusa:
Habambuhay na Pagkakulong hanggang Kamatayan"&amp;".
Fine: Ranging from Five hundred thousand pesos (P500,000.00) to Ten million pesos (P10,000,000.00).
Mga Karagdagang Pagsasaalang-alang:
Hindi Kinakailangang Reseta (Seksyon 18): Bagama't hindi mahigpit na ""ilegal,"" ang mga manggagamot na nagrereseta n"&amp;"g mga mapanganib na gamot na walang wastong medikal na dahilan ay nahaharap:
Pagkakulong: Mula sa labindalawang (12) taon at isang (1) araw hanggang dalawampung (20) taon.
Fine: Ranging from One hundred thousand pesos (P100,000.00) to Five hundred thousan"&amp;"d pesos (P500,000.00).
Pagbawi ng Lisensya sa Pagsasanay ng Medisina: Malaki ang epekto nito sa karera ng doktor.")</f>
        <v>Sa Pilipinas, ang iligal na reseta at dispensasyon ng mga mapanganib na gamot ng isang manggagamot ay isang malubhang pagkakasala na may malaking kahihinatnan. Narito ang isang breakdown ng mga nauugnay na batas at parusa:
Pangunahing Batas:
Comprehensive Dangerous Drugs Act of 2002 (Republic Act No. 9165): Ang batas na ito ay bumubuo ng legal na pundasyon para sa pagtugon sa paglabag na ito.
Mga Tukoy na Probisyon:
Labag sa Batas na Reseta (Seksyon 19): Direktang naaangkop ang seksyong ito. Pinaparusahan nito ang mga indibidwal na nag-iisyu ng reseta o anumang dokumentong nagpapatunay na isang reseta para sa anumang mapanganib na gamot nang hindi pinapahintulutan ng batas.
Mga Labag sa Batas na Aktibidad:
Mga manggagamot na nagbibigay ng mga reseta para sa mga mapanganib na gamot:
Nang walang lehitimong medikal na pangangailangan: Nalalapat ito kahit na ang manggagamot ay may wastong lisensya. (Seksyon 18)
Sa labas ng saklaw ng kanilang pagsasanay: Maaaring kabilang dito ang pagbibigay ng mga reseta para sa mga gamot na hindi sila kwalipikadong magreseta.
Para sa personal na pakinabang o bilang bahagi ng operasyon ng pagtutulak ng droga.
Mga parusa:
Labag sa batas na Reseta: Ito ay may pinakamabigat na parusa:
Habambuhay na Pagkakulong hanggang Kamatayan.
Fine: Ranging from Five hundred thousand pesos (P500,000.00) to Ten million pesos (P10,000,000.00).
Mga Karagdagang Pagsasaalang-alang:
Hindi Kinakailangang Reseta (Seksyon 18): Bagama't hindi mahigpit na "ilegal," ang mga manggagamot na nagrereseta ng mga mapanganib na gamot na walang wastong medikal na dahilan ay nahaharap:
Pagkakulong: Mula sa labindalawang (12) taon at isang (1) araw hanggang dalawampung (20) taon.
Fine: Ranging from One hundred thousand pesos (P100,000.00) to Five hundred thousand pesos (P500,000.00).
Pagbawi ng Lisensya sa Pagsasanay ng Medisina: Malaki ang epekto nito sa karera ng doktor.</v>
      </c>
      <c r="F2161" s="2">
        <f t="shared" si="1"/>
        <v>0</v>
      </c>
      <c r="G2161" s="2"/>
      <c r="H2161" s="2"/>
      <c r="I2161" s="2"/>
      <c r="J2161" s="2"/>
      <c r="K2161" s="2"/>
      <c r="L2161" s="2"/>
      <c r="M2161" s="2"/>
      <c r="N2161" s="2"/>
      <c r="O2161" s="2"/>
      <c r="P2161" s="2"/>
      <c r="Q2161" s="2"/>
      <c r="R2161" s="2"/>
      <c r="S2161" s="2"/>
      <c r="T2161" s="2"/>
      <c r="U2161" s="2"/>
      <c r="V2161" s="2"/>
      <c r="W2161" s="2"/>
      <c r="X2161" s="2"/>
      <c r="Y2161" s="2"/>
      <c r="Z2161" s="2"/>
      <c r="AA2161" s="2"/>
    </row>
    <row r="2162">
      <c r="A2162" s="3" t="s">
        <v>5259</v>
      </c>
      <c r="B2162" s="1" t="s">
        <v>5295</v>
      </c>
      <c r="C2162" s="1" t="s">
        <v>5296</v>
      </c>
      <c r="D2162" s="2" t="str">
        <f>IFERROR(__xludf.DUMMYFUNCTION("GOOGLETRANSLATE(B2162, ""en"", ""TL"")"),"Anong mga legal na hakbang ang umiiral upang labanan ang hindi awtorisadong reseta ng mga kinokontrol na sangkap?")</f>
        <v>Anong mga legal na hakbang ang umiiral upang labanan ang hindi awtorisadong reseta ng mga kinokontrol na sangkap?</v>
      </c>
      <c r="E2162" s="2" t="str">
        <f>IFERROR(__xludf.DUMMYFUNCTION("GOOGLETRANSLATE(C2162, ""en"", ""TL"")"),"Ang Pilipinas ay nagpapatupad ng ilang mga legal na hakbang upang labanan ang hindi awtorisadong reseta ng mga kinokontrol na sangkap:
Balangkas na Pambatasan:
Comprehensive Dangerous Drugs Act of 2002 (Republic Act No. 9165): Ang batas na ito ang bumubuo"&amp;" sa pundasyon ng legal na balangkas.
Seksyon 18: Tinutugunan ang mga hindi kinakailangang reseta ng mga lisensyadong medikal na practitioner.
Seksyon 19: Pinaparusahan ang mga labag sa batas na reseta ng mga indibidwal na ganap na walang pahintulot.
Mga P"&amp;"angunahing Probisyon:
Hindi Kinakailangang Reseta: Ang isang lisensyadong manggagamot na nagrereseta ng mga kinokontrol na sangkap na walang wastong medikal na dahilan ay nahaharap sa:
Pagkakulong: 12 hanggang 20 taon.
Magmulta: P100,000 hanggang P500,000"&amp;".
Pagbawi ng Lisensya: Ng Professional Regulation Commission (PRC).
Labag sa Batas na Reseta: Nalalapat ito sa sinuman (kabilang ang mga medikal na propesyonal) na nagbibigay ng mga reseta para sa mga kinokontrol na sangkap nang hindi pinapahintulutan ng "&amp;"batas. Kasama sa mga parusa ang:
Habambuhay na Pagkakulong hanggang Kamatayan.
Multa: P500,000 hanggang P10 milyon.
Mga Ahensya ng Pagpapatupad:
Philippine Drug Enforcement Agency (PDEA):
Iniimbestigahan ang mga kaso ng pinaghihinalaang aktibidad ng ilega"&amp;"l na droga, kabilang ang mga hindi awtorisadong reseta.
Nakikipagtulungan sa iba pang ahensyang nagpapatupad ng batas para hulihin ang mga indibidwal na kasangkot.
Professional Regulation Commission (PRC):
Pinangangasiwaan ang paglilisensya at regulasyon "&amp;"ng mga medikal na propesyonal.
Nagpapataw ng mga aksyong pandisiplina, kabilang ang pagbawi ng lisensya, sa mga medikal na practitioner na napatunayang nagkasala ng hindi etikal na pag-uugali, tulad ng mga hindi kinakailangang reseta.")</f>
        <v>Ang Pilipinas ay nagpapatupad ng ilang mga legal na hakbang upang labanan ang hindi awtorisadong reseta ng mga kinokontrol na sangkap:
Balangkas na Pambatasan:
Comprehensive Dangerous Drugs Act of 2002 (Republic Act No. 9165): Ang batas na ito ang bumubuo sa pundasyon ng legal na balangkas.
Seksyon 18: Tinutugunan ang mga hindi kinakailangang reseta ng mga lisensyadong medikal na practitioner.
Seksyon 19: Pinaparusahan ang mga labag sa batas na reseta ng mga indibidwal na ganap na walang pahintulot.
Mga Pangunahing Probisyon:
Hindi Kinakailangang Reseta: Ang isang lisensyadong manggagamot na nagrereseta ng mga kinokontrol na sangkap na walang wastong medikal na dahilan ay nahaharap sa:
Pagkakulong: 12 hanggang 20 taon.
Magmulta: P100,000 hanggang P500,000.
Pagbawi ng Lisensya: Ng Professional Regulation Commission (PRC).
Labag sa Batas na Reseta: Nalalapat ito sa sinuman (kabilang ang mga medikal na propesyonal) na nagbibigay ng mga reseta para sa mga kinokontrol na sangkap nang hindi pinapahintulutan ng batas. Kasama sa mga parusa ang:
Habambuhay na Pagkakulong hanggang Kamatayan.
Multa: P500,000 hanggang P10 milyon.
Mga Ahensya ng Pagpapatupad:
Philippine Drug Enforcement Agency (PDEA):
Iniimbestigahan ang mga kaso ng pinaghihinalaang aktibidad ng ilegal na droga, kabilang ang mga hindi awtorisadong reseta.
Nakikipagtulungan sa iba pang ahensyang nagpapatupad ng batas para hulihin ang mga indibidwal na kasangkot.
Professional Regulation Commission (PRC):
Pinangangasiwaan ang paglilisensya at regulasyon ng mga medikal na propesyonal.
Nagpapataw ng mga aksyong pandisiplina, kabilang ang pagbawi ng lisensya, sa mga medikal na practitioner na napatunayang nagkasala ng hindi etikal na pag-uugali, tulad ng mga hindi kinakailangang reseta.</v>
      </c>
      <c r="F2162" s="2">
        <f t="shared" si="1"/>
        <v>0</v>
      </c>
      <c r="G2162" s="2"/>
      <c r="H2162" s="2"/>
      <c r="I2162" s="2"/>
      <c r="J2162" s="2"/>
      <c r="K2162" s="2"/>
      <c r="L2162" s="2"/>
      <c r="M2162" s="2"/>
      <c r="N2162" s="2"/>
      <c r="O2162" s="2"/>
      <c r="P2162" s="2"/>
      <c r="Q2162" s="2"/>
      <c r="R2162" s="2"/>
      <c r="S2162" s="2"/>
      <c r="T2162" s="2"/>
      <c r="U2162" s="2"/>
      <c r="V2162" s="2"/>
      <c r="W2162" s="2"/>
      <c r="X2162" s="2"/>
      <c r="Y2162" s="2"/>
      <c r="Z2162" s="2"/>
      <c r="AA2162" s="2"/>
    </row>
    <row r="2163">
      <c r="A2163" s="3" t="s">
        <v>5259</v>
      </c>
      <c r="B2163" s="1" t="s">
        <v>5297</v>
      </c>
      <c r="C2163" s="1" t="s">
        <v>5298</v>
      </c>
      <c r="D2163" s="2" t="str">
        <f>IFERROR(__xludf.DUMMYFUNCTION("GOOGLETRANSLATE(B2163, ""en"", ""TL"")"),"Sa ilalim ng anong mga pangyayari ang isang tao ay maaaring makasuhan ng krimen ng labag sa batas na pagrereseta ng mga mapanganib na gamot ng isang dentista, beterinaryo, o iba pang awtorisadong practitioner?")</f>
        <v>Sa ilalim ng anong mga pangyayari ang isang tao ay maaaring makasuhan ng krimen ng labag sa batas na pagrereseta ng mga mapanganib na gamot ng isang dentista, beterinaryo, o iba pang awtorisadong practitioner?</v>
      </c>
      <c r="E2163" s="2" t="str">
        <f>IFERROR(__xludf.DUMMYFUNCTION("GOOGLETRANSLATE(C2163, ""en"", ""TL"")"),"Sa Pilipinas, ang mga dentista, beterinaryo, at iba pang awtorisadong practitioner ay maaaring kasuhan ng krimen ng labag sa batas na pagrereseta ng mga mapanganib na gamot sa ilalim ng mga partikular na pangyayari:
Pangunahing Batas:
Comprehensive Dang"&amp;"erous Drugs Act of 2002 (Republic Act No. 9165): Ang batas na ito ay bumubuo ng legal na pundasyon.
Mga Probisyon na Tumutugon sa Labag sa Batas na Reseta:
Seksyon 18 (Hindi Kinakailangang Reseta): Nalalapat sa lahat ng mga lisensyadong medikal na pract"&amp;"itioner, kabilang ang mga dentista at beterinaryo.
Pinaparusahan nito ang pagrereseta ng mga kinokontrol na sangkap sa isang pasyente na walang wastong medikal na pangangailangan.
Seksyon 19 (Labag sa Batas na Reseta): Nalalapat nang mas malawak.
Pinap"&amp;"arusahan nito ang sinuman (kabilang ang mga awtorisadong practitioner) na nag-isyu ng reseta para sa mga kinokontrol na sangkap nang hindi pinahintulutan ng batas na gawin ito.
Mga pangyayari na humahantong sa mga singilin:
Pagrereseta nang walang lehit"&amp;"imong medikal na dahilan:
Nalalapat ito kahit na ang practitioner ay may wastong lisensya. Kasama sa mga halimbawa ang:
Pagrereseta ng gamot sa pananakit para lamang sa paggamit ng libangan.
Pagbibigay ng mga reseta batay sa mga pekeng medikal na rekor"&amp;"d.
Pagrereseta sa labas ng kanilang saklaw ng pagsasanay:
Isang beterinaryo na nagrereseta ng mga kinokontrol na sangkap na karaniwang ginagamit para sa paggamot ng tao.
Kumikilos bilang bahagi ng operasyon ng ilegal na droga:
Alam na pagrereseta ng m"&amp;"ga gamot na ililihis para sa mga iligal na layunin.
Mga parusa:
Hindi Kinakailangang Reseta (Seksyon 18):
Pagkakulong: 12 hanggang 20 taon.
Magmulta: P100,000 hanggang P500,000.
Pagbawi ng Lisensya ng PRC.
Labag sa batas na Reseta (Seksyon 19):
H"&amp;"abambuhay na Pagkakulong hanggang Kamatayan.
Multa: P500,000 hanggang P10 milyon.")</f>
        <v>Sa Pilipinas, ang mga dentista, beterinaryo, at iba pang awtorisadong practitioner ay maaaring kasuhan ng krimen ng labag sa batas na pagrereseta ng mga mapanganib na gamot sa ilalim ng mga partikular na pangyayari:
Pangunahing Batas:
Comprehensive Dangerous Drugs Act of 2002 (Republic Act No. 9165): Ang batas na ito ay bumubuo ng legal na pundasyon.
Mga Probisyon na Tumutugon sa Labag sa Batas na Reseta:
Seksyon 18 (Hindi Kinakailangang Reseta): Nalalapat sa lahat ng mga lisensyadong medikal na practitioner, kabilang ang mga dentista at beterinaryo.
Pinaparusahan nito ang pagrereseta ng mga kinokontrol na sangkap sa isang pasyente na walang wastong medikal na pangangailangan.
Seksyon 19 (Labag sa Batas na Reseta): Nalalapat nang mas malawak.
Pinaparusahan nito ang sinuman (kabilang ang mga awtorisadong practitioner) na nag-isyu ng reseta para sa mga kinokontrol na sangkap nang hindi pinahintulutan ng batas na gawin ito.
Mga pangyayari na humahantong sa mga singilin:
Pagrereseta nang walang lehitimong medikal na dahilan:
Nalalapat ito kahit na ang practitioner ay may wastong lisensya. Kasama sa mga halimbawa ang:
Pagrereseta ng gamot sa pananakit para lamang sa paggamit ng libangan.
Pagbibigay ng mga reseta batay sa mga pekeng medikal na rekord.
Pagrereseta sa labas ng kanilang saklaw ng pagsasanay:
Isang beterinaryo na nagrereseta ng mga kinokontrol na sangkap na karaniwang ginagamit para sa paggamot ng tao.
Kumikilos bilang bahagi ng operasyon ng ilegal na droga:
Alam na pagrereseta ng mga gamot na ililihis para sa mga iligal na layunin.
Mga parusa:
Hindi Kinakailangang Reseta (Seksyon 18):
Pagkakulong: 12 hanggang 20 taon.
Magmulta: P100,000 hanggang P500,000.
Pagbawi ng Lisensya ng PRC.
Labag sa batas na Reseta (Seksyon 19):
Habambuhay na Pagkakulong hanggang Kamatayan.
Multa: P500,000 hanggang P10 milyon.</v>
      </c>
      <c r="F2163" s="2">
        <f t="shared" si="1"/>
        <v>0</v>
      </c>
      <c r="G2163" s="2"/>
      <c r="H2163" s="2"/>
      <c r="I2163" s="2"/>
      <c r="J2163" s="2"/>
      <c r="K2163" s="2"/>
      <c r="L2163" s="2"/>
      <c r="M2163" s="2"/>
      <c r="N2163" s="2"/>
      <c r="O2163" s="2"/>
      <c r="P2163" s="2"/>
      <c r="Q2163" s="2"/>
      <c r="R2163" s="2"/>
      <c r="S2163" s="2"/>
      <c r="T2163" s="2"/>
      <c r="U2163" s="2"/>
      <c r="V2163" s="2"/>
      <c r="W2163" s="2"/>
      <c r="X2163" s="2"/>
      <c r="Y2163" s="2"/>
      <c r="Z2163" s="2"/>
      <c r="AA2163" s="2"/>
    </row>
    <row r="2164">
      <c r="A2164" s="3" t="s">
        <v>5259</v>
      </c>
      <c r="B2164" s="1" t="s">
        <v>5299</v>
      </c>
      <c r="C2164" s="1" t="s">
        <v>5300</v>
      </c>
      <c r="D2164" s="2" t="str">
        <f>IFERROR(__xludf.DUMMYFUNCTION("GOOGLETRANSLATE(B2164, ""en"", ""TL"")"),"Paano tinutugunan ng batas ang mga insidente ng hindi awtorisadong pagmamay-ari o pagbebenta ng mga kinokontrol na precursor at mahahalagang kemikal?")</f>
        <v>Paano tinutugunan ng batas ang mga insidente ng hindi awtorisadong pagmamay-ari o pagbebenta ng mga kinokontrol na precursor at mahahalagang kemikal?</v>
      </c>
      <c r="E2164" s="2" t="str">
        <f>IFERROR(__xludf.DUMMYFUNCTION("GOOGLETRANSLATE(C2164, ""en"", ""TL"")"),"Sa Pilipinas, mahigpit na ipinagbabawal ng batas ang hindi awtorisadong pagmamay-ari o pagbebenta ng mga kinokontrol na precursor at mahahalagang kemikal. Narito ang isang breakdown ng mga nauugnay na legal na probisyon at parusa:
Pangunahing Batas:
C"&amp;"omprehensive Dangerous Drugs Act of 2002 (Republic Act No. 9165): Ang batas na ito ay nagsisilbing pundasyong legal na balangkas.
Mga Tukoy na Probisyon:
Seksyon 9 (Illegal Chemical Diversion): Direktang tinutugunan ng probisyong ito ang pagkakasala. "&amp;"Pinarurusahan nito ang sinumang tao na, maliban kung pinahintulutan ng batas:
Gumagawa ng mga kinokontrol na precursor at mahahalagang kemikal.
Ini-import o ini-export ang mga ito.
Naghahatid o namamahagi ng mga ito.
Nagmamay-ari ang mga ito na may la"&amp;"yuning ihatid.
Mga parusa:
Pagkakulong: Mula sa labindalawang (12) taon at isang (1) araw hanggang dalawampung (20) taon.
Fine: Ranging from One hundred thousand pesos (P100,000.00) to Five hundred thousand pesos (P500,000.00).")</f>
        <v>Sa Pilipinas, mahigpit na ipinagbabawal ng batas ang hindi awtorisadong pagmamay-ari o pagbebenta ng mga kinokontrol na precursor at mahahalagang kemikal. Narito ang isang breakdown ng mga nauugnay na legal na probisyon at parusa:
Pangunahing Batas:
Comprehensive Dangerous Drugs Act of 2002 (Republic Act No. 9165): Ang batas na ito ay nagsisilbing pundasyong legal na balangkas.
Mga Tukoy na Probisyon:
Seksyon 9 (Illegal Chemical Diversion): Direktang tinutugunan ng probisyong ito ang pagkakasala. Pinarurusahan nito ang sinumang tao na, maliban kung pinahintulutan ng batas:
Gumagawa ng mga kinokontrol na precursor at mahahalagang kemikal.
Ini-import o ini-export ang mga ito.
Naghahatid o namamahagi ng mga ito.
Nagmamay-ari ang mga ito na may layuning ihatid.
Mga parusa:
Pagkakulong: Mula sa labindalawang (12) taon at isang (1) araw hanggang dalawampung (20) taon.
Fine: Ranging from One hundred thousand pesos (P100,000.00) to Five hundred thousand pesos (P500,000.00).</v>
      </c>
      <c r="F2164" s="2">
        <f t="shared" si="1"/>
        <v>0</v>
      </c>
      <c r="G2164" s="2"/>
      <c r="H2164" s="2"/>
      <c r="I2164" s="2"/>
      <c r="J2164" s="2"/>
      <c r="K2164" s="2"/>
      <c r="L2164" s="2"/>
      <c r="M2164" s="2"/>
      <c r="N2164" s="2"/>
      <c r="O2164" s="2"/>
      <c r="P2164" s="2"/>
      <c r="Q2164" s="2"/>
      <c r="R2164" s="2"/>
      <c r="S2164" s="2"/>
      <c r="T2164" s="2"/>
      <c r="U2164" s="2"/>
      <c r="V2164" s="2"/>
      <c r="W2164" s="2"/>
      <c r="X2164" s="2"/>
      <c r="Y2164" s="2"/>
      <c r="Z2164" s="2"/>
      <c r="AA2164" s="2"/>
    </row>
    <row r="2165">
      <c r="A2165" s="3" t="s">
        <v>5259</v>
      </c>
      <c r="B2165" s="1" t="s">
        <v>5301</v>
      </c>
      <c r="C2165" s="1" t="s">
        <v>5302</v>
      </c>
      <c r="D2165" s="2" t="str">
        <f>IFERROR(__xludf.DUMMYFUNCTION("GOOGLETRANSLATE(B2165, ""en"", ""TL"")"),"Anong mga parusa ang ipinapataw para sa pagsali sa iligal na produksyon o paggawa ng mga kinokontrol na precursor at mahahalagang kemikal?")</f>
        <v>Anong mga parusa ang ipinapataw para sa pagsali sa iligal na produksyon o paggawa ng mga kinokontrol na precursor at mahahalagang kemikal?</v>
      </c>
      <c r="E2165" s="2" t="str">
        <f>IFERROR(__xludf.DUMMYFUNCTION("GOOGLETRANSLATE(C2165, ""en"", ""TL"")"),"Ang mga parusa para sa iligal na paggawa o paggawa ng mga kinokontrol na precursor at mahahalagang kemikal ay matatagpuan sa Republic Act No. 9165, na kilala rin bilang Comprehensive Dangerous Drugs Act of 2002 [RA 9165].
Narito ang sinasabi ng batas:
* *"&amp;"*Seksyon 8** ay ipinagbabawal ang paggawa ng mga kinokontrol na precursor at mahahalagang kemikal nang walang pahintulot.
* **Ang parusa:** pagkakulong mula labindalawang (12) taon at isang (1) araw hanggang dalawampung (20) taon at multa mula sa Isang da"&amp;"ang libong piso (P100,000.00) hanggang Limang daang libong piso (P500, 000.00) [RA 9165, Sec. 8]")</f>
        <v>Ang mga parusa para sa iligal na paggawa o paggawa ng mga kinokontrol na precursor at mahahalagang kemikal ay matatagpuan sa Republic Act No. 9165, na kilala rin bilang Comprehensive Dangerous Drugs Act of 2002 [RA 9165].
Narito ang sinasabi ng batas:
* **Seksyon 8** ay ipinagbabawal ang paggawa ng mga kinokontrol na precursor at mahahalagang kemikal nang walang pahintulot.
* **Ang parusa:** pagkakulong mula labindalawang (12) taon at isang (1) araw hanggang dalawampung (20) taon at multa mula sa Isang daang libong piso (P100,000.00) hanggang Limang daang libong piso (P500, 000.00) [RA 9165, Sec. 8]</v>
      </c>
      <c r="F2165" s="2">
        <f t="shared" si="1"/>
        <v>0</v>
      </c>
      <c r="G2165" s="2"/>
      <c r="H2165" s="2"/>
      <c r="I2165" s="2"/>
      <c r="J2165" s="2"/>
      <c r="K2165" s="2"/>
      <c r="L2165" s="2"/>
      <c r="M2165" s="2"/>
      <c r="N2165" s="2"/>
      <c r="O2165" s="2"/>
      <c r="P2165" s="2"/>
      <c r="Q2165" s="2"/>
      <c r="R2165" s="2"/>
      <c r="S2165" s="2"/>
      <c r="T2165" s="2"/>
      <c r="U2165" s="2"/>
      <c r="V2165" s="2"/>
      <c r="W2165" s="2"/>
      <c r="X2165" s="2"/>
      <c r="Y2165" s="2"/>
      <c r="Z2165" s="2"/>
      <c r="AA2165" s="2"/>
    </row>
    <row r="2166">
      <c r="A2166" s="3" t="s">
        <v>5259</v>
      </c>
      <c r="B2166" s="1" t="s">
        <v>5303</v>
      </c>
      <c r="C2166" s="1" t="s">
        <v>5304</v>
      </c>
      <c r="D2166" s="2" t="str">
        <f>IFERROR(__xludf.DUMMYFUNCTION("GOOGLETRANSLATE(B2166, ""en"", ""TL"")"),"Paano tinutugunan sa ilalim ng batas ng Pilipinas ang pagkakasala ng ilegal na paglilipat ng mga kinokontrol na precursor at mahahalagang kemikal?")</f>
        <v>Paano tinutugunan sa ilalim ng batas ng Pilipinas ang pagkakasala ng ilegal na paglilipat ng mga kinokontrol na precursor at mahahalagang kemikal?</v>
      </c>
      <c r="E2166" s="2" t="str">
        <f>IFERROR(__xludf.DUMMYFUNCTION("GOOGLETRANSLATE(C2166, ""en"", ""TL"")"),"Ang paglabag sa iligal na paglilipat ng mga kinokontrol na precursor at mahahalagang kemikal ay direktang tinutugunan sa Republic Act No. 9165, ang Comprehensive Dangerous Drugs Act of 2002 [RA 9165].
Sa partikular, ang **Section 9** ng RA 9165 ay nakatuo"&amp;"n sa paglabag na ito. Nakasaad dito na:
* **Illegal Diversion ay Ipinagbabawal:** Ang sinumang tao na, **maliban kung pinahintulutan ng batas**, iligal na inilihis ang anumang kinokontrol na pasimula at mahahalagang kemikal ay mapaparusahan.
*Ito ay nanga"&amp;"ngahulugan na ang mga may wastong lisensya at permit lamang ang maaaring humawak ng mga sangkap na ito.*
* **Penalty for Diversion:** Ang parusa sa illegal diversion ay pagkakulong mula labindalawang (12) taon at isang (1) araw hanggang dalawampung (20) t"&amp;"aon at multa mula sa Isang daang libong piso (P100,000.00) hanggang Limang daang libong piso (P500,000.00) [RA 9165, Sec. 9].")</f>
        <v>Ang paglabag sa iligal na paglilipat ng mga kinokontrol na precursor at mahahalagang kemikal ay direktang tinutugunan sa Republic Act No. 9165, ang Comprehensive Dangerous Drugs Act of 2002 [RA 9165].
Sa partikular, ang **Section 9** ng RA 9165 ay nakatuon sa paglabag na ito. Nakasaad dito na:
* **Illegal Diversion ay Ipinagbabawal:** Ang sinumang tao na, **maliban kung pinahintulutan ng batas**, iligal na inilihis ang anumang kinokontrol na pasimula at mahahalagang kemikal ay mapaparusahan.
*Ito ay nangangahulugan na ang mga may wastong lisensya at permit lamang ang maaaring humawak ng mga sangkap na ito.*
* **Penalty for Diversion:** Ang parusa sa illegal diversion ay pagkakulong mula labindalawang (12) taon at isang (1) araw hanggang dalawampung (20) taon at multa mula sa Isang daang libong piso (P100,000.00) hanggang Limang daang libong piso (P500,000.00) [RA 9165, Sec. 9].</v>
      </c>
      <c r="F2166" s="2">
        <f t="shared" si="1"/>
        <v>0</v>
      </c>
      <c r="G2166" s="2"/>
      <c r="H2166" s="2"/>
      <c r="I2166" s="2"/>
      <c r="J2166" s="2"/>
      <c r="K2166" s="2"/>
      <c r="L2166" s="2"/>
      <c r="M2166" s="2"/>
      <c r="N2166" s="2"/>
      <c r="O2166" s="2"/>
      <c r="P2166" s="2"/>
      <c r="Q2166" s="2"/>
      <c r="R2166" s="2"/>
      <c r="S2166" s="2"/>
      <c r="T2166" s="2"/>
      <c r="U2166" s="2"/>
      <c r="V2166" s="2"/>
      <c r="W2166" s="2"/>
      <c r="X2166" s="2"/>
      <c r="Y2166" s="2"/>
      <c r="Z2166" s="2"/>
      <c r="AA2166" s="2"/>
    </row>
    <row r="2167">
      <c r="A2167" s="3" t="s">
        <v>5259</v>
      </c>
      <c r="B2167" s="1" t="s">
        <v>5305</v>
      </c>
      <c r="C2167" s="1" t="s">
        <v>5306</v>
      </c>
      <c r="D2167" s="2" t="str">
        <f>IFERROR(__xludf.DUMMYFUNCTION("GOOGLETRANSLATE(B2167, ""en"", ""TL"")"),"Sa ilalim ng anong mga pangyayari ang isang tao ay maaaring makasuhan ng krimen ng hindi awtorisadong pag-import o pag-export ng mga kinokontrol na precursor at mahahalagang kemikal?")</f>
        <v>Sa ilalim ng anong mga pangyayari ang isang tao ay maaaring makasuhan ng krimen ng hindi awtorisadong pag-import o pag-export ng mga kinokontrol na precursor at mahahalagang kemikal?</v>
      </c>
      <c r="E2167" s="2" t="str">
        <f>IFERROR(__xludf.DUMMYFUNCTION("GOOGLETRANSLATE(C2167, ""en"", ""TL"")"),"Sineseryoso ng batas ng Pilipinas ang hindi awtorisadong pag-angkat at pag-export ng mga kinokontrol na precursor at mahahalagang kemikal. Ang pangunahing batas na namamahala dito ay ang Republic Act No. 9165 o ang Comprehensive Dangerous Drugs Act of 200"&amp;"2 [RA 9165].
Narito kung paano tinutugunan ng RA 9165 ang hindi awtorisadong pag-import/pag-export ng mga kemikal na ito:
* **Seksyon 4(f):** Tinutukoy ang ""Import"" bilang pisikal na pagpasok ng mga kinokontrol na precursor at mahahalagang kemikal sa te"&amp;"ritoryo ng customs ng Pilipinas na nangangailangan ng deklarasyon [RA 9165, Sec. 4(f)].
* **Seksyon 5:** Ipinagbabawal ang pag-import at pag-export ng mga mapanganib na gamot at/o kinokontrol na precursor at mahahalagang kemikal **maliban kung pinahintulu"&amp;"tan ng batas**. Nangangahulugan ito na kailangan ang tamang lisensya at permit para sa anumang aktibidad sa pag-import o pag-export na kinasasangkutan ng mga sangkap na ito [RA 9165, Sec. 5].
* **Penalty:** Ang parusa para sa hindi awtorisadong pag-angkat"&amp;" o pag-export ay pagkakulong mula labindalawang (12) taon at isang (1) araw hanggang dalawampung (20) taon at multa mula sa Isang daang libong piso (P100,000.00) hanggang Limang daang libong piso (P500,000.00) [RA 9165, Sec. 8].
**Sa esensya, maaari kang "&amp;"makasuhan ng krimeng ito kung mag-import o mag-export ka ng mga kinokontrol na precursor at mahahalagang kemikal nang walang kinakailangang awtorisasyon mula sa mga awtoridad ng Pilipinas.**")</f>
        <v>Sineseryoso ng batas ng Pilipinas ang hindi awtorisadong pag-angkat at pag-export ng mga kinokontrol na precursor at mahahalagang kemikal. Ang pangunahing batas na namamahala dito ay ang Republic Act No. 9165 o ang Comprehensive Dangerous Drugs Act of 2002 [RA 9165].
Narito kung paano tinutugunan ng RA 9165 ang hindi awtorisadong pag-import/pag-export ng mga kemikal na ito:
* **Seksyon 4(f):** Tinutukoy ang "Import" bilang pisikal na pagpasok ng mga kinokontrol na precursor at mahahalagang kemikal sa teritoryo ng customs ng Pilipinas na nangangailangan ng deklarasyon [RA 9165, Sec. 4(f)].
* **Seksyon 5:** Ipinagbabawal ang pag-import at pag-export ng mga mapanganib na gamot at/o kinokontrol na precursor at mahahalagang kemikal **maliban kung pinahintulutan ng batas**. Nangangahulugan ito na kailangan ang tamang lisensya at permit para sa anumang aktibidad sa pag-import o pag-export na kinasasangkutan ng mga sangkap na ito [RA 9165, Sec. 5].
* **Penalty:** Ang parusa para sa hindi awtorisadong pag-angkat o pag-export ay pagkakulong mula labindalawang (12) taon at isang (1) araw hanggang dalawampung (20) taon at multa mula sa Isang daang libong piso (P100,000.00) hanggang Limang daang libong piso (P500,000.00) [RA 9165, Sec. 8].
**Sa esensya, maaari kang makasuhan ng krimeng ito kung mag-import o mag-export ka ng mga kinokontrol na precursor at mahahalagang kemikal nang walang kinakailangang awtorisasyon mula sa mga awtoridad ng Pilipinas.**</v>
      </c>
      <c r="F2167" s="2">
        <f t="shared" si="1"/>
        <v>0</v>
      </c>
      <c r="G2167" s="2"/>
      <c r="H2167" s="2"/>
      <c r="I2167" s="2"/>
      <c r="J2167" s="2"/>
      <c r="K2167" s="2"/>
      <c r="L2167" s="2"/>
      <c r="M2167" s="2"/>
      <c r="N2167" s="2"/>
      <c r="O2167" s="2"/>
      <c r="P2167" s="2"/>
      <c r="Q2167" s="2"/>
      <c r="R2167" s="2"/>
      <c r="S2167" s="2"/>
      <c r="T2167" s="2"/>
      <c r="U2167" s="2"/>
      <c r="V2167" s="2"/>
      <c r="W2167" s="2"/>
      <c r="X2167" s="2"/>
      <c r="Y2167" s="2"/>
      <c r="Z2167" s="2"/>
      <c r="AA2167" s="2"/>
    </row>
    <row r="2168">
      <c r="A2168" s="3" t="s">
        <v>5259</v>
      </c>
      <c r="B2168" s="1" t="s">
        <v>5307</v>
      </c>
      <c r="C2168" s="1" t="s">
        <v>5308</v>
      </c>
      <c r="D2168" s="2" t="str">
        <f>IFERROR(__xludf.DUMMYFUNCTION("GOOGLETRANSLATE(B2168, ""en"", ""TL"")"),"Anong mga legal na probisyon ang namamahala sa krimen ng labag sa batas na pagmamay-ari ng mga mapanganib na droga sa panahon ng mga party o social gatherings?")</f>
        <v>Anong mga legal na probisyon ang namamahala sa krimen ng labag sa batas na pagmamay-ari ng mga mapanganib na droga sa panahon ng mga party o social gatherings?</v>
      </c>
      <c r="E2168" s="2" t="str">
        <f>IFERROR(__xludf.DUMMYFUNCTION("GOOGLETRANSLATE(C2168, ""en"", ""TL"")"),"Sa Pilipinas, ang batas na tumatalakay sa labag sa batas na pagkakaroon ng mga mapanganib na droga sa panahon ng mga party o social gatherings ay ang Republic Act No. 9165 o ang Comprehensive Dangerous Drugs Act of 2002 [RA 9165].
Gayunpaman, ang partikul"&amp;"ar na probisyon ay hindi matatagpuan sa pangunahing Batas mismo ngunit sa Implementing Rules and Regulations (IRR) na inisyu ng Dangerous Drugs Board (DDB).
Narito ang nauugnay na seksyon:
* **IRR Seksyon 13:** Ang seksyong ito ay nagsasaad na sinumang ta"&amp;"o na matagpuang nagtataglay ng anumang mapanganib na droga sa panahon ng isang party, panlipunang pagtitipon, o pagpupulong, o sa malapit na kumpanya ng hindi bababa sa dalawang (2) tao, ay magdurusa ng **maximum mga parusa na itinakda sa Seksyon 11 ng Ba"&amp;"tas**, anuman ang dami at kadalisayan ng mga mapanganib na droga [IRR ng RA 9165, Sec. 13].
**Mahalagang tandaan na ang IRR ay isang legal na dokumento na may bisa ng batas.**
**Pangunahing takeaway:** Ang pagkakaroon ng mga mapanganib na droga sa mga par"&amp;"ty, social gatherings, o kahit na may dalawa lang na tao ay maaaring humantong sa mas matinding parusa sa ilalim ng batas ng Pilipinas.")</f>
        <v>Sa Pilipinas, ang batas na tumatalakay sa labag sa batas na pagkakaroon ng mga mapanganib na droga sa panahon ng mga party o social gatherings ay ang Republic Act No. 9165 o ang Comprehensive Dangerous Drugs Act of 2002 [RA 9165].
Gayunpaman, ang partikular na probisyon ay hindi matatagpuan sa pangunahing Batas mismo ngunit sa Implementing Rules and Regulations (IRR) na inisyu ng Dangerous Drugs Board (DDB).
Narito ang nauugnay na seksyon:
* **IRR Seksyon 13:** Ang seksyong ito ay nagsasaad na sinumang tao na matagpuang nagtataglay ng anumang mapanganib na droga sa panahon ng isang party, panlipunang pagtitipon, o pagpupulong, o sa malapit na kumpanya ng hindi bababa sa dalawang (2) tao, ay magdurusa ng **maximum mga parusa na itinakda sa Seksyon 11 ng Batas**, anuman ang dami at kadalisayan ng mga mapanganib na droga [IRR ng RA 9165, Sec. 13].
**Mahalagang tandaan na ang IRR ay isang legal na dokumento na may bisa ng batas.**
**Pangunahing takeaway:** Ang pagkakaroon ng mga mapanganib na droga sa mga party, social gatherings, o kahit na may dalawa lang na tao ay maaaring humantong sa mas matinding parusa sa ilalim ng batas ng Pilipinas.</v>
      </c>
      <c r="F2168" s="2">
        <f t="shared" si="1"/>
        <v>0</v>
      </c>
      <c r="G2168" s="2"/>
      <c r="H2168" s="2"/>
      <c r="I2168" s="2"/>
      <c r="J2168" s="2"/>
      <c r="K2168" s="2"/>
      <c r="L2168" s="2"/>
      <c r="M2168" s="2"/>
      <c r="N2168" s="2"/>
      <c r="O2168" s="2"/>
      <c r="P2168" s="2"/>
      <c r="Q2168" s="2"/>
      <c r="R2168" s="2"/>
      <c r="S2168" s="2"/>
      <c r="T2168" s="2"/>
      <c r="U2168" s="2"/>
      <c r="V2168" s="2"/>
      <c r="W2168" s="2"/>
      <c r="X2168" s="2"/>
      <c r="Y2168" s="2"/>
      <c r="Z2168" s="2"/>
      <c r="AA2168" s="2"/>
    </row>
    <row r="2169">
      <c r="A2169" s="3" t="s">
        <v>5259</v>
      </c>
      <c r="B2169" s="1" t="s">
        <v>5309</v>
      </c>
      <c r="C2169" s="1" t="s">
        <v>5310</v>
      </c>
      <c r="D2169" s="2" t="str">
        <f>IFERROR(__xludf.DUMMYFUNCTION("GOOGLETRANSLATE(B2169, ""en"", ""TL"")"),"Paano tinutugunan ng batas ang mga insidente ng paggamit ng ilegal na droga sa mga pampublikong kaganapan o pagtitipon?")</f>
        <v>Paano tinutugunan ng batas ang mga insidente ng paggamit ng ilegal na droga sa mga pampublikong kaganapan o pagtitipon?</v>
      </c>
      <c r="E2169" s="2" t="str">
        <f>IFERROR(__xludf.DUMMYFUNCTION("GOOGLETRANSLATE(C2169, ""en"", ""TL"")"),"Direktang tinutugunan ng batas ng Pilipinas ang paggamit ng iligal na droga sa mga pampublikong kaganapan o pagtitipon sa pamamagitan ng kumbinasyon ng Comprehensive Dangerous Drugs Act of 2002 (Republic Act No. 9165) [RA 9165] at ang Implementing Rules a"&amp;"nd Regulations (IRR) na inisyu ng Dangerous Drugs Board ( DDB).
Narito ang isang breakdown ng mga nauugnay na legal na aspeto:
* **RA 9165 (Seksyon 11):** Tinutukoy at pinaparusahan ng seksyong ito ang **ilegal na pagmamay-ari at paggamit ng mga mapangani"&amp;"b na droga**. Ang mga partikular na parusa ay nakasalalay sa dami at kadalisayan ng mga gamot na kasangkot.
* **IRR Seksyon 13:** Ang seksyong ito ay nagpapatuloy sa isang hakbang. Tinutukoy nito na ang pagkakaroon ng mga mapanganib na droga sa panahon ng"&amp;" **party, social gathering, meeting, o sa malapit na kumpanya ng hindi bababa sa dalawang (2) tao** ay paparusahan ng **maximum na parusa** sa ilalim ng Seksyon 11 ng RA 9165, anuman ang dami o kadalisayan.
**Esensyal, ang mga pampublikong kaganapan o pag"&amp;"titipon ay malamang na ituring na ""mga panlipunang pagtitipon"" sa ilalim ng IRR.** Nangangahulugan ito na kung ang isang tao ay mahuhuling gumagamit ng ilegal na droga sa naturang kaganapan, mahaharap sila sa **pinakamahirap na parusa** na inireseta ng "&amp;"batas para sa pagmamay-ari at paggamit, anuman ang dami o uri ng gamot.
**Mga Karagdagang Punto:**
* Ang mga opisyal ng pagpapatupad ng batas ng Pilipinas ay may awtoridad na magsagawa ng mga paghahanap at pag-aresto sa mga pampublikong kaganapan batay sa"&amp;" posibleng dahilan. Nangangahulugan ito kung mayroon silang dahilan upang maniwala na ang isang tao ay gumagamit ng droga, maaari silang kumilos.
* Ang mga pampublikong opisyal at may-ari ng venue ay maaari ding managot kung mabigo silang gumawa ng mga ma"&amp;"katwirang hakbang upang maiwasan ang paggamit ng ilegal na droga sa mga kaganapan na kanilang inaayos o pinamamahalaan.
**Tandaan:** Ito ay isang pinasimpleng paliwanag, at ang mga partikular na legal na implikasyon ay maaaring mag-iba depende sa mga pang"&amp;"yayari. Kung mayroon kang anumang mga alalahanin, palaging pinakamahusay na kumunsulta sa isang kwalipikadong abogado.")</f>
        <v>Direktang tinutugunan ng batas ng Pilipinas ang paggamit ng iligal na droga sa mga pampublikong kaganapan o pagtitipon sa pamamagitan ng kumbinasyon ng Comprehensive Dangerous Drugs Act of 2002 (Republic Act No. 9165) [RA 9165] at ang Implementing Rules and Regulations (IRR) na inisyu ng Dangerous Drugs Board ( DDB).
Narito ang isang breakdown ng mga nauugnay na legal na aspeto:
* **RA 9165 (Seksyon 11):** Tinutukoy at pinaparusahan ng seksyong ito ang **ilegal na pagmamay-ari at paggamit ng mga mapanganib na droga**. Ang mga partikular na parusa ay nakasalalay sa dami at kadalisayan ng mga gamot na kasangkot.
* **IRR Seksyon 13:** Ang seksyong ito ay nagpapatuloy sa isang hakbang. Tinutukoy nito na ang pagkakaroon ng mga mapanganib na droga sa panahon ng **party, social gathering, meeting, o sa malapit na kumpanya ng hindi bababa sa dalawang (2) tao** ay paparusahan ng **maximum na parusa** sa ilalim ng Seksyon 11 ng RA 9165, anuman ang dami o kadalisayan.
**Esensyal, ang mga pampublikong kaganapan o pagtitipon ay malamang na ituring na "mga panlipunang pagtitipon" sa ilalim ng IRR.** Nangangahulugan ito na kung ang isang tao ay mahuhuling gumagamit ng ilegal na droga sa naturang kaganapan, mahaharap sila sa **pinakamahirap na parusa** na inireseta ng batas para sa pagmamay-ari at paggamit, anuman ang dami o uri ng gamot.
**Mga Karagdagang Punto:**
* Ang mga opisyal ng pagpapatupad ng batas ng Pilipinas ay may awtoridad na magsagawa ng mga paghahanap at pag-aresto sa mga pampublikong kaganapan batay sa posibleng dahilan. Nangangahulugan ito kung mayroon silang dahilan upang maniwala na ang isang tao ay gumagamit ng droga, maaari silang kumilos.
* Ang mga pampublikong opisyal at may-ari ng venue ay maaari ding managot kung mabigo silang gumawa ng mga makatwirang hakbang upang maiwasan ang paggamit ng ilegal na droga sa mga kaganapan na kanilang inaayos o pinamamahalaan.
**Tandaan:** Ito ay isang pinasimpleng paliwanag, at ang mga partikular na legal na implikasyon ay maaaring mag-iba depende sa mga pangyayari. Kung mayroon kang anumang mga alalahanin, palaging pinakamahusay na kumunsulta sa isang kwalipikadong abogado.</v>
      </c>
      <c r="F2169" s="2">
        <f t="shared" si="1"/>
        <v>0</v>
      </c>
      <c r="G2169" s="2"/>
      <c r="H2169" s="2"/>
      <c r="I2169" s="2"/>
      <c r="J2169" s="2"/>
      <c r="K2169" s="2"/>
      <c r="L2169" s="2"/>
      <c r="M2169" s="2"/>
      <c r="N2169" s="2"/>
      <c r="O2169" s="2"/>
      <c r="P2169" s="2"/>
      <c r="Q2169" s="2"/>
      <c r="R2169" s="2"/>
      <c r="S2169" s="2"/>
      <c r="T2169" s="2"/>
      <c r="U2169" s="2"/>
      <c r="V2169" s="2"/>
      <c r="W2169" s="2"/>
      <c r="X2169" s="2"/>
      <c r="Y2169" s="2"/>
      <c r="Z2169" s="2"/>
      <c r="AA2169" s="2"/>
    </row>
    <row r="2170">
      <c r="A2170" s="3" t="s">
        <v>5259</v>
      </c>
      <c r="B2170" s="1" t="s">
        <v>5311</v>
      </c>
      <c r="C2170" s="1" t="s">
        <v>5312</v>
      </c>
      <c r="D2170" s="2" t="str">
        <f>IFERROR(__xludf.DUMMYFUNCTION("GOOGLETRANSLATE(B2170, ""en"", ""TL"")"),"Anong mga parusa ang naaangkop para sa pagsali sa krimen ng paggamit ng ilegal na droga sa mga paaralan, kolehiyo, unibersidad, o iba pang institusyong pang-edukasyon?")</f>
        <v>Anong mga parusa ang naaangkop para sa pagsali sa krimen ng paggamit ng ilegal na droga sa mga paaralan, kolehiyo, unibersidad, o iba pang institusyong pang-edukasyon?</v>
      </c>
      <c r="E2170" s="2" t="str">
        <f>IFERROR(__xludf.DUMMYFUNCTION("GOOGLETRANSLATE(C2170, ""en"", ""TL"")"),"Bagama't walang partikular na parusa ang batas ng Pilipinas para sa paggamit ng ilegal na droga sa loob lamang ng setting ng edukasyon, may mga kaugnay na batas at patakaran na maaaring humantong sa mga parusa. Narito ang isang breakdown:
1. **Comprehensi"&amp;"ve Dangerous Drugs Act (RA 9165):** Ang pangunahing batas na ito (Republic Act No. 9165) ay tumutukoy at nagpaparusa sa iligal na pagmamay-ari at paggamit ng mga mapanganib na droga [RA 9165, Sec. 11]. Ang mga partikular na parusa ay nakasalalay sa dami a"&amp;"t kadalisayan ng mga gamot na kasangkot.
2. **Drug Abuse Prevention and Control Programs in Educational Institutions (RA 7622):** Ang batas na ito ay nag-uutos sa mga institusyong pang-edukasyon na magtatag at magpanatili ng mga programa na:
* Turuan ang "&amp;"mga mag-aaral tungkol sa mga panganib ng ilegal na droga.
* Hikayatin ang pag-uulat ng paggamit ng droga.
* Magbigay ng rehabilitasyon para sa mga estudyanteng sangkot sa droga. [RA 7622]
3. **Implementing Rules and Regulations (IRR) ng RA 7622:** Ang mga"&amp;" tuntuning ito, na inilabas ng Dangerous Drugs Board (DDB), ay nagbibigay sa mga institusyong pang-edukasyon ng higit na awtoridad na pangasiwaan ang mga insidenteng may kinalaman sa droga. Ang mga partikular na parusa o parusa na ipapataw sa mga mag-aara"&amp;"l na nahuling gumagamit ng droga ay depende sa mga patakaran ng indibidwal na paaralan at sa kalubhaan ng pagkakasala. Ang mga patakarang ito **ay dapat na nakahanay sa** RA 7622 at sa IRR nito.
**Mga Posibleng Sanction ng Mga Institusyong Pang-edukasyon:"&amp;"**
* **Pagpapayo at Rehabilitasyon:** Ito ang pangunahing pokus sa ilalim ng RA 7622. Layunin ng mga paaralan na gabayan ang mga mag-aaral tungo sa paggaling.
* **Pagsususpinde o Pagpapatalsik:** Sa mas malalang mga kaso, o kung ang isang mag-aaral ay hin"&amp;"di sumunod sa mga programa sa rehabilitasyon, ang mga paaralan ay maaaring gumamit ng pagsuspinde o pagpapatalsik.
**Mahalagang Tandaan:**
* Ang mga institusyong pang-edukasyon ay dapat sumunod sa **nararapat na proseso** kapag humahawak ng mga insidenten"&amp;"g nauugnay sa droga. Tinitiyak nito ang pagiging patas at pinoprotektahan ang mga karapatan ng mag-aaral.
* Maaaring may mga pagkakaiba-iba sa kung paano pinangangasiwaan ng iba't ibang paaralan ang mga pagkakasala sa droga. Dapat na pamilyar ang mga mag-"&amp;"aaral sa mga patakaran ng kanilang partikular na paaralan.
**Sa konklusyon, walang iisang parusa sa ilalim ng batas ng Pilipinas para sa paggamit ng ilegal na droga sa mga institusyong pang-edukasyon. Gayunpaman, ang mga paaralan ay may awtoridad na magpa"&amp;"taw ng mga parusa batay sa RA 7622 at kanilang sariling mga patakaran, na palaging inuuna ang rehabilitasyon.**")</f>
        <v>Bagama't walang partikular na parusa ang batas ng Pilipinas para sa paggamit ng ilegal na droga sa loob lamang ng setting ng edukasyon, may mga kaugnay na batas at patakaran na maaaring humantong sa mga parusa. Narito ang isang breakdown:
1. **Comprehensive Dangerous Drugs Act (RA 9165):** Ang pangunahing batas na ito (Republic Act No. 9165) ay tumutukoy at nagpaparusa sa iligal na pagmamay-ari at paggamit ng mga mapanganib na droga [RA 9165, Sec. 11]. Ang mga partikular na parusa ay nakasalalay sa dami at kadalisayan ng mga gamot na kasangkot.
2. **Drug Abuse Prevention and Control Programs in Educational Institutions (RA 7622):** Ang batas na ito ay nag-uutos sa mga institusyong pang-edukasyon na magtatag at magpanatili ng mga programa na:
* Turuan ang mga mag-aaral tungkol sa mga panganib ng ilegal na droga.
* Hikayatin ang pag-uulat ng paggamit ng droga.
* Magbigay ng rehabilitasyon para sa mga estudyanteng sangkot sa droga. [RA 7622]
3. **Implementing Rules and Regulations (IRR) ng RA 7622:** Ang mga tuntuning ito, na inilabas ng Dangerous Drugs Board (DDB), ay nagbibigay sa mga institusyong pang-edukasyon ng higit na awtoridad na pangasiwaan ang mga insidenteng may kinalaman sa droga. Ang mga partikular na parusa o parusa na ipapataw sa mga mag-aaral na nahuling gumagamit ng droga ay depende sa mga patakaran ng indibidwal na paaralan at sa kalubhaan ng pagkakasala. Ang mga patakarang ito **ay dapat na nakahanay sa** RA 7622 at sa IRR nito.
**Mga Posibleng Sanction ng Mga Institusyong Pang-edukasyon:**
* **Pagpapayo at Rehabilitasyon:** Ito ang pangunahing pokus sa ilalim ng RA 7622. Layunin ng mga paaralan na gabayan ang mga mag-aaral tungo sa paggaling.
* **Pagsususpinde o Pagpapatalsik:** Sa mas malalang mga kaso, o kung ang isang mag-aaral ay hindi sumunod sa mga programa sa rehabilitasyon, ang mga paaralan ay maaaring gumamit ng pagsuspinde o pagpapatalsik.
**Mahalagang Tandaan:**
* Ang mga institusyong pang-edukasyon ay dapat sumunod sa **nararapat na proseso** kapag humahawak ng mga insidenteng nauugnay sa droga. Tinitiyak nito ang pagiging patas at pinoprotektahan ang mga karapatan ng mag-aaral.
* Maaaring may mga pagkakaiba-iba sa kung paano pinangangasiwaan ng iba't ibang paaralan ang mga pagkakasala sa droga. Dapat na pamilyar ang mga mag-aaral sa mga patakaran ng kanilang partikular na paaralan.
**Sa konklusyon, walang iisang parusa sa ilalim ng batas ng Pilipinas para sa paggamit ng ilegal na droga sa mga institusyong pang-edukasyon. Gayunpaman, ang mga paaralan ay may awtoridad na magpataw ng mga parusa batay sa RA 7622 at kanilang sariling mga patakaran, na palaging inuuna ang rehabilitasyon.**</v>
      </c>
      <c r="F2170" s="2">
        <f t="shared" si="1"/>
        <v>0</v>
      </c>
      <c r="G2170" s="2"/>
      <c r="H2170" s="2"/>
      <c r="I2170" s="2"/>
      <c r="J2170" s="2"/>
      <c r="K2170" s="2"/>
      <c r="L2170" s="2"/>
      <c r="M2170" s="2"/>
      <c r="N2170" s="2"/>
      <c r="O2170" s="2"/>
      <c r="P2170" s="2"/>
      <c r="Q2170" s="2"/>
      <c r="R2170" s="2"/>
      <c r="S2170" s="2"/>
      <c r="T2170" s="2"/>
      <c r="U2170" s="2"/>
      <c r="V2170" s="2"/>
      <c r="W2170" s="2"/>
      <c r="X2170" s="2"/>
      <c r="Y2170" s="2"/>
      <c r="Z2170" s="2"/>
      <c r="AA2170" s="2"/>
    </row>
    <row r="2171">
      <c r="A2171" s="3" t="s">
        <v>5259</v>
      </c>
      <c r="B2171" s="1" t="s">
        <v>5313</v>
      </c>
      <c r="C2171" s="1" t="s">
        <v>5314</v>
      </c>
      <c r="D2171" s="2" t="str">
        <f>IFERROR(__xludf.DUMMYFUNCTION("GOOGLETRANSLATE(B2171, ""en"", ""TL"")"),"Paano kinokontrol at pinaparusahan ang pagkakasala ng paggamit ng ilegal na droga sa mga pampublikong lugar o sa presensya ng isang menor de edad?")</f>
        <v>Paano kinokontrol at pinaparusahan ang pagkakasala ng paggamit ng ilegal na droga sa mga pampublikong lugar o sa presensya ng isang menor de edad?</v>
      </c>
      <c r="E2171" s="2" t="str">
        <f>IFERROR(__xludf.DUMMYFUNCTION("GOOGLETRANSLATE(C2171, ""en"", ""TL"")"),"Ang pagkakasala ng paggamit ng ilegal na droga sa mga pampublikong lugar o sa presensya ng isang menor de edad ay tinutugunan sa pamamagitan ng kumbinasyon ng mga batas sa Pilipinas:
1. **Comprehensive Dangerous Drugs Act (RA 9165):** Ito ang pangunahing "&amp;"batas (Republic Act No. 9165) na tumutukoy at nagpaparusa sa iligal na pagmamay-ari at paggamit ng mga mapanganib na droga [RA 9165, Sec. 11]. Ang mga partikular na parusa ay nakasalalay sa dami at kadalisayan ng mga gamot na kasangkot.
2. **Implementing "&amp;"Rules and Regulations (IRR) ng RA 9165:** Ang mga tuntuning ito, na inisyu ng Dangerous Drugs Board (DDB), ay tumutukoy sa mas matitinding parusa para sa pagkakaroon ng mga mapanganib na droga sa panahon ng mga social gatherings o kasama ng hindi bababa s"&amp;"a dalawang tao ( Seksyon 13). Maaari itong bigyang kahulugan na kasama ang mga pampublikong lugar, depende sa mga pangyayari.
**Mga Pampublikong Lugar at ang IRR:**
Bagama't hindi tahasang binanggit ng IRR ang ""mga pampublikong lugar,"" maaaring bigyang-"&amp;"kahulugan ng mga korte na ang mga pagtitipon sa mga pampublikong espasyo ay nasa ilalim ng saklaw ng ""mga panlipunang pagtitipon"" na may mas mahigpit na parusa. **Presence of a Menor (RA 9165, Section 20):**
Ang seksyong ito ay partikular na nagpapalubh"&amp;"a sa parusa para sa paggamit ng ilegal na droga kung ang isang menor de edad (mas mababa sa 18 taong gulang) o isang taong may kapansanan sa pag-iisip ay naroroon. Sa ganitong mga kaso, ang **maximum penalty** sa ilalim ng Seksyon 11 ng RA 9165 ay ipapata"&amp;"w.
**Mga Pangunahing Punto:**
* Ang paggamit ng mga ilegal na droga sa mga pampublikong lugar ay maaaring humantong sa **mas matitinding parusa** dahil sa interpretasyon ng ""social gathering"" ng IRR.
* Ang paggamit ng mga droga sa presensya ng isang men"&amp;"or de edad **palaging** ay may **maximum na parusa** sa ilalim ng RA 9165.
**Mga Karagdagang Pagsasaalang-alang:**
* Ang mga opisyal ng pagpapatupad ng batas ay maaaring magsagawa ng mga paghahanap at pag-aresto sa mga pampublikong lugar batay sa posiblen"&amp;"g dahilan kung pinaghihinalaan nila ang paggamit ng droga.
* Ang mga pampublikong opisyal na responsable sa pamamahala ng mga pampublikong espasyo ay maaaring managot kung hindi sila gumawa ng mga makatwirang hakbang upang maiwasan ang paggamit ng ilegal "&amp;"na droga.
**Tandaan:** Ito ay isang pinasimpleng paliwanag, at ang mga partikular na legal na implikasyon ay maaaring mag-iba depende sa mga pangyayari. Kung mayroon kang anumang mga alalahanin, palaging pinakamahusay na kumunsulta sa isang kwalipikadong "&amp;"abogado.")</f>
        <v>Ang pagkakasala ng paggamit ng ilegal na droga sa mga pampublikong lugar o sa presensya ng isang menor de edad ay tinutugunan sa pamamagitan ng kumbinasyon ng mga batas sa Pilipinas:
1. **Comprehensive Dangerous Drugs Act (RA 9165):** Ito ang pangunahing batas (Republic Act No. 9165) na tumutukoy at nagpaparusa sa iligal na pagmamay-ari at paggamit ng mga mapanganib na droga [RA 9165, Sec. 11]. Ang mga partikular na parusa ay nakasalalay sa dami at kadalisayan ng mga gamot na kasangkot.
2. **Implementing Rules and Regulations (IRR) ng RA 9165:** Ang mga tuntuning ito, na inisyu ng Dangerous Drugs Board (DDB), ay tumutukoy sa mas matitinding parusa para sa pagkakaroon ng mga mapanganib na droga sa panahon ng mga social gatherings o kasama ng hindi bababa sa dalawang tao ( Seksyon 13). Maaari itong bigyang kahulugan na kasama ang mga pampublikong lugar, depende sa mga pangyayari.
**Mga Pampublikong Lugar at ang IRR:**
Bagama't hindi tahasang binanggit ng IRR ang "mga pampublikong lugar," maaaring bigyang-kahulugan ng mga korte na ang mga pagtitipon sa mga pampublikong espasyo ay nasa ilalim ng saklaw ng "mga panlipunang pagtitipon" na may mas mahigpit na parusa. **Presence of a Menor (RA 9165, Section 20):**
Ang seksyong ito ay partikular na nagpapalubha sa parusa para sa paggamit ng ilegal na droga kung ang isang menor de edad (mas mababa sa 18 taong gulang) o isang taong may kapansanan sa pag-iisip ay naroroon. Sa ganitong mga kaso, ang **maximum penalty** sa ilalim ng Seksyon 11 ng RA 9165 ay ipapataw.
**Mga Pangunahing Punto:**
* Ang paggamit ng mga ilegal na droga sa mga pampublikong lugar ay maaaring humantong sa **mas matitinding parusa** dahil sa interpretasyon ng "social gathering" ng IRR.
* Ang paggamit ng mga droga sa presensya ng isang menor de edad **palaging** ay may **maximum na parusa** sa ilalim ng RA 9165.
**Mga Karagdagang Pagsasaalang-alang:**
* Ang mga opisyal ng pagpapatupad ng batas ay maaaring magsagawa ng mga paghahanap at pag-aresto sa mga pampublikong lugar batay sa posibleng dahilan kung pinaghihinalaan nila ang paggamit ng droga.
* Ang mga pampublikong opisyal na responsable sa pamamahala ng mga pampublikong espasyo ay maaaring managot kung hindi sila gumawa ng mga makatwirang hakbang upang maiwasan ang paggamit ng ilegal na droga.
**Tandaan:** Ito ay isang pinasimpleng paliwanag, at ang mga partikular na legal na implikasyon ay maaaring mag-iba depende sa mga pangyayari. Kung mayroon kang anumang mga alalahanin, palaging pinakamahusay na kumunsulta sa isang kwalipikadong abogado.</v>
      </c>
      <c r="F2171" s="2">
        <f t="shared" si="1"/>
        <v>0</v>
      </c>
      <c r="G2171" s="2"/>
      <c r="H2171" s="2"/>
      <c r="I2171" s="2"/>
      <c r="J2171" s="2"/>
      <c r="K2171" s="2"/>
      <c r="L2171" s="2"/>
      <c r="M2171" s="2"/>
      <c r="N2171" s="2"/>
      <c r="O2171" s="2"/>
      <c r="P2171" s="2"/>
      <c r="Q2171" s="2"/>
      <c r="R2171" s="2"/>
      <c r="S2171" s="2"/>
      <c r="T2171" s="2"/>
      <c r="U2171" s="2"/>
      <c r="V2171" s="2"/>
      <c r="W2171" s="2"/>
      <c r="X2171" s="2"/>
      <c r="Y2171" s="2"/>
      <c r="Z2171" s="2"/>
      <c r="AA2171" s="2"/>
    </row>
    <row r="2172">
      <c r="A2172" s="3" t="s">
        <v>5259</v>
      </c>
      <c r="B2172" s="1" t="s">
        <v>5315</v>
      </c>
      <c r="C2172" s="1" t="s">
        <v>5316</v>
      </c>
      <c r="D2172" s="2" t="str">
        <f>IFERROR(__xludf.DUMMYFUNCTION("GOOGLETRANSLATE(B2172, ""en"", ""TL"")"),"Sa ilalim ng anong mga pangyayari ang isang tao ay maaaring makasuhan ng krimen ng paggamit ng ilegal na droga sa mga pampublikong sasakyan o serbisyo sa transportasyon?")</f>
        <v>Sa ilalim ng anong mga pangyayari ang isang tao ay maaaring makasuhan ng krimen ng paggamit ng ilegal na droga sa mga pampublikong sasakyan o serbisyo sa transportasyon?</v>
      </c>
      <c r="E2172" s="2" t="str">
        <f>IFERROR(__xludf.DUMMYFUNCTION("GOOGLETRANSLATE(C2172, ""en"", ""TL"")"),"Sineseryoso ng batas ng Pilipinas ang paggamit ng ilegal na droga sa mga pampublikong sasakyan o serbisyo sa transportasyon. Narito kung paano pinangangasiwaan ng batas ang paglabag na ito:
* **Comprehensive Dangerous Drugs Act (RA 9165):** Ito ang pangun"&amp;"ahing batas (Republic Act No. 9165) na tumutukoy at nagpaparusa sa iligal na pagmamay-ari at paggamit ng mga mapanganib na droga [RA 9165, Sec. 11]. Ang mga partikular na parusa ay nakasalalay sa dami at kadalisayan ng mga gamot na kasangkot.
* **Mga Luga"&amp;"r na Saklaw bilang Mga Pampublikong Paghahatid:** Ang RA 9165 mismo ay hindi nagbibigay ng partikular na listahan. Gayunpaman, ang mga legal na interpretasyon at iba pang mga batas ay nagpapahiwatig na ang mga pampublikong sasakyan ay kinabibilangan ng:
*"&amp;" Mga bus, tren, jeepney, tricycle, at iba pang pampasaherong sasakyan [Land Transportation Office (LTO) Memorandum Circular No. 2017-21]
* Mga barko at lantsa [Philippine Coast Guard Law (RA 5917)]
* Mga Eroplano [Republic Act No. 9702 o ang Civil Aviatio"&amp;"n Authority of the Philippines Act]
**Mahalaga, anumang uri ng pampublikong transportasyon para sa mga pasahero ay maaaring ituring na isang pampublikong sasakyan.**
* **Paggamit ng Droga sa Mga Pampublikong Sasakyan:** Kung may nahuling gumagamit ng ileg"&amp;"al na droga habang nasa pampublikong sasakyan, maaari silang kasuhan sa ilalim ng RA 9165, na humaharap sa mga parusa batay sa dami at kadalisayan ng mga droga.
**Mga Karagdagang Pagsasaalang-alang:**
* **Nagpapalubha ng mga Kalagayan:** Ang pagkakaroon n"&amp;"g isang menor de edad (mas mababa sa 18 taong gulang) o isang taong may kapansanan sa pag-iisip sa panahon ng pagkakasala ay maaaring humantong sa isang **maximum na parusa** sa ilalim ng RA 9165 (Seksyon 20). * **Awtoridad ng Transport Personnel:** Ang m"&amp;"ga tauhan ng transportasyon tulad ng mga driver, konduktor, o opisyal ng seguridad ay may awtoridad na hulihin ang mga indibidwal na pinaghihinalaang gumagamit ng ilegal na droga at ibigay sila sa mga awtoridad na nagpapatupad ng batas. * **Paghahanap at "&amp;"Pag-aresto:** Ang mga opisyal ng pagpapatupad ng batas ay maaaring magsagawa ng mga paghahanap at pag-aresto sa mga pampublikong sasakyan batay sa posibleng dahilan. **Tandaan:** Ito ay isang pinasimpleng paliwanag, at ang mga partikular na legal na impli"&amp;"kasyon ay maaaring mag-iba depende sa mga pangyayari. Kung mayroon kang anumang mga alalahanin, palaging pinakamahusay na kumunsulta sa isang kwalipikadong abogado.")</f>
        <v>Sineseryoso ng batas ng Pilipinas ang paggamit ng ilegal na droga sa mga pampublikong sasakyan o serbisyo sa transportasyon. Narito kung paano pinangangasiwaan ng batas ang paglabag na ito:
* **Comprehensive Dangerous Drugs Act (RA 9165):** Ito ang pangunahing batas (Republic Act No. 9165) na tumutukoy at nagpaparusa sa iligal na pagmamay-ari at paggamit ng mga mapanganib na droga [RA 9165, Sec. 11]. Ang mga partikular na parusa ay nakasalalay sa dami at kadalisayan ng mga gamot na kasangkot.
* **Mga Lugar na Saklaw bilang Mga Pampublikong Paghahatid:** Ang RA 9165 mismo ay hindi nagbibigay ng partikular na listahan. Gayunpaman, ang mga legal na interpretasyon at iba pang mga batas ay nagpapahiwatig na ang mga pampublikong sasakyan ay kinabibilangan ng:
* Mga bus, tren, jeepney, tricycle, at iba pang pampasaherong sasakyan [Land Transportation Office (LTO) Memorandum Circular No. 2017-21]
* Mga barko at lantsa [Philippine Coast Guard Law (RA 5917)]
* Mga Eroplano [Republic Act No. 9702 o ang Civil Aviation Authority of the Philippines Act]
**Mahalaga, anumang uri ng pampublikong transportasyon para sa mga pasahero ay maaaring ituring na isang pampublikong sasakyan.**
* **Paggamit ng Droga sa Mga Pampublikong Sasakyan:** Kung may nahuling gumagamit ng ilegal na droga habang nasa pampublikong sasakyan, maaari silang kasuhan sa ilalim ng RA 9165, na humaharap sa mga parusa batay sa dami at kadalisayan ng mga droga.
**Mga Karagdagang Pagsasaalang-alang:**
* **Nagpapalubha ng mga Kalagayan:** Ang pagkakaroon ng isang menor de edad (mas mababa sa 18 taong gulang) o isang taong may kapansanan sa pag-iisip sa panahon ng pagkakasala ay maaaring humantong sa isang **maximum na parusa** sa ilalim ng RA 9165 (Seksyon 20). * **Awtoridad ng Transport Personnel:** Ang mga tauhan ng transportasyon tulad ng mga driver, konduktor, o opisyal ng seguridad ay may awtoridad na hulihin ang mga indibidwal na pinaghihinalaang gumagamit ng ilegal na droga at ibigay sila sa mga awtoridad na nagpapatupad ng batas. * **Paghahanap at Pag-aresto:** Ang mga opisyal ng pagpapatupad ng batas ay maaaring magsagawa ng mga paghahanap at pag-aresto sa mga pampublikong sasakyan batay sa posibleng dahilan. **Tandaan:** Ito ay isang pinasimpleng paliwanag, at ang mga partikular na legal na implikasyon ay maaaring mag-iba depende sa mga pangyayari. Kung mayroon kang anumang mga alalahanin, palaging pinakamahusay na kumunsulta sa isang kwalipikadong abogado.</v>
      </c>
      <c r="F2172" s="2">
        <f t="shared" si="1"/>
        <v>0</v>
      </c>
      <c r="G2172" s="2"/>
      <c r="H2172" s="2"/>
      <c r="I2172" s="2"/>
      <c r="J2172" s="2"/>
      <c r="K2172" s="2"/>
      <c r="L2172" s="2"/>
      <c r="M2172" s="2"/>
      <c r="N2172" s="2"/>
      <c r="O2172" s="2"/>
      <c r="P2172" s="2"/>
      <c r="Q2172" s="2"/>
      <c r="R2172" s="2"/>
      <c r="S2172" s="2"/>
      <c r="T2172" s="2"/>
      <c r="U2172" s="2"/>
      <c r="V2172" s="2"/>
      <c r="W2172" s="2"/>
      <c r="X2172" s="2"/>
      <c r="Y2172" s="2"/>
      <c r="Z2172" s="2"/>
      <c r="AA2172" s="2"/>
    </row>
    <row r="2173">
      <c r="A2173" s="3" t="s">
        <v>5259</v>
      </c>
      <c r="B2173" s="1" t="s">
        <v>5317</v>
      </c>
      <c r="C2173" s="1" t="s">
        <v>5318</v>
      </c>
      <c r="D2173" s="2" t="str">
        <f>IFERROR(__xludf.DUMMYFUNCTION("GOOGLETRANSLATE(B2173, ""en"", ""TL"")"),"Anong mga legal na hakbang ang umiiral upang labanan ang paggamit ng ilegal na droga sa loob ng lugar ng isang hotel, inn, motel, o resort?")</f>
        <v>Anong mga legal na hakbang ang umiiral upang labanan ang paggamit ng ilegal na droga sa loob ng lugar ng isang hotel, inn, motel, o resort?</v>
      </c>
      <c r="E2173" s="2" t="str">
        <f>IFERROR(__xludf.DUMMYFUNCTION("GOOGLETRANSLATE(C2173, ""en"", ""TL"")"),"Ang batas ng Pilipinas ay walang iisa, partikular na legal na probisyon na nakatuon lamang sa paglaban sa paggamit ng ilegal na droga sa loob ng mga hotel, inn, motel, o resort. Gayunpaman, mayroong ilang mga batas at regulasyon na hindi direktang tumutug"&amp;"on sa isyu at nagbibigay ng kapangyarihan sa mga establisyimento na ito na kumilos:
**1. Comprehensive Dangerous Drugs Act (RA 9165):**
* Ito ang pangunahing batas (Republic Act No. 9165) na tumutukoy at nagpaparusa sa iligal na pagmamay-ari at paggamit n"&amp;"g mga mapanganib na droga [RA 9165, Sec. 11]. Nalalapat ito sa sinumang mahuling gumagamit ng droga sa loob ng lugar, kabilang ang mga bisita at kawani. Ang mga parusa ay nakasalalay sa dami at kadalisayan ng mga gamot.
**2. Implementing Rules and Regulat"&amp;"ions (IRR) ng RA 9165 (Seksyon 13):**
* Ang seksyong ito ay nagpapataw ng mas mabigat na parusa para sa pagkakaroon ng mga mapanganib na droga sa panahon ng mga social gatherings o kasama ng hindi bababa sa dalawang tao. Bagama't hindi tahasang binanggit,"&amp;" maaaring mapalawak ito ng ilang interpretasyon sa paggamit ng droga sa mga kuwarto ng hotel na may maraming nakatira.
**3. Tourist Accommodation Establishments Act (RA 9593):**
* Kinokontrol ng batas na ito ang mga operasyon ng mga tourist accommodation "&amp;"establishment (TAEs) tulad ng mga hotel, resort, atbp. [RA 9593].
**4. Mga Pamantayan sa Akreditasyon ng Department of Tourism (DOT):**
* Ang Department of Tourism (DOT) ay nagtatakda ng mga pamantayan sa akreditasyon para sa mga TAE. Ang mga pamantayang "&amp;"ito ay kadalasang kinabibilangan ng mga kinakailangan para sa:
* Pagpapatupad ng mga hakbang sa seguridad.
* Pagpapanatili ng ligtas at maayos na kapaligiran.
* Pagkakaroon ng mekanismo para sa pag-uulat ng mga kahina-hinalang aktibidad. **Paglaban sa Pag"&amp;"gamit ng Droga:**
Batay sa itaas, ang mga hotel, resort, atbp. ay maaaring gumawa ng mga proactive na hakbang upang pigilan ang paggamit ng droga:
* **Malinaw na Mga Patakaran:** Magtatag ng malinaw na mga panuntunan sa bahay na nagbabawal sa paggamit ng "&amp;"ilegal na droga at nagbabalangkas ng mga kahihinatnan para sa mga paglabag. Ipaalam ang mga patakarang ito sa mga bisita sa pag-check-in.
* **Pagsasanay sa Empleyado:** Sanayin ang mga tauhan upang tukuyin ang mga potensyal na palatandaan ng paggamit ng d"&amp;"roga at kung paano iulat ang mga ito nang maingat sa pamamahala o tagapagpatupad ng batas.
* **Mga Panukala sa Seguridad:** Magpatupad ng mga hakbang sa seguridad tulad ng mga CCTV camera sa mga pampublikong lugar at maliwanag na pasilyo.
* **System ng Pa"&amp;"g-uulat:** Magtatag ng isang malinaw na sistema para sa mga bisita at kawani na mag-ulat ng mga kahina-hinalang aktibidad nang hindi nagpapakilala.
* **Kooperasyon sa mga Awtoridad:** Panatilihin ang bukas na komunikasyon at makipagtulungan sa pagpapatupa"&amp;"d ng batas kung pinaghihinalaan ang paggamit ng droga.
**Tandaan:** Bagama't nakakatulong ang mga hakbang na ito na pigilan ang paggamit ng droga, maaaring hindi nila ito ganap na maalis. Kung may nangyaring krimen, mahalagang isangkot ang mga awtoridad.")</f>
        <v>Ang batas ng Pilipinas ay walang iisa, partikular na legal na probisyon na nakatuon lamang sa paglaban sa paggamit ng ilegal na droga sa loob ng mga hotel, inn, motel, o resort. Gayunpaman, mayroong ilang mga batas at regulasyon na hindi direktang tumutugon sa isyu at nagbibigay ng kapangyarihan sa mga establisyimento na ito na kumilos:
**1. Comprehensive Dangerous Drugs Act (RA 9165):**
* Ito ang pangunahing batas (Republic Act No. 9165) na tumutukoy at nagpaparusa sa iligal na pagmamay-ari at paggamit ng mga mapanganib na droga [RA 9165, Sec. 11]. Nalalapat ito sa sinumang mahuling gumagamit ng droga sa loob ng lugar, kabilang ang mga bisita at kawani. Ang mga parusa ay nakasalalay sa dami at kadalisayan ng mga gamot.
**2. Implementing Rules and Regulations (IRR) ng RA 9165 (Seksyon 13):**
* Ang seksyong ito ay nagpapataw ng mas mabigat na parusa para sa pagkakaroon ng mga mapanganib na droga sa panahon ng mga social gatherings o kasama ng hindi bababa sa dalawang tao. Bagama't hindi tahasang binanggit, maaaring mapalawak ito ng ilang interpretasyon sa paggamit ng droga sa mga kuwarto ng hotel na may maraming nakatira.
**3. Tourist Accommodation Establishments Act (RA 9593):**
* Kinokontrol ng batas na ito ang mga operasyon ng mga tourist accommodation establishment (TAEs) tulad ng mga hotel, resort, atbp. [RA 9593].
**4. Mga Pamantayan sa Akreditasyon ng Department of Tourism (DOT):**
* Ang Department of Tourism (DOT) ay nagtatakda ng mga pamantayan sa akreditasyon para sa mga TAE. Ang mga pamantayang ito ay kadalasang kinabibilangan ng mga kinakailangan para sa:
* Pagpapatupad ng mga hakbang sa seguridad.
* Pagpapanatili ng ligtas at maayos na kapaligiran.
* Pagkakaroon ng mekanismo para sa pag-uulat ng mga kahina-hinalang aktibidad. **Paglaban sa Paggamit ng Droga:**
Batay sa itaas, ang mga hotel, resort, atbp. ay maaaring gumawa ng mga proactive na hakbang upang pigilan ang paggamit ng droga:
* **Malinaw na Mga Patakaran:** Magtatag ng malinaw na mga panuntunan sa bahay na nagbabawal sa paggamit ng ilegal na droga at nagbabalangkas ng mga kahihinatnan para sa mga paglabag. Ipaalam ang mga patakarang ito sa mga bisita sa pag-check-in.
* **Pagsasanay sa Empleyado:** Sanayin ang mga tauhan upang tukuyin ang mga potensyal na palatandaan ng paggamit ng droga at kung paano iulat ang mga ito nang maingat sa pamamahala o tagapagpatupad ng batas.
* **Mga Panukala sa Seguridad:** Magpatupad ng mga hakbang sa seguridad tulad ng mga CCTV camera sa mga pampublikong lugar at maliwanag na pasilyo.
* **System ng Pag-uulat:** Magtatag ng isang malinaw na sistema para sa mga bisita at kawani na mag-ulat ng mga kahina-hinalang aktibidad nang hindi nagpapakilala.
* **Kooperasyon sa mga Awtoridad:** Panatilihin ang bukas na komunikasyon at makipagtulungan sa pagpapatupad ng batas kung pinaghihinalaan ang paggamit ng droga.
**Tandaan:** Bagama't nakakatulong ang mga hakbang na ito na pigilan ang paggamit ng droga, maaaring hindi nila ito ganap na maalis. Kung may nangyaring krimen, mahalagang isangkot ang mga awtoridad.</v>
      </c>
      <c r="F2173" s="2">
        <f t="shared" si="1"/>
        <v>0</v>
      </c>
      <c r="G2173" s="2"/>
      <c r="H2173" s="2"/>
      <c r="I2173" s="2"/>
      <c r="J2173" s="2"/>
      <c r="K2173" s="2"/>
      <c r="L2173" s="2"/>
      <c r="M2173" s="2"/>
      <c r="N2173" s="2"/>
      <c r="O2173" s="2"/>
      <c r="P2173" s="2"/>
      <c r="Q2173" s="2"/>
      <c r="R2173" s="2"/>
      <c r="S2173" s="2"/>
      <c r="T2173" s="2"/>
      <c r="U2173" s="2"/>
      <c r="V2173" s="2"/>
      <c r="W2173" s="2"/>
      <c r="X2173" s="2"/>
      <c r="Y2173" s="2"/>
      <c r="Z2173" s="2"/>
      <c r="AA2173" s="2"/>
    </row>
    <row r="2174">
      <c r="A2174" s="3" t="s">
        <v>5259</v>
      </c>
      <c r="B2174" s="1" t="s">
        <v>5319</v>
      </c>
      <c r="C2174" s="1" t="s">
        <v>5320</v>
      </c>
      <c r="D2174" s="2" t="str">
        <f>IFERROR(__xludf.DUMMYFUNCTION("GOOGLETRANSLATE(B2174, ""en"", ""TL"")"),"Paano tinutugunan ng batas ang mga insidente ng paggamit ng ilegal na droga sa mga amusement o entertainment establishments?")</f>
        <v>Paano tinutugunan ng batas ang mga insidente ng paggamit ng ilegal na droga sa mga amusement o entertainment establishments?</v>
      </c>
      <c r="E2174" s="2" t="str">
        <f>IFERROR(__xludf.DUMMYFUNCTION("GOOGLETRANSLATE(C2174, ""en"", ""TL"")"),"Ang batas ng Pilipinas ay tumatalakay sa paggamit ng ilegal na droga sa mga amusement o entertainment establishments sa pamamagitan ng kumbinasyon ng mga batas at regulasyon:
**1. Comprehensive Dangerous Drugs Act (RA 9165):**
* Ito ang pangunahing batas "&amp;"(Republic Act No. 9165) na tumutukoy at nagpaparusa sa iligal na pagmamay-ari at paggamit ng mga mapanganib na droga [RA 9165, Sec. 11]. Nalalapat ito sa sinumang mahuling gumagamit ng droga sa loob ng lugar, kabilang ang mga parokyano at kawani. Ang mga "&amp;"parusa ay depende sa dami at kadalisayan ng mga gamot na natagpuan.
**2. Implementing Rules and Regulations (IRR) ng RA 9165 (Seksyon 13):**
Ang seksyong ito ay partikular na may kaugnayan. Nagpapataw ito ng mas matinding parusa para sa pagkakaroon ng mga"&amp;" mapanganib na droga sa panahon ng mga social gatherings o kasama ng hindi bababa sa dalawang tao. Bagama't hindi tahasang binanggit, itinuturing ng ilang interpretasyon ang mga pagtitipon sa mga amusement o entertainment establishment, tulad ng mga konsy"&amp;"erto o bar, na nasa ilalim ng kategoryang ito. Nangangahulugan ito ng potensyal na **mas matitinding parusa** para sa paggamit ng droga sa mga ganitong setting. **3. Mga Tukoy na Batas para sa Iba't Ibang Establishment:**
* Ang ilang mga amusement o enter"&amp;"tainment establishment ay maaaring sumailalim sa mga karagdagang regulasyon depende sa kanilang partikular na katangian. * Halimbawa, ang mga establisyimento ng alak ay kinokontrol ng Department of Trade and Industry (DTI) at maaaring bawiin ang kanilang "&amp;"mga lisensya para sa pagpapahintulot sa paggamit ng droga sa kanilang lugar.
**4. Awtoridad ng Establishment Personnel:**
* Ang mga tauhan ng seguridad o kawani ng mga amusement/entertainment establishment ay may karapatan na:
* Magpatupad ng mga panuntun"&amp;"an sa bahay na nagbabawal sa paggamit ng droga.
* Alisin ang mga parokyano na pinaghihinalaang gumagamit ng droga mula sa lugar.
* Iulat ang mga insidente sa tagapagpatupad ng batas.
**5. Mga Kapangyarihan sa Pagpapatupad ng Batas:**
* Ang mga opisyal ng "&amp;"pagpapatupad ng batas ay maaaring magsagawa ng mga paghahanap at pag-aresto sa loob ng mga establisyimento na ito batay sa posibleng dahilan kung pinaghihinalaan nila ang paggamit ng droga. **Paglaban sa Paggamit ng Droga sa Mga Establishment:**
Ang mga e"&amp;"stablisimiyento ng libangan at libangan ay maaaring gumawa ng mga proactive na hakbang upang hadlangan ang paggamit ng droga:
* **Malinaw na Mga Patakaran:** Magpatupad ng malinaw na mga panuntunan sa bahay na nagbabawal sa paggamit ng ilegal na droga at "&amp;"nagbabalangkas ng mga kahihinatnan para sa mga paglabag. Ipakita ang mga ito nang malinaw at ipaalam sa mga parokyano sa pagpasok.
* **Mga Panukala sa Seguridad:** Mamuhunan sa mga tauhan ng seguridad na sinanay upang matukoy ang potensyal na paggamit ng "&amp;"droga at mapanatili ang isang ligtas na kapaligiran. Gumamit ng mga security camera sa mga pampublikong lugar.
* **Kooperasyon sa mga Awtoridad:** Magtatag ng malinaw na mga pamamaraan para sa pag-uulat ng mga kahina-hinalang aktibidad sa tagapagpatupad n"&amp;"g batas.
**Tandaan:** Ito ay isang pinasimpleng paliwanag, at ang mga partikular na legal na implikasyon ay maaaring mag-iba depende sa mga pangyayari. Kung mayroon kang anumang mga alalahanin, palaging pinakamahusay na kumunsulta sa isang kwalipikadong a"&amp;"bogado.")</f>
        <v>Ang batas ng Pilipinas ay tumatalakay sa paggamit ng ilegal na droga sa mga amusement o entertainment establishments sa pamamagitan ng kumbinasyon ng mga batas at regulasyon:
**1. Comprehensive Dangerous Drugs Act (RA 9165):**
* Ito ang pangunahing batas (Republic Act No. 9165) na tumutukoy at nagpaparusa sa iligal na pagmamay-ari at paggamit ng mga mapanganib na droga [RA 9165, Sec. 11]. Nalalapat ito sa sinumang mahuling gumagamit ng droga sa loob ng lugar, kabilang ang mga parokyano at kawani. Ang mga parusa ay depende sa dami at kadalisayan ng mga gamot na natagpuan.
**2. Implementing Rules and Regulations (IRR) ng RA 9165 (Seksyon 13):**
Ang seksyong ito ay partikular na may kaugnayan. Nagpapataw ito ng mas matinding parusa para sa pagkakaroon ng mga mapanganib na droga sa panahon ng mga social gatherings o kasama ng hindi bababa sa dalawang tao. Bagama't hindi tahasang binanggit, itinuturing ng ilang interpretasyon ang mga pagtitipon sa mga amusement o entertainment establishment, tulad ng mga konsyerto o bar, na nasa ilalim ng kategoryang ito. Nangangahulugan ito ng potensyal na **mas matitinding parusa** para sa paggamit ng droga sa mga ganitong setting. **3. Mga Tukoy na Batas para sa Iba't Ibang Establishment:**
* Ang ilang mga amusement o entertainment establishment ay maaaring sumailalim sa mga karagdagang regulasyon depende sa kanilang partikular na katangian. * Halimbawa, ang mga establisyimento ng alak ay kinokontrol ng Department of Trade and Industry (DTI) at maaaring bawiin ang kanilang mga lisensya para sa pagpapahintulot sa paggamit ng droga sa kanilang lugar.
**4. Awtoridad ng Establishment Personnel:**
* Ang mga tauhan ng seguridad o kawani ng mga amusement/entertainment establishment ay may karapatan na:
* Magpatupad ng mga panuntunan sa bahay na nagbabawal sa paggamit ng droga.
* Alisin ang mga parokyano na pinaghihinalaang gumagamit ng droga mula sa lugar.
* Iulat ang mga insidente sa tagapagpatupad ng batas.
**5. Mga Kapangyarihan sa Pagpapatupad ng Batas:**
* Ang mga opisyal ng pagpapatupad ng batas ay maaaring magsagawa ng mga paghahanap at pag-aresto sa loob ng mga establisyimento na ito batay sa posibleng dahilan kung pinaghihinalaan nila ang paggamit ng droga. **Paglaban sa Paggamit ng Droga sa Mga Establishment:**
Ang mga establisimiyento ng libangan at libangan ay maaaring gumawa ng mga proactive na hakbang upang hadlangan ang paggamit ng droga:
* **Malinaw na Mga Patakaran:** Magpatupad ng malinaw na mga panuntunan sa bahay na nagbabawal sa paggamit ng ilegal na droga at nagbabalangkas ng mga kahihinatnan para sa mga paglabag. Ipakita ang mga ito nang malinaw at ipaalam sa mga parokyano sa pagpasok.
* **Mga Panukala sa Seguridad:** Mamuhunan sa mga tauhan ng seguridad na sinanay upang matukoy ang potensyal na paggamit ng droga at mapanatili ang isang ligtas na kapaligiran. Gumamit ng mga security camera sa mga pampublikong lugar.
* **Kooperasyon sa mga Awtoridad:** Magtatag ng malinaw na mga pamamaraan para sa pag-uulat ng mga kahina-hinalang aktibidad sa tagapagpatupad ng batas.
**Tandaan:** Ito ay isang pinasimpleng paliwanag, at ang mga partikular na legal na implikasyon ay maaaring mag-iba depende sa mga pangyayari. Kung mayroon kang anumang mga alalahanin, palaging pinakamahusay na kumunsulta sa isang kwalipikadong abogado.</v>
      </c>
      <c r="F2174" s="2">
        <f t="shared" si="1"/>
        <v>0</v>
      </c>
      <c r="G2174" s="2"/>
      <c r="H2174" s="2"/>
      <c r="I2174" s="2"/>
      <c r="J2174" s="2"/>
      <c r="K2174" s="2"/>
      <c r="L2174" s="2"/>
      <c r="M2174" s="2"/>
      <c r="N2174" s="2"/>
      <c r="O2174" s="2"/>
      <c r="P2174" s="2"/>
      <c r="Q2174" s="2"/>
      <c r="R2174" s="2"/>
      <c r="S2174" s="2"/>
      <c r="T2174" s="2"/>
      <c r="U2174" s="2"/>
      <c r="V2174" s="2"/>
      <c r="W2174" s="2"/>
      <c r="X2174" s="2"/>
      <c r="Y2174" s="2"/>
      <c r="Z2174" s="2"/>
      <c r="AA2174" s="2"/>
    </row>
    <row r="2175">
      <c r="A2175" s="3" t="s">
        <v>5259</v>
      </c>
      <c r="B2175" s="1" t="s">
        <v>5321</v>
      </c>
      <c r="C2175" s="1" t="s">
        <v>5322</v>
      </c>
      <c r="D2175" s="2" t="str">
        <f>IFERROR(__xludf.DUMMYFUNCTION("GOOGLETRANSLATE(B2175, ""en"", ""TL"")"),"Anong mga parusa ang ipinataw para sa pagsali sa krimen ng paggamit ng ilegal na droga sa mga cafe, bar, tavern, o iba pang katulad na mga lugar?")</f>
        <v>Anong mga parusa ang ipinataw para sa pagsali sa krimen ng paggamit ng ilegal na droga sa mga cafe, bar, tavern, o iba pang katulad na mga lugar?</v>
      </c>
      <c r="E2175" s="2" t="str">
        <f>IFERROR(__xludf.DUMMYFUNCTION("GOOGLETRANSLATE(C2175, ""en"", ""TL"")"),"Ang Pilipinas ay may mahigpit na paninindigan laban sa iligal na droga, at ang paggamit nito sa mga pampublikong lugar tulad ng mga cafe, bar, tavern, o katulad na mga establisyimento ay maaaring humantong sa ilang mga parusa. Narito ang isang breakdown n"&amp;"g mga potensyal na kahihinatnan:
**Pangunahing Batas:**
* **Comprehensive Dangerous Drugs Act of 2002 (Republic Act No. 9165):** Ito ang pangunahing batas na namamahala sa kalakalan, pagmamay-ari, at paggamit ng ilegal na droga sa Pilipinas.
**Tumuon sa P"&amp;"aggamit ng Iligal na Droga:**
Ipinagbabawal ng batas ang paggamit ng anumang uri ng mapanganib na droga o kinokontrol na sangkap na nakalista sa mga iskedyul nito. Ang paggamit ng mga sangkap na ito sa mga pampublikong lugar tulad ng mga cafe, bar, atbp.,"&amp;" ay bumubuo ng isang paglabag.
**Potensyal na Mga Parusa:**
Ang mga parusa para sa paggamit ng iligal na droga ay nakadepende sa mga partikular na pangyayari at sa dami ng sangkot na droga. Gayunpaman, sa konteksto ng paggamit sa mga pampublikong lugar, n"&amp;"arito ang mga pangkalahatang posibilidad:
* **Mga Pang-administratibong Sanction:** Ang establisyimento (cafe, bar, atbp.) ay maaaring maharap sa **multa, utos sa pagsasara, o pagbawi ng mga lisensya** para sa pagpayag sa paggamit ng ilegal na droga sa ka"&amp;"nilang lugar. Ito ay dahil sa mga regulasyon mula sa mga ahensya tulad ng Philippine Drug Enforcement Agency (PDEA) o local government units.
* **Mga Singil sa Kriminal:** Ang mismong gumagamit ng droga ay maaaring kasuhan sa ilalim ng Comprehensive Dange"&amp;"rous Drugs Act. Ang mga partikular na singil at parusa ay nakasalalay sa:
* **Unang Pagkakasala:** Para sa unang paglabag na kinasasangkutan ng maliit na dami ng ilegal na droga, ang parusa ay maaaring **rehabilitasyon** sa ilalim ng pangangasiwa ng pasil"&amp;"idad na kinikilala ng pamahalaan. * **Mga Kasunod na Pagkakasala o Mas Malaking Dami:** Ang mga kasunod na pagkakasala o pagkakaroon ng mas malalaking dami ay maaaring humantong sa pagkakulong mula **prision correccional** (minimum na 6 na buwan at 1 araw"&amp;") hanggang **reclusion perpetua** (habang buhay na pagkakakulong) depende sa tiyak na klasipikasyon at dami ng gamot.
**Mga Karagdagang Pagsasaalang-alang:**
* **Pagkilos ng Pulis:** Ang mga pulis na nakasaksi ng paggamit ng ilegal na droga ay maaaring hu"&amp;"lihin ang gumagamit at kumpiskahin ang mga droga.
* **Responsibilidad sa Pagtatatag:** Ang mga establisimento ay may pananagutan na panatilihin ang kaayusan at maiwasan ang mga ilegal na aktibidad sa kanilang lugar. Maaari silang mapatawan ng parusa kung "&amp;"sinasadya nilang payagan ang paggamit ng droga. **Sa pangkalahatan, nilalayon ng Pilipinas na hadlangan ang paggamit ng ilegal na droga sa pamamagitan ng iba't ibang parusa, kabilang ang mga nagta-target sa gumagamit at sa mga establisyimento na nagpapahi"&amp;"ntulot na mangyari ito.**
**Mahalagang tandaan** na ang mga batas at ang kanilang pagpapatupad ay maaaring magbago sa paglipas ng panahon. Narito ang ilang mapagkukunan para sa karagdagang impormasyon:
* Philippine Drug Enforcement Agency (PDEA): [inalis "&amp;"ang invalid na URL]
* Comprehensive Dangerous Drugs Act of 2002 (Republic Act No. 9165): Makakahanap ka ng mga buod ng batas online, ngunit ang opisyal na source ay nangangailangan ng bayad na subscription: [invalid URL removed]")</f>
        <v>Ang Pilipinas ay may mahigpit na paninindigan laban sa iligal na droga, at ang paggamit nito sa mga pampublikong lugar tulad ng mga cafe, bar, tavern, o katulad na mga establisyimento ay maaaring humantong sa ilang mga parusa. Narito ang isang breakdown ng mga potensyal na kahihinatnan:
**Pangunahing Batas:**
* **Comprehensive Dangerous Drugs Act of 2002 (Republic Act No. 9165):** Ito ang pangunahing batas na namamahala sa kalakalan, pagmamay-ari, at paggamit ng ilegal na droga sa Pilipinas.
**Tumuon sa Paggamit ng Iligal na Droga:**
Ipinagbabawal ng batas ang paggamit ng anumang uri ng mapanganib na droga o kinokontrol na sangkap na nakalista sa mga iskedyul nito. Ang paggamit ng mga sangkap na ito sa mga pampublikong lugar tulad ng mga cafe, bar, atbp., ay bumubuo ng isang paglabag.
**Potensyal na Mga Parusa:**
Ang mga parusa para sa paggamit ng iligal na droga ay nakadepende sa mga partikular na pangyayari at sa dami ng sangkot na droga. Gayunpaman, sa konteksto ng paggamit sa mga pampublikong lugar, narito ang mga pangkalahatang posibilidad:
* **Mga Pang-administratibong Sanction:** Ang establisyimento (cafe, bar, atbp.) ay maaaring maharap sa **multa, utos sa pagsasara, o pagbawi ng mga lisensya** para sa pagpayag sa paggamit ng ilegal na droga sa kanilang lugar. Ito ay dahil sa mga regulasyon mula sa mga ahensya tulad ng Philippine Drug Enforcement Agency (PDEA) o local government units.
* **Mga Singil sa Kriminal:** Ang mismong gumagamit ng droga ay maaaring kasuhan sa ilalim ng Comprehensive Dangerous Drugs Act. Ang mga partikular na singil at parusa ay nakasalalay sa:
* **Unang Pagkakasala:** Para sa unang paglabag na kinasasangkutan ng maliit na dami ng ilegal na droga, ang parusa ay maaaring **rehabilitasyon** sa ilalim ng pangangasiwa ng pasilidad na kinikilala ng pamahalaan. * **Mga Kasunod na Pagkakasala o Mas Malaking Dami:** Ang mga kasunod na pagkakasala o pagkakaroon ng mas malalaking dami ay maaaring humantong sa pagkakulong mula **prision correccional** (minimum na 6 na buwan at 1 araw) hanggang **reclusion perpetua** (habang buhay na pagkakakulong) depende sa tiyak na klasipikasyon at dami ng gamot.
**Mga Karagdagang Pagsasaalang-alang:**
* **Pagkilos ng Pulis:** Ang mga pulis na nakasaksi ng paggamit ng ilegal na droga ay maaaring hulihin ang gumagamit at kumpiskahin ang mga droga.
* **Responsibilidad sa Pagtatatag:** Ang mga establisimento ay may pananagutan na panatilihin ang kaayusan at maiwasan ang mga ilegal na aktibidad sa kanilang lugar. Maaari silang mapatawan ng parusa kung sinasadya nilang payagan ang paggamit ng droga. **Sa pangkalahatan, nilalayon ng Pilipinas na hadlangan ang paggamit ng ilegal na droga sa pamamagitan ng iba't ibang parusa, kabilang ang mga nagta-target sa gumagamit at sa mga establisyimento na nagpapahintulot na mangyari ito.**
**Mahalagang tandaan** na ang mga batas at ang kanilang pagpapatupad ay maaaring magbago sa paglipas ng panahon. Narito ang ilang mapagkukunan para sa karagdagang impormasyon:
* Philippine Drug Enforcement Agency (PDEA): [inalis ang invalid na URL]
* Comprehensive Dangerous Drugs Act of 2002 (Republic Act No. 9165): Makakahanap ka ng mga buod ng batas online, ngunit ang opisyal na source ay nangangailangan ng bayad na subscription: [invalid URL removed]</v>
      </c>
      <c r="F2175" s="2">
        <f t="shared" si="1"/>
        <v>0</v>
      </c>
      <c r="G2175" s="2"/>
      <c r="H2175" s="2"/>
      <c r="I2175" s="2"/>
      <c r="J2175" s="2"/>
      <c r="K2175" s="2"/>
      <c r="L2175" s="2"/>
      <c r="M2175" s="2"/>
      <c r="N2175" s="2"/>
      <c r="O2175" s="2"/>
      <c r="P2175" s="2"/>
      <c r="Q2175" s="2"/>
      <c r="R2175" s="2"/>
      <c r="S2175" s="2"/>
      <c r="T2175" s="2"/>
      <c r="U2175" s="2"/>
      <c r="V2175" s="2"/>
      <c r="W2175" s="2"/>
      <c r="X2175" s="2"/>
      <c r="Y2175" s="2"/>
      <c r="Z2175" s="2"/>
      <c r="AA2175" s="2"/>
    </row>
    <row r="2176">
      <c r="A2176" s="3" t="s">
        <v>5259</v>
      </c>
      <c r="B2176" s="1" t="s">
        <v>5323</v>
      </c>
      <c r="C2176" s="1" t="s">
        <v>5324</v>
      </c>
      <c r="D2176" s="2" t="str">
        <f>IFERROR(__xludf.DUMMYFUNCTION("GOOGLETRANSLATE(B2176, ""en"", ""TL"")"),"Paano tinutugunan sa ilalim ng batas ng Pilipinas ang pagkakasala ng paggamit ng ilegal na droga sa isang party o social gathering?")</f>
        <v>Paano tinutugunan sa ilalim ng batas ng Pilipinas ang pagkakasala ng paggamit ng ilegal na droga sa isang party o social gathering?</v>
      </c>
      <c r="E2176" s="2" t="str">
        <f>IFERROR(__xludf.DUMMYFUNCTION("GOOGLETRANSLATE(C2176, ""en"", ""TL"")"),"Sa Pilipinas, ang pagkakasala ng paggamit ng ilegal na droga sa isang party o social gathering ay tinutugunan sa ilalim ng Comprehensive Dangerous Drugs Act of 2002 (Republic Act No. 9165) at iba pang nauugnay na batas at regulasyon na naglalayong labanan"&amp;" ang illegal drug trade. Narito kung paano tinutugunan ng batas ang paglabag na ito:
1. **Comprehensive Dangerous Drugs Act of 2002 (RA 9165):**
- Ipinagbabawal ng Comprehensive Dangerous Drugs Act of 2002 ang paggamit ng mga mapanganib na droga o kinokon"&amp;"trol na sangkap nang walang legal na awtoridad. Kabilang dito ang paggamit ng ilegal na droga sa anumang lugar, kabilang ang mga partido o mga pagtitipon.
- Sa ilalim ng batas, ang mga indibidwal na makikitang gumagamit ng ilegal na droga sa mga party o s"&amp;"ocial gatherings ay maaaring maharap sa mga kasong kriminal at prosekusyon.
2. **Pagbabawal sa Paggamit ng Droga:**
- Ipinagbabawal ng RA 9165 ang paggamit ng mga mapanganib na droga o kinokontrol na sangkap, anuman ang setting kung saan nangyayari ang pa"&amp;"ggamit ng droga. Ilegal ang paggamit ng ilegal na droga sa mga pribadong tirahan, pampublikong lugar, libangan, o anumang iba pang lokasyon.
- Hindi ibinubukod ng batas ang paggamit ng droga sa mga partido o panlipunang pagtitipon mula sa mga probisyon ni"&amp;"to, at ang mga indibidwal na makikitang gumagamit ng ilegal na droga sa mga ganitong setting ay napapailalim sa parehong mga parusa gaya ng mga makikitang gumagamit ng droga sa ibang lugar.
3. **Pagpapatupad ng Batas at Pag-uusig:**
- Ang mga ahensyang na"&amp;"gpapatupad ng batas, tulad ng Philippine Drug Enforcement Agency (PDEA) at Philippine National Police (PNP), ay may pananagutan sa pagpapatupad ng mga batas laban sa paggamit ng ilegal na droga, kabilang ang mga monitoring party at social gatherings para "&amp;"sa mga aktibidad na may kaugnayan sa droga.
- Ang mga indibidwal na makikitang gumagamit ng ilegal na droga sa mga party o social gatherings ay maaaring arestuhin, kasuhan ng mga pagkakasala sa droga, at kasuhan alinsunod sa batas.
4. **Mga Parusa:**
- An"&amp;"g mga parusa para sa paggamit ng ilegal na droga sa ilalim ng RA 9165 ay malubha. Maaaring makulong ang mga nagkasala mula anim na buwan hanggang 12 taon, depende sa dami at klasipikasyon ng mga sangkot na ilegal na droga.
- Bilang karagdagan sa pagkakulo"&amp;"ng, maaari ding magpataw ng multa sa mga indibidwal na nahatulan ng paggamit ng ilegal na droga.
5. **Mga Pag-iwas:**
- Upang hadlangan ang paggamit ng ilegal na droga sa mga partido o panlipunang pagtitipon, ang mga ahensyang nagpapatupad ng batas ay maa"&amp;"aring magsagawa ng mga hakbang sa pag-iwas, tulad ng mga operasyon sa pagsubaybay, mga kampanya sa kamalayan sa droga, at mga programa sa pakikipag-ugnayan sa komunidad.
- Ang mga pagsisikap na ito ay naglalayong turuan ang publiko tungkol sa mga panganib"&amp;" ng paggamit ng droga, itaas ang kamalayan sa mga legal na kahihinatnan ng mga paglabag na may kaugnayan sa droga, at itaguyod ang mga pamumuhay na walang droga.
Sa pangkalahatan, ang Comprehensive Dangerous Drugs Act of 2002 ay nagbibigay ng komprehensib"&amp;"ong legal na balangkas para sa pagtugon sa mga insidente ng paggamit ng ilegal na droga sa mga partido o panlipunang pagtitipon sa Pilipinas. Nilalayon ng batas na hadlangan ang mga paglabag na may kaugnayan sa droga, protektahan ang kalusugan at kaligtas"&amp;"an ng publiko, at isulong ang mga komunidad na walang droga sa pamamagitan ng epektibong pagpapatupad, pag-uusig, at mga hakbang sa pag-iwas.")</f>
        <v>Sa Pilipinas, ang pagkakasala ng paggamit ng ilegal na droga sa isang party o social gathering ay tinutugunan sa ilalim ng Comprehensive Dangerous Drugs Act of 2002 (Republic Act No. 9165) at iba pang nauugnay na batas at regulasyon na naglalayong labanan ang illegal drug trade. Narito kung paano tinutugunan ng batas ang paglabag na ito:
1. **Comprehensive Dangerous Drugs Act of 2002 (RA 9165):**
- Ipinagbabawal ng Comprehensive Dangerous Drugs Act of 2002 ang paggamit ng mga mapanganib na droga o kinokontrol na sangkap nang walang legal na awtoridad. Kabilang dito ang paggamit ng ilegal na droga sa anumang lugar, kabilang ang mga partido o mga pagtitipon.
- Sa ilalim ng batas, ang mga indibidwal na makikitang gumagamit ng ilegal na droga sa mga party o social gatherings ay maaaring maharap sa mga kasong kriminal at prosekusyon.
2. **Pagbabawal sa Paggamit ng Droga:**
- Ipinagbabawal ng RA 9165 ang paggamit ng mga mapanganib na droga o kinokontrol na sangkap, anuman ang setting kung saan nangyayari ang paggamit ng droga. Ilegal ang paggamit ng ilegal na droga sa mga pribadong tirahan, pampublikong lugar, libangan, o anumang iba pang lokasyon.
- Hindi ibinubukod ng batas ang paggamit ng droga sa mga partido o panlipunang pagtitipon mula sa mga probisyon nito, at ang mga indibidwal na makikitang gumagamit ng ilegal na droga sa mga ganitong setting ay napapailalim sa parehong mga parusa gaya ng mga makikitang gumagamit ng droga sa ibang lugar.
3. **Pagpapatupad ng Batas at Pag-uusig:**
- Ang mga ahensyang nagpapatupad ng batas, tulad ng Philippine Drug Enforcement Agency (PDEA) at Philippine National Police (PNP), ay may pananagutan sa pagpapatupad ng mga batas laban sa paggamit ng ilegal na droga, kabilang ang mga monitoring party at social gatherings para sa mga aktibidad na may kaugnayan sa droga.
- Ang mga indibidwal na makikitang gumagamit ng ilegal na droga sa mga party o social gatherings ay maaaring arestuhin, kasuhan ng mga pagkakasala sa droga, at kasuhan alinsunod sa batas.
4. **Mga Parusa:**
- Ang mga parusa para sa paggamit ng ilegal na droga sa ilalim ng RA 9165 ay malubha. Maaaring makulong ang mga nagkasala mula anim na buwan hanggang 12 taon, depende sa dami at klasipikasyon ng mga sangkot na ilegal na droga.
- Bilang karagdagan sa pagkakulong, maaari ding magpataw ng multa sa mga indibidwal na nahatulan ng paggamit ng ilegal na droga.
5. **Mga Pag-iwas:**
- Upang hadlangan ang paggamit ng ilegal na droga sa mga partido o panlipunang pagtitipon, ang mga ahensyang nagpapatupad ng batas ay maaaring magsagawa ng mga hakbang sa pag-iwas, tulad ng mga operasyon sa pagsubaybay, mga kampanya sa kamalayan sa droga, at mga programa sa pakikipag-ugnayan sa komunidad.
- Ang mga pagsisikap na ito ay naglalayong turuan ang publiko tungkol sa mga panganib ng paggamit ng droga, itaas ang kamalayan sa mga legal na kahihinatnan ng mga paglabag na may kaugnayan sa droga, at itaguyod ang mga pamumuhay na walang droga.
Sa pangkalahatan, ang Comprehensive Dangerous Drugs Act of 2002 ay nagbibigay ng komprehensibong legal na balangkas para sa pagtugon sa mga insidente ng paggamit ng ilegal na droga sa mga partido o panlipunang pagtitipon sa Pilipinas. Nilalayon ng batas na hadlangan ang mga paglabag na may kaugnayan sa droga, protektahan ang kalusugan at kaligtasan ng publiko, at isulong ang mga komunidad na walang droga sa pamamagitan ng epektibong pagpapatupad, pag-uusig, at mga hakbang sa pag-iwas.</v>
      </c>
      <c r="F2176" s="2">
        <f t="shared" si="1"/>
        <v>0</v>
      </c>
      <c r="G2176" s="2"/>
      <c r="H2176" s="2"/>
      <c r="I2176" s="2"/>
      <c r="J2176" s="2"/>
      <c r="K2176" s="2"/>
      <c r="L2176" s="2"/>
      <c r="M2176" s="2"/>
      <c r="N2176" s="2"/>
      <c r="O2176" s="2"/>
      <c r="P2176" s="2"/>
      <c r="Q2176" s="2"/>
      <c r="R2176" s="2"/>
      <c r="S2176" s="2"/>
      <c r="T2176" s="2"/>
      <c r="U2176" s="2"/>
      <c r="V2176" s="2"/>
      <c r="W2176" s="2"/>
      <c r="X2176" s="2"/>
      <c r="Y2176" s="2"/>
      <c r="Z2176" s="2"/>
      <c r="AA2176" s="2"/>
    </row>
    <row r="2177">
      <c r="A2177" s="3" t="s">
        <v>5259</v>
      </c>
      <c r="B2177" s="1" t="s">
        <v>5325</v>
      </c>
      <c r="C2177" s="1" t="s">
        <v>5326</v>
      </c>
      <c r="D2177" s="2" t="str">
        <f>IFERROR(__xludf.DUMMYFUNCTION("GOOGLETRANSLATE(B2177, ""en"", ""TL"")"),"Sa ilalim ng anong mga pangyayari ang isang tao ay maaaring makasuhan ng krimen ng paggamit ng ilegal na droga sa mga open-air na parke, kalye, o iba pang pampublikong lugar?")</f>
        <v>Sa ilalim ng anong mga pangyayari ang isang tao ay maaaring makasuhan ng krimen ng paggamit ng ilegal na droga sa mga open-air na parke, kalye, o iba pang pampublikong lugar?</v>
      </c>
      <c r="E2177" s="2" t="str">
        <f>IFERROR(__xludf.DUMMYFUNCTION("GOOGLETRANSLATE(C2177, ""en"", ""TL"")"),"Ang ilegalidad ng paggamit ng droga sa Pilipinas ay saklaw sa ilalim ng dalawang pangunahing batas:
* **Comprehensive Dangerous Drugs Act of 2002 (Republic Act No. 9165)**: Ang batas na ito ay nag-uuri ng mga ilegal na droga at binabalangkas ang mga parus"&amp;"a para sa kanilang paggamit, pagmamay-ari, pagbebenta, pagtatanim, at paggawa.
* **Konstitusyon ng Pilipinas (Artikulo III, Seksyon 1)**: Ginagarantiyahan ng seksyong ito ang karapatan sa pagkapribado, ngunit kinikilala rin nito ang mga limitasyon sa kara"&amp;"patang ito para sa pagtataguyod ng kaayusan sa lipunan at kaligtasan ng publiko.
**Ang paggamit ng ilegal na droga sa mga pampublikong lugar ay maaaring singilin sa ilalim ng mga sumusunod na pangyayari batay sa RA 9165:**
* **Seksyon 15, Paggamit ng Mapa"&amp;"nganib na Gamot:** Ang seksyong ito ay nagpaparusa sa hindi awtorisadong paggamit ng anumang mapanganib na gamot. Bagama't hindi tahasang binanggit ang lokasyon, ang mismong pagkilos ay ilegal. Dahil ang mga pampublikong lugar ay hindi pribadong espasyo, "&amp;"ang paggamit ng ilegal na droga ay magkakaroon ng paglabag.
* **Section 12, Possession of Dangerous Drugs:** Kung ang isang taong nahuling gumagamit ng ilegal na droga sa publiko ay may anumang halaga sa mga ito, maaari silang kasuhan ng possession on top"&amp;" of use.
**Ang Konstitusyon ng Pilipinas (Artikulo III, Seksyon 1) ay gumaganap ng isang papel sa pagtatatag ng legalidad ng pagpapatupad sa mga pampublikong espasyo:**
* **Balancing Act:** Habang pinoprotektahan ng Konstitusyon ang privacy, maaaring bigy"&amp;"ang-katwiran ng mga opisyal ng pagpapatupad ng batas ang pagpapahinto o pag-aresto sa isang taong pinaghihinalaang gumagamit ng ilegal na droga sa mga pampublikong lugar batay sa pagtataguyod ng kaligtasan at kaayusan ng publiko.
**Sa buod:**
Ipinagbabawa"&amp;"l ng batas ng Pilipinas ang paggamit ng ilegal na droga, at ang mga pampublikong espasyo ay hindi itinuturing na mga pribadong lugar. Ang RA 9165 at ang Konstitusyon ay magkasamang nagtatatag ng mga legal na batayan para sa pagsingil sa isang tao ng ganit"&amp;"ong pagkakasala sa isang pampublikong lugar.
**Mahalagang tandaan:**
* Ito ay isang pinasimpleng paliwanag. Maaaring kumplikado ang mga legal na interpretasyon.
* Ang pagkonsulta sa isang abogado ay lubos na inirerekomenda para sa anumang sitwasyon na may"&amp;" kinalaman sa mga singil sa droga.")</f>
        <v>Ang ilegalidad ng paggamit ng droga sa Pilipinas ay saklaw sa ilalim ng dalawang pangunahing batas:
* **Comprehensive Dangerous Drugs Act of 2002 (Republic Act No. 9165)**: Ang batas na ito ay nag-uuri ng mga ilegal na droga at binabalangkas ang mga parusa para sa kanilang paggamit, pagmamay-ari, pagbebenta, pagtatanim, at paggawa.
* **Konstitusyon ng Pilipinas (Artikulo III, Seksyon 1)**: Ginagarantiyahan ng seksyong ito ang karapatan sa pagkapribado, ngunit kinikilala rin nito ang mga limitasyon sa karapatang ito para sa pagtataguyod ng kaayusan sa lipunan at kaligtasan ng publiko.
**Ang paggamit ng ilegal na droga sa mga pampublikong lugar ay maaaring singilin sa ilalim ng mga sumusunod na pangyayari batay sa RA 9165:**
* **Seksyon 15, Paggamit ng Mapanganib na Gamot:** Ang seksyong ito ay nagpaparusa sa hindi awtorisadong paggamit ng anumang mapanganib na gamot. Bagama't hindi tahasang binanggit ang lokasyon, ang mismong pagkilos ay ilegal. Dahil ang mga pampublikong lugar ay hindi pribadong espasyo, ang paggamit ng ilegal na droga ay magkakaroon ng paglabag.
* **Section 12, Possession of Dangerous Drugs:** Kung ang isang taong nahuling gumagamit ng ilegal na droga sa publiko ay may anumang halaga sa mga ito, maaari silang kasuhan ng possession on top of use.
**Ang Konstitusyon ng Pilipinas (Artikulo III, Seksyon 1) ay gumaganap ng isang papel sa pagtatatag ng legalidad ng pagpapatupad sa mga pampublikong espasyo:**
* **Balancing Act:** Habang pinoprotektahan ng Konstitusyon ang privacy, maaaring bigyang-katwiran ng mga opisyal ng pagpapatupad ng batas ang pagpapahinto o pag-aresto sa isang taong pinaghihinalaang gumagamit ng ilegal na droga sa mga pampublikong lugar batay sa pagtataguyod ng kaligtasan at kaayusan ng publiko.
**Sa buod:**
Ipinagbabawal ng batas ng Pilipinas ang paggamit ng ilegal na droga, at ang mga pampublikong espasyo ay hindi itinuturing na mga pribadong lugar. Ang RA 9165 at ang Konstitusyon ay magkasamang nagtatatag ng mga legal na batayan para sa pagsingil sa isang tao ng ganitong pagkakasala sa isang pampublikong lugar.
**Mahalagang tandaan:**
* Ito ay isang pinasimpleng paliwanag. Maaaring kumplikado ang mga legal na interpretasyon.
* Ang pagkonsulta sa isang abogado ay lubos na inirerekomenda para sa anumang sitwasyon na may kinalaman sa mga singil sa droga.</v>
      </c>
      <c r="F2177" s="2">
        <f t="shared" si="1"/>
        <v>0</v>
      </c>
      <c r="G2177" s="2"/>
      <c r="H2177" s="2"/>
      <c r="I2177" s="2"/>
      <c r="J2177" s="2"/>
      <c r="K2177" s="2"/>
      <c r="L2177" s="2"/>
      <c r="M2177" s="2"/>
      <c r="N2177" s="2"/>
      <c r="O2177" s="2"/>
      <c r="P2177" s="2"/>
      <c r="Q2177" s="2"/>
      <c r="R2177" s="2"/>
      <c r="S2177" s="2"/>
      <c r="T2177" s="2"/>
      <c r="U2177" s="2"/>
      <c r="V2177" s="2"/>
      <c r="W2177" s="2"/>
      <c r="X2177" s="2"/>
      <c r="Y2177" s="2"/>
      <c r="Z2177" s="2"/>
      <c r="AA2177" s="2"/>
    </row>
    <row r="2178">
      <c r="A2178" s="3" t="s">
        <v>5259</v>
      </c>
      <c r="B2178" s="1" t="s">
        <v>5327</v>
      </c>
      <c r="C2178" s="1" t="s">
        <v>5328</v>
      </c>
      <c r="D2178" s="2" t="str">
        <f>IFERROR(__xludf.DUMMYFUNCTION("GOOGLETRANSLATE(B2178, ""en"", ""TL"")"),"Anong mga legal na probisyon ang namamahala sa krimen ng hindi awtorisadong paggamit ng mga mapanganib na droga sa panahon ng mga pampublikong protesta, asembliya, o rally?")</f>
        <v>Anong mga legal na probisyon ang namamahala sa krimen ng hindi awtorisadong paggamit ng mga mapanganib na droga sa panahon ng mga pampublikong protesta, asembliya, o rally?</v>
      </c>
      <c r="E2178" s="2" t="str">
        <f>IFERROR(__xludf.DUMMYFUNCTION("GOOGLETRANSLATE(C2178, ""en"", ""TL"")"),"Ang hindi awtorisadong paggamit ng mga mapanganib na droga sa panahon ng mga pampublikong protesta, asembliya, o rally ay tinutugunan ng kumbinasyon ng mga batas ng Pilipinas:
1. **Comprehensive Dangerous Drugs Act of 2002 (Republic Act No. 9165):**
- **S"&amp;"eksyon 15 - Paggamit ng Mapanganib na Gamot:** Ang seksyong ito ay nagpaparusa sa hindi awtorisadong paggamit ng anumang mapanganib na gamot. Ang lokasyon mismo (protesta, pagpupulong, rally) ay hindi isang kadahilanan; ang pagkilos ng paggamit ng ilegal "&amp;"na droga ay ang krimen.
2. **Konstitusyon ng Pilipinas (Artikulo III, Seksyon 1):**
- **Karapatan sa Privacy:** Pinoprotektahan nito ang mga indibidwal mula sa hindi makatwirang mga paghahanap at mga seizure. Gayunpaman, ang karapatan sa privacy ay may mg"&amp;"a limitasyon para sa pagtataguyod ng kaayusan sa lipunan at kaligtasan ng publiko. 3. **Mga Naaangkop na Batas sa Mga Pampublikong Pagtitipon:** - Ang mga partikular na legal na probisyon na namamahala sa mga pampublikong asembliya ay maaaring mag-iba dep"&amp;"ende sa uri ng kaganapan at anumang mga pahintulot na kasangkot. Narito ang ilang mga posibilidad:
- **Batas Pambansa Blg. 880 (Public Assembly Act of 1985):** Binabalangkas ng batas na ito ang proseso para sa pagkuha ng mga permit para sa mapayapang pagt"&amp;"itipon. Bagama't hindi nito direktang tinutugunan ang paggamit ng droga, nagtatatag ito ng balangkas para sa mga legal na pagtitipon.
- **Mga ordinansa ng lokal na pamahalaan:** Ang mga lungsod at munisipalidad ay maaaring magkaroon ng sarili nilang mga o"&amp;"rdinansa na kumokontrol sa mga pampublikong pagtitipon. Maaaring kabilang sa mga ordinansang ito ang mga probisyon na may kaugnayan sa pagpapanatili ng kaayusan at kaligtasan sa mga ganitong kaganapan, na maaaring hindi direktang tumugon sa paggamit ng dr"&amp;"oga.
**Mga Pangunahing Punto:**
* **Tumutok sa Paggamit ng Droga:** Ang pangunahing paglabag ay nananatiling hindi awtorisadong paggamit ng mga mapanganib na droga sa ilalim ng RA 9165, anuman ang lokasyon (protesta, pagpupulong, rally).
* **Katwiran sa P"&amp;"agpapatupad ng Batas:** Ang karapatan sa privacy sa ilalim ng Konstitusyon ay balanse sa pangangailangang panatilihin ang kaayusan at kaligtasan ng publiko. Nagbibigay ito ng mga legal na batayan sa pagpapatupad ng batas upang mamagitan kung pinaghihinala"&amp;"an nila ang paggamit ng ilegal na droga sa panahon ng pampublikong kaganapan.
* **Mga Regulasyon ng Pampublikong Asembleya:** Bagama't hindi direktang tinutugunan ang paggamit ng droga, ang mga batas na namamahala sa mga pampublikong asembliya (tulad ng B"&amp;"atas Pambansa Blg. 880) ay nagtatatag ng balangkas para sa mga legal na pagtitipon at pagpapanatili ng kaayusan, na maaaring hindi direktang makaapekto sa paggamit ng droga sa mga naturang kaganapan.
**Mahalagang Tandaan:**
* Ito ay isang pinasimpleng pal"&amp;"iwanag, at ang mga legal na interpretasyon ay maaaring maging kumplikado. * Ang mga partikular na legal na pagsasaalang-alang ay maaaring mag-iba depende sa mga detalye ng sitwasyon (uri ng pagpupulong, mga permit na kasangkot, atbp.).
* Ang pagkonsulta s"&amp;"a isang abogado ay lubos na inirerekomenda para sa anumang mga legal na isyu na kinasasangkutan ng mga singil sa droga o mga pampublikong pagtitipon.")</f>
        <v>Ang hindi awtorisadong paggamit ng mga mapanganib na droga sa panahon ng mga pampublikong protesta, asembliya, o rally ay tinutugunan ng kumbinasyon ng mga batas ng Pilipinas:
1. **Comprehensive Dangerous Drugs Act of 2002 (Republic Act No. 9165):**
- **Seksyon 15 - Paggamit ng Mapanganib na Gamot:** Ang seksyong ito ay nagpaparusa sa hindi awtorisadong paggamit ng anumang mapanganib na gamot. Ang lokasyon mismo (protesta, pagpupulong, rally) ay hindi isang kadahilanan; ang pagkilos ng paggamit ng ilegal na droga ay ang krimen.
2. **Konstitusyon ng Pilipinas (Artikulo III, Seksyon 1):**
- **Karapatan sa Privacy:** Pinoprotektahan nito ang mga indibidwal mula sa hindi makatwirang mga paghahanap at mga seizure. Gayunpaman, ang karapatan sa privacy ay may mga limitasyon para sa pagtataguyod ng kaayusan sa lipunan at kaligtasan ng publiko. 3. **Mga Naaangkop na Batas sa Mga Pampublikong Pagtitipon:** - Ang mga partikular na legal na probisyon na namamahala sa mga pampublikong asembliya ay maaaring mag-iba depende sa uri ng kaganapan at anumang mga pahintulot na kasangkot. Narito ang ilang mga posibilidad:
- **Batas Pambansa Blg. 880 (Public Assembly Act of 1985):** Binabalangkas ng batas na ito ang proseso para sa pagkuha ng mga permit para sa mapayapang pagtitipon. Bagama't hindi nito direktang tinutugunan ang paggamit ng droga, nagtatatag ito ng balangkas para sa mga legal na pagtitipon.
- **Mga ordinansa ng lokal na pamahalaan:** Ang mga lungsod at munisipalidad ay maaaring magkaroon ng sarili nilang mga ordinansa na kumokontrol sa mga pampublikong pagtitipon. Maaaring kabilang sa mga ordinansang ito ang mga probisyon na may kaugnayan sa pagpapanatili ng kaayusan at kaligtasan sa mga ganitong kaganapan, na maaaring hindi direktang tumugon sa paggamit ng droga.
**Mga Pangunahing Punto:**
* **Tumutok sa Paggamit ng Droga:** Ang pangunahing paglabag ay nananatiling hindi awtorisadong paggamit ng mga mapanganib na droga sa ilalim ng RA 9165, anuman ang lokasyon (protesta, pagpupulong, rally).
* **Katwiran sa Pagpapatupad ng Batas:** Ang karapatan sa privacy sa ilalim ng Konstitusyon ay balanse sa pangangailangang panatilihin ang kaayusan at kaligtasan ng publiko. Nagbibigay ito ng mga legal na batayan sa pagpapatupad ng batas upang mamagitan kung pinaghihinalaan nila ang paggamit ng ilegal na droga sa panahon ng pampublikong kaganapan.
* **Mga Regulasyon ng Pampublikong Asembleya:** Bagama't hindi direktang tinutugunan ang paggamit ng droga, ang mga batas na namamahala sa mga pampublikong asembliya (tulad ng Batas Pambansa Blg. 880) ay nagtatatag ng balangkas para sa mga legal na pagtitipon at pagpapanatili ng kaayusan, na maaaring hindi direktang makaapekto sa paggamit ng droga sa mga naturang kaganapan.
**Mahalagang Tandaan:**
* Ito ay isang pinasimpleng paliwanag, at ang mga legal na interpretasyon ay maaaring maging kumplikado. * Ang mga partikular na legal na pagsasaalang-alang ay maaaring mag-iba depende sa mga detalye ng sitwasyon (uri ng pagpupulong, mga permit na kasangkot, atbp.).
* Ang pagkonsulta sa isang abogado ay lubos na inirerekomenda para sa anumang mga legal na isyu na kinasasangkutan ng mga singil sa droga o mga pampublikong pagtitipon.</v>
      </c>
      <c r="F2178" s="2">
        <f t="shared" si="1"/>
        <v>0</v>
      </c>
      <c r="G2178" s="2"/>
      <c r="H2178" s="2"/>
      <c r="I2178" s="2"/>
      <c r="J2178" s="2"/>
      <c r="K2178" s="2"/>
      <c r="L2178" s="2"/>
      <c r="M2178" s="2"/>
      <c r="N2178" s="2"/>
      <c r="O2178" s="2"/>
      <c r="P2178" s="2"/>
      <c r="Q2178" s="2"/>
      <c r="R2178" s="2"/>
      <c r="S2178" s="2"/>
      <c r="T2178" s="2"/>
      <c r="U2178" s="2"/>
      <c r="V2178" s="2"/>
      <c r="W2178" s="2"/>
      <c r="X2178" s="2"/>
      <c r="Y2178" s="2"/>
      <c r="Z2178" s="2"/>
      <c r="AA2178" s="2"/>
    </row>
    <row r="2179">
      <c r="A2179" s="3" t="s">
        <v>5259</v>
      </c>
      <c r="B2179" s="1" t="s">
        <v>5329</v>
      </c>
      <c r="C2179" s="1" t="s">
        <v>5330</v>
      </c>
      <c r="D2179" s="2" t="str">
        <f>IFERROR(__xludf.DUMMYFUNCTION("GOOGLETRANSLATE(B2179, ""en"", ""TL"")"),"Paano tinutugunan ng batas ang mga insidente ng paggamit ng ilegal na droga sa mga pampublikong sasakyan o terminal?")</f>
        <v>Paano tinutugunan ng batas ang mga insidente ng paggamit ng ilegal na droga sa mga pampublikong sasakyan o terminal?</v>
      </c>
      <c r="E2179" s="2" t="str">
        <f>IFERROR(__xludf.DUMMYFUNCTION("GOOGLETRANSLATE(C2179, ""en"", ""TL"")"),"Ang batas sa Pilipinas ay tumatalakay sa paggamit ng ilegal na droga sa mga pampublikong sasakyan o terminal sa pamamagitan ng kumbinasyon ng:
* **Comprehensive Dangerous Drugs Act of 2002 (Republic Act No. 9165):**
* **Seksyon 15 - Paggamit ng Mapanganib"&amp;" na Gamot:** Ang seksyong ito ay nagpaparusa sa hindi awtorisadong paggamit ng anumang mapanganib na gamot, anuman ang lokasyon. Ang pampublikong transportasyon ay nasa ilalim ng payong na ito.
* **Seksyon 12 - Pagmamay-ari ng Mapanganib na Gamot:** Kung "&amp;"mahuling gumagamit ng ilegal na droga sa isang pampublikong sasakyan o terminal, at ang tao ay may anumang halaga sa mga ito, maaari silang kasuhan ng pagmamay-ari bukod pa sa paggamit.
* **Land Transportation Office (LTO) at Philippine Drug Enforcement A"&amp;"gency (PDEA) Initiatives:**
* Ang mga ahensyang ito ay nagtutulungan upang magsagawa ng **sorpresang pagsusuri sa droga** ng mga tauhan ng pampublikong sasakyan (mga driver, konduktor) upang matiyak ang kaligtasan ng pasahero. * Maaari ding ipatupad ng LT"&amp;"O ang mga regulasyon hinggil sa **fitness to operate** ng pampublikong sasakyan, na maaaring maapektuhan ng paggamit ng droga.
Bagama't walang partikular na batas na tahasang nagbabanggit ng pampublikong transportasyon, ang pagtutok ng RA 9165 sa paggamit"&amp;" ng ilegal na droga at ang pagtutulungan ng LTO at PDEA ay nagtatatag ng malinaw na paninindigan laban sa paglabag na ito sa mga setting na ito.
**Narito ang isang breakdown ng legal na pangangatwiran:**
* Ang mga pampublikong sasakyan at terminal ay **mg"&amp;"a pampublikong espasyo**. Ang karapatan sa pagkapribado sa ilalim ng Konstitusyon ng Pilipinas (Artikulo III, Seksyon 1) ay limitado sa naturang mga puwang upang matiyak ang kaligtasan at kaayusan ng publiko.
* Ang paggamit ng ilegal na droga sa mga lugar"&amp;" na ito ay lumalabag sa Seksyon 15 ng RA 9165.
**Mga Karagdagang Pagsasaalang-alang:**
* Ang mga operator ng pampublikong transportasyon ay maaaring magkaroon ng kanilang sariling **panloob na mga patakaran** hinggil sa paggamit ng droga ng mga pasahero o"&amp;" tauhan. Ang mga patakarang ito ay maaaring maging mas mahigpit kaysa sa batas mismo at maaaring magresulta sa pagpapaalis sa sasakyan o kahit na pagbabawal sa paggamit ng serbisyo.
***Ang pag-uulat ng pinaghihinalaang paggamit ng droga** sa mga awtoridad"&amp;" (konduktor, mga tauhan ng seguridad) ay hinihikayat upang matiyak ang kaligtasan ng pasahero at payagan ang pagpapatupad ng batas na kumilos.
**Tandaan:** * Ito ay isang pinasimpleng paliwanag, at ang mga legal na interpretasyon ay maaaring maging kumpli"&amp;"kado.
* Ang pagkonsulta sa isang abogado ay lubos na inirerekomenda para sa anumang mga legal na isyu na kinasasangkutan ng mga singil sa droga sa pampublikong transportasyon.")</f>
        <v>Ang batas sa Pilipinas ay tumatalakay sa paggamit ng ilegal na droga sa mga pampublikong sasakyan o terminal sa pamamagitan ng kumbinasyon ng:
* **Comprehensive Dangerous Drugs Act of 2002 (Republic Act No. 9165):**
* **Seksyon 15 - Paggamit ng Mapanganib na Gamot:** Ang seksyong ito ay nagpaparusa sa hindi awtorisadong paggamit ng anumang mapanganib na gamot, anuman ang lokasyon. Ang pampublikong transportasyon ay nasa ilalim ng payong na ito.
* **Seksyon 12 - Pagmamay-ari ng Mapanganib na Gamot:** Kung mahuling gumagamit ng ilegal na droga sa isang pampublikong sasakyan o terminal, at ang tao ay may anumang halaga sa mga ito, maaari silang kasuhan ng pagmamay-ari bukod pa sa paggamit.
* **Land Transportation Office (LTO) at Philippine Drug Enforcement Agency (PDEA) Initiatives:**
* Ang mga ahensyang ito ay nagtutulungan upang magsagawa ng **sorpresang pagsusuri sa droga** ng mga tauhan ng pampublikong sasakyan (mga driver, konduktor) upang matiyak ang kaligtasan ng pasahero. * Maaari ding ipatupad ng LTO ang mga regulasyon hinggil sa **fitness to operate** ng pampublikong sasakyan, na maaaring maapektuhan ng paggamit ng droga.
Bagama't walang partikular na batas na tahasang nagbabanggit ng pampublikong transportasyon, ang pagtutok ng RA 9165 sa paggamit ng ilegal na droga at ang pagtutulungan ng LTO at PDEA ay nagtatatag ng malinaw na paninindigan laban sa paglabag na ito sa mga setting na ito.
**Narito ang isang breakdown ng legal na pangangatwiran:**
* Ang mga pampublikong sasakyan at terminal ay **mga pampublikong espasyo**. Ang karapatan sa pagkapribado sa ilalim ng Konstitusyon ng Pilipinas (Artikulo III, Seksyon 1) ay limitado sa naturang mga puwang upang matiyak ang kaligtasan at kaayusan ng publiko.
* Ang paggamit ng ilegal na droga sa mga lugar na ito ay lumalabag sa Seksyon 15 ng RA 9165.
**Mga Karagdagang Pagsasaalang-alang:**
* Ang mga operator ng pampublikong transportasyon ay maaaring magkaroon ng kanilang sariling **panloob na mga patakaran** hinggil sa paggamit ng droga ng mga pasahero o tauhan. Ang mga patakarang ito ay maaaring maging mas mahigpit kaysa sa batas mismo at maaaring magresulta sa pagpapaalis sa sasakyan o kahit na pagbabawal sa paggamit ng serbisyo.
***Ang pag-uulat ng pinaghihinalaang paggamit ng droga** sa mga awtoridad (konduktor, mga tauhan ng seguridad) ay hinihikayat upang matiyak ang kaligtasan ng pasahero at payagan ang pagpapatupad ng batas na kumilos.
**Tandaan:** * Ito ay isang pinasimpleng paliwanag, at ang mga legal na interpretasyon ay maaaring maging kumplikado.
* Ang pagkonsulta sa isang abogado ay lubos na inirerekomenda para sa anumang mga legal na isyu na kinasasangkutan ng mga singil sa droga sa pampublikong transportasyon.</v>
      </c>
      <c r="F2179" s="2">
        <f t="shared" si="1"/>
        <v>0</v>
      </c>
      <c r="G2179" s="2"/>
      <c r="H2179" s="2"/>
      <c r="I2179" s="2"/>
      <c r="J2179" s="2"/>
      <c r="K2179" s="2"/>
      <c r="L2179" s="2"/>
      <c r="M2179" s="2"/>
      <c r="N2179" s="2"/>
      <c r="O2179" s="2"/>
      <c r="P2179" s="2"/>
      <c r="Q2179" s="2"/>
      <c r="R2179" s="2"/>
      <c r="S2179" s="2"/>
      <c r="T2179" s="2"/>
      <c r="U2179" s="2"/>
      <c r="V2179" s="2"/>
      <c r="W2179" s="2"/>
      <c r="X2179" s="2"/>
      <c r="Y2179" s="2"/>
      <c r="Z2179" s="2"/>
      <c r="AA2179" s="2"/>
    </row>
    <row r="2180">
      <c r="A2180" s="3" t="s">
        <v>5259</v>
      </c>
      <c r="B2180" s="1" t="s">
        <v>5331</v>
      </c>
      <c r="C2180" s="1" t="s">
        <v>5332</v>
      </c>
      <c r="D2180" s="2" t="str">
        <f>IFERROR(__xludf.DUMMYFUNCTION("GOOGLETRANSLATE(B2180, ""en"", ""TL"")"),"Anong mga parusa ang naaangkop para sa pagsali sa krimen ng paggamit ng ilegal na droga sa mga pampublikong pasilidad o lugar na pag-aari ng gobyerno?")</f>
        <v>Anong mga parusa ang naaangkop para sa pagsali sa krimen ng paggamit ng ilegal na droga sa mga pampublikong pasilidad o lugar na pag-aari ng gobyerno?</v>
      </c>
      <c r="E2180" s="2" t="str">
        <f>IFERROR(__xludf.DUMMYFUNCTION("GOOGLETRANSLATE(C2180, ""en"", ""TL"")"),"Ang mga parusa para sa paggamit ng ilegal na droga sa mga pampublikong pasilidad o lugar na pag-aari ng gobyerno ay nagmula sa **Comprehensive Dangerous Drugs Act of 2002 (Republic Act No. 9165)**, partikular:
* **Seksyon 15 - Paggamit ng Mga Mapanganib n"&amp;"a Gamot:** Binabalangkas ng seksyong ito ang mga parusa para sa hindi awtorisadong paggamit ng anumang mapanganib na gamot. Ang parusa ay depende sa kung ito ay una, pangalawa, o kasunod na pagkakasala:
* **Unang Pagkakasala:** **Pagkulong ng anim (6) na "&amp;"buwan hanggang apat (4) na taon** at multa mula **Limang Daang Libong Piso (PhP 500,000.00) hanggang Isang Milyong Piso (PhP 1,000,000.00)** .
* **Ikalawang Pagkakasala:** **Pagkulong ng apat (4) na taon at dalawang (2) araw hanggang labindalawang (12) ta"&amp;"on** at multa mula **Isang Milyong Piso (PhP 1,000,000.00) hanggang Dalawang Milyong Piso ( PhP 2,000,000.00)**.
* **Ikatlong Pagkakasala:** **Habambuhay na pagkakulong** at multa mula sa **Three Million Pesos (PhP 3,000,000.00) hanggang Four Million Peso"&amp;"s (PhP 4,000,000.00)**.
**Mahahalagang Punto:**
* Ang lokasyon ng paggamit ng droga (pampublikong pasilidad, lugar na pag-aari ng gobyerno) ay hindi binabago ang batayang parusa sa ilalim ng RA 9165. * Gayunpaman, ang ilang mga pampublikong pasilidad o ah"&amp;"ensya ng gobyerno ay maaaring may sariling **mga parusang pang-administratibo** sa ibabaw ng mga kasong kriminal.
**Mga Karagdagang Pagsasaalang-alang:**
* **Seksyon 12 - Pagmamay-ari ng Mapanganib na Gamot:** Kung nahuli na gumagamit ng ilegal na droga a"&amp;"t napag-alamang may hawak ng anumang halaga, ang tao ay maaaring maharap sa mga karagdagang singil at parusa sa ilalim ng seksyong ito.
**Tandaan:**
* Ito ay isang pinasimpleng paliwanag, at ang mga legal na interpretasyon ay maaaring maging kumplikado.
*"&amp;" Ang mga partikular na parusa ay maaaring mag-iba depende sa mga kalagayan ng kaso (uri ng gamot, dami, atbp.). * Ang pagkonsulta sa isang abogado ay lubos na inirerekomenda para sa anumang sitwasyon na may kinalaman sa mga singil sa droga.")</f>
        <v>Ang mga parusa para sa paggamit ng ilegal na droga sa mga pampublikong pasilidad o lugar na pag-aari ng gobyerno ay nagmula sa **Comprehensive Dangerous Drugs Act of 2002 (Republic Act No. 9165)**, partikular:
* **Seksyon 15 - Paggamit ng Mga Mapanganib na Gamot:** Binabalangkas ng seksyong ito ang mga parusa para sa hindi awtorisadong paggamit ng anumang mapanganib na gamot. Ang parusa ay depende sa kung ito ay una, pangalawa, o kasunod na pagkakasala:
* **Unang Pagkakasala:** **Pagkulong ng anim (6) na buwan hanggang apat (4) na taon** at multa mula **Limang Daang Libong Piso (PhP 500,000.00) hanggang Isang Milyong Piso (PhP 1,000,000.00)** .
* **Ikalawang Pagkakasala:** **Pagkulong ng apat (4) na taon at dalawang (2) araw hanggang labindalawang (12) taon** at multa mula **Isang Milyong Piso (PhP 1,000,000.00) hanggang Dalawang Milyong Piso ( PhP 2,000,000.00)**.
* **Ikatlong Pagkakasala:** **Habambuhay na pagkakulong** at multa mula sa **Three Million Pesos (PhP 3,000,000.00) hanggang Four Million Pesos (PhP 4,000,000.00)**.
**Mahahalagang Punto:**
* Ang lokasyon ng paggamit ng droga (pampublikong pasilidad, lugar na pag-aari ng gobyerno) ay hindi binabago ang batayang parusa sa ilalim ng RA 9165. * Gayunpaman, ang ilang mga pampublikong pasilidad o ahensya ng gobyerno ay maaaring may sariling **mga parusang pang-administratibo** sa ibabaw ng mga kasong kriminal.
**Mga Karagdagang Pagsasaalang-alang:**
* **Seksyon 12 - Pagmamay-ari ng Mapanganib na Gamot:** Kung nahuli na gumagamit ng ilegal na droga at napag-alamang may hawak ng anumang halaga, ang tao ay maaaring maharap sa mga karagdagang singil at parusa sa ilalim ng seksyong ito.
**Tandaan:**
* Ito ay isang pinasimpleng paliwanag, at ang mga legal na interpretasyon ay maaaring maging kumplikado.
* Ang mga partikular na parusa ay maaaring mag-iba depende sa mga kalagayan ng kaso (uri ng gamot, dami, atbp.). * Ang pagkonsulta sa isang abogado ay lubos na inirerekomenda para sa anumang sitwasyon na may kinalaman sa mga singil sa droga.</v>
      </c>
      <c r="F2180" s="2">
        <f t="shared" si="1"/>
        <v>0</v>
      </c>
      <c r="G2180" s="2"/>
      <c r="H2180" s="2"/>
      <c r="I2180" s="2"/>
      <c r="J2180" s="2"/>
      <c r="K2180" s="2"/>
      <c r="L2180" s="2"/>
      <c r="M2180" s="2"/>
      <c r="N2180" s="2"/>
      <c r="O2180" s="2"/>
      <c r="P2180" s="2"/>
      <c r="Q2180" s="2"/>
      <c r="R2180" s="2"/>
      <c r="S2180" s="2"/>
      <c r="T2180" s="2"/>
      <c r="U2180" s="2"/>
      <c r="V2180" s="2"/>
      <c r="W2180" s="2"/>
      <c r="X2180" s="2"/>
      <c r="Y2180" s="2"/>
      <c r="Z2180" s="2"/>
      <c r="AA2180" s="2"/>
    </row>
    <row r="2181">
      <c r="A2181" s="3" t="s">
        <v>5259</v>
      </c>
      <c r="B2181" s="1" t="s">
        <v>5333</v>
      </c>
      <c r="C2181" s="1" t="s">
        <v>5334</v>
      </c>
      <c r="D2181" s="2" t="str">
        <f>IFERROR(__xludf.DUMMYFUNCTION("GOOGLETRANSLATE(B2181, ""en"", ""TL"")"),"Paano kinokontrol at pinaparusahan ang pagkakasala ng paggamit ng ilegal na droga sa mga pampublikong pamilihan, plaza, o iba pang katulad na lugar?")</f>
        <v>Paano kinokontrol at pinaparusahan ang pagkakasala ng paggamit ng ilegal na droga sa mga pampublikong pamilihan, plaza, o iba pang katulad na lugar?</v>
      </c>
      <c r="E2181" s="2" t="str">
        <f>IFERROR(__xludf.DUMMYFUNCTION("GOOGLETRANSLATE(C2181, ""en"", ""TL"")"),"Ang paggamit ng ilegal na droga sa mga pampublikong pamilihan, plaza, o katulad na mga lugar ay kinokontrol at pinarurusahan sa ilalim ng interplay ng dalawang pangunahing batas ng Pilipinas:
1. **Comprehensive Dangerous Drugs Act of 2002 (Republic Act No"&amp;". 9165):** Ito ang pangunahing batas na tumutugon sa ilegal na droga sa Pilipinas.
* **Seksyon 15 - Paggamit ng Mapanganib na Gamot:** Ang seksyong ito ay nagpaparusa sa hindi awtorisadong paggamit ng anumang mapanganib na gamot. Ang mga pampublikong pami"&amp;"lihan, plaza, at mga katulad na lugar ay itinuturing na mga pampublikong espasyo, at ang paggamit ng ilegal na droga doon ay nasa ilalim ng pagbabawal na ito. 2. **Konstitusyon ng Pilipinas (Artikulo III, Seksyon 1):** Ginagarantiyahan ng seksyong ito ang"&amp;" karapatan sa pagkapribado, ngunit kinikilala din nito ang mga limitasyon para sa pagtataguyod ng kaayusan sa lipunan at kaligtasan ng publiko.
**Narito kung paano gumagana ang mga batas na ito nang magkasama:**
* **Pampubliko vs. Pribado:** Ang mga pampu"&amp;"blikong pamilihan, plaza, at mga katulad na lugar ay hindi itinuturing na mga pribadong espasyo kung saan ang mga indibidwal ay may mas mataas na inaasahan ng privacy. Samakatuwid, ang paggamit ng ilegal na droga sa mga lokasyong ito ay lumalabag sa Seksy"&amp;"on 15 ng RA 9165. * **Katwiran sa Pagpapatupad ng Batas:** Ang karapatan sa pagkapribado ay balanse sa pangangailangang mapanatili ang kaligtasan ng publiko. Nagbibigay-daan ito sa mga nagpapatupad ng batas na makialam kung pinaghihinalaan nila ang paggam"&amp;"it ng ilegal na droga sa mga pampublikong espasyong ito upang matiyak ang kaayusan at kaligtasan.
**Mga Parusa:**
Ang mga parusa para sa paggamit ng iligal na droga sa mga pampublikong pamilihan, plaza, o katulad na mga lugar ay kapareho ng sa anumang pag"&amp;"kakataon ng hindi awtorisadong paggamit ng droga sa ilalim ng RA 9165 (Seksyon 15):
* **Unang Pagkakasala:** Pagkakulong ng anim (6) na buwan hanggang apat (4) na taon at multa mula Limang Daang Libo (PhP 500,000.00) hanggang Isang Milyong Piso (PhP 1,000"&amp;",000.00).
* **Ikalawang Pagkakasala:** Pagkakulong ng apat (4) na taon at dalawang (2) araw hanggang labindalawang (12) taon at multa mula sa Isang Milyong Piso (PhP 1,000,000.00) hanggang Dalawang Milyong Piso (PhP 2,000,000.00).
* **Ikatlong Pagkakasala"&amp;":** Habambuhay na pagkakulong at multa mula sa Tatlong Milyong Piso (PhP 3,000,000.00) hanggang Apat na Milyong Piso (PhP 4,000,000.00).
**Mga Karagdagang Pagsasaalang-alang:**
* **Mga Lokal na Ordinansa:** Ang ilang mga lungsod at munisipalidad ay maaari"&amp;"ng may sariling mga ordinansa tungkol sa pampublikong pag-uugali sa mga pamilihan, plaza, at mga katulad na lugar. Maaaring kabilang sa mga ordinansang ito ang mga probisyon na may kaugnayan sa pagpapanatili ng kaayusan at kaligtasan, na maaaring hindi di"&amp;"rektang tumugon sa paggamit ng droga. Ang paglabag sa mga naturang ordinansa ay maaaring magresulta sa karagdagang mga parusa.
* **Mga Parusa sa Administratibo:** Ang pamamahala ng mga pampublikong pamilihan o plaza ay maaaring may sariling mga panloob na"&amp;" tuntunin at regulasyon. Ang paglabag sa mga panuntunang ito, tulad ng paggamit ng droga, ay maaaring humantong sa mga parusang administratibo tulad ng pagbabawal sa lugar.
**Tandaan:**
* Ito ay isang pinasimpleng paliwanag, at ang mga legal na interpreta"&amp;"syon ay maaaring maging kumplikado.
* Ang mga partikular na kalagayan ng kaso (uri ng gamot, dami, atbp.) ay maaaring makaimpluwensya sa mga legalidad. * Ang pagkonsulta sa isang abogado ay lubos na inirerekomenda para sa anumang sitwasyon na may kinalama"&amp;"n sa mga singil sa droga.")</f>
        <v>Ang paggamit ng ilegal na droga sa mga pampublikong pamilihan, plaza, o katulad na mga lugar ay kinokontrol at pinarurusahan sa ilalim ng interplay ng dalawang pangunahing batas ng Pilipinas:
1. **Comprehensive Dangerous Drugs Act of 2002 (Republic Act No. 9165):** Ito ang pangunahing batas na tumutugon sa ilegal na droga sa Pilipinas.
* **Seksyon 15 - Paggamit ng Mapanganib na Gamot:** Ang seksyong ito ay nagpaparusa sa hindi awtorisadong paggamit ng anumang mapanganib na gamot. Ang mga pampublikong pamilihan, plaza, at mga katulad na lugar ay itinuturing na mga pampublikong espasyo, at ang paggamit ng ilegal na droga doon ay nasa ilalim ng pagbabawal na ito. 2. **Konstitusyon ng Pilipinas (Artikulo III, Seksyon 1):** Ginagarantiyahan ng seksyong ito ang karapatan sa pagkapribado, ngunit kinikilala din nito ang mga limitasyon para sa pagtataguyod ng kaayusan sa lipunan at kaligtasan ng publiko.
**Narito kung paano gumagana ang mga batas na ito nang magkasama:**
* **Pampubliko vs. Pribado:** Ang mga pampublikong pamilihan, plaza, at mga katulad na lugar ay hindi itinuturing na mga pribadong espasyo kung saan ang mga indibidwal ay may mas mataas na inaasahan ng privacy. Samakatuwid, ang paggamit ng ilegal na droga sa mga lokasyong ito ay lumalabag sa Seksyon 15 ng RA 9165. * **Katwiran sa Pagpapatupad ng Batas:** Ang karapatan sa pagkapribado ay balanse sa pangangailangang mapanatili ang kaligtasan ng publiko. Nagbibigay-daan ito sa mga nagpapatupad ng batas na makialam kung pinaghihinalaan nila ang paggamit ng ilegal na droga sa mga pampublikong espasyong ito upang matiyak ang kaayusan at kaligtasan.
**Mga Parusa:**
Ang mga parusa para sa paggamit ng iligal na droga sa mga pampublikong pamilihan, plaza, o katulad na mga lugar ay kapareho ng sa anumang pagkakataon ng hindi awtorisadong paggamit ng droga sa ilalim ng RA 9165 (Seksyon 15):
* **Unang Pagkakasala:** Pagkakulong ng anim (6) na buwan hanggang apat (4) na taon at multa mula Limang Daang Libo (PhP 500,000.00) hanggang Isang Milyong Piso (PhP 1,000,000.00).
* **Ikalawang Pagkakasala:** Pagkakulong ng apat (4) na taon at dalawang (2) araw hanggang labindalawang (12) taon at multa mula sa Isang Milyong Piso (PhP 1,000,000.00) hanggang Dalawang Milyong Piso (PhP 2,000,000.00).
* **Ikatlong Pagkakasala:** Habambuhay na pagkakulong at multa mula sa Tatlong Milyong Piso (PhP 3,000,000.00) hanggang Apat na Milyong Piso (PhP 4,000,000.00).
**Mga Karagdagang Pagsasaalang-alang:**
* **Mga Lokal na Ordinansa:** Ang ilang mga lungsod at munisipalidad ay maaaring may sariling mga ordinansa tungkol sa pampublikong pag-uugali sa mga pamilihan, plaza, at mga katulad na lugar. Maaaring kabilang sa mga ordinansang ito ang mga probisyon na may kaugnayan sa pagpapanatili ng kaayusan at kaligtasan, na maaaring hindi direktang tumugon sa paggamit ng droga. Ang paglabag sa mga naturang ordinansa ay maaaring magresulta sa karagdagang mga parusa.
* **Mga Parusa sa Administratibo:** Ang pamamahala ng mga pampublikong pamilihan o plaza ay maaaring may sariling mga panloob na tuntunin at regulasyon. Ang paglabag sa mga panuntunang ito, tulad ng paggamit ng droga, ay maaaring humantong sa mga parusang administratibo tulad ng pagbabawal sa lugar.
**Tandaan:**
* Ito ay isang pinasimpleng paliwanag, at ang mga legal na interpretasyon ay maaaring maging kumplikado.
* Ang mga partikular na kalagayan ng kaso (uri ng gamot, dami, atbp.) ay maaaring makaimpluwensya sa mga legalidad. * Ang pagkonsulta sa isang abogado ay lubos na inirerekomenda para sa anumang sitwasyon na may kinalaman sa mga singil sa droga.</v>
      </c>
      <c r="F2181" s="2">
        <f t="shared" si="1"/>
        <v>0</v>
      </c>
      <c r="G2181" s="2"/>
      <c r="H2181" s="2"/>
      <c r="I2181" s="2"/>
      <c r="J2181" s="2"/>
      <c r="K2181" s="2"/>
      <c r="L2181" s="2"/>
      <c r="M2181" s="2"/>
      <c r="N2181" s="2"/>
      <c r="O2181" s="2"/>
      <c r="P2181" s="2"/>
      <c r="Q2181" s="2"/>
      <c r="R2181" s="2"/>
      <c r="S2181" s="2"/>
      <c r="T2181" s="2"/>
      <c r="U2181" s="2"/>
      <c r="V2181" s="2"/>
      <c r="W2181" s="2"/>
      <c r="X2181" s="2"/>
      <c r="Y2181" s="2"/>
      <c r="Z2181" s="2"/>
      <c r="AA2181" s="2"/>
    </row>
    <row r="2182">
      <c r="A2182" s="3" t="s">
        <v>5259</v>
      </c>
      <c r="B2182" s="1" t="s">
        <v>5335</v>
      </c>
      <c r="C2182" s="1" t="s">
        <v>5336</v>
      </c>
      <c r="D2182" s="2" t="str">
        <f>IFERROR(__xludf.DUMMYFUNCTION("GOOGLETRANSLATE(B2182, ""en"", ""TL"")"),"Sa ilalim ng anong mga pangyayari ang isang tao ay maaaring makasuhan ng krimen ng paggamit ng ilegal na droga sa mga pampublikong banyo o comfort room?")</f>
        <v>Sa ilalim ng anong mga pangyayari ang isang tao ay maaaring makasuhan ng krimen ng paggamit ng ilegal na droga sa mga pampublikong banyo o comfort room?</v>
      </c>
      <c r="E2182" s="2" t="str">
        <f>IFERROR(__xludf.DUMMYFUNCTION("GOOGLETRANSLATE(C2182, ""en"", ""TL"")"),"Itinuturing ng batas ng Pilipinas na ang paggamit ng ilegal na droga sa mga pampublikong banyo o comfort room ay isang krimen sa ilalim ng **Comprehensive Dangerous Drugs Act of 2002 (Republic Act No. 9165)**, partikular na:
* **Seksyon 15 - Paggamit ng M"&amp;"apanganib na Gamot:** Ang seksyong ito ay nagpaparusa sa hindi awtorisadong paggamit ng anumang mapanganib na gamot. Ang mga pampublikong banyo, habang nag-aalok ng ilang privacy, ay hindi itinuturing na mga pribadong espasyo kung saan ang mga indibidwal "&amp;"ay may ganap na inaasahan ng privacy sa ilalim ng Konstitusyon ng Pilipinas (Artikulo III, Seksyon 1).
**Mga Pangunahing Punto:**
* **Pampubliko kumpara sa Pribado:** Ang mga banyo ay inilaan para sa isang partikular na layunin at hindi itinuturing na gan"&amp;"ap na pribado. Ang inaasahan ng privacy ay limitado sa paggamit ng mga pasilidad mismo.
* **Katwiran sa Pagpapatupad ng Batas:** Ang pagpapanatili ng kaligtasan at kaayusan ng publiko ay nagbibigay-daan sa nagpapatupad ng batas na makialam kung mayroon si"&amp;"lang posibleng dahilan upang maghinala ng paggamit ng ilegal na droga sa pampublikong banyo. Ang posibleng dahilan na ito ay maaaring may kasamang mga kadahilanan tulad ng kahina-hinalang pag-uugali, pagsaksi ng mga gamit sa droga, o pagtanggap ng mga ula"&amp;"t mula sa iba.
**Pagsisingil:**
Narito kung kailan maaaring makasuhan ang isang tao ng paggamit ng ilegal na droga sa pampublikong banyo:
* **Nahuli sa Batas:** Kung ang mga opisyal ng pagpapatupad ng batas ay nakasaksi ng isang tao na gumagamit ng ilegal"&amp;" na droga sa pampublikong banyo, maaari silang arestuhin.
* **Pagmamay-ari ng Droga:** Kung ang isang tao ay nahuling gumagamit ng droga at napatunayang nagtataglay din ng anumang halaga ng ilegal na droga, maaari silang maharap sa karagdagang mga kaso sa"&amp;" ilalim ng Seksyon 12 ng RA 9165 (Pagtataglay ng Mapanganib na Gamot).
* **Probable Cause:** Kahit na hindi nasaksihan ang aktwal na paggamit, ang mga opisyal na may probable cause (tulad ng drug paraphernalia o gawi ng gumagamit) ay maaaring magsagawa ng"&amp;" paghahanap o pag-aresto, na humahantong sa mga kaso.
**Mahalagang Tandaan:**
* Ito ay isang pinasimpleng paliwanag, at ang mga legal na interpretasyon ay maaaring maging kumplikado.
* Ang mga partikular na pangyayari (pagsaksi sa kilos, pagmamay-ari, pos"&amp;"ibleng dahilan) ay gumaganap ng isang papel sa kung paano lumaganap ang kaso. * Ang pagkonsulta sa isang abogado ay lubos na inirerekomenda para sa anumang sitwasyon na may kinalaman sa mga singil sa droga.")</f>
        <v>Itinuturing ng batas ng Pilipinas na ang paggamit ng ilegal na droga sa mga pampublikong banyo o comfort room ay isang krimen sa ilalim ng **Comprehensive Dangerous Drugs Act of 2002 (Republic Act No. 9165)**, partikular na:
* **Seksyon 15 - Paggamit ng Mapanganib na Gamot:** Ang seksyong ito ay nagpaparusa sa hindi awtorisadong paggamit ng anumang mapanganib na gamot. Ang mga pampublikong banyo, habang nag-aalok ng ilang privacy, ay hindi itinuturing na mga pribadong espasyo kung saan ang mga indibidwal ay may ganap na inaasahan ng privacy sa ilalim ng Konstitusyon ng Pilipinas (Artikulo III, Seksyon 1).
**Mga Pangunahing Punto:**
* **Pampubliko kumpara sa Pribado:** Ang mga banyo ay inilaan para sa isang partikular na layunin at hindi itinuturing na ganap na pribado. Ang inaasahan ng privacy ay limitado sa paggamit ng mga pasilidad mismo.
* **Katwiran sa Pagpapatupad ng Batas:** Ang pagpapanatili ng kaligtasan at kaayusan ng publiko ay nagbibigay-daan sa nagpapatupad ng batas na makialam kung mayroon silang posibleng dahilan upang maghinala ng paggamit ng ilegal na droga sa pampublikong banyo. Ang posibleng dahilan na ito ay maaaring may kasamang mga kadahilanan tulad ng kahina-hinalang pag-uugali, pagsaksi ng mga gamit sa droga, o pagtanggap ng mga ulat mula sa iba.
**Pagsisingil:**
Narito kung kailan maaaring makasuhan ang isang tao ng paggamit ng ilegal na droga sa pampublikong banyo:
* **Nahuli sa Batas:** Kung ang mga opisyal ng pagpapatupad ng batas ay nakasaksi ng isang tao na gumagamit ng ilegal na droga sa pampublikong banyo, maaari silang arestuhin.
* **Pagmamay-ari ng Droga:** Kung ang isang tao ay nahuling gumagamit ng droga at napatunayang nagtataglay din ng anumang halaga ng ilegal na droga, maaari silang maharap sa karagdagang mga kaso sa ilalim ng Seksyon 12 ng RA 9165 (Pagtataglay ng Mapanganib na Gamot).
* **Probable Cause:** Kahit na hindi nasaksihan ang aktwal na paggamit, ang mga opisyal na may probable cause (tulad ng drug paraphernalia o gawi ng gumagamit) ay maaaring magsagawa ng paghahanap o pag-aresto, na humahantong sa mga kaso.
**Mahalagang Tandaan:**
* Ito ay isang pinasimpleng paliwanag, at ang mga legal na interpretasyon ay maaaring maging kumplikado.
* Ang mga partikular na pangyayari (pagsaksi sa kilos, pagmamay-ari, posibleng dahilan) ay gumaganap ng isang papel sa kung paano lumaganap ang kaso. * Ang pagkonsulta sa isang abogado ay lubos na inirerekomenda para sa anumang sitwasyon na may kinalaman sa mga singil sa droga.</v>
      </c>
      <c r="F2182" s="2">
        <f t="shared" si="1"/>
        <v>0</v>
      </c>
      <c r="G2182" s="2"/>
      <c r="H2182" s="2"/>
      <c r="I2182" s="2"/>
      <c r="J2182" s="2"/>
      <c r="K2182" s="2"/>
      <c r="L2182" s="2"/>
      <c r="M2182" s="2"/>
      <c r="N2182" s="2"/>
      <c r="O2182" s="2"/>
      <c r="P2182" s="2"/>
      <c r="Q2182" s="2"/>
      <c r="R2182" s="2"/>
      <c r="S2182" s="2"/>
      <c r="T2182" s="2"/>
      <c r="U2182" s="2"/>
      <c r="V2182" s="2"/>
      <c r="W2182" s="2"/>
      <c r="X2182" s="2"/>
      <c r="Y2182" s="2"/>
      <c r="Z2182" s="2"/>
      <c r="AA2182" s="2"/>
    </row>
    <row r="2183">
      <c r="A2183" s="3" t="s">
        <v>5259</v>
      </c>
      <c r="B2183" s="1" t="s">
        <v>5337</v>
      </c>
      <c r="C2183" s="1" t="s">
        <v>5338</v>
      </c>
      <c r="D2183" s="2" t="str">
        <f>IFERROR(__xludf.DUMMYFUNCTION("GOOGLETRANSLATE(B2183, ""en"", ""TL"")"),"Anong mga legal na hakbang ang umiiral upang labanan ang paggamit ng ilegal na droga sa mga pampublikong lugar malapit sa mga paaralan, kolehiyo, at unibersidad?")</f>
        <v>Anong mga legal na hakbang ang umiiral upang labanan ang paggamit ng ilegal na droga sa mga pampublikong lugar malapit sa mga paaralan, kolehiyo, at unibersidad?</v>
      </c>
      <c r="E2183" s="2" t="str">
        <f>IFERROR(__xludf.DUMMYFUNCTION("GOOGLETRANSLATE(C2183, ""en"", ""TL"")"),"Upang labanan ang paggamit ng iligal na droga sa mga pampublikong lugar malapit sa mga paaralan, kolehiyo, at unibersidad sa Pilipinas, ipinapatupad ang iba't ibang mga legal na hakbang at regulasyon upang maiwasan ang mga aktibidad na nauugnay sa droga a"&amp;"t magsulong ng kapaligirang walang droga na nakakatulong sa pag-aaral at kaligtasan. Narito ang ilan sa mga legal na hakbang sa lugar:
1. **Comprehensive Dangerous Drugs Act of 2002 (RA 9165):**
- Ipinagbabawal ng Comprehensive Dangerous Drugs Act of 2002"&amp;" ang paggamit, pagbebenta, pamamahagi, at pagmamay-ari ng mga mapanganib na droga o mga kinokontrol na sangkap sa loob ng mga tinukoy na lugar na walang droga, kabilang ang mga lugar na malapit sa mga paaralan, kolehiyo, at unibersidad.
- Sa ilalim ng bat"&amp;"as, ang mga indibidwal na mahahanap na nakikibahagi sa mga aktibidad na nauugnay sa ilegal na droga sa loob ng mga drug-free zone na ito ay maaaring maharap sa pinahusay na mga parusa.
2. **Paglikha ng mga Drug-Free Zone:**
- Ang mga local government unit"&amp;" (LGU) at mga institusyong pang-edukasyon ay maaaring magtatag ng mga drug-free zone sa paligid ng mga paaralan, kolehiyo, at unibersidad upang hadlangan ang mga aktibidad ng ilegal na droga at protektahan ang mga estudyante at guro mula sa pagkakalantad "&amp;"sa droga.
- Ang mga drug-free zone na ito ay itinalagang mga lugar kung saan ipinapatupad ang mas mahigpit na mga hakbang sa pagpapatupad upang maiwasan ang mga paglabag na may kaugnayan sa droga at itaguyod ang isang ligtas at malusog na kapaligiran para"&amp;" sa pag-aaral.
3. **Nadagdagang Presensya at Pagsubaybay ng Pulis:**
- Ang mga ahensyang nagpapatupad ng batas, tulad ng Philippine National Police (PNP) at Philippine Drug Enforcement Agency (PDEA), ay maaaring magtalaga ng karagdagang tauhan at magsagaw"&amp;"a ng mga regular na patrol at surveillance operations sa mga pampublikong lugar malapit sa mga institusyong pang-edukasyon upang maiwasan at mapigilan ang mga aktibidad ng ilegal na droga.
- Ang pagtaas ng presensya ng pulisya ay nakakatulong upang hadlan"&amp;"gan ang mga paglabag na may kaugnayan sa droga at nagbibigay ng pakiramdam ng seguridad para sa mga mag-aaral, guro, at sa nakapaligid na komunidad.
4. **Mga Programa para sa Kamalayan at Pag-iwas sa Droga:**
- Ang mga institusyong pang-edukasyon, sa paki"&amp;"kipagtulungan ng mga ahensya ng gobyerno at non-government organization (NGOs), ay maaaring magpatupad ng mga programa sa kamalayan at pag-iwas sa droga upang turuan ang mga mag-aaral, guro, at mga magulang tungkol sa mga panganib ng paggamit ng ilegal na"&amp;" droga at itaguyod ang mga pamumuhay na walang droga.
- Maaaring kabilang sa mga programang ito ang mga seminar sa edukasyon sa droga, mga workshop, pagpapayo sa mga kasamahan, at mga inisyatiba sa pakikipag-ugnayan sa komunidad na naglalayong itaas ang k"&amp;"amalayan at pagyamanin ang isang kapaligirang sumusuporta para sa pag-iwas at interbensyon sa droga.
5. **Pakikipag-ugnayan at Pakikipagtulungan ng Komunidad:**
- Ang paglaban sa paggamit ng ilegal na droga malapit sa mga paaralan, kolehiyo, at unibersida"&amp;"d ay nangangailangan ng aktibong pakikilahok at pakikipagtulungan ng iba't ibang stakeholder, kabilang ang mga ahensya ng gobyerno, tagapagpatupad ng batas, mga institusyong pang-edukasyon, mga magulang, mga mag-aaral, at mga miyembro ng komunidad.
- Ang "&amp;"mga pagsisikap sa pakikipag-ugnayan sa komunidad, tulad ng mga programa sa panonood ng kapitbahayan, mga boluntaryong patrol, at mga kampanya ng impormasyon, ay tumutulong sa pagpapakilos ng suporta at mga mapagkukunan upang matugunan ang mga isyu na may "&amp;"kaugnayan sa droga nang epektibo.
6. **Mahigpit na Pagpapatupad ng mga Batas at Regulasyon:**
- Ang mga awtoridad ay nagpapatupad ng mga umiiral na batas at regulasyon, tulad ng Comprehensive Dangerous Drugs Act of 2002 at mga lokal na ordinansa, upang su"&amp;"gpuin ang mga aktibidad ng ilegal na droga malapit sa mga institusyong pang-edukasyon.
- Ang mga mahigpit na hakbang sa pagpapatupad, kabilang ang mga pag-aresto, pag-uusig, at mga parusa para sa mga nagkasala, ay nagpapadala ng malinaw na mensahe na ang "&amp;"paggamit ng ilegal na droga ay hindi papahintulutan sa mga pampublikong lugar, lalo na ang mga malapit sa mga paaralan, kolehiyo, at unibersidad.
Sa pangkalahatan, ang pagpapatupad ng mga legal na hakbang na ito, kasama ang aktibong pakikipag-ugnayan at p"&amp;"agtutulungan ng komunidad, ay gumaganap ng mahalagang papel sa paglaban sa paggamit ng ilegal na droga sa mga pampublikong espasyo malapit sa mga institusyong pang-edukasyon sa Pilipinas. Sa pamamagitan ng pagtataguyod ng isang kapaligirang walang droga a"&amp;"t pagpapaunlad ng kultura ng pag-iwas at interbensyon, ang mga stakeholder ay nagtutulungan upang protektahan ang kagalingan at kaligtasan ng mga mag-aaral, guro, at ng mas malawak na komunidad.")</f>
        <v>Upang labanan ang paggamit ng iligal na droga sa mga pampublikong lugar malapit sa mga paaralan, kolehiyo, at unibersidad sa Pilipinas, ipinapatupad ang iba't ibang mga legal na hakbang at regulasyon upang maiwasan ang mga aktibidad na nauugnay sa droga at magsulong ng kapaligirang walang droga na nakakatulong sa pag-aaral at kaligtasan. Narito ang ilan sa mga legal na hakbang sa lugar:
1. **Comprehensive Dangerous Drugs Act of 2002 (RA 9165):**
- Ipinagbabawal ng Comprehensive Dangerous Drugs Act of 2002 ang paggamit, pagbebenta, pamamahagi, at pagmamay-ari ng mga mapanganib na droga o mga kinokontrol na sangkap sa loob ng mga tinukoy na lugar na walang droga, kabilang ang mga lugar na malapit sa mga paaralan, kolehiyo, at unibersidad.
- Sa ilalim ng batas, ang mga indibidwal na mahahanap na nakikibahagi sa mga aktibidad na nauugnay sa ilegal na droga sa loob ng mga drug-free zone na ito ay maaaring maharap sa pinahusay na mga parusa.
2. **Paglikha ng mga Drug-Free Zone:**
- Ang mga local government unit (LGU) at mga institusyong pang-edukasyon ay maaaring magtatag ng mga drug-free zone sa paligid ng mga paaralan, kolehiyo, at unibersidad upang hadlangan ang mga aktibidad ng ilegal na droga at protektahan ang mga estudyante at guro mula sa pagkakalantad sa droga.
- Ang mga drug-free zone na ito ay itinalagang mga lugar kung saan ipinapatupad ang mas mahigpit na mga hakbang sa pagpapatupad upang maiwasan ang mga paglabag na may kaugnayan sa droga at itaguyod ang isang ligtas at malusog na kapaligiran para sa pag-aaral.
3. **Nadagdagang Presensya at Pagsubaybay ng Pulis:**
- Ang mga ahensyang nagpapatupad ng batas, tulad ng Philippine National Police (PNP) at Philippine Drug Enforcement Agency (PDEA), ay maaaring magtalaga ng karagdagang tauhan at magsagawa ng mga regular na patrol at surveillance operations sa mga pampublikong lugar malapit sa mga institusyong pang-edukasyon upang maiwasan at mapigilan ang mga aktibidad ng ilegal na droga.
- Ang pagtaas ng presensya ng pulisya ay nakakatulong upang hadlangan ang mga paglabag na may kaugnayan sa droga at nagbibigay ng pakiramdam ng seguridad para sa mga mag-aaral, guro, at sa nakapaligid na komunidad.
4. **Mga Programa para sa Kamalayan at Pag-iwas sa Droga:**
- Ang mga institusyong pang-edukasyon, sa pakikipagtulungan ng mga ahensya ng gobyerno at non-government organization (NGOs), ay maaaring magpatupad ng mga programa sa kamalayan at pag-iwas sa droga upang turuan ang mga mag-aaral, guro, at mga magulang tungkol sa mga panganib ng paggamit ng ilegal na droga at itaguyod ang mga pamumuhay na walang droga.
- Maaaring kabilang sa mga programang ito ang mga seminar sa edukasyon sa droga, mga workshop, pagpapayo sa mga kasamahan, at mga inisyatiba sa pakikipag-ugnayan sa komunidad na naglalayong itaas ang kamalayan at pagyamanin ang isang kapaligirang sumusuporta para sa pag-iwas at interbensyon sa droga.
5. **Pakikipag-ugnayan at Pakikipagtulungan ng Komunidad:**
- Ang paglaban sa paggamit ng ilegal na droga malapit sa mga paaralan, kolehiyo, at unibersidad ay nangangailangan ng aktibong pakikilahok at pakikipagtulungan ng iba't ibang stakeholder, kabilang ang mga ahensya ng gobyerno, tagapagpatupad ng batas, mga institusyong pang-edukasyon, mga magulang, mga mag-aaral, at mga miyembro ng komunidad.
- Ang mga pagsisikap sa pakikipag-ugnayan sa komunidad, tulad ng mga programa sa panonood ng kapitbahayan, mga boluntaryong patrol, at mga kampanya ng impormasyon, ay tumutulong sa pagpapakilos ng suporta at mga mapagkukunan upang matugunan ang mga isyu na may kaugnayan sa droga nang epektibo.
6. **Mahigpit na Pagpapatupad ng mga Batas at Regulasyon:**
- Ang mga awtoridad ay nagpapatupad ng mga umiiral na batas at regulasyon, tulad ng Comprehensive Dangerous Drugs Act of 2002 at mga lokal na ordinansa, upang sugpuin ang mga aktibidad ng ilegal na droga malapit sa mga institusyong pang-edukasyon.
- Ang mga mahigpit na hakbang sa pagpapatupad, kabilang ang mga pag-aresto, pag-uusig, at mga parusa para sa mga nagkasala, ay nagpapadala ng malinaw na mensahe na ang paggamit ng ilegal na droga ay hindi papahintulutan sa mga pampublikong lugar, lalo na ang mga malapit sa mga paaralan, kolehiyo, at unibersidad.
Sa pangkalahatan, ang pagpapatupad ng mga legal na hakbang na ito, kasama ang aktibong pakikipag-ugnayan at pagtutulungan ng komunidad, ay gumaganap ng mahalagang papel sa paglaban sa paggamit ng ilegal na droga sa mga pampublikong espasyo malapit sa mga institusyong pang-edukasyon sa Pilipinas. Sa pamamagitan ng pagtataguyod ng isang kapaligirang walang droga at pagpapaunlad ng kultura ng pag-iwas at interbensyon, ang mga stakeholder ay nagtutulungan upang protektahan ang kagalingan at kaligtasan ng mga mag-aaral, guro, at ng mas malawak na komunidad.</v>
      </c>
      <c r="F2183" s="2">
        <f t="shared" si="1"/>
        <v>0</v>
      </c>
      <c r="G2183" s="2"/>
      <c r="H2183" s="2"/>
      <c r="I2183" s="2"/>
      <c r="J2183" s="2"/>
      <c r="K2183" s="2"/>
      <c r="L2183" s="2"/>
      <c r="M2183" s="2"/>
      <c r="N2183" s="2"/>
      <c r="O2183" s="2"/>
      <c r="P2183" s="2"/>
      <c r="Q2183" s="2"/>
      <c r="R2183" s="2"/>
      <c r="S2183" s="2"/>
      <c r="T2183" s="2"/>
      <c r="U2183" s="2"/>
      <c r="V2183" s="2"/>
      <c r="W2183" s="2"/>
      <c r="X2183" s="2"/>
      <c r="Y2183" s="2"/>
      <c r="Z2183" s="2"/>
      <c r="AA2183" s="2"/>
    </row>
    <row r="2184">
      <c r="A2184" s="3" t="s">
        <v>5259</v>
      </c>
      <c r="B2184" s="1" t="s">
        <v>5339</v>
      </c>
      <c r="C2184" s="1" t="s">
        <v>5340</v>
      </c>
      <c r="D2184" s="2" t="str">
        <f>IFERROR(__xludf.DUMMYFUNCTION("GOOGLETRANSLATE(B2184, ""en"", ""TL"")"),"Paano tinutugunan ng batas ang mga insidente ng paggamit ng ilegal na droga sa mga pampublikong lugar malapit sa mga pasilidad ng pangangalagang pangkalusugan?")</f>
        <v>Paano tinutugunan ng batas ang mga insidente ng paggamit ng ilegal na droga sa mga pampublikong lugar malapit sa mga pasilidad ng pangangalagang pangkalusugan?</v>
      </c>
      <c r="E2184" s="2" t="str">
        <f>IFERROR(__xludf.DUMMYFUNCTION("GOOGLETRANSLATE(C2184, ""en"", ""TL"")"),"Ang ilang mga batas sa Pilipinas ay tumutugon sa paggamit ng ilegal na droga sa mga pampublikong lugar malapit sa mga pasilidad ng pangangalagang pangkalusugan:
1. **Comprehensive Dangerous Drugs Act (R.A. 9165):** Ito ang pangunahing batas laban sa ilega"&amp;"l na droga. Ginagawang kriminal nito ang paggawa, pagmamay-ari, pagbebenta, pamamahagi, at paggamit ng mga mapanganib na droga at mga kinokontrol na kemikal [R.A. 9165].
2. **Konstitusyon ng Pilipinas (Artikulo II, Seksyon 15):** Ginagarantiyahan ng Konst"&amp;"itusyon ang karapatan sa kalusugan. Ang paggamit ng ilegal na droga malapit sa mga pasilidad ng pangangalagang pangkalusugan ay makikita bilang isang paglabag sa karapatang ito dahil maaari itong lumikha ng negatibong kapaligiran para sa mga pasyenteng na"&amp;"ghahanap ng medikal na atensyon [Konstitusyon ng Republika ng Pilipinas].
3. **Local Government Code (R.A. 7160):** Ito ay nagbibigay ng kapangyarihan sa mga local government units (LGUs) na magpatibay ng mga ordinansa upang mapanatili ang kapayapaan at k"&amp;"aayusan sa loob ng kanilang mga nasasakupan. Ang mga LGU ay maaaring magpasa ng mga ordinansa na partikular na nagbabawal sa paggamit ng ilegal na droga sa mga pampublikong lugar, kabilang ang mga lugar na malapit sa mga pasilidad ng pangangalagang pangka"&amp;"lusugan [R.A. 7160].
**Narito kung paano gumagana ang mga batas na ito nang magkasama:**
* R.A. 9165 ay nagtatatag ng krimen ng paggamit ng ilegal na droga.
* Pinoprotektahan ng Konstitusyon ang karapatan sa kalusugan, na posibleng lumabag sa paggamit ng "&amp;"droga malapit sa mga pasilidad ng pangangalagang pangkalusugan.
* R.A. 7160 ay nagpapahintulot sa mga LGU na lumikha ng mga ordinansa laban sa pampublikong paggamit ng droga, kabilang ang malapit sa mga pasilidad ng pangangalagang pangkalusugan.
**Mahalag"&amp;"ang tandaan:**
* Ang mga partikular na parusa para sa paggamit ng ilegal na droga ay nakadepende sa uri at dami ng mga drogang sangkot [R.A. 9165].
* Ang mga ordinansa ng LGU ay maaaring magpataw ng karagdagang mga parusa para sa paglabag sa mga paghihigp"&amp;"it sa paggamit ng publiko [R.A. 7160].
**Mga Karagdagang Mapagkukunan:**
* Lupon ng Mapanganib na Droga (Philippines): [https://ddb.gov.ph/](https://ddb.gov.ph/)
Sana'y linawin nito kung paano tinutugunan ng batas ng Pilipinas ang paggamit ng ilegal na dr"&amp;"oga malapit sa mga pasilidad ng pangangalagang pangkalusugan. Tandaan, ito ay isang pangkalahatang pangkalahatang-ideya, at ang pagkonsulta sa isang abogado ay inirerekomenda para sa mga partikular na sitwasyon.")</f>
        <v>Ang ilang mga batas sa Pilipinas ay tumutugon sa paggamit ng ilegal na droga sa mga pampublikong lugar malapit sa mga pasilidad ng pangangalagang pangkalusugan:
1. **Comprehensive Dangerous Drugs Act (R.A. 9165):** Ito ang pangunahing batas laban sa ilegal na droga. Ginagawang kriminal nito ang paggawa, pagmamay-ari, pagbebenta, pamamahagi, at paggamit ng mga mapanganib na droga at mga kinokontrol na kemikal [R.A. 9165].
2. **Konstitusyon ng Pilipinas (Artikulo II, Seksyon 15):** Ginagarantiyahan ng Konstitusyon ang karapatan sa kalusugan. Ang paggamit ng ilegal na droga malapit sa mga pasilidad ng pangangalagang pangkalusugan ay makikita bilang isang paglabag sa karapatang ito dahil maaari itong lumikha ng negatibong kapaligiran para sa mga pasyenteng naghahanap ng medikal na atensyon [Konstitusyon ng Republika ng Pilipinas].
3. **Local Government Code (R.A. 7160):** Ito ay nagbibigay ng kapangyarihan sa mga local government units (LGUs) na magpatibay ng mga ordinansa upang mapanatili ang kapayapaan at kaayusan sa loob ng kanilang mga nasasakupan. Ang mga LGU ay maaaring magpasa ng mga ordinansa na partikular na nagbabawal sa paggamit ng ilegal na droga sa mga pampublikong lugar, kabilang ang mga lugar na malapit sa mga pasilidad ng pangangalagang pangkalusugan [R.A. 7160].
**Narito kung paano gumagana ang mga batas na ito nang magkasama:**
* R.A. 9165 ay nagtatatag ng krimen ng paggamit ng ilegal na droga.
* Pinoprotektahan ng Konstitusyon ang karapatan sa kalusugan, na posibleng lumabag sa paggamit ng droga malapit sa mga pasilidad ng pangangalagang pangkalusugan.
* R.A. 7160 ay nagpapahintulot sa mga LGU na lumikha ng mga ordinansa laban sa pampublikong paggamit ng droga, kabilang ang malapit sa mga pasilidad ng pangangalagang pangkalusugan.
**Mahalagang tandaan:**
* Ang mga partikular na parusa para sa paggamit ng ilegal na droga ay nakadepende sa uri at dami ng mga drogang sangkot [R.A. 9165].
* Ang mga ordinansa ng LGU ay maaaring magpataw ng karagdagang mga parusa para sa paglabag sa mga paghihigpit sa paggamit ng publiko [R.A. 7160].
**Mga Karagdagang Mapagkukunan:**
* Lupon ng Mapanganib na Droga (Philippines): [https://ddb.gov.ph/](https://ddb.gov.ph/)
Sana'y linawin nito kung paano tinutugunan ng batas ng Pilipinas ang paggamit ng ilegal na droga malapit sa mga pasilidad ng pangangalagang pangkalusugan. Tandaan, ito ay isang pangkalahatang pangkalahatang-ideya, at ang pagkonsulta sa isang abogado ay inirerekomenda para sa mga partikular na sitwasyon.</v>
      </c>
      <c r="F2184" s="2">
        <f t="shared" si="1"/>
        <v>0</v>
      </c>
      <c r="G2184" s="2"/>
      <c r="H2184" s="2"/>
      <c r="I2184" s="2"/>
      <c r="J2184" s="2"/>
      <c r="K2184" s="2"/>
      <c r="L2184" s="2"/>
      <c r="M2184" s="2"/>
      <c r="N2184" s="2"/>
      <c r="O2184" s="2"/>
      <c r="P2184" s="2"/>
      <c r="Q2184" s="2"/>
      <c r="R2184" s="2"/>
      <c r="S2184" s="2"/>
      <c r="T2184" s="2"/>
      <c r="U2184" s="2"/>
      <c r="V2184" s="2"/>
      <c r="W2184" s="2"/>
      <c r="X2184" s="2"/>
      <c r="Y2184" s="2"/>
      <c r="Z2184" s="2"/>
      <c r="AA2184" s="2"/>
    </row>
    <row r="2185">
      <c r="A2185" s="3" t="s">
        <v>5259</v>
      </c>
      <c r="B2185" s="1" t="s">
        <v>5341</v>
      </c>
      <c r="C2185" s="1" t="s">
        <v>5342</v>
      </c>
      <c r="D2185" s="2" t="str">
        <f>IFERROR(__xludf.DUMMYFUNCTION("GOOGLETRANSLATE(B2185, ""en"", ""TL"")"),"Anong mga parusa ang ipinapataw sa pagkakasangkot sa krimen ng paggamit ng ilegal na droga sa mga pampublikong lugar malapit sa mga tanggapan ng gobyerno?")</f>
        <v>Anong mga parusa ang ipinapataw sa pagkakasangkot sa krimen ng paggamit ng ilegal na droga sa mga pampublikong lugar malapit sa mga tanggapan ng gobyerno?</v>
      </c>
      <c r="E2185" s="2" t="str">
        <f>IFERROR(__xludf.DUMMYFUNCTION("GOOGLETRANSLATE(C2185, ""en"", ""TL"")"),"Ang batas ng Pilipinas ay walang iisa, partikular na parusa para sa paggamit ng ilegal na droga na nakabatay lamang sa kalapitan sa mga tanggapan ng gobyerno. Gayunpaman, dalawang pangunahing batas ang gumaganap:
1. **Comprehensive Dangerous Drugs Act (R."&amp;"A. 9165):** Tinutukoy at pinaparusahan ng batas na ito ang paggamit ng mga ilegal na droga. Ang parusa ay depende sa uri at dami ng sangkot na ilegal na droga [R.A. 9165].
2. **Kodigo ng Lokal na Pamahalaan (R.A. 7160):** Binibigyan nito ng kapangyarihan "&amp;"ang mga Local Government Units (LGUs) na magpatibay ng mga ordinansa para sa pagpapanatili ng kapayapaan at kaayusan, kabilang ang pagbabawal sa mga aktibidad tulad ng paggamit ng droga sa mga pampublikong espasyo [R.A. 7160].
Narito kung paano magkakaugn"&amp;"ay ang mga ito:
* **R.A. Itinatakda ng 9165 ang batayang parusa:** Ang pagkakaroon o paggamit ng mga ilegal na droga ay may kasamang parusa depende sa uri at halaga. * **Ang mga ordinansa ng LGU ay maaaring magdagdag ng mga parusa:** Ang mga lungsod at mu"&amp;"nisipalidad ay maaaring magpatupad ng mga ordinansa na partikular na nagbabawal sa paggamit ng droga sa mga pampublikong lugar, kabilang ang mga malapit sa mga tanggapan ng gobyerno. Ang mga ordinansang ito ay maaaring magpataw ng mga karagdagang multa o "&amp;"parusa sa ibabaw ng base na parusa mula sa R.A. 9165.
**Sa madaling salita:**
* Papatawan ka ng parusa batay sa uri at dami ng ilegal na droga ayon sa R.A. 9165.
* Maaaring may karagdagang mga parusa depende sa partikular na ordinansa ng LGU kung saan nan"&amp;"gyari ang pagkakasala (tingnan sa iyong lokal na city/municipal hall para sa kanilang mga ordinansa).
**Mga Rekomendasyon:**
* Upang malaman ang eksaktong parusa para sa paggamit ng ilegal na droga malapit sa mga tanggapan ng gobyerno sa iyong lugar, sali"&amp;"ksikin ang mga partikular na ordinansa ng iyong lokal na lungsod o munisipalidad.
* Para sa legal na payo sa isang partikular na sitwasyon, kumunsulta sa isang kwalipikadong abogado ng Pilipinas.")</f>
        <v>Ang batas ng Pilipinas ay walang iisa, partikular na parusa para sa paggamit ng ilegal na droga na nakabatay lamang sa kalapitan sa mga tanggapan ng gobyerno. Gayunpaman, dalawang pangunahing batas ang gumaganap:
1. **Comprehensive Dangerous Drugs Act (R.A. 9165):** Tinutukoy at pinaparusahan ng batas na ito ang paggamit ng mga ilegal na droga. Ang parusa ay depende sa uri at dami ng sangkot na ilegal na droga [R.A. 9165].
2. **Kodigo ng Lokal na Pamahalaan (R.A. 7160):** Binibigyan nito ng kapangyarihan ang mga Local Government Units (LGUs) na magpatibay ng mga ordinansa para sa pagpapanatili ng kapayapaan at kaayusan, kabilang ang pagbabawal sa mga aktibidad tulad ng paggamit ng droga sa mga pampublikong espasyo [R.A. 7160].
Narito kung paano magkakaugnay ang mga ito:
* **R.A. Itinatakda ng 9165 ang batayang parusa:** Ang pagkakaroon o paggamit ng mga ilegal na droga ay may kasamang parusa depende sa uri at halaga. * **Ang mga ordinansa ng LGU ay maaaring magdagdag ng mga parusa:** Ang mga lungsod at munisipalidad ay maaaring magpatupad ng mga ordinansa na partikular na nagbabawal sa paggamit ng droga sa mga pampublikong lugar, kabilang ang mga malapit sa mga tanggapan ng gobyerno. Ang mga ordinansang ito ay maaaring magpataw ng mga karagdagang multa o parusa sa ibabaw ng base na parusa mula sa R.A. 9165.
**Sa madaling salita:**
* Papatawan ka ng parusa batay sa uri at dami ng ilegal na droga ayon sa R.A. 9165.
* Maaaring may karagdagang mga parusa depende sa partikular na ordinansa ng LGU kung saan nangyari ang pagkakasala (tingnan sa iyong lokal na city/municipal hall para sa kanilang mga ordinansa).
**Mga Rekomendasyon:**
* Upang malaman ang eksaktong parusa para sa paggamit ng ilegal na droga malapit sa mga tanggapan ng gobyerno sa iyong lugar, saliksikin ang mga partikular na ordinansa ng iyong lokal na lungsod o munisipalidad.
* Para sa legal na payo sa isang partikular na sitwasyon, kumunsulta sa isang kwalipikadong abogado ng Pilipinas.</v>
      </c>
      <c r="F2185" s="2">
        <f t="shared" si="1"/>
        <v>0</v>
      </c>
      <c r="G2185" s="2"/>
      <c r="H2185" s="2"/>
      <c r="I2185" s="2"/>
      <c r="J2185" s="2"/>
      <c r="K2185" s="2"/>
      <c r="L2185" s="2"/>
      <c r="M2185" s="2"/>
      <c r="N2185" s="2"/>
      <c r="O2185" s="2"/>
      <c r="P2185" s="2"/>
      <c r="Q2185" s="2"/>
      <c r="R2185" s="2"/>
      <c r="S2185" s="2"/>
      <c r="T2185" s="2"/>
      <c r="U2185" s="2"/>
      <c r="V2185" s="2"/>
      <c r="W2185" s="2"/>
      <c r="X2185" s="2"/>
      <c r="Y2185" s="2"/>
      <c r="Z2185" s="2"/>
      <c r="AA2185" s="2"/>
    </row>
    <row r="2186">
      <c r="A2186" s="3" t="s">
        <v>5259</v>
      </c>
      <c r="B2186" s="1" t="s">
        <v>5343</v>
      </c>
      <c r="C2186" s="1" t="s">
        <v>5344</v>
      </c>
      <c r="D2186" s="2" t="str">
        <f>IFERROR(__xludf.DUMMYFUNCTION("GOOGLETRANSLATE(B2186, ""en"", ""TL"")"),"Paano tinutugunan sa ilalim ng batas ng Pilipinas ang pagkakasala ng paggamit ng ilegal na droga sa pampublikong transportasyon o mga sasakyan?")</f>
        <v>Paano tinutugunan sa ilalim ng batas ng Pilipinas ang pagkakasala ng paggamit ng ilegal na droga sa pampublikong transportasyon o mga sasakyan?</v>
      </c>
      <c r="E2186" s="2" t="str">
        <f>IFERROR(__xludf.DUMMYFUNCTION("GOOGLETRANSLATE(C2186, ""en"", ""TL"")"),"Tinutugunan ng batas ng Pilipinas ang paggamit ng ilegal na droga sa pampublikong transportasyon o mga sasakyan sa pamamagitan ng kumbinasyon ng mga sumusunod:
1. **Comprehensive Dangerous Drugs Act (R.A. 9165):** Ito ang pangunahing batas laban sa ilegal"&amp;" na droga. Ginagawang kriminal nito ang paggamit ng mga mapanganib na droga at mga kinokontrol na kemikal, anuman ang lokasyon [R.A. 9165]. Ang parusa ay depende sa uri at dami ng sangkot na ilegal na droga.
2. **Land Transportation and Franchising Regula"&amp;"tory Board (LTFRB) Memorandum Circulars:** Nag-isyu ang LTFRB ng mga alituntunin para sa mga operator ng pampublikong transportasyon. Ang mga sirkular na ito ay kadalasang nagbabawal sa paggamit ng ilegal na droga sa loob ng mga pampublikong sasakyan [LTF"&amp;"RB Memorandum Circulars]. **Narito kung paano gumagana ang mga ito nang magkasama:**
* R.A. 9165 ay nagtatatag ng krimen ng paggamit ng ilegal na droga at nagtatakda ng mga parusa batay sa uri at dami ng droga.
* Ang LTFRB Memorandum Circulars ay gumagawa"&amp;" ng mga partikular na regulasyon para sa pampublikong transportasyon, kadalasang nagbabawal sa paggamit ng droga sa loob ng mga conveyance. **Mahahalagang Punto:**
* Maaaring kabilang sa mga parusa sa paglabag sa mga circular ng LTFRB ang mga multa o pags"&amp;"ususpinde ng prangkisa para sa operator ng transportasyon [LTFRB Memorandum Circulars]. Ang mga ito ay hiwalay sa mga parusa sa ilalim ng R.A. 9165 para sa aktwal na paggamit ng droga.
* Maaaring hulihin ang mga pasaherong gumagamit ng ilegal na droga sa "&amp;"loob ng pampublikong transportasyon at mahaharap sa mga kaso sa ilalim ng R.A. 9165.
**Paghanap ng Mga Tukoy na Regulasyon ng LTFRB:**
Dahil ang mga regulasyon ng LTFRB ay inilabas sa pamamagitan ng mga circular, hindi sila madaling makuha sa iisang codif"&amp;"ied na batas. Narito ang ilang paraan upang makahanap ng may-katuturang impormasyon:
* **LTFRB Website:** Maaari kang maghanap sa website ng LTFRB ([https://ltfrb.gov.ph/](https://ltfrb.gov.ph/)) para sa mga kaukulang sirkular na may kaugnayan sa pag-uuga"&amp;"li ng pasahero.
* **Mga Artikulo ng Balita:** Ang mga artikulo ng balita ay madalas na nag-uulat sa mga pahayag ng LTFRB tungkol sa mga regulasyon para sa pampublikong transportasyon.
* **Mga Abugado o Legal na Grupo:** Ang mga abogadong dalubhasa sa bata"&amp;"s sa transportasyon o mga legal na grupo na nakatuon sa kaligtasan ng publiko ay maaaring magkaroon ng access sa mga partikular na circular ng LTFRB sa paksang ito.
**Sa konklusyon:**
Sineseryoso ng batas ng Pilipinas ang paggamit ng ilegal na droga sa pa"&amp;"mpublikong transportasyon. Maaari kang humarap sa mga parusa sa ilalim ng R.A. 9165 at posibleng karagdagang kahihinatnan batay sa mga regulasyon ng LTFRB.")</f>
        <v>Tinutugunan ng batas ng Pilipinas ang paggamit ng ilegal na droga sa pampublikong transportasyon o mga sasakyan sa pamamagitan ng kumbinasyon ng mga sumusunod:
1. **Comprehensive Dangerous Drugs Act (R.A. 9165):** Ito ang pangunahing batas laban sa ilegal na droga. Ginagawang kriminal nito ang paggamit ng mga mapanganib na droga at mga kinokontrol na kemikal, anuman ang lokasyon [R.A. 9165]. Ang parusa ay depende sa uri at dami ng sangkot na ilegal na droga.
2. **Land Transportation and Franchising Regulatory Board (LTFRB) Memorandum Circulars:** Nag-isyu ang LTFRB ng mga alituntunin para sa mga operator ng pampublikong transportasyon. Ang mga sirkular na ito ay kadalasang nagbabawal sa paggamit ng ilegal na droga sa loob ng mga pampublikong sasakyan [LTFRB Memorandum Circulars]. **Narito kung paano gumagana ang mga ito nang magkasama:**
* R.A. 9165 ay nagtatatag ng krimen ng paggamit ng ilegal na droga at nagtatakda ng mga parusa batay sa uri at dami ng droga.
* Ang LTFRB Memorandum Circulars ay gumagawa ng mga partikular na regulasyon para sa pampublikong transportasyon, kadalasang nagbabawal sa paggamit ng droga sa loob ng mga conveyance. **Mahahalagang Punto:**
* Maaaring kabilang sa mga parusa sa paglabag sa mga circular ng LTFRB ang mga multa o pagsususpinde ng prangkisa para sa operator ng transportasyon [LTFRB Memorandum Circulars]. Ang mga ito ay hiwalay sa mga parusa sa ilalim ng R.A. 9165 para sa aktwal na paggamit ng droga.
* Maaaring hulihin ang mga pasaherong gumagamit ng ilegal na droga sa loob ng pampublikong transportasyon at mahaharap sa mga kaso sa ilalim ng R.A. 9165.
**Paghanap ng Mga Tukoy na Regulasyon ng LTFRB:**
Dahil ang mga regulasyon ng LTFRB ay inilabas sa pamamagitan ng mga circular, hindi sila madaling makuha sa iisang codified na batas. Narito ang ilang paraan upang makahanap ng may-katuturang impormasyon:
* **LTFRB Website:** Maaari kang maghanap sa website ng LTFRB ([https://ltfrb.gov.ph/](https://ltfrb.gov.ph/)) para sa mga kaukulang sirkular na may kaugnayan sa pag-uugali ng pasahero.
* **Mga Artikulo ng Balita:** Ang mga artikulo ng balita ay madalas na nag-uulat sa mga pahayag ng LTFRB tungkol sa mga regulasyon para sa pampublikong transportasyon.
* **Mga Abugado o Legal na Grupo:** Ang mga abogadong dalubhasa sa batas sa transportasyon o mga legal na grupo na nakatuon sa kaligtasan ng publiko ay maaaring magkaroon ng access sa mga partikular na circular ng LTFRB sa paksang ito.
**Sa konklusyon:**
Sineseryoso ng batas ng Pilipinas ang paggamit ng ilegal na droga sa pampublikong transportasyon. Maaari kang humarap sa mga parusa sa ilalim ng R.A. 9165 at posibleng karagdagang kahihinatnan batay sa mga regulasyon ng LTFRB.</v>
      </c>
      <c r="F2186" s="2">
        <f t="shared" si="1"/>
        <v>0</v>
      </c>
      <c r="G2186" s="2"/>
      <c r="H2186" s="2"/>
      <c r="I2186" s="2"/>
      <c r="J2186" s="2"/>
      <c r="K2186" s="2"/>
      <c r="L2186" s="2"/>
      <c r="M2186" s="2"/>
      <c r="N2186" s="2"/>
      <c r="O2186" s="2"/>
      <c r="P2186" s="2"/>
      <c r="Q2186" s="2"/>
      <c r="R2186" s="2"/>
      <c r="S2186" s="2"/>
      <c r="T2186" s="2"/>
      <c r="U2186" s="2"/>
      <c r="V2186" s="2"/>
      <c r="W2186" s="2"/>
      <c r="X2186" s="2"/>
      <c r="Y2186" s="2"/>
      <c r="Z2186" s="2"/>
      <c r="AA2186" s="2"/>
    </row>
    <row r="2187">
      <c r="A2187" s="3" t="s">
        <v>5259</v>
      </c>
      <c r="B2187" s="1" t="s">
        <v>5345</v>
      </c>
      <c r="C2187" s="1" t="s">
        <v>5346</v>
      </c>
      <c r="D2187" s="2" t="str">
        <f>IFERROR(__xludf.DUMMYFUNCTION("GOOGLETRANSLATE(B2187, ""en"", ""TL"")"),"Sa ilalim ng anong mga pangyayari ang isang tao ay maaaring makasuhan ng krimen ng paggamit ng ilegal na droga sa mga pampublikong espasyo malapit sa mga cultural heritage sites?")</f>
        <v>Sa ilalim ng anong mga pangyayari ang isang tao ay maaaring makasuhan ng krimen ng paggamit ng ilegal na droga sa mga pampublikong espasyo malapit sa mga cultural heritage sites?</v>
      </c>
      <c r="E2187" s="2" t="str">
        <f>IFERROR(__xludf.DUMMYFUNCTION("GOOGLETRANSLATE(C2187, ""en"", ""TL"")"),"Ang batas ng Pilipinas ay walang partikular na krimen para lamang sa paggamit ng ilegal na droga malapit sa mga cultural heritage site. Gayunpaman, maaari kang singilin sa ilalim ng kumbinasyon ng mga batas depende sa sitwasyon:
1. **Comprehensive Dangero"&amp;"us Drugs Act (R.A. 9165):** Ito ang pangunahing batas laban sa ilegal na droga. Ginagawang kriminal nito ang paggamit ng mga mapanganib na droga at mga kinokontrol na kemikal, anuman ang lokasyon [R.A. 9165]. Ang parusa ay depende sa uri at dami ng sangko"&amp;"t na ilegal na droga.
2. **Kodigo ng Lokal na Pamahalaan (R.A. 7160):** Binibigyan nito ng kapangyarihan ang mga Local Government Units (LGUs) na magpatibay ng mga ordinansa upang mapanatili ang kapayapaan at kaayusan sa loob ng kanilang mga nasasakupan. "&amp;"Ang mga LGU ay maaaring magpasa ng mga ordinansa na partikular na nagbabawal sa paggamit ng ilegal na droga sa mga pampublikong espasyo, na maaaring kabilang ang mga lugar na malapit sa mga cultural heritage sites [R.A. 7160].
**Narito kung paano maaaring"&amp;" ilapat ang mga ito:**
* **R.A. Itinatag ng 9165 ang batayang pagkakasala:** Ang paggamit ng mga ilegal na droga sa anumang pampublikong espasyo, kabilang ang malapit sa mga cultural heritage site, ay lumalabag sa batas na ito.
* **Maaaring palakasin ng m"&amp;"ga ordinansa ng LGU ang batas:** Maaaring ipagbawal ng mga partikular na ordinansa ng lungsod o munisipyo ang paggamit ng droga malapit sa mga cultural heritage sites at magpataw ng karagdagang mga parusa sa ibabaw ng base na parusa mula sa R.A. 9165.
**P"&amp;"agsisingil:**
Maaaring singilin ka ng tagapagpatupad ng batas ng paggamit ng ilegal na droga kung mahuli ka nilang gumagamit ng droga sa isang pampublikong espasyo malapit sa isang cultural heritage site. Ang mga partikular na singil ay depende sa:
* **Ur"&amp;"i at dami ng mga gamot:** Ang parusa sa ilalim ng R.A. 9165 ay nag-iiba depende sa uri at dami ng sangkot na ilegal na droga. * **Pagkakaroon ng ordinansa ng LGU:** Kung may umiiral na kaugnay na ordinansa ng LGU, maaari kang mapaharap sa mga karagdagang "&amp;"multa o parusa para sa paglabag dito.
**Mga Rekomendasyon:**
* Upang malaman kung mayroong partikular na ordinansa laban sa paggamit ng droga malapit sa mga cultural heritage site sa iyong lugar, saliksikin ang mga ordinansa ng iyong lokal na lungsod o mu"&amp;"nisipalidad.
* Kung mahuling gumagamit ng ilegal na droga malapit sa isang cultural heritage site, makipagtulungan sa pagpapatupad ng batas. * Para sa legal na payo sa isang partikular na sitwasyon, kumunsulta sa isang kwalipikadong abogado ng Pilipinas.")</f>
        <v>Ang batas ng Pilipinas ay walang partikular na krimen para lamang sa paggamit ng ilegal na droga malapit sa mga cultural heritage site. Gayunpaman, maaari kang singilin sa ilalim ng kumbinasyon ng mga batas depende sa sitwasyon:
1. **Comprehensive Dangerous Drugs Act (R.A. 9165):** Ito ang pangunahing batas laban sa ilegal na droga. Ginagawang kriminal nito ang paggamit ng mga mapanganib na droga at mga kinokontrol na kemikal, anuman ang lokasyon [R.A. 9165]. Ang parusa ay depende sa uri at dami ng sangkot na ilegal na droga.
2. **Kodigo ng Lokal na Pamahalaan (R.A. 7160):** Binibigyan nito ng kapangyarihan ang mga Local Government Units (LGUs) na magpatibay ng mga ordinansa upang mapanatili ang kapayapaan at kaayusan sa loob ng kanilang mga nasasakupan. Ang mga LGU ay maaaring magpasa ng mga ordinansa na partikular na nagbabawal sa paggamit ng ilegal na droga sa mga pampublikong espasyo, na maaaring kabilang ang mga lugar na malapit sa mga cultural heritage sites [R.A. 7160].
**Narito kung paano maaaring ilapat ang mga ito:**
* **R.A. Itinatag ng 9165 ang batayang pagkakasala:** Ang paggamit ng mga ilegal na droga sa anumang pampublikong espasyo, kabilang ang malapit sa mga cultural heritage site, ay lumalabag sa batas na ito.
* **Maaaring palakasin ng mga ordinansa ng LGU ang batas:** Maaaring ipagbawal ng mga partikular na ordinansa ng lungsod o munisipyo ang paggamit ng droga malapit sa mga cultural heritage sites at magpataw ng karagdagang mga parusa sa ibabaw ng base na parusa mula sa R.A. 9165.
**Pagsisingil:**
Maaaring singilin ka ng tagapagpatupad ng batas ng paggamit ng ilegal na droga kung mahuli ka nilang gumagamit ng droga sa isang pampublikong espasyo malapit sa isang cultural heritage site. Ang mga partikular na singil ay depende sa:
* **Uri at dami ng mga gamot:** Ang parusa sa ilalim ng R.A. 9165 ay nag-iiba depende sa uri at dami ng sangkot na ilegal na droga. * **Pagkakaroon ng ordinansa ng LGU:** Kung may umiiral na kaugnay na ordinansa ng LGU, maaari kang mapaharap sa mga karagdagang multa o parusa para sa paglabag dito.
**Mga Rekomendasyon:**
* Upang malaman kung mayroong partikular na ordinansa laban sa paggamit ng droga malapit sa mga cultural heritage site sa iyong lugar, saliksikin ang mga ordinansa ng iyong lokal na lungsod o munisipalidad.
* Kung mahuling gumagamit ng ilegal na droga malapit sa isang cultural heritage site, makipagtulungan sa pagpapatupad ng batas. * Para sa legal na payo sa isang partikular na sitwasyon, kumunsulta sa isang kwalipikadong abogado ng Pilipinas.</v>
      </c>
      <c r="F2187" s="2">
        <f t="shared" si="1"/>
        <v>0</v>
      </c>
      <c r="G2187" s="2"/>
      <c r="H2187" s="2"/>
      <c r="I2187" s="2"/>
      <c r="J2187" s="2"/>
      <c r="K2187" s="2"/>
      <c r="L2187" s="2"/>
      <c r="M2187" s="2"/>
      <c r="N2187" s="2"/>
      <c r="O2187" s="2"/>
      <c r="P2187" s="2"/>
      <c r="Q2187" s="2"/>
      <c r="R2187" s="2"/>
      <c r="S2187" s="2"/>
      <c r="T2187" s="2"/>
      <c r="U2187" s="2"/>
      <c r="V2187" s="2"/>
      <c r="W2187" s="2"/>
      <c r="X2187" s="2"/>
      <c r="Y2187" s="2"/>
      <c r="Z2187" s="2"/>
      <c r="AA2187" s="2"/>
    </row>
    <row r="2188">
      <c r="A2188" s="3" t="s">
        <v>5259</v>
      </c>
      <c r="B2188" s="1" t="s">
        <v>5347</v>
      </c>
      <c r="C2188" s="1" t="s">
        <v>5348</v>
      </c>
      <c r="D2188" s="2" t="str">
        <f>IFERROR(__xludf.DUMMYFUNCTION("GOOGLETRANSLATE(B2188, ""en"", ""TL"")"),"Anong mga legal na probisyon ang namamahala sa krimen ng hindi awtorisadong pagmamay-ari, pagbebenta, o paggamit ng mga kinokontrol na precursor at mahahalagang kemikal sa mga laboratoryo o clandestine na laboratoryo?")</f>
        <v>Anong mga legal na probisyon ang namamahala sa krimen ng hindi awtorisadong pagmamay-ari, pagbebenta, o paggamit ng mga kinokontrol na precursor at mahahalagang kemikal sa mga laboratoryo o clandestine na laboratoryo?</v>
      </c>
      <c r="E2188" s="2" t="str">
        <f>IFERROR(__xludf.DUMMYFUNCTION("GOOGLETRANSLATE(C2188, ""en"", ""TL"")"),"Ang krimen ng hindi awtorisadong pagmamay-ari, pagbebenta, o paggamit ng mga kinokontrol na precursor at mahahalagang kemikal sa mga laboratoryo o clandestine laboratories sa Pilipinas ay pinamamahalaan ng Comprehensive Dangerous Drugs Act of 2002 (Republ"&amp;"ic Act No. 9165). Ang batas na ito ay nagbibigay ng mga partikular na probisyon upang i-regulate ang pagmamay-ari, pagbebenta, pamamahagi, at paggamit ng mga kinokontrol na precursor at mahahalagang kemikal, partikular na sa konteksto ng paggawa o produks"&amp;"yon ng ilegal na droga. Narito ang mga pangunahing legal na probisyon:
1. **Regulation ng Precursors at Essential Chemical:**
- Kinokontrol ng Comprehensive Dangerous Drugs Act of 2002 ang pagkakaroon, pagbebenta, pamamahagi, at paggamit ng mga kinokontro"&amp;"l na precursor at mahahalagang kemikal, na mga sangkap na ginagamit sa paggawa, paggawa, o pagproseso ng mga mapanganib na gamot.
- Ang mga kinokontrol na precursor at mahahalagang kemikal ay kinabibilangan ng mga sangkap gaya ng ephedrine, pseudoephedrin"&amp;"e, acetic anhydride, at iba pang kemikal na karaniwang ginagamit sa paggawa ng mga ilegal na droga.
2. **Pagbabawal sa Hindi Awtorisadong Pag-aari, Pagbebenta, o Paggamit:**
- Ipinagbabawal ng RA 9165 ang hindi awtorisadong pagmamay-ari, pagbebenta, pamam"&amp;"ahagi, o paggamit ng mga kinokontrol na precursor at mahahalagang kemikal na walang legal na awtoridad.
- Ang mga indibidwal na mahahanap na nakikibahagi sa mga aktibidad na ito nang walang wastong awtorisasyon ay maaaring maharap sa mga kasong kriminal a"&amp;"t pag-uusig sa ilalim ng batas.
3. **Mga Pinahusay na Parusa para sa Mga Laboratoryo o Clandestine Laboratories:**
- Ang batas ay nagbibigay ng mga pinahusay na parusa para sa mga pagkakasala na kinasasangkutan ng pagmamay-ari, pagbebenta, o paggamit ng m"&amp;"ga kinokontrol na precursor at mahahalagang kemikal sa mga laboratoryo o lihim na laboratoryo na ginagamit para sa paggawa o produksyon ng ilegal na droga.
- Ang mga nagkasala ay maaaring maharap sa mas mataas na parusa, kabilang ang mas mataas na multa a"&amp;"t mas mahabang panahon ng pagkakulong, para sa pagpapatakbo o pagiging kasangkot sa mga lihim na laboratoryo.
4. **Pag-agaw at Pag-alis ng mga Precursor at Mahahalagang Kemikal:**
- Ang mga awtoridad na nagpapatupad ng batas ay may kapangyarihang kunin an"&amp;"g mga kinokontrol na precursor at mahahalagang kemikal na makikita sa mga laboratoryo o lihim na laboratoryo na ginagamit para sa paggawa ng ilegal na droga.
- Ang mga nasamsam na sangkap ay maaaring gamitin bilang ebidensya sa mga paglilitis sa kriminal,"&amp;" at ang mga ari-arian na nakuha mula sa o ginamit sa paggawa ng pagkakasala ay maaaring isailalim sa pag-alis sa gobyerno.
5. **Pagpapatupad ng Batas at Pag-uusig:**
- Ang mga ahensyang nagpapatupad ng batas, gaya ng Philippine Drug Enforcement Agency (PD"&amp;"EA) at Philippine National Police (PNP), ay may pananagutan sa pagpapatupad ng mga batas na may kaugnayan sa mga kinokontrol na precursor at mahahalagang kemikal.
- Ang mga kaso na kinasasangkutan ng hindi awtorisadong pagmamay-ari, pagbebenta, o paggamit"&amp;" ng mga sangkap na ito ay dinadala sa mga korte, kung saan ang mga tagausig ay nagpapakita ng ebidensya laban sa mga akusado, at ang mga legal na paglilitis ay isinasagawa alinsunod sa angkop na proseso at tuntunin ng batas.
Sa pangkalahatan, ang Comprehe"&amp;"nsive Dangerous Drugs Act of 2002 ay nagbibigay ng komprehensibong legal na balangkas para sa pag-regulate ng pagmamay-ari, pagbebenta, pamamahagi, at paggamit ng mga kinokontrol na precursor at mahahalagang kemikal, partikular sa mga laboratoryo o lihim "&amp;"na laboratoryo na sangkot sa paggawa o produksyon ng ilegal na droga. Layunin ng batas na pigilan ang paglihis ng mga sangkap na ito para sa mga layuning ipinagbabawal at guluhin ang operasyon ng mga sindikato ng droga na sangkot sa paggawa ng ilegal na d"&amp;"roga.")</f>
        <v>Ang krimen ng hindi awtorisadong pagmamay-ari, pagbebenta, o paggamit ng mga kinokontrol na precursor at mahahalagang kemikal sa mga laboratoryo o clandestine laboratories sa Pilipinas ay pinamamahalaan ng Comprehensive Dangerous Drugs Act of 2002 (Republic Act No. 9165). Ang batas na ito ay nagbibigay ng mga partikular na probisyon upang i-regulate ang pagmamay-ari, pagbebenta, pamamahagi, at paggamit ng mga kinokontrol na precursor at mahahalagang kemikal, partikular na sa konteksto ng paggawa o produksyon ng ilegal na droga. Narito ang mga pangunahing legal na probisyon:
1. **Regulation ng Precursors at Essential Chemical:**
- Kinokontrol ng Comprehensive Dangerous Drugs Act of 2002 ang pagkakaroon, pagbebenta, pamamahagi, at paggamit ng mga kinokontrol na precursor at mahahalagang kemikal, na mga sangkap na ginagamit sa paggawa, paggawa, o pagproseso ng mga mapanganib na gamot.
- Ang mga kinokontrol na precursor at mahahalagang kemikal ay kinabibilangan ng mga sangkap gaya ng ephedrine, pseudoephedrine, acetic anhydride, at iba pang kemikal na karaniwang ginagamit sa paggawa ng mga ilegal na droga.
2. **Pagbabawal sa Hindi Awtorisadong Pag-aari, Pagbebenta, o Paggamit:**
- Ipinagbabawal ng RA 9165 ang hindi awtorisadong pagmamay-ari, pagbebenta, pamamahagi, o paggamit ng mga kinokontrol na precursor at mahahalagang kemikal na walang legal na awtoridad.
- Ang mga indibidwal na mahahanap na nakikibahagi sa mga aktibidad na ito nang walang wastong awtorisasyon ay maaaring maharap sa mga kasong kriminal at pag-uusig sa ilalim ng batas.
3. **Mga Pinahusay na Parusa para sa Mga Laboratoryo o Clandestine Laboratories:**
- Ang batas ay nagbibigay ng mga pinahusay na parusa para sa mga pagkakasala na kinasasangkutan ng pagmamay-ari, pagbebenta, o paggamit ng mga kinokontrol na precursor at mahahalagang kemikal sa mga laboratoryo o lihim na laboratoryo na ginagamit para sa paggawa o produksyon ng ilegal na droga.
- Ang mga nagkasala ay maaaring maharap sa mas mataas na parusa, kabilang ang mas mataas na multa at mas mahabang panahon ng pagkakulong, para sa pagpapatakbo o pagiging kasangkot sa mga lihim na laboratoryo.
4. **Pag-agaw at Pag-alis ng mga Precursor at Mahahalagang Kemikal:**
- Ang mga awtoridad na nagpapatupad ng batas ay may kapangyarihang kunin ang mga kinokontrol na precursor at mahahalagang kemikal na makikita sa mga laboratoryo o lihim na laboratoryo na ginagamit para sa paggawa ng ilegal na droga.
- Ang mga nasamsam na sangkap ay maaaring gamitin bilang ebidensya sa mga paglilitis sa kriminal, at ang mga ari-arian na nakuha mula sa o ginamit sa paggawa ng pagkakasala ay maaaring isailalim sa pag-alis sa gobyerno.
5. **Pagpapatupad ng Batas at Pag-uusig:**
- Ang mga ahensyang nagpapatupad ng batas, gaya ng Philippine Drug Enforcement Agency (PDEA) at Philippine National Police (PNP), ay may pananagutan sa pagpapatupad ng mga batas na may kaugnayan sa mga kinokontrol na precursor at mahahalagang kemikal.
- Ang mga kaso na kinasasangkutan ng hindi awtorisadong pagmamay-ari, pagbebenta, o paggamit ng mga sangkap na ito ay dinadala sa mga korte, kung saan ang mga tagausig ay nagpapakita ng ebidensya laban sa mga akusado, at ang mga legal na paglilitis ay isinasagawa alinsunod sa angkop na proseso at tuntunin ng batas.
Sa pangkalahatan, ang Comprehensive Dangerous Drugs Act of 2002 ay nagbibigay ng komprehensibong legal na balangkas para sa pag-regulate ng pagmamay-ari, pagbebenta, pamamahagi, at paggamit ng mga kinokontrol na precursor at mahahalagang kemikal, partikular sa mga laboratoryo o lihim na laboratoryo na sangkot sa paggawa o produksyon ng ilegal na droga. Layunin ng batas na pigilan ang paglihis ng mga sangkap na ito para sa mga layuning ipinagbabawal at guluhin ang operasyon ng mga sindikato ng droga na sangkot sa paggawa ng ilegal na droga.</v>
      </c>
      <c r="F2188" s="2">
        <f t="shared" si="1"/>
        <v>0</v>
      </c>
      <c r="G2188" s="2"/>
      <c r="H2188" s="2"/>
      <c r="I2188" s="2"/>
      <c r="J2188" s="2"/>
      <c r="K2188" s="2"/>
      <c r="L2188" s="2"/>
      <c r="M2188" s="2"/>
      <c r="N2188" s="2"/>
      <c r="O2188" s="2"/>
      <c r="P2188" s="2"/>
      <c r="Q2188" s="2"/>
      <c r="R2188" s="2"/>
      <c r="S2188" s="2"/>
      <c r="T2188" s="2"/>
      <c r="U2188" s="2"/>
      <c r="V2188" s="2"/>
      <c r="W2188" s="2"/>
      <c r="X2188" s="2"/>
      <c r="Y2188" s="2"/>
      <c r="Z2188" s="2"/>
      <c r="AA2188" s="2"/>
    </row>
    <row r="2189">
      <c r="A2189" s="3" t="s">
        <v>5259</v>
      </c>
      <c r="B2189" s="1" t="s">
        <v>5349</v>
      </c>
      <c r="C2189" s="1" t="s">
        <v>5350</v>
      </c>
      <c r="D2189" s="2" t="str">
        <f>IFERROR(__xludf.DUMMYFUNCTION("GOOGLETRANSLATE(B2189, ""en"", ""TL"")"),"Paano tinutugunan ng batas ang mga insidente ng paggawa o paggawa ng ilegal na droga sa mga residential na lugar o kapitbahayan?")</f>
        <v>Paano tinutugunan ng batas ang mga insidente ng paggawa o paggawa ng ilegal na droga sa mga residential na lugar o kapitbahayan?</v>
      </c>
      <c r="E2189" s="2" t="str">
        <f>IFERROR(__xludf.DUMMYFUNCTION("GOOGLETRANSLATE(C2189, ""en"", ""TL"")"),"Tinutugunan ng batas ng Pilipinas ang mga insidente ng paggawa o produksyon ng ilegal na droga sa mga residential na lugar sa pamamagitan ng iba't ibang regulasyon at batas:
1. **Republic Act No. 10918**: Ang batas na ito ay kinokontrol at ginagawang mode"&amp;"rno ang pagsasagawa ng parmasya sa Pilipinas. Itinakda nito na ang aplikasyon para sa pagbubukas at pagpapatakbo ng isang retail na outlet ng gamot o mga katulad na establisyimento ng negosyo ay dapat sumunod sa mga partikular na alituntunin, kabilang ang"&amp;" pangangasiwa ng nararapat na rehistrado at lisensyadong mga parmasyutiko, pagsunod sa Good Manufacturing Practice, at pagsunod sa mga alituntunin sa pagbibigay [1].
2. **Republic Act No. 9165**: Kilala bilang Comprehensive Dangerous Drugs Act of 2002, an"&amp;"g batas na ito ay nagpapataw ng mga parusa para sa iba't ibang mga paglabag na may kaugnayan sa droga, kabilang ang labag sa batas na pag-aangkat, pagbebenta, pangangalakal, pangangasiwa, dispensasyon, paghahatid, pamamahagi, transportasyon , o paggawa ng"&amp;" mga mapanganib na gamot[2].
Patuloy na nilalabanan ng gobyerno ng Pilipinas ang pag-abuso sa droga at trafficking sa pamamagitan ng pagsisikap ng mga ahensya tulad ng Philippine Drug Enforcement Agency (PDEA). Ipinapatupad ng PDEA ang Republic Act No. 91"&amp;"65 upang tugunan ang lumalaking problema sa pag-abuso sa droga sa bansa sa pamamagitan ng paglalagay ng mga opisyal ng pagpapatupad ng droga at forensic chemists upang pigilan ang mga krimen na may kaugnayan sa droga[5]. Karagdagan pa, isinusulong ng PDEA"&amp;" ang koordinasyon ng interagency sa panahon ng malalaking operasyon upang mapahusay ang mga pagsisikap sa pagpapatupad laban sa drug trafficking[5].")</f>
        <v>Tinutugunan ng batas ng Pilipinas ang mga insidente ng paggawa o produksyon ng ilegal na droga sa mga residential na lugar sa pamamagitan ng iba't ibang regulasyon at batas:
1. **Republic Act No. 10918**: Ang batas na ito ay kinokontrol at ginagawang moderno ang pagsasagawa ng parmasya sa Pilipinas. Itinakda nito na ang aplikasyon para sa pagbubukas at pagpapatakbo ng isang retail na outlet ng gamot o mga katulad na establisyimento ng negosyo ay dapat sumunod sa mga partikular na alituntunin, kabilang ang pangangasiwa ng nararapat na rehistrado at lisensyadong mga parmasyutiko, pagsunod sa Good Manufacturing Practice, at pagsunod sa mga alituntunin sa pagbibigay [1].
2. **Republic Act No. 9165**: Kilala bilang Comprehensive Dangerous Drugs Act of 2002, ang batas na ito ay nagpapataw ng mga parusa para sa iba't ibang mga paglabag na may kaugnayan sa droga, kabilang ang labag sa batas na pag-aangkat, pagbebenta, pangangalakal, pangangasiwa, dispensasyon, paghahatid, pamamahagi, transportasyon , o paggawa ng mga mapanganib na gamot[2].
Patuloy na nilalabanan ng gobyerno ng Pilipinas ang pag-abuso sa droga at trafficking sa pamamagitan ng pagsisikap ng mga ahensya tulad ng Philippine Drug Enforcement Agency (PDEA). Ipinapatupad ng PDEA ang Republic Act No. 9165 upang tugunan ang lumalaking problema sa pag-abuso sa droga sa bansa sa pamamagitan ng paglalagay ng mga opisyal ng pagpapatupad ng droga at forensic chemists upang pigilan ang mga krimen na may kaugnayan sa droga[5]. Karagdagan pa, isinusulong ng PDEA ang koordinasyon ng interagency sa panahon ng malalaking operasyon upang mapahusay ang mga pagsisikap sa pagpapatupad laban sa drug trafficking[5].</v>
      </c>
      <c r="F2189" s="2">
        <f t="shared" si="1"/>
        <v>0</v>
      </c>
      <c r="G2189" s="2"/>
      <c r="H2189" s="2"/>
      <c r="I2189" s="2"/>
      <c r="J2189" s="2"/>
      <c r="K2189" s="2"/>
      <c r="L2189" s="2"/>
      <c r="M2189" s="2"/>
      <c r="N2189" s="2"/>
      <c r="O2189" s="2"/>
      <c r="P2189" s="2"/>
      <c r="Q2189" s="2"/>
      <c r="R2189" s="2"/>
      <c r="S2189" s="2"/>
      <c r="T2189" s="2"/>
      <c r="U2189" s="2"/>
      <c r="V2189" s="2"/>
      <c r="W2189" s="2"/>
      <c r="X2189" s="2"/>
      <c r="Y2189" s="2"/>
      <c r="Z2189" s="2"/>
      <c r="AA2189" s="2"/>
    </row>
    <row r="2190">
      <c r="A2190" s="3" t="s">
        <v>5259</v>
      </c>
      <c r="B2190" s="1" t="s">
        <v>5351</v>
      </c>
      <c r="C2190" s="1" t="s">
        <v>5352</v>
      </c>
      <c r="D2190" s="2" t="str">
        <f>IFERROR(__xludf.DUMMYFUNCTION("GOOGLETRANSLATE(B2190, ""en"", ""TL"")"),"Anong mga parusa ang naaangkop para sa pagsali sa krimen ng ilegal na pangangalakal ng droga sa loob ng 100 metro mula sa isang paaralan, kolehiyo, o unibersidad?")</f>
        <v>Anong mga parusa ang naaangkop para sa pagsali sa krimen ng ilegal na pangangalakal ng droga sa loob ng 100 metro mula sa isang paaralan, kolehiyo, o unibersidad?</v>
      </c>
      <c r="E2190" s="2" t="str">
        <f>IFERROR(__xludf.DUMMYFUNCTION("GOOGLETRANSLATE(C2190, ""en"", ""TL"")"),"Ang pagsali sa krimen ng illegal drug trafficking sa loob ng 100 metro ng isang paaralan, kolehiyo, o unibersidad sa Pilipinas ay may matinding parusa sa ilalim ng Republic Act No. 9165, ang Comprehensive Dangerous Drugs Act of 2002. Ang mga parusa para s"&amp;"a drug trafficking malapit sa mga institusyong pang-edukasyon ay tulad ng sumusunod:
- **Unang Pagkakasala**: Hindi bababa sa 10 taon at hindi hihigit sa habambuhay na pagkakakulong. Kung mangyari ang kamatayan o malubhang pinsala, ang habambuhay na pa"&amp;"gkakulong ay ipapataw. Isang multa na hindi hihigit sa $10 milyon kung isang indibidwal, $50 milyon kung hindi isang indibidwal.
- **Ikalawang Pagkakasala**: Hindi bababa sa 20 taon at hindi hihigit sa habambuhay na pagkakakulong. Kung mangyari ang kamat"&amp;"ayan o malubhang pinsala, ang habambuhay na pagkakakulong ay ipinag-uutos. Isang multa na hindi hihigit sa $20 milyon kung isang indibidwal, $75 milyon kung hindi isang indibidwal.
- **2 o Higit pang Naunang Pagkakasala**: Habambuhay na pagkakakulong. Is"&amp;"ang multa na hindi hihigit sa $20 milyon kung isang indibidwal, $75 milyon kung hindi isang indibidwal.
Naaangkop ang mga parusang ito para sa mga paglabag sa trafficking ng droga na kinasasangkutan ng mga partikular na sangkap at dami sa loob ng kalap"&amp;"itan ng mga paaralan, kolehiyo, o unibersidad sa Pilipinas[2].")</f>
        <v>Ang pagsali sa krimen ng illegal drug trafficking sa loob ng 100 metro ng isang paaralan, kolehiyo, o unibersidad sa Pilipinas ay may matinding parusa sa ilalim ng Republic Act No. 9165, ang Comprehensive Dangerous Drugs Act of 2002. Ang mga parusa para sa drug trafficking malapit sa mga institusyong pang-edukasyon ay tulad ng sumusunod:
- **Unang Pagkakasala**: Hindi bababa sa 10 taon at hindi hihigit sa habambuhay na pagkakakulong. Kung mangyari ang kamatayan o malubhang pinsala, ang habambuhay na pagkakulong ay ipapataw. Isang multa na hindi hihigit sa $10 milyon kung isang indibidwal, $50 milyon kung hindi isang indibidwal.
- **Ikalawang Pagkakasala**: Hindi bababa sa 20 taon at hindi hihigit sa habambuhay na pagkakakulong. Kung mangyari ang kamatayan o malubhang pinsala, ang habambuhay na pagkakakulong ay ipinag-uutos. Isang multa na hindi hihigit sa $20 milyon kung isang indibidwal, $75 milyon kung hindi isang indibidwal.
- **2 o Higit pang Naunang Pagkakasala**: Habambuhay na pagkakakulong. Isang multa na hindi hihigit sa $20 milyon kung isang indibidwal, $75 milyon kung hindi isang indibidwal.
Naaangkop ang mga parusang ito para sa mga paglabag sa trafficking ng droga na kinasasangkutan ng mga partikular na sangkap at dami sa loob ng kalapitan ng mga paaralan, kolehiyo, o unibersidad sa Pilipinas[2].</v>
      </c>
      <c r="F2190" s="2">
        <f t="shared" si="1"/>
        <v>2</v>
      </c>
      <c r="G2190" s="2"/>
      <c r="H2190" s="2"/>
      <c r="I2190" s="2"/>
      <c r="J2190" s="2"/>
      <c r="K2190" s="2"/>
      <c r="L2190" s="2"/>
      <c r="M2190" s="2"/>
      <c r="N2190" s="2"/>
      <c r="O2190" s="2"/>
      <c r="P2190" s="2"/>
      <c r="Q2190" s="2"/>
      <c r="R2190" s="2"/>
      <c r="S2190" s="2"/>
      <c r="T2190" s="2"/>
      <c r="U2190" s="2"/>
      <c r="V2190" s="2"/>
      <c r="W2190" s="2"/>
      <c r="X2190" s="2"/>
      <c r="Y2190" s="2"/>
      <c r="Z2190" s="2"/>
      <c r="AA2190" s="2"/>
    </row>
    <row r="2191">
      <c r="A2191" s="3" t="s">
        <v>5259</v>
      </c>
      <c r="B2191" s="1" t="s">
        <v>5353</v>
      </c>
      <c r="C2191" s="1" t="s">
        <v>5354</v>
      </c>
      <c r="D2191" s="2" t="str">
        <f>IFERROR(__xludf.DUMMYFUNCTION("GOOGLETRANSLATE(B2191, ""en"", ""TL"")"),"Paano kinokontrol at pinaparusahan ang pagkakasala sa paggawa o paggawa ng ilegal na droga sa mga lugar ng pagsamba?")</f>
        <v>Paano kinokontrol at pinaparusahan ang pagkakasala sa paggawa o paggawa ng ilegal na droga sa mga lugar ng pagsamba?</v>
      </c>
      <c r="E2191" s="2" t="str">
        <f>IFERROR(__xludf.DUMMYFUNCTION("GOOGLETRANSLATE(C2191, ""en"", ""TL"")"),"Hindi partikular na tinutugunan ng batas ng Pilipinas ang pagkakasala ng paggawa o paggawa ng ilegal na droga sa mga lugar ng pagsamba. Gayunpaman, ang Revised Penal Code of the Philippines ay nagbibigay ng mga parusa para sa pakikialam sa pagsamba sa rel"&amp;"ihiyon, tulad ng pagpigil o pag-istorbo sa mga seremonya o pagpapakita ng anumang relihiyon, na maaaring parusahan ng prision correccional sa pinakamababang panahon nito[1]. Bukod pa rito, pinarurusahan ng Comprehensive Dangerous Drugs Act of 2002 ang lab"&amp;"ag sa batas na pagbebenta, pangangalakal, pangangasiwa, dispensasyon, paghahatid, pamamahagi, transportasyon, o paggawa ng anumang mapanganib na gamot[2].
Ang mga parusa para sa mga pagkakasala na may kaugnayan sa droga, tulad ng pagmamanupaktura o produ"&amp;"ksyon, ay maaaring mula sa prision correccional sa katamtaman at pinakamataas na panahon nito hanggang sa habambuhay na pagkakakulong, depende sa partikular na pagkakasala at ang dami ng sangkot na gamot[2]. Ang mga parusa para sa trafficking ng droga mal"&amp;"apit sa mga institusyong pang-edukasyon ay partikular na malala, na ang habambuhay na pagkakakulong ang pinakamataas na parusa para sa mga umuulit na nagkasala[2].
Gayunpaman, hindi tahasang binabanggit ng batas ang pagkakasala sa paggawa o paggawa ng dr"&amp;"oga sa mga lugar ng pagsamba. Mahalagang kumunsulta sa isang eksperto sa batas o sumangguni sa mga partikular na batas at regulasyon sa Pilipinas para sa mas tumpak na interpretasyon ng mga parusa para sa mga naturang pagkakasala.")</f>
        <v>Hindi partikular na tinutugunan ng batas ng Pilipinas ang pagkakasala ng paggawa o paggawa ng ilegal na droga sa mga lugar ng pagsamba. Gayunpaman, ang Revised Penal Code of the Philippines ay nagbibigay ng mga parusa para sa pakikialam sa pagsamba sa relihiyon, tulad ng pagpigil o pag-istorbo sa mga seremonya o pagpapakita ng anumang relihiyon, na maaaring parusahan ng prision correccional sa pinakamababang panahon nito[1]. Bukod pa rito, pinarurusahan ng Comprehensive Dangerous Drugs Act of 2002 ang labag sa batas na pagbebenta, pangangalakal, pangangasiwa, dispensasyon, paghahatid, pamamahagi, transportasyon, o paggawa ng anumang mapanganib na gamot[2].
Ang mga parusa para sa mga pagkakasala na may kaugnayan sa droga, tulad ng pagmamanupaktura o produksyon, ay maaaring mula sa prision correccional sa katamtaman at pinakamataas na panahon nito hanggang sa habambuhay na pagkakakulong, depende sa partikular na pagkakasala at ang dami ng sangkot na gamot[2]. Ang mga parusa para sa trafficking ng droga malapit sa mga institusyong pang-edukasyon ay partikular na malala, na ang habambuhay na pagkakakulong ang pinakamataas na parusa para sa mga umuulit na nagkasala[2].
Gayunpaman, hindi tahasang binabanggit ng batas ang pagkakasala sa paggawa o paggawa ng droga sa mga lugar ng pagsamba. Mahalagang kumunsulta sa isang eksperto sa batas o sumangguni sa mga partikular na batas at regulasyon sa Pilipinas para sa mas tumpak na interpretasyon ng mga parusa para sa mga naturang pagkakasala.</v>
      </c>
      <c r="F2191" s="2">
        <f t="shared" si="1"/>
        <v>0</v>
      </c>
      <c r="G2191" s="2"/>
      <c r="H2191" s="2"/>
      <c r="I2191" s="2"/>
      <c r="J2191" s="2"/>
      <c r="K2191" s="2"/>
      <c r="L2191" s="2"/>
      <c r="M2191" s="2"/>
      <c r="N2191" s="2"/>
      <c r="O2191" s="2"/>
      <c r="P2191" s="2"/>
      <c r="Q2191" s="2"/>
      <c r="R2191" s="2"/>
      <c r="S2191" s="2"/>
      <c r="T2191" s="2"/>
      <c r="U2191" s="2"/>
      <c r="V2191" s="2"/>
      <c r="W2191" s="2"/>
      <c r="X2191" s="2"/>
      <c r="Y2191" s="2"/>
      <c r="Z2191" s="2"/>
      <c r="AA2191" s="2"/>
    </row>
    <row r="2192">
      <c r="A2192" s="3" t="s">
        <v>5259</v>
      </c>
      <c r="B2192" s="1" t="s">
        <v>5355</v>
      </c>
      <c r="C2192" s="1" t="s">
        <v>5356</v>
      </c>
      <c r="D2192" s="2" t="str">
        <f>IFERROR(__xludf.DUMMYFUNCTION("GOOGLETRANSLATE(B2192, ""en"", ""TL"")"),"Sa ilalim ng anong mga pangyayari ang isang tao ay maaaring makasuhan ng krimen ng illegal drug trafficking sa mga pampublikong pamilihan, plaza, o iba pang katulad na mga lugar?")</f>
        <v>Sa ilalim ng anong mga pangyayari ang isang tao ay maaaring makasuhan ng krimen ng illegal drug trafficking sa mga pampublikong pamilihan, plaza, o iba pang katulad na mga lugar?</v>
      </c>
      <c r="E2192" s="2" t="str">
        <f>IFERROR(__xludf.DUMMYFUNCTION("GOOGLETRANSLATE(C2192, ""en"", ""TL"")"),"Ang pagkakasala ng illegal drug trafficking sa mga pampublikong pamilihan, plaza, o mga katulad na lugar ay maaaring humantong sa mga kaso sa ilalim ng batas ng Pilipinas. Ang mga parusa at mga pangyayari na nakapalibot sa krimeng ito ay pinamamahalaan ng"&amp;" Comprehensive Dangerous Drugs Act of 2002 (Republic Act No. 9165). Ayon sa batas na ito:
- Ang pagtutulak ng droga sa mga pampublikong pamilihan, plaza, o mga katulad na lugar ay itinuturing na isang seryosong paglabag na may matinding parusa.
- Ang "&amp;"mga indibidwal na nakikibahagi sa mga aktibidad sa pagtutulak ng droga sa mga pampublikong espasyong ito ay maaaring maharap sa pagkakakulong mula 12 taon at isang araw hanggang habambuhay na pagkakakulong, depende sa dami ng mga drogang sangkot at iba pa"&amp;"ng nagpapalubha na mga pangyayari[5].
- Layunin ng batas na labanan ang pamamahagi at pagbebenta ng ilegal na droga sa mga pampublikong lugar upang maprotektahan ang mga komunidad mula sa masasamang epekto ng pag-abuso sa droga at trafficking.
Napakah"&amp;"alaga na sumunod sa mga probisyon ng Republic Act No. 9165 upang maiwasan at matugunan ang mga krimen na may kaugnayan sa droga nang epektibo sa mga pampublikong lugar tulad ng mga pamilihan at plaza.
[5] https://www.ddb.gov.ph/images/downloads/Revised"&amp;"_PADS_as_of_Nov_9_2018.pdf")</f>
        <v>Ang pagkakasala ng illegal drug trafficking sa mga pampublikong pamilihan, plaza, o mga katulad na lugar ay maaaring humantong sa mga kaso sa ilalim ng batas ng Pilipinas. Ang mga parusa at mga pangyayari na nakapalibot sa krimeng ito ay pinamamahalaan ng Comprehensive Dangerous Drugs Act of 2002 (Republic Act No. 9165). Ayon sa batas na ito:
- Ang pagtutulak ng droga sa mga pampublikong pamilihan, plaza, o mga katulad na lugar ay itinuturing na isang seryosong paglabag na may matinding parusa.
- Ang mga indibidwal na nakikibahagi sa mga aktibidad sa pagtutulak ng droga sa mga pampublikong espasyong ito ay maaaring maharap sa pagkakakulong mula 12 taon at isang araw hanggang habambuhay na pagkakakulong, depende sa dami ng mga drogang sangkot at iba pang nagpapalubha na mga pangyayari[5].
- Layunin ng batas na labanan ang pamamahagi at pagbebenta ng ilegal na droga sa mga pampublikong lugar upang maprotektahan ang mga komunidad mula sa masasamang epekto ng pag-abuso sa droga at trafficking.
Napakahalaga na sumunod sa mga probisyon ng Republic Act No. 9165 upang maiwasan at matugunan ang mga krimen na may kaugnayan sa droga nang epektibo sa mga pampublikong lugar tulad ng mga pamilihan at plaza.
[5] https://www.ddb.gov.ph/images/downloads/Revised_PADS_as_of_Nov_9_2018.pdf</v>
      </c>
      <c r="F2192" s="2">
        <f t="shared" si="1"/>
        <v>0</v>
      </c>
      <c r="G2192" s="2"/>
      <c r="H2192" s="2"/>
      <c r="I2192" s="2"/>
      <c r="J2192" s="2"/>
      <c r="K2192" s="2"/>
      <c r="L2192" s="2"/>
      <c r="M2192" s="2"/>
      <c r="N2192" s="2"/>
      <c r="O2192" s="2"/>
      <c r="P2192" s="2"/>
      <c r="Q2192" s="2"/>
      <c r="R2192" s="2"/>
      <c r="S2192" s="2"/>
      <c r="T2192" s="2"/>
      <c r="U2192" s="2"/>
      <c r="V2192" s="2"/>
      <c r="W2192" s="2"/>
      <c r="X2192" s="2"/>
      <c r="Y2192" s="2"/>
      <c r="Z2192" s="2"/>
      <c r="AA2192" s="2"/>
    </row>
    <row r="2193">
      <c r="A2193" s="3" t="s">
        <v>5259</v>
      </c>
      <c r="B2193" s="1" t="s">
        <v>5357</v>
      </c>
      <c r="C2193" s="1" t="s">
        <v>5358</v>
      </c>
      <c r="D2193" s="2" t="str">
        <f>IFERROR(__xludf.DUMMYFUNCTION("GOOGLETRANSLATE(B2193, ""en"", ""TL"")"),"Anong mga legal na hakbang ang umiiral upang labanan ang ilegal na pangangalakal ng droga sa mga pampublikong lugar na malapit sa mga pasilidad ng pangangalagang pangkalusugan?")</f>
        <v>Anong mga legal na hakbang ang umiiral upang labanan ang ilegal na pangangalakal ng droga sa mga pampublikong lugar na malapit sa mga pasilidad ng pangangalagang pangkalusugan?</v>
      </c>
      <c r="E2193" s="2" t="str">
        <f>IFERROR(__xludf.DUMMYFUNCTION("GOOGLETRANSLATE(C2193, ""en"", ""TL"")"),"Pangunahing pinamamahalaan ng Comprehensive Dangerous Drugs Act of 2002 (Republic Act No. 9165) ang mga legal na hakbang upang labanan ang illegal drug trafficking sa mga pampublikong lugar malapit sa mga pasilidad ng pangangalagang pangkalusugan sa Pilip"&amp;"inas. Ang batas na ito ay nagpapataw ng mga parusa para sa mga paglabag na may kaugnayan sa droga, tulad ng labag sa batas na pagbebenta, pangangalakal, pangangasiwa, dispensasyon, paghahatid, pamamahagi, transportasyon, o paggawa ng anumang mapanganib na"&amp;" gamot[2].
Ang Philippine Drug Enforcement Agency (PDEA) ang nangunguna sa counternarcotics enforcement agency na responsable sa pagpapatupad ng Republic Act 9165 upang pigilan ang lumalalang problema ng pag-abuso sa droga sa bansa[3]. Gumagamit ang PD"&amp;"EA ng mga opisyal ng pagpapatupad ng droga, forensic chemists, at drug detecting canines (K9) upang tumulong sa paglaban sa drug trafficking[3].
Bilang karagdagan sa PDEA, ang iba pang ahensyang nagpapatupad ng batas, tulad ng Philippine National Polic"&amp;"e (PNP), National Bureau of Investigation (NBI), Bureau of Customs, at Bureau of Immigration, ay nagtutulungan upang harangin at usigin ang mga aktibidad ng trafficking ng droga[3]. Nagbibigay din ang Pilipinas ng mutual legal na tulong at extradition sa "&amp;"mga usaping kriminal na may kaugnayan sa drug trafficking[3].
Upang matugunan ang isyu ng trafficking ng droga sa mga pampublikong espasyo malapit sa mga pasilidad ng pangangalagang pangkalusugan, mahalagang ipatupad ang mga probisyon ng Republic Act N"&amp;"o. 9165 at tiyaking epektibong nagtutulungan ang mga ahensyang nagpapatupad ng batas upang labanan ang mga krimen na may kaugnayan sa droga sa mga lugar na ito.")</f>
        <v>Pangunahing pinamamahalaan ng Comprehensive Dangerous Drugs Act of 2002 (Republic Act No. 9165) ang mga legal na hakbang upang labanan ang illegal drug trafficking sa mga pampublikong lugar malapit sa mga pasilidad ng pangangalagang pangkalusugan sa Pilipinas. Ang batas na ito ay nagpapataw ng mga parusa para sa mga paglabag na may kaugnayan sa droga, tulad ng labag sa batas na pagbebenta, pangangalakal, pangangasiwa, dispensasyon, paghahatid, pamamahagi, transportasyon, o paggawa ng anumang mapanganib na gamot[2].
Ang Philippine Drug Enforcement Agency (PDEA) ang nangunguna sa counternarcotics enforcement agency na responsable sa pagpapatupad ng Republic Act 9165 upang pigilan ang lumalalang problema ng pag-abuso sa droga sa bansa[3]. Gumagamit ang PDEA ng mga opisyal ng pagpapatupad ng droga, forensic chemists, at drug detecting canines (K9) upang tumulong sa paglaban sa drug trafficking[3].
Bilang karagdagan sa PDEA, ang iba pang ahensyang nagpapatupad ng batas, tulad ng Philippine National Police (PNP), National Bureau of Investigation (NBI), Bureau of Customs, at Bureau of Immigration, ay nagtutulungan upang harangin at usigin ang mga aktibidad ng trafficking ng droga[3]. Nagbibigay din ang Pilipinas ng mutual legal na tulong at extradition sa mga usaping kriminal na may kaugnayan sa drug trafficking[3].
Upang matugunan ang isyu ng trafficking ng droga sa mga pampublikong espasyo malapit sa mga pasilidad ng pangangalagang pangkalusugan, mahalagang ipatupad ang mga probisyon ng Republic Act No. 9165 at tiyaking epektibong nagtutulungan ang mga ahensyang nagpapatupad ng batas upang labanan ang mga krimen na may kaugnayan sa droga sa mga lugar na ito.</v>
      </c>
      <c r="F2193" s="2">
        <f t="shared" si="1"/>
        <v>0</v>
      </c>
      <c r="G2193" s="2"/>
      <c r="H2193" s="2"/>
      <c r="I2193" s="2"/>
      <c r="J2193" s="2"/>
      <c r="K2193" s="2"/>
      <c r="L2193" s="2"/>
      <c r="M2193" s="2"/>
      <c r="N2193" s="2"/>
      <c r="O2193" s="2"/>
      <c r="P2193" s="2"/>
      <c r="Q2193" s="2"/>
      <c r="R2193" s="2"/>
      <c r="S2193" s="2"/>
      <c r="T2193" s="2"/>
      <c r="U2193" s="2"/>
      <c r="V2193" s="2"/>
      <c r="W2193" s="2"/>
      <c r="X2193" s="2"/>
      <c r="Y2193" s="2"/>
      <c r="Z2193" s="2"/>
      <c r="AA2193" s="2"/>
    </row>
    <row r="2194">
      <c r="A2194" s="3" t="s">
        <v>5259</v>
      </c>
      <c r="B2194" s="1" t="s">
        <v>5359</v>
      </c>
      <c r="C2194" s="1" t="s">
        <v>5360</v>
      </c>
      <c r="D2194" s="2" t="str">
        <f>IFERROR(__xludf.DUMMYFUNCTION("GOOGLETRANSLATE(B2194, ""en"", ""TL"")"),"Paano tinutugunan ng batas ang mga insidente ng illegal drug trafficking sa mga pampublikong lugar malapit sa mga opisina ng gobyerno?")</f>
        <v>Paano tinutugunan ng batas ang mga insidente ng illegal drug trafficking sa mga pampublikong lugar malapit sa mga opisina ng gobyerno?</v>
      </c>
      <c r="E2194" s="2" t="str">
        <f>IFERROR(__xludf.DUMMYFUNCTION("GOOGLETRANSLATE(C2194, ""en"", ""TL"")"),"Tinutugunan ng batas ng Pilipinas ang mga insidente ng illegal drug trafficking sa mga pampublikong lugar malapit sa mga opisina ng gobyerno sa pamamagitan ng iba't ibang mga legal na hakbang at mga aksyon sa pagpapatupad. Ang Comprehensive Dangerous Drug"&amp;"s Act of 2002 (Republic Act No. 9165) ay gumaganap ng mahalagang papel sa paglaban sa drug trafficking sa mga pampublikong lugar. Ang batas na ito ay nagpapataw ng mga parusa para sa mga paglabag na may kaugnayan sa droga, kabilang ang labag sa batas na p"&amp;"agbebenta, pangangalakal, pangangasiwa, dispensasyon, paghahatid, pamamahagi, transportasyon, o paggawa ng mga mapanganib na gamot[2].
Ang mga ahensyang nagpapatupad ng batas sa Pilipinas, gaya ng Philippine Drug Enforcement Agency (PDEA), ay nagsisikap "&amp;"na ipatupad ang Republic Act No. 9165 at labanan ang mga aktibidad sa pagtutulak ng droga malapit sa mga tanggapan ng gobyerno at iba pang pampublikong espasyo. Nakikipagtulungan ang PDEA sa iba pang ahensya tulad ng Philippine National Police (PNP), Nati"&amp;"onal Bureau of Investigation (NBI), Bureau of Customs, at Bureau of Immigration upang maharang at usigin ang mga aktibidad sa pagtutulak ng droga[3].
Ang mga pagsisikap na tugunan ang pagtutulak ng droga malapit sa mga tanggapan ng pamahalaan ay nagsasan"&amp;"gkot ng epektibong koordinasyon sa pagitan ng mga ahensya at mga aksyon sa pagpapatupad upang maiwasan ang pamamahagi at pagbebenta ng mga ilegal na droga sa mga sensitibong lugar na ito. Sa pamamagitan ng pagpapatupad ng mga umiiral na batas at pagpapahu"&amp;"say ng pakikipagtulungan sa pagitan ng mga ahensyang nagpapatupad ng batas, layunin ng Pilipinas na sugpuin ang mga krimen na may kaugnayan sa droga sa mga pampublikong lugar malapit sa mga pasilidad ng gobyerno.")</f>
        <v>Tinutugunan ng batas ng Pilipinas ang mga insidente ng illegal drug trafficking sa mga pampublikong lugar malapit sa mga opisina ng gobyerno sa pamamagitan ng iba't ibang mga legal na hakbang at mga aksyon sa pagpapatupad. Ang Comprehensive Dangerous Drugs Act of 2002 (Republic Act No. 9165) ay gumaganap ng mahalagang papel sa paglaban sa drug trafficking sa mga pampublikong lugar. Ang batas na ito ay nagpapataw ng mga parusa para sa mga paglabag na may kaugnayan sa droga, kabilang ang labag sa batas na pagbebenta, pangangalakal, pangangasiwa, dispensasyon, paghahatid, pamamahagi, transportasyon, o paggawa ng mga mapanganib na gamot[2].
Ang mga ahensyang nagpapatupad ng batas sa Pilipinas, gaya ng Philippine Drug Enforcement Agency (PDEA), ay nagsisikap na ipatupad ang Republic Act No. 9165 at labanan ang mga aktibidad sa pagtutulak ng droga malapit sa mga tanggapan ng gobyerno at iba pang pampublikong espasyo. Nakikipagtulungan ang PDEA sa iba pang ahensya tulad ng Philippine National Police (PNP), National Bureau of Investigation (NBI), Bureau of Customs, at Bureau of Immigration upang maharang at usigin ang mga aktibidad sa pagtutulak ng droga[3].
Ang mga pagsisikap na tugunan ang pagtutulak ng droga malapit sa mga tanggapan ng pamahalaan ay nagsasangkot ng epektibong koordinasyon sa pagitan ng mga ahensya at mga aksyon sa pagpapatupad upang maiwasan ang pamamahagi at pagbebenta ng mga ilegal na droga sa mga sensitibong lugar na ito. Sa pamamagitan ng pagpapatupad ng mga umiiral na batas at pagpapahusay ng pakikipagtulungan sa pagitan ng mga ahensyang nagpapatupad ng batas, layunin ng Pilipinas na sugpuin ang mga krimen na may kaugnayan sa droga sa mga pampublikong lugar malapit sa mga pasilidad ng gobyerno.</v>
      </c>
      <c r="F2194" s="2">
        <f t="shared" si="1"/>
        <v>0</v>
      </c>
      <c r="G2194" s="2"/>
      <c r="H2194" s="2"/>
      <c r="I2194" s="2"/>
      <c r="J2194" s="2"/>
      <c r="K2194" s="2"/>
      <c r="L2194" s="2"/>
      <c r="M2194" s="2"/>
      <c r="N2194" s="2"/>
      <c r="O2194" s="2"/>
      <c r="P2194" s="2"/>
      <c r="Q2194" s="2"/>
      <c r="R2194" s="2"/>
      <c r="S2194" s="2"/>
      <c r="T2194" s="2"/>
      <c r="U2194" s="2"/>
      <c r="V2194" s="2"/>
      <c r="W2194" s="2"/>
      <c r="X2194" s="2"/>
      <c r="Y2194" s="2"/>
      <c r="Z2194" s="2"/>
      <c r="AA2194" s="2"/>
    </row>
    <row r="2195">
      <c r="A2195" s="3" t="s">
        <v>5259</v>
      </c>
      <c r="B2195" s="1" t="s">
        <v>5361</v>
      </c>
      <c r="C2195" s="1" t="s">
        <v>5362</v>
      </c>
      <c r="D2195" s="2" t="str">
        <f>IFERROR(__xludf.DUMMYFUNCTION("GOOGLETRANSLATE(B2195, ""en"", ""TL"")"),"Anong mga parusa ang ipinapataw para sa pagsali sa krimen ng illegal drug trafficking sa mga pampublikong sasakyan o terminal?")</f>
        <v>Anong mga parusa ang ipinapataw para sa pagsali sa krimen ng illegal drug trafficking sa mga pampublikong sasakyan o terminal?</v>
      </c>
      <c r="E2195" s="2" t="str">
        <f>IFERROR(__xludf.DUMMYFUNCTION("GOOGLETRANSLATE(C2195, ""en"", ""TL"")"),"Sa Pilipinas, ang pagsali sa krimen ng illegal drug trafficking sa mga pampublikong sasakyan o terminal ay itinuturing na isang seryosong pagkakasala. Ang mga parusa para sa mga naturang pagkakasala ay pinamamahalaan ng Comprehensive Dangerous Drugs Act o"&amp;"f 2002 (Republic Act No. 9165). Ang batas ay nagpapataw ng mga parusa para sa mga paglabag na may kaugnayan sa droga, tulad ng labag sa batas na pagbebenta, pangangalakal, pangangasiwa, dispensasyon, paghahatid, pamamahagi, transportasyon, o paggawa ng an"&amp;"umang mapanganib na gamot[2].
Ang Philippine Drug Enforcement Agency (PDEA) ay may pananagutan sa pagpapatupad ng Republic Act No. 9165 upang labanan ang drug trafficking sa bansa[3]. Nakikipagtulungan ang PDEA sa iba pang ahensyang nagpapatupad ng batas"&amp;", tulad ng Philippine National Police (PNP), National Bureau of Investigation (NBI), Bureau of Customs, at Bureau of Immigration, upang harangin at usigin ang mga aktibidad sa trafficking ng droga[3].
Ang mga parusa para sa trafficking ng droga sa mga sa"&amp;"sakyan o terminal ng pampublikong transportasyon ay maaaring mula sa prision correccional sa katamtaman at maximum na mga panahon nito hanggang sa habambuhay na pagkakakulong, depende sa partikular na pagkakasala at ang dami ng droga na nasasangkot[2]. An"&amp;"g mga parusa para sa trafficking ng droga malapit sa mga institusyong pang-edukasyon ay partikular na malala, na ang habambuhay na pagkakakulong ang pinakamataas na parusa para sa mga umuulit na nagkasala[2].
Upang matugunan ang isyu ng drug trafficking "&amp;"sa mga sasakyan o terminal ng pampublikong transportasyon, mahalagang ipatupad ang mga probisyon ng Republic Act No. 9165 at tiyaking epektibong nagtutulungan ang mga ahensyang nagpapatupad ng batas upang labanan ang mga krimen na may kaugnayan sa droga s"&amp;"a mga lugar na ito.")</f>
        <v>Sa Pilipinas, ang pagsali sa krimen ng illegal drug trafficking sa mga pampublikong sasakyan o terminal ay itinuturing na isang seryosong pagkakasala. Ang mga parusa para sa mga naturang pagkakasala ay pinamamahalaan ng Comprehensive Dangerous Drugs Act of 2002 (Republic Act No. 9165). Ang batas ay nagpapataw ng mga parusa para sa mga paglabag na may kaugnayan sa droga, tulad ng labag sa batas na pagbebenta, pangangalakal, pangangasiwa, dispensasyon, paghahatid, pamamahagi, transportasyon, o paggawa ng anumang mapanganib na gamot[2].
Ang Philippine Drug Enforcement Agency (PDEA) ay may pananagutan sa pagpapatupad ng Republic Act No. 9165 upang labanan ang drug trafficking sa bansa[3]. Nakikipagtulungan ang PDEA sa iba pang ahensyang nagpapatupad ng batas, tulad ng Philippine National Police (PNP), National Bureau of Investigation (NBI), Bureau of Customs, at Bureau of Immigration, upang harangin at usigin ang mga aktibidad sa trafficking ng droga[3].
Ang mga parusa para sa trafficking ng droga sa mga sasakyan o terminal ng pampublikong transportasyon ay maaaring mula sa prision correccional sa katamtaman at maximum na mga panahon nito hanggang sa habambuhay na pagkakakulong, depende sa partikular na pagkakasala at ang dami ng droga na nasasangkot[2]. Ang mga parusa para sa trafficking ng droga malapit sa mga institusyong pang-edukasyon ay partikular na malala, na ang habambuhay na pagkakakulong ang pinakamataas na parusa para sa mga umuulit na nagkasala[2].
Upang matugunan ang isyu ng drug trafficking sa mga sasakyan o terminal ng pampublikong transportasyon, mahalagang ipatupad ang mga probisyon ng Republic Act No. 9165 at tiyaking epektibong nagtutulungan ang mga ahensyang nagpapatupad ng batas upang labanan ang mga krimen na may kaugnayan sa droga sa mga lugar na ito.</v>
      </c>
      <c r="F2195" s="2">
        <f t="shared" si="1"/>
        <v>0</v>
      </c>
      <c r="G2195" s="2"/>
      <c r="H2195" s="2"/>
      <c r="I2195" s="2"/>
      <c r="J2195" s="2"/>
      <c r="K2195" s="2"/>
      <c r="L2195" s="2"/>
      <c r="M2195" s="2"/>
      <c r="N2195" s="2"/>
      <c r="O2195" s="2"/>
      <c r="P2195" s="2"/>
      <c r="Q2195" s="2"/>
      <c r="R2195" s="2"/>
      <c r="S2195" s="2"/>
      <c r="T2195" s="2"/>
      <c r="U2195" s="2"/>
      <c r="V2195" s="2"/>
      <c r="W2195" s="2"/>
      <c r="X2195" s="2"/>
      <c r="Y2195" s="2"/>
      <c r="Z2195" s="2"/>
      <c r="AA2195" s="2"/>
    </row>
    <row r="2196">
      <c r="A2196" s="3" t="s">
        <v>5259</v>
      </c>
      <c r="B2196" s="1" t="s">
        <v>5363</v>
      </c>
      <c r="C2196" s="1" t="s">
        <v>5364</v>
      </c>
      <c r="D2196" s="2" t="str">
        <f>IFERROR(__xludf.DUMMYFUNCTION("GOOGLETRANSLATE(B2196, ""en"", ""TL"")"),"Paano tinutugunan sa ilalim ng batas ng Pilipinas ang pagkakasala ng illegal drug trafficking sa mga pampublikong espasyo malapit sa mga cultural heritage sites?")</f>
        <v>Paano tinutugunan sa ilalim ng batas ng Pilipinas ang pagkakasala ng illegal drug trafficking sa mga pampublikong espasyo malapit sa mga cultural heritage sites?</v>
      </c>
      <c r="E2196" s="2" t="str">
        <f>IFERROR(__xludf.DUMMYFUNCTION("GOOGLETRANSLATE(C2196, ""en"", ""TL"")"),"Ang pagkakasala ng illegal drug trafficking sa mga pampublikong espasyo malapit sa cultural heritage sites sa Pilipinas ay tinutugunan sa ilalim ng Comprehensive Dangerous Drugs Act of 2002 (Republic Act No. 9165) at iba pang nauugnay na batas at regulasy"&amp;"on na naglalayong labanan ang illegal drug trade. Bagama't maaaring walang mga partikular na probisyon sa loob ng batas ng Pilipinas na tahasang binabanggit ang mga cultural heritage site, ang mga paglabag sa trafficking ng droga na nagaganap sa mga pampu"&amp;"blikong espasyo, kabilang ang mga malapit sa cultural heritage sites, ay napapailalim sa parehong legal na balangkas tulad ng iba pang mga paglabag na may kaugnayan sa droga. Narito kung paano tinutugunan ng batas ang isyung ito:
1. **Comprehensive Danger"&amp;"ous Drugs Act of 2002 (RA 9165):**
- Ang Comprehensive Dangerous Drugs Act of 2002 ay ang pangunahing batas na namamahala sa kalakalan ng ilegal na droga sa Pilipinas. Ipinagbabawal nito ang iba't ibang aktibidad na may kaugnayan sa droga, kabilang ang tr"&amp;"afficking, pamamahagi, pagbebenta, at pagkakaroon ng mga mapanganib na droga o mga kinokontrol na sangkap.
- Sa ilalim ng batas, ang ilegal na pangangalakal ng droga sa mga pampublikong espasyo malapit sa mga cultural heritage site ay itinuturing na isang"&amp;" kriminal na pagkakasala, na may parusang matitinding parusa, kabilang ang pagkakulong at mga multa.
2. **Pagbabawal sa Drug Trafficking:**
- Ipinagbabawal ng RA 9165 ang trafficking, pamamahagi, pagbebenta, at transportasyon ng mga mapanganib na droga o "&amp;"mga kinokontrol na sangkap nang walang legal na awtoridad, anuman ang lokasyon kung saan nangyari ang pagkakasala.
- Ang pagbabawal na ito ay sumasaklaw sa lahat ng mga pampublikong espasyo, kabilang ang mga lugar na malapit sa mga cultural heritage site,"&amp;" kung saan maaaring mangyari ang mga aktibidad ng illegal drug trafficking.
3. **Pinahusay na Mga Parusa para sa mga Lumalalang Sirkumstansya:**
- Ang batas ay nagtatadhana ng mga pinahusay na parusa para sa mga paglabag sa trafficking ng droga na kinasas"&amp;"angkutan ng mga nagpapalubha na pangyayari, tulad ng kalapitan ng pagkakasala sa mga kultural na pamana.
- Ang pangangalakal ng mga droga malapit sa mga cultural heritage site ay maaaring magpalala sa pagkakasala dahil sa potensyal na epekto sa kaligtasan"&amp;" ng publiko, turismo, at pangangalaga sa kultura.
4. **Pagpapatupad ng Batas at Pag-uusig:**
- Ang mga ahensyang nagpapatupad ng batas, gaya ng Philippine Drug Enforcement Agency (PDEA) at Philippine National Police (PNP), ay may pananagutan sa pagsisiyas"&amp;"at at pag-uusig sa mga kaso ng illegal drug trafficking, kabilang ang mga nangyayari malapit sa mga cultural heritage site.
- Ang mga kaso ay dinadala sa mga korte, kung saan ang mga tagausig ay nagpapakita ng ebidensya laban sa akusado, at ang mga legal "&amp;"na paglilitis ay isinasagawa alinsunod sa angkop na proseso at tuntunin ng batas.
5. **Kaalaman at Pakikipag-ugnayan ng Komunidad:**
- Ang mga lokal na komunidad, ahensya ng gobyerno, at mga awtoridad na nagpapatupad ng batas ay maaaring magtulungan upang"&amp;" itaas ang kamalayan tungkol sa mga panganib ng trafficking ng droga malapit sa mga kultural na heritage site at magpatupad ng mga hakbang upang maiwasan at hadlangan ang mga naturang aktibidad.
- Ang mga pagsusumikap sa pakikipag-ugnayan sa komunidad ay "&amp;"maaaring kabilangan ng mga kampanya sa kamalayan ng publiko, mga programa sa panonood ng kapitbahayan, at pakikipagtulungan sa mga organisasyong pamana ng kultura upang protektahan at mapangalagaan ang mga kultural na lugar mula sa mga banta na nauugnay s"&amp;"a droga.
Sa pangkalahatan, bagama't maaaring walang mga partikular na probisyon na tumutugon sa trafficking ng droga malapit sa mga kultural na pamana, ang mga umiiral na batas at regulasyon ay nagbibigay ng komprehensibong legal na balangkas para sa pagt"&amp;"ugon sa mga aktibidad ng ilegal na droga sa mga pampublikong espasyo, kabilang ang mga malapit sa mga lugar na mahalaga sa kultura. Sa pamamagitan ng pagpapatupad ng batas, pagpapataas ng kamalayan, at pakikipag-ugnayan sa mga lokal na komunidad, ang mga "&amp;"stakeholder ay nagtutulungan upang protektahan ang mga cultural heritage site at itaguyod ang isang ligtas at walang droga na kapaligiran para sa lahat.")</f>
        <v>Ang pagkakasala ng illegal drug trafficking sa mga pampublikong espasyo malapit sa cultural heritage sites sa Pilipinas ay tinutugunan sa ilalim ng Comprehensive Dangerous Drugs Act of 2002 (Republic Act No. 9165) at iba pang nauugnay na batas at regulasyon na naglalayong labanan ang illegal drug trade. Bagama't maaaring walang mga partikular na probisyon sa loob ng batas ng Pilipinas na tahasang binabanggit ang mga cultural heritage site, ang mga paglabag sa trafficking ng droga na nagaganap sa mga pampublikong espasyo, kabilang ang mga malapit sa cultural heritage sites, ay napapailalim sa parehong legal na balangkas tulad ng iba pang mga paglabag na may kaugnayan sa droga. Narito kung paano tinutugunan ng batas ang isyung ito:
1. **Comprehensive Dangerous Drugs Act of 2002 (RA 9165):**
- Ang Comprehensive Dangerous Drugs Act of 2002 ay ang pangunahing batas na namamahala sa kalakalan ng ilegal na droga sa Pilipinas. Ipinagbabawal nito ang iba't ibang aktibidad na may kaugnayan sa droga, kabilang ang trafficking, pamamahagi, pagbebenta, at pagkakaroon ng mga mapanganib na droga o mga kinokontrol na sangkap.
- Sa ilalim ng batas, ang ilegal na pangangalakal ng droga sa mga pampublikong espasyo malapit sa mga cultural heritage site ay itinuturing na isang kriminal na pagkakasala, na may parusang matitinding parusa, kabilang ang pagkakulong at mga multa.
2. **Pagbabawal sa Drug Trafficking:**
- Ipinagbabawal ng RA 9165 ang trafficking, pamamahagi, pagbebenta, at transportasyon ng mga mapanganib na droga o mga kinokontrol na sangkap nang walang legal na awtoridad, anuman ang lokasyon kung saan nangyari ang pagkakasala.
- Ang pagbabawal na ito ay sumasaklaw sa lahat ng mga pampublikong espasyo, kabilang ang mga lugar na malapit sa mga cultural heritage site, kung saan maaaring mangyari ang mga aktibidad ng illegal drug trafficking.
3. **Pinahusay na Mga Parusa para sa mga Lumalalang Sirkumstansya:**
- Ang batas ay nagtatadhana ng mga pinahusay na parusa para sa mga paglabag sa trafficking ng droga na kinasasangkutan ng mga nagpapalubha na pangyayari, tulad ng kalapitan ng pagkakasala sa mga kultural na pamana.
- Ang pangangalakal ng mga droga malapit sa mga cultural heritage site ay maaaring magpalala sa pagkakasala dahil sa potensyal na epekto sa kaligtasan ng publiko, turismo, at pangangalaga sa kultura.
4. **Pagpapatupad ng Batas at Pag-uusig:**
- Ang mga ahensyang nagpapatupad ng batas, gaya ng Philippine Drug Enforcement Agency (PDEA) at Philippine National Police (PNP), ay may pananagutan sa pagsisiyasat at pag-uusig sa mga kaso ng illegal drug trafficking, kabilang ang mga nangyayari malapit sa mga cultural heritage site.
- Ang mga kaso ay dinadala sa mga korte, kung saan ang mga tagausig ay nagpapakita ng ebidensya laban sa akusado, at ang mga legal na paglilitis ay isinasagawa alinsunod sa angkop na proseso at tuntunin ng batas.
5. **Kaalaman at Pakikipag-ugnayan ng Komunidad:**
- Ang mga lokal na komunidad, ahensya ng gobyerno, at mga awtoridad na nagpapatupad ng batas ay maaaring magtulungan upang itaas ang kamalayan tungkol sa mga panganib ng trafficking ng droga malapit sa mga kultural na heritage site at magpatupad ng mga hakbang upang maiwasan at hadlangan ang mga naturang aktibidad.
- Ang mga pagsusumikap sa pakikipag-ugnayan sa komunidad ay maaaring kabilangan ng mga kampanya sa kamalayan ng publiko, mga programa sa panonood ng kapitbahayan, at pakikipagtulungan sa mga organisasyong pamana ng kultura upang protektahan at mapangalagaan ang mga kultural na lugar mula sa mga banta na nauugnay sa droga.
Sa pangkalahatan, bagama't maaaring walang mga partikular na probisyon na tumutugon sa trafficking ng droga malapit sa mga kultural na pamana, ang mga umiiral na batas at regulasyon ay nagbibigay ng komprehensibong legal na balangkas para sa pagtugon sa mga aktibidad ng ilegal na droga sa mga pampublikong espasyo, kabilang ang mga malapit sa mga lugar na mahalaga sa kultura. Sa pamamagitan ng pagpapatupad ng batas, pagpapataas ng kamalayan, at pakikipag-ugnayan sa mga lokal na komunidad, ang mga stakeholder ay nagtutulungan upang protektahan ang mga cultural heritage site at itaguyod ang isang ligtas at walang droga na kapaligiran para sa lahat.</v>
      </c>
      <c r="F2196" s="2">
        <f t="shared" si="1"/>
        <v>0</v>
      </c>
      <c r="G2196" s="2"/>
      <c r="H2196" s="2"/>
      <c r="I2196" s="2"/>
      <c r="J2196" s="2"/>
      <c r="K2196" s="2"/>
      <c r="L2196" s="2"/>
      <c r="M2196" s="2"/>
      <c r="N2196" s="2"/>
      <c r="O2196" s="2"/>
      <c r="P2196" s="2"/>
      <c r="Q2196" s="2"/>
      <c r="R2196" s="2"/>
      <c r="S2196" s="2"/>
      <c r="T2196" s="2"/>
      <c r="U2196" s="2"/>
      <c r="V2196" s="2"/>
      <c r="W2196" s="2"/>
      <c r="X2196" s="2"/>
      <c r="Y2196" s="2"/>
      <c r="Z2196" s="2"/>
      <c r="AA2196" s="2"/>
    </row>
    <row r="2197">
      <c r="A2197" s="3" t="s">
        <v>5259</v>
      </c>
      <c r="B2197" s="1" t="s">
        <v>5365</v>
      </c>
      <c r="C2197" s="1" t="s">
        <v>5366</v>
      </c>
      <c r="D2197" s="2" t="str">
        <f>IFERROR(__xludf.DUMMYFUNCTION("GOOGLETRANSLATE(B2197, ""en"", ""TL"")"),"Sa ilalim ng anong mga pangyayari ang isang tao ay maaaring makasuhan ng krimen ng illegal drug trafficking sa mga pampublikong lugar malapit sa mga paaralan, kolehiyo, at unibersidad?")</f>
        <v>Sa ilalim ng anong mga pangyayari ang isang tao ay maaaring makasuhan ng krimen ng illegal drug trafficking sa mga pampublikong lugar malapit sa mga paaralan, kolehiyo, at unibersidad?</v>
      </c>
      <c r="E2197" s="2" t="str">
        <f>IFERROR(__xludf.DUMMYFUNCTION("GOOGLETRANSLATE(C2197, ""en"", ""TL"")"),"Sa Pilipinas, maaaring kasuhan ang isang tao ng krimen ng illegal drug trafficking sa mga pampublikong lugar malapit sa mga paaralan, kolehiyo, at unibersidad sa ilalim ng Comprehensive Dangerous Drugs Act of 2002 (Republic Act No. 9165). Ang batas ay nag"&amp;"papataw ng mga parusa para sa mga paglabag na may kaugnayan sa droga, kabilang ang labag sa batas na pagbebenta, pangangalakal, pangangasiwa, dispensasyon, paghahatid, pamamahagi, transportasyon, o paggawa ng anumang mapanganib na gamot[5].
Sa partikular,"&amp;" ang pagsali sa drug trafficking malapit sa mga institusyong pang-edukasyon ay maaaring humantong sa matinding parusa, kabilang ang pagkakulong mula 12 taon at isang araw hanggang sa habambuhay na pagkakakulong, depende sa dami ng mga drogang sangkot at i"&amp;"ba pang nagpapalubha na mga pangyayari[5]. Nilalayon ng batas na protektahan ang mga kapaligirang pang-edukasyon mula sa mga mapaminsalang epekto ng trafficking at pang-aabuso ng droga sa pamamagitan ng pagpapataw ng mahigpit na parusa sa mga nagkasala na"&amp;" tumatakbo sa malapit sa mga paaralan, kolehiyo, at unibersidad.")</f>
        <v>Sa Pilipinas, maaaring kasuhan ang isang tao ng krimen ng illegal drug trafficking sa mga pampublikong lugar malapit sa mga paaralan, kolehiyo, at unibersidad sa ilalim ng Comprehensive Dangerous Drugs Act of 2002 (Republic Act No. 9165). Ang batas ay nagpapataw ng mga parusa para sa mga paglabag na may kaugnayan sa droga, kabilang ang labag sa batas na pagbebenta, pangangalakal, pangangasiwa, dispensasyon, paghahatid, pamamahagi, transportasyon, o paggawa ng anumang mapanganib na gamot[5].
Sa partikular, ang pagsali sa drug trafficking malapit sa mga institusyong pang-edukasyon ay maaaring humantong sa matinding parusa, kabilang ang pagkakulong mula 12 taon at isang araw hanggang sa habambuhay na pagkakakulong, depende sa dami ng mga drogang sangkot at iba pang nagpapalubha na mga pangyayari[5]. Nilalayon ng batas na protektahan ang mga kapaligirang pang-edukasyon mula sa mga mapaminsalang epekto ng trafficking at pang-aabuso ng droga sa pamamagitan ng pagpapataw ng mahigpit na parusa sa mga nagkasala na tumatakbo sa malapit sa mga paaralan, kolehiyo, at unibersidad.</v>
      </c>
      <c r="F2197" s="2">
        <f t="shared" si="1"/>
        <v>0</v>
      </c>
      <c r="G2197" s="2"/>
      <c r="H2197" s="2"/>
      <c r="I2197" s="2"/>
      <c r="J2197" s="2"/>
      <c r="K2197" s="2"/>
      <c r="L2197" s="2"/>
      <c r="M2197" s="2"/>
      <c r="N2197" s="2"/>
      <c r="O2197" s="2"/>
      <c r="P2197" s="2"/>
      <c r="Q2197" s="2"/>
      <c r="R2197" s="2"/>
      <c r="S2197" s="2"/>
      <c r="T2197" s="2"/>
      <c r="U2197" s="2"/>
      <c r="V2197" s="2"/>
      <c r="W2197" s="2"/>
      <c r="X2197" s="2"/>
      <c r="Y2197" s="2"/>
      <c r="Z2197" s="2"/>
      <c r="AA2197" s="2"/>
    </row>
    <row r="2198">
      <c r="A2198" s="3" t="s">
        <v>5259</v>
      </c>
      <c r="B2198" s="1" t="s">
        <v>5367</v>
      </c>
      <c r="C2198" s="1" t="s">
        <v>5368</v>
      </c>
      <c r="D2198" s="2" t="str">
        <f>IFERROR(__xludf.DUMMYFUNCTION("GOOGLETRANSLATE(B2198, ""en"", ""TL"")"),"Anong mga legal na probisyon ang namamahala sa krimen ng hindi awtorisadong pagmamay-ari, pagbebenta, o paggamit ng mga kinokontrol na precursor at mahahalagang kemikal sa mga laboratoryo o clandestine na laboratoryo na matatagpuan sa loob ng 100 metro mu"&amp;"la sa isang paaralan, kolehiyo, o unibersidad?")</f>
        <v>Anong mga legal na probisyon ang namamahala sa krimen ng hindi awtorisadong pagmamay-ari, pagbebenta, o paggamit ng mga kinokontrol na precursor at mahahalagang kemikal sa mga laboratoryo o clandestine na laboratoryo na matatagpuan sa loob ng 100 metro mula sa isang paaralan, kolehiyo, o unibersidad?</v>
      </c>
      <c r="E2198" s="2" t="str">
        <f>IFERROR(__xludf.DUMMYFUNCTION("GOOGLETRANSLATE(C2198, ""en"", ""TL"")"),"Ang krimen ng hindi awtorisadong pagmamay-ari, pagbebenta, o paggamit ng mga kinokontrol na precursor at mahahalagang kemikal sa mga laboratoryo o lihim na laboratoryo na matatagpuan sa loob ng 100 metro ng isang paaralan, kolehiyo, o unibersidad ay pinam"&amp;"amahalaan ng iba't ibang mga legal na probisyon at mga parusa. Sa Pilipinas, ang Comprehensive Dangerous Drugs Act of 2002 (Republic Act No. 9165) ay may mahalagang papel sa pagsasaayos ng mga naturang aktibidad. Ang batas na ito ay nagpapataw ng mga paru"&amp;"sa para sa mga paglabag na may kaugnayan sa droga, kabilang ang labag sa batas na pagmamay-ari, pagbebenta, o paggamit ng mga kinokontrol na precursor at mahahalagang kemikal malapit sa mga institusyong pang-edukasyon[5].
Ang mga indibidwal na mahahanap "&amp;"na nakikibahagi sa hindi awtorisadong pagmamay-ari, pagbebenta, o paggamit ng mga kinokontrol na precursor at mahahalagang kemikal na malapit sa mga paaralan, kolehiyo, o unibersidad ay maaaring maharap sa matinding parusa sa ilalim ng Republic Act No. 91"&amp;"65. Ang batas ay naglalayong protektahan ang mga kapaligirang pang-edukasyon mula sa mga panganib na nauugnay sa droga mga aktibidad sa pamamagitan ng pagpapataw ng mahigpit na parusa sa mga nagkasala na tumatakbo sa malapit sa mga institusyong ito. Mahal"&amp;"agang ipatupad ang mga legal na probisyon na ito upang maiwasan ang hindi awtorisadong pagmamay-ari at paggamit ng mga kinokontrol na sangkap malapit sa mga pasilidad na pang-edukasyon.")</f>
        <v>Ang krimen ng hindi awtorisadong pagmamay-ari, pagbebenta, o paggamit ng mga kinokontrol na precursor at mahahalagang kemikal sa mga laboratoryo o lihim na laboratoryo na matatagpuan sa loob ng 100 metro ng isang paaralan, kolehiyo, o unibersidad ay pinamamahalaan ng iba't ibang mga legal na probisyon at mga parusa. Sa Pilipinas, ang Comprehensive Dangerous Drugs Act of 2002 (Republic Act No. 9165) ay may mahalagang papel sa pagsasaayos ng mga naturang aktibidad. Ang batas na ito ay nagpapataw ng mga parusa para sa mga paglabag na may kaugnayan sa droga, kabilang ang labag sa batas na pagmamay-ari, pagbebenta, o paggamit ng mga kinokontrol na precursor at mahahalagang kemikal malapit sa mga institusyong pang-edukasyon[5].
Ang mga indibidwal na mahahanap na nakikibahagi sa hindi awtorisadong pagmamay-ari, pagbebenta, o paggamit ng mga kinokontrol na precursor at mahahalagang kemikal na malapit sa mga paaralan, kolehiyo, o unibersidad ay maaaring maharap sa matinding parusa sa ilalim ng Republic Act No. 9165. Ang batas ay naglalayong protektahan ang mga kapaligirang pang-edukasyon mula sa mga panganib na nauugnay sa droga mga aktibidad sa pamamagitan ng pagpapataw ng mahigpit na parusa sa mga nagkasala na tumatakbo sa malapit sa mga institusyong ito. Mahalagang ipatupad ang mga legal na probisyon na ito upang maiwasan ang hindi awtorisadong pagmamay-ari at paggamit ng mga kinokontrol na sangkap malapit sa mga pasilidad na pang-edukasyon.</v>
      </c>
      <c r="F2198" s="2">
        <f t="shared" si="1"/>
        <v>1</v>
      </c>
      <c r="G2198" s="2"/>
      <c r="H2198" s="2"/>
      <c r="I2198" s="2"/>
      <c r="J2198" s="2"/>
      <c r="K2198" s="2"/>
      <c r="L2198" s="2"/>
      <c r="M2198" s="2"/>
      <c r="N2198" s="2"/>
      <c r="O2198" s="2"/>
      <c r="P2198" s="2"/>
      <c r="Q2198" s="2"/>
      <c r="R2198" s="2"/>
      <c r="S2198" s="2"/>
      <c r="T2198" s="2"/>
      <c r="U2198" s="2"/>
      <c r="V2198" s="2"/>
      <c r="W2198" s="2"/>
      <c r="X2198" s="2"/>
      <c r="Y2198" s="2"/>
      <c r="Z2198" s="2"/>
      <c r="AA2198" s="2"/>
    </row>
    <row r="2199">
      <c r="A2199" s="3" t="s">
        <v>5259</v>
      </c>
      <c r="B2199" s="1" t="s">
        <v>5369</v>
      </c>
      <c r="C2199" s="1" t="s">
        <v>5370</v>
      </c>
      <c r="D2199" s="2" t="str">
        <f>IFERROR(__xludf.DUMMYFUNCTION("GOOGLETRANSLATE(B2199, ""en"", ""TL"")"),"Paano tinutugunan ng batas ang mga insidente ng paggawa o paggawa ng ilegal na droga sa mga lugar ng tirahan o kapitbahayan sa loob ng 100 metro mula sa isang paaralan, kolehiyo, o unibersidad?")</f>
        <v>Paano tinutugunan ng batas ang mga insidente ng paggawa o paggawa ng ilegal na droga sa mga lugar ng tirahan o kapitbahayan sa loob ng 100 metro mula sa isang paaralan, kolehiyo, o unibersidad?</v>
      </c>
      <c r="E2199" s="2" t="str">
        <f>IFERROR(__xludf.DUMMYFUNCTION("GOOGLETRANSLATE(C2199, ""en"", ""TL"")"),"Ang krimen ng paggawa o paggawa ng iligal na droga sa mga residential area o kapitbahayan sa loob ng 100 metro mula sa isang paaralan, kolehiyo, o unibersidad ay tinutugunan sa pamamagitan ng iba't ibang mga legal na hakbang at parusa sa ilalim ng batas n"&amp;"g Pilipinas. Ang Comprehensive Dangerous Drugs Act of 2002 (Republic Act No. 9165) ay gumaganap ng isang mahalagang papel sa pag-regulate ng mga aktibidad na nauugnay sa droga sa mga sensitibong lugar na ito. Ang batas ay nagpapataw ng mga parusa para sa "&amp;"mga paglabag na may kaugnayan sa droga, kabilang ang labag sa batas na paggawa o paggawa ng mga mapanganib na droga malapit sa mga institusyong pang-edukasyon[5].
Ang mga indibidwal na mahahanap na gumagawa o gumagawa ng ilegal na droga sa loob ng 100 "&amp;"metro mula sa mga paaralan, kolehiyo, o unibersidad ay maaaring maharap sa matinding parusa sa ilalim ng Republic Act No. 9165. Layunin ng batas na protektahan ang mga kapaligirang pang-edukasyon mula sa mga panganib na nauugnay sa mga aktibidad na may ka"&amp;"ugnayan sa droga sa pamamagitan ng pagpapataw ng mahigpit na parusa sa mga nagkasala na tumatakbo sa malapit sa mga institusyong ito. Mahalagang ipatupad ang mga legal na probisyon na ito upang maiwasan ang hindi awtorisadong pagmamanupaktura at paggawa n"&amp;"g mga kontroladong sangkap malapit sa mga pasilidad na pang-edukasyon at matiyak ang kaligtasan ng mga komunidad at kapitbahayan.")</f>
        <v>Ang krimen ng paggawa o paggawa ng iligal na droga sa mga residential area o kapitbahayan sa loob ng 100 metro mula sa isang paaralan, kolehiyo, o unibersidad ay tinutugunan sa pamamagitan ng iba't ibang mga legal na hakbang at parusa sa ilalim ng batas ng Pilipinas. Ang Comprehensive Dangerous Drugs Act of 2002 (Republic Act No. 9165) ay gumaganap ng isang mahalagang papel sa pag-regulate ng mga aktibidad na nauugnay sa droga sa mga sensitibong lugar na ito. Ang batas ay nagpapataw ng mga parusa para sa mga paglabag na may kaugnayan sa droga, kabilang ang labag sa batas na paggawa o paggawa ng mga mapanganib na droga malapit sa mga institusyong pang-edukasyon[5].
Ang mga indibidwal na mahahanap na gumagawa o gumagawa ng ilegal na droga sa loob ng 100 metro mula sa mga paaralan, kolehiyo, o unibersidad ay maaaring maharap sa matinding parusa sa ilalim ng Republic Act No. 9165. Layunin ng batas na protektahan ang mga kapaligirang pang-edukasyon mula sa mga panganib na nauugnay sa mga aktibidad na may kaugnayan sa droga sa pamamagitan ng pagpapataw ng mahigpit na parusa sa mga nagkasala na tumatakbo sa malapit sa mga institusyong ito. Mahalagang ipatupad ang mga legal na probisyon na ito upang maiwasan ang hindi awtorisadong pagmamanupaktura at paggawa ng mga kontroladong sangkap malapit sa mga pasilidad na pang-edukasyon at matiyak ang kaligtasan ng mga komunidad at kapitbahayan.</v>
      </c>
      <c r="F2199" s="2">
        <f t="shared" si="1"/>
        <v>1</v>
      </c>
      <c r="G2199" s="2"/>
      <c r="H2199" s="2"/>
      <c r="I2199" s="2"/>
      <c r="J2199" s="2"/>
      <c r="K2199" s="2"/>
      <c r="L2199" s="2"/>
      <c r="M2199" s="2"/>
      <c r="N2199" s="2"/>
      <c r="O2199" s="2"/>
      <c r="P2199" s="2"/>
      <c r="Q2199" s="2"/>
      <c r="R2199" s="2"/>
      <c r="S2199" s="2"/>
      <c r="T2199" s="2"/>
      <c r="U2199" s="2"/>
      <c r="V2199" s="2"/>
      <c r="W2199" s="2"/>
      <c r="X2199" s="2"/>
      <c r="Y2199" s="2"/>
      <c r="Z2199" s="2"/>
      <c r="AA2199" s="2"/>
    </row>
    <row r="2200">
      <c r="A2200" s="3" t="s">
        <v>5259</v>
      </c>
      <c r="B2200" s="1" t="s">
        <v>5351</v>
      </c>
      <c r="C2200" s="1" t="s">
        <v>5371</v>
      </c>
      <c r="D2200" s="2" t="str">
        <f>IFERROR(__xludf.DUMMYFUNCTION("GOOGLETRANSLATE(B2200, ""en"", ""TL"")"),"Anong mga parusa ang naaangkop para sa pagsali sa krimen ng ilegal na pangangalakal ng droga sa loob ng 100 metro mula sa isang paaralan, kolehiyo, o unibersidad?")</f>
        <v>Anong mga parusa ang naaangkop para sa pagsali sa krimen ng ilegal na pangangalakal ng droga sa loob ng 100 metro mula sa isang paaralan, kolehiyo, o unibersidad?</v>
      </c>
      <c r="E2200" s="2" t="str">
        <f>IFERROR(__xludf.DUMMYFUNCTION("GOOGLETRANSLATE(C2200, ""en"", ""TL"")"),"Sa Pilipinas, ang pagsali sa krimen ng illegal drug trafficking sa loob ng 100 metro mula sa isang paaralan, kolehiyo, o unibersidad ay itinuturing na isang seryosong paglabag na may matinding parusa. Ang mga parusa para sa trafficking ng droga malapit sa"&amp;" mga institusyong pang-edukasyon ay pinamamahalaan ng Comprehensive Dangerous Drugs Act of 2002 (Republic Act No. 9165). Ang mga nagkasala ay maaaring maharap sa pagkakulong mula 12 taon at isang araw hanggang habambuhay na pagkakakulong, depende sa dami "&amp;"ng mga drogang sangkot at iba pang nagpapalubha na mga pangyayari[5].
Bukod pa rito, ang mga indibidwal na nahatulan ng trafficking ng droga sa loob ng 1,000 talampakan ng isang unibersidad sa Estados Unidos ay nahaharap sa mga parusa gaya ng mga tuntuni"&amp;"n sa bilangguan at multa sa ilalim ng pederal na batas[1]. Nag-iiba-iba ang mga parusa para sa mga pederal na paghatol sa trafficking ng droga batay sa dami ng kontroladong sangkap na kasangkot, na may ipinag-uutos na mga sentensiya sa bilangguan at mga m"&amp;"ulta na ipinataw para sa mga nagkasala na tumatakbo malapit sa mga institusyong pang-edukasyon[2].
Napakahalagang ipatupad ang mga legal na probisyon na ito upang hadlangan ang mga aktibidad sa trafficking ng droga malapit sa mga paaralan, kolehiyo, at u"&amp;"nibersidad at matiyak ang kaligtasan ng mga mag-aaral at kapaligirang pang-edukasyon.")</f>
        <v>Sa Pilipinas, ang pagsali sa krimen ng illegal drug trafficking sa loob ng 100 metro mula sa isang paaralan, kolehiyo, o unibersidad ay itinuturing na isang seryosong paglabag na may matinding parusa. Ang mga parusa para sa trafficking ng droga malapit sa mga institusyong pang-edukasyon ay pinamamahalaan ng Comprehensive Dangerous Drugs Act of 2002 (Republic Act No. 9165). Ang mga nagkasala ay maaaring maharap sa pagkakulong mula 12 taon at isang araw hanggang habambuhay na pagkakakulong, depende sa dami ng mga drogang sangkot at iba pang nagpapalubha na mga pangyayari[5].
Bukod pa rito, ang mga indibidwal na nahatulan ng trafficking ng droga sa loob ng 1,000 talampakan ng isang unibersidad sa Estados Unidos ay nahaharap sa mga parusa gaya ng mga tuntunin sa bilangguan at multa sa ilalim ng pederal na batas[1]. Nag-iiba-iba ang mga parusa para sa mga pederal na paghatol sa trafficking ng droga batay sa dami ng kontroladong sangkap na kasangkot, na may ipinag-uutos na mga sentensiya sa bilangguan at mga multa na ipinataw para sa mga nagkasala na tumatakbo malapit sa mga institusyong pang-edukasyon[2].
Napakahalagang ipatupad ang mga legal na probisyon na ito upang hadlangan ang mga aktibidad sa trafficking ng droga malapit sa mga paaralan, kolehiyo, at unibersidad at matiyak ang kaligtasan ng mga mag-aaral at kapaligirang pang-edukasyon.</v>
      </c>
      <c r="F2200" s="2">
        <f t="shared" si="1"/>
        <v>1</v>
      </c>
      <c r="G2200" s="2"/>
      <c r="H2200" s="2"/>
      <c r="I2200" s="2"/>
      <c r="J2200" s="2"/>
      <c r="K2200" s="2"/>
      <c r="L2200" s="2"/>
      <c r="M2200" s="2"/>
      <c r="N2200" s="2"/>
      <c r="O2200" s="2"/>
      <c r="P2200" s="2"/>
      <c r="Q2200" s="2"/>
      <c r="R2200" s="2"/>
      <c r="S2200" s="2"/>
      <c r="T2200" s="2"/>
      <c r="U2200" s="2"/>
      <c r="V2200" s="2"/>
      <c r="W2200" s="2"/>
      <c r="X2200" s="2"/>
      <c r="Y2200" s="2"/>
      <c r="Z2200" s="2"/>
      <c r="AA2200" s="2"/>
    </row>
    <row r="2201">
      <c r="A2201" s="3" t="s">
        <v>5259</v>
      </c>
      <c r="B2201" s="1" t="s">
        <v>5372</v>
      </c>
      <c r="C2201" s="1" t="s">
        <v>5373</v>
      </c>
      <c r="D2201" s="2" t="str">
        <f>IFERROR(__xludf.DUMMYFUNCTION("GOOGLETRANSLATE(B2201, ""en"", ""TL"")"),"Paano kinokontrol at pinaparusahan ang pagkakasala sa paggawa o paggawa ng ilegal na droga sa mga lugar ng pagsamba sa loob ng 100 metro mula sa paaralan, kolehiyo, o unibersidad?")</f>
        <v>Paano kinokontrol at pinaparusahan ang pagkakasala sa paggawa o paggawa ng ilegal na droga sa mga lugar ng pagsamba sa loob ng 100 metro mula sa paaralan, kolehiyo, o unibersidad?</v>
      </c>
      <c r="E2201" s="2" t="str">
        <f>IFERROR(__xludf.DUMMYFUNCTION("GOOGLETRANSLATE(C2201, ""en"", ""TL"")"),"Sa Pilipinas, ang pagkakasala ng paggawa o paggawa ng ilegal na droga sa mga lugar ng pagsamba sa loob ng 100 metro ng paaralan, kolehiyo, o unibersidad ay tinutugunan sa ilalim ng Comprehensive Dangerous Drugs Act of 2002 (Republic Act No. 9165) at iba p"&amp;"ang nauugnay na batas at regulasyon naglalayong labanan ang ilegal na kalakalan ng droga. Narito kung paano kinokontrol at pinaparusahan ng batas ang paglabag na ito:
1. **Comprehensive Dangerous Drugs Act of 2002 (RA 9165):**
- Ang Comprehensive Dangerou"&amp;"s Drugs Act of 2002 ay ang pangunahing batas na namamahala sa kalakalan ng ilegal na droga sa Pilipinas. Ipinagbabawal nito ang iba't ibang aktibidad na may kaugnayan sa droga, kabilang ang pagmamanupaktura, paggawa, at paglilinang ng mga mapanganib na dr"&amp;"oga o mga kinokontrol na sangkap.
- Sa ilalim ng batas, ang paggawa o paggawa ng ilegal na droga sa mga lugar ng pagsamba sa loob ng 100 metro mula sa isang paaralan, kolehiyo, o unibersidad ay itinuturing na isang krimen, napapailalim sa matinding parusa"&amp;".
2. **Pinahusay na Mga Parusa para sa mga Lumalalang Sirkumstansya:**
- Ang batas ay nagbibigay ng mga pinahusay na parusa para sa mga pagkakasala sa droga na ginawa sa loob ng tinukoy na mga lugar na walang droga, kabilang ang mga lugar na malapit sa mg"&amp;"a paaralan, kolehiyo, at unibersidad.
- Ang paggawa o paggawa ng droga sa mga lugar ng pagsamba sa loob ng 100 metro ng mga institusyong pang-edukasyon ay nagpapalubha sa pagkakasala, na nagreresulta sa pagtaas ng mga parusa para sa mga nagkasala.
3. **Pa"&amp;"gbabawal sa Paggawa o Produksyon ng Droga:**
- Ipinagbabawal ng RA 9165 ang pagmamanupaktura, produksyon, paglilinang, pagproseso, o pagbebenta ng mga mapanganib na droga o kinokontrol na sangkap nang walang legal na awtoridad.
- Ang pagbabawal na ito ay "&amp;"umaabot sa lahat ng lokasyon, kabilang ang mga lugar ng pagsamba, lalo na ang mga nasa loob ng 100 metro mula sa mga paaralan, kolehiyo, o unibersidad.
4. **Pagpapatupad ng Batas at Pag-uusig:**
- Ang mga ahensyang nagpapatupad ng batas, tulad ng Philippi"&amp;"ne Drug Enforcement Agency (PDEA) at Philippine National Police (PNP), ay may pananagutan sa pagsisiyasat at pag-uusig sa mga kaso ng paggawa o produksyon ng ilegal na droga.
- Ang mga kaso na kinasasangkutan ng paggawa o produksyon ng droga sa mga lugar "&amp;"ng pagsamba malapit sa mga institusyong pang-edukasyon ay pinapahalagahan nang lubos, at ang mga nagkasala ay maaaring humarap sa pag-aresto, pag-uusig, at pagpataw ng matitinding parusa.
5. **Pag-agaw at Pag-alis ng mga Asset:**
- May kapangyarihan ang m"&amp;"ga awtoridad na kunin ang mga ari-arian, kabilang ang mga ari-arian o kagamitan na ginagamit sa paggawa o proseso ng produksyon ng ilegal na droga.
- Ang mga ari-arian na nakuha mula sa o ginamit sa paggawa ng pagkakasala ay maaaring isailalim sa forfeitu"&amp;"re sa pamahalaan kasunod ng mga legal na paglilitis.
6. **Kaalaman at Pakikipag-ugnayan ng Komunidad:**
- Ang mga pagsisikap na labanan ang paggawa o produksyon ng droga sa mga lugar ng pagsamba malapit sa mga institusyong pang-edukasyon ay maaaring may k"&amp;"asamang mga kampanya ng kamalayan sa komunidad, pakikipagtulungan sa mga lider ng relihiyon, at pagpapakilos ng mga lokal na komunidad upang maiwasan at hadlangan ang mga naturang aktibidad.
Sa pangkalahatan, ang Comprehensive Dangerous Drugs Act of 2002 "&amp;"ay nagbibigay ng komprehensibong legal na balangkas para sa pag-regulate at pagpaparusa sa mga paglabag na may kaugnayan sa droga, kabilang ang paggawa o paggawa ng ilegal na droga sa mga lugar ng pagsamba malapit sa mga paaralan, kolehiyo, o unibersidad."&amp;" Sa pamamagitan ng pagpapatupad ng batas, pagpapataas ng kamalayan, at pakikipag-ugnayan sa mga lokal na komunidad, ang mga stakeholder ay nagtutulungan upang itaguyod ang isang ligtas at walang droga na kapaligiran para sa lahat.")</f>
        <v>Sa Pilipinas, ang pagkakasala ng paggawa o paggawa ng ilegal na droga sa mga lugar ng pagsamba sa loob ng 100 metro ng paaralan, kolehiyo, o unibersidad ay tinutugunan sa ilalim ng Comprehensive Dangerous Drugs Act of 2002 (Republic Act No. 9165) at iba pang nauugnay na batas at regulasyon naglalayong labanan ang ilegal na kalakalan ng droga. Narito kung paano kinokontrol at pinaparusahan ng batas ang paglabag na ito:
1. **Comprehensive Dangerous Drugs Act of 2002 (RA 9165):**
- Ang Comprehensive Dangerous Drugs Act of 2002 ay ang pangunahing batas na namamahala sa kalakalan ng ilegal na droga sa Pilipinas. Ipinagbabawal nito ang iba't ibang aktibidad na may kaugnayan sa droga, kabilang ang pagmamanupaktura, paggawa, at paglilinang ng mga mapanganib na droga o mga kinokontrol na sangkap.
- Sa ilalim ng batas, ang paggawa o paggawa ng ilegal na droga sa mga lugar ng pagsamba sa loob ng 100 metro mula sa isang paaralan, kolehiyo, o unibersidad ay itinuturing na isang krimen, napapailalim sa matinding parusa.
2. **Pinahusay na Mga Parusa para sa mga Lumalalang Sirkumstansya:**
- Ang batas ay nagbibigay ng mga pinahusay na parusa para sa mga pagkakasala sa droga na ginawa sa loob ng tinukoy na mga lugar na walang droga, kabilang ang mga lugar na malapit sa mga paaralan, kolehiyo, at unibersidad.
- Ang paggawa o paggawa ng droga sa mga lugar ng pagsamba sa loob ng 100 metro ng mga institusyong pang-edukasyon ay nagpapalubha sa pagkakasala, na nagreresulta sa pagtaas ng mga parusa para sa mga nagkasala.
3. **Pagbabawal sa Paggawa o Produksyon ng Droga:**
- Ipinagbabawal ng RA 9165 ang pagmamanupaktura, produksyon, paglilinang, pagproseso, o pagbebenta ng mga mapanganib na droga o kinokontrol na sangkap nang walang legal na awtoridad.
- Ang pagbabawal na ito ay umaabot sa lahat ng lokasyon, kabilang ang mga lugar ng pagsamba, lalo na ang mga nasa loob ng 100 metro mula sa mga paaralan, kolehiyo, o unibersidad.
4. **Pagpapatupad ng Batas at Pag-uusig:**
- Ang mga ahensyang nagpapatupad ng batas, tulad ng Philippine Drug Enforcement Agency (PDEA) at Philippine National Police (PNP), ay may pananagutan sa pagsisiyasat at pag-uusig sa mga kaso ng paggawa o produksyon ng ilegal na droga.
- Ang mga kaso na kinasasangkutan ng paggawa o produksyon ng droga sa mga lugar ng pagsamba malapit sa mga institusyong pang-edukasyon ay pinapahalagahan nang lubos, at ang mga nagkasala ay maaaring humarap sa pag-aresto, pag-uusig, at pagpataw ng matitinding parusa.
5. **Pag-agaw at Pag-alis ng mga Asset:**
- May kapangyarihan ang mga awtoridad na kunin ang mga ari-arian, kabilang ang mga ari-arian o kagamitan na ginagamit sa paggawa o proseso ng produksyon ng ilegal na droga.
- Ang mga ari-arian na nakuha mula sa o ginamit sa paggawa ng pagkakasala ay maaaring isailalim sa forfeiture sa pamahalaan kasunod ng mga legal na paglilitis.
6. **Kaalaman at Pakikipag-ugnayan ng Komunidad:**
- Ang mga pagsisikap na labanan ang paggawa o produksyon ng droga sa mga lugar ng pagsamba malapit sa mga institusyong pang-edukasyon ay maaaring may kasamang mga kampanya ng kamalayan sa komunidad, pakikipagtulungan sa mga lider ng relihiyon, at pagpapakilos ng mga lokal na komunidad upang maiwasan at hadlangan ang mga naturang aktibidad.
Sa pangkalahatan, ang Comprehensive Dangerous Drugs Act of 2002 ay nagbibigay ng komprehensibong legal na balangkas para sa pag-regulate at pagpaparusa sa mga paglabag na may kaugnayan sa droga, kabilang ang paggawa o paggawa ng ilegal na droga sa mga lugar ng pagsamba malapit sa mga paaralan, kolehiyo, o unibersidad. Sa pamamagitan ng pagpapatupad ng batas, pagpapataas ng kamalayan, at pakikipag-ugnayan sa mga lokal na komunidad, ang mga stakeholder ay nagtutulungan upang itaguyod ang isang ligtas at walang droga na kapaligiran para sa lahat.</v>
      </c>
      <c r="F2201" s="2">
        <f t="shared" si="1"/>
        <v>1</v>
      </c>
      <c r="G2201" s="2"/>
      <c r="H2201" s="2"/>
      <c r="I2201" s="2"/>
      <c r="J2201" s="2"/>
      <c r="K2201" s="2"/>
      <c r="L2201" s="2"/>
      <c r="M2201" s="2"/>
      <c r="N2201" s="2"/>
      <c r="O2201" s="2"/>
      <c r="P2201" s="2"/>
      <c r="Q2201" s="2"/>
      <c r="R2201" s="2"/>
      <c r="S2201" s="2"/>
      <c r="T2201" s="2"/>
      <c r="U2201" s="2"/>
      <c r="V2201" s="2"/>
      <c r="W2201" s="2"/>
      <c r="X2201" s="2"/>
      <c r="Y2201" s="2"/>
      <c r="Z2201" s="2"/>
      <c r="AA2201" s="2"/>
    </row>
    <row r="2202">
      <c r="A2202" s="3" t="s">
        <v>5259</v>
      </c>
      <c r="B2202" s="1" t="s">
        <v>5374</v>
      </c>
      <c r="C2202" s="1" t="s">
        <v>5375</v>
      </c>
      <c r="D2202" s="2" t="str">
        <f>IFERROR(__xludf.DUMMYFUNCTION("GOOGLETRANSLATE(B2202, ""en"", ""TL"")"),"Sa ilalim ng anong mga pangyayari ang isang tao ay maaaring makasuhan ng krimen ng illegal drug trafficking sa mga pampublikong pamilihan, plaza, o iba pang katulad na lugar sa loob ng 100 metro mula sa isang paaralan, kolehiyo, o unibersidad?")</f>
        <v>Sa ilalim ng anong mga pangyayari ang isang tao ay maaaring makasuhan ng krimen ng illegal drug trafficking sa mga pampublikong pamilihan, plaza, o iba pang katulad na lugar sa loob ng 100 metro mula sa isang paaralan, kolehiyo, o unibersidad?</v>
      </c>
      <c r="E2202" s="2" t="str">
        <f>IFERROR(__xludf.DUMMYFUNCTION("GOOGLETRANSLATE(C2202, ""en"", ""TL"")"),"Sa Pilipinas, ang isang tao ay maaaring kasuhan ng krimen ng illegal drug trafficking sa mga pampublikong pamilihan, plaza, o iba pang katulad na lugar sa loob ng 100 metro ng paaralan, kolehiyo, o unibersidad sa ilalim ng Comprehensive Dangerous Drugs Ac"&amp;"t of 2002 (Republic Act No. 9165). Ang batas ay nagpapataw ng mga parusa para sa mga paglabag na may kaugnayan sa droga, kabilang ang labag sa batas na pagbebenta, pangangalakal, pangangasiwa, dispensasyon, paghahatid, pamamahagi, transportasyon, o paggaw"&amp;"a ng anumang mapanganib na gamot[5].
Nilalayon ng batas na protektahan ang mga kapaligirang pang-edukasyon mula sa mga panganib na nauugnay sa trafficking at pang-aabuso ng droga sa pamamagitan ng pagpapataw ng mahigpit na mga parusa sa mga nagkasala na t"&amp;"umatakbo malapit sa mga institusyong ito, kabilang ang mga pampublikong pamilihan, plaza, o iba pang katulad na lugar sa loob ng 100 metro ng paaralan, kolehiyo, o unibersidad.")</f>
        <v>Sa Pilipinas, ang isang tao ay maaaring kasuhan ng krimen ng illegal drug trafficking sa mga pampublikong pamilihan, plaza, o iba pang katulad na lugar sa loob ng 100 metro ng paaralan, kolehiyo, o unibersidad sa ilalim ng Comprehensive Dangerous Drugs Act of 2002 (Republic Act No. 9165). Ang batas ay nagpapataw ng mga parusa para sa mga paglabag na may kaugnayan sa droga, kabilang ang labag sa batas na pagbebenta, pangangalakal, pangangasiwa, dispensasyon, paghahatid, pamamahagi, transportasyon, o paggawa ng anumang mapanganib na gamot[5].
Nilalayon ng batas na protektahan ang mga kapaligirang pang-edukasyon mula sa mga panganib na nauugnay sa trafficking at pang-aabuso ng droga sa pamamagitan ng pagpapataw ng mahigpit na mga parusa sa mga nagkasala na tumatakbo malapit sa mga institusyong ito, kabilang ang mga pampublikong pamilihan, plaza, o iba pang katulad na lugar sa loob ng 100 metro ng paaralan, kolehiyo, o unibersidad.</v>
      </c>
      <c r="F2202" s="2">
        <f t="shared" si="1"/>
        <v>1</v>
      </c>
      <c r="G2202" s="2"/>
      <c r="H2202" s="2"/>
      <c r="I2202" s="2"/>
      <c r="J2202" s="2"/>
      <c r="K2202" s="2"/>
      <c r="L2202" s="2"/>
      <c r="M2202" s="2"/>
      <c r="N2202" s="2"/>
      <c r="O2202" s="2"/>
      <c r="P2202" s="2"/>
      <c r="Q2202" s="2"/>
      <c r="R2202" s="2"/>
      <c r="S2202" s="2"/>
      <c r="T2202" s="2"/>
      <c r="U2202" s="2"/>
      <c r="V2202" s="2"/>
      <c r="W2202" s="2"/>
      <c r="X2202" s="2"/>
      <c r="Y2202" s="2"/>
      <c r="Z2202" s="2"/>
      <c r="AA2202" s="2"/>
    </row>
    <row r="2203">
      <c r="A2203" s="3" t="s">
        <v>5259</v>
      </c>
      <c r="B2203" s="1" t="s">
        <v>5376</v>
      </c>
      <c r="C2203" s="1" t="s">
        <v>5377</v>
      </c>
      <c r="D2203" s="2" t="str">
        <f>IFERROR(__xludf.DUMMYFUNCTION("GOOGLETRANSLATE(B2203, ""en"", ""TL"")"),"Anong mga legal na hakbang ang umiiral upang labanan ang ilegal na pangangalakal ng droga sa mga pampublikong espasyo malapit sa mga pasilidad ng pangangalagang pangkalusugan sa loob ng 100 metro mula sa isang paaralan, kolehiyo, o unibersidad?")</f>
        <v>Anong mga legal na hakbang ang umiiral upang labanan ang ilegal na pangangalakal ng droga sa mga pampublikong espasyo malapit sa mga pasilidad ng pangangalagang pangkalusugan sa loob ng 100 metro mula sa isang paaralan, kolehiyo, o unibersidad?</v>
      </c>
      <c r="E2203" s="2" t="str">
        <f>IFERROR(__xludf.DUMMYFUNCTION("GOOGLETRANSLATE(C2203, ""en"", ""TL"")"),"Sa Pilipinas, ang paglaban sa ilegal na pangangalakal ng droga sa mga pampublikong espasyo malapit sa mga pasilidad ng pangangalagang pangkalusugan sa loob ng 100 metro mula sa isang paaralan, kolehiyo, o unibersidad ay tinutugunan sa ilalim ng Comprehens"&amp;"ive Dangerous Drugs Act of 2002 (Republic Act No. 9165) at iba pang nauugnay na batas at regulasyon na naglalayong pagsugpo sa kalakalan ng iligal na droga. Narito kung paano kinokontrol at nilalabanan ng batas ang isyung ito:
1. **Comprehensive Dangerous"&amp;" Drugs Act of 2002 (RA 9165):**
- Ang Comprehensive Dangerous Drugs Act of 2002 ay ang pangunahing batas na namamahala sa kalakalan ng ilegal na droga sa Pilipinas. Ipinagbabawal nito ang iba't ibang aktibidad na may kaugnayan sa droga, kabilang ang traff"&amp;"icking, pamamahagi, pagbebenta, at pagkakaroon ng mga mapanganib na droga o mga kinokontrol na sangkap.
- Sa ilalim ng batas, ang ilegal na pangangalakal ng droga sa mga pampublikong espasyo malapit sa mga pasilidad ng pangangalagang pangkalusugan sa loob"&amp;" ng 100 metro ng mga institusyong pang-edukasyon ay itinuturing na isang kriminal na pagkakasala, napapailalim sa matinding parusa.
2. **Pinahusay na Mga Parusa para sa mga Lumalalang Sirkumstansya:**
- Ang batas ay nagbibigay ng mga pinahusay na parusa p"&amp;"ara sa mga pagkakasala sa droga na ginawa sa loob ng mga tinukoy na lugar na walang droga, kabilang ang mga lugar na malapit sa mga pasilidad ng pangangalagang pangkalusugan at mga institusyong pang-edukasyon.
- Ang pagtutulak ng droga malapit sa mga pasi"&amp;"lidad ng pangangalagang pangkalusugan sa loob ng 100 metro ng mga paaralan, kolehiyo, o unibersidad ay nagpapalubha sa pagkakasala, na nagreresulta sa pagtaas ng mga parusa para sa mga nagkasala.
3. **Pagbabawal sa Drug Trafficking:**
- Ipinagbabawal ng R"&amp;"A 9165 ang trafficking, pamamahagi, pagbebenta, at transportasyon ng mga mapanganib na droga o mga kinokontrol na sangkap nang walang legal na awtoridad.
- Ang pagbabawal na ito ay umaabot sa lahat ng mga lokasyon, kabilang ang mga pampublikong espasyo ma"&amp;"lapit sa mga pasilidad ng pangangalagang pangkalusugan, lalo na ang mga nasa loob ng 100 metro ng mga institusyong pang-edukasyon.
4. **Pagpapatupad ng Batas at Pag-uusig:**
- Ang mga ahensyang nagpapatupad ng batas, gaya ng Philippine Drug Enforcement Ag"&amp;"ency (PDEA) at Philippine National Police (PNP), ay may pananagutan sa pag-iimbestiga at pag-uusig sa mga kaso ng illegal drug trafficking.
- Ang mga kaso na kinasasangkutan ng trafficking ng droga sa mga pampublikong lugar na malapit sa mga pasilidad ng "&amp;"pangangalagang pangkalusugan malapit sa mga institusyong pang-edukasyon ay seryosong ginagamot, at ang mga nagkasala ay maaaring humarap sa pag-aresto, pag-uusig, at pagpataw ng matitinding parusa.
5. **Pag-agaw at Pag-alis ng mga Asset:**
- May kapangyar"&amp;"ihan ang mga awtoridad na kunin ang mga ari-arian, kabilang ang mga ari-arian o mga ari-arian na nagmula sa o ginamit sa paggawa ng mga pagkakasala sa trafficking ng droga.
- Ang mga nasamsam na asset ay maaaring isailalim sa forfeiture sa pamahalaan kasu"&amp;"nod ng mga legal na paglilitis.
6. **Kaalaman at Pakikipag-ugnayan ng Komunidad:**
- Ang mga pagsisikap na labanan ang ilegal na pangangalakal ng droga malapit sa mga pasilidad ng pangangalagang pangkalusugan malapit sa mga institusyong pang-edukasyon ay "&amp;"maaaring may kasamang mga kampanya ng kamalayan sa komunidad, pakikipagtulungan sa mga tagapagbigay ng pangangalagang pangkalusugan, at pagpapakilos ng mga lokal na komunidad upang maiwasan at hadlangan ang mga naturang aktibidad.
Sa pangkalahatan, ang Co"&amp;"mprehensive Dangerous Drugs Act of 2002 ay nagbibigay ng legal na balangkas para sa pagsasaayos at pagpaparusa sa mga pagkakasala na may kaugnayan sa droga, kabilang ang ilegal na pangangalakal ng droga malapit sa mga pasilidad ng pangangalagang pangkalus"&amp;"ugan sa loob ng 100 metro ng mga paaralan, kolehiyo, o unibersidad. Sa pamamagitan ng pagpapatupad ng batas, pagpapataas ng kamalayan, at pakikipag-ugnayan sa mga lokal na komunidad, ang mga stakeholder ay nagtutulungan upang itaguyod ang isang ligtas at "&amp;"walang droga na kapaligiran para sa lahat.")</f>
        <v>Sa Pilipinas, ang paglaban sa ilegal na pangangalakal ng droga sa mga pampublikong espasyo malapit sa mga pasilidad ng pangangalagang pangkalusugan sa loob ng 100 metro mula sa isang paaralan, kolehiyo, o unibersidad ay tinutugunan sa ilalim ng Comprehensive Dangerous Drugs Act of 2002 (Republic Act No. 9165) at iba pang nauugnay na batas at regulasyon na naglalayong pagsugpo sa kalakalan ng iligal na droga. Narito kung paano kinokontrol at nilalabanan ng batas ang isyung ito:
1. **Comprehensive Dangerous Drugs Act of 2002 (RA 9165):**
- Ang Comprehensive Dangerous Drugs Act of 2002 ay ang pangunahing batas na namamahala sa kalakalan ng ilegal na droga sa Pilipinas. Ipinagbabawal nito ang iba't ibang aktibidad na may kaugnayan sa droga, kabilang ang trafficking, pamamahagi, pagbebenta, at pagkakaroon ng mga mapanganib na droga o mga kinokontrol na sangkap.
- Sa ilalim ng batas, ang ilegal na pangangalakal ng droga sa mga pampublikong espasyo malapit sa mga pasilidad ng pangangalagang pangkalusugan sa loob ng 100 metro ng mga institusyong pang-edukasyon ay itinuturing na isang kriminal na pagkakasala, napapailalim sa matinding parusa.
2. **Pinahusay na Mga Parusa para sa mga Lumalalang Sirkumstansya:**
- Ang batas ay nagbibigay ng mga pinahusay na parusa para sa mga pagkakasala sa droga na ginawa sa loob ng mga tinukoy na lugar na walang droga, kabilang ang mga lugar na malapit sa mga pasilidad ng pangangalagang pangkalusugan at mga institusyong pang-edukasyon.
- Ang pagtutulak ng droga malapit sa mga pasilidad ng pangangalagang pangkalusugan sa loob ng 100 metro ng mga paaralan, kolehiyo, o unibersidad ay nagpapalubha sa pagkakasala, na nagreresulta sa pagtaas ng mga parusa para sa mga nagkasala.
3. **Pagbabawal sa Drug Trafficking:**
- Ipinagbabawal ng RA 9165 ang trafficking, pamamahagi, pagbebenta, at transportasyon ng mga mapanganib na droga o mga kinokontrol na sangkap nang walang legal na awtoridad.
- Ang pagbabawal na ito ay umaabot sa lahat ng mga lokasyon, kabilang ang mga pampublikong espasyo malapit sa mga pasilidad ng pangangalagang pangkalusugan, lalo na ang mga nasa loob ng 100 metro ng mga institusyong pang-edukasyon.
4. **Pagpapatupad ng Batas at Pag-uusig:**
- Ang mga ahensyang nagpapatupad ng batas, gaya ng Philippine Drug Enforcement Agency (PDEA) at Philippine National Police (PNP), ay may pananagutan sa pag-iimbestiga at pag-uusig sa mga kaso ng illegal drug trafficking.
- Ang mga kaso na kinasasangkutan ng trafficking ng droga sa mga pampublikong lugar na malapit sa mga pasilidad ng pangangalagang pangkalusugan malapit sa mga institusyong pang-edukasyon ay seryosong ginagamot, at ang mga nagkasala ay maaaring humarap sa pag-aresto, pag-uusig, at pagpataw ng matitinding parusa.
5. **Pag-agaw at Pag-alis ng mga Asset:**
- May kapangyarihan ang mga awtoridad na kunin ang mga ari-arian, kabilang ang mga ari-arian o mga ari-arian na nagmula sa o ginamit sa paggawa ng mga pagkakasala sa trafficking ng droga.
- Ang mga nasamsam na asset ay maaaring isailalim sa forfeiture sa pamahalaan kasunod ng mga legal na paglilitis.
6. **Kaalaman at Pakikipag-ugnayan ng Komunidad:**
- Ang mga pagsisikap na labanan ang ilegal na pangangalakal ng droga malapit sa mga pasilidad ng pangangalagang pangkalusugan malapit sa mga institusyong pang-edukasyon ay maaaring may kasamang mga kampanya ng kamalayan sa komunidad, pakikipagtulungan sa mga tagapagbigay ng pangangalagang pangkalusugan, at pagpapakilos ng mga lokal na komunidad upang maiwasan at hadlangan ang mga naturang aktibidad.
Sa pangkalahatan, ang Comprehensive Dangerous Drugs Act of 2002 ay nagbibigay ng legal na balangkas para sa pagsasaayos at pagpaparusa sa mga pagkakasala na may kaugnayan sa droga, kabilang ang ilegal na pangangalakal ng droga malapit sa mga pasilidad ng pangangalagang pangkalusugan sa loob ng 100 metro ng mga paaralan, kolehiyo, o unibersidad. Sa pamamagitan ng pagpapatupad ng batas, pagpapataas ng kamalayan, at pakikipag-ugnayan sa mga lokal na komunidad, ang mga stakeholder ay nagtutulungan upang itaguyod ang isang ligtas at walang droga na kapaligiran para sa lahat.</v>
      </c>
      <c r="F2203" s="2">
        <f t="shared" si="1"/>
        <v>1</v>
      </c>
      <c r="G2203" s="2"/>
      <c r="H2203" s="2"/>
      <c r="I2203" s="2"/>
      <c r="J2203" s="2"/>
      <c r="K2203" s="2"/>
      <c r="L2203" s="2"/>
      <c r="M2203" s="2"/>
      <c r="N2203" s="2"/>
      <c r="O2203" s="2"/>
      <c r="P2203" s="2"/>
      <c r="Q2203" s="2"/>
      <c r="R2203" s="2"/>
      <c r="S2203" s="2"/>
      <c r="T2203" s="2"/>
      <c r="U2203" s="2"/>
      <c r="V2203" s="2"/>
      <c r="W2203" s="2"/>
      <c r="X2203" s="2"/>
      <c r="Y2203" s="2"/>
      <c r="Z2203" s="2"/>
      <c r="AA2203" s="2"/>
    </row>
    <row r="2204">
      <c r="A2204" s="3" t="s">
        <v>5259</v>
      </c>
      <c r="B2204" s="1" t="s">
        <v>5378</v>
      </c>
      <c r="C2204" s="3" t="s">
        <v>5379</v>
      </c>
      <c r="D2204" s="2" t="str">
        <f>IFERROR(__xludf.DUMMYFUNCTION("GOOGLETRANSLATE(B2204, ""en"", ""TL"")"),"Paano tinutugunan ng batas ang mga insidente ng illegal drug trafficking sa mga pampublikong espasyo malapit sa mga opisina ng gobyerno sa loob ng 100 metro mula sa isang paaralan, kolehiyo, o unibersidad?")</f>
        <v>Paano tinutugunan ng batas ang mga insidente ng illegal drug trafficking sa mga pampublikong espasyo malapit sa mga opisina ng gobyerno sa loob ng 100 metro mula sa isang paaralan, kolehiyo, o unibersidad?</v>
      </c>
      <c r="E2204" s="2" t="str">
        <f>IFERROR(__xludf.DUMMYFUNCTION("GOOGLETRANSLATE(C2204, ""en"", ""TL"")"),"Ang ilegal na pagtutulak ng droga sa mga pampublikong lugar malapit sa mga opisina ng gobyerno at mga institusyong pang-edukasyon ay isang malubhang pagkakasala sa Pilipinas. Narito kung paano ito tinutugunan ng batas:
**Pinagsanib na Epekto ng Maramihang"&amp;" Batas:**
Walang iisang batas na sumasaklaw sa lahat ng aspetong ito. Sa halip, may ilang piraso ng batas ang nagsasagawa upang lumikha ng mas mahigpit na parusa para sa trafficking ng droga sa mga sensitibong lugar:
* **Comprehensive Dangerous Drugs Act "&amp;"(Republic Act No. 648):** Ito ang pangunahing batas laban sa ilegal na droga sa Pilipinas. Tinutukoy at pinaparusahan nito ang paggawa, pagmamay-ari, pagbebenta, pamamahagi, at paggamit ng mga mapanganib na droga at mga kaugnay na aktibidad.
* **Mga Pag-a"&amp;"myenda sa Batas sa Mapanganib na Droga (Republic Act No. 9165):** Pinalalakas ng batas na ito ang mga parusa sa ilalim ng RA 648, partikular para sa malakihang trafficking ng droga.
* **Section 15 ng RA 9165 (Illegal Drug Trafficking Around Schools):** An"&amp;"g seksyong ito ay partikular na nagdaragdag ng mga parusa para sa drug trafficking sa loob ng 200 metro mula sa isang paaralan, pampublikong palaruan, o dormitoryo. **Mga Pinahusay na Parusa:**
Narito kung paano nakasalansan ang mga parusa para sa traffic"&amp;"king ng droga malapit sa mga opisina at paaralan ng gobyerno (sa loob ng 100 metro):
* **Standard Penalties sa ilalim ng RA 648:** Depende sa dami at uri ng droga na sangkot, ang mga parusa ay maaaring mula sa pagkakulong ng ilang taon hanggang sa habambu"&amp;"hay na pagkakulong, kasama ang mabigat na multa.
* **Taas na Parusa para sa Proximity to Schools (RA 9165):** Isang karagdagang parusa ang ipinapataw sa ibabaw ng karaniwang mga parusa para sa trafficking sa loob ng 200 metro ng isang paaralan. Ito ay maa"&amp;"aring makabuluhang tumaas ang oras ng pagkakakulong at mga multa.
* **Kalapitan sa Mga Opisina ng Pamahalaan:** Bagama't walang partikular na distansya na binanggit sa batas para sa mga opisina ng pamahalaan, ang trafficking malapit sa kanila ay maaaring "&amp;"ituring na isang nagpapalubha na pangyayari sa panahon ng paglilitis. Nangangahulugan ito na ang hukom ay maaaring magpataw ng mas mabigat na sentensiya sa loob ng saklaw na pinapayagan ng RA 648.
**Mga Karagdagang Pagsasaalang-alang:**
* **Mga Pampubliko"&amp;"ng Lugar:** Ang mga pampublikong espasyo malapit sa mga opisina at paaralan ng pamahalaan ay maaari ding saklawin ng mga ordinansa ng lokal na pamahalaan na maaaring magpataw ng karagdagang mga parusa para sa trafficking ng droga.
* **Layunin na Ipamahagi"&amp;":** Nalalapat ang mga parusa kung mayroong katibayan ng layuning ipamahagi ang mga gamot, hindi lamang ang pagmamay-ari.
**Sa konklusyon, ang pagtutulak ng droga malapit sa mga tanggapan ng gobyerno at mga paaralan sa Pilipinas ay nakakaakit ng mas matind"&amp;"ing parusa dahil sa kumbinasyon ng mga batas. Ang kalapitan sa isang paaralan (sa loob ng 200 metro) ay nagti-trigger ng isang partikular na pagtaas ng parusa, habang ang trafficking malapit sa mga opisina ng gobyerno ay maaaring humantong sa isang mas ma"&amp;"lupit na sentensiya sa pamamagitan ng mga nagpapalubha na pangyayari.**")</f>
        <v>Ang ilegal na pagtutulak ng droga sa mga pampublikong lugar malapit sa mga opisina ng gobyerno at mga institusyong pang-edukasyon ay isang malubhang pagkakasala sa Pilipinas. Narito kung paano ito tinutugunan ng batas:
**Pinagsanib na Epekto ng Maramihang Batas:**
Walang iisang batas na sumasaklaw sa lahat ng aspetong ito. Sa halip, may ilang piraso ng batas ang nagsasagawa upang lumikha ng mas mahigpit na parusa para sa trafficking ng droga sa mga sensitibong lugar:
* **Comprehensive Dangerous Drugs Act (Republic Act No. 648):** Ito ang pangunahing batas laban sa ilegal na droga sa Pilipinas. Tinutukoy at pinaparusahan nito ang paggawa, pagmamay-ari, pagbebenta, pamamahagi, at paggamit ng mga mapanganib na droga at mga kaugnay na aktibidad.
* **Mga Pag-amyenda sa Batas sa Mapanganib na Droga (Republic Act No. 9165):** Pinalalakas ng batas na ito ang mga parusa sa ilalim ng RA 648, partikular para sa malakihang trafficking ng droga.
* **Section 15 ng RA 9165 (Illegal Drug Trafficking Around Schools):** Ang seksyong ito ay partikular na nagdaragdag ng mga parusa para sa drug trafficking sa loob ng 200 metro mula sa isang paaralan, pampublikong palaruan, o dormitoryo. **Mga Pinahusay na Parusa:**
Narito kung paano nakasalansan ang mga parusa para sa trafficking ng droga malapit sa mga opisina at paaralan ng gobyerno (sa loob ng 100 metro):
* **Standard Penalties sa ilalim ng RA 648:** Depende sa dami at uri ng droga na sangkot, ang mga parusa ay maaaring mula sa pagkakulong ng ilang taon hanggang sa habambuhay na pagkakulong, kasama ang mabigat na multa.
* **Taas na Parusa para sa Proximity to Schools (RA 9165):** Isang karagdagang parusa ang ipinapataw sa ibabaw ng karaniwang mga parusa para sa trafficking sa loob ng 200 metro ng isang paaralan. Ito ay maaaring makabuluhang tumaas ang oras ng pagkakakulong at mga multa.
* **Kalapitan sa Mga Opisina ng Pamahalaan:** Bagama't walang partikular na distansya na binanggit sa batas para sa mga opisina ng pamahalaan, ang trafficking malapit sa kanila ay maaaring ituring na isang nagpapalubha na pangyayari sa panahon ng paglilitis. Nangangahulugan ito na ang hukom ay maaaring magpataw ng mas mabigat na sentensiya sa loob ng saklaw na pinapayagan ng RA 648.
**Mga Karagdagang Pagsasaalang-alang:**
* **Mga Pampublikong Lugar:** Ang mga pampublikong espasyo malapit sa mga opisina at paaralan ng pamahalaan ay maaari ding saklawin ng mga ordinansa ng lokal na pamahalaan na maaaring magpataw ng karagdagang mga parusa para sa trafficking ng droga.
* **Layunin na Ipamahagi:** Nalalapat ang mga parusa kung mayroong katibayan ng layuning ipamahagi ang mga gamot, hindi lamang ang pagmamay-ari.
**Sa konklusyon, ang pagtutulak ng droga malapit sa mga tanggapan ng gobyerno at mga paaralan sa Pilipinas ay nakakaakit ng mas matinding parusa dahil sa kumbinasyon ng mga batas. Ang kalapitan sa isang paaralan (sa loob ng 200 metro) ay nagti-trigger ng isang partikular na pagtaas ng parusa, habang ang trafficking malapit sa mga opisina ng gobyerno ay maaaring humantong sa isang mas malupit na sentensiya sa pamamagitan ng mga nagpapalubha na pangyayari.**</v>
      </c>
      <c r="F2204" s="2">
        <f t="shared" si="1"/>
        <v>0</v>
      </c>
      <c r="G2204" s="2"/>
      <c r="H2204" s="2"/>
      <c r="I2204" s="2"/>
      <c r="J2204" s="2"/>
      <c r="K2204" s="2"/>
      <c r="L2204" s="2"/>
      <c r="M2204" s="2"/>
      <c r="N2204" s="2"/>
      <c r="O2204" s="2"/>
      <c r="P2204" s="2"/>
      <c r="Q2204" s="2"/>
      <c r="R2204" s="2"/>
      <c r="S2204" s="2"/>
      <c r="T2204" s="2"/>
      <c r="U2204" s="2"/>
      <c r="V2204" s="2"/>
      <c r="W2204" s="2"/>
      <c r="X2204" s="2"/>
      <c r="Y2204" s="2"/>
      <c r="Z2204" s="2"/>
      <c r="AA2204" s="2"/>
    </row>
    <row r="2205">
      <c r="A2205" s="3" t="s">
        <v>5259</v>
      </c>
      <c r="B2205" s="1" t="s">
        <v>5380</v>
      </c>
      <c r="C2205" s="3" t="s">
        <v>5381</v>
      </c>
      <c r="D2205" s="2" t="str">
        <f>IFERROR(__xludf.DUMMYFUNCTION("GOOGLETRANSLATE(B2205, ""en"", ""TL"")"),"Anong mga parusa ang ipinataw para sa pagsali sa krimen ng ilegal na pagbebenta ng droga sa mga pampublikong sasakyan o terminal sa loob ng 100 metro mula sa isang paaralan, kolehiyo, o unibersidad?")</f>
        <v>Anong mga parusa ang ipinataw para sa pagsali sa krimen ng ilegal na pagbebenta ng droga sa mga pampublikong sasakyan o terminal sa loob ng 100 metro mula sa isang paaralan, kolehiyo, o unibersidad?</v>
      </c>
      <c r="E2205" s="2" t="str">
        <f>IFERROR(__xludf.DUMMYFUNCTION("GOOGLETRANSLATE(C2205, ""en"", ""TL"")"),"Sa Pilipinas, ang pagtutulak ng ilegal na droga sa mga pampublikong sasakyan o terminal malapit sa mga paaralan ay may mabigat na parusa dahil sa kumbinasyon ng mga batas. Narito ang isang breakdown:
**Mga Pangunahing Batas na Kasangkot:**
* **Comprehensi"&amp;"ve Dangerous Drugs Act (Republic Act No. 648):** Ito ang pundasyong batas laban sa ilegal na droga. Binabalangkas nito ang mga pagkakasala at mga parusa para sa paggawa, pagmamay-ari, pagbebenta, pamamahagi, at paggamit ng mga mapanganib na droga. * **Mga"&amp;" Pag-amyenda sa Batas sa Mapanganib na Droga (Republic Act No. 9165):** Pinalalakas ng batas na ito ang mga parusa sa ilalim ng RA 648, partikular para sa malakihang trafficking ng droga.
**Palta Stacking:**
* **Standard Penalties sa ilalim ng RA 648:** A"&amp;"ng kalubhaan ng parusa ay depende sa dami at uri ng droga na nasasangkot. Ito ay maaaring mula sa ilang taong pagkakakulong hanggang habambuhay, na may malaking multa.
* **Taas na Parusa para sa Proximity to Schools (RA 9165):** Isang karagdagang parusa a"&amp;"ng ipapataw sa ibabaw ng karaniwang mga parusa kung ang trafficking ay nangyari sa loob ng 200 metro mula sa isang paaralan, pampublikong palaruan, o dormitoryo. Ito ay makabuluhang nagpapataas ng potensyal na oras ng pagkakakulong at mga multa.
**Pampubl"&amp;"ikong Transportasyon at 100-meter Radius:**
Habang ang RA 9165 ay nakatutok sa mga paaralan sa loob ng 200 metro, may mga salik na maaaring humantong sa mas matinding parusa para sa pampublikong transportasyon malapit sa mga paaralan (sa loob ng 100 metro"&amp;"):
* **Nagpapalubha ng mga Kalagayan:** Ang pampublikong transportasyon ay maaaring ituring na isang lugar kung saan ang krimen ay ""madaling gawin"" o kung saan mayroong ""malubhang pang-aabuso sa awtoridad"" (kung ang driver o mga tauhan ay sangkot). An"&amp;"g mga ito ay nagpapalubha ng mga pangyayari sa ilalim ng RA 648, na nagpapahintulot sa mga hukom na magpataw ng mas mahigpit na sentensiya sa loob ng umiiral na saklaw ng parusa.
* **Mga Lokal na Ordinansa:** Maraming lokalidad ang may mga ordinansang par"&amp;"tikular na nagbabawal sa pagbebenta ng droga sa mga pampublikong lugar ng transportasyon. Ang mga ordinansang ito ay maaaring magpataw ng mga karagdagang multa o parusa.
**Layunin na Ipamahagi:**
Mahalagang tandaan na nalalapat ang mga parusang ito kung m"&amp;"ay patunay ng layunin na ipamahagi ang mga gamot, hindi lamang pag-aari para sa personal na paggamit.
**Sa esensya, ang pagtutulak ng droga sa pampublikong transportasyon malapit sa mga paaralan (sa loob ng 100 metro) ay nagdudulot ng kumbinasyon ng mga p"&amp;"arusa. Ang mga karaniwang parusa mula sa RA 648 ay itinataas dahil sa kalapitan sa isang paaralan (batay sa RA 9165) at ang nagpapalubha na kalagayan ng lokasyon (pampublikong transportasyon). Ang mga lokal na ordinansa ay maaaring magdagdag ng karagdagan"&amp;"g mga parusa.**")</f>
        <v>Sa Pilipinas, ang pagtutulak ng ilegal na droga sa mga pampublikong sasakyan o terminal malapit sa mga paaralan ay may mabigat na parusa dahil sa kumbinasyon ng mga batas. Narito ang isang breakdown:
**Mga Pangunahing Batas na Kasangkot:**
* **Comprehensive Dangerous Drugs Act (Republic Act No. 648):** Ito ang pundasyong batas laban sa ilegal na droga. Binabalangkas nito ang mga pagkakasala at mga parusa para sa paggawa, pagmamay-ari, pagbebenta, pamamahagi, at paggamit ng mga mapanganib na droga. * **Mga Pag-amyenda sa Batas sa Mapanganib na Droga (Republic Act No. 9165):** Pinalalakas ng batas na ito ang mga parusa sa ilalim ng RA 648, partikular para sa malakihang trafficking ng droga.
**Palta Stacking:**
* **Standard Penalties sa ilalim ng RA 648:** Ang kalubhaan ng parusa ay depende sa dami at uri ng droga na nasasangkot. Ito ay maaaring mula sa ilang taong pagkakakulong hanggang habambuhay, na may malaking multa.
* **Taas na Parusa para sa Proximity to Schools (RA 9165):** Isang karagdagang parusa ang ipapataw sa ibabaw ng karaniwang mga parusa kung ang trafficking ay nangyari sa loob ng 200 metro mula sa isang paaralan, pampublikong palaruan, o dormitoryo. Ito ay makabuluhang nagpapataas ng potensyal na oras ng pagkakakulong at mga multa.
**Pampublikong Transportasyon at 100-meter Radius:**
Habang ang RA 9165 ay nakatutok sa mga paaralan sa loob ng 200 metro, may mga salik na maaaring humantong sa mas matinding parusa para sa pampublikong transportasyon malapit sa mga paaralan (sa loob ng 100 metro):
* **Nagpapalubha ng mga Kalagayan:** Ang pampublikong transportasyon ay maaaring ituring na isang lugar kung saan ang krimen ay "madaling gawin" o kung saan mayroong "malubhang pang-aabuso sa awtoridad" (kung ang driver o mga tauhan ay sangkot). Ang mga ito ay nagpapalubha ng mga pangyayari sa ilalim ng RA 648, na nagpapahintulot sa mga hukom na magpataw ng mas mahigpit na sentensiya sa loob ng umiiral na saklaw ng parusa.
* **Mga Lokal na Ordinansa:** Maraming lokalidad ang may mga ordinansang partikular na nagbabawal sa pagbebenta ng droga sa mga pampublikong lugar ng transportasyon. Ang mga ordinansang ito ay maaaring magpataw ng mga karagdagang multa o parusa.
**Layunin na Ipamahagi:**
Mahalagang tandaan na nalalapat ang mga parusang ito kung may patunay ng layunin na ipamahagi ang mga gamot, hindi lamang pag-aari para sa personal na paggamit.
**Sa esensya, ang pagtutulak ng droga sa pampublikong transportasyon malapit sa mga paaralan (sa loob ng 100 metro) ay nagdudulot ng kumbinasyon ng mga parusa. Ang mga karaniwang parusa mula sa RA 648 ay itinataas dahil sa kalapitan sa isang paaralan (batay sa RA 9165) at ang nagpapalubha na kalagayan ng lokasyon (pampublikong transportasyon). Ang mga lokal na ordinansa ay maaaring magdagdag ng karagdagang mga parusa.**</v>
      </c>
      <c r="F2205" s="2">
        <f t="shared" si="1"/>
        <v>0</v>
      </c>
      <c r="G2205" s="2"/>
      <c r="H2205" s="2"/>
      <c r="I2205" s="2"/>
      <c r="J2205" s="2"/>
      <c r="K2205" s="2"/>
      <c r="L2205" s="2"/>
      <c r="M2205" s="2"/>
      <c r="N2205" s="2"/>
      <c r="O2205" s="2"/>
      <c r="P2205" s="2"/>
      <c r="Q2205" s="2"/>
      <c r="R2205" s="2"/>
      <c r="S2205" s="2"/>
      <c r="T2205" s="2"/>
      <c r="U2205" s="2"/>
      <c r="V2205" s="2"/>
      <c r="W2205" s="2"/>
      <c r="X2205" s="2"/>
      <c r="Y2205" s="2"/>
      <c r="Z2205" s="2"/>
      <c r="AA2205" s="2"/>
    </row>
    <row r="2206">
      <c r="A2206" s="3" t="s">
        <v>5259</v>
      </c>
      <c r="B2206" s="1" t="s">
        <v>5382</v>
      </c>
      <c r="C2206" s="3" t="s">
        <v>5383</v>
      </c>
      <c r="D2206" s="2" t="str">
        <f>IFERROR(__xludf.DUMMYFUNCTION("GOOGLETRANSLATE(B2206, ""en"", ""TL"")"),"Paano tinutugunan sa ilalim ng batas ng Pilipinas ang pagkakasala ng ilegal na pagtutulak ng droga sa mga pampublikong espasyo malapit sa cultural heritage sites sa loob ng 100 metro mula sa isang paaralan, kolehiyo, o unibersidad?")</f>
        <v>Paano tinutugunan sa ilalim ng batas ng Pilipinas ang pagkakasala ng ilegal na pagtutulak ng droga sa mga pampublikong espasyo malapit sa cultural heritage sites sa loob ng 100 metro mula sa isang paaralan, kolehiyo, o unibersidad?</v>
      </c>
      <c r="E2206" s="2" t="str">
        <f>IFERROR(__xludf.DUMMYFUNCTION("GOOGLETRANSLATE(C2206, ""en"", ""TL"")"),"Bagama't walang partikular na legal na probisyon sa Pilipinas na direktang tumutugon sa trafficking ng droga malapit sa mga cultural heritage site, maaari pa rin itong maging seryosong pagkakasala dahil sa mga kasalukuyang batas at potensyal na kahihinatn"&amp;"an. Narito ang isang breakdown:
* **Mga Naaangkop na Batas:**
* **Comprehensive Dangerous Drugs Act (RA 648):** Ito ang pangunahing batas laban sa ilegal na droga, na nagbabalangkas ng mga parusa para sa paggawa, pagmamay-ari, pagbebenta, pamamahagi, at p"&amp;"aggamit.
* **Dangerous Drugs Act Amendments (RA 9165):** Pinalalakas ng batas na ito ang mga parusa sa ilalim ng RA 648, partikular na para sa malawakang trafficking. * **Cultural Heritage Act (RA 10066):** Pinoprotektahan at itinataguyod ng batas na ito "&amp;"ang pamana ng kultura ng Pilipinas. Hindi nito direktang tinutugunan ang trafficking ng droga, ngunit itinatampok nito ang kahalagahan ng mga site na ito.
* **Parusa para sa Drug Trafficking:**
Ang mga parusa ay depende sa dami at uri ng mga gamot na nasa"&amp;"sangkot sa ilalim ng RA 648. Ito ay maaaring mula sa ilang taon ng pagkakakulong hanggang habambuhay, na may malaking multa.
* **Kalapitan sa Mga Paaralan (RA 9165):**
Kung ang trafficking ng droga ay nangyari sa loob ng 200 metro mula sa isang paaralan, "&amp;"isang karagdagang parusa ang ipapataw sa ibabaw ng karaniwang mga parusa sa ilalim ng RA 9165. Ito ay makabuluhang nagpapataas ng potensyal na parusa.
* **Mga Cultural Heritage Site:**
Walang partikular na distansya na binanggit sa batas para sa mga cultu"&amp;"ral heritage site. Gayunpaman, ang trafficking malapit sa kanila ay maaaring ituring na isang nagpapalubha na pangyayari sa panahon ng paglilitis. Nangangahulugan ito na ang isang hukom ay maaaring magpataw ng mas mahigpit na sentensiya sa loob ng saklaw "&amp;"na pinapayagan ng RA 648 dahil sa kahalagahan ng lokasyon.
* **Mga Lokal na Ordenansa:**
Maraming lokalidad ang may mga ordinansang nagpoprotekta sa mga cultural heritage sites. Ang mga ordinansang ito ay maaaring magpataw ng karagdagang mga parusa para s"&amp;"a drug trafficking malapit sa kanila.
**Sa konklusyon, ang drug trafficking malapit sa cultural heritage sites sa loob ng 100 metro ng isang paaralan ay maaaring humantong sa pinahusay na mga parusa sa Pilipinas. Ang mga karaniwang parusa sa ilalim ng RA "&amp;"648 ay itinataas dahil sa kalapitan sa isang paaralan (batay sa RA 9165) at ang nagpapalubha na pangyayari ng hindi paggalang sa isang kultural na palatandaan. Ang mga lokal na ordinansa ay maaaring magdagdag ng karagdagang mga parusa.**")</f>
        <v>Bagama't walang partikular na legal na probisyon sa Pilipinas na direktang tumutugon sa trafficking ng droga malapit sa mga cultural heritage site, maaari pa rin itong maging seryosong pagkakasala dahil sa mga kasalukuyang batas at potensyal na kahihinatnan. Narito ang isang breakdown:
* **Mga Naaangkop na Batas:**
* **Comprehensive Dangerous Drugs Act (RA 648):** Ito ang pangunahing batas laban sa ilegal na droga, na nagbabalangkas ng mga parusa para sa paggawa, pagmamay-ari, pagbebenta, pamamahagi, at paggamit.
* **Dangerous Drugs Act Amendments (RA 9165):** Pinalalakas ng batas na ito ang mga parusa sa ilalim ng RA 648, partikular na para sa malawakang trafficking. * **Cultural Heritage Act (RA 10066):** Pinoprotektahan at itinataguyod ng batas na ito ang pamana ng kultura ng Pilipinas. Hindi nito direktang tinutugunan ang trafficking ng droga, ngunit itinatampok nito ang kahalagahan ng mga site na ito.
* **Parusa para sa Drug Trafficking:**
Ang mga parusa ay depende sa dami at uri ng mga gamot na nasasangkot sa ilalim ng RA 648. Ito ay maaaring mula sa ilang taon ng pagkakakulong hanggang habambuhay, na may malaking multa.
* **Kalapitan sa Mga Paaralan (RA 9165):**
Kung ang trafficking ng droga ay nangyari sa loob ng 200 metro mula sa isang paaralan, isang karagdagang parusa ang ipapataw sa ibabaw ng karaniwang mga parusa sa ilalim ng RA 9165. Ito ay makabuluhang nagpapataas ng potensyal na parusa.
* **Mga Cultural Heritage Site:**
Walang partikular na distansya na binanggit sa batas para sa mga cultural heritage site. Gayunpaman, ang trafficking malapit sa kanila ay maaaring ituring na isang nagpapalubha na pangyayari sa panahon ng paglilitis. Nangangahulugan ito na ang isang hukom ay maaaring magpataw ng mas mahigpit na sentensiya sa loob ng saklaw na pinapayagan ng RA 648 dahil sa kahalagahan ng lokasyon.
* **Mga Lokal na Ordenansa:**
Maraming lokalidad ang may mga ordinansang nagpoprotekta sa mga cultural heritage sites. Ang mga ordinansang ito ay maaaring magpataw ng karagdagang mga parusa para sa drug trafficking malapit sa kanila.
**Sa konklusyon, ang drug trafficking malapit sa cultural heritage sites sa loob ng 100 metro ng isang paaralan ay maaaring humantong sa pinahusay na mga parusa sa Pilipinas. Ang mga karaniwang parusa sa ilalim ng RA 648 ay itinataas dahil sa kalapitan sa isang paaralan (batay sa RA 9165) at ang nagpapalubha na pangyayari ng hindi paggalang sa isang kultural na palatandaan. Ang mga lokal na ordinansa ay maaaring magdagdag ng karagdagang mga parusa.**</v>
      </c>
      <c r="F2206" s="2">
        <f t="shared" si="1"/>
        <v>0</v>
      </c>
      <c r="G2206" s="2"/>
      <c r="H2206" s="2"/>
      <c r="I2206" s="2"/>
      <c r="J2206" s="2"/>
      <c r="K2206" s="2"/>
      <c r="L2206" s="2"/>
      <c r="M2206" s="2"/>
      <c r="N2206" s="2"/>
      <c r="O2206" s="2"/>
      <c r="P2206" s="2"/>
      <c r="Q2206" s="2"/>
      <c r="R2206" s="2"/>
      <c r="S2206" s="2"/>
      <c r="T2206" s="2"/>
      <c r="U2206" s="2"/>
      <c r="V2206" s="2"/>
      <c r="W2206" s="2"/>
      <c r="X2206" s="2"/>
      <c r="Y2206" s="2"/>
      <c r="Z2206" s="2"/>
      <c r="AA2206" s="2"/>
    </row>
    <row r="2207">
      <c r="A2207" s="3" t="s">
        <v>5259</v>
      </c>
      <c r="B2207" s="1" t="s">
        <v>5384</v>
      </c>
      <c r="C2207" s="3" t="s">
        <v>5385</v>
      </c>
      <c r="D2207" s="2" t="str">
        <f>IFERROR(__xludf.DUMMYFUNCTION("GOOGLETRANSLATE(B2207, ""en"", ""TL"")"),"Sa ilalim ng anong mga pangyayari ang isang tao ay maaaring makasuhan ng krimen ng illegal drug trafficking sa mga pampublikong lugar malapit sa mga paaralan, kolehiyo, at unibersidad sa loob ng 100 metro mula sa isang paaralan, kolehiyo, o unibersidad?")</f>
        <v>Sa ilalim ng anong mga pangyayari ang isang tao ay maaaring makasuhan ng krimen ng illegal drug trafficking sa mga pampublikong lugar malapit sa mga paaralan, kolehiyo, at unibersidad sa loob ng 100 metro mula sa isang paaralan, kolehiyo, o unibersidad?</v>
      </c>
      <c r="E2207" s="2" t="str">
        <f>IFERROR(__xludf.DUMMYFUNCTION("GOOGLETRANSLATE(C2207, ""en"", ""TL"")"),"Sa Pilipinas, ang isang tao ay maaaring makasuhan ng illegal drug trafficking sa mga pampublikong lugar malapit sa mga paaralan, kolehiyo, at unibersidad sa loob ng 100 metro sa ilalim ng ilang mga pangyayari:
**1. Pagmamay-ari na may Layunin na Ipamahagi"&amp;":**
Ang pangunahing elemento para sa singil sa trafficking ng droga ay katibayan ng **intent na ipamahagi** ang mga ilegal na droga, hindi lamang pag-aari para sa personal na paggamit. Maaaring kabilang sa ebidensyang ito ang:
* Pag-aari ng malaking dami "&amp;"ng mga gamot
* Pagmamay-ari ng mga materyales sa packaging (mga kaliskis, baggies)
* Pagkakaroon ng mga drug paraphernalia (pipe, syringes)
* Saksi ang patotoo tungkol sa mga aktibidad sa pagbebenta o pamamahagi
**2. Malapit sa isang Paaralan (sa loob ng "&amp;"200 metro):**
Ang Dangerous Drugs Act Amendments (RA 9165) ay partikular na nagdaragdag ng mga parusa para sa trafficking ng droga sa loob ng 200 metro mula sa isang paaralan, pampublikong palaruan, o dormitoryo. Kahit na ang pampublikong espasyo ay nasa "&amp;"loob ng 100 metro mula sa isang paaralan ngunit hindi teknikal sa bakuran ng paaralan, ang batas na ito ay nalalapat at nagpapalitaw ng mas matitinding parusa.
**3. Pampublikong Lugar:**
Ang pampublikong espasyo kung saan nangyayari ang trafficking ay kai"&amp;"langang maipakitang pampubliko. Maaaring kabilang dito ang:
* Mga kalye at bangketa
* Mga parke at plaza
* Mga istasyon o terminal ng pampublikong transportasyon (itinuring na isang nagpapalubha na pangyayari)
**4. Mga Tukoy na Gamot at Dami:**
Ang uri at"&amp;" dami ng sangkot na gamot ay nakakaapekto rin sa mga singil at parusa. Ang iba't ibang klasipikasyon ng mga droga (hal., shabu, marijuana) ay may iba't ibang parusa batay sa timbang. **5. Nagpapalubha ng mga Kalagayan (Sa loob ng 100 metro):**
Kahit na ba"&amp;"hagyang nangyayari ang trafficking sa labas ng 200-meter zone ngunit sa loob ng 100 metro ng isang paaralan na malapit sa isang cultural heritage site o terminal ng pampublikong transportasyon, ang mga salik na ito ay maaaring ituring na nagpapalubha ng m"&amp;"ga pangyayari sa panahon ng paglilitis:
* **Cultural Heritage Site:** Ang trafficking malapit sa isang protektadong kultural na site ay nagpapakita ng kawalang-galang sa kahalagahan ng lokasyon, na posibleng humantong sa isang mas malupit na pangungusap.
"&amp;"* **Pampublikong Transportasyon:** Ang pampublikong transportasyon ay makikita bilang isang lugar kung saan ang krimen ay ""madaling gawin"" o nagsasangkot ng ""grave abuse of authority"" (kung may kinalaman ang mga tauhan). Ang mga salik na ito ay maaari"&amp;"ng humantong sa isang mas mahigpit na pangungusap sa loob ng umiiral na hanay ng parusa.
**Mga Karagdagang Punto:**
* Ang mga ordinansa ng lokal na pamahalaan ay maaaring magpataw ng karagdagang mga parusa para sa trafficking ng droga sa mga partikular na"&amp;" pampublikong lugar.
* Ang mga ito ay masalimuot na legal na usapin, at ang mga partikular na kalagayan ng bawat kaso ay tumutukoy sa mga singil at parusa.")</f>
        <v>Sa Pilipinas, ang isang tao ay maaaring makasuhan ng illegal drug trafficking sa mga pampublikong lugar malapit sa mga paaralan, kolehiyo, at unibersidad sa loob ng 100 metro sa ilalim ng ilang mga pangyayari:
**1. Pagmamay-ari na may Layunin na Ipamahagi:**
Ang pangunahing elemento para sa singil sa trafficking ng droga ay katibayan ng **intent na ipamahagi** ang mga ilegal na droga, hindi lamang pag-aari para sa personal na paggamit. Maaaring kabilang sa ebidensyang ito ang:
* Pag-aari ng malaking dami ng mga gamot
* Pagmamay-ari ng mga materyales sa packaging (mga kaliskis, baggies)
* Pagkakaroon ng mga drug paraphernalia (pipe, syringes)
* Saksi ang patotoo tungkol sa mga aktibidad sa pagbebenta o pamamahagi
**2. Malapit sa isang Paaralan (sa loob ng 200 metro):**
Ang Dangerous Drugs Act Amendments (RA 9165) ay partikular na nagdaragdag ng mga parusa para sa trafficking ng droga sa loob ng 200 metro mula sa isang paaralan, pampublikong palaruan, o dormitoryo. Kahit na ang pampublikong espasyo ay nasa loob ng 100 metro mula sa isang paaralan ngunit hindi teknikal sa bakuran ng paaralan, ang batas na ito ay nalalapat at nagpapalitaw ng mas matitinding parusa.
**3. Pampublikong Lugar:**
Ang pampublikong espasyo kung saan nangyayari ang trafficking ay kailangang maipakitang pampubliko. Maaaring kabilang dito ang:
* Mga kalye at bangketa
* Mga parke at plaza
* Mga istasyon o terminal ng pampublikong transportasyon (itinuring na isang nagpapalubha na pangyayari)
**4. Mga Tukoy na Gamot at Dami:**
Ang uri at dami ng sangkot na gamot ay nakakaapekto rin sa mga singil at parusa. Ang iba't ibang klasipikasyon ng mga droga (hal., shabu, marijuana) ay may iba't ibang parusa batay sa timbang. **5. Nagpapalubha ng mga Kalagayan (Sa loob ng 100 metro):**
Kahit na bahagyang nangyayari ang trafficking sa labas ng 200-meter zone ngunit sa loob ng 100 metro ng isang paaralan na malapit sa isang cultural heritage site o terminal ng pampublikong transportasyon, ang mga salik na ito ay maaaring ituring na nagpapalubha ng mga pangyayari sa panahon ng paglilitis:
* **Cultural Heritage Site:** Ang trafficking malapit sa isang protektadong kultural na site ay nagpapakita ng kawalang-galang sa kahalagahan ng lokasyon, na posibleng humantong sa isang mas malupit na pangungusap.
* **Pampublikong Transportasyon:** Ang pampublikong transportasyon ay makikita bilang isang lugar kung saan ang krimen ay "madaling gawin" o nagsasangkot ng "grave abuse of authority" (kung may kinalaman ang mga tauhan). Ang mga salik na ito ay maaaring humantong sa isang mas mahigpit na pangungusap sa loob ng umiiral na hanay ng parusa.
**Mga Karagdagang Punto:**
* Ang mga ordinansa ng lokal na pamahalaan ay maaaring magpataw ng karagdagang mga parusa para sa trafficking ng droga sa mga partikular na pampublikong lugar.
* Ang mga ito ay masalimuot na legal na usapin, at ang mga partikular na kalagayan ng bawat kaso ay tumutukoy sa mga singil at parusa.</v>
      </c>
      <c r="F2207" s="2">
        <f t="shared" si="1"/>
        <v>0</v>
      </c>
      <c r="G2207" s="2"/>
      <c r="H2207" s="2"/>
      <c r="I2207" s="2"/>
      <c r="J2207" s="2"/>
      <c r="K2207" s="2"/>
      <c r="L2207" s="2"/>
      <c r="M2207" s="2"/>
      <c r="N2207" s="2"/>
      <c r="O2207" s="2"/>
      <c r="P2207" s="2"/>
      <c r="Q2207" s="2"/>
      <c r="R2207" s="2"/>
      <c r="S2207" s="2"/>
      <c r="T2207" s="2"/>
      <c r="U2207" s="2"/>
      <c r="V2207" s="2"/>
      <c r="W2207" s="2"/>
      <c r="X2207" s="2"/>
      <c r="Y2207" s="2"/>
      <c r="Z2207" s="2"/>
      <c r="AA2207" s="2"/>
    </row>
    <row r="2208">
      <c r="A2208" s="3" t="s">
        <v>5259</v>
      </c>
      <c r="B2208" s="1" t="s">
        <v>5367</v>
      </c>
      <c r="C2208" s="3" t="s">
        <v>5386</v>
      </c>
      <c r="D2208" s="2" t="str">
        <f>IFERROR(__xludf.DUMMYFUNCTION("GOOGLETRANSLATE(B2208, ""en"", ""TL"")"),"Anong mga legal na probisyon ang namamahala sa krimen ng hindi awtorisadong pagmamay-ari, pagbebenta, o paggamit ng mga kinokontrol na precursor at mahahalagang kemikal sa mga laboratoryo o clandestine na laboratoryo na matatagpuan sa loob ng 100 metro mu"&amp;"la sa isang paaralan, kolehiyo, o unibersidad?")</f>
        <v>Anong mga legal na probisyon ang namamahala sa krimen ng hindi awtorisadong pagmamay-ari, pagbebenta, o paggamit ng mga kinokontrol na precursor at mahahalagang kemikal sa mga laboratoryo o clandestine na laboratoryo na matatagpuan sa loob ng 100 metro mula sa isang paaralan, kolehiyo, o unibersidad?</v>
      </c>
      <c r="E2208" s="2" t="str">
        <f>IFERROR(__xludf.DUMMYFUNCTION("GOOGLETRANSLATE(C2208, ""en"", ""TL"")"),"Sa Pilipinas, maraming legal na probisyon ang tumutugon sa hindi awtorisadong pagmamay-ari, pagbebenta, o paggamit ng mga kinokontrol na precursor at mahahalagang kemikal (CPEC) malapit sa mga paaralan. Narito ang isang breakdown ng mga nauugnay na batas:"&amp;"
**1. Dangerous Drugs Act (Republic Act No. 648):**
* Ito ang pangunahing batas laban sa ilegal na droga, kabilang ang mga CPEC. Tinutukoy at pinaparusahan nito ang paggawa, pagmamay-ari, pagbebenta, at paggamit ng mga kemikal na ito.
* Ang Iskedyul I ng "&amp;"RA 648 ay naglilista ng mga partikular na CPEC at ang kanilang mga kaukulang parusa.
**2. Implementing Regulations of RA 648 (Dangerous Drugs Board Regulation No. 1 Series of 2002):**
* Ang regulasyong ito ay nagbibigay ng mas detalyadong listahan ng mga "&amp;"CPEC at inuuri ang mga ito ayon sa kanilang mga lehitimong gamit at potensyal para sa pag-abuso sa droga.
* Binabalangkas nito ang mga kinakailangan sa paglilisensya para sa pagkakaroon, pag-import, pag-export, pagmamanupaktura, o pakikitungo sa mga CPEC."&amp;"
**3. Proximity to Schools (Republic Act No. 9165):**
* Ang batas na ito, na kilala rin bilang Comprehensive Dangerous Drugs Act of 2002, ay nagpapatibay ng mga parusa sa ilalim ng RA 648, partikular para sa mga pagkakasala na ginawa malapit sa mga paaral"&amp;"an.
* Ang Seksyon 15 ng RA 9165 ay partikular na nagdaragdag ng mga parusa para sa mga paglabag na kinasasangkutan ng mga ilegal na droga (kabilang ang mga CPEC) sa loob ng 200 metro mula sa isang paaralan, pampublikong palaruan, o dormitoryo.
**Hindi awt"&amp;"orisadong Pagmamay-ari, Pagbebenta, o Paggamit sa loob ng 100 metro:**
Bagama't walang partikular na distansyang binanggit para sa mga CPEC na may kaugnayan sa mga paaralang lampas sa 200 metro (RA 9165), maaaring humantong ang ibang mga salik sa mga lega"&amp;"l na kahihinatnan sa loob ng 100 metro:
* **Clandestine Laboratories:** Ang pagpapatakbo ng isang clandestine lab (hindi awtorisadong pasilidad sa paggawa ng gamot) sa loob ng 100 metro mula sa isang paaralan ay isang malubhang pagkakasala, at ang pagkaka"&amp;"roon ng CPEC sa loob ng naturang lab ay maituturing na ilegal.
* **Layunin:** Kung nakahanap ang mga awtoridad ng mga CPEC malapit sa isang paaralan (sa loob ng 100 metro) at may katibayan ng layunin na gamitin ang mga ito para sa paggawa ng ilegal na dro"&amp;"ga (hal., pagkakaroon ng iba pang materyales sa paggawa ng droga, kagamitan sa laboratoryo), maaari itong isaalang-alang isang paglabag sa RA 648.
* **Mga Lokal na Ordenansa:** Maraming lokalidad ang may mga ordinansang kumokontrol sa pag-iimbak at pangan"&amp;"gasiwa ng mga mapanganib na materyales, na maaaring kabilang ang mga CPEC. Ang mga ordinansang ito ay maaaring magpataw ng karagdagang mga parusa para sa hindi awtorisadong pagmamay-ari malapit sa mga paaralan.
**Sa pangkalahatan, ang kalapitan sa isang p"&amp;"aaralan (lalo na sa loob ng 200 metro) at ang konteksto ng pagmamay-ari (clandestine lab, layuning gumawa ng mga ilegal na droga) ay makabuluhang nagpapataas ng mga parusa para sa hindi awtorisadong pagmamay-ari, pagbebenta, o paggamit ng mga CPEC.**")</f>
        <v>Sa Pilipinas, maraming legal na probisyon ang tumutugon sa hindi awtorisadong pagmamay-ari, pagbebenta, o paggamit ng mga kinokontrol na precursor at mahahalagang kemikal (CPEC) malapit sa mga paaralan. Narito ang isang breakdown ng mga nauugnay na batas:
**1. Dangerous Drugs Act (Republic Act No. 648):**
* Ito ang pangunahing batas laban sa ilegal na droga, kabilang ang mga CPEC. Tinutukoy at pinaparusahan nito ang paggawa, pagmamay-ari, pagbebenta, at paggamit ng mga kemikal na ito.
* Ang Iskedyul I ng RA 648 ay naglilista ng mga partikular na CPEC at ang kanilang mga kaukulang parusa.
**2. Implementing Regulations of RA 648 (Dangerous Drugs Board Regulation No. 1 Series of 2002):**
* Ang regulasyong ito ay nagbibigay ng mas detalyadong listahan ng mga CPEC at inuuri ang mga ito ayon sa kanilang mga lehitimong gamit at potensyal para sa pag-abuso sa droga.
* Binabalangkas nito ang mga kinakailangan sa paglilisensya para sa pagkakaroon, pag-import, pag-export, pagmamanupaktura, o pakikitungo sa mga CPEC.
**3. Proximity to Schools (Republic Act No. 9165):**
* Ang batas na ito, na kilala rin bilang Comprehensive Dangerous Drugs Act of 2002, ay nagpapatibay ng mga parusa sa ilalim ng RA 648, partikular para sa mga pagkakasala na ginawa malapit sa mga paaralan.
* Ang Seksyon 15 ng RA 9165 ay partikular na nagdaragdag ng mga parusa para sa mga paglabag na kinasasangkutan ng mga ilegal na droga (kabilang ang mga CPEC) sa loob ng 200 metro mula sa isang paaralan, pampublikong palaruan, o dormitoryo.
**Hindi awtorisadong Pagmamay-ari, Pagbebenta, o Paggamit sa loob ng 100 metro:**
Bagama't walang partikular na distansyang binanggit para sa mga CPEC na may kaugnayan sa mga paaralang lampas sa 200 metro (RA 9165), maaaring humantong ang ibang mga salik sa mga legal na kahihinatnan sa loob ng 100 metro:
* **Clandestine Laboratories:** Ang pagpapatakbo ng isang clandestine lab (hindi awtorisadong pasilidad sa paggawa ng gamot) sa loob ng 100 metro mula sa isang paaralan ay isang malubhang pagkakasala, at ang pagkakaroon ng CPEC sa loob ng naturang lab ay maituturing na ilegal.
* **Layunin:** Kung nakahanap ang mga awtoridad ng mga CPEC malapit sa isang paaralan (sa loob ng 100 metro) at may katibayan ng layunin na gamitin ang mga ito para sa paggawa ng ilegal na droga (hal., pagkakaroon ng iba pang materyales sa paggawa ng droga, kagamitan sa laboratoryo), maaari itong isaalang-alang isang paglabag sa RA 648.
* **Mga Lokal na Ordenansa:** Maraming lokalidad ang may mga ordinansang kumokontrol sa pag-iimbak at pangangasiwa ng mga mapanganib na materyales, na maaaring kabilang ang mga CPEC. Ang mga ordinansang ito ay maaaring magpataw ng karagdagang mga parusa para sa hindi awtorisadong pagmamay-ari malapit sa mga paaralan.
**Sa pangkalahatan, ang kalapitan sa isang paaralan (lalo na sa loob ng 200 metro) at ang konteksto ng pagmamay-ari (clandestine lab, layuning gumawa ng mga ilegal na droga) ay makabuluhang nagpapataas ng mga parusa para sa hindi awtorisadong pagmamay-ari, pagbebenta, o paggamit ng mga CPEC.**</v>
      </c>
      <c r="F2208" s="2">
        <f t="shared" si="1"/>
        <v>0</v>
      </c>
      <c r="G2208" s="2"/>
      <c r="H2208" s="2"/>
      <c r="I2208" s="2"/>
      <c r="J2208" s="2"/>
      <c r="K2208" s="2"/>
      <c r="L2208" s="2"/>
      <c r="M2208" s="2"/>
      <c r="N2208" s="2"/>
      <c r="O2208" s="2"/>
      <c r="P2208" s="2"/>
      <c r="Q2208" s="2"/>
      <c r="R2208" s="2"/>
      <c r="S2208" s="2"/>
      <c r="T2208" s="2"/>
      <c r="U2208" s="2"/>
      <c r="V2208" s="2"/>
      <c r="W2208" s="2"/>
      <c r="X2208" s="2"/>
      <c r="Y2208" s="2"/>
      <c r="Z2208" s="2"/>
      <c r="AA2208" s="2"/>
    </row>
    <row r="2209">
      <c r="A2209" s="3" t="s">
        <v>5259</v>
      </c>
      <c r="B2209" s="1" t="s">
        <v>5369</v>
      </c>
      <c r="C2209" s="3" t="s">
        <v>5387</v>
      </c>
      <c r="D2209" s="2" t="str">
        <f>IFERROR(__xludf.DUMMYFUNCTION("GOOGLETRANSLATE(B2209, ""en"", ""TL"")"),"Paano tinutugunan ng batas ang mga insidente ng paggawa o paggawa ng ilegal na droga sa mga lugar ng tirahan o kapitbahayan sa loob ng 100 metro mula sa isang paaralan, kolehiyo, o unibersidad?")</f>
        <v>Paano tinutugunan ng batas ang mga insidente ng paggawa o paggawa ng ilegal na droga sa mga lugar ng tirahan o kapitbahayan sa loob ng 100 metro mula sa isang paaralan, kolehiyo, o unibersidad?</v>
      </c>
      <c r="E2209" s="2" t="str">
        <f>IFERROR(__xludf.DUMMYFUNCTION("GOOGLETRANSLATE(C2209, ""en"", ""TL"")"),"Marahas na tinatrato ng batas ng Pilipinas ang paggawa o produksyon ng ilegal na droga, lalo na kapag nangyayari ito malapit sa mga paaralan. Narito kung paano ito tinutugunan ng batas:
**Comprehensive Dangerous Drugs Act (RA 9165):**
* **Seksyon 6. Ilega"&amp;"l na Pagbebenta, Negosasyon, o Transportasyon ng mga Mapanganib na Gamot at/o Mga Kontroladong Precursor at Kemikal:** Ipinagbabawal ng seksyong ito ang paggawa, pagbebenta, pangangasiwa, dispensing, paghahatid, pagmamay-ari, o pag-import ng mga mapangani"&amp;"b na gamot at/o kinokontrol na mga precursor at kemikal. * **Seksyon 7. Ilegal na Pagtatanim ng Marijuana:** Ang seksyong ito ay partikular na nagbabawal sa pagtatanim ng marihuwana.
* **Seksyon 18. Sugnay ng Parusa:** Binabalangkas ng seksyong ito ang mg"&amp;"a parusa para sa mga paglabag sa RA 9165. Tumataas ang parusa depende sa dami at uri ng mga ilegal na droga na sangkot.
**Seksyon 20. Nagpapalubha na mga Sirkumstansya:** Tinutukoy ng seksyong ito ang mga pangyayari na nagpapabigat sa krimen at nagbibigay"&amp;" ng mas mabigat na parusa. Ang isang ganoong pangyayari ay:
* **Seksyon 20(d). Kapag nagawa ang pagkakasala sa loob ng 100 metro mula sa isang paaralan, kolehiyo o unibersidad.** Ito ay nagpapataas ng parusa ng isang (1) degree.
Halimbawa, ang parusa para"&amp;" sa pagkakaroon ng maliit na halaga ng ilegal na droga ay maaaring pagkakulong ng anim (6) na buwan at multa. Gayunpaman, kung ang pagmamay-ari ay nangyari sa loob ng 100 metro ng isang paaralan, ang parusa ay maaaring tumaas sa pagkakulong ng apat (4) na"&amp;" taon at isang araw hanggang walong (8) taon, na may katumbas na pagtaas sa multa.
**Konstitusyon ng Pilipinas (Artikulo II, Seksyon 15):**
Sinusuportahan din ng Konstitusyon ang paglaban sa ilegal na droga. Ang Artikulo II, Seksyon 15 ay nagsasaad na dap"&amp;"at protektahan at itaguyod ng Estado ang karapatan sa kalusugan ng mga tao at itanim ang kamalayan sa kalusugan sa kanila. Sa pamamagitan ng pagpaparusa sa paggawa at produksyon ng iligal na droga, layunin ng pamahalaan na protektahan ang kalusugan at kap"&amp;"akanan ng mga mamamayang Pilipino, lalo na ang mga malapit sa paaralan.
**Pag-uulat ng Mga Aktibidad sa Iligal na Droga:**
Kung pinaghihinalaan mo ang paggawa o paggawa ng ilegal na droga sa iyong kapitbahayan, lalo na malapit sa isang paaralan, maaari mo"&amp;" itong iulat sa mga sumusunod na ahensya:
* Philippine National Police (PNP)
* Philippine Drug Enforcement Agency (PDEA)
* Mga awtoridad sa barangay
Tandaan, ito lamang ang mga highlight ng batas. Laging pinakamahusay na kumunsulta sa isang abogado para s"&amp;"a isang mas komprehensibong pag-unawa sa mga legal na aspeto at potensyal na mga parusang kasangkot.")</f>
        <v>Marahas na tinatrato ng batas ng Pilipinas ang paggawa o produksyon ng ilegal na droga, lalo na kapag nangyayari ito malapit sa mga paaralan. Narito kung paano ito tinutugunan ng batas:
**Comprehensive Dangerous Drugs Act (RA 9165):**
* **Seksyon 6. Ilegal na Pagbebenta, Negosasyon, o Transportasyon ng mga Mapanganib na Gamot at/o Mga Kontroladong Precursor at Kemikal:** Ipinagbabawal ng seksyong ito ang paggawa, pagbebenta, pangangasiwa, dispensing, paghahatid, pagmamay-ari, o pag-import ng mga mapanganib na gamot at/o kinokontrol na mga precursor at kemikal. * **Seksyon 7. Ilegal na Pagtatanim ng Marijuana:** Ang seksyong ito ay partikular na nagbabawal sa pagtatanim ng marihuwana.
* **Seksyon 18. Sugnay ng Parusa:** Binabalangkas ng seksyong ito ang mga parusa para sa mga paglabag sa RA 9165. Tumataas ang parusa depende sa dami at uri ng mga ilegal na droga na sangkot.
**Seksyon 20. Nagpapalubha na mga Sirkumstansya:** Tinutukoy ng seksyong ito ang mga pangyayari na nagpapabigat sa krimen at nagbibigay ng mas mabigat na parusa. Ang isang ganoong pangyayari ay:
* **Seksyon 20(d). Kapag nagawa ang pagkakasala sa loob ng 100 metro mula sa isang paaralan, kolehiyo o unibersidad.** Ito ay nagpapataas ng parusa ng isang (1) degree.
Halimbawa, ang parusa para sa pagkakaroon ng maliit na halaga ng ilegal na droga ay maaaring pagkakulong ng anim (6) na buwan at multa. Gayunpaman, kung ang pagmamay-ari ay nangyari sa loob ng 100 metro ng isang paaralan, ang parusa ay maaaring tumaas sa pagkakulong ng apat (4) na taon at isang araw hanggang walong (8) taon, na may katumbas na pagtaas sa multa.
**Konstitusyon ng Pilipinas (Artikulo II, Seksyon 15):**
Sinusuportahan din ng Konstitusyon ang paglaban sa ilegal na droga. Ang Artikulo II, Seksyon 15 ay nagsasaad na dapat protektahan at itaguyod ng Estado ang karapatan sa kalusugan ng mga tao at itanim ang kamalayan sa kalusugan sa kanila. Sa pamamagitan ng pagpaparusa sa paggawa at produksyon ng iligal na droga, layunin ng pamahalaan na protektahan ang kalusugan at kapakanan ng mga mamamayang Pilipino, lalo na ang mga malapit sa paaralan.
**Pag-uulat ng Mga Aktibidad sa Iligal na Droga:**
Kung pinaghihinalaan mo ang paggawa o paggawa ng ilegal na droga sa iyong kapitbahayan, lalo na malapit sa isang paaralan, maaari mo itong iulat sa mga sumusunod na ahensya:
* Philippine National Police (PNP)
* Philippine Drug Enforcement Agency (PDEA)
* Mga awtoridad sa barangay
Tandaan, ito lamang ang mga highlight ng batas. Laging pinakamahusay na kumunsulta sa isang abogado para sa isang mas komprehensibong pag-unawa sa mga legal na aspeto at potensyal na mga parusang kasangkot.</v>
      </c>
      <c r="F2209" s="2">
        <f t="shared" si="1"/>
        <v>0</v>
      </c>
      <c r="G2209" s="2"/>
      <c r="H2209" s="2"/>
      <c r="I2209" s="2"/>
      <c r="J2209" s="2"/>
      <c r="K2209" s="2"/>
      <c r="L2209" s="2"/>
      <c r="M2209" s="2"/>
      <c r="N2209" s="2"/>
      <c r="O2209" s="2"/>
      <c r="P2209" s="2"/>
      <c r="Q2209" s="2"/>
      <c r="R2209" s="2"/>
      <c r="S2209" s="2"/>
      <c r="T2209" s="2"/>
      <c r="U2209" s="2"/>
      <c r="V2209" s="2"/>
      <c r="W2209" s="2"/>
      <c r="X2209" s="2"/>
      <c r="Y2209" s="2"/>
      <c r="Z2209" s="2"/>
      <c r="AA2209" s="2"/>
    </row>
    <row r="2210">
      <c r="A2210" s="3" t="s">
        <v>5259</v>
      </c>
      <c r="B2210" s="1" t="s">
        <v>5351</v>
      </c>
      <c r="C2210" s="3" t="s">
        <v>5388</v>
      </c>
      <c r="D2210" s="2" t="str">
        <f>IFERROR(__xludf.DUMMYFUNCTION("GOOGLETRANSLATE(B2210, ""en"", ""TL"")"),"Anong mga parusa ang naaangkop para sa pagsali sa krimen ng ilegal na pangangalakal ng droga sa loob ng 100 metro mula sa isang paaralan, kolehiyo, o unibersidad?")</f>
        <v>Anong mga parusa ang naaangkop para sa pagsali sa krimen ng ilegal na pangangalakal ng droga sa loob ng 100 metro mula sa isang paaralan, kolehiyo, o unibersidad?</v>
      </c>
      <c r="E2210" s="2" t="str">
        <f>IFERROR(__xludf.DUMMYFUNCTION("GOOGLETRANSLATE(C2210, ""en"", ""TL"")"),"Ang mga parusa para sa illegal drug trafficking sa loob ng 100 metro ng isang paaralan, kolehiyo, o unibersidad ay nakadepende sa dami at uri ng ilegal na droga na sangkot. Narito kung paano ito tinutugunan ng batas ng Pilipinas batay sa Republic Act 9165"&amp;" (Comprehensive Dangerous Drugs Act):
**RA 9165, Seksyon 18 (Sugnay ng Parusa):**
Binabalangkas ng seksyong ito ang mga batayang parusa para sa mga paglabag sa RA 9165. Ang partikular na parusa ay nakasalalay sa **timbang** ng ilegal na droga at ang klasi"&amp;"pikasyon nito sa ilalim ng batas. Narito ang isang breakdown:
* **Mababa sa 50 gramo ng Methamphetamine Hydrochloride (Shabu) o Cocaine:**
* Pagkakulong ng **labing dalawang (12) taon at isang (1) araw hanggang habambuhay na pagkakakulong**
* Magmulta mul"&amp;"a **Apat na raang libong piso (P400,000.00) hanggang Limang daang libong piso (P500,000.00)**
* **Mababa sa 500 gramo ng Marijuana:**
* Pagkakulong ng **anim (6) na buwan hanggang apat (4) na taon**
* Magmulta mula **Limang libong piso (P5,000.00) hanggan"&amp;"g Limampung libong piso (P50,000.00)**
**RA 9165, Seksyon 20 (Nagpapalubha ng mga pangyayari):**
Tinutukoy ng seksyong ito ang mga salik na nagpapataas ng parusa para sa krimen. Dito, ang nauugnay na nagpapalubha na pangyayari ay:
* **Seksyon 20(d). Kapag"&amp;" nagawa ang pagkakasala sa loob ng 100 metro mula sa isang paaralan, kolehiyo o unibersidad.**
**Paano Pinapataas ng Lumalalang Sirkumstansiya ang Parusa:**
Kung ang illegal drug trafficking ay ginawa sa loob ng 100 metro ng isang paaralan, ang parusa ay "&amp;"tataas ng **isang (1) degree**. Nangangahulugan ito na kailangan mong sumangguni pabalik sa Seksyon 18 at hanapin ang parusa para sa partikular na timbang at uri ng gamot na kasangkot, pagkatapos ay dagdagan ito ng isang antas sa hanay ng parusa.
Halimbaw"&amp;"a:
* Ang trafficking **mas mababa sa 50 gramo ng Shabu** sa loob ng 100 metro ng isang paaralan ay magkakaroon ng baseng parusa na 12 taon at 1 araw hanggang habambuhay na pagkakakulong. Sa nagpapalubha na pangyayari, ang parusa ay tumaas ng isang antas, "&amp;"na nagreresulta sa posibleng sentensiya ng **habang buhay na pagkakakulong**.
**Mahalagang Paalala:**
Ito ay isang pinasimpleng paliwanag, at ang aktwal na parusa ay maaaring matukoy ng korte batay sa mga detalye ng kaso at pagpapasya ng hukom. Ang pagkon"&amp;"sulta sa isang abogado ay lubos na inirerekomenda para sa isang mas tumpak na pag-unawa sa mga potensyal na parusa sa iyong sitwasyon.")</f>
        <v>Ang mga parusa para sa illegal drug trafficking sa loob ng 100 metro ng isang paaralan, kolehiyo, o unibersidad ay nakadepende sa dami at uri ng ilegal na droga na sangkot. Narito kung paano ito tinutugunan ng batas ng Pilipinas batay sa Republic Act 9165 (Comprehensive Dangerous Drugs Act):
**RA 9165, Seksyon 18 (Sugnay ng Parusa):**
Binabalangkas ng seksyong ito ang mga batayang parusa para sa mga paglabag sa RA 9165. Ang partikular na parusa ay nakasalalay sa **timbang** ng ilegal na droga at ang klasipikasyon nito sa ilalim ng batas. Narito ang isang breakdown:
* **Mababa sa 50 gramo ng Methamphetamine Hydrochloride (Shabu) o Cocaine:**
* Pagkakulong ng **labing dalawang (12) taon at isang (1) araw hanggang habambuhay na pagkakakulong**
* Magmulta mula **Apat na raang libong piso (P400,000.00) hanggang Limang daang libong piso (P500,000.00)**
* **Mababa sa 500 gramo ng Marijuana:**
* Pagkakulong ng **anim (6) na buwan hanggang apat (4) na taon**
* Magmulta mula **Limang libong piso (P5,000.00) hanggang Limampung libong piso (P50,000.00)**
**RA 9165, Seksyon 20 (Nagpapalubha ng mga pangyayari):**
Tinutukoy ng seksyong ito ang mga salik na nagpapataas ng parusa para sa krimen. Dito, ang nauugnay na nagpapalubha na pangyayari ay:
* **Seksyon 20(d). Kapag nagawa ang pagkakasala sa loob ng 100 metro mula sa isang paaralan, kolehiyo o unibersidad.**
**Paano Pinapataas ng Lumalalang Sirkumstansiya ang Parusa:**
Kung ang illegal drug trafficking ay ginawa sa loob ng 100 metro ng isang paaralan, ang parusa ay tataas ng **isang (1) degree**. Nangangahulugan ito na kailangan mong sumangguni pabalik sa Seksyon 18 at hanapin ang parusa para sa partikular na timbang at uri ng gamot na kasangkot, pagkatapos ay dagdagan ito ng isang antas sa hanay ng parusa.
Halimbawa:
* Ang trafficking **mas mababa sa 50 gramo ng Shabu** sa loob ng 100 metro ng isang paaralan ay magkakaroon ng baseng parusa na 12 taon at 1 araw hanggang habambuhay na pagkakakulong. Sa nagpapalubha na pangyayari, ang parusa ay tumaas ng isang antas, na nagreresulta sa posibleng sentensiya ng **habang buhay na pagkakakulong**.
**Mahalagang Paalala:**
Ito ay isang pinasimpleng paliwanag, at ang aktwal na parusa ay maaaring matukoy ng korte batay sa mga detalye ng kaso at pagpapasya ng hukom. Ang pagkonsulta sa isang abogado ay lubos na inirerekomenda para sa isang mas tumpak na pag-unawa sa mga potensyal na parusa sa iyong sitwasyon.</v>
      </c>
      <c r="F2210" s="2">
        <f t="shared" si="1"/>
        <v>0</v>
      </c>
      <c r="G2210" s="2"/>
      <c r="H2210" s="2"/>
      <c r="I2210" s="2"/>
      <c r="J2210" s="2"/>
      <c r="K2210" s="2"/>
      <c r="L2210" s="2"/>
      <c r="M2210" s="2"/>
      <c r="N2210" s="2"/>
      <c r="O2210" s="2"/>
      <c r="P2210" s="2"/>
      <c r="Q2210" s="2"/>
      <c r="R2210" s="2"/>
      <c r="S2210" s="2"/>
      <c r="T2210" s="2"/>
      <c r="U2210" s="2"/>
      <c r="V2210" s="2"/>
      <c r="W2210" s="2"/>
      <c r="X2210" s="2"/>
      <c r="Y2210" s="2"/>
      <c r="Z2210" s="2"/>
      <c r="AA2210" s="2"/>
    </row>
    <row r="2211">
      <c r="A2211" s="3" t="s">
        <v>5259</v>
      </c>
      <c r="B2211" s="1" t="s">
        <v>5372</v>
      </c>
      <c r="C2211" s="3" t="s">
        <v>5389</v>
      </c>
      <c r="D2211" s="2" t="str">
        <f>IFERROR(__xludf.DUMMYFUNCTION("GOOGLETRANSLATE(B2211, ""en"", ""TL"")"),"Paano kinokontrol at pinaparusahan ang pagkakasala sa paggawa o paggawa ng ilegal na droga sa mga lugar ng pagsamba sa loob ng 100 metro mula sa paaralan, kolehiyo, o unibersidad?")</f>
        <v>Paano kinokontrol at pinaparusahan ang pagkakasala sa paggawa o paggawa ng ilegal na droga sa mga lugar ng pagsamba sa loob ng 100 metro mula sa paaralan, kolehiyo, o unibersidad?</v>
      </c>
      <c r="E2211" s="2" t="str">
        <f>IFERROR(__xludf.DUMMYFUNCTION("GOOGLETRANSLATE(C2211, ""en"", ""TL"")"),"Sineseryoso ng batas ng Pilipinas ang paggawa o produksyon ng ilegal na droga, at ang lokasyon ay nagdaragdag ng isa pang layer ng pagkakasala. Narito kung paano ito kinokontrol at pinaparusahan:
**Lokasyon bilang isang Nakakapagpalubha na Sirkumstansya:*"&amp;"*
* Bagama't walang partikular na batas na nagbabanggit ng mga lugar ng pagsamba kaugnay ng mga paglabag sa droga, ang lokasyon ay maaaring ituring na isang nagpapalubha na pangyayari sa ilalim ng **RA 9165 (Comprehensive Dangerous Drugs Act) Seksyon 20**"&amp;".
**Seksyon 20(e) - Nakakapagpalubha ng pangyayari:**
* ""Kapag ang pagkakasala ay ginawa sa isang pampublikong lugar kung saan maraming tao ang natipon.""
**Mga Lugar ng Pagsamba bilang Pampublikong Lugar:**
* Bagaman hindi tahasang binanggit, ang mga lu"&amp;"gar ng pagsamba ay maaaring ipangatuwiran bilang mga pampublikong lugar, lalo na sa panahon ng mga relihiyosong pagtitipon. Pinalalakas nito ang kaso para sa paglalapat ng Seksyon 20(e).
**Pinataas na Parusa:**
* Kung sumang-ayon ang hukuman na ang lugar "&amp;"ng pagsamba ay kuwalipikado bilang isang pampublikong lugar, ang parusa para sa paggawa o produksyon ng ilegal na droga ay tataas ng **isang (1) degree**.
**Base na Parusa (RA 9165 Seksyon 18):**
Ang base na parusa ay depende sa dami at uri ng mga ilegal "&amp;"na droga na sangkot. Sumangguni sa paliwanag sa nakaraang sagot para sa mga detalye sa istraktura ng parusa batay sa timbang at pag-uuri ng gamot. **Pinagsamang Epekto:**
* Sa nagpapalubha na pangyayari, ang batayang parusa mula sa Seksyon 18 ay tumaas ng"&amp;" isang degree. **Halimbawa:**
* Ang paggawa ng kaunting iligal na droga (nahuhulog sa ilalim ng pinakamababang antas ng parusa) ay maaaring magresulta sa pagkakulong ng ilang taon at multa. * Kung nangyari ito sa loob ng isang lugar ng pagsamba na itinutu"&amp;"ring na isang pampublikong lugar, ang parusa ay tataas ng isang antas, na posibleng humantong sa mas mahabang sentensiya sa bilangguan at mas mataas na multa.
**Pag-uulat at Karagdagang Pagsasaalang-alang:**
* Kung may hinala kang aktibidad ng ilegal na d"&amp;"roga sa isang lugar ng pagsamba, iulat ito sa mga awtoridad (PNP, PDEA, Barangay).
* Ang ganitong uri ng kaso ay maaaring may mga karagdagang legal na kumplikado depende sa mga partikular na pangyayari. Ang pagkonsulta sa isang abogado ay lubos na inirere"&amp;"komenda para sa isang mas komprehensibong pag-unawa sa mga legalidad na kasangkot.
**Tandaan:**
Pangkalahatang paliwanag lamang ito, at sa huli ay tinutukoy ng hukom ang parusa batay sa ebidensya at mga legal na argumento na iniharap sa korte.")</f>
        <v>Sineseryoso ng batas ng Pilipinas ang paggawa o produksyon ng ilegal na droga, at ang lokasyon ay nagdaragdag ng isa pang layer ng pagkakasala. Narito kung paano ito kinokontrol at pinaparusahan:
**Lokasyon bilang isang Nakakapagpalubha na Sirkumstansya:**
* Bagama't walang partikular na batas na nagbabanggit ng mga lugar ng pagsamba kaugnay ng mga paglabag sa droga, ang lokasyon ay maaaring ituring na isang nagpapalubha na pangyayari sa ilalim ng **RA 9165 (Comprehensive Dangerous Drugs Act) Seksyon 20**.
**Seksyon 20(e) - Nakakapagpalubha ng pangyayari:**
* "Kapag ang pagkakasala ay ginawa sa isang pampublikong lugar kung saan maraming tao ang natipon."
**Mga Lugar ng Pagsamba bilang Pampublikong Lugar:**
* Bagaman hindi tahasang binanggit, ang mga lugar ng pagsamba ay maaaring ipangatuwiran bilang mga pampublikong lugar, lalo na sa panahon ng mga relihiyosong pagtitipon. Pinalalakas nito ang kaso para sa paglalapat ng Seksyon 20(e).
**Pinataas na Parusa:**
* Kung sumang-ayon ang hukuman na ang lugar ng pagsamba ay kuwalipikado bilang isang pampublikong lugar, ang parusa para sa paggawa o produksyon ng ilegal na droga ay tataas ng **isang (1) degree**.
**Base na Parusa (RA 9165 Seksyon 18):**
Ang base na parusa ay depende sa dami at uri ng mga ilegal na droga na sangkot. Sumangguni sa paliwanag sa nakaraang sagot para sa mga detalye sa istraktura ng parusa batay sa timbang at pag-uuri ng gamot. **Pinagsamang Epekto:**
* Sa nagpapalubha na pangyayari, ang batayang parusa mula sa Seksyon 18 ay tumaas ng isang degree. **Halimbawa:**
* Ang paggawa ng kaunting iligal na droga (nahuhulog sa ilalim ng pinakamababang antas ng parusa) ay maaaring magresulta sa pagkakulong ng ilang taon at multa. * Kung nangyari ito sa loob ng isang lugar ng pagsamba na itinuturing na isang pampublikong lugar, ang parusa ay tataas ng isang antas, na posibleng humantong sa mas mahabang sentensiya sa bilangguan at mas mataas na multa.
**Pag-uulat at Karagdagang Pagsasaalang-alang:**
* Kung may hinala kang aktibidad ng ilegal na droga sa isang lugar ng pagsamba, iulat ito sa mga awtoridad (PNP, PDEA, Barangay).
* Ang ganitong uri ng kaso ay maaaring may mga karagdagang legal na kumplikado depende sa mga partikular na pangyayari. Ang pagkonsulta sa isang abogado ay lubos na inirerekomenda para sa isang mas komprehensibong pag-unawa sa mga legalidad na kasangkot.
**Tandaan:**
Pangkalahatang paliwanag lamang ito, at sa huli ay tinutukoy ng hukom ang parusa batay sa ebidensya at mga legal na argumento na iniharap sa korte.</v>
      </c>
      <c r="F2211" s="2">
        <f t="shared" si="1"/>
        <v>0</v>
      </c>
      <c r="G2211" s="2"/>
      <c r="H2211" s="2"/>
      <c r="I2211" s="2"/>
      <c r="J2211" s="2"/>
      <c r="K2211" s="2"/>
      <c r="L2211" s="2"/>
      <c r="M2211" s="2"/>
      <c r="N2211" s="2"/>
      <c r="O2211" s="2"/>
      <c r="P2211" s="2"/>
      <c r="Q2211" s="2"/>
      <c r="R2211" s="2"/>
      <c r="S2211" s="2"/>
      <c r="T2211" s="2"/>
      <c r="U2211" s="2"/>
      <c r="V2211" s="2"/>
      <c r="W2211" s="2"/>
      <c r="X2211" s="2"/>
      <c r="Y2211" s="2"/>
      <c r="Z2211" s="2"/>
      <c r="AA2211" s="2"/>
    </row>
    <row r="2212">
      <c r="A2212" s="3" t="s">
        <v>5259</v>
      </c>
      <c r="B2212" s="1" t="s">
        <v>5374</v>
      </c>
      <c r="C2212" s="3" t="s">
        <v>5390</v>
      </c>
      <c r="D2212" s="2" t="str">
        <f>IFERROR(__xludf.DUMMYFUNCTION("GOOGLETRANSLATE(B2212, ""en"", ""TL"")"),"Sa ilalim ng anong mga pangyayari ang isang tao ay maaaring makasuhan ng krimen ng illegal drug trafficking sa mga pampublikong pamilihan, plaza, o iba pang katulad na lugar sa loob ng 100 metro mula sa isang paaralan, kolehiyo, o unibersidad?")</f>
        <v>Sa ilalim ng anong mga pangyayari ang isang tao ay maaaring makasuhan ng krimen ng illegal drug trafficking sa mga pampublikong pamilihan, plaza, o iba pang katulad na lugar sa loob ng 100 metro mula sa isang paaralan, kolehiyo, o unibersidad?</v>
      </c>
      <c r="E2212" s="2" t="str">
        <f>IFERROR(__xludf.DUMMYFUNCTION("GOOGLETRANSLATE(C2212, ""en"", ""TL"")"),"Sa Pilipinas, ang isang tao ay maaaring kasuhan ng krimen ng illegal drug trafficking sa mga pampublikong pamilihan, plaza, o mga katulad na lugar sa loob ng 100 metro ng paaralan, kolehiyo, o unibersidad sa ilalim ng mga sumusunod na pangyayari:
**Aktibi"&amp;"dad sa Iligal na Droga:**
* Dapat na kasangkot ang tao sa **pagbebenta, negosasyon, o transportasyon** ng mga ilegal na droga gaya ng tinukoy sa ilalim ng **RA 9165 (Comprehensive Dangerous Drugs Act)**. Kabilang dito ang mga aktibidad tulad ng:
* Ang pag"&amp;"kakaroon ng ilegal na droga na may layuning ibenta
* Pamamahagi o paghahatid ng mga ilegal na droga
* Nagsisilbing middleman sa mga transaksyon sa ilegal na droga
**Malapit sa Mga Institusyong Pang-edukasyon:**
* Ang aktibidad ng ilegal na droga ay dapat "&amp;"maganap sa loob ng **100 metro** ng isang paaralan, kolehiyo, o unibersidad. Ang distansyang ito ay sinusukat nang radially mula sa bakuran ng paaralan.
**Mga Pampublikong Lugar:**
* Ang lokasyon ng aktibidad ay dapat ituring na isang **pampublikong pamil"&amp;"ihan, plaza, o katulad na lugar**. Kabilang dito ang mga lugar kung saan ang mga tao ay karaniwang nagtitipon at nakikibahagi sa komersyal na aktibidad. **Mga Halimbawa:**
* Pagbebenta ng iligal na droga mula sa isang stall sa isang pampublikong palengke "&amp;"malapit sa isang paaralan.
* Pagsali sa isang deal sa droga sa isang park bench sa loob ng 100 metro mula sa isang unibersidad.
* Paghahatid ng iligal na droga sa pamamagitan ng plaza na nasa tabi ng isang kolehiyo.
**Nagpapalubha ng Kalagayan:**
* Ang ka"&amp;"lapitan sa isang paaralan, kolehiyo, o unibersidad ay nagsisilbing isang nagpapalubha na pangyayari sa ilalim ng **RA 9165 Seksyon 20(d)**. Nangangahulugan ito na ang parusa para sa krimen ay **tataas ng isang degree** kung mahatulan.
**Mahahalagang Paala"&amp;"la:**
* Ang partikular na uri at dami ng sangkot na ilegal na droga ay makakaapekto rin sa batayang parusa gaya ng nakabalangkas sa **RA 9165 Seksyon 18**. * Ang mga opisyal ng pagpapatupad ng batas ay may awtoridad na arestuhin ang mga indibidwal na pina"&amp;"ghihinalaang nagtutulak ng ilegal na droga batay sa posibleng dahilan. * Ang pasanin ng patunay ay nakasalalay sa pag-uusig upang kumbinsihin ang hukuman nang walang makatwirang pagdududa na ang akusado ay gumawa ng krimen.
**Kung pinaghihinalaan mo ang a"&amp;"ktibidad ng ilegal na droga sa mga lugar na ito, iulat ito sa mga awtoridad:**
* Philippine National Police (PNP)
* Philippine Drug Enforcement Agency (PDEA)
* Mga awtoridad sa barangay")</f>
        <v>Sa Pilipinas, ang isang tao ay maaaring kasuhan ng krimen ng illegal drug trafficking sa mga pampublikong pamilihan, plaza, o mga katulad na lugar sa loob ng 100 metro ng paaralan, kolehiyo, o unibersidad sa ilalim ng mga sumusunod na pangyayari:
**Aktibidad sa Iligal na Droga:**
* Dapat na kasangkot ang tao sa **pagbebenta, negosasyon, o transportasyon** ng mga ilegal na droga gaya ng tinukoy sa ilalim ng **RA 9165 (Comprehensive Dangerous Drugs Act)**. Kabilang dito ang mga aktibidad tulad ng:
* Ang pagkakaroon ng ilegal na droga na may layuning ibenta
* Pamamahagi o paghahatid ng mga ilegal na droga
* Nagsisilbing middleman sa mga transaksyon sa ilegal na droga
**Malapit sa Mga Institusyong Pang-edukasyon:**
* Ang aktibidad ng ilegal na droga ay dapat maganap sa loob ng **100 metro** ng isang paaralan, kolehiyo, o unibersidad. Ang distansyang ito ay sinusukat nang radially mula sa bakuran ng paaralan.
**Mga Pampublikong Lugar:**
* Ang lokasyon ng aktibidad ay dapat ituring na isang **pampublikong pamilihan, plaza, o katulad na lugar**. Kabilang dito ang mga lugar kung saan ang mga tao ay karaniwang nagtitipon at nakikibahagi sa komersyal na aktibidad. **Mga Halimbawa:**
* Pagbebenta ng iligal na droga mula sa isang stall sa isang pampublikong palengke malapit sa isang paaralan.
* Pagsali sa isang deal sa droga sa isang park bench sa loob ng 100 metro mula sa isang unibersidad.
* Paghahatid ng iligal na droga sa pamamagitan ng plaza na nasa tabi ng isang kolehiyo.
**Nagpapalubha ng Kalagayan:**
* Ang kalapitan sa isang paaralan, kolehiyo, o unibersidad ay nagsisilbing isang nagpapalubha na pangyayari sa ilalim ng **RA 9165 Seksyon 20(d)**. Nangangahulugan ito na ang parusa para sa krimen ay **tataas ng isang degree** kung mahatulan.
**Mahahalagang Paalala:**
* Ang partikular na uri at dami ng sangkot na ilegal na droga ay makakaapekto rin sa batayang parusa gaya ng nakabalangkas sa **RA 9165 Seksyon 18**. * Ang mga opisyal ng pagpapatupad ng batas ay may awtoridad na arestuhin ang mga indibidwal na pinaghihinalaang nagtutulak ng ilegal na droga batay sa posibleng dahilan. * Ang pasanin ng patunay ay nakasalalay sa pag-uusig upang kumbinsihin ang hukuman nang walang makatwirang pagdududa na ang akusado ay gumawa ng krimen.
**Kung pinaghihinalaan mo ang aktibidad ng ilegal na droga sa mga lugar na ito, iulat ito sa mga awtoridad:**
* Philippine National Police (PNP)
* Philippine Drug Enforcement Agency (PDEA)
* Mga awtoridad sa barangay</v>
      </c>
      <c r="F2212" s="2">
        <f t="shared" si="1"/>
        <v>0</v>
      </c>
      <c r="G2212" s="2"/>
      <c r="H2212" s="2"/>
      <c r="I2212" s="2"/>
      <c r="J2212" s="2"/>
      <c r="K2212" s="2"/>
      <c r="L2212" s="2"/>
      <c r="M2212" s="2"/>
      <c r="N2212" s="2"/>
      <c r="O2212" s="2"/>
      <c r="P2212" s="2"/>
      <c r="Q2212" s="2"/>
      <c r="R2212" s="2"/>
      <c r="S2212" s="2"/>
      <c r="T2212" s="2"/>
      <c r="U2212" s="2"/>
      <c r="V2212" s="2"/>
      <c r="W2212" s="2"/>
      <c r="X2212" s="2"/>
      <c r="Y2212" s="2"/>
      <c r="Z2212" s="2"/>
      <c r="AA2212" s="2"/>
    </row>
    <row r="2213">
      <c r="A2213" s="3" t="s">
        <v>5259</v>
      </c>
      <c r="B2213" s="1" t="s">
        <v>5376</v>
      </c>
      <c r="C2213" s="3" t="s">
        <v>5391</v>
      </c>
      <c r="D2213" s="2" t="str">
        <f>IFERROR(__xludf.DUMMYFUNCTION("GOOGLETRANSLATE(B2213, ""en"", ""TL"")"),"Anong mga legal na hakbang ang umiiral upang labanan ang ilegal na pangangalakal ng droga sa mga pampublikong espasyo malapit sa mga pasilidad ng pangangalagang pangkalusugan sa loob ng 100 metro mula sa isang paaralan, kolehiyo, o unibersidad?")</f>
        <v>Anong mga legal na hakbang ang umiiral upang labanan ang ilegal na pangangalakal ng droga sa mga pampublikong espasyo malapit sa mga pasilidad ng pangangalagang pangkalusugan sa loob ng 100 metro mula sa isang paaralan, kolehiyo, o unibersidad?</v>
      </c>
      <c r="E2213" s="2" t="str">
        <f>IFERROR(__xludf.DUMMYFUNCTION("GOOGLETRANSLATE(C2213, ""en"", ""TL"")"),"Ang Pilipinas ay may ilang mga legal na hakbang para labanan ang ilegal na pangangalakal ng droga sa mga pampublikong lugar malapit sa mga pasilidad ng pangangalagang pangkalusugan sa loob ng 100 metro mula sa isang paaralan, kolehiyo, o unibersidad. Nari"&amp;"to ang isang breakdown na pinagsasama-sama ang mga kasalukuyang batas:
**Mga Umiiral na Batas:**
* **Comprehensive Dangerous Drugs Act (RA 9165):**
* Ito ang pangunahing batas laban sa ilegal na droga. Binabalangkas nito ang mga pagkakasala, parusa, at na"&amp;"gpapalubha na mga pangyayari.
* **Seksyon 18** ay nagtatatag ng mga batayang parusa batay sa uri at dami ng sangkot na ilegal na droga.
* **Seksyon 20(d)** ay isinasaalang-alang ang pagkakasala bilang isang nagpapalubha na pangyayari ""kapag ginawa sa loo"&amp;"b ng 100 metro ng isang paaralan, kolehiyo o unibersidad,"" na nagdaragdag ng parusa ng isang degree.
**Nagpapalubha ng mga Kalagayan para sa Mga Pampublikong Lugar (Potensyal na Argumento):**
* Bagama't hindi tahasang binanggit ng RA 9165 ang mga pasilid"&amp;"ad sa pangangalagang pangkalusugan, maaaring may mga batayan para makipagtalo para sa isang nagpapalubha na pangyayari dahil sa lokasyon:
* Ang mga pampublikong espasyo malapit sa mga pasilidad ng pangangalagang pangkalusugan ay madalas na pinupuntahan ng"&amp;" mga mahihinang indibidwal, kabilang ang mga pasyente, kanilang mga pamilya, at mga medikal na tauhan.
* **Seksyon 20(e)** ay maaaring naaangkop: ""Kapag ang pagkakasala ay ginawa sa isang pampublikong lugar kung saan may malaking bilang ng mga tao na nag"&amp;"titipon.""
**Mataas na Parusa:**
* Kung sumang-ayon ang hukuman na ang lokasyon ay kwalipikado bilang isang nagpapalubha na pangyayari (maaaring dahil sa kalapitan sa isang paaralan o isang pampublikong lugar na may mga taong mahina), ang parusa ay tataas"&amp;" ng isang degree sa ilalim ng RA 9165 Seksyon 20.
**Mga Panukala sa Pagpapatupad ng Batas:**
* **Philippine National Police (PNP):** May awtoridad silang magsagawa ng surveillance, arestuhin ang mga suspek, at imbestigahan ang mga aktibidad ng drug traffi"&amp;"cking.
* **Philippine Drug Enforcement Agency (PDEA):** Nakatuon sila sa pangangalap ng intelligence, pagsasagawa ng mga kontroladong paghahatid, at pagbuwag sa mga sindikato ng droga.
**Pag-uulat:**
* Maaaring iulat ng mga mamamayan ang pinaghihinalaang "&amp;"aktibidad ng droga sa PNP, PDEA, o mga awtoridad ng barangay.
**Mga Karagdagang Pagsasaalang-alang:**
* Ang tiyak na parusa ay depende sa uri at dami ng mga gamot na kasangkot (sumangguni sa RA 9165 Seksyon 18).
* Ang pagkonsulta sa isang abogado ay inire"&amp;"rekomenda para sa isang mas detalyadong pag-unawa sa mga legal na aspeto at mga potensyal na argumento sa isang partikular na kaso.
**Pagpapahusay sa Labanan Laban sa Droga:**
* Habang umiiral ang legal na balangkas, maaaring tuklasin ang mga karagdagang "&amp;"hakbang:
* Tumaas na kooperasyon sa pagitan ng mga ahensyang nagpapatupad ng batas at mga pasilidad sa pangangalagang pangkalusugan upang matukoy at matugunan ang aktibidad ng droga malapit sa mga sentro ng pangangalagang pangkalusugan.
* Mga programa sa "&amp;"pakikipag-ugnayan sa komunidad upang turuan ang mga tao tungkol sa mga panganib ng droga at hikayatin silang mag-ulat ng kahina-hinalang aktibidad.
Sa pamamagitan ng pagsasama-sama ng mga legal na hakbang, mga pagsusumikap sa pagpapatupad ng batas, at pak"&amp;"ikipag-ugnayan sa komunidad, ang Pilipinas ay maaaring magtrabaho tungo sa paglaban sa ilegal na pagtutulak ng droga sa mga sensitibong lugar na ito.")</f>
        <v>Ang Pilipinas ay may ilang mga legal na hakbang para labanan ang ilegal na pangangalakal ng droga sa mga pampublikong lugar malapit sa mga pasilidad ng pangangalagang pangkalusugan sa loob ng 100 metro mula sa isang paaralan, kolehiyo, o unibersidad. Narito ang isang breakdown na pinagsasama-sama ang mga kasalukuyang batas:
**Mga Umiiral na Batas:**
* **Comprehensive Dangerous Drugs Act (RA 9165):**
* Ito ang pangunahing batas laban sa ilegal na droga. Binabalangkas nito ang mga pagkakasala, parusa, at nagpapalubha na mga pangyayari.
* **Seksyon 18** ay nagtatatag ng mga batayang parusa batay sa uri at dami ng sangkot na ilegal na droga.
* **Seksyon 20(d)** ay isinasaalang-alang ang pagkakasala bilang isang nagpapalubha na pangyayari "kapag ginawa sa loob ng 100 metro ng isang paaralan, kolehiyo o unibersidad," na nagdaragdag ng parusa ng isang degree.
**Nagpapalubha ng mga Kalagayan para sa Mga Pampublikong Lugar (Potensyal na Argumento):**
* Bagama't hindi tahasang binanggit ng RA 9165 ang mga pasilidad sa pangangalagang pangkalusugan, maaaring may mga batayan para makipagtalo para sa isang nagpapalubha na pangyayari dahil sa lokasyon:
* Ang mga pampublikong espasyo malapit sa mga pasilidad ng pangangalagang pangkalusugan ay madalas na pinupuntahan ng mga mahihinang indibidwal, kabilang ang mga pasyente, kanilang mga pamilya, at mga medikal na tauhan.
* **Seksyon 20(e)** ay maaaring naaangkop: "Kapag ang pagkakasala ay ginawa sa isang pampublikong lugar kung saan may malaking bilang ng mga tao na nagtitipon."
**Mataas na Parusa:**
* Kung sumang-ayon ang hukuman na ang lokasyon ay kwalipikado bilang isang nagpapalubha na pangyayari (maaaring dahil sa kalapitan sa isang paaralan o isang pampublikong lugar na may mga taong mahina), ang parusa ay tataas ng isang degree sa ilalim ng RA 9165 Seksyon 20.
**Mga Panukala sa Pagpapatupad ng Batas:**
* **Philippine National Police (PNP):** May awtoridad silang magsagawa ng surveillance, arestuhin ang mga suspek, at imbestigahan ang mga aktibidad ng drug trafficking.
* **Philippine Drug Enforcement Agency (PDEA):** Nakatuon sila sa pangangalap ng intelligence, pagsasagawa ng mga kontroladong paghahatid, at pagbuwag sa mga sindikato ng droga.
**Pag-uulat:**
* Maaaring iulat ng mga mamamayan ang pinaghihinalaang aktibidad ng droga sa PNP, PDEA, o mga awtoridad ng barangay.
**Mga Karagdagang Pagsasaalang-alang:**
* Ang tiyak na parusa ay depende sa uri at dami ng mga gamot na kasangkot (sumangguni sa RA 9165 Seksyon 18).
* Ang pagkonsulta sa isang abogado ay inirerekomenda para sa isang mas detalyadong pag-unawa sa mga legal na aspeto at mga potensyal na argumento sa isang partikular na kaso.
**Pagpapahusay sa Labanan Laban sa Droga:**
* Habang umiiral ang legal na balangkas, maaaring tuklasin ang mga karagdagang hakbang:
* Tumaas na kooperasyon sa pagitan ng mga ahensyang nagpapatupad ng batas at mga pasilidad sa pangangalagang pangkalusugan upang matukoy at matugunan ang aktibidad ng droga malapit sa mga sentro ng pangangalagang pangkalusugan.
* Mga programa sa pakikipag-ugnayan sa komunidad upang turuan ang mga tao tungkol sa mga panganib ng droga at hikayatin silang mag-ulat ng kahina-hinalang aktibidad.
Sa pamamagitan ng pagsasama-sama ng mga legal na hakbang, mga pagsusumikap sa pagpapatupad ng batas, at pakikipag-ugnayan sa komunidad, ang Pilipinas ay maaaring magtrabaho tungo sa paglaban sa ilegal na pagtutulak ng droga sa mga sensitibong lugar na ito.</v>
      </c>
      <c r="F2213" s="2">
        <f t="shared" si="1"/>
        <v>0</v>
      </c>
      <c r="G2213" s="2"/>
      <c r="H2213" s="2"/>
      <c r="I2213" s="2"/>
      <c r="J2213" s="2"/>
      <c r="K2213" s="2"/>
      <c r="L2213" s="2"/>
      <c r="M2213" s="2"/>
      <c r="N2213" s="2"/>
      <c r="O2213" s="2"/>
      <c r="P2213" s="2"/>
      <c r="Q2213" s="2"/>
      <c r="R2213" s="2"/>
      <c r="S2213" s="2"/>
      <c r="T2213" s="2"/>
      <c r="U2213" s="2"/>
      <c r="V2213" s="2"/>
      <c r="W2213" s="2"/>
      <c r="X2213" s="2"/>
      <c r="Y2213" s="2"/>
      <c r="Z2213" s="2"/>
      <c r="AA2213" s="2"/>
    </row>
    <row r="2214">
      <c r="A2214" s="3" t="s">
        <v>5259</v>
      </c>
      <c r="B2214" s="1" t="s">
        <v>5392</v>
      </c>
      <c r="C2214" s="3" t="s">
        <v>5393</v>
      </c>
      <c r="D2214" s="2" t="str">
        <f>IFERROR(__xludf.DUMMYFUNCTION("GOOGLETRANSLATE(B2214, ""en"", ""TL"")"),"Nakatagpo ka ng isang kaibigan na hayagang gumagamit ng ilegal na droga sa panahon ng isang pampublikong kaganapan. Anong mga legal na aksyon ang maaari mong gawin, at paano mo dapat iulat ang insidenteng ito sa mga awtoridad?")</f>
        <v>Nakatagpo ka ng isang kaibigan na hayagang gumagamit ng ilegal na droga sa panahon ng isang pampublikong kaganapan. Anong mga legal na aksyon ang maaari mong gawin, at paano mo dapat iulat ang insidenteng ito sa mga awtoridad?</v>
      </c>
      <c r="E2214" s="2" t="str">
        <f>IFERROR(__xludf.DUMMYFUNCTION("GOOGLETRANSLATE(C2214, ""en"", ""TL"")"),"Bagama't hindi ka maaaring direktang gumawa ng legal na aksyon laban sa iyong kaibigan, maaari mong iulat ang insidente sa mga awtoridad at posibleng tulungan silang makakuha ng tulong. Narito ang maaari mong gawin:
**Una ang Iyong Kaligtasan:**
* **Turii"&amp;"n ang Sitwasyon:** Ang iyong kaibigan ba ay isang panganib sa kanilang sarili o sa iba? Kung may panganib ng karahasan o maling pag-uugali, pinakamahusay na unahin ang iyong kaligtasan at ang kaligtasan ng iba.
**Mga Opsyon para sa Pag-uulat:**
* **Tumawa"&amp;"g sa Mga Awtoridad:** Kung ang iyong kaibigan ay nasa panganib o hindi ka komportable na direktang makialam, maingat na tawagan ang Philippine National Police (PNP) hotline 186 o magpadala ng text message sa kanilang SMS hotline.
* **Mag-ulat sa Seguridad"&amp;" ng Kaganapan:** Maraming pampublikong kaganapan ang may mga tauhan ng seguridad. Iulat ang pangyayari sa kanila at hayaan silang humawak sa sitwasyon.
* **Mag-ulat sa Mga Organizer:** Kung hindi available ang seguridad, ipaalam sa mga organizer ng kagana"&amp;"pan. Maaaring mayroon silang mga protocol para sa paghawak ng mga ganitong sitwasyon. **Anong Impormasyon ang Ibibigay:**
* Kapag nag-uulat, magbigay ng malinaw na paglalarawan ng iyong kaibigan, kabilang ang anumang natatanging pananamit o pisikal na kat"&amp;"angian. * Ilarawan ang lokasyon kung saan mo sila nakitang gumagamit ng mga gamot at ang uri ng mga gamot (kung makikilala mo sila).
* Banggitin kung ang mga ito ay tila isang panganib sa kanilang sarili o sa iba.
**Panatilihin ang Anonymity (Opsyonal):**"&amp;"
* Maaari kang mag-ulat nang hindi nagpapakilala kung nag-aalala ka tungkol sa mga epekto. Gayunpaman, ang pagbibigay ng iyong impormasyon ay maaaring makatulong sa mga awtoridad na mag-imbestiga nang mas epektibo.
**Pagtulong sa Iyong Kaibigan (Opsyonal)"&amp;":**
* Kapag nakontrol na ang sitwasyon, isaalang-alang ang pag-aalok ng tulong sa iyong kaibigan. Maaaring nahihirapan sila sa pagkagumon, at maaari mo silang gabayan patungo sa mga mapagkukunan tulad ng mga rehabilitation center o grupo ng suporta.
**Mah"&amp;"ahalagang Paalala:**
* Hindi ka maaaring magsagawa ng pag-aresto sa isang mamamayan sa Pilipinas para sa paggamit ng ilegal na droga. Iwanan ang pangamba sa pagpapatupad ng batas.
* Tumutok sa pag-uulat ng pagkilos ng paggamit ng droga, hindi ang paghuli "&amp;"sa iyong kaibigan mismo.
* Maaaring may mga legal na kahihinatnan para sa iyong kaibigan depende sa mga pangyayari at sa uri/dami ng mga gamot na kasangkot.
Tandaan, ang iyong kaligtasan at ang kaligtasan ng iba ay mauna. Sa pamamagitan ng pag-uulat ng in"&amp;"sidente, maaari mong matulungan ang iyong kaibigan na makuha ang suporta na kailangan nila at maiwasan ang pinsala sa iba.")</f>
        <v>Bagama't hindi ka maaaring direktang gumawa ng legal na aksyon laban sa iyong kaibigan, maaari mong iulat ang insidente sa mga awtoridad at posibleng tulungan silang makakuha ng tulong. Narito ang maaari mong gawin:
**Una ang Iyong Kaligtasan:**
* **Turiin ang Sitwasyon:** Ang iyong kaibigan ba ay isang panganib sa kanilang sarili o sa iba? Kung may panganib ng karahasan o maling pag-uugali, pinakamahusay na unahin ang iyong kaligtasan at ang kaligtasan ng iba.
**Mga Opsyon para sa Pag-uulat:**
* **Tumawag sa Mga Awtoridad:** Kung ang iyong kaibigan ay nasa panganib o hindi ka komportable na direktang makialam, maingat na tawagan ang Philippine National Police (PNP) hotline 186 o magpadala ng text message sa kanilang SMS hotline.
* **Mag-ulat sa Seguridad ng Kaganapan:** Maraming pampublikong kaganapan ang may mga tauhan ng seguridad. Iulat ang pangyayari sa kanila at hayaan silang humawak sa sitwasyon.
* **Mag-ulat sa Mga Organizer:** Kung hindi available ang seguridad, ipaalam sa mga organizer ng kaganapan. Maaaring mayroon silang mga protocol para sa paghawak ng mga ganitong sitwasyon. **Anong Impormasyon ang Ibibigay:**
* Kapag nag-uulat, magbigay ng malinaw na paglalarawan ng iyong kaibigan, kabilang ang anumang natatanging pananamit o pisikal na katangian. * Ilarawan ang lokasyon kung saan mo sila nakitang gumagamit ng mga gamot at ang uri ng mga gamot (kung makikilala mo sila).
* Banggitin kung ang mga ito ay tila isang panganib sa kanilang sarili o sa iba.
**Panatilihin ang Anonymity (Opsyonal):**
* Maaari kang mag-ulat nang hindi nagpapakilala kung nag-aalala ka tungkol sa mga epekto. Gayunpaman, ang pagbibigay ng iyong impormasyon ay maaaring makatulong sa mga awtoridad na mag-imbestiga nang mas epektibo.
**Pagtulong sa Iyong Kaibigan (Opsyonal):**
* Kapag nakontrol na ang sitwasyon, isaalang-alang ang pag-aalok ng tulong sa iyong kaibigan. Maaaring nahihirapan sila sa pagkagumon, at maaari mo silang gabayan patungo sa mga mapagkukunan tulad ng mga rehabilitation center o grupo ng suporta.
**Mahahalagang Paalala:**
* Hindi ka maaaring magsagawa ng pag-aresto sa isang mamamayan sa Pilipinas para sa paggamit ng ilegal na droga. Iwanan ang pangamba sa pagpapatupad ng batas.
* Tumutok sa pag-uulat ng pagkilos ng paggamit ng droga, hindi ang paghuli sa iyong kaibigan mismo.
* Maaaring may mga legal na kahihinatnan para sa iyong kaibigan depende sa mga pangyayari at sa uri/dami ng mga gamot na kasangkot.
Tandaan, ang iyong kaligtasan at ang kaligtasan ng iba ay mauna. Sa pamamagitan ng pag-uulat ng insidente, maaari mong matulungan ang iyong kaibigan na makuha ang suporta na kailangan nila at maiwasan ang pinsala sa iba.</v>
      </c>
      <c r="F2214" s="2">
        <f t="shared" si="1"/>
        <v>0</v>
      </c>
      <c r="G2214" s="2"/>
      <c r="H2214" s="2"/>
      <c r="I2214" s="2"/>
      <c r="J2214" s="2"/>
      <c r="K2214" s="2"/>
      <c r="L2214" s="2"/>
      <c r="M2214" s="2"/>
      <c r="N2214" s="2"/>
      <c r="O2214" s="2"/>
      <c r="P2214" s="2"/>
      <c r="Q2214" s="2"/>
      <c r="R2214" s="2"/>
      <c r="S2214" s="2"/>
      <c r="T2214" s="2"/>
      <c r="U2214" s="2"/>
      <c r="V2214" s="2"/>
      <c r="W2214" s="2"/>
      <c r="X2214" s="2"/>
      <c r="Y2214" s="2"/>
      <c r="Z2214" s="2"/>
      <c r="AA2214" s="2"/>
    </row>
    <row r="2215">
      <c r="A2215" s="3" t="s">
        <v>5259</v>
      </c>
      <c r="B2215" s="1" t="s">
        <v>5394</v>
      </c>
      <c r="C2215" s="3" t="s">
        <v>5395</v>
      </c>
      <c r="D2215" s="2" t="str">
        <f>IFERROR(__xludf.DUMMYFUNCTION("GOOGLETRANSLATE(B2215, ""en"", ""TL"")"),"Bilang isang opisyal ng paaralan, natuklasan mo na ang isang mag-aaral ay sangkot sa trafficking ng droga sa loob ng lugar ng paaralan. Anong mga agarang hakbang ang dapat gawin alinsunod sa mga batas ng Pilipinas?")</f>
        <v>Bilang isang opisyal ng paaralan, natuklasan mo na ang isang mag-aaral ay sangkot sa trafficking ng droga sa loob ng lugar ng paaralan. Anong mga agarang hakbang ang dapat gawin alinsunod sa mga batas ng Pilipinas?</v>
      </c>
      <c r="E2215" s="2" t="str">
        <f>IFERROR(__xludf.DUMMYFUNCTION("GOOGLETRANSLATE(C2215, ""en"", ""TL"")"),"Narito ang mga agarang hakbang na dapat mong gawin bilang isang opisyal ng paaralan alinsunod sa mga batas ng Pilipinas kung matuklasan mong sangkot ang isang estudyante sa trafficking ng droga sa loob ng lugar ng paaralan:
**Priyoridad ang Kaligtasan ng "&amp;"Mag-aaral at Koleksyon ng Ebidensya:**
1. **Siguraduhin ang Kaligtasan:** Ang unang priyoridad ay upang matiyak ang kaligtasan ng iyong sarili, ibang mga mag-aaral, at kawani. Kung may potensyal para sa karahasan o panganib, isangkot kaagad ang mga tauhan"&amp;" ng seguridad o ang mga awtoridad.
2. **Ligtas na Ebidensya (Palihim):** Kung maaari, maingat na mangalap ng anumang ebidensya na magagawa mo, tulad ng mga kagamitan, packaging, o mga testimonya ng saksi (nang hindi inilalagay ang iyong sarili sa panganib"&amp;"). Gayunpaman, unahin ang kaligtasan kaysa sa pagkolekta ng malawak na ebidensya.
**Pag-uulat at Pagsisiyasat:**
3. **Mag-ulat sa Mga Awtoridad ng Paaralan:** Ipaalam sa punong-guro ng paaralan o itinalagang administrador ang tungkol sa sitwasyon. Magkaka"&amp;"roon sila ng mga protocol para sa paghawak ng mga ganitong bagay. 4. **Isali ang Mga Naaangkop na Awtoridad:** Depende sa kalubhaan ng sitwasyon at edad ng mag-aaral, maaaring kailanganin mong isangkot ang mga awtoridad. * Para sa mabibigat na pagkakasala"&amp;" o kung ang estudyante ay nasa legal na edad (18 pataas), isaalang-alang ang pag-uulat sa Philippine National Police (PNP) o sa Philippine Drug Enforcement Agency (PDEA).
* Para sa mga mas batang mag-aaral o hindi gaanong malubhang mga kaso, ang paaralan "&amp;"ay maaaring may kinalaman sa mga serbisyong panlipunan o mga awtoridad ng barangay depende sa kanilang itinatag na mga protocol.
**Kagalingan at Rehabilitasyon ng Mag-aaral:**
5. **Suporta sa Mag-aaral:** Dapat unahin ng paaralan ang kapakanan ng mag-aara"&amp;"l. Depende sa mga pangyayari, tuklasin ang mga opsyon para sa:
* **Pagpapayo:** Mag-alok ng patnubay at suporta sa mag-aaral upang maunawaan ang bigat ng kanilang mga aksyon at hikayatin silang humingi ng tulong.
* **Mga Programa sa Rehabilitasyon:** Maaa"&amp;"ring irekomenda o pangasiwaan ng paaralan ang pagpasok ng mag-aaral sa isang programa ng rehabilitasyon upang matugunan ang potensyal na pagkagumon.
**Sumusunod sa Mga Protokol ng Paaralan:**
6. **Mga Patakaran sa Paaralan:** Ang bawat paaralan ay dapat m"&amp;"agkaroon ng mga patakaran at pamamaraan para sa paghawak ng mga insidenteng may kinalaman sa droga. Sundin ang mga protocol ng paaralan upang matiyak ang isang maayos at legal na kurso ng aksyon.
**Pagiging Kumpidensyal:**
7. **Panatilihin ang Pagiging Ko"&amp;"mpidensyal:** Habang ang pag-uulat ay kinakailangan, panatilihin ang pagiging kompidensiyal tungkol sa pagkakakilanlan ng mag-aaral hangga't maaari, na sumusunod sa mga alituntunin ng paaralan.
**Tandaan:**
* Hindi mo inaasahang haharapin ang sitwasyon na"&amp;"ng mag-isa. Humingi ng patnubay mula sa administrasyon ng paaralan at isama ang mga kaugnay na awtoridad kung kinakailangan.
* Ang focus ay dapat sa pagtiyak sa kaligtasan ng mag-aaral, pangangalap ng ebidensya, pag-uulat ng insidente, at pag-aalok ng sup"&amp;"orta at mga opsyon sa rehabilitasyon para sa estudyante.
Sa pamamagitan ng pagsunod sa mga hakbang na ito at pagsunod sa mga batas ng Pilipinas at mga protocol ng paaralan, maaari kang mag-ambag sa isang ligtas na kapaligiran sa pag-aaral at posibleng mat"&amp;"ulungan ang mag-aaral na malampasan ang mga isyu na may kaugnayan sa droga.")</f>
        <v>Narito ang mga agarang hakbang na dapat mong gawin bilang isang opisyal ng paaralan alinsunod sa mga batas ng Pilipinas kung matuklasan mong sangkot ang isang estudyante sa trafficking ng droga sa loob ng lugar ng paaralan:
**Priyoridad ang Kaligtasan ng Mag-aaral at Koleksyon ng Ebidensya:**
1. **Siguraduhin ang Kaligtasan:** Ang unang priyoridad ay upang matiyak ang kaligtasan ng iyong sarili, ibang mga mag-aaral, at kawani. Kung may potensyal para sa karahasan o panganib, isangkot kaagad ang mga tauhan ng seguridad o ang mga awtoridad.
2. **Ligtas na Ebidensya (Palihim):** Kung maaari, maingat na mangalap ng anumang ebidensya na magagawa mo, tulad ng mga kagamitan, packaging, o mga testimonya ng saksi (nang hindi inilalagay ang iyong sarili sa panganib). Gayunpaman, unahin ang kaligtasan kaysa sa pagkolekta ng malawak na ebidensya.
**Pag-uulat at Pagsisiyasat:**
3. **Mag-ulat sa Mga Awtoridad ng Paaralan:** Ipaalam sa punong-guro ng paaralan o itinalagang administrador ang tungkol sa sitwasyon. Magkakaroon sila ng mga protocol para sa paghawak ng mga ganitong bagay. 4. **Isali ang Mga Naaangkop na Awtoridad:** Depende sa kalubhaan ng sitwasyon at edad ng mag-aaral, maaaring kailanganin mong isangkot ang mga awtoridad. * Para sa mabibigat na pagkakasala o kung ang estudyante ay nasa legal na edad (18 pataas), isaalang-alang ang pag-uulat sa Philippine National Police (PNP) o sa Philippine Drug Enforcement Agency (PDEA).
* Para sa mga mas batang mag-aaral o hindi gaanong malubhang mga kaso, ang paaralan ay maaaring may kinalaman sa mga serbisyong panlipunan o mga awtoridad ng barangay depende sa kanilang itinatag na mga protocol.
**Kagalingan at Rehabilitasyon ng Mag-aaral:**
5. **Suporta sa Mag-aaral:** Dapat unahin ng paaralan ang kapakanan ng mag-aaral. Depende sa mga pangyayari, tuklasin ang mga opsyon para sa:
* **Pagpapayo:** Mag-alok ng patnubay at suporta sa mag-aaral upang maunawaan ang bigat ng kanilang mga aksyon at hikayatin silang humingi ng tulong.
* **Mga Programa sa Rehabilitasyon:** Maaaring irekomenda o pangasiwaan ng paaralan ang pagpasok ng mag-aaral sa isang programa ng rehabilitasyon upang matugunan ang potensyal na pagkagumon.
**Sumusunod sa Mga Protokol ng Paaralan:**
6. **Mga Patakaran sa Paaralan:** Ang bawat paaralan ay dapat magkaroon ng mga patakaran at pamamaraan para sa paghawak ng mga insidenteng may kinalaman sa droga. Sundin ang mga protocol ng paaralan upang matiyak ang isang maayos at legal na kurso ng aksyon.
**Pagiging Kumpidensyal:**
7. **Panatilihin ang Pagiging Kompidensyal:** Habang ang pag-uulat ay kinakailangan, panatilihin ang pagiging kompidensiyal tungkol sa pagkakakilanlan ng mag-aaral hangga't maaari, na sumusunod sa mga alituntunin ng paaralan.
**Tandaan:**
* Hindi mo inaasahang haharapin ang sitwasyon nang mag-isa. Humingi ng patnubay mula sa administrasyon ng paaralan at isama ang mga kaugnay na awtoridad kung kinakailangan.
* Ang focus ay dapat sa pagtiyak sa kaligtasan ng mag-aaral, pangangalap ng ebidensya, pag-uulat ng insidente, at pag-aalok ng suporta at mga opsyon sa rehabilitasyon para sa estudyante.
Sa pamamagitan ng pagsunod sa mga hakbang na ito at pagsunod sa mga batas ng Pilipinas at mga protocol ng paaralan, maaari kang mag-ambag sa isang ligtas na kapaligiran sa pag-aaral at posibleng matulungan ang mag-aaral na malampasan ang mga isyu na may kaugnayan sa droga.</v>
      </c>
      <c r="F2215" s="2">
        <f t="shared" si="1"/>
        <v>0</v>
      </c>
      <c r="G2215" s="2"/>
      <c r="H2215" s="2"/>
      <c r="I2215" s="2"/>
      <c r="J2215" s="2"/>
      <c r="K2215" s="2"/>
      <c r="L2215" s="2"/>
      <c r="M2215" s="2"/>
      <c r="N2215" s="2"/>
      <c r="O2215" s="2"/>
      <c r="P2215" s="2"/>
      <c r="Q2215" s="2"/>
      <c r="R2215" s="2"/>
      <c r="S2215" s="2"/>
      <c r="T2215" s="2"/>
      <c r="U2215" s="2"/>
      <c r="V2215" s="2"/>
      <c r="W2215" s="2"/>
      <c r="X2215" s="2"/>
      <c r="Y2215" s="2"/>
      <c r="Z2215" s="2"/>
      <c r="AA2215" s="2"/>
    </row>
    <row r="2216">
      <c r="A2216" s="3" t="s">
        <v>5259</v>
      </c>
      <c r="B2216" s="1" t="s">
        <v>5396</v>
      </c>
      <c r="C2216" s="3" t="s">
        <v>5397</v>
      </c>
      <c r="D2216" s="2" t="str">
        <f>IFERROR(__xludf.DUMMYFUNCTION("GOOGLETRANSLATE(B2216, ""en"", ""TL"")"),"Nasasaksihan mo ang isang kahina-hinalang transaksyon sa isang madilim na eskinita na tila may kinalaman sa pagbebenta ng ilegal na droga. Ano ang dapat mong gawin upang matulungan ang pagpapatupad ng batas at matiyak ang iyong kaligtasan?")</f>
        <v>Nasasaksihan mo ang isang kahina-hinalang transaksyon sa isang madilim na eskinita na tila may kinalaman sa pagbebenta ng ilegal na droga. Ano ang dapat mong gawin upang matulungan ang pagpapatupad ng batas at matiyak ang iyong kaligtasan?</v>
      </c>
      <c r="E2216" s="2" t="str">
        <f>IFERROR(__xludf.DUMMYFUNCTION("GOOGLETRANSLATE(C2216, ""en"", ""TL"")"),"Narito ang maaari mong gawin upang tulungan ang pagpapatupad ng batas at matiyak ang iyong kaligtasan habang nasasaksihan ang pinaghihinalaang transaksyon ng droga sa Pilipinas:
**Priyoridad ang Iyong Kaligtasan:**
* **Huwag direktang makialam.** Maaaring"&amp;" mapanganib ang mga deal sa droga, at hindi inirerekomenda na lapitan o harapin ang mga taong sangkot. * **Ilipat sa lugar na may maliwanag at mataong tao.** Palakihin ang distansya sa pagitan mo at ng pinaghihinalaang transaksyon.
**Iulat ang Aktibidad:*"&amp;"*
* **Tumawag sa Philippine National Police (PNP) Hotline 186.** Iulat ang kahina-hinalang aktibidad, kasama ang lokasyon (barangay, kalye), oras, at paglalarawan ng mga taong sangkot (bilang ng tao, pananamit, pisikal na paglalarawan kung maaari ).
* **M"&amp;"ag-ulat sa pinakamalapit na istasyon ng pulisya.** Kung hindi posible ang pagtawag sa 186, dumiretso sa pinakamalapit na istasyon ng pulisya at iulat ang insidente. Magbigay ng mga detalyeng nabanggit sa itaas.
**Pagtitipon ng Impormasyon (Opsyonal, kung "&amp;"ligtas na gawin ito):**
* **Maingat na tandaan ang mga detalye.** Mula sa isang ligtas na distansya, subukang kabisaduhin ang mga paglalarawan ng mga taong sangkot at anumang natatanging tampok. Tandaan ang oras ng transaksyon. * **Kung maaari, kumuha ng "&amp;"larawan nang hindi nakakaakit ng pansin.** Ito ay maaaring maging isang mahalagang piraso ng ebidensya para sa pulisya. Gayunpaman, unahin ang iyong kaligtasan at gawin lamang ito kung maaari itong gawin nang maingat.
**Pagprotekta sa Iyong Sarili Legal:*"&amp;"*
* **Kilalanin lamang ang iyong sarili kung hihilingin ng isang pulis.** Hindi mo obligado na ibunyag ang iyong pagkakakilanlan sa sinumang nasa eksena.
* **Kung pipiliin mong mag-ulat nang hindi nagpapakilala, maaari mong hilingin sa pulisya na itago an"&amp;"g iyong pagkakakilanlan.**
**Mga Kaugnay na Batas ng Pilipinas:**
* **Comprehensive Dangerous Drugs Act (R.A. 9165):** Tinutukoy at pinaparusahan ng batas na ito ang iligal na pagbebenta, pagmamay-ari, at paggamit ng mga mapanganib na droga at mga kinokon"&amp;"trol na sangkap.
* **Konstitusyon ng Pilipinas (Artikulo III, Seksyon 1):** Ginagarantiyahan ng seksyong ito ang karapatan sa seguridad ng tao. Sa pamamagitan ng pag-uulat ng krimen, itinataguyod mo ang karapatang ito para sa iyong sarili at sa komunidad."&amp;"
Tandaan, ang iyong kaligtasan ang pinakamahalaga. Iulat ang kahina-hinalang aktibidad at hayaan ang pulisya na pangasiwaan ang imbestigasyon.")</f>
        <v>Narito ang maaari mong gawin upang tulungan ang pagpapatupad ng batas at matiyak ang iyong kaligtasan habang nasasaksihan ang pinaghihinalaang transaksyon ng droga sa Pilipinas:
**Priyoridad ang Iyong Kaligtasan:**
* **Huwag direktang makialam.** Maaaring mapanganib ang mga deal sa droga, at hindi inirerekomenda na lapitan o harapin ang mga taong sangkot. * **Ilipat sa lugar na may maliwanag at mataong tao.** Palakihin ang distansya sa pagitan mo at ng pinaghihinalaang transaksyon.
**Iulat ang Aktibidad:**
* **Tumawag sa Philippine National Police (PNP) Hotline 186.** Iulat ang kahina-hinalang aktibidad, kasama ang lokasyon (barangay, kalye), oras, at paglalarawan ng mga taong sangkot (bilang ng tao, pananamit, pisikal na paglalarawan kung maaari ).
* **Mag-ulat sa pinakamalapit na istasyon ng pulisya.** Kung hindi posible ang pagtawag sa 186, dumiretso sa pinakamalapit na istasyon ng pulisya at iulat ang insidente. Magbigay ng mga detalyeng nabanggit sa itaas.
**Pagtitipon ng Impormasyon (Opsyonal, kung ligtas na gawin ito):**
* **Maingat na tandaan ang mga detalye.** Mula sa isang ligtas na distansya, subukang kabisaduhin ang mga paglalarawan ng mga taong sangkot at anumang natatanging tampok. Tandaan ang oras ng transaksyon. * **Kung maaari, kumuha ng larawan nang hindi nakakaakit ng pansin.** Ito ay maaaring maging isang mahalagang piraso ng ebidensya para sa pulisya. Gayunpaman, unahin ang iyong kaligtasan at gawin lamang ito kung maaari itong gawin nang maingat.
**Pagprotekta sa Iyong Sarili Legal:**
* **Kilalanin lamang ang iyong sarili kung hihilingin ng isang pulis.** Hindi mo obligado na ibunyag ang iyong pagkakakilanlan sa sinumang nasa eksena.
* **Kung pipiliin mong mag-ulat nang hindi nagpapakilala, maaari mong hilingin sa pulisya na itago ang iyong pagkakakilanlan.**
**Mga Kaugnay na Batas ng Pilipinas:**
* **Comprehensive Dangerous Drugs Act (R.A. 9165):** Tinutukoy at pinaparusahan ng batas na ito ang iligal na pagbebenta, pagmamay-ari, at paggamit ng mga mapanganib na droga at mga kinokontrol na sangkap.
* **Konstitusyon ng Pilipinas (Artikulo III, Seksyon 1):** Ginagarantiyahan ng seksyong ito ang karapatan sa seguridad ng tao. Sa pamamagitan ng pag-uulat ng krimen, itinataguyod mo ang karapatang ito para sa iyong sarili at sa komunidad.
Tandaan, ang iyong kaligtasan ang pinakamahalaga. Iulat ang kahina-hinalang aktibidad at hayaan ang pulisya na pangasiwaan ang imbestigasyon.</v>
      </c>
      <c r="F2216" s="2">
        <f t="shared" si="1"/>
        <v>0</v>
      </c>
      <c r="G2216" s="2"/>
      <c r="H2216" s="2"/>
      <c r="I2216" s="2"/>
      <c r="J2216" s="2"/>
      <c r="K2216" s="2"/>
      <c r="L2216" s="2"/>
      <c r="M2216" s="2"/>
      <c r="N2216" s="2"/>
      <c r="O2216" s="2"/>
      <c r="P2216" s="2"/>
      <c r="Q2216" s="2"/>
      <c r="R2216" s="2"/>
      <c r="S2216" s="2"/>
      <c r="T2216" s="2"/>
      <c r="U2216" s="2"/>
      <c r="V2216" s="2"/>
      <c r="W2216" s="2"/>
      <c r="X2216" s="2"/>
      <c r="Y2216" s="2"/>
      <c r="Z2216" s="2"/>
      <c r="AA2216" s="2"/>
    </row>
    <row r="2217">
      <c r="A2217" s="3" t="s">
        <v>5259</v>
      </c>
      <c r="B2217" s="1" t="s">
        <v>5398</v>
      </c>
      <c r="C2217" s="3" t="s">
        <v>5399</v>
      </c>
      <c r="D2217" s="2" t="str">
        <f>IFERROR(__xludf.DUMMYFUNCTION("GOOGLETRANSLATE(B2217, ""en"", ""TL"")"),"Ang iyong kapitbahay ay pinaghihinalaang nagpapatakbo ng isang clandestine drug laboratory sa loob ng 100 metro mula sa isang paaralan. Anong mga legal na hakbang ang maaari mong gawin upang matugunan ang sitwasyong ito?")</f>
        <v>Ang iyong kapitbahay ay pinaghihinalaang nagpapatakbo ng isang clandestine drug laboratory sa loob ng 100 metro mula sa isang paaralan. Anong mga legal na hakbang ang maaari mong gawin upang matugunan ang sitwasyong ito?</v>
      </c>
      <c r="E2217" s="2" t="str">
        <f>IFERROR(__xludf.DUMMYFUNCTION("GOOGLETRANSLATE(C2217, ""en"", ""TL"")"),"Narito ang ilang legal na hakbang na maaari mong gawin sa Pilipinas upang matugunan ang iyong hinala sa isang clandestine drug laboratory na tumatakbo malapit sa isang paaralan (sa loob ng 100 metro):
**Pag-uulat ng Aktibidad:**
* **Mag-ulat sa Philippine"&amp;" National Police (PNP).** Ito ang pangunahing hakbang ng aksyon. Maaari kang mag-ulat sa iyong lokal na istasyon ng pulisya o tumawag sa PNP Hotline 186. Magbigay ng mga detalye tungkol sa aktibidad ng iyong kapitbahay, kabilang ang:
* Address ng iyong ka"&amp;"pitbahay
* Mga partikular na obserbasyon na naghihinala sa iyo na isang drug lab (hindi pangkaraniwang amoy, matinding trapiko sa kakaibang oras, mga kahina-hinalang kemikal)
* Anumang iba pang nauugnay na impormasyon (mga saksi, hindi pangkaraniwang tuno"&amp;"g)
* **Mag-ulat sa Kapitan ng Barangay.** Ang mga opisyal ng barangay ay may tungkulin sa pagpapanatili ng kapayapaan at kaayusan sa komunidad. Maaari silang magsimula ng sarili nilang imbestigasyon at makipag-ugnayan sa PNP.
* **Mag-ulat sa Philippine Dr"&amp;"ug Enforcement Agency (PDEA).** Ang PDEA ay ang nangungunang ahensya sa Pilipinas para sa iligal na droga. Maaari mong iulat ang iyong mga alalahanin sa pamamagitan ng kanilang website ([https://newsinfo.inquirer.net/1293074/pdea-urges-citizens-to-report-"&amp;"illegal-drug-activities-via-hotlines-facebook-page](https:/ /newsinfo.inquirer.net/1293074/pdea-urges-citizens-to-report-illegal-drug-activities-via-hotlines-facebook-page)) o sa pamamagitan ng pagtawag sa kanilang hotline 1333.
**Legal na Batayan:**
* **"&amp;"Comprehensive Dangerous Drugs Act (R.A. 9165):** Ipinagbabawal ng batas na ito ang paggawa, pagmamay-ari, at pamamahagi ng mga ilegal na droga at kontroladong substance. Seksyon 6 ng R.A. Partikular na pinaparusahan ng 9165 ang **Pagpapanatili ng Drug Den"&amp;"**. * **Seksyon 15 ng R.A. 9165** ay nagdaragdag din ng parusa para sa mga aktibidad ng ilegal na droga kung ginawa sa loob ng 100 metro mula sa isang paaralan. **Pagprotekta sa Iyong Sarili:**
* **Huwag direktang harapin ang iyong kapitbahay.** Ang mga c"&amp;"landestine drug lab ay maaaring mapanganib. Iulat ang iyong hinala sa mga awtoridad at hayaan silang humawak sa imbestigasyon.
* **Manatiling anonymous kung gusto mo.** Maaari mong hilingin na itago ang iyong pagkakakilanlan kapag nag-uulat sa PNP, PDEA, "&amp;"o kapitan ng barangay.
**Mga Karagdagang Tip:**
* **Idokumento ang iyong mga obserbasyon.** Kung makakita ka o makaamoy ng kahina-hinalang aktibidad, magtala ng mga petsa at oras. * **Mahalagang Paalala:** Habang maaaring makatulong ang pagkuha ng mga lar"&amp;"awan o video, unahin ang iyong kaligtasan at gawin lamang ito mula sa isang ligtas na distansya at nang hindi nakakaakit ng pansin.
Sa pamamagitan ng pagsunod sa mga hakbang na ito, maaari kang tumulong na tugunan ang potensyal na panganib ng isang clande"&amp;"stine drug lab malapit sa isang paaralan at mag-ambag sa isang mas ligtas na komunidad. Tandaan, ang pag-uulat ng pinaghihinalaang ilegal na aktibidad ay iyong tungkuling pansibiko.")</f>
        <v>Narito ang ilang legal na hakbang na maaari mong gawin sa Pilipinas upang matugunan ang iyong hinala sa isang clandestine drug laboratory na tumatakbo malapit sa isang paaralan (sa loob ng 100 metro):
**Pag-uulat ng Aktibidad:**
* **Mag-ulat sa Philippine National Police (PNP).** Ito ang pangunahing hakbang ng aksyon. Maaari kang mag-ulat sa iyong lokal na istasyon ng pulisya o tumawag sa PNP Hotline 186. Magbigay ng mga detalye tungkol sa aktibidad ng iyong kapitbahay, kabilang ang:
* Address ng iyong kapitbahay
* Mga partikular na obserbasyon na naghihinala sa iyo na isang drug lab (hindi pangkaraniwang amoy, matinding trapiko sa kakaibang oras, mga kahina-hinalang kemikal)
* Anumang iba pang nauugnay na impormasyon (mga saksi, hindi pangkaraniwang tunog)
* **Mag-ulat sa Kapitan ng Barangay.** Ang mga opisyal ng barangay ay may tungkulin sa pagpapanatili ng kapayapaan at kaayusan sa komunidad. Maaari silang magsimula ng sarili nilang imbestigasyon at makipag-ugnayan sa PNP.
* **Mag-ulat sa Philippine Drug Enforcement Agency (PDEA).** Ang PDEA ay ang nangungunang ahensya sa Pilipinas para sa iligal na droga. Maaari mong iulat ang iyong mga alalahanin sa pamamagitan ng kanilang website ([https://newsinfo.inquirer.net/1293074/pdea-urges-citizens-to-report-illegal-drug-activities-via-hotlines-facebook-page](https:/ /newsinfo.inquirer.net/1293074/pdea-urges-citizens-to-report-illegal-drug-activities-via-hotlines-facebook-page)) o sa pamamagitan ng pagtawag sa kanilang hotline 1333.
**Legal na Batayan:**
* **Comprehensive Dangerous Drugs Act (R.A. 9165):** Ipinagbabawal ng batas na ito ang paggawa, pagmamay-ari, at pamamahagi ng mga ilegal na droga at kontroladong substance. Seksyon 6 ng R.A. Partikular na pinaparusahan ng 9165 ang **Pagpapanatili ng Drug Den**. * **Seksyon 15 ng R.A. 9165** ay nagdaragdag din ng parusa para sa mga aktibidad ng ilegal na droga kung ginawa sa loob ng 100 metro mula sa isang paaralan. **Pagprotekta sa Iyong Sarili:**
* **Huwag direktang harapin ang iyong kapitbahay.** Ang mga clandestine drug lab ay maaaring mapanganib. Iulat ang iyong hinala sa mga awtoridad at hayaan silang humawak sa imbestigasyon.
* **Manatiling anonymous kung gusto mo.** Maaari mong hilingin na itago ang iyong pagkakakilanlan kapag nag-uulat sa PNP, PDEA, o kapitan ng barangay.
**Mga Karagdagang Tip:**
* **Idokumento ang iyong mga obserbasyon.** Kung makakita ka o makaamoy ng kahina-hinalang aktibidad, magtala ng mga petsa at oras. * **Mahalagang Paalala:** Habang maaaring makatulong ang pagkuha ng mga larawan o video, unahin ang iyong kaligtasan at gawin lamang ito mula sa isang ligtas na distansya at nang hindi nakakaakit ng pansin.
Sa pamamagitan ng pagsunod sa mga hakbang na ito, maaari kang tumulong na tugunan ang potensyal na panganib ng isang clandestine drug lab malapit sa isang paaralan at mag-ambag sa isang mas ligtas na komunidad. Tandaan, ang pag-uulat ng pinaghihinalaang ilegal na aktibidad ay iyong tungkuling pansibiko.</v>
      </c>
      <c r="F2217" s="2">
        <f t="shared" si="1"/>
        <v>0</v>
      </c>
      <c r="G2217" s="2"/>
      <c r="H2217" s="2"/>
      <c r="I2217" s="2"/>
      <c r="J2217" s="2"/>
      <c r="K2217" s="2"/>
      <c r="L2217" s="2"/>
      <c r="M2217" s="2"/>
      <c r="N2217" s="2"/>
      <c r="O2217" s="2"/>
      <c r="P2217" s="2"/>
      <c r="Q2217" s="2"/>
      <c r="R2217" s="2"/>
      <c r="S2217" s="2"/>
      <c r="T2217" s="2"/>
      <c r="U2217" s="2"/>
      <c r="V2217" s="2"/>
      <c r="W2217" s="2"/>
      <c r="X2217" s="2"/>
      <c r="Y2217" s="2"/>
      <c r="Z2217" s="2"/>
      <c r="AA2217" s="2"/>
    </row>
    <row r="2218">
      <c r="A2218" s="3" t="s">
        <v>5259</v>
      </c>
      <c r="B2218" s="1" t="s">
        <v>5400</v>
      </c>
      <c r="C2218" s="3" t="s">
        <v>5401</v>
      </c>
      <c r="D2218" s="2" t="str">
        <f>IFERROR(__xludf.DUMMYFUNCTION("GOOGLETRANSLATE(B2218, ""en"", ""TL"")"),"Nalaman mo na ang isang miyembro ng pamilya ay gumagamit ng droga sa bahay. Paano mo maaaring lapitan ang sitwasyong ito nang legal, isinasaalang-alang ang potensyal na epekto sa mga relasyon sa pamilya?")</f>
        <v>Nalaman mo na ang isang miyembro ng pamilya ay gumagamit ng droga sa bahay. Paano mo maaaring lapitan ang sitwasyong ito nang legal, isinasaalang-alang ang potensyal na epekto sa mga relasyon sa pamilya?</v>
      </c>
      <c r="E2218" s="2" t="str">
        <f>IFERROR(__xludf.DUMMYFUNCTION("GOOGLETRANSLATE(C2218, ""en"", ""TL"")"),"Narito kung paano mo maaaring lapitan ang sitwasyon ng isang miyembro ng pamilya na gumagamit ng mga droga sa bahay, isinasaalang-alang ang parehong legal na aspeto at potensyal na epekto sa mga relasyon sa pamilya (batay sa batas ng Pilipinas):
**Tumuon "&amp;"sa Suporta at Pagbawi:**
* **Priyoridad ang kapakanan ng iyong miyembro ng pamilya.** Ang pagkagumon ay isang sakit, at ang iyong layunin ay tulungan silang makuha ang suporta na kailangan nila.
* **Humingi ng propesyonal na patnubay.** Ang isang lisensya"&amp;"dong therapist o addiction specialist ay maaaring magbigay sa iyo ng mga diskarte para sa isang pansuportang pag-uusap at mga mapagkukunan para sa mga programa sa paggamot.
**Mga Legal na Pagsasaalang-alang:**
Habang ang batas ng Pilipinas (R.A. 9165) ay "&amp;"nagpaparusa sa pagkakaroon at paggamit ng mga ilegal na droga, ang pagpilit sa isang tao sa paggamot ay maaaring maging kontraproduktibo. Gayunpaman, nag-aalok ang batas ng mga opsyon para sa rehabilitasyon:
* **Boluntaryo at Sapilitang Rehabilitasyon sa "&amp;"Droga:** * Ang Lupon ng Mapanganib na Gamot (DDB) ay nag-aalok ng mga programang boluntaryong rehabilitasyon. Maaari mong tuklasin ang mga opsyong ito kasama ng iyong miyembro ng pamilya.
* R.A. Pinapayagan din ng 9165 ang **rehabilitasyon na ipinag-uutos"&amp;" ng korte** para sa mga indibidwal na nahuling may maliit na dami ng ilegal na droga para sa kanilang unang pagkakasala. Ito ay hindi isang bagay na maaari mong direktang ipatupad, ngunit ang pagkakaroon ng kamalayan dito ay maaaring makatulong sa iyong p"&amp;"ag-uusap.
**Bukas at Sumusuportang Komunikasyon:**
* **Pumili ng kalmado at pribadong sandali para sa isang pag-uusap.** * **Ipahayag ang iyong pag-aalala para sa kanilang kapakanan sa pamamagitan ng mga pahayag na ""Ako"".** Halimbawa, ""Nag-aalala ako t"&amp;"ungkol sa iyong kamakailang pag-uugali...""
* **Makinig nang hayagan at iwasan ang paghatol.** Ang layunin ay maunawaan ang kanilang pakikibaka at mag-alok ng suporta.
* **Tumuon sa mga negatibong kahihinatnan ng paggamit ng droga** sa kanilang kalusugan,"&amp;" relasyon, at hinaharap.
**Pagprotekta sa Iyong Sarili at sa Iba:**
* **Kung may panganib ng karahasan o panganib sa iyong sarili o sa iba, isangkot ang mga awtoridad.** * **Maaari mong iulat ang paggamit ng droga nang hindi nagpapakilala** sa PNP hotline"&amp;" 186 o PDEA hotline 1333. * Ito ay isang huling paraan , at inirerekomenda pa rin ang propesyonal na patnubay upang maayos na i-navigate ang sitwasyon.
**Mga Karagdagang Mapagkukunan:**
* **Dangerous Drugs Board (DDB):** [https://ddb.gov.ph/](https://ddb."&amp;"gov.ph/) - Nagbibigay ng impormasyon sa mga programa sa rehabilitasyon ng droga.
* **Department of Health (DOH):** [https://doh.gov.ph/](https://doh.gov.ph/) - Nag-aalok ng mga mapagkukunan sa kalusugan ng isip at paggamot sa addiction.
* **Philippine Nat"&amp;"ional Police (PNP):** [https://pnp.gov.ph/](https://pnp.gov.ph/) - Nagbibigay ng mga hotline para sa pag-uulat ng mga krimen.
Tandaan, ang layunin ay tulungan ang iyong miyembro ng pamilya na malampasan ang pagkagumon, hindi para parusahan sila. Sa pamama"&amp;"gitan ng pagbibigay-priyoridad sa kanilang kapakanan, paghahanap ng propesyonal na patnubay, at pakikipag-usap nang may pagmamahal at suporta, maaari mong pataasin ang mga pagkakataong magkaroon ng positibong resulta.")</f>
        <v>Narito kung paano mo maaaring lapitan ang sitwasyon ng isang miyembro ng pamilya na gumagamit ng mga droga sa bahay, isinasaalang-alang ang parehong legal na aspeto at potensyal na epekto sa mga relasyon sa pamilya (batay sa batas ng Pilipinas):
**Tumuon sa Suporta at Pagbawi:**
* **Priyoridad ang kapakanan ng iyong miyembro ng pamilya.** Ang pagkagumon ay isang sakit, at ang iyong layunin ay tulungan silang makuha ang suporta na kailangan nila.
* **Humingi ng propesyonal na patnubay.** Ang isang lisensyadong therapist o addiction specialist ay maaaring magbigay sa iyo ng mga diskarte para sa isang pansuportang pag-uusap at mga mapagkukunan para sa mga programa sa paggamot.
**Mga Legal na Pagsasaalang-alang:**
Habang ang batas ng Pilipinas (R.A. 9165) ay nagpaparusa sa pagkakaroon at paggamit ng mga ilegal na droga, ang pagpilit sa isang tao sa paggamot ay maaaring maging kontraproduktibo. Gayunpaman, nag-aalok ang batas ng mga opsyon para sa rehabilitasyon:
* **Boluntaryo at Sapilitang Rehabilitasyon sa Droga:** * Ang Lupon ng Mapanganib na Gamot (DDB) ay nag-aalok ng mga programang boluntaryong rehabilitasyon. Maaari mong tuklasin ang mga opsyong ito kasama ng iyong miyembro ng pamilya.
* R.A. Pinapayagan din ng 9165 ang **rehabilitasyon na ipinag-uutos ng korte** para sa mga indibidwal na nahuling may maliit na dami ng ilegal na droga para sa kanilang unang pagkakasala. Ito ay hindi isang bagay na maaari mong direktang ipatupad, ngunit ang pagkakaroon ng kamalayan dito ay maaaring makatulong sa iyong pag-uusap.
**Bukas at Sumusuportang Komunikasyon:**
* **Pumili ng kalmado at pribadong sandali para sa isang pag-uusap.** * **Ipahayag ang iyong pag-aalala para sa kanilang kapakanan sa pamamagitan ng mga pahayag na "Ako".** Halimbawa, "Nag-aalala ako tungkol sa iyong kamakailang pag-uugali..."
* **Makinig nang hayagan at iwasan ang paghatol.** Ang layunin ay maunawaan ang kanilang pakikibaka at mag-alok ng suporta.
* **Tumuon sa mga negatibong kahihinatnan ng paggamit ng droga** sa kanilang kalusugan, relasyon, at hinaharap.
**Pagprotekta sa Iyong Sarili at sa Iba:**
* **Kung may panganib ng karahasan o panganib sa iyong sarili o sa iba, isangkot ang mga awtoridad.** * **Maaari mong iulat ang paggamit ng droga nang hindi nagpapakilala** sa PNP hotline 186 o PDEA hotline 1333. * Ito ay isang huling paraan , at inirerekomenda pa rin ang propesyonal na patnubay upang maayos na i-navigate ang sitwasyon.
**Mga Karagdagang Mapagkukunan:**
* **Dangerous Drugs Board (DDB):** [https://ddb.gov.ph/](https://ddb.gov.ph/) - Nagbibigay ng impormasyon sa mga programa sa rehabilitasyon ng droga.
* **Department of Health (DOH):** [https://doh.gov.ph/](https://doh.gov.ph/) - Nag-aalok ng mga mapagkukunan sa kalusugan ng isip at paggamot sa addiction.
* **Philippine National Police (PNP):** [https://pnp.gov.ph/](https://pnp.gov.ph/) - Nagbibigay ng mga hotline para sa pag-uulat ng mga krimen.
Tandaan, ang layunin ay tulungan ang iyong miyembro ng pamilya na malampasan ang pagkagumon, hindi para parusahan sila. Sa pamamagitan ng pagbibigay-priyoridad sa kanilang kapakanan, paghahanap ng propesyonal na patnubay, at pakikipag-usap nang may pagmamahal at suporta, maaari mong pataasin ang mga pagkakataong magkaroon ng positibong resulta.</v>
      </c>
      <c r="F2218" s="2">
        <f t="shared" si="1"/>
        <v>0</v>
      </c>
      <c r="G2218" s="2"/>
      <c r="H2218" s="2"/>
      <c r="I2218" s="2"/>
      <c r="J2218" s="2"/>
      <c r="K2218" s="2"/>
      <c r="L2218" s="2"/>
      <c r="M2218" s="2"/>
      <c r="N2218" s="2"/>
      <c r="O2218" s="2"/>
      <c r="P2218" s="2"/>
      <c r="Q2218" s="2"/>
      <c r="R2218" s="2"/>
      <c r="S2218" s="2"/>
      <c r="T2218" s="2"/>
      <c r="U2218" s="2"/>
      <c r="V2218" s="2"/>
      <c r="W2218" s="2"/>
      <c r="X2218" s="2"/>
      <c r="Y2218" s="2"/>
      <c r="Z2218" s="2"/>
      <c r="AA2218" s="2"/>
    </row>
    <row r="2219">
      <c r="A2219" s="3" t="s">
        <v>5259</v>
      </c>
      <c r="B2219" s="1" t="s">
        <v>5402</v>
      </c>
      <c r="C2219" s="3" t="s">
        <v>5403</v>
      </c>
      <c r="D2219" s="2" t="str">
        <f>IFERROR(__xludf.DUMMYFUNCTION("GOOGLETRANSLATE(B2219, ""en"", ""TL"")"),"Sa isang regular na paghahanap sa isang pampublikong sasakyan, natuklasan ng mga awtoridad ang mga pasaherong may dalang ilegal na droga. Anong mga legal na pamamaraan ang dapat sundin sa paghawak ng sitwasyon?")</f>
        <v>Sa isang regular na paghahanap sa isang pampublikong sasakyan, natuklasan ng mga awtoridad ang mga pasaherong may dalang ilegal na droga. Anong mga legal na pamamaraan ang dapat sundin sa paghawak ng sitwasyon?</v>
      </c>
      <c r="E2219" s="2" t="str">
        <f>IFERROR(__xludf.DUMMYFUNCTION("GOOGLETRANSLATE(C2219, ""en"", ""TL"")"),"Ang legalidad ng paghahanap sa panahon ng pampublikong transportasyon sa Pilipinas ay nakasalalay sa likas na katangian ng paghahanap:
**Mga Karaniwang Pagsusuri sa Bagahe kumpara sa Mga Paghahanap sa Katawan:**
* **Mga Karaniwang Pagsusuri sa Bagahe:** M"&amp;"aaaring payagan ang mga limitadong inspeksyon ng mga bag para sa mga layuning pangkaligtasan. Gayunpaman, kinakailangan pa rin ang posibleng dahilan upang higit pang suriin ang isang bag.
* **Body Searches:** Pinoprotektahan ng Konstitusyon ng Pilipinas a"&amp;"ng mga mamamayan mula sa hindi makatwirang mga paghahanap at pang-aagaw (Artikulo III, Seksyon 1). **Ang mga body search sa pangkalahatan ay nangangailangan ng warrant** maliban kung may posibleng dahilan upang maniwala na may ginagawang krimen. Narito ku"&amp;"ng paano dapat magpatuloy ang mga awtoridad kung matuklasan nila ang mga ilegal na droga sa isang regular na paghahanap sa pampublikong transportasyon:
**1. Pag-verify at Mga Paunang Hakbang:**
* Kung ang mga kahina-hinalang bagay ay natagpuan sa isang re"&amp;"gular na pag-check ng bagahe, dapat hilingin ng mga opisyal sa pasahero na ipaliwanag ang mga nilalaman.
* **Hindi awtomatikong ipagpalagay ng mga opisyal na ang mga bagay ay ilegal na droga.**
**2. Malamang na Sanhi at Mga Susunod na Hakbang:**
* Kung an"&amp;"g paliwanag o pag-uugali ng pasahero ay nagpapataas ng **malamang na dahilan** upang maniwala na ang mga bagay ay ilegal na droga, ang mga opisyal ay maaaring magsagawa ng mas masusing paghahanap.
* Ang posibleng dahilan ay nagsasangkot ng makatwirang pan"&amp;"iniwala na ang isang krimen ay ginagawa, batay sa mga partikular na katotohanan at pangyayari.
* **Kung hindi matukoy ang probable cause, dapat ibalik ang mga item sa pasahero.**
**3. Mga Pamamaraan sa Paghahanap at Dokumentasyon:**
* Kung may posibleng d"&amp;"ahilan, ang isang mas masusing paghahanap **ay dapat isagawa nang may kasamang saksi, mas mabuti ang ibang opisyal.**
* **Ang paghahanap at mga natuklasan ay dapat na maidokumento nang lubusan.** Kabilang dito ang:
* Isang detalyadong paglalarawan ng mga "&amp;"item na natagpuan.
* Ang lokasyon ng paghahanap.
* Ang petsa at oras.
* Mga Saksi na naroroon.
**4. Pag-aresto at Detensyon:**
* **Kung may makikitang ilegal na droga, maaaring arestuhin ang pasahero.** * **Dapat na dokumentado ang pag-aresto at ang batay"&amp;"an nito.**
* Ang naarestong pasahero **ay may karapatang manatiling tahimik at sa legal na tagapayo.**
**Mahahalagang Paalala:**
* **May karapatan ang mga pasahero na tanungin ang legalidad ng paghahanap.** Kung naniniwala silang hindi makatwiran ang pagh"&amp;"ahanap, maaari silang kumunsulta sa isang abogado.
* **Ang mga sumusunod na mapagkukunan ay maaaring magbigay ng karagdagang impormasyon:**
* Philippine National Police (PNP): [https://pnp.gov.ph/](https://pnp.gov.ph/)
* Commission on Human Rights (CHR): "&amp;"[https://chr.gov.ph/](https://chr.gov.ph/)
Sa pamamagitan ng pagsunod sa mga pamamaraang ito, matitiyak ng tagapagpatupad ng batas na ang paghahanap at anumang posibleng pag-aresto ay sumusunod sa batas ng Pilipinas at iginagalang ang mga karapatan ng mga"&amp;" pasahero.")</f>
        <v>Ang legalidad ng paghahanap sa panahon ng pampublikong transportasyon sa Pilipinas ay nakasalalay sa likas na katangian ng paghahanap:
**Mga Karaniwang Pagsusuri sa Bagahe kumpara sa Mga Paghahanap sa Katawan:**
* **Mga Karaniwang Pagsusuri sa Bagahe:** Maaaring payagan ang mga limitadong inspeksyon ng mga bag para sa mga layuning pangkaligtasan. Gayunpaman, kinakailangan pa rin ang posibleng dahilan upang higit pang suriin ang isang bag.
* **Body Searches:** Pinoprotektahan ng Konstitusyon ng Pilipinas ang mga mamamayan mula sa hindi makatwirang mga paghahanap at pang-aagaw (Artikulo III, Seksyon 1). **Ang mga body search sa pangkalahatan ay nangangailangan ng warrant** maliban kung may posibleng dahilan upang maniwala na may ginagawang krimen. Narito kung paano dapat magpatuloy ang mga awtoridad kung matuklasan nila ang mga ilegal na droga sa isang regular na paghahanap sa pampublikong transportasyon:
**1. Pag-verify at Mga Paunang Hakbang:**
* Kung ang mga kahina-hinalang bagay ay natagpuan sa isang regular na pag-check ng bagahe, dapat hilingin ng mga opisyal sa pasahero na ipaliwanag ang mga nilalaman.
* **Hindi awtomatikong ipagpalagay ng mga opisyal na ang mga bagay ay ilegal na droga.**
**2. Malamang na Sanhi at Mga Susunod na Hakbang:**
* Kung ang paliwanag o pag-uugali ng pasahero ay nagpapataas ng **malamang na dahilan** upang maniwala na ang mga bagay ay ilegal na droga, ang mga opisyal ay maaaring magsagawa ng mas masusing paghahanap.
* Ang posibleng dahilan ay nagsasangkot ng makatwirang paniniwala na ang isang krimen ay ginagawa, batay sa mga partikular na katotohanan at pangyayari.
* **Kung hindi matukoy ang probable cause, dapat ibalik ang mga item sa pasahero.**
**3. Mga Pamamaraan sa Paghahanap at Dokumentasyon:**
* Kung may posibleng dahilan, ang isang mas masusing paghahanap **ay dapat isagawa nang may kasamang saksi, mas mabuti ang ibang opisyal.**
* **Ang paghahanap at mga natuklasan ay dapat na maidokumento nang lubusan.** Kabilang dito ang:
* Isang detalyadong paglalarawan ng mga item na natagpuan.
* Ang lokasyon ng paghahanap.
* Ang petsa at oras.
* Mga Saksi na naroroon.
**4. Pag-aresto at Detensyon:**
* **Kung may makikitang ilegal na droga, maaaring arestuhin ang pasahero.** * **Dapat na dokumentado ang pag-aresto at ang batayan nito.**
* Ang naarestong pasahero **ay may karapatang manatiling tahimik at sa legal na tagapayo.**
**Mahahalagang Paalala:**
* **May karapatan ang mga pasahero na tanungin ang legalidad ng paghahanap.** Kung naniniwala silang hindi makatwiran ang paghahanap, maaari silang kumunsulta sa isang abogado.
* **Ang mga sumusunod na mapagkukunan ay maaaring magbigay ng karagdagang impormasyon:**
* Philippine National Police (PNP): [https://pnp.gov.ph/](https://pnp.gov.ph/)
* Commission on Human Rights (CHR): [https://chr.gov.ph/](https://chr.gov.ph/)
Sa pamamagitan ng pagsunod sa mga pamamaraang ito, matitiyak ng tagapagpatupad ng batas na ang paghahanap at anumang posibleng pag-aresto ay sumusunod sa batas ng Pilipinas at iginagalang ang mga karapatan ng mga pasahero.</v>
      </c>
      <c r="F2219" s="2">
        <f t="shared" si="1"/>
        <v>0</v>
      </c>
      <c r="G2219" s="2"/>
      <c r="H2219" s="2"/>
      <c r="I2219" s="2"/>
      <c r="J2219" s="2"/>
      <c r="K2219" s="2"/>
      <c r="L2219" s="2"/>
      <c r="M2219" s="2"/>
      <c r="N2219" s="2"/>
      <c r="O2219" s="2"/>
      <c r="P2219" s="2"/>
      <c r="Q2219" s="2"/>
      <c r="R2219" s="2"/>
      <c r="S2219" s="2"/>
      <c r="T2219" s="2"/>
      <c r="U2219" s="2"/>
      <c r="V2219" s="2"/>
      <c r="W2219" s="2"/>
      <c r="X2219" s="2"/>
      <c r="Y2219" s="2"/>
      <c r="Z2219" s="2"/>
      <c r="AA2219" s="2"/>
    </row>
    <row r="2220">
      <c r="A2220" s="3" t="s">
        <v>5259</v>
      </c>
      <c r="B2220" s="1" t="s">
        <v>5404</v>
      </c>
      <c r="C2220" s="3" t="s">
        <v>5405</v>
      </c>
      <c r="D2220" s="2" t="str">
        <f>IFERROR(__xludf.DUMMYFUNCTION("GOOGLETRANSLATE(B2220, ""en"", ""TL"")"),"Ang iyong lugar ng trabaho ay nagsasagawa ng random na pagsusuri sa droga, at ang isang kasamahan ay nagpositibo sa mga ilegal na droga. Anong mga legal na kahihinatnan ang maaaring harapin ng kasamahan, at paano ito nakakaapekto sa lugar ng trabaho?")</f>
        <v>Ang iyong lugar ng trabaho ay nagsasagawa ng random na pagsusuri sa droga, at ang isang kasamahan ay nagpositibo sa mga ilegal na droga. Anong mga legal na kahihinatnan ang maaaring harapin ng kasamahan, at paano ito nakakaapekto sa lugar ng trabaho?</v>
      </c>
      <c r="E2220" s="2" t="str">
        <f>IFERROR(__xludf.DUMMYFUNCTION("GOOGLETRANSLATE(C2220, ""en"", ""TL"")"),"Narito ang isang breakdown ng mga potensyal na legal na kahihinatnan at mga implikasyon sa lugar ng trabaho para sa iyong kasamahan na nagpositibo sa iligal na droga sa isang random na drug test, batay sa batas ng Pilipinas:
**Mga Legal na Bunga para sa K"&amp;"asamahan:**
* **Depende sa dami at uri ng natukoy na ilegal na droga.** Ang Comprehensive Dangerous Drugs Act (R.A. 9165) ay nagbabalangkas ng mga parusa batay sa dami ng mga gamot na natagpuan. * Ang pagkakaroon ng maliit na dami para sa personal na pagg"&amp;"amit ay maaaring sumailalim sa **boluntaryo o ipinag-uutos ng hukuman na rehabilitasyon**.
* Ang pagkakaroon ng mas malaking dami o pagkakasangkot sa pagbebenta/pamahagi ay may mas matinding parusa, kabilang ang pagkakulong.
* **Walang mga kasong kriminal"&amp;" ang maaaring lumabas lamang mula sa positibong pagsusuri sa droga.** Ang resulta ng pagsusulit ay pangunahin para sa mga panloob na pamamaraan ng kumpanya. Gayunpaman, maaaring iulat ng kumpanya ang mga natuklasan sa mga awtoridad kung pipiliin nilang ga"&amp;"win ito. **Mga Implikasyon sa Trabaho:**
* **Ang Drug-Free Workplace Policy ng kumpanya ang magdidikta sa mga kahihinatnan.** Karamihan sa mga kumpanya ay nagtatag ng mga patakaran na nagbabalangkas ng mga pamamaraan para sa mga positibong pagsusuri sa dr"&amp;"oga. Maaaring kabilang dito ang:
* **Aksiyong pandisiplina:** Ito ay maaaring mula sa isang babala hanggang sa pagsususpinde o pagwawakas, depende sa kalubhaan ng pagkakasala at sa patakaran ng kumpanya.
* **Mandatoryong rehabilitasyon:** Maaaring mag-alo"&amp;"k o humiling ang kumpanya sa empleyado na sumailalim sa isang programa sa rehabilitasyon bilang kondisyon ng patuloy na pagtatrabaho.
* **Pagiging Kumpidensyal:** Dapat panatilihin ng kumpanya ang pagiging kompidensiyal tungkol sa mga resulta ng pagsusuli"&amp;"t ng empleyado, maliban kung kinakailangan ng batas.
**Mahahalagang Paalala:**
* Ang programa ng random drug testing ng kumpanya ay dapat sumunod sa Department of Labor and Employment (DOLE) Department Order No. 53, Series of 2003 (DO 53). Binabalangkas n"&amp;"g kautusang ito ang mga alituntunin para sa pagpapatupad ng Mga Patakaran sa Lugar ng Trabaho na Libre sa Gamot sa pribadong sektor. * Ang empleyado ay may karapatan sa angkop na proseso. Nangangahulugan ito na mayroon silang karapatan na malaman ang mga "&amp;"paratang, ipakita ang kanilang panig ng kuwento, at iapela ang anumang aksyong pandisiplina laban sa kanila.
* Mahalagang kumunsulta sa isang abogado kung gusto ng iyong kasamahan na hamunin ang positibong resulta ng pagsusulit o ang aksyong pandisiplina "&amp;"ng kumpanya. **Kabuuan:**
Habang ang isang positibong pagsusuri sa gamot ay maaaring humantong sa mga legal na kahihinatnan depende sa dami at uri ng gamot, ang pangunahing epekto ay malamang na maramdaman sa loob ng lugar ng trabaho batay sa mga itinatag"&amp;" na patakaran ng kumpanya.")</f>
        <v>Narito ang isang breakdown ng mga potensyal na legal na kahihinatnan at mga implikasyon sa lugar ng trabaho para sa iyong kasamahan na nagpositibo sa iligal na droga sa isang random na drug test, batay sa batas ng Pilipinas:
**Mga Legal na Bunga para sa Kasamahan:**
* **Depende sa dami at uri ng natukoy na ilegal na droga.** Ang Comprehensive Dangerous Drugs Act (R.A. 9165) ay nagbabalangkas ng mga parusa batay sa dami ng mga gamot na natagpuan. * Ang pagkakaroon ng maliit na dami para sa personal na paggamit ay maaaring sumailalim sa **boluntaryo o ipinag-uutos ng hukuman na rehabilitasyon**.
* Ang pagkakaroon ng mas malaking dami o pagkakasangkot sa pagbebenta/pamahagi ay may mas matinding parusa, kabilang ang pagkakulong.
* **Walang mga kasong kriminal ang maaaring lumabas lamang mula sa positibong pagsusuri sa droga.** Ang resulta ng pagsusulit ay pangunahin para sa mga panloob na pamamaraan ng kumpanya. Gayunpaman, maaaring iulat ng kumpanya ang mga natuklasan sa mga awtoridad kung pipiliin nilang gawin ito. **Mga Implikasyon sa Trabaho:**
* **Ang Drug-Free Workplace Policy ng kumpanya ang magdidikta sa mga kahihinatnan.** Karamihan sa mga kumpanya ay nagtatag ng mga patakaran na nagbabalangkas ng mga pamamaraan para sa mga positibong pagsusuri sa droga. Maaaring kabilang dito ang:
* **Aksiyong pandisiplina:** Ito ay maaaring mula sa isang babala hanggang sa pagsususpinde o pagwawakas, depende sa kalubhaan ng pagkakasala at sa patakaran ng kumpanya.
* **Mandatoryong rehabilitasyon:** Maaaring mag-alok o humiling ang kumpanya sa empleyado na sumailalim sa isang programa sa rehabilitasyon bilang kondisyon ng patuloy na pagtatrabaho.
* **Pagiging Kumpidensyal:** Dapat panatilihin ng kumpanya ang pagiging kompidensiyal tungkol sa mga resulta ng pagsusulit ng empleyado, maliban kung kinakailangan ng batas.
**Mahahalagang Paalala:**
* Ang programa ng random drug testing ng kumpanya ay dapat sumunod sa Department of Labor and Employment (DOLE) Department Order No. 53, Series of 2003 (DO 53). Binabalangkas ng kautusang ito ang mga alituntunin para sa pagpapatupad ng Mga Patakaran sa Lugar ng Trabaho na Libre sa Gamot sa pribadong sektor. * Ang empleyado ay may karapatan sa angkop na proseso. Nangangahulugan ito na mayroon silang karapatan na malaman ang mga paratang, ipakita ang kanilang panig ng kuwento, at iapela ang anumang aksyong pandisiplina laban sa kanila.
* Mahalagang kumunsulta sa isang abogado kung gusto ng iyong kasamahan na hamunin ang positibong resulta ng pagsusulit o ang aksyong pandisiplina ng kumpanya. **Kabuuan:**
Habang ang isang positibong pagsusuri sa gamot ay maaaring humantong sa mga legal na kahihinatnan depende sa dami at uri ng gamot, ang pangunahing epekto ay malamang na maramdaman sa loob ng lugar ng trabaho batay sa mga itinatag na patakaran ng kumpanya.</v>
      </c>
      <c r="F2220" s="2">
        <f t="shared" si="1"/>
        <v>0</v>
      </c>
      <c r="G2220" s="2"/>
      <c r="H2220" s="2"/>
      <c r="I2220" s="2"/>
      <c r="J2220" s="2"/>
      <c r="K2220" s="2"/>
      <c r="L2220" s="2"/>
      <c r="M2220" s="2"/>
      <c r="N2220" s="2"/>
      <c r="O2220" s="2"/>
      <c r="P2220" s="2"/>
      <c r="Q2220" s="2"/>
      <c r="R2220" s="2"/>
      <c r="S2220" s="2"/>
      <c r="T2220" s="2"/>
      <c r="U2220" s="2"/>
      <c r="V2220" s="2"/>
      <c r="W2220" s="2"/>
      <c r="X2220" s="2"/>
      <c r="Y2220" s="2"/>
      <c r="Z2220" s="2"/>
      <c r="AA2220" s="2"/>
    </row>
    <row r="2221">
      <c r="A2221" s="3" t="s">
        <v>5259</v>
      </c>
      <c r="B2221" s="1" t="s">
        <v>5406</v>
      </c>
      <c r="C2221" s="3" t="s">
        <v>5407</v>
      </c>
      <c r="D2221" s="2" t="str">
        <f>IFERROR(__xludf.DUMMYFUNCTION("GOOGLETRANSLATE(B2221, ""en"", ""TL"")"),"Nakatagpo ka ng isang kahina-hinalang pakete sa isang courier service na maaaring naglalaman ng mga ilegal na droga. Anong mga legal na hakbang ang dapat mong gawin upang iulat at pangasiwaan ang sitwasyong ito?")</f>
        <v>Nakatagpo ka ng isang kahina-hinalang pakete sa isang courier service na maaaring naglalaman ng mga ilegal na droga. Anong mga legal na hakbang ang dapat mong gawin upang iulat at pangasiwaan ang sitwasyong ito?</v>
      </c>
      <c r="E2221" s="2" t="str">
        <f>IFERROR(__xludf.DUMMYFUNCTION("GOOGLETRANSLATE(C2221, ""en"", ""TL"")"),"Narito ang maaari mong gawin kung makatagpo ka ng kahina-hinalang package sa isang courier service sa Pilipinas, na sumusunod sa mga legal at pangkaligtasang protocol:
**Huwag pakialaman ang Package:**
* **Ang iyong kaligtasan ang priyoridad.** Huwag hawa"&amp;"kan, buksan, o ilipat ang pakete. Ang pakikialam sa ebidensya ay maaaring makapagpalubha ng mga pagsisiyasat.
**Iulat ang Package sa isang Supervisor:**
* Ipaalam kaagad sa isang superbisor o manager sa courier service. Sila ay sinanay upang pangasiwaan a"&amp;"ng mga ganitong sitwasyon.
**Ang Responsibilidad ng Courier Service:**
* Ang serbisyo ng courier ay malamang na may mga pamamaraan para sa paghawak ng mga kahina-hinalang pakete. * Maaaring mayroon silang mga K-9 unit na sinanay upang tuklasin ang mga ile"&amp;"gal na droga. * Maaaring mayroon din silang mga protocol para sa pakikipag-ugnayan sa tagapagpatupad ng batas.
**Potensyal na Paglahok sa Pagpapatupad ng Batas:**
* Depende sa patakaran ng serbisyo ng courier at kanilang pagtatasa sa package, maaaring san"&amp;"gkot sila sa Philippine National Police (PNP) o Philippine Drug Enforcement Agency (PDEA).
**Opsyonal ngunit Nakatutulong (kung ligtas na gawin ito):**
* **Maingat na Tandaan ang Mga Detalye:** Mula sa isang ligtas na distansya, subukang isaulo ang mga de"&amp;"talye tungkol sa laki, hugis, anumang mga label o marka ng package, at kung saan ito matatagpuan sa loob ng serbisyo ng courier.
**Legal na Balangkas:**
* Ang serbisyo ng courier ay gumaganap ng isang mahalagang papel sa pagpigil sa ilegal na trafficking "&amp;"ng droga. Nakikipagtulungan ang Philippine Drug Enforcement Agency (PDEA) sa mga serbisyo ng courier para mahadlangan ang mga ilegal na droga na ipinadala sa pamamagitan ng mail system ([https://pdea.gov.ph/11-auxiliary?start=20](https://pdea.gov.ph /11-a"&amp;"uxiliary?start=20)).
**Mga Karagdagang Tip:**
* **Walang legal na obligasyon para sa iyo na personal na iulat ang package sa tagapagpatupad ng batas.** Ang serbisyo ng courier ang hahawak nito batay sa kanilang mga pamamaraan.
* **Kung sa tingin mo ay hin"&amp;"di komportable o hindi ligtas, ipaalam lamang sa isang superbisor at hayaan silang pangasiwaan ang sitwasyon.** Sa pamamagitan ng pagsunod sa mga hakbang na ito, maaari kang mag-ambag sa isang mas ligtas na kapaligiran at potensyal na tulungan ang mga awt"&amp;"oridad na harangin ang mga ilegal na droga. Tandaan, unahin ang iyong kaligtasan at hayaan ang mga sinanay na propesyonal na pangasiwaan ang package mismo.")</f>
        <v>Narito ang maaari mong gawin kung makatagpo ka ng kahina-hinalang package sa isang courier service sa Pilipinas, na sumusunod sa mga legal at pangkaligtasang protocol:
**Huwag pakialaman ang Package:**
* **Ang iyong kaligtasan ang priyoridad.** Huwag hawakan, buksan, o ilipat ang pakete. Ang pakikialam sa ebidensya ay maaaring makapagpalubha ng mga pagsisiyasat.
**Iulat ang Package sa isang Supervisor:**
* Ipaalam kaagad sa isang superbisor o manager sa courier service. Sila ay sinanay upang pangasiwaan ang mga ganitong sitwasyon.
**Ang Responsibilidad ng Courier Service:**
* Ang serbisyo ng courier ay malamang na may mga pamamaraan para sa paghawak ng mga kahina-hinalang pakete. * Maaaring mayroon silang mga K-9 unit na sinanay upang tuklasin ang mga ilegal na droga. * Maaaring mayroon din silang mga protocol para sa pakikipag-ugnayan sa tagapagpatupad ng batas.
**Potensyal na Paglahok sa Pagpapatupad ng Batas:**
* Depende sa patakaran ng serbisyo ng courier at kanilang pagtatasa sa package, maaaring sangkot sila sa Philippine National Police (PNP) o Philippine Drug Enforcement Agency (PDEA).
**Opsyonal ngunit Nakatutulong (kung ligtas na gawin ito):**
* **Maingat na Tandaan ang Mga Detalye:** Mula sa isang ligtas na distansya, subukang isaulo ang mga detalye tungkol sa laki, hugis, anumang mga label o marka ng package, at kung saan ito matatagpuan sa loob ng serbisyo ng courier.
**Legal na Balangkas:**
* Ang serbisyo ng courier ay gumaganap ng isang mahalagang papel sa pagpigil sa ilegal na trafficking ng droga. Nakikipagtulungan ang Philippine Drug Enforcement Agency (PDEA) sa mga serbisyo ng courier para mahadlangan ang mga ilegal na droga na ipinadala sa pamamagitan ng mail system ([https://pdea.gov.ph/11-auxiliary?start=20](https://pdea.gov.ph /11-auxiliary?start=20)).
**Mga Karagdagang Tip:**
* **Walang legal na obligasyon para sa iyo na personal na iulat ang package sa tagapagpatupad ng batas.** Ang serbisyo ng courier ang hahawak nito batay sa kanilang mga pamamaraan.
* **Kung sa tingin mo ay hindi komportable o hindi ligtas, ipaalam lamang sa isang superbisor at hayaan silang pangasiwaan ang sitwasyon.** Sa pamamagitan ng pagsunod sa mga hakbang na ito, maaari kang mag-ambag sa isang mas ligtas na kapaligiran at potensyal na tulungan ang mga awtoridad na harangin ang mga ilegal na droga. Tandaan, unahin ang iyong kaligtasan at hayaan ang mga sinanay na propesyonal na pangasiwaan ang package mismo.</v>
      </c>
      <c r="F2221" s="2">
        <f t="shared" si="1"/>
        <v>0</v>
      </c>
      <c r="G2221" s="2"/>
      <c r="H2221" s="2"/>
      <c r="I2221" s="2"/>
      <c r="J2221" s="2"/>
      <c r="K2221" s="2"/>
      <c r="L2221" s="2"/>
      <c r="M2221" s="2"/>
      <c r="N2221" s="2"/>
      <c r="O2221" s="2"/>
      <c r="P2221" s="2"/>
      <c r="Q2221" s="2"/>
      <c r="R2221" s="2"/>
      <c r="S2221" s="2"/>
      <c r="T2221" s="2"/>
      <c r="U2221" s="2"/>
      <c r="V2221" s="2"/>
      <c r="W2221" s="2"/>
      <c r="X2221" s="2"/>
      <c r="Y2221" s="2"/>
      <c r="Z2221" s="2"/>
      <c r="AA2221" s="2"/>
    </row>
    <row r="2222">
      <c r="A2222" s="3" t="s">
        <v>5259</v>
      </c>
      <c r="B2222" s="1" t="s">
        <v>5408</v>
      </c>
      <c r="C2222" s="3" t="s">
        <v>5409</v>
      </c>
      <c r="D2222" s="2" t="str">
        <f>IFERROR(__xludf.DUMMYFUNCTION("GOOGLETRANSLATE(B2222, ""en"", ""TL"")"),"Ang isang tao ay nahuling nagmamay-ari ng ilegal na droga sa panahon ng isang party sa iyong tirahan. Anong mga legal na responsibilidad ang mayroon ka bilang host, at anong mga aksyon ang dapat gawin?")</f>
        <v>Ang isang tao ay nahuling nagmamay-ari ng ilegal na droga sa panahon ng isang party sa iyong tirahan. Anong mga legal na responsibilidad ang mayroon ka bilang host, at anong mga aksyon ang dapat gawin?</v>
      </c>
      <c r="E2222" s="2" t="str">
        <f>IFERROR(__xludf.DUMMYFUNCTION("GOOGLETRANSLATE(C2222, ""en"", ""TL"")"),"Sa Pilipinas, bilang host ng isang tirahan kung saan may nahuling may ilegal na droga, maaaring wala kang direktang legal na kahihinatnan, ngunit may mga aksyon na dapat mong gawin upang protektahan ang iyong sarili at makipagtulungan sa mga awtoridad. Na"&amp;"rito ang isang breakdown:
**Direktang Legal na Bunga:**
Ang batas ng Pilipinas (Comprehensive Dangerous Drugs Act - R.A. 9165) ay karaniwang nagpaparusa sa pagkakaroon at pamamahagi ng mga ilegal na droga. Gayunpaman, maliban kung may katibayan na sadyang"&amp;" pinahintulutan mo o pinadali ang paggamit ng droga sa iyong tirahan, malamang na hindi ka mahaharap sa mga singil para sa pag-aari ng ibang tao. **Inirerekomendang Mga Pagkilos:**
1. **Unahin ang Kaligtasan:** Tiyaking ligtas ang lahat sa party. Kung may"&amp;" panganib ng karahasan, tumawag kaagad sa pulisya (emergency hotline 117).
2. **Makipag-ugnayan sa Mga Awtoridad:** Tumawag sa Pambansang Pulisya ng Pilipinas (PNP Hotline 186) at iulat ang sitwasyon. Ipaliwanag na may nahulihan ng ilegal na droga sa inyo"&amp;"ng pagtitipon.
3. **Kooperasyon:** Makipagtulungan sa imbestigasyon ng pulisya. Bigyan sila ng mga detalye tungkol sa partido at sa taong nahulihan ng droga (kung kilala).
4. **Protektahan ang Iyong Sarili:** Hindi mo kailangang sagutin ang anumang mga ta"&amp;"nong na maaaring magdulot ng kasalanan sa iyong sarili. Kung hindi sigurado, magalang na magtanong kung kailangan mo ng abogado.
**Pagbabawas ng mga Potensyal na Isyu:**
* **Mga Paraan sa Pag-iwas:** Bagama't hindi isang legal na obligasyon, ang pagkakaro"&amp;"on ng malinaw na mga panuntunan sa bahay laban sa mga droga sa iyong pagtitipon ay maaaring makatulong sa pagpigil sa ilegal na aktibidad.
**Mahahalagang Paalala:**
* Ito ay mga pangkalahatang patnubay. Ang mga partikular na sitwasyon ay maaaring mangaila"&amp;"ngan ng pagkonsulta sa isang abogado para sa personalized na payo.
* May pagkakaiba sa pagitan ng pagmamay-ari at pamamahagi. Kung iminumungkahi ng ebidensya na sadyang nagbibigay ka ng mga gamot, maaari kang humarap sa mga legal na epekto.
**Tandaan:** *"&amp;" Ang iyong kaligtasan at ang kaligtasan ng iba sa party ay pinakamahalaga.
* Makipagtulungan sa pagpapatupad ng batas sa isang makatwirang lawak.
* Humingi ng legal na tagapayo kung hindi sigurado sa iyong mga karapatan o responsibilidad.")</f>
        <v>Sa Pilipinas, bilang host ng isang tirahan kung saan may nahuling may ilegal na droga, maaaring wala kang direktang legal na kahihinatnan, ngunit may mga aksyon na dapat mong gawin upang protektahan ang iyong sarili at makipagtulungan sa mga awtoridad. Narito ang isang breakdown:
**Direktang Legal na Bunga:**
Ang batas ng Pilipinas (Comprehensive Dangerous Drugs Act - R.A. 9165) ay karaniwang nagpaparusa sa pagkakaroon at pamamahagi ng mga ilegal na droga. Gayunpaman, maliban kung may katibayan na sadyang pinahintulutan mo o pinadali ang paggamit ng droga sa iyong tirahan, malamang na hindi ka mahaharap sa mga singil para sa pag-aari ng ibang tao. **Inirerekomendang Mga Pagkilos:**
1. **Unahin ang Kaligtasan:** Tiyaking ligtas ang lahat sa party. Kung may panganib ng karahasan, tumawag kaagad sa pulisya (emergency hotline 117).
2. **Makipag-ugnayan sa Mga Awtoridad:** Tumawag sa Pambansang Pulisya ng Pilipinas (PNP Hotline 186) at iulat ang sitwasyon. Ipaliwanag na may nahulihan ng ilegal na droga sa inyong pagtitipon.
3. **Kooperasyon:** Makipagtulungan sa imbestigasyon ng pulisya. Bigyan sila ng mga detalye tungkol sa partido at sa taong nahulihan ng droga (kung kilala).
4. **Protektahan ang Iyong Sarili:** Hindi mo kailangang sagutin ang anumang mga tanong na maaaring magdulot ng kasalanan sa iyong sarili. Kung hindi sigurado, magalang na magtanong kung kailangan mo ng abogado.
**Pagbabawas ng mga Potensyal na Isyu:**
* **Mga Paraan sa Pag-iwas:** Bagama't hindi isang legal na obligasyon, ang pagkakaroon ng malinaw na mga panuntunan sa bahay laban sa mga droga sa iyong pagtitipon ay maaaring makatulong sa pagpigil sa ilegal na aktibidad.
**Mahahalagang Paalala:**
* Ito ay mga pangkalahatang patnubay. Ang mga partikular na sitwasyon ay maaaring mangailangan ng pagkonsulta sa isang abogado para sa personalized na payo.
* May pagkakaiba sa pagitan ng pagmamay-ari at pamamahagi. Kung iminumungkahi ng ebidensya na sadyang nagbibigay ka ng mga gamot, maaari kang humarap sa mga legal na epekto.
**Tandaan:** * Ang iyong kaligtasan at ang kaligtasan ng iba sa party ay pinakamahalaga.
* Makipagtulungan sa pagpapatupad ng batas sa isang makatwirang lawak.
* Humingi ng legal na tagapayo kung hindi sigurado sa iyong mga karapatan o responsibilidad.</v>
      </c>
      <c r="F2222" s="2">
        <f t="shared" si="1"/>
        <v>0</v>
      </c>
      <c r="G2222" s="2"/>
      <c r="H2222" s="2"/>
      <c r="I2222" s="2"/>
      <c r="J2222" s="2"/>
      <c r="K2222" s="2"/>
      <c r="L2222" s="2"/>
      <c r="M2222" s="2"/>
      <c r="N2222" s="2"/>
      <c r="O2222" s="2"/>
      <c r="P2222" s="2"/>
      <c r="Q2222" s="2"/>
      <c r="R2222" s="2"/>
      <c r="S2222" s="2"/>
      <c r="T2222" s="2"/>
      <c r="U2222" s="2"/>
      <c r="V2222" s="2"/>
      <c r="W2222" s="2"/>
      <c r="X2222" s="2"/>
      <c r="Y2222" s="2"/>
      <c r="Z2222" s="2"/>
      <c r="AA2222" s="2"/>
    </row>
    <row r="2223">
      <c r="A2223" s="3" t="s">
        <v>5259</v>
      </c>
      <c r="B2223" s="1" t="s">
        <v>5410</v>
      </c>
      <c r="C2223" s="3" t="s">
        <v>5411</v>
      </c>
      <c r="D2223" s="2" t="str">
        <f>IFERROR(__xludf.DUMMYFUNCTION("GOOGLETRANSLATE(B2223, ""en"", ""TL"")"),"Pinaghihinalaan mo na ang isang hotel sa iyong komunidad ay ginagamit bilang isang lugar para sa mga aktibidad ng ilegal na droga. Paano mo legal na iuulat ang hinala sa mga awtoridad?")</f>
        <v>Pinaghihinalaan mo na ang isang hotel sa iyong komunidad ay ginagamit bilang isang lugar para sa mga aktibidad ng ilegal na droga. Paano mo legal na iuulat ang hinala sa mga awtoridad?</v>
      </c>
      <c r="E2223" s="2" t="str">
        <f>IFERROR(__xludf.DUMMYFUNCTION("GOOGLETRANSLATE(C2223, ""en"", ""TL"")"),"Ang Philippine Drug Enforcement Agency (PDEA) ang pangunahing ahensyang responsable sa pagpapatupad ng mga batas laban sa ilegal na droga. Narito ang dalawang legal na paraan para maiulat mo ang iyong hinala tungkol sa hotel sa PDEA batay sa batas ng Pili"&amp;"pinas:
**1. Pag-uulat sa pamamagitan ng PDEA Hotlines (Republic Act No. 9165 - Comprehensive Dangerous Drugs Act of 2002):**
* Ang Section 76 ng RA 9165 ay nagpapahintulot sa mga concerned citizen na mag-ulat ng mga aktibidad ng ilegal na droga. Ang PDEA "&amp;"ay nagpapanatili ng 24/7 hotlines para sa layuning ito. Maaari mong anonymous na iulat ang iyong hinala sa pamamagitan ng pag-text ng mga detalye (kabilang ang pangalan at address ng hotel) sa naaangkop na numero batay sa iyong network:
* Smart/Sun: 0999-"&amp;"888 PDEA (7332)
* Globe: 0927-9150616
**2. Pag-uulat sa pamamagitan ng PDEA Facebook Page (Saligang-Batas ng Pilipinas - Artikulo XIII, Seksyon 3 [Karapatan sa Impormasyon]):**
* Ginagarantiyahan ng Konstitusyon ng Pilipinas ang karapatan sa impormasyon ("&amp;"Artikulo XIII, Seksyon 3). Ginagamit ng PDEA ang karapatang ito para hikayatin ang pakikilahok ng mamamayan sa paglaban sa ilegal na droga sa pamamagitan ng kanilang Facebook page na ""Isumbong Mo Kay Wilkins!"" Maaari kang magpadala ng pribadong mensahe "&amp;"na may mga detalye tungkol sa hotel nang hindi nagpapakilala.
**Mahalagang Paalala:** Bagama't pinapayagan ng mga paraang ito ang hindi kilalang pag-uulat, tiyaking totoo at tumpak ang impormasyong ibibigay mo. Ang PDEA ay maaaring magsagawa ng mga pagsis"&amp;"iyasat batay sa iyong ulat (RA 9165, Seksyon 76).")</f>
        <v>Ang Philippine Drug Enforcement Agency (PDEA) ang pangunahing ahensyang responsable sa pagpapatupad ng mga batas laban sa ilegal na droga. Narito ang dalawang legal na paraan para maiulat mo ang iyong hinala tungkol sa hotel sa PDEA batay sa batas ng Pilipinas:
**1. Pag-uulat sa pamamagitan ng PDEA Hotlines (Republic Act No. 9165 - Comprehensive Dangerous Drugs Act of 2002):**
* Ang Section 76 ng RA 9165 ay nagpapahintulot sa mga concerned citizen na mag-ulat ng mga aktibidad ng ilegal na droga. Ang PDEA ay nagpapanatili ng 24/7 hotlines para sa layuning ito. Maaari mong anonymous na iulat ang iyong hinala sa pamamagitan ng pag-text ng mga detalye (kabilang ang pangalan at address ng hotel) sa naaangkop na numero batay sa iyong network:
* Smart/Sun: 0999-888 PDEA (7332)
* Globe: 0927-9150616
**2. Pag-uulat sa pamamagitan ng PDEA Facebook Page (Saligang-Batas ng Pilipinas - Artikulo XIII, Seksyon 3 [Karapatan sa Impormasyon]):**
* Ginagarantiyahan ng Konstitusyon ng Pilipinas ang karapatan sa impormasyon (Artikulo XIII, Seksyon 3). Ginagamit ng PDEA ang karapatang ito para hikayatin ang pakikilahok ng mamamayan sa paglaban sa ilegal na droga sa pamamagitan ng kanilang Facebook page na "Isumbong Mo Kay Wilkins!" Maaari kang magpadala ng pribadong mensahe na may mga detalye tungkol sa hotel nang hindi nagpapakilala.
**Mahalagang Paalala:** Bagama't pinapayagan ng mga paraang ito ang hindi kilalang pag-uulat, tiyaking totoo at tumpak ang impormasyong ibibigay mo. Ang PDEA ay maaaring magsagawa ng mga pagsisiyasat batay sa iyong ulat (RA 9165, Seksyon 76).</v>
      </c>
      <c r="F2223" s="2">
        <f t="shared" si="1"/>
        <v>0</v>
      </c>
      <c r="G2223" s="2"/>
      <c r="H2223" s="2"/>
      <c r="I2223" s="2"/>
      <c r="J2223" s="2"/>
      <c r="K2223" s="2"/>
      <c r="L2223" s="2"/>
      <c r="M2223" s="2"/>
      <c r="N2223" s="2"/>
      <c r="O2223" s="2"/>
      <c r="P2223" s="2"/>
      <c r="Q2223" s="2"/>
      <c r="R2223" s="2"/>
      <c r="S2223" s="2"/>
      <c r="T2223" s="2"/>
      <c r="U2223" s="2"/>
      <c r="V2223" s="2"/>
      <c r="W2223" s="2"/>
      <c r="X2223" s="2"/>
      <c r="Y2223" s="2"/>
      <c r="Z2223" s="2"/>
      <c r="AA2223" s="2"/>
    </row>
    <row r="2224">
      <c r="A2224" s="3" t="s">
        <v>5259</v>
      </c>
      <c r="B2224" s="1" t="s">
        <v>5412</v>
      </c>
      <c r="C2224" s="3" t="s">
        <v>5413</v>
      </c>
      <c r="D2224" s="2" t="str">
        <f>IFERROR(__xludf.DUMMYFUNCTION("GOOGLETRANSLATE(B2224, ""en"", ""TL"")"),"Bilang isang guro, napapansin mo ang mga palatandaan ng paggamit ng droga sa mga mag-aaral. Anong mga legal na hakbang ang maaari mong gawin sa loob ng institusyong pang-edukasyon upang matugunan at maiwasan ang isyung ito?")</f>
        <v>Bilang isang guro, napapansin mo ang mga palatandaan ng paggamit ng droga sa mga mag-aaral. Anong mga legal na hakbang ang maaari mong gawin sa loob ng institusyong pang-edukasyon upang matugunan at maiwasan ang isyung ito?</v>
      </c>
      <c r="E2224" s="2" t="str">
        <f>IFERROR(__xludf.DUMMYFUNCTION("GOOGLETRANSLATE(C2224, ""en"", ""TL"")"),"Narito ang ilang legal na hakbang na maaari mong gawin sa loob ng institusyong pang-edukasyon upang matugunan at maiwasan ang paggamit ng droga sa mga mag-aaral batay sa batas ng Pilipinas:
**1. Mag-ulat sa Administrasyon ng Paaralan (DepEd Order No. 4 s."&amp;" 2012 - Implementing Guidelines on the National Drug Education Program in Basic Education):**
* Binabalangkas ng DepEd Order No. 4 ang National Drug Education Program (NDEP). Ang mga paaralan ay dapat magkaroon ng itinalagang Drug Education Coordinator (D"&amp;"EC) upang pangasiwaan ang mga alalahanin na may kaugnayan sa droga. Legal kang inatasan na iulat ang iyong mga obserbasyon sa DEC o sa punong-guro ng paaralan (RA 9165, Seksyon 76).
**2. Sumangguni sa Mga Mag-aaral para sa Guidance at Counseling (Republic"&amp;" Act No. 11232 - Mandatory Drug Testing in Schools Act):**
* Ipinag-uutos ng RA 11232 ang drug testing sa mga paaralan. Gayunpaman, ang batas ay nagbibigay-diin sa isang ""anti-drug abuse"" na diskarte sa parusa. Kung nagpositibo ang isang estudyante, dap"&amp;"at mong i-refer sila sa tagapayo ng paaralan o opisina ng paggabay para sa interbensyon at suporta (RA 11232, Seksyon 8).
**3. Magpatupad ng Mga Programa sa Pag-iwas sa Droga (DepEd Order No. 4 s. 2012):**
* Hinihikayat ng DepEd Order No. 4 ang mga paaral"&amp;"an na isama ang mga programa sa pag-iwas sa droga sa kurikulum. Maaari kang makipagtulungan sa DEC at guidance counselor upang mag-organisa ng mga pag-uusap, workshop, o aktibidad na nagtataguyod ng malusog na pamumuhay at nagpapataas ng kamalayan tungkol"&amp;" sa mga panganib ng droga (RA 9165, Seksyon 40). **4. Panatilihin ang Kumpidensyal (Republic Act No. 10173 - Data Privacy Act of 2012):**
* Habang kailangan ang pag-uulat, dapat mong panatilihin ang pagiging kompidensiyal ng mag-aaral. Pinoprotektahan ng "&amp;"Data Privacy Act ang impormasyon ng mag-aaral. Ibahagi lamang ang mga detalye sa mga awtorisadong tauhan na maaaring magbigay ng tulong (RA 10173, Seksyon 13).
**Mga Karagdagang Mapagkukunan:**
* Philippine Drug Enforcement Agency (PDEA): [https://pdea.go"&amp;"v.ph/](https://pdea.gov.ph/)
* Department of Education (DepEd): [https://deped.gov.ph/](https://deped.gov.ph/)
Sa pamamagitan ng pagsunod sa mga legal na hakbang na ito, maaari kang mag-ambag sa paglikha ng isang ligtas at walang droga na kapaligiran sa p"&amp;"ag-aaral para sa iyong mga mag-aaral. Tandaan, ang pag-iwas at interbensyon ay susi sa pagtugon sa paggamit ng droga sa mga paaralan.")</f>
        <v>Narito ang ilang legal na hakbang na maaari mong gawin sa loob ng institusyong pang-edukasyon upang matugunan at maiwasan ang paggamit ng droga sa mga mag-aaral batay sa batas ng Pilipinas:
**1. Mag-ulat sa Administrasyon ng Paaralan (DepEd Order No. 4 s. 2012 - Implementing Guidelines on the National Drug Education Program in Basic Education):**
* Binabalangkas ng DepEd Order No. 4 ang National Drug Education Program (NDEP). Ang mga paaralan ay dapat magkaroon ng itinalagang Drug Education Coordinator (DEC) upang pangasiwaan ang mga alalahanin na may kaugnayan sa droga. Legal kang inatasan na iulat ang iyong mga obserbasyon sa DEC o sa punong-guro ng paaralan (RA 9165, Seksyon 76).
**2. Sumangguni sa Mga Mag-aaral para sa Guidance at Counseling (Republic Act No. 11232 - Mandatory Drug Testing in Schools Act):**
* Ipinag-uutos ng RA 11232 ang drug testing sa mga paaralan. Gayunpaman, ang batas ay nagbibigay-diin sa isang "anti-drug abuse" na diskarte sa parusa. Kung nagpositibo ang isang estudyante, dapat mong i-refer sila sa tagapayo ng paaralan o opisina ng paggabay para sa interbensyon at suporta (RA 11232, Seksyon 8).
**3. Magpatupad ng Mga Programa sa Pag-iwas sa Droga (DepEd Order No. 4 s. 2012):**
* Hinihikayat ng DepEd Order No. 4 ang mga paaralan na isama ang mga programa sa pag-iwas sa droga sa kurikulum. Maaari kang makipagtulungan sa DEC at guidance counselor upang mag-organisa ng mga pag-uusap, workshop, o aktibidad na nagtataguyod ng malusog na pamumuhay at nagpapataas ng kamalayan tungkol sa mga panganib ng droga (RA 9165, Seksyon 40). **4. Panatilihin ang Kumpidensyal (Republic Act No. 10173 - Data Privacy Act of 2012):**
* Habang kailangan ang pag-uulat, dapat mong panatilihin ang pagiging kompidensiyal ng mag-aaral. Pinoprotektahan ng Data Privacy Act ang impormasyon ng mag-aaral. Ibahagi lamang ang mga detalye sa mga awtorisadong tauhan na maaaring magbigay ng tulong (RA 10173, Seksyon 13).
**Mga Karagdagang Mapagkukunan:**
* Philippine Drug Enforcement Agency (PDEA): [https://pdea.gov.ph/](https://pdea.gov.ph/)
* Department of Education (DepEd): [https://deped.gov.ph/](https://deped.gov.ph/)
Sa pamamagitan ng pagsunod sa mga legal na hakbang na ito, maaari kang mag-ambag sa paglikha ng isang ligtas at walang droga na kapaligiran sa pag-aaral para sa iyong mga mag-aaral. Tandaan, ang pag-iwas at interbensyon ay susi sa pagtugon sa paggamit ng droga sa mga paaralan.</v>
      </c>
      <c r="F2224" s="2">
        <f t="shared" si="1"/>
        <v>0</v>
      </c>
      <c r="G2224" s="2"/>
      <c r="H2224" s="2"/>
      <c r="I2224" s="2"/>
      <c r="J2224" s="2"/>
      <c r="K2224" s="2"/>
      <c r="L2224" s="2"/>
      <c r="M2224" s="2"/>
      <c r="N2224" s="2"/>
      <c r="O2224" s="2"/>
      <c r="P2224" s="2"/>
      <c r="Q2224" s="2"/>
      <c r="R2224" s="2"/>
      <c r="S2224" s="2"/>
      <c r="T2224" s="2"/>
      <c r="U2224" s="2"/>
      <c r="V2224" s="2"/>
      <c r="W2224" s="2"/>
      <c r="X2224" s="2"/>
      <c r="Y2224" s="2"/>
      <c r="Z2224" s="2"/>
      <c r="AA2224" s="2"/>
    </row>
    <row r="2225">
      <c r="A2225" s="3" t="s">
        <v>5259</v>
      </c>
      <c r="B2225" s="1" t="s">
        <v>5414</v>
      </c>
      <c r="C2225" s="3" t="s">
        <v>5415</v>
      </c>
      <c r="D2225" s="2" t="str">
        <f>IFERROR(__xludf.DUMMYFUNCTION("GOOGLETRANSLATE(B2225, ""en"", ""TL"")"),"Nakatagpo ka ng isang taong nanghihingi ng droga sa isang pampublikong pamilihan. Anong mga legal na aksyon ang maaaring gawin upang matugunan ang agarang banta at iulat ang insidente sa tagapagpatupad ng batas?")</f>
        <v>Nakatagpo ka ng isang taong nanghihingi ng droga sa isang pampublikong pamilihan. Anong mga legal na aksyon ang maaaring gawin upang matugunan ang agarang banta at iulat ang insidente sa tagapagpatupad ng batas?</v>
      </c>
      <c r="E2225" s="2" t="str">
        <f>IFERROR(__xludf.DUMMYFUNCTION("GOOGLETRANSLATE(C2225, ""en"", ""TL"")"),"Narito kung paano mo matutugunan ang agarang banta at iulat ang insidente sa tagapagpatupad ng batas kapag nakatagpo ng isang taong nanghihingi ng droga sa isang pampublikong pamilihan, batay sa batas ng Pilipinas:
**1. Unahin ang Iyong Kaligtasan (Konsti"&amp;"tusyon ng Pilipinas, Artikulo II, Seksyon 11 - Karapatan sa Buhay, Kalayaan at Seguridad ng Tao):**
* Ginagarantiyahan ng Konstitusyon ng Pilipinas ang karapatan sa buhay, kalayaan, at seguridad ng tao. Ang pakikipag-ugnayan sa isang taong nanghihingi ng "&amp;"droga ay maaaring mapanganib. Kung sa tingin mo ay hindi ka ligtas, iwasan ang komprontasyon at unahin ang iyong kaligtasan.
**2. Magtipon ng Ebidensya (kung maaari) (Rule 130, Section 3 - Rules of Evidence):**
* Bagama't hindi sapilitan, kung pinapayagan"&amp;" ng sitwasyon at sa tingin mo ay ligtas ka, subukang mangalap ng maingat na ebidensya. Maaaring kabilang dito ang pagpuna sa paglalarawan ng tao, lokasyon sa loob ng merkado, o anumang partikular na detalye tungkol sa mga gamot na hinihingi (hal., mga pan"&amp;"galan, dami).
**3. Iulat Kaagad ang Insidente (Republic Act No. 9165 - Comprehensive Dangerous Drugs Act of 2002):**
* Hinihikayat ng Seksyon 76 ng RA 9165 ang mga mamamayan na mag-ulat ng mga aktibidad ng ilegal na droga. Narito ang dalawang opsyon para "&amp;"sa pag-uulat:
* **Ipaalam sa isang pulis:** Ang mga pampublikong pamilihan ay malamang na mayroong presensya ng pulisya para sa seguridad. Maghanap ng isang naka-unipormeng opisyal at iulat ang insidente, na nagbibigay ng anumang ebidensya na iyong nakala"&amp;"p.
* **Tumawag sa Philippine National Police (PNP) Hotline:** Ang pambansang emergency hotline ay 117. Iulat ang insidente, kasama ang lokasyon (pangalan at address ng merkado) at isang paglalarawan ng taong nanghihingi ng droga.
**Mga Karagdagang Tip:**
"&amp;"* Kung hindi ka komportable na direktang lumapit sa pulisya, isaalang-alang ang pag-uulat nito sa mga tauhan ng seguridad sa merkado. Maaaring mayroon silang mga protocol para sa paghawak ng mga ganitong sitwasyon at maaaring ihatid ang impormasyon sa mga"&amp;" awtoridad. * Tandaan, ang pag-uulat nang hindi nagpapakilala ay pinapayagan (RA 9165, Seksyon 76). Sa pamamagitan ng pagsunod sa mga hakbang na ito, maaari kang mag-ambag sa isang mas ligtas na kapaligiran sa pampublikong pamilihan at tumulong sa pagpapa"&amp;"tupad ng batas sa kanilang mga pagsisikap na labanan ang mga aktibidad ng ilegal na droga.")</f>
        <v>Narito kung paano mo matutugunan ang agarang banta at iulat ang insidente sa tagapagpatupad ng batas kapag nakatagpo ng isang taong nanghihingi ng droga sa isang pampublikong pamilihan, batay sa batas ng Pilipinas:
**1. Unahin ang Iyong Kaligtasan (Konstitusyon ng Pilipinas, Artikulo II, Seksyon 11 - Karapatan sa Buhay, Kalayaan at Seguridad ng Tao):**
* Ginagarantiyahan ng Konstitusyon ng Pilipinas ang karapatan sa buhay, kalayaan, at seguridad ng tao. Ang pakikipag-ugnayan sa isang taong nanghihingi ng droga ay maaaring mapanganib. Kung sa tingin mo ay hindi ka ligtas, iwasan ang komprontasyon at unahin ang iyong kaligtasan.
**2. Magtipon ng Ebidensya (kung maaari) (Rule 130, Section 3 - Rules of Evidence):**
* Bagama't hindi sapilitan, kung pinapayagan ng sitwasyon at sa tingin mo ay ligtas ka, subukang mangalap ng maingat na ebidensya. Maaaring kabilang dito ang pagpuna sa paglalarawan ng tao, lokasyon sa loob ng merkado, o anumang partikular na detalye tungkol sa mga gamot na hinihingi (hal., mga pangalan, dami).
**3. Iulat Kaagad ang Insidente (Republic Act No. 9165 - Comprehensive Dangerous Drugs Act of 2002):**
* Hinihikayat ng Seksyon 76 ng RA 9165 ang mga mamamayan na mag-ulat ng mga aktibidad ng ilegal na droga. Narito ang dalawang opsyon para sa pag-uulat:
* **Ipaalam sa isang pulis:** Ang mga pampublikong pamilihan ay malamang na mayroong presensya ng pulisya para sa seguridad. Maghanap ng isang naka-unipormeng opisyal at iulat ang insidente, na nagbibigay ng anumang ebidensya na iyong nakalap.
* **Tumawag sa Philippine National Police (PNP) Hotline:** Ang pambansang emergency hotline ay 117. Iulat ang insidente, kasama ang lokasyon (pangalan at address ng merkado) at isang paglalarawan ng taong nanghihingi ng droga.
**Mga Karagdagang Tip:**
* Kung hindi ka komportable na direktang lumapit sa pulisya, isaalang-alang ang pag-uulat nito sa mga tauhan ng seguridad sa merkado. Maaaring mayroon silang mga protocol para sa paghawak ng mga ganitong sitwasyon at maaaring ihatid ang impormasyon sa mga awtoridad. * Tandaan, ang pag-uulat nang hindi nagpapakilala ay pinapayagan (RA 9165, Seksyon 76). Sa pamamagitan ng pagsunod sa mga hakbang na ito, maaari kang mag-ambag sa isang mas ligtas na kapaligiran sa pampublikong pamilihan at tumulong sa pagpapatupad ng batas sa kanilang mga pagsisikap na labanan ang mga aktibidad ng ilegal na droga.</v>
      </c>
      <c r="F2225" s="2">
        <f t="shared" si="1"/>
        <v>0</v>
      </c>
      <c r="G2225" s="2"/>
      <c r="H2225" s="2"/>
      <c r="I2225" s="2"/>
      <c r="J2225" s="2"/>
      <c r="K2225" s="2"/>
      <c r="L2225" s="2"/>
      <c r="M2225" s="2"/>
      <c r="N2225" s="2"/>
      <c r="O2225" s="2"/>
      <c r="P2225" s="2"/>
      <c r="Q2225" s="2"/>
      <c r="R2225" s="2"/>
      <c r="S2225" s="2"/>
      <c r="T2225" s="2"/>
      <c r="U2225" s="2"/>
      <c r="V2225" s="2"/>
      <c r="W2225" s="2"/>
      <c r="X2225" s="2"/>
      <c r="Y2225" s="2"/>
      <c r="Z2225" s="2"/>
      <c r="AA2225" s="2"/>
    </row>
    <row r="2226">
      <c r="A2226" s="3" t="s">
        <v>5259</v>
      </c>
      <c r="B2226" s="1" t="s">
        <v>5416</v>
      </c>
      <c r="C2226" s="3" t="s">
        <v>5417</v>
      </c>
      <c r="D2226" s="2" t="str">
        <f>IFERROR(__xludf.DUMMYFUNCTION("GOOGLETRANSLATE(B2226, ""en"", ""TL"")"),"Inamin sa iyo ng isang katrabaho na sila ay ilegal na gumagamit ng droga upang makayanan ang stress sa trabaho. Anong mga legal na obligasyon ang mayroon ka, at paano mo sila mahihikayat na humingi ng tulong?")</f>
        <v>Inamin sa iyo ng isang katrabaho na sila ay ilegal na gumagamit ng droga upang makayanan ang stress sa trabaho. Anong mga legal na obligasyon ang mayroon ka, at paano mo sila mahihikayat na humingi ng tulong?</v>
      </c>
      <c r="E2226" s="2" t="str">
        <f>IFERROR(__xludf.DUMMYFUNCTION("GOOGLETRANSLATE(C2226, ""en"", ""TL"")"),"Sa Pilipinas, bilang isang katrabaho, wala kang legal na obligasyon na iulat ang paggamit ng droga ng iyong kasamahan. Gayunpaman, mayroon kang moral at etikal na responsibilidad na tulungan sila at protektahan ang lugar ng trabaho. Narito kung paano mo m"&amp;"a-navigate ang sitwasyong ito:
**Panatilihin ang Pagkakumpidensyal (Republic Act No. 10173 - Data Privacy Act of 2012):**
* Pinoprotektahan ng Data Privacy Act ang impormasyon ng iyong katrabaho. Hindi mo maaaring ibunyag ang kanilang paggamit ng droga sa"&amp;" sinuman, kabilang ang mga nakatataas, maliban kung bibigyan ka nila ng tahasang pahintulot.
**Tumutok sa Suporta at Mga Mapagkukunan (Republic Act No. 9165 - Comprehensive Dangerous Drugs Act of 2002):**
* Ang RA 9165 ay inuuna ang rehabilitasyon kaysa p"&amp;"arusa sa mga gumagamit ng droga. Hikayatin ang iyong katrabaho na humingi ng propesyonal na tulong. Narito ang ilang mapagkukunan na maaari mong ibahagi:
* Philippine Drug Enforcement Agency (PDEA) Treatment and Rehabilitation Centers: [https://pdea.gov.p"&amp;"h/](https://pdea.gov.ph/) ([https://pdea.gov.ph/] (https://pdea.gov.ph/))
* Mga Accredited Treatment at Rehabilitation Center ng Department of Health (DOH): [https://trcbataan.doh.gov.ph/hello-world/](https://trcbataan.doh.gov.ph/hello-world/)
* National "&amp;"Bureau of Dangerous Drugs (NBDD) Hotline: 1-REHAB (1-73422)
**Ipahayag ang Pag-aalala at Suporta sa Alok:**
* Ipaalam sa iyong katrabaho na nagmamalasakit ka sa kanilang kapakanan. Mag-alok ng pakikinig nang walang paghuhusga. * Talakayin kung paano maaar"&amp;"ing makaapekto ang kanilang paggamit ng droga sa kanilang pagganap sa trabaho o kaligtasan.
**Hikayatin ang Mga Malusog na Mekanismo sa Pagharap:**
* Magmungkahi ng mga alternatibong diskarte sa pamamahala ng stress tulad ng ehersisyo, pagmumuni-muni, o p"&amp;"aggugol ng oras sa mga mahal sa buhay.
**Humingi ng Patnubay mula sa HR (Opsyonal):**
* Kung hindi ka sigurado kung paano magpapatuloy o pakiramdam na ang paggamit ng droga ng iyong katrabaho ay nagdudulot ng panganib sa kaligtasan sa trabaho, maaari mong"&amp;" kumpidensyal na pag-usapan ang sitwasyon sa iyong departamento ng Human Resources. Maaari silang mag-alok ng patnubay at maaaring may available na mga programa sa panloob na suporta.
Tandaan, ang iyong layunin ay hikayatin ang iyong katrabaho na humingi "&amp;"ng tulong at pagbutihin ang kanilang kapakanan. Sa pamamagitan ng pag-aalok ng suporta at mga nauugnay na mapagkukunan, makakagawa ka ng positibong pagkakaiba.")</f>
        <v>Sa Pilipinas, bilang isang katrabaho, wala kang legal na obligasyon na iulat ang paggamit ng droga ng iyong kasamahan. Gayunpaman, mayroon kang moral at etikal na responsibilidad na tulungan sila at protektahan ang lugar ng trabaho. Narito kung paano mo ma-navigate ang sitwasyong ito:
**Panatilihin ang Pagkakumpidensyal (Republic Act No. 10173 - Data Privacy Act of 2012):**
* Pinoprotektahan ng Data Privacy Act ang impormasyon ng iyong katrabaho. Hindi mo maaaring ibunyag ang kanilang paggamit ng droga sa sinuman, kabilang ang mga nakatataas, maliban kung bibigyan ka nila ng tahasang pahintulot.
**Tumutok sa Suporta at Mga Mapagkukunan (Republic Act No. 9165 - Comprehensive Dangerous Drugs Act of 2002):**
* Ang RA 9165 ay inuuna ang rehabilitasyon kaysa parusa sa mga gumagamit ng droga. Hikayatin ang iyong katrabaho na humingi ng propesyonal na tulong. Narito ang ilang mapagkukunan na maaari mong ibahagi:
* Philippine Drug Enforcement Agency (PDEA) Treatment and Rehabilitation Centers: [https://pdea.gov.ph/](https://pdea.gov.ph/) ([https://pdea.gov.ph/] (https://pdea.gov.ph/))
* Mga Accredited Treatment at Rehabilitation Center ng Department of Health (DOH): [https://trcbataan.doh.gov.ph/hello-world/](https://trcbataan.doh.gov.ph/hello-world/)
* National Bureau of Dangerous Drugs (NBDD) Hotline: 1-REHAB (1-73422)
**Ipahayag ang Pag-aalala at Suporta sa Alok:**
* Ipaalam sa iyong katrabaho na nagmamalasakit ka sa kanilang kapakanan. Mag-alok ng pakikinig nang walang paghuhusga. * Talakayin kung paano maaaring makaapekto ang kanilang paggamit ng droga sa kanilang pagganap sa trabaho o kaligtasan.
**Hikayatin ang Mga Malusog na Mekanismo sa Pagharap:**
* Magmungkahi ng mga alternatibong diskarte sa pamamahala ng stress tulad ng ehersisyo, pagmumuni-muni, o paggugol ng oras sa mga mahal sa buhay.
**Humingi ng Patnubay mula sa HR (Opsyonal):**
* Kung hindi ka sigurado kung paano magpapatuloy o pakiramdam na ang paggamit ng droga ng iyong katrabaho ay nagdudulot ng panganib sa kaligtasan sa trabaho, maaari mong kumpidensyal na pag-usapan ang sitwasyon sa iyong departamento ng Human Resources. Maaari silang mag-alok ng patnubay at maaaring may available na mga programa sa panloob na suporta.
Tandaan, ang iyong layunin ay hikayatin ang iyong katrabaho na humingi ng tulong at pagbutihin ang kanilang kapakanan. Sa pamamagitan ng pag-aalok ng suporta at mga nauugnay na mapagkukunan, makakagawa ka ng positibong pagkakaiba.</v>
      </c>
      <c r="F2226" s="2">
        <f t="shared" si="1"/>
        <v>0</v>
      </c>
      <c r="G2226" s="2"/>
      <c r="H2226" s="2"/>
      <c r="I2226" s="2"/>
      <c r="J2226" s="2"/>
      <c r="K2226" s="2"/>
      <c r="L2226" s="2"/>
      <c r="M2226" s="2"/>
      <c r="N2226" s="2"/>
      <c r="O2226" s="2"/>
      <c r="P2226" s="2"/>
      <c r="Q2226" s="2"/>
      <c r="R2226" s="2"/>
      <c r="S2226" s="2"/>
      <c r="T2226" s="2"/>
      <c r="U2226" s="2"/>
      <c r="V2226" s="2"/>
      <c r="W2226" s="2"/>
      <c r="X2226" s="2"/>
      <c r="Y2226" s="2"/>
      <c r="Z2226" s="2"/>
      <c r="AA2226" s="2"/>
    </row>
    <row r="2227">
      <c r="A2227" s="3" t="s">
        <v>5259</v>
      </c>
      <c r="B2227" s="1" t="s">
        <v>5418</v>
      </c>
      <c r="C2227" s="3" t="s">
        <v>5419</v>
      </c>
      <c r="D2227" s="2" t="str">
        <f>IFERROR(__xludf.DUMMYFUNCTION("GOOGLETRANSLATE(B2227, ""en"", ""TL"")"),"Sa panahon ng isang kaganapan sa komunidad, napansin mo ang mga drug paraphernalia sa isang malapit na pampublikong banyo. Anong mga legal na hakbang ang dapat mong gawin upang matugunan ang sitwasyong ito at maprotektahan ang komunidad?")</f>
        <v>Sa panahon ng isang kaganapan sa komunidad, napansin mo ang mga drug paraphernalia sa isang malapit na pampublikong banyo. Anong mga legal na hakbang ang dapat mong gawin upang matugunan ang sitwasyong ito at maprotektahan ang komunidad?</v>
      </c>
      <c r="E2227" s="2" t="str">
        <f>IFERROR(__xludf.DUMMYFUNCTION("GOOGLETRANSLATE(C2227, ""en"", ""TL"")"),"Narito ang mga legal na hakbang na maaari mong gawin upang tugunan ang mga drug paraphernalia na makikita sa isang pampublikong banyo sa panahon ng isang kaganapan sa komunidad, na may layuning protektahan ang komunidad:
1. **Unahin ang Kaligtasan (Konsti"&amp;"tusyon ng Pilipinas, Artikulo II, Seksyon 11):**
Maaaring iugnay ang mga gamit sa droga sa mga ginamit na karayom ​​o iba pang mga mapanganib na materyales. Iwasang hawakan nang direkta ang mga item upang maprotektahan ang iyong sarili mula sa mga potensy"&amp;"al na panganib.
2. **Iulat ang Insidente sa Mga Awtoridad (Republic Act No. 9165 - Comprehensive Dangerous Drugs Act of 2002):**
* Hinihikayat ng Seksyon 76 ng RA 9165 ang mga mamamayan na mag-ulat ng mga aktibidad ng ilegal na droga. Narito ang dalawang "&amp;"pagpipilian:
* **Maghanap ng pulis:** Ang mga kaganapan sa komunidad ay kadalasang may presensya ng pulisya para sa seguridad. Maghanap ng isang unipormadong opisyal at iulat ang pagkatuklas ng mga drug paraphernalia sa banyo, na tinukoy ang lokasyon (sta"&amp;"ll number kung naaangkop). * **Mag-ulat sa Mga Organizer ng Kaganapan:** Kung limitado ang presensya ng pulisya, iulat ang sitwasyon sa mga organizer ng kaganapan. Maaaring mayroon silang mga security personnel na kayang hawakan ang sitwasyon at alerto an"&amp;"g mga awtoridad.
3. **Iwanan ang Restroom na Hindi Magagamit (Opsyonal):**
* Kung ligtas na gawin ito, isaalang-alang ang paglalagay ng karatula o harang sa pinto ng banyo na nagpapahiwatig na ito ay pansamantalang wala sa ayos upang pigilan ang iba na ma"&amp;"kapasok hanggang sa maimbestigahan ng mga awtoridad.
**Mga Karagdagang Tip:**
* Bagama't hindi kinakailangan, maaari mong maingat na tandaan ang uri ng mga paraphernalia na naobserbahan (hal., mga syringe, mga tubo) kung komportableng gawin ito. Maaaring "&amp;"makatulong ang impormasyong ito para sa mga awtoridad.
* Tandaan, maaari kang mag-ulat nang hindi nagpapakilala (RA 9165, Seksyon 76).
Sa pamamagitan ng pagsunod sa mga hakbang na ito, maaari kang mag-ambag sa isang mas ligtas na kaganapan sa komunidad at"&amp;" tumulong sa pagpapatupad ng batas sa pagtugon sa potensyal na aktibidad ng droga.")</f>
        <v>Narito ang mga legal na hakbang na maaari mong gawin upang tugunan ang mga drug paraphernalia na makikita sa isang pampublikong banyo sa panahon ng isang kaganapan sa komunidad, na may layuning protektahan ang komunidad:
1. **Unahin ang Kaligtasan (Konstitusyon ng Pilipinas, Artikulo II, Seksyon 11):**
Maaaring iugnay ang mga gamit sa droga sa mga ginamit na karayom ​​o iba pang mga mapanganib na materyales. Iwasang hawakan nang direkta ang mga item upang maprotektahan ang iyong sarili mula sa mga potensyal na panganib.
2. **Iulat ang Insidente sa Mga Awtoridad (Republic Act No. 9165 - Comprehensive Dangerous Drugs Act of 2002):**
* Hinihikayat ng Seksyon 76 ng RA 9165 ang mga mamamayan na mag-ulat ng mga aktibidad ng ilegal na droga. Narito ang dalawang pagpipilian:
* **Maghanap ng pulis:** Ang mga kaganapan sa komunidad ay kadalasang may presensya ng pulisya para sa seguridad. Maghanap ng isang unipormadong opisyal at iulat ang pagkatuklas ng mga drug paraphernalia sa banyo, na tinukoy ang lokasyon (stall number kung naaangkop). * **Mag-ulat sa Mga Organizer ng Kaganapan:** Kung limitado ang presensya ng pulisya, iulat ang sitwasyon sa mga organizer ng kaganapan. Maaaring mayroon silang mga security personnel na kayang hawakan ang sitwasyon at alerto ang mga awtoridad.
3. **Iwanan ang Restroom na Hindi Magagamit (Opsyonal):**
* Kung ligtas na gawin ito, isaalang-alang ang paglalagay ng karatula o harang sa pinto ng banyo na nagpapahiwatig na ito ay pansamantalang wala sa ayos upang pigilan ang iba na makapasok hanggang sa maimbestigahan ng mga awtoridad.
**Mga Karagdagang Tip:**
* Bagama't hindi kinakailangan, maaari mong maingat na tandaan ang uri ng mga paraphernalia na naobserbahan (hal., mga syringe, mga tubo) kung komportableng gawin ito. Maaaring makatulong ang impormasyong ito para sa mga awtoridad.
* Tandaan, maaari kang mag-ulat nang hindi nagpapakilala (RA 9165, Seksyon 76).
Sa pamamagitan ng pagsunod sa mga hakbang na ito, maaari kang mag-ambag sa isang mas ligtas na kaganapan sa komunidad at tumulong sa pagpapatupad ng batas sa pagtugon sa potensyal na aktibidad ng droga.</v>
      </c>
      <c r="F2227" s="2">
        <f t="shared" si="1"/>
        <v>0</v>
      </c>
      <c r="G2227" s="2"/>
      <c r="H2227" s="2"/>
      <c r="I2227" s="2"/>
      <c r="J2227" s="2"/>
      <c r="K2227" s="2"/>
      <c r="L2227" s="2"/>
      <c r="M2227" s="2"/>
      <c r="N2227" s="2"/>
      <c r="O2227" s="2"/>
      <c r="P2227" s="2"/>
      <c r="Q2227" s="2"/>
      <c r="R2227" s="2"/>
      <c r="S2227" s="2"/>
      <c r="T2227" s="2"/>
      <c r="U2227" s="2"/>
      <c r="V2227" s="2"/>
      <c r="W2227" s="2"/>
      <c r="X2227" s="2"/>
      <c r="Y2227" s="2"/>
      <c r="Z2227" s="2"/>
      <c r="AA2227" s="2"/>
    </row>
    <row r="2228">
      <c r="A2228" s="3" t="s">
        <v>5259</v>
      </c>
      <c r="B2228" s="1" t="s">
        <v>5420</v>
      </c>
      <c r="C2228" s="3" t="s">
        <v>5421</v>
      </c>
      <c r="D2228" s="2" t="str">
        <f>IFERROR(__xludf.DUMMYFUNCTION("GOOGLETRANSLATE(B2228, ""en"", ""TL"")"),"Ang paaralan ng iyong anak ay nag-oorganisa ng isang programa ng kamalayan sa mga ilegal na droga, at natuklasan mo na ang inimbitahang tagapagsalita ay may mga kaduda-dudang kredensyal. Anong mga legal na alalahanin ang dapat mong iharap?")</f>
        <v>Ang paaralan ng iyong anak ay nag-oorganisa ng isang programa ng kamalayan sa mga ilegal na droga, at natuklasan mo na ang inimbitahang tagapagsalita ay may mga kaduda-dudang kredensyal. Anong mga legal na alalahanin ang dapat mong iharap?</v>
      </c>
      <c r="E2228" s="2" t="str">
        <f>IFERROR(__xludf.DUMMYFUNCTION("GOOGLETRANSLATE(C2228, ""en"", ""TL"")"),"Narito ang ilang legal na alalahanin na maaari mong iharap kung ang paaralan ng iyong anak ay nag-imbita ng isang tagapagsalita na may kaduda-dudang mga kredensyal para sa isang programa ng kamalayan sa droga:
* **Katumpakan ng Impormasyon (Republic Act N"&amp;"o. 9165 - Comprehensive Dangerous Drugs Act of 2002):**
* Ang RA 9165 ay naglalayong magbigay ng mabisang pag-iwas at edukasyon sa droga. Maaari kang magpahayag ng pag-aalala na ang isang tagapagsalita na may mga kaduda-dudang kredensyal ay maaaring magbi"&amp;"gay ng hindi tumpak o mapanlinlang na impormasyon tungkol sa mga droga, na posibleng magdulot ng kalituhan o pinsala.
* **Kagalingan ng Mag-aaral (Konstitusyon ng Pilipinas, Artikulo XIII, Seksyon 13 - Karapatan sa De-kalidad na Edukasyon):**
* Ginagarant"&amp;"iyahan ng Konstitusyon ang karapatan sa de-kalidad na edukasyon. Maaari kang magtaltalan na ang isang tagapagsalita na may kaduda-dudang mga kredensyal ay maaaring hindi kwalipikadong maghatid ng isang epektibong programa ng kamalayan sa droga, na posible"&amp;"ng makahadlang sa pag-unawa ng mga mag-aaral sa mga panganib ng ilegal na droga.
* **Transparency at Pananagutan (Republic Act No. 6713 - Code of Conduct for Ethical Practices of Public Officials and Employees):**
* Ang batas na ito ay nagtataguyod ng tra"&amp;"nsparency at pananagutan sa mga pampublikong institusyon. Maaari mong tanungin ang proseso ng paggawa ng desisyon ng paaralan sa pagpili ng tagapagsalita. Nasuri ba nila nang maayos ang mga kwalipikasyon at karanasan ng tagapagsalita sa edukasyon sa droga"&amp;"?
**Paano Itaas ang Iyong Mga Alalahanin:**
* **Mag-iskedyul ng Pagpupulong kasama ang Principal ng Paaralan o Tagapayo sa Paggabay:** Talakayin ang iyong mga alalahanin nang magalang at propesyonal. Magtanong ng mga detalye tungkol sa background at karan"&amp;"asan ng tagapagsalita sa edukasyon sa droga.
* **Magmungkahi ng Mga Alternatibong Mapagkukunan:** Kung ang mga kredensyal ng tagapagsalita ay talagang kaduda-dudang, magmungkahi ng mga kwalipikadong alternatibo. Maaaring kabilang dito ang mga ahensya ng g"&amp;"obyerno tulad ng PDEA (Philippine Drug Enforcement Agency) o mga akreditadong drug rehabilitation center.
* **Magtipon ng Suporta mula sa Ibang Magulang (Opsyonal):** Kung ibinabahagi ng ibang mga magulang ang iyong mga alalahanin, isaalang-alang ang pagb"&amp;"uo ng isang grupo upang magtaguyod para sa isang kwalipikadong tagapagsalita.
**Tandaan:**
* Lalapitan ang sitwasyon nang nakabubuo. Ang iyong layunin ay matiyak na ang iyong anak at iba pang mga mag-aaral ay makakatanggap ng tumpak at epektibong edukasyo"&amp;"n sa kamalayan sa droga. * Ang mga opisyal ng paaralan ay may responsibilidad na tiyakin ang kaligtasan at kagalingan ng mga mag-aaral. Sa pamamagitan ng pagtataas ng iyong mga alalahanin, maaari kang mag-ambag sa isang mas nagbibigay-kaalaman at maimpluw"&amp;"ensyang programa sa kamalayan sa droga.")</f>
        <v>Narito ang ilang legal na alalahanin na maaari mong iharap kung ang paaralan ng iyong anak ay nag-imbita ng isang tagapagsalita na may kaduda-dudang mga kredensyal para sa isang programa ng kamalayan sa droga:
* **Katumpakan ng Impormasyon (Republic Act No. 9165 - Comprehensive Dangerous Drugs Act of 2002):**
* Ang RA 9165 ay naglalayong magbigay ng mabisang pag-iwas at edukasyon sa droga. Maaari kang magpahayag ng pag-aalala na ang isang tagapagsalita na may mga kaduda-dudang kredensyal ay maaaring magbigay ng hindi tumpak o mapanlinlang na impormasyon tungkol sa mga droga, na posibleng magdulot ng kalituhan o pinsala.
* **Kagalingan ng Mag-aaral (Konstitusyon ng Pilipinas, Artikulo XIII, Seksyon 13 - Karapatan sa De-kalidad na Edukasyon):**
* Ginagarantiyahan ng Konstitusyon ang karapatan sa de-kalidad na edukasyon. Maaari kang magtaltalan na ang isang tagapagsalita na may kaduda-dudang mga kredensyal ay maaaring hindi kwalipikadong maghatid ng isang epektibong programa ng kamalayan sa droga, na posibleng makahadlang sa pag-unawa ng mga mag-aaral sa mga panganib ng ilegal na droga.
* **Transparency at Pananagutan (Republic Act No. 6713 - Code of Conduct for Ethical Practices of Public Officials and Employees):**
* Ang batas na ito ay nagtataguyod ng transparency at pananagutan sa mga pampublikong institusyon. Maaari mong tanungin ang proseso ng paggawa ng desisyon ng paaralan sa pagpili ng tagapagsalita. Nasuri ba nila nang maayos ang mga kwalipikasyon at karanasan ng tagapagsalita sa edukasyon sa droga?
**Paano Itaas ang Iyong Mga Alalahanin:**
* **Mag-iskedyul ng Pagpupulong kasama ang Principal ng Paaralan o Tagapayo sa Paggabay:** Talakayin ang iyong mga alalahanin nang magalang at propesyonal. Magtanong ng mga detalye tungkol sa background at karanasan ng tagapagsalita sa edukasyon sa droga.
* **Magmungkahi ng Mga Alternatibong Mapagkukunan:** Kung ang mga kredensyal ng tagapagsalita ay talagang kaduda-dudang, magmungkahi ng mga kwalipikadong alternatibo. Maaaring kabilang dito ang mga ahensya ng gobyerno tulad ng PDEA (Philippine Drug Enforcement Agency) o mga akreditadong drug rehabilitation center.
* **Magtipon ng Suporta mula sa Ibang Magulang (Opsyonal):** Kung ibinabahagi ng ibang mga magulang ang iyong mga alalahanin, isaalang-alang ang pagbuo ng isang grupo upang magtaguyod para sa isang kwalipikadong tagapagsalita.
**Tandaan:**
* Lalapitan ang sitwasyon nang nakabubuo. Ang iyong layunin ay matiyak na ang iyong anak at iba pang mga mag-aaral ay makakatanggap ng tumpak at epektibong edukasyon sa kamalayan sa droga. * Ang mga opisyal ng paaralan ay may responsibilidad na tiyakin ang kaligtasan at kagalingan ng mga mag-aaral. Sa pamamagitan ng pagtataas ng iyong mga alalahanin, maaari kang mag-ambag sa isang mas nagbibigay-kaalaman at maimpluwensyang programa sa kamalayan sa droga.</v>
      </c>
      <c r="F2228" s="2">
        <f t="shared" si="1"/>
        <v>0</v>
      </c>
      <c r="G2228" s="2"/>
      <c r="H2228" s="2"/>
      <c r="I2228" s="2"/>
      <c r="J2228" s="2"/>
      <c r="K2228" s="2"/>
      <c r="L2228" s="2"/>
      <c r="M2228" s="2"/>
      <c r="N2228" s="2"/>
      <c r="O2228" s="2"/>
      <c r="P2228" s="2"/>
      <c r="Q2228" s="2"/>
      <c r="R2228" s="2"/>
      <c r="S2228" s="2"/>
      <c r="T2228" s="2"/>
      <c r="U2228" s="2"/>
      <c r="V2228" s="2"/>
      <c r="W2228" s="2"/>
      <c r="X2228" s="2"/>
      <c r="Y2228" s="2"/>
      <c r="Z2228" s="2"/>
      <c r="AA2228" s="2"/>
    </row>
    <row r="2229">
      <c r="A2229" s="3" t="s">
        <v>5259</v>
      </c>
      <c r="B2229" s="1" t="s">
        <v>5422</v>
      </c>
      <c r="C2229" s="3" t="s">
        <v>5423</v>
      </c>
      <c r="D2229" s="2" t="str">
        <f>IFERROR(__xludf.DUMMYFUNCTION("GOOGLETRANSLATE(B2229, ""en"", ""TL"")"),"Nasasaksihan mo ang isang deal sa droga na nagaganap sa loob ng 100 metro ng isang paaralan, na kinasasangkutan ng mga mag-aaral at mga tagalabas. Anong mga agarang aksyon ang maaari mong gawin upang protektahan ang mga mag-aaral at iulat ang insidente?")</f>
        <v>Nasasaksihan mo ang isang deal sa droga na nagaganap sa loob ng 100 metro ng isang paaralan, na kinasasangkutan ng mga mag-aaral at mga tagalabas. Anong mga agarang aksyon ang maaari mong gawin upang protektahan ang mga mag-aaral at iulat ang insidente?</v>
      </c>
      <c r="E2229" s="2" t="str">
        <f>IFERROR(__xludf.DUMMYFUNCTION("GOOGLETRANSLATE(C2229, ""en"", ""TL"")"),"Narito ang mga agarang aksyon na maaari mong gawin upang protektahan ang mga mag-aaral at iulat ang insidente na nakasaksi ng deal sa droga sa loob ng 100 metro mula sa isang paaralan:
**Unahin ang Kaligtasan (Konstitusyon ng Pilipinas, Artikulo II, Seksy"&amp;"on 11):**
* Ang mga deal sa droga ay maaaring mapanganib na mga sitwasyon. Huwag direktang makialam, lalo na kung ang mga taong sangkot ay tila marahas. **Protektahan ang mga Mag-aaral (Republic Act No. 9165 - Comprehensive Dangerous Drugs Act of 2002 &amp; R"&amp;"epublic Act No. 11232 - Mandatory Drug Testing in Schools Act):**
* **Tumawag sa Pulis:** I-dial ang 117, ang pambansang emergency hotline. Iulat ang insidente, na naglalarawan sa lokasyon (kabilang ang pangalan at tirahan ng paaralan), ang bilang ng mga "&amp;"taong kasangkot (mga matatanda at estudyante), at anumang mga detalye tungkol sa kanilang hitsura o pananamit. * **Alerto sa Seguridad ng Paaralan o Mga Opisyal (Opsyonal):** Kung ligtas na gawin ito, abisuhan ang seguridad ng paaralan o sinumang malapit "&amp;"na opisyal ng paaralan. Maaari silang gumawa ng mga hakbang upang matiyak ang kaligtasan ng mga mag-aaral sa bakuran ng paaralan.
**Iulat ang Insidente (Republic Act No. 9165):**
* Maaari mong iulat ang insidente nang hindi nagpapakilala. Hinihikayat ng S"&amp;"eksyon 76 ng RA 9165 ang mga mamamayan na mag-ulat ng mga aktibidad ng ilegal na droga. Narito ang dalawang pagpipilian:
* **PDEA Hotline:** Kung mas gusto mong hindi direktang isangkot ang pulis, isaalang-alang ang pag-uulat ng insidente sa hotline ng Ph"&amp;"ilippine Drug Enforcement Agency (PDEA). Maaari mong i-text ang mga detalye sa naaangkop na numero batay sa iyong network:
* Smart/Sun: 0999-888 PDEA (7332)
* Globe: 0927-9150616
* **PDEA Website:** Bilang kahalili, maaari mong iulat ang insidente nang hi"&amp;"ndi nagpapakilala sa pamamagitan ng website ng PDEA: [https://pdea.gov.ph/](https://pdea.gov.ph/)
**Mga Karagdagang Tip:**
* Kung komportable kang gawin ito, subukang maingat na tandaan ang anumang mga detalye na maaaring makatulong na makilala ang mga ta"&amp;"ong kasangkot (mga paglalarawan, pananamit, direksyon na kanilang pinuntahan). * Maging handa na sagutin ang mga tanong mula sa pulisya o PDEA kung makikipag-ugnayan sila sa iyo para sa karagdagang impormasyon.
Sa pamamagitan ng pagsasagawa ng mga agarang"&amp;" aksyon na ito, maaari kang makatulong na protektahan ang mga mag-aaral mula sa mga panganib ng droga at mag-ambag sa mga pagsisikap ng pagpapatupad ng batas na ihinto ang aktibidad ng ilegal na droga malapit sa mga paaralan.")</f>
        <v>Narito ang mga agarang aksyon na maaari mong gawin upang protektahan ang mga mag-aaral at iulat ang insidente na nakasaksi ng deal sa droga sa loob ng 100 metro mula sa isang paaralan:
**Unahin ang Kaligtasan (Konstitusyon ng Pilipinas, Artikulo II, Seksyon 11):**
* Ang mga deal sa droga ay maaaring mapanganib na mga sitwasyon. Huwag direktang makialam, lalo na kung ang mga taong sangkot ay tila marahas. **Protektahan ang mga Mag-aaral (Republic Act No. 9165 - Comprehensive Dangerous Drugs Act of 2002 &amp; Republic Act No. 11232 - Mandatory Drug Testing in Schools Act):**
* **Tumawag sa Pulis:** I-dial ang 117, ang pambansang emergency hotline. Iulat ang insidente, na naglalarawan sa lokasyon (kabilang ang pangalan at tirahan ng paaralan), ang bilang ng mga taong kasangkot (mga matatanda at estudyante), at anumang mga detalye tungkol sa kanilang hitsura o pananamit. * **Alerto sa Seguridad ng Paaralan o Mga Opisyal (Opsyonal):** Kung ligtas na gawin ito, abisuhan ang seguridad ng paaralan o sinumang malapit na opisyal ng paaralan. Maaari silang gumawa ng mga hakbang upang matiyak ang kaligtasan ng mga mag-aaral sa bakuran ng paaralan.
**Iulat ang Insidente (Republic Act No. 9165):**
* Maaari mong iulat ang insidente nang hindi nagpapakilala. Hinihikayat ng Seksyon 76 ng RA 9165 ang mga mamamayan na mag-ulat ng mga aktibidad ng ilegal na droga. Narito ang dalawang pagpipilian:
* **PDEA Hotline:** Kung mas gusto mong hindi direktang isangkot ang pulis, isaalang-alang ang pag-uulat ng insidente sa hotline ng Philippine Drug Enforcement Agency (PDEA). Maaari mong i-text ang mga detalye sa naaangkop na numero batay sa iyong network:
* Smart/Sun: 0999-888 PDEA (7332)
* Globe: 0927-9150616
* **PDEA Website:** Bilang kahalili, maaari mong iulat ang insidente nang hindi nagpapakilala sa pamamagitan ng website ng PDEA: [https://pdea.gov.ph/](https://pdea.gov.ph/)
**Mga Karagdagang Tip:**
* Kung komportable kang gawin ito, subukang maingat na tandaan ang anumang mga detalye na maaaring makatulong na makilala ang mga taong kasangkot (mga paglalarawan, pananamit, direksyon na kanilang pinuntahan). * Maging handa na sagutin ang mga tanong mula sa pulisya o PDEA kung makikipag-ugnayan sila sa iyo para sa karagdagang impormasyon.
Sa pamamagitan ng pagsasagawa ng mga agarang aksyon na ito, maaari kang makatulong na protektahan ang mga mag-aaral mula sa mga panganib ng droga at mag-ambag sa mga pagsisikap ng pagpapatupad ng batas na ihinto ang aktibidad ng ilegal na droga malapit sa mga paaralan.</v>
      </c>
      <c r="F2229" s="2">
        <f t="shared" si="1"/>
        <v>0</v>
      </c>
      <c r="G2229" s="2"/>
      <c r="H2229" s="2"/>
      <c r="I2229" s="2"/>
      <c r="J2229" s="2"/>
      <c r="K2229" s="2"/>
      <c r="L2229" s="2"/>
      <c r="M2229" s="2"/>
      <c r="N2229" s="2"/>
      <c r="O2229" s="2"/>
      <c r="P2229" s="2"/>
      <c r="Q2229" s="2"/>
      <c r="R2229" s="2"/>
      <c r="S2229" s="2"/>
      <c r="T2229" s="2"/>
      <c r="U2229" s="2"/>
      <c r="V2229" s="2"/>
      <c r="W2229" s="2"/>
      <c r="X2229" s="2"/>
      <c r="Y2229" s="2"/>
      <c r="Z2229" s="2"/>
      <c r="AA2229" s="2"/>
    </row>
    <row r="2230">
      <c r="A2230" s="3" t="s">
        <v>5259</v>
      </c>
      <c r="B2230" s="1" t="s">
        <v>5424</v>
      </c>
      <c r="C2230" s="3" t="s">
        <v>5425</v>
      </c>
      <c r="D2230" s="2" t="str">
        <f>IFERROR(__xludf.DUMMYFUNCTION("GOOGLETRANSLATE(B2230, ""en"", ""TL"")"),"Habang nagha-hiking sa isang protektadong natural na lugar, nakatagpo ka ng isang grupo na nakikibahagi sa paggamit ng ilegal na droga. Anong mga legal na hakbang ang maaaring gawin upang iulat ang insidenteng ito at mapanatili ang kaligtasan sa kapaligir"&amp;"an?")</f>
        <v>Habang nagha-hiking sa isang protektadong natural na lugar, nakatagpo ka ng isang grupo na nakikibahagi sa paggamit ng ilegal na droga. Anong mga legal na hakbang ang maaaring gawin upang iulat ang insidenteng ito at mapanatili ang kaligtasan sa kapaligiran?</v>
      </c>
      <c r="E2230" s="2" t="str">
        <f>IFERROR(__xludf.DUMMYFUNCTION("GOOGLETRANSLATE(C2230, ""en"", ""TL"")"),"Narito ang maaari mong gawin upang iulat ang paggamit ng ilegal na droga sa isang protektadong natural na lugar at mapanatili ang kaligtasan sa kapaligiran:
**Unahin ang Kaligtasan (Konstitusyon ng Pilipinas, Artikulo II, Seksyon 11):**
* Maaaring hindi m"&amp;"ahuhulaan ang paggamit ng droga. Iwasang lapitan ang grupo nang direkta, lalo na kung tila sila ay lasing o agresibo.
**Iulat ang Insidente (Republic Act No. 9165 - Comprehensive Dangerous Drugs Act of 2002):**
* **Makipag-ugnayan sa Mga Awtoridad:** Mayr"&amp;"oong dalawang pangunahing opsyon para sa pag-uulat:
* **Park Rangers:** Karamihan sa mga protektadong natural na lugar ay may mga park rangers na responsable sa pagpapanatili ng kaayusan at kaligtasan. Kung mayroon kang cell service, tawagan ang istasyon "&amp;"ng park ranger at iulat ang insidente, na nagbibigay ng mga detalye tungkol sa lokasyon (pangalan ng trail, mga landmark), bilang ng mga taong kasangkot, at anumang mga paglalarawan na ligtas mong makukuha. * **DENR Hotline:** Ang Department of Environmen"&amp;"t and Natural Resources (DENR) ay may hotline para sa pag-uulat ng mga paglabag sa kapaligiran, kabilang ang mga ilegal na aktibidad sa mga protektadong lugar. Maaari kang tumawag sa 13173 (DENR) upang iulat ang insidente.
* **Isaalang-alang ang Anonymous"&amp;" na Pag-uulat (RA 9165):** Maaari kang mag-ulat nang hindi nagpapakilala kung hindi ka komportable na ibunyag ang iyong pagkakakilanlan.
**Panatilihin ang Kaligtasan sa Kapaligiran:**
* **Leave No Trace:** Huwag istorbohin ang lugar kung saan mo nasaksiha"&amp;"n ang paggamit ng droga. Iwasang hawakan ang anumang drug paraphernalia o mag-iwan ng anumang basura.
**Mga Karagdagang Tip:**
* **Kumuha ng Mga Larawan (Opsyonal):** Kung maaari itong gawin nang ligtas at maingat, kumuha ng mga larawan sa lokasyon (nang "&amp;"hindi kumukuha ng mga taong sangkot) upang idokumento ang insidente. Maaaring makatulong ito sa mga awtoridad.
* **Mag-ulat ng Pinsala sa Kapaligiran (Opsyonal):** Kung ang grupo ay nag-iwan ng anumang magkalat o nagdulot ng anumang pinsala sa natural na "&amp;"lugar, iulat ito sa mga park rangers o DENR hotline bilang karagdagan sa aktibidad ng droga.
Sa pamamagitan ng pagsunod sa mga hakbang na ito, makakatulong kang matiyak ang kaligtasan ng iyong sarili at ng iba, habang pinoprotektahan din ang kapaligiran m"&amp;"ula sa karagdagang pinsala. Tandaan, kahit na mag-ulat ka nang hindi nagpapakilala, ang iyong impormasyon ay maaaring maging mahalaga para sa mga awtoridad sa pagsisiyasat ng mga ilegal na aktibidad sa mga protektadong natural na lugar.")</f>
        <v>Narito ang maaari mong gawin upang iulat ang paggamit ng ilegal na droga sa isang protektadong natural na lugar at mapanatili ang kaligtasan sa kapaligiran:
**Unahin ang Kaligtasan (Konstitusyon ng Pilipinas, Artikulo II, Seksyon 11):**
* Maaaring hindi mahuhulaan ang paggamit ng droga. Iwasang lapitan ang grupo nang direkta, lalo na kung tila sila ay lasing o agresibo.
**Iulat ang Insidente (Republic Act No. 9165 - Comprehensive Dangerous Drugs Act of 2002):**
* **Makipag-ugnayan sa Mga Awtoridad:** Mayroong dalawang pangunahing opsyon para sa pag-uulat:
* **Park Rangers:** Karamihan sa mga protektadong natural na lugar ay may mga park rangers na responsable sa pagpapanatili ng kaayusan at kaligtasan. Kung mayroon kang cell service, tawagan ang istasyon ng park ranger at iulat ang insidente, na nagbibigay ng mga detalye tungkol sa lokasyon (pangalan ng trail, mga landmark), bilang ng mga taong kasangkot, at anumang mga paglalarawan na ligtas mong makukuha. * **DENR Hotline:** Ang Department of Environment and Natural Resources (DENR) ay may hotline para sa pag-uulat ng mga paglabag sa kapaligiran, kabilang ang mga ilegal na aktibidad sa mga protektadong lugar. Maaari kang tumawag sa 13173 (DENR) upang iulat ang insidente.
* **Isaalang-alang ang Anonymous na Pag-uulat (RA 9165):** Maaari kang mag-ulat nang hindi nagpapakilala kung hindi ka komportable na ibunyag ang iyong pagkakakilanlan.
**Panatilihin ang Kaligtasan sa Kapaligiran:**
* **Leave No Trace:** Huwag istorbohin ang lugar kung saan mo nasaksihan ang paggamit ng droga. Iwasang hawakan ang anumang drug paraphernalia o mag-iwan ng anumang basura.
**Mga Karagdagang Tip:**
* **Kumuha ng Mga Larawan (Opsyonal):** Kung maaari itong gawin nang ligtas at maingat, kumuha ng mga larawan sa lokasyon (nang hindi kumukuha ng mga taong sangkot) upang idokumento ang insidente. Maaaring makatulong ito sa mga awtoridad.
* **Mag-ulat ng Pinsala sa Kapaligiran (Opsyonal):** Kung ang grupo ay nag-iwan ng anumang magkalat o nagdulot ng anumang pinsala sa natural na lugar, iulat ito sa mga park rangers o DENR hotline bilang karagdagan sa aktibidad ng droga.
Sa pamamagitan ng pagsunod sa mga hakbang na ito, makakatulong kang matiyak ang kaligtasan ng iyong sarili at ng iba, habang pinoprotektahan din ang kapaligiran mula sa karagdagang pinsala. Tandaan, kahit na mag-ulat ka nang hindi nagpapakilala, ang iyong impormasyon ay maaaring maging mahalaga para sa mga awtoridad sa pagsisiyasat ng mga ilegal na aktibidad sa mga protektadong natural na lugar.</v>
      </c>
      <c r="F2230" s="2">
        <f t="shared" si="1"/>
        <v>0</v>
      </c>
      <c r="G2230" s="2"/>
      <c r="H2230" s="2"/>
      <c r="I2230" s="2"/>
      <c r="J2230" s="2"/>
      <c r="K2230" s="2"/>
      <c r="L2230" s="2"/>
      <c r="M2230" s="2"/>
      <c r="N2230" s="2"/>
      <c r="O2230" s="2"/>
      <c r="P2230" s="2"/>
      <c r="Q2230" s="2"/>
      <c r="R2230" s="2"/>
      <c r="S2230" s="2"/>
      <c r="T2230" s="2"/>
      <c r="U2230" s="2"/>
      <c r="V2230" s="2"/>
      <c r="W2230" s="2"/>
      <c r="X2230" s="2"/>
      <c r="Y2230" s="2"/>
      <c r="Z2230" s="2"/>
      <c r="AA2230" s="2"/>
    </row>
    <row r="2231">
      <c r="A2231" s="3" t="s">
        <v>5259</v>
      </c>
      <c r="B2231" s="1" t="s">
        <v>5426</v>
      </c>
      <c r="C2231" s="3" t="s">
        <v>5427</v>
      </c>
      <c r="D2231" s="2" t="str">
        <f>IFERROR(__xludf.DUMMYFUNCTION("GOOGLETRANSLATE(B2231, ""en"", ""TL"")"),"Isang matalik na kaibigan ang umamin sa iyo na nahihirapan sila sa pagkalulong sa droga ngunit natatakot silang humingi ng tulong dahil sa mga legal na kahihinatnan. Anong patnubay ang maaari mong ibigay upang suportahan sila nang legal?")</f>
        <v>Isang matalik na kaibigan ang umamin sa iyo na nahihirapan sila sa pagkalulong sa droga ngunit natatakot silang humingi ng tulong dahil sa mga legal na kahihinatnan. Anong patnubay ang maaari mong ibigay upang suportahan sila nang legal?</v>
      </c>
      <c r="E2231" s="2" t="str">
        <f>IFERROR(__xludf.DUMMYFUNCTION("GOOGLETRANSLATE(C2231, ""en"", ""TL"")"),"Narito kung paano ka makakapagbigay ng legal na patnubay at suportahan ang iyong kaibigan na nakikipaglaban sa pagkalulong sa droga sa Pilipinas:
**Tiyakin Sila Tungkol sa Mga Legal na Bunga (Republic Act No. 9165 - Comprehensive Dangerous Drugs Act of 20"&amp;"02):**
* Ang RA 9165 ay inuuna ang rehabilitasyon kaysa parusa sa mga gumagamit ng droga. Ipaalam sa iyong kaibigan na ang paghingi ng tulong ay hindi hahantong sa legal na problema. Ang Seksyon 6 ng RA 9165 ay nagtatakda ng boluntaryo o sapilitang paggam"&amp;"ot at rehabilitasyon sa pag-abuso sa droga. **I-highlight ang Magagamit na Mga Mapagkukunan:**
* Nag-aalok ang Pilipinas ng iba't ibang programa sa paggamot at rehabilitasyon na suportado ng gobyerno na may mga kumpidensyal na opsyon. Narito ang ilang mga"&amp;" mapagkukunan na maaari mong ibahagi sa iyong kaibigan:
* Philippine Drug Enforcement Agency (PDEA) Treatment and Rehabilitation Centers: [https://pdea.gov.ph/](https://pdea.gov.ph/)
* Department of Health (DOH) Accredited Treatment and Rehabilitation Cen"&amp;"ters: [https://www.facebook.com/trcbataan/](https://www.facebook.com/trcbataan/)
* National Bureau of Dangerous Drugs (NBDD) Hotline: 1-REHAB (1-73422) - Nag-aalok ang hotline na ito ng kumpidensyal na impormasyon at mga referral para sa mga programa sa r"&amp;"ehabilitasyon ng droga.
**Alok ng Suporta at Saliw:**
* Ang paghahanap ng tulong ay maaaring maging napakalaki. Mag-alok na samahan ang iyong kaibigan sa isang rehabilitation center o isang pinagkakatiwalaang propesyonal sa pangangalagang pangkalusugan na"&amp;" maaaring gumabay sa kanila sa proseso.
**Panatilihin ang Pagkakumpidensyal (Republic Act No. 10173 - Data Privacy Act of 2012):**
* Pinoprotektahan ng Data Privacy Act ang impormasyon ng iyong kaibigan. Hindi mo maaaring ibunyag ang kanilang pagkagumon s"&amp;"a droga sa sinuman nang walang tahasang pahintulot. **Humingi ng Karagdagang Suporta:**
* Isaalang-alang ang pagsali sa mga grupo ng suporta para sa mga pamilya at kaibigan ng mga taong may pagkagumon. Ang mga grupong ito ay maaaring magbigay ng mahalagan"&amp;"g gabay at emosyonal na suporta para sa iyo at sa iyong kaibigan. **Mahalagang Paalala:**
* Bagama't makakapagbigay ako ng legal na impormasyon, hindi ako makapagbibigay ng partikular na payo sa medikal o rehabilitasyon. Hikayatin ang iyong kaibigan na hu"&amp;"mingi ng propesyonal na tulong mula sa isang kwalipikadong tagapagbigay ng pangangalagang pangkalusugan upang bumuo ng isang personalized na plano sa pagbawi.
Tandaan, ang iyong suporta at paghihikayat ay maaaring gumawa ng malaking pagbabago sa paglalakb"&amp;"ay ng iyong kaibigan sa paggaling.")</f>
        <v>Narito kung paano ka makakapagbigay ng legal na patnubay at suportahan ang iyong kaibigan na nakikipaglaban sa pagkalulong sa droga sa Pilipinas:
**Tiyakin Sila Tungkol sa Mga Legal na Bunga (Republic Act No. 9165 - Comprehensive Dangerous Drugs Act of 2002):**
* Ang RA 9165 ay inuuna ang rehabilitasyon kaysa parusa sa mga gumagamit ng droga. Ipaalam sa iyong kaibigan na ang paghingi ng tulong ay hindi hahantong sa legal na problema. Ang Seksyon 6 ng RA 9165 ay nagtatakda ng boluntaryo o sapilitang paggamot at rehabilitasyon sa pag-abuso sa droga. **I-highlight ang Magagamit na Mga Mapagkukunan:**
* Nag-aalok ang Pilipinas ng iba't ibang programa sa paggamot at rehabilitasyon na suportado ng gobyerno na may mga kumpidensyal na opsyon. Narito ang ilang mga mapagkukunan na maaari mong ibahagi sa iyong kaibigan:
* Philippine Drug Enforcement Agency (PDEA) Treatment and Rehabilitation Centers: [https://pdea.gov.ph/](https://pdea.gov.ph/)
* Department of Health (DOH) Accredited Treatment and Rehabilitation Centers: [https://www.facebook.com/trcbataan/](https://www.facebook.com/trcbataan/)
* National Bureau of Dangerous Drugs (NBDD) Hotline: 1-REHAB (1-73422) - Nag-aalok ang hotline na ito ng kumpidensyal na impormasyon at mga referral para sa mga programa sa rehabilitasyon ng droga.
**Alok ng Suporta at Saliw:**
* Ang paghahanap ng tulong ay maaaring maging napakalaki. Mag-alok na samahan ang iyong kaibigan sa isang rehabilitation center o isang pinagkakatiwalaang propesyonal sa pangangalagang pangkalusugan na maaaring gumabay sa kanila sa proseso.
**Panatilihin ang Pagkakumpidensyal (Republic Act No. 10173 - Data Privacy Act of 2012):**
* Pinoprotektahan ng Data Privacy Act ang impormasyon ng iyong kaibigan. Hindi mo maaaring ibunyag ang kanilang pagkagumon sa droga sa sinuman nang walang tahasang pahintulot. **Humingi ng Karagdagang Suporta:**
* Isaalang-alang ang pagsali sa mga grupo ng suporta para sa mga pamilya at kaibigan ng mga taong may pagkagumon. Ang mga grupong ito ay maaaring magbigay ng mahalagang gabay at emosyonal na suporta para sa iyo at sa iyong kaibigan. **Mahalagang Paalala:**
* Bagama't makakapagbigay ako ng legal na impormasyon, hindi ako makapagbibigay ng partikular na payo sa medikal o rehabilitasyon. Hikayatin ang iyong kaibigan na humingi ng propesyonal na tulong mula sa isang kwalipikadong tagapagbigay ng pangangalagang pangkalusugan upang bumuo ng isang personalized na plano sa pagbawi.
Tandaan, ang iyong suporta at paghihikayat ay maaaring gumawa ng malaking pagbabago sa paglalakbay ng iyong kaibigan sa paggaling.</v>
      </c>
      <c r="F2231" s="2">
        <f t="shared" si="1"/>
        <v>0</v>
      </c>
      <c r="G2231" s="2"/>
      <c r="H2231" s="2"/>
      <c r="I2231" s="2"/>
      <c r="J2231" s="2"/>
      <c r="K2231" s="2"/>
      <c r="L2231" s="2"/>
      <c r="M2231" s="2"/>
      <c r="N2231" s="2"/>
      <c r="O2231" s="2"/>
      <c r="P2231" s="2"/>
      <c r="Q2231" s="2"/>
      <c r="R2231" s="2"/>
      <c r="S2231" s="2"/>
      <c r="T2231" s="2"/>
      <c r="U2231" s="2"/>
      <c r="V2231" s="2"/>
      <c r="W2231" s="2"/>
      <c r="X2231" s="2"/>
      <c r="Y2231" s="2"/>
      <c r="Z2231" s="2"/>
      <c r="AA2231" s="2"/>
    </row>
    <row r="2232">
      <c r="A2232" s="3" t="s">
        <v>5259</v>
      </c>
      <c r="B2232" s="1" t="s">
        <v>5428</v>
      </c>
      <c r="C2232" s="3" t="s">
        <v>5429</v>
      </c>
      <c r="D2232" s="2" t="str">
        <f>IFERROR(__xludf.DUMMYFUNCTION("GOOGLETRANSLATE(B2232, ""en"", ""TL"")"),"Pinaghihinalaan mo na ang terminal ng pampublikong transportasyon ay ginagamit para sa trafficking ng droga. Anong mga legal na hakbang ang maaaring gawin upang imbestigahan at matugunan ang sitwasyong ito sa mga awtoridad?")</f>
        <v>Pinaghihinalaan mo na ang terminal ng pampublikong transportasyon ay ginagamit para sa trafficking ng droga. Anong mga legal na hakbang ang maaaring gawin upang imbestigahan at matugunan ang sitwasyong ito sa mga awtoridad?</v>
      </c>
      <c r="E2232" s="2" t="str">
        <f>IFERROR(__xludf.DUMMYFUNCTION("GOOGLETRANSLATE(C2232, ""en"", ""TL"")"),"Ang sistemang legal ng Pilipinas ay nag-aalok ng ilang mga paraan upang imbestigahan at tugunan ang iyong hinala ng pagtutulak ng droga sa isang terminal ng pampublikong transportasyon. Narito ang maaari mong gawin:
**Iulat ang Insidente (Republic Act No."&amp;" 9165 - Comprehensive Dangerous Drugs Act of 2002):**
* Hinihikayat ng RA 9165 ang pakikilahok ng mamamayan sa paglaban sa ilegal na droga. Maaari mong iulat ang iyong hinala nang hindi nagpapakilala sa pamamagitan ng mga sumusunod na pamamaraan:
* **Mga "&amp;"Hotline ng PDEA:** Ang Philippine Drug Enforcement Agency (PDEA) ay nagpapanatili ng 24/7 na mga hotline para sa hindi kilalang pag-uulat. I-text ang mga detalye tungkol sa terminal (pangalan, address) at anumang kahina-hinalang aktibidad na iyong naobser"&amp;"bahan sa naaangkop na numero batay sa iyong network:
* Smart/Sun: 0999-888 PDEA (7332)
* Globe: 0927-9150616
* **PDEA Website:** Bilang kahalili, iulat nang hindi nagpapakilala sa pamamagitan ng website ng PDEA: [https://pdea.gov.ph/](https://pdea.gov.ph/"&amp;")
**Magtipon ng Ebidensya (Opsyonal):**
* Bagama't hindi sapilitan, kung sa tingin mo ay ligtas ka, subukang maingat na mangalap ng ilang ebidensya:
* Tandaan ang mga partikular na lugar sa loob ng terminal kung saan nangyayari ang kahina-hinalang aktibid"&amp;"ad (hal., mga partikular na stall, waiting area).
* Kung maaari, kumuha ng mga larawan (nang hindi kumukuha ng mga mukha ng mga tao) sa mga lugar kung saan maaaring nagaganap ang mga transaksyon sa droga.
* Magtala ng mga tiyak na oras at petsa kung kaila"&amp;"n ka nakasaksi ng kahina-hinalang aktibidad.
**Mag-ulat sa Pamamahala ng Terminal (Opsyonal):**
* Maraming mga terminal ng pampublikong transportasyon ang may mga tauhan ng seguridad o opisina ng pamamahala. Isaalang-alang ang pag-uulat ng iyong mga alala"&amp;"hanin sa kanila. Maaaring mayroon silang mga panloob na protocol para sa paghawak ng mga ganitong sitwasyon at maaaring ihatid ang impormasyon sa mga awtoridad. **Mahalagang Paalala:**
* Kung nasaksihan mo ang isang aktwal na transaksyon sa droga o pinagh"&amp;"ihinalaang may kinalaman ang karahasan, unahin ang iyong kaligtasan at iwasan ang direktang komprontasyon. Iulat kaagad ang insidente sa pamamagitan ng pagtawag sa police hotline (117).
**Tandaan:**
* Kahit na ang mga hindi kilalang ulat ay mahalaga para "&amp;"sa mga pagsisiyasat ng PDEA. Kung mas maraming detalye ang ibibigay mo, mas mahusay na may kagamitan ang mga awtoridad na mag-iimbestiga sa sitwasyon. * Sa pamamagitan ng pag-uulat ng iyong hinala, maaari kang mag-ambag sa isang mas ligtas na kapaligiran "&amp;"sa pampublikong transportasyon.")</f>
        <v>Ang sistemang legal ng Pilipinas ay nag-aalok ng ilang mga paraan upang imbestigahan at tugunan ang iyong hinala ng pagtutulak ng droga sa isang terminal ng pampublikong transportasyon. Narito ang maaari mong gawin:
**Iulat ang Insidente (Republic Act No. 9165 - Comprehensive Dangerous Drugs Act of 2002):**
* Hinihikayat ng RA 9165 ang pakikilahok ng mamamayan sa paglaban sa ilegal na droga. Maaari mong iulat ang iyong hinala nang hindi nagpapakilala sa pamamagitan ng mga sumusunod na pamamaraan:
* **Mga Hotline ng PDEA:** Ang Philippine Drug Enforcement Agency (PDEA) ay nagpapanatili ng 24/7 na mga hotline para sa hindi kilalang pag-uulat. I-text ang mga detalye tungkol sa terminal (pangalan, address) at anumang kahina-hinalang aktibidad na iyong naobserbahan sa naaangkop na numero batay sa iyong network:
* Smart/Sun: 0999-888 PDEA (7332)
* Globe: 0927-9150616
* **PDEA Website:** Bilang kahalili, iulat nang hindi nagpapakilala sa pamamagitan ng website ng PDEA: [https://pdea.gov.ph/](https://pdea.gov.ph/)
**Magtipon ng Ebidensya (Opsyonal):**
* Bagama't hindi sapilitan, kung sa tingin mo ay ligtas ka, subukang maingat na mangalap ng ilang ebidensya:
* Tandaan ang mga partikular na lugar sa loob ng terminal kung saan nangyayari ang kahina-hinalang aktibidad (hal., mga partikular na stall, waiting area).
* Kung maaari, kumuha ng mga larawan (nang hindi kumukuha ng mga mukha ng mga tao) sa mga lugar kung saan maaaring nagaganap ang mga transaksyon sa droga.
* Magtala ng mga tiyak na oras at petsa kung kailan ka nakasaksi ng kahina-hinalang aktibidad.
**Mag-ulat sa Pamamahala ng Terminal (Opsyonal):**
* Maraming mga terminal ng pampublikong transportasyon ang may mga tauhan ng seguridad o opisina ng pamamahala. Isaalang-alang ang pag-uulat ng iyong mga alalahanin sa kanila. Maaaring mayroon silang mga panloob na protocol para sa paghawak ng mga ganitong sitwasyon at maaaring ihatid ang impormasyon sa mga awtoridad. **Mahalagang Paalala:**
* Kung nasaksihan mo ang isang aktwal na transaksyon sa droga o pinaghihinalaang may kinalaman ang karahasan, unahin ang iyong kaligtasan at iwasan ang direktang komprontasyon. Iulat kaagad ang insidente sa pamamagitan ng pagtawag sa police hotline (117).
**Tandaan:**
* Kahit na ang mga hindi kilalang ulat ay mahalaga para sa mga pagsisiyasat ng PDEA. Kung mas maraming detalye ang ibibigay mo, mas mahusay na may kagamitan ang mga awtoridad na mag-iimbestiga sa sitwasyon. * Sa pamamagitan ng pag-uulat ng iyong hinala, maaari kang mag-ambag sa isang mas ligtas na kapaligiran sa pampublikong transportasyon.</v>
      </c>
      <c r="F2232" s="2">
        <f t="shared" si="1"/>
        <v>0</v>
      </c>
      <c r="G2232" s="2"/>
      <c r="H2232" s="2"/>
      <c r="I2232" s="2"/>
      <c r="J2232" s="2"/>
      <c r="K2232" s="2"/>
      <c r="L2232" s="2"/>
      <c r="M2232" s="2"/>
      <c r="N2232" s="2"/>
      <c r="O2232" s="2"/>
      <c r="P2232" s="2"/>
      <c r="Q2232" s="2"/>
      <c r="R2232" s="2"/>
      <c r="S2232" s="2"/>
      <c r="T2232" s="2"/>
      <c r="U2232" s="2"/>
      <c r="V2232" s="2"/>
      <c r="W2232" s="2"/>
      <c r="X2232" s="2"/>
      <c r="Y2232" s="2"/>
      <c r="Z2232" s="2"/>
      <c r="AA2232" s="2"/>
    </row>
    <row r="2233">
      <c r="A2233" s="3" t="s">
        <v>5259</v>
      </c>
      <c r="B2233" s="1" t="s">
        <v>5430</v>
      </c>
      <c r="C2233" s="3" t="s">
        <v>5431</v>
      </c>
      <c r="D2233" s="2" t="str">
        <f>IFERROR(__xludf.DUMMYFUNCTION("GOOGLETRANSLATE(B2233, ""en"", ""TL"")"),"Ang isang taong inaresto dahil sa pagkakaroon ng ilegal na droga ay nag-aangkin ng entrapment ng pagpapatupad ng batas. Paano pinangangasiwaan ang pagtatanggol sa entrapment sa ilalim ng batas ng Pilipinas?")</f>
        <v>Ang isang taong inaresto dahil sa pagkakaroon ng ilegal na droga ay nag-aangkin ng entrapment ng pagpapatupad ng batas. Paano pinangangasiwaan ang pagtatanggol sa entrapment sa ilalim ng batas ng Pilipinas?</v>
      </c>
      <c r="E2233" s="2" t="str">
        <f>IFERROR(__xludf.DUMMYFUNCTION("GOOGLETRANSLATE(C2233, ""en"", ""TL"")"),"Sa Pilipinas, kinikilala ang depensa ng entrapment sa mga kaso ng iligal na droga ngunit may mataas na burden of proof sa mga akusado. Narito kung paano pinangangasiwaan ng batas ng Pilipinas ang entrapment:
**Mahalagang Batas:**
* Ang pangunahing batas a"&amp;"y ang Republic Act No. 9165, na kilala rin bilang Comprehensive Dangerous Drugs Act of 2002 (RA 9165).
**Entrapment vs. Instigation:**
* Tinutukoy ng batas ng Pilipinas ang pagkakaiba sa pagitan ng entrapment at instigation. * **Entrapment** ay nangyayari"&amp;" kapag hinikayat ng tagapagpatupad ng batas ang isang taong masunurin sa batas na gumawa ng krimen na hindi niya sana ginawa. * **Pag-uudyok** ay nangyayari kapag aktibong nakikilahok ang tagapagpatupad ng batas sa krimen kasama ng isang paunang itinapon "&amp;"na nagkasala.
**Pagtatanggol sa Entrapment:**
* Para ma-claim ang entrapment bilang depensa sa ilalim ng RA 9165, kailangang patunayan ng akusado ang lahat ng sumusunod:
* **Dating Kakulangan ng Layuning Kriminal:** Dapat ipakita ng akusado na wala silang"&amp;" intensyon na gawin ang pagkakasala sa droga bago lapitan ng tagapagpatupad ng batas.
* **Pag-uudyok ng Pagpapatupad ng Batas:** Dapat ipakita ng akusado na hinikayat o hinikayat sila ng mga opisyal ng pagpapatupad ng batas na gawin ang krimen sa pamamagi"&amp;"tan ng panghihikayat, panggigipit, o iba pang mapilit na taktika.
* **Kawalan ng Predisposisyon:** Kailangang patunayan ng akusado na hindi pa sila predisposed na gawin ang pagkakasala sa droga.
**Mataas na Pasan ng Patunay:**
* Ang pasanin ng patunay par"&amp;"a sa entrapment ay ganap na nakasalalay sa mga akusado. Nangangahulugan ito na dapat silang magpakita ng nakakumbinsi na ebidensya upang suportahan ang kanilang mga claim.
**Pagsusuri ng Hukuman:**
* Maingat na susuriin ng mga korte ang ebidensyang ipinak"&amp;"ita ng parehong prosekusyon at depensa. Ang mga kadahilanan na isinasaalang-alang ay kinabibilangan ng:
* Kasaysayan ng krimen ng akusado (kung mayroon man)
* Ang kalikasan at lawak ng panghihikayat ng pagpapatupad ng batas
* Ang pag-uugali ng akusado sa "&amp;"sinasabing entrapment
**Mga Posibleng Resulta:**
* Kung natuklasan ng korte na ang entrapment ay itinatag, ang mga paratang laban sa akusado ay maaaring ibasura.
* Kung hindi mapatunayan ang entrapment, ang akusado ay mahaharap sa pag-uusig para sa mga ka"&amp;"so ng paghawak ng ilegal na droga.
**Mahalagang Tandaan:**
* Ang entrapment ay isang kumplikadong legal na depensa. Ang pagkonsulta sa isang kwalipikadong abogado ay mahalaga kung isasaalang-alang mo ang pagtatanggol na ito sa isang kaso ng ilegal na drog"&amp;"a.
* Ang mga ahensyang nagpapatupad ng batas ng Pilipinas ay awtorisado na magsagawa ng mga undercover na operasyon upang hulihin ang mga nagkasala ng droga. Gayunpaman, ang mga operasyong ito ay dapat isagawa sa loob ng mga legal na hangganan upang maiwa"&amp;"san ang mga paghahabol ng entrapment.")</f>
        <v>Sa Pilipinas, kinikilala ang depensa ng entrapment sa mga kaso ng iligal na droga ngunit may mataas na burden of proof sa mga akusado. Narito kung paano pinangangasiwaan ng batas ng Pilipinas ang entrapment:
**Mahalagang Batas:**
* Ang pangunahing batas ay ang Republic Act No. 9165, na kilala rin bilang Comprehensive Dangerous Drugs Act of 2002 (RA 9165).
**Entrapment vs. Instigation:**
* Tinutukoy ng batas ng Pilipinas ang pagkakaiba sa pagitan ng entrapment at instigation. * **Entrapment** ay nangyayari kapag hinikayat ng tagapagpatupad ng batas ang isang taong masunurin sa batas na gumawa ng krimen na hindi niya sana ginawa. * **Pag-uudyok** ay nangyayari kapag aktibong nakikilahok ang tagapagpatupad ng batas sa krimen kasama ng isang paunang itinapon na nagkasala.
**Pagtatanggol sa Entrapment:**
* Para ma-claim ang entrapment bilang depensa sa ilalim ng RA 9165, kailangang patunayan ng akusado ang lahat ng sumusunod:
* **Dating Kakulangan ng Layuning Kriminal:** Dapat ipakita ng akusado na wala silang intensyon na gawin ang pagkakasala sa droga bago lapitan ng tagapagpatupad ng batas.
* **Pag-uudyok ng Pagpapatupad ng Batas:** Dapat ipakita ng akusado na hinikayat o hinikayat sila ng mga opisyal ng pagpapatupad ng batas na gawin ang krimen sa pamamagitan ng panghihikayat, panggigipit, o iba pang mapilit na taktika.
* **Kawalan ng Predisposisyon:** Kailangang patunayan ng akusado na hindi pa sila predisposed na gawin ang pagkakasala sa droga.
**Mataas na Pasan ng Patunay:**
* Ang pasanin ng patunay para sa entrapment ay ganap na nakasalalay sa mga akusado. Nangangahulugan ito na dapat silang magpakita ng nakakumbinsi na ebidensya upang suportahan ang kanilang mga claim.
**Pagsusuri ng Hukuman:**
* Maingat na susuriin ng mga korte ang ebidensyang ipinakita ng parehong prosekusyon at depensa. Ang mga kadahilanan na isinasaalang-alang ay kinabibilangan ng:
* Kasaysayan ng krimen ng akusado (kung mayroon man)
* Ang kalikasan at lawak ng panghihikayat ng pagpapatupad ng batas
* Ang pag-uugali ng akusado sa sinasabing entrapment
**Mga Posibleng Resulta:**
* Kung natuklasan ng korte na ang entrapment ay itinatag, ang mga paratang laban sa akusado ay maaaring ibasura.
* Kung hindi mapatunayan ang entrapment, ang akusado ay mahaharap sa pag-uusig para sa mga kaso ng paghawak ng ilegal na droga.
**Mahalagang Tandaan:**
* Ang entrapment ay isang kumplikadong legal na depensa. Ang pagkonsulta sa isang kwalipikadong abogado ay mahalaga kung isasaalang-alang mo ang pagtatanggol na ito sa isang kaso ng ilegal na droga.
* Ang mga ahensyang nagpapatupad ng batas ng Pilipinas ay awtorisado na magsagawa ng mga undercover na operasyon upang hulihin ang mga nagkasala ng droga. Gayunpaman, ang mga operasyong ito ay dapat isagawa sa loob ng mga legal na hangganan upang maiwasan ang mga paghahabol ng entrapment.</v>
      </c>
      <c r="F2233" s="2">
        <f t="shared" si="1"/>
        <v>0</v>
      </c>
      <c r="G2233" s="2"/>
      <c r="H2233" s="2"/>
      <c r="I2233" s="2"/>
      <c r="J2233" s="2"/>
      <c r="K2233" s="2"/>
      <c r="L2233" s="2"/>
      <c r="M2233" s="2"/>
      <c r="N2233" s="2"/>
      <c r="O2233" s="2"/>
      <c r="P2233" s="2"/>
      <c r="Q2233" s="2"/>
      <c r="R2233" s="2"/>
      <c r="S2233" s="2"/>
      <c r="T2233" s="2"/>
      <c r="U2233" s="2"/>
      <c r="V2233" s="2"/>
      <c r="W2233" s="2"/>
      <c r="X2233" s="2"/>
      <c r="Y2233" s="2"/>
      <c r="Z2233" s="2"/>
      <c r="AA2233" s="2"/>
    </row>
    <row r="2234">
      <c r="A2234" s="3" t="s">
        <v>5259</v>
      </c>
      <c r="B2234" s="1" t="s">
        <v>5432</v>
      </c>
      <c r="C2234" s="3" t="s">
        <v>5433</v>
      </c>
      <c r="D2234" s="2" t="str">
        <f>IFERROR(__xludf.DUMMYFUNCTION("GOOGLETRANSLATE(B2234, ""en"", ""TL"")"),"Natuklasan mo na ang isang lokal na convenience store ay nagbebenta ng mga bagay na maaaring gamitin bilang mga drug paraphernalia. Anong mga legal na hakbang ang maaari mong gawin upang matugunan ang alalahaning ito at iulat ito?")</f>
        <v>Natuklasan mo na ang isang lokal na convenience store ay nagbebenta ng mga bagay na maaaring gamitin bilang mga drug paraphernalia. Anong mga legal na hakbang ang maaari mong gawin upang matugunan ang alalahaning ito at iulat ito?</v>
      </c>
      <c r="E2234" s="2" t="str">
        <f>IFERROR(__xludf.DUMMYFUNCTION("GOOGLETRANSLATE(C2234, ""en"", ""TL"")"),"Ang pagbebenta ng mga bagay na maaaring **pangunahing** gamitin bilang mga drug paraphernalia ay ilegal sa Pilipinas. Narito ang maaari mong gawin upang matugunan ang iyong alalahanin at iulat ang convenience store:
**Mag-ulat sa Philippine Drug Enforceme"&amp;"nt Agency (PDEA) (Republic Act No. 9165 - Comprehensive Dangerous Drugs Act of 2002):**
* Ang PDEA ang pangunahing ahensya na responsable sa pagpapatupad ng mga batas laban sa ilegal na droga at mga aktibidad na nauugnay. Maaari mong iulat ang tindahan na"&amp;"ng hindi nagpapakilala sa pamamagitan ng dalawang paraan:
* **Mga Hotline ng PDEA:** Tumawag o mag-text ng mga detalye tungkol sa tindahan (pangalan, address, mga partikular na item na ibinebenta) sa naaangkop na numero batay sa iyong network:
* Smart/Sun"&amp;": 0999-888 PDEA (7332)
* Globe: 0927-9150616
* **PDEA Website:** Mag-ulat nang hindi nagpapakilala sa pamamagitan ng website ng PDEA: [https://pdea.gov.ph/](https://pdea.gov.ph/)
**Magtipon ng Ebidensya (Opsyonal):**
* Bagama't hindi kinakailangan, kung s"&amp;"a tingin mo ay ligtas ka, isaalang-alang ang pangangalap ng ilang ebidensya upang suportahan ang iyong ulat:
* Kumuha ng mga larawan (nang hindi kumukuha ng mga mukha ng mga tao) ng mga partikular na bagay na ibinebenta na maaaring gamitin bilang mga drug"&amp;" paraphernalia. * Tandaan ang mga pangalan o tatak ng mga item na ito.
**Pag-unawa sa ""Pangunahing Ginagamit"" para sa Drug Paraphernalia:**
* Ang pangunahing pagkakaiba ay kung ang mga item ay idinisenyo at ibinebenta **pangunahin** para sa paggamit ng "&amp;"droga. Narito ang ilang halimbawa:
* Ang mga bagay na malinaw na idinisenyo para sa paggamit ng droga (e.head pipe, bongs) ay magiging ilegal na ibenta.
* Maaaring payagan ang mga item na may mga lehitimong alternatibong gamit (hal., rolling papers, small"&amp;" scales) kung pangunahing ibinebenta ng tindahan ang mga ito para sa mga alternatibong layuning iyon.
**Pag-uulat sa Mga Lokal na Awtoridad (Opsyonal):**
* Maaari mo ring iulat ang tindahan sa iyong lokal na barangay kapitan o opisina ng paglilisensya ng "&amp;"business permit. Bagama't maaaring wala silang direktang kapangyarihan sa pagpapatupad patungkol sa mga drug paraphernalia, maaari nilang imbestigahan ang sitwasyon at posibleng bawiin ang business permit ng tindahan kung makumpirma ang mga paglabag.
**Ta"&amp;"ndaan:**
* Kahit na ang mga hindi kilalang ulat ay mahalaga para sa mga pagsisiyasat ng PDEA. * Sa pamamagitan ng pag-uulat ng iyong alalahanin, maaari kang makatulong na pigilan ang tindahan mula sa hindi sinasadyang pag-ambag sa aktibidad ng ilegal na d"&amp;"roga.")</f>
        <v>Ang pagbebenta ng mga bagay na maaaring **pangunahing** gamitin bilang mga drug paraphernalia ay ilegal sa Pilipinas. Narito ang maaari mong gawin upang matugunan ang iyong alalahanin at iulat ang convenience store:
**Mag-ulat sa Philippine Drug Enforcement Agency (PDEA) (Republic Act No. 9165 - Comprehensive Dangerous Drugs Act of 2002):**
* Ang PDEA ang pangunahing ahensya na responsable sa pagpapatupad ng mga batas laban sa ilegal na droga at mga aktibidad na nauugnay. Maaari mong iulat ang tindahan nang hindi nagpapakilala sa pamamagitan ng dalawang paraan:
* **Mga Hotline ng PDEA:** Tumawag o mag-text ng mga detalye tungkol sa tindahan (pangalan, address, mga partikular na item na ibinebenta) sa naaangkop na numero batay sa iyong network:
* Smart/Sun: 0999-888 PDEA (7332)
* Globe: 0927-9150616
* **PDEA Website:** Mag-ulat nang hindi nagpapakilala sa pamamagitan ng website ng PDEA: [https://pdea.gov.ph/](https://pdea.gov.ph/)
**Magtipon ng Ebidensya (Opsyonal):**
* Bagama't hindi kinakailangan, kung sa tingin mo ay ligtas ka, isaalang-alang ang pangangalap ng ilang ebidensya upang suportahan ang iyong ulat:
* Kumuha ng mga larawan (nang hindi kumukuha ng mga mukha ng mga tao) ng mga partikular na bagay na ibinebenta na maaaring gamitin bilang mga drug paraphernalia. * Tandaan ang mga pangalan o tatak ng mga item na ito.
**Pag-unawa sa "Pangunahing Ginagamit" para sa Drug Paraphernalia:**
* Ang pangunahing pagkakaiba ay kung ang mga item ay idinisenyo at ibinebenta **pangunahin** para sa paggamit ng droga. Narito ang ilang halimbawa:
* Ang mga bagay na malinaw na idinisenyo para sa paggamit ng droga (e.head pipe, bongs) ay magiging ilegal na ibenta.
* Maaaring payagan ang mga item na may mga lehitimong alternatibong gamit (hal., rolling papers, small scales) kung pangunahing ibinebenta ng tindahan ang mga ito para sa mga alternatibong layuning iyon.
**Pag-uulat sa Mga Lokal na Awtoridad (Opsyonal):**
* Maaari mo ring iulat ang tindahan sa iyong lokal na barangay kapitan o opisina ng paglilisensya ng business permit. Bagama't maaaring wala silang direktang kapangyarihan sa pagpapatupad patungkol sa mga drug paraphernalia, maaari nilang imbestigahan ang sitwasyon at posibleng bawiin ang business permit ng tindahan kung makumpirma ang mga paglabag.
**Tandaan:**
* Kahit na ang mga hindi kilalang ulat ay mahalaga para sa mga pagsisiyasat ng PDEA. * Sa pamamagitan ng pag-uulat ng iyong alalahanin, maaari kang makatulong na pigilan ang tindahan mula sa hindi sinasadyang pag-ambag sa aktibidad ng ilegal na droga.</v>
      </c>
      <c r="F2234" s="2">
        <f t="shared" si="1"/>
        <v>0</v>
      </c>
      <c r="G2234" s="2"/>
      <c r="H2234" s="2"/>
      <c r="I2234" s="2"/>
      <c r="J2234" s="2"/>
      <c r="K2234" s="2"/>
      <c r="L2234" s="2"/>
      <c r="M2234" s="2"/>
      <c r="N2234" s="2"/>
      <c r="O2234" s="2"/>
      <c r="P2234" s="2"/>
      <c r="Q2234" s="2"/>
      <c r="R2234" s="2"/>
      <c r="S2234" s="2"/>
      <c r="T2234" s="2"/>
      <c r="U2234" s="2"/>
      <c r="V2234" s="2"/>
      <c r="W2234" s="2"/>
      <c r="X2234" s="2"/>
      <c r="Y2234" s="2"/>
      <c r="Z2234" s="2"/>
      <c r="AA2234" s="2"/>
    </row>
    <row r="2235">
      <c r="A2235" s="3" t="s">
        <v>5259</v>
      </c>
      <c r="B2235" s="1" t="s">
        <v>5434</v>
      </c>
      <c r="C2235" s="3" t="s">
        <v>5435</v>
      </c>
      <c r="D2235" s="2" t="str">
        <f>IFERROR(__xludf.DUMMYFUNCTION("GOOGLETRANSLATE(B2235, ""en"", ""TL"")"),"Sa isang regular na inspeksyon, nakahanap ang mga awtoridad ng isang establisyimento na gumagamit ng mga kinokontrol na precursor para sa paggawa ng ilegal na droga. Anong mga legal na kahihinatnan ang maaaring harapin ng may-ari ng negosyo?")</f>
        <v>Sa isang regular na inspeksyon, nakahanap ang mga awtoridad ng isang establisyimento na gumagamit ng mga kinokontrol na precursor para sa paggawa ng ilegal na droga. Anong mga legal na kahihinatnan ang maaaring harapin ng may-ari ng negosyo?</v>
      </c>
      <c r="E2235" s="2" t="str">
        <f>IFERROR(__xludf.DUMMYFUNCTION("GOOGLETRANSLATE(C2235, ""en"", ""TL"")"),"Sa Pilipinas, ang paggamit ng mga kinokontrol na precursor para sa paggawa ng ilegal na droga ay nagdudulot ng malubhang legal na kahihinatnan. Narito ang isang breakdown ng kung ano ang maaaring harapin ng may-ari ng negosyo batay sa batas ng Pilipinas:
"&amp;"**Batas:**
* Ang pangunahing batas ay ang Republic Act No. 9165, na kilala rin bilang Comprehensive Dangerous Drugs Act of 2002 (RA 9165).
**Mga Pagkakasala at Parusa:**
* **Seksyon 9: Ilegal na Paglilipat ng Kemikal:** Ipinagbabawal ng seksyong ito ang i"&amp;"ligal na paglilipat ng mga kinokontrol na precursor at mahahalagang kemikal. Kung makita ng mga awtoridad ang establisemento na gumagamit ng mga kinokontrol na precursor para sa paggawa ng ilegal na droga, nilalabag ng may-ari ang seksyong ito.
* **Mga Pa"&amp;"rusa:** Ang parusa para sa iligal na paglilipat ng kemikal sa ilalim ng RA 9165, Seksyon 9, ay pagkakulong mula labindalawang (12) taon at isang (1) araw hanggang dalawampung (20) taon at multa mula sa Isang daang libong piso (P100,000.00) hanggang Limang"&amp;" daang libong piso (P500,000.00).
**Mga Karagdagang Bunga:**
* **Pagkumpiska:** Malamang na kukumpiskahin ng mga awtoridad ang anumang kinokontrol na precursor na makikita sa establisyimento.
* **Pagbawi ng Business Permit:** Depende sa kalubhaan ng pagka"&amp;"kasala, maaaring bawiin ng gobyerno ang business permit ng establisimyento.
* **Mga Paghahabla sa Sibil:** Maaaring humarap ang may-ari ng negosyo sa mga kasong sibil mula sa mga indibidwal o entity na sinaktan ng mga aktibidad sa paggawa ng ilegal na dro"&amp;"ga.
**Mahahalagang Paalala:**
* Ang mga partikular na parusa ay maaaring mag-iba depende sa dami at uri ng mga kontroladong precursor na kasangkot, pati na rin ang anumang ebidensya ng layunin o mga naunang pagkakasala. * Ang may-ari ng negosyo ay may kar"&amp;"apatan sa legal na representasyon at maaaring labanan ang mga singil sa korte.
**Mga Rekomendasyon:**
* Kung isa kang may-ari ng negosyo at pinangangasiwaan ang mga kinokontrol na precursor, mahalagang magkaroon ng mahigpit na internal control system upan"&amp;"g matiyak na ang mga kemikal na ito ay ginagamit para sa mga lehitimong layunin lamang. * Kinakailangan ang wastong paglilisensya at mga permit para sa paghawak ng mga kinokontrol na precursor. * Ang pagkonsulta sa isang abogado na dalubhasa sa batas ng n"&amp;"egosyo at mga paglabag na may kaugnayan sa droga ay inirerekomenda para sa pag-navigate sa mga ganitong sitwasyon.")</f>
        <v>Sa Pilipinas, ang paggamit ng mga kinokontrol na precursor para sa paggawa ng ilegal na droga ay nagdudulot ng malubhang legal na kahihinatnan. Narito ang isang breakdown ng kung ano ang maaaring harapin ng may-ari ng negosyo batay sa batas ng Pilipinas:
**Batas:**
* Ang pangunahing batas ay ang Republic Act No. 9165, na kilala rin bilang Comprehensive Dangerous Drugs Act of 2002 (RA 9165).
**Mga Pagkakasala at Parusa:**
* **Seksyon 9: Ilegal na Paglilipat ng Kemikal:** Ipinagbabawal ng seksyong ito ang iligal na paglilipat ng mga kinokontrol na precursor at mahahalagang kemikal. Kung makita ng mga awtoridad ang establisemento na gumagamit ng mga kinokontrol na precursor para sa paggawa ng ilegal na droga, nilalabag ng may-ari ang seksyong ito.
* **Mga Parusa:** Ang parusa para sa iligal na paglilipat ng kemikal sa ilalim ng RA 9165, Seksyon 9, ay pagkakulong mula labindalawang (12) taon at isang (1) araw hanggang dalawampung (20) taon at multa mula sa Isang daang libong piso (P100,000.00) hanggang Limang daang libong piso (P500,000.00).
**Mga Karagdagang Bunga:**
* **Pagkumpiska:** Malamang na kukumpiskahin ng mga awtoridad ang anumang kinokontrol na precursor na makikita sa establisyimento.
* **Pagbawi ng Business Permit:** Depende sa kalubhaan ng pagkakasala, maaaring bawiin ng gobyerno ang business permit ng establisimyento.
* **Mga Paghahabla sa Sibil:** Maaaring humarap ang may-ari ng negosyo sa mga kasong sibil mula sa mga indibidwal o entity na sinaktan ng mga aktibidad sa paggawa ng ilegal na droga.
**Mahahalagang Paalala:**
* Ang mga partikular na parusa ay maaaring mag-iba depende sa dami at uri ng mga kontroladong precursor na kasangkot, pati na rin ang anumang ebidensya ng layunin o mga naunang pagkakasala. * Ang may-ari ng negosyo ay may karapatan sa legal na representasyon at maaaring labanan ang mga singil sa korte.
**Mga Rekomendasyon:**
* Kung isa kang may-ari ng negosyo at pinangangasiwaan ang mga kinokontrol na precursor, mahalagang magkaroon ng mahigpit na internal control system upang matiyak na ang mga kemikal na ito ay ginagamit para sa mga lehitimong layunin lamang. * Kinakailangan ang wastong paglilisensya at mga permit para sa paghawak ng mga kinokontrol na precursor. * Ang pagkonsulta sa isang abogado na dalubhasa sa batas ng negosyo at mga paglabag na may kaugnayan sa droga ay inirerekomenda para sa pag-navigate sa mga ganitong sitwasyon.</v>
      </c>
      <c r="F2235" s="2">
        <f t="shared" si="1"/>
        <v>0</v>
      </c>
      <c r="G2235" s="2"/>
      <c r="H2235" s="2"/>
      <c r="I2235" s="2"/>
      <c r="J2235" s="2"/>
      <c r="K2235" s="2"/>
      <c r="L2235" s="2"/>
      <c r="M2235" s="2"/>
      <c r="N2235" s="2"/>
      <c r="O2235" s="2"/>
      <c r="P2235" s="2"/>
      <c r="Q2235" s="2"/>
      <c r="R2235" s="2"/>
      <c r="S2235" s="2"/>
      <c r="T2235" s="2"/>
      <c r="U2235" s="2"/>
      <c r="V2235" s="2"/>
      <c r="W2235" s="2"/>
      <c r="X2235" s="2"/>
      <c r="Y2235" s="2"/>
      <c r="Z2235" s="2"/>
      <c r="AA2235" s="2"/>
    </row>
    <row r="2236">
      <c r="A2236" s="3" t="s">
        <v>5259</v>
      </c>
      <c r="B2236" s="1" t="s">
        <v>5436</v>
      </c>
      <c r="C2236" s="3" t="s">
        <v>5437</v>
      </c>
      <c r="D2236" s="2" t="str">
        <f>IFERROR(__xludf.DUMMYFUNCTION("GOOGLETRANSLATE(B2236, ""en"", ""TL"")"),"Nakatagpo ka ng grupo ng mga indibidwal na hayagang gumagamit ng droga sa isang pampublikong parke. Anong mga legal na aksyon ang maaari mong gawin upang matiyak ang kaligtasan ng publiko at iulat ang insidente sa mga awtoridad?")</f>
        <v>Nakatagpo ka ng grupo ng mga indibidwal na hayagang gumagamit ng droga sa isang pampublikong parke. Anong mga legal na aksyon ang maaari mong gawin upang matiyak ang kaligtasan ng publiko at iulat ang insidente sa mga awtoridad?</v>
      </c>
      <c r="E2236" s="2" t="str">
        <f>IFERROR(__xludf.DUMMYFUNCTION("GOOGLETRANSLATE(C2236, ""en"", ""TL"")"),"Narito ang mga legal na aksyon na maaari mong gawin upang matiyak ang kaligtasan ng publiko at iulat ang insidente ng paggamit ng droga sa isang pampublikong parke:
**Unahin ang Kaligtasan (Konstitusyon ng Pilipinas, Artikulo II, Seksyon 11):**
* Maaaring"&amp;" hindi mahuhulaan ang paggamit ng pampublikong droga. Huwag direktang lumapit sa grupo, lalo na kung tila sila ay lasing o agresibo. Ang iyong kaligtasan ay higit sa lahat. **Protektahan ang Publiko (Republic Act No. 9165 - Comprehensive Dangerous Drugs A"&amp;"ct of 2002):**
* **Tumawag sa Pulis:** I-dial ang 117, ang pambansang emergency hotline. Iulat ang insidente, na naglalarawan sa lokasyon (pangalan at address ng parke), ang bilang ng mga taong kasangkot, at anumang mga detalye tungkol sa kanilang hitsura"&amp;" o pananamit na makakatulong sa pagkilala sa kanila. **Iulat ang Insidente (Republic Act No. 9165):**
* Maaari mong iulat ang insidente nang hindi nagpapakilala. Hinihikayat ng Seksyon 76 ng RA 9165 ang mga mamamayan na mag-ulat ng mga aktibidad ng ilegal"&amp;" na droga. Narito ang dalawang opsyon para sa hindi kilalang pag-uulat:
* **PDEA Hotline:** Ang Philippine Drug Enforcement Agency (PDEA) ay nagpapanatili ng 24/7 hotlines. I-text ang mga detalye tungkol sa insidente sa naaangkop na numero batay sa iyong "&amp;"network:
* Smart/Sun: 0999-888 PDEA (7332)
* Globe: 0927-9150616
* **PDEA Website:** Bilang kahalili, iulat nang hindi nagpapakilala sa pamamagitan ng website ng PDEA: [https://pdea.gov.ph/](https://pdea.gov.ph/)
**Mga Karagdagang Tip:**
* Kung komportabl"&amp;"e ka, subukang maingat na tandaan ang anumang mga detalye na maaaring makatulong na makilala ang mga taong sangkot (mga paglalarawan, pananamit, direksyon na kanilang pinuntahan). * Maging handa na sagutin ang mga tanong mula sa pulisya o PDEA kung makiki"&amp;"pag-ugnayan sila sa iyo para sa karagdagang impormasyon.
**Tandaan:** * Sa pamamagitan ng pagsasagawa ng mga hakbang na ito, makakatulong kang matiyak ang kaligtasan ng iyong sarili at ng iba sa parke. * Kahit na ang mga hindi kilalang ulat ay mahalaga pa"&amp;"ra sa mga awtoridad sa pagsisiyasat ng aktibidad ng droga sa mga pampublikong lugar.")</f>
        <v>Narito ang mga legal na aksyon na maaari mong gawin upang matiyak ang kaligtasan ng publiko at iulat ang insidente ng paggamit ng droga sa isang pampublikong parke:
**Unahin ang Kaligtasan (Konstitusyon ng Pilipinas, Artikulo II, Seksyon 11):**
* Maaaring hindi mahuhulaan ang paggamit ng pampublikong droga. Huwag direktang lumapit sa grupo, lalo na kung tila sila ay lasing o agresibo. Ang iyong kaligtasan ay higit sa lahat. **Protektahan ang Publiko (Republic Act No. 9165 - Comprehensive Dangerous Drugs Act of 2002):**
* **Tumawag sa Pulis:** I-dial ang 117, ang pambansang emergency hotline. Iulat ang insidente, na naglalarawan sa lokasyon (pangalan at address ng parke), ang bilang ng mga taong kasangkot, at anumang mga detalye tungkol sa kanilang hitsura o pananamit na makakatulong sa pagkilala sa kanila. **Iulat ang Insidente (Republic Act No. 9165):**
* Maaari mong iulat ang insidente nang hindi nagpapakilala. Hinihikayat ng Seksyon 76 ng RA 9165 ang mga mamamayan na mag-ulat ng mga aktibidad ng ilegal na droga. Narito ang dalawang opsyon para sa hindi kilalang pag-uulat:
* **PDEA Hotline:** Ang Philippine Drug Enforcement Agency (PDEA) ay nagpapanatili ng 24/7 hotlines. I-text ang mga detalye tungkol sa insidente sa naaangkop na numero batay sa iyong network:
* Smart/Sun: 0999-888 PDEA (7332)
* Globe: 0927-9150616
* **PDEA Website:** Bilang kahalili, iulat nang hindi nagpapakilala sa pamamagitan ng website ng PDEA: [https://pdea.gov.ph/](https://pdea.gov.ph/)
**Mga Karagdagang Tip:**
* Kung komportable ka, subukang maingat na tandaan ang anumang mga detalye na maaaring makatulong na makilala ang mga taong sangkot (mga paglalarawan, pananamit, direksyon na kanilang pinuntahan). * Maging handa na sagutin ang mga tanong mula sa pulisya o PDEA kung makikipag-ugnayan sila sa iyo para sa karagdagang impormasyon.
**Tandaan:** * Sa pamamagitan ng pagsasagawa ng mga hakbang na ito, makakatulong kang matiyak ang kaligtasan ng iyong sarili at ng iba sa parke. * Kahit na ang mga hindi kilalang ulat ay mahalaga para sa mga awtoridad sa pagsisiyasat ng aktibidad ng droga sa mga pampublikong lugar.</v>
      </c>
      <c r="F2236" s="2">
        <f t="shared" si="1"/>
        <v>0</v>
      </c>
      <c r="G2236" s="2"/>
      <c r="H2236" s="2"/>
      <c r="I2236" s="2"/>
      <c r="J2236" s="2"/>
      <c r="K2236" s="2"/>
      <c r="L2236" s="2"/>
      <c r="M2236" s="2"/>
      <c r="N2236" s="2"/>
      <c r="O2236" s="2"/>
      <c r="P2236" s="2"/>
      <c r="Q2236" s="2"/>
      <c r="R2236" s="2"/>
      <c r="S2236" s="2"/>
      <c r="T2236" s="2"/>
      <c r="U2236" s="2"/>
      <c r="V2236" s="2"/>
      <c r="W2236" s="2"/>
      <c r="X2236" s="2"/>
      <c r="Y2236" s="2"/>
      <c r="Z2236" s="2"/>
      <c r="AA2236" s="2"/>
    </row>
    <row r="2237">
      <c r="A2237" s="3" t="s">
        <v>5259</v>
      </c>
      <c r="B2237" s="1" t="s">
        <v>5438</v>
      </c>
      <c r="C2237" s="3" t="s">
        <v>5439</v>
      </c>
      <c r="D2237" s="2" t="str">
        <f>IFERROR(__xludf.DUMMYFUNCTION("GOOGLETRANSLATE(B2237, ""en"", ""TL"")"),"Bilang miyembro ng isang asosasyon ng mga may-ari ng bahay, nakatanggap ka ng mga ulat ng isang residenteng nagpapatakbo ng isang lihim na laboratoryo ng droga. Anong mga legal na hakbang ang maaaring gawin ng asosasyon upang matugunan ang isyung ito?")</f>
        <v>Bilang miyembro ng isang asosasyon ng mga may-ari ng bahay, nakatanggap ka ng mga ulat ng isang residenteng nagpapatakbo ng isang lihim na laboratoryo ng droga. Anong mga legal na hakbang ang maaaring gawin ng asosasyon upang matugunan ang isyung ito?</v>
      </c>
      <c r="E2237" s="2" t="str">
        <f>IFERROR(__xludf.DUMMYFUNCTION("GOOGLETRANSLATE(C2237, ""en"", ""TL"")"),"Bilang miyembro ng homeowner's association (HOA), habang hindi mo direktang matugunan ang pinaghihinalaang clandestine drug laboratory nang mag-isa, may mga legal na hakbang na maaaring gawin ng HOA:
**Tumuon sa Kaligtasan (Konstitusyon ng Pilipinas, Arti"&amp;"kulo II, Seksyon 11):**
* Ang mga clandestine drug lab ay nagdudulot ng malaking sunog, pagsabog, at nakakalason na panganib. Ang priyoridad ng HOA ay tiyakin ang kaligtasan ng mga residente.
**Iulat ang Hinala (Republic Act No. 9165 - Comprehensive Dange"&amp;"rous Drugs Act of 2002):**
* **Kasangkot sa Pagpapatupad ng Batas:** Ang HOA board ay dapat maghain ng ulat sa Philippine Drug Enforcement Agency (PDEA). Ang PDEA ang pangunahing ahensyang responsable sa pag-iimbestiga at pagbuwag sa mga clandestine drug "&amp;"lab. Maaari silang makipag-ugnayan sa pamamagitan ng:
* **Mga Hotline ng PDEA:** Tumawag o mag-text ng mga detalye tungkol sa pinaghihinalaang lab (address ng residente, nakitang kahina-hinalang aktibidad) sa naaangkop na numero batay sa iyong network:
* "&amp;"Smart/Sun: 0999-888 PDEA (7332)
* Globe: 0927-9150616
* **PDEA Website:** Mag-ulat nang hindi nagpapakilala sa pamamagitan ng website ng PDEA: [https://pdea.gov.ph/](https://pdea.gov.ph/)
**Magtipon ng Ebidensya (Opsyonal):**
* Habang hindi direktang maka"&amp;"pasok ang HOA sa ari-arian ng residente, maaari nilang hikayatin ang mga residente na idokumento ang anumang kahina-hinalang aktibidad na naobserbahan malapit sa bahay ng suspek. Maaaring kabilang dito ang:
* Hindi pangkaraniwang amoy
* Labis na pagpunta "&amp;"at pagpunta ng mga tao sa kakaibang oras
* Mga lalagyan ng kemikal na dinadala sa bahay
**Mga Limitasyon sa Awtoridad ng HOA:**
* Ang HOA ay hindi maaaring magsagawa ng sarili nitong imbestigasyon o pumasok sa ari-arian ng residente nang walang warrant. *"&amp;" Ang pagpapaalis batay lamang sa hinala ay hindi ipinapayong.
**Makipagtulungan sa Mga Lokal na Awtoridad:**
* Ang HOA ay maaaring makipagtulungan sa lokal na kapitan ng barangay upang ipahayag ang mga alalahanin at humiling ng mas maraming patrol ng puli"&amp;"sya sa kapitbahayan.
**Mga Panukala sa Kaligtasan ng Resident:**
* Maaaring paalalahanan ng HOA ang mga residente ng mga protocol sa kaligtasan ng sunog at hikayatin silang iulat ang anumang kahina-hinalang aktibidad sa mga awtoridad.
**Legal na Payo:**
*"&amp;" Isaalang-alang ang pagkonsulta sa isang abogado na dalubhasa sa mga regulasyon ng HOA upang maunawaan ang mga legal na karapatan at limitasyon ng asosasyon sa paghawak sa sitwasyong ito.
**Tandaan:**
* Sa pamamagitan ng pag-uulat ng hinala at pakikipagtu"&amp;"lungan sa tagapagpatupad ng batas, ang HOA ay maaaring gumawa ng maagap na diskarte upang matiyak ang kaligtasan ng komunidad.")</f>
        <v>Bilang miyembro ng homeowner's association (HOA), habang hindi mo direktang matugunan ang pinaghihinalaang clandestine drug laboratory nang mag-isa, may mga legal na hakbang na maaaring gawin ng HOA:
**Tumuon sa Kaligtasan (Konstitusyon ng Pilipinas, Artikulo II, Seksyon 11):**
* Ang mga clandestine drug lab ay nagdudulot ng malaking sunog, pagsabog, at nakakalason na panganib. Ang priyoridad ng HOA ay tiyakin ang kaligtasan ng mga residente.
**Iulat ang Hinala (Republic Act No. 9165 - Comprehensive Dangerous Drugs Act of 2002):**
* **Kasangkot sa Pagpapatupad ng Batas:** Ang HOA board ay dapat maghain ng ulat sa Philippine Drug Enforcement Agency (PDEA). Ang PDEA ang pangunahing ahensyang responsable sa pag-iimbestiga at pagbuwag sa mga clandestine drug lab. Maaari silang makipag-ugnayan sa pamamagitan ng:
* **Mga Hotline ng PDEA:** Tumawag o mag-text ng mga detalye tungkol sa pinaghihinalaang lab (address ng residente, nakitang kahina-hinalang aktibidad) sa naaangkop na numero batay sa iyong network:
* Smart/Sun: 0999-888 PDEA (7332)
* Globe: 0927-9150616
* **PDEA Website:** Mag-ulat nang hindi nagpapakilala sa pamamagitan ng website ng PDEA: [https://pdea.gov.ph/](https://pdea.gov.ph/)
**Magtipon ng Ebidensya (Opsyonal):**
* Habang hindi direktang makapasok ang HOA sa ari-arian ng residente, maaari nilang hikayatin ang mga residente na idokumento ang anumang kahina-hinalang aktibidad na naobserbahan malapit sa bahay ng suspek. Maaaring kabilang dito ang:
* Hindi pangkaraniwang amoy
* Labis na pagpunta at pagpunta ng mga tao sa kakaibang oras
* Mga lalagyan ng kemikal na dinadala sa bahay
**Mga Limitasyon sa Awtoridad ng HOA:**
* Ang HOA ay hindi maaaring magsagawa ng sarili nitong imbestigasyon o pumasok sa ari-arian ng residente nang walang warrant. * Ang pagpapaalis batay lamang sa hinala ay hindi ipinapayong.
**Makipagtulungan sa Mga Lokal na Awtoridad:**
* Ang HOA ay maaaring makipagtulungan sa lokal na kapitan ng barangay upang ipahayag ang mga alalahanin at humiling ng mas maraming patrol ng pulisya sa kapitbahayan.
**Mga Panukala sa Kaligtasan ng Resident:**
* Maaaring paalalahanan ng HOA ang mga residente ng mga protocol sa kaligtasan ng sunog at hikayatin silang iulat ang anumang kahina-hinalang aktibidad sa mga awtoridad.
**Legal na Payo:**
* Isaalang-alang ang pagkonsulta sa isang abogado na dalubhasa sa mga regulasyon ng HOA upang maunawaan ang mga legal na karapatan at limitasyon ng asosasyon sa paghawak sa sitwasyong ito.
**Tandaan:**
* Sa pamamagitan ng pag-uulat ng hinala at pakikipagtulungan sa tagapagpatupad ng batas, ang HOA ay maaaring gumawa ng maagap na diskarte upang matiyak ang kaligtasan ng komunidad.</v>
      </c>
      <c r="F2237" s="2">
        <f t="shared" si="1"/>
        <v>0</v>
      </c>
      <c r="G2237" s="2"/>
      <c r="H2237" s="2"/>
      <c r="I2237" s="2"/>
      <c r="J2237" s="2"/>
      <c r="K2237" s="2"/>
      <c r="L2237" s="2"/>
      <c r="M2237" s="2"/>
      <c r="N2237" s="2"/>
      <c r="O2237" s="2"/>
      <c r="P2237" s="2"/>
      <c r="Q2237" s="2"/>
      <c r="R2237" s="2"/>
      <c r="S2237" s="2"/>
      <c r="T2237" s="2"/>
      <c r="U2237" s="2"/>
      <c r="V2237" s="2"/>
      <c r="W2237" s="2"/>
      <c r="X2237" s="2"/>
      <c r="Y2237" s="2"/>
      <c r="Z2237" s="2"/>
      <c r="AA2237" s="2"/>
    </row>
    <row r="2238">
      <c r="A2238" s="3" t="s">
        <v>5259</v>
      </c>
      <c r="B2238" s="1" t="s">
        <v>5440</v>
      </c>
      <c r="C2238" s="3" t="s">
        <v>5441</v>
      </c>
      <c r="D2238" s="2" t="str">
        <f>IFERROR(__xludf.DUMMYFUNCTION("GOOGLETRANSLATE(B2238, ""en"", ""TL"")"),"Pinaghihinalaan mo na ang isang relihiyosong pagtitipon ay pinapasok para sa layunin ng pagtutulak ng droga. Anong mga legal na hakbang ang maaari mong gawin para iulat ang hinalang ito at protektahan ang kongregasyon?")</f>
        <v>Pinaghihinalaan mo na ang isang relihiyosong pagtitipon ay pinapasok para sa layunin ng pagtutulak ng droga. Anong mga legal na hakbang ang maaari mong gawin para iulat ang hinalang ito at protektahan ang kongregasyon?</v>
      </c>
      <c r="E2238" s="2" t="str">
        <f>IFERROR(__xludf.DUMMYFUNCTION("GOOGLETRANSLATE(C2238, ""en"", ""TL"")"),"Ang sitwasyon ay nangangailangan ng isang maselang balanse sa pagitan ng pagprotekta sa kongregasyon at paggalang sa karapatan sa kalayaan sa relihiyon. Narito ang maaari mong gawin:
**Magtipon ng Ebidensya (Opsyonal, unahin ang kaligtasan):**
* Kung maga"&amp;"gawa mo lamang ito nang maingat at ligtas, subukang mangalap ng ilang ebidensya upang suportahan ang iyong mga hinala. Maaaring kabilang dito ang:
* Pagtanda ng mga partikular na oras at petsa ng kahina-hinalang aktibidad (hindi pangkaraniwang pagdating/p"&amp;"ag-alis, pagpapalitan ng mga kalakal).
* Pagmamasid sa anumang natatanging katangian o paglalarawan ng mga taong sangkot sa pinaghihinalaang aktibidad.
**Mag-ulat sa mga Pinuno ng Relihiyoso:**
* Ang pinakasensitibong paraan ay iulat muna ang iyong mga hi"&amp;"nala sa mga pinuno ng relihiyon ng pagtitipon. Maaaring hindi nila alam ang sitwasyon at maaaring gumawa ng mga panloob na hakbang upang matugunan ito habang pinoprotektahan ang kanilang kongregasyon.
**Mag-ulat sa Mga Awtoridad (Republic Act No. 9165 - C"&amp;"omprehensive Dangerous Drugs Act of 2002):**
* Kung hindi ka komportable na direktang lumapit sa mga lider ng relihiyon, o kung nagpapatuloy ang hinala, iulat ito sa mga awtoridad. Narito ang dalawang opsyon para sa hindi kilalang pag-uulat:
* **PDEA Hotl"&amp;"ine:** Ang Philippine Drug Enforcement Agency (PDEA) ay nagpapanatili ng 24/7 hotlines. I-text ang mga detalye tungkol sa pagtitipon (lokasyon, pangalan ng relihiyosong grupo, kahina-hinalang aktibidad) sa naaangkop na numero batay sa iyong network:
* Sma"&amp;"rt/Sun: 0999-888 PDEA (7332)
* Globe: 0927-9150616
* **PDEA Website:** Bilang kahalili, iulat nang hindi nagpapakilala sa pamamagitan ng website ng PDEA: [https://pdea.gov.ph/](https://pdea.gov.ph/)
**Magbigay ng Tiyak na Impormasyon:**
* Kapag nag-uulat,"&amp;" maging tiyak hangga't maaari tungkol sa kahina-hinalang aktibidad at lokasyon ng pagtitipon. Makakatulong ito sa mga awtoridad na epektibong mag-imbestiga.
**Panatilihin ang Anonymity (Opsyonal):**
* Maaari kang mag-ulat nang hindi nagpapakilala sa ilali"&amp;"m ng RA 9165.
**Pagprotekta sa Kongregasyon:**
* Isaalang-alang ang pagmumungkahi ng karagdagang mga hakbang sa seguridad para sa pagtitipon, tulad ng mga boluntaryong tauhan ng seguridad o pagtaas ng pagbabantay sa mga miyembro.
**Tandaan:**
* Napakahala"&amp;"ga ng pagkakaroon ng balanse sa pagitan ng pagprotekta sa kongregasyon at paggalang sa kalayaan sa relihiyon. Sa pamamagitan ng pag-uulat ng iyong hinala at pagbibigay ng mga detalye, matutulungan mo ang mga awtoridad na mag-imbestiga nang hindi nakakaaba"&amp;"la sa mismong pagtitipon ng relihiyon.")</f>
        <v>Ang sitwasyon ay nangangailangan ng isang maselang balanse sa pagitan ng pagprotekta sa kongregasyon at paggalang sa karapatan sa kalayaan sa relihiyon. Narito ang maaari mong gawin:
**Magtipon ng Ebidensya (Opsyonal, unahin ang kaligtasan):**
* Kung magagawa mo lamang ito nang maingat at ligtas, subukang mangalap ng ilang ebidensya upang suportahan ang iyong mga hinala. Maaaring kabilang dito ang:
* Pagtanda ng mga partikular na oras at petsa ng kahina-hinalang aktibidad (hindi pangkaraniwang pagdating/pag-alis, pagpapalitan ng mga kalakal).
* Pagmamasid sa anumang natatanging katangian o paglalarawan ng mga taong sangkot sa pinaghihinalaang aktibidad.
**Mag-ulat sa mga Pinuno ng Relihiyoso:**
* Ang pinakasensitibong paraan ay iulat muna ang iyong mga hinala sa mga pinuno ng relihiyon ng pagtitipon. Maaaring hindi nila alam ang sitwasyon at maaaring gumawa ng mga panloob na hakbang upang matugunan ito habang pinoprotektahan ang kanilang kongregasyon.
**Mag-ulat sa Mga Awtoridad (Republic Act No. 9165 - Comprehensive Dangerous Drugs Act of 2002):**
* Kung hindi ka komportable na direktang lumapit sa mga lider ng relihiyon, o kung nagpapatuloy ang hinala, iulat ito sa mga awtoridad. Narito ang dalawang opsyon para sa hindi kilalang pag-uulat:
* **PDEA Hotline:** Ang Philippine Drug Enforcement Agency (PDEA) ay nagpapanatili ng 24/7 hotlines. I-text ang mga detalye tungkol sa pagtitipon (lokasyon, pangalan ng relihiyosong grupo, kahina-hinalang aktibidad) sa naaangkop na numero batay sa iyong network:
* Smart/Sun: 0999-888 PDEA (7332)
* Globe: 0927-9150616
* **PDEA Website:** Bilang kahalili, iulat nang hindi nagpapakilala sa pamamagitan ng website ng PDEA: [https://pdea.gov.ph/](https://pdea.gov.ph/)
**Magbigay ng Tiyak na Impormasyon:**
* Kapag nag-uulat, maging tiyak hangga't maaari tungkol sa kahina-hinalang aktibidad at lokasyon ng pagtitipon. Makakatulong ito sa mga awtoridad na epektibong mag-imbestiga.
**Panatilihin ang Anonymity (Opsyonal):**
* Maaari kang mag-ulat nang hindi nagpapakilala sa ilalim ng RA 9165.
**Pagprotekta sa Kongregasyon:**
* Isaalang-alang ang pagmumungkahi ng karagdagang mga hakbang sa seguridad para sa pagtitipon, tulad ng mga boluntaryong tauhan ng seguridad o pagtaas ng pagbabantay sa mga miyembro.
**Tandaan:**
* Napakahalaga ng pagkakaroon ng balanse sa pagitan ng pagprotekta sa kongregasyon at paggalang sa kalayaan sa relihiyon. Sa pamamagitan ng pag-uulat ng iyong hinala at pagbibigay ng mga detalye, matutulungan mo ang mga awtoridad na mag-imbestiga nang hindi nakakaabala sa mismong pagtitipon ng relihiyon.</v>
      </c>
      <c r="F2238" s="2">
        <f t="shared" si="1"/>
        <v>0</v>
      </c>
      <c r="G2238" s="2"/>
      <c r="H2238" s="2"/>
      <c r="I2238" s="2"/>
      <c r="J2238" s="2"/>
      <c r="K2238" s="2"/>
      <c r="L2238" s="2"/>
      <c r="M2238" s="2"/>
      <c r="N2238" s="2"/>
      <c r="O2238" s="2"/>
      <c r="P2238" s="2"/>
      <c r="Q2238" s="2"/>
      <c r="R2238" s="2"/>
      <c r="S2238" s="2"/>
      <c r="T2238" s="2"/>
      <c r="U2238" s="2"/>
      <c r="V2238" s="2"/>
      <c r="W2238" s="2"/>
      <c r="X2238" s="2"/>
      <c r="Y2238" s="2"/>
      <c r="Z2238" s="2"/>
      <c r="AA2238" s="2"/>
    </row>
    <row r="2239">
      <c r="A2239" s="3" t="s">
        <v>5259</v>
      </c>
      <c r="B2239" s="1" t="s">
        <v>5442</v>
      </c>
      <c r="C2239" s="3" t="s">
        <v>5443</v>
      </c>
      <c r="D2239" s="2" t="str">
        <f>IFERROR(__xludf.DUMMYFUNCTION("GOOGLETRANSLATE(B2239, ""en"", ""TL"")"),"Ibinunyag ng isang kasamahan na sila ay pinilit na makisali sa trafficking ng droga sa loob ng lugar ng trabaho. Anong legal na suporta at payo ang maaari mong ibigay upang tulungan ang iyong kasamahan?")</f>
        <v>Ibinunyag ng isang kasamahan na sila ay pinilit na makisali sa trafficking ng droga sa loob ng lugar ng trabaho. Anong legal na suporta at payo ang maaari mong ibigay upang tulungan ang iyong kasamahan?</v>
      </c>
      <c r="E2239" s="2" t="str">
        <f>IFERROR(__xludf.DUMMYFUNCTION("GOOGLETRANSLATE(C2239, ""en"", ""TL"")"),"Narito kung paano ka makakapagbigay ng legal na suporta at payo sa iyong kasamahan na pinilit na makisali sa trafficking ng droga sa trabaho:
**Priyoridad ang Kaligtasan at Pagiging Kumpidensyal:**
* Tiyakin sa iyong kasamahan na ginawa nila ang tama sa p"&amp;"amamagitan ng pagtitiwala sa iyo. * Bigyang-diin na hindi mo isisiwalat ang impormasyong ito sa sinuman nang walang pahintulot nila (Republic Act No. 10173 - Data Privacy Act of 2012).
**Iulat ang Insidente (Opsyonal):**
* Ipaliwanag na ang pagtutulak ng "&amp;"droga ay isang seryosong krimen, at hindi sila dapat mapasailalim sa gayong panggigipit. * Talakayin ang mga opsyon sa pag-uulat, na isinasaisip ang antas ng kaginhawaan ng iyong kasamahan:
* **Pulis:** Maaari nilang direktang iulat ang insidente sa pulis"&amp;"ya sa pamamagitan ng pagtawag sa 117. * **Departamento ng HR ng Kumpanya:** Depende sa mga patakaran ng iyong kumpanya at tiwala ng iyong kasamahan sa HR, maaaring isang opsyon ang pag-uulat sa loob. Gayunpaman, maaaring mag-alinlangan ang ilang mga kasam"&amp;"ahan na mag-ulat sa loob dahil sa takot sa paghihiganti. * **PDEA Hotline:** Maaari silang mag-ulat nang hindi nagpapakilala sa Philippine Drug Enforcement Agency (PDEA) hotline. I-text ang mga detalye tungkol sa insidente (pangalan ng kumpanya, lokasyon,"&amp;" paglalarawan ng pressure) sa naaangkop na numero batay sa kanilang network:
* Smart/Sun: 0999-888 PDEA (7332)
* Globe: 0927-9150616
**Magbigay ng Suporta at Mga Mapagkukunan:**
* Ipaalam sa iyong kasamahan na hindi sila nag-iisa at nag-aalok ng emosyonal"&amp;" na suporta. * Magsaliksik at magbahagi ng mga mapagkukunan:
* Mga hotline ng gobyerno para sa pag-uulat ng trafficking ng droga (nabanggit sa itaas)
* Employee assistance programs (EAPs) na inaalok ng kumpanya, kung mayroon. Ang mga EAP ay nagbibigay ng "&amp;"kumpidensyal na pagpapayo at suporta para sa mga empleyadong nahaharap sa iba't ibang hamon.
* Mga organisasyon ng legal na tulong na dalubhasa sa batas sa paggawa, kung ang iyong kasamahan ay natatakot sa paghihiganti at nangangailangan ng tulong sa pag-"&amp;"navigate sa pag-uulat sa loob.
**Panatilihin ang Kaligtasan sa Lugar ng Trabaho:**
* Payuhan ang iyong kasamahan na iwasan ang higit pang pakikipag-ugnayan sa mga taong nagpipilit sa kanila.
* Kung ang pressure ay magpapatuloy o tumataas sa loob ng lugar "&amp;"ng trabaho, hikayatin silang idokumento ang mga insidente (mga petsa, oras, detalye ng sinabi o ginawa). Ang dokumentasyon ay maaaring maging kapaki-pakinabang na ebidensya kung kailangan ng karagdagang aksyon.
**Mahalagang Paalala:**
* Hindi mo maaaring "&amp;"pilitin ang iyong kasamahan na iulat ang insidente. Igalang ang kanilang desisyon, ngunit bigyang-diin ang kahalagahan ng paghingi ng tulong at pagtiyak ng kanilang kaligtasan.
**Disclaimer:** * Hindi ako makakapagbigay ng partikular na legal na payo. Kun"&amp;"g ang iyong kasamahan ay nangangailangan ng legal na payo, irekomenda ang pagkonsulta sa isang abogado na dalubhasa sa batas sa paggawa o kriminal na depensa.
**Tandaan:**
* Sa pamamagitan ng pagbibigay ng suporta at impormasyon, maaari mong bigyan ng kap"&amp;"angyarihan ang iyong kasamahan na gumawa ng matalinong mga desisyon tungkol sa kanilang kaligtasan at kapakanan. Maaari ka ring tumulong na lumikha ng isang kapaligiran sa trabaho na walang panliligalig at pamimilit.")</f>
        <v>Narito kung paano ka makakapagbigay ng legal na suporta at payo sa iyong kasamahan na pinilit na makisali sa trafficking ng droga sa trabaho:
**Priyoridad ang Kaligtasan at Pagiging Kumpidensyal:**
* Tiyakin sa iyong kasamahan na ginawa nila ang tama sa pamamagitan ng pagtitiwala sa iyo. * Bigyang-diin na hindi mo isisiwalat ang impormasyong ito sa sinuman nang walang pahintulot nila (Republic Act No. 10173 - Data Privacy Act of 2012).
**Iulat ang Insidente (Opsyonal):**
* Ipaliwanag na ang pagtutulak ng droga ay isang seryosong krimen, at hindi sila dapat mapasailalim sa gayong panggigipit. * Talakayin ang mga opsyon sa pag-uulat, na isinasaisip ang antas ng kaginhawaan ng iyong kasamahan:
* **Pulis:** Maaari nilang direktang iulat ang insidente sa pulisya sa pamamagitan ng pagtawag sa 117. * **Departamento ng HR ng Kumpanya:** Depende sa mga patakaran ng iyong kumpanya at tiwala ng iyong kasamahan sa HR, maaaring isang opsyon ang pag-uulat sa loob. Gayunpaman, maaaring mag-alinlangan ang ilang mga kasamahan na mag-ulat sa loob dahil sa takot sa paghihiganti. * **PDEA Hotline:** Maaari silang mag-ulat nang hindi nagpapakilala sa Philippine Drug Enforcement Agency (PDEA) hotline. I-text ang mga detalye tungkol sa insidente (pangalan ng kumpanya, lokasyon, paglalarawan ng pressure) sa naaangkop na numero batay sa kanilang network:
* Smart/Sun: 0999-888 PDEA (7332)
* Globe: 0927-9150616
**Magbigay ng Suporta at Mga Mapagkukunan:**
* Ipaalam sa iyong kasamahan na hindi sila nag-iisa at nag-aalok ng emosyonal na suporta. * Magsaliksik at magbahagi ng mga mapagkukunan:
* Mga hotline ng gobyerno para sa pag-uulat ng trafficking ng droga (nabanggit sa itaas)
* Employee assistance programs (EAPs) na inaalok ng kumpanya, kung mayroon. Ang mga EAP ay nagbibigay ng kumpidensyal na pagpapayo at suporta para sa mga empleyadong nahaharap sa iba't ibang hamon.
* Mga organisasyon ng legal na tulong na dalubhasa sa batas sa paggawa, kung ang iyong kasamahan ay natatakot sa paghihiganti at nangangailangan ng tulong sa pag-navigate sa pag-uulat sa loob.
**Panatilihin ang Kaligtasan sa Lugar ng Trabaho:**
* Payuhan ang iyong kasamahan na iwasan ang higit pang pakikipag-ugnayan sa mga taong nagpipilit sa kanila.
* Kung ang pressure ay magpapatuloy o tumataas sa loob ng lugar ng trabaho, hikayatin silang idokumento ang mga insidente (mga petsa, oras, detalye ng sinabi o ginawa). Ang dokumentasyon ay maaaring maging kapaki-pakinabang na ebidensya kung kailangan ng karagdagang aksyon.
**Mahalagang Paalala:**
* Hindi mo maaaring pilitin ang iyong kasamahan na iulat ang insidente. Igalang ang kanilang desisyon, ngunit bigyang-diin ang kahalagahan ng paghingi ng tulong at pagtiyak ng kanilang kaligtasan.
**Disclaimer:** * Hindi ako makakapagbigay ng partikular na legal na payo. Kung ang iyong kasamahan ay nangangailangan ng legal na payo, irekomenda ang pagkonsulta sa isang abogado na dalubhasa sa batas sa paggawa o kriminal na depensa.
**Tandaan:**
* Sa pamamagitan ng pagbibigay ng suporta at impormasyon, maaari mong bigyan ng kapangyarihan ang iyong kasamahan na gumawa ng matalinong mga desisyon tungkol sa kanilang kaligtasan at kapakanan. Maaari ka ring tumulong na lumikha ng isang kapaligiran sa trabaho na walang panliligalig at pamimilit.</v>
      </c>
      <c r="F2239" s="2">
        <f t="shared" si="1"/>
        <v>0</v>
      </c>
      <c r="G2239" s="2"/>
      <c r="H2239" s="2"/>
      <c r="I2239" s="2"/>
      <c r="J2239" s="2"/>
      <c r="K2239" s="2"/>
      <c r="L2239" s="2"/>
      <c r="M2239" s="2"/>
      <c r="N2239" s="2"/>
      <c r="O2239" s="2"/>
      <c r="P2239" s="2"/>
      <c r="Q2239" s="2"/>
      <c r="R2239" s="2"/>
      <c r="S2239" s="2"/>
      <c r="T2239" s="2"/>
      <c r="U2239" s="2"/>
      <c r="V2239" s="2"/>
      <c r="W2239" s="2"/>
      <c r="X2239" s="2"/>
      <c r="Y2239" s="2"/>
      <c r="Z2239" s="2"/>
      <c r="AA2239" s="2"/>
    </row>
    <row r="2240">
      <c r="A2240" s="3" t="s">
        <v>5259</v>
      </c>
      <c r="B2240" s="1" t="s">
        <v>5444</v>
      </c>
      <c r="C2240" s="3" t="s">
        <v>5445</v>
      </c>
      <c r="D2240" s="2" t="str">
        <f>IFERROR(__xludf.DUMMYFUNCTION("GOOGLETRANSLATE(B2240, ""en"", ""TL"")"),"Nalaman mo na ang isang taxi driver ay nangangasiwa sa mga deal ng droga sa kanilang mga sakay. Anong mga legal na aksyon ang maaaring gawin upang iulat ang sitwasyong ito at protektahan ang kaligtasan ng publiko?")</f>
        <v>Nalaman mo na ang isang taxi driver ay nangangasiwa sa mga deal ng droga sa kanilang mga sakay. Anong mga legal na aksyon ang maaaring gawin upang iulat ang sitwasyong ito at protektahan ang kaligtasan ng publiko?</v>
      </c>
      <c r="E2240" s="2" t="str">
        <f>IFERROR(__xludf.DUMMYFUNCTION("GOOGLETRANSLATE(C2240, ""en"", ""TL"")"),"Narito ang maaari mong gawin upang iulat ang driver ng taxi at protektahan ang kaligtasan ng publiko batay sa batas ng Pilipinas:
**Pag-uulat ng Krimen:**
* **Philippine National Police (PNP):** Maaari mong i-report ang taxi driver sa pinakamalapit na ist"&amp;"asyon ng pulisya. Ilarawan ang sitwasyon nang detalyado, kabilang ang hitsura ng driver, mga detalye ng taxi (kumpanya ng taxi, plate number), at anumang iba pang nauugnay na impormasyon. Mayroon ding mga PNP hotline na maaari mong tawagan para sa pag-uul"&amp;"at: * 117 (PNP emergency hotline)
* (Area code) - 8822-2222 (Police station hotline para sa iyong lugar)
* **Philippine Drug Enforcement Agency (PDEA):** Maaari mong iulat ang krimen sa PDEA sa pamamagitan ng kanilang hotline: 1333. * *Kung mas komportabl"&amp;"e kang mag-ulat nang hindi nagpapakilala, maaari mong gamitin ang PDEA anonymous hotline: 0918-444-2641 .
**Mga Kaugnay na Batas:**
* **Comprehensive Dangerous Drugs Act of 2002 (Republic Act No. 9165):** Ipinagbabawal ng batas na ito ang paggawa, pagmama"&amp;"y-ari, pagbebenta, pamamahagi, at paggamit ng mga ilegal na droga. Ang pagtulong o pagpapadali sa pagbebenta o pamamahagi ng mga ilegal na droga ay isang krimen sa ilalim ng batas na ito.
* **Konstitusyon ng Pilipinas (Artikulo III, Seksyon 3):** Ginagara"&amp;"ntiyahan ng Konstitusyon ang karapatan sa seguridad ng tao at ari-arian. Ang pag-uulat ng krimen ay nakakatulong na protektahan ang kaligtasan ng publiko mula sa ilegal na droga.
**Pagprotekta sa Iyong Sarili:**
* **Huwag harapin ang taxi driver.** Iulat "&amp;"ang krimen sa mga awtoridad at hayaan silang humawak sa imbestigasyon.
* **Kung maaari, mangalap ng ebidensya.** Itala ang mga detalye tulad ng numero ng plaka ng taxi, paglalarawan ng driver, at anumang petsa/oras na nakakita ka ng kahina-hinalang aktibi"&amp;"dad. Maaari mo ring isaalang-alang ang pagkuha ng mga detalye sa pakikipag-ugnayan ng sinumang iba pang pasahero na maaaring handang maging saksi.
Sa pamamagitan ng pag-uulat ng krimen, maaari kang tumulong na alisin ang isang mapanganib na aktor sa mga l"&amp;"ansangan at protektahan ang kaligtasan ng publiko. Tandaan, maaari kang mag-ulat nang hindi nagpapakilala kung gusto mo.")</f>
        <v>Narito ang maaari mong gawin upang iulat ang driver ng taxi at protektahan ang kaligtasan ng publiko batay sa batas ng Pilipinas:
**Pag-uulat ng Krimen:**
* **Philippine National Police (PNP):** Maaari mong i-report ang taxi driver sa pinakamalapit na istasyon ng pulisya. Ilarawan ang sitwasyon nang detalyado, kabilang ang hitsura ng driver, mga detalye ng taxi (kumpanya ng taxi, plate number), at anumang iba pang nauugnay na impormasyon. Mayroon ding mga PNP hotline na maaari mong tawagan para sa pag-uulat: * 117 (PNP emergency hotline)
* (Area code) - 8822-2222 (Police station hotline para sa iyong lugar)
* **Philippine Drug Enforcement Agency (PDEA):** Maaari mong iulat ang krimen sa PDEA sa pamamagitan ng kanilang hotline: 1333. * *Kung mas komportable kang mag-ulat nang hindi nagpapakilala, maaari mong gamitin ang PDEA anonymous hotline: 0918-444-2641 .
**Mga Kaugnay na Batas:**
* **Comprehensive Dangerous Drugs Act of 2002 (Republic Act No. 9165):** Ipinagbabawal ng batas na ito ang paggawa, pagmamay-ari, pagbebenta, pamamahagi, at paggamit ng mga ilegal na droga. Ang pagtulong o pagpapadali sa pagbebenta o pamamahagi ng mga ilegal na droga ay isang krimen sa ilalim ng batas na ito.
* **Konstitusyon ng Pilipinas (Artikulo III, Seksyon 3):** Ginagarantiyahan ng Konstitusyon ang karapatan sa seguridad ng tao at ari-arian. Ang pag-uulat ng krimen ay nakakatulong na protektahan ang kaligtasan ng publiko mula sa ilegal na droga.
**Pagprotekta sa Iyong Sarili:**
* **Huwag harapin ang taxi driver.** Iulat ang krimen sa mga awtoridad at hayaan silang humawak sa imbestigasyon.
* **Kung maaari, mangalap ng ebidensya.** Itala ang mga detalye tulad ng numero ng plaka ng taxi, paglalarawan ng driver, at anumang petsa/oras na nakakita ka ng kahina-hinalang aktibidad. Maaari mo ring isaalang-alang ang pagkuha ng mga detalye sa pakikipag-ugnayan ng sinumang iba pang pasahero na maaaring handang maging saksi.
Sa pamamagitan ng pag-uulat ng krimen, maaari kang tumulong na alisin ang isang mapanganib na aktor sa mga lansangan at protektahan ang kaligtasan ng publiko. Tandaan, maaari kang mag-ulat nang hindi nagpapakilala kung gusto mo.</v>
      </c>
      <c r="F2240" s="2">
        <f t="shared" si="1"/>
        <v>0</v>
      </c>
      <c r="G2240" s="2"/>
      <c r="H2240" s="2"/>
      <c r="I2240" s="2"/>
      <c r="J2240" s="2"/>
      <c r="K2240" s="2"/>
      <c r="L2240" s="2"/>
      <c r="M2240" s="2"/>
      <c r="N2240" s="2"/>
      <c r="O2240" s="2"/>
      <c r="P2240" s="2"/>
      <c r="Q2240" s="2"/>
      <c r="R2240" s="2"/>
      <c r="S2240" s="2"/>
      <c r="T2240" s="2"/>
      <c r="U2240" s="2"/>
      <c r="V2240" s="2"/>
      <c r="W2240" s="2"/>
      <c r="X2240" s="2"/>
      <c r="Y2240" s="2"/>
      <c r="Z2240" s="2"/>
      <c r="AA2240" s="2"/>
    </row>
    <row r="2241">
      <c r="A2241" s="3" t="s">
        <v>5259</v>
      </c>
      <c r="B2241" s="1" t="s">
        <v>5446</v>
      </c>
      <c r="C2241" s="3" t="s">
        <v>5447</v>
      </c>
      <c r="D2241" s="2" t="str">
        <f>IFERROR(__xludf.DUMMYFUNCTION("GOOGLETRANSLATE(B2241, ""en"", ""TL"")"),"Isang miyembro ng pamilya ang inaresto dahil sa drug trafficking, at pinaghihinalaan mo na pinilit sila sa mga ilegal na aktibidad. Anong mga legal na hakbang ang maaari mong gawin upang matugunan ang hinalang ito?")</f>
        <v>Isang miyembro ng pamilya ang inaresto dahil sa drug trafficking, at pinaghihinalaan mo na pinilit sila sa mga ilegal na aktibidad. Anong mga legal na hakbang ang maaari mong gawin upang matugunan ang hinalang ito?</v>
      </c>
      <c r="E2241" s="2" t="str">
        <f>IFERROR(__xludf.DUMMYFUNCTION("GOOGLETRANSLATE(C2241, ""en"", ""TL"")"),"Narito ang ilang legal na hakbang na maaari mong gawin upang matugunan ang iyong hinala ng pamimilit sa kaso ng drug trafficking ng iyong miyembro ng pamilya sa Pilipinas:
**1. Ligtas na Legal na Kinatawan:**
* Ang iyong una at pinakamahalagang hakbang ay"&amp;" ang makakuha ng isang abogado na dalubhasa sa mga kaso ng droga. Maaari ka nilang payuhan sa pinakamahusay na paraan ng pagkilos batay sa mga partikular na detalye ng iyong sitwasyon. **2. Magtipon ng Ebidensya ng Pagpipilit:**
* Makipagtulungan sa iyong"&amp;" abogado upang mangalap ng katibayan na ang iyong miyembro ng pamilya ay pinilit na lumahok sa drug trafficking. Maaaring kabilang sa ebidensyang ito ang:
* **Mga testimonya ng saksi:** Sinumang makapagpapatunay sa mga pagbabanta, pananakot, o iba pang pa"&amp;"raan ng pamimilit na nakadirekta sa miyembro ng iyong pamilya.
* **Dokumentaryong ebidensya:** Mga text, email, o iba pang dokumento na nagmumungkahi ng pamimilit (mga mensaheng nagbabanta, mga talaan ng utang na nagpapahiwatig ng sapilitang paglahok, atb"&amp;"p.).
* **Mga rekord ng medikal:** Kung ang miyembro ng iyong pamilya ay dumanas ng pisikal o sikolohikal na pang-aabuso bilang resulta ng pamimilit, ang mga medikal na rekord ay maaaring maging mahalagang ebidensya.
**3. Pakikipagtulungan sa mga Awtoridad"&amp;" (kung naaangkop):**
* Sa ilang mga kaso, maaaring isaalang-alang ang pakikipagtulungan sa mga awtoridad sa pamamagitan ng pagbibigay ng impormasyon tungkol sa mga aktwal na may kagagawan ng pamimilit. Gayunpaman, ito ay isang kumplikadong desisyon na dap"&amp;"at gawin lamang sa konsultasyon sa iyong abogado. Maaari silang magpayo sa mga potensyal na benepisyo at panganib na kasangkot sa pakikipagtulungan.
**4. Mga Legal na Istratehiya:**
* Maaaring tuklasin ng iyong abogado ang iba't ibang mga legal na estrate"&amp;"hiya batay sa ebidensya ng pamimilit. Maaaring kabilang dito ang:
* **Plea Bargaining:** Kung ang iyong miyembro ng pamilya ay umamin ng pagkakasala ngunit nagpapakita ng katibayan ng pamimilit, maaari silang makatanggap ng mas magaan na sentensiya.
* **P"&amp;"agtatanggol Batay sa Pamimilit:** Ang iyong abogado ay maaaring magtaltalan na ang mga aksyon ng iyong miyembro ng pamilya ay hindi boluntaryo dahil sa pamimilit, na posibleng humantong sa isang pagbasura ng mga singil.
**Mahahalagang Pagsasaalang-alang:*"&amp;"*
* Malakas ang paninindigan ng gobyerno ng Pilipinas laban sa ilegal na droga. Ang pagbuo ng isang malakas na kaso ng pamimilit ay mangangailangan ng malaking ebidensya.
* **Republic Act No. 9165 (Comprehensive Dangerous Drugs Act of 2002)** kinikilala a"&amp;"ng konsepto ng ""boluntaryong pagsuko"" na may potensyal na benepisyo para sa mga nakikipagtulungan sa mga awtoridad. Gayunpaman, hindi ito direktang tumutugon sa pamimilit. **Mga Mapagkukunan:**
* Public Attorney's Office (PAO): Nag-aalok ang PAO ng libr"&amp;"eng legal na tulong sa mga mahihirap na Pilipino. Maaari kang magtanong kung kwalipikado ka para sa kanilang mga serbisyo. [https://pao.gov.ph/](https://pao.gov.ph/)
Tandaan, ito ay isang pangkalahatang pangkalahatang-ideya, at ang mga partikular na hakba"&amp;"ng ay depende sa sitwasyon ng iyong miyembro ng pamilya. Ang pagkonsulta sa isang kwalipikadong abogado ay mahalaga para sa epektibong pag-navigate sa legal na proseso at pagtataguyod para sa mga karapatan ng iyong miyembro ng pamilya.")</f>
        <v>Narito ang ilang legal na hakbang na maaari mong gawin upang matugunan ang iyong hinala ng pamimilit sa kaso ng drug trafficking ng iyong miyembro ng pamilya sa Pilipinas:
**1. Ligtas na Legal na Kinatawan:**
* Ang iyong una at pinakamahalagang hakbang ay ang makakuha ng isang abogado na dalubhasa sa mga kaso ng droga. Maaari ka nilang payuhan sa pinakamahusay na paraan ng pagkilos batay sa mga partikular na detalye ng iyong sitwasyon. **2. Magtipon ng Ebidensya ng Pagpipilit:**
* Makipagtulungan sa iyong abogado upang mangalap ng katibayan na ang iyong miyembro ng pamilya ay pinilit na lumahok sa drug trafficking. Maaaring kabilang sa ebidensyang ito ang:
* **Mga testimonya ng saksi:** Sinumang makapagpapatunay sa mga pagbabanta, pananakot, o iba pang paraan ng pamimilit na nakadirekta sa miyembro ng iyong pamilya.
* **Dokumentaryong ebidensya:** Mga text, email, o iba pang dokumento na nagmumungkahi ng pamimilit (mga mensaheng nagbabanta, mga talaan ng utang na nagpapahiwatig ng sapilitang paglahok, atbp.).
* **Mga rekord ng medikal:** Kung ang miyembro ng iyong pamilya ay dumanas ng pisikal o sikolohikal na pang-aabuso bilang resulta ng pamimilit, ang mga medikal na rekord ay maaaring maging mahalagang ebidensya.
**3. Pakikipagtulungan sa mga Awtoridad (kung naaangkop):**
* Sa ilang mga kaso, maaaring isaalang-alang ang pakikipagtulungan sa mga awtoridad sa pamamagitan ng pagbibigay ng impormasyon tungkol sa mga aktwal na may kagagawan ng pamimilit. Gayunpaman, ito ay isang kumplikadong desisyon na dapat gawin lamang sa konsultasyon sa iyong abogado. Maaari silang magpayo sa mga potensyal na benepisyo at panganib na kasangkot sa pakikipagtulungan.
**4. Mga Legal na Istratehiya:**
* Maaaring tuklasin ng iyong abogado ang iba't ibang mga legal na estratehiya batay sa ebidensya ng pamimilit. Maaaring kabilang dito ang:
* **Plea Bargaining:** Kung ang iyong miyembro ng pamilya ay umamin ng pagkakasala ngunit nagpapakita ng katibayan ng pamimilit, maaari silang makatanggap ng mas magaan na sentensiya.
* **Pagtatanggol Batay sa Pamimilit:** Ang iyong abogado ay maaaring magtaltalan na ang mga aksyon ng iyong miyembro ng pamilya ay hindi boluntaryo dahil sa pamimilit, na posibleng humantong sa isang pagbasura ng mga singil.
**Mahahalagang Pagsasaalang-alang:**
* Malakas ang paninindigan ng gobyerno ng Pilipinas laban sa ilegal na droga. Ang pagbuo ng isang malakas na kaso ng pamimilit ay mangangailangan ng malaking ebidensya.
* **Republic Act No. 9165 (Comprehensive Dangerous Drugs Act of 2002)** kinikilala ang konsepto ng "boluntaryong pagsuko" na may potensyal na benepisyo para sa mga nakikipagtulungan sa mga awtoridad. Gayunpaman, hindi ito direktang tumutugon sa pamimilit. **Mga Mapagkukunan:**
* Public Attorney's Office (PAO): Nag-aalok ang PAO ng libreng legal na tulong sa mga mahihirap na Pilipino. Maaari kang magtanong kung kwalipikado ka para sa kanilang mga serbisyo. [https://pao.gov.ph/](https://pao.gov.ph/)
Tandaan, ito ay isang pangkalahatang pangkalahatang-ideya, at ang mga partikular na hakbang ay depende sa sitwasyon ng iyong miyembro ng pamilya. Ang pagkonsulta sa isang kwalipikadong abogado ay mahalaga para sa epektibong pag-navigate sa legal na proseso at pagtataguyod para sa mga karapatan ng iyong miyembro ng pamilya.</v>
      </c>
      <c r="F2241" s="2">
        <f t="shared" si="1"/>
        <v>0</v>
      </c>
      <c r="G2241" s="2"/>
      <c r="H2241" s="2"/>
      <c r="I2241" s="2"/>
      <c r="J2241" s="2"/>
      <c r="K2241" s="2"/>
      <c r="L2241" s="2"/>
      <c r="M2241" s="2"/>
      <c r="N2241" s="2"/>
      <c r="O2241" s="2"/>
      <c r="P2241" s="2"/>
      <c r="Q2241" s="2"/>
      <c r="R2241" s="2"/>
      <c r="S2241" s="2"/>
      <c r="T2241" s="2"/>
      <c r="U2241" s="2"/>
      <c r="V2241" s="2"/>
      <c r="W2241" s="2"/>
      <c r="X2241" s="2"/>
      <c r="Y2241" s="2"/>
      <c r="Z2241" s="2"/>
      <c r="AA2241" s="2"/>
    </row>
    <row r="2242">
      <c r="A2242" s="3" t="s">
        <v>5259</v>
      </c>
      <c r="B2242" s="1" t="s">
        <v>5448</v>
      </c>
      <c r="C2242" s="3" t="s">
        <v>5449</v>
      </c>
      <c r="D2242" s="2" t="str">
        <f>IFERROR(__xludf.DUMMYFUNCTION("GOOGLETRANSLATE(B2242, ""en"", ""TL"")"),"Inaresto ang isang tao dahil sa paghawak ng droga, na sinasabing hindi nila alam ang mga droga na nasa kanilang pag-aari. Paano tinutugunan ng batas ng Pilipinas ang pagtatanggol sa kawalan ng kaalaman o kamalayan?")</f>
        <v>Inaresto ang isang tao dahil sa paghawak ng droga, na sinasabing hindi nila alam ang mga droga na nasa kanilang pag-aari. Paano tinutugunan ng batas ng Pilipinas ang pagtatanggol sa kawalan ng kaalaman o kamalayan?</v>
      </c>
      <c r="E2242" s="2" t="str">
        <f>IFERROR(__xludf.DUMMYFUNCTION("GOOGLETRANSLATE(C2242, ""en"", ""TL"")"),"Kinikilala ng batas ng Pilipinas ang kakulangan ng kaalaman o kamalayan bilang potensyal na depensa sa mga kaso ng pagdadala ng droga, ngunit ito ay isang mapaghamong depensa na itatag. Narito ang isang breakdown batay sa nauugnay na batas ng Pilipinas:
*"&amp;"*Kaalaman bilang Elemento ng Krimen:**
* Itinuturing ng batas ng Pilipinas, partikular ang **Comprehensive Dangerous Drugs Act of 2002 (Republic Act No. 9165)**, ang pagkakaroon ng ilegal na droga bilang isang krimen. Gayunpaman, upang mapatunayang nagkas"&amp;"ala, dapat patunayan ng prosekusyon na ang akusado ay may kaalaman (**animus possidendi**) sa mga iligal na droga na kanilang hawak.
**Kakulangan sa Pagtatanggol sa Kaalaman:**
* Ang isang akusado ay maaaring magtaltalan ng kakulangan ng kaalaman bilang i"&amp;"sang depensa. Nangangahulugan ito na sila ay ganap na walang kamalayan sa pagkakaroon ng ilegal na droga. Narito kung saan ito nagiging mahirap:
* Ang pasanin ng patunay ay nakasalalay sa akusado na magtatag ng kakulangan ng kaalaman sa pamamagitan ng pag"&amp;"lalahad ng nakakumbinsi na ebidensya. * Ang pagtanggi lamang sa kaalaman ay karaniwang hindi sapat. **Pagpapalakas sa Kakulangan ng Pagtatanggol sa Kaalaman:**
* Narito ang ilang salik na maaaring magpalakas ng kakulangan sa pagtatanggol sa kaalaman:
* **"&amp;"Kapani-paniwalang paliwanag para sa kung paano napunta ang mga droga sa pagmamay-ari:** Ito ay maaaring may kasamang maling pagkakakilanlan, nakatanim na ebidensya, o paghiram ng mga ari-arian ng ibang tao nang hindi nalalamang naglalaman ng mga droga.
* "&amp;"**Mga saksi ng karakter:** Mga taong maaaring tumestigo sa mabuting katangian ng akusado at kawalan ng pagkakasangkot sa ilegal na droga.
* **Kawalan ng mga naunang paglabag sa droga:** Maaaring suportahan ng malinis na rekord ng kriminal hinggil sa mga d"&amp;"roga ang pag-aangkin ng kawalan ng kamalayan. **Mahahalagang Pagsasaalang-alang:**
* Ang mga korte sa Pilipinas ay may posibilidad na masusing suriin ang kakulangan ng kaalaman sa mga depensa, lalo na kapag ang dami ng droga ay malaki. * **Constructive Po"&amp;"ssession:** Kahit na ang mga gamot ay hindi pisikal sa tao, kung sila ay may kontrol sa lugar kung saan natagpuan ang mga gamot (hal., ang kanilang bag), ang pagtatatag ng kakulangan ng kaalaman ay nagiging mas mahirap.
**Rekomendasyon:**
Ang pagkonsulta "&amp;"sa isang abogado na dalubhasa sa mga kaso ng droga ay mahalaga. Maaari nilang tasahin ang mga detalye ng sitwasyon, payuhan ang posibilidad ng kakulangan ng kaalaman sa pagtatanggol, at bumuo ng isang malakas na kaso kung isasaalang-alang ang ebidensyang "&amp;"magagamit.")</f>
        <v>Kinikilala ng batas ng Pilipinas ang kakulangan ng kaalaman o kamalayan bilang potensyal na depensa sa mga kaso ng pagdadala ng droga, ngunit ito ay isang mapaghamong depensa na itatag. Narito ang isang breakdown batay sa nauugnay na batas ng Pilipinas:
**Kaalaman bilang Elemento ng Krimen:**
* Itinuturing ng batas ng Pilipinas, partikular ang **Comprehensive Dangerous Drugs Act of 2002 (Republic Act No. 9165)**, ang pagkakaroon ng ilegal na droga bilang isang krimen. Gayunpaman, upang mapatunayang nagkasala, dapat patunayan ng prosekusyon na ang akusado ay may kaalaman (**animus possidendi**) sa mga iligal na droga na kanilang hawak.
**Kakulangan sa Pagtatanggol sa Kaalaman:**
* Ang isang akusado ay maaaring magtaltalan ng kakulangan ng kaalaman bilang isang depensa. Nangangahulugan ito na sila ay ganap na walang kamalayan sa pagkakaroon ng ilegal na droga. Narito kung saan ito nagiging mahirap:
* Ang pasanin ng patunay ay nakasalalay sa akusado na magtatag ng kakulangan ng kaalaman sa pamamagitan ng paglalahad ng nakakumbinsi na ebidensya. * Ang pagtanggi lamang sa kaalaman ay karaniwang hindi sapat. **Pagpapalakas sa Kakulangan ng Pagtatanggol sa Kaalaman:**
* Narito ang ilang salik na maaaring magpalakas ng kakulangan sa pagtatanggol sa kaalaman:
* **Kapani-paniwalang paliwanag para sa kung paano napunta ang mga droga sa pagmamay-ari:** Ito ay maaaring may kasamang maling pagkakakilanlan, nakatanim na ebidensya, o paghiram ng mga ari-arian ng ibang tao nang hindi nalalamang naglalaman ng mga droga.
* **Mga saksi ng karakter:** Mga taong maaaring tumestigo sa mabuting katangian ng akusado at kawalan ng pagkakasangkot sa ilegal na droga.
* **Kawalan ng mga naunang paglabag sa droga:** Maaaring suportahan ng malinis na rekord ng kriminal hinggil sa mga droga ang pag-aangkin ng kawalan ng kamalayan. **Mahahalagang Pagsasaalang-alang:**
* Ang mga korte sa Pilipinas ay may posibilidad na masusing suriin ang kakulangan ng kaalaman sa mga depensa, lalo na kapag ang dami ng droga ay malaki. * **Constructive Possession:** Kahit na ang mga gamot ay hindi pisikal sa tao, kung sila ay may kontrol sa lugar kung saan natagpuan ang mga gamot (hal., ang kanilang bag), ang pagtatatag ng kakulangan ng kaalaman ay nagiging mas mahirap.
**Rekomendasyon:**
Ang pagkonsulta sa isang abogado na dalubhasa sa mga kaso ng droga ay mahalaga. Maaari nilang tasahin ang mga detalye ng sitwasyon, payuhan ang posibilidad ng kakulangan ng kaalaman sa pagtatanggol, at bumuo ng isang malakas na kaso kung isasaalang-alang ang ebidensyang magagamit.</v>
      </c>
      <c r="F2242" s="2">
        <f t="shared" si="1"/>
        <v>0</v>
      </c>
      <c r="G2242" s="2"/>
      <c r="H2242" s="2"/>
      <c r="I2242" s="2"/>
      <c r="J2242" s="2"/>
      <c r="K2242" s="2"/>
      <c r="L2242" s="2"/>
      <c r="M2242" s="2"/>
      <c r="N2242" s="2"/>
      <c r="O2242" s="2"/>
      <c r="P2242" s="2"/>
      <c r="Q2242" s="2"/>
      <c r="R2242" s="2"/>
      <c r="S2242" s="2"/>
      <c r="T2242" s="2"/>
      <c r="U2242" s="2"/>
      <c r="V2242" s="2"/>
      <c r="W2242" s="2"/>
      <c r="X2242" s="2"/>
      <c r="Y2242" s="2"/>
      <c r="Z2242" s="2"/>
      <c r="AA2242" s="2"/>
    </row>
    <row r="2243">
      <c r="A2243" s="3" t="s">
        <v>5259</v>
      </c>
      <c r="B2243" s="1" t="s">
        <v>5450</v>
      </c>
      <c r="C2243" s="3" t="s">
        <v>5451</v>
      </c>
      <c r="D2243" s="2" t="str">
        <f>IFERROR(__xludf.DUMMYFUNCTION("GOOGLETRANSLATE(B2243, ""en"", ""TL"")"),"Nakikita mo ang isang taong namamahagi ng mga polyeto na nagpo-promote ng paggamit ng droga sa isang pampublikong espasyo. Anong mga legal na hakbang ang maaaring gawin upang matugunan ang pagpapakalat ng mga naturang materyal?")</f>
        <v>Nakikita mo ang isang taong namamahagi ng mga polyeto na nagpo-promote ng paggamit ng droga sa isang pampublikong espasyo. Anong mga legal na hakbang ang maaaring gawin upang matugunan ang pagpapakalat ng mga naturang materyal?</v>
      </c>
      <c r="E2243" s="2" t="str">
        <f>IFERROR(__xludf.DUMMYFUNCTION("GOOGLETRANSLATE(C2243, ""en"", ""TL"")"),"Narito kung paano tinutugunan ng batas ng Pilipinas ang pagpapakalat ng mga polyeto ng paggamit ng droga sa mga pampublikong espasyo:
**Mga Kaugnay na Batas:**
Bagama't walang partikular na batas na direktang nagbabawal sa pamamahagi ng mga polyeto sa pag"&amp;"gamit ng droga, maaaring gamitin ang ibang mga batas upang matugunan ang isyung ito:
* **Comprehensive Dangerous Drugs Act of 2002 (Republic Act No. 9165):** Ipinagbabawal ng batas na ito ang anumang pagkilos na naghihikayat o nag-uudyok sa paggamit ng mg"&amp;"a mapanganib na droga. Ang pamamahagi ng mga polyeto na nagsusulong ng paggamit ng droga ay maaaring bigyang-kahulugan bilang ganoon.
* **Binago ang Kodigo Penal (Act No. 3815):** * **Artikulo 189 (Pag-uudyok sa iba na gumawa ng krimen):** Ang artikulong "&amp;"ito ay nagpaparusa sa sinumang mag-uudyok sa ibang tao na gumawa ng krimen, na kinabibilangan ng paggamit ng droga. Ang pamamahagi ng mga polyeto na nagpo-promote ng paggamit ng droga ay maaaring makita bilang isang pagkilos ng panghihikayat.
* **Artikulo"&amp;" 190 (Pag-abuso sa kalayaan sa pananalita at pamamahayag):** Ipinagbabawal ng artikulong ito ang pang-aabuso sa kalayaan sa pagsasalita at pamamahayag sa pamamagitan ng paggamit nito upang ""i-udyok ang mga tao sa karahasan, pag-abala sa kaayusan ng publi"&amp;"ko, o paggawa ng anumang krimen ."" Ang pagtataguyod ng paggamit ng droga sa pamamagitan ng mga polyeto ay posibleng mapailalim sa kategoryang ito.
**Mga Karagdagang Pagsasaalang-alang:**
* **Nilalaman ng Mga Pamplet:** Ang partikular na nilalaman ng mga "&amp;"polyeto ay magiging mahalaga sa pagtukoy ng naaangkop na legal na tugon. Ang mga polyeto na may mga detalyadong tagubilin sa pagkuha o paggamit ng mga gamot ay malamang na titingnan nang mas seryoso kaysa sa mga naglalaman ng hindi malinaw na mga sangguni"&amp;"an sa paggamit ng droga.
* **Mga Lokal na Ordinansa:** Maaaring may mga ordinansa ang ilang lokalidad na nagbabawal sa pamamahagi ng mga materyales na nagpo-promote ng mga ilegal na aktibidad sa mga pampublikong espasyo. Ang pagsuri sa iyong lokal na bara"&amp;"ngay o city hall ay maaaring magbigay ng karagdagang impormasyon.
**Pagkilos:**
Narito ang maaari mong gawin upang matugunan ang sitwasyon:
* **Iulat ang insidente:** Iulat ang taong namamahagi ng mga polyeto sa pinakamalapit na istasyon ng pulisya. Ilara"&amp;"wan ang sitwasyon nang detalyado, kabilang ang nilalaman ng polyeto (kung maaari), ang hitsura ng tao, at ang lokasyon.
* **Magtipon ng ebidensya (kung maaari):** Kung ligtas na gawin ito, subukang kumuha ng mga larawan o video ng taong namamahagi ng mga "&amp;"polyeto, nang hindi sinasangkot ang iyong sarili.
* **Kumonsulta sa isang abogado (opsyonal):** Ang isang abogado na dalubhasa sa batas ng media o batas sa kriminal ay maaaring magbigay ng mas tiyak na patnubay batay sa mga detalye ng kaso.
Sa pamamagitan"&amp;" ng pag-uulat ng insidente at potensyal na pangangalap ng ebidensya, matutulungan mo ang mga awtoridad na kumilos laban sa taong namamahagi ng mga polyeto at hadlangan ang mga katulad na aktibidad sa hinaharap.")</f>
        <v>Narito kung paano tinutugunan ng batas ng Pilipinas ang pagpapakalat ng mga polyeto ng paggamit ng droga sa mga pampublikong espasyo:
**Mga Kaugnay na Batas:**
Bagama't walang partikular na batas na direktang nagbabawal sa pamamahagi ng mga polyeto sa paggamit ng droga, maaaring gamitin ang ibang mga batas upang matugunan ang isyung ito:
* **Comprehensive Dangerous Drugs Act of 2002 (Republic Act No. 9165):** Ipinagbabawal ng batas na ito ang anumang pagkilos na naghihikayat o nag-uudyok sa paggamit ng mga mapanganib na droga. Ang pamamahagi ng mga polyeto na nagsusulong ng paggamit ng droga ay maaaring bigyang-kahulugan bilang ganoon.
* **Binago ang Kodigo Penal (Act No. 3815):** * **Artikulo 189 (Pag-uudyok sa iba na gumawa ng krimen):** Ang artikulong ito ay nagpaparusa sa sinumang mag-uudyok sa ibang tao na gumawa ng krimen, na kinabibilangan ng paggamit ng droga. Ang pamamahagi ng mga polyeto na nagpo-promote ng paggamit ng droga ay maaaring makita bilang isang pagkilos ng panghihikayat.
* **Artikulo 190 (Pag-abuso sa kalayaan sa pananalita at pamamahayag):** Ipinagbabawal ng artikulong ito ang pang-aabuso sa kalayaan sa pagsasalita at pamamahayag sa pamamagitan ng paggamit nito upang "i-udyok ang mga tao sa karahasan, pag-abala sa kaayusan ng publiko, o paggawa ng anumang krimen ." Ang pagtataguyod ng paggamit ng droga sa pamamagitan ng mga polyeto ay posibleng mapailalim sa kategoryang ito.
**Mga Karagdagang Pagsasaalang-alang:**
* **Nilalaman ng Mga Pamplet:** Ang partikular na nilalaman ng mga polyeto ay magiging mahalaga sa pagtukoy ng naaangkop na legal na tugon. Ang mga polyeto na may mga detalyadong tagubilin sa pagkuha o paggamit ng mga gamot ay malamang na titingnan nang mas seryoso kaysa sa mga naglalaman ng hindi malinaw na mga sanggunian sa paggamit ng droga.
* **Mga Lokal na Ordinansa:** Maaaring may mga ordinansa ang ilang lokalidad na nagbabawal sa pamamahagi ng mga materyales na nagpo-promote ng mga ilegal na aktibidad sa mga pampublikong espasyo. Ang pagsuri sa iyong lokal na barangay o city hall ay maaaring magbigay ng karagdagang impormasyon.
**Pagkilos:**
Narito ang maaari mong gawin upang matugunan ang sitwasyon:
* **Iulat ang insidente:** Iulat ang taong namamahagi ng mga polyeto sa pinakamalapit na istasyon ng pulisya. Ilarawan ang sitwasyon nang detalyado, kabilang ang nilalaman ng polyeto (kung maaari), ang hitsura ng tao, at ang lokasyon.
* **Magtipon ng ebidensya (kung maaari):** Kung ligtas na gawin ito, subukang kumuha ng mga larawan o video ng taong namamahagi ng mga polyeto, nang hindi sinasangkot ang iyong sarili.
* **Kumonsulta sa isang abogado (opsyonal):** Ang isang abogado na dalubhasa sa batas ng media o batas sa kriminal ay maaaring magbigay ng mas tiyak na patnubay batay sa mga detalye ng kaso.
Sa pamamagitan ng pag-uulat ng insidente at potensyal na pangangalap ng ebidensya, matutulungan mo ang mga awtoridad na kumilos laban sa taong namamahagi ng mga polyeto at hadlangan ang mga katulad na aktibidad sa hinaharap.</v>
      </c>
      <c r="F2243" s="2">
        <f t="shared" si="1"/>
        <v>0</v>
      </c>
      <c r="G2243" s="2"/>
      <c r="H2243" s="2"/>
      <c r="I2243" s="2"/>
      <c r="J2243" s="2"/>
      <c r="K2243" s="2"/>
      <c r="L2243" s="2"/>
      <c r="M2243" s="2"/>
      <c r="N2243" s="2"/>
      <c r="O2243" s="2"/>
      <c r="P2243" s="2"/>
      <c r="Q2243" s="2"/>
      <c r="R2243" s="2"/>
      <c r="S2243" s="2"/>
      <c r="T2243" s="2"/>
      <c r="U2243" s="2"/>
      <c r="V2243" s="2"/>
      <c r="W2243" s="2"/>
      <c r="X2243" s="2"/>
      <c r="Y2243" s="2"/>
      <c r="Z2243" s="2"/>
      <c r="AA2243" s="2"/>
    </row>
    <row r="2244">
      <c r="A2244" s="3" t="s">
        <v>5259</v>
      </c>
      <c r="B2244" s="1" t="s">
        <v>5452</v>
      </c>
      <c r="C2244" s="3" t="s">
        <v>5453</v>
      </c>
      <c r="D2244" s="2" t="str">
        <f>IFERROR(__xludf.DUMMYFUNCTION("GOOGLETRANSLATE(B2244, ""en"", ""TL"")"),"Isang tao ang nahuling nagbebenta ng droga sa mga menor de edad sa loob ng isang shopping mall. Anong mga legal na aksyon ang maaaring gawin upang matiyak ang kaligtasan ng mga menor de edad at matugunan ang sitwasyon?")</f>
        <v>Isang tao ang nahuling nagbebenta ng droga sa mga menor de edad sa loob ng isang shopping mall. Anong mga legal na aksyon ang maaaring gawin upang matiyak ang kaligtasan ng mga menor de edad at matugunan ang sitwasyon?</v>
      </c>
      <c r="E2244" s="2" t="str">
        <f>IFERROR(__xludf.DUMMYFUNCTION("GOOGLETRANSLATE(C2244, ""en"", ""TL"")"),"Kung ang isang tao ay mahuling nagbebenta ng droga sa mga menor de edad sa loob ng isang shopping mall sa Pilipinas, maraming legal na aksyon ang maaaring gawin upang matiyak ang kaligtasan ng mga menor de edad at matugunan ang sitwasyon nang epektibo. Na"&amp;"rito ang isang pangkalahatang-ideya ng mga potensyal na legal na aksyon:
1. **Pag-aresto at Pagpigil:**
- May awtoridad ang mga awtoridad sa pagpapatupad ng batas na arestuhin ang indibidwal na nahuling nagbebenta ng droga sa mga menor de edad sa loob ng "&amp;"shopping mall.
- Maaaring makulong ang suspek habang nakabinbin ang karagdagang imbestigasyon at mga pormal na kaso.
2. **Mga Pagsingil sa Kriminal:**
- Maaaring kasuhan ang indibidwal ng mga paglabag sa Republic Act No. 9165, na kilala rin bilang Compreh"&amp;"ensive Dangerous Drugs Act of 2002, na nagbabawal sa pagbebenta, pamamahagi, at pagbebenta ng ilegal na droga.
- Ang pagbebenta ng mga gamot sa mga menor de edad ay maaari ding bumuo ng mga karagdagang pagkakasala sa ilalim ng Batas sa Anti-Child Abuse (R"&amp;"epublic Act No. 7610) o iba pang nauugnay na batas na naglalayong protektahan ang mga karapatan at kapakanan ng mga bata.
3. **Koleksyon ng Katibayan:**
- Mangongolekta ang mga awtoridad sa pagpapatupad ng batas ng ebidensya, kabilang ang mga gamot na nak"&amp;"umpiska mula sa suspek, mga pahayag ng saksi, footage ng pagsubaybay, at anumang iba pang nauugnay na impormasyon.
- Ang ebidensya ay idodokumento at iingatan para magamit sa mga paglilitis sa krimen.
4. **Pagsisiyasat:**
- Ang mga ahensyang nagpapatupad "&amp;"ng batas, gaya ng Philippine National Police (PNP) o Philippine Drug Enforcement Agency (PDEA), ay magsasagawa ng masusing imbestigasyon para matukoy ang sinumang kasabwat, supplier, o iba pang indibidwal na sangkot sa kalakalan ng ilegal na droga sa loob"&amp;" ng shopping mall.
5. **Proteksyon ng mga Menor de edad:**
- Ang mga awtoridad ay gagawa ng mga hakbang upang matiyak ang kaligtasan at kapakanan ng mga menor de edad na na-target o naapektuhan ng pagbebenta ng droga.
- Ang mga ahensya ng panlipunang welf"&amp;"are ay maaaring kasangkot upang magbigay ng mga serbisyo ng suporta, pagpapayo, at proteksyon sa mga menor de edad at kanilang mga pamilya.
6. **Pag-uusig at Paglilitis:**
- Ang suspek ay sasailalim sa mga legal na paglilitis, kabilang ang arraignment, pa"&amp;"glilitis, at paghatol ng naaangkop na hukuman.
- Kung napatunayang nagkasala, ang indibidwal ay maaaring maharap sa pagkakulong, multa, at iba pang mga parusa ayon sa itinakda ng batas.
7. **Kaalaman at Pag-iwas sa Komunidad:**
- Ang mga lokal na awtorida"&amp;"d, pamamahala ng shopping mall, at mga organisasyong pangkomunidad ay maaaring magtulungan upang itaas ang kamalayan tungkol sa mga panganib ng pag-abuso sa droga at ang kahalagahan ng pag-iingat sa mga menor de edad mula sa pagkakalantad sa ilegal na dro"&amp;"ga.
- Ang mga hakbang sa pag-iwas, tulad ng pinataas na seguridad, pagsubaybay, at mga programa sa edukasyon, ay maaaring ipatupad upang hadlangan ang mga aktibidad na nauugnay sa droga sa loob ng shopping mall at mga nakapaligid na lugar.
Sa pangkalahata"&amp;"n, ang pagtugon sa sitwasyon ng isang taong nahuling nagbebenta ng droga sa mga menor de edad sa loob ng shopping mall ay nangangailangan ng isang koordinadong tugon na kinasasangkutan ng pagpapatupad ng batas, mga ahensya ng kapakanang panlipunan, mga st"&amp;"akeholder ng komunidad, at ang sistema ng hustisya upang matiyak ang pananagutan, protektahan ang kapakanan ng mga menor de edad, at maiwasan ang mga hinaharap na insidente ng pinsalang nauugnay sa droga.")</f>
        <v>Kung ang isang tao ay mahuling nagbebenta ng droga sa mga menor de edad sa loob ng isang shopping mall sa Pilipinas, maraming legal na aksyon ang maaaring gawin upang matiyak ang kaligtasan ng mga menor de edad at matugunan ang sitwasyon nang epektibo. Narito ang isang pangkalahatang-ideya ng mga potensyal na legal na aksyon:
1. **Pag-aresto at Pagpigil:**
- May awtoridad ang mga awtoridad sa pagpapatupad ng batas na arestuhin ang indibidwal na nahuling nagbebenta ng droga sa mga menor de edad sa loob ng shopping mall.
- Maaaring makulong ang suspek habang nakabinbin ang karagdagang imbestigasyon at mga pormal na kaso.
2. **Mga Pagsingil sa Kriminal:**
- Maaaring kasuhan ang indibidwal ng mga paglabag sa Republic Act No. 9165, na kilala rin bilang Comprehensive Dangerous Drugs Act of 2002, na nagbabawal sa pagbebenta, pamamahagi, at pagbebenta ng ilegal na droga.
- Ang pagbebenta ng mga gamot sa mga menor de edad ay maaari ding bumuo ng mga karagdagang pagkakasala sa ilalim ng Batas sa Anti-Child Abuse (Republic Act No. 7610) o iba pang nauugnay na batas na naglalayong protektahan ang mga karapatan at kapakanan ng mga bata.
3. **Koleksyon ng Katibayan:**
- Mangongolekta ang mga awtoridad sa pagpapatupad ng batas ng ebidensya, kabilang ang mga gamot na nakumpiska mula sa suspek, mga pahayag ng saksi, footage ng pagsubaybay, at anumang iba pang nauugnay na impormasyon.
- Ang ebidensya ay idodokumento at iingatan para magamit sa mga paglilitis sa krimen.
4. **Pagsisiyasat:**
- Ang mga ahensyang nagpapatupad ng batas, gaya ng Philippine National Police (PNP) o Philippine Drug Enforcement Agency (PDEA), ay magsasagawa ng masusing imbestigasyon para matukoy ang sinumang kasabwat, supplier, o iba pang indibidwal na sangkot sa kalakalan ng ilegal na droga sa loob ng shopping mall.
5. **Proteksyon ng mga Menor de edad:**
- Ang mga awtoridad ay gagawa ng mga hakbang upang matiyak ang kaligtasan at kapakanan ng mga menor de edad na na-target o naapektuhan ng pagbebenta ng droga.
- Ang mga ahensya ng panlipunang welfare ay maaaring kasangkot upang magbigay ng mga serbisyo ng suporta, pagpapayo, at proteksyon sa mga menor de edad at kanilang mga pamilya.
6. **Pag-uusig at Paglilitis:**
- Ang suspek ay sasailalim sa mga legal na paglilitis, kabilang ang arraignment, paglilitis, at paghatol ng naaangkop na hukuman.
- Kung napatunayang nagkasala, ang indibidwal ay maaaring maharap sa pagkakulong, multa, at iba pang mga parusa ayon sa itinakda ng batas.
7. **Kaalaman at Pag-iwas sa Komunidad:**
- Ang mga lokal na awtoridad, pamamahala ng shopping mall, at mga organisasyong pangkomunidad ay maaaring magtulungan upang itaas ang kamalayan tungkol sa mga panganib ng pag-abuso sa droga at ang kahalagahan ng pag-iingat sa mga menor de edad mula sa pagkakalantad sa ilegal na droga.
- Ang mga hakbang sa pag-iwas, tulad ng pinataas na seguridad, pagsubaybay, at mga programa sa edukasyon, ay maaaring ipatupad upang hadlangan ang mga aktibidad na nauugnay sa droga sa loob ng shopping mall at mga nakapaligid na lugar.
Sa pangkalahatan, ang pagtugon sa sitwasyon ng isang taong nahuling nagbebenta ng droga sa mga menor de edad sa loob ng shopping mall ay nangangailangan ng isang koordinadong tugon na kinasasangkutan ng pagpapatupad ng batas, mga ahensya ng kapakanang panlipunan, mga stakeholder ng komunidad, at ang sistema ng hustisya upang matiyak ang pananagutan, protektahan ang kapakanan ng mga menor de edad, at maiwasan ang mga hinaharap na insidente ng pinsalang nauugnay sa droga.</v>
      </c>
      <c r="F2244" s="2">
        <f t="shared" si="1"/>
        <v>0</v>
      </c>
      <c r="G2244" s="2"/>
      <c r="H2244" s="2"/>
      <c r="I2244" s="2"/>
      <c r="J2244" s="2"/>
      <c r="K2244" s="2"/>
      <c r="L2244" s="2"/>
      <c r="M2244" s="2"/>
      <c r="N2244" s="2"/>
      <c r="O2244" s="2"/>
      <c r="P2244" s="2"/>
      <c r="Q2244" s="2"/>
      <c r="R2244" s="2"/>
      <c r="S2244" s="2"/>
      <c r="T2244" s="2"/>
      <c r="U2244" s="2"/>
      <c r="V2244" s="2"/>
      <c r="W2244" s="2"/>
      <c r="X2244" s="2"/>
      <c r="Y2244" s="2"/>
      <c r="Z2244" s="2"/>
      <c r="AA2244" s="2"/>
    </row>
    <row r="2245">
      <c r="A2245" s="3" t="s">
        <v>5259</v>
      </c>
      <c r="B2245" s="1" t="s">
        <v>5454</v>
      </c>
      <c r="C2245" s="3" t="s">
        <v>5455</v>
      </c>
      <c r="D2245" s="2" t="str">
        <f>IFERROR(__xludf.DUMMYFUNCTION("GOOGLETRANSLATE(B2245, ""en"", ""TL"")"),"Sa isang regular na inspeksyon ng isang pampublikong sasakyang pang-transportasyon, natuklasan ng mga awtoridad na binago ito para sa transportasyon ng mga ilegal na droga. Anong mga legal na hakbang ang maaaring gawin?")</f>
        <v>Sa isang regular na inspeksyon ng isang pampublikong sasakyang pang-transportasyon, natuklasan ng mga awtoridad na binago ito para sa transportasyon ng mga ilegal na droga. Anong mga legal na hakbang ang maaaring gawin?</v>
      </c>
      <c r="E2245" s="2" t="str">
        <f>IFERROR(__xludf.DUMMYFUNCTION("GOOGLETRANSLATE(C2245, ""en"", ""TL"")"),"Ang mga awtoridad na nakatuklas ng isang pampublikong sasakyan na binago para sa mga ilegal na droga ay malamang na mag-trigger ng ilang mga legal na hakbang. Narito ang ilan sa mga posibleng kahihinatnan:
**1. Mga Pagsingil sa Kriminal:**
* **Pagtrapiko "&amp;"ng Droga:** Depende sa dami at uri ng mga gamot na natagpuan, ang mga indibidwal na kasangkot (driver, operator, sinumang may kaalaman sa mga pagbabago) ay maaaring harapin ang mga seryosong singil sa trafficking ng droga.
* **Conspiracy:** Ang mga singil"&amp;" ng conspiracy upang mamahagi o transportasyon ng mga ilegal na droga ay maaaring iharap laban sa sinumang nagplano o lumahok sa pagbabago ng sasakyan.
* **Money Laundering:** Kung ang ebidensya ay nagmumungkahi na ang operasyon ay may kinalaman sa panana"&amp;"lapi, maaaring ituloy ang mga singil sa money laundering.
**2. Pag-impound ng Sasakyan:**
* Ang binagong sasakyan ay malamang na ma-impound bilang ebidensya at posibleng ma-forfeit ng korte.
**3. Mga Pagkilos sa Pagreregula:**
* Ang awtoridad sa pampublik"&amp;"ong transportasyon na responsable para sa sasakyan ay maaaring maharap sa mga multa at mga parusa sa regulasyon para sa hindi pagtukoy sa mga pagbabago. * Depende sa kalubhaan, ang kanilang lisensya sa pagpapatakbo ay maaaring masuspinde o mabawi.
**4. Mg"&amp;"a Karagdagang Pagsisiyasat:**
* Ang mga awtoridad ay maglulunsad ng isang pagsisiyasat upang matukoy ang lahat ng mga partidong kasangkot, kabilang ang pinagmulan ng mga gamot at ang nilalayong tatanggap. * Maaaring kabilang dito ang pagtatanong sa driver"&amp;", operator, at potensyal na pagsusuri sa footage ng seguridad o mga manifest ng pasahero.
**Mahahalagang salik na nakakaimpluwensya sa mga hakbang na ito:**
* Ang uri at dami ng mga gamot na natuklasan.
* Ang lawak ng mga pagbabago sa sasakyan.
* Kung may"&amp;"roong katibayan na nag-uugnay sa mga partikular na indibidwal sa operasyon.
**Mahalagang tandaan:** Ito ay hindi legal na payo. Ang mga partikular na batas at pamamaraan ay mag-iiba depende sa hurisdiksyon.")</f>
        <v>Ang mga awtoridad na nakatuklas ng isang pampublikong sasakyan na binago para sa mga ilegal na droga ay malamang na mag-trigger ng ilang mga legal na hakbang. Narito ang ilan sa mga posibleng kahihinatnan:
**1. Mga Pagsingil sa Kriminal:**
* **Pagtrapiko ng Droga:** Depende sa dami at uri ng mga gamot na natagpuan, ang mga indibidwal na kasangkot (driver, operator, sinumang may kaalaman sa mga pagbabago) ay maaaring harapin ang mga seryosong singil sa trafficking ng droga.
* **Conspiracy:** Ang mga singil ng conspiracy upang mamahagi o transportasyon ng mga ilegal na droga ay maaaring iharap laban sa sinumang nagplano o lumahok sa pagbabago ng sasakyan.
* **Money Laundering:** Kung ang ebidensya ay nagmumungkahi na ang operasyon ay may kinalaman sa pananalapi, maaaring ituloy ang mga singil sa money laundering.
**2. Pag-impound ng Sasakyan:**
* Ang binagong sasakyan ay malamang na ma-impound bilang ebidensya at posibleng ma-forfeit ng korte.
**3. Mga Pagkilos sa Pagreregula:**
* Ang awtoridad sa pampublikong transportasyon na responsable para sa sasakyan ay maaaring maharap sa mga multa at mga parusa sa regulasyon para sa hindi pagtukoy sa mga pagbabago. * Depende sa kalubhaan, ang kanilang lisensya sa pagpapatakbo ay maaaring masuspinde o mabawi.
**4. Mga Karagdagang Pagsisiyasat:**
* Ang mga awtoridad ay maglulunsad ng isang pagsisiyasat upang matukoy ang lahat ng mga partidong kasangkot, kabilang ang pinagmulan ng mga gamot at ang nilalayong tatanggap. * Maaaring kabilang dito ang pagtatanong sa driver, operator, at potensyal na pagsusuri sa footage ng seguridad o mga manifest ng pasahero.
**Mahahalagang salik na nakakaimpluwensya sa mga hakbang na ito:**
* Ang uri at dami ng mga gamot na natuklasan.
* Ang lawak ng mga pagbabago sa sasakyan.
* Kung mayroong katibayan na nag-uugnay sa mga partikular na indibidwal sa operasyon.
**Mahalagang tandaan:** Ito ay hindi legal na payo. Ang mga partikular na batas at pamamaraan ay mag-iiba depende sa hurisdiksyon.</v>
      </c>
      <c r="F2245" s="2">
        <f t="shared" si="1"/>
        <v>0</v>
      </c>
      <c r="G2245" s="2"/>
      <c r="H2245" s="2"/>
      <c r="I2245" s="2"/>
      <c r="J2245" s="2"/>
      <c r="K2245" s="2"/>
      <c r="L2245" s="2"/>
      <c r="M2245" s="2"/>
      <c r="N2245" s="2"/>
      <c r="O2245" s="2"/>
      <c r="P2245" s="2"/>
      <c r="Q2245" s="2"/>
      <c r="R2245" s="2"/>
      <c r="S2245" s="2"/>
      <c r="T2245" s="2"/>
      <c r="U2245" s="2"/>
      <c r="V2245" s="2"/>
      <c r="W2245" s="2"/>
      <c r="X2245" s="2"/>
      <c r="Y2245" s="2"/>
      <c r="Z2245" s="2"/>
      <c r="AA2245" s="2"/>
    </row>
    <row r="2246">
      <c r="A2246" s="3" t="s">
        <v>5259</v>
      </c>
      <c r="B2246" s="1" t="s">
        <v>5456</v>
      </c>
      <c r="C2246" s="3" t="s">
        <v>5457</v>
      </c>
      <c r="D2246" s="2" t="str">
        <f>IFERROR(__xludf.DUMMYFUNCTION("GOOGLETRANSLATE(B2246, ""en"", ""TL"")"),"Ang isang magulang ay nag-uulat sa iyo na ang paaralan ng kanilang anak ay hindi nagsasagawa ng naaangkop na aksyon laban sa mga insidente na may kaugnayan sa droga. Anong mga legal na hakbang ang maaaring gawin upang matiyak na sumusunod ang paaralan sa "&amp;"mga regulasyon?")</f>
        <v>Ang isang magulang ay nag-uulat sa iyo na ang paaralan ng kanilang anak ay hindi nagsasagawa ng naaangkop na aksyon laban sa mga insidente na may kaugnayan sa droga. Anong mga legal na hakbang ang maaaring gawin upang matiyak na sumusunod ang paaralan sa mga regulasyon?</v>
      </c>
      <c r="E2246" s="2" t="str">
        <f>IFERROR(__xludf.DUMMYFUNCTION("GOOGLETRANSLATE(C2246, ""en"", ""TL"")"),"Narito ang ilang hakbang na maaaring gawin ng magulang kung sa palagay nila ay hindi wastong pinangangasiwaan ng paaralan ang mga insidente ng droga:
1. **Idokumento ang Lahat:** Payuhan ang magulang na panatilihin ang isang detalyadong tala ng lahat ng m"&amp;"ga insidente, kabilang ang mga petsa, oras, at kung sino ang kanilang nakausap sa paaralan. 2. **Mag-iskedyul ng Pagpupulong kasama ang Punong-guro:** Himukin ang magulang na mag-iskedyul ng pagpupulong kasama ang punong-guro upang talakayin ang kanilang "&amp;"mga alalahanin. Dapat silang dumating na handa upang magbalangkas ng mga partikular na pagkakataon kung saan naniniwala sila na ang tugon ng paaralan ay kulang.
3. **Suriin ang Mga Patakaran sa Paaralan:** Dapat suriin ng magulang ang handbook ng paaralan"&amp;" o website para sa kanilang mga patakaran sa droga at kaligtasan. Makakatulong ito sa kanila na maunawaan ang inaasahang pagkilos ng paaralan. 4. **Makipag-ugnayan sa Lupon ng Paaralan:** Kung ang pulong sa punong-guro ay hindi mabunga, ang susunod na hak"&amp;"bang ay makipag-ugnayan sa lupon ng paaralan. Karaniwan silang makakahanap ng impormasyon sa pakikipag-ugnayan sa website ng distrito ng paaralan. Dapat ipahayag ng magulang ang kanilang mga alalahanin at hilingin sa lupon na imbestigahan ang paghawak ng "&amp;"paaralan sa mga insidente ng droga.
5. **Mag-ulat sa Mga Lokal na Awtoridad:** Kung ang aktibidad ng droga ay tila mapanganib o ang paaralan ay tila sadyang binabalewala ang isyu, maaaring iulat ito ng magulang sa lokal na departamento ng pulisya o mga se"&amp;"rbisyo sa pangangalaga ng bata. **Mga Legal na Mapagkukunan:**
* **Kagawaran ng Edukasyon:** Ang website ng Departamento ng Edukasyon ay maaaring may mga mapagkukunan tungkol sa kaligtasan ng mag-aaral at mga pamamaraan sa pag-uulat. ""[https://www.ed.gov"&amp;"/](https://www.ed.gov/)""
* **Abogado:** Maaaring makatulong ang pagkonsulta sa isang abogado sa edukasyon, lalo na kung ang sitwasyon ay tila kumplikado o ang lupon ng paaralan ay hindi tumutugon.
**Tandaan:** * Mahalagang manatiling kalmado at propesyon"&amp;"al sa buong proseso. * Tumutok sa pagpapanatiling ligtas sa bata at pagtiyak ng isang kapaligiran sa pag-aaral na walang droga.
* Magiging mahalaga ang pagdodokumento ng lahat kung kinakailangan ang karagdagang pagkilos.")</f>
        <v>Narito ang ilang hakbang na maaaring gawin ng magulang kung sa palagay nila ay hindi wastong pinangangasiwaan ng paaralan ang mga insidente ng droga:
1. **Idokumento ang Lahat:** Payuhan ang magulang na panatilihin ang isang detalyadong tala ng lahat ng mga insidente, kabilang ang mga petsa, oras, at kung sino ang kanilang nakausap sa paaralan. 2. **Mag-iskedyul ng Pagpupulong kasama ang Punong-guro:** Himukin ang magulang na mag-iskedyul ng pagpupulong kasama ang punong-guro upang talakayin ang kanilang mga alalahanin. Dapat silang dumating na handa upang magbalangkas ng mga partikular na pagkakataon kung saan naniniwala sila na ang tugon ng paaralan ay kulang.
3. **Suriin ang Mga Patakaran sa Paaralan:** Dapat suriin ng magulang ang handbook ng paaralan o website para sa kanilang mga patakaran sa droga at kaligtasan. Makakatulong ito sa kanila na maunawaan ang inaasahang pagkilos ng paaralan. 4. **Makipag-ugnayan sa Lupon ng Paaralan:** Kung ang pulong sa punong-guro ay hindi mabunga, ang susunod na hakbang ay makipag-ugnayan sa lupon ng paaralan. Karaniwan silang makakahanap ng impormasyon sa pakikipag-ugnayan sa website ng distrito ng paaralan. Dapat ipahayag ng magulang ang kanilang mga alalahanin at hilingin sa lupon na imbestigahan ang paghawak ng paaralan sa mga insidente ng droga.
5. **Mag-ulat sa Mga Lokal na Awtoridad:** Kung ang aktibidad ng droga ay tila mapanganib o ang paaralan ay tila sadyang binabalewala ang isyu, maaaring iulat ito ng magulang sa lokal na departamento ng pulisya o mga serbisyo sa pangangalaga ng bata. **Mga Legal na Mapagkukunan:**
* **Kagawaran ng Edukasyon:** Ang website ng Departamento ng Edukasyon ay maaaring may mga mapagkukunan tungkol sa kaligtasan ng mag-aaral at mga pamamaraan sa pag-uulat. "[https://www.ed.gov/](https://www.ed.gov/)"
* **Abogado:** Maaaring makatulong ang pagkonsulta sa isang abogado sa edukasyon, lalo na kung ang sitwasyon ay tila kumplikado o ang lupon ng paaralan ay hindi tumutugon.
**Tandaan:** * Mahalagang manatiling kalmado at propesyonal sa buong proseso. * Tumutok sa pagpapanatiling ligtas sa bata at pagtiyak ng isang kapaligiran sa pag-aaral na walang droga.
* Magiging mahalaga ang pagdodokumento ng lahat kung kinakailangan ang karagdagang pagkilos.</v>
      </c>
      <c r="F2246" s="2">
        <f t="shared" si="1"/>
        <v>0</v>
      </c>
      <c r="G2246" s="2"/>
      <c r="H2246" s="2"/>
      <c r="I2246" s="2"/>
      <c r="J2246" s="2"/>
      <c r="K2246" s="2"/>
      <c r="L2246" s="2"/>
      <c r="M2246" s="2"/>
      <c r="N2246" s="2"/>
      <c r="O2246" s="2"/>
      <c r="P2246" s="2"/>
      <c r="Q2246" s="2"/>
      <c r="R2246" s="2"/>
      <c r="S2246" s="2"/>
      <c r="T2246" s="2"/>
      <c r="U2246" s="2"/>
      <c r="V2246" s="2"/>
      <c r="W2246" s="2"/>
      <c r="X2246" s="2"/>
      <c r="Y2246" s="2"/>
      <c r="Z2246" s="2"/>
      <c r="AA2246" s="2"/>
    </row>
    <row r="2247">
      <c r="A2247" s="3" t="s">
        <v>5259</v>
      </c>
      <c r="B2247" s="1" t="s">
        <v>5458</v>
      </c>
      <c r="C2247" s="3" t="s">
        <v>5459</v>
      </c>
      <c r="D2247" s="2" t="str">
        <f>IFERROR(__xludf.DUMMYFUNCTION("GOOGLETRANSLATE(B2247, ""en"", ""TL"")"),"Nalaman mo na ang isang opisyal ng lokal na pamahalaan ay kasangkot sa pagprotekta sa mga trafficker ng droga sa iyong komunidad. Anong mga legal na aksyon ang maaaring gawin upang ilantad at matugunan ang katiwaliang ito?")</f>
        <v>Nalaman mo na ang isang opisyal ng lokal na pamahalaan ay kasangkot sa pagprotekta sa mga trafficker ng droga sa iyong komunidad. Anong mga legal na aksyon ang maaaring gawin upang ilantad at matugunan ang katiwaliang ito?</v>
      </c>
      <c r="E2247" s="2" t="str">
        <f>IFERROR(__xludf.DUMMYFUNCTION("GOOGLETRANSLATE(C2247, ""en"", ""TL"")"),"Narito ang ilang legal na aksyon na maaari mong gawin upang ilantad at tugunan ang isang opisyal ng lokal na pamahalaan na pinaghihinalaang nagpoprotekta sa mga trafficker ng droga:
**Pag-uulat ng Korapsyon:**
1. **Mga Ahensyang Laban sa Korupsyon:** Mara"&amp;"ming mga bansa o rehiyon ang nagtalaga ng mga ahensyang laban sa katiwalian. Maghanap ng isa sa iyong lugar at maghain ng pormal na reklamo. Magkakaroon sila ng kapangyarihan sa pag-iimbestiga at mga mapagkukunan upang mas malalim ang mga paratang. 2. **P"&amp;"agpapatupad ng Batas:** Maaari mong iulat ang opisyal sa lokal na departamento ng pulisya o ibang nauugnay na ahensyang nagpapatupad ng batas. Ibigay sa kanila ang pinakamaraming detalye hangga't maaari, kasama ang anumang ebidensya na maaaring mayroon ka"&amp;". 3. **Mga Regulatoryong Lupon:** Depende sa posisyon ng opisyal, maaaring mayroong partikular na katawan ng regulasyon na nangangasiwa sa kanilang pag-uugali. Halimbawa, ang isang komisyoner sa pagpaplano ay maaaring mahulog sa ilalim ng isang komisyon s"&amp;"a etika. **Pagtitipon ng Ebidensya (Gawin ito nang maingat at legal):**
* **Idokumento ang Lahat:** Panatilihin ang mga detalyadong tala ng iyong mga obserbasyon, kabilang ang mga petsa, oras, at anumang partikular na pagkakataon kung saan nasaksihan mo a"&amp;"ng pakikipag-ugnayan ng opisyal sa mga kilalang trafficker ng droga. * **Anonymous na Mga Tip:** Kung natatakot kang gantihan, isaalang-alang ang pagsusumite ng mga anonymous na tip sa mga investigative body o mga mamamahayag (higit pa tungkol doon sa iba"&amp;"ba). **Paggawa sa Iba:**
* **Mga Organisasyon ng Komunidad:** Makipag-ugnayan sa mga organisasyong pangkomunidad o mga grupo ng aktibista na nakatuon sa laban sa katiwalian o kaligtasan ng kapitbahayan. Maaaring mayroon silang karanasan sa pagharap sa mga"&amp;" katulad na sitwasyon at maaaring mag-alok ng suporta.
* **Media:** Isaalang-alang ang pakikipag-ugnayan sa mga lokal na mamamahayag na nag-iimbestiga at ibigay sa kanila ang impormasyong mayroon ka. Maaari silang magsagawa ng sarili nilang imbestigasyon "&amp;"at posibleng ilantad ang mga maling gawain ng opisyal. **Mahahalagang Pagsasaalang-alang:**
* **Kaligtasan Una:** Huwag ilagay ang iyong sarili sa panganib habang nangangalap ng ebidensya. Kung natatakot kang gantihan, unahin ang iyong kaligtasan at tumuo"&amp;"n sa hindi kilalang pag-uulat. * **Ang Ebidensya ay Susi:** Kung mas malakas ang iyong ebidensya, mas malamang na gagawa ng aksyon ang mga awtoridad. Gayunpaman, iwasan ang anumang mga ilegal na aktibidad habang sinusubukang mangalap ng patunay.
**Disclai"&amp;"mer:** Ito ay mga pangkalahatang mungkahi lamang, at ang mga partikular na hakbang ay mag-iiba depende sa iyong lokasyon at sa likas na katangian ng katiwalian.")</f>
        <v>Narito ang ilang legal na aksyon na maaari mong gawin upang ilantad at tugunan ang isang opisyal ng lokal na pamahalaan na pinaghihinalaang nagpoprotekta sa mga trafficker ng droga:
**Pag-uulat ng Korapsyon:**
1. **Mga Ahensyang Laban sa Korupsyon:** Maraming mga bansa o rehiyon ang nagtalaga ng mga ahensyang laban sa katiwalian. Maghanap ng isa sa iyong lugar at maghain ng pormal na reklamo. Magkakaroon sila ng kapangyarihan sa pag-iimbestiga at mga mapagkukunan upang mas malalim ang mga paratang. 2. **Pagpapatupad ng Batas:** Maaari mong iulat ang opisyal sa lokal na departamento ng pulisya o ibang nauugnay na ahensyang nagpapatupad ng batas. Ibigay sa kanila ang pinakamaraming detalye hangga't maaari, kasama ang anumang ebidensya na maaaring mayroon ka. 3. **Mga Regulatoryong Lupon:** Depende sa posisyon ng opisyal, maaaring mayroong partikular na katawan ng regulasyon na nangangasiwa sa kanilang pag-uugali. Halimbawa, ang isang komisyoner sa pagpaplano ay maaaring mahulog sa ilalim ng isang komisyon sa etika. **Pagtitipon ng Ebidensya (Gawin ito nang maingat at legal):**
* **Idokumento ang Lahat:** Panatilihin ang mga detalyadong tala ng iyong mga obserbasyon, kabilang ang mga petsa, oras, at anumang partikular na pagkakataon kung saan nasaksihan mo ang pakikipag-ugnayan ng opisyal sa mga kilalang trafficker ng droga. * **Anonymous na Mga Tip:** Kung natatakot kang gantihan, isaalang-alang ang pagsusumite ng mga anonymous na tip sa mga investigative body o mga mamamahayag (higit pa tungkol doon sa ibaba). **Paggawa sa Iba:**
* **Mga Organisasyon ng Komunidad:** Makipag-ugnayan sa mga organisasyong pangkomunidad o mga grupo ng aktibista na nakatuon sa laban sa katiwalian o kaligtasan ng kapitbahayan. Maaaring mayroon silang karanasan sa pagharap sa mga katulad na sitwasyon at maaaring mag-alok ng suporta.
* **Media:** Isaalang-alang ang pakikipag-ugnayan sa mga lokal na mamamahayag na nag-iimbestiga at ibigay sa kanila ang impormasyong mayroon ka. Maaari silang magsagawa ng sarili nilang imbestigasyon at posibleng ilantad ang mga maling gawain ng opisyal. **Mahahalagang Pagsasaalang-alang:**
* **Kaligtasan Una:** Huwag ilagay ang iyong sarili sa panganib habang nangangalap ng ebidensya. Kung natatakot kang gantihan, unahin ang iyong kaligtasan at tumuon sa hindi kilalang pag-uulat. * **Ang Ebidensya ay Susi:** Kung mas malakas ang iyong ebidensya, mas malamang na gagawa ng aksyon ang mga awtoridad. Gayunpaman, iwasan ang anumang mga ilegal na aktibidad habang sinusubukang mangalap ng patunay.
**Disclaimer:** Ito ay mga pangkalahatang mungkahi lamang, at ang mga partikular na hakbang ay mag-iiba depende sa iyong lokasyon at sa likas na katangian ng katiwalian.</v>
      </c>
      <c r="F2247" s="2">
        <f t="shared" si="1"/>
        <v>0</v>
      </c>
      <c r="G2247" s="2"/>
      <c r="H2247" s="2"/>
      <c r="I2247" s="2"/>
      <c r="J2247" s="2"/>
      <c r="K2247" s="2"/>
      <c r="L2247" s="2"/>
      <c r="M2247" s="2"/>
      <c r="N2247" s="2"/>
      <c r="O2247" s="2"/>
      <c r="P2247" s="2"/>
      <c r="Q2247" s="2"/>
      <c r="R2247" s="2"/>
      <c r="S2247" s="2"/>
      <c r="T2247" s="2"/>
      <c r="U2247" s="2"/>
      <c r="V2247" s="2"/>
      <c r="W2247" s="2"/>
      <c r="X2247" s="2"/>
      <c r="Y2247" s="2"/>
      <c r="Z2247" s="2"/>
      <c r="AA2247" s="2"/>
    </row>
    <row r="2248">
      <c r="A2248" s="3" t="s">
        <v>5259</v>
      </c>
      <c r="B2248" s="1" t="s">
        <v>5460</v>
      </c>
      <c r="C2248" s="3" t="s">
        <v>5461</v>
      </c>
      <c r="D2248" s="2" t="str">
        <f>IFERROR(__xludf.DUMMYFUNCTION("GOOGLETRANSLATE(B2248, ""en"", ""TL"")"),"Ang isang tao ay natagpuang gumagamit ng mga gamot sa loob ng pasilidad ng pangangalagang pangkalusugan. Anong mga legal na hakbang ang maaaring gawin upang matugunan ang sitwasyong ito sa loob ng setting ng pangangalagang pangkalusugan?")</f>
        <v>Ang isang tao ay natagpuang gumagamit ng mga gamot sa loob ng pasilidad ng pangangalagang pangkalusugan. Anong mga legal na hakbang ang maaaring gawin upang matugunan ang sitwasyong ito sa loob ng setting ng pangangalagang pangkalusugan?</v>
      </c>
      <c r="E2248" s="2" t="str">
        <f>IFERROR(__xludf.DUMMYFUNCTION("GOOGLETRANSLATE(C2248, ""en"", ""TL"")"),"Ang mga legal na hakbang na gagawin sa isang pasilidad ng pangangalagang pangkalusugan kapag ang isang tao ay natagpuang gumagamit ng mga gamot ay depende sa ilang mga kadahilanan, kabilang ang:
* **Sino ang gumagamit ng droga?** (Pasyente, kawani, bisita"&amp;")
* **Uri ng mga gamot:** (Maling paggamit ng inireresetang gamot, mga ilegal na gamot)
* **Kalubhaan ng sitwasyon:** (Ang tao ba ay isang panganib sa kanilang sarili o sa iba?)
Narito ang isang breakdown ng mga potensyal na tugon:
**Para sa mga Pasyente:"&amp;"**
* **Medical Intervention:** Kung ang pasyente ay nakararanas ng labis na dosis o iba pang medikal na emerhensiya, uunahin ng mga kawani ng pangangalagang pangkalusugan ang kanilang medikal na kapakanan at mangasiwa ng kinakailangang paggamot.
* **Pagsu"&amp;"suri at Suporta:** Maaaring tasahin ng staff kung ang paggamit ng droga ay dahil sa pagkagumon o isang inilihis na iniresetang gamot. Maaari nilang ikonekta ang pasyente sa mga mapagkukunan ng paggamot sa pagkagumon. * **Paglahok sa Seguridad:** Maaaring "&amp;"kasama ang seguridad upang matiyak ang kaligtasan ng pasyente at ng iba pa, lalo na kung nakakagambala ang sitwasyon.
* **Pagpapatupad ng Batas:** Sa matinding mga kaso, na kinasasangkutan ng mga ilegal na droga o kung nagbabanta ang pasyente, maaaring ma"&amp;"abisuhan ang tagapagpatupad ng batas. **Para sa mga Staff Member:**
* **Pagkilos na Pandisiplina:** Ang mga pasilidad sa pangangalagang pangkalusugan ay may mga patakaran tungkol sa paggamit ng droga ng mga kawani. Depende sa kalubhaan at rekord ng empley"&amp;"ado, ito ay maaaring mula sa pagpapayo hanggang sa pagwawakas. * **Referral sa Mga Programa sa Paggamot:** Maaaring mag-alok ang mga pasilidad ng mga kumpidensyal na programa sa tulong ng empleyado o mapagkukunan para sa paggamot sa addiction. * **Mga Kin"&amp;"akailangan sa Pag-uulat:** Depende sa propesyon at sa gamot na kasangkot, maaaring mayroong mandatoryong mga kinakailangan sa pag-uulat sa mga licensing board o regulatory body.
**Para sa mga Bisita:**
* **Pag-alis mula sa Pasilidad:** Maaaring i-escort n"&amp;"g seguridad ang bisita palabas ng lugar at posibleng pagbawalan sila sa mga pagbisita sa hinaharap. * **Pagpapatupad ng Batas:** Kung may kinalaman ang mga ilegal na droga o nakakagambala ang bisita, maaaring may kinalaman ang seguridad sa pagpapatupad ng"&amp;" batas. **Dagdag pa:**
* **Mga Protokol ng Pasilidad:** Ang pasilidad ng pangangalagang pangkalusugan ay dapat magkaroon ng mga protocol para sa paghawak ng mga insidente ng paggamit ng droga. Dapat isaalang-alang ng mga protocol na ito ang kaligtasan ng "&amp;"pasyente, kagalingan ng kawani, at pagsunod sa batas. * **Pagiging Kumpidensyal:** Ang privacy ng pasyente ay pinakamahalaga. Ang impormasyon tungkol sa paggamit ng droga ay dapat pangasiwaan nang kumpidensyal, na may mga pagbubukod para sa mandatoryong m"&amp;"ga kinakailangan sa pag-uulat. **Tandaan:** Ang pangunahing pagtutuon ay palaging sa pagtiyak sa kaligtasan ng lahat ng kasangkot. Ang pasilidad ng pangangalagang pangkalusugan ay magsasagawa ng mga naaangkop na hakbang sa loob ng legal na balangkas upang"&amp;" matugunan ang sitwasyon at mag-alok ng suporta kapag posible.")</f>
        <v>Ang mga legal na hakbang na gagawin sa isang pasilidad ng pangangalagang pangkalusugan kapag ang isang tao ay natagpuang gumagamit ng mga gamot ay depende sa ilang mga kadahilanan, kabilang ang:
* **Sino ang gumagamit ng droga?** (Pasyente, kawani, bisita)
* **Uri ng mga gamot:** (Maling paggamit ng inireresetang gamot, mga ilegal na gamot)
* **Kalubhaan ng sitwasyon:** (Ang tao ba ay isang panganib sa kanilang sarili o sa iba?)
Narito ang isang breakdown ng mga potensyal na tugon:
**Para sa mga Pasyente:**
* **Medical Intervention:** Kung ang pasyente ay nakararanas ng labis na dosis o iba pang medikal na emerhensiya, uunahin ng mga kawani ng pangangalagang pangkalusugan ang kanilang medikal na kapakanan at mangasiwa ng kinakailangang paggamot.
* **Pagsusuri at Suporta:** Maaaring tasahin ng staff kung ang paggamit ng droga ay dahil sa pagkagumon o isang inilihis na iniresetang gamot. Maaari nilang ikonekta ang pasyente sa mga mapagkukunan ng paggamot sa pagkagumon. * **Paglahok sa Seguridad:** Maaaring kasama ang seguridad upang matiyak ang kaligtasan ng pasyente at ng iba pa, lalo na kung nakakagambala ang sitwasyon.
* **Pagpapatupad ng Batas:** Sa matinding mga kaso, na kinasasangkutan ng mga ilegal na droga o kung nagbabanta ang pasyente, maaaring maabisuhan ang tagapagpatupad ng batas. **Para sa mga Staff Member:**
* **Pagkilos na Pandisiplina:** Ang mga pasilidad sa pangangalagang pangkalusugan ay may mga patakaran tungkol sa paggamit ng droga ng mga kawani. Depende sa kalubhaan at rekord ng empleyado, ito ay maaaring mula sa pagpapayo hanggang sa pagwawakas. * **Referral sa Mga Programa sa Paggamot:** Maaaring mag-alok ang mga pasilidad ng mga kumpidensyal na programa sa tulong ng empleyado o mapagkukunan para sa paggamot sa addiction. * **Mga Kinakailangan sa Pag-uulat:** Depende sa propesyon at sa gamot na kasangkot, maaaring mayroong mandatoryong mga kinakailangan sa pag-uulat sa mga licensing board o regulatory body.
**Para sa mga Bisita:**
* **Pag-alis mula sa Pasilidad:** Maaaring i-escort ng seguridad ang bisita palabas ng lugar at posibleng pagbawalan sila sa mga pagbisita sa hinaharap. * **Pagpapatupad ng Batas:** Kung may kinalaman ang mga ilegal na droga o nakakagambala ang bisita, maaaring may kinalaman ang seguridad sa pagpapatupad ng batas. **Dagdag pa:**
* **Mga Protokol ng Pasilidad:** Ang pasilidad ng pangangalagang pangkalusugan ay dapat magkaroon ng mga protocol para sa paghawak ng mga insidente ng paggamit ng droga. Dapat isaalang-alang ng mga protocol na ito ang kaligtasan ng pasyente, kagalingan ng kawani, at pagsunod sa batas. * **Pagiging Kumpidensyal:** Ang privacy ng pasyente ay pinakamahalaga. Ang impormasyon tungkol sa paggamit ng droga ay dapat pangasiwaan nang kumpidensyal, na may mga pagbubukod para sa mandatoryong mga kinakailangan sa pag-uulat. **Tandaan:** Ang pangunahing pagtutuon ay palaging sa pagtiyak sa kaligtasan ng lahat ng kasangkot. Ang pasilidad ng pangangalagang pangkalusugan ay magsasagawa ng mga naaangkop na hakbang sa loob ng legal na balangkas upang matugunan ang sitwasyon at mag-alok ng suporta kapag posible.</v>
      </c>
      <c r="F2248" s="2">
        <f t="shared" si="1"/>
        <v>0</v>
      </c>
      <c r="G2248" s="2"/>
      <c r="H2248" s="2"/>
      <c r="I2248" s="2"/>
      <c r="J2248" s="2"/>
      <c r="K2248" s="2"/>
      <c r="L2248" s="2"/>
      <c r="M2248" s="2"/>
      <c r="N2248" s="2"/>
      <c r="O2248" s="2"/>
      <c r="P2248" s="2"/>
      <c r="Q2248" s="2"/>
      <c r="R2248" s="2"/>
      <c r="S2248" s="2"/>
      <c r="T2248" s="2"/>
      <c r="U2248" s="2"/>
      <c r="V2248" s="2"/>
      <c r="W2248" s="2"/>
      <c r="X2248" s="2"/>
      <c r="Y2248" s="2"/>
      <c r="Z2248" s="2"/>
      <c r="AA2248" s="2"/>
    </row>
    <row r="2249">
      <c r="A2249" s="3" t="s">
        <v>5259</v>
      </c>
      <c r="B2249" s="1" t="s">
        <v>5462</v>
      </c>
      <c r="C2249" s="3" t="s">
        <v>5463</v>
      </c>
      <c r="D2249" s="2" t="str">
        <f>IFERROR(__xludf.DUMMYFUNCTION("GOOGLETRANSLATE(B2249, ""en"", ""TL"")"),"Natuklasan mo na ang isang kasamahan ay gumagamit ng mga ilegal na droga upang mapahusay ang pagganap sa trabaho. Anong mga legal na aksyon ang maaaring gawin upang matugunan ang isyung ito sa loob ng lugar ng trabaho?")</f>
        <v>Natuklasan mo na ang isang kasamahan ay gumagamit ng mga ilegal na droga upang mapahusay ang pagganap sa trabaho. Anong mga legal na aksyon ang maaaring gawin upang matugunan ang isyung ito sa loob ng lugar ng trabaho?</v>
      </c>
      <c r="E2249" s="2" t="str">
        <f>IFERROR(__xludf.DUMMYFUNCTION("GOOGLETRANSLATE(C2249, ""en"", ""TL"")"),"Sa karamihan ng mga kaso, walang mga legal na aksyon na maaari mong direktang gawin laban sa iyong kasamahan para sa paggamit ng ilegal na droga. Gayunpaman, may mga paraan upang matugunan ang sitwasyon sa loob ng balangkas ng lugar ng trabaho:
**Mag-ulat"&amp;" sa Supervisor:**
* Ang pinakakaraniwang paraan ay iulat ang iyong mga alalahanin sa isang superbisor o departamento ng Human Resources. Ipahayag ang iyong mga obserbasyon at anumang panganib sa kaligtasan na nakikita mo dahil sa kanilang paggamit ng drog"&amp;"a. * Tumutok sa potensyal na panganib sa kanilang sarili, sa iba, at sa pagiging produktibo ng kumpanya, hindi kinakailangan ang pagiging ilegal ng mga gamot mismo.
**Patakaran ng Kumpanya:**
* Karamihan sa mga kumpanya ay may mga patakaran sa lugar ng tr"&amp;"abaho na walang droga na nagbabalangkas ng mga inaasahan at potensyal na kahihinatnan para sa paggamit ng droga. Maging pamilyar sa mga patakarang ito upang maunawaan ang mga pamamaraan sa pag-uulat.
**Iwasan ang Direktang Pagharap:**
* Ang direktang pagh"&amp;"arap sa iyong kasamahan ay hindi inirerekomenda. Maaari itong lumikha ng masamang kapaligiran sa trabaho at posibleng ilagay ka sa panganib. **Tumuon sa Mga Solusyon:**
* Kung nag-aalala ka tungkol sa kapakanan ng iyong kasamahan, isaalang-alang ang pagba"&amp;"nggit ng mga posibleng mapagkukunan para sa paggamot sa addiction nang hindi nagpapakilala sa pamamagitan ng Employee Assistance Program (EAP) kung available sa iyong kumpanya.
**Panatilihin ang Pagiging Kumpidensyal:** * Maliban kung may agarang banta sa"&amp;" kaligtasan, iwasan ang tsismis o pagkalat ng tsismis tungkol sa pinaghihinalaang paggamit ng droga ng iyong kasamahan. **Tandaan:**
* Ang layunin ay upang matugunan ang potensyal na panganib ng paggamit ng droga sa pagganap ng trabaho at kaligtasan, hind"&amp;"i upang madala ang iyong kasamahan sa legal na problema. * Ang kumpanya ay may responsibilidad na mag-imbestiga at magsagawa ng naaangkop na aksyong pandisiplina batay sa kanilang mga patakaran.")</f>
        <v>Sa karamihan ng mga kaso, walang mga legal na aksyon na maaari mong direktang gawin laban sa iyong kasamahan para sa paggamit ng ilegal na droga. Gayunpaman, may mga paraan upang matugunan ang sitwasyon sa loob ng balangkas ng lugar ng trabaho:
**Mag-ulat sa Supervisor:**
* Ang pinakakaraniwang paraan ay iulat ang iyong mga alalahanin sa isang superbisor o departamento ng Human Resources. Ipahayag ang iyong mga obserbasyon at anumang panganib sa kaligtasan na nakikita mo dahil sa kanilang paggamit ng droga. * Tumutok sa potensyal na panganib sa kanilang sarili, sa iba, at sa pagiging produktibo ng kumpanya, hindi kinakailangan ang pagiging ilegal ng mga gamot mismo.
**Patakaran ng Kumpanya:**
* Karamihan sa mga kumpanya ay may mga patakaran sa lugar ng trabaho na walang droga na nagbabalangkas ng mga inaasahan at potensyal na kahihinatnan para sa paggamit ng droga. Maging pamilyar sa mga patakarang ito upang maunawaan ang mga pamamaraan sa pag-uulat.
**Iwasan ang Direktang Pagharap:**
* Ang direktang pagharap sa iyong kasamahan ay hindi inirerekomenda. Maaari itong lumikha ng masamang kapaligiran sa trabaho at posibleng ilagay ka sa panganib. **Tumuon sa Mga Solusyon:**
* Kung nag-aalala ka tungkol sa kapakanan ng iyong kasamahan, isaalang-alang ang pagbanggit ng mga posibleng mapagkukunan para sa paggamot sa addiction nang hindi nagpapakilala sa pamamagitan ng Employee Assistance Program (EAP) kung available sa iyong kumpanya.
**Panatilihin ang Pagiging Kumpidensyal:** * Maliban kung may agarang banta sa kaligtasan, iwasan ang tsismis o pagkalat ng tsismis tungkol sa pinaghihinalaang paggamit ng droga ng iyong kasamahan. **Tandaan:**
* Ang layunin ay upang matugunan ang potensyal na panganib ng paggamit ng droga sa pagganap ng trabaho at kaligtasan, hindi upang madala ang iyong kasamahan sa legal na problema. * Ang kumpanya ay may responsibilidad na mag-imbestiga at magsagawa ng naaangkop na aksyong pandisiplina batay sa kanilang mga patakaran.</v>
      </c>
      <c r="F2249" s="2">
        <f t="shared" si="1"/>
        <v>0</v>
      </c>
      <c r="G2249" s="2"/>
      <c r="H2249" s="2"/>
      <c r="I2249" s="2"/>
      <c r="J2249" s="2"/>
      <c r="K2249" s="2"/>
      <c r="L2249" s="2"/>
      <c r="M2249" s="2"/>
      <c r="N2249" s="2"/>
      <c r="O2249" s="2"/>
      <c r="P2249" s="2"/>
      <c r="Q2249" s="2"/>
      <c r="R2249" s="2"/>
      <c r="S2249" s="2"/>
      <c r="T2249" s="2"/>
      <c r="U2249" s="2"/>
      <c r="V2249" s="2"/>
      <c r="W2249" s="2"/>
      <c r="X2249" s="2"/>
      <c r="Y2249" s="2"/>
      <c r="Z2249" s="2"/>
      <c r="AA2249" s="2"/>
    </row>
    <row r="2250">
      <c r="A2250" s="3" t="s">
        <v>5259</v>
      </c>
      <c r="B2250" s="1" t="s">
        <v>5464</v>
      </c>
      <c r="C2250" s="3" t="s">
        <v>5465</v>
      </c>
      <c r="D2250" s="2" t="str">
        <f>IFERROR(__xludf.DUMMYFUNCTION("GOOGLETRANSLATE(B2250, ""en"", ""TL"")"),"Nakatanggap ka ng impormasyon na ang isang sentro ng rehabilitasyon ng droga ay nagsasagawa ng mga tiwaling gawi at nagbibigay-daan sa paggamit ng droga. Anong mga legal na hakbang ang maaaring gawin upang siyasatin at matugunan ang isyung ito?")</f>
        <v>Nakatanggap ka ng impormasyon na ang isang sentro ng rehabilitasyon ng droga ay nagsasagawa ng mga tiwaling gawi at nagbibigay-daan sa paggamit ng droga. Anong mga legal na hakbang ang maaaring gawin upang siyasatin at matugunan ang isyung ito?</v>
      </c>
      <c r="E2250" s="2" t="str">
        <f>IFERROR(__xludf.DUMMYFUNCTION("GOOGLETRANSLATE(C2250, ""en"", ""TL"")"),"Narito ang ilang legal na hakbang na maaari mong gawin upang imbestigahan at tugunan ang isang drug rehabilitation center na pinaghihinalaang may mga tiwaling gawi at nagbibigay-daan sa paggamit ng droga:
**Pag-uulat sa Sentro:**
* **Ahensiya ng Paglilise"&amp;"nsya:** Magsimula sa pamamagitan ng pag-uulat ng sentro sa ahensya ng gobyerno na responsable sa paglilisensya at pangangasiwa sa mga pasilidad ng rehabilitasyon sa iyong lugar. May awtoridad silang mag-imbestiga at posibleng bawiin ang lisensya ng center"&amp;". * **Pagpapatupad ng Batas:** Kung mayroon kang ebidensya ng ilegal na aktibidad, tulad ng pamamahagi ng droga sa loob ng pasilidad, iulat ito sa lokal na departamento ng pulisya. * **Mga Pambansang Hotline:** Kung hindi sigurado kung sino ang kokontakin"&amp;" sa iyong lugar, isaalang-alang ang pag-uulat sa mga pambansang hotline na nakatuon sa pag-abuso sa sangkap o panloloko sa pangangalagang pangkalusugan. Kasama sa mga halimbawa ang:
* Ang hotline ng National Institute on Drug Abuse (NIDA): 1-800-662-HELP "&amp;"(4357)
* The Substance Abuse and Mental Health Services Administration (SAMHSA) National Helpline: 1-800-662-HELP (4357)
**Pagtitipon ng Ebidensya (Gawin ito nang maingat at legal):**
* **Idokumento ang Lahat:** Kung mayroon kang anumang mismong impormasy"&amp;"on o ebidensya, panatilihin ang isang detalyadong tala. Maaaring kabilang dito ang mga petsa, oras, partikular na insidente na iyong nasaksihan, o dokumentasyong natanggap mula sa mga whistleblower. * **Maghanap ng Mga Anonymous na Pinagmumulan:** Kung ma"&amp;"y kilala kang mga taong konektado sa center (mga dating pasyente, staff), hikayatin silang mag-ulat nang hindi nagpapakilala sa mga awtoridad. **Supporting Whistleblower:**
* **Pagiging Kumpidensyal:** Kung nais ng isang taong nagtatrabaho sa sentro, tiya"&amp;"kin sa kanila ang mga proteksyon sa pagiging kumpidensyal na inaalok ng mga batas ng whistleblower. **Mga Mapagkukunan para sa Karagdagang Pagkilos:**
* **Legal Aid:** Isaalang-alang ang pagkonsulta sa isang abogado na dalubhasa sa pandaraya sa pangangala"&amp;"gang pangkalusugan o mga karapatan sa whistleblower. Maaari silang magpayo sa pinakamahusay na paraan ng pagkilos batay sa partikular na sitwasyon.
* **Consumer Advocacy Groups:** Consumer advocacy group na nakatuon sa addiction treatment ay maaaring mag-"&amp;"alok ng mga mapagkukunan o suporta sa paghahain ng mga reklamo.
**Mahahalagang Pagsasaalang-alang:**
* **Kaligtasan Una:** Huwag ilagay ang iyong sarili sa panganib habang nangangalap ng ebidensya. Unahin ang iyong kaligtasan at tumuon sa hindi kilalang p"&amp;"ag-uulat kung kinakailangan.
* **Ang Ebidensya ay Susi:** Kung mas malakas ang iyong ebidensya, mas malamang na gagawa ng aksyon ang mga awtoridad. Gayunpaman, iwasan ang anumang mga ilegal na aktibidad habang sinusubukang mangalap ng patunay. Sa pamamagi"&amp;"tan ng pag-uulat ng iyong mga alalahanin at pangangalap ng ebidensya, maaari kang tumulong na panagutin ang tiwaling pasilidad at protektahan ang mga naghahanap ng tunay na tulong.")</f>
        <v>Narito ang ilang legal na hakbang na maaari mong gawin upang imbestigahan at tugunan ang isang drug rehabilitation center na pinaghihinalaang may mga tiwaling gawi at nagbibigay-daan sa paggamit ng droga:
**Pag-uulat sa Sentro:**
* **Ahensiya ng Paglilisensya:** Magsimula sa pamamagitan ng pag-uulat ng sentro sa ahensya ng gobyerno na responsable sa paglilisensya at pangangasiwa sa mga pasilidad ng rehabilitasyon sa iyong lugar. May awtoridad silang mag-imbestiga at posibleng bawiin ang lisensya ng center. * **Pagpapatupad ng Batas:** Kung mayroon kang ebidensya ng ilegal na aktibidad, tulad ng pamamahagi ng droga sa loob ng pasilidad, iulat ito sa lokal na departamento ng pulisya. * **Mga Pambansang Hotline:** Kung hindi sigurado kung sino ang kokontakin sa iyong lugar, isaalang-alang ang pag-uulat sa mga pambansang hotline na nakatuon sa pag-abuso sa sangkap o panloloko sa pangangalagang pangkalusugan. Kasama sa mga halimbawa ang:
* Ang hotline ng National Institute on Drug Abuse (NIDA): 1-800-662-HELP (4357)
* The Substance Abuse and Mental Health Services Administration (SAMHSA) National Helpline: 1-800-662-HELP (4357)
**Pagtitipon ng Ebidensya (Gawin ito nang maingat at legal):**
* **Idokumento ang Lahat:** Kung mayroon kang anumang mismong impormasyon o ebidensya, panatilihin ang isang detalyadong tala. Maaaring kabilang dito ang mga petsa, oras, partikular na insidente na iyong nasaksihan, o dokumentasyong natanggap mula sa mga whistleblower. * **Maghanap ng Mga Anonymous na Pinagmumulan:** Kung may kilala kang mga taong konektado sa center (mga dating pasyente, staff), hikayatin silang mag-ulat nang hindi nagpapakilala sa mga awtoridad. **Supporting Whistleblower:**
* **Pagiging Kumpidensyal:** Kung nais ng isang taong nagtatrabaho sa sentro, tiyakin sa kanila ang mga proteksyon sa pagiging kumpidensyal na inaalok ng mga batas ng whistleblower. **Mga Mapagkukunan para sa Karagdagang Pagkilos:**
* **Legal Aid:** Isaalang-alang ang pagkonsulta sa isang abogado na dalubhasa sa pandaraya sa pangangalagang pangkalusugan o mga karapatan sa whistleblower. Maaari silang magpayo sa pinakamahusay na paraan ng pagkilos batay sa partikular na sitwasyon.
* **Consumer Advocacy Groups:** Consumer advocacy group na nakatuon sa addiction treatment ay maaaring mag-alok ng mga mapagkukunan o suporta sa paghahain ng mga reklamo.
**Mahahalagang Pagsasaalang-alang:**
* **Kaligtasan Una:** Huwag ilagay ang iyong sarili sa panganib habang nangangalap ng ebidensya. Unahin ang iyong kaligtasan at tumuon sa hindi kilalang pag-uulat kung kinakailangan.
* **Ang Ebidensya ay Susi:** Kung mas malakas ang iyong ebidensya, mas malamang na gagawa ng aksyon ang mga awtoridad. Gayunpaman, iwasan ang anumang mga ilegal na aktibidad habang sinusubukang mangalap ng patunay. Sa pamamagitan ng pag-uulat ng iyong mga alalahanin at pangangalap ng ebidensya, maaari kang tumulong na panagutin ang tiwaling pasilidad at protektahan ang mga naghahanap ng tunay na tulong.</v>
      </c>
      <c r="F2250" s="2">
        <f t="shared" si="1"/>
        <v>0</v>
      </c>
      <c r="G2250" s="2"/>
      <c r="H2250" s="2"/>
      <c r="I2250" s="2"/>
      <c r="J2250" s="2"/>
      <c r="K2250" s="2"/>
      <c r="L2250" s="2"/>
      <c r="M2250" s="2"/>
      <c r="N2250" s="2"/>
      <c r="O2250" s="2"/>
      <c r="P2250" s="2"/>
      <c r="Q2250" s="2"/>
      <c r="R2250" s="2"/>
      <c r="S2250" s="2"/>
      <c r="T2250" s="2"/>
      <c r="U2250" s="2"/>
      <c r="V2250" s="2"/>
      <c r="W2250" s="2"/>
      <c r="X2250" s="2"/>
      <c r="Y2250" s="2"/>
      <c r="Z2250" s="2"/>
      <c r="AA2250" s="2"/>
    </row>
    <row r="2251">
      <c r="A2251" s="3" t="s">
        <v>5259</v>
      </c>
      <c r="B2251" s="1" t="s">
        <v>5466</v>
      </c>
      <c r="C2251" s="3" t="s">
        <v>5467</v>
      </c>
      <c r="D2251" s="2" t="str">
        <f>IFERROR(__xludf.DUMMYFUNCTION("GOOGLETRANSLATE(B2251, ""en"", ""TL"")"),"Ang isang tao ay mahuhuli na may malaking halaga ng ilegal na droga, na sinasabing ang mga ito ay para sa personal na paggamit lamang. Paano nakikilala ng batas ng Pilipinas ang pagkakaiba ng personal na paggamit at trafficking?")</f>
        <v>Ang isang tao ay mahuhuli na may malaking halaga ng ilegal na droga, na sinasabing ang mga ito ay para sa personal na paggamit lamang. Paano nakikilala ng batas ng Pilipinas ang pagkakaiba ng personal na paggamit at trafficking?</v>
      </c>
      <c r="E2251" s="2" t="str">
        <f>IFERROR(__xludf.DUMMYFUNCTION("GOOGLETRANSLATE(C2251, ""en"", ""TL"")"),"Ang batas ng Pilipinas sa ilalim ng Republic Act No. 9165, na kilala rin bilang Comprehensive Dangerous Drugs Act of 2002, ay gumagawa ng isang malinaw na pagkakaiba sa pagitan ng pagmamay-ari para sa personal na paggamit at illegal drug trafficking. Nari"&amp;"to kung paano sila naiiba:
**Pagmamay-ari para sa Personal na Paggamit:**
* **Dami:** Ang batas ay hindi tahasang nagsasaad ng partikular na halaga para sa personal na paggamit. Gayunpaman, ang pagpapatupad ng mga regulasyon na inilabas ng Dangerous Drugs"&amp;" Board (DDB) ay nagbibigay ng ""quantifiable threshold."" Ang paglampas sa threshold na ito ay nagmumungkahi ng layunin na ipamahagi at itulak ang kaso patungo sa trafficking. Ang eksaktong dami ay nag-iiba depende sa partikular na ilegal na droga. * **Ka"&amp;"tangian ng Pag-aari:** Ang anyo kung saan matatagpuan ang mga gamot ay maaari ding isaalang-alang. Ang mga gamot na hinati sa mas maliliit na dosis o nakabalot sa mga paraphernalia tulad ng mga kaliskis o bag ay maaaring magdulot ng hinala ng layuning mag"&amp;"benta.
* **Profile ng User:** Maaaring isaalang-alang ang mga salik tulad ng kasaysayan ng paggamit ng droga ng isang tao, mga talaang medikal na nagsasaad ng pagtitiwala, at kawalan ng anumang ebidensya ng pagbebenta. **Ilegal na Pagtrapiko ng Droga:**
*"&amp;" **Dami:** Ang pagmamay-ari na lumampas sa ""quantifiable threshold"" na itinakda ng DDB para sa isang partikular na gamot ay nagmumungkahi ng trafficking. Ang mga dami na ito ay pana-panahong ina-update at hindi available sa publiko.
* **Katangian ng Pag"&amp;"-aari:** Kung ang mga gamot ay makikitang nahahati sa magagamit na mga dosis, nakabalot para ibenta, o sinamahan ng mga paraphernalia tulad ng kaliskis o baggies, pinalalakas nito ang kaso para sa trafficking.
* **Katibayan ng Pamamahagi:** Anumang patuna"&amp;"y na ang tao ay nagbebenta o nagpaplanong magbenta ng mga gamot, tulad ng mga text message, mga talaan ng transaksyon, o mga testimonya ng saksi, ay magiging matibay na ebidensya ng trafficking.
**Mahahalagang Pagsasaalang-alang:**
* Ang pasanin ng patuna"&amp;"y ay nakasalalay sa prosekusyon upang itatag ang layunin ng akusado na ipamahagi. * Ang isang taong nahulihan ng malaking halaga ng droga ay maaari pa ring makipagtalo para sa pagmamay-ari para sa personal na paggamit kung mayroon silang mabigat na kaso, "&amp;"ngunit ito ay nagiging isang mahirap na labanan.
**Narito ang ilang mapagkukunan para sa karagdagang impormasyon:**
* **Dangerous Drugs Board (DDB):** [https://ddb.gov.ph/](https://ddb.gov.ph/)
* **Republic Act No. 9165:** [https://www.officialgazette.gov"&amp;".ph/downloads/2017/10oct/20171010-MEMO-RRD.pdf](https://www.officialgazette.gov.ph /downloads/2017/10oct/20171010-MEMO-RRD.pdf)
**Disclaimer:** Ito ay hindi legal na payo. Kung ikaw ay nahaharap sa mga kaso sa droga, mahalagang kumunsulta sa isang abogado"&amp;" na dalubhasa sa mga batas sa droga sa Pilipinas. Maaari nilang suriin ang iyong partikular na sitwasyon at mag-alok ng pinakamahusay na paraan ng pagtatanggol.")</f>
        <v>Ang batas ng Pilipinas sa ilalim ng Republic Act No. 9165, na kilala rin bilang Comprehensive Dangerous Drugs Act of 2002, ay gumagawa ng isang malinaw na pagkakaiba sa pagitan ng pagmamay-ari para sa personal na paggamit at illegal drug trafficking. Narito kung paano sila naiiba:
**Pagmamay-ari para sa Personal na Paggamit:**
* **Dami:** Ang batas ay hindi tahasang nagsasaad ng partikular na halaga para sa personal na paggamit. Gayunpaman, ang pagpapatupad ng mga regulasyon na inilabas ng Dangerous Drugs Board (DDB) ay nagbibigay ng "quantifiable threshold." Ang paglampas sa threshold na ito ay nagmumungkahi ng layunin na ipamahagi at itulak ang kaso patungo sa trafficking. Ang eksaktong dami ay nag-iiba depende sa partikular na ilegal na droga. * **Katangian ng Pag-aari:** Ang anyo kung saan matatagpuan ang mga gamot ay maaari ding isaalang-alang. Ang mga gamot na hinati sa mas maliliit na dosis o nakabalot sa mga paraphernalia tulad ng mga kaliskis o bag ay maaaring magdulot ng hinala ng layuning magbenta.
* **Profile ng User:** Maaaring isaalang-alang ang mga salik tulad ng kasaysayan ng paggamit ng droga ng isang tao, mga talaang medikal na nagsasaad ng pagtitiwala, at kawalan ng anumang ebidensya ng pagbebenta. **Ilegal na Pagtrapiko ng Droga:**
* **Dami:** Ang pagmamay-ari na lumampas sa "quantifiable threshold" na itinakda ng DDB para sa isang partikular na gamot ay nagmumungkahi ng trafficking. Ang mga dami na ito ay pana-panahong ina-update at hindi available sa publiko.
* **Katangian ng Pag-aari:** Kung ang mga gamot ay makikitang nahahati sa magagamit na mga dosis, nakabalot para ibenta, o sinamahan ng mga paraphernalia tulad ng kaliskis o baggies, pinalalakas nito ang kaso para sa trafficking.
* **Katibayan ng Pamamahagi:** Anumang patunay na ang tao ay nagbebenta o nagpaplanong magbenta ng mga gamot, tulad ng mga text message, mga talaan ng transaksyon, o mga testimonya ng saksi, ay magiging matibay na ebidensya ng trafficking.
**Mahahalagang Pagsasaalang-alang:**
* Ang pasanin ng patunay ay nakasalalay sa prosekusyon upang itatag ang layunin ng akusado na ipamahagi. * Ang isang taong nahulihan ng malaking halaga ng droga ay maaari pa ring makipagtalo para sa pagmamay-ari para sa personal na paggamit kung mayroon silang mabigat na kaso, ngunit ito ay nagiging isang mahirap na labanan.
**Narito ang ilang mapagkukunan para sa karagdagang impormasyon:**
* **Dangerous Drugs Board (DDB):** [https://ddb.gov.ph/](https://ddb.gov.ph/)
* **Republic Act No. 9165:** [https://www.officialgazette.gov.ph/downloads/2017/10oct/20171010-MEMO-RRD.pdf](https://www.officialgazette.gov.ph /downloads/2017/10oct/20171010-MEMO-RRD.pdf)
**Disclaimer:** Ito ay hindi legal na payo. Kung ikaw ay nahaharap sa mga kaso sa droga, mahalagang kumunsulta sa isang abogado na dalubhasa sa mga batas sa droga sa Pilipinas. Maaari nilang suriin ang iyong partikular na sitwasyon at mag-alok ng pinakamahusay na paraan ng pagtatanggol.</v>
      </c>
      <c r="F2251" s="2">
        <f t="shared" si="1"/>
        <v>0</v>
      </c>
      <c r="G2251" s="2"/>
      <c r="H2251" s="2"/>
      <c r="I2251" s="2"/>
      <c r="J2251" s="2"/>
      <c r="K2251" s="2"/>
      <c r="L2251" s="2"/>
      <c r="M2251" s="2"/>
      <c r="N2251" s="2"/>
      <c r="O2251" s="2"/>
      <c r="P2251" s="2"/>
      <c r="Q2251" s="2"/>
      <c r="R2251" s="2"/>
      <c r="S2251" s="2"/>
      <c r="T2251" s="2"/>
      <c r="U2251" s="2"/>
      <c r="V2251" s="2"/>
      <c r="W2251" s="2"/>
      <c r="X2251" s="2"/>
      <c r="Y2251" s="2"/>
      <c r="Z2251" s="2"/>
      <c r="AA2251" s="2"/>
    </row>
    <row r="2252">
      <c r="A2252" s="3" t="s">
        <v>5259</v>
      </c>
      <c r="B2252" s="1" t="s">
        <v>5468</v>
      </c>
      <c r="C2252" s="3" t="s">
        <v>5469</v>
      </c>
      <c r="D2252" s="2" t="str">
        <f>IFERROR(__xludf.DUMMYFUNCTION("GOOGLETRANSLATE(B2252, ""en"", ""TL"")"),"Sa isang pampublikong kaganapan, napagmamasdan mo ang isang taong namamahagi ng mga libreng sample ng mga gamot. Anong mga legal na hakbang ang maaaring gawin upang maiwasan ang pamamahagi at iulat ang insidente?")</f>
        <v>Sa isang pampublikong kaganapan, napagmamasdan mo ang isang taong namamahagi ng mga libreng sample ng mga gamot. Anong mga legal na hakbang ang maaaring gawin upang maiwasan ang pamamahagi at iulat ang insidente?</v>
      </c>
      <c r="E2252" s="2" t="str">
        <f>IFERROR(__xludf.DUMMYFUNCTION("GOOGLETRANSLATE(C2252, ""en"", ""TL"")"),"Narito ang maaari mong gawin upang ihinto ang pamamahagi at iulat ang insidente sa isang pampublikong kaganapan:
**Agad na Pagkilos:**
1. **Seguridad ng Alerto:** Ang pinakamaagarang hakbang ay ang paghahanap ng mga tauhan ng seguridad sa kaganapan. Ipaal"&amp;"am sa kanila ang tungkol sa taong namamahagi ng mga gamot at magbigay ng paglalarawan. 2. **Abalahin ang Distributor:** Kung walang agarang presensya sa seguridad, subukang gambalain ang taong namamahagi ng mga gamot sa ligtas na paraan. Maaaring kabilang"&amp;" dito ang pagtatanong sa kanila o magalang na paghiling na lumipat sila. 3. **Balaan ang Iba:** Maingat na babalaan ang mga tao sa malapit tungkol sa posibilidad ng mga gamot na iniaalok at payuhan silang huwag tumanggap ng anuman.
**Pag-uulat ng Insident"&amp;"e:**
1. **Pagpapatupad ng Batas:** Kapag nakagawa ka na ng mga hakbang upang ihinto ang agarang pamamahagi, makipag-ugnayan sa pulisya. Ilarawan ang tao, ang kanilang lokasyon, at ang uri ng mga gamot (kung makikilala mo sila). 2. **Mga Organizer ng Kagan"&amp;"apan:** Iulat ang insidente sa mga organizer ng kaganapan. Maaaring mayroon silang karagdagang mga hakbang sa seguridad o gusto nilang mag-isyu ng pampublikong anunsyo na nagbabala sa mga dadalo.
**Mga Karagdagang Tip:**
* **Huwag Direktang Manghimasok:**"&amp;" Huwag subukang hulihin ang tao mismo. Ipaubaya iyan sa seguridad o tagapagpatupad ng batas. Ang iyong kaligtasan ay higit sa lahat.
* **Magtipon ng Ebidensya (kung maaari):** Kung magagawa mo ito nang ligtas, subukang kumuha ng mga palihim na larawan o v"&amp;"ideo ng taong namamahagi ng mga gamot. Maaari itong maging kapaki-pakinabang na ebidensya para sa pulisya.
* **Maging Saksi:** Kung makikipag-ugnayan sa tagapagpatupad ng batas sa ibang pagkakataon, maging handa na magbigay ng pahayag ng saksi na naglalar"&amp;"awan sa iyong naobserbahan.
**Tandaan:** Sa pamamagitan ng pagkilos, maaari kang makatulong na maiwasan ang iba na malantad sa ilegal na droga at mag-ambag sa isang mas ligtas na kapaligiran sa pampublikong kaganapan.")</f>
        <v>Narito ang maaari mong gawin upang ihinto ang pamamahagi at iulat ang insidente sa isang pampublikong kaganapan:
**Agad na Pagkilos:**
1. **Seguridad ng Alerto:** Ang pinakamaagarang hakbang ay ang paghahanap ng mga tauhan ng seguridad sa kaganapan. Ipaalam sa kanila ang tungkol sa taong namamahagi ng mga gamot at magbigay ng paglalarawan. 2. **Abalahin ang Distributor:** Kung walang agarang presensya sa seguridad, subukang gambalain ang taong namamahagi ng mga gamot sa ligtas na paraan. Maaaring kabilang dito ang pagtatanong sa kanila o magalang na paghiling na lumipat sila. 3. **Balaan ang Iba:** Maingat na babalaan ang mga tao sa malapit tungkol sa posibilidad ng mga gamot na iniaalok at payuhan silang huwag tumanggap ng anuman.
**Pag-uulat ng Insidente:**
1. **Pagpapatupad ng Batas:** Kapag nakagawa ka na ng mga hakbang upang ihinto ang agarang pamamahagi, makipag-ugnayan sa pulisya. Ilarawan ang tao, ang kanilang lokasyon, at ang uri ng mga gamot (kung makikilala mo sila). 2. **Mga Organizer ng Kaganapan:** Iulat ang insidente sa mga organizer ng kaganapan. Maaaring mayroon silang karagdagang mga hakbang sa seguridad o gusto nilang mag-isyu ng pampublikong anunsyo na nagbabala sa mga dadalo.
**Mga Karagdagang Tip:**
* **Huwag Direktang Manghimasok:** Huwag subukang hulihin ang tao mismo. Ipaubaya iyan sa seguridad o tagapagpatupad ng batas. Ang iyong kaligtasan ay higit sa lahat.
* **Magtipon ng Ebidensya (kung maaari):** Kung magagawa mo ito nang ligtas, subukang kumuha ng mga palihim na larawan o video ng taong namamahagi ng mga gamot. Maaari itong maging kapaki-pakinabang na ebidensya para sa pulisya.
* **Maging Saksi:** Kung makikipag-ugnayan sa tagapagpatupad ng batas sa ibang pagkakataon, maging handa na magbigay ng pahayag ng saksi na naglalarawan sa iyong naobserbahan.
**Tandaan:** Sa pamamagitan ng pagkilos, maaari kang makatulong na maiwasan ang iba na malantad sa ilegal na droga at mag-ambag sa isang mas ligtas na kapaligiran sa pampublikong kaganapan.</v>
      </c>
      <c r="F2252" s="2">
        <f t="shared" si="1"/>
        <v>0</v>
      </c>
      <c r="G2252" s="2"/>
      <c r="H2252" s="2"/>
      <c r="I2252" s="2"/>
      <c r="J2252" s="2"/>
      <c r="K2252" s="2"/>
      <c r="L2252" s="2"/>
      <c r="M2252" s="2"/>
      <c r="N2252" s="2"/>
      <c r="O2252" s="2"/>
      <c r="P2252" s="2"/>
      <c r="Q2252" s="2"/>
      <c r="R2252" s="2"/>
      <c r="S2252" s="2"/>
      <c r="T2252" s="2"/>
      <c r="U2252" s="2"/>
      <c r="V2252" s="2"/>
      <c r="W2252" s="2"/>
      <c r="X2252" s="2"/>
      <c r="Y2252" s="2"/>
      <c r="Z2252" s="2"/>
      <c r="AA2252" s="2"/>
    </row>
    <row r="2253">
      <c r="A2253" s="3" t="s">
        <v>5259</v>
      </c>
      <c r="B2253" s="1" t="s">
        <v>5470</v>
      </c>
      <c r="C2253" s="3" t="s">
        <v>5471</v>
      </c>
      <c r="D2253" s="2" t="str">
        <f>IFERROR(__xludf.DUMMYFUNCTION("GOOGLETRANSLATE(B2253, ""en"", ""TL"")"),"Ang isang tao ay inaresto dahil sa paghawak ng droga at sinasabing ang mga droga ay itinanim ng mga nagpapatupad ng batas. Paano pinangangasiwaan ang pagtatanggol sa pagtatanim ng ebidensya sa ilalim ng batas ng Pilipinas?")</f>
        <v>Ang isang tao ay inaresto dahil sa paghawak ng droga at sinasabing ang mga droga ay itinanim ng mga nagpapatupad ng batas. Paano pinangangasiwaan ang pagtatanggol sa pagtatanim ng ebidensya sa ilalim ng batas ng Pilipinas?</v>
      </c>
      <c r="E2253" s="2" t="str">
        <f>IFERROR(__xludf.DUMMYFUNCTION("GOOGLETRANSLATE(C2253, ""en"", ""TL"")"),"Sa Pilipinas, ang pagtatanggol sa pagtatanim ng ebidensya sa mga kaso ng pagdadala ng droga ay isang masalimuot na isyu. Narito ang isang breakdown kung paano ito pinangangasiwaan:
* **Burden of Proof:** Ang pasanin ng patunay ay nakasalalay sa **prosekus"&amp;"yon** upang itatag ang pagkakasala ng akusado nang lampas sa makatwirang pagdududa. Kabilang dito ang pagpapatunay na ang mga droga ay nasa pag-aari nga ng akusado at hindi itinanim ng mga nagpapatupad ng batas.
* **Accusation vs. Evidence:** Ang isang ak"&amp;"usasyon lamang ng pagtatanim ng ebidensya ay hindi sapat. Ang akusado ay kailangang magpakita ng **kapanipaniwalang ebidensya** upang suportahan ang kanilang paghahabol. Maaaring kabilang dito ang:
* Saksihan ang mga testimonya mula sa mga taong nakakita "&amp;"sa pag-aresto at maaaring patunayan ang bersyon ng mga pangyayari ng akusado.
* Ang footage ng security camera mula sa lugar ng pag-aresto na sumasalungat sa salaysay ng pulisya.
* Mga hindi pagkakapare-pareho sa mga ulat o pamamaraan ng pulisya sa panaho"&amp;"n ng pag-aresto.
* **Pagsusuri ng Hukuman:** Ang mga hukuman sa Pilipinas ay karaniwang **nag-iingat** sa mga claim ng pagtatanim ng ebidensya, lalo na sa mga kaso ng droga. Gayunpaman, isasaalang-alang nila ang anumang kapani-paniwalang ebidensya na ipin"&amp;"akita ng depensa.
**Narito ang ilang legal na puntong dapat isaalang-alang:**
* **Mga Pamamaraan sa Paghahanap at Pag-agaw:** Ang batas ng Pilipinas ay nag-uutos ng mga partikular na pamamaraan para sa mga operasyon ng paghahanap at pag-agaw. Kung maipapa"&amp;"kita ng depensa na hindi nasunod nang tama ang mga pamamaraang ito, maaari itong magduda sa pagiging lehitimo ng ebidensya (mga droga). * **Integridad ng Pagpapatupad ng Batas:** Isasaalang-alang ng hukuman ang **kredibilidad at reputasyon** ng mga opisya"&amp;"l ng pag-aresto. Ang isang kasaysayan ng maling pag-uugali ng mga opisyal na kasangkot ay maaaring palakasin ang paghahabol sa pagtatanim.
**Mahalagang Tandaan:**
* Ang pakikipaglaban sa pagtatanim ng pagtatanggol sa ebidensya ay maaaring maging mahirap a"&amp;"t nangangailangan ng matibay na ebidensya. Ang pagkonsulta sa isang abogado na dalubhasa sa mga batas sa droga sa Pilipinas ay napakahalaga. * Ang mga kamakailang desisyon ng korte ay nagpapakita ng lumalaking kamalayan sa posibilidad ng pagtatanim ng ebi"&amp;"densya, ngunit ang pasanin ng patunay ay nananatili sa mga akusado.
**Narito ang ilang mapagkukunan para sa karagdagang impormasyon:**
* **LawPhil - Philippine Legal Information Institute:** [https://lawphil.net/](https://lawphil.net/) (Maghanap ng mga na"&amp;"uugnay na kaso sa korte)
* **Public Attorney's Office:** Nag-aalok ang Pilipinas ng libreng legal na tulong sa mga nahaharap sa mga kasong kriminal. **Disclaimer:** Ito ay hindi legal na payo. Kung ikaw ay nahaharap sa mga singil sa droga at isinasaalang-"&amp;"alang ang pagtatanim ng depensa ng ebidensya, ang pagkonsulta sa isang abogado ay mahalaga.")</f>
        <v>Sa Pilipinas, ang pagtatanggol sa pagtatanim ng ebidensya sa mga kaso ng pagdadala ng droga ay isang masalimuot na isyu. Narito ang isang breakdown kung paano ito pinangangasiwaan:
* **Burden of Proof:** Ang pasanin ng patunay ay nakasalalay sa **prosekusyon** upang itatag ang pagkakasala ng akusado nang lampas sa makatwirang pagdududa. Kabilang dito ang pagpapatunay na ang mga droga ay nasa pag-aari nga ng akusado at hindi itinanim ng mga nagpapatupad ng batas.
* **Accusation vs. Evidence:** Ang isang akusasyon lamang ng pagtatanim ng ebidensya ay hindi sapat. Ang akusado ay kailangang magpakita ng **kapanipaniwalang ebidensya** upang suportahan ang kanilang paghahabol. Maaaring kabilang dito ang:
* Saksihan ang mga testimonya mula sa mga taong nakakita sa pag-aresto at maaaring patunayan ang bersyon ng mga pangyayari ng akusado.
* Ang footage ng security camera mula sa lugar ng pag-aresto na sumasalungat sa salaysay ng pulisya.
* Mga hindi pagkakapare-pareho sa mga ulat o pamamaraan ng pulisya sa panahon ng pag-aresto.
* **Pagsusuri ng Hukuman:** Ang mga hukuman sa Pilipinas ay karaniwang **nag-iingat** sa mga claim ng pagtatanim ng ebidensya, lalo na sa mga kaso ng droga. Gayunpaman, isasaalang-alang nila ang anumang kapani-paniwalang ebidensya na ipinakita ng depensa.
**Narito ang ilang legal na puntong dapat isaalang-alang:**
* **Mga Pamamaraan sa Paghahanap at Pag-agaw:** Ang batas ng Pilipinas ay nag-uutos ng mga partikular na pamamaraan para sa mga operasyon ng paghahanap at pag-agaw. Kung maipapakita ng depensa na hindi nasunod nang tama ang mga pamamaraang ito, maaari itong magduda sa pagiging lehitimo ng ebidensya (mga droga). * **Integridad ng Pagpapatupad ng Batas:** Isasaalang-alang ng hukuman ang **kredibilidad at reputasyon** ng mga opisyal ng pag-aresto. Ang isang kasaysayan ng maling pag-uugali ng mga opisyal na kasangkot ay maaaring palakasin ang paghahabol sa pagtatanim.
**Mahalagang Tandaan:**
* Ang pakikipaglaban sa pagtatanim ng pagtatanggol sa ebidensya ay maaaring maging mahirap at nangangailangan ng matibay na ebidensya. Ang pagkonsulta sa isang abogado na dalubhasa sa mga batas sa droga sa Pilipinas ay napakahalaga. * Ang mga kamakailang desisyon ng korte ay nagpapakita ng lumalaking kamalayan sa posibilidad ng pagtatanim ng ebidensya, ngunit ang pasanin ng patunay ay nananatili sa mga akusado.
**Narito ang ilang mapagkukunan para sa karagdagang impormasyon:**
* **LawPhil - Philippine Legal Information Institute:** [https://lawphil.net/](https://lawphil.net/) (Maghanap ng mga nauugnay na kaso sa korte)
* **Public Attorney's Office:** Nag-aalok ang Pilipinas ng libreng legal na tulong sa mga nahaharap sa mga kasong kriminal. **Disclaimer:** Ito ay hindi legal na payo. Kung ikaw ay nahaharap sa mga singil sa droga at isinasaalang-alang ang pagtatanim ng depensa ng ebidensya, ang pagkonsulta sa isang abogado ay mahalaga.</v>
      </c>
      <c r="F2253" s="2">
        <f t="shared" si="1"/>
        <v>0</v>
      </c>
      <c r="G2253" s="2"/>
      <c r="H2253" s="2"/>
      <c r="I2253" s="2"/>
      <c r="J2253" s="2"/>
      <c r="K2253" s="2"/>
      <c r="L2253" s="2"/>
      <c r="M2253" s="2"/>
      <c r="N2253" s="2"/>
      <c r="O2253" s="2"/>
      <c r="P2253" s="2"/>
      <c r="Q2253" s="2"/>
      <c r="R2253" s="2"/>
      <c r="S2253" s="2"/>
      <c r="T2253" s="2"/>
      <c r="U2253" s="2"/>
      <c r="V2253" s="2"/>
      <c r="W2253" s="2"/>
      <c r="X2253" s="2"/>
      <c r="Y2253" s="2"/>
      <c r="Z2253" s="2"/>
      <c r="AA2253" s="2"/>
    </row>
    <row r="2254">
      <c r="A2254" s="3" t="s">
        <v>5259</v>
      </c>
      <c r="B2254" s="1" t="s">
        <v>5472</v>
      </c>
      <c r="C2254" s="3" t="s">
        <v>5473</v>
      </c>
      <c r="D2254" s="2" t="str">
        <f>IFERROR(__xludf.DUMMYFUNCTION("GOOGLETRANSLATE(B2254, ""en"", ""TL"")"),"Pinaghihinalaan mo na ang isang opisyal ng gobyerno ay sangkot sa pagtatakip ng mga krimen na may kaugnayan sa droga sa iyong lokalidad. Anong mga legal na aksyon ang maaaring gawin upang imbestigahan at matugunan ang katiwalian na ito?")</f>
        <v>Pinaghihinalaan mo na ang isang opisyal ng gobyerno ay sangkot sa pagtatakip ng mga krimen na may kaugnayan sa droga sa iyong lokalidad. Anong mga legal na aksyon ang maaaring gawin upang imbestigahan at matugunan ang katiwalian na ito?</v>
      </c>
      <c r="E2254" s="2" t="str">
        <f>IFERROR(__xludf.DUMMYFUNCTION("GOOGLETRANSLATE(C2254, ""en"", ""TL"")"),"Narito ang ilang legal na aksyon na maaari mong gawin upang imbestigahan at tugunan ang isang opisyal ng gobyerno na pinaghihinalaang nagtatakip ng mga krimen na nauugnay sa droga:
**Pag-uulat sa Opisyal:**
* **Mga Ahensyang Anti-Korupsyon:** Ang Pilipina"&amp;"s ay may mga ahensiya laban sa katiwalian tulad ng Office of the Ombudsman (Ombudsman) o Sandiganbayan (anti-graft court). Maghain ng pormal na reklamo sa kanila, na nagdedetalye ng iyong mga hinala at anumang ebidensya na maaaring mayroon ka. * **Pagpapa"&amp;"tupad ng Batas:** Iulat ang opisyal sa Philippine National Police (PNP) o sa National Bureau of Investigation (NBI). Ibigay sa kanila ang pinakamaraming detalye hangga't maaari tungkol sa pinaghihinalaang pagtatakip.
**Pagtitipon ng Ebidensya (Gawin ito n"&amp;"ang maingat at legal):**
* **Idokumento ang Lahat:** Panatilihin ang isang detalyadong tala ng iyong mga obserbasyon, kabilang ang mga petsa, oras, at anumang partikular na pagkakataon kung saan nasaksihan mo ang mga aksyon ng opisyal na may kaugnayan sa "&amp;"pagtatakip. * **Anonymous na Mga Tip:** Kung natatakot kang gantihan, isaalang-alang ang pagsusumite ng mga anonymous na tip sa mga investigative body o mga mamamahayag (higit pa tungkol doon sa ibaba). **Paggawa sa Iba:**
* **Mga Organisasyon ng Komunida"&amp;"d:** Makipag-ugnayan sa mga organisasyong pangkomunidad o grupo ng aktibista na nakatuon sa laban sa katiwalian o mabuting pamamahala. Maaaring mayroon silang karanasan sa pagharap sa mga katulad na sitwasyon at maaaring mag-alok ng suporta. * **Media:** "&amp;"Isaalang-alang ang pakikipag-ugnayan sa mga lokal na mamamahayag na nag-iimbestiga at ibigay sa kanila ang impormasyong mayroon ka. Maaari silang magsagawa ng sarili nilang imbestigasyon at posibleng ilantad ang mga maling gawain ng opisyal. **Mga Karagda"&amp;"gang Mapagkukunan:**
* **Philippine Commission on Good Government (PCGG):** [https://en.wikipedia.org/wiki/Presidential_Commission_on_Good_Government](https://en.wikipedia.org/wiki/Presidential_Commission_on_Good_Government) Maaari silang mag-alok ng gaba"&amp;"y sa pag-uulat katiwalian.
* **Mga Abogado:** Maaaring makatulong ang pagkonsulta sa isang abogadong dalubhasa sa batas laban sa katiwalian, lalo na kung mukhang kumplikado ang sitwasyon.
**Mahahalagang Pagsasaalang-alang:**
* **Kaligtasan Una:** Huwag il"&amp;"agay ang iyong sarili sa panganib habang nangangalap ng ebidensya. Kung natatakot kang gantihan, unahin ang iyong kaligtasan at tumuon sa hindi kilalang pag-uulat. * **Ang Ebidensya ay Susi:** Kung mas malakas ang iyong ebidensya, mas malamang na gagawa n"&amp;"g aksyon ang mga awtoridad. Gayunpaman, iwasan ang anumang mga ilegal na aktibidad habang sinusubukang mangalap ng patunay.
Tandaan, ang sistemang legal ng Pilipinas ay nag-aalok ng iba't ibang paraan para sa pag-uulat ng katiwalian. Sa pamamagitan ng pag"&amp;"gamit ng mga mapagkukunang ito at pagdodokumento ng iyong mga obserbasyon, maaari kang mag-ambag sa pagpapanagot sa mga tiwaling opisyal at pagtataguyod ng transparency sa iyong komunidad.
**Disclaimer:** Ito ay hindi legal na payo. Ang mga partikular na "&amp;"hakbang ay mag-iiba depende sa uri ng pagtatakip at ang ebidensyang makukuha.")</f>
        <v>Narito ang ilang legal na aksyon na maaari mong gawin upang imbestigahan at tugunan ang isang opisyal ng gobyerno na pinaghihinalaang nagtatakip ng mga krimen na nauugnay sa droga:
**Pag-uulat sa Opisyal:**
* **Mga Ahensyang Anti-Korupsyon:** Ang Pilipinas ay may mga ahensiya laban sa katiwalian tulad ng Office of the Ombudsman (Ombudsman) o Sandiganbayan (anti-graft court). Maghain ng pormal na reklamo sa kanila, na nagdedetalye ng iyong mga hinala at anumang ebidensya na maaaring mayroon ka. * **Pagpapatupad ng Batas:** Iulat ang opisyal sa Philippine National Police (PNP) o sa National Bureau of Investigation (NBI). Ibigay sa kanila ang pinakamaraming detalye hangga't maaari tungkol sa pinaghihinalaang pagtatakip.
**Pagtitipon ng Ebidensya (Gawin ito nang maingat at legal):**
* **Idokumento ang Lahat:** Panatilihin ang isang detalyadong tala ng iyong mga obserbasyon, kabilang ang mga petsa, oras, at anumang partikular na pagkakataon kung saan nasaksihan mo ang mga aksyon ng opisyal na may kaugnayan sa pagtatakip. * **Anonymous na Mga Tip:** Kung natatakot kang gantihan, isaalang-alang ang pagsusumite ng mga anonymous na tip sa mga investigative body o mga mamamahayag (higit pa tungkol doon sa ibaba). **Paggawa sa Iba:**
* **Mga Organisasyon ng Komunidad:** Makipag-ugnayan sa mga organisasyong pangkomunidad o grupo ng aktibista na nakatuon sa laban sa katiwalian o mabuting pamamahala. Maaaring mayroon silang karanasan sa pagharap sa mga katulad na sitwasyon at maaaring mag-alok ng suporta. * **Media:** Isaalang-alang ang pakikipag-ugnayan sa mga lokal na mamamahayag na nag-iimbestiga at ibigay sa kanila ang impormasyong mayroon ka. Maaari silang magsagawa ng sarili nilang imbestigasyon at posibleng ilantad ang mga maling gawain ng opisyal. **Mga Karagdagang Mapagkukunan:**
* **Philippine Commission on Good Government (PCGG):** [https://en.wikipedia.org/wiki/Presidential_Commission_on_Good_Government](https://en.wikipedia.org/wiki/Presidential_Commission_on_Good_Government) Maaari silang mag-alok ng gabay sa pag-uulat katiwalian.
* **Mga Abogado:** Maaaring makatulong ang pagkonsulta sa isang abogadong dalubhasa sa batas laban sa katiwalian, lalo na kung mukhang kumplikado ang sitwasyon.
**Mahahalagang Pagsasaalang-alang:**
* **Kaligtasan Una:** Huwag ilagay ang iyong sarili sa panganib habang nangangalap ng ebidensya. Kung natatakot kang gantihan, unahin ang iyong kaligtasan at tumuon sa hindi kilalang pag-uulat. * **Ang Ebidensya ay Susi:** Kung mas malakas ang iyong ebidensya, mas malamang na gagawa ng aksyon ang mga awtoridad. Gayunpaman, iwasan ang anumang mga ilegal na aktibidad habang sinusubukang mangalap ng patunay.
Tandaan, ang sistemang legal ng Pilipinas ay nag-aalok ng iba't ibang paraan para sa pag-uulat ng katiwalian. Sa pamamagitan ng paggamit ng mga mapagkukunang ito at pagdodokumento ng iyong mga obserbasyon, maaari kang mag-ambag sa pagpapanagot sa mga tiwaling opisyal at pagtataguyod ng transparency sa iyong komunidad.
**Disclaimer:** Ito ay hindi legal na payo. Ang mga partikular na hakbang ay mag-iiba depende sa uri ng pagtatakip at ang ebidensyang makukuha.</v>
      </c>
      <c r="F2254" s="2">
        <f t="shared" si="1"/>
        <v>0</v>
      </c>
      <c r="G2254" s="2"/>
      <c r="H2254" s="2"/>
      <c r="I2254" s="2"/>
      <c r="J2254" s="2"/>
      <c r="K2254" s="2"/>
      <c r="L2254" s="2"/>
      <c r="M2254" s="2"/>
      <c r="N2254" s="2"/>
      <c r="O2254" s="2"/>
      <c r="P2254" s="2"/>
      <c r="Q2254" s="2"/>
      <c r="R2254" s="2"/>
      <c r="S2254" s="2"/>
      <c r="T2254" s="2"/>
      <c r="U2254" s="2"/>
      <c r="V2254" s="2"/>
      <c r="W2254" s="2"/>
      <c r="X2254" s="2"/>
      <c r="Y2254" s="2"/>
      <c r="Z2254" s="2"/>
      <c r="AA2254" s="2"/>
    </row>
    <row r="2255">
      <c r="A2255" s="3" t="s">
        <v>5259</v>
      </c>
      <c r="B2255" s="1" t="s">
        <v>5474</v>
      </c>
      <c r="C2255" s="3" t="s">
        <v>5475</v>
      </c>
      <c r="D2255" s="2" t="str">
        <f>IFERROR(__xludf.DUMMYFUNCTION("GOOGLETRANSLATE(B2255, ""en"", ""TL"")"),"Nakatagpo ka ng isang sitwasyon kung saan ang isang rehabilitation center ay pinipigilan ang mga indibidwal na labag sa kanilang kalooban. Anong mga legal na hakbang ang maaaring gawin upang matugunan ang paglabag na ito sa karapatang pantao?")</f>
        <v>Nakatagpo ka ng isang sitwasyon kung saan ang isang rehabilitation center ay pinipigilan ang mga indibidwal na labag sa kanilang kalooban. Anong mga legal na hakbang ang maaaring gawin upang matugunan ang paglabag na ito sa karapatang pantao?</v>
      </c>
      <c r="E2255" s="2" t="str">
        <f>IFERROR(__xludf.DUMMYFUNCTION("GOOGLETRANSLATE(C2255, ""en"", ""TL"")"),"Narito ang ilang mga legal na hakbang na maaari mong gawin upang matugunan ang isang sitwasyon kung saan ang isang rehabilitation center ay pinipigilan ang mga indibidwal na labag sa kanilang kalooban sa Pilipinas:
**Agad na Pagkilos:**
1. **Makipag-ugnay"&amp;"an sa Mga Awtoridad:** Kung naniniwala kang may isang tao na nasa agarang panganib, tawagan ang Philippine National Police (PNP) o ang iyong lokal na departamento ng pulisya. Maaari nilang imbestigahan ang sitwasyon at tiyakin ang kaligtasan ng mga indibi"&amp;"dwal na hinahawakan.
2. **Idokumento ang Lahat:** Panatilihin ang isang detalyadong tala ng lahat ng iyong naobserbahan, kabilang ang mga petsa, oras, at paglalarawan ng sitwasyon. Maaari mo ring itala ang mga pangalan ng sinumang indibidwal na hinahawaka"&amp;"n o mga miyembro ng kawani na iyong nakatagpo.
**Pag-uulat sa Sentro:**
* **Department of Social Welfare and Development (DSWD):** Ang DSWD ay responsable para sa paglilisensya at pangangasiwa sa mga rehabilitation center. Maghain ng pormal na reklamo sa "&amp;"kanila, na nagdedetalye ng di-umano'y sapilitang pagkulong. Mahahanap mo ang kanilang impormasyon sa pakikipag-ugnayan at mga pamamaraan sa pagrereklamo sa kanilang website: [https://www.dswd.gov.ph/](https://www.dswd.gov.ph/)
* **Commission on Human Righ"&amp;"ts (CHR):** Ang CHR ay isang ahensya ng gobyerno na may mandato na protektahan ang mga karapatang pantao sa Pilipinas. Maghain ng reklamo sa kanila hinggil sa diumano'y sapilitang pagkulong. Mahahanap mo ang kanilang impormasyon sa pakikipag-ugnayan at mg"&amp;"a pamamaraan sa pagrereklamo sa kanilang website: [https://chr.gov.ph/about-us/](https://chr.gov.ph/about-us/)
**Pagsuporta sa mga Nakakulong na Indibidwal:**
* **Legal Aid:** Kung may kilala kang kinukulong laban sa kanilang kalooban, tulungan silang mak"&amp;"ipag-ugnayan sa isang abogado na dalubhasa sa karapatang pantao o detensyon. Ang mga organisasyon ng legal na tulong sa Pilipinas ay maaaring mag-alok ng libre o murang tulong:
* Public Attorney's Office (PAO): [https://pao.gov.ph/](https://pao.gov.ph/)
*"&amp;" Integrated Bar of the Philippines (IBP): [https://www.ibp.ph/](https://www.ibp.ph/) * **Pamilya at Kaibigan:** Hikayatin ang pamilya at mga kaibigan ng nakakulong na indibidwal para makisali. Maaari rin silang maghain ng mga reklamo at magsulong para sa "&amp;"kanilang pagpapalaya.
**Mga Karagdagang Pagsasaalang-alang:**
* **Magtipon ng Ebidensya (kung maaari):** Kung magagawa mo ito nang ligtas, subukang mangalap ng ebidensya upang suportahan ang iyong mga claim. Maaaring kabilang dito ang mga testimonya ng mg"&amp;"a saksi mula sa mga taong na-hold laban sa kanilang kalooban sa sentro o may kaalaman sa mga gawi. * **Media:** Isaalang-alang ang pakikipag-ugnayan sa mga lokal na mamamahayag na nag-iimbestiga kung mayroon kang matibay na ebidensya at naniniwala na ang "&amp;"sitwasyon ay nangangailangan ng pampublikong pagkakalantad. **Mahalagang Tandaan:**
* **Ang pagkulong nang labag sa kalooban ng isang tao ay isang malubhang paglabag sa karapatang pantao.** Ang pagkilos ay makakatulong na protektahan ang mga mahina at pan"&amp;"agutin ang sentro ng rehabilitasyon.
* **Tumuon sa Kaligtasan:** Huwag ilagay ang iyong sarili sa panganib habang nangangalap ng impormasyon o nakikialam. * **Humingi ng Patnubay:** Ang pagkonsulta sa isang abogadong may karanasan sa mga kaso ng karapatan"&amp;"g pantao ay maaaring magbigay ng mahalagang payo sa pinakamahusay na paraan ng pagkilos.
* **Ang Dokumentasyon ay Susi:** Kung mas maraming ebidensya ang makakalap mo, mas magiging malakas ang iyong kaso.
Sa pamamagitan ng pagsasagawa ng mga hakbang na it"&amp;"o, maaari kang mag-ambag sa pagtiyak na ang mga sentro ng rehabilitasyon ay gumagana nang may etika at iginagalang ang mga karapatan ng mga naghahanap ng tulong.")</f>
        <v>Narito ang ilang mga legal na hakbang na maaari mong gawin upang matugunan ang isang sitwasyon kung saan ang isang rehabilitation center ay pinipigilan ang mga indibidwal na labag sa kanilang kalooban sa Pilipinas:
**Agad na Pagkilos:**
1. **Makipag-ugnayan sa Mga Awtoridad:** Kung naniniwala kang may isang tao na nasa agarang panganib, tawagan ang Philippine National Police (PNP) o ang iyong lokal na departamento ng pulisya. Maaari nilang imbestigahan ang sitwasyon at tiyakin ang kaligtasan ng mga indibidwal na hinahawakan.
2. **Idokumento ang Lahat:** Panatilihin ang isang detalyadong tala ng lahat ng iyong naobserbahan, kabilang ang mga petsa, oras, at paglalarawan ng sitwasyon. Maaari mo ring itala ang mga pangalan ng sinumang indibidwal na hinahawakan o mga miyembro ng kawani na iyong nakatagpo.
**Pag-uulat sa Sentro:**
* **Department of Social Welfare and Development (DSWD):** Ang DSWD ay responsable para sa paglilisensya at pangangasiwa sa mga rehabilitation center. Maghain ng pormal na reklamo sa kanila, na nagdedetalye ng di-umano'y sapilitang pagkulong. Mahahanap mo ang kanilang impormasyon sa pakikipag-ugnayan at mga pamamaraan sa pagrereklamo sa kanilang website: [https://www.dswd.gov.ph/](https://www.dswd.gov.ph/)
* **Commission on Human Rights (CHR):** Ang CHR ay isang ahensya ng gobyerno na may mandato na protektahan ang mga karapatang pantao sa Pilipinas. Maghain ng reklamo sa kanila hinggil sa diumano'y sapilitang pagkulong. Mahahanap mo ang kanilang impormasyon sa pakikipag-ugnayan at mga pamamaraan sa pagrereklamo sa kanilang website: [https://chr.gov.ph/about-us/](https://chr.gov.ph/about-us/)
**Pagsuporta sa mga Nakakulong na Indibidwal:**
* **Legal Aid:** Kung may kilala kang kinukulong laban sa kanilang kalooban, tulungan silang makipag-ugnayan sa isang abogado na dalubhasa sa karapatang pantao o detensyon. Ang mga organisasyon ng legal na tulong sa Pilipinas ay maaaring mag-alok ng libre o murang tulong:
* Public Attorney's Office (PAO): [https://pao.gov.ph/](https://pao.gov.ph/)
* Integrated Bar of the Philippines (IBP): [https://www.ibp.ph/](https://www.ibp.ph/) * **Pamilya at Kaibigan:** Hikayatin ang pamilya at mga kaibigan ng nakakulong na indibidwal para makisali. Maaari rin silang maghain ng mga reklamo at magsulong para sa kanilang pagpapalaya.
**Mga Karagdagang Pagsasaalang-alang:**
* **Magtipon ng Ebidensya (kung maaari):** Kung magagawa mo ito nang ligtas, subukang mangalap ng ebidensya upang suportahan ang iyong mga claim. Maaaring kabilang dito ang mga testimonya ng mga saksi mula sa mga taong na-hold laban sa kanilang kalooban sa sentro o may kaalaman sa mga gawi. * **Media:** Isaalang-alang ang pakikipag-ugnayan sa mga lokal na mamamahayag na nag-iimbestiga kung mayroon kang matibay na ebidensya at naniniwala na ang sitwasyon ay nangangailangan ng pampublikong pagkakalantad. **Mahalagang Tandaan:**
* **Ang pagkulong nang labag sa kalooban ng isang tao ay isang malubhang paglabag sa karapatang pantao.** Ang pagkilos ay makakatulong na protektahan ang mga mahina at panagutin ang sentro ng rehabilitasyon.
* **Tumuon sa Kaligtasan:** Huwag ilagay ang iyong sarili sa panganib habang nangangalap ng impormasyon o nakikialam. * **Humingi ng Patnubay:** Ang pagkonsulta sa isang abogadong may karanasan sa mga kaso ng karapatang pantao ay maaaring magbigay ng mahalagang payo sa pinakamahusay na paraan ng pagkilos.
* **Ang Dokumentasyon ay Susi:** Kung mas maraming ebidensya ang makakalap mo, mas magiging malakas ang iyong kaso.
Sa pamamagitan ng pagsasagawa ng mga hakbang na ito, maaari kang mag-ambag sa pagtiyak na ang mga sentro ng rehabilitasyon ay gumagana nang may etika at iginagalang ang mga karapatan ng mga naghahanap ng tulong.</v>
      </c>
      <c r="F2255" s="2">
        <f t="shared" si="1"/>
        <v>0</v>
      </c>
      <c r="G2255" s="2"/>
      <c r="H2255" s="2"/>
      <c r="I2255" s="2"/>
      <c r="J2255" s="2"/>
      <c r="K2255" s="2"/>
      <c r="L2255" s="2"/>
      <c r="M2255" s="2"/>
      <c r="N2255" s="2"/>
      <c r="O2255" s="2"/>
      <c r="P2255" s="2"/>
      <c r="Q2255" s="2"/>
      <c r="R2255" s="2"/>
      <c r="S2255" s="2"/>
      <c r="T2255" s="2"/>
      <c r="U2255" s="2"/>
      <c r="V2255" s="2"/>
      <c r="W2255" s="2"/>
      <c r="X2255" s="2"/>
      <c r="Y2255" s="2"/>
      <c r="Z2255" s="2"/>
      <c r="AA2255" s="2"/>
    </row>
    <row r="2256">
      <c r="A2256" s="3" t="s">
        <v>5259</v>
      </c>
      <c r="B2256" s="1" t="s">
        <v>5476</v>
      </c>
      <c r="C2256" s="3" t="s">
        <v>5477</v>
      </c>
      <c r="D2256" s="2" t="str">
        <f>IFERROR(__xludf.DUMMYFUNCTION("GOOGLETRANSLATE(B2256, ""en"", ""TL"")"),"Ang isang tao ay inaresto dahil sa pagtutulak ng droga, at sinasabi nilang kumikilos sila sa ilalim ng pamimilit o pagbabanta. Paano tinutugunan ng batas ng Pilipinas ang pagtatanggol sa pagkilos sa ilalim ng pamimilit?")</f>
        <v>Ang isang tao ay inaresto dahil sa pagtutulak ng droga, at sinasabi nilang kumikilos sila sa ilalim ng pamimilit o pagbabanta. Paano tinutugunan ng batas ng Pilipinas ang pagtatanggol sa pagkilos sa ilalim ng pamimilit?</v>
      </c>
      <c r="E2256" s="2" t="str">
        <f>IFERROR(__xludf.DUMMYFUNCTION("GOOGLETRANSLATE(C2256, ""en"", ""TL"")"),"Sa Pilipinas, maaaring maging kumplikado ang pagtatanggol sa pamimilit sa mga kaso ng drug trafficking. Narito ang isang breakdown kung paano ito pinangangasiwaan:
**Mga Elemento ng Pagpipilit:** Para maituring na balidong depensa ang pamimilit, kailangan"&amp;"g patunayan ng akusado ang mga sumusunod na elemento:
* **Banta ng Malubhang Pinsala:** Dapat ay may banta ng napipintong at malubhang pinsala sa akusado o sa kanilang mga mahal sa buhay kung tumanggi silang gawin ang krimen.
* **Walang Makatwirang Pagtak"&amp;"as:** Dapat ipakita ng akusado na wala silang makatwirang paraan upang makatakas sa banta o panganib. * **Nag-aatubili na Paglahok:** Dapat ipakita ng akusado na kumilos sila nang hindi sinasadya at sa ilalim lamang ng pamimilit ng pagbabanta.
**Mga Hamon"&amp;" sa Mga Kaso ng Pagtrapiko ng Droga:**
* **Mas Mahigpit na Pamantayan:** Ang mga hukuman sa Pilipinas ay madalas na naglalapat ng mas mahigpit na mga pamantayan upang pilitin ang mga paghahabol sa mga kaso ng trafficking ng droga. Ang banta ay dapat na ma"&amp;"lubha, at dapat na naubos na ng akusado ang lahat ng makatwirang opsyon sa pagtakas. * **Nature ng Drug Trafficking:** Ang kabigatan ng drug trafficking mismo ay maaaring maging mahirap na kumbinsihin ang korte na ang akusado ay walang ibang pagpipilian. "&amp;"* **Katibayan ng Pagpipilit:** Ang pasanin ng patunay ay nakasalalay sa mga akusado na magpakita ng kapani-paniwalang ebidensya na sumusuporta sa pag-aangkin ng mapilit. Ang mga patotoo ng saksi o patunay ng banta ay maaaring maging mahalaga.
**Mahahalaga"&amp;"ng Pagsasaalang-alang:**
* **Pagkonsulta sa isang abogado** na dalubhasa sa batas kriminal sa Pilipinas ay mahalaga. Maaari nilang tasahin ang mga partikular na pangyayari at payuhan ang posibilidad ng isang duress defense sa iyong kaso.
* **Lakas ng Ebid"&amp;"ensya:** Kung mas malakas ang ebidensya na sumusuporta sa pag-aangkin ng pilit, mas malamang na ito ay isasaalang-alang ng hukuman.
* **Mga Alternatibo:** Depende sa sitwasyon, ang paggalugad ng iba pang mga diskarte sa pagtatanggol tulad ng maling pagkak"&amp;"akilanlan o pagkakakulong ay maaaring maging mas matagumpay. **Narito ang ilang mapagkukunan para sa karagdagang impormasyon:**
* **LawPhil - Philippine Legal Information Institute:** [https://lawphil.net/](https://lawphil.net/) (Hanapin ang mga kaugnay n"&amp;"a kaso sa korte kung sapilitan)
**Disclaimer:** Ito ay hindi legal na payo. Kung ikaw ay nahaharap sa mga singil sa trafficking ng droga at isinasaalang-alang ang isang duress defense, ang pagkonsulta sa isang abogado ay mahalaga. Maaari nilang suriin ang"&amp;" iyong sitwasyon at mag-alok ng pinakamahusay na paraan ng pagtatanggol.")</f>
        <v>Sa Pilipinas, maaaring maging kumplikado ang pagtatanggol sa pamimilit sa mga kaso ng drug trafficking. Narito ang isang breakdown kung paano ito pinangangasiwaan:
**Mga Elemento ng Pagpipilit:** Para maituring na balidong depensa ang pamimilit, kailangang patunayan ng akusado ang mga sumusunod na elemento:
* **Banta ng Malubhang Pinsala:** Dapat ay may banta ng napipintong at malubhang pinsala sa akusado o sa kanilang mga mahal sa buhay kung tumanggi silang gawin ang krimen.
* **Walang Makatwirang Pagtakas:** Dapat ipakita ng akusado na wala silang makatwirang paraan upang makatakas sa banta o panganib. * **Nag-aatubili na Paglahok:** Dapat ipakita ng akusado na kumilos sila nang hindi sinasadya at sa ilalim lamang ng pamimilit ng pagbabanta.
**Mga Hamon sa Mga Kaso ng Pagtrapiko ng Droga:**
* **Mas Mahigpit na Pamantayan:** Ang mga hukuman sa Pilipinas ay madalas na naglalapat ng mas mahigpit na mga pamantayan upang pilitin ang mga paghahabol sa mga kaso ng trafficking ng droga. Ang banta ay dapat na malubha, at dapat na naubos na ng akusado ang lahat ng makatwirang opsyon sa pagtakas. * **Nature ng Drug Trafficking:** Ang kabigatan ng drug trafficking mismo ay maaaring maging mahirap na kumbinsihin ang korte na ang akusado ay walang ibang pagpipilian. * **Katibayan ng Pagpipilit:** Ang pasanin ng patunay ay nakasalalay sa mga akusado na magpakita ng kapani-paniwalang ebidensya na sumusuporta sa pag-aangkin ng mapilit. Ang mga patotoo ng saksi o patunay ng banta ay maaaring maging mahalaga.
**Mahahalagang Pagsasaalang-alang:**
* **Pagkonsulta sa isang abogado** na dalubhasa sa batas kriminal sa Pilipinas ay mahalaga. Maaari nilang tasahin ang mga partikular na pangyayari at payuhan ang posibilidad ng isang duress defense sa iyong kaso.
* **Lakas ng Ebidensya:** Kung mas malakas ang ebidensya na sumusuporta sa pag-aangkin ng pilit, mas malamang na ito ay isasaalang-alang ng hukuman.
* **Mga Alternatibo:** Depende sa sitwasyon, ang paggalugad ng iba pang mga diskarte sa pagtatanggol tulad ng maling pagkakakilanlan o pagkakakulong ay maaaring maging mas matagumpay. **Narito ang ilang mapagkukunan para sa karagdagang impormasyon:**
* **LawPhil - Philippine Legal Information Institute:** [https://lawphil.net/](https://lawphil.net/) (Hanapin ang mga kaugnay na kaso sa korte kung sapilitan)
**Disclaimer:** Ito ay hindi legal na payo. Kung ikaw ay nahaharap sa mga singil sa trafficking ng droga at isinasaalang-alang ang isang duress defense, ang pagkonsulta sa isang abogado ay mahalaga. Maaari nilang suriin ang iyong sitwasyon at mag-alok ng pinakamahusay na paraan ng pagtatanggol.</v>
      </c>
      <c r="F2256" s="2">
        <f t="shared" si="1"/>
        <v>0</v>
      </c>
      <c r="G2256" s="2"/>
      <c r="H2256" s="2"/>
      <c r="I2256" s="2"/>
      <c r="J2256" s="2"/>
      <c r="K2256" s="2"/>
      <c r="L2256" s="2"/>
      <c r="M2256" s="2"/>
      <c r="N2256" s="2"/>
      <c r="O2256" s="2"/>
      <c r="P2256" s="2"/>
      <c r="Q2256" s="2"/>
      <c r="R2256" s="2"/>
      <c r="S2256" s="2"/>
      <c r="T2256" s="2"/>
      <c r="U2256" s="2"/>
      <c r="V2256" s="2"/>
      <c r="W2256" s="2"/>
      <c r="X2256" s="2"/>
      <c r="Y2256" s="2"/>
      <c r="Z2256" s="2"/>
      <c r="AA2256" s="2"/>
    </row>
    <row r="2257">
      <c r="A2257" s="3" t="s">
        <v>5259</v>
      </c>
      <c r="B2257" s="1" t="s">
        <v>5478</v>
      </c>
      <c r="C2257" s="3" t="s">
        <v>5479</v>
      </c>
      <c r="D2257" s="2" t="str">
        <f>IFERROR(__xludf.DUMMYFUNCTION("GOOGLETRANSLATE(B2257, ""en"", ""TL"")"),"Sa isang regular na paghahanap sa isang pampublikong sasakyang pang-transportasyon, sinasabi ng isang pasahero na hindi niya alam ang mga droga na nasa kanila. Paano tinutugunan ng batas ng Pilipinas ang pagtatanggol sa kawalan ng kaalaman o kamalayan?")</f>
        <v>Sa isang regular na paghahanap sa isang pampublikong sasakyang pang-transportasyon, sinasabi ng isang pasahero na hindi niya alam ang mga droga na nasa kanila. Paano tinutugunan ng batas ng Pilipinas ang pagtatanggol sa kawalan ng kaalaman o kamalayan?</v>
      </c>
      <c r="E2257" s="2" t="str">
        <f>IFERROR(__xludf.DUMMYFUNCTION("GOOGLETRANSLATE(C2257, ""en"", ""TL"")"),"Sa Pilipinas, ang kawalan ng kaalaman o kamalayan (ignorancia legis o facto) ay maaaring maging isang depensa sa ilang sitwasyon, ngunit hindi ito isang garantisadong depensa para sa mga singil sa pagdadala ng droga, lalo na sa isang regular na paghahanap"&amp;" sa pampublikong transportasyon. Narito ang isang breakdown:
* **Limited Applicability:** Ang kamangmangan sa batas (ignorancia legis) sa pangkalahatan ay hindi isang wastong depensa sa Pilipinas. Inaasahan mong malaman at sundin ang batas.
* **Ang Ignora"&amp;"nce of Fact (ignorancia facto) ay maaaring isaalang-alang** sa ilalim ng mga partikular na pangyayari. Nangangahulugan ito na ang tao ay tunay na hindi alam na sila ay may hawak ng ilegal na droga.
**Mga Salik na Isinasaalang-alang para sa Kakulangan ng P"&amp;"agtatanggol sa Kaalaman:**
* **Nature of the Drugs:** Kung ang mga gamot ay matalinong itinago o itinago, maaari nitong palakasin ang pag-aangkin na hindi alam ng tao ang mga ito. * **Mga Sirkumstansya ng Pagmamay-ari:** Kung paano napunta ang tao sa mga "&amp;"gamot ay maaaring maging mahalaga. Halimbawa, kung hindi nila alam na nakatanggap sila ng isang pakete na naglalaman ng mga gamot, maaari nitong suportahan ang kanilang paghahabol.
* **Kredibilidad ng Depensa:** Ang paliwanag ng tao para sa kanilang kakul"&amp;"angan ng kaalaman ay kailangang mapaniwalaan at suportado ng ebidensya kung maaari. **Mga Hamon na may Kakulangan sa Pagtatanggol sa Kaalaman:**
* **Routine na Paghahanap:** Sa isang regular na paghahanap sa pampublikong transportasyon, maaaring magtaltal"&amp;"an ang mga awtoridad na ang pasahero ay dapat na maging mas maingat sa kanilang mga gamit, lalo na kung isasaalang-alang ang paglaganap ng mga ilegal na droga. * **Burden of Proof:** Ang pasanin ng patunay ay nakasalalay sa mga akusado upang itatag ang ka"&amp;"nilang kakulangan ng kaalaman sa pamamagitan ng malinaw at nakakumbinsi na ebidensya.
**Narito ang ilang karagdagang puntong dapat isaalang-alang:**
* **Pagmamay-ari kumpara sa Pagmamay-ari:** Kahit na sinasabi ng tao na hindi niya pagmamay-ari ang mga ga"&amp;"mot, ang pagkakaroon lamang ng mga ito sa panahon ng paghahanap ay maaaring sapat na para sa mga singil.
* **Dami ng Mga Gamot:** Ang dami ng mga gamot na nahanap ay maaaring makaimpluwensya sa pananaw ng hukuman. Ang isang malaking dami ay maaaring magin"&amp;"g mas mahirap na maniwala na ang tao ay hindi alam.
**Mga Rekomendasyon:**
* **Pagkonsulta sa isang Abogado:** Kung nahaharap sa mga kaso sa droga, kahit na may kakulangan ng kaalaman sa pagtatanggol, ang pagkonsulta sa isang abogado na dalubhasa sa mga b"&amp;"atas sa droga sa Pilipinas ay napakahalaga. Maaari nilang suriin ang iyong partikular na sitwasyon at payuhan ang pinakamahusay na paraan ng pagkilos.
* **Kooperasyon sa mga Awtoridad:** Ang pakikipagtulungan sa mga awtoridad sa panahon ng paghahanap at p"&amp;"agsisiyasat ay maaaring maging kapaki-pakinabang. **Disclaimer:** Ito ay hindi legal na payo. Ang mga partikular na legal na pagsasaalang-alang ay depende sa mga detalye ng kaso. Ang isang abogado ay maaaring magbigay ng isang mas tumpak na pagtatasa bata"&amp;"y sa iyong sitwasyon.")</f>
        <v>Sa Pilipinas, ang kawalan ng kaalaman o kamalayan (ignorancia legis o facto) ay maaaring maging isang depensa sa ilang sitwasyon, ngunit hindi ito isang garantisadong depensa para sa mga singil sa pagdadala ng droga, lalo na sa isang regular na paghahanap sa pampublikong transportasyon. Narito ang isang breakdown:
* **Limited Applicability:** Ang kamangmangan sa batas (ignorancia legis) sa pangkalahatan ay hindi isang wastong depensa sa Pilipinas. Inaasahan mong malaman at sundin ang batas.
* **Ang Ignorance of Fact (ignorancia facto) ay maaaring isaalang-alang** sa ilalim ng mga partikular na pangyayari. Nangangahulugan ito na ang tao ay tunay na hindi alam na sila ay may hawak ng ilegal na droga.
**Mga Salik na Isinasaalang-alang para sa Kakulangan ng Pagtatanggol sa Kaalaman:**
* **Nature of the Drugs:** Kung ang mga gamot ay matalinong itinago o itinago, maaari nitong palakasin ang pag-aangkin na hindi alam ng tao ang mga ito. * **Mga Sirkumstansya ng Pagmamay-ari:** Kung paano napunta ang tao sa mga gamot ay maaaring maging mahalaga. Halimbawa, kung hindi nila alam na nakatanggap sila ng isang pakete na naglalaman ng mga gamot, maaari nitong suportahan ang kanilang paghahabol.
* **Kredibilidad ng Depensa:** Ang paliwanag ng tao para sa kanilang kakulangan ng kaalaman ay kailangang mapaniwalaan at suportado ng ebidensya kung maaari. **Mga Hamon na may Kakulangan sa Pagtatanggol sa Kaalaman:**
* **Routine na Paghahanap:** Sa isang regular na paghahanap sa pampublikong transportasyon, maaaring magtaltalan ang mga awtoridad na ang pasahero ay dapat na maging mas maingat sa kanilang mga gamit, lalo na kung isasaalang-alang ang paglaganap ng mga ilegal na droga. * **Burden of Proof:** Ang pasanin ng patunay ay nakasalalay sa mga akusado upang itatag ang kanilang kakulangan ng kaalaman sa pamamagitan ng malinaw at nakakumbinsi na ebidensya.
**Narito ang ilang karagdagang puntong dapat isaalang-alang:**
* **Pagmamay-ari kumpara sa Pagmamay-ari:** Kahit na sinasabi ng tao na hindi niya pagmamay-ari ang mga gamot, ang pagkakaroon lamang ng mga ito sa panahon ng paghahanap ay maaaring sapat na para sa mga singil.
* **Dami ng Mga Gamot:** Ang dami ng mga gamot na nahanap ay maaaring makaimpluwensya sa pananaw ng hukuman. Ang isang malaking dami ay maaaring maging mas mahirap na maniwala na ang tao ay hindi alam.
**Mga Rekomendasyon:**
* **Pagkonsulta sa isang Abogado:** Kung nahaharap sa mga kaso sa droga, kahit na may kakulangan ng kaalaman sa pagtatanggol, ang pagkonsulta sa isang abogado na dalubhasa sa mga batas sa droga sa Pilipinas ay napakahalaga. Maaari nilang suriin ang iyong partikular na sitwasyon at payuhan ang pinakamahusay na paraan ng pagkilos.
* **Kooperasyon sa mga Awtoridad:** Ang pakikipagtulungan sa mga awtoridad sa panahon ng paghahanap at pagsisiyasat ay maaaring maging kapaki-pakinabang. **Disclaimer:** Ito ay hindi legal na payo. Ang mga partikular na legal na pagsasaalang-alang ay depende sa mga detalye ng kaso. Ang isang abogado ay maaaring magbigay ng isang mas tumpak na pagtatasa batay sa iyong sitwasyon.</v>
      </c>
      <c r="F2257" s="2">
        <f t="shared" si="1"/>
        <v>0</v>
      </c>
      <c r="G2257" s="2"/>
      <c r="H2257" s="2"/>
      <c r="I2257" s="2"/>
      <c r="J2257" s="2"/>
      <c r="K2257" s="2"/>
      <c r="L2257" s="2"/>
      <c r="M2257" s="2"/>
      <c r="N2257" s="2"/>
      <c r="O2257" s="2"/>
      <c r="P2257" s="2"/>
      <c r="Q2257" s="2"/>
      <c r="R2257" s="2"/>
      <c r="S2257" s="2"/>
      <c r="T2257" s="2"/>
      <c r="U2257" s="2"/>
      <c r="V2257" s="2"/>
      <c r="W2257" s="2"/>
      <c r="X2257" s="2"/>
      <c r="Y2257" s="2"/>
      <c r="Z2257" s="2"/>
      <c r="AA2257" s="2"/>
    </row>
    <row r="2258">
      <c r="A2258" s="3" t="s">
        <v>5259</v>
      </c>
      <c r="B2258" s="1" t="s">
        <v>5480</v>
      </c>
      <c r="C2258" s="3" t="s">
        <v>5481</v>
      </c>
      <c r="D2258" s="2" t="str">
        <f>IFERROR(__xludf.DUMMYFUNCTION("GOOGLETRANSLATE(B2258, ""en"", ""TL"")"),"Natuklasan mo na ginagamit ng isang pampublikong opisyal ang kanilang impluwensya upang protektahan ang mga trafficker ng droga sa iyong komunidad. Anong mga legal na aksyon ang maaaring gawin upang ilantad at matugunan ang katiwaliang ito?")</f>
        <v>Natuklasan mo na ginagamit ng isang pampublikong opisyal ang kanilang impluwensya upang protektahan ang mga trafficker ng droga sa iyong komunidad. Anong mga legal na aksyon ang maaaring gawin upang ilantad at matugunan ang katiwaliang ito?</v>
      </c>
      <c r="E2258" s="2" t="str">
        <f>IFERROR(__xludf.DUMMYFUNCTION("GOOGLETRANSLATE(C2258, ""en"", ""TL"")"),"Narito ang ilang legal na aksyon na maaari mong gawin upang ilantad at tugunan ang isang pampublikong opisyal na pinaghihinalaang gumagamit ng kanilang impluwensya upang protektahan ang mga trafficker ng droga sa iyong komunidad:
**Pag-uulat sa Opisyal:**"&amp;"
* **Mga Ahensyang Anti-Korupsyon:** Ang Pilipinas ay may mga ahensiya laban sa katiwalian tulad ng Office of the Ombudsman (Ombudsman) o Sandiganbayan (anti-graft court). Maghain ng pormal na reklamo sa kanila, na nagdedetalye ng iyong mga hinala at anum"&amp;"ang ebidensya na maaaring mayroon ka. * **Pagpapatupad ng Batas:** Iulat ang opisyal sa Philippine National Police (PNP) o sa National Bureau of Investigation (NBI). Bigyan sila ng mas maraming detalye hangga't maaari tungkol sa pinaghihinalaang pamamaraa"&amp;"n, kabilang ang mga partikular na pagkakataon kung saan ginamit ng opisyal ang kanilang impluwensya upang protektahan ang mga trafficker ng droga.
**Pagtitipon ng Ebidensya (Gawin ito nang maingat at legal):**
* **Idokumento ang Lahat:** Panatilihin ang i"&amp;"sang detalyadong tala ng iyong mga obserbasyon, kabilang ang mga petsa, oras, at partikular na mga pagkakataon kung saan nasaksihan mo ang opisyal na nakikipag-ugnayan sa mga kilalang trafficker ng droga o ginagamit ang kanilang impluwensya upang tulungan"&amp;" sila. * **Anonymous na Mga Tip:** Kung natatakot kang gantihan, isaalang-alang ang pagsusumite ng mga anonymous na tip sa mga investigative body o mga mamamahayag (higit pa tungkol doon sa ibaba). **Paggawa sa Iba:**
* **Mga Organisasyon ng Komunidad:** "&amp;"Makipag-ugnayan sa mga organisasyong pangkomunidad o grupo ng aktibista na nakatuon sa laban sa katiwalian o mabuting pamamahala. Maaaring mayroon silang karanasan sa pagharap sa mga katulad na sitwasyon at maaaring mag-alok ng suporta. * **Media:** Isaal"&amp;"ang-alang ang pakikipag-ugnayan sa mga lokal na mamamahayag na nag-iimbestiga at ibigay sa kanila ang impormasyong mayroon ka. Maaari silang magsagawa ng sarili nilang imbestigasyon at posibleng ilantad ang katiwalian ng opisyal. **Mga Karagdagang Mapagku"&amp;"kunan:**
* **Philippine Commission on Good Government (PCGG):** [https://en.wikipedia.org/wiki/Presidential_Commission_on_Good_Government](https://en.wikipedia.org/wiki/Presidential_Commission_on_Good_Government) Maaari silang mag-alok ng gabay sa pag-uul"&amp;"at katiwalian.
* **Mga Abogado:** Maaaring makatulong ang pagkonsulta sa isang abogadong dalubhasa sa batas laban sa katiwalian, lalo na kung mukhang kumplikado ang sitwasyon.
**Mahahalagang Pagsasaalang-alang:**
* **Kaligtasan Una:** Huwag ilagay ang iyo"&amp;"ng sarili sa panganib habang nangangalap ng ebidensya. Kung natatakot kang gantihan, unahin ang iyong kaligtasan at tumuon sa hindi kilalang pag-uulat. * **Ang Ebidensya ay Susi:** Kung mas malakas ang iyong ebidensya, mas malamang na gagawa ng aksyon ang"&amp;" mga awtoridad. Gayunpaman, iwasan ang anumang mga ilegal na aktibidad habang sinusubukang mangalap ng patunay.
**Narito ang isang breakdown ng mga lakas ng bawat diskarte:**
* **Mga Ahensyang Anti-Korupsyon:** Ang Ombudsman at Sandiganbayan ay may legal "&amp;"na awtoridad na imbestigahan at usigin ang mga pampublikong opisyal para sa katiwalian. * **Pagpapatupad ng Batas:** Ang PNP at NBI ay may mga mapagkukunan ng imbestigasyon at karanasan sa pagharap sa organisadong krimen. * **Anonymous na Tip:** Maaari it"&amp;"ong maging isang ligtas na opsyon kung natatakot kang gantihan, ngunit maaaring mas matagal bago kumilos ang mga awtoridad nang walang matibay na ebidensyang sumusuporta.
* **Media:** Maaaring ilantad ng mga investigative journalist ang katiwalian sa mas "&amp;"malawak na madla at magpilit sa mga awtoridad na kumilos. * **Mga Organisasyon ng Komunidad:** Maaari silang mag-alok ng suporta, makipag-ugnayan sa iyo sa iba na maaaring may impormasyon, at potensyal na mag-organisa ng mapayapang protesta upang mapataas"&amp;" ang kamalayan.
Sa pamamagitan ng paggamit ng mga mapagkukunang ito at pagdodokumento ng iyong mga obserbasyon, maaari kang mag-ambag sa pagpapanagot sa mga tiwaling opisyal at pagtataguyod ng transparency sa iyong komunidad.
**Disclaimer:** Ito ay hindi "&amp;"legal na payo. Ang mga partikular na hakbang ay mag-iiba-iba depende sa uri ng katiwalian at sa ebidensyang makukuha.")</f>
        <v>Narito ang ilang legal na aksyon na maaari mong gawin upang ilantad at tugunan ang isang pampublikong opisyal na pinaghihinalaang gumagamit ng kanilang impluwensya upang protektahan ang mga trafficker ng droga sa iyong komunidad:
**Pag-uulat sa Opisyal:**
* **Mga Ahensyang Anti-Korupsyon:** Ang Pilipinas ay may mga ahensiya laban sa katiwalian tulad ng Office of the Ombudsman (Ombudsman) o Sandiganbayan (anti-graft court). Maghain ng pormal na reklamo sa kanila, na nagdedetalye ng iyong mga hinala at anumang ebidensya na maaaring mayroon ka. * **Pagpapatupad ng Batas:** Iulat ang opisyal sa Philippine National Police (PNP) o sa National Bureau of Investigation (NBI). Bigyan sila ng mas maraming detalye hangga't maaari tungkol sa pinaghihinalaang pamamaraan, kabilang ang mga partikular na pagkakataon kung saan ginamit ng opisyal ang kanilang impluwensya upang protektahan ang mga trafficker ng droga.
**Pagtitipon ng Ebidensya (Gawin ito nang maingat at legal):**
* **Idokumento ang Lahat:** Panatilihin ang isang detalyadong tala ng iyong mga obserbasyon, kabilang ang mga petsa, oras, at partikular na mga pagkakataon kung saan nasaksihan mo ang opisyal na nakikipag-ugnayan sa mga kilalang trafficker ng droga o ginagamit ang kanilang impluwensya upang tulungan sila. * **Anonymous na Mga Tip:** Kung natatakot kang gantihan, isaalang-alang ang pagsusumite ng mga anonymous na tip sa mga investigative body o mga mamamahayag (higit pa tungkol doon sa ibaba). **Paggawa sa Iba:**
* **Mga Organisasyon ng Komunidad:** Makipag-ugnayan sa mga organisasyong pangkomunidad o grupo ng aktibista na nakatuon sa laban sa katiwalian o mabuting pamamahala. Maaaring mayroon silang karanasan sa pagharap sa mga katulad na sitwasyon at maaaring mag-alok ng suporta. * **Media:** Isaalang-alang ang pakikipag-ugnayan sa mga lokal na mamamahayag na nag-iimbestiga at ibigay sa kanila ang impormasyong mayroon ka. Maaari silang magsagawa ng sarili nilang imbestigasyon at posibleng ilantad ang katiwalian ng opisyal. **Mga Karagdagang Mapagkukunan:**
* **Philippine Commission on Good Government (PCGG):** [https://en.wikipedia.org/wiki/Presidential_Commission_on_Good_Government](https://en.wikipedia.org/wiki/Presidential_Commission_on_Good_Government) Maaari silang mag-alok ng gabay sa pag-uulat katiwalian.
* **Mga Abogado:** Maaaring makatulong ang pagkonsulta sa isang abogadong dalubhasa sa batas laban sa katiwalian, lalo na kung mukhang kumplikado ang sitwasyon.
**Mahahalagang Pagsasaalang-alang:**
* **Kaligtasan Una:** Huwag ilagay ang iyong sarili sa panganib habang nangangalap ng ebidensya. Kung natatakot kang gantihan, unahin ang iyong kaligtasan at tumuon sa hindi kilalang pag-uulat. * **Ang Ebidensya ay Susi:** Kung mas malakas ang iyong ebidensya, mas malamang na gagawa ng aksyon ang mga awtoridad. Gayunpaman, iwasan ang anumang mga ilegal na aktibidad habang sinusubukang mangalap ng patunay.
**Narito ang isang breakdown ng mga lakas ng bawat diskarte:**
* **Mga Ahensyang Anti-Korupsyon:** Ang Ombudsman at Sandiganbayan ay may legal na awtoridad na imbestigahan at usigin ang mga pampublikong opisyal para sa katiwalian. * **Pagpapatupad ng Batas:** Ang PNP at NBI ay may mga mapagkukunan ng imbestigasyon at karanasan sa pagharap sa organisadong krimen. * **Anonymous na Tip:** Maaari itong maging isang ligtas na opsyon kung natatakot kang gantihan, ngunit maaaring mas matagal bago kumilos ang mga awtoridad nang walang matibay na ebidensyang sumusuporta.
* **Media:** Maaaring ilantad ng mga investigative journalist ang katiwalian sa mas malawak na madla at magpilit sa mga awtoridad na kumilos. * **Mga Organisasyon ng Komunidad:** Maaari silang mag-alok ng suporta, makipag-ugnayan sa iyo sa iba na maaaring may impormasyon, at potensyal na mag-organisa ng mapayapang protesta upang mapataas ang kamalayan.
Sa pamamagitan ng paggamit ng mga mapagkukunang ito at pagdodokumento ng iyong mga obserbasyon, maaari kang mag-ambag sa pagpapanagot sa mga tiwaling opisyal at pagtataguyod ng transparency sa iyong komunidad.
**Disclaimer:** Ito ay hindi legal na payo. Ang mga partikular na hakbang ay mag-iiba-iba depende sa uri ng katiwalian at sa ebidensyang makukuha.</v>
      </c>
      <c r="F2258" s="2">
        <f t="shared" si="1"/>
        <v>0</v>
      </c>
      <c r="G2258" s="2"/>
      <c r="H2258" s="2"/>
      <c r="I2258" s="2"/>
      <c r="J2258" s="2"/>
      <c r="K2258" s="2"/>
      <c r="L2258" s="2"/>
      <c r="M2258" s="2"/>
      <c r="N2258" s="2"/>
      <c r="O2258" s="2"/>
      <c r="P2258" s="2"/>
      <c r="Q2258" s="2"/>
      <c r="R2258" s="2"/>
      <c r="S2258" s="2"/>
      <c r="T2258" s="2"/>
      <c r="U2258" s="2"/>
      <c r="V2258" s="2"/>
      <c r="W2258" s="2"/>
      <c r="X2258" s="2"/>
      <c r="Y2258" s="2"/>
      <c r="Z2258" s="2"/>
      <c r="AA2258" s="2"/>
    </row>
    <row r="2259">
      <c r="A2259" s="3" t="s">
        <v>5259</v>
      </c>
      <c r="B2259" s="1" t="s">
        <v>5482</v>
      </c>
      <c r="C2259" s="3" t="s">
        <v>5483</v>
      </c>
      <c r="D2259" s="2" t="str">
        <f>IFERROR(__xludf.DUMMYFUNCTION("GOOGLETRANSLATE(B2259, ""en"", ""TL"")"),"Nahuhuli ang isang tao na may malaking halaga ng ilegal na droga sa loob ng silid ng hotel. Anong mga legal na hakbang ang maaaring gawin upang siyasatin at matugunan ang mga aktibidad na nauugnay sa droga sa loob ng mga hotel?")</f>
        <v>Nahuhuli ang isang tao na may malaking halaga ng ilegal na droga sa loob ng silid ng hotel. Anong mga legal na hakbang ang maaaring gawin upang siyasatin at matugunan ang mga aktibidad na nauugnay sa droga sa loob ng mga hotel?</v>
      </c>
      <c r="E2259" s="2" t="str">
        <f>IFERROR(__xludf.DUMMYFUNCTION("GOOGLETRANSLATE(C2259, ""en"", ""TL"")"),"Narito ang isang breakdown ng mga legal na hakbang na maaaring gawin upang imbestigahan at matugunan ang mga aktibidad na may kaugnayan sa droga sa loob ng mga hotel sa Pilipinas:
**Sa Pagkatuklas ng mga Droga:**
* **Tagawan ng Hotel:**
* **Seguridad:** D"&amp;"apat ipaalam kaagad ang seguridad ng hotel. Sisiguraduhin nila ang eksena at titiyakin ang kaligtasan ng mga bisita at kawani. * **Pamamahala:** Ang pamamahala ng hotel ay dapat ipaalam at makipagtulungan sa mga awtoridad sa buong pagsisiyasat.
* **Mga Aw"&amp;"toridad:** * **Pagpapatupad ng Batas:** Tatawagin ang pulisya upang imbestigahan ang sitwasyon. Aagawin nila ang mga droga, aarestuhin ang (mga) taong sangkot, at posibleng magsagawa ng paghahanap sa silid ng hotel para sa karagdagang ebidensya. **Pagsisi"&amp;"yasat:**
* **Pagsisiyasat ng Pulis:** Magsasagawa ng imbestigasyon ang pulisya upang matukoy:
* Ang pinagmulan ng mga gamot.
* Kung ang taong nahulihan ng droga ay kumikilos nang mag-isa o bahagi ng isang mas malaking network.
* Kung may ebidensya ng pang"&amp;"angalakal ng droga na nangyayari sa loob ng hotel (hal., mga kaliskis, mga materyales sa packaging).
* **Kooperasyon ng Hotel:** Ang hotel ay inaasahang lubos na makikipagtulungan sa imbestigasyon ng pulisya. Maaaring kabilang dito ang pagbibigay ng foota"&amp;"ge ng seguridad, mga detalye ng pagpaparehistro ng bisita, o pag-access sa silid para sa karagdagang pagsusuri.
**Pagtugon sa Mga Aktibidad sa Droga sa Mga Hotel:**
* **Mga Panukala sa Seguridad:** Pagkatapos ng isang insidente, maaaring magpatupad ang mg"&amp;"a hotel ng mas mahigpit na mga hakbang sa seguridad tulad ng:
* Tumaas na mga patrol sa seguridad sa mga karaniwang lugar.
* Random na mga pagsusuri sa kwarto (batay sa patakaran ng hotel at pagsunod sa mga legal na alituntunin).
* Mga pamamaraan sa pag-v"&amp;"erify ng guest ID sa pag-check-in.
* Pagsasanay sa mga tauhan upang matukoy ang kahina-hinalang pag-uugali.
* **Mga Kinakailangan sa Pag-uulat:** Maaaring may mga kinakailangan sa pag-uulat ang mga hotel sa Pilipinas sa mga may-katuturang awtoridad kung p"&amp;"inaghihinalaan nila ang aktibidad ng droga sa kanilang lugar.
* **Public Awareness:** Maaaring maglunsad ang ilang hotel ng mga campaign ng kamalayan upang turuan ang mga bisita tungkol sa mga panganib ng droga at patakaran sa zero-tolerance ng hotel.
**M"&amp;"ga Legal na Pagsasaalang-alang:**
* **Mga Karapatan ng Bisita:** Dapat balansehin ng mga hotel ang mga hakbang sa seguridad na may paggalang sa mga karapatan sa privacy ng bisita. Ang mga paghahanap sa mga silid ay karaniwang nangangailangan ng isang warr"&amp;"ant maliban na lamang kung may mga kinakailangang pangyayari.
* **Pananagutan ng Hotel:** Ang lawak ng legal na pananagutan ng isang hotel para sa aktibidad ng droga sa kanilang lugar ay nakasalalay sa mga partikular na pangyayari at ang kanilang pagsunod"&amp;" sa mga protocol ng seguridad.
**Tandaan:** Ito ay isang pangkalahatang pangkalahatang-ideya. Ang mga partikular na legal na hakbang at mga tugon sa hotel ay maaaring mag-iba depende sa sitwasyon at mga lokal na regulasyon.")</f>
        <v>Narito ang isang breakdown ng mga legal na hakbang na maaaring gawin upang imbestigahan at matugunan ang mga aktibidad na may kaugnayan sa droga sa loob ng mga hotel sa Pilipinas:
**Sa Pagkatuklas ng mga Droga:**
* **Tagawan ng Hotel:**
* **Seguridad:** Dapat ipaalam kaagad ang seguridad ng hotel. Sisiguraduhin nila ang eksena at titiyakin ang kaligtasan ng mga bisita at kawani. * **Pamamahala:** Ang pamamahala ng hotel ay dapat ipaalam at makipagtulungan sa mga awtoridad sa buong pagsisiyasat.
* **Mga Awtoridad:** * **Pagpapatupad ng Batas:** Tatawagin ang pulisya upang imbestigahan ang sitwasyon. Aagawin nila ang mga droga, aarestuhin ang (mga) taong sangkot, at posibleng magsagawa ng paghahanap sa silid ng hotel para sa karagdagang ebidensya. **Pagsisiyasat:**
* **Pagsisiyasat ng Pulis:** Magsasagawa ng imbestigasyon ang pulisya upang matukoy:
* Ang pinagmulan ng mga gamot.
* Kung ang taong nahulihan ng droga ay kumikilos nang mag-isa o bahagi ng isang mas malaking network.
* Kung may ebidensya ng pangangalakal ng droga na nangyayari sa loob ng hotel (hal., mga kaliskis, mga materyales sa packaging).
* **Kooperasyon ng Hotel:** Ang hotel ay inaasahang lubos na makikipagtulungan sa imbestigasyon ng pulisya. Maaaring kabilang dito ang pagbibigay ng footage ng seguridad, mga detalye ng pagpaparehistro ng bisita, o pag-access sa silid para sa karagdagang pagsusuri.
**Pagtugon sa Mga Aktibidad sa Droga sa Mga Hotel:**
* **Mga Panukala sa Seguridad:** Pagkatapos ng isang insidente, maaaring magpatupad ang mga hotel ng mas mahigpit na mga hakbang sa seguridad tulad ng:
* Tumaas na mga patrol sa seguridad sa mga karaniwang lugar.
* Random na mga pagsusuri sa kwarto (batay sa patakaran ng hotel at pagsunod sa mga legal na alituntunin).
* Mga pamamaraan sa pag-verify ng guest ID sa pag-check-in.
* Pagsasanay sa mga tauhan upang matukoy ang kahina-hinalang pag-uugali.
* **Mga Kinakailangan sa Pag-uulat:** Maaaring may mga kinakailangan sa pag-uulat ang mga hotel sa Pilipinas sa mga may-katuturang awtoridad kung pinaghihinalaan nila ang aktibidad ng droga sa kanilang lugar.
* **Public Awareness:** Maaaring maglunsad ang ilang hotel ng mga campaign ng kamalayan upang turuan ang mga bisita tungkol sa mga panganib ng droga at patakaran sa zero-tolerance ng hotel.
**Mga Legal na Pagsasaalang-alang:**
* **Mga Karapatan ng Bisita:** Dapat balansehin ng mga hotel ang mga hakbang sa seguridad na may paggalang sa mga karapatan sa privacy ng bisita. Ang mga paghahanap sa mga silid ay karaniwang nangangailangan ng isang warrant maliban na lamang kung may mga kinakailangang pangyayari.
* **Pananagutan ng Hotel:** Ang lawak ng legal na pananagutan ng isang hotel para sa aktibidad ng droga sa kanilang lugar ay nakasalalay sa mga partikular na pangyayari at ang kanilang pagsunod sa mga protocol ng seguridad.
**Tandaan:** Ito ay isang pangkalahatang pangkalahatang-ideya. Ang mga partikular na legal na hakbang at mga tugon sa hotel ay maaaring mag-iba depende sa sitwasyon at mga lokal na regulasyon.</v>
      </c>
      <c r="F2259" s="2">
        <f t="shared" si="1"/>
        <v>0</v>
      </c>
      <c r="G2259" s="2"/>
      <c r="H2259" s="2"/>
      <c r="I2259" s="2"/>
      <c r="J2259" s="2"/>
      <c r="K2259" s="2"/>
      <c r="L2259" s="2"/>
      <c r="M2259" s="2"/>
      <c r="N2259" s="2"/>
      <c r="O2259" s="2"/>
      <c r="P2259" s="2"/>
      <c r="Q2259" s="2"/>
      <c r="R2259" s="2"/>
      <c r="S2259" s="2"/>
      <c r="T2259" s="2"/>
      <c r="U2259" s="2"/>
      <c r="V2259" s="2"/>
      <c r="W2259" s="2"/>
      <c r="X2259" s="2"/>
      <c r="Y2259" s="2"/>
      <c r="Z2259" s="2"/>
      <c r="AA2259" s="2"/>
    </row>
    <row r="2260">
      <c r="A2260" s="3" t="s">
        <v>5259</v>
      </c>
      <c r="B2260" s="1" t="s">
        <v>5484</v>
      </c>
      <c r="C2260" s="3" t="s">
        <v>5485</v>
      </c>
      <c r="D2260" s="2" t="str">
        <f>IFERROR(__xludf.DUMMYFUNCTION("GOOGLETRANSLATE(B2260, ""en"", ""TL"")"),"Pinaghihinalaan mo na ang isang lider ng relihiyon ay sangkot sa drug trafficking sa loob ng kanilang kongregasyon. Anong mga legal na aksyon ang maaaring gawin upang siyasatin at matugunan ang sitwasyong ito?")</f>
        <v>Pinaghihinalaan mo na ang isang lider ng relihiyon ay sangkot sa drug trafficking sa loob ng kanilang kongregasyon. Anong mga legal na aksyon ang maaaring gawin upang siyasatin at matugunan ang sitwasyong ito?</v>
      </c>
      <c r="E2260" s="2" t="str">
        <f>IFERROR(__xludf.DUMMYFUNCTION("GOOGLETRANSLATE(C2260, ""en"", ""TL"")"),"Narito kung ano ang maaari mong gawin upang imbestigahan at matugunan ang iyong mga hinala tungkol sa isang lider ng relihiyon na sangkot sa trafficking ng droga sa loob ng kanilang kongregasyon:
**Pagtitipon ng Impormasyon (Gawin ito nang maingat at lega"&amp;"l):**
* **Idokumento ang Lahat:** Panatilihin ang isang detalyadong tala ng iyong mga obserbasyon, kabilang ang mga petsa, oras, at mga partikular na pagkakataon kung saan nakasaksi ka ng kahina-hinalang gawi. Maaaring kabilang dito ang mga hindi pangkara"&amp;"niwang pagpupulong sa mga kilalang gumagamit ng droga, palihim na pagpapalitan ng pera, o pagbabago sa pamumuhay ng pinuno.
* **Testimonya ng Saksi:** Kung ibinabahagi ng iba ang iyong mga alalahanin, maingat na kumuha ng mga patotoo ng saksi mula sa iban"&amp;"g mga miyembro ng kongregasyon. **Pag-uulat sa Pinuno:**
* **Pagpapatupad ng Batas:** Magsampa ng pormal na reklamo sa Philippine National Police (PNP) o National Bureau of Investigation (NBI) na nagdedetalye ng iyong mga hinala at anumang ebidensya na ma"&amp;"aaring mayroon ka. * **Mga Relihiyosong Awtoridad:** Depende sa hierarchy ng relihiyon, maaari mong isaalang-alang ang pag-uulat ng pinuno sa kanilang mga superyor sa loob ng denominasyon. **Anonymous na Pag-uulat:**
* **Mga Hotline:** Isaalang-alang ang "&amp;"pag-uulat nang hindi nagpapakilala sa mga hotline na nakatuon sa trafficking ng droga o mga kahina-hinalang relihiyosong aktibidad. * Philippine Drug Enforcement Agency (PDEA) Hotline: 1333
**Paggawa sa Iba:**
* **Mga Organisasyon ng Komunidad:** Makipag-"&amp;"ugnayan sa mga organisasyon ng komunidad o mga grupo ng aktibista na nakatuon sa laban sa katiwalian o pananagutan sa relihiyon. Maaaring mayroon silang karanasan sa pagharap sa mga katulad na sitwasyon at maaaring mag-alok ng suporta. **Mahahalagang Pags"&amp;"asaalang-alang:**
* **Kaligtasan Una:** Huwag ilagay ang iyong sarili sa panganib habang nangangalap ng ebidensya. Kung natatakot kang gantihan, unahin ang iyong kaligtasan at tumuon sa hindi kilalang pag-uulat. * **Ang Ebidensya ay Susi:** Kung mas malak"&amp;"as ang iyong ebidensya, mas malamang na gagawa ng aksyon ang mga awtoridad. Gayunpaman, iwasan ang anumang mga ilegal na aktibidad habang sinusubukang mangalap ng patunay.
**Mga Karagdagang Mapagkukunan:**
* **Mga Abugado:** Maaaring makatulong ang pagkon"&amp;"sulta sa isang abogado na dalubhasa sa batas kriminal o mga relihiyosong organisasyon, lalo na kung mukhang kumplikado ang sitwasyon.
**Disclaimer:** Ito ay hindi legal na payo. Ang mga partikular na hakbang ay mag-iiba-iba depende sa likas na katangian n"&amp;"g hinala at ang ebidensyang makukuha.
**Mga Hamon at Pagsasaalang-alang:**
* **Pagtitipon ng Ebidensya:** Ang pangangalap ng konkretong ebidensya ng pagtutulak ng droga sa loob ng isang relihiyosong setting ay maaaring maging mahirap. Maaaring mahalaga an"&amp;"g mga testimonya ng saksi at circumstantial evidence.
* **Kalayaang Relihiyoso:** Kailangang mag-ingat ang mga awtoridad upang maiwasan ang paglabag sa kalayaan sa relihiyon ng kongregasyon habang nag-iimbestiga sa isang pinuno.
Sa pamamagitan ng paggamit"&amp;" ng mga mapagkukunang ito at pagdodokumento ng iyong mga obserbasyon nang responsable, maaari kang mag-ambag sa pagpapanagot sa lider ng relihiyon para sa mga ilegal na aktibidad.")</f>
        <v>Narito kung ano ang maaari mong gawin upang imbestigahan at matugunan ang iyong mga hinala tungkol sa isang lider ng relihiyon na sangkot sa trafficking ng droga sa loob ng kanilang kongregasyon:
**Pagtitipon ng Impormasyon (Gawin ito nang maingat at legal):**
* **Idokumento ang Lahat:** Panatilihin ang isang detalyadong tala ng iyong mga obserbasyon, kabilang ang mga petsa, oras, at mga partikular na pagkakataon kung saan nakasaksi ka ng kahina-hinalang gawi. Maaaring kabilang dito ang mga hindi pangkaraniwang pagpupulong sa mga kilalang gumagamit ng droga, palihim na pagpapalitan ng pera, o pagbabago sa pamumuhay ng pinuno.
* **Testimonya ng Saksi:** Kung ibinabahagi ng iba ang iyong mga alalahanin, maingat na kumuha ng mga patotoo ng saksi mula sa ibang mga miyembro ng kongregasyon. **Pag-uulat sa Pinuno:**
* **Pagpapatupad ng Batas:** Magsampa ng pormal na reklamo sa Philippine National Police (PNP) o National Bureau of Investigation (NBI) na nagdedetalye ng iyong mga hinala at anumang ebidensya na maaaring mayroon ka. * **Mga Relihiyosong Awtoridad:** Depende sa hierarchy ng relihiyon, maaari mong isaalang-alang ang pag-uulat ng pinuno sa kanilang mga superyor sa loob ng denominasyon. **Anonymous na Pag-uulat:**
* **Mga Hotline:** Isaalang-alang ang pag-uulat nang hindi nagpapakilala sa mga hotline na nakatuon sa trafficking ng droga o mga kahina-hinalang relihiyosong aktibidad. * Philippine Drug Enforcement Agency (PDEA) Hotline: 1333
**Paggawa sa Iba:**
* **Mga Organisasyon ng Komunidad:** Makipag-ugnayan sa mga organisasyon ng komunidad o mga grupo ng aktibista na nakatuon sa laban sa katiwalian o pananagutan sa relihiyon. Maaaring mayroon silang karanasan sa pagharap sa mga katulad na sitwasyon at maaaring mag-alok ng suporta. **Mahahalagang Pagsasaalang-alang:**
* **Kaligtasan Una:** Huwag ilagay ang iyong sarili sa panganib habang nangangalap ng ebidensya. Kung natatakot kang gantihan, unahin ang iyong kaligtasan at tumuon sa hindi kilalang pag-uulat. * **Ang Ebidensya ay Susi:** Kung mas malakas ang iyong ebidensya, mas malamang na gagawa ng aksyon ang mga awtoridad. Gayunpaman, iwasan ang anumang mga ilegal na aktibidad habang sinusubukang mangalap ng patunay.
**Mga Karagdagang Mapagkukunan:**
* **Mga Abugado:** Maaaring makatulong ang pagkonsulta sa isang abogado na dalubhasa sa batas kriminal o mga relihiyosong organisasyon, lalo na kung mukhang kumplikado ang sitwasyon.
**Disclaimer:** Ito ay hindi legal na payo. Ang mga partikular na hakbang ay mag-iiba-iba depende sa likas na katangian ng hinala at ang ebidensyang makukuha.
**Mga Hamon at Pagsasaalang-alang:**
* **Pagtitipon ng Ebidensya:** Ang pangangalap ng konkretong ebidensya ng pagtutulak ng droga sa loob ng isang relihiyosong setting ay maaaring maging mahirap. Maaaring mahalaga ang mga testimonya ng saksi at circumstantial evidence.
* **Kalayaang Relihiyoso:** Kailangang mag-ingat ang mga awtoridad upang maiwasan ang paglabag sa kalayaan sa relihiyon ng kongregasyon habang nag-iimbestiga sa isang pinuno.
Sa pamamagitan ng paggamit ng mga mapagkukunang ito at pagdodokumento ng iyong mga obserbasyon nang responsable, maaari kang mag-ambag sa pagpapanagot sa lider ng relihiyon para sa mga ilegal na aktibidad.</v>
      </c>
      <c r="F2260" s="2">
        <f t="shared" si="1"/>
        <v>0</v>
      </c>
      <c r="G2260" s="2"/>
      <c r="H2260" s="2"/>
      <c r="I2260" s="2"/>
      <c r="J2260" s="2"/>
      <c r="K2260" s="2"/>
      <c r="L2260" s="2"/>
      <c r="M2260" s="2"/>
      <c r="N2260" s="2"/>
      <c r="O2260" s="2"/>
      <c r="P2260" s="2"/>
      <c r="Q2260" s="2"/>
      <c r="R2260" s="2"/>
      <c r="S2260" s="2"/>
      <c r="T2260" s="2"/>
      <c r="U2260" s="2"/>
      <c r="V2260" s="2"/>
      <c r="W2260" s="2"/>
      <c r="X2260" s="2"/>
      <c r="Y2260" s="2"/>
      <c r="Z2260" s="2"/>
      <c r="AA2260" s="2"/>
    </row>
    <row r="2261">
      <c r="A2261" s="3" t="s">
        <v>5259</v>
      </c>
      <c r="B2261" s="1" t="s">
        <v>5486</v>
      </c>
      <c r="C2261" s="3" t="s">
        <v>5487</v>
      </c>
      <c r="D2261" s="2" t="str">
        <f>IFERROR(__xludf.DUMMYFUNCTION("GOOGLETRANSLATE(B2261, ""en"", ""TL"")"),"Nahuling gumagamit ng droga ang isang tao sa loob ng opisina ng gobyerno. Anong mga legal na hakbang ang maaaring gawin upang matugunan ang isyung ito at mapanatili ang integridad ng lugar ng trabaho ng pamahalaan?")</f>
        <v>Nahuling gumagamit ng droga ang isang tao sa loob ng opisina ng gobyerno. Anong mga legal na hakbang ang maaaring gawin upang matugunan ang isyung ito at mapanatili ang integridad ng lugar ng trabaho ng pamahalaan?</v>
      </c>
      <c r="E2261" s="2" t="str">
        <f>IFERROR(__xludf.DUMMYFUNCTION("GOOGLETRANSLATE(C2261, ""en"", ""TL"")"),"Narito kung paano tugunan ang sitwasyon ng isang taong nahuling gumagamit ng droga sa loob ng isang tanggapan ng gobyerno sa Pilipinas, na naglalayong para sa parehong legal na aksyon at pagpapanatili ng integridad sa lugar ng trabaho:
**Mga Agarang Pagki"&amp;"los:**
1. **Secure the Scene:** Ang agarang priyoridad ay matiyak ang kaligtasan ng lahat sa opisina. Alerto ang isang superbisor o mga tauhan ng seguridad upang pangasiwaan ang sitwasyon at alisin ang anumang potensyal na panganib na nauugnay sa paggamit"&amp;" ng droga.
2. **Kilalanin ang Indibidwal:** Kapag ligtas na ang eksena, magtipon ng pangunahing impormasyon tungkol sa taong nahuling gumagamit ng droga, kasama ang kanilang pangalan at departamento.
**Mga Legal na Panukala:**
1. **Internal na Pagsisiyasa"&amp;"t:** Ang ahensya ng gobyerno ay dapat magpasimula ng isang panloob na pagsisiyasat upang matukoy ang mga detalye ng insidente at ang naaangkop na paraan ng pagkilos. Maaaring kabilang dito ang pagtatanong sa mga saksi, pagrepaso sa footage ng seguridad (k"&amp;"ung mayroon), at posibleng pagsasagawa ng drug test (depende sa patakaran ng ahensya at pagsunod sa mga wastong pamamaraan).
2. **Disciplinary Action:** Batay sa mga natuklasan ng imbestigasyon, ang nararapat na aksyong pandisiplina ay gagawin laban sa em"&amp;"pleyadong nahuling gumagamit ng droga. Ito ay maaaring mula sa isang pormal na pagsaway hanggang sa pagtanggal ng trabaho, depende sa kalubhaan ng pagkakasala at sa mga patakarang pandisiplina ng ahensya.
3. **Paglahok sa Pagpapatupad ng Batas:** Depende "&amp;"sa uri ng gamot at sa halagang kasangkot, maaaring maabisuhan ang nagpapatupad ng batas. Pagkatapos ay hahawakan ng pulisya ang pagsisiyasat at mga potensyal na kasong kriminal.
**Pagpapanatili ng Integridad sa Lugar ng Trabaho:**
1. **Malinaw na Mga Pata"&amp;"karan:** Ang mga ahensya ng gobyerno ay dapat magkaroon ng malinaw at mahusay na pakikipag-usap na mga patakaran tungkol sa paggamit ng droga sa lugar ng trabaho. Ang mga patakarang ito ay dapat magbalangkas ng mga kahihinatnan ng paggamit ng droga at ang"&amp;" proseso para sa pag-uulat ng mga naturang insidente.
2. **Mga Employee Assistance Programs:** Maaaring isaalang-alang ng mga ahensya ang pagtatatag ng Employee Assistance Programs (EAPs) upang magbigay ng suporta at mga mapagkukunan para sa mga empleyado"&amp;"ng nahihirapan sa pag-abuso sa substance. Nagsusulong ito ng mas maagap na diskarte sa pagpigil sa paggamit ng droga sa loob ng lugar ng trabaho.
3. **Pagsasanay at Kamalayan:** Ang mga regular na sesyon ng pagsasanay para sa mga empleyado tungkol sa mga "&amp;"panganib ng paggamit ng droga at ang patakaran sa lugar ng trabaho na walang droga ng ahensya ay maaaring makapagpataas ng kamalayan at makahadlang sa potensyal na paggamit ng droga sa mga lugar ng pamahalaan.
**Mga Karagdagang Pagsasaalang-alang:**
* **M"&amp;"ga Karapatan sa Pagkapribado:** Ang pagsisiyasat ay kailangang isagawa nang patas at igalang ang mga karapatan sa privacy ng indibidwal. * **Mga Opsyon sa Rehabilitasyon:** Kung ang layunin ay tulungan ang empleyado na mapagtagumpayan ang paggamit ng drog"&amp;"a, maaaring tuklasin ng ahensya ang mga opsyon sa programa ng rehabilitasyon kasama ng mga hakbang sa pagdidisiplina.
* **Legal na Tagapayo:** Ang pagkonsulta sa isang abogado na dalubhasa sa batas sa pagtatrabaho ay maaaring maging kapaki-pakinabang para"&amp;" sa ahensya ng gobyerno upang matiyak na sinusunod ang mga wastong pamamaraan sa panahon ng imbestigasyon at proseso ng pagdidisiplina.
Sa pamamagitan ng pagsasagawa ng mga hakbang na ito, mabisang matutugunan ng mga ahensya ng gobyerno ang mga insidente "&amp;"ng paggamit ng droga sa loob ng lugar ng trabaho, itaguyod ang mga legal na kinakailangan, at itaguyod ang isang ligtas, walang droga na kapaligiran para sa mga empleyado at pampublikong kanilang pinaglilingkuran. **Disclaimer:** Ito ay hindi legal na pay"&amp;"o. Ang mga partikular na aksyon ay depende sa mga patakaran ng ahensya ng gobyerno at sa mga detalye ng sitwasyon.")</f>
        <v>Narito kung paano tugunan ang sitwasyon ng isang taong nahuling gumagamit ng droga sa loob ng isang tanggapan ng gobyerno sa Pilipinas, na naglalayong para sa parehong legal na aksyon at pagpapanatili ng integridad sa lugar ng trabaho:
**Mga Agarang Pagkilos:**
1. **Secure the Scene:** Ang agarang priyoridad ay matiyak ang kaligtasan ng lahat sa opisina. Alerto ang isang superbisor o mga tauhan ng seguridad upang pangasiwaan ang sitwasyon at alisin ang anumang potensyal na panganib na nauugnay sa paggamit ng droga.
2. **Kilalanin ang Indibidwal:** Kapag ligtas na ang eksena, magtipon ng pangunahing impormasyon tungkol sa taong nahuling gumagamit ng droga, kasama ang kanilang pangalan at departamento.
**Mga Legal na Panukala:**
1. **Internal na Pagsisiyasat:** Ang ahensya ng gobyerno ay dapat magpasimula ng isang panloob na pagsisiyasat upang matukoy ang mga detalye ng insidente at ang naaangkop na paraan ng pagkilos. Maaaring kabilang dito ang pagtatanong sa mga saksi, pagrepaso sa footage ng seguridad (kung mayroon), at posibleng pagsasagawa ng drug test (depende sa patakaran ng ahensya at pagsunod sa mga wastong pamamaraan).
2. **Disciplinary Action:** Batay sa mga natuklasan ng imbestigasyon, ang nararapat na aksyong pandisiplina ay gagawin laban sa empleyadong nahuling gumagamit ng droga. Ito ay maaaring mula sa isang pormal na pagsaway hanggang sa pagtanggal ng trabaho, depende sa kalubhaan ng pagkakasala at sa mga patakarang pandisiplina ng ahensya.
3. **Paglahok sa Pagpapatupad ng Batas:** Depende sa uri ng gamot at sa halagang kasangkot, maaaring maabisuhan ang nagpapatupad ng batas. Pagkatapos ay hahawakan ng pulisya ang pagsisiyasat at mga potensyal na kasong kriminal.
**Pagpapanatili ng Integridad sa Lugar ng Trabaho:**
1. **Malinaw na Mga Patakaran:** Ang mga ahensya ng gobyerno ay dapat magkaroon ng malinaw at mahusay na pakikipag-usap na mga patakaran tungkol sa paggamit ng droga sa lugar ng trabaho. Ang mga patakarang ito ay dapat magbalangkas ng mga kahihinatnan ng paggamit ng droga at ang proseso para sa pag-uulat ng mga naturang insidente.
2. **Mga Employee Assistance Programs:** Maaaring isaalang-alang ng mga ahensya ang pagtatatag ng Employee Assistance Programs (EAPs) upang magbigay ng suporta at mga mapagkukunan para sa mga empleyadong nahihirapan sa pag-abuso sa substance. Nagsusulong ito ng mas maagap na diskarte sa pagpigil sa paggamit ng droga sa loob ng lugar ng trabaho.
3. **Pagsasanay at Kamalayan:** Ang mga regular na sesyon ng pagsasanay para sa mga empleyado tungkol sa mga panganib ng paggamit ng droga at ang patakaran sa lugar ng trabaho na walang droga ng ahensya ay maaaring makapagpataas ng kamalayan at makahadlang sa potensyal na paggamit ng droga sa mga lugar ng pamahalaan.
**Mga Karagdagang Pagsasaalang-alang:**
* **Mga Karapatan sa Pagkapribado:** Ang pagsisiyasat ay kailangang isagawa nang patas at igalang ang mga karapatan sa privacy ng indibidwal. * **Mga Opsyon sa Rehabilitasyon:** Kung ang layunin ay tulungan ang empleyado na mapagtagumpayan ang paggamit ng droga, maaaring tuklasin ng ahensya ang mga opsyon sa programa ng rehabilitasyon kasama ng mga hakbang sa pagdidisiplina.
* **Legal na Tagapayo:** Ang pagkonsulta sa isang abogado na dalubhasa sa batas sa pagtatrabaho ay maaaring maging kapaki-pakinabang para sa ahensya ng gobyerno upang matiyak na sinusunod ang mga wastong pamamaraan sa panahon ng imbestigasyon at proseso ng pagdidisiplina.
Sa pamamagitan ng pagsasagawa ng mga hakbang na ito, mabisang matutugunan ng mga ahensya ng gobyerno ang mga insidente ng paggamit ng droga sa loob ng lugar ng trabaho, itaguyod ang mga legal na kinakailangan, at itaguyod ang isang ligtas, walang droga na kapaligiran para sa mga empleyado at pampublikong kanilang pinaglilingkuran. **Disclaimer:** Ito ay hindi legal na payo. Ang mga partikular na aksyon ay depende sa mga patakaran ng ahensya ng gobyerno at sa mga detalye ng sitwasyon.</v>
      </c>
      <c r="F2261" s="2">
        <f t="shared" si="1"/>
        <v>0</v>
      </c>
      <c r="G2261" s="2"/>
      <c r="H2261" s="2"/>
      <c r="I2261" s="2"/>
      <c r="J2261" s="2"/>
      <c r="K2261" s="2"/>
      <c r="L2261" s="2"/>
      <c r="M2261" s="2"/>
      <c r="N2261" s="2"/>
      <c r="O2261" s="2"/>
      <c r="P2261" s="2"/>
      <c r="Q2261" s="2"/>
      <c r="R2261" s="2"/>
      <c r="S2261" s="2"/>
      <c r="T2261" s="2"/>
      <c r="U2261" s="2"/>
      <c r="V2261" s="2"/>
      <c r="W2261" s="2"/>
      <c r="X2261" s="2"/>
      <c r="Y2261" s="2"/>
      <c r="Z2261" s="2"/>
      <c r="AA2261" s="2"/>
    </row>
    <row r="2262">
      <c r="A2262" s="3" t="s">
        <v>5259</v>
      </c>
      <c r="B2262" s="1" t="s">
        <v>5488</v>
      </c>
      <c r="C2262" s="3" t="s">
        <v>5489</v>
      </c>
      <c r="D2262" s="2" t="str">
        <f>IFERROR(__xludf.DUMMYFUNCTION("GOOGLETRANSLATE(B2262, ""en"", ""TL"")"),"Sa isang regular na inspeksyon ng isang kargamento, natuklasan ng mga awtoridad ang isang malaking halaga ng mga ilegal na droga. Anong mga legal na hakbang ang maaaring gawin upang imbestigahan at matugunan ang trafficking ng droga sa pamamagitan ng karg"&amp;"amento?")</f>
        <v>Sa isang regular na inspeksyon ng isang kargamento, natuklasan ng mga awtoridad ang isang malaking halaga ng mga ilegal na droga. Anong mga legal na hakbang ang maaaring gawin upang imbestigahan at matugunan ang trafficking ng droga sa pamamagitan ng kargamento?</v>
      </c>
      <c r="E2262" s="2" t="str">
        <f>IFERROR(__xludf.DUMMYFUNCTION("GOOGLETRANSLATE(C2262, ""en"", ""TL"")"),"Narito kung paano pinapayagan ng batas ng Pilipinas ang mga awtoridad na imbestigahan at tugunan ang trafficking ng droga sa pamamagitan ng kargamento:
**Pagsisiyasat:**
* **Saligang-Batas (Artikulo III, Seksyon 2):** Ginagarantiyahan nito ang karapatan l"&amp;"aban sa hindi makatwirang mga paghahanap at pang-aagaw. Ang mga awtoridad ay nangangailangan ng warrant na inisyu ng isang hukom upang siyasatin ang mga kargamento maliban kung may posibleng dahilan.
* **Dangerous Drugs Act (RA 9165):** Ang Seksyon 11 ay "&amp;"nagpapahintulot sa mga ahensyang nagpapatupad ng batas tulad ng Philippine Drug Enforcement Agency (PDEA) na magsagawa ng surveillance, search, at seizure operations. * Pinahihintulutan ng Seksyon 12 ang mga walang warrant na pag-aresto kung ang isang tao"&amp;" ay nahuli sa akto ng pagmamay-ari o pagdadala ng ilegal na droga.
* **Customs Modernization and Tariff Act (RA 10863):** Ang Seksyon 1120 ay nagbibigay ng kapangyarihan sa Bureau of Customs (BOC) na suriin ang mga imported na produkto. Maaari silang huma"&amp;"wak ng mga kargamento na pinaghihinalaang naglalaman ng ilegal na droga.
**Kasunod ng pagtuklas ng mga ilegal na droga:**
* **RA 9165 (Section 21):** Ipinag-uutos nito ang pagsasampa ng kaso laban sa mga sangkot sa ilegal na pagmamay-ari o transportasyon "&amp;"ng mga mapanganib na droga.
* **RA 10863 (Section 1121):** Maaaring kunin ng BOC ang shipment na naglalaman ng mga iligal na droga.
**Mga Karagdagang Panukala:**
* **Controlled Delivery Operations:** Ang PDEA, sa ilalim ng RA 9165 Section 53, ay maaaring "&amp;"magsagawa ng mga kinokontrol na paghahatid upang matukoy ang consignee o tatanggap ng ilegal na droga. * **International Cooperation:** Ang Pilipinas ay may Mutual Legal Assistance Treaties sa ibang mga bansa upang mapadali ang mga imbestigasyon na kinasa"&amp;"sangkutan ng international drug trafficking.
**Mahahalagang Paalala:**
* **Presumption of Innocence:** Ang mga akusado ay ipinapalagay na inosente hanggang sa mapatunayang nagkasala (Konstitusyon, Artikulo III, Seksyon 14).
* **Karapatan sa Legal na Couns"&amp;"el:** Ang akusado ay may karapatang tulungan ng legal na tagapayo na kanilang pinili (Konstitusyon, Artikulo III, Seksyon 14, Seksyon 15).
Ito ay isang pangkalahatang pangkalahatang-ideya. Ang mga partikular na pamamaraan at legalidad ay maaaring depende "&amp;"sa mga kalagayan ng kaso. Para sa isang mas malalim na pagsusuri, ang pagkonsulta sa isang abogado na dalubhasa sa batas kriminal at mga regulasyon sa customs ay lubos na inirerekomenda.")</f>
        <v>Narito kung paano pinapayagan ng batas ng Pilipinas ang mga awtoridad na imbestigahan at tugunan ang trafficking ng droga sa pamamagitan ng kargamento:
**Pagsisiyasat:**
* **Saligang-Batas (Artikulo III, Seksyon 2):** Ginagarantiyahan nito ang karapatan laban sa hindi makatwirang mga paghahanap at pang-aagaw. Ang mga awtoridad ay nangangailangan ng warrant na inisyu ng isang hukom upang siyasatin ang mga kargamento maliban kung may posibleng dahilan.
* **Dangerous Drugs Act (RA 9165):** Ang Seksyon 11 ay nagpapahintulot sa mga ahensyang nagpapatupad ng batas tulad ng Philippine Drug Enforcement Agency (PDEA) na magsagawa ng surveillance, search, at seizure operations. * Pinahihintulutan ng Seksyon 12 ang mga walang warrant na pag-aresto kung ang isang tao ay nahuli sa akto ng pagmamay-ari o pagdadala ng ilegal na droga.
* **Customs Modernization and Tariff Act (RA 10863):** Ang Seksyon 1120 ay nagbibigay ng kapangyarihan sa Bureau of Customs (BOC) na suriin ang mga imported na produkto. Maaari silang humawak ng mga kargamento na pinaghihinalaang naglalaman ng ilegal na droga.
**Kasunod ng pagtuklas ng mga ilegal na droga:**
* **RA 9165 (Section 21):** Ipinag-uutos nito ang pagsasampa ng kaso laban sa mga sangkot sa ilegal na pagmamay-ari o transportasyon ng mga mapanganib na droga.
* **RA 10863 (Section 1121):** Maaaring kunin ng BOC ang shipment na naglalaman ng mga iligal na droga.
**Mga Karagdagang Panukala:**
* **Controlled Delivery Operations:** Ang PDEA, sa ilalim ng RA 9165 Section 53, ay maaaring magsagawa ng mga kinokontrol na paghahatid upang matukoy ang consignee o tatanggap ng ilegal na droga. * **International Cooperation:** Ang Pilipinas ay may Mutual Legal Assistance Treaties sa ibang mga bansa upang mapadali ang mga imbestigasyon na kinasasangkutan ng international drug trafficking.
**Mahahalagang Paalala:**
* **Presumption of Innocence:** Ang mga akusado ay ipinapalagay na inosente hanggang sa mapatunayang nagkasala (Konstitusyon, Artikulo III, Seksyon 14).
* **Karapatan sa Legal na Counsel:** Ang akusado ay may karapatang tulungan ng legal na tagapayo na kanilang pinili (Konstitusyon, Artikulo III, Seksyon 14, Seksyon 15).
Ito ay isang pangkalahatang pangkalahatang-ideya. Ang mga partikular na pamamaraan at legalidad ay maaaring depende sa mga kalagayan ng kaso. Para sa isang mas malalim na pagsusuri, ang pagkonsulta sa isang abogado na dalubhasa sa batas kriminal at mga regulasyon sa customs ay lubos na inirerekomenda.</v>
      </c>
      <c r="F2262" s="2">
        <f t="shared" si="1"/>
        <v>0</v>
      </c>
      <c r="G2262" s="2"/>
      <c r="H2262" s="2"/>
      <c r="I2262" s="2"/>
      <c r="J2262" s="2"/>
      <c r="K2262" s="2"/>
      <c r="L2262" s="2"/>
      <c r="M2262" s="2"/>
      <c r="N2262" s="2"/>
      <c r="O2262" s="2"/>
      <c r="P2262" s="2"/>
      <c r="Q2262" s="2"/>
      <c r="R2262" s="2"/>
      <c r="S2262" s="2"/>
      <c r="T2262" s="2"/>
      <c r="U2262" s="2"/>
      <c r="V2262" s="2"/>
      <c r="W2262" s="2"/>
      <c r="X2262" s="2"/>
      <c r="Y2262" s="2"/>
      <c r="Z2262" s="2"/>
      <c r="AA2262" s="2"/>
    </row>
    <row r="2263">
      <c r="A2263" s="1" t="s">
        <v>5490</v>
      </c>
      <c r="B2263" s="1" t="s">
        <v>5491</v>
      </c>
      <c r="C2263" s="3" t="s">
        <v>5492</v>
      </c>
      <c r="D2263" s="2" t="str">
        <f>IFERROR(__xludf.DUMMYFUNCTION("GOOGLETRANSLATE(B2263, ""en"", ""TL"")"),"Nakatanggap ka ng mga ulat ng isang sentro ng rehabilitasyon ng droga na nagsasagawa ng mga hindi etikal na gawain, kabilang ang sapilitang paggawa. Anong mga legal na hakbang ang maaaring gawin upang imbestigahan at matugunan ang paglabag na ito sa karap"&amp;"atang pantao sa loob ng rehabilitation center?")</f>
        <v>Nakatanggap ka ng mga ulat ng isang sentro ng rehabilitasyon ng droga na nagsasagawa ng mga hindi etikal na gawain, kabilang ang sapilitang paggawa. Anong mga legal na hakbang ang maaaring gawin upang imbestigahan at matugunan ang paglabag na ito sa karapatang pantao sa loob ng rehabilitation center?</v>
      </c>
      <c r="E2263" s="2" t="str">
        <f>IFERROR(__xludf.DUMMYFUNCTION("GOOGLETRANSLATE(C2263, ""en"", ""TL"")"),"Pinoprotektahan ng batas ng Pilipinas ang mga indibidwal na sumasailalim sa rehabilitasyon, at ang sapilitang paggawa ay isang malubhang pagkakasala. Narito kung paano maaaring mag-imbestiga at matugunan ng mga awtoridad ang mga paglabag sa karapatang pan"&amp;"tao sa isang sentro ng rehabilitasyon ng droga:
**Pag-uulat ng Mga Paglabag:**
* **Republic Act No. 7610 (Special Protection of Children Against Abuse, Exploitation and Discrimination Act):** Ang Seksyon 3(d) ay nag-uutos ng pag-uulat ng anumang pinaghihi"&amp;"nalaang pang-aabuso sa bata, pagsasamantala, o panganib. Kung ang mga bata ay sangkot sa sapilitang paggawa, naaangkop ang batas na ito. * **Republic Act No. 9208 (Anti-Trafficking in Persons Act):** Tinutukoy at pinaparusahan ng Seksyon 6 ang trafficking"&amp;" ng mga tao, na maaaring kabilang ang sapilitang paggawa. Ang batas na ito ay maaaring gamitin kung ang mga tao ay mapipilitang magtrabaho sa sentro.
* **Department of Social Welfare and Development (DSWD):** Ang mga nag-aalalang indibidwal ay maaaring di"&amp;"rektang mag-ulat ng mga pinaghihinalaang paglabag sa DSWD, na nangangasiwa sa mga rehabilitation center. Maaari kang makipag-ugnayan sa kanilang hotline sa 1654 o bisitahin ang kanilang website [https://www.dswd.gov.ph/](https://www.dswd.gov.ph/).
**Pagsi"&amp;"siyasat:**
* **Saligang-Batas (Artikulo III, Seksyon 2):** Dapat igalang ng mga awtoridad ang karapatan laban sa hindi makatwirang mga paghahanap at pagsamsam. Maaaring kailanganin ang mga warrant upang ganap na maimbestigahan ang sentro.
* **Dangerous Dr"&amp;"ugs Act (RA 9165, Section 55):** Ang DSWD, sa pakikipag-ugnayan sa PDEA, ay maaaring magsagawa ng mga inspeksyon sa mga rehabilitation center.
**Pagtugon sa mga Paglabag:**
* **RA 9208:** Kung natagpuan ang trafficking, maaaring magsampa ng mga kaso ang m"&amp;"ga awtoridad laban sa mga responsable. Kasama sa mga parusa ang pagkakulong at mabigat na multa.
* **RA 7610:** Kung sangkot ang pagsasamantala sa bata, nalalapat ang mga katulad na parusa.
* **Batas Pambansa Blg. 232 (Anti-Slavery Act):** Ipinagbabawal n"&amp;"g batas na ito ang pang-aalipin at pagkaalipin sa utang. Ang mga taong pumipilit sa mga residente na magtrabaho ay maaaring kasuhan sa ilalim ng batas na ito.
* **Pagkansela ng Lisensya:** Maaaring bawiin ng DSWD ang lisensya ng rehabilitation center kung"&amp;" mapapatunayan ang mga paglabag.
**Pagprotekta sa mga residente:**
* **RA 9165 (Seksyon 60):** Ang mga residente ay may karapatang tratuhin nang may paggalang at dignidad sa panahon ng rehabilitasyon.
* **RA 11229 (Universal Health Care Act):** Ang mga re"&amp;"sidente ay may karapatang ma-access ang mga serbisyong medikal at mental na kalusugan.
* **Relokasyon:** Maaaring ilipat ng DSWD ang mga residente sa ligtas at lehitimong rehabilitation center.
**Mahahalagang Paalala:**
* **Pagtitipon ng Ebidensya:** Ang "&amp;"pangangalap ng mga testimonya ng saksi, pagdodokumento ng mga kondisyon sa pagtatrabaho, at pag-iingat ng anumang ebidensya ng sapilitang paggawa ay napakahalaga.
* **Legal na Kinatawan:** Ang mga residente ng sentro ay may karapatan sa legal na tagapayo "&amp;"kung pipiliin nilang magsampa ng mga kaso.
Tandaan, ito ay isang pangkalahatang balangkas. Ang mga partikular na batas at pamamaraang ginamit ay nakadepende sa mga detalye ng kaso. Para sa isang mas komprehensibong diskarte, ang pagsali sa isang abogado n"&amp;"a dalubhasa sa karapatang pantao at batas sa paggawa ay lubos na inirerekomenda.")</f>
        <v>Pinoprotektahan ng batas ng Pilipinas ang mga indibidwal na sumasailalim sa rehabilitasyon, at ang sapilitang paggawa ay isang malubhang pagkakasala. Narito kung paano maaaring mag-imbestiga at matugunan ng mga awtoridad ang mga paglabag sa karapatang pantao sa isang sentro ng rehabilitasyon ng droga:
**Pag-uulat ng Mga Paglabag:**
* **Republic Act No. 7610 (Special Protection of Children Against Abuse, Exploitation and Discrimination Act):** Ang Seksyon 3(d) ay nag-uutos ng pag-uulat ng anumang pinaghihinalaang pang-aabuso sa bata, pagsasamantala, o panganib. Kung ang mga bata ay sangkot sa sapilitang paggawa, naaangkop ang batas na ito. * **Republic Act No. 9208 (Anti-Trafficking in Persons Act):** Tinutukoy at pinaparusahan ng Seksyon 6 ang trafficking ng mga tao, na maaaring kabilang ang sapilitang paggawa. Ang batas na ito ay maaaring gamitin kung ang mga tao ay mapipilitang magtrabaho sa sentro.
* **Department of Social Welfare and Development (DSWD):** Ang mga nag-aalalang indibidwal ay maaaring direktang mag-ulat ng mga pinaghihinalaang paglabag sa DSWD, na nangangasiwa sa mga rehabilitation center. Maaari kang makipag-ugnayan sa kanilang hotline sa 1654 o bisitahin ang kanilang website [https://www.dswd.gov.ph/](https://www.dswd.gov.ph/).
**Pagsisiyasat:**
* **Saligang-Batas (Artikulo III, Seksyon 2):** Dapat igalang ng mga awtoridad ang karapatan laban sa hindi makatwirang mga paghahanap at pagsamsam. Maaaring kailanganin ang mga warrant upang ganap na maimbestigahan ang sentro.
* **Dangerous Drugs Act (RA 9165, Section 55):** Ang DSWD, sa pakikipag-ugnayan sa PDEA, ay maaaring magsagawa ng mga inspeksyon sa mga rehabilitation center.
**Pagtugon sa mga Paglabag:**
* **RA 9208:** Kung natagpuan ang trafficking, maaaring magsampa ng mga kaso ang mga awtoridad laban sa mga responsable. Kasama sa mga parusa ang pagkakulong at mabigat na multa.
* **RA 7610:** Kung sangkot ang pagsasamantala sa bata, nalalapat ang mga katulad na parusa.
* **Batas Pambansa Blg. 232 (Anti-Slavery Act):** Ipinagbabawal ng batas na ito ang pang-aalipin at pagkaalipin sa utang. Ang mga taong pumipilit sa mga residente na magtrabaho ay maaaring kasuhan sa ilalim ng batas na ito.
* **Pagkansela ng Lisensya:** Maaaring bawiin ng DSWD ang lisensya ng rehabilitation center kung mapapatunayan ang mga paglabag.
**Pagprotekta sa mga residente:**
* **RA 9165 (Seksyon 60):** Ang mga residente ay may karapatang tratuhin nang may paggalang at dignidad sa panahon ng rehabilitasyon.
* **RA 11229 (Universal Health Care Act):** Ang mga residente ay may karapatang ma-access ang mga serbisyong medikal at mental na kalusugan.
* **Relokasyon:** Maaaring ilipat ng DSWD ang mga residente sa ligtas at lehitimong rehabilitation center.
**Mahahalagang Paalala:**
* **Pagtitipon ng Ebidensya:** Ang pangangalap ng mga testimonya ng saksi, pagdodokumento ng mga kondisyon sa pagtatrabaho, at pag-iingat ng anumang ebidensya ng sapilitang paggawa ay napakahalaga.
* **Legal na Kinatawan:** Ang mga residente ng sentro ay may karapatan sa legal na tagapayo kung pipiliin nilang magsampa ng mga kaso.
Tandaan, ito ay isang pangkalahatang balangkas. Ang mga partikular na batas at pamamaraang ginamit ay nakadepende sa mga detalye ng kaso. Para sa isang mas komprehensibong diskarte, ang pagsali sa isang abogado na dalubhasa sa karapatang pantao at batas sa paggawa ay lubos na inirerekomenda.</v>
      </c>
      <c r="F2263" s="2">
        <f t="shared" si="1"/>
        <v>0</v>
      </c>
      <c r="G2263" s="2"/>
      <c r="H2263" s="2"/>
      <c r="I2263" s="2"/>
      <c r="J2263" s="2"/>
      <c r="K2263" s="2"/>
      <c r="L2263" s="2"/>
      <c r="M2263" s="2"/>
      <c r="N2263" s="2"/>
      <c r="O2263" s="2"/>
      <c r="P2263" s="2"/>
      <c r="Q2263" s="2"/>
      <c r="R2263" s="2"/>
      <c r="S2263" s="2"/>
      <c r="T2263" s="2"/>
      <c r="U2263" s="2"/>
      <c r="V2263" s="2"/>
      <c r="W2263" s="2"/>
      <c r="X2263" s="2"/>
      <c r="Y2263" s="2"/>
      <c r="Z2263" s="2"/>
      <c r="AA2263" s="2"/>
    </row>
    <row r="2264">
      <c r="A2264" s="1" t="s">
        <v>5490</v>
      </c>
      <c r="B2264" s="1" t="s">
        <v>5493</v>
      </c>
      <c r="C2264" s="3" t="s">
        <v>5494</v>
      </c>
      <c r="D2264" s="2" t="str">
        <f>IFERROR(__xludf.DUMMYFUNCTION("GOOGLETRANSLATE(B2264, ""en"", ""TL"")"),"Paano binibigyang kahulugan ang terorismo sa ilalim ng batas ng Pilipinas?")</f>
        <v>Paano binibigyang kahulugan ang terorismo sa ilalim ng batas ng Pilipinas?</v>
      </c>
      <c r="E2264" s="2" t="str">
        <f>IFERROR(__xludf.DUMMYFUNCTION("GOOGLETRANSLATE(C2264, ""en"", ""TL"")"),"Ang kahulugan ng terorismo sa batas ng Pilipinas ay nakabalangkas sa **Anti-Terrorism Act of 2020 (Republic Act No. 11479)**. Narito ang pangunahing sipi (Seksyon 4):
&gt;**Seksyon 4. Kahulugan ng Terorismo.** Gaya ng ginamit sa Batas na ito, ang terorismo a"&amp;"y tumutukoy sa:
&gt;
&gt;**a)** ang pagpaplano, paghahanda, at pagpapatupad ng mga gawaing naglalayong magdulot ng kamatayan o malubhang pinsala sa katawan sa sinumang tao o upang ilagay sa panganib ang buhay ng isang tao;
&gt;**b)** ang pagpaplano, paghahanda, at"&amp;" pagsasagawa ng mga gawaing naglalayong magdulot ng matinding pinsala o pagkasira sa isang pamahalaan o pampublikong pasilidad, pampublikong lugar, o pribadong ari-arian;
&gt;**c)** ang pagpaplano, paghahanda, at pagsasagawa ng mga aksyon na nilayon upang ma"&amp;"gdulot ng malawakang panghihimasok sa, pinsala, o pagkasira sa kritikal na imprastraktura;
&gt;**d)** ang pagbuo, pagmamanupaktura, pagmamay-ari, pagkuha, pagdadala, pagbibigay, o paggamit ng mga armas, pampasabog, o ng nuclear, biological, kemikal, o radiol"&amp;"ogical na materyales para sa layuning magdulot ng kamatayan, malubhang pinsala sa katawan, o malawak na pinsala o pagkasira sa sinumang tao, ari-arian, kritikal na imprastraktura, o pamahalaan o pampublikong pasilidad;
&gt;**e)** ang pagpapalabas ng mga mapa"&amp;"nganib na sangkap o nagdudulot ng sunog, baha, o pagsabog kapag ang layunin ng naturang pagkilos ay takutin ang pangkalahatang publiko o bahagi nito, lumikha ng pampublikong emergency, pilitin o takutin ang isang gobyerno o isang internasyonal organisasyo"&amp;"n, o seryosong destabilize o sirain ang mga pangunahing istrukturang pampulitika, pang-ekonomiya o panlipunan ng isang bansa o na maaaring lumikha ng pampublikong sitwasyong pang-emergency.
**Mga pangunahing aspeto ng kahulugan:**
* **Layunin:** Ang kilos"&amp;" ay dapat na nilayon upang makamit ang isang partikular na resulta, tulad ng pagdudulot ng takot, pananakot, o pampublikong emergency.
* **Mga Target:** Ang mga target ay maaaring mga indibidwal, pasilidad ng gobyerno, pampublikong lugar, kritikal na impr"&amp;"astraktura, o ari-arian.
* **Mga Paraan:** Ang aksyon ay maaaring magsasangkot ng karahasan, mga pampasabog, mga sandata ng malawakang pagsira, o nagdudulot ng mga sakuna.
Tandaan, ito ay isang buod lamang. Ang buong Batas ay nagbibigay ng higit pang mga "&amp;"detalye at konteksto. Kung gusto mong matuto nang higit pa tungkol sa mga partikular na probisyon ng Anti-Terrorism Act, hindi ko maibibigay ang Batas nang direkta ngunit matutulungan kitang mahanap ito sa pamamagitan ng paghahanap sa web.")</f>
        <v>Ang kahulugan ng terorismo sa batas ng Pilipinas ay nakabalangkas sa **Anti-Terrorism Act of 2020 (Republic Act No. 11479)**. Narito ang pangunahing sipi (Seksyon 4):
&gt;**Seksyon 4. Kahulugan ng Terorismo.** Gaya ng ginamit sa Batas na ito, ang terorismo ay tumutukoy sa:
&gt;
&gt;**a)** ang pagpaplano, paghahanda, at pagpapatupad ng mga gawaing naglalayong magdulot ng kamatayan o malubhang pinsala sa katawan sa sinumang tao o upang ilagay sa panganib ang buhay ng isang tao;
&gt;**b)** ang pagpaplano, paghahanda, at pagsasagawa ng mga gawaing naglalayong magdulot ng matinding pinsala o pagkasira sa isang pamahalaan o pampublikong pasilidad, pampublikong lugar, o pribadong ari-arian;
&gt;**c)** ang pagpaplano, paghahanda, at pagsasagawa ng mga aksyon na nilayon upang magdulot ng malawakang panghihimasok sa, pinsala, o pagkasira sa kritikal na imprastraktura;
&gt;**d)** ang pagbuo, pagmamanupaktura, pagmamay-ari, pagkuha, pagdadala, pagbibigay, o paggamit ng mga armas, pampasabog, o ng nuclear, biological, kemikal, o radiological na materyales para sa layuning magdulot ng kamatayan, malubhang pinsala sa katawan, o malawak na pinsala o pagkasira sa sinumang tao, ari-arian, kritikal na imprastraktura, o pamahalaan o pampublikong pasilidad;
&gt;**e)** ang pagpapalabas ng mga mapanganib na sangkap o nagdudulot ng sunog, baha, o pagsabog kapag ang layunin ng naturang pagkilos ay takutin ang pangkalahatang publiko o bahagi nito, lumikha ng pampublikong emergency, pilitin o takutin ang isang gobyerno o isang internasyonal organisasyon, o seryosong destabilize o sirain ang mga pangunahing istrukturang pampulitika, pang-ekonomiya o panlipunan ng isang bansa o na maaaring lumikha ng pampublikong sitwasyong pang-emergency.
**Mga pangunahing aspeto ng kahulugan:**
* **Layunin:** Ang kilos ay dapat na nilayon upang makamit ang isang partikular na resulta, tulad ng pagdudulot ng takot, pananakot, o pampublikong emergency.
* **Mga Target:** Ang mga target ay maaaring mga indibidwal, pasilidad ng gobyerno, pampublikong lugar, kritikal na imprastraktura, o ari-arian.
* **Mga Paraan:** Ang aksyon ay maaaring magsasangkot ng karahasan, mga pampasabog, mga sandata ng malawakang pagsira, o nagdudulot ng mga sakuna.
Tandaan, ito ay isang buod lamang. Ang buong Batas ay nagbibigay ng higit pang mga detalye at konteksto. Kung gusto mong matuto nang higit pa tungkol sa mga partikular na probisyon ng Anti-Terrorism Act, hindi ko maibibigay ang Batas nang direkta ngunit matutulungan kitang mahanap ito sa pamamagitan ng paghahanap sa web.</v>
      </c>
      <c r="F2264" s="2">
        <f t="shared" si="1"/>
        <v>0</v>
      </c>
      <c r="G2264" s="2"/>
      <c r="H2264" s="2"/>
      <c r="I2264" s="2"/>
      <c r="J2264" s="2"/>
      <c r="K2264" s="2"/>
      <c r="L2264" s="2"/>
      <c r="M2264" s="2"/>
      <c r="N2264" s="2"/>
      <c r="O2264" s="2"/>
      <c r="P2264" s="2"/>
      <c r="Q2264" s="2"/>
      <c r="R2264" s="2"/>
      <c r="S2264" s="2"/>
      <c r="T2264" s="2"/>
      <c r="U2264" s="2"/>
      <c r="V2264" s="2"/>
      <c r="W2264" s="2"/>
      <c r="X2264" s="2"/>
      <c r="Y2264" s="2"/>
      <c r="Z2264" s="2"/>
      <c r="AA2264" s="2"/>
    </row>
    <row r="2265">
      <c r="A2265" s="1" t="s">
        <v>5490</v>
      </c>
      <c r="B2265" s="1" t="s">
        <v>5495</v>
      </c>
      <c r="C2265" s="3" t="s">
        <v>5496</v>
      </c>
      <c r="D2265" s="2" t="str">
        <f>IFERROR(__xludf.DUMMYFUNCTION("GOOGLETRANSLATE(B2265, ""en"", ""TL"")"),"Anong mga legal na hakbang ang inilalagay upang maiwasan ang mga gawa ng terorismo?")</f>
        <v>Anong mga legal na hakbang ang inilalagay upang maiwasan ang mga gawa ng terorismo?</v>
      </c>
      <c r="E2265" s="2" t="str">
        <f>IFERROR(__xludf.DUMMYFUNCTION("GOOGLETRANSLATE(C2265, ""en"", ""TL"")"),"Ang Pilipinas ay may ilang mga legal na hakbang upang maiwasan ang mga gawa ng terorismo, kabilang ang:
**Mga Batas:**
* **Anti-Terrorism Act of 2020 (RA 11479):** * Ito ang pangunahing batas na nagbabalangkas sa mga paglabag sa terorismo, mga pamamaraan "&amp;"ng imbestigasyon, at ang paglikha ng Anti-Terrorism Council (ATC) para sa koordinasyon at pangangasiwa.
* Binibigyan nito ng kapangyarihan ang mga nagpapatupad ng batas na magsagawa ng pagsubaybay at pagsisiyasat na may kaugnayan sa mga pinaghihinalaang a"&amp;"ktibidad ng terorista.
* **Human Security Act of 2007 (RA 9372):** * Tinutukoy ng batas na ito ang terorismo at binabalangkas ang mga hakbang upang maiwasan ito, kabilang ang pangangalap ng paniktik, pagbabahagi ng impormasyon, at mga pagsisiyasat sa pana"&amp;"nalapi.
* **Terrorism Financing Prevention and Suppression Act of 2012 (RA 10168):** * Isinakriminal ng batas na ito ang pagpopondo ng terorismo at binibigyang kapangyarihan ang mga awtoridad na subaybayan at i-freeze ang mga pondo ng terorista.
* **Dange"&amp;"rous Drugs Act (RA 9165):** * Bagama't hindi direktang nauugnay sa terorismo, nakakatulong ang batas na ito na guluhin ang trafficking ng droga, na maaaring pagmulan ng pondo para sa mga teroristang organisasyon.
**Mga Ahensya ng Pamahalaan:**
* **Anti-Te"&amp;"rrorism Council (ATC):** Ang inter-agency body na ito ay nag-coordinate at nangangasiwa sa pagpapatupad ng mga patakaran at plano laban sa terorismo.
* **Philippine National Police (PNP):** Ang PNP ay may espesyal na yunit, ang Philippine National Police-"&amp;"Anti-Terrorism Task Force (PNP-ATTF), na nakatuon sa mga operasyon at imbestigasyon laban sa terorismo.
* **Armed Forces of the Philippines (AFP):** Ang AFP ay gumaganap ng papel sa pag-secure ng mga hangganan at pagtugon sa mga banta ng terorista.
**Iba "&amp;"pang Mga Panukala:**
* **International Cooperation:** Nakikipagtulungan ang Pilipinas sa ibang mga bansa sa pamamagitan ng pagbabahagi ng impormasyon at magkasanib na operasyon upang kontrahin ang pandaigdigang banta ng terorismo.
* **Pakikipag-ugnayan sa"&amp;" Komunidad:** Ang mga programa upang isulong ang edukasyong pangkapayapaan at tugunan ang mga ugat ng radicalization ay mahalaga para maiwasan ang terorismo.
**Mahahalagang Paalala:**
* Ito ay ilan lamang sa mga legal na hakbang na ipinatupad. Ang mga par"&amp;"tikular na batas at ahensyang kasangkot ay mag-iiba depende sa uri ng banta.
* Ang balanse sa pagitan ng pambansang seguridad at indibidwal na kalayaan ay isang kritikal na pagsasaalang-alang sa mga hakbang laban sa terorismo. Binibigyang-diin ng batas ng"&amp;" Pilipinas ang pagtataguyod ng karapatang pantao habang nilalabanan ang terorismo. **Disclaimer:** Ito ay isang pangkalahatang pangkalahatang-ideya. Para sa mas malalim na pagsusuri ng mga partikular na batas at pagpapatupad ng mga ito, inirerekomenda ang"&amp;" pagkonsulta sa isang abogado na dalubhasa sa batas ng pambansang seguridad.")</f>
        <v>Ang Pilipinas ay may ilang mga legal na hakbang upang maiwasan ang mga gawa ng terorismo, kabilang ang:
**Mga Batas:**
* **Anti-Terrorism Act of 2020 (RA 11479):** * Ito ang pangunahing batas na nagbabalangkas sa mga paglabag sa terorismo, mga pamamaraan ng imbestigasyon, at ang paglikha ng Anti-Terrorism Council (ATC) para sa koordinasyon at pangangasiwa.
* Binibigyan nito ng kapangyarihan ang mga nagpapatupad ng batas na magsagawa ng pagsubaybay at pagsisiyasat na may kaugnayan sa mga pinaghihinalaang aktibidad ng terorista.
* **Human Security Act of 2007 (RA 9372):** * Tinutukoy ng batas na ito ang terorismo at binabalangkas ang mga hakbang upang maiwasan ito, kabilang ang pangangalap ng paniktik, pagbabahagi ng impormasyon, at mga pagsisiyasat sa pananalapi.
* **Terrorism Financing Prevention and Suppression Act of 2012 (RA 10168):** * Isinakriminal ng batas na ito ang pagpopondo ng terorismo at binibigyang kapangyarihan ang mga awtoridad na subaybayan at i-freeze ang mga pondo ng terorista.
* **Dangerous Drugs Act (RA 9165):** * Bagama't hindi direktang nauugnay sa terorismo, nakakatulong ang batas na ito na guluhin ang trafficking ng droga, na maaaring pagmulan ng pondo para sa mga teroristang organisasyon.
**Mga Ahensya ng Pamahalaan:**
* **Anti-Terrorism Council (ATC):** Ang inter-agency body na ito ay nag-coordinate at nangangasiwa sa pagpapatupad ng mga patakaran at plano laban sa terorismo.
* **Philippine National Police (PNP):** Ang PNP ay may espesyal na yunit, ang Philippine National Police-Anti-Terrorism Task Force (PNP-ATTF), na nakatuon sa mga operasyon at imbestigasyon laban sa terorismo.
* **Armed Forces of the Philippines (AFP):** Ang AFP ay gumaganap ng papel sa pag-secure ng mga hangganan at pagtugon sa mga banta ng terorista.
**Iba pang Mga Panukala:**
* **International Cooperation:** Nakikipagtulungan ang Pilipinas sa ibang mga bansa sa pamamagitan ng pagbabahagi ng impormasyon at magkasanib na operasyon upang kontrahin ang pandaigdigang banta ng terorismo.
* **Pakikipag-ugnayan sa Komunidad:** Ang mga programa upang isulong ang edukasyong pangkapayapaan at tugunan ang mga ugat ng radicalization ay mahalaga para maiwasan ang terorismo.
**Mahahalagang Paalala:**
* Ito ay ilan lamang sa mga legal na hakbang na ipinatupad. Ang mga partikular na batas at ahensyang kasangkot ay mag-iiba depende sa uri ng banta.
* Ang balanse sa pagitan ng pambansang seguridad at indibidwal na kalayaan ay isang kritikal na pagsasaalang-alang sa mga hakbang laban sa terorismo. Binibigyang-diin ng batas ng Pilipinas ang pagtataguyod ng karapatang pantao habang nilalabanan ang terorismo. **Disclaimer:** Ito ay isang pangkalahatang pangkalahatang-ideya. Para sa mas malalim na pagsusuri ng mga partikular na batas at pagpapatupad ng mga ito, inirerekomenda ang pagkonsulta sa isang abogado na dalubhasa sa batas ng pambansang seguridad.</v>
      </c>
      <c r="F2265" s="2">
        <f t="shared" si="1"/>
        <v>0</v>
      </c>
      <c r="G2265" s="2"/>
      <c r="H2265" s="2"/>
      <c r="I2265" s="2"/>
      <c r="J2265" s="2"/>
      <c r="K2265" s="2"/>
      <c r="L2265" s="2"/>
      <c r="M2265" s="2"/>
      <c r="N2265" s="2"/>
      <c r="O2265" s="2"/>
      <c r="P2265" s="2"/>
      <c r="Q2265" s="2"/>
      <c r="R2265" s="2"/>
      <c r="S2265" s="2"/>
      <c r="T2265" s="2"/>
      <c r="U2265" s="2"/>
      <c r="V2265" s="2"/>
      <c r="W2265" s="2"/>
      <c r="X2265" s="2"/>
      <c r="Y2265" s="2"/>
      <c r="Z2265" s="2"/>
      <c r="AA2265" s="2"/>
    </row>
    <row r="2266">
      <c r="A2266" s="1" t="s">
        <v>5490</v>
      </c>
      <c r="B2266" s="1" t="s">
        <v>5497</v>
      </c>
      <c r="C2266" s="3" t="s">
        <v>5498</v>
      </c>
      <c r="D2266" s="2" t="str">
        <f>IFERROR(__xludf.DUMMYFUNCTION("GOOGLETRANSLATE(B2266, ""en"", ""TL"")"),"Paano itinalaga ang mga indibidwal bilang mga terorista ayon sa mga regulasyon ng Pilipinas?")</f>
        <v>Paano itinalaga ang mga indibidwal bilang mga terorista ayon sa mga regulasyon ng Pilipinas?</v>
      </c>
      <c r="E2266" s="2" t="str">
        <f>IFERROR(__xludf.DUMMYFUNCTION("GOOGLETRANSLATE(C2266, ""en"", ""TL"")"),"Ang pagtatalaga ng mga terorista sa Pilipinas ay isang kumplikadong proseso na nakabalangkas sa **Anti-Terrorism Act of 2020 (RA 11479)**. Narito ang isang breakdown ng mga pangunahing punto:
**Awtoridad sa Pagtatalaga:**
* Ang **Anti-Terrorism Council (A"&amp;"TC)** ay may awtoridad na magtalaga ng mga indibidwal at grupo bilang mga terorista. **Mga Pamantayan sa Pagtatalaga:**
Maaaring italaga ang mga indibidwal batay sa **dalawang pangunahing pamantayan**:
1. **Probable Cause:** Ang ATC ay maaaring magtalaga "&amp;"ng isang tao kung may probable cause para maniwala na sila ay nakagawa, nagtangkang gumawa, o nagsabwatan na gumawa ng alinman sa mga gawaing tinukoy bilang terorismo sa ilalim ng Seksyon 4 ng RA 11479 (sumangguni sa nakaraang sagot sa kahulugan ng terori"&amp;"smo).
2. **UN Designation:** Ang ATC ay maaaring magpatibay ng mga pagtatalaga na ginawa ng United Nations Security Council (UNSC) sa ilalim ng nauugnay na UN Security Council Resolutions (UNSCR) sa terorismo, kung ang iminungkahing itinalaga ay nakakatug"&amp;"on sa pamantayan ng mga resolusyong iyon.
**Proseso ng Pagtatalaga:**
Ang mga partikular na pamamaraan para sa pagtatalaga ay hindi available sa publiko dahil sa mga alalahanin sa pambansang seguridad. Gayunpaman, ang batas ay nagpapahiwatig ng ilang anta"&amp;"s ng angkop na proseso:
* **Para sa mga lokal na pagtatalaga:** Walang pagbanggit ng isang pormal na pagdinig bago ang pagtatalaga, ngunit ang mga hamon sa pagtatalaga ay pinapayagan sa korte (Seksyon 37 ng RA 11479).
* **Para sa mga pagtatalaga ng UN na "&amp;"pinagtibay ng Pilipinas:** Hindi tinukoy ng batas kung gaano kalapit ang pagsunod ng Pilipinas sa mga pamamaraan ng UNSCR, na maaaring may kasamang ilang uri ng paunawa at pagkakataong tumugon.
**Mahahalagang Pagsasaalang-alang:**
* Ang Anti-Terrorism Act"&amp;" ay binatikos dahil sa potensyal na pagpapagana ng mga pagtatalaga batay sa hindi sapat na ebidensya at kawalan ng mga pananggalang laban sa maling pagtatalaga (pinaghihiwalay ng pinagmulan dahil sa pagiging isang partikular na legal na kritika).
* Ipinas"&amp;"iya ng Korte Suprema na labag sa konstitusyon ang ilang probisyon ng batas, kabilang ang kapangyarihan ng ATC na magtalaga batay sa mga kahilingan mula sa ibang mga bansa nang hindi sinusunod ang mga wastong pamamaraan (pinigilan ang pinagmulan dahil sa p"&amp;"agiging partikular na legal na kaso).
**Rekomendasyon:**
Para sa isang mas komprehensibong pag-unawa sa proseso ng pagtatalaga at ang patuloy na legal na debate na nakapalibot dito, ang pagkonsulta sa isang abogado na dalubhasa sa batas ng pambansang segu"&amp;"ridad ay lubos na inirerekomenda.")</f>
        <v>Ang pagtatalaga ng mga terorista sa Pilipinas ay isang kumplikadong proseso na nakabalangkas sa **Anti-Terrorism Act of 2020 (RA 11479)**. Narito ang isang breakdown ng mga pangunahing punto:
**Awtoridad sa Pagtatalaga:**
* Ang **Anti-Terrorism Council (ATC)** ay may awtoridad na magtalaga ng mga indibidwal at grupo bilang mga terorista. **Mga Pamantayan sa Pagtatalaga:**
Maaaring italaga ang mga indibidwal batay sa **dalawang pangunahing pamantayan**:
1. **Probable Cause:** Ang ATC ay maaaring magtalaga ng isang tao kung may probable cause para maniwala na sila ay nakagawa, nagtangkang gumawa, o nagsabwatan na gumawa ng alinman sa mga gawaing tinukoy bilang terorismo sa ilalim ng Seksyon 4 ng RA 11479 (sumangguni sa nakaraang sagot sa kahulugan ng terorismo).
2. **UN Designation:** Ang ATC ay maaaring magpatibay ng mga pagtatalaga na ginawa ng United Nations Security Council (UNSC) sa ilalim ng nauugnay na UN Security Council Resolutions (UNSCR) sa terorismo, kung ang iminungkahing itinalaga ay nakakatugon sa pamantayan ng mga resolusyong iyon.
**Proseso ng Pagtatalaga:**
Ang mga partikular na pamamaraan para sa pagtatalaga ay hindi available sa publiko dahil sa mga alalahanin sa pambansang seguridad. Gayunpaman, ang batas ay nagpapahiwatig ng ilang antas ng angkop na proseso:
* **Para sa mga lokal na pagtatalaga:** Walang pagbanggit ng isang pormal na pagdinig bago ang pagtatalaga, ngunit ang mga hamon sa pagtatalaga ay pinapayagan sa korte (Seksyon 37 ng RA 11479).
* **Para sa mga pagtatalaga ng UN na pinagtibay ng Pilipinas:** Hindi tinukoy ng batas kung gaano kalapit ang pagsunod ng Pilipinas sa mga pamamaraan ng UNSCR, na maaaring may kasamang ilang uri ng paunawa at pagkakataong tumugon.
**Mahahalagang Pagsasaalang-alang:**
* Ang Anti-Terrorism Act ay binatikos dahil sa potensyal na pagpapagana ng mga pagtatalaga batay sa hindi sapat na ebidensya at kawalan ng mga pananggalang laban sa maling pagtatalaga (pinaghihiwalay ng pinagmulan dahil sa pagiging isang partikular na legal na kritika).
* Ipinasiya ng Korte Suprema na labag sa konstitusyon ang ilang probisyon ng batas, kabilang ang kapangyarihan ng ATC na magtalaga batay sa mga kahilingan mula sa ibang mga bansa nang hindi sinusunod ang mga wastong pamamaraan (pinigilan ang pinagmulan dahil sa pagiging partikular na legal na kaso).
**Rekomendasyon:**
Para sa isang mas komprehensibong pag-unawa sa proseso ng pagtatalaga at ang patuloy na legal na debate na nakapalibot dito, ang pagkonsulta sa isang abogado na dalubhasa sa batas ng pambansang seguridad ay lubos na inirerekomenda.</v>
      </c>
      <c r="F2266" s="2">
        <f t="shared" si="1"/>
        <v>0</v>
      </c>
      <c r="G2266" s="2"/>
      <c r="H2266" s="2"/>
      <c r="I2266" s="2"/>
      <c r="J2266" s="2"/>
      <c r="K2266" s="2"/>
      <c r="L2266" s="2"/>
      <c r="M2266" s="2"/>
      <c r="N2266" s="2"/>
      <c r="O2266" s="2"/>
      <c r="P2266" s="2"/>
      <c r="Q2266" s="2"/>
      <c r="R2266" s="2"/>
      <c r="S2266" s="2"/>
      <c r="T2266" s="2"/>
      <c r="U2266" s="2"/>
      <c r="V2266" s="2"/>
      <c r="W2266" s="2"/>
      <c r="X2266" s="2"/>
      <c r="Y2266" s="2"/>
      <c r="Z2266" s="2"/>
      <c r="AA2266" s="2"/>
    </row>
    <row r="2267">
      <c r="A2267" s="1" t="s">
        <v>5490</v>
      </c>
      <c r="B2267" s="1" t="s">
        <v>5499</v>
      </c>
      <c r="C2267" s="3" t="s">
        <v>5500</v>
      </c>
      <c r="D2267" s="2" t="str">
        <f>IFERROR(__xludf.DUMMYFUNCTION("GOOGLETRANSLATE(B2267, ""en"", ""TL"")"),"Anong mga parusa ang naaangkop para sa pagsasagawa ng mga gawain ng terorismo?")</f>
        <v>Anong mga parusa ang naaangkop para sa pagsasagawa ng mga gawain ng terorismo?</v>
      </c>
      <c r="E2267" s="2" t="str">
        <f>IFERROR(__xludf.DUMMYFUNCTION("GOOGLETRANSLATE(C2267, ""en"", ""TL"")"),"Ang mga parusa para sa pagsasagawa ng mga gawain ng terorismo sa Pilipinas ay malubha, gaya ng nakabalangkas sa **Anti-Terrorism Act of 2020 (RA 11479)**. Narito ang isang breakdown ng mga pangunahing kategorya:
**Pangunahing Parusa:**
* **Habambuhay na p"&amp;"agkakakulong nang walang parol:** Ito ang pinakamatinding parusa at nalalapat sa mga gumawa ng terorismo gaya ng tinukoy sa ilalim ng Seksyon 4 ng RA 11479 (sumangguni sa nakaraang sagot sa kahulugan ng terorismo).
**Iba pang mga Parusa:**
* **Reclusion p"&amp;"erpetua (habang buhay na pagkakakulong) hanggang 40 taong pagkakakulong:** Nalalapat ito sa mga pagkakasala na nauugnay sa:
* Pagsasabwatan para gumawa ng terorismo (Seksyon 7)
* Panukala sa paggawa ng terorismo (Seksyon 8)
* Pag-uudyok ng terorismo (Seks"&amp;"yon 10)
* Pagbabanta na gumawa ng terorismo (Seksyon 11)
* Pagbibigay ng materyal na suporta sa mga terorista (Seksyon 13)
* **12 taong pagkakakulong hanggang habambuhay na pagkakakulong:** Nalalapat ito sa:
* Kusang-loob at sadyang pagsali sa isang organ"&amp;"isasyong terorista (Seksyon 9)
* Kumikilos bilang isang accessory sa komisyon ng terorismo (Seksyon 14)
* **Iba pang mga Parusa:** Ang batas ay nag-uutos ng mga karagdagang parusa para sa pagpopondo sa terorismo, pag-recruit ng mga miyembro para sa mga te"&amp;"roristang grupo, at iba pang nauugnay na mga pagkakasala.
**Mahahalagang Paalala:**
* Ang tiyak na parusa na ipapataw ay depende sa uri at kalubhaan ng pagkakasala, kasama ang pagpapasya ng hukuman.
* Ang Anti-Terrorism Act ay binatikos dahil sa malawak n"&amp;"a kahulugan nito ng terorismo, na pinagtatalunan ng ilan ay maaaring humantong sa hindi makatarungang pag-uusig (pinaghihiwalay ng source dahil sa pagiging isang partikular na legal na kritika).
**Rekomendasyon:**
Para sa isang mas malalim na pag-unawa sa"&amp;" mga parusa para sa mga partikular na gawaing terorista at ang patuloy na legal na debate na nakapalibot sa Batas, ang pagkonsulta sa isang abogadong nag-specialize sa batas kriminal at batas sa pambansang seguridad ay lubos na inirerekomenda.")</f>
        <v>Ang mga parusa para sa pagsasagawa ng mga gawain ng terorismo sa Pilipinas ay malubha, gaya ng nakabalangkas sa **Anti-Terrorism Act of 2020 (RA 11479)**. Narito ang isang breakdown ng mga pangunahing kategorya:
**Pangunahing Parusa:**
* **Habambuhay na pagkakakulong nang walang parol:** Ito ang pinakamatinding parusa at nalalapat sa mga gumawa ng terorismo gaya ng tinukoy sa ilalim ng Seksyon 4 ng RA 11479 (sumangguni sa nakaraang sagot sa kahulugan ng terorismo).
**Iba pang mga Parusa:**
* **Reclusion perpetua (habang buhay na pagkakakulong) hanggang 40 taong pagkakakulong:** Nalalapat ito sa mga pagkakasala na nauugnay sa:
* Pagsasabwatan para gumawa ng terorismo (Seksyon 7)
* Panukala sa paggawa ng terorismo (Seksyon 8)
* Pag-uudyok ng terorismo (Seksyon 10)
* Pagbabanta na gumawa ng terorismo (Seksyon 11)
* Pagbibigay ng materyal na suporta sa mga terorista (Seksyon 13)
* **12 taong pagkakakulong hanggang habambuhay na pagkakakulong:** Nalalapat ito sa:
* Kusang-loob at sadyang pagsali sa isang organisasyong terorista (Seksyon 9)
* Kumikilos bilang isang accessory sa komisyon ng terorismo (Seksyon 14)
* **Iba pang mga Parusa:** Ang batas ay nag-uutos ng mga karagdagang parusa para sa pagpopondo sa terorismo, pag-recruit ng mga miyembro para sa mga teroristang grupo, at iba pang nauugnay na mga pagkakasala.
**Mahahalagang Paalala:**
* Ang tiyak na parusa na ipapataw ay depende sa uri at kalubhaan ng pagkakasala, kasama ang pagpapasya ng hukuman.
* Ang Anti-Terrorism Act ay binatikos dahil sa malawak na kahulugan nito ng terorismo, na pinagtatalunan ng ilan ay maaaring humantong sa hindi makatarungang pag-uusig (pinaghihiwalay ng source dahil sa pagiging isang partikular na legal na kritika).
**Rekomendasyon:**
Para sa isang mas malalim na pag-unawa sa mga parusa para sa mga partikular na gawaing terorista at ang patuloy na legal na debate na nakapalibot sa Batas, ang pagkonsulta sa isang abogadong nag-specialize sa batas kriminal at batas sa pambansang seguridad ay lubos na inirerekomenda.</v>
      </c>
      <c r="F2267" s="2">
        <f t="shared" si="1"/>
        <v>0</v>
      </c>
      <c r="G2267" s="2"/>
      <c r="H2267" s="2"/>
      <c r="I2267" s="2"/>
      <c r="J2267" s="2"/>
      <c r="K2267" s="2"/>
      <c r="L2267" s="2"/>
      <c r="M2267" s="2"/>
      <c r="N2267" s="2"/>
      <c r="O2267" s="2"/>
      <c r="P2267" s="2"/>
      <c r="Q2267" s="2"/>
      <c r="R2267" s="2"/>
      <c r="S2267" s="2"/>
      <c r="T2267" s="2"/>
      <c r="U2267" s="2"/>
      <c r="V2267" s="2"/>
      <c r="W2267" s="2"/>
      <c r="X2267" s="2"/>
      <c r="Y2267" s="2"/>
      <c r="Z2267" s="2"/>
      <c r="AA2267" s="2"/>
    </row>
    <row r="2268">
      <c r="A2268" s="1" t="s">
        <v>5490</v>
      </c>
      <c r="B2268" s="1" t="s">
        <v>5501</v>
      </c>
      <c r="C2268" s="3" t="s">
        <v>5502</v>
      </c>
      <c r="D2268" s="2" t="str">
        <f>IFERROR(__xludf.DUMMYFUNCTION("GOOGLETRANSLATE(B2268, ""en"", ""TL"")"),"Paano tinutugunan ng batas ng Pilipinas ang pagpopondo at suporta para sa mga aktibidad ng terorista?")</f>
        <v>Paano tinutugunan ng batas ng Pilipinas ang pagpopondo at suporta para sa mga aktibidad ng terorista?</v>
      </c>
      <c r="E2268" s="2" t="str">
        <f>IFERROR(__xludf.DUMMYFUNCTION("GOOGLETRANSLATE(C2268, ""en"", ""TL"")"),"Matibay ang paninindigan ng batas ng Pilipinas laban sa pagpopondo at pagsuporta sa mga aktibidad ng terorista. Narito ang isang breakdown ng mga pangunahing legal na hakbang:
**Pangunahing Batas:**
* **Terrorism Financing Prevention and Suppression Act o"&amp;"f 2012 (RA 10168):** Isinakriminal ng batas na ito ang pagpopondo ng terorismo at binibigyang kapangyarihan ang mga awtoridad na subaybayan at i-freeze ang mga pondo ng terorista. **Mga Pangunahing Probisyon:**
* **Pagpopondo ng Terorismo:** Tinutukoy ng "&amp;"batas ang iba't ibang paraan kung paano maaaring mangyari ang pagpopondo, kabilang ang pagbibigay ng mga pondo, ari-arian, o mga serbisyo nang direkta sa isang teroristang organisasyon, isang taong nagpaplano ng isang gawaing terorista, o isang taong kumi"&amp;"kilos para sa kanila (Seksyon 4).
* **Materyal na Suporta:** Ang pagbibigay ng logistical o teknolohikal na suporta, tulad ng pagsasanay o armas, ay maaari ding ituring na pagpopondo ng terorismo (Seksyon 4).
* **Pagyeyelo at Pag-alis ng mga Asset:** Ang "&amp;"batas ay nagpapahintulot sa mga awtoridad na i-freeze ang mga ari-arian ng mga pinaghihinalaang terorista at teroristang organisasyon (Seksyon 11). Ang mga nakumpiskang ari-arian ay maaaring ma-forfeit sa gobyerno (Seksyon 12).
* **Pagsisiyasat at Pag-uus"&amp;"ig:** Ang Konseho ng Anti-Money Laundering (AMLC) ay ang pangunahing ahensyang responsable sa pag-iimbestiga at pag-uusig sa mga kaso ng pagpopondo ng terorismo (Seksyon 14). Nakikipagtulungan sila sa mga ahensyang nagpapatupad ng batas tulad ng Philippin"&amp;"e National Police (PNP).
**Mga Karagdagang Panukala:**
* **Anti-Terrorism Act of 2020 (RA 11479):** Ang batas na ito ay nagpapatibay sa paglaban sa pagpopondo sa terorismo sa pamamagitan ng pagtatalaga ng mga indibidwal at grupong sumusuporta sa terorismo"&amp;" (Seksyon 25).
**Mahahalagang Paalala:**
* Ang kahulugan ng ""pagpopondo ng terorismo"" ay malawak at maaaring sumaklaw sa isang hanay ng mga aktibidad. * Ang batas ay nagbibigay-diin sa internasyonal na kooperasyon sa paglaban sa pagpopondo ng terorista "&amp;"(Seksyon 18).
* Ang balanse sa pagitan ng pambansang seguridad at mga karapatan ng indibidwal ay isang pagsasaalang-alang. Ang batas ay nangangailangan ng angkop na proseso sa mga pagsisiyasat at pag-uusig.
**Mga Rekomendasyon:**
Para sa isang mas malalim"&amp;" na pagsusuri ng mga partikular na aspeto ng pagpopondo sa terorismo at ang mga legal na pamamaraang kasangkot, ang pagkonsulta sa isang abogado na dalubhasa sa mga krimen sa pananalapi o batas sa pambansang seguridad ay inirerekomenda.")</f>
        <v>Matibay ang paninindigan ng batas ng Pilipinas laban sa pagpopondo at pagsuporta sa mga aktibidad ng terorista. Narito ang isang breakdown ng mga pangunahing legal na hakbang:
**Pangunahing Batas:**
* **Terrorism Financing Prevention and Suppression Act of 2012 (RA 10168):** Isinakriminal ng batas na ito ang pagpopondo ng terorismo at binibigyang kapangyarihan ang mga awtoridad na subaybayan at i-freeze ang mga pondo ng terorista. **Mga Pangunahing Probisyon:**
* **Pagpopondo ng Terorismo:** Tinutukoy ng batas ang iba't ibang paraan kung paano maaaring mangyari ang pagpopondo, kabilang ang pagbibigay ng mga pondo, ari-arian, o mga serbisyo nang direkta sa isang teroristang organisasyon, isang taong nagpaplano ng isang gawaing terorista, o isang taong kumikilos para sa kanila (Seksyon 4).
* **Materyal na Suporta:** Ang pagbibigay ng logistical o teknolohikal na suporta, tulad ng pagsasanay o armas, ay maaari ding ituring na pagpopondo ng terorismo (Seksyon 4).
* **Pagyeyelo at Pag-alis ng mga Asset:** Ang batas ay nagpapahintulot sa mga awtoridad na i-freeze ang mga ari-arian ng mga pinaghihinalaang terorista at teroristang organisasyon (Seksyon 11). Ang mga nakumpiskang ari-arian ay maaaring ma-forfeit sa gobyerno (Seksyon 12).
* **Pagsisiyasat at Pag-uusig:** Ang Konseho ng Anti-Money Laundering (AMLC) ay ang pangunahing ahensyang responsable sa pag-iimbestiga at pag-uusig sa mga kaso ng pagpopondo ng terorismo (Seksyon 14). Nakikipagtulungan sila sa mga ahensyang nagpapatupad ng batas tulad ng Philippine National Police (PNP).
**Mga Karagdagang Panukala:**
* **Anti-Terrorism Act of 2020 (RA 11479):** Ang batas na ito ay nagpapatibay sa paglaban sa pagpopondo sa terorismo sa pamamagitan ng pagtatalaga ng mga indibidwal at grupong sumusuporta sa terorismo (Seksyon 25).
**Mahahalagang Paalala:**
* Ang kahulugan ng "pagpopondo ng terorismo" ay malawak at maaaring sumaklaw sa isang hanay ng mga aktibidad. * Ang batas ay nagbibigay-diin sa internasyonal na kooperasyon sa paglaban sa pagpopondo ng terorista (Seksyon 18).
* Ang balanse sa pagitan ng pambansang seguridad at mga karapatan ng indibidwal ay isang pagsasaalang-alang. Ang batas ay nangangailangan ng angkop na proseso sa mga pagsisiyasat at pag-uusig.
**Mga Rekomendasyon:**
Para sa isang mas malalim na pagsusuri ng mga partikular na aspeto ng pagpopondo sa terorismo at ang mga legal na pamamaraang kasangkot, ang pagkonsulta sa isang abogado na dalubhasa sa mga krimen sa pananalapi o batas sa pambansang seguridad ay inirerekomenda.</v>
      </c>
      <c r="F2268" s="2">
        <f t="shared" si="1"/>
        <v>0</v>
      </c>
      <c r="G2268" s="2"/>
      <c r="H2268" s="2"/>
      <c r="I2268" s="2"/>
      <c r="J2268" s="2"/>
      <c r="K2268" s="2"/>
      <c r="L2268" s="2"/>
      <c r="M2268" s="2"/>
      <c r="N2268" s="2"/>
      <c r="O2268" s="2"/>
      <c r="P2268" s="2"/>
      <c r="Q2268" s="2"/>
      <c r="R2268" s="2"/>
      <c r="S2268" s="2"/>
      <c r="T2268" s="2"/>
      <c r="U2268" s="2"/>
      <c r="V2268" s="2"/>
      <c r="W2268" s="2"/>
      <c r="X2268" s="2"/>
      <c r="Y2268" s="2"/>
      <c r="Z2268" s="2"/>
      <c r="AA2268" s="2"/>
    </row>
    <row r="2269">
      <c r="A2269" s="1" t="s">
        <v>5490</v>
      </c>
      <c r="B2269" s="1" t="s">
        <v>5503</v>
      </c>
      <c r="C2269" s="3" t="s">
        <v>5504</v>
      </c>
      <c r="D2269" s="2" t="str">
        <f>IFERROR(__xludf.DUMMYFUNCTION("GOOGLETRANSLATE(B2269, ""en"", ""TL"")"),"Anong mga legal na probisyon ang namamahala sa pagyeyelo at pag-alis ng mga ari-arian na nauugnay sa terorismo?")</f>
        <v>Anong mga legal na probisyon ang namamahala sa pagyeyelo at pag-alis ng mga ari-arian na nauugnay sa terorismo?</v>
      </c>
      <c r="E2269" s="2" t="str">
        <f>IFERROR(__xludf.DUMMYFUNCTION("GOOGLETRANSLATE(C2269, ""en"", ""TL"")"),"Ang mga pangunahing legal na probisyon na namamahala sa pagyeyelo at pag-alis ng mga ari-arian na may kaugnayan sa terorismo sa Pilipinas ay nagmula sa dalawang pangunahing batas:
**1. Terrorism Financing Prevention and Suppression Act of 2012 (RA 10168):"&amp;"**
* **Seksyon 11: Pagyeyelo ng Mga Asset:**
* Binibigyan nito ng kapangyarihan ang Anti-Money Laundering Council (AMLC), alinman sa sarili nitong inisyatiba o sa kahilingan ng Anti-Terrorism Council (ATC), na mag-isyu ng ex parte na order para i-freeze a"&amp;"ng ari-arian o mga pondong pinaghihinalaang:
* Sa anumang paraan na nauugnay sa pagpopondo ng terorismo o mga gawa ng terorismo.
* Pag-aari ng sinumang tao, grupo ng mga tao, o organisasyong terorista na nakalista sa ilalim ng UN Security Council Resoluti"&amp;"ons on terrorism financing.
* Ang freeze order ay may bisa sa maximum na 20 araw, na maaaring palawigin ng isa pang 20 araw pagkatapos ng petisyon sa Court of Appeals (Seksyon 11(c)).
* **Seksyon 12: Forfeiture of Assets:**
* Kung, pagkatapos ng pagsisiya"&amp;"sat, ang ari-arian o mga pondo ay napatunayang nauugnay sa pagpopondo ng terorismo, ang AMLC ay maaaring magsampa ng kasong civil forfeiture sa Court of Appeals (Seksyon 12(a)).
* Sa panahon ng paglilitis sa forfeiture, maaaring iutos ng korte ang patuloy"&amp;" na pag-freeze ng mga ari-arian hanggang sa maabot ang isang pinal na desisyon (Seksyon 12(b)).
* Kung ang hukuman ay nagpasya na pabor sa forfeiture, ang mga ari-arian ay magiging Eigentum (pag-aari) ng pamahalaan (Seksyon 12(d)).
**2. Implementing Rules"&amp;" and Regulations of Republic Act No. 10168 (AMLC Issuance):**
Ang mga panuntunang ito ay nagbibigay ng mas partikular na mga detalye sa proseso ng pagyeyelo at pag-forfeiture, kabilang ang:
* Mga pamamaraan para sa paghiling ng freeze order
* Abiso ang mg"&amp;"a kinakailangan para sa mga partidong apektado ng freeze order
* Mga pamamaraan para sa paghahain ng kasong civil forfeiture sa Court of Appeals
* Kailangan ng ebidensya upang patunayan ang koneksyon ng mga asset sa pagpopondo ng terorismo
**Mahahalagang "&amp;"Paalala:**
* **Nararapat na Proseso:** Ang naagrabyado na partido ay may karapatang hamunin ang utos ng pag-freeze sa loob ng 20 araw bago ang Court of Appeals (Seksyon 11(d) ng RA 10168).
* **International Cooperation:** Nakikipagtulungan ang Pilipinas s"&amp;"a ibang mga bansa sa pagyeyelo at pag-alis ng mga ari-arian na nauugnay sa internasyonal na pagpopondo ng terorismo.
* **Anti-Terrorism Act of 2020 (RA 11479):** Bagama't hindi direktang nakatutok sa pagyeyelo at forfeiture, pinalalakas ng Batas na ito an"&amp;"g paglaban sa pagpopondo sa terorismo sa pamamagitan ng pagtatalaga ng mga indibidwal at grupong sumusuporta sa terorismo (Section 25), na maaaring humantong sa asset mga hakbang sa pagyeyelo.
**Rekomendasyon:**
Para sa isang mas komprehensibong pag-unawa"&amp;" sa mga masalimuot na pamamaraan ng pagyeyelo at pag-forfeiture, kabilang ang mga partikular na kinakailangan at mga legal na hamon, ang pagkonsulta sa isang abogado na dalubhasa sa mga krimen sa pananalapi o pagbawi ng asset ay lubos na inirerekomenda.")</f>
        <v>Ang mga pangunahing legal na probisyon na namamahala sa pagyeyelo at pag-alis ng mga ari-arian na may kaugnayan sa terorismo sa Pilipinas ay nagmula sa dalawang pangunahing batas:
**1. Terrorism Financing Prevention and Suppression Act of 2012 (RA 10168):**
* **Seksyon 11: Pagyeyelo ng Mga Asset:**
* Binibigyan nito ng kapangyarihan ang Anti-Money Laundering Council (AMLC), alinman sa sarili nitong inisyatiba o sa kahilingan ng Anti-Terrorism Council (ATC), na mag-isyu ng ex parte na order para i-freeze ang ari-arian o mga pondong pinaghihinalaang:
* Sa anumang paraan na nauugnay sa pagpopondo ng terorismo o mga gawa ng terorismo.
* Pag-aari ng sinumang tao, grupo ng mga tao, o organisasyong terorista na nakalista sa ilalim ng UN Security Council Resolutions on terrorism financing.
* Ang freeze order ay may bisa sa maximum na 20 araw, na maaaring palawigin ng isa pang 20 araw pagkatapos ng petisyon sa Court of Appeals (Seksyon 11(c)).
* **Seksyon 12: Forfeiture of Assets:**
* Kung, pagkatapos ng pagsisiyasat, ang ari-arian o mga pondo ay napatunayang nauugnay sa pagpopondo ng terorismo, ang AMLC ay maaaring magsampa ng kasong civil forfeiture sa Court of Appeals (Seksyon 12(a)).
* Sa panahon ng paglilitis sa forfeiture, maaaring iutos ng korte ang patuloy na pag-freeze ng mga ari-arian hanggang sa maabot ang isang pinal na desisyon (Seksyon 12(b)).
* Kung ang hukuman ay nagpasya na pabor sa forfeiture, ang mga ari-arian ay magiging Eigentum (pag-aari) ng pamahalaan (Seksyon 12(d)).
**2. Implementing Rules and Regulations of Republic Act No. 10168 (AMLC Issuance):**
Ang mga panuntunang ito ay nagbibigay ng mas partikular na mga detalye sa proseso ng pagyeyelo at pag-forfeiture, kabilang ang:
* Mga pamamaraan para sa paghiling ng freeze order
* Abiso ang mga kinakailangan para sa mga partidong apektado ng freeze order
* Mga pamamaraan para sa paghahain ng kasong civil forfeiture sa Court of Appeals
* Kailangan ng ebidensya upang patunayan ang koneksyon ng mga asset sa pagpopondo ng terorismo
**Mahahalagang Paalala:**
* **Nararapat na Proseso:** Ang naagrabyado na partido ay may karapatang hamunin ang utos ng pag-freeze sa loob ng 20 araw bago ang Court of Appeals (Seksyon 11(d) ng RA 10168).
* **International Cooperation:** Nakikipagtulungan ang Pilipinas sa ibang mga bansa sa pagyeyelo at pag-alis ng mga ari-arian na nauugnay sa internasyonal na pagpopondo ng terorismo.
* **Anti-Terrorism Act of 2020 (RA 11479):** Bagama't hindi direktang nakatutok sa pagyeyelo at forfeiture, pinalalakas ng Batas na ito ang paglaban sa pagpopondo sa terorismo sa pamamagitan ng pagtatalaga ng mga indibidwal at grupong sumusuporta sa terorismo (Section 25), na maaaring humantong sa asset mga hakbang sa pagyeyelo.
**Rekomendasyon:**
Para sa isang mas komprehensibong pag-unawa sa mga masalimuot na pamamaraan ng pagyeyelo at pag-forfeiture, kabilang ang mga partikular na kinakailangan at mga legal na hamon, ang pagkonsulta sa isang abogado na dalubhasa sa mga krimen sa pananalapi o pagbawi ng asset ay lubos na inirerekomenda.</v>
      </c>
      <c r="F2269" s="2">
        <f t="shared" si="1"/>
        <v>0</v>
      </c>
      <c r="G2269" s="2"/>
      <c r="H2269" s="2"/>
      <c r="I2269" s="2"/>
      <c r="J2269" s="2"/>
      <c r="K2269" s="2"/>
      <c r="L2269" s="2"/>
      <c r="M2269" s="2"/>
      <c r="N2269" s="2"/>
      <c r="O2269" s="2"/>
      <c r="P2269" s="2"/>
      <c r="Q2269" s="2"/>
      <c r="R2269" s="2"/>
      <c r="S2269" s="2"/>
      <c r="T2269" s="2"/>
      <c r="U2269" s="2"/>
      <c r="V2269" s="2"/>
      <c r="W2269" s="2"/>
      <c r="X2269" s="2"/>
      <c r="Y2269" s="2"/>
      <c r="Z2269" s="2"/>
      <c r="AA2269" s="2"/>
    </row>
    <row r="2270">
      <c r="A2270" s="1" t="s">
        <v>5490</v>
      </c>
      <c r="B2270" s="1" t="s">
        <v>5505</v>
      </c>
      <c r="C2270" s="3" t="s">
        <v>5506</v>
      </c>
      <c r="D2270" s="2" t="str">
        <f>IFERROR(__xludf.DUMMYFUNCTION("GOOGLETRANSLATE(B2270, ""en"", ""TL"")"),"Paano kinokontrol at pinaparusahan ang krimen ng recruitment sa mga teroristang organisasyon?")</f>
        <v>Paano kinokontrol at pinaparusahan ang krimen ng recruitment sa mga teroristang organisasyon?</v>
      </c>
      <c r="E2270" s="2" t="str">
        <f>IFERROR(__xludf.DUMMYFUNCTION("GOOGLETRANSLATE(C2270, ""en"", ""TL"")"),"Sineseryoso ng batas ng Pilipinas ang recruitment para sa mga teroristang organisasyon. Narito kung paano ito tinutugunan:
**Pangunahing Batas:**
* **Human Security Act of 2007 (RA 9372):** Tinutukoy ng batas na ito ang terorismo at binabalangkas ang mga "&amp;"hakbang upang maiwasan ito, kabilang ang pagkriminalisa sa pangangalap ng mga indibidwal para sa mga aktibidad ng terorista (Seksyon 19).
* **Anti-Terrorism Act of 2020 (RA 11479):** Pinalalakas ng Batas na ito ang mga hakbang laban sa terorismo, kabilang"&amp;" ang recruitment. Narito ang mga pangunahing punto:
* **Seksyon 9:** Ang boluntaryo at sadyang pagsali sa isang teroristang organisasyon ay may parusang 12 taon hanggang habambuhay na pagkakakulong. Ito ay nagpapahiwatig na ang aktibong pag-recruit ng iba"&amp;" ay maaari ding maparusahan.
* **Seksyon 25:** Ang pagtatalaga ng mga indibidwal at grupo na sumusuporta sa terorismo ay maaaring maging batayan para sa pagsisiyasat at pag-uusig, na posibleng kabilang ang mga aktibidad sa pangangalap.
**Ibang Kaugnay na "&amp;"Batas:**
* **Revised Penal Code (RPC):** Bagama't hindi partikular na nakatuon sa terorismo, maaaring gamitin ang RPC kasabay ng mga batas sa itaas. Halimbawa, ang Article 144 on Inciting to Rebellion ay maaaring ilapat kung ang recruitment ay nagsasangko"&amp;"t ng paghikayat sa armadong pag-aalsa laban sa gobyerno (source: Revised Penal Code of the Philippines).
**Mga Parusa:**
* Ang tiyak na parusa para sa recruitment ay depende sa mga probisyon na ginamit para sa pag-uusig (RA 9372 o RA 11479) at sa pagpapas"&amp;"ya ng korte. Ito ay maaaring mula sa 12 taong pagkakakulong hanggang habambuhay na pagkakakulong.
**Mahahalagang Pagsasaalang-alang:**
* Ang kahulugan ng ""recruitment"" sa konteksto ng terorismo ay maaaring malawak at maaaring sumasaklaw sa iba't ibang a"&amp;"ktibidad, tulad ng pag-uudyok sa isang tao na sumali sa isang teroristang grupo, pagbibigay ng pagsasanay o mga mapagkukunan, o pagpapadali sa paglalakbay upang sumali sa isang teroristang organisasyon sa ibang bansa.
* Maaaring may patuloy na legal na de"&amp;"bate na nakapalibot sa mga partikular na elemento na bumubuo ng ""recruitment"" at ang antas ng ebidensya na kailangan para sa pag-uusig. **Mga Rekomendasyon:**
Para sa isang mas nuanced na pag-unawa sa kung paano tinukoy at inuusig ang recruitment sa ila"&amp;"lim ng batas ng Pilipinas, ang pagkonsulta sa isang abogado na dalubhasa sa batas ng pambansang seguridad o batas ng kriminal ay lubos na inirerekomenda.")</f>
        <v>Sineseryoso ng batas ng Pilipinas ang recruitment para sa mga teroristang organisasyon. Narito kung paano ito tinutugunan:
**Pangunahing Batas:**
* **Human Security Act of 2007 (RA 9372):** Tinutukoy ng batas na ito ang terorismo at binabalangkas ang mga hakbang upang maiwasan ito, kabilang ang pagkriminalisa sa pangangalap ng mga indibidwal para sa mga aktibidad ng terorista (Seksyon 19).
* **Anti-Terrorism Act of 2020 (RA 11479):** Pinalalakas ng Batas na ito ang mga hakbang laban sa terorismo, kabilang ang recruitment. Narito ang mga pangunahing punto:
* **Seksyon 9:** Ang boluntaryo at sadyang pagsali sa isang teroristang organisasyon ay may parusang 12 taon hanggang habambuhay na pagkakakulong. Ito ay nagpapahiwatig na ang aktibong pag-recruit ng iba ay maaari ding maparusahan.
* **Seksyon 25:** Ang pagtatalaga ng mga indibidwal at grupo na sumusuporta sa terorismo ay maaaring maging batayan para sa pagsisiyasat at pag-uusig, na posibleng kabilang ang mga aktibidad sa pangangalap.
**Ibang Kaugnay na Batas:**
* **Revised Penal Code (RPC):** Bagama't hindi partikular na nakatuon sa terorismo, maaaring gamitin ang RPC kasabay ng mga batas sa itaas. Halimbawa, ang Article 144 on Inciting to Rebellion ay maaaring ilapat kung ang recruitment ay nagsasangkot ng paghikayat sa armadong pag-aalsa laban sa gobyerno (source: Revised Penal Code of the Philippines).
**Mga Parusa:**
* Ang tiyak na parusa para sa recruitment ay depende sa mga probisyon na ginamit para sa pag-uusig (RA 9372 o RA 11479) at sa pagpapasya ng korte. Ito ay maaaring mula sa 12 taong pagkakakulong hanggang habambuhay na pagkakakulong.
**Mahahalagang Pagsasaalang-alang:**
* Ang kahulugan ng "recruitment" sa konteksto ng terorismo ay maaaring malawak at maaaring sumasaklaw sa iba't ibang aktibidad, tulad ng pag-uudyok sa isang tao na sumali sa isang teroristang grupo, pagbibigay ng pagsasanay o mga mapagkukunan, o pagpapadali sa paglalakbay upang sumali sa isang teroristang organisasyon sa ibang bansa.
* Maaaring may patuloy na legal na debate na nakapalibot sa mga partikular na elemento na bumubuo ng "recruitment" at ang antas ng ebidensya na kailangan para sa pag-uusig. **Mga Rekomendasyon:**
Para sa isang mas nuanced na pag-unawa sa kung paano tinukoy at inuusig ang recruitment sa ilalim ng batas ng Pilipinas, ang pagkonsulta sa isang abogado na dalubhasa sa batas ng pambansang seguridad o batas ng kriminal ay lubos na inirerekomenda.</v>
      </c>
      <c r="F2270" s="2">
        <f t="shared" si="1"/>
        <v>0</v>
      </c>
      <c r="G2270" s="2"/>
      <c r="H2270" s="2"/>
      <c r="I2270" s="2"/>
      <c r="J2270" s="2"/>
      <c r="K2270" s="2"/>
      <c r="L2270" s="2"/>
      <c r="M2270" s="2"/>
      <c r="N2270" s="2"/>
      <c r="O2270" s="2"/>
      <c r="P2270" s="2"/>
      <c r="Q2270" s="2"/>
      <c r="R2270" s="2"/>
      <c r="S2270" s="2"/>
      <c r="T2270" s="2"/>
      <c r="U2270" s="2"/>
      <c r="V2270" s="2"/>
      <c r="W2270" s="2"/>
      <c r="X2270" s="2"/>
      <c r="Y2270" s="2"/>
      <c r="Z2270" s="2"/>
      <c r="AA2270" s="2"/>
    </row>
    <row r="2271">
      <c r="A2271" s="1" t="s">
        <v>5490</v>
      </c>
      <c r="B2271" s="1" t="s">
        <v>5507</v>
      </c>
      <c r="C2271" s="3" t="s">
        <v>5508</v>
      </c>
      <c r="D2271" s="2" t="str">
        <f>IFERROR(__xludf.DUMMYFUNCTION("GOOGLETRANSLATE(B2271, ""en"", ""TL"")"),"Anong mga hakbang ang inilalagay upang maiwasan ang paggamit ng mga sandata ng malawakang pagsira para sa mga layunin ng terorista?")</f>
        <v>Anong mga hakbang ang inilalagay upang maiwasan ang paggamit ng mga sandata ng malawakang pagsira para sa mga layunin ng terorista?</v>
      </c>
      <c r="E2271" s="2" t="str">
        <f>IFERROR(__xludf.DUMMYFUNCTION("GOOGLETRANSLATE(C2271, ""en"", ""TL"")"),"Ang Pilipinas ay nagpapatupad ng ilang mga hakbang upang maiwasan ang paggamit ng Weapons of Mass Destruction (WMDs) para sa mga layunin ng terorista. Narito ang isang breakdown ng ilang mga pangunahing diskarte:
**Internasyonal na Kooperasyon:**
* Ang Pi"&amp;"lipinas ay lumagda sa iba't ibang internasyonal na kasunduan na nagtataguyod ng pandaigdigang hindi paglaganap at kontrol ng mga WMD, kabilang ang:
* Treaty on the Non-Proliferation of Nuclear Weapons (NPT)
* Chemical Weapons Convention (CWC)
* Biological"&amp;" Weapons Convention (BWC)
* Ang mga kasunduan na ito ay nangangailangan ng mga miyembrong estado na pigilan ang pagkalat ng mga WMD at mga kaugnay na materyales, makipagtulungan sa mapayapang paggamit ng enerhiyang nuklear, at magtatag ng mga pambansang h"&amp;"akbang para sa kontrol at pagsubaybay.
**Pambansang Batas:**
* **Republic Act No. 10173 (Chemical Weapons Convention Implementing Act):** Ipinagbabawal ng batas na ito ang pagbuo, paggawa, pagkuha, pag-iimbak, paglilipat, o paggamit ng mga kemikal na arma"&amp;"s. Ipinag-uutos din nito ang paglikha ng isang pambansang awtoridad upang ipatupad ang CWC.
* **Republic Act No. 10698 (Act to Enhance Philippine Capacity to Prevent, Detect, and Responsed to Biological Threats):** Pinalalakas ng batas na ito ang mga hakb"&amp;"ang sa biosecurity upang maiwasan ang maling paggamit ng mga biological agent at toxins para sa malisyosong layunin.
* **Philippine Nuclear Regulatory Commission (PNRC):** Ang ahensya ng gobyernong ito ay kinokontrol ang lahat ng aktibidad na nuklear sa P"&amp;"ilipinas, tinitiyak ang mapayapang paggamit ng mga nukleyar na materyales at pinipigilan ang kanilang paglilipat para sa pagpapaunlad ng WMD.
**Pagpapatupad ng Batas at Seguridad:**
* Nagtutulungan ang Philippine National Police (PNP) at Armed Forces of t"&amp;"he Philippines (AFP) upang tuklasin at maiwasan ang mga potensyal na banta na kinasasangkutan ng mga WMD. Kabilang dito ang:
* Pagtitipon ng katalinuhan at pagsubaybay sa mga grupo ng terorista
* Mga hakbang sa seguridad sa hangganan upang maiwasan ang pa"&amp;"gpuslit ng mga materyales sa WMD
* Paghahanda at pagpaplano ng pagtugon para sa mga potensyal na insidente ng WMD
**Mga Hamon at Pagsasaalang-alang:**
* Bagama't may balangkas ang Pilipinas, ang pagpapatupad ng mga hakbang na ito at pagpapanatili ng pagba"&amp;"bantay laban sa mga umuusbong na banta ay isang patuloy na hamon. * Ang potensyal para sa mga hindi-estado na aktor na makakuha ng mga materyales sa WMD o bumuo ng mga improvised na armas ay nananatiling isang alalahanin.
**Pangkalahatang Diskarte:**
Guma"&amp;"gamit ang Pilipinas ng multi-layered na diskarte upang maiwasan ang terorismo ng WMD. Pinagsasama nito ang internasyonal na kooperasyon sa pambansang batas, mga pagsisikap sa pagpapatupad ng batas, at mga hakbang sa seguridad. **Mahalagang Paalala:**
Dahi"&amp;"l sa sensitibong katangian ng mga WMD, maaaring hindi available sa publiko ang mga partikular na detalye tungkol sa mga contingency plan o paraan ng pangangalap ng intelligence.
**Rekomendasyon:**
Para sa mas malalim na pag-unawa sa partikular na batas na"&amp;" nauugnay sa WMD o sa mga kakayahan ng mga ahensya ng Pilipinas sa pagkontra sa mga banta ng WMD, ang pagkonsulta sa isang eksperto sa seguridad o isang abogado na dalubhasa sa internasyonal na batas ay lubos na inirerekomenda.")</f>
        <v>Ang Pilipinas ay nagpapatupad ng ilang mga hakbang upang maiwasan ang paggamit ng Weapons of Mass Destruction (WMDs) para sa mga layunin ng terorista. Narito ang isang breakdown ng ilang mga pangunahing diskarte:
**Internasyonal na Kooperasyon:**
* Ang Pilipinas ay lumagda sa iba't ibang internasyonal na kasunduan na nagtataguyod ng pandaigdigang hindi paglaganap at kontrol ng mga WMD, kabilang ang:
* Treaty on the Non-Proliferation of Nuclear Weapons (NPT)
* Chemical Weapons Convention (CWC)
* Biological Weapons Convention (BWC)
* Ang mga kasunduan na ito ay nangangailangan ng mga miyembrong estado na pigilan ang pagkalat ng mga WMD at mga kaugnay na materyales, makipagtulungan sa mapayapang paggamit ng enerhiyang nuklear, at magtatag ng mga pambansang hakbang para sa kontrol at pagsubaybay.
**Pambansang Batas:**
* **Republic Act No. 10173 (Chemical Weapons Convention Implementing Act):** Ipinagbabawal ng batas na ito ang pagbuo, paggawa, pagkuha, pag-iimbak, paglilipat, o paggamit ng mga kemikal na armas. Ipinag-uutos din nito ang paglikha ng isang pambansang awtoridad upang ipatupad ang CWC.
* **Republic Act No. 10698 (Act to Enhance Philippine Capacity to Prevent, Detect, and Responsed to Biological Threats):** Pinalalakas ng batas na ito ang mga hakbang sa biosecurity upang maiwasan ang maling paggamit ng mga biological agent at toxins para sa malisyosong layunin.
* **Philippine Nuclear Regulatory Commission (PNRC):** Ang ahensya ng gobyernong ito ay kinokontrol ang lahat ng aktibidad na nuklear sa Pilipinas, tinitiyak ang mapayapang paggamit ng mga nukleyar na materyales at pinipigilan ang kanilang paglilipat para sa pagpapaunlad ng WMD.
**Pagpapatupad ng Batas at Seguridad:**
* Nagtutulungan ang Philippine National Police (PNP) at Armed Forces of the Philippines (AFP) upang tuklasin at maiwasan ang mga potensyal na banta na kinasasangkutan ng mga WMD. Kabilang dito ang:
* Pagtitipon ng katalinuhan at pagsubaybay sa mga grupo ng terorista
* Mga hakbang sa seguridad sa hangganan upang maiwasan ang pagpuslit ng mga materyales sa WMD
* Paghahanda at pagpaplano ng pagtugon para sa mga potensyal na insidente ng WMD
**Mga Hamon at Pagsasaalang-alang:**
* Bagama't may balangkas ang Pilipinas, ang pagpapatupad ng mga hakbang na ito at pagpapanatili ng pagbabantay laban sa mga umuusbong na banta ay isang patuloy na hamon. * Ang potensyal para sa mga hindi-estado na aktor na makakuha ng mga materyales sa WMD o bumuo ng mga improvised na armas ay nananatiling isang alalahanin.
**Pangkalahatang Diskarte:**
Gumagamit ang Pilipinas ng multi-layered na diskarte upang maiwasan ang terorismo ng WMD. Pinagsasama nito ang internasyonal na kooperasyon sa pambansang batas, mga pagsisikap sa pagpapatupad ng batas, at mga hakbang sa seguridad. **Mahalagang Paalala:**
Dahil sa sensitibong katangian ng mga WMD, maaaring hindi available sa publiko ang mga partikular na detalye tungkol sa mga contingency plan o paraan ng pangangalap ng intelligence.
**Rekomendasyon:**
Para sa mas malalim na pag-unawa sa partikular na batas na nauugnay sa WMD o sa mga kakayahan ng mga ahensya ng Pilipinas sa pagkontra sa mga banta ng WMD, ang pagkonsulta sa isang eksperto sa seguridad o isang abogado na dalubhasa sa internasyonal na batas ay lubos na inirerekomenda.</v>
      </c>
      <c r="F2271" s="2">
        <f t="shared" si="1"/>
        <v>0</v>
      </c>
      <c r="G2271" s="2"/>
      <c r="H2271" s="2"/>
      <c r="I2271" s="2"/>
      <c r="J2271" s="2"/>
      <c r="K2271" s="2"/>
      <c r="L2271" s="2"/>
      <c r="M2271" s="2"/>
      <c r="N2271" s="2"/>
      <c r="O2271" s="2"/>
      <c r="P2271" s="2"/>
      <c r="Q2271" s="2"/>
      <c r="R2271" s="2"/>
      <c r="S2271" s="2"/>
      <c r="T2271" s="2"/>
      <c r="U2271" s="2"/>
      <c r="V2271" s="2"/>
      <c r="W2271" s="2"/>
      <c r="X2271" s="2"/>
      <c r="Y2271" s="2"/>
      <c r="Z2271" s="2"/>
      <c r="AA2271" s="2"/>
    </row>
    <row r="2272">
      <c r="A2272" s="1" t="s">
        <v>5490</v>
      </c>
      <c r="B2272" s="1" t="s">
        <v>5509</v>
      </c>
      <c r="C2272" s="3" t="s">
        <v>5510</v>
      </c>
      <c r="D2272" s="2" t="str">
        <f>IFERROR(__xludf.DUMMYFUNCTION("GOOGLETRANSLATE(B2272, ""en"", ""TL"")"),"Paano tinutugunan ng batas ang online na pagpapakalat ng mga propaganda ng terorista at mga materyales sa pangangalap?")</f>
        <v>Paano tinutugunan ng batas ang online na pagpapakalat ng mga propaganda ng terorista at mga materyales sa pangangalap?</v>
      </c>
      <c r="E2272" s="2" t="str">
        <f>IFERROR(__xludf.DUMMYFUNCTION("GOOGLETRANSLATE(C2272, ""en"", ""TL"")"),"Ang batas ng Pilipinas ay walang iisang, partikular na batas na nakatuon lamang sa online na propaganda ng terorista. Gayunpaman, maraming umiiral na batas at regulasyon ang maaaring gamitin upang matugunan ang isyu:
**Mga Kaugnay na Batas:**
* **Anti-Ter"&amp;"rorism Act of 2020 (RA 11479):** * Malawakang tinukoy ng Seksyon 4 ang terorismo, na posibleng sumasaklaw sa online na pagpapakalat ng mga materyal na nag-uudyok o nagpapaluwalhati sa mga gawaing terorista. * Binibigyang-diin ng Seksyon 18 ang internasyon"&amp;"al na kooperasyon sa paglaban sa terorismo, na maaaring kabilangan ng pakikipagtulungan sa ibang mga bansa upang alisin ang online na propaganda.
* **Binago ang Kodigo Penal (RPC):**
* Artikulo 144 (Pag-uudyok sa Paghihimagsik): Maaari itong ilapat kung a"&amp;"ng online na nilalaman ay naghihikayat ng armadong pag-aalsa laban sa gobyerno, isang potensyal na elemento ng ilang ideolohiyang terorista.
* Artikulo 154 (Mga Alarm at Iskandalo): Ang pagkalat ng maling impormasyon na maaaring magdulot ng panic o mapang"&amp;"anib ang kaligtasan ng publiko ay maaaring may kaugnayan depende sa nilalaman.
* **Cybercrime Prevention Act of 2012 (RA 10175):**
* Seksyon 19 (Cyber-proscribed content): Ang seksyong ito ay tumatalakay sa pag-aalis ng online na content na ""nakakasakit "&amp;"sa moral, magandang panlasa, at disente."" Bagama't hindi direktang nauugnay sa terorismo, nagtatatag ito ng proseso para sa pagtanggal ng content na maaaring may kaugnayan sa ilang propaganda.
**Mga Hamon:**
* **Pagbabalanse ng Seguridad at Kalayaan sa P"&amp;"agsasalita:** Ang pagkakaroon ng balanse sa pagitan ng pambansang seguridad at ang karapatan ng konstitusyon sa kalayaan sa pagsasalita ay isang mahalagang hamon. * **Pagkilala at Pagtukoy sa Propaganda:** Ang pagkilala sa pagitan ng lehitimong pagpapahay"&amp;"ag ng mga ideya at nilalaman na nag-uudyok ng karahasan ay maaaring maging kumplikado.
* **Mga Isyu sa Hurisdiksiyon:** Maaaring i-host ang online na content sa mga server sa labas ng Pilipinas, na nagpapahirap sa pagpapatupad at pagtanggal.
**Mga ginawan"&amp;"g hakbang:**
* **Law Enforcement Cooperation:** Nakikipagtulungan ang Philippine National Police (PNP) sa mga internasyonal na kasosyo upang kilalanin at subaybayan ang online na aktibidad ng terorista.
* **Pakikipagtulungan sa Mga Platform ng Social Medi"&amp;"a:** Ang pakikipagtulungan sa mga platform tulad ng Facebook at YouTube upang alisin ang nilalamang terorista ay mahalaga.
**Mahahalagang Paalala:**
* Ang legal na tanawin na nakapalibot sa online na nilalaman at terorismo ay patuloy na umuunlad. * Ang mg"&amp;"a partikular na legal na probisyon na ginamit at ang pagiging epektibo ng mga ito ay depende sa katangian ng online na nilalaman.
**Rekomendasyon:**
Para sa isang mas komprehensibong pag-unawa sa mga legal na nuances at patuloy na mga debate tungkol sa on"&amp;"line na propaganda ng terorista, ang pagkonsulta sa isang abogado na nag-specialize sa cybercrime law o national security law ay lubos na inirerekomenda.")</f>
        <v>Ang batas ng Pilipinas ay walang iisang, partikular na batas na nakatuon lamang sa online na propaganda ng terorista. Gayunpaman, maraming umiiral na batas at regulasyon ang maaaring gamitin upang matugunan ang isyu:
**Mga Kaugnay na Batas:**
* **Anti-Terrorism Act of 2020 (RA 11479):** * Malawakang tinukoy ng Seksyon 4 ang terorismo, na posibleng sumasaklaw sa online na pagpapakalat ng mga materyal na nag-uudyok o nagpapaluwalhati sa mga gawaing terorista. * Binibigyang-diin ng Seksyon 18 ang internasyonal na kooperasyon sa paglaban sa terorismo, na maaaring kabilangan ng pakikipagtulungan sa ibang mga bansa upang alisin ang online na propaganda.
* **Binago ang Kodigo Penal (RPC):**
* Artikulo 144 (Pag-uudyok sa Paghihimagsik): Maaari itong ilapat kung ang online na nilalaman ay naghihikayat ng armadong pag-aalsa laban sa gobyerno, isang potensyal na elemento ng ilang ideolohiyang terorista.
* Artikulo 154 (Mga Alarm at Iskandalo): Ang pagkalat ng maling impormasyon na maaaring magdulot ng panic o mapanganib ang kaligtasan ng publiko ay maaaring may kaugnayan depende sa nilalaman.
* **Cybercrime Prevention Act of 2012 (RA 10175):**
* Seksyon 19 (Cyber-proscribed content): Ang seksyong ito ay tumatalakay sa pag-aalis ng online na content na "nakakasakit sa moral, magandang panlasa, at disente." Bagama't hindi direktang nauugnay sa terorismo, nagtatatag ito ng proseso para sa pagtanggal ng content na maaaring may kaugnayan sa ilang propaganda.
**Mga Hamon:**
* **Pagbabalanse ng Seguridad at Kalayaan sa Pagsasalita:** Ang pagkakaroon ng balanse sa pagitan ng pambansang seguridad at ang karapatan ng konstitusyon sa kalayaan sa pagsasalita ay isang mahalagang hamon. * **Pagkilala at Pagtukoy sa Propaganda:** Ang pagkilala sa pagitan ng lehitimong pagpapahayag ng mga ideya at nilalaman na nag-uudyok ng karahasan ay maaaring maging kumplikado.
* **Mga Isyu sa Hurisdiksiyon:** Maaaring i-host ang online na content sa mga server sa labas ng Pilipinas, na nagpapahirap sa pagpapatupad at pagtanggal.
**Mga ginawang hakbang:**
* **Law Enforcement Cooperation:** Nakikipagtulungan ang Philippine National Police (PNP) sa mga internasyonal na kasosyo upang kilalanin at subaybayan ang online na aktibidad ng terorista.
* **Pakikipagtulungan sa Mga Platform ng Social Media:** Ang pakikipagtulungan sa mga platform tulad ng Facebook at YouTube upang alisin ang nilalamang terorista ay mahalaga.
**Mahahalagang Paalala:**
* Ang legal na tanawin na nakapalibot sa online na nilalaman at terorismo ay patuloy na umuunlad. * Ang mga partikular na legal na probisyon na ginamit at ang pagiging epektibo ng mga ito ay depende sa katangian ng online na nilalaman.
**Rekomendasyon:**
Para sa isang mas komprehensibong pag-unawa sa mga legal na nuances at patuloy na mga debate tungkol sa online na propaganda ng terorista, ang pagkonsulta sa isang abogado na nag-specialize sa cybercrime law o national security law ay lubos na inirerekomenda.</v>
      </c>
      <c r="F2272" s="2">
        <f t="shared" si="1"/>
        <v>0</v>
      </c>
      <c r="G2272" s="2"/>
      <c r="H2272" s="2"/>
      <c r="I2272" s="2"/>
      <c r="J2272" s="2"/>
      <c r="K2272" s="2"/>
      <c r="L2272" s="2"/>
      <c r="M2272" s="2"/>
      <c r="N2272" s="2"/>
      <c r="O2272" s="2"/>
      <c r="P2272" s="2"/>
      <c r="Q2272" s="2"/>
      <c r="R2272" s="2"/>
      <c r="S2272" s="2"/>
      <c r="T2272" s="2"/>
      <c r="U2272" s="2"/>
      <c r="V2272" s="2"/>
      <c r="W2272" s="2"/>
      <c r="X2272" s="2"/>
      <c r="Y2272" s="2"/>
      <c r="Z2272" s="2"/>
      <c r="AA2272" s="2"/>
    </row>
    <row r="2273">
      <c r="A2273" s="1" t="s">
        <v>5490</v>
      </c>
      <c r="B2273" s="1" t="s">
        <v>5511</v>
      </c>
      <c r="C2273" s="3" t="s">
        <v>5512</v>
      </c>
      <c r="D2273" s="2" t="str">
        <f>IFERROR(__xludf.DUMMYFUNCTION("GOOGLETRANSLATE(B2273, ""en"", ""TL"")"),"Anong mga legal na aksyon ang maaaring gawin laban sa mga indibidwal na nagbibigay ng materyal na suporta sa mga terorista?")</f>
        <v>Anong mga legal na aksyon ang maaaring gawin laban sa mga indibidwal na nagbibigay ng materyal na suporta sa mga terorista?</v>
      </c>
      <c r="E2273" s="2" t="str">
        <f>IFERROR(__xludf.DUMMYFUNCTION("GOOGLETRANSLATE(C2273, ""en"", ""TL"")"),"Malakas ang paninindigan ng batas ng Pilipinas laban sa pagbibigay ng materyal na suporta sa mga terorista. Narito kung paano ito tinutugunan ng batas:
**Pangunahing Batas:**
* **Terrorism Financing Prevention and Suppression Act of 2012 (RA 10168):** Isi"&amp;"nakriminal ng batas na ito ang pagpopondo ng terorismo at sumasaklaw sa materyal na suporta sa loob ng kahulugan nito.
**Mga Pangunahing Probisyon:**
* **Seksyon 4: Kahulugan ng Pagpopondo ng Terorismo:**
* Tinutukoy ng seksyong ito ang iba't ibang paraan"&amp;" kung paano maaaring mangyari ang pagpopondo, kabilang ang pagbibigay ng mga pondo, ari-arian, o mga serbisyo nang direkta sa isang organisasyong terorista, isang taong nagpaplano ng isang gawaing terorista, o isang taong kumikilos para sa kanila. * **Mat"&amp;"eryal na Suporta:** Ang pagbibigay ng logistical o teknolohikal na suporta, tulad ng pagsasanay o mga armas, ay maaari ding ituring na materyal na suporta (Seksyon 4).
* **Seksyon 13: Parusa para sa Pagbibigay ng Materyal na Suporta:** * Ang seksyong ito "&amp;"ay nagsasaad ng parusa ng reclusion perpetua (habang buhay na pagkakakulong) hanggang 40 taong pagkakakulong para sa sinumang sadyang nagbibigay ng materyal na suporta sa isang organisasyong terorista o isang taong nagpaplano ng isang gawaing terorista.
*"&amp;"*Mga Karagdagang Pagsasaalang-alang:**
* **Anti-Terrorism Act of 2020 (RA 11479):** Bagama't hindi direktang nakatuon sa materyal na suporta, pinalalakas ng Batas na ito ang paglaban sa pagpopondo sa terorismo sa pamamagitan ng pagtatalaga ng mga indibidw"&amp;"al at grupong sumusuporta sa terorismo (Seksyon 25). Ang pagbibigay ng materyal na suporta ay maaaring maging batayan para sa pagtatalaga.
* **Layunin at Kaalaman:** Binibigyang-diin ng batas na ang indibidwal ay dapat sadyang magbigay ng materyal na supo"&amp;"rta (Seksyon 13 ng RA 10168). Nangangahulugan ito na dapat nilang malaman na ang tatanggap ay sangkot sa terorismo.
**Pagsisiyasat at Pag-uusig:**
* Ang Anti-Money Laundering Council (AMLC) ay ang pangunahing ahensya na responsable sa pag-iimbestiga at pa"&amp;"g-uusig sa mga kaso ng pagpopondo ng terorismo (Seksyon 14 ng RA 10168). Nakikipagtulungan sila sa mga ahensyang nagpapatupad ng batas tulad ng Philippine National Police (PNP).
**Mahahalagang Paalala:**
* Ang kahulugan ng ""materyal na suporta"" ay maaar"&amp;"ing malawak at maaaring sumaklaw sa isang hanay ng mga aktibidad. * May balanse sa pagitan ng pambansang seguridad at mga karapatan ng indibidwal. Ang batas ay nangangailangan ng angkop na proseso sa mga pagsisiyasat at pag-uusig.
**Mga Rekomendasyon:**
P"&amp;"ara sa isang mas malalim na pagsusuri sa kung ano ang bumubuo ng materyal na suporta sa isang partikular na kaso at ang legal na prosesong kasangkot, ang pagkonsulta sa isang abogado na dalubhasa sa batas ng pambansang seguridad o pagpopondo ng terorismo "&amp;"ay lubos na inirerekomenda.")</f>
        <v>Malakas ang paninindigan ng batas ng Pilipinas laban sa pagbibigay ng materyal na suporta sa mga terorista. Narito kung paano ito tinutugunan ng batas:
**Pangunahing Batas:**
* **Terrorism Financing Prevention and Suppression Act of 2012 (RA 10168):** Isinakriminal ng batas na ito ang pagpopondo ng terorismo at sumasaklaw sa materyal na suporta sa loob ng kahulugan nito.
**Mga Pangunahing Probisyon:**
* **Seksyon 4: Kahulugan ng Pagpopondo ng Terorismo:**
* Tinutukoy ng seksyong ito ang iba't ibang paraan kung paano maaaring mangyari ang pagpopondo, kabilang ang pagbibigay ng mga pondo, ari-arian, o mga serbisyo nang direkta sa isang organisasyong terorista, isang taong nagpaplano ng isang gawaing terorista, o isang taong kumikilos para sa kanila. * **Materyal na Suporta:** Ang pagbibigay ng logistical o teknolohikal na suporta, tulad ng pagsasanay o mga armas, ay maaari ding ituring na materyal na suporta (Seksyon 4).
* **Seksyon 13: Parusa para sa Pagbibigay ng Materyal na Suporta:** * Ang seksyong ito ay nagsasaad ng parusa ng reclusion perpetua (habang buhay na pagkakakulong) hanggang 40 taong pagkakakulong para sa sinumang sadyang nagbibigay ng materyal na suporta sa isang organisasyong terorista o isang taong nagpaplano ng isang gawaing terorista.
**Mga Karagdagang Pagsasaalang-alang:**
* **Anti-Terrorism Act of 2020 (RA 11479):** Bagama't hindi direktang nakatuon sa materyal na suporta, pinalalakas ng Batas na ito ang paglaban sa pagpopondo sa terorismo sa pamamagitan ng pagtatalaga ng mga indibidwal at grupong sumusuporta sa terorismo (Seksyon 25). Ang pagbibigay ng materyal na suporta ay maaaring maging batayan para sa pagtatalaga.
* **Layunin at Kaalaman:** Binibigyang-diin ng batas na ang indibidwal ay dapat sadyang magbigay ng materyal na suporta (Seksyon 13 ng RA 10168). Nangangahulugan ito na dapat nilang malaman na ang tatanggap ay sangkot sa terorismo.
**Pagsisiyasat at Pag-uusig:**
* Ang Anti-Money Laundering Council (AMLC) ay ang pangunahing ahensya na responsable sa pag-iimbestiga at pag-uusig sa mga kaso ng pagpopondo ng terorismo (Seksyon 14 ng RA 10168). Nakikipagtulungan sila sa mga ahensyang nagpapatupad ng batas tulad ng Philippine National Police (PNP).
**Mahahalagang Paalala:**
* Ang kahulugan ng "materyal na suporta" ay maaaring malawak at maaaring sumaklaw sa isang hanay ng mga aktibidad. * May balanse sa pagitan ng pambansang seguridad at mga karapatan ng indibidwal. Ang batas ay nangangailangan ng angkop na proseso sa mga pagsisiyasat at pag-uusig.
**Mga Rekomendasyon:**
Para sa isang mas malalim na pagsusuri sa kung ano ang bumubuo ng materyal na suporta sa isang partikular na kaso at ang legal na prosesong kasangkot, ang pagkonsulta sa isang abogado na dalubhasa sa batas ng pambansang seguridad o pagpopondo ng terorismo ay lubos na inirerekomenda.</v>
      </c>
      <c r="F2273" s="2">
        <f t="shared" si="1"/>
        <v>0</v>
      </c>
      <c r="G2273" s="2"/>
      <c r="H2273" s="2"/>
      <c r="I2273" s="2"/>
      <c r="J2273" s="2"/>
      <c r="K2273" s="2"/>
      <c r="L2273" s="2"/>
      <c r="M2273" s="2"/>
      <c r="N2273" s="2"/>
      <c r="O2273" s="2"/>
      <c r="P2273" s="2"/>
      <c r="Q2273" s="2"/>
      <c r="R2273" s="2"/>
      <c r="S2273" s="2"/>
      <c r="T2273" s="2"/>
      <c r="U2273" s="2"/>
      <c r="V2273" s="2"/>
      <c r="W2273" s="2"/>
      <c r="X2273" s="2"/>
      <c r="Y2273" s="2"/>
      <c r="Z2273" s="2"/>
      <c r="AA2273" s="2"/>
    </row>
    <row r="2274">
      <c r="A2274" s="1" t="s">
        <v>5490</v>
      </c>
      <c r="B2274" s="1" t="s">
        <v>5513</v>
      </c>
      <c r="C2274" s="3" t="s">
        <v>5514</v>
      </c>
      <c r="D2274" s="2" t="str">
        <f>IFERROR(__xludf.DUMMYFUNCTION("GOOGLETRANSLATE(B2274, ""en"", ""TL"")"),"Paano iniimbestigahan at iniuusig ang mga gawaing terorista sa Pilipinas?")</f>
        <v>Paano iniimbestigahan at iniuusig ang mga gawaing terorista sa Pilipinas?</v>
      </c>
      <c r="E2274" s="2" t="str">
        <f>IFERROR(__xludf.DUMMYFUNCTION("GOOGLETRANSLATE(C2274, ""en"", ""TL"")"),"Ang pagsisiyasat at pag-uusig sa mga gawaing terorista sa Pilipinas ay isang kumplikadong proseso na kinasasangkutan ng iba't ibang ahensya at legal na balangkas. Narito ang isang breakdown ng mga pangunahing hakbang:
**Paunang Tugon:**
* **Pagpapatupad n"&amp;"g Batas:** Maaaring ang mga awtoridad tulad ng Philippine National Police (PNP) o Armed Forces of the Philippines (AFP) ang unang tumugon sa kaso ng pinaghihinalaang pag-atake ng terorista. Sinigurado nila ang eksena, kumukuha ng ebidensya, at kinikilala "&amp;"ang mga potensyal na suspek.
**Pagsisiyasat:**
* **Philippine National Police (PNP):** Ang PNP ay may espesyal na yunit, ang Anti-Terrorism Task Force (PNP-ATTF), na nakatuon sa pag-iimbestiga sa mga aktibidad na may kaugnayan sa terorismo. Maaari silang:"&amp;"
* Magsagawa ng surveillance at mangalap ng intelligence sa mga pinaghihinalaang grupo ng terorista.
* Suriin ang ebidensya, kabilang ang forensic analysis at digital forensics.
* Panayam sa mga saksi at mga potensyal na suspek.
* **Anti-Terrorism Council"&amp;" (ATC):** Ang inter-agency body na ito ay maaaring mag-coordinate ng mga pagsisiyasat na kinasasangkutan ng maraming ahensya at mag-access ng classified intelligence.
**Legal na Balangkas:**
* **Anti-Terrorism Act of 2020 (RA 11479):** Ito ang pangunahing"&amp;" batas na nagbabalangkas ng mga pamamaraan sa pagsisiyasat at ang legal na batayan para sa mga singil na may kaugnayan sa terorismo.
* **Human Security Act of 2007 (RA 9372):** Ang batas na ito ay nagbibigay din ng mga patnubay para sa pagsisiyasat at pag"&amp;"-uusig sa mga pagkakasala sa terorismo.
**Mga Kapangyarihan sa Pag-iimbestiga:**
* Ang mga ahensyang nagpapatupad ng batas ay maaaring humiling ng mga warrant mula sa isang hukuman upang magsagawa ng mga paghahanap, pag-aresto, at elektronikong pagsubayba"&amp;"y batay sa posibleng dahilan ng isang pagkakasala sa terorismo.
* **Mahalagang Paalala:** Ang Anti-Terrorism Act ay binatikos para sa potensyal na pagpapagana ng mga warrantless arrest at surveillance sa ilang mga kaso. Ito ay isang kumplikadong legal na "&amp;"isyu na may patuloy na debate (pinaghihiwalay ng source dahil sa pagiging isang partikular na legal na kritika). **Pag-uusig:**
* **Department of Justice (DOJ):** Ang DOJ prosecutors ang humahawak sa legal na kaso laban sa mga suspek. Nagpapakita sila ng "&amp;"ebidensya sa harap ng korte upang patunayan ang mga kaso.
* **Sistema ng Hukuman:** Depende sa tindi ng mga kaso, ang kaso ay maaaring dinggin sa isang Regional Trial Court (RTC) o isang espesyal na itinalagang hukuman sa terorismo na itinatag sa ilalim n"&amp;"g RA 11479.
* **Mga Karapatan ng Defendant:** Ang akusado ay may karapatan sa legal na representasyon at angkop na proseso sa buong legal na paglilitis.
**Mga Hamon:**
* **Pagtitipon ng Ebidensya:** Maaaring kumplikado ang mga pagsisiyasat sa terorismo, n"&amp;"a nangangailangan ng iba't ibang uri ng ebidensya, kabilang ang testimonya ng saksi, digital forensics, at intelligence gathering.
* **Pagbabalanse ng Seguridad at Mga Karapatan:** Ang pagtiyak ng pambansang seguridad habang itinataguyod ang mga indibidwa"&amp;"l na karapatan ay mahalaga. * **International Cooperation:** Ang mga teroristang network ay madalas na tumatakbo sa mga hangganan. Ang pakikipagtulungan sa ibang mga bansa ay mahalaga para sa matagumpay na pagsisiyasat at pag-uusig.
**Mahahalagang Paalala"&amp;":**
* Ito ay isang pangkalahatang pangkalahatang-ideya. Ang mga partikular na pamamaraan at ahensyang kasangkot ay maaaring mag-iba depende sa mga pangyayari ng kaso.
* Ang legal na balangkas na nakapalibot sa terorismo ay patuloy na umuunlad.
**Rekomenda"&amp;"syon:**
Para sa mas malalim na pag-unawa sa mga partikular na diskarte sa pag-iimbestiga, legal na paglilitis, o patuloy na legal na debate, ang pagkonsulta sa isang abogado na dalubhasa sa batas ng pambansang seguridad o batas sa kriminal ay lubos na ini"&amp;"rerekomenda.")</f>
        <v>Ang pagsisiyasat at pag-uusig sa mga gawaing terorista sa Pilipinas ay isang kumplikadong proseso na kinasasangkutan ng iba't ibang ahensya at legal na balangkas. Narito ang isang breakdown ng mga pangunahing hakbang:
**Paunang Tugon:**
* **Pagpapatupad ng Batas:** Maaaring ang mga awtoridad tulad ng Philippine National Police (PNP) o Armed Forces of the Philippines (AFP) ang unang tumugon sa kaso ng pinaghihinalaang pag-atake ng terorista. Sinigurado nila ang eksena, kumukuha ng ebidensya, at kinikilala ang mga potensyal na suspek.
**Pagsisiyasat:**
* **Philippine National Police (PNP):** Ang PNP ay may espesyal na yunit, ang Anti-Terrorism Task Force (PNP-ATTF), na nakatuon sa pag-iimbestiga sa mga aktibidad na may kaugnayan sa terorismo. Maaari silang:
* Magsagawa ng surveillance at mangalap ng intelligence sa mga pinaghihinalaang grupo ng terorista.
* Suriin ang ebidensya, kabilang ang forensic analysis at digital forensics.
* Panayam sa mga saksi at mga potensyal na suspek.
* **Anti-Terrorism Council (ATC):** Ang inter-agency body na ito ay maaaring mag-coordinate ng mga pagsisiyasat na kinasasangkutan ng maraming ahensya at mag-access ng classified intelligence.
**Legal na Balangkas:**
* **Anti-Terrorism Act of 2020 (RA 11479):** Ito ang pangunahing batas na nagbabalangkas ng mga pamamaraan sa pagsisiyasat at ang legal na batayan para sa mga singil na may kaugnayan sa terorismo.
* **Human Security Act of 2007 (RA 9372):** Ang batas na ito ay nagbibigay din ng mga patnubay para sa pagsisiyasat at pag-uusig sa mga pagkakasala sa terorismo.
**Mga Kapangyarihan sa Pag-iimbestiga:**
* Ang mga ahensyang nagpapatupad ng batas ay maaaring humiling ng mga warrant mula sa isang hukuman upang magsagawa ng mga paghahanap, pag-aresto, at elektronikong pagsubaybay batay sa posibleng dahilan ng isang pagkakasala sa terorismo.
* **Mahalagang Paalala:** Ang Anti-Terrorism Act ay binatikos para sa potensyal na pagpapagana ng mga warrantless arrest at surveillance sa ilang mga kaso. Ito ay isang kumplikadong legal na isyu na may patuloy na debate (pinaghihiwalay ng source dahil sa pagiging isang partikular na legal na kritika). **Pag-uusig:**
* **Department of Justice (DOJ):** Ang DOJ prosecutors ang humahawak sa legal na kaso laban sa mga suspek. Nagpapakita sila ng ebidensya sa harap ng korte upang patunayan ang mga kaso.
* **Sistema ng Hukuman:** Depende sa tindi ng mga kaso, ang kaso ay maaaring dinggin sa isang Regional Trial Court (RTC) o isang espesyal na itinalagang hukuman sa terorismo na itinatag sa ilalim ng RA 11479.
* **Mga Karapatan ng Defendant:** Ang akusado ay may karapatan sa legal na representasyon at angkop na proseso sa buong legal na paglilitis.
**Mga Hamon:**
* **Pagtitipon ng Ebidensya:** Maaaring kumplikado ang mga pagsisiyasat sa terorismo, na nangangailangan ng iba't ibang uri ng ebidensya, kabilang ang testimonya ng saksi, digital forensics, at intelligence gathering.
* **Pagbabalanse ng Seguridad at Mga Karapatan:** Ang pagtiyak ng pambansang seguridad habang itinataguyod ang mga indibidwal na karapatan ay mahalaga. * **International Cooperation:** Ang mga teroristang network ay madalas na tumatakbo sa mga hangganan. Ang pakikipagtulungan sa ibang mga bansa ay mahalaga para sa matagumpay na pagsisiyasat at pag-uusig.
**Mahahalagang Paalala:**
* Ito ay isang pangkalahatang pangkalahatang-ideya. Ang mga partikular na pamamaraan at ahensyang kasangkot ay maaaring mag-iba depende sa mga pangyayari ng kaso.
* Ang legal na balangkas na nakapalibot sa terorismo ay patuloy na umuunlad.
**Rekomendasyon:**
Para sa mas malalim na pag-unawa sa mga partikular na diskarte sa pag-iimbestiga, legal na paglilitis, o patuloy na legal na debate, ang pagkonsulta sa isang abogado na dalubhasa sa batas ng pambansang seguridad o batas sa kriminal ay lubos na inirerekomenda.</v>
      </c>
      <c r="F2274" s="2">
        <f t="shared" si="1"/>
        <v>0</v>
      </c>
      <c r="G2274" s="2"/>
      <c r="H2274" s="2"/>
      <c r="I2274" s="2"/>
      <c r="J2274" s="2"/>
      <c r="K2274" s="2"/>
      <c r="L2274" s="2"/>
      <c r="M2274" s="2"/>
      <c r="N2274" s="2"/>
      <c r="O2274" s="2"/>
      <c r="P2274" s="2"/>
      <c r="Q2274" s="2"/>
      <c r="R2274" s="2"/>
      <c r="S2274" s="2"/>
      <c r="T2274" s="2"/>
      <c r="U2274" s="2"/>
      <c r="V2274" s="2"/>
      <c r="W2274" s="2"/>
      <c r="X2274" s="2"/>
      <c r="Y2274" s="2"/>
      <c r="Z2274" s="2"/>
      <c r="AA2274" s="2"/>
    </row>
    <row r="2275">
      <c r="A2275" s="1" t="s">
        <v>5490</v>
      </c>
      <c r="B2275" s="1" t="s">
        <v>5515</v>
      </c>
      <c r="C2275" s="3" t="s">
        <v>5516</v>
      </c>
      <c r="D2275" s="2" t="str">
        <f>IFERROR(__xludf.DUMMYFUNCTION("GOOGLETRANSLATE(B2275, ""en"", ""TL"")"),"Ano ang papel na ginagampanan ng mga ahensya ng paniktik sa mga pagsusumikap na kontra-terorismo ayon sa batas ng Pilipinas?")</f>
        <v>Ano ang papel na ginagampanan ng mga ahensya ng paniktik sa mga pagsusumikap na kontra-terorismo ayon sa batas ng Pilipinas?</v>
      </c>
      <c r="E2275" s="2" t="str">
        <f>IFERROR(__xludf.DUMMYFUNCTION("GOOGLETRANSLATE(C2275, ""en"", ""TL"")"),"Hindi tahasang binabalangkas ng batas ng Pilipinas ang papel ng mga ahensya ng paniktik sa mga pagsusumikap sa kontra-terorismo. Gayunpaman, ang kanilang mahalagang papel ay itinatag sa pamamagitan ng iba't ibang mga mekanismo at legal na balangkas:
**Nat"&amp;"ional Intelligence Coordinating Agency (NICA):**
* Itinatag sa pamamagitan ng Executive Order No. 111 noong 2010, ang NICA ay ang pangunahing ahensya na may katungkulan sa pag-uugnay at pagsasama-sama ng lahat ng aktibidad ng pamahalaan na kinasasangkutan"&amp;" ng pambansang katalinuhan.
* Bagama't hindi isang ahensyang nagpapatupad ng batas, gumaganap ng mahalagang papel ang NICA sa kontra-terorismo sa pamamagitan ng:
* **Mga Fusion Center:** Pinangangasiwaan ng NICA ang Counter Terrorism Intelligence Center ("&amp;"CTIC) at mga Area CTIC. Ang mga sentrong ito ay nagtitipon, nagsusuri, at nagbabahagi ng katalinuhan sa terorismo mula sa iba't ibang ahensya (nabanggit ang kautusang pang-administratibo ngunit hindi sinipi dahil sa uri ng pinagmulan).
* **Situational Awa"&amp;"reness and Knowledge Management (SAKM):** Nangunguna ang NICA sa SAKM Cluster ng National Task Force Against Illegal Drugs (NTF-ELCAC), na maaari ding ilapat sa mga pagsusumikap sa kontra-terorismo.
* **Anti-Terrorism Act of 2020 (RA 11479):** * Bagama't "&amp;"hindi direktang binanggit ang NICA, pinalalakas ng batas na ito ang ATC, kung saan miyembro ang NICA. * Ang ATC ay umaasa sa katalinuhan mula sa iba't ibang mga ahensya, kabilang ang mga pinag-ugnay ng NICA.
**Pangkalahatang Tungkulin ng Mga Ahensya ng In"&amp;"telligence:**
* **Intelligence Gathering:** Ang mga ahensya tulad ng Armed Forces of the Philippines (AFP) Intelligence Service at Philippine National Police (PNP) Intelligence Group ay nangongolekta ng impormasyon tungkol sa mga potensyal na banta at akt"&amp;"ibidad ng terorista.
* **Pagsusuri at Pag-uulat:** Sinusuri ang katalinuhan upang masuri ang mga pagbabanta, tukuyin ang mga potensyal na target, at ipaalam ang mga diskarte sa kontra-terorismo.
* **Dissemination:** Ang nasuri na intelligence ay ibinabaha"&amp;"gi sa mga nauugnay na ahensya, gaya ng mga nagpapatupad ng batas at mga gumagawa ng patakaran, para paganahin ang mga preventive o reactive na hakbang.
* **Kolaborasyon:** Ang mga ahensya ng paniktik ng Pilipinas ay nakikipagtulungan sa kanilang mga katap"&amp;"at sa ibang mga bansa upang magbahagi ng impormasyon at labanan ang internasyonal na terorismo.
**Mahahalagang Pagsasaalang-alang:**
* Ang mga partikular na paraan na ginagamit ng mga ahensya ng intelligence sa pangangalap ng intelligence ay maaaring may "&amp;"kasamang classified na impormasyon at maaaring hindi available sa publiko.
* May balanse sa pagitan ng pambansang seguridad at indibidwal na privacy. Bagama't mahalaga ang pangangalap ng paniktik, ang mga pamamaraan ng pagsubaybay ay dapat isagawa sa loob"&amp;" ng mga legal na hangganan. **Mga Rekomendasyon:**
Ang pag-unawa sa mga partikular na operasyon ng mga ahensya ng paniktik ay masalimuot at kadalasang nagsasangkot ng classified na impormasyon. Gayunpaman, para sa isang mas malawak na pagsusuri sa legal a"&amp;"t patakarang landscape na nakapalibot sa intelligence gathering sa kontraterorismo, ang pagkonsulta sa isang abogado na dalubhasa sa pambansang batas sa seguridad o isang eksperto sa seguridad ay lubos na inirerekomenda.")</f>
        <v>Hindi tahasang binabalangkas ng batas ng Pilipinas ang papel ng mga ahensya ng paniktik sa mga pagsusumikap sa kontra-terorismo. Gayunpaman, ang kanilang mahalagang papel ay itinatag sa pamamagitan ng iba't ibang mga mekanismo at legal na balangkas:
**National Intelligence Coordinating Agency (NICA):**
* Itinatag sa pamamagitan ng Executive Order No. 111 noong 2010, ang NICA ay ang pangunahing ahensya na may katungkulan sa pag-uugnay at pagsasama-sama ng lahat ng aktibidad ng pamahalaan na kinasasangkutan ng pambansang katalinuhan.
* Bagama't hindi isang ahensyang nagpapatupad ng batas, gumaganap ng mahalagang papel ang NICA sa kontra-terorismo sa pamamagitan ng:
* **Mga Fusion Center:** Pinangangasiwaan ng NICA ang Counter Terrorism Intelligence Center (CTIC) at mga Area CTIC. Ang mga sentrong ito ay nagtitipon, nagsusuri, at nagbabahagi ng katalinuhan sa terorismo mula sa iba't ibang ahensya (nabanggit ang kautusang pang-administratibo ngunit hindi sinipi dahil sa uri ng pinagmulan).
* **Situational Awareness and Knowledge Management (SAKM):** Nangunguna ang NICA sa SAKM Cluster ng National Task Force Against Illegal Drugs (NTF-ELCAC), na maaari ding ilapat sa mga pagsusumikap sa kontra-terorismo.
* **Anti-Terrorism Act of 2020 (RA 11479):** * Bagama't hindi direktang binanggit ang NICA, pinalalakas ng batas na ito ang ATC, kung saan miyembro ang NICA. * Ang ATC ay umaasa sa katalinuhan mula sa iba't ibang mga ahensya, kabilang ang mga pinag-ugnay ng NICA.
**Pangkalahatang Tungkulin ng Mga Ahensya ng Intelligence:**
* **Intelligence Gathering:** Ang mga ahensya tulad ng Armed Forces of the Philippines (AFP) Intelligence Service at Philippine National Police (PNP) Intelligence Group ay nangongolekta ng impormasyon tungkol sa mga potensyal na banta at aktibidad ng terorista.
* **Pagsusuri at Pag-uulat:** Sinusuri ang katalinuhan upang masuri ang mga pagbabanta, tukuyin ang mga potensyal na target, at ipaalam ang mga diskarte sa kontra-terorismo.
* **Dissemination:** Ang nasuri na intelligence ay ibinabahagi sa mga nauugnay na ahensya, gaya ng mga nagpapatupad ng batas at mga gumagawa ng patakaran, para paganahin ang mga preventive o reactive na hakbang.
* **Kolaborasyon:** Ang mga ahensya ng paniktik ng Pilipinas ay nakikipagtulungan sa kanilang mga katapat sa ibang mga bansa upang magbahagi ng impormasyon at labanan ang internasyonal na terorismo.
**Mahahalagang Pagsasaalang-alang:**
* Ang mga partikular na paraan na ginagamit ng mga ahensya ng intelligence sa pangangalap ng intelligence ay maaaring may kasamang classified na impormasyon at maaaring hindi available sa publiko.
* May balanse sa pagitan ng pambansang seguridad at indibidwal na privacy. Bagama't mahalaga ang pangangalap ng paniktik, ang mga pamamaraan ng pagsubaybay ay dapat isagawa sa loob ng mga legal na hangganan. **Mga Rekomendasyon:**
Ang pag-unawa sa mga partikular na operasyon ng mga ahensya ng paniktik ay masalimuot at kadalasang nagsasangkot ng classified na impormasyon. Gayunpaman, para sa isang mas malawak na pagsusuri sa legal at patakarang landscape na nakapalibot sa intelligence gathering sa kontraterorismo, ang pagkonsulta sa isang abogado na dalubhasa sa pambansang batas sa seguridad o isang eksperto sa seguridad ay lubos na inirerekomenda.</v>
      </c>
      <c r="F2275" s="2">
        <f t="shared" si="1"/>
        <v>0</v>
      </c>
      <c r="G2275" s="2"/>
      <c r="H2275" s="2"/>
      <c r="I2275" s="2"/>
      <c r="J2275" s="2"/>
      <c r="K2275" s="2"/>
      <c r="L2275" s="2"/>
      <c r="M2275" s="2"/>
      <c r="N2275" s="2"/>
      <c r="O2275" s="2"/>
      <c r="P2275" s="2"/>
      <c r="Q2275" s="2"/>
      <c r="R2275" s="2"/>
      <c r="S2275" s="2"/>
      <c r="T2275" s="2"/>
      <c r="U2275" s="2"/>
      <c r="V2275" s="2"/>
      <c r="W2275" s="2"/>
      <c r="X2275" s="2"/>
      <c r="Y2275" s="2"/>
      <c r="Z2275" s="2"/>
      <c r="AA2275" s="2"/>
    </row>
    <row r="2276">
      <c r="A2276" s="1" t="s">
        <v>5490</v>
      </c>
      <c r="B2276" s="1" t="s">
        <v>5517</v>
      </c>
      <c r="C2276" s="3" t="s">
        <v>5518</v>
      </c>
      <c r="D2276" s="2" t="str">
        <f>IFERROR(__xludf.DUMMYFUNCTION("GOOGLETRANSLATE(B2276, ""en"", ""TL"")"),"Paano nakakatulong ang Konseho ng Anti-Terorismo sa mga pagsusumikap sa kontra-terorismo?")</f>
        <v>Paano nakakatulong ang Konseho ng Anti-Terorismo sa mga pagsusumikap sa kontra-terorismo?</v>
      </c>
      <c r="E2276" s="2" t="str">
        <f>IFERROR(__xludf.DUMMYFUNCTION("GOOGLETRANSLATE(C2276, ""en"", ""TL"")"),"Ang Anti-Terrorism Council (ATC) ay gumaganap ng isang sentral na papel sa koordinasyon at pangangasiwa sa mga pagsusumikap na kontra-terorismo sa Pilipinas ayon sa Anti-Terrorism Act of 2020 (RA 11479). Narito ang isang breakdown ng mga pangunahing funct"&amp;"ion nito:
**Komposisyon:**
* Ang ATC ay isang inter-agency body na pinamumunuan ng Executive Secretary. * Kasama sa mga miyembro ang mga kinatawan mula sa iba't ibang departamento at ahensya ng gobyerno na kritikal sa kontra-terorismo, tulad ng:
* Departm"&amp;"ent of National Defense (DND)
* Department of Justice (DOJ)
* Department of Interior and Local Government (DILG)
* Department of Foreign Affairs (DFA)
* Philippine National Police (PNP)
* Armed Forces of the Philippines (AFP)
* National Intelligence Coord"&amp;"inating Agency (NICA)
**Mga Pangunahing Pag-andar:**
* **Pagbubuo ng Patakaran:** * Ang ATC ay bubuo at nagrerekomenda ng mga patakaran at estratehiya ng kontraterorismo sa Pangulo.
* **Koordinasyon:** * Pinapadali nito ang pagbabahagi ng impormasyon at k"&amp;"oordinadong aksyon sa pagitan ng iba't ibang ahensya ng gobyerno na sangkot sa kontra-terorismo.
* **Pagmamasid:** * Ang ATC ay nangangasiwa sa pagpapatupad ng mga plano at programa ng kontra-terorismo.
* **Pagtatalaga ng mga Terorista:** * Ang ATC ay may"&amp;" awtoridad na magtalaga ng mga indibidwal at grupo bilang mga terorista batay sa partikular na pamantayang nakabalangkas sa batas (tinalakay dati bilang tugon tungkol sa pagtatalaga ng mga terorista).
* **International Cooperation:** * Ang ATC ay gumagana"&amp;"p ng isang papel sa koordinasyon ng internasyonal na kooperasyon sa mga pagsusumikap na kontra-terorismo sa ibang mga bansa at rehiyonal na katawan.
**Mga Karagdagang Pagsasaalang-alang:**
* Ang Anti-Terrorism Act ay binatikos dahil sa potensyal na pagbib"&amp;"igay sa ATC ng labis na kapangyarihan, kabilang ang mga warrantless arrest at surveillance sa ilang mga kaso (pinaghihiwalay ng source dahil sa pagiging isang partikular na legal na kritika). * Mayroong patuloy na debate tungkol sa balanse sa pagitan ng p"&amp;"ambansang seguridad at mga karapatan ng indibidwal sa konteksto ng mga operasyon ng ATC.
**Pangkalahatang Kahalagahan:**
* Ang ATC ay nagsisilbing sentrong hub para sa pagsasama-sama ng mga mapagkukunan at kadalubhasaan ng iba't ibang ahensya upang labana"&amp;"n ang terorismo. * Sa pamamagitan ng pagpapatibay ng pakikipagtulungan at pagbabahagi ng impormasyon, nilalayon nitong mapabuti ang bisa ng mga hakbang sa kontra-terorismo sa Pilipinas.
**Mga Rekomendasyon:**
Para sa isang mas nuanced na pag-unawa sa mga "&amp;"partikular na proseso ng paggawa ng desisyon ng ATC, mga kapangyarihan at limitasyon nito, o ang patuloy na legal na debate na nakapalibot dito, ang pagkonsulta sa isang abogado na dalubhasa sa batas ng pambansang seguridad ay lubos na inirerekomenda.")</f>
        <v>Ang Anti-Terrorism Council (ATC) ay gumaganap ng isang sentral na papel sa koordinasyon at pangangasiwa sa mga pagsusumikap na kontra-terorismo sa Pilipinas ayon sa Anti-Terrorism Act of 2020 (RA 11479). Narito ang isang breakdown ng mga pangunahing function nito:
**Komposisyon:**
* Ang ATC ay isang inter-agency body na pinamumunuan ng Executive Secretary. * Kasama sa mga miyembro ang mga kinatawan mula sa iba't ibang departamento at ahensya ng gobyerno na kritikal sa kontra-terorismo, tulad ng:
* Department of National Defense (DND)
* Department of Justice (DOJ)
* Department of Interior and Local Government (DILG)
* Department of Foreign Affairs (DFA)
* Philippine National Police (PNP)
* Armed Forces of the Philippines (AFP)
* National Intelligence Coordinating Agency (NICA)
**Mga Pangunahing Pag-andar:**
* **Pagbubuo ng Patakaran:** * Ang ATC ay bubuo at nagrerekomenda ng mga patakaran at estratehiya ng kontraterorismo sa Pangulo.
* **Koordinasyon:** * Pinapadali nito ang pagbabahagi ng impormasyon at koordinadong aksyon sa pagitan ng iba't ibang ahensya ng gobyerno na sangkot sa kontra-terorismo.
* **Pagmamasid:** * Ang ATC ay nangangasiwa sa pagpapatupad ng mga plano at programa ng kontra-terorismo.
* **Pagtatalaga ng mga Terorista:** * Ang ATC ay may awtoridad na magtalaga ng mga indibidwal at grupo bilang mga terorista batay sa partikular na pamantayang nakabalangkas sa batas (tinalakay dati bilang tugon tungkol sa pagtatalaga ng mga terorista).
* **International Cooperation:** * Ang ATC ay gumaganap ng isang papel sa koordinasyon ng internasyonal na kooperasyon sa mga pagsusumikap na kontra-terorismo sa ibang mga bansa at rehiyonal na katawan.
**Mga Karagdagang Pagsasaalang-alang:**
* Ang Anti-Terrorism Act ay binatikos dahil sa potensyal na pagbibigay sa ATC ng labis na kapangyarihan, kabilang ang mga warrantless arrest at surveillance sa ilang mga kaso (pinaghihiwalay ng source dahil sa pagiging isang partikular na legal na kritika). * Mayroong patuloy na debate tungkol sa balanse sa pagitan ng pambansang seguridad at mga karapatan ng indibidwal sa konteksto ng mga operasyon ng ATC.
**Pangkalahatang Kahalagahan:**
* Ang ATC ay nagsisilbing sentrong hub para sa pagsasama-sama ng mga mapagkukunan at kadalubhasaan ng iba't ibang ahensya upang labanan ang terorismo. * Sa pamamagitan ng pagpapatibay ng pakikipagtulungan at pagbabahagi ng impormasyon, nilalayon nitong mapabuti ang bisa ng mga hakbang sa kontra-terorismo sa Pilipinas.
**Mga Rekomendasyon:**
Para sa isang mas nuanced na pag-unawa sa mga partikular na proseso ng paggawa ng desisyon ng ATC, mga kapangyarihan at limitasyon nito, o ang patuloy na legal na debate na nakapalibot dito, ang pagkonsulta sa isang abogado na dalubhasa sa batas ng pambansang seguridad ay lubos na inirerekomenda.</v>
      </c>
      <c r="F2276" s="2">
        <f t="shared" si="1"/>
        <v>0</v>
      </c>
      <c r="G2276" s="2"/>
      <c r="H2276" s="2"/>
      <c r="I2276" s="2"/>
      <c r="J2276" s="2"/>
      <c r="K2276" s="2"/>
      <c r="L2276" s="2"/>
      <c r="M2276" s="2"/>
      <c r="N2276" s="2"/>
      <c r="O2276" s="2"/>
      <c r="P2276" s="2"/>
      <c r="Q2276" s="2"/>
      <c r="R2276" s="2"/>
      <c r="S2276" s="2"/>
      <c r="T2276" s="2"/>
      <c r="U2276" s="2"/>
      <c r="V2276" s="2"/>
      <c r="W2276" s="2"/>
      <c r="X2276" s="2"/>
      <c r="Y2276" s="2"/>
      <c r="Z2276" s="2"/>
      <c r="AA2276" s="2"/>
    </row>
    <row r="2277">
      <c r="A2277" s="1" t="s">
        <v>5490</v>
      </c>
      <c r="B2277" s="1" t="s">
        <v>5519</v>
      </c>
      <c r="C2277" s="3" t="s">
        <v>5520</v>
      </c>
      <c r="D2277" s="2" t="str">
        <f>IFERROR(__xludf.DUMMYFUNCTION("GOOGLETRANSLATE(B2277, ""en"", ""TL"")"),"Anong mga legal na pananggalang ang inilalagay upang protektahan ang mga karapatan ng mga indibidwal na inakusahan ng terorismo?")</f>
        <v>Anong mga legal na pananggalang ang inilalagay upang protektahan ang mga karapatan ng mga indibidwal na inakusahan ng terorismo?</v>
      </c>
      <c r="E2277" s="2" t="str">
        <f>IFERROR(__xludf.DUMMYFUNCTION("GOOGLETRANSLATE(C2277, ""en"", ""TL"")"),"Nilalayon ng sistemang legal ng Pilipinas na balansehin ang mga alalahanin sa pambansang seguridad sa pagprotekta sa mga karapatan ng mga indibidwal na inakusahan ng terorismo. Narito ang ilang pangunahing pananggalang:
**Nararapat na Proseso:**
* **Karap"&amp;"atan sa isang Makatarungang Paglilitis:** Ang mga indibidwal na inakusahan ng terorismo ay may karapatan sa isang patas at walang kinikilingan na paglilitis sa harap ng isang regular na hukuman ng batas. Kabilang dito ang karapatang malaman ang mga parata"&amp;"ng laban sa kanila, magharap ng depensa, at harapin ang mga saksi.
* **Presumption of Innocence:** Ang akusado ay ipinapalagay na inosente hanggang sa mapatunayang nagkasala nang walang makatwirang pagdududa. Ang pasanin ng patunay ay nasa prosekusyon.
* "&amp;"**Karapatan sa Legal na Counsel:** Ang akusado ay may karapatan sa legal na representasyon sa buong legal na paglilitis. Kung hindi nila kayang bayaran ang isang abogado, ang hukuman ay magtatalaga ng isa para sa kanila.
**Iba pang Mga Safeguard:**
* **Ka"&amp;"ilangan sa Warrant:** Sa pangkalahatan, ang pagpapatupad ng batas ay nangangailangan ng warrant mula sa isang hukom upang magsagawa ng mga paghahanap at pag-aresto, maliban sa mga partikular na sitwasyon kung saan may probable cause. Ang Anti-Terrorism Ac"&amp;"t mismo ay nasa ilalim ng debate tungkol sa lawak ng mga warrantless arrest at surveillance na pinapayagan nito (pinaghihiwalay ng source dahil sa pagiging isang partikular na legal na kritika).
* **Habeas Corpus:** Ang legal na remedyong ito ay nagbibiga"&amp;"y-daan sa isang tao na hamunin ang kanilang pagkakakulong at humingi ng pagpapalaya kung ito ay napatunayang labag sa batas.
* **Karapatan sa Mabilis na Paglilitis:** Ang akusado ay may karapatan sa isang makatwirang agarang paglilitis upang maiwasan ang "&amp;"matagal na pagkakakulong bago maabot ang hatol.
**Mga Hamon at Pagsasaalang-alang:**
* **Pagbabalanse ng Seguridad at Mga Karapatan:** Ang pagkakaroon ng balanse sa pagitan ng mga alalahanin sa pambansang seguridad at mga karapatan ng indibidwal ay isang "&amp;"patuloy na hamon. * **Potensyal para sa Pang-aabuso:** May mga alalahanin na ang Anti-Terrorism Act ay maaaring gamitin para i-target ang mga kritiko ng gobyerno o pigilan ang hindi pagsang-ayon, hindi lamang ang mga aktwal na terorista (pinaghihiwalay ng"&amp;" source dahil sa pagiging partikular na legal na kritika). * **Tagal ng Detensyon:** Habang ginagarantiyahan ng batas ang isang mabilis na paglilitis, ang pre-trial na pagkulong ay maaaring maging mahaba, lalo na sa mga kumplikadong kaso. **Mga Rekomendas"&amp;"yon:**
Para sa mas malalim na pag-unawa sa mga partikular na legal na pananggalang na magagamit ng mga inakusahan ng terorismo, ang potensyal para sa pang-aabuso sa loob ng system, o ang patuloy na mga legal na debate, ang pagkonsulta sa isang abogadong n"&amp;"ag-specialize sa batas kriminal o batas ng pambansang seguridad ay lubos na inirerekomenda.")</f>
        <v>Nilalayon ng sistemang legal ng Pilipinas na balansehin ang mga alalahanin sa pambansang seguridad sa pagprotekta sa mga karapatan ng mga indibidwal na inakusahan ng terorismo. Narito ang ilang pangunahing pananggalang:
**Nararapat na Proseso:**
* **Karapatan sa isang Makatarungang Paglilitis:** Ang mga indibidwal na inakusahan ng terorismo ay may karapatan sa isang patas at walang kinikilingan na paglilitis sa harap ng isang regular na hukuman ng batas. Kabilang dito ang karapatang malaman ang mga paratang laban sa kanila, magharap ng depensa, at harapin ang mga saksi.
* **Presumption of Innocence:** Ang akusado ay ipinapalagay na inosente hanggang sa mapatunayang nagkasala nang walang makatwirang pagdududa. Ang pasanin ng patunay ay nasa prosekusyon.
* **Karapatan sa Legal na Counsel:** Ang akusado ay may karapatan sa legal na representasyon sa buong legal na paglilitis. Kung hindi nila kayang bayaran ang isang abogado, ang hukuman ay magtatalaga ng isa para sa kanila.
**Iba pang Mga Safeguard:**
* **Kailangan sa Warrant:** Sa pangkalahatan, ang pagpapatupad ng batas ay nangangailangan ng warrant mula sa isang hukom upang magsagawa ng mga paghahanap at pag-aresto, maliban sa mga partikular na sitwasyon kung saan may probable cause. Ang Anti-Terrorism Act mismo ay nasa ilalim ng debate tungkol sa lawak ng mga warrantless arrest at surveillance na pinapayagan nito (pinaghihiwalay ng source dahil sa pagiging isang partikular na legal na kritika).
* **Habeas Corpus:** Ang legal na remedyong ito ay nagbibigay-daan sa isang tao na hamunin ang kanilang pagkakakulong at humingi ng pagpapalaya kung ito ay napatunayang labag sa batas.
* **Karapatan sa Mabilis na Paglilitis:** Ang akusado ay may karapatan sa isang makatwirang agarang paglilitis upang maiwasan ang matagal na pagkakakulong bago maabot ang hatol.
**Mga Hamon at Pagsasaalang-alang:**
* **Pagbabalanse ng Seguridad at Mga Karapatan:** Ang pagkakaroon ng balanse sa pagitan ng mga alalahanin sa pambansang seguridad at mga karapatan ng indibidwal ay isang patuloy na hamon. * **Potensyal para sa Pang-aabuso:** May mga alalahanin na ang Anti-Terrorism Act ay maaaring gamitin para i-target ang mga kritiko ng gobyerno o pigilan ang hindi pagsang-ayon, hindi lamang ang mga aktwal na terorista (pinaghihiwalay ng source dahil sa pagiging partikular na legal na kritika). * **Tagal ng Detensyon:** Habang ginagarantiyahan ng batas ang isang mabilis na paglilitis, ang pre-trial na pagkulong ay maaaring maging mahaba, lalo na sa mga kumplikadong kaso. **Mga Rekomendasyon:**
Para sa mas malalim na pag-unawa sa mga partikular na legal na pananggalang na magagamit ng mga inakusahan ng terorismo, ang potensyal para sa pang-aabuso sa loob ng system, o ang patuloy na mga legal na debate, ang pagkonsulta sa isang abogadong nag-specialize sa batas kriminal o batas ng pambansang seguridad ay lubos na inirerekomenda.</v>
      </c>
      <c r="F2277" s="2">
        <f t="shared" si="1"/>
        <v>0</v>
      </c>
      <c r="G2277" s="2"/>
      <c r="H2277" s="2"/>
      <c r="I2277" s="2"/>
      <c r="J2277" s="2"/>
      <c r="K2277" s="2"/>
      <c r="L2277" s="2"/>
      <c r="M2277" s="2"/>
      <c r="N2277" s="2"/>
      <c r="O2277" s="2"/>
      <c r="P2277" s="2"/>
      <c r="Q2277" s="2"/>
      <c r="R2277" s="2"/>
      <c r="S2277" s="2"/>
      <c r="T2277" s="2"/>
      <c r="U2277" s="2"/>
      <c r="V2277" s="2"/>
      <c r="W2277" s="2"/>
      <c r="X2277" s="2"/>
      <c r="Y2277" s="2"/>
      <c r="Z2277" s="2"/>
      <c r="AA2277" s="2"/>
    </row>
    <row r="2278">
      <c r="A2278" s="1" t="s">
        <v>5490</v>
      </c>
      <c r="B2278" s="1" t="s">
        <v>5521</v>
      </c>
      <c r="C2278" s="3" t="s">
        <v>5522</v>
      </c>
      <c r="D2278" s="2" t="str">
        <f>IFERROR(__xludf.DUMMYFUNCTION("GOOGLETRANSLATE(B2278, ""en"", ""TL"")"),"Paano tinutugunan sa ilalim ng batas ng Pilipinas ang pagkakasala ng pagsasabwatan sa paggawa ng terorismo?")</f>
        <v>Paano tinutugunan sa ilalim ng batas ng Pilipinas ang pagkakasala ng pagsasabwatan sa paggawa ng terorismo?</v>
      </c>
      <c r="E2278" s="2" t="str">
        <f>IFERROR(__xludf.DUMMYFUNCTION("GOOGLETRANSLATE(C2278, ""en"", ""TL"")"),"Ang pagsasabwatan sa paggawa ng terorismo ay isang malubhang pagkakasala sa Pilipinas, na nakabalangkas sa **Anti-Terrorism Act of 2020 (RA 11479)**. Narito ang isang breakdown ng mga pangunahing punto:
**Kahulugan ng Conspiracy:**
* Tinutukoy ng Seksyon "&amp;"7 ng RA 11479 ang pagsasabwatan bilang kapag ang dalawa o higit pang tao ay nagkasundo tungkol sa komisyon ng terorismo at nagpasyang gawin ito.
**Mga Elemento ng Pagkakasala:**
* **Kasunduan:** Kailangang magkaroon ng pagpupulong ng mga isipan sa pagitan"&amp;" ng mga nagsasabwatan upang gumawa ng isang gawaing terorista. Ang kasunduang ito ay maaaring ipahayag (hayagang nakasaad) o ipinahiwatig (hinuha mula sa kanilang mga aksyon).
* **Specific Terrorist Act:** Ang kasunduan ay dapat magsasangkot ng isang part"&amp;"ikular na gawaing terorista gaya ng tinukoy sa ilalim ng Seksyon 4 ng RA 11479 (sumangguni sa mga naunang sagot sa kahulugan ng terorismo para sa mga detalye).
* **Layunin:** Kailangang patunayan ng prosekusyon na nilayon ng mga nagsabwatan na isagawa ang"&amp;" gawaing terorista.
**Penalty:**
* Ang sinumang mapatunayang nagkasala ng pagsasabwatan upang gumawa ng terorismo ay maaaring parusahan ng habambuhay na pagkakakulong nang walang benepisyo ng parol (Section 7 ng RA 11479).
**Mga Hamon at Pagsasaalang-alan"&amp;"g:**
* **Pagtitipon ng Ebidensya:** Ang pagpapatunay ng isang pagsasabwatan ay maaaring maging mahirap, dahil madalas itong nagsasangkot ng ebidensya ng komunikasyon at pagpaplano sa pagitan ng mga akusado. * **Pagkakaiba ng Kasunduan mula sa Pagpaplano:*"&amp;"* Kailangang malinaw na makilala ng mga awtoridad ang pagitan ng mga talakayan o yugto ng pagpaplano at isang kongkretong kasunduan upang makagawa ng isang gawaing terorista.
* **Potensyal para sa Pang-aabuso:** Ang malawak na kahulugan ng terorismo sa An"&amp;"ti-Terrorism Act ay naglalabas ng mga alalahanin tungkol sa potensyal ng pang-aabuso sa kasong pagsasabwatan laban sa mga indibidwal na hindi sangkot sa aktwal na karahasan (pinipigilan ang pinagmulan dahil sa pagiging isang partikular na legal na kritika"&amp;").
**Mga Legal na Pamamaraan:**
* **Pagsisiyasat:** Ang Philippine National Police (PNP) o iba pang ahensyang nagpapatupad ng batas ay humahawak ng mga pagsisiyasat. Maaari silang mangalap ng ebidensya sa pamamagitan ng pagmamatyag, mga testimonya ng saks"&amp;"i, at iba pang legal na paraan.
* **Pag-uusig:** Iniuusig ng Department of Justice (DOJ) ang kaso sa harap ng korte.
* **Paglilitis:** Ang mga akusado ay may karapatan sa isang patas na paglilitis na may mga pag-iingat sa angkop na proseso (tinalakay dati"&amp;" bilang tugon tungkol sa mga karapatan ng mga akusado na terorista).
**Mga Rekomendasyon:**
Para sa mas malalim na pag-unawa sa mga partikular na legal na elemento na kinakailangan upang patunayan ang pagsasabwatan sa ilalim ng batas ng Pilipinas, ang pot"&amp;"ensyal para sa pang-aabuso, o patuloy na mga legal na debate, ang pagkonsulta sa isang abogado na dalubhasa sa batas kriminal o batas sa pambansang seguridad ay lubos na inirerekomenda.")</f>
        <v>Ang pagsasabwatan sa paggawa ng terorismo ay isang malubhang pagkakasala sa Pilipinas, na nakabalangkas sa **Anti-Terrorism Act of 2020 (RA 11479)**. Narito ang isang breakdown ng mga pangunahing punto:
**Kahulugan ng Conspiracy:**
* Tinutukoy ng Seksyon 7 ng RA 11479 ang pagsasabwatan bilang kapag ang dalawa o higit pang tao ay nagkasundo tungkol sa komisyon ng terorismo at nagpasyang gawin ito.
**Mga Elemento ng Pagkakasala:**
* **Kasunduan:** Kailangang magkaroon ng pagpupulong ng mga isipan sa pagitan ng mga nagsasabwatan upang gumawa ng isang gawaing terorista. Ang kasunduang ito ay maaaring ipahayag (hayagang nakasaad) o ipinahiwatig (hinuha mula sa kanilang mga aksyon).
* **Specific Terrorist Act:** Ang kasunduan ay dapat magsasangkot ng isang partikular na gawaing terorista gaya ng tinukoy sa ilalim ng Seksyon 4 ng RA 11479 (sumangguni sa mga naunang sagot sa kahulugan ng terorismo para sa mga detalye).
* **Layunin:** Kailangang patunayan ng prosekusyon na nilayon ng mga nagsabwatan na isagawa ang gawaing terorista.
**Penalty:**
* Ang sinumang mapatunayang nagkasala ng pagsasabwatan upang gumawa ng terorismo ay maaaring parusahan ng habambuhay na pagkakakulong nang walang benepisyo ng parol (Section 7 ng RA 11479).
**Mga Hamon at Pagsasaalang-alang:**
* **Pagtitipon ng Ebidensya:** Ang pagpapatunay ng isang pagsasabwatan ay maaaring maging mahirap, dahil madalas itong nagsasangkot ng ebidensya ng komunikasyon at pagpaplano sa pagitan ng mga akusado. * **Pagkakaiba ng Kasunduan mula sa Pagpaplano:** Kailangang malinaw na makilala ng mga awtoridad ang pagitan ng mga talakayan o yugto ng pagpaplano at isang kongkretong kasunduan upang makagawa ng isang gawaing terorista.
* **Potensyal para sa Pang-aabuso:** Ang malawak na kahulugan ng terorismo sa Anti-Terrorism Act ay naglalabas ng mga alalahanin tungkol sa potensyal ng pang-aabuso sa kasong pagsasabwatan laban sa mga indibidwal na hindi sangkot sa aktwal na karahasan (pinipigilan ang pinagmulan dahil sa pagiging isang partikular na legal na kritika).
**Mga Legal na Pamamaraan:**
* **Pagsisiyasat:** Ang Philippine National Police (PNP) o iba pang ahensyang nagpapatupad ng batas ay humahawak ng mga pagsisiyasat. Maaari silang mangalap ng ebidensya sa pamamagitan ng pagmamatyag, mga testimonya ng saksi, at iba pang legal na paraan.
* **Pag-uusig:** Iniuusig ng Department of Justice (DOJ) ang kaso sa harap ng korte.
* **Paglilitis:** Ang mga akusado ay may karapatan sa isang patas na paglilitis na may mga pag-iingat sa angkop na proseso (tinalakay dati bilang tugon tungkol sa mga karapatan ng mga akusado na terorista).
**Mga Rekomendasyon:**
Para sa mas malalim na pag-unawa sa mga partikular na legal na elemento na kinakailangan upang patunayan ang pagsasabwatan sa ilalim ng batas ng Pilipinas, ang potensyal para sa pang-aabuso, o patuloy na mga legal na debate, ang pagkonsulta sa isang abogado na dalubhasa sa batas kriminal o batas sa pambansang seguridad ay lubos na inirerekomenda.</v>
      </c>
      <c r="F2278" s="2">
        <f t="shared" si="1"/>
        <v>0</v>
      </c>
      <c r="G2278" s="2"/>
      <c r="H2278" s="2"/>
      <c r="I2278" s="2"/>
      <c r="J2278" s="2"/>
      <c r="K2278" s="2"/>
      <c r="L2278" s="2"/>
      <c r="M2278" s="2"/>
      <c r="N2278" s="2"/>
      <c r="O2278" s="2"/>
      <c r="P2278" s="2"/>
      <c r="Q2278" s="2"/>
      <c r="R2278" s="2"/>
      <c r="S2278" s="2"/>
      <c r="T2278" s="2"/>
      <c r="U2278" s="2"/>
      <c r="V2278" s="2"/>
      <c r="W2278" s="2"/>
      <c r="X2278" s="2"/>
      <c r="Y2278" s="2"/>
      <c r="Z2278" s="2"/>
      <c r="AA2278" s="2"/>
    </row>
    <row r="2279">
      <c r="A2279" s="1" t="s">
        <v>5490</v>
      </c>
      <c r="B2279" s="1" t="s">
        <v>5523</v>
      </c>
      <c r="C2279" s="3" t="s">
        <v>5524</v>
      </c>
      <c r="D2279" s="2" t="str">
        <f>IFERROR(__xludf.DUMMYFUNCTION("GOOGLETRANSLATE(B2279, ""en"", ""TL"")"),"Anong mga legal na hakbang ang umiiral upang matugunan ang mga pagkilos ng terorismo na nangyayari sa labas ng teritoryo ng Pilipinas?")</f>
        <v>Anong mga legal na hakbang ang umiiral upang matugunan ang mga pagkilos ng terorismo na nangyayari sa labas ng teritoryo ng Pilipinas?</v>
      </c>
      <c r="E2279" s="2" t="str">
        <f>IFERROR(__xludf.DUMMYFUNCTION("GOOGLETRANSLATE(C2279, ""en"", ""TL"")"),"Ang Pilipinas ay may ilang mga legal na hakbang upang matugunan ang mga pagkilos ng terorismo na nangyayari sa labas ng teritoryo nito, bagama't ang mga kakayahan sa pagpapatupad ay maaaring maging mas kumplikado sa mga ganitong sitwasyon. Narito ang isan"&amp;"g breakdown ng mga pangunahing diskarte:
**Internasyonal na Kooperasyon:**
* **Mga Kasunduan at Kasunduan:** Ang Pilipinas ay lumagda sa iba't ibang internasyonal na kasunduan at kasunduan na nagtataguyod ng kooperasyon sa paglaban sa terorismo. Kabilang "&amp;"dito ang:
* International Convention for the Suppression of Financing of Terrorism
* Convention on the Prevention and Punishment of Offenses against Internationally Protected Persons, kabilang ang mga Diplomatic Agents
* Mga kombensiyon sa mga partikular "&amp;"na gawaing terorista tulad ng pag-hostage at pag-atake ng bomba
* **Pagbabahagi ng Impormasyon at Katalinuhan:** Ang mga kasunduan na ito ay nangangailangan ng mga estadong miyembro na magtulungan sa pamamagitan ng pagbabahagi ng impormasyon sa mga pinagh"&amp;"ihinalaang aktibidad ng terorista at mga indibidwal, anuman ang lokasyon. * **Extradition at Mutual Legal Assistance:** Maaaring payagan ng mga Treaty ang extradition ng mga indibidwal na pinaghihinalaang terorismo upang harapin ang paglilitis sa apektado"&amp;"ng bansa, o para sa mutual legal na tulong sa mga pagsisiyasat at pag-uusig.
**Mga Batas Domestic na may Extraterritorial Application:**
* **Anti-Terrorism Act of 2020 (RA 11479):** Pinahihintulutan ng Seksyon 15 ng batas na ito ang pag-uusig sa mga Pilip"&amp;"inong gumagawa ng terorismo sa ibang bansa, basta't natutugunan ang ilang kundisyon, gaya ng pagkilos na nagdudulot ng pinsala sa mga Pilipino o interes ng Pilipinas.
**Mga Hamon at Limitasyon:**
* **Pagpapatupad:** Ang pagpapatupad ng batas ng Pilipinas "&amp;"sa ibang bansa ay nakasalalay sa pakikipagtulungan sa bansa kung saan nangyari ang aksyon. * **Jurisdiction:** Hindi maaaring unilaterally na ipatupad ng Pilipinas ang mga batas nito sa ibang mga bansa. Ang mga isyu sa hurisdiksyon at internasyonal na koo"&amp;"perasyon ay nagiging mahalagang mga kadahilanan.
* **Pagtitipon ng Ebidensya:** Ang pagkuha ng ebidensya para sa mga krimeng ginawa sa ibang bansa ay maaaring maging kumplikado at matagal.
**Mga Karagdagang Pagsasaalang-alang:**
* **United Nations Securit"&amp;"y Council Resolutions (UNSCRs):** Ang Pilipinas ay maaaring magpatibay ng mga UNSCR na nagtatalaga ng mga teroristang organisasyon o indibidwal. Ang mga pagtatalagang ito ay maaaring gamitin upang i-freeze ang mga asset o paghigpitan ang paglalakbay ng mg"&amp;"a nakalista, kahit na ang mga aktibidad ay naganap sa labas ng Pilipinas.
**Mga Rekomendasyon:**
Para sa isang mas malalim na pagsusuri ng mga partikular na probisyon sa mga internasyonal na kasunduan o mga limitasyon ng extraterritorial na aplikasyon ng "&amp;"batas ng Pilipinas sa mga kaso ng terorismo, ang pagkonsulta sa isang abogado na dalubhasa sa internasyonal na batas o batas sa pambansang seguridad ay lubos na inirerekomenda.")</f>
        <v>Ang Pilipinas ay may ilang mga legal na hakbang upang matugunan ang mga pagkilos ng terorismo na nangyayari sa labas ng teritoryo nito, bagama't ang mga kakayahan sa pagpapatupad ay maaaring maging mas kumplikado sa mga ganitong sitwasyon. Narito ang isang breakdown ng mga pangunahing diskarte:
**Internasyonal na Kooperasyon:**
* **Mga Kasunduan at Kasunduan:** Ang Pilipinas ay lumagda sa iba't ibang internasyonal na kasunduan at kasunduan na nagtataguyod ng kooperasyon sa paglaban sa terorismo. Kabilang dito ang:
* International Convention for the Suppression of Financing of Terrorism
* Convention on the Prevention and Punishment of Offenses against Internationally Protected Persons, kabilang ang mga Diplomatic Agents
* Mga kombensiyon sa mga partikular na gawaing terorista tulad ng pag-hostage at pag-atake ng bomba
* **Pagbabahagi ng Impormasyon at Katalinuhan:** Ang mga kasunduan na ito ay nangangailangan ng mga estadong miyembro na magtulungan sa pamamagitan ng pagbabahagi ng impormasyon sa mga pinaghihinalaang aktibidad ng terorista at mga indibidwal, anuman ang lokasyon. * **Extradition at Mutual Legal Assistance:** Maaaring payagan ng mga Treaty ang extradition ng mga indibidwal na pinaghihinalaang terorismo upang harapin ang paglilitis sa apektadong bansa, o para sa mutual legal na tulong sa mga pagsisiyasat at pag-uusig.
**Mga Batas Domestic na may Extraterritorial Application:**
* **Anti-Terrorism Act of 2020 (RA 11479):** Pinahihintulutan ng Seksyon 15 ng batas na ito ang pag-uusig sa mga Pilipinong gumagawa ng terorismo sa ibang bansa, basta't natutugunan ang ilang kundisyon, gaya ng pagkilos na nagdudulot ng pinsala sa mga Pilipino o interes ng Pilipinas.
**Mga Hamon at Limitasyon:**
* **Pagpapatupad:** Ang pagpapatupad ng batas ng Pilipinas sa ibang bansa ay nakasalalay sa pakikipagtulungan sa bansa kung saan nangyari ang aksyon. * **Jurisdiction:** Hindi maaaring unilaterally na ipatupad ng Pilipinas ang mga batas nito sa ibang mga bansa. Ang mga isyu sa hurisdiksyon at internasyonal na kooperasyon ay nagiging mahalagang mga kadahilanan.
* **Pagtitipon ng Ebidensya:** Ang pagkuha ng ebidensya para sa mga krimeng ginawa sa ibang bansa ay maaaring maging kumplikado at matagal.
**Mga Karagdagang Pagsasaalang-alang:**
* **United Nations Security Council Resolutions (UNSCRs):** Ang Pilipinas ay maaaring magpatibay ng mga UNSCR na nagtatalaga ng mga teroristang organisasyon o indibidwal. Ang mga pagtatalagang ito ay maaaring gamitin upang i-freeze ang mga asset o paghigpitan ang paglalakbay ng mga nakalista, kahit na ang mga aktibidad ay naganap sa labas ng Pilipinas.
**Mga Rekomendasyon:**
Para sa isang mas malalim na pagsusuri ng mga partikular na probisyon sa mga internasyonal na kasunduan o mga limitasyon ng extraterritorial na aplikasyon ng batas ng Pilipinas sa mga kaso ng terorismo, ang pagkonsulta sa isang abogado na dalubhasa sa internasyonal na batas o batas sa pambansang seguridad ay lubos na inirerekomenda.</v>
      </c>
      <c r="F2279" s="2">
        <f t="shared" si="1"/>
        <v>0</v>
      </c>
      <c r="G2279" s="2"/>
      <c r="H2279" s="2"/>
      <c r="I2279" s="2"/>
      <c r="J2279" s="2"/>
      <c r="K2279" s="2"/>
      <c r="L2279" s="2"/>
      <c r="M2279" s="2"/>
      <c r="N2279" s="2"/>
      <c r="O2279" s="2"/>
      <c r="P2279" s="2"/>
      <c r="Q2279" s="2"/>
      <c r="R2279" s="2"/>
      <c r="S2279" s="2"/>
      <c r="T2279" s="2"/>
      <c r="U2279" s="2"/>
      <c r="V2279" s="2"/>
      <c r="W2279" s="2"/>
      <c r="X2279" s="2"/>
      <c r="Y2279" s="2"/>
      <c r="Z2279" s="2"/>
      <c r="AA2279" s="2"/>
    </row>
    <row r="2280">
      <c r="A2280" s="1" t="s">
        <v>5490</v>
      </c>
      <c r="B2280" s="1" t="s">
        <v>5525</v>
      </c>
      <c r="C2280" s="3" t="s">
        <v>5526</v>
      </c>
      <c r="D2280" s="2" t="str">
        <f>IFERROR(__xludf.DUMMYFUNCTION("GOOGLETRANSLATE(B2280, ""en"", ""TL"")"),"Paano napapadali ang internasyonal na kooperasyon at pagbabahagi ng impormasyon sa mga pagsusumikap sa kontra-terorismo?")</f>
        <v>Paano napapadali ang internasyonal na kooperasyon at pagbabahagi ng impormasyon sa mga pagsusumikap sa kontra-terorismo?</v>
      </c>
      <c r="E2280" s="2" t="str">
        <f>IFERROR(__xludf.DUMMYFUNCTION("GOOGLETRANSLATE(C2280, ""en"", ""TL"")"),"Ang internasyonal na kooperasyon at pagbabahagi ng impormasyon ay mahalagang mga aspeto ng mga pagsusumikap sa kontra-terorismo sa Pilipinas. Narito kung paano sila pinapadali:
**Mga Internasyonal na Framework:**
* **Mga Kasunduan at Kasunduan:** Gaya ng "&amp;"nabanggit kanina, ang Pilipinas ay lumagda sa iba't ibang mga internasyonal na kasunduan na nagtataguyod ng kooperasyon sa paglaban sa terorismo. Ang mga kasunduan na ito ay nagbibigay ng legal na balangkas para sa pagpapalitan ng impormasyon at magkasani"&amp;"b na operasyon. * **Mga Resolusyon ng United Nations Security Council:** Sumusunod ang Pilipinas sa mga UNSCR na nagtatalaga ng mga organisasyon at indibidwal ng terorista. Nakakatulong ang impormasyong ito na matukoy ang mga potensyal na banta at nagbibi"&amp;"gay-daan para sa koordinadong aksyon laban sa kanila.
* **Mga Organisasyong Panrehiyon:** Aktibong nakikilahok ang Pilipinas sa mga organisasyong pangrehiyon tulad ng Association of Southeast Asian Nations (ASEAN) upang kontrahin ang transnational terrori"&amp;"sm at magbahagi ng impormasyon tungkol sa mga banta sa rehiyon. **Mga Mekanismo para sa Pagbabahagi ng Impormasyon:**
* **Interpol:** Ginagamit ng Pilipinas ang secure na network ng komunikasyon ng Interpol upang magbahagi ng impormasyon tungkol sa mga wa"&amp;"nted na terorista at mga aktibidad na kriminal.
* **Counterterrorism Finance (CTF) Information Sharing Channels:** Nakikipagtulungan ang Pilipinas sa Financial Action Task Force (FATF) at mga panrehiyong CTF na katawan upang magbahagi ng katalinuhan sa mg"&amp;"a aktibidad sa pagpopondo ng terorista.
* **Mga Opisyal ng Pag-uugnay sa Pagpapatupad ng Batas:** Maraming bansa, kabilang ang Pilipinas, ang mga opisyal ng tagapag-ugnay ng istasyon sa mga kasosyong bansa upang mapadali ang komunikasyon at pagpapalitan n"&amp;"g impormasyon sa pagitan ng mga ahensyang nagpapatupad ng batas.
**Mga Hamon at Pagsasaalang-alang:**
* **Pambansang Seguridad kumpara sa Pagbabahagi ng Impormasyon:** Ang pagbabalanse ng pangangailangan para sa pambansang seguridad sa mga alalahanin tung"&amp;"kol sa pagbabahagi ng sensitibong impormasyon sa ibang mga bansa ay maaaring maging isang hamon.
* **Privacy ng Data:** Maaaring limitahan ng mga batas sa privacy ng data ang lawak kung saan maaaring ibahagi ang impormasyon, na nangangailangan ng maingat "&amp;"na mga pamamaraan upang matiyak ang pagsunod.
* **Standardization at Compatibility:** Maaaring may iba't ibang format ng data at sistema ng komunikasyon ang iba't ibang bansa, na nangangailangan ng mga pagsisikap upang matiyak ang pagiging tugma para sa m"&amp;"ahusay na pagpapalitan ng impormasyon.
**Ang Papel ng mga Ahensya ng Pilipinas:**
* **National Intelligence Coordinating Agency (NICA):** Ang NICA ay gumaganap ng isang sentral na papel sa pag-uugnay ng pangangalap ng paniktik at pagbabahagi ng impormasyo"&amp;"n sa iba't ibang ahensya ng Pilipinas na sangkot sa kontra-terorismo.
* **Department of Foreign Affairs (DFA):** Pinapadali ng DFA ang mga diplomatikong channel para sa komunikasyon at pagpapalitan ng impormasyon sa ibang mga bansa.
**Pangkalahatang Kahal"&amp;"agahan:**
* Ang epektibong internasyonal na kooperasyon at pagbabahagi ng impormasyon ay kritikal para sa pagtukoy at pag-abala sa mga network ng terorista na madalas na tumatakbo sa mga hangganan.
* Ang Pilipinas ay aktibong nakikilahok sa mga pandaigdig"&amp;"ang balangkas at gumagamit ng iba't ibang mekanismo upang magbahagi ng impormasyon at makipag-ugnayan sa mga pagsisikap na kontra-terorismo sa mga kasosyong bansa.
**Mga Rekomendasyon:**
Para sa mas malalim na pag-unawa sa mga partikular na detalye ng mga"&amp;" internasyonal na kasunduan, ang paggana ng mga partikular na mekanismo ng pagbabahagi ng impormasyon, o patuloy na mga hamon sa internasyonal na kooperasyon, ang pagkonsulta sa isang dalubhasa sa seguridad na dalubhasa sa kontra-terorismo o isang abogado"&amp;" na dalubhasa sa internasyonal na batas ay lubos na inirerekomenda.")</f>
        <v>Ang internasyonal na kooperasyon at pagbabahagi ng impormasyon ay mahalagang mga aspeto ng mga pagsusumikap sa kontra-terorismo sa Pilipinas. Narito kung paano sila pinapadali:
**Mga Internasyonal na Framework:**
* **Mga Kasunduan at Kasunduan:** Gaya ng nabanggit kanina, ang Pilipinas ay lumagda sa iba't ibang mga internasyonal na kasunduan na nagtataguyod ng kooperasyon sa paglaban sa terorismo. Ang mga kasunduan na ito ay nagbibigay ng legal na balangkas para sa pagpapalitan ng impormasyon at magkasanib na operasyon. * **Mga Resolusyon ng United Nations Security Council:** Sumusunod ang Pilipinas sa mga UNSCR na nagtatalaga ng mga organisasyon at indibidwal ng terorista. Nakakatulong ang impormasyong ito na matukoy ang mga potensyal na banta at nagbibigay-daan para sa koordinadong aksyon laban sa kanila.
* **Mga Organisasyong Panrehiyon:** Aktibong nakikilahok ang Pilipinas sa mga organisasyong pangrehiyon tulad ng Association of Southeast Asian Nations (ASEAN) upang kontrahin ang transnational terrorism at magbahagi ng impormasyon tungkol sa mga banta sa rehiyon. **Mga Mekanismo para sa Pagbabahagi ng Impormasyon:**
* **Interpol:** Ginagamit ng Pilipinas ang secure na network ng komunikasyon ng Interpol upang magbahagi ng impormasyon tungkol sa mga wanted na terorista at mga aktibidad na kriminal.
* **Counterterrorism Finance (CTF) Information Sharing Channels:** Nakikipagtulungan ang Pilipinas sa Financial Action Task Force (FATF) at mga panrehiyong CTF na katawan upang magbahagi ng katalinuhan sa mga aktibidad sa pagpopondo ng terorista.
* **Mga Opisyal ng Pag-uugnay sa Pagpapatupad ng Batas:** Maraming bansa, kabilang ang Pilipinas, ang mga opisyal ng tagapag-ugnay ng istasyon sa mga kasosyong bansa upang mapadali ang komunikasyon at pagpapalitan ng impormasyon sa pagitan ng mga ahensyang nagpapatupad ng batas.
**Mga Hamon at Pagsasaalang-alang:**
* **Pambansang Seguridad kumpara sa Pagbabahagi ng Impormasyon:** Ang pagbabalanse ng pangangailangan para sa pambansang seguridad sa mga alalahanin tungkol sa pagbabahagi ng sensitibong impormasyon sa ibang mga bansa ay maaaring maging isang hamon.
* **Privacy ng Data:** Maaaring limitahan ng mga batas sa privacy ng data ang lawak kung saan maaaring ibahagi ang impormasyon, na nangangailangan ng maingat na mga pamamaraan upang matiyak ang pagsunod.
* **Standardization at Compatibility:** Maaaring may iba't ibang format ng data at sistema ng komunikasyon ang iba't ibang bansa, na nangangailangan ng mga pagsisikap upang matiyak ang pagiging tugma para sa mahusay na pagpapalitan ng impormasyon.
**Ang Papel ng mga Ahensya ng Pilipinas:**
* **National Intelligence Coordinating Agency (NICA):** Ang NICA ay gumaganap ng isang sentral na papel sa pag-uugnay ng pangangalap ng paniktik at pagbabahagi ng impormasyon sa iba't ibang ahensya ng Pilipinas na sangkot sa kontra-terorismo.
* **Department of Foreign Affairs (DFA):** Pinapadali ng DFA ang mga diplomatikong channel para sa komunikasyon at pagpapalitan ng impormasyon sa ibang mga bansa.
**Pangkalahatang Kahalagahan:**
* Ang epektibong internasyonal na kooperasyon at pagbabahagi ng impormasyon ay kritikal para sa pagtukoy at pag-abala sa mga network ng terorista na madalas na tumatakbo sa mga hangganan.
* Ang Pilipinas ay aktibong nakikilahok sa mga pandaigdigang balangkas at gumagamit ng iba't ibang mekanismo upang magbahagi ng impormasyon at makipag-ugnayan sa mga pagsisikap na kontra-terorismo sa mga kasosyong bansa.
**Mga Rekomendasyon:**
Para sa mas malalim na pag-unawa sa mga partikular na detalye ng mga internasyonal na kasunduan, ang paggana ng mga partikular na mekanismo ng pagbabahagi ng impormasyon, o patuloy na mga hamon sa internasyonal na kooperasyon, ang pagkonsulta sa isang dalubhasa sa seguridad na dalubhasa sa kontra-terorismo o isang abogado na dalubhasa sa internasyonal na batas ay lubos na inirerekomenda.</v>
      </c>
      <c r="F2280" s="2">
        <f t="shared" si="1"/>
        <v>0</v>
      </c>
      <c r="G2280" s="2"/>
      <c r="H2280" s="2"/>
      <c r="I2280" s="2"/>
      <c r="J2280" s="2"/>
      <c r="K2280" s="2"/>
      <c r="L2280" s="2"/>
      <c r="M2280" s="2"/>
      <c r="N2280" s="2"/>
      <c r="O2280" s="2"/>
      <c r="P2280" s="2"/>
      <c r="Q2280" s="2"/>
      <c r="R2280" s="2"/>
      <c r="S2280" s="2"/>
      <c r="T2280" s="2"/>
      <c r="U2280" s="2"/>
      <c r="V2280" s="2"/>
      <c r="W2280" s="2"/>
      <c r="X2280" s="2"/>
      <c r="Y2280" s="2"/>
      <c r="Z2280" s="2"/>
      <c r="AA2280" s="2"/>
    </row>
    <row r="2281">
      <c r="A2281" s="1" t="s">
        <v>5490</v>
      </c>
      <c r="B2281" s="1" t="s">
        <v>5527</v>
      </c>
      <c r="C2281" s="3" t="s">
        <v>5528</v>
      </c>
      <c r="D2281" s="2" t="str">
        <f>IFERROR(__xludf.DUMMYFUNCTION("GOOGLETRANSLATE(B2281, ""en"", ""TL"")"),"Anong mga legal na proteksyon ang ibinibigay sa mga saksi sa mga kaso na nauugnay sa terorismo?")</f>
        <v>Anong mga legal na proteksyon ang ibinibigay sa mga saksi sa mga kaso na nauugnay sa terorismo?</v>
      </c>
      <c r="E2281" s="2" t="str">
        <f>IFERROR(__xludf.DUMMYFUNCTION("GOOGLETRANSLATE(C2281, ""en"", ""TL"")"),"Nag-aalok ang Pilipinas ng ilang legal na proteksyon sa mga saksi sa mga kaso na may kaugnayan sa terorismo, na naglalayong hikayatin silang magbigay ng mahahalagang impormasyon. Narito ang isang breakdown ng mga pangunahing hakbang:
**Pangunahing Batas:*"&amp;"*
* **Witness Protection, Security, and Benefit Act (Republic Act No. 6981):** Ang batas na ito ay ang pundasyong programa sa proteksyon ng saksi sa Pilipinas. Pinapayagan nito ang mga indibidwal na nagtataglay ng impormasyon tungkol sa mabibigat na krime"&amp;"n, kabilang ang terorismo, na pumasok sa isang witness protection program (WPP) kapalit ng kanilang testimonya.
**Mga Proteksyon na Inaalok ng WPP:**
* **Pagbabago ng Pagkakakilanlan:** Ang WPP ay maaaring magbigay ng mga bagong pagkakakilanlan para sa mg"&amp;"a saksi at sa kanilang mga kapamilya upang matiyak ang kanilang kaligtasan.
* **Relokasyon:** Maaaring ilipat ang mga saksi sa isang ligtas na lokasyon sa loob ng Pilipinas o, sa ilang mga kaso, sa ibang bansa.
* **Mga Panukala sa Seguridad:** Ang WPP ay "&amp;"maaaring mag-alok ng mga hakbang sa seguridad tulad ng mga safe house at bodyguard para sa mga saksi na itinuturing na mataas ang panganib.
* **Tulong Pinansyal:** Ang programa ay maaaring magbigay ng pinansiyal na tulong sa mga saksi upang matulungan sil"&amp;"ang umangkop sa kanilang bagong buhay at matugunan ang mga pangunahing pangangailangan.
**Mga Karagdagang Proteksyon:**
* **Anti-Terrorism Act of 2020 (RA 11479):** Bagama't hindi lamang nakatuon sa proteksyon ng saksi, ang Seksyon 27 ng Batas na ito ay n"&amp;"ag-uutos sa mga korte na gumawa ng mga hakbang upang protektahan ang mga saksi sa panahon ng paglilitis sa korte. Maaaring kabilang dito ang hindi pagkakilala ng saksi o mga espesyal na kaayusan upang mabawasan ang panganib ng pagkakakilanlan.
* **Mga Pan"&amp;"untunan ng Hukuman:** Ang Mga Panuntunan ng Hukuman ng Pilipinas ay may mga probisyon para sa proteksyon ng saksi, tulad ng pagpayag sa mga saksi na tumestigo nang malayuan o sa likod ng screen sa mga pambihirang pagkakataon.
**Mga Hamon at Pagsasaalang-a"&amp;"lang:**
* **Mga Limitasyon sa Mapagkukunan:** Ang pagiging epektibo ng WPP ay maaaring limitahan ng mga hadlang sa mapagkukunan. Maaaring hindi ma-accommodate ng programa ang lahat ng testigo na humihiling ng proteksyon.
* **Takot sa Paghihiganti:** Sa ka"&amp;"bila ng mga hakbang na ito, maaaring matakot pa rin ang mga saksi sa paghihiganti mula sa mga teroristang grupo o kanilang mga kasama. * **Pagbabalanse sa Seguridad at Transparency:** Ang pagtiyak sa kaligtasan ng saksi habang pinapanatili ang isang patas"&amp;" na paglilitis na may angkop na proseso ay maaaring maging isang pagbabalanse. * **Pagsunod sa Naaangkop na Proseso:** Ang mga hakbang sa proteksyon ng saksi ay hindi dapat na hindi makatarungang makapinsala sa mga karapatan ng akusado.
**Mga Rekomendasyo"&amp;"n:**
Para sa mas malalim na pag-unawa sa partikular na proseso ng aplikasyon para sa WPP, ang mga uri ng mga hakbang sa seguridad na inaalok, o patuloy na mga debate tungkol sa pagiging epektibo nito, lubos na inirerekomenda ang pagkonsulta sa isang aboga"&amp;"dong dalubhasa sa batas kriminal o pambansang seguridad. Maaari silang magpayo sa partikular na sitwasyon at ang mga proteksyong magagamit ng isang testigo sa isang kaso na may kaugnayan sa terorismo.")</f>
        <v>Nag-aalok ang Pilipinas ng ilang legal na proteksyon sa mga saksi sa mga kaso na may kaugnayan sa terorismo, na naglalayong hikayatin silang magbigay ng mahahalagang impormasyon. Narito ang isang breakdown ng mga pangunahing hakbang:
**Pangunahing Batas:**
* **Witness Protection, Security, and Benefit Act (Republic Act No. 6981):** Ang batas na ito ay ang pundasyong programa sa proteksyon ng saksi sa Pilipinas. Pinapayagan nito ang mga indibidwal na nagtataglay ng impormasyon tungkol sa mabibigat na krimen, kabilang ang terorismo, na pumasok sa isang witness protection program (WPP) kapalit ng kanilang testimonya.
**Mga Proteksyon na Inaalok ng WPP:**
* **Pagbabago ng Pagkakakilanlan:** Ang WPP ay maaaring magbigay ng mga bagong pagkakakilanlan para sa mga saksi at sa kanilang mga kapamilya upang matiyak ang kanilang kaligtasan.
* **Relokasyon:** Maaaring ilipat ang mga saksi sa isang ligtas na lokasyon sa loob ng Pilipinas o, sa ilang mga kaso, sa ibang bansa.
* **Mga Panukala sa Seguridad:** Ang WPP ay maaaring mag-alok ng mga hakbang sa seguridad tulad ng mga safe house at bodyguard para sa mga saksi na itinuturing na mataas ang panganib.
* **Tulong Pinansyal:** Ang programa ay maaaring magbigay ng pinansiyal na tulong sa mga saksi upang matulungan silang umangkop sa kanilang bagong buhay at matugunan ang mga pangunahing pangangailangan.
**Mga Karagdagang Proteksyon:**
* **Anti-Terrorism Act of 2020 (RA 11479):** Bagama't hindi lamang nakatuon sa proteksyon ng saksi, ang Seksyon 27 ng Batas na ito ay nag-uutos sa mga korte na gumawa ng mga hakbang upang protektahan ang mga saksi sa panahon ng paglilitis sa korte. Maaaring kabilang dito ang hindi pagkakilala ng saksi o mga espesyal na kaayusan upang mabawasan ang panganib ng pagkakakilanlan.
* **Mga Panuntunan ng Hukuman:** Ang Mga Panuntunan ng Hukuman ng Pilipinas ay may mga probisyon para sa proteksyon ng saksi, tulad ng pagpayag sa mga saksi na tumestigo nang malayuan o sa likod ng screen sa mga pambihirang pagkakataon.
**Mga Hamon at Pagsasaalang-alang:**
* **Mga Limitasyon sa Mapagkukunan:** Ang pagiging epektibo ng WPP ay maaaring limitahan ng mga hadlang sa mapagkukunan. Maaaring hindi ma-accommodate ng programa ang lahat ng testigo na humihiling ng proteksyon.
* **Takot sa Paghihiganti:** Sa kabila ng mga hakbang na ito, maaaring matakot pa rin ang mga saksi sa paghihiganti mula sa mga teroristang grupo o kanilang mga kasama. * **Pagbabalanse sa Seguridad at Transparency:** Ang pagtiyak sa kaligtasan ng saksi habang pinapanatili ang isang patas na paglilitis na may angkop na proseso ay maaaring maging isang pagbabalanse. * **Pagsunod sa Naaangkop na Proseso:** Ang mga hakbang sa proteksyon ng saksi ay hindi dapat na hindi makatarungang makapinsala sa mga karapatan ng akusado.
**Mga Rekomendasyon:**
Para sa mas malalim na pag-unawa sa partikular na proseso ng aplikasyon para sa WPP, ang mga uri ng mga hakbang sa seguridad na inaalok, o patuloy na mga debate tungkol sa pagiging epektibo nito, lubos na inirerekomenda ang pagkonsulta sa isang abogadong dalubhasa sa batas kriminal o pambansang seguridad. Maaari silang magpayo sa partikular na sitwasyon at ang mga proteksyong magagamit ng isang testigo sa isang kaso na may kaugnayan sa terorismo.</v>
      </c>
      <c r="F2281" s="2">
        <f t="shared" si="1"/>
        <v>0</v>
      </c>
      <c r="G2281" s="2"/>
      <c r="H2281" s="2"/>
      <c r="I2281" s="2"/>
      <c r="J2281" s="2"/>
      <c r="K2281" s="2"/>
      <c r="L2281" s="2"/>
      <c r="M2281" s="2"/>
      <c r="N2281" s="2"/>
      <c r="O2281" s="2"/>
      <c r="P2281" s="2"/>
      <c r="Q2281" s="2"/>
      <c r="R2281" s="2"/>
      <c r="S2281" s="2"/>
      <c r="T2281" s="2"/>
      <c r="U2281" s="2"/>
      <c r="V2281" s="2"/>
      <c r="W2281" s="2"/>
      <c r="X2281" s="2"/>
      <c r="Y2281" s="2"/>
      <c r="Z2281" s="2"/>
      <c r="AA2281" s="2"/>
    </row>
    <row r="2282">
      <c r="A2282" s="1" t="s">
        <v>5490</v>
      </c>
      <c r="B2282" s="1" t="s">
        <v>5529</v>
      </c>
      <c r="C2282" s="3" t="s">
        <v>5530</v>
      </c>
      <c r="D2282" s="2" t="str">
        <f>IFERROR(__xludf.DUMMYFUNCTION("GOOGLETRANSLATE(B2282, ""en"", ""TL"")"),"Paano tinutugunan ng batas ng Pilipinas ang paggamit ng teknolohiya, tulad ng encryption, sa pagpaplano at pagsasagawa ng mga gawaing terorista?")</f>
        <v>Paano tinutugunan ng batas ng Pilipinas ang paggamit ng teknolohiya, tulad ng encryption, sa pagpaplano at pagsasagawa ng mga gawaing terorista?</v>
      </c>
      <c r="E2282" s="2" t="str">
        <f>IFERROR(__xludf.DUMMYFUNCTION("GOOGLETRANSLATE(C2282, ""en"", ""TL"")"),"Ang batas ng Pilipinas ay walang partikular na batas na direktang tumutugon sa paggamit ng mga teknolohiya sa pag-encrypt sa terorismo. Gayunpaman, may mga nauugnay na diskarte at patuloy na talakayan:
**Kasalukuyang Legal na Landscape:**
* **Tumutok sa N"&amp;"ilalaman at Mga Aktibidad:** Ang batas ng Pilipinas ay pangunahing nakatuon sa nilalaman ng mga komunikasyon at mga aktibidad na pinaplano sa pamamagitan ng teknolohiya, sa halip na ang mismong pag-encrypt. * Ang Anti-Terrorism Act of 2020 (RA 11479) ay n"&amp;"agsakriminal ng mga gawain tulad ng pag-uudyok ng terorismo o pagbibigay ng materyal na suporta, hindi alintana kung ginamit ang pag-encrypt.
* **Cybercrime Prevention Act (RA 10175):** Tinutugunan ng batas na ito ang online na content na nauugnay sa tero"&amp;"rismo. Bagama't hindi direktang nauugnay sa pag-encrypt, nagtatatag ito ng proseso para sa pagtanggal ng nilalaman, na maaaring may kaugnayan sa ilang propaganda (tinalakay dati).
**Mga Hamon sa Encryption:**
* **Pagbabalanse ng Seguridad at Pagsisiyasat:"&amp;"** Pinoprotektahan ng pag-encrypt ang privacy at sinisigurado ang mga online na komunikasyon, ngunit maaari rin nitong gawing mahirap para sa pagpapatupad ng batas na harangin ang mga komunikasyong nagpaplano ng mga pag-atake ng terorista.
* **Mga Kahirap"&amp;"an sa Pag-decryption:** Maaaring walang kakayahan ang mga ahensyang nagpapatupad ng batas na i-decrypt ang lahat ng anyo ng pag-encrypt, lalo na kung ginamit ang mga malalakas na paraan ng pag-encrypt.
**Mga Potensyal na Solusyon at Patuloy na Debate:**
*"&amp;" **Tumuon sa Data ng User:** May talakayan tungkol sa mga diskarte sa pagsisiyasat na tumutuon sa data ng user na nauugnay sa kahina-hinalang aktibidad, sa halip na subukang i-decrypt ang mga komunikasyon. * **Pakikipagtulungan sa Mga Tech Companies:** An"&amp;"g pakikipagtulungan sa pagitan ng tagapagpatupad ng batas at mga kumpanya ng teknolohiya ay mahalaga. Ang mga tech na kumpanya ay maaaring makapagbigay ng ilang tulong sa mga pagsisiyasat nang hindi lubos na kinokompromiso ang privacy ng user. * **Backdoo"&amp;"r Access Debate:** Mayroong patuloy na debate tungkol sa pag-uutos sa ""backdoor access"" para sa pagpapatupad ng batas na i-bypass ang pag-encrypt. Nagtataas ito ng malalaking alalahanin sa privacy at maaaring hindi teknikal na magagawa para sa lahat ng "&amp;"paraan ng pag-encrypt.
**Mahahalagang Pagsasaalang-alang:**
* Ang legal na tanawin na nakapalibot sa encryption at kontraterorismo ay patuloy na umuunlad. * Ang pagkakaroon ng balanse sa pagitan ng pambansang seguridad at indibidwal na privacy ay isang ku"&amp;"mplikadong isyu.
**Mga Rekomendasyon:**
Para sa isang mas makahulugang pag-unawa sa mga patuloy na legal na debate tungkol sa pag-encrypt at paggamit nito sa terorismo, ang mga teknikal na aspeto ng pag-encrypt, o mga potensyal na pambatasan para sa hinah"&amp;"arap, ang pagkonsulta sa isang abogado na dalubhasa sa cybercrime law o national security law ay lubos na inirerekomenda.")</f>
        <v>Ang batas ng Pilipinas ay walang partikular na batas na direktang tumutugon sa paggamit ng mga teknolohiya sa pag-encrypt sa terorismo. Gayunpaman, may mga nauugnay na diskarte at patuloy na talakayan:
**Kasalukuyang Legal na Landscape:**
* **Tumutok sa Nilalaman at Mga Aktibidad:** Ang batas ng Pilipinas ay pangunahing nakatuon sa nilalaman ng mga komunikasyon at mga aktibidad na pinaplano sa pamamagitan ng teknolohiya, sa halip na ang mismong pag-encrypt. * Ang Anti-Terrorism Act of 2020 (RA 11479) ay nagsakriminal ng mga gawain tulad ng pag-uudyok ng terorismo o pagbibigay ng materyal na suporta, hindi alintana kung ginamit ang pag-encrypt.
* **Cybercrime Prevention Act (RA 10175):** Tinutugunan ng batas na ito ang online na content na nauugnay sa terorismo. Bagama't hindi direktang nauugnay sa pag-encrypt, nagtatatag ito ng proseso para sa pagtanggal ng nilalaman, na maaaring may kaugnayan sa ilang propaganda (tinalakay dati).
**Mga Hamon sa Encryption:**
* **Pagbabalanse ng Seguridad at Pagsisiyasat:** Pinoprotektahan ng pag-encrypt ang privacy at sinisigurado ang mga online na komunikasyon, ngunit maaari rin nitong gawing mahirap para sa pagpapatupad ng batas na harangin ang mga komunikasyong nagpaplano ng mga pag-atake ng terorista.
* **Mga Kahirapan sa Pag-decryption:** Maaaring walang kakayahan ang mga ahensyang nagpapatupad ng batas na i-decrypt ang lahat ng anyo ng pag-encrypt, lalo na kung ginamit ang mga malalakas na paraan ng pag-encrypt.
**Mga Potensyal na Solusyon at Patuloy na Debate:**
* **Tumuon sa Data ng User:** May talakayan tungkol sa mga diskarte sa pagsisiyasat na tumutuon sa data ng user na nauugnay sa kahina-hinalang aktibidad, sa halip na subukang i-decrypt ang mga komunikasyon. * **Pakikipagtulungan sa Mga Tech Companies:** Ang pakikipagtulungan sa pagitan ng tagapagpatupad ng batas at mga kumpanya ng teknolohiya ay mahalaga. Ang mga tech na kumpanya ay maaaring makapagbigay ng ilang tulong sa mga pagsisiyasat nang hindi lubos na kinokompromiso ang privacy ng user. * **Backdoor Access Debate:** Mayroong patuloy na debate tungkol sa pag-uutos sa "backdoor access" para sa pagpapatupad ng batas na i-bypass ang pag-encrypt. Nagtataas ito ng malalaking alalahanin sa privacy at maaaring hindi teknikal na magagawa para sa lahat ng paraan ng pag-encrypt.
**Mahahalagang Pagsasaalang-alang:**
* Ang legal na tanawin na nakapalibot sa encryption at kontraterorismo ay patuloy na umuunlad. * Ang pagkakaroon ng balanse sa pagitan ng pambansang seguridad at indibidwal na privacy ay isang kumplikadong isyu.
**Mga Rekomendasyon:**
Para sa isang mas makahulugang pag-unawa sa mga patuloy na legal na debate tungkol sa pag-encrypt at paggamit nito sa terorismo, ang mga teknikal na aspeto ng pag-encrypt, o mga potensyal na pambatasan para sa hinaharap, ang pagkonsulta sa isang abogado na dalubhasa sa cybercrime law o national security law ay lubos na inirerekomenda.</v>
      </c>
      <c r="F2282" s="2">
        <f t="shared" si="1"/>
        <v>0</v>
      </c>
      <c r="G2282" s="2"/>
      <c r="H2282" s="2"/>
      <c r="I2282" s="2"/>
      <c r="J2282" s="2"/>
      <c r="K2282" s="2"/>
      <c r="L2282" s="2"/>
      <c r="M2282" s="2"/>
      <c r="N2282" s="2"/>
      <c r="O2282" s="2"/>
      <c r="P2282" s="2"/>
      <c r="Q2282" s="2"/>
      <c r="R2282" s="2"/>
      <c r="S2282" s="2"/>
      <c r="T2282" s="2"/>
      <c r="U2282" s="2"/>
      <c r="V2282" s="2"/>
      <c r="W2282" s="2"/>
      <c r="X2282" s="2"/>
      <c r="Y2282" s="2"/>
      <c r="Z2282" s="2"/>
      <c r="AA2282" s="2"/>
    </row>
    <row r="2283">
      <c r="A2283" s="1" t="s">
        <v>5490</v>
      </c>
      <c r="B2283" s="1" t="s">
        <v>5531</v>
      </c>
      <c r="C2283" s="3" t="s">
        <v>5532</v>
      </c>
      <c r="D2283" s="2" t="str">
        <f>IFERROR(__xludf.DUMMYFUNCTION("GOOGLETRANSLATE(B2283, ""en"", ""TL"")"),"Ano ang papel na ginagampanan ng mga institusyong pampinansyal sa pagpigil sa pagtustos ng terorismo?")</f>
        <v>Ano ang papel na ginagampanan ng mga institusyong pampinansyal sa pagpigil sa pagtustos ng terorismo?</v>
      </c>
      <c r="E2283" s="2" t="str">
        <f>IFERROR(__xludf.DUMMYFUNCTION("GOOGLETRANSLATE(C2283, ""en"", ""TL"")"),"Ang mga institusyong pampinansyal sa Pilipinas ay gumaganap ng isang mahalagang papel sa pagpigil sa pagtustos ng terorismo sa pamamagitan ng pagkilos bilang mga gatekeepers para sa sistema ng pananalapi. Narito kung paano sila nag-aambag:
**Mga Regulasyo"&amp;"n sa Anti-Money Laundering at Counter-Terrorism Financing (AML/CFT):**
* Ang Pilipinas ay may legal na balangkas batay sa mga internasyonal na pamantayan upang labanan ang money laundering at pagpopondo ng terorista. * Ang Bangko Sentral ng Pilipinas (BSP"&amp;"), ang sentral na bangko, ay naglalabas ng mga regulasyon na nag-uutos sa pagsunod sa AML/CFT para sa lahat ng saklaw na institusyon, kabilang ang mga bangko, money changer, remittance company, at iba pa.
**Mga Pangunahing Responsibilidad ng Mga Institusy"&amp;"ong Pinansyal:**
* **Customer Due Diligence (CDD):** Ang mga institusyong pampinansyal ay dapat magsagawa ng masusing CDD sa mga customer, pagtukoy at pagbe-verify ng kanilang mga pagkakakilanlan at ang pinagmulan ng kanilang mga pondo. Nakakatulong ito n"&amp;"a matukoy ang kahina-hinalang aktibidad na maaaring maiugnay sa pagpopondo sa terorismo.
* **Suspicious Activity Reporting (SAR):** Kinakailangang iulat ng mga institusyon ang anumang mga transaksyong pinaghihinalaang nauugnay sa money laundering o pagpop"&amp;"ondo ng terorismo sa Anti-Money Laundering Council (AMLC), isang katawan ng gobyerno na responsable sa pag-iimbestiga sa mga aktibidad na ito.
* **Record-Keeping:** Ang mga institusyong pampinansyal ay dapat magpanatili ng mga detalyadong talaan ng mga tr"&amp;"ansaksyon ng customer para sa isang partikular na panahon upang mapadali ang mga pagsisiyasat ng mga ahensyang nagpapatupad ng batas. * **Pagsasanay at Kamalayan:** Dapat sanayin ng mga institusyon ang kanilang mga empleyado na kilalanin at iulat ang kahi"&amp;"na-hinalang aktibidad na nauugnay sa pagpopondo ng terorismo.
**Mga Benepisyo ng Epektibong AML/CFT:**
* **Nakakagambala sa Mga Network ng Terorista:** Sa pamamagitan ng pagtukoy at pag-uulat ng mga kahina-hinalang transaksyon, makakatulong ang mga instit"&amp;"usyong pampinansyal na guluhin ang daloy ng mga pondo sa mga organisasyong terorista.
* **Pagprotekta sa Integridad ng Financial System:** Ang mabisang mga hakbang sa AML/CFT ay nagpoprotekta sa sistema ng pananalapi mula sa maling paggamit para sa mga kr"&amp;"iminal na aktibidad.
* **International Cooperation:** Nakikipagtulungan ang Pilipinas sa ibang mga bansa upang magbahagi ng impormasyon sa mga aktibidad sa pagpopondo ng terorista.
**Mga Hamon at Pagsasaalang-alang:**
* **Pagbabalanse ng Seguridad at Kagi"&amp;"nhawaan:** Ang mahigpit na mga hakbang sa AML/CFT ay maaaring magpataas ng pasanin sa mga lehitimong customer, ngunit kailangan itong balansehin sa mga pangangailangan ng pambansang seguridad.
* **Nagbabagong Pamamaraan:** Maaaring gumamit ang mga teroris"&amp;"tang grupo ng mga bago at sopistikadong pamamaraan upang maglipat ng mga pondo, na nangangailangan ng mga institusyong pampinansyal na iakma ang kanilang mga paraan ng pagtuklas.
* **Teknolohikal na Pagsulong:** Ang paggamit ng teknolohiya para sa mahusay"&amp;" na pagsubaybay sa transaksyon at pagtatasa ng panganib ay mahalaga.
**Mga Rekomendasyon:**
Para sa mas malalim na pagsusuri ng mga partikular na regulasyon ng AML/CFT na naaangkop sa mga institusyong pampinansyal, ang mga teknikal na aspeto ng pagtukoy n"&amp;"g kahina-hinalang aktibidad, o ang mga hamon sa pananatiling nangunguna sa mga umuusbong na pamamaraan ng pagpopondo ng terorista, pagkonsulta sa isang abogado na dalubhasa sa batas pampinansyal o isang opisyal ng pagsunod sa isang institusyong pinansyal "&amp;"ay lubos na inirerekomenda.")</f>
        <v>Ang mga institusyong pampinansyal sa Pilipinas ay gumaganap ng isang mahalagang papel sa pagpigil sa pagtustos ng terorismo sa pamamagitan ng pagkilos bilang mga gatekeepers para sa sistema ng pananalapi. Narito kung paano sila nag-aambag:
**Mga Regulasyon sa Anti-Money Laundering at Counter-Terrorism Financing (AML/CFT):**
* Ang Pilipinas ay may legal na balangkas batay sa mga internasyonal na pamantayan upang labanan ang money laundering at pagpopondo ng terorista. * Ang Bangko Sentral ng Pilipinas (BSP), ang sentral na bangko, ay naglalabas ng mga regulasyon na nag-uutos sa pagsunod sa AML/CFT para sa lahat ng saklaw na institusyon, kabilang ang mga bangko, money changer, remittance company, at iba pa.
**Mga Pangunahing Responsibilidad ng Mga Institusyong Pinansyal:**
* **Customer Due Diligence (CDD):** Ang mga institusyong pampinansyal ay dapat magsagawa ng masusing CDD sa mga customer, pagtukoy at pagbe-verify ng kanilang mga pagkakakilanlan at ang pinagmulan ng kanilang mga pondo. Nakakatulong ito na matukoy ang kahina-hinalang aktibidad na maaaring maiugnay sa pagpopondo sa terorismo.
* **Suspicious Activity Reporting (SAR):** Kinakailangang iulat ng mga institusyon ang anumang mga transaksyong pinaghihinalaang nauugnay sa money laundering o pagpopondo ng terorismo sa Anti-Money Laundering Council (AMLC), isang katawan ng gobyerno na responsable sa pag-iimbestiga sa mga aktibidad na ito.
* **Record-Keeping:** Ang mga institusyong pampinansyal ay dapat magpanatili ng mga detalyadong talaan ng mga transaksyon ng customer para sa isang partikular na panahon upang mapadali ang mga pagsisiyasat ng mga ahensyang nagpapatupad ng batas. * **Pagsasanay at Kamalayan:** Dapat sanayin ng mga institusyon ang kanilang mga empleyado na kilalanin at iulat ang kahina-hinalang aktibidad na nauugnay sa pagpopondo ng terorismo.
**Mga Benepisyo ng Epektibong AML/CFT:**
* **Nakakagambala sa Mga Network ng Terorista:** Sa pamamagitan ng pagtukoy at pag-uulat ng mga kahina-hinalang transaksyon, makakatulong ang mga institusyong pampinansyal na guluhin ang daloy ng mga pondo sa mga organisasyong terorista.
* **Pagprotekta sa Integridad ng Financial System:** Ang mabisang mga hakbang sa AML/CFT ay nagpoprotekta sa sistema ng pananalapi mula sa maling paggamit para sa mga kriminal na aktibidad.
* **International Cooperation:** Nakikipagtulungan ang Pilipinas sa ibang mga bansa upang magbahagi ng impormasyon sa mga aktibidad sa pagpopondo ng terorista.
**Mga Hamon at Pagsasaalang-alang:**
* **Pagbabalanse ng Seguridad at Kaginhawaan:** Ang mahigpit na mga hakbang sa AML/CFT ay maaaring magpataas ng pasanin sa mga lehitimong customer, ngunit kailangan itong balansehin sa mga pangangailangan ng pambansang seguridad.
* **Nagbabagong Pamamaraan:** Maaaring gumamit ang mga teroristang grupo ng mga bago at sopistikadong pamamaraan upang maglipat ng mga pondo, na nangangailangan ng mga institusyong pampinansyal na iakma ang kanilang mga paraan ng pagtuklas.
* **Teknolohikal na Pagsulong:** Ang paggamit ng teknolohiya para sa mahusay na pagsubaybay sa transaksyon at pagtatasa ng panganib ay mahalaga.
**Mga Rekomendasyon:**
Para sa mas malalim na pagsusuri ng mga partikular na regulasyon ng AML/CFT na naaangkop sa mga institusyong pampinansyal, ang mga teknikal na aspeto ng pagtukoy ng kahina-hinalang aktibidad, o ang mga hamon sa pananatiling nangunguna sa mga umuusbong na pamamaraan ng pagpopondo ng terorista, pagkonsulta sa isang abogado na dalubhasa sa batas pampinansyal o isang opisyal ng pagsunod sa isang institusyong pinansyal ay lubos na inirerekomenda.</v>
      </c>
      <c r="F2283" s="2">
        <f t="shared" si="1"/>
        <v>0</v>
      </c>
      <c r="G2283" s="2"/>
      <c r="H2283" s="2"/>
      <c r="I2283" s="2"/>
      <c r="J2283" s="2"/>
      <c r="K2283" s="2"/>
      <c r="L2283" s="2"/>
      <c r="M2283" s="2"/>
      <c r="N2283" s="2"/>
      <c r="O2283" s="2"/>
      <c r="P2283" s="2"/>
      <c r="Q2283" s="2"/>
      <c r="R2283" s="2"/>
      <c r="S2283" s="2"/>
      <c r="T2283" s="2"/>
      <c r="U2283" s="2"/>
      <c r="V2283" s="2"/>
      <c r="W2283" s="2"/>
      <c r="X2283" s="2"/>
      <c r="Y2283" s="2"/>
      <c r="Z2283" s="2"/>
      <c r="AA2283" s="2"/>
    </row>
    <row r="2284">
      <c r="A2284" s="1" t="s">
        <v>5490</v>
      </c>
      <c r="B2284" s="1" t="s">
        <v>5533</v>
      </c>
      <c r="C2284" s="3" t="s">
        <v>5534</v>
      </c>
      <c r="D2284" s="2" t="str">
        <f>IFERROR(__xludf.DUMMYFUNCTION("GOOGLETRANSLATE(B2284, ""en"", ""TL"")"),"Paano sinusubaybayan ang mga relihiyosong institusyon upang maiwasan ang radikalisasyon at suporta para sa terorismo?")</f>
        <v>Paano sinusubaybayan ang mga relihiyosong institusyon upang maiwasan ang radikalisasyon at suporta para sa terorismo?</v>
      </c>
      <c r="E2284" s="2" t="str">
        <f>IFERROR(__xludf.DUMMYFUNCTION("GOOGLETRANSLATE(C2284, ""en"", ""TL"")"),"Ang pagsubaybay sa mga institusyong panrelihiyon sa Pilipinas upang maiwasan ang radikalisasyon at suporta para sa terorismo ay isang kumplikadong isyu na may pagtuon sa pagbabalanse ng seguridad at kalayaan sa relihiyon. Narito ang isang breakdown ng mga"&amp;" pangunahing punto:
**Walang Direktang Pagsubaybay:**
* Ang Pilipinas ay walang legal na balangkas para sa direktang pagsubaybay sa mga aktibidad ng relihiyon ng mga institusyon upang maiwasan ang radikalisasyon. **Tumuon sa Outreach at Pakikipag-ugnayan:"&amp;"**
* Ang pangunahing diskarte ng gobyerno ay kinabibilangan ng interfaith dialogue at pagtataguyod ng kultura ng kapayapaan sa loob ng mga relihiyosong komunidad. * Ito ay maaaring may kasamang:
* Pakikipagtulungan sa mga pinuno ng relihiyon upang matukoy"&amp;" at matugunan ang mga karaingan na maaaring maging sanhi ng mga indibidwal na mahina sa radicalization.
* Pagsusulong ng pagpaparaya at pag-unawa sa relihiyon upang kontrahin ang mga ideolohiyang ekstremista.
* Pagsuporta sa mga programang nagtataguyod ng"&amp;" kritikal na pag-iisip at kontra sa marahas na mga salaysay ng ekstremismo.
**Diskarte na Nakabatay sa Komunidad:**
* Ang mga lokal na komunidad ay may mahalagang papel sa pagtukoy ng mga potensyal na palatandaan ng radikalisasyon. * Ito ay maaaring may k"&amp;"asamang:
* Mga pinuno ng relihiyon at miyembro ng komunidad na nag-uulat ng kahina-hinalang aktibidad sa mga awtoridad.
* Pagbuo ng tiwala at bukas na komunikasyon sa loob ng mga komunidad upang maiwasan ang paghihiwalay at kahinaan sa mga impluwensyang e"&amp;"kstremista.
**Mga Hamon at Pagsasaalang-alang:**
* **Pagbabalanse ng Seguridad at Kalayaan:** Ang pagkakaroon ng balanse sa pagitan ng mga alalahanin sa pambansang seguridad at ang karapatan ng konstitusyon sa kalayaan sa relihiyon ay napakahalaga. * **Pa"&amp;"ggalang sa Relihiyosong Autonomy:** Kailangang maingat ang paglakad ng pamahalaan upang maiwasan ang paglabag sa awtonomiya ng mga institusyong panrelihiyon.
* **Pagkilala sa Radikalisasyon:** Ang pagkilala sa mga maagang senyales ng radicalization ay maa"&amp;"aring maging mahirap.
**Ang Papel ng Pagpapatupad ng Batas:**
* Iniimbestigahan ng tagapagpatupad ng batas ang mga mapagkakatiwalaang banta ng terorismo, anuman ang pinagmulan. Maaaring kabilang dito ang pagsisiyasat sa mga indibidwal na pinaghihinalaang "&amp;"radikalisasyon sa loob ng mga relihiyosong komunidad, ngunit batay lamang sa partikular na ebidensya, hindi lamang sa kaugnayan sa relihiyon.
**Mahahalagang Pagsasaalang-alang:**
* Ang relihiyosong pag-profile at paglalahat tungkol sa buong grupo ng relih"&amp;"iyon ay hindi epektibo at kontraproduktibo.
* Ang bukas na komunikasyon at pakikipagtulungan sa pagitan ng gobyerno, mga lider ng relihiyon, at mga komunidad ay susi sa pagpigil sa radikalisasyon.
**Mga Rekomendasyon:**
Para sa isang mas makahulugang pag-"&amp;"unawa sa patuloy na debate tungkol sa pagsubaybay sa mga institusyong panrelihiyon, ang mga partikular na programang ginagamit para sa interfaith dialogue at pakikipag-ugnayan sa komunidad, o ang mga hamon sa pagbabalanse ng seguridad at kalayaan sa relih"&amp;"iyon, pagkonsulta sa isang sosyolohista na dalubhasa sa relihiyon at seguridad o isang abogado na dalubhasa sa karapatang pantao lubos na inirerekomenda ang batas.")</f>
        <v>Ang pagsubaybay sa mga institusyong panrelihiyon sa Pilipinas upang maiwasan ang radikalisasyon at suporta para sa terorismo ay isang kumplikadong isyu na may pagtuon sa pagbabalanse ng seguridad at kalayaan sa relihiyon. Narito ang isang breakdown ng mga pangunahing punto:
**Walang Direktang Pagsubaybay:**
* Ang Pilipinas ay walang legal na balangkas para sa direktang pagsubaybay sa mga aktibidad ng relihiyon ng mga institusyon upang maiwasan ang radikalisasyon. **Tumuon sa Outreach at Pakikipag-ugnayan:**
* Ang pangunahing diskarte ng gobyerno ay kinabibilangan ng interfaith dialogue at pagtataguyod ng kultura ng kapayapaan sa loob ng mga relihiyosong komunidad. * Ito ay maaaring may kasamang:
* Pakikipagtulungan sa mga pinuno ng relihiyon upang matukoy at matugunan ang mga karaingan na maaaring maging sanhi ng mga indibidwal na mahina sa radicalization.
* Pagsusulong ng pagpaparaya at pag-unawa sa relihiyon upang kontrahin ang mga ideolohiyang ekstremista.
* Pagsuporta sa mga programang nagtataguyod ng kritikal na pag-iisip at kontra sa marahas na mga salaysay ng ekstremismo.
**Diskarte na Nakabatay sa Komunidad:**
* Ang mga lokal na komunidad ay may mahalagang papel sa pagtukoy ng mga potensyal na palatandaan ng radikalisasyon. * Ito ay maaaring may kasamang:
* Mga pinuno ng relihiyon at miyembro ng komunidad na nag-uulat ng kahina-hinalang aktibidad sa mga awtoridad.
* Pagbuo ng tiwala at bukas na komunikasyon sa loob ng mga komunidad upang maiwasan ang paghihiwalay at kahinaan sa mga impluwensyang ekstremista.
**Mga Hamon at Pagsasaalang-alang:**
* **Pagbabalanse ng Seguridad at Kalayaan:** Ang pagkakaroon ng balanse sa pagitan ng mga alalahanin sa pambansang seguridad at ang karapatan ng konstitusyon sa kalayaan sa relihiyon ay napakahalaga. * **Paggalang sa Relihiyosong Autonomy:** Kailangang maingat ang paglakad ng pamahalaan upang maiwasan ang paglabag sa awtonomiya ng mga institusyong panrelihiyon.
* **Pagkilala sa Radikalisasyon:** Ang pagkilala sa mga maagang senyales ng radicalization ay maaaring maging mahirap.
**Ang Papel ng Pagpapatupad ng Batas:**
* Iniimbestigahan ng tagapagpatupad ng batas ang mga mapagkakatiwalaang banta ng terorismo, anuman ang pinagmulan. Maaaring kabilang dito ang pagsisiyasat sa mga indibidwal na pinaghihinalaang radikalisasyon sa loob ng mga relihiyosong komunidad, ngunit batay lamang sa partikular na ebidensya, hindi lamang sa kaugnayan sa relihiyon.
**Mahahalagang Pagsasaalang-alang:**
* Ang relihiyosong pag-profile at paglalahat tungkol sa buong grupo ng relihiyon ay hindi epektibo at kontraproduktibo.
* Ang bukas na komunikasyon at pakikipagtulungan sa pagitan ng gobyerno, mga lider ng relihiyon, at mga komunidad ay susi sa pagpigil sa radikalisasyon.
**Mga Rekomendasyon:**
Para sa isang mas makahulugang pag-unawa sa patuloy na debate tungkol sa pagsubaybay sa mga institusyong panrelihiyon, ang mga partikular na programang ginagamit para sa interfaith dialogue at pakikipag-ugnayan sa komunidad, o ang mga hamon sa pagbabalanse ng seguridad at kalayaan sa relihiyon, pagkonsulta sa isang sosyolohista na dalubhasa sa relihiyon at seguridad o isang abogado na dalubhasa sa karapatang pantao lubos na inirerekomenda ang batas.</v>
      </c>
      <c r="F2284" s="2">
        <f t="shared" si="1"/>
        <v>0</v>
      </c>
      <c r="G2284" s="2"/>
      <c r="H2284" s="2"/>
      <c r="I2284" s="2"/>
      <c r="J2284" s="2"/>
      <c r="K2284" s="2"/>
      <c r="L2284" s="2"/>
      <c r="M2284" s="2"/>
      <c r="N2284" s="2"/>
      <c r="O2284" s="2"/>
      <c r="P2284" s="2"/>
      <c r="Q2284" s="2"/>
      <c r="R2284" s="2"/>
      <c r="S2284" s="2"/>
      <c r="T2284" s="2"/>
      <c r="U2284" s="2"/>
      <c r="V2284" s="2"/>
      <c r="W2284" s="2"/>
      <c r="X2284" s="2"/>
      <c r="Y2284" s="2"/>
      <c r="Z2284" s="2"/>
      <c r="AA2284" s="2"/>
    </row>
    <row r="2285">
      <c r="A2285" s="1" t="s">
        <v>5490</v>
      </c>
      <c r="B2285" s="1" t="s">
        <v>5535</v>
      </c>
      <c r="C2285" s="3" t="s">
        <v>5536</v>
      </c>
      <c r="D2285" s="2" t="str">
        <f>IFERROR(__xludf.DUMMYFUNCTION("GOOGLETRANSLATE(B2285, ""en"", ""TL"")"),"Anong mga legal na probisyon ang namamahala sa extradition ng mga indibidwal na sangkot sa terorismo?")</f>
        <v>Anong mga legal na probisyon ang namamahala sa extradition ng mga indibidwal na sangkot sa terorismo?</v>
      </c>
      <c r="E2285" s="2" t="str">
        <f>IFERROR(__xludf.DUMMYFUNCTION("GOOGLETRANSLATE(C2285, ""en"", ""TL"")"),"Ang Pilipinas ay may mga legal na probisyon para sa extradition ng mga indibidwal na sangkot sa terorismo, kasunod ng isang balangkas na itinatag ng parehong lokal na batas at internasyonal na mga kasunduan. Narito ang isang breakdown ng mga pangunahing p"&amp;"unto:
**Batas Domestic:**
* **Ang Konstitusyon:** Ang Konstitusyon ng Pilipinas (Artikulo III, Seksyon 2, par. 2) ay nagpapahintulot sa extradition ng mga indibidwal ""alinsunod sa isang kasunduan o internasyonal na kasunduan.""
* **Extradition Treaty wit"&amp;"h the United States:** Ang isang mahalagang halimbawa ay ang **Extradition Treaty between the Government of the Republic of the Philippines and the Government of the United States of America**, na nilagdaan noong 1994. Ang kasunduang ito ay nagbabalangkas"&amp;" sa mga partikular na pagkakasala kung saan maaaring hilingin ang extradition, na kinabibilangan ng mga krimeng nauugnay sa terorismo. **Mga Pangunahing Probisyon sa Extradition Treaties:**
* **Dual na Kriminalidad:** Ang pagkakasala ay dapat na isang kri"&amp;"men sa parehong humihiling na bansa at sa Pilipinas. Ang terorismo ay karaniwang binibigyang kahulugan nang katulad sa maraming mga kasunduan, na ginagawang mas madaling matugunan ang pangangailangang ito para sa mga paglabag sa terorismo.
* **Statute of "&amp;"Limitations:** Ang pagkakasala ay hindi maaaring lumabas sa batas ng mga limitasyon para sa pag-uusig sa parehong bansa.
* **Political Offenses:** Extradition ay karaniwang hindi ibinibigay para sa ""political offenses."" Gayunpaman, ang kahulugan at inte"&amp;"rpretasyon ng ""mga paglabag sa pulitika"" ay maaaring maging kumplikado, at ang ilang mga kasunduan, kabilang ang kasunduan ng US-Philippines, ay nagbubukod sa terorismo mula sa pagbubukod sa pampulitika na pagkakasala.
**Proseso ng Extradition:**
* **Po"&amp;"rmal na Kahilingan:** Ang humihiling na bansa ay nagsusumite ng isang pormal na kahilingan sa extradition sa gobyerno ng Pilipinas, na binabalangkas ang mga paratang laban sa indibidwal at ebidensya na sumusuporta sa kahilingan.
* **Judicial Review:** Sin"&amp;"usuri ng mga hukuman sa Pilipinas ang kahilingan upang matiyak na sumusunod ito sa kasunduan at lokal na batas. Kabilang dito ang pagtatasa ng ebidensya, pagtiyak na walang nalalapat na eksepsiyon sa pulitika, at pagprotekta sa mga karapatan ng indibidwal"&amp;".
* **Ministeryal na Desisyon:** Batay sa rekomendasyon ng korte, ang Department of Justice (DOJ) ang gumagawa ng pinal na desisyon kung ibibigay o tatanggihan ang kahilingan sa extradition.
**Mga Hamon at Pagsasaalang-alang:**
* **Mga Kasunduan sa Iba't "&amp;"Ibang Bansa:** Ang Pilipinas ay may mga kasunduan sa extradition sa iba't ibang bansa, at ang mga partikular na probisyon ay maaaring bahagyang magkaiba.
* **Mahabang Proseso:** Ang Extradition ay maaaring isang mahaba at kumplikadong legal na proseso, na"&amp;" kinasasangkutan ng maraming yugto at potensyal na apela.
* **Mga Alalahanin sa Karapatan ng Tao:** Dapat tiyakin ng Pilipinas na ang extradition ay hindi lumalabag sa mga karapatang pantao ng indibidwal, kabilang ang karapatan sa isang patas na pagliliti"&amp;"s sa humihiling na bansa.
**Mga Rekomendasyon:**
Para sa mas malalim na pag-unawa sa mga partikular na probisyon sa isang partikular na kasunduan sa extradition sa pagitan ng Pilipinas at ng ibang bansa, ang mga masalimuot na proseso ng legal, o mga poten"&amp;"syal na pagsasaalang-alang sa karapatang pantao sa isang partikular na kaso, ang pagkonsulta sa isang abogado na dalubhasa sa internasyonal na batas o extradition law ay lubos na inirerekomenda. .")</f>
        <v>Ang Pilipinas ay may mga legal na probisyon para sa extradition ng mga indibidwal na sangkot sa terorismo, kasunod ng isang balangkas na itinatag ng parehong lokal na batas at internasyonal na mga kasunduan. Narito ang isang breakdown ng mga pangunahing punto:
**Batas Domestic:**
* **Ang Konstitusyon:** Ang Konstitusyon ng Pilipinas (Artikulo III, Seksyon 2, par. 2) ay nagpapahintulot sa extradition ng mga indibidwal "alinsunod sa isang kasunduan o internasyonal na kasunduan."
* **Extradition Treaty with the United States:** Ang isang mahalagang halimbawa ay ang **Extradition Treaty between the Government of the Republic of the Philippines and the Government of the United States of America**, na nilagdaan noong 1994. Ang kasunduang ito ay nagbabalangkas sa mga partikular na pagkakasala kung saan maaaring hilingin ang extradition, na kinabibilangan ng mga krimeng nauugnay sa terorismo. **Mga Pangunahing Probisyon sa Extradition Treaties:**
* **Dual na Kriminalidad:** Ang pagkakasala ay dapat na isang krimen sa parehong humihiling na bansa at sa Pilipinas. Ang terorismo ay karaniwang binibigyang kahulugan nang katulad sa maraming mga kasunduan, na ginagawang mas madaling matugunan ang pangangailangang ito para sa mga paglabag sa terorismo.
* **Statute of Limitations:** Ang pagkakasala ay hindi maaaring lumabas sa batas ng mga limitasyon para sa pag-uusig sa parehong bansa.
* **Political Offenses:** Extradition ay karaniwang hindi ibinibigay para sa "political offenses." Gayunpaman, ang kahulugan at interpretasyon ng "mga paglabag sa pulitika" ay maaaring maging kumplikado, at ang ilang mga kasunduan, kabilang ang kasunduan ng US-Philippines, ay nagbubukod sa terorismo mula sa pagbubukod sa pampulitika na pagkakasala.
**Proseso ng Extradition:**
* **Pormal na Kahilingan:** Ang humihiling na bansa ay nagsusumite ng isang pormal na kahilingan sa extradition sa gobyerno ng Pilipinas, na binabalangkas ang mga paratang laban sa indibidwal at ebidensya na sumusuporta sa kahilingan.
* **Judicial Review:** Sinusuri ng mga hukuman sa Pilipinas ang kahilingan upang matiyak na sumusunod ito sa kasunduan at lokal na batas. Kabilang dito ang pagtatasa ng ebidensya, pagtiyak na walang nalalapat na eksepsiyon sa pulitika, at pagprotekta sa mga karapatan ng indibidwal.
* **Ministeryal na Desisyon:** Batay sa rekomendasyon ng korte, ang Department of Justice (DOJ) ang gumagawa ng pinal na desisyon kung ibibigay o tatanggihan ang kahilingan sa extradition.
**Mga Hamon at Pagsasaalang-alang:**
* **Mga Kasunduan sa Iba't Ibang Bansa:** Ang Pilipinas ay may mga kasunduan sa extradition sa iba't ibang bansa, at ang mga partikular na probisyon ay maaaring bahagyang magkaiba.
* **Mahabang Proseso:** Ang Extradition ay maaaring isang mahaba at kumplikadong legal na proseso, na kinasasangkutan ng maraming yugto at potensyal na apela.
* **Mga Alalahanin sa Karapatan ng Tao:** Dapat tiyakin ng Pilipinas na ang extradition ay hindi lumalabag sa mga karapatang pantao ng indibidwal, kabilang ang karapatan sa isang patas na paglilitis sa humihiling na bansa.
**Mga Rekomendasyon:**
Para sa mas malalim na pag-unawa sa mga partikular na probisyon sa isang partikular na kasunduan sa extradition sa pagitan ng Pilipinas at ng ibang bansa, ang mga masalimuot na proseso ng legal, o mga potensyal na pagsasaalang-alang sa karapatang pantao sa isang partikular na kaso, ang pagkonsulta sa isang abogado na dalubhasa sa internasyonal na batas o extradition law ay lubos na inirerekomenda. .</v>
      </c>
      <c r="F2285" s="2">
        <f t="shared" si="1"/>
        <v>0</v>
      </c>
      <c r="G2285" s="2"/>
      <c r="H2285" s="2"/>
      <c r="I2285" s="2"/>
      <c r="J2285" s="2"/>
      <c r="K2285" s="2"/>
      <c r="L2285" s="2"/>
      <c r="M2285" s="2"/>
      <c r="N2285" s="2"/>
      <c r="O2285" s="2"/>
      <c r="P2285" s="2"/>
      <c r="Q2285" s="2"/>
      <c r="R2285" s="2"/>
      <c r="S2285" s="2"/>
      <c r="T2285" s="2"/>
      <c r="U2285" s="2"/>
      <c r="V2285" s="2"/>
      <c r="W2285" s="2"/>
      <c r="X2285" s="2"/>
      <c r="Y2285" s="2"/>
      <c r="Z2285" s="2"/>
      <c r="AA2285" s="2"/>
    </row>
    <row r="2286">
      <c r="A2286" s="1" t="s">
        <v>5490</v>
      </c>
      <c r="B2286" s="1" t="s">
        <v>5537</v>
      </c>
      <c r="C2286" s="3" t="s">
        <v>5538</v>
      </c>
      <c r="D2286" s="2" t="str">
        <f>IFERROR(__xludf.DUMMYFUNCTION("GOOGLETRANSLATE(B2286, ""en"", ""TL"")"),"Paano kinokontrol at pinaparusahan ang krimen ng pagkukubli o pagtatago sa mga terorista?")</f>
        <v>Paano kinokontrol at pinaparusahan ang krimen ng pagkukubli o pagtatago sa mga terorista?</v>
      </c>
      <c r="E2286" s="2" t="str">
        <f>IFERROR(__xludf.DUMMYFUNCTION("GOOGLETRANSLATE(C2286, ""en"", ""TL"")"),"Ang sistemang legal ng Pilipinas ay walang iisang, partikular na batas na direktang tumutugon sa pagkukubli o pagtatago ng mga terorista. Gayunpaman, mayroong ilang mga umiiral na batas na maaaring gamitin upang usigin ang mga naturang gawain:
1. **Republ"&amp;"ic Act No. 9514 (Anti-Terrorism Act of 2007):**
* Bagama't hindi tahasang binabanggit ng Batas ang pagkukulong sa mga terorista, pinaparusahan nito ang pagbibigay ng materyal na suporta sa mga terorista ([RA 9514], Seksyon 4). Ang ""materyal na suporta"" "&amp;"ay maaaring bigyang-kahulugan nang malawakan upang isama ang mga pagkilos na nagbibigay-daan sa mga terorista na gumana, tulad ng pagbibigay sa kanila ng tirahan.
2. **Binago ang Kodigo Penal (RPC):**
* Depende sa mga pangyayari, maaaring ilapat ang iba't"&amp;" ibang mga probisyon ng RPC. Narito ang ilang halimbawa:
* **Accessory (RPC Article 18):** Nalalapat ito kung ang isang tao, na may kaalaman sa krimen (nagkukulong sa mga terorista), ay tumutulong sa isang terorista na umiwas sa pag-uusig.
* **Obstruction"&amp;" of Justice (RPC Article 150):** Nalalapat ito kung ang isang tao ay nagtatago ng ebidensya na may kaugnayan sa isang gawaing terorista o nagtatago ng isang terorista upang maiwasan ang kanilang pag-aresto.
3. **Konstitusyon ng Pilipinas (Artikulo II, Sek"&amp;"syon 15):**
* Ginagarantiyahan ng Konstitusyon ang karapatan sa seguridad ng tao at ari-arian. Ang pagkukulong sa mga terorista ay makikita bilang isang paglabag sa karapatang ito, na posibleng humantong sa mga kaso laban sa taong nagbigay ng tirahan.
Mah"&amp;"alagang tandaan na ang partikular na batas na inilapat at ang kaukulang parusa ay depende sa mga partikular na katotohanan ng kaso. Para sa mas tiyak na sagot sa kung paano haharapin ang isang partikular na sitwasyon sa korte, ang pagkonsulta sa isang abo"&amp;"gado ay lubos na inirerekomenda.")</f>
        <v>Ang sistemang legal ng Pilipinas ay walang iisang, partikular na batas na direktang tumutugon sa pagkukubli o pagtatago ng mga terorista. Gayunpaman, mayroong ilang mga umiiral na batas na maaaring gamitin upang usigin ang mga naturang gawain:
1. **Republic Act No. 9514 (Anti-Terrorism Act of 2007):**
* Bagama't hindi tahasang binabanggit ng Batas ang pagkukulong sa mga terorista, pinaparusahan nito ang pagbibigay ng materyal na suporta sa mga terorista ([RA 9514], Seksyon 4). Ang "materyal na suporta" ay maaaring bigyang-kahulugan nang malawakan upang isama ang mga pagkilos na nagbibigay-daan sa mga terorista na gumana, tulad ng pagbibigay sa kanila ng tirahan.
2. **Binago ang Kodigo Penal (RPC):**
* Depende sa mga pangyayari, maaaring ilapat ang iba't ibang mga probisyon ng RPC. Narito ang ilang halimbawa:
* **Accessory (RPC Article 18):** Nalalapat ito kung ang isang tao, na may kaalaman sa krimen (nagkukulong sa mga terorista), ay tumutulong sa isang terorista na umiwas sa pag-uusig.
* **Obstruction of Justice (RPC Article 150):** Nalalapat ito kung ang isang tao ay nagtatago ng ebidensya na may kaugnayan sa isang gawaing terorista o nagtatago ng isang terorista upang maiwasan ang kanilang pag-aresto.
3. **Konstitusyon ng Pilipinas (Artikulo II, Seksyon 15):**
* Ginagarantiyahan ng Konstitusyon ang karapatan sa seguridad ng tao at ari-arian. Ang pagkukulong sa mga terorista ay makikita bilang isang paglabag sa karapatang ito, na posibleng humantong sa mga kaso laban sa taong nagbigay ng tirahan.
Mahalagang tandaan na ang partikular na batas na inilapat at ang kaukulang parusa ay depende sa mga partikular na katotohanan ng kaso. Para sa mas tiyak na sagot sa kung paano haharapin ang isang partikular na sitwasyon sa korte, ang pagkonsulta sa isang abogado ay lubos na inirerekomenda.</v>
      </c>
      <c r="F2286" s="2">
        <f t="shared" si="1"/>
        <v>0</v>
      </c>
      <c r="G2286" s="2"/>
      <c r="H2286" s="2"/>
      <c r="I2286" s="2"/>
      <c r="J2286" s="2"/>
      <c r="K2286" s="2"/>
      <c r="L2286" s="2"/>
      <c r="M2286" s="2"/>
      <c r="N2286" s="2"/>
      <c r="O2286" s="2"/>
      <c r="P2286" s="2"/>
      <c r="Q2286" s="2"/>
      <c r="R2286" s="2"/>
      <c r="S2286" s="2"/>
      <c r="T2286" s="2"/>
      <c r="U2286" s="2"/>
      <c r="V2286" s="2"/>
      <c r="W2286" s="2"/>
      <c r="X2286" s="2"/>
      <c r="Y2286" s="2"/>
      <c r="Z2286" s="2"/>
      <c r="AA2286" s="2"/>
    </row>
    <row r="2287">
      <c r="A2287" s="1" t="s">
        <v>5490</v>
      </c>
      <c r="B2287" s="1" t="s">
        <v>5539</v>
      </c>
      <c r="C2287" s="3" t="s">
        <v>5540</v>
      </c>
      <c r="D2287" s="2" t="str">
        <f>IFERROR(__xludf.DUMMYFUNCTION("GOOGLETRANSLATE(B2287, ""en"", ""TL"")"),"Anong mga legal na hakbang ang inilalagay upang maprotektahan ang mga kritikal na imprastraktura mula sa mga pag-atake ng terorista?")</f>
        <v>Anong mga legal na hakbang ang inilalagay upang maprotektahan ang mga kritikal na imprastraktura mula sa mga pag-atake ng terorista?</v>
      </c>
      <c r="E2287" s="2" t="str">
        <f>IFERROR(__xludf.DUMMYFUNCTION("GOOGLETRANSLATE(C2287, ""en"", ""TL"")"),"Tinatalakay ng Pilipinas ang mga kritikal na proteksyon sa imprastraktura mula sa mga pag-atake ng terorista sa pamamagitan ng kumbinasyon ng mga umiiral na batas at mga espesyal na ahensya ng gobyerno. Narito ang isang breakdown batay sa batas ng Pilipin"&amp;"as:
**Mga Batas:**
* **Republic Act No. 9514 (Anti-Terrorism Act of 2007):** * Ang batas na ito, bagama't hindi tahasang binabanggit ang mga kritikal na imprastraktura, ay ginagawang kriminal ang pagpaplano, paghahanda, at pag-uudyok ng terorismo ([RA 951"&amp;"4], Seksyon 4). Pinipigilan nito ang mga pag-atake sa kritikal na imprastraktura dahil madalas nilang nilalayon na guluhin ang mahahalagang serbisyo.
* **Republic Act No. 8749 (Public-Private Partnership Act of 1998):**
* Hinihikayat ng Batas na ito ang p"&amp;"akikilahok ng pribadong sektor sa pagpapaunlad ng imprastraktura. Ito ay tahasang kinikilala ang kahalagahan ng pagprotekta sa mga pamumuhunang ito, kabilang ang mula sa terorismo ([RA 8749]).
**Mga Ahensya ng Pamahalaan:**
* **National Security Council ("&amp;"NSC):**
* Ang NSC ay gumagawa ng mga patakaran sa pambansang seguridad, kabilang ang mga nauugnay sa kontra-terorismo. Ito ay hindi direktang nag-aambag sa kritikal na proteksyon sa imprastraktura ([Executive Order No. 138, s. 2017]).
* **Anti-Terrorism C"&amp;"ouncil (ATC):**
* Ang ATC ay nagpapatupad ng National Counter-Terrorism Plan, na malamang na kasama ang mga hakbang upang pangalagaan ang kritikal na imprastraktura ([RA 9514], Seksyon 14).
* **Department of National Defense (DND) at Armed Forces of the P"&amp;"hilippines (AFP):**
* Ang DND at AFP ay may tungkulin sa pambansang depensa, na sumasaklaw sa pagprotekta sa mga kritikal na imprastraktura mula sa mga banta tulad ng terorismo ([Konstitusyon], Artikulo XVI, Seksyon 4).
**Mga Limitasyon:**
* Walang iisa, "&amp;"komprehensibong batas na tanging nakatuon sa kritikal na proteksyon sa imprastraktura. * Ang legal na balangkas ay patuloy na umuunlad upang matugunan ang mga bagong banta.
**Mga Karagdagang Punto:**
* Ang mga partikular na ahensya ng gobyerno ay maaaring"&amp;" magkaroon ng sarili nilang mga panloob na regulasyon para ma-secure ang mga kritikal na imprastraktura sa ilalim ng kanilang saklaw (hal., Department of Energy para sa mga power plant).
Tandaan, ito ay isang pangkalahatang pangkalahatang-ideya. Ang pagko"&amp;"nsulta sa isang legal na propesyonal ay maaaring magbigay ng isang mas nuanced na pag-unawa sa kung paano nalalapat ang mga batas na ito sa mga partikular na sitwasyon.")</f>
        <v>Tinatalakay ng Pilipinas ang mga kritikal na proteksyon sa imprastraktura mula sa mga pag-atake ng terorista sa pamamagitan ng kumbinasyon ng mga umiiral na batas at mga espesyal na ahensya ng gobyerno. Narito ang isang breakdown batay sa batas ng Pilipinas:
**Mga Batas:**
* **Republic Act No. 9514 (Anti-Terrorism Act of 2007):** * Ang batas na ito, bagama't hindi tahasang binabanggit ang mga kritikal na imprastraktura, ay ginagawang kriminal ang pagpaplano, paghahanda, at pag-uudyok ng terorismo ([RA 9514], Seksyon 4). Pinipigilan nito ang mga pag-atake sa kritikal na imprastraktura dahil madalas nilang nilalayon na guluhin ang mahahalagang serbisyo.
* **Republic Act No. 8749 (Public-Private Partnership Act of 1998):**
* Hinihikayat ng Batas na ito ang pakikilahok ng pribadong sektor sa pagpapaunlad ng imprastraktura. Ito ay tahasang kinikilala ang kahalagahan ng pagprotekta sa mga pamumuhunang ito, kabilang ang mula sa terorismo ([RA 8749]).
**Mga Ahensya ng Pamahalaan:**
* **National Security Council (NSC):**
* Ang NSC ay gumagawa ng mga patakaran sa pambansang seguridad, kabilang ang mga nauugnay sa kontra-terorismo. Ito ay hindi direktang nag-aambag sa kritikal na proteksyon sa imprastraktura ([Executive Order No. 138, s. 2017]).
* **Anti-Terrorism Council (ATC):**
* Ang ATC ay nagpapatupad ng National Counter-Terrorism Plan, na malamang na kasama ang mga hakbang upang pangalagaan ang kritikal na imprastraktura ([RA 9514], Seksyon 14).
* **Department of National Defense (DND) at Armed Forces of the Philippines (AFP):**
* Ang DND at AFP ay may tungkulin sa pambansang depensa, na sumasaklaw sa pagprotekta sa mga kritikal na imprastraktura mula sa mga banta tulad ng terorismo ([Konstitusyon], Artikulo XVI, Seksyon 4).
**Mga Limitasyon:**
* Walang iisa, komprehensibong batas na tanging nakatuon sa kritikal na proteksyon sa imprastraktura. * Ang legal na balangkas ay patuloy na umuunlad upang matugunan ang mga bagong banta.
**Mga Karagdagang Punto:**
* Ang mga partikular na ahensya ng gobyerno ay maaaring magkaroon ng sarili nilang mga panloob na regulasyon para ma-secure ang mga kritikal na imprastraktura sa ilalim ng kanilang saklaw (hal., Department of Energy para sa mga power plant).
Tandaan, ito ay isang pangkalahatang pangkalahatang-ideya. Ang pagkonsulta sa isang legal na propesyonal ay maaaring magbigay ng isang mas nuanced na pag-unawa sa kung paano nalalapat ang mga batas na ito sa mga partikular na sitwasyon.</v>
      </c>
      <c r="F2287" s="2">
        <f t="shared" si="1"/>
        <v>0</v>
      </c>
      <c r="G2287" s="2"/>
      <c r="H2287" s="2"/>
      <c r="I2287" s="2"/>
      <c r="J2287" s="2"/>
      <c r="K2287" s="2"/>
      <c r="L2287" s="2"/>
      <c r="M2287" s="2"/>
      <c r="N2287" s="2"/>
      <c r="O2287" s="2"/>
      <c r="P2287" s="2"/>
      <c r="Q2287" s="2"/>
      <c r="R2287" s="2"/>
      <c r="S2287" s="2"/>
      <c r="T2287" s="2"/>
      <c r="U2287" s="2"/>
      <c r="V2287" s="2"/>
      <c r="W2287" s="2"/>
      <c r="X2287" s="2"/>
      <c r="Y2287" s="2"/>
      <c r="Z2287" s="2"/>
      <c r="AA2287" s="2"/>
    </row>
    <row r="2288">
      <c r="A2288" s="1" t="s">
        <v>5490</v>
      </c>
      <c r="B2288" s="1" t="s">
        <v>5541</v>
      </c>
      <c r="C2288" s="3" t="s">
        <v>5542</v>
      </c>
      <c r="D2288" s="2" t="str">
        <f>IFERROR(__xludf.DUMMYFUNCTION("GOOGLETRANSLATE(B2288, ""en"", ""TL"")"),"Paano tinutugunan ng batas ng Pilipinas ang banta ng terorismo laban sa mga sistema ng transportasyon?")</f>
        <v>Paano tinutugunan ng batas ng Pilipinas ang banta ng terorismo laban sa mga sistema ng transportasyon?</v>
      </c>
      <c r="E2288" s="2" t="str">
        <f>IFERROR(__xludf.DUMMYFUNCTION("GOOGLETRANSLATE(C2288, ""en"", ""TL"")"),"Tinutugunan ng batas ng Pilipinas ang banta ng terorismo laban sa mga sistema ng transportasyon sa pamamagitan ng multi-pronged approach, na pinagsasama ang iba't ibang legal na mekanismo:
**1. Anti-Terrorism Act (RA No. 9514):**
* Bagama't hindi tahasang"&amp;" binabanggit ang mga sistema ng transportasyon, ginagawang kriminal ng batas na ito ang pagpaplano, paghahanda, at pag-uudyok ng terorismo ([RA 9514], Seksyon 4). Pinipigilan nito ang mga pag-atake sa transportasyon dahil ang mga ito ang pangunahing targe"&amp;"t para magdulot ng mass casualty at pagkagambala.
* Ang batas ay nagpaparusa din sa pagbibigay ng materyal na suporta sa mga terorista ([RA 9514], Seksyon 4). Ang ""suportang materyal"" ay maaaring bigyang-kahulugan nang malawakan upang isama ang mga pagk"&amp;"ilos na nagbibigay-daan sa mga terorista na magsagawa ng mga pag-atake sa mga sistema ng transportasyon, tulad ng pagbibigay ng mga materyales sa paggawa ng bomba o tulong sa logistik.
**2. Mga Partikular na Batas sa Seguridad sa Transportasyon:**
* **Civ"&amp;"il Aviation Security Act (RA No. 6235):** Ang batas na ito ay nag-uutos ng paglikha ng programang panseguridad para sa civil aviation upang maiwasan ang pag-hijack at iba pang mga banta ([RA 6235]). * **Maritime Security Act (RA No. 9521):** Ang batas na "&amp;"ito ay nagtatatag ng mga hakbang upang matiyak ang seguridad ng mga daungan at barko ng Pilipinas laban sa terorismo at iba pang banta ([RA 9521]).
* **Land Transportation Security and Regulation Act (LT SRA) (RA No. 11479):** Ang medyo bagong batas na it"&amp;"o (2016) ay naglalayong palakasin ang mga hakbang sa seguridad sa mga sistema ng transportasyon sa lupa tulad ng mga bus, tren, at terminal. Ipinag-uutos nito ang paglikha ng National Transportation Security Plan at binibigyang kapangyarihan ang mga awtor"&amp;"idad na magsagawa ng mga inspeksyon sa seguridad ([RA 11479]).
**3. Ang Konstitusyon ng Pilipinas:**
* **Artikulo II, Seksyon 15:** Ginagarantiyahan nito ang karapatan sa seguridad ng tao at ari-arian. Ang mga pag-atake ng terorista sa mga sistema ng tran"&amp;"sportasyon ay lumalabag sa karapatang ito, na posibleng humantong sa legal na aksyon laban sa mga may kasalanan.
**4. Mga Ahensya sa Pagpapatupad ng Batas:**
* Ang Philippine National Police (PNP), Philippine Coast Guard (PCG), at iba pang ahensyang nagpa"&amp;"patupad ng batas ay may mahalagang papel sa pagpigil at pagtugon sa mga banta ng terorista. Maaari silang magsagawa ng mga pagsusuri sa seguridad, mangalap ng intelligence, at hulihin ang mga suspek.
**Mga Limitasyon:**
* Ang pagiging epektibo ng mga lega"&amp;"l na hakbang na ito ay nakasalalay sa wastong pagpapatupad at paglalaan ng mapagkukunan.
* Maaaring kailanganin ng legal na balangkas na umangkop upang matugunan ang mga umuusbong na taktika ng terorista.
Tandaan, ito ay isang pangkalahatang pangkalahatan"&amp;"g-ideya. Para sa mas tiyak na pag-unawa sa kung paano nalalapat ang mga batas na ito sa isang partikular na sitwasyon, lubos na inirerekomenda ang pagkonsulta sa isang legal na propesyonal.")</f>
        <v>Tinutugunan ng batas ng Pilipinas ang banta ng terorismo laban sa mga sistema ng transportasyon sa pamamagitan ng multi-pronged approach, na pinagsasama ang iba't ibang legal na mekanismo:
**1. Anti-Terrorism Act (RA No. 9514):**
* Bagama't hindi tahasang binabanggit ang mga sistema ng transportasyon, ginagawang kriminal ng batas na ito ang pagpaplano, paghahanda, at pag-uudyok ng terorismo ([RA 9514], Seksyon 4). Pinipigilan nito ang mga pag-atake sa transportasyon dahil ang mga ito ang pangunahing target para magdulot ng mass casualty at pagkagambala.
* Ang batas ay nagpaparusa din sa pagbibigay ng materyal na suporta sa mga terorista ([RA 9514], Seksyon 4). Ang "suportang materyal" ay maaaring bigyang-kahulugan nang malawakan upang isama ang mga pagkilos na nagbibigay-daan sa mga terorista na magsagawa ng mga pag-atake sa mga sistema ng transportasyon, tulad ng pagbibigay ng mga materyales sa paggawa ng bomba o tulong sa logistik.
**2. Mga Partikular na Batas sa Seguridad sa Transportasyon:**
* **Civil Aviation Security Act (RA No. 6235):** Ang batas na ito ay nag-uutos ng paglikha ng programang panseguridad para sa civil aviation upang maiwasan ang pag-hijack at iba pang mga banta ([RA 6235]). * **Maritime Security Act (RA No. 9521):** Ang batas na ito ay nagtatatag ng mga hakbang upang matiyak ang seguridad ng mga daungan at barko ng Pilipinas laban sa terorismo at iba pang banta ([RA 9521]).
* **Land Transportation Security and Regulation Act (LT SRA) (RA No. 11479):** Ang medyo bagong batas na ito (2016) ay naglalayong palakasin ang mga hakbang sa seguridad sa mga sistema ng transportasyon sa lupa tulad ng mga bus, tren, at terminal. Ipinag-uutos nito ang paglikha ng National Transportation Security Plan at binibigyang kapangyarihan ang mga awtoridad na magsagawa ng mga inspeksyon sa seguridad ([RA 11479]).
**3. Ang Konstitusyon ng Pilipinas:**
* **Artikulo II, Seksyon 15:** Ginagarantiyahan nito ang karapatan sa seguridad ng tao at ari-arian. Ang mga pag-atake ng terorista sa mga sistema ng transportasyon ay lumalabag sa karapatang ito, na posibleng humantong sa legal na aksyon laban sa mga may kasalanan.
**4. Mga Ahensya sa Pagpapatupad ng Batas:**
* Ang Philippine National Police (PNP), Philippine Coast Guard (PCG), at iba pang ahensyang nagpapatupad ng batas ay may mahalagang papel sa pagpigil at pagtugon sa mga banta ng terorista. Maaari silang magsagawa ng mga pagsusuri sa seguridad, mangalap ng intelligence, at hulihin ang mga suspek.
**Mga Limitasyon:**
* Ang pagiging epektibo ng mga legal na hakbang na ito ay nakasalalay sa wastong pagpapatupad at paglalaan ng mapagkukunan.
* Maaaring kailanganin ng legal na balangkas na umangkop upang matugunan ang mga umuusbong na taktika ng terorista.
Tandaan, ito ay isang pangkalahatang pangkalahatang-ideya. Para sa mas tiyak na pag-unawa sa kung paano nalalapat ang mga batas na ito sa isang partikular na sitwasyon, lubos na inirerekomenda ang pagkonsulta sa isang legal na propesyonal.</v>
      </c>
      <c r="F2288" s="2">
        <f t="shared" si="1"/>
        <v>0</v>
      </c>
      <c r="G2288" s="2"/>
      <c r="H2288" s="2"/>
      <c r="I2288" s="2"/>
      <c r="J2288" s="2"/>
      <c r="K2288" s="2"/>
      <c r="L2288" s="2"/>
      <c r="M2288" s="2"/>
      <c r="N2288" s="2"/>
      <c r="O2288" s="2"/>
      <c r="P2288" s="2"/>
      <c r="Q2288" s="2"/>
      <c r="R2288" s="2"/>
      <c r="S2288" s="2"/>
      <c r="T2288" s="2"/>
      <c r="U2288" s="2"/>
      <c r="V2288" s="2"/>
      <c r="W2288" s="2"/>
      <c r="X2288" s="2"/>
      <c r="Y2288" s="2"/>
      <c r="Z2288" s="2"/>
      <c r="AA2288" s="2"/>
    </row>
    <row r="2289">
      <c r="A2289" s="1" t="s">
        <v>5490</v>
      </c>
      <c r="B2289" s="1" t="s">
        <v>5543</v>
      </c>
      <c r="C2289" s="3" t="s">
        <v>5544</v>
      </c>
      <c r="D2289" s="2" t="str">
        <f>IFERROR(__xludf.DUMMYFUNCTION("GOOGLETRANSLATE(B2289, ""en"", ""TL"")"),"Anong mga parusa ang naaangkop para sa hindi awtorisadong pagmamay-ari at paggamit ng mga armas sa konteksto ng terorismo?")</f>
        <v>Anong mga parusa ang naaangkop para sa hindi awtorisadong pagmamay-ari at paggamit ng mga armas sa konteksto ng terorismo?</v>
      </c>
      <c r="E2289" s="2" t="str">
        <f>IFERROR(__xludf.DUMMYFUNCTION("GOOGLETRANSLATE(C2289, ""en"", ""TL"")"),"Sa Pilipinas, ang mga parusa para sa hindi awtorisadong pagmamay-ari at paggamit ng mga armas sa konteksto ng terorismo ay medyo matindi. Narito ang isang breakdown batay sa mga nauugnay na batas ng Pilipinas:
**1. Republic Act No. 9514 (Anti-Terrorism Ac"&amp;"t of 2007):**
* **Seksyon 14:** Tinutukoy ng seksyong ito ang terorismo bilang mga gawaing nagdudulot ng malawakang takot at malubhang panganib sa kaligtasan ng publiko.
* **Seksyon 4:** Ang seksyong ito ay nagpaparusa sa mga sumusunod na gawaing may kaug"&amp;"nayan sa terorismo:
* Pagpaplano, paghahanda, at pag-uudyok ng terorismo (parusa: Reclusion perpetua hanggang kamatayan) ([RA 9514], Seksyon 4)
* Pagbibigay ng materyal na suporta sa mga terorista (parusa: Reclusion perpetua hanggang 20 taong pagkakakulon"&amp;"g) ([RA 9514], Seksyon 4)
**Ang hindi awtorisadong pagmamay-ari at paggamit ng mga armas ay maaaring ituring na ""materyal na suporta"" sa terorismo** kung nilayon ang mga ito na gamitin sa isang pag-atake ng terorista. Nangangahulugan ito na ang isang ta"&amp;"ong nahuling may mga ilegal na armas at nauugnay sa mga aktibidad ng terorista ay maaaring maharap sa mga parusang kasing bigat ng habambuhay na pagkakakulong. **2. Binagong Kodigo Penal (RPC):**
* **Kabanata VII (Mga Krimen Laban sa Pampublikong Kaayusan"&amp;"):** Kasama sa kabanatang ito ang mga probisyon sa iligal na pagmamay-ari ng mga baril (hal., RPC Article 148) at mga pampasabog (hal., RPC Article 149). Ang mga parusa para sa mga paglabag na ito ay nag-iiba depende sa uri at bilang ng mga armas na kasan"&amp;"gkot.
**Gayunpaman, kung ang iligal na pagmamay-ari ng mga armas ay konektado sa isang planong terorista,** ang mga parusa sa ilalim ng Anti-Terrorism Act (habang buhay na pagkakakulong hanggang kamatayan) ay malamang na mauuna kaysa sa mga parusa sa ilal"&amp;"im ng RPC (karaniwang pagkakakulong ng ilang taon) .
**3. Mga Karagdagang Salik na Nakakaapekto sa Mga Parusa:**
* Ang tiyak na uri at dami ng mga armas na kasangkot.
* Kung ang tao ay nagtataglay ng mga armas para sa personal na paggamit o nilayon na ibi"&amp;"gay ang mga ito sa mga terorista.
* Anumang mga naunang kriminal na pagkakasala ng akusado.
**Mahalagang Tandaan:**
* Ito ay isang pangkalahatang pangkalahatang-ideya. Ang mga partikular na singil at mga parusa ay depende sa mga detalyadong kalagayan ng b"&amp;"awat kaso. * Ang pagkonsulta sa isang abogado ay lubos na inirerekomenda para sa isang mas tiyak na pag-unawa sa mga potensyal na legal na kahihinatnan.")</f>
        <v>Sa Pilipinas, ang mga parusa para sa hindi awtorisadong pagmamay-ari at paggamit ng mga armas sa konteksto ng terorismo ay medyo matindi. Narito ang isang breakdown batay sa mga nauugnay na batas ng Pilipinas:
**1. Republic Act No. 9514 (Anti-Terrorism Act of 2007):**
* **Seksyon 14:** Tinutukoy ng seksyong ito ang terorismo bilang mga gawaing nagdudulot ng malawakang takot at malubhang panganib sa kaligtasan ng publiko.
* **Seksyon 4:** Ang seksyong ito ay nagpaparusa sa mga sumusunod na gawaing may kaugnayan sa terorismo:
* Pagpaplano, paghahanda, at pag-uudyok ng terorismo (parusa: Reclusion perpetua hanggang kamatayan) ([RA 9514], Seksyon 4)
* Pagbibigay ng materyal na suporta sa mga terorista (parusa: Reclusion perpetua hanggang 20 taong pagkakakulong) ([RA 9514], Seksyon 4)
**Ang hindi awtorisadong pagmamay-ari at paggamit ng mga armas ay maaaring ituring na "materyal na suporta" sa terorismo** kung nilayon ang mga ito na gamitin sa isang pag-atake ng terorista. Nangangahulugan ito na ang isang taong nahuling may mga ilegal na armas at nauugnay sa mga aktibidad ng terorista ay maaaring maharap sa mga parusang kasing bigat ng habambuhay na pagkakakulong. **2. Binagong Kodigo Penal (RPC):**
* **Kabanata VII (Mga Krimen Laban sa Pampublikong Kaayusan):** Kasama sa kabanatang ito ang mga probisyon sa iligal na pagmamay-ari ng mga baril (hal., RPC Article 148) at mga pampasabog (hal., RPC Article 149). Ang mga parusa para sa mga paglabag na ito ay nag-iiba depende sa uri at bilang ng mga armas na kasangkot.
**Gayunpaman, kung ang iligal na pagmamay-ari ng mga armas ay konektado sa isang planong terorista,** ang mga parusa sa ilalim ng Anti-Terrorism Act (habang buhay na pagkakakulong hanggang kamatayan) ay malamang na mauuna kaysa sa mga parusa sa ilalim ng RPC (karaniwang pagkakakulong ng ilang taon) .
**3. Mga Karagdagang Salik na Nakakaapekto sa Mga Parusa:**
* Ang tiyak na uri at dami ng mga armas na kasangkot.
* Kung ang tao ay nagtataglay ng mga armas para sa personal na paggamit o nilayon na ibigay ang mga ito sa mga terorista.
* Anumang mga naunang kriminal na pagkakasala ng akusado.
**Mahalagang Tandaan:**
* Ito ay isang pangkalahatang pangkalahatang-ideya. Ang mga partikular na singil at mga parusa ay depende sa mga detalyadong kalagayan ng bawat kaso. * Ang pagkonsulta sa isang abogado ay lubos na inirerekomenda para sa isang mas tiyak na pag-unawa sa mga potensyal na legal na kahihinatnan.</v>
      </c>
      <c r="F2289" s="2">
        <f t="shared" si="1"/>
        <v>0</v>
      </c>
      <c r="G2289" s="2"/>
      <c r="H2289" s="2"/>
      <c r="I2289" s="2"/>
      <c r="J2289" s="2"/>
      <c r="K2289" s="2"/>
      <c r="L2289" s="2"/>
      <c r="M2289" s="2"/>
      <c r="N2289" s="2"/>
      <c r="O2289" s="2"/>
      <c r="P2289" s="2"/>
      <c r="Q2289" s="2"/>
      <c r="R2289" s="2"/>
      <c r="S2289" s="2"/>
      <c r="T2289" s="2"/>
      <c r="U2289" s="2"/>
      <c r="V2289" s="2"/>
      <c r="W2289" s="2"/>
      <c r="X2289" s="2"/>
      <c r="Y2289" s="2"/>
      <c r="Z2289" s="2"/>
      <c r="AA2289" s="2"/>
    </row>
    <row r="2290">
      <c r="A2290" s="1" t="s">
        <v>5490</v>
      </c>
      <c r="B2290" s="1" t="s">
        <v>5545</v>
      </c>
      <c r="C2290" s="3" t="s">
        <v>5546</v>
      </c>
      <c r="D2290" s="2" t="str">
        <f>IFERROR(__xludf.DUMMYFUNCTION("GOOGLETRANSLATE(B2290, ""en"", ""TL"")"),"Paano tinutugunan sa ilalim ng batas ng Pilipinas ang pagkakasala sa pagbibigay ng ligtas na kanlungan para sa mga terorista?")</f>
        <v>Paano tinutugunan sa ilalim ng batas ng Pilipinas ang pagkakasala sa pagbibigay ng ligtas na kanlungan para sa mga terorista?</v>
      </c>
      <c r="E2290" s="2" t="str">
        <f>IFERROR(__xludf.DUMMYFUNCTION("GOOGLETRANSLATE(C2290, ""en"", ""TL"")"),"Gaya ng nabanggit kanina, ang batas ng Pilipinas ay walang iisang, partikular na batas na direktang tumutugon sa pagkukubli o pagtatago ng mga terorista. Gayunpaman, mayroong mga umiiral na batas na maaaring gamitin upang usigin ang mga naturang gawain:
1"&amp;". **Republic Act No. 9514 (Anti-Terrorism Act of 2007):**
* **Seksyon 4:** Ang seksyong ito ay nagpaparusa sa pagbibigay ng **materyal na suporta** sa mga terorista. Ang ""materyal na suporta"" ay maaaring bigyang-kahulugan ng malawak na potensyal na isam"&amp;"a ang mga aksyon na nagbibigay-daan sa mga terorista na gumana, tulad ng pagbibigay sa kanila ng tirahan. Ang interpretasyong ito ay depende sa mga tiyak na katotohanan ng kaso. Halimbawa, kung may taong sadyang nagbibigay ng ligtas na bahay na ginagamit "&amp;"ng mga terorista upang magplano ng mga pag-atake, maaari silang kasuhan ng materyal na suporta.
2. **Binago ang Kodigo Penal (RPC):**
* Depende sa mga pangyayari, maaaring ilapat ang iba't ibang mga probisyon ng RPC:
* **Accessory (RPC Article 18):** Nala"&amp;"lapat ito kung ang isang tao, na may kaalaman sa krimen (nagkukubli sa mga terorista), ay tumutulong sa isang terorista na umiwas sa pag-uusig sa pamamagitan ng pagbibigay ng kanlungan.
* **Obstruction of Justice (RPC Article 150):** Nalalapat ito kung an"&amp;"g isang tao ay nagtatago ng ebidensya na may kaugnayan sa isang teroristang gawa o nagtatago ng isang terorista sa kanilang ligtas na kanlungan upang maiwasan ang kanilang pag-aresto.
3. **Konstitusyon ng Pilipinas (Artikulo II, Seksyon 15):**
* Ginagaran"&amp;"tiyahan ng Konstitusyon ang karapatan sa seguridad ng tao at ari-arian. Ang pagkukulong sa mga terorista ay makikita bilang isang paglabag sa karapatang ito, na posibleng humantong sa mga kaso laban sa taong nagbigay ng tirahan.
Narito ang isang mahalagan"&amp;"g punto na dapat tandaan:
* Ang partikular na batas na inilapat at ang kaukulang parusa ay lubos na nakadepende sa **mga partikular na katotohanan ng kaso**. Kabilang dito ang:
* **Kaalaman:** Alam ba ng taong nagbibigay ng ligtas na kanlungan na ang (mga"&amp;") indibidwal ay mga terorista?
* **Layunin:** Nilalayon ba nilang tumulong sa mga aktibidad ng terorista? * **Katangian ng ligtas na kanlungan:** Ito ba ay isang pansamantalang taguan o isang pangmatagalang base para sa pagpaplano ng mga pag-atake?
**Ang "&amp;"lakas ng kaso ng prosekusyon ay magdedepende sa ebidensya** na nagpapakita na ang tao ay sadyang naglaan ng ligtas na kanlungan para sa mga terorista.
**Para sa mas tiyak na sagot** sa kung paano haharapin ang isang partikular na sitwasyon sa korte, ang p"&amp;"agkonsulta sa isang abogado ay lubos na inirerekomenda. Maaari nilang suriin ang mga partikular na katotohanan at payuhan ang mga potensyal na legal na implikasyon.")</f>
        <v>Gaya ng nabanggit kanina, ang batas ng Pilipinas ay walang iisang, partikular na batas na direktang tumutugon sa pagkukubli o pagtatago ng mga terorista. Gayunpaman, mayroong mga umiiral na batas na maaaring gamitin upang usigin ang mga naturang gawain:
1. **Republic Act No. 9514 (Anti-Terrorism Act of 2007):**
* **Seksyon 4:** Ang seksyong ito ay nagpaparusa sa pagbibigay ng **materyal na suporta** sa mga terorista. Ang "materyal na suporta" ay maaaring bigyang-kahulugan ng malawak na potensyal na isama ang mga aksyon na nagbibigay-daan sa mga terorista na gumana, tulad ng pagbibigay sa kanila ng tirahan. Ang interpretasyong ito ay depende sa mga tiyak na katotohanan ng kaso. Halimbawa, kung may taong sadyang nagbibigay ng ligtas na bahay na ginagamit ng mga terorista upang magplano ng mga pag-atake, maaari silang kasuhan ng materyal na suporta.
2. **Binago ang Kodigo Penal (RPC):**
* Depende sa mga pangyayari, maaaring ilapat ang iba't ibang mga probisyon ng RPC:
* **Accessory (RPC Article 18):** Nalalapat ito kung ang isang tao, na may kaalaman sa krimen (nagkukubli sa mga terorista), ay tumutulong sa isang terorista na umiwas sa pag-uusig sa pamamagitan ng pagbibigay ng kanlungan.
* **Obstruction of Justice (RPC Article 150):** Nalalapat ito kung ang isang tao ay nagtatago ng ebidensya na may kaugnayan sa isang teroristang gawa o nagtatago ng isang terorista sa kanilang ligtas na kanlungan upang maiwasan ang kanilang pag-aresto.
3. **Konstitusyon ng Pilipinas (Artikulo II, Seksyon 15):**
* Ginagarantiyahan ng Konstitusyon ang karapatan sa seguridad ng tao at ari-arian. Ang pagkukulong sa mga terorista ay makikita bilang isang paglabag sa karapatang ito, na posibleng humantong sa mga kaso laban sa taong nagbigay ng tirahan.
Narito ang isang mahalagang punto na dapat tandaan:
* Ang partikular na batas na inilapat at ang kaukulang parusa ay lubos na nakadepende sa **mga partikular na katotohanan ng kaso**. Kabilang dito ang:
* **Kaalaman:** Alam ba ng taong nagbibigay ng ligtas na kanlungan na ang (mga) indibidwal ay mga terorista?
* **Layunin:** Nilalayon ba nilang tumulong sa mga aktibidad ng terorista? * **Katangian ng ligtas na kanlungan:** Ito ba ay isang pansamantalang taguan o isang pangmatagalang base para sa pagpaplano ng mga pag-atake?
**Ang lakas ng kaso ng prosekusyon ay magdedepende sa ebidensya** na nagpapakita na ang tao ay sadyang naglaan ng ligtas na kanlungan para sa mga terorista.
**Para sa mas tiyak na sagot** sa kung paano haharapin ang isang partikular na sitwasyon sa korte, ang pagkonsulta sa isang abogado ay lubos na inirerekomenda. Maaari nilang suriin ang mga partikular na katotohanan at payuhan ang mga potensyal na legal na implikasyon.</v>
      </c>
      <c r="F2290" s="2">
        <f t="shared" si="1"/>
        <v>0</v>
      </c>
      <c r="G2290" s="2"/>
      <c r="H2290" s="2"/>
      <c r="I2290" s="2"/>
      <c r="J2290" s="2"/>
      <c r="K2290" s="2"/>
      <c r="L2290" s="2"/>
      <c r="M2290" s="2"/>
      <c r="N2290" s="2"/>
      <c r="O2290" s="2"/>
      <c r="P2290" s="2"/>
      <c r="Q2290" s="2"/>
      <c r="R2290" s="2"/>
      <c r="S2290" s="2"/>
      <c r="T2290" s="2"/>
      <c r="U2290" s="2"/>
      <c r="V2290" s="2"/>
      <c r="W2290" s="2"/>
      <c r="X2290" s="2"/>
      <c r="Y2290" s="2"/>
      <c r="Z2290" s="2"/>
      <c r="AA2290" s="2"/>
    </row>
    <row r="2291">
      <c r="A2291" s="1" t="s">
        <v>5490</v>
      </c>
      <c r="B2291" s="1" t="s">
        <v>5547</v>
      </c>
      <c r="C2291" s="3" t="s">
        <v>5548</v>
      </c>
      <c r="D2291" s="2" t="str">
        <f>IFERROR(__xludf.DUMMYFUNCTION("GOOGLETRANSLATE(B2291, ""en"", ""TL"")"),"Anong mga legal na aksyon ang maaaring gawin laban sa mga indibidwal na nakikibahagi sa mga aktibidad sa cyberterrorism?")</f>
        <v>Anong mga legal na aksyon ang maaaring gawin laban sa mga indibidwal na nakikibahagi sa mga aktibidad sa cyberterrorism?</v>
      </c>
      <c r="E2291" s="2" t="str">
        <f>IFERROR(__xludf.DUMMYFUNCTION("GOOGLETRANSLATE(C2291, ""en"", ""TL"")"),"Tinutugunan ng Pilipinas ang cyberterrorism sa pamamagitan ng kumbinasyon ng mga umiiral na batas at bagong batas na partikular na nagta-target sa mga banta sa online. Narito ang isang breakdown ng mga legal na opsyon:
**1. Republic Act No. 10175 (Cyberse"&amp;"curity Act of 2012):**
* Ang batas na ito ay nagpaparusa sa iba't ibang cybercrime, kabilang ang:
* **Ilegal na Pag-access (Seksyon 14):** Pagkakaroon ng hindi awtorisadong pag-access sa isang computer system o network. * **Paghihimasok ng Data (Seksyon 1"&amp;"5):** Panghihimasok sa paghahatid ng data o pagbabago ng data nang walang pahintulot.
* **System Interference (Seksyon 16):** Sinasadyang magdulot ng pinsala sa isang computer system.
Ang mga paglabag na ito ay maaaring ilapat sa mga aktibidad ng cyberter"&amp;"rorism na nakakagambala sa kritikal na imprastraktura o nagdudulot ng malawakang takot sa pamamagitan ng cyberattacks. **2. Republic Act No. 9514 (Anti-Terrorism Act of 2007):**
* Bagama't hindi partikular na binabanggit ang mga cyberattacks, ginagawang k"&amp;"riminal ng batas ang mga gawaing naglalayong magdulot ng malawakang takot at malubhang panganib sa kaligtasan ng publiko ([RA 9514], Seksyon 14). Ang mga cyberattack na nakakamit ang layuning ito ay maaaring kasuhan sa ilalim ng Anti-Terrorism Act.
* **Se"&amp;"ksyon 4** ay nagpaparusa sa pagbibigay ng materyal na suporta sa mga terorista. Maaaring kabilang sa malawak na interpretasyon ang pagbibigay ng teknikal na tulong o mga tool na ginagamit sa cyberterrorism.
**3. Binagong Kodigo Penal (RPC):**
* Depende sa"&amp;" uri ng cyberattack, maaaring naaangkop ang ilang tradisyonal na probisyon ng RPC:
* **Destructive Arson (RPC Article 320):** Kung sinisira ng cyberattack ang kritikal na imprastraktura sa antas na maihahambing sa pisikal na panununog.
* **Estafa (RPC Art"&amp;"icle 315):** Kung ang cyberattack ay nagsasangkot ng pandaraya o pagnanakaw ng data para sa pinansyal na pakinabang.
**4. Iba pang mga Batas:**
* **Republic Act No. 8424 (National Computerization Law):** Ang batas na ito ay nagtataguyod ng computerization"&amp;" ngunit binibigyang-diin din ang seguridad ng computer. Maaaring gamitin ang mga paglabag kasabay ng iba pang mga singil sa cybercrime.
**Mahahalagang Pagsasaalang-alang:**
* Ang partikular na (mga) batas na inilapat at ang kaukulang mga parusa ay depende"&amp;" sa **mga partikular na detalye ng cyberattack**. * Ang medyo bagong larangan ng cybercrime law ay patuloy na umuunlad. * **Ang pangangalap ng malakas na digital na ebidensya** ay mahalaga para sa pag-uusig ng mga paglabag sa cyberterrorism. **Ang pagkons"&amp;"ulta sa isang abogado** na may kadalubhasaan sa cybercrime law ay lubos na inirerekomenda para sa isang mas komprehensibong pag-unawa sa mga legal na opsyon na available sa isang partikular na kaso.")</f>
        <v>Tinutugunan ng Pilipinas ang cyberterrorism sa pamamagitan ng kumbinasyon ng mga umiiral na batas at bagong batas na partikular na nagta-target sa mga banta sa online. Narito ang isang breakdown ng mga legal na opsyon:
**1. Republic Act No. 10175 (Cybersecurity Act of 2012):**
* Ang batas na ito ay nagpaparusa sa iba't ibang cybercrime, kabilang ang:
* **Ilegal na Pag-access (Seksyon 14):** Pagkakaroon ng hindi awtorisadong pag-access sa isang computer system o network. * **Paghihimasok ng Data (Seksyon 15):** Panghihimasok sa paghahatid ng data o pagbabago ng data nang walang pahintulot.
* **System Interference (Seksyon 16):** Sinasadyang magdulot ng pinsala sa isang computer system.
Ang mga paglabag na ito ay maaaring ilapat sa mga aktibidad ng cyberterrorism na nakakagambala sa kritikal na imprastraktura o nagdudulot ng malawakang takot sa pamamagitan ng cyberattacks. **2. Republic Act No. 9514 (Anti-Terrorism Act of 2007):**
* Bagama't hindi partikular na binabanggit ang mga cyberattacks, ginagawang kriminal ng batas ang mga gawaing naglalayong magdulot ng malawakang takot at malubhang panganib sa kaligtasan ng publiko ([RA 9514], Seksyon 14). Ang mga cyberattack na nakakamit ang layuning ito ay maaaring kasuhan sa ilalim ng Anti-Terrorism Act.
* **Seksyon 4** ay nagpaparusa sa pagbibigay ng materyal na suporta sa mga terorista. Maaaring kabilang sa malawak na interpretasyon ang pagbibigay ng teknikal na tulong o mga tool na ginagamit sa cyberterrorism.
**3. Binagong Kodigo Penal (RPC):**
* Depende sa uri ng cyberattack, maaaring naaangkop ang ilang tradisyonal na probisyon ng RPC:
* **Destructive Arson (RPC Article 320):** Kung sinisira ng cyberattack ang kritikal na imprastraktura sa antas na maihahambing sa pisikal na panununog.
* **Estafa (RPC Article 315):** Kung ang cyberattack ay nagsasangkot ng pandaraya o pagnanakaw ng data para sa pinansyal na pakinabang.
**4. Iba pang mga Batas:**
* **Republic Act No. 8424 (National Computerization Law):** Ang batas na ito ay nagtataguyod ng computerization ngunit binibigyang-diin din ang seguridad ng computer. Maaaring gamitin ang mga paglabag kasabay ng iba pang mga singil sa cybercrime.
**Mahahalagang Pagsasaalang-alang:**
* Ang partikular na (mga) batas na inilapat at ang kaukulang mga parusa ay depende sa **mga partikular na detalye ng cyberattack**. * Ang medyo bagong larangan ng cybercrime law ay patuloy na umuunlad. * **Ang pangangalap ng malakas na digital na ebidensya** ay mahalaga para sa pag-uusig ng mga paglabag sa cyberterrorism. **Ang pagkonsulta sa isang abogado** na may kadalubhasaan sa cybercrime law ay lubos na inirerekomenda para sa isang mas komprehensibong pag-unawa sa mga legal na opsyon na available sa isang partikular na kaso.</v>
      </c>
      <c r="F2291" s="2">
        <f t="shared" si="1"/>
        <v>0</v>
      </c>
      <c r="G2291" s="2"/>
      <c r="H2291" s="2"/>
      <c r="I2291" s="2"/>
      <c r="J2291" s="2"/>
      <c r="K2291" s="2"/>
      <c r="L2291" s="2"/>
      <c r="M2291" s="2"/>
      <c r="N2291" s="2"/>
      <c r="O2291" s="2"/>
      <c r="P2291" s="2"/>
      <c r="Q2291" s="2"/>
      <c r="R2291" s="2"/>
      <c r="S2291" s="2"/>
      <c r="T2291" s="2"/>
      <c r="U2291" s="2"/>
      <c r="V2291" s="2"/>
      <c r="W2291" s="2"/>
      <c r="X2291" s="2"/>
      <c r="Y2291" s="2"/>
      <c r="Z2291" s="2"/>
      <c r="AA2291" s="2"/>
    </row>
    <row r="2292">
      <c r="A2292" s="1" t="s">
        <v>5490</v>
      </c>
      <c r="B2292" s="1" t="s">
        <v>5549</v>
      </c>
      <c r="C2292" s="3" t="s">
        <v>5550</v>
      </c>
      <c r="D2292" s="2" t="str">
        <f>IFERROR(__xludf.DUMMYFUNCTION("GOOGLETRANSLATE(B2292, ""en"", ""TL"")"),"Paano kinokontrol ang mga hakbang tulad ng surveillance at wiretapping sa mga pagsusumikap sa kontra-terorismo?")</f>
        <v>Paano kinokontrol ang mga hakbang tulad ng surveillance at wiretapping sa mga pagsusumikap sa kontra-terorismo?</v>
      </c>
      <c r="E2292" s="2" t="str">
        <f>IFERROR(__xludf.DUMMYFUNCTION("GOOGLETRANSLATE(C2292, ""en"", ""TL"")"),"Pinahihintulutan ng batas ng Pilipinas ang pagsubaybay at pag-wiretap bilang mga kasangkapan sa pagsusumikap sa kontra-terorismo, ngunit may mga pananggalang upang protektahan ang mga indibidwal na karapatan. Narito ang isang breakdown ng nauugnay na lega"&amp;"l na framework:
**1. Konstitusyon:**
* **Artikulo III, Seksyon 2 (Karapatan sa Pagkapribado):** Ginagarantiyahan nito ang karapatan sa pagkapribado ng komunikasyon at pagsusulatan. Ang karapatang ito ay maaaring potensyal na limitahan ang mga aktibidad sa"&amp;" pagsubaybay ng pamahalaan.
**2. Anti-Terrorism Act (RA No. 9514):**
* **Seksyon 16:** Ang seksyong ito ay nagpapahintulot sa pagpapalabas ng isang nakasulat na kautusan para sa pagsubaybay at pag-wire-tap ng isang pinaghihinalaang terorista sa ilalim ng "&amp;"**mga limitadong pangyayari**. * **Mga Pag-iingat:**
* Nangangailangan ng pag-apruba mula sa Court of Appeals.
* May bisa lamang sa maximum na 90 araw, napapailalim sa pag-renew na may wastong katwiran.
**3. Republic Act No. 486 (Anti-Wiretapping Law):**
"&amp;"* Ang mas lumang batas na ito ay kinokontrol din ang pagsubaybay at pag-wiretap ngunit may mas malawak na kakayahang magamit (hindi lamang kontra-terorismo).
* **Sa pangkalahatan ay mas mahigpit na mga kinakailangan kumpara sa RA 9514:** Nangangailangan n"&amp;"g utos ng hukuman batay sa posibleng dahilan ng isang krimen.
**Mga Pangunahing Punto:**
* Ang Anti-Terrorism Act ay nagbibigay sa pagpapatupad ng batas ng **mas malawak na awtoridad para sa pagsubaybay at pag-wiretap sa mga pagsusumikap na kontra-teroris"&amp;"mo** kumpara sa pangkalahatang batas ng wiretapping.
* Gayunpaman, mayroon pa ring mga pag-iingat upang **pigilan ang pang-aabuso**: pag-apruba ng hudisyal at mga limitasyon sa oras.
**4. Panghukuman na Pangangasiwa:**
* Ang mga korte ay may mahalagang pa"&amp;"pel sa pagtiyak ng legal na pagsubaybay. Maaari silang:
* Suriin ang mga aplikasyon para sa mga order sa pagsubaybay.
* Tanggihan ang mga aplikasyon na walang tamang katwiran.
**5. Mga Legal na Hamon:**
* Ang balanse sa pagitan ng pambansang seguridad at "&amp;"indibidwal na privacy ay isang kumplikadong isyu.
* Ang paggamit ng surveillance at wiretapping sa mga pagsusumikap sa kontra-terorismo ay maaaring hamunin sa korte kung ito ay itinuring na lumalabag sa Konstitusyon o RA 486.
**Rekomendasyon:**
Para sa is"&amp;"ang mas makahulugang pag-unawa sa kung paano inilalapat ang mga batas sa pagsubaybay at wiretapping sa mga partikular na sitwasyon, lubos na inirerekomenda ang pagkonsulta sa isang abogado. Maaari nilang suriin ang mga detalye ng isang kaso at magbigay ng"&amp;" mga insight sa mga legal na pagsasaalang-alang.")</f>
        <v>Pinahihintulutan ng batas ng Pilipinas ang pagsubaybay at pag-wiretap bilang mga kasangkapan sa pagsusumikap sa kontra-terorismo, ngunit may mga pananggalang upang protektahan ang mga indibidwal na karapatan. Narito ang isang breakdown ng nauugnay na legal na framework:
**1. Konstitusyon:**
* **Artikulo III, Seksyon 2 (Karapatan sa Pagkapribado):** Ginagarantiyahan nito ang karapatan sa pagkapribado ng komunikasyon at pagsusulatan. Ang karapatang ito ay maaaring potensyal na limitahan ang mga aktibidad sa pagsubaybay ng pamahalaan.
**2. Anti-Terrorism Act (RA No. 9514):**
* **Seksyon 16:** Ang seksyong ito ay nagpapahintulot sa pagpapalabas ng isang nakasulat na kautusan para sa pagsubaybay at pag-wire-tap ng isang pinaghihinalaang terorista sa ilalim ng **mga limitadong pangyayari**. * **Mga Pag-iingat:**
* Nangangailangan ng pag-apruba mula sa Court of Appeals.
* May bisa lamang sa maximum na 90 araw, napapailalim sa pag-renew na may wastong katwiran.
**3. Republic Act No. 486 (Anti-Wiretapping Law):**
* Ang mas lumang batas na ito ay kinokontrol din ang pagsubaybay at pag-wiretap ngunit may mas malawak na kakayahang magamit (hindi lamang kontra-terorismo).
* **Sa pangkalahatan ay mas mahigpit na mga kinakailangan kumpara sa RA 9514:** Nangangailangan ng utos ng hukuman batay sa posibleng dahilan ng isang krimen.
**Mga Pangunahing Punto:**
* Ang Anti-Terrorism Act ay nagbibigay sa pagpapatupad ng batas ng **mas malawak na awtoridad para sa pagsubaybay at pag-wiretap sa mga pagsusumikap na kontra-terorismo** kumpara sa pangkalahatang batas ng wiretapping.
* Gayunpaman, mayroon pa ring mga pag-iingat upang **pigilan ang pang-aabuso**: pag-apruba ng hudisyal at mga limitasyon sa oras.
**4. Panghukuman na Pangangasiwa:**
* Ang mga korte ay may mahalagang papel sa pagtiyak ng legal na pagsubaybay. Maaari silang:
* Suriin ang mga aplikasyon para sa mga order sa pagsubaybay.
* Tanggihan ang mga aplikasyon na walang tamang katwiran.
**5. Mga Legal na Hamon:**
* Ang balanse sa pagitan ng pambansang seguridad at indibidwal na privacy ay isang kumplikadong isyu.
* Ang paggamit ng surveillance at wiretapping sa mga pagsusumikap sa kontra-terorismo ay maaaring hamunin sa korte kung ito ay itinuring na lumalabag sa Konstitusyon o RA 486.
**Rekomendasyon:**
Para sa isang mas makahulugang pag-unawa sa kung paano inilalapat ang mga batas sa pagsubaybay at wiretapping sa mga partikular na sitwasyon, lubos na inirerekomenda ang pagkonsulta sa isang abogado. Maaari nilang suriin ang mga detalye ng isang kaso at magbigay ng mga insight sa mga legal na pagsasaalang-alang.</v>
      </c>
      <c r="F2292" s="2">
        <f t="shared" si="1"/>
        <v>0</v>
      </c>
      <c r="G2292" s="2"/>
      <c r="H2292" s="2"/>
      <c r="I2292" s="2"/>
      <c r="J2292" s="2"/>
      <c r="K2292" s="2"/>
      <c r="L2292" s="2"/>
      <c r="M2292" s="2"/>
      <c r="N2292" s="2"/>
      <c r="O2292" s="2"/>
      <c r="P2292" s="2"/>
      <c r="Q2292" s="2"/>
      <c r="R2292" s="2"/>
      <c r="S2292" s="2"/>
      <c r="T2292" s="2"/>
      <c r="U2292" s="2"/>
      <c r="V2292" s="2"/>
      <c r="W2292" s="2"/>
      <c r="X2292" s="2"/>
      <c r="Y2292" s="2"/>
      <c r="Z2292" s="2"/>
      <c r="AA2292" s="2"/>
    </row>
    <row r="2293">
      <c r="A2293" s="1" t="s">
        <v>5490</v>
      </c>
      <c r="B2293" s="1" t="s">
        <v>5551</v>
      </c>
      <c r="C2293" s="3" t="s">
        <v>5552</v>
      </c>
      <c r="D2293" s="2" t="str">
        <f>IFERROR(__xludf.DUMMYFUNCTION("GOOGLETRANSLATE(B2293, ""en"", ""TL"")"),"Ano ang papel na ginagampanan ng mga yunit ng lokal na pamahalaan sa pagsuporta sa mga pambansang diskarte sa kontra-terorismo?")</f>
        <v>Ano ang papel na ginagampanan ng mga yunit ng lokal na pamahalaan sa pagsuporta sa mga pambansang diskarte sa kontra-terorismo?</v>
      </c>
      <c r="E2293" s="2" t="str">
        <f>IFERROR(__xludf.DUMMYFUNCTION("GOOGLETRANSLATE(C2293, ""en"", ""TL"")"),"Ang legal na balangkas ng Pilipinas ay nagtatalaga ng malaking papel sa mga local government units (LGUs) sa pagsuporta sa mga pambansang diskarte sa kontra-terorismo. Narito ang isang breakdown ng kanilang mga pangunahing tungkulin batay sa batas ng Pili"&amp;"pinas:
**1. Pagpapatupad ng mga National Counterterrorism Plan:**
* Ang Philippine National Counter-Terrorism Plan (PNCTP) ay nagbabalangkas ng isang komprehensibong pambansang estratehiya. * Ang mga LGU ay inaasahang **iayon ang kanilang mga lokal na pla"&amp;"no** sa PNCTP, na nakatuon sa kanilang mga partikular na lugar ([Republic Act No. 9514], Seksyon 14).
**2. Pagbabahagi ng Impormasyon at Mga Sistema ng Maagang Babala:**
* Ang mga LGU ay may mahalagang papel sa pangangalap at pagbabahagi ng lokal na intel"&amp;"ihensiya sa mga potensyal na aktibidad ng terorista sa mga kaugnay na pambansang ahensya ([RA 9514], Seksyon 18).
* Maaari silang magtatag ng **mga sistema ng maagang babala** upang makita at mag-ulat ng mga kahina-hinalang aktibidad sa loob ng kanilang m"&amp;"ga nasasakupan.
**3. Pampublikong Kamalayan at Pakikipag-ugnayan sa Komunidad:**
* Ang mga LGU ay may tungkuling **magturo sa publiko** tungkol sa mga panganib ng terorismo at magsulong ng pagbabantay sa loob ng kanilang mga komunidad ([Executive Order No"&amp;". 138, s. 2017]).
* Maaari silang mag-organisa ng **mga programa sa outreach sa komunidad** upang pasiglahin ang tiwala at pagtutulungan sa pagitan ng mga mamamayan at tagapagpatupad ng batas.
**4. Pag-secure ng Kritikal na Imprastraktura:**
* Ang mga LGU"&amp;" ay nagbabahagi ng responsibilidad sa mga pambansang ahensya sa **pagprotekta sa mga kritikal na imprastraktura** sa loob ng kanilang mga lokalidad (hal., mga planta ng kuryente, mga hub ng transportasyon). Maaaring kabilang dito ang mga hakbang tulad ng "&amp;"pinataas na patrolya ng seguridad at pinahusay na koordinasyon sa lokal na pulisya (iba't ibang mga batas tulad ng RA 8749). **5. Pagtugon at Pamamahala sa Krisis:**
* Sa kaso ng pag-atake ng terorista, ang mga LGU ay inaasahang **makikilahok sa pagtugon "&amp;"sa kalamidad at mga pagsisikap sa pagbawi** upang mabawasan ang mga nasawi at maibalik ang normal sa loob ng kanilang mga komunidad ([RA 10121] - Disaster Risk Reduction and Management Act).
**Legal na Batayan para sa Mga Tungkulin ng LGU:**
* Ang Anti-Te"&amp;"rrorism Act (RA 9514) ay nagbibigay-diin sa kahalagahan ng isang buong-ng-bansa na diskarte sa kontra-terorismo, na kinabibilangan ng mga LGU.
* Ang Local Government Code (RA 7160) ay nagbibigay ng kapangyarihan sa mga LGU na magpatibay ng mga ordinansa a"&amp;"t pamahalaan ang kanilang mga mapagkukunan para sa pangkalahatang kapakanan ng kanilang mga nasasakupan, na kinabibilangan ng seguridad.
**Mga Hamon at Pagsasaalang-alang:**
* Maaaring harapin ng mga LGU ang **mga hadlang sa mapagkukunan** upang epektibon"&amp;"g ipatupad ang mga hakbang sa kontraterorismo.
* May pangangailangan para sa **pagbuo ng kapasidad** upang masangkapan ang mga tauhan ng LGU ng mga kasanayan at kaalaman upang mahawakan ang mga isyu sa kontraterorismo.
* **Ang epektibong koordinasyon** sa"&amp;" pagitan ng mga LGU at pambansang ahensya ay mahalaga para sa isang matagumpay na pambansang diskarte sa kontra-terorismo.
Tandaan, ito ay isang pangkalahatang pangkalahatang-ideya. Ang mga partikular na tungkulin at pananagutan ng mga LGU sa pagsusumikap"&amp;" sa kontra-terorismo ay maaaring mag-iba depende sa partikular na lokal na konteksto at umiiral na mga patakaran.")</f>
        <v>Ang legal na balangkas ng Pilipinas ay nagtatalaga ng malaking papel sa mga local government units (LGUs) sa pagsuporta sa mga pambansang diskarte sa kontra-terorismo. Narito ang isang breakdown ng kanilang mga pangunahing tungkulin batay sa batas ng Pilipinas:
**1. Pagpapatupad ng mga National Counterterrorism Plan:**
* Ang Philippine National Counter-Terrorism Plan (PNCTP) ay nagbabalangkas ng isang komprehensibong pambansang estratehiya. * Ang mga LGU ay inaasahang **iayon ang kanilang mga lokal na plano** sa PNCTP, na nakatuon sa kanilang mga partikular na lugar ([Republic Act No. 9514], Seksyon 14).
**2. Pagbabahagi ng Impormasyon at Mga Sistema ng Maagang Babala:**
* Ang mga LGU ay may mahalagang papel sa pangangalap at pagbabahagi ng lokal na intelihensiya sa mga potensyal na aktibidad ng terorista sa mga kaugnay na pambansang ahensya ([RA 9514], Seksyon 18).
* Maaari silang magtatag ng **mga sistema ng maagang babala** upang makita at mag-ulat ng mga kahina-hinalang aktibidad sa loob ng kanilang mga nasasakupan.
**3. Pampublikong Kamalayan at Pakikipag-ugnayan sa Komunidad:**
* Ang mga LGU ay may tungkuling **magturo sa publiko** tungkol sa mga panganib ng terorismo at magsulong ng pagbabantay sa loob ng kanilang mga komunidad ([Executive Order No. 138, s. 2017]).
* Maaari silang mag-organisa ng **mga programa sa outreach sa komunidad** upang pasiglahin ang tiwala at pagtutulungan sa pagitan ng mga mamamayan at tagapagpatupad ng batas.
**4. Pag-secure ng Kritikal na Imprastraktura:**
* Ang mga LGU ay nagbabahagi ng responsibilidad sa mga pambansang ahensya sa **pagprotekta sa mga kritikal na imprastraktura** sa loob ng kanilang mga lokalidad (hal., mga planta ng kuryente, mga hub ng transportasyon). Maaaring kabilang dito ang mga hakbang tulad ng pinataas na patrolya ng seguridad at pinahusay na koordinasyon sa lokal na pulisya (iba't ibang mga batas tulad ng RA 8749). **5. Pagtugon at Pamamahala sa Krisis:**
* Sa kaso ng pag-atake ng terorista, ang mga LGU ay inaasahang **makikilahok sa pagtugon sa kalamidad at mga pagsisikap sa pagbawi** upang mabawasan ang mga nasawi at maibalik ang normal sa loob ng kanilang mga komunidad ([RA 10121] - Disaster Risk Reduction and Management Act).
**Legal na Batayan para sa Mga Tungkulin ng LGU:**
* Ang Anti-Terrorism Act (RA 9514) ay nagbibigay-diin sa kahalagahan ng isang buong-ng-bansa na diskarte sa kontra-terorismo, na kinabibilangan ng mga LGU.
* Ang Local Government Code (RA 7160) ay nagbibigay ng kapangyarihan sa mga LGU na magpatibay ng mga ordinansa at pamahalaan ang kanilang mga mapagkukunan para sa pangkalahatang kapakanan ng kanilang mga nasasakupan, na kinabibilangan ng seguridad.
**Mga Hamon at Pagsasaalang-alang:**
* Maaaring harapin ng mga LGU ang **mga hadlang sa mapagkukunan** upang epektibong ipatupad ang mga hakbang sa kontraterorismo.
* May pangangailangan para sa **pagbuo ng kapasidad** upang masangkapan ang mga tauhan ng LGU ng mga kasanayan at kaalaman upang mahawakan ang mga isyu sa kontraterorismo.
* **Ang epektibong koordinasyon** sa pagitan ng mga LGU at pambansang ahensya ay mahalaga para sa isang matagumpay na pambansang diskarte sa kontra-terorismo.
Tandaan, ito ay isang pangkalahatang pangkalahatang-ideya. Ang mga partikular na tungkulin at pananagutan ng mga LGU sa pagsusumikap sa kontra-terorismo ay maaaring mag-iba depende sa partikular na lokal na konteksto at umiiral na mga patakaran.</v>
      </c>
      <c r="F2293" s="2">
        <f t="shared" si="1"/>
        <v>0</v>
      </c>
      <c r="G2293" s="2"/>
      <c r="H2293" s="2"/>
      <c r="I2293" s="2"/>
      <c r="J2293" s="2"/>
      <c r="K2293" s="2"/>
      <c r="L2293" s="2"/>
      <c r="M2293" s="2"/>
      <c r="N2293" s="2"/>
      <c r="O2293" s="2"/>
      <c r="P2293" s="2"/>
      <c r="Q2293" s="2"/>
      <c r="R2293" s="2"/>
      <c r="S2293" s="2"/>
      <c r="T2293" s="2"/>
      <c r="U2293" s="2"/>
      <c r="V2293" s="2"/>
      <c r="W2293" s="2"/>
      <c r="X2293" s="2"/>
      <c r="Y2293" s="2"/>
      <c r="Z2293" s="2"/>
      <c r="AA2293" s="2"/>
    </row>
    <row r="2294">
      <c r="A2294" s="1" t="s">
        <v>5490</v>
      </c>
      <c r="B2294" s="1" t="s">
        <v>5553</v>
      </c>
      <c r="C2294" s="3" t="s">
        <v>5554</v>
      </c>
      <c r="D2294" s="2" t="str">
        <f>IFERROR(__xludf.DUMMYFUNCTION("GOOGLETRANSLATE(B2294, ""en"", ""TL"")"),"Paano tinutugunan ng batas ang pangangalap ng mga menor de edad sa mga organisasyong terorista?")</f>
        <v>Paano tinutugunan ng batas ang pangangalap ng mga menor de edad sa mga organisasyong terorista?</v>
      </c>
      <c r="E2294" s="2" t="str">
        <f>IFERROR(__xludf.DUMMYFUNCTION("GOOGLETRANSLATE(C2294, ""en"", ""TL"")"),"Bagama't walang isa, partikular na batas na nakatuon lamang sa pagre-recruit ng mga menor de edad sa mga teroristang organisasyon sa Pilipinas, maraming umiiral na batas ang maaaring gamitin upang matugunan ang isyung ito:
1. **Republic Act No. 9514 (Anti"&amp;"-Terrorism Act of 2007):**
* **Seksyon 4:** Ang seksyong ito ay nagpaparusa sa pagbibigay ng materyal na suporta sa mga terorista. Ang ""materyal na suporta"" ay maaaring bigyang-kahulugan nang malawakan upang isama ang mga pagkilos na nagbibigay-daan sa "&amp;"mga terorista na gumana, tulad ng pag-recruit ng mga menor de edad sa kanilang mga organisasyon.
2. **Republic Act No. 7610 (Special Protection of Children Against Abuse, Exploitation and Discrimination Act):**
* Pinoprotektahan ng batas na ito ang mga ba"&amp;"ta mula sa iba't ibang anyo ng pang-aabuso at pagsasamantala. * **Seksyon 5:** Ang seksyong ito ay partikular na nagbabawal sa pangangalap at paggamit ng mga bata sa armadong labanan. Bagama't hindi tahasang binabanggit ang terorismo, maaari itong pagtalu"&amp;"nan na ang mga organisasyong terorista ay isang anyo ng armadong tunggalian at ang pagrerekrut ng mga menor de edad ay lumalabag sa seksyong ito.
* **Iba pang mga seksyon:** Tinutugunan din ng batas ang iba pang mga anyo ng pagsasamantala na maaaring may "&amp;"kaugnayan, tulad ng child trafficking ([RA 7610], Seksyon 4, 6). 3. **Binago ang Kodigo Penal (RPC):**
* Depende sa mga pangyayari, maaaring naaangkop ang ilang probisyon ng RPC:
* **Child Abuse (RPC Article 266-A):** Nalalapat ito kung ang isang tao ay g"&amp;"umagamit ng isang bata para gumawa ng krimen, na maaaring kabilang ang pagiging recruit para sa terorismo.
* **Pag-aalipin (RPC Article 277):** Ang sapilitang pag-recruit sa terorismo ay maaaring ituring na isang uri ng pang-aalipin.
4. **Internasyonal na"&amp;" Batas:**
* Ang Pilipinas ay lumagda sa **Opsyonal na Protokol sa Convention on the Rights of the Child sa pagkakasangkot ng mga bata sa armadong labanan**. Ipinagbabawal ng protocol na ito ang pangangalap at paggamit ng mga batang wala pang 18 taong gula"&amp;"ng sa armadong labanan ng mga aktor ng gobyerno at non-government, na kinabibilangan ng mga teroristang organisasyon.
**Mahahalagang Pagsasaalang-alang:**
* Ang partikular na (mga) batas na inilapat at ang kaukulang parusa ay depende sa **mga partikular n"&amp;"a detalye ng kaso ng recruitment**. * Ang focus ay sa **pagprotekta sa mga bata** na mahina sa pagmamanipula at pagsasamantala ng mga teroristang organisasyon.
* Maaaring ang diin ay sa **rehabilitasyon at muling pagsasama** ng mga bata na na-recruit na.
"&amp;"**Ang pagkonsulta sa isang abogado** na may kadalubhasaan sa mga batas sa proteksyon ng bata ay lubos na inirerekomenda para sa isang mas malalim na pag-unawa sa kung paano mailalapat ang batas upang tugunan ang pangangalap ng mga menor de edad sa mga org"&amp;"anisasyong terorista.")</f>
        <v>Bagama't walang isa, partikular na batas na nakatuon lamang sa pagre-recruit ng mga menor de edad sa mga teroristang organisasyon sa Pilipinas, maraming umiiral na batas ang maaaring gamitin upang matugunan ang isyung ito:
1. **Republic Act No. 9514 (Anti-Terrorism Act of 2007):**
* **Seksyon 4:** Ang seksyong ito ay nagpaparusa sa pagbibigay ng materyal na suporta sa mga terorista. Ang "materyal na suporta" ay maaaring bigyang-kahulugan nang malawakan upang isama ang mga pagkilos na nagbibigay-daan sa mga terorista na gumana, tulad ng pag-recruit ng mga menor de edad sa kanilang mga organisasyon.
2. **Republic Act No. 7610 (Special Protection of Children Against Abuse, Exploitation and Discrimination Act):**
* Pinoprotektahan ng batas na ito ang mga bata mula sa iba't ibang anyo ng pang-aabuso at pagsasamantala. * **Seksyon 5:** Ang seksyong ito ay partikular na nagbabawal sa pangangalap at paggamit ng mga bata sa armadong labanan. Bagama't hindi tahasang binabanggit ang terorismo, maaari itong pagtalunan na ang mga organisasyong terorista ay isang anyo ng armadong tunggalian at ang pagrerekrut ng mga menor de edad ay lumalabag sa seksyong ito.
* **Iba pang mga seksyon:** Tinutugunan din ng batas ang iba pang mga anyo ng pagsasamantala na maaaring may kaugnayan, tulad ng child trafficking ([RA 7610], Seksyon 4, 6). 3. **Binago ang Kodigo Penal (RPC):**
* Depende sa mga pangyayari, maaaring naaangkop ang ilang probisyon ng RPC:
* **Child Abuse (RPC Article 266-A):** Nalalapat ito kung ang isang tao ay gumagamit ng isang bata para gumawa ng krimen, na maaaring kabilang ang pagiging recruit para sa terorismo.
* **Pag-aalipin (RPC Article 277):** Ang sapilitang pag-recruit sa terorismo ay maaaring ituring na isang uri ng pang-aalipin.
4. **Internasyonal na Batas:**
* Ang Pilipinas ay lumagda sa **Opsyonal na Protokol sa Convention on the Rights of the Child sa pagkakasangkot ng mga bata sa armadong labanan**. Ipinagbabawal ng protocol na ito ang pangangalap at paggamit ng mga batang wala pang 18 taong gulang sa armadong labanan ng mga aktor ng gobyerno at non-government, na kinabibilangan ng mga teroristang organisasyon.
**Mahahalagang Pagsasaalang-alang:**
* Ang partikular na (mga) batas na inilapat at ang kaukulang parusa ay depende sa **mga partikular na detalye ng kaso ng recruitment**. * Ang focus ay sa **pagprotekta sa mga bata** na mahina sa pagmamanipula at pagsasamantala ng mga teroristang organisasyon.
* Maaaring ang diin ay sa **rehabilitasyon at muling pagsasama** ng mga bata na na-recruit na.
**Ang pagkonsulta sa isang abogado** na may kadalubhasaan sa mga batas sa proteksyon ng bata ay lubos na inirerekomenda para sa isang mas malalim na pag-unawa sa kung paano mailalapat ang batas upang tugunan ang pangangalap ng mga menor de edad sa mga organisasyong terorista.</v>
      </c>
      <c r="F2294" s="2">
        <f t="shared" si="1"/>
        <v>0</v>
      </c>
      <c r="G2294" s="2"/>
      <c r="H2294" s="2"/>
      <c r="I2294" s="2"/>
      <c r="J2294" s="2"/>
      <c r="K2294" s="2"/>
      <c r="L2294" s="2"/>
      <c r="M2294" s="2"/>
      <c r="N2294" s="2"/>
      <c r="O2294" s="2"/>
      <c r="P2294" s="2"/>
      <c r="Q2294" s="2"/>
      <c r="R2294" s="2"/>
      <c r="S2294" s="2"/>
      <c r="T2294" s="2"/>
      <c r="U2294" s="2"/>
      <c r="V2294" s="2"/>
      <c r="W2294" s="2"/>
      <c r="X2294" s="2"/>
      <c r="Y2294" s="2"/>
      <c r="Z2294" s="2"/>
      <c r="AA2294" s="2"/>
    </row>
    <row r="2295">
      <c r="A2295" s="1" t="s">
        <v>5490</v>
      </c>
      <c r="B2295" s="1" t="s">
        <v>5555</v>
      </c>
      <c r="C2295" s="3" t="s">
        <v>5556</v>
      </c>
      <c r="D2295" s="2" t="str">
        <f>IFERROR(__xludf.DUMMYFUNCTION("GOOGLETRANSLATE(B2295, ""en"", ""TL"")"),"Anong mga legal na probisyon ang namamahala sa pag-uusig sa mga dayuhang terorista na kumikilos sa loob ng teritoryo ng Pilipinas?")</f>
        <v>Anong mga legal na probisyon ang namamahala sa pag-uusig sa mga dayuhang terorista na kumikilos sa loob ng teritoryo ng Pilipinas?</v>
      </c>
      <c r="E2295" s="2" t="str">
        <f>IFERROR(__xludf.DUMMYFUNCTION("GOOGLETRANSLATE(C2295, ""en"", ""TL"")"),"Iniuusig ng Pilipinas ang mga dayuhang terorista na kumikilos sa loob ng teritoryo nito sa ilalim ng kumbinasyon ng mga lokal na batas at internasyonal na kasunduan. Narito ang isang breakdown ng pangunahing legal na balangkas:
**Mga Batas sa Bahay:**
* *"&amp;"*Republic Act No. 9514 (Anti-Terrorism Act of 2007):** Ang batas na ito ang bumubuo sa pundasyon ng mga pagsusumikap sa kontra-terorismo sa Pilipinas. Bagama't hindi nito tahasang binabanggit ang mga dayuhang terorista, maaaring ilapat sa kanila ang mga p"&amp;"robisyon nito:
* **Seksyon 4:** Ang seksyong ito ay nagpaparusa sa mga gawain tulad ng pagpaplano, paghahanda, at pag-uudyok ng terorismo, pati na rin ang pagbibigay ng materyal na suporta sa mga terorista. Ang mga ito ay maaaring ilapat sa mga dayuhang t"&amp;"erorista anuman ang nasyonalidad.
* **Revised Penal Code (RPC):** Depende sa mga partikular na gawaing ginawa ng dayuhang terorista, maaaring gumamit ng iba't ibang probisyon ng RPC, gaya ng:
* **Mga krimen laban sa mga tao (hal., pagpatay, pagkidnap):** "&amp;"Kung ang terorista ay gagawa ng marahas na gawain.
* **Mga krimen laban sa ari-arian (hal., panununog, pinsala sa ari-arian):** Kung napinsala ng terorista ang imprastraktura o ari-arian.
* **Ilegal na pagmamay-ari ng mga baril at pampasabog:** Kung ang t"&amp;"erorista ay nagtataglay ng mga armas para sa mga aktibidad ng terorista.
* **Konstitusyon ng Pilipinas (Artikulo III, Seksyon 2):** Ginagarantiyahan nito ang karapatan sa seguridad ng tao at ari-arian. Ang mga dayuhang terorista na lumalabag sa karapatang"&amp;" ito ay maaaring kasuhan sa ilalim ng mga kaugnay na batas.
**Mga Internasyonal na Kasunduan:**
* Ang Pilipinas ay isang partido sa iba't ibang internasyonal na kasunduan na may kaugnayan sa kontra-terorismo, tulad ng:
* **International Convention for the"&amp;" Suppression of Financing of Terrorism:** Ang kasunduang ito ay nagsasakriminal sa pagpopondo sa mga aktibidad ng terorismo.
* **Convention on the Prevention and Punishment of Offenses against Internationally Protected Persons, kabilang ang mga Diplomatic"&amp;" Agents:** Tinitiyak ng kasunduang ito ang proteksyon para sa mga diplomat at iba pang internasyonal na protektadong tao, kahit laban sa mga dayuhang terorista.
**Extradition:**
* Kung ang isang dayuhang terorista ay tumakas sa Pilipinas, ang gobyerno ay "&amp;"maaaring humiling ng kanilang extradition sa bansa kung saan sila natagpuan. Ang prosesong ito ay pinamamahalaan ng mga kasunduan sa extradition sa pagitan ng Pilipinas at ng ibang bansa. **Mga Hamon:**
* Ang pangangalap ng ebidensiya laban sa mga dayuhan"&amp;"g terorista, lalo na ang mga maaaring gumana sa isang lihim na paraan, ay maaaring maging mahirap.
* Ang internasyonal na kooperasyon ay mahalaga para sa epektibong pag-uusig sa mga dayuhang terorista, lalo na sa mga may koneksyon sa ibang bansa.
**Mahala"&amp;"gang Paalala:**
* Ang mga partikular na legal na probisyon na inilapat at ang proseso ng pag-uusig ay depende sa **mga partikular na kalagayan ng bawat kaso**. * Ang pagkonsulta sa isang abogado na may kadalubhasaan sa kontra-terorismo na batas ay lubos n"&amp;"a inirerekomenda para sa isang mas detalyadong pag-unawa sa mga legal na aspeto na kasangkot sa pag-uusig sa mga dayuhang terorista sa Pilipinas.")</f>
        <v>Iniuusig ng Pilipinas ang mga dayuhang terorista na kumikilos sa loob ng teritoryo nito sa ilalim ng kumbinasyon ng mga lokal na batas at internasyonal na kasunduan. Narito ang isang breakdown ng pangunahing legal na balangkas:
**Mga Batas sa Bahay:**
* **Republic Act No. 9514 (Anti-Terrorism Act of 2007):** Ang batas na ito ang bumubuo sa pundasyon ng mga pagsusumikap sa kontra-terorismo sa Pilipinas. Bagama't hindi nito tahasang binabanggit ang mga dayuhang terorista, maaaring ilapat sa kanila ang mga probisyon nito:
* **Seksyon 4:** Ang seksyong ito ay nagpaparusa sa mga gawain tulad ng pagpaplano, paghahanda, at pag-uudyok ng terorismo, pati na rin ang pagbibigay ng materyal na suporta sa mga terorista. Ang mga ito ay maaaring ilapat sa mga dayuhang terorista anuman ang nasyonalidad.
* **Revised Penal Code (RPC):** Depende sa mga partikular na gawaing ginawa ng dayuhang terorista, maaaring gumamit ng iba't ibang probisyon ng RPC, gaya ng:
* **Mga krimen laban sa mga tao (hal., pagpatay, pagkidnap):** Kung ang terorista ay gagawa ng marahas na gawain.
* **Mga krimen laban sa ari-arian (hal., panununog, pinsala sa ari-arian):** Kung napinsala ng terorista ang imprastraktura o ari-arian.
* **Ilegal na pagmamay-ari ng mga baril at pampasabog:** Kung ang terorista ay nagtataglay ng mga armas para sa mga aktibidad ng terorista.
* **Konstitusyon ng Pilipinas (Artikulo III, Seksyon 2):** Ginagarantiyahan nito ang karapatan sa seguridad ng tao at ari-arian. Ang mga dayuhang terorista na lumalabag sa karapatang ito ay maaaring kasuhan sa ilalim ng mga kaugnay na batas.
**Mga Internasyonal na Kasunduan:**
* Ang Pilipinas ay isang partido sa iba't ibang internasyonal na kasunduan na may kaugnayan sa kontra-terorismo, tulad ng:
* **International Convention for the Suppression of Financing of Terrorism:** Ang kasunduang ito ay nagsasakriminal sa pagpopondo sa mga aktibidad ng terorismo.
* **Convention on the Prevention and Punishment of Offenses against Internationally Protected Persons, kabilang ang mga Diplomatic Agents:** Tinitiyak ng kasunduang ito ang proteksyon para sa mga diplomat at iba pang internasyonal na protektadong tao, kahit laban sa mga dayuhang terorista.
**Extradition:**
* Kung ang isang dayuhang terorista ay tumakas sa Pilipinas, ang gobyerno ay maaaring humiling ng kanilang extradition sa bansa kung saan sila natagpuan. Ang prosesong ito ay pinamamahalaan ng mga kasunduan sa extradition sa pagitan ng Pilipinas at ng ibang bansa. **Mga Hamon:**
* Ang pangangalap ng ebidensiya laban sa mga dayuhang terorista, lalo na ang mga maaaring gumana sa isang lihim na paraan, ay maaaring maging mahirap.
* Ang internasyonal na kooperasyon ay mahalaga para sa epektibong pag-uusig sa mga dayuhang terorista, lalo na sa mga may koneksyon sa ibang bansa.
**Mahalagang Paalala:**
* Ang mga partikular na legal na probisyon na inilapat at ang proseso ng pag-uusig ay depende sa **mga partikular na kalagayan ng bawat kaso**. * Ang pagkonsulta sa isang abogado na may kadalubhasaan sa kontra-terorismo na batas ay lubos na inirerekomenda para sa isang mas detalyadong pag-unawa sa mga legal na aspeto na kasangkot sa pag-uusig sa mga dayuhang terorista sa Pilipinas.</v>
      </c>
      <c r="F2295" s="2">
        <f t="shared" si="1"/>
        <v>0</v>
      </c>
      <c r="G2295" s="2"/>
      <c r="H2295" s="2"/>
      <c r="I2295" s="2"/>
      <c r="J2295" s="2"/>
      <c r="K2295" s="2"/>
      <c r="L2295" s="2"/>
      <c r="M2295" s="2"/>
      <c r="N2295" s="2"/>
      <c r="O2295" s="2"/>
      <c r="P2295" s="2"/>
      <c r="Q2295" s="2"/>
      <c r="R2295" s="2"/>
      <c r="S2295" s="2"/>
      <c r="T2295" s="2"/>
      <c r="U2295" s="2"/>
      <c r="V2295" s="2"/>
      <c r="W2295" s="2"/>
      <c r="X2295" s="2"/>
      <c r="Y2295" s="2"/>
      <c r="Z2295" s="2"/>
      <c r="AA2295" s="2"/>
    </row>
    <row r="2296">
      <c r="A2296" s="1" t="s">
        <v>5490</v>
      </c>
      <c r="B2296" s="1" t="s">
        <v>5557</v>
      </c>
      <c r="C2296" s="3" t="s">
        <v>5558</v>
      </c>
      <c r="D2296" s="2" t="str">
        <f>IFERROR(__xludf.DUMMYFUNCTION("GOOGLETRANSLATE(B2296, ""en"", ""TL"")"),"Paano nire-rehabilitate at muling isinasama ang mga indibidwal sa lipunan pagkatapos masangkot sa terorismo?")</f>
        <v>Paano nire-rehabilitate at muling isinasama ang mga indibidwal sa lipunan pagkatapos masangkot sa terorismo?</v>
      </c>
      <c r="E2296" s="2" t="str">
        <f>IFERROR(__xludf.DUMMYFUNCTION("GOOGLETRANSLATE(C2296, ""en"", ""TL"")"),"Ang Pilipinas ay may balangkas para sa rehabilitasyon at reintegrasyon ng mga indibidwal na sangkot sa terorismo, ngunit ito ay isang masalimuot at umuusbong na proseso. Narito ang isang breakdown batay sa mga nauugnay na patakaran at kasanayan:
**Legal n"&amp;"a Batayan:**
* Bagama't walang iisa, komprehensibong batas sa rehabilitasyon at muling pagsasama ng mga terorista, ang Anti-Terrorism Act (RA No. 9514) ay naglalatag ng ilang batayan. * **Seksyon 19:** Binibigyang-diin ng seksyong ito ang kahalagahan ng p"&amp;"agtugon sa mga ugat ng terorismo, na maaaring magbigay daan para sa mga programa sa rehabilitasyon.
**Mga Ahensya ng Pamahalaan:**
* **Department of Justice (DOJ):** Nangunguna ang DOJ sa kabuuang pagsisikap ng pamahalaan sa pagsugpo sa marahas na ekstrem"&amp;"ismo (CVE) na kinabibilangan ng mga programa sa rehabilitasyon at reintegrasyon. * **Office on Counterterrorism (OCT):** Isang kaakibat na ahensya ng DOJ, ang OCT ay gumaganap ng mahalagang papel sa pagbuo at pagpapatupad ng mga programa ng CVE, kabilang "&amp;"ang mga hakbangin sa rehabilitasyon.
* **Iba Pang Ahensya:** Depende sa mga partikular na pangangailangan ng indibidwal, ang ibang mga ahensya ng gobyerno tulad ng Department of Social Welfare and Development (DSWD) ay maaaring kasangkot din sa pagbibigay"&amp;" ng suportang panlipunan at pagsasanay sa kasanayan.
**Mga Programa sa Rehabilitasyon:**
* **Tumuon sa Deradikalisasi:** Ang mga programa ay naglalayon na baguhin ang ekstremistang ideolohiya ng mga indibidwal at isulong ang mapayapang pagpapahalaga. Maaa"&amp;"ring kabilang dito ang pagpapayo sa relihiyon, mga workshop na pang-edukasyon, at pagkakalantad sa mga alternatibong salaysay.
* **Sikolohikal na Suporta:** Ang pagtugon sa anumang pinagbabatayan na mga isyu sa kalusugan ng isip na maaaring nag-ambag sa r"&amp;"adicalization ay napakahalaga.
* **Pagsasanay sa Mga Kasanayang Bokasyunal:** Ang pagbibigay ng mga indibidwal na may mabibiling kasanayan ay makakatulong sa kanila na makakuha ng trabaho at muling maisama sa lipunan.
**Mga Hamon:**
* **Mga Limitadong Map"&amp;"agkukunan:** Maaaring limitado ang pagpopondo ng pamahalaan para sa mga programa sa rehabilitasyon, na humahadlang sa pagiging epektibo ng mga ito.
* **Pagtanggap ng Komunidad:** Maaaring mahirap ang muling pagsasama dahil sa takot at hinala ng publiko sa"&amp;" mga dating terorista.
* **Sustainability:** Ang pangmatagalang suporta ay mahalaga upang maiwasan ang mga indibidwal na bumalik sa extremism.
**Ang Papel ng Lipunang Sibil:**
* **Non-Governmental Organizations (NGOs):** Ang mga NGO ay maaaring gumanap ng"&amp;" mahalagang papel sa pamamagitan ng pagbibigay ng mga serbisyo ng suporta, pagtataguyod ng panlipunang pagsasama, at pagtaguyod ng diyalogo sa pagitan ng mga dating terorista at mga komunidad.
**Mahahalagang Pagsasaalang-alang:**
* Ang rehabilitasyon at m"&amp;"uling pagsasama ay isang **boluntaryong proseso**. Dapat na tunay na piliin ng mga indibidwal na talikuran ang karahasan at ekstremismo.
* Ang bisa ng mga programang ito ay nag-iiba-iba depende sa mga kalagayan ng indibidwal at antas ng pangako sa deradik"&amp;"alisasi.
* **Mga Alalahanin sa Seguridad:** Kailangang balansehin ng mga awtoridad ang mga pagsisikap sa rehabilitasyon sa mga alalahanin sa kaligtasan ng publiko, tinitiyak na ang mga indibidwal ay hindi maglalagay ng banta pagkatapos ng muling pagsasama"&amp;".
**Karagdagang Impormasyon:**
Para sa mas komprehensibong pag-unawa sa proseso ng rehabilitasyon at reintegration para sa mga indibidwal na sangkot sa terorismo sa Pilipinas, isaalang-alang ang pagkonsulta sa mga eksperto sa larangan ng CVE o sa pamamagi"&amp;"tan ng pagsasaliksik sa mga programang pinapatakbo ng mga ahensya ng gobyerno o NGO.")</f>
        <v>Ang Pilipinas ay may balangkas para sa rehabilitasyon at reintegrasyon ng mga indibidwal na sangkot sa terorismo, ngunit ito ay isang masalimuot at umuusbong na proseso. Narito ang isang breakdown batay sa mga nauugnay na patakaran at kasanayan:
**Legal na Batayan:**
* Bagama't walang iisa, komprehensibong batas sa rehabilitasyon at muling pagsasama ng mga terorista, ang Anti-Terrorism Act (RA No. 9514) ay naglalatag ng ilang batayan. * **Seksyon 19:** Binibigyang-diin ng seksyong ito ang kahalagahan ng pagtugon sa mga ugat ng terorismo, na maaaring magbigay daan para sa mga programa sa rehabilitasyon.
**Mga Ahensya ng Pamahalaan:**
* **Department of Justice (DOJ):** Nangunguna ang DOJ sa kabuuang pagsisikap ng pamahalaan sa pagsugpo sa marahas na ekstremismo (CVE) na kinabibilangan ng mga programa sa rehabilitasyon at reintegrasyon. * **Office on Counterterrorism (OCT):** Isang kaakibat na ahensya ng DOJ, ang OCT ay gumaganap ng mahalagang papel sa pagbuo at pagpapatupad ng mga programa ng CVE, kabilang ang mga hakbangin sa rehabilitasyon.
* **Iba Pang Ahensya:** Depende sa mga partikular na pangangailangan ng indibidwal, ang ibang mga ahensya ng gobyerno tulad ng Department of Social Welfare and Development (DSWD) ay maaaring kasangkot din sa pagbibigay ng suportang panlipunan at pagsasanay sa kasanayan.
**Mga Programa sa Rehabilitasyon:**
* **Tumuon sa Deradikalisasi:** Ang mga programa ay naglalayon na baguhin ang ekstremistang ideolohiya ng mga indibidwal at isulong ang mapayapang pagpapahalaga. Maaaring kabilang dito ang pagpapayo sa relihiyon, mga workshop na pang-edukasyon, at pagkakalantad sa mga alternatibong salaysay.
* **Sikolohikal na Suporta:** Ang pagtugon sa anumang pinagbabatayan na mga isyu sa kalusugan ng isip na maaaring nag-ambag sa radicalization ay napakahalaga.
* **Pagsasanay sa Mga Kasanayang Bokasyunal:** Ang pagbibigay ng mga indibidwal na may mabibiling kasanayan ay makakatulong sa kanila na makakuha ng trabaho at muling maisama sa lipunan.
**Mga Hamon:**
* **Mga Limitadong Mapagkukunan:** Maaaring limitado ang pagpopondo ng pamahalaan para sa mga programa sa rehabilitasyon, na humahadlang sa pagiging epektibo ng mga ito.
* **Pagtanggap ng Komunidad:** Maaaring mahirap ang muling pagsasama dahil sa takot at hinala ng publiko sa mga dating terorista.
* **Sustainability:** Ang pangmatagalang suporta ay mahalaga upang maiwasan ang mga indibidwal na bumalik sa extremism.
**Ang Papel ng Lipunang Sibil:**
* **Non-Governmental Organizations (NGOs):** Ang mga NGO ay maaaring gumanap ng mahalagang papel sa pamamagitan ng pagbibigay ng mga serbisyo ng suporta, pagtataguyod ng panlipunang pagsasama, at pagtaguyod ng diyalogo sa pagitan ng mga dating terorista at mga komunidad.
**Mahahalagang Pagsasaalang-alang:**
* Ang rehabilitasyon at muling pagsasama ay isang **boluntaryong proseso**. Dapat na tunay na piliin ng mga indibidwal na talikuran ang karahasan at ekstremismo.
* Ang bisa ng mga programang ito ay nag-iiba-iba depende sa mga kalagayan ng indibidwal at antas ng pangako sa deradikalisasi.
* **Mga Alalahanin sa Seguridad:** Kailangang balansehin ng mga awtoridad ang mga pagsisikap sa rehabilitasyon sa mga alalahanin sa kaligtasan ng publiko, tinitiyak na ang mga indibidwal ay hindi maglalagay ng banta pagkatapos ng muling pagsasama.
**Karagdagang Impormasyon:**
Para sa mas komprehensibong pag-unawa sa proseso ng rehabilitasyon at reintegration para sa mga indibidwal na sangkot sa terorismo sa Pilipinas, isaalang-alang ang pagkonsulta sa mga eksperto sa larangan ng CVE o sa pamamagitan ng pagsasaliksik sa mga programang pinapatakbo ng mga ahensya ng gobyerno o NGO.</v>
      </c>
      <c r="F2296" s="2">
        <f t="shared" si="1"/>
        <v>0</v>
      </c>
      <c r="G2296" s="2"/>
      <c r="H2296" s="2"/>
      <c r="I2296" s="2"/>
      <c r="J2296" s="2"/>
      <c r="K2296" s="2"/>
      <c r="L2296" s="2"/>
      <c r="M2296" s="2"/>
      <c r="N2296" s="2"/>
      <c r="O2296" s="2"/>
      <c r="P2296" s="2"/>
      <c r="Q2296" s="2"/>
      <c r="R2296" s="2"/>
      <c r="S2296" s="2"/>
      <c r="T2296" s="2"/>
      <c r="U2296" s="2"/>
      <c r="V2296" s="2"/>
      <c r="W2296" s="2"/>
      <c r="X2296" s="2"/>
      <c r="Y2296" s="2"/>
      <c r="Z2296" s="2"/>
      <c r="AA2296" s="2"/>
    </row>
    <row r="2297">
      <c r="A2297" s="1" t="s">
        <v>5490</v>
      </c>
      <c r="B2297" s="1" t="s">
        <v>5559</v>
      </c>
      <c r="C2297" s="3" t="s">
        <v>5560</v>
      </c>
      <c r="D2297" s="2" t="str">
        <f>IFERROR(__xludf.DUMMYFUNCTION("GOOGLETRANSLATE(B2297, ""en"", ""TL"")"),"Anong mga legal na pananggalang ang umiiral upang maiwasan ang pang-aabuso ng mga kapangyarihang kontra-terorismo ng mga ahensyang nagpapatupad ng batas?")</f>
        <v>Anong mga legal na pananggalang ang umiiral upang maiwasan ang pang-aabuso ng mga kapangyarihang kontra-terorismo ng mga ahensyang nagpapatupad ng batas?</v>
      </c>
      <c r="E2297" s="2" t="str">
        <f>IFERROR(__xludf.DUMMYFUNCTION("GOOGLETRANSLATE(C2297, ""en"", ""TL"")"),"Ang Pilipinas ay may ilang mga legal na pananggalang na inilagay upang maiwasan ang pang-aabuso ng mga kapangyarihang kontra-terorismo ng mga ahensyang nagpapatupad ng batas. Narito ang isang breakdown ng ilang mahahalagang hakbang:
* **Judicial Oversight"&amp;":**
* Ang mga hukuman ay gumaganap ng isang mahalagang papel sa pagsusuri sa paggamit ng mga kapangyarihang kontra-terorismo. Kabilang dito ang:
* Pag-isyu ng mga warrant para sa surveillance at wiretapping (RA No. 9514, Seksyon 16) batay sa posibleng dah"&amp;"ilan.
* Pagrepaso sa legalidad ng mga pag-aresto at pagkulong na ginawa sa ilalim ng mga batas kontra-terorismo.
* Ang mga indibidwal na naniniwala na ang kanilang mga karapatan ay nilabag ng tagapagpatupad ng batas ay maaaring magpetisyon sa mga korte pa"&amp;"ra sa pagbawi.
* **Mga Safeguard sa Anti-Terrorism Law (RA No. 9514):**
* **Mga limitasyon sa surveillance at wiretapping:** Nangangailangan ng nakasulat na mga utos, pag-apruba mula sa Court of Appeals, at mga limitasyon sa oras (RA No. 9514, Seksyon 16)"&amp;".
* **Kahulugan ng terorismo:** Tinutukoy ng batas ang terorismo na may mga partikular na elemento, na tumutulong na maiwasan ang di-makatwirang pagtatalaga ng mga gawain bilang terorismo (RA No. 9514, Seksyon 4).
* **Habeas Corpus:** * Ang legal na remed"&amp;"yong ito ay nagbibigay-daan sa mga indibidwal na hamunin ang legalidad ng kanilang pagkakakulong sa harap ng korte. Ito ay maaaring maging isang mahalagang pananggalang laban sa mga di-makatwirang pag-aresto sa ilalim ng mga batas kontra-terorismo.
* **Ka"&amp;"rapatan sa Pagkapribado (Konstitusyon ng Pilipinas, Artikulo III, Seksyon 2):** * Ang karapatang ito sa konstitusyon ay maaaring gamitin upang hamunin ang mga hindi makatwirang aktibidad sa pagmamatyag ng mga nagpapatupad ng batas.
* **Mga Mekanismo ng Pa"&amp;"nanagutan:**
* Ang mga ahensyang nagpapatupad ng batas ay may pananagutan sa kanilang mga aksyon. Bagama't iba-iba ang mga detalye, maaaring kabilang sa mga mekanismo ang:
* Mga pagsisiyasat sa internal affairs sa loob ng mga departamento ng pulisya.
* Mg"&amp;"a independent oversight commission na maaaring mag-imbestiga sa mga reklamo laban sa mga opisyal ng pagpapatupad ng batas.
* Mga posibleng kaso ng kriminal o sibil laban sa mga opisyal na umaabuso sa kanilang mga kapangyarihan. **Mga Hamon at Pagsasaalang"&amp;"-alang:**
* Ang pagkakaroon ng balanse sa pagitan ng pambansang seguridad at mga karapatan ng indibidwal ay isang patuloy na hamon.
* Ang pagiging epektibo ng mga pag-iingat ay nakasalalay sa mga salik tulad ng kalayaan ng hudikatura at ang mga mapagkukun"&amp;"ang inilalaan sa mga katawan ng pangangasiwa.
* Mahalaga ang transparency. Ang malinaw na mga alituntunin at pampublikong pag-uulat sa paggamit ng mga kapangyarihang kontra-terorismo ay maaaring makatulong sa pagbuo ng tiwala at maiwasan ang pang-aabuso.
"&amp;"**Mga Rekomendasyon:**
* Pananatiling alam tungkol sa iyong mga karapatan sa ilalim ng batas ng Pilipinas.
* Pag-alam kung paano magsampa ng reklamo kung naniniwala ka na ang iyong mga karapatan ay nilabag ng pagpapatupad ng batas.
* Pagsuporta sa mga org"&amp;"anisasyong nagtataguyod ng mga kalayaang sibil at pinapanagot ang mga ahensyang nagpapatupad ng batas.
Tandaan, ito ay isang pangkalahatang pangkalahatang-ideya. Para sa isang mas nuanced na pag-unawa sa mga partikular na legal na pananggalang at kung paa"&amp;"no inilalapat ang mga ito sa pagsasanay, ang pagkonsulta sa isang abogado ay lubos na inirerekomenda.")</f>
        <v>Ang Pilipinas ay may ilang mga legal na pananggalang na inilagay upang maiwasan ang pang-aabuso ng mga kapangyarihang kontra-terorismo ng mga ahensyang nagpapatupad ng batas. Narito ang isang breakdown ng ilang mahahalagang hakbang:
* **Judicial Oversight:**
* Ang mga hukuman ay gumaganap ng isang mahalagang papel sa pagsusuri sa paggamit ng mga kapangyarihang kontra-terorismo. Kabilang dito ang:
* Pag-isyu ng mga warrant para sa surveillance at wiretapping (RA No. 9514, Seksyon 16) batay sa posibleng dahilan.
* Pagrepaso sa legalidad ng mga pag-aresto at pagkulong na ginawa sa ilalim ng mga batas kontra-terorismo.
* Ang mga indibidwal na naniniwala na ang kanilang mga karapatan ay nilabag ng tagapagpatupad ng batas ay maaaring magpetisyon sa mga korte para sa pagbawi.
* **Mga Safeguard sa Anti-Terrorism Law (RA No. 9514):**
* **Mga limitasyon sa surveillance at wiretapping:** Nangangailangan ng nakasulat na mga utos, pag-apruba mula sa Court of Appeals, at mga limitasyon sa oras (RA No. 9514, Seksyon 16).
* **Kahulugan ng terorismo:** Tinutukoy ng batas ang terorismo na may mga partikular na elemento, na tumutulong na maiwasan ang di-makatwirang pagtatalaga ng mga gawain bilang terorismo (RA No. 9514, Seksyon 4).
* **Habeas Corpus:** * Ang legal na remedyong ito ay nagbibigay-daan sa mga indibidwal na hamunin ang legalidad ng kanilang pagkakakulong sa harap ng korte. Ito ay maaaring maging isang mahalagang pananggalang laban sa mga di-makatwirang pag-aresto sa ilalim ng mga batas kontra-terorismo.
* **Karapatan sa Pagkapribado (Konstitusyon ng Pilipinas, Artikulo III, Seksyon 2):** * Ang karapatang ito sa konstitusyon ay maaaring gamitin upang hamunin ang mga hindi makatwirang aktibidad sa pagmamatyag ng mga nagpapatupad ng batas.
* **Mga Mekanismo ng Pananagutan:**
* Ang mga ahensyang nagpapatupad ng batas ay may pananagutan sa kanilang mga aksyon. Bagama't iba-iba ang mga detalye, maaaring kabilang sa mga mekanismo ang:
* Mga pagsisiyasat sa internal affairs sa loob ng mga departamento ng pulisya.
* Mga independent oversight commission na maaaring mag-imbestiga sa mga reklamo laban sa mga opisyal ng pagpapatupad ng batas.
* Mga posibleng kaso ng kriminal o sibil laban sa mga opisyal na umaabuso sa kanilang mga kapangyarihan. **Mga Hamon at Pagsasaalang-alang:**
* Ang pagkakaroon ng balanse sa pagitan ng pambansang seguridad at mga karapatan ng indibidwal ay isang patuloy na hamon.
* Ang pagiging epektibo ng mga pag-iingat ay nakasalalay sa mga salik tulad ng kalayaan ng hudikatura at ang mga mapagkukunang inilalaan sa mga katawan ng pangangasiwa.
* Mahalaga ang transparency. Ang malinaw na mga alituntunin at pampublikong pag-uulat sa paggamit ng mga kapangyarihang kontra-terorismo ay maaaring makatulong sa pagbuo ng tiwala at maiwasan ang pang-aabuso.
**Mga Rekomendasyon:**
* Pananatiling alam tungkol sa iyong mga karapatan sa ilalim ng batas ng Pilipinas.
* Pag-alam kung paano magsampa ng reklamo kung naniniwala ka na ang iyong mga karapatan ay nilabag ng pagpapatupad ng batas.
* Pagsuporta sa mga organisasyong nagtataguyod ng mga kalayaang sibil at pinapanagot ang mga ahensyang nagpapatupad ng batas.
Tandaan, ito ay isang pangkalahatang pangkalahatang-ideya. Para sa isang mas nuanced na pag-unawa sa mga partikular na legal na pananggalang at kung paano inilalapat ang mga ito sa pagsasanay, ang pagkonsulta sa isang abogado ay lubos na inirerekomenda.</v>
      </c>
      <c r="F2297" s="2">
        <f t="shared" si="1"/>
        <v>0</v>
      </c>
      <c r="G2297" s="2"/>
      <c r="H2297" s="2"/>
      <c r="I2297" s="2"/>
      <c r="J2297" s="2"/>
      <c r="K2297" s="2"/>
      <c r="L2297" s="2"/>
      <c r="M2297" s="2"/>
      <c r="N2297" s="2"/>
      <c r="O2297" s="2"/>
      <c r="P2297" s="2"/>
      <c r="Q2297" s="2"/>
      <c r="R2297" s="2"/>
      <c r="S2297" s="2"/>
      <c r="T2297" s="2"/>
      <c r="U2297" s="2"/>
      <c r="V2297" s="2"/>
      <c r="W2297" s="2"/>
      <c r="X2297" s="2"/>
      <c r="Y2297" s="2"/>
      <c r="Z2297" s="2"/>
      <c r="AA2297" s="2"/>
    </row>
    <row r="2298">
      <c r="A2298" s="1" t="s">
        <v>5490</v>
      </c>
      <c r="B2298" s="1" t="s">
        <v>5561</v>
      </c>
      <c r="C2298" s="3" t="s">
        <v>5562</v>
      </c>
      <c r="D2298" s="2" t="str">
        <f>IFERROR(__xludf.DUMMYFUNCTION("GOOGLETRANSLATE(B2298, ""en"", ""TL"")"),"Paano tinutugunan ng batas ng Pilipinas ang paggamit ng maling impormasyon o panloloko na may kaugnayan sa terorismo?")</f>
        <v>Paano tinutugunan ng batas ng Pilipinas ang paggamit ng maling impormasyon o panloloko na may kaugnayan sa terorismo?</v>
      </c>
      <c r="E2298" s="2" t="str">
        <f>IFERROR(__xludf.DUMMYFUNCTION("GOOGLETRANSLATE(C2298, ""en"", ""TL"")"),"Ang batas ng Pilipinas ay walang iisa, partikular na batas na nakatuon lamang sa pagtugon sa paggamit ng maling impormasyon o panloloko na may kaugnayan sa terorismo. Gayunpaman, maraming umiiral na batas ang maaaring gamitin upang usigin ang mga naturang"&amp;" gawain, depende sa partikular na katangian at potensyal na kahihinatnan ng panloloko:
**1. Cybercrime Act (RA No. 10175):**
* **Seksyon 15 (Panghihimasok sa Data):** Ang probisyong ito ay nagpaparusa sa pagbabago, pagbabago, pagtanggal, pagsira sa data n"&amp;"g computer, o pakikialam sa paghahatid ng data. Ang pagkalat ng maling impormasyon tungkol sa terorismo online ay maaaring ituring na data interference kung ito ay nakakagambala sa mga kritikal na channel ng komunikasyon o nagdudulot ng panic.
**2. Binago"&amp;"ng Kodigo Penal (RPC):**
* **Artikulo 154 (Mga Alarm at Iskandalo):** Pinaparusahan ng artikulong ito ang sadyang pagpapakalat ng mga maling alarma na nagdudulot ng pinsala sa ari-arian o nanganganib sa kaligtasan ng publiko. Ang isang panlilinlang tungko"&amp;"l sa isang pag-atake ng terorista ay posibleng mapailalim sa kategoryang ito kung ito ay lumilikha ng malawakang pagkasindak o nakakagambala sa mga normal na aktibidad.
* **Artikulo 183 (Libel):** Bagama't hindi direktang nauugnay sa terorismo, maaaring i"&amp;"lapat ang libel kung tina-target ng maling impormasyon ang isang partikular na tao o entity at sinisira ang kanilang reputasyon. **3. Anti-Terrorism Act (RA No. 9514):**
* Bagama't isang kahabaan, sa ilang matinding kaso, ang pagtutok ng batas sa pagdudul"&amp;"ot ng **laganap na takot at malubhang panganib sa kaligtasan ng publiko** (Seksyon 14) ay maaaring bigyang-kahulugan na sumasaklaw sa sadyang pagpapakalat ng mga mapanganib na panloloko tungkol sa terorismo. Gayunpaman, malamang na mailalapat ito sa mga s"&amp;"itwasyon kung saan ang panloloko mismo ay nag-uudyok ng karahasan o nagdudulot ng malinaw na banta.
**Mahahalagang Pagsasaalang-alang:**
* Ang (mga) partikular na batas na inilapat at ang kaukulang parusa ay depende sa **kalubhaan, layunin, at ang platfor"&amp;"m** na ginamit upang maikalat ang maling impormasyon. Ang isang nakakahamak na panloloko na kumakalat online na may layuning magdulot ng gulat ay malamang na pagtratuhin nang mas seryoso kaysa sa isang simpleng tsismis.
* **Kalayaan sa Pagsasalita:** Itin"&amp;"ataguyod ng Pilipinas ang kalayaan sa pagsasalita (Konstitusyon ng Pilipinas, Artikulo III, Seksyon 4). Kailangang maingat na lakad ng mga awtoridad upang maiwasan ang paglabag sa karapatang ito habang pinoprotektahan din ang kaligtasan ng publiko.
**Tung"&amp;"kulin ng Mga Platform ng Social Media:**
* Ang mga platform ng social media ay may lumalaking responsibilidad na labanan ang pagkalat ng maling impormasyon. Ang Pilipinas ay nagpatupad ng mga batas na nag-aatas sa mga platform na ito na makipagtulungan sa"&amp;" mga pagsisiyasat sa pagpapatupad ng batas ([RA 10175]).
**Pagkonsulta sa isang Abogado:**
Para sa mas tiyak na pag-unawa sa kung paano nalalapat ang batas sa isang partikular na sitwasyong kinasasangkutan ng maling impormasyon o mga panloloko na nauugnay"&amp;" sa terorismo, lubos na inirerekomenda ang pagkonsulta sa isang abogado. Maaari nilang suriin ang mga detalye at payuhan ang mga potensyal na legal na implikasyon.")</f>
        <v>Ang batas ng Pilipinas ay walang iisa, partikular na batas na nakatuon lamang sa pagtugon sa paggamit ng maling impormasyon o panloloko na may kaugnayan sa terorismo. Gayunpaman, maraming umiiral na batas ang maaaring gamitin upang usigin ang mga naturang gawain, depende sa partikular na katangian at potensyal na kahihinatnan ng panloloko:
**1. Cybercrime Act (RA No. 10175):**
* **Seksyon 15 (Panghihimasok sa Data):** Ang probisyong ito ay nagpaparusa sa pagbabago, pagbabago, pagtanggal, pagsira sa data ng computer, o pakikialam sa paghahatid ng data. Ang pagkalat ng maling impormasyon tungkol sa terorismo online ay maaaring ituring na data interference kung ito ay nakakagambala sa mga kritikal na channel ng komunikasyon o nagdudulot ng panic.
**2. Binagong Kodigo Penal (RPC):**
* **Artikulo 154 (Mga Alarm at Iskandalo):** Pinaparusahan ng artikulong ito ang sadyang pagpapakalat ng mga maling alarma na nagdudulot ng pinsala sa ari-arian o nanganganib sa kaligtasan ng publiko. Ang isang panlilinlang tungkol sa isang pag-atake ng terorista ay posibleng mapailalim sa kategoryang ito kung ito ay lumilikha ng malawakang pagkasindak o nakakagambala sa mga normal na aktibidad.
* **Artikulo 183 (Libel):** Bagama't hindi direktang nauugnay sa terorismo, maaaring ilapat ang libel kung tina-target ng maling impormasyon ang isang partikular na tao o entity at sinisira ang kanilang reputasyon. **3. Anti-Terrorism Act (RA No. 9514):**
* Bagama't isang kahabaan, sa ilang matinding kaso, ang pagtutok ng batas sa pagdudulot ng **laganap na takot at malubhang panganib sa kaligtasan ng publiko** (Seksyon 14) ay maaaring bigyang-kahulugan na sumasaklaw sa sadyang pagpapakalat ng mga mapanganib na panloloko tungkol sa terorismo. Gayunpaman, malamang na mailalapat ito sa mga sitwasyon kung saan ang panloloko mismo ay nag-uudyok ng karahasan o nagdudulot ng malinaw na banta.
**Mahahalagang Pagsasaalang-alang:**
* Ang (mga) partikular na batas na inilapat at ang kaukulang parusa ay depende sa **kalubhaan, layunin, at ang platform** na ginamit upang maikalat ang maling impormasyon. Ang isang nakakahamak na panloloko na kumakalat online na may layuning magdulot ng gulat ay malamang na pagtratuhin nang mas seryoso kaysa sa isang simpleng tsismis.
* **Kalayaan sa Pagsasalita:** Itinataguyod ng Pilipinas ang kalayaan sa pagsasalita (Konstitusyon ng Pilipinas, Artikulo III, Seksyon 4). Kailangang maingat na lakad ng mga awtoridad upang maiwasan ang paglabag sa karapatang ito habang pinoprotektahan din ang kaligtasan ng publiko.
**Tungkulin ng Mga Platform ng Social Media:**
* Ang mga platform ng social media ay may lumalaking responsibilidad na labanan ang pagkalat ng maling impormasyon. Ang Pilipinas ay nagpatupad ng mga batas na nag-aatas sa mga platform na ito na makipagtulungan sa mga pagsisiyasat sa pagpapatupad ng batas ([RA 10175]).
**Pagkonsulta sa isang Abogado:**
Para sa mas tiyak na pag-unawa sa kung paano nalalapat ang batas sa isang partikular na sitwasyong kinasasangkutan ng maling impormasyon o mga panloloko na nauugnay sa terorismo, lubos na inirerekomenda ang pagkonsulta sa isang abogado. Maaari nilang suriin ang mga detalye at payuhan ang mga potensyal na legal na implikasyon.</v>
      </c>
      <c r="F2298" s="2">
        <f t="shared" si="1"/>
        <v>0</v>
      </c>
      <c r="G2298" s="2"/>
      <c r="H2298" s="2"/>
      <c r="I2298" s="2"/>
      <c r="J2298" s="2"/>
      <c r="K2298" s="2"/>
      <c r="L2298" s="2"/>
      <c r="M2298" s="2"/>
      <c r="N2298" s="2"/>
      <c r="O2298" s="2"/>
      <c r="P2298" s="2"/>
      <c r="Q2298" s="2"/>
      <c r="R2298" s="2"/>
      <c r="S2298" s="2"/>
      <c r="T2298" s="2"/>
      <c r="U2298" s="2"/>
      <c r="V2298" s="2"/>
      <c r="W2298" s="2"/>
      <c r="X2298" s="2"/>
      <c r="Y2298" s="2"/>
      <c r="Z2298" s="2"/>
      <c r="AA2298" s="2"/>
    </row>
    <row r="2299">
      <c r="A2299" s="1" t="s">
        <v>5490</v>
      </c>
      <c r="B2299" s="1" t="s">
        <v>5563</v>
      </c>
      <c r="C2299" s="3" t="s">
        <v>5564</v>
      </c>
      <c r="D2299" s="2" t="str">
        <f>IFERROR(__xludf.DUMMYFUNCTION("GOOGLETRANSLATE(B2299, ""en"", ""TL"")"),"Ano ang papel na ginagampanan ng mga programang nakabatay sa komunidad sa pagpigil sa radikalisasyon at terorismo?")</f>
        <v>Ano ang papel na ginagampanan ng mga programang nakabatay sa komunidad sa pagpigil sa radikalisasyon at terorismo?</v>
      </c>
      <c r="E2299" s="2" t="str">
        <f>IFERROR(__xludf.DUMMYFUNCTION("GOOGLETRANSLATE(C2299, ""en"", ""TL"")"),"Ang mga programang nakabatay sa komunidad ay gumaganap ng mahalagang papel sa pagpigil sa radikalisasyon at terorismo sa Pilipinas sa pamamagitan ng pagtugon sa mga ugat na dahilan na nagiging sanhi ng mga indibidwal na madaling kapitan sa mga ekstremista"&amp;"ng ideolohiya. Narito ang isang breakdown ng kanilang mga pangunahing function:
**1. Pagsusulong ng Social Integration:**
* Ang mga programa sa komunidad ay maaaring makatulong sa pagpapaunlad ng pakiramdam ng pag-aari at pagtanggap para sa mga marginaliz"&amp;"ed na grupo, na binabawasan ang apela ng mga ekstremistang salaysay na nabiktima sa mga damdamin ng paghihiwalay at pagkahiwalay.
* Maaari silang lumikha ng mga pagkakataon para sa interfaith dialogue at pagpapalitan ng kultura, na nagsusulong ng pagkakau"&amp;"nawaan at pagpaparaya sa pagitan ng iba't ibang komunidad.
**2. Building Resilience:**
* Ang mga programa ay maaaring magbigay ng kasangkapan sa mga indibidwal, lalo na sa mga kabataan, ng mga kritikal na pag-iisip na kasanayan at media literacy upang tul"&amp;"ungan silang suriin ang impormasyon at hamunin ang mga ekstremistang propaganda.
* Maaari silang mag-promote ng mga programang panlipunan at emosyonal na pag-aaral (SEL) na nagtuturo ng malusog na mga mekanismo sa pagharap at mga kasanayan sa pagresolba n"&amp;"g salungatan, na ginagawang mas mahina ang mga indibidwal sa pagmamanipula.
**3. Maagang Pamamagitan:**
* Ang mga programa sa komunidad ay maaaring maging instrumento sa pagtukoy sa mga indibidwal na nasa panganib ng radikalisasyon at pagbibigay sa kanila"&amp;" ng suporta at mga mapagkukunan bago sila masangkot sa mga aktibidad ng ekstremista.
* Maaaring kasangkot dito ang pakikipagtulungan sa mga pamilya, lider ng relihiyon, at tagapagturo upang matukoy ang mga palatandaan ng babala at mamagitan nang maaga.
**"&amp;"4. Pagsalungat sa mga Salaysay:**
* Ang mga programa sa komunidad ay maaaring magsulong ng mga positibong salaysay na nagdiriwang ng kapayapaan, pagkakaiba-iba, at katarungang panlipunan, na nag-aalok ng alternatibo sa mga marahas na ideolohiyang itinatag"&amp;"uyod ng mga ekstremistang grupo.
* Maaari nilang bigyan ng kapangyarihan ang mga miyembro ng komunidad na magsalita laban sa ekstremismo at hamunin ang mapoot na salita sa loob ng kanilang mga komunidad.
**Mga Halimbawa ng Mga Programang Nakabatay sa Komu"&amp;"nidad:**
* **Mga programa sa pagpapaunlad ng kabataan** na nagbibigay ng mga pagkakataong pang-edukasyon, pagsasanay sa kasanayan, at mga positibong huwaran.
* **Mga programa ng mentorship** na nag-uugnay sa mga kabataan sa mga positibong pigura ng nasa h"&amp;"ustong gulang.
* **Interfaith dialogue programs** na nagtataguyod ng pagkakaunawaan at pagtutulungan sa pagitan ng iba't ibang grupo ng relihiyon.
* **Mga workshop ng media literacy** na nagtuturo sa mga tao kung paano kritikal na suriin ang impormasyon a"&amp;"t tukuyin ang propaganda.
* **Mga programa sa outreach ng komunidad** na kumokonekta sa mga populasyong nasa panganib at nagbibigay sa kanila ng suporta at mapagkukunan.
**Mga Benepisyo ng Mga Programang Nakabatay sa Komunidad:**
* **Tumutok sa Pag-iwas:*"&amp;"* Sa pamamagitan ng pagtugon sa mga ugat na sanhi ng radikalisasyon, ang mga programang ito ay naglalayong pigilan ang mga indibidwal na bumaling sa terorismo sa unang lugar.
* **Pagbuo ng Tiwala:** Ang mga programang nakabatay sa komunidad ay maaaring bu"&amp;"muo ng tiwala at pakikipagtulungan sa pagitan ng mga komunidad at tagapagpatupad ng batas, na nagsusulong ng higit na pagtutulungang diskarte sa kontra-terorismo.
* **Sustainability:** Ang mga programang hinihimok ng lokal ay kadalasang mas sustainable ka"&amp;"ysa sa mga top-down na inisyatiba ng pamahalaan, dahil mas naaayon ang mga ito sa mga partikular na pangangailangan ng kanilang mga komunidad.
**Mga Hamon:**
* **Pagpopondo:** Ang mga programang nakabatay sa komunidad ay kadalasang nahaharap sa mga hadlan"&amp;"g sa mapagkukunan, na naglilimita sa kanilang abot at pagiging epektibo.
* **Koordinasyon:** Ang mga epektibong programang nakabatay sa komunidad ay nangangailangan ng pakikipagtulungan sa pagitan ng iba't ibang stakeholder, kabilang ang mga ahensya ng go"&amp;"byerno, NGO, at mga pinuno ng komunidad.
* **Pagsukat ng Epekto:** Maaaring mahirap sukatin ang pangmatagalang epekto ng mga programang nakabatay sa komunidad sa pagpigil sa radikalisasyon.
**Konklusyon:**
Ang mga programang nakabatay sa komunidad ay isan"&amp;"g mahalagang bahagi ng isang komprehensibong diskarte sa kontra-terorismo sa Pilipinas. Sa pamamagitan ng pagtugon sa mga ugat na sanhi ng radikalisasyon at pagpapatibay ng pagkakaisa sa lipunan, ang mga programang ito ay maaaring gumanap ng isang mahalag"&amp;"ang papel sa paglikha ng isang mas ligtas at mapayapang lipunan.")</f>
        <v>Ang mga programang nakabatay sa komunidad ay gumaganap ng mahalagang papel sa pagpigil sa radikalisasyon at terorismo sa Pilipinas sa pamamagitan ng pagtugon sa mga ugat na dahilan na nagiging sanhi ng mga indibidwal na madaling kapitan sa mga ekstremistang ideolohiya. Narito ang isang breakdown ng kanilang mga pangunahing function:
**1. Pagsusulong ng Social Integration:**
* Ang mga programa sa komunidad ay maaaring makatulong sa pagpapaunlad ng pakiramdam ng pag-aari at pagtanggap para sa mga marginalized na grupo, na binabawasan ang apela ng mga ekstremistang salaysay na nabiktima sa mga damdamin ng paghihiwalay at pagkahiwalay.
* Maaari silang lumikha ng mga pagkakataon para sa interfaith dialogue at pagpapalitan ng kultura, na nagsusulong ng pagkakaunawaan at pagpaparaya sa pagitan ng iba't ibang komunidad.
**2. Building Resilience:**
* Ang mga programa ay maaaring magbigay ng kasangkapan sa mga indibidwal, lalo na sa mga kabataan, ng mga kritikal na pag-iisip na kasanayan at media literacy upang tulungan silang suriin ang impormasyon at hamunin ang mga ekstremistang propaganda.
* Maaari silang mag-promote ng mga programang panlipunan at emosyonal na pag-aaral (SEL) na nagtuturo ng malusog na mga mekanismo sa pagharap at mga kasanayan sa pagresolba ng salungatan, na ginagawang mas mahina ang mga indibidwal sa pagmamanipula.
**3. Maagang Pamamagitan:**
* Ang mga programa sa komunidad ay maaaring maging instrumento sa pagtukoy sa mga indibidwal na nasa panganib ng radikalisasyon at pagbibigay sa kanila ng suporta at mga mapagkukunan bago sila masangkot sa mga aktibidad ng ekstremista.
* Maaaring kasangkot dito ang pakikipagtulungan sa mga pamilya, lider ng relihiyon, at tagapagturo upang matukoy ang mga palatandaan ng babala at mamagitan nang maaga.
**4. Pagsalungat sa mga Salaysay:**
* Ang mga programa sa komunidad ay maaaring magsulong ng mga positibong salaysay na nagdiriwang ng kapayapaan, pagkakaiba-iba, at katarungang panlipunan, na nag-aalok ng alternatibo sa mga marahas na ideolohiyang itinataguyod ng mga ekstremistang grupo.
* Maaari nilang bigyan ng kapangyarihan ang mga miyembro ng komunidad na magsalita laban sa ekstremismo at hamunin ang mapoot na salita sa loob ng kanilang mga komunidad.
**Mga Halimbawa ng Mga Programang Nakabatay sa Komunidad:**
* **Mga programa sa pagpapaunlad ng kabataan** na nagbibigay ng mga pagkakataong pang-edukasyon, pagsasanay sa kasanayan, at mga positibong huwaran.
* **Mga programa ng mentorship** na nag-uugnay sa mga kabataan sa mga positibong pigura ng nasa hustong gulang.
* **Interfaith dialogue programs** na nagtataguyod ng pagkakaunawaan at pagtutulungan sa pagitan ng iba't ibang grupo ng relihiyon.
* **Mga workshop ng media literacy** na nagtuturo sa mga tao kung paano kritikal na suriin ang impormasyon at tukuyin ang propaganda.
* **Mga programa sa outreach ng komunidad** na kumokonekta sa mga populasyong nasa panganib at nagbibigay sa kanila ng suporta at mapagkukunan.
**Mga Benepisyo ng Mga Programang Nakabatay sa Komunidad:**
* **Tumutok sa Pag-iwas:** Sa pamamagitan ng pagtugon sa mga ugat na sanhi ng radikalisasyon, ang mga programang ito ay naglalayong pigilan ang mga indibidwal na bumaling sa terorismo sa unang lugar.
* **Pagbuo ng Tiwala:** Ang mga programang nakabatay sa komunidad ay maaaring bumuo ng tiwala at pakikipagtulungan sa pagitan ng mga komunidad at tagapagpatupad ng batas, na nagsusulong ng higit na pagtutulungang diskarte sa kontra-terorismo.
* **Sustainability:** Ang mga programang hinihimok ng lokal ay kadalasang mas sustainable kaysa sa mga top-down na inisyatiba ng pamahalaan, dahil mas naaayon ang mga ito sa mga partikular na pangangailangan ng kanilang mga komunidad.
**Mga Hamon:**
* **Pagpopondo:** Ang mga programang nakabatay sa komunidad ay kadalasang nahaharap sa mga hadlang sa mapagkukunan, na naglilimita sa kanilang abot at pagiging epektibo.
* **Koordinasyon:** Ang mga epektibong programang nakabatay sa komunidad ay nangangailangan ng pakikipagtulungan sa pagitan ng iba't ibang stakeholder, kabilang ang mga ahensya ng gobyerno, NGO, at mga pinuno ng komunidad.
* **Pagsukat ng Epekto:** Maaaring mahirap sukatin ang pangmatagalang epekto ng mga programang nakabatay sa komunidad sa pagpigil sa radikalisasyon.
**Konklusyon:**
Ang mga programang nakabatay sa komunidad ay isang mahalagang bahagi ng isang komprehensibong diskarte sa kontra-terorismo sa Pilipinas. Sa pamamagitan ng pagtugon sa mga ugat na sanhi ng radikalisasyon at pagpapatibay ng pagkakaisa sa lipunan, ang mga programang ito ay maaaring gumanap ng isang mahalagang papel sa paglikha ng isang mas ligtas at mapayapang lipunan.</v>
      </c>
      <c r="F2299" s="2">
        <f t="shared" si="1"/>
        <v>0</v>
      </c>
      <c r="G2299" s="2"/>
      <c r="H2299" s="2"/>
      <c r="I2299" s="2"/>
      <c r="J2299" s="2"/>
      <c r="K2299" s="2"/>
      <c r="L2299" s="2"/>
      <c r="M2299" s="2"/>
      <c r="N2299" s="2"/>
      <c r="O2299" s="2"/>
      <c r="P2299" s="2"/>
      <c r="Q2299" s="2"/>
      <c r="R2299" s="2"/>
      <c r="S2299" s="2"/>
      <c r="T2299" s="2"/>
      <c r="U2299" s="2"/>
      <c r="V2299" s="2"/>
      <c r="W2299" s="2"/>
      <c r="X2299" s="2"/>
      <c r="Y2299" s="2"/>
      <c r="Z2299" s="2"/>
      <c r="AA2299" s="2"/>
    </row>
    <row r="2300">
      <c r="A2300" s="1" t="s">
        <v>5490</v>
      </c>
      <c r="B2300" s="1" t="s">
        <v>5565</v>
      </c>
      <c r="C2300" s="3" t="s">
        <v>5566</v>
      </c>
      <c r="D2300" s="2" t="str">
        <f>IFERROR(__xludf.DUMMYFUNCTION("GOOGLETRANSLATE(B2300, ""en"", ""TL"")"),"Paano pinipigilan ang mga indibidwal na sangkot sa mga aktibidad ng terorista sa paglalakbay o pagpasok sa bansa?")</f>
        <v>Paano pinipigilan ang mga indibidwal na sangkot sa mga aktibidad ng terorista sa paglalakbay o pagpasok sa bansa?</v>
      </c>
      <c r="E2300" s="2" t="str">
        <f>IFERROR(__xludf.DUMMYFUNCTION("GOOGLETRANSLATE(C2300, ""en"", ""TL"")"),"Gumagamit ang Pilipinas ng multi-pronged approach upang pigilan ang mga indibidwal na sangkot sa mga aktibidad ng terorista mula sa paglalakbay o pagpasok sa bansa:
**Mga Watchlist at Screening:**
* Ang Pilipinas ay nagpapanatili ng pambansang listahan ng"&amp;" mga pinaghihinalaang terorista at teroristang organisasyon. Ang listahang ito ay malamang na pinagsama-sama ng iba't ibang ahensya ng paniktik (hal., Philippine National Police Intelligence Group).
* **Department of Foreign Affairs: [https://www.dfa.gov."&amp;"ph/](https://www.dfa.gov.ph/)** (DFA) at Bureau of Immigration (BI) gamitin ito watchlist upang i-screen ang mga pasahero sa mga paliparan at daungan. Ang mga indibidwal sa listahan ay maaaring tanggihan ang pagpasok o isailalim sa karagdagang pagtatanong"&amp;".
* Nakikipagtulungan din ang Pilipinas sa mga internasyonal na database sa terorismo na pinananatili ng mga organisasyon tulad ng Interpol at United Nations Security Council (UNSC). Nagbibigay-daan ito sa kanila na tukuyin ang mga indibidwal na na-flag n"&amp;"g ibang mga bansa.
**Advance Passenger Information (API) System:**
* Ang mga airline at iba pang carrier ay kinakailangang magsumite ng impormasyon ng pasahero (API) sa Pilipinas bago dumating ang isang flight. Ang impormasyong ito ay maihahambing sa mga "&amp;"watchlist upang matukoy ang mga potensyal na banta.
**Mga Dokumento sa Paglalakbay:**
* Ang Pilipinas ay may awtoridad na bawiin o ipawalang-bisa ang mga pasaporte at iba pang dokumento sa paglalakbay ng mga indibidwal na pinaghihinalaang sangkot sa teror"&amp;"ismo. Maaari nitong pigilan sila sa paglalakbay sa ibang bansa.
**Seguridad sa Border:**
* Responsable ang Bureau of Immigration (BI) sa pag-secure ng mga hangganan ng Pilipinas. Gumagamit sila ng mga opisyal ng imigrasyon na sinanay upang tukuyin ang kah"&amp;"ina-hinalang pag-uugali at mga dokumento sa paglalakbay.
* Ang mga K-9 unit at mga advanced na teknolohiya sa screening tulad ng mga facial recognition system ay maaari ding gamitin para makakita ng mga potensyal na banta sa mga border point.
**Pagbabahag"&amp;"i ng Impormasyon:**
* Nakikipagtulungan ang Pilipinas sa mga internasyonal na kasosyo sa pagbabahagi ng katalinuhan tungkol sa mga aktibidad ng terorista at indibidwal. Nagbibigay-daan ito sa kanila na subaybayan ang mga galaw ng mga pinaghihinalaang tero"&amp;"rista at pigilan sila sa pagtawid sa mga hangganan. **Mga Hamon:**
* Napakahalaga ng pagpapanatili ng tumpak at napapanahon na listahan ng binabantayan, ngunit maaaring mahirap ito dahil sa patuloy na nagbabagong katangian ng mga banta ng terorista.
* Ang"&amp;" pagbabalanse ng mga alalahanin sa seguridad sa mga karapatan ng mga lehitimong manlalakbay ay mahalaga. * Maaaring hadlangan ng mga limitasyon sa mapagkukunan ang pagiging epektibo ng mga hakbang sa seguridad sa hangganan.
**Mahalagang Tandaan:**
* Ang m"&amp;"ga partikular na detalye tungkol sa listahan ng binabantayan ng Pilipinas at mga pamamaraan ng screening ay kadalasang inuuri para sa mga kadahilanang pangseguridad.
* Ito ay isang pangkalahatang pangkalahatang-ideya. Ang mga partikular na hakbang na gina"&amp;"wa upang maiwasan ang mga indibidwal na sangkot sa terorismo mula sa paglalakbay o pagpasok sa bansa ay maaaring mag-iba depende sa partikular na mga pangyayari at ang antas ng pinaghihinalaang banta.")</f>
        <v>Gumagamit ang Pilipinas ng multi-pronged approach upang pigilan ang mga indibidwal na sangkot sa mga aktibidad ng terorista mula sa paglalakbay o pagpasok sa bansa:
**Mga Watchlist at Screening:**
* Ang Pilipinas ay nagpapanatili ng pambansang listahan ng mga pinaghihinalaang terorista at teroristang organisasyon. Ang listahang ito ay malamang na pinagsama-sama ng iba't ibang ahensya ng paniktik (hal., Philippine National Police Intelligence Group).
* **Department of Foreign Affairs: [https://www.dfa.gov.ph/](https://www.dfa.gov.ph/)** (DFA) at Bureau of Immigration (BI) gamitin ito watchlist upang i-screen ang mga pasahero sa mga paliparan at daungan. Ang mga indibidwal sa listahan ay maaaring tanggihan ang pagpasok o isailalim sa karagdagang pagtatanong.
* Nakikipagtulungan din ang Pilipinas sa mga internasyonal na database sa terorismo na pinananatili ng mga organisasyon tulad ng Interpol at United Nations Security Council (UNSC). Nagbibigay-daan ito sa kanila na tukuyin ang mga indibidwal na na-flag ng ibang mga bansa.
**Advance Passenger Information (API) System:**
* Ang mga airline at iba pang carrier ay kinakailangang magsumite ng impormasyon ng pasahero (API) sa Pilipinas bago dumating ang isang flight. Ang impormasyong ito ay maihahambing sa mga watchlist upang matukoy ang mga potensyal na banta.
**Mga Dokumento sa Paglalakbay:**
* Ang Pilipinas ay may awtoridad na bawiin o ipawalang-bisa ang mga pasaporte at iba pang dokumento sa paglalakbay ng mga indibidwal na pinaghihinalaang sangkot sa terorismo. Maaari nitong pigilan sila sa paglalakbay sa ibang bansa.
**Seguridad sa Border:**
* Responsable ang Bureau of Immigration (BI) sa pag-secure ng mga hangganan ng Pilipinas. Gumagamit sila ng mga opisyal ng imigrasyon na sinanay upang tukuyin ang kahina-hinalang pag-uugali at mga dokumento sa paglalakbay.
* Ang mga K-9 unit at mga advanced na teknolohiya sa screening tulad ng mga facial recognition system ay maaari ding gamitin para makakita ng mga potensyal na banta sa mga border point.
**Pagbabahagi ng Impormasyon:**
* Nakikipagtulungan ang Pilipinas sa mga internasyonal na kasosyo sa pagbabahagi ng katalinuhan tungkol sa mga aktibidad ng terorista at indibidwal. Nagbibigay-daan ito sa kanila na subaybayan ang mga galaw ng mga pinaghihinalaang terorista at pigilan sila sa pagtawid sa mga hangganan. **Mga Hamon:**
* Napakahalaga ng pagpapanatili ng tumpak at napapanahon na listahan ng binabantayan, ngunit maaaring mahirap ito dahil sa patuloy na nagbabagong katangian ng mga banta ng terorista.
* Ang pagbabalanse ng mga alalahanin sa seguridad sa mga karapatan ng mga lehitimong manlalakbay ay mahalaga. * Maaaring hadlangan ng mga limitasyon sa mapagkukunan ang pagiging epektibo ng mga hakbang sa seguridad sa hangganan.
**Mahalagang Tandaan:**
* Ang mga partikular na detalye tungkol sa listahan ng binabantayan ng Pilipinas at mga pamamaraan ng screening ay kadalasang inuuri para sa mga kadahilanang pangseguridad.
* Ito ay isang pangkalahatang pangkalahatang-ideya. Ang mga partikular na hakbang na ginawa upang maiwasan ang mga indibidwal na sangkot sa terorismo mula sa paglalakbay o pagpasok sa bansa ay maaaring mag-iba depende sa partikular na mga pangyayari at ang antas ng pinaghihinalaang banta.</v>
      </c>
      <c r="F2300" s="2">
        <f t="shared" si="1"/>
        <v>0</v>
      </c>
      <c r="G2300" s="2"/>
      <c r="H2300" s="2"/>
      <c r="I2300" s="2"/>
      <c r="J2300" s="2"/>
      <c r="K2300" s="2"/>
      <c r="L2300" s="2"/>
      <c r="M2300" s="2"/>
      <c r="N2300" s="2"/>
      <c r="O2300" s="2"/>
      <c r="P2300" s="2"/>
      <c r="Q2300" s="2"/>
      <c r="R2300" s="2"/>
      <c r="S2300" s="2"/>
      <c r="T2300" s="2"/>
      <c r="U2300" s="2"/>
      <c r="V2300" s="2"/>
      <c r="W2300" s="2"/>
      <c r="X2300" s="2"/>
      <c r="Y2300" s="2"/>
      <c r="Z2300" s="2"/>
      <c r="AA2300" s="2"/>
    </row>
    <row r="2301">
      <c r="A2301" s="1" t="s">
        <v>5490</v>
      </c>
      <c r="B2301" s="1" t="s">
        <v>5567</v>
      </c>
      <c r="C2301" s="3" t="s">
        <v>5568</v>
      </c>
      <c r="D2301" s="2" t="str">
        <f>IFERROR(__xludf.DUMMYFUNCTION("GOOGLETRANSLATE(B2301, ""en"", ""TL"")"),"Anong mga legal na aksyon ang maaaring gawin laban sa mga indibidwal na gumagamit ng social media para sa teroristang propaganda at recruitment?")</f>
        <v>Anong mga legal na aksyon ang maaaring gawin laban sa mga indibidwal na gumagamit ng social media para sa teroristang propaganda at recruitment?</v>
      </c>
      <c r="E2301" s="2" t="str">
        <f>IFERROR(__xludf.DUMMYFUNCTION("GOOGLETRANSLATE(C2301, ""en"", ""TL"")"),"Sa Pilipinas, ang mga legal na aksyon laban sa mga indibidwal na gumagamit ng social media para sa propaganda ng terorista at recruitment ay maaaring ituloy sa ilalim ng ilang umiiral na batas. Narito ang isang breakdown ng mga opsyon:
**1. Cybercrime Act"&amp;" (RA No. 10175):** * Ang batas na ito ay nagpaparusa sa iba't ibang cybercrime, kabilang ang mga nauugnay sa online na terorismo:
* **Seksyon 4(c)(4):** **Ilegal na Nilalaman:** Ipinagbabawal ng probisyong ito ang pag-post o pagbabahagi ng impormasyon na "&amp;"nag-uudyok ng karahasan o nagsasapanganib sa kaligtasan ng publiko. Ito ay maaaring sumaklaw sa online na propaganda ng terorista na nagsusulong o nagpaparangal sa mga gawaing terorista.
* **Seksyon 14 (Illegal na Pag-access):** Pinipigilan nito ang hindi"&amp;" awtorisadong pag-access sa mga computer system na ginagamit para sa pag-iimbak o pagpapadala ng propaganda ng terorista.
* **Seksyon 15 (Panghihimasok sa Data):** Pinaparusahan nito ang pagbabago o panghihimasok sa pagpapadala ng data, na posibleng naaan"&amp;"gkop kung may makagambala sa online na pagsisikap na kontrahin ang propaganda ng terorista.
**2. Anti-Terrorism Act (RA No. 9514):**
* Bagama't hindi tahasang binabanggit ang social media, ginagawang kriminal ng batas ang mga gawaing naglalayong magdulot "&amp;"ng malawakang takot at seryosong panganib sa kaligtasan ng publiko ([RA 9514], Seksyon 14). Ang pagpapakalat ng propaganda ng terorista online na naglalayong mag-udyok ng karahasan o magdulot ng takot ay maaaring kasuhan sa ilalim ng seksyong ito. * **Sek"&amp;"syon 4:** Ang seksyong ito ay nagpaparusa sa pagbibigay ng materyal na suporta sa mga terorista. Ang isang malawak na interpretasyon ay maaaring sumaklaw sa pagbibigay ng mga online na platform o teknikal na tulong na ginagamit para sa propaganda ng teror"&amp;"ista at recruitment.
**3. Binagong Kodigo Penal (RPC):**
* Depende sa nilalaman ng mga post sa social media, maaaring naaangkop ang ilang tradisyonal na probisyon ng RPC:
* **Inciting to Sedition (RPC Article 146):** Nalalapat ito kung ang online na conte"&amp;"nt ay naghihikayat ng rebelyon o pag-aalsa laban sa gobyerno, na maaaring isulong ng ilang teroristang grupo.
* **Ilegal na Pagmamay-ari ng mga Pasasabog o Incendiary Device (RPC Kabanata 6, Title II):** Kung ang mga post sa social media ay nagpo-promote "&amp;"ng paggawa o paggamit ng mga pampasabog para sa mga layunin ng terorista.
**Mga Hamon at Pagsasaalang-alang:**
* **Pagtitipon ng Digital na Ebidensya:** Kailangang kolektahin at pangalagaan ng mga tagausig ang malakas na digital na ebidensya upang patunay"&amp;"an ang likas na katangian ng nilalaman at ang layunin ng gumagamit. * **Kalayaan sa Pagsasalita:** Itinataguyod ng Pilipinas ang kalayaan sa pagsasalita (Konstitusyon ng Pilipinas, Artikulo III, Seksyon 4). Kailangang balansehin ng mga awtoridad ang pamba"&amp;"nsang seguridad at ang karapatang magpahayag ng mga personal na pananaw. * **Tungkulin ng Mga Platform ng Social Media:** Ang mga platform na ito ay may responsibilidad na alisin ang mapaminsalang nilalaman at makipagtulungan sa mga pagsisiyasat sa pagpap"&amp;"atupad ng batas ([RA 10175]). Maaari ding mag-ulat ang mga user ng kahina-hinalang content sa mga platform.
**Kahalagahan ng Pagkonsulta sa Abogado:**
Ang (mga) partikular na batas na inilapat at ang kaukulang parusa ay magdedepende sa **mga partikular na"&amp;" detalye ng aktibidad sa social media**. Ang isang abogado na may kadalubhasaan sa batas ng cybercrime ay maaaring magbigay ng isang mas nuanced na pag-unawa sa mga legal na opsyon na magagamit sa isang partikular na kaso.")</f>
        <v>Sa Pilipinas, ang mga legal na aksyon laban sa mga indibidwal na gumagamit ng social media para sa propaganda ng terorista at recruitment ay maaaring ituloy sa ilalim ng ilang umiiral na batas. Narito ang isang breakdown ng mga opsyon:
**1. Cybercrime Act (RA No. 10175):** * Ang batas na ito ay nagpaparusa sa iba't ibang cybercrime, kabilang ang mga nauugnay sa online na terorismo:
* **Seksyon 4(c)(4):** **Ilegal na Nilalaman:** Ipinagbabawal ng probisyong ito ang pag-post o pagbabahagi ng impormasyon na nag-uudyok ng karahasan o nagsasapanganib sa kaligtasan ng publiko. Ito ay maaaring sumaklaw sa online na propaganda ng terorista na nagsusulong o nagpaparangal sa mga gawaing terorista.
* **Seksyon 14 (Illegal na Pag-access):** Pinipigilan nito ang hindi awtorisadong pag-access sa mga computer system na ginagamit para sa pag-iimbak o pagpapadala ng propaganda ng terorista.
* **Seksyon 15 (Panghihimasok sa Data):** Pinaparusahan nito ang pagbabago o panghihimasok sa pagpapadala ng data, na posibleng naaangkop kung may makagambala sa online na pagsisikap na kontrahin ang propaganda ng terorista.
**2. Anti-Terrorism Act (RA No. 9514):**
* Bagama't hindi tahasang binabanggit ang social media, ginagawang kriminal ng batas ang mga gawaing naglalayong magdulot ng malawakang takot at seryosong panganib sa kaligtasan ng publiko ([RA 9514], Seksyon 14). Ang pagpapakalat ng propaganda ng terorista online na naglalayong mag-udyok ng karahasan o magdulot ng takot ay maaaring kasuhan sa ilalim ng seksyong ito. * **Seksyon 4:** Ang seksyong ito ay nagpaparusa sa pagbibigay ng materyal na suporta sa mga terorista. Ang isang malawak na interpretasyon ay maaaring sumaklaw sa pagbibigay ng mga online na platform o teknikal na tulong na ginagamit para sa propaganda ng terorista at recruitment.
**3. Binagong Kodigo Penal (RPC):**
* Depende sa nilalaman ng mga post sa social media, maaaring naaangkop ang ilang tradisyonal na probisyon ng RPC:
* **Inciting to Sedition (RPC Article 146):** Nalalapat ito kung ang online na content ay naghihikayat ng rebelyon o pag-aalsa laban sa gobyerno, na maaaring isulong ng ilang teroristang grupo.
* **Ilegal na Pagmamay-ari ng mga Pasasabog o Incendiary Device (RPC Kabanata 6, Title II):** Kung ang mga post sa social media ay nagpo-promote ng paggawa o paggamit ng mga pampasabog para sa mga layunin ng terorista.
**Mga Hamon at Pagsasaalang-alang:**
* **Pagtitipon ng Digital na Ebidensya:** Kailangang kolektahin at pangalagaan ng mga tagausig ang malakas na digital na ebidensya upang patunayan ang likas na katangian ng nilalaman at ang layunin ng gumagamit. * **Kalayaan sa Pagsasalita:** Itinataguyod ng Pilipinas ang kalayaan sa pagsasalita (Konstitusyon ng Pilipinas, Artikulo III, Seksyon 4). Kailangang balansehin ng mga awtoridad ang pambansang seguridad at ang karapatang magpahayag ng mga personal na pananaw. * **Tungkulin ng Mga Platform ng Social Media:** Ang mga platform na ito ay may responsibilidad na alisin ang mapaminsalang nilalaman at makipagtulungan sa mga pagsisiyasat sa pagpapatupad ng batas ([RA 10175]). Maaari ding mag-ulat ang mga user ng kahina-hinalang content sa mga platform.
**Kahalagahan ng Pagkonsulta sa Abogado:**
Ang (mga) partikular na batas na inilapat at ang kaukulang parusa ay magdedepende sa **mga partikular na detalye ng aktibidad sa social media**. Ang isang abogado na may kadalubhasaan sa batas ng cybercrime ay maaaring magbigay ng isang mas nuanced na pag-unawa sa mga legal na opsyon na magagamit sa isang partikular na kaso.</v>
      </c>
      <c r="F2301" s="2">
        <f t="shared" si="1"/>
        <v>0</v>
      </c>
      <c r="G2301" s="2"/>
      <c r="H2301" s="2"/>
      <c r="I2301" s="2"/>
      <c r="J2301" s="2"/>
      <c r="K2301" s="2"/>
      <c r="L2301" s="2"/>
      <c r="M2301" s="2"/>
      <c r="N2301" s="2"/>
      <c r="O2301" s="2"/>
      <c r="P2301" s="2"/>
      <c r="Q2301" s="2"/>
      <c r="R2301" s="2"/>
      <c r="S2301" s="2"/>
      <c r="T2301" s="2"/>
      <c r="U2301" s="2"/>
      <c r="V2301" s="2"/>
      <c r="W2301" s="2"/>
      <c r="X2301" s="2"/>
      <c r="Y2301" s="2"/>
      <c r="Z2301" s="2"/>
      <c r="AA2301" s="2"/>
    </row>
    <row r="2302">
      <c r="A2302" s="1" t="s">
        <v>5490</v>
      </c>
      <c r="B2302" s="1" t="s">
        <v>5569</v>
      </c>
      <c r="C2302" s="3" t="s">
        <v>5570</v>
      </c>
      <c r="D2302" s="2" t="str">
        <f>IFERROR(__xludf.DUMMYFUNCTION("GOOGLETRANSLATE(B2302, ""en"", ""TL"")"),"Paano tinutugunan sa ilalim ng batas ng Pilipinas ang krimen ng pagbibigay ng materyal na suporta sa mga dayuhang teroristang organisasyon?")</f>
        <v>Paano tinutugunan sa ilalim ng batas ng Pilipinas ang krimen ng pagbibigay ng materyal na suporta sa mga dayuhang teroristang organisasyon?</v>
      </c>
      <c r="E2302" s="2" t="str">
        <f>IFERROR(__xludf.DUMMYFUNCTION("GOOGLETRANSLATE(C2302, ""en"", ""TL"")"),"Itinuturing ng Pilipinas na seryosong krimen ang pagbibigay ng materyal na suporta sa mga foreign terrorist organization (FTOs). Narito kung paano ito tinutugunan ng batas ng Pilipinas:
**Mahalagang Batas:**
* **Anti-Terrorism Act of 2007 (Republic Act No"&amp;". 9514):** Ang batas na ito ang bumubuo sa pundasyon ng mga pagsusumikap na kontra-terorismo sa Pilipinas.
* **Seksyon 4:** Ang seksyong ito ay mahalaga. Tinutukoy at pinaparusahan nito ang isang hanay ng mga aksyon na nauugnay sa terorismo, kabilang ang:"&amp;"
* Pagpaplano, paghahanda, pag-uudyok na gumawa ng terorismo.
* Pagbibigay ng materyal na suporta sa mga terorista, na maaaring sumaklaw sa mga dayuhang organisasyon ng terorista.
* **Kahulugan ng ""Materyal na Suporta"":** Ang batas ay hindi nagbibigay n"&amp;"g kumpletong listahan ngunit binabanggit ang mga halimbawa tulad ng mga pondo, transportasyon, armas, safe house, kagamitan sa komunikasyon, tulong sa logistik, at recruitment.
**Paano Nabibigyang-kahulugan ang Materyal na Suporta:**
* Ang mga korte ay ma"&amp;"y ilang kakayahang umangkop sa pagbibigay-kahulugan sa ""materyal na suporta."" * Kabilang sa mga pangunahing salik na isinasaalang-alang ang:
* **Katangian ng Tulong:** Ang direktang tulong pinansyal, armas, o pagsasanay na ibinigay sa isang FTO ay malam"&amp;"ang na ituring na materyal na suporta.
* **Kaalaman at Layunin:** Ang taong nagbibigay ng suporta ay dapat alam o may dahilan upang maniwala na ang tatanggap ay isang teroristang organisasyon. Ang hindi alam na pagbibigay ng tulong sa pangkalahatan ay hin"&amp;"di maituturing na isang krimen.
**Mga Halimbawa ng Materyal na Suporta:**
* Pagpopondo ng isang FTO sa pamamagitan ng mga donasyon o mga aktibidad sa pangangalap ng pondo.
* Pagbibigay ng mga armas, pampasabog, o iba pang kagamitan sa isang FTO.
* Pagbibi"&amp;"gay ng pagsasanay sa paggawa ng bomba, mga taktika sa pakikipaglaban, o iba pang kasanayang ginagamit para sa mga aktibidad ng terorista.
* Pagtulong sa mga miyembro ng FTO na maglakbay o magtago sa pamamagitan ng pag-aalok ng transportasyon, mga ligtas n"&amp;"a bahay, o mga pekeng dokumento.
* Paggamit ng mga social media platform upang maikalat ang propaganda ng FTO o mag-recruit ng mga bagong miyembro.
**Mga Parusa:**
* Ang parusa para sa pagbibigay ng materyal na suporta sa mga terorista ay nakasalalay sa k"&amp;"alubhaan ng pagkakasala at sa potensyal na pinsalang idulot. Maaari itong mula sa **reclusion perpetua (habang buhay na pagkakakulong)** hanggang sa pinakamababang **anim na taong pagkakakulong**.
**Mga Hamon:**
* **Pagtitipon ng Ebidensya:** Ang pagpapat"&amp;"unay ng kaalaman at layunin ay maaaring maging mahirap, lalo na kapag nakikitungo sa mga dayuhang organisasyon.
* **International Cooperation:** Ang mabisang pag-uusig ay maaaring mangailangan ng pakikipagtulungan sa ibang mga bansa kung saan tumatakbo an"&amp;"g FTO o kung saan nagmula ang suporta.
* **Pagbabalanse ng Seguridad at Mga Karapatan:** Kailangang tiyakin ng mga awtoridad na ang mga lehitimong aktibidad ay hindi maling naiuri bilang materyal na suporta.
**Mahahalagang Pagsasaalang-alang:**
* Kung pin"&amp;"aghihinalaan mo ang isang tao ay nagbibigay ng materyal na suporta sa isang FTO, maaari mong iulat ito sa mga awtoridad. * Ang mga ahensyang nagpapatupad ng batas sa Pilipinas ay may mga hotline at online na mekanismo sa pag-uulat para sa mga naturang akt"&amp;"ibidad.
* Inirerekomenda ang pagkonsulta sa isang abogadong may kadalubhasaan sa batas laban sa terorismo kung mayroon kang mga tanong tungkol sa mga partikular na sitwasyon o mga legal na implikasyon ng pagbibigay ng ilang uri ng tulong.")</f>
        <v>Itinuturing ng Pilipinas na seryosong krimen ang pagbibigay ng materyal na suporta sa mga foreign terrorist organization (FTOs). Narito kung paano ito tinutugunan ng batas ng Pilipinas:
**Mahalagang Batas:**
* **Anti-Terrorism Act of 2007 (Republic Act No. 9514):** Ang batas na ito ang bumubuo sa pundasyon ng mga pagsusumikap na kontra-terorismo sa Pilipinas.
* **Seksyon 4:** Ang seksyong ito ay mahalaga. Tinutukoy at pinaparusahan nito ang isang hanay ng mga aksyon na nauugnay sa terorismo, kabilang ang:
* Pagpaplano, paghahanda, pag-uudyok na gumawa ng terorismo.
* Pagbibigay ng materyal na suporta sa mga terorista, na maaaring sumaklaw sa mga dayuhang organisasyon ng terorista.
* **Kahulugan ng "Materyal na Suporta":** Ang batas ay hindi nagbibigay ng kumpletong listahan ngunit binabanggit ang mga halimbawa tulad ng mga pondo, transportasyon, armas, safe house, kagamitan sa komunikasyon, tulong sa logistik, at recruitment.
**Paano Nabibigyang-kahulugan ang Materyal na Suporta:**
* Ang mga korte ay may ilang kakayahang umangkop sa pagbibigay-kahulugan sa "materyal na suporta." * Kabilang sa mga pangunahing salik na isinasaalang-alang ang:
* **Katangian ng Tulong:** Ang direktang tulong pinansyal, armas, o pagsasanay na ibinigay sa isang FTO ay malamang na ituring na materyal na suporta.
* **Kaalaman at Layunin:** Ang taong nagbibigay ng suporta ay dapat alam o may dahilan upang maniwala na ang tatanggap ay isang teroristang organisasyon. Ang hindi alam na pagbibigay ng tulong sa pangkalahatan ay hindi maituturing na isang krimen.
**Mga Halimbawa ng Materyal na Suporta:**
* Pagpopondo ng isang FTO sa pamamagitan ng mga donasyon o mga aktibidad sa pangangalap ng pondo.
* Pagbibigay ng mga armas, pampasabog, o iba pang kagamitan sa isang FTO.
* Pagbibigay ng pagsasanay sa paggawa ng bomba, mga taktika sa pakikipaglaban, o iba pang kasanayang ginagamit para sa mga aktibidad ng terorista.
* Pagtulong sa mga miyembro ng FTO na maglakbay o magtago sa pamamagitan ng pag-aalok ng transportasyon, mga ligtas na bahay, o mga pekeng dokumento.
* Paggamit ng mga social media platform upang maikalat ang propaganda ng FTO o mag-recruit ng mga bagong miyembro.
**Mga Parusa:**
* Ang parusa para sa pagbibigay ng materyal na suporta sa mga terorista ay nakasalalay sa kalubhaan ng pagkakasala at sa potensyal na pinsalang idulot. Maaari itong mula sa **reclusion perpetua (habang buhay na pagkakakulong)** hanggang sa pinakamababang **anim na taong pagkakakulong**.
**Mga Hamon:**
* **Pagtitipon ng Ebidensya:** Ang pagpapatunay ng kaalaman at layunin ay maaaring maging mahirap, lalo na kapag nakikitungo sa mga dayuhang organisasyon.
* **International Cooperation:** Ang mabisang pag-uusig ay maaaring mangailangan ng pakikipagtulungan sa ibang mga bansa kung saan tumatakbo ang FTO o kung saan nagmula ang suporta.
* **Pagbabalanse ng Seguridad at Mga Karapatan:** Kailangang tiyakin ng mga awtoridad na ang mga lehitimong aktibidad ay hindi maling naiuri bilang materyal na suporta.
**Mahahalagang Pagsasaalang-alang:**
* Kung pinaghihinalaan mo ang isang tao ay nagbibigay ng materyal na suporta sa isang FTO, maaari mong iulat ito sa mga awtoridad. * Ang mga ahensyang nagpapatupad ng batas sa Pilipinas ay may mga hotline at online na mekanismo sa pag-uulat para sa mga naturang aktibidad.
* Inirerekomenda ang pagkonsulta sa isang abogadong may kadalubhasaan sa batas laban sa terorismo kung mayroon kang mga tanong tungkol sa mga partikular na sitwasyon o mga legal na implikasyon ng pagbibigay ng ilang uri ng tulong.</v>
      </c>
      <c r="F2302" s="2">
        <f t="shared" si="1"/>
        <v>0</v>
      </c>
      <c r="G2302" s="2"/>
      <c r="H2302" s="2"/>
      <c r="I2302" s="2"/>
      <c r="J2302" s="2"/>
      <c r="K2302" s="2"/>
      <c r="L2302" s="2"/>
      <c r="M2302" s="2"/>
      <c r="N2302" s="2"/>
      <c r="O2302" s="2"/>
      <c r="P2302" s="2"/>
      <c r="Q2302" s="2"/>
      <c r="R2302" s="2"/>
      <c r="S2302" s="2"/>
      <c r="T2302" s="2"/>
      <c r="U2302" s="2"/>
      <c r="V2302" s="2"/>
      <c r="W2302" s="2"/>
      <c r="X2302" s="2"/>
      <c r="Y2302" s="2"/>
      <c r="Z2302" s="2"/>
      <c r="AA2302" s="2"/>
    </row>
    <row r="2303">
      <c r="A2303" s="1" t="s">
        <v>5490</v>
      </c>
      <c r="B2303" s="1" t="s">
        <v>5571</v>
      </c>
      <c r="C2303" s="3" t="s">
        <v>5572</v>
      </c>
      <c r="D2303" s="2" t="str">
        <f>IFERROR(__xludf.DUMMYFUNCTION("GOOGLETRANSLATE(B2303, ""en"", ""TL"")"),"Anong mga legal na hakbang ang umiiral upang matugunan ang radikalisasyon ng mga indibidwal sa loob ng mga institusyong pang-edukasyon?")</f>
        <v>Anong mga legal na hakbang ang umiiral upang matugunan ang radikalisasyon ng mga indibidwal sa loob ng mga institusyong pang-edukasyon?</v>
      </c>
      <c r="E2303" s="2" t="str">
        <f>IFERROR(__xludf.DUMMYFUNCTION("GOOGLETRANSLATE(C2303, ""en"", ""TL"")"),"Tinutugunan ng Pilipinas ang radikalisasyon ng mga indibidwal sa loob ng mga institusyong pang-edukasyon sa pamamagitan ng kumbinasyon ng mga preventive at responsive na legal na hakbang. Narito ang isang breakdown ng mga pangunahing diskarte:
**Mga Pag-i"&amp;"was:**
* **DepEd Order No. 46, s. 2021 (Enhanced Countering Violent Extremism (CVE) Programs in Schools):** Ang kautusan ng Department of Education (DepEd) na ito ay nag-uutos sa pagpapatupad ng mga programang CVE sa lahat ng pampubliko at pribadong paara"&amp;"lan. Ang mga programang ito ay naglalayong:
* Isulong ang mga kasanayan sa kritikal na pag-iisip at media literacy upang matulungan ang mga mag-aaral na makilala at labanan ang mga ekstremistang ideolohiya.
* Pagyamanin ang pagpaparaya, paggalang sa pagka"&amp;"kaiba-iba, at mapayapang paglutas ng salungatan.
* Lumikha ng isang ligtas na espasyo para sa mga mag-aaral upang talakayin ang mga sensitibong paksa at mag-ulat ng mga alalahanin tungkol sa potensyal na radicalization.
* **Pagsasama-sama ng mga Konsepto "&amp;"ng CVE sa Curriculum:** Ang DepEd, sa pakikipagtulungan ng iba pang ahensya ng gobyerno, ay isinasama ang mga konsepto ng CVE sa iba't ibang asignatura tulad ng Araling Panlipunan, Edukasyon sa Pagpapahalaga, at Filipino. Ito ay naglalayong bigyan ang mga"&amp;" mag-aaral ng kaalaman at mga kasangkapan upang makilala at hamunin ang mga ekstremistang salaysay.
* **Pagsasanay sa Faculty:** Ang mga guro, tagapayo ng paaralan, at mga administrador ay sumasailalim sa pagsasanay upang tukuyin ang mga palatandaan ng ra"&amp;"dikalisasyon sa mga mag-aaral at magbigay ng naaangkop na mga interbensyon o referral. Maaaring kabilang dito ang pag-detect ng mga pagbabago sa pag-uugali, interes sa mga extremist na materyales, o pakikipag-ugnayan sa mga kahina-hinalang indibidwal.
* *"&amp;"*Mga Mekanismo sa Kapakanan at Proteksyon ng Mag-aaral:** Mga umiiral na batas tulad ng **Republic Act No. 10535 (Enhanced Basic Education Act of 2013)** at **DepEd Order No. 49, s. 2012 (Mga Alituntunin sa Pagpapatupad ng Patakaran sa Proteksyon ng Bata)"&amp;"** magtatag ng mga mekanismo para sa pag-uulat at pagtugon sa pang-aabuso sa bata, pagsasamantala, at pagpapabaya. Maaaring gamitin ang balangkas na ito upang matukoy at matugunan ang potensyal na radikalisasyon, lalo na kapag nabiktima nito ang mga mahih"&amp;"inang estudyante.
**Mga Tumutugon na Panukala:**
* **Mga Obligasyon sa Pag-uulat:** Ang mga guro, tauhan ng paaralan, at mga mag-aaral mismo ay hinihikayat na mag-ulat ng anumang kahina-hinalang aktibidad o alalahanin tungkol sa potensyal na radikalisasyo"&amp;"n sa mga awtoridad ng paaralan o mga ahensyang nagpapatupad ng batas.
* **Law Enforcement Intervention:** Depende sa kalubhaan ng sitwasyon at sa potensyal na banta, maaaring kasangkot ang pagpapatupad ng batas upang mag-imbestiga at posibleng gumawa ng l"&amp;"egal na aksyon laban sa mga indibidwal na pinaghihinalaang nag-radikalize ng mga mag-aaral. Ito ay maaaring magsasangkot ng mga kaso sa ilalim ng Anti-Terrorism Act (RA No. 9514) o ang Cybercrime Act (RA No. 10175) kung ang online na propaganda ay sangkot"&amp;".
* **Mga Programa sa Rehabilitasyon at Reintegrasyon:** Para sa mga estudyanteng na-radikalize na, ang gobyerno, sa pakikipagtulungan sa mga NGO, ay maaaring mag-alok ng mga programa sa rehabilitasyon at reintegrasyon upang matulungan silang talikuran an"&amp;"g mga ekstremistang ideolohiya at muling mabuo sa lipunan.
**Mga Hamon:**
* **Mga Limitadong Mapagkukunan:** Ang epektibong pagpapatupad ng mga programa ng CVE ay nangangailangan ng sapat na pondo para sa pagsasanay, mga mapagkukunan, at mga tauhan.
* **P"&amp;"agbabalanse ng Seguridad at Kalayaan:** Kailangang balansehin ng mga paaralan ang pagtataguyod ng pambansang seguridad at pagprotekta sa kalayaang akademiko at kalayaan sa pagpapahayag para sa mga mag-aaral.
* **Pagkilala sa Maagang Mga Palatandaan:** Ang"&amp;" pagtuklas ng mga maagang senyales ng radicalization ay maaaring maging mahirap, na nangangailangan ng patuloy na pagbabantay at pagsasanay para sa mga tauhan ng paaralan.
**Mga Rekomendasyon:**
* Ang mga paaralan ay dapat lumikha ng isang kultura ng buka"&amp;"s na komunikasyon at pagtitiwala kung saan ang mga mag-aaral ay kumportable na mag-ulat ng mga alalahanin tungkol sa potensyal na radikalisasyon.
* Ang mga magulang at tagapag-alaga ay may mahalagang papel sa pagsubaybay sa online na aktibidad at offline "&amp;"na pag-uugali ng kanilang mga anak para sa mga palatandaan ng radikalisasyon.
* Ang pakikipagtulungan sa pagitan ng mga paaralan, mga ahensyang nagpapatupad ng batas, at mga propesyonal sa kalusugan ng isip ay mahalaga para sa isang komprehensibong diskar"&amp;"te sa pagkontra sa radikalisasyon sa mga institusyong pang-edukasyon.
**Mahalagang Paalala:**
Ito ay isang pangkalahatang pangkalahatang-ideya. Ang mga partikular na legal na hakbang at ang kanilang pagpapatupad ay maaaring mag-iba depende sa institusyong"&amp;" pang-edukasyon at sa umuusbong na katangian ng banta.")</f>
        <v>Tinutugunan ng Pilipinas ang radikalisasyon ng mga indibidwal sa loob ng mga institusyong pang-edukasyon sa pamamagitan ng kumbinasyon ng mga preventive at responsive na legal na hakbang. Narito ang isang breakdown ng mga pangunahing diskarte:
**Mga Pag-iwas:**
* **DepEd Order No. 46, s. 2021 (Enhanced Countering Violent Extremism (CVE) Programs in Schools):** Ang kautusan ng Department of Education (DepEd) na ito ay nag-uutos sa pagpapatupad ng mga programang CVE sa lahat ng pampubliko at pribadong paaralan. Ang mga programang ito ay naglalayong:
* Isulong ang mga kasanayan sa kritikal na pag-iisip at media literacy upang matulungan ang mga mag-aaral na makilala at labanan ang mga ekstremistang ideolohiya.
* Pagyamanin ang pagpaparaya, paggalang sa pagkakaiba-iba, at mapayapang paglutas ng salungatan.
* Lumikha ng isang ligtas na espasyo para sa mga mag-aaral upang talakayin ang mga sensitibong paksa at mag-ulat ng mga alalahanin tungkol sa potensyal na radicalization.
* **Pagsasama-sama ng mga Konsepto ng CVE sa Curriculum:** Ang DepEd, sa pakikipagtulungan ng iba pang ahensya ng gobyerno, ay isinasama ang mga konsepto ng CVE sa iba't ibang asignatura tulad ng Araling Panlipunan, Edukasyon sa Pagpapahalaga, at Filipino. Ito ay naglalayong bigyan ang mga mag-aaral ng kaalaman at mga kasangkapan upang makilala at hamunin ang mga ekstremistang salaysay.
* **Pagsasanay sa Faculty:** Ang mga guro, tagapayo ng paaralan, at mga administrador ay sumasailalim sa pagsasanay upang tukuyin ang mga palatandaan ng radikalisasyon sa mga mag-aaral at magbigay ng naaangkop na mga interbensyon o referral. Maaaring kabilang dito ang pag-detect ng mga pagbabago sa pag-uugali, interes sa mga extremist na materyales, o pakikipag-ugnayan sa mga kahina-hinalang indibidwal.
* **Mga Mekanismo sa Kapakanan at Proteksyon ng Mag-aaral:** Mga umiiral na batas tulad ng **Republic Act No. 10535 (Enhanced Basic Education Act of 2013)** at **DepEd Order No. 49, s. 2012 (Mga Alituntunin sa Pagpapatupad ng Patakaran sa Proteksyon ng Bata)** magtatag ng mga mekanismo para sa pag-uulat at pagtugon sa pang-aabuso sa bata, pagsasamantala, at pagpapabaya. Maaaring gamitin ang balangkas na ito upang matukoy at matugunan ang potensyal na radikalisasyon, lalo na kapag nabiktima nito ang mga mahihinang estudyante.
**Mga Tumutugon na Panukala:**
* **Mga Obligasyon sa Pag-uulat:** Ang mga guro, tauhan ng paaralan, at mga mag-aaral mismo ay hinihikayat na mag-ulat ng anumang kahina-hinalang aktibidad o alalahanin tungkol sa potensyal na radikalisasyon sa mga awtoridad ng paaralan o mga ahensyang nagpapatupad ng batas.
* **Law Enforcement Intervention:** Depende sa kalubhaan ng sitwasyon at sa potensyal na banta, maaaring kasangkot ang pagpapatupad ng batas upang mag-imbestiga at posibleng gumawa ng legal na aksyon laban sa mga indibidwal na pinaghihinalaang nag-radikalize ng mga mag-aaral. Ito ay maaaring magsasangkot ng mga kaso sa ilalim ng Anti-Terrorism Act (RA No. 9514) o ang Cybercrime Act (RA No. 10175) kung ang online na propaganda ay sangkot.
* **Mga Programa sa Rehabilitasyon at Reintegrasyon:** Para sa mga estudyanteng na-radikalize na, ang gobyerno, sa pakikipagtulungan sa mga NGO, ay maaaring mag-alok ng mga programa sa rehabilitasyon at reintegrasyon upang matulungan silang talikuran ang mga ekstremistang ideolohiya at muling mabuo sa lipunan.
**Mga Hamon:**
* **Mga Limitadong Mapagkukunan:** Ang epektibong pagpapatupad ng mga programa ng CVE ay nangangailangan ng sapat na pondo para sa pagsasanay, mga mapagkukunan, at mga tauhan.
* **Pagbabalanse ng Seguridad at Kalayaan:** Kailangang balansehin ng mga paaralan ang pagtataguyod ng pambansang seguridad at pagprotekta sa kalayaang akademiko at kalayaan sa pagpapahayag para sa mga mag-aaral.
* **Pagkilala sa Maagang Mga Palatandaan:** Ang pagtuklas ng mga maagang senyales ng radicalization ay maaaring maging mahirap, na nangangailangan ng patuloy na pagbabantay at pagsasanay para sa mga tauhan ng paaralan.
**Mga Rekomendasyon:**
* Ang mga paaralan ay dapat lumikha ng isang kultura ng bukas na komunikasyon at pagtitiwala kung saan ang mga mag-aaral ay kumportable na mag-ulat ng mga alalahanin tungkol sa potensyal na radikalisasyon.
* Ang mga magulang at tagapag-alaga ay may mahalagang papel sa pagsubaybay sa online na aktibidad at offline na pag-uugali ng kanilang mga anak para sa mga palatandaan ng radikalisasyon.
* Ang pakikipagtulungan sa pagitan ng mga paaralan, mga ahensyang nagpapatupad ng batas, at mga propesyonal sa kalusugan ng isip ay mahalaga para sa isang komprehensibong diskarte sa pagkontra sa radikalisasyon sa mga institusyong pang-edukasyon.
**Mahalagang Paalala:**
Ito ay isang pangkalahatang pangkalahatang-ideya. Ang mga partikular na legal na hakbang at ang kanilang pagpapatupad ay maaaring mag-iba depende sa institusyong pang-edukasyon at sa umuusbong na katangian ng banta.</v>
      </c>
      <c r="F2303" s="2">
        <f t="shared" si="1"/>
        <v>0</v>
      </c>
      <c r="G2303" s="2"/>
      <c r="H2303" s="2"/>
      <c r="I2303" s="2"/>
      <c r="J2303" s="2"/>
      <c r="K2303" s="2"/>
      <c r="L2303" s="2"/>
      <c r="M2303" s="2"/>
      <c r="N2303" s="2"/>
      <c r="O2303" s="2"/>
      <c r="P2303" s="2"/>
      <c r="Q2303" s="2"/>
      <c r="R2303" s="2"/>
      <c r="S2303" s="2"/>
      <c r="T2303" s="2"/>
      <c r="U2303" s="2"/>
      <c r="V2303" s="2"/>
      <c r="W2303" s="2"/>
      <c r="X2303" s="2"/>
      <c r="Y2303" s="2"/>
      <c r="Z2303" s="2"/>
      <c r="AA2303" s="2"/>
    </row>
    <row r="2304">
      <c r="A2304" s="1" t="s">
        <v>5490</v>
      </c>
      <c r="B2304" s="1" t="s">
        <v>5573</v>
      </c>
      <c r="C2304" s="3" t="s">
        <v>5574</v>
      </c>
      <c r="D2304" s="2" t="str">
        <f>IFERROR(__xludf.DUMMYFUNCTION("GOOGLETRANSLATE(B2304, ""en"", ""TL"")"),"Paano pinoprotektahan ng batas ang mga indibidwal mula sa maling akusasyon o maling pagkakakulong sa mga kasong may kaugnayan sa terorismo?")</f>
        <v>Paano pinoprotektahan ng batas ang mga indibidwal mula sa maling akusasyon o maling pagkakakulong sa mga kasong may kaugnayan sa terorismo?</v>
      </c>
      <c r="E2304" s="2" t="str">
        <f>IFERROR(__xludf.DUMMYFUNCTION("GOOGLETRANSLATE(C2304, ""en"", ""TL"")"),"Ang Pilipinas ay may ilang mga legal na pananggalang na nakalagay upang protektahan ang mga indibidwal mula sa maling akusasyon o maling pagkakakulong sa mga kasong may kaugnayan sa terorismo. Gayunpaman, maaaring mag-iba ang bisa ng mga pananggalang na i"&amp;"to, at may mga patuloy na hamon. Narito ang isang breakdown ng mga pangunahing punto:
**Mga Pag-iingat:**
* **Judicial Oversight:** Ang mga korte ay may mahalagang papel sa pagsusuri sa mga aksyon ng nagpapatupad ng batas. Kabilang dito ang:
* **Pag-isyu "&amp;"ng mga warrant** para sa surveillance at wiretapping (RA No. 9514, Section 16) batay sa **probable cause**.
* **Pagsusuri sa legalidad ng mga pag-aresto at pagkulong** na ginawa sa ilalim ng mga batas laban sa terorismo. Maaaring magpetisyon ang mga indib"&amp;"idwal sa mga korte para sa **habeas corpus** kung naniniwala silang labag sa batas ang kanilang pagpigil.
* **Mga Paglilitis:** Ang akusado ay may karapatan sa isang patas na paglilitis, kabilang ang karapatan sa legal na representasyon at ang presumption"&amp;" of innocence hanggang mapatunayang nagkasala.
* **Anti-Terrorism Act (RA No. 9514):**
* **Mga limitasyon sa surveillance at wiretapping:** Nangangailangan ng nakasulat na mga utos, pag-apruba ng hukuman, at mga limitasyon sa oras (RA No. 9514, Seksyon 16"&amp;").
* **Kahulugan ng terorismo:** Tinutukoy ng batas ang terorismo na may mga partikular na elemento, na tumutulong na maiwasan ang di-makatwirang pagtatalaga ng mga gawain bilang terorismo (RA No. 9514, Seksyon 4).
* **Karapatan sa Pagkapribado (Konstitus"&amp;"yon ng Pilipinas, Artikulo III, Seksyon 2):** Ito ay maaaring gamitin upang hamunin ang mga hindi makatwirang aktibidad sa pagsubaybay ng mga nagpapatupad ng batas.
* **Mga Mekanismo ng Pananagutan:** Ang mga ahensyang nagpapatupad ng batas ay nananagot s"&amp;"a kanilang mga aksyon. Bagama't iba-iba ang mga detalye, maaaring kabilang sa mga mekanismo ang:
* Mga pagsisiyasat sa internal affairs sa loob ng mga departamento ng pulisya.
* Mga independent oversight commission na maaaring mag-imbestiga sa mga reklamo"&amp;" laban sa mga opisyal ng pagpapatupad ng batas.
* Mga posibleng kaso ng kriminal o sibil laban sa mga opisyal na umaabuso sa kanilang mga kapangyarihan.
**Mga Hamon:**
* **Pagbabalanse ng Seguridad at Mga Karapatan:** Ang pagkakaroon ng balanse sa pagitan"&amp;" ng pambansang seguridad at mga karapatan ng indibidwal ay isang patuloy na hamon. Sa ilang mga kaso, ang mga alalahanin sa pambansang seguridad ay maaaring humantong sa pagbibigay-priyoridad sa mabilis na pagkilos sa isang mahabang prosesong legal.
* **M"&amp;"ga Limitadong Mapagkukunan:** Ang pagiging epektibo ng mga pag-iingat ay nakadepende sa mga salik tulad ng hudisyal na kalayaan at mga mapagkukunang inilalaan sa mga katawan ng pangangasiwa. Ang isang hudikatura na kulang sa mapagkukunan ay maaaring magpu"&amp;"miglas na pangasiwaan ang mataas na dami ng mga kaso nang mahusay. * **Transparency:** Ang malinaw na mga alituntunin at pampublikong pag-uulat sa paggamit ng mga kapangyarihang kontra-terorismo ay maaaring makatulong sa pagbuo ng tiwala at maiwasan ang p"&amp;"ang-aabuso. Gayunpaman, maaaring may mga alalahanin tungkol sa pagkompromiso sa sensitibong impormasyon na nauugnay sa mga patuloy na pagsisiyasat.
**Mga Rekomendasyon:**
* **Pag-alam sa Iyong Mga Karapatan:** Ang pagiging alam tungkol sa iyong mga karapa"&amp;"tan sa ilalim ng batas ng Pilipinas ay napakahalaga. Ang mga mapagkukunan ay makukuha mula sa Opisina ng Pampublikong Abugado (PAO) at iba pang organisasyon ng tulong na legal.
* **Naghahanap ng Legal na Counsel:** Kung ikaw ay inaresto o pinigil kaugnay "&amp;"ng terorismo, mahalagang humingi kaagad ng legal na payo. Maaaring payuhan ka ng isang abogado tungkol sa iyong mga karapatan at kumatawan sa iyo sa buong prosesong legal.
**Mga Karagdagang Pagsasaalang-alang:**
* **Proteksyon ng Saksi:** Sa ilang mga kas"&amp;"o, maaaring limitahan ng mga hakbang sa proteksyon ng saksi ang kakayahan ng akusado na hamunin ang ebidensya laban sa kanila. Ito ay maaaring maging isang kinakailangang pananggalang para sa mga saksi na natatakot sa paghihiganti, ngunit lumilikha din it"&amp;"o ng mga hamon para sa pagtiyak ng isang patas na paglilitis.
* **Nagbabagong Banta:** Ang mga taktika at pamamaraan ng terorista ay patuloy na nagbabago. Maaari nitong gawing mahirap para sa mga legal na balangkas na makasabay at epektibong protektahan a"&amp;"ng mga indibidwal mula sa mga maling akusasyon habang tinutugunan din ang mga tunay na banta sa seguridad.
Nagsusumikap ang Pilipinas na pahusayin ang mga hakbang nito sa kontra-terorismo habang itinataguyod ang mga indibidwal na karapatan. Ang pananatili"&amp;"ng may kaalaman, pag-alam sa iyong mga karapatan, at paghingi ng legal na payo kung kinakailangan ay mahalagang hakbang na dapat gawin kung ikaw o isang taong kilala mo ay nahuli sa isang kasong may kaugnayan sa terorismo.")</f>
        <v>Ang Pilipinas ay may ilang mga legal na pananggalang na nakalagay upang protektahan ang mga indibidwal mula sa maling akusasyon o maling pagkakakulong sa mga kasong may kaugnayan sa terorismo. Gayunpaman, maaaring mag-iba ang bisa ng mga pananggalang na ito, at may mga patuloy na hamon. Narito ang isang breakdown ng mga pangunahing punto:
**Mga Pag-iingat:**
* **Judicial Oversight:** Ang mga korte ay may mahalagang papel sa pagsusuri sa mga aksyon ng nagpapatupad ng batas. Kabilang dito ang:
* **Pag-isyu ng mga warrant** para sa surveillance at wiretapping (RA No. 9514, Section 16) batay sa **probable cause**.
* **Pagsusuri sa legalidad ng mga pag-aresto at pagkulong** na ginawa sa ilalim ng mga batas laban sa terorismo. Maaaring magpetisyon ang mga indibidwal sa mga korte para sa **habeas corpus** kung naniniwala silang labag sa batas ang kanilang pagpigil.
* **Mga Paglilitis:** Ang akusado ay may karapatan sa isang patas na paglilitis, kabilang ang karapatan sa legal na representasyon at ang presumption of innocence hanggang mapatunayang nagkasala.
* **Anti-Terrorism Act (RA No. 9514):**
* **Mga limitasyon sa surveillance at wiretapping:** Nangangailangan ng nakasulat na mga utos, pag-apruba ng hukuman, at mga limitasyon sa oras (RA No. 9514, Seksyon 16).
* **Kahulugan ng terorismo:** Tinutukoy ng batas ang terorismo na may mga partikular na elemento, na tumutulong na maiwasan ang di-makatwirang pagtatalaga ng mga gawain bilang terorismo (RA No. 9514, Seksyon 4).
* **Karapatan sa Pagkapribado (Konstitusyon ng Pilipinas, Artikulo III, Seksyon 2):** Ito ay maaaring gamitin upang hamunin ang mga hindi makatwirang aktibidad sa pagsubaybay ng mga nagpapatupad ng batas.
* **Mga Mekanismo ng Pananagutan:** Ang mga ahensyang nagpapatupad ng batas ay nananagot sa kanilang mga aksyon. Bagama't iba-iba ang mga detalye, maaaring kabilang sa mga mekanismo ang:
* Mga pagsisiyasat sa internal affairs sa loob ng mga departamento ng pulisya.
* Mga independent oversight commission na maaaring mag-imbestiga sa mga reklamo laban sa mga opisyal ng pagpapatupad ng batas.
* Mga posibleng kaso ng kriminal o sibil laban sa mga opisyal na umaabuso sa kanilang mga kapangyarihan.
**Mga Hamon:**
* **Pagbabalanse ng Seguridad at Mga Karapatan:** Ang pagkakaroon ng balanse sa pagitan ng pambansang seguridad at mga karapatan ng indibidwal ay isang patuloy na hamon. Sa ilang mga kaso, ang mga alalahanin sa pambansang seguridad ay maaaring humantong sa pagbibigay-priyoridad sa mabilis na pagkilos sa isang mahabang prosesong legal.
* **Mga Limitadong Mapagkukunan:** Ang pagiging epektibo ng mga pag-iingat ay nakadepende sa mga salik tulad ng hudisyal na kalayaan at mga mapagkukunang inilalaan sa mga katawan ng pangangasiwa. Ang isang hudikatura na kulang sa mapagkukunan ay maaaring magpumiglas na pangasiwaan ang mataas na dami ng mga kaso nang mahusay. * **Transparency:** Ang malinaw na mga alituntunin at pampublikong pag-uulat sa paggamit ng mga kapangyarihang kontra-terorismo ay maaaring makatulong sa pagbuo ng tiwala at maiwasan ang pang-aabuso. Gayunpaman, maaaring may mga alalahanin tungkol sa pagkompromiso sa sensitibong impormasyon na nauugnay sa mga patuloy na pagsisiyasat.
**Mga Rekomendasyon:**
* **Pag-alam sa Iyong Mga Karapatan:** Ang pagiging alam tungkol sa iyong mga karapatan sa ilalim ng batas ng Pilipinas ay napakahalaga. Ang mga mapagkukunan ay makukuha mula sa Opisina ng Pampublikong Abugado (PAO) at iba pang organisasyon ng tulong na legal.
* **Naghahanap ng Legal na Counsel:** Kung ikaw ay inaresto o pinigil kaugnay ng terorismo, mahalagang humingi kaagad ng legal na payo. Maaaring payuhan ka ng isang abogado tungkol sa iyong mga karapatan at kumatawan sa iyo sa buong prosesong legal.
**Mga Karagdagang Pagsasaalang-alang:**
* **Proteksyon ng Saksi:** Sa ilang mga kaso, maaaring limitahan ng mga hakbang sa proteksyon ng saksi ang kakayahan ng akusado na hamunin ang ebidensya laban sa kanila. Ito ay maaaring maging isang kinakailangang pananggalang para sa mga saksi na natatakot sa paghihiganti, ngunit lumilikha din ito ng mga hamon para sa pagtiyak ng isang patas na paglilitis.
* **Nagbabagong Banta:** Ang mga taktika at pamamaraan ng terorista ay patuloy na nagbabago. Maaari nitong gawing mahirap para sa mga legal na balangkas na makasabay at epektibong protektahan ang mga indibidwal mula sa mga maling akusasyon habang tinutugunan din ang mga tunay na banta sa seguridad.
Nagsusumikap ang Pilipinas na pahusayin ang mga hakbang nito sa kontra-terorismo habang itinataguyod ang mga indibidwal na karapatan. Ang pananatiling may kaalaman, pag-alam sa iyong mga karapatan, at paghingi ng legal na payo kung kinakailangan ay mahalagang hakbang na dapat gawin kung ikaw o isang taong kilala mo ay nahuli sa isang kasong may kaugnayan sa terorismo.</v>
      </c>
      <c r="F2304" s="2">
        <f t="shared" si="1"/>
        <v>0</v>
      </c>
      <c r="G2304" s="2"/>
      <c r="H2304" s="2"/>
      <c r="I2304" s="2"/>
      <c r="J2304" s="2"/>
      <c r="K2304" s="2"/>
      <c r="L2304" s="2"/>
      <c r="M2304" s="2"/>
      <c r="N2304" s="2"/>
      <c r="O2304" s="2"/>
      <c r="P2304" s="2"/>
      <c r="Q2304" s="2"/>
      <c r="R2304" s="2"/>
      <c r="S2304" s="2"/>
      <c r="T2304" s="2"/>
      <c r="U2304" s="2"/>
      <c r="V2304" s="2"/>
      <c r="W2304" s="2"/>
      <c r="X2304" s="2"/>
      <c r="Y2304" s="2"/>
      <c r="Z2304" s="2"/>
      <c r="AA2304" s="2"/>
    </row>
    <row r="2305">
      <c r="A2305" s="1" t="s">
        <v>5490</v>
      </c>
      <c r="B2305" s="1" t="s">
        <v>5575</v>
      </c>
      <c r="C2305" s="3" t="s">
        <v>5576</v>
      </c>
      <c r="D2305" s="2" t="str">
        <f>IFERROR(__xludf.DUMMYFUNCTION("GOOGLETRANSLATE(B2305, ""en"", ""TL"")"),"Anong papel ang ginagampanan ng hudikatura sa pagrepaso at pag-apruba ng mga hakbang laban sa terorismo?")</f>
        <v>Anong papel ang ginagampanan ng hudikatura sa pagrepaso at pag-apruba ng mga hakbang laban sa terorismo?</v>
      </c>
      <c r="E2305" s="2" t="str">
        <f>IFERROR(__xludf.DUMMYFUNCTION("GOOGLETRANSLATE(C2305, ""en"", ""TL"")"),"Ang hudikatura ng Pilipinas ay gumaganap ng isang mahalagang papel sa pagrepaso at pag-apruba ng mga hakbang laban sa terorismo, na kumikilos bilang isang pagsusuri sa kapangyarihan ng sangay na tagapagpaganap upang matiyak na ang mga hakbang na ito ay su"&amp;"musunod sa Konstitusyon ng Pilipinas at itaguyod ang mga indibidwal na karapatan. Narito ang isang breakdown ng kanilang mga pangunahing function:
**Pagsusuri ng Batas:**
* Ang Korte Suprema ay may kapangyarihan ng **judicial review**. Nagbibigay-daan ito"&amp;" sa kanila na matukoy kung ang mga batas na ipinasa ng Kongreso, kabilang ang batas laban sa terorismo, ay naaayon sa Konstitusyon.
* Maaaring magdeklara ang Korte ng mga batas **labag sa konstitusyon** kung nilalabag ng mga ito ang mga pangunahing karapa"&amp;"tan o prinsipyong nakasaad sa Konstitusyon, tulad ng:
* Nararapat na proseso (karapatan sa isang patas na paglilitis)
* Pantay na proteksyon ng batas
* Kalayaan sa pagsasalita at pagpapahayag
* Karapatan sa privacy
**Pagsusuri sa Paglalapat ng mga Batas:*"&amp;"*
* Nirepaso ng mga mababang hukuman sa buong Pilipinas ang legalidad ng mga aksyon na ginawa ng mga nagpapatupad ng batas sa ilalim ng mga batas laban sa terorismo. Kabilang dito ang:
* Pag-isyu ng mga warrant para sa mga pag-aresto, pagkulong, at pagsub"&amp;"aybay batay sa posibleng dahilan.
* Pagsusuri sa ebidensyang ipinakita ng prosekusyon sa mga kasong may kinalaman sa terorismo.
* Pagtitiyak na ang mga karapatan ng mga akusado ay protektado sa buong prosesong legal.
**Mga Landmark Case:**
* Ang Korte Sup"&amp;"rema ng Pilipinas ay naglabas ng mga desisyon sa ilang mahahalagang kaso kaugnay ng mga hakbang laban sa terorismo, pagtatakda ng mga precedent at paghubog ng legal na tanawin. Ang mga desisyong ito ay mayroong:
* Binigyang-diin ang pangangailangan para s"&amp;"a isang **balanse** sa pagitan ng pambansang seguridad at mga karapatan ng indibidwal.
* Tinukoy ang **saklaw ng mga lehitimong** aktibidad sa pagpapatupad ng batas sa ilalim ng mga batas laban sa terorismo.
* Itinatag **mga limitasyon** sa kapangyarihan "&amp;"ng pamahalaan na pigilan ang mga indibidwal na pinaghihinalaang terorismo.
**Mga Limitasyon:**
* Ang kapangyarihan ng judicial review ay hindi ganap. Maaaring iapela ang mga desisyon ng Korte Suprema, at minsan ay maaaring muling isulat ng Kongreso ang mg"&amp;"a batas upang matugunan ang mga alalahanin sa konstitusyon na ibinangon ng Korte.
* Ang pagiging epektibo ng hudikatura ay nakasalalay sa **kalayaan** nito. Kung ang hudikatura ay napapailalim sa hindi nararapat na impluwensya mula sa ehekutibong sangay o"&amp;" iba pang pulitikal na aktor, ang kakayahan nitong kumilos bilang layuning pagsusuri sa kapangyarihan ay maaaring makompromiso.
**Pangkalahatang Kahalagahan:**
* Ang hudikatura ng Pilipinas ay gumaganap ng isang mahalagang papel sa pagtiyak na ang mga hak"&amp;"bang laban sa terorismo ay ipinatupad sa paraang iginagalang ang mga karapatang pantao at ang tuntunin ng batas.
**Mga Karagdagang Pagsasaalang-alang:**
* **Pampublikong Pagsusuri:** Ang mga desisyon ng korte sa mga hakbang laban sa terorismo ay kadalasan"&amp;"g napapailalim sa pampublikong pagsisiyasat at debate. Makakatulong ito upang matiyak ang transparency at pananagutan sa pagpapatupad ng mga batas na ito.
* **Nagbabagong Landscape:** Ang kalikasan ng terorismo at ang legal na balangkas na nakapalibot dit"&amp;"o ay patuloy na umuunlad. Ang hudikatura ay kailangang maging madaling ibagay at tumutugon sa mga pagbabagong ito upang patuloy na magampanan ang mahalagang papel nito.
* **International Law:** Ang Pilipinas ay lumagda sa iba't ibang internasyonal na kasu"&amp;"nduan sa karapatang pantao. Maaari ding isaalang-alang ng hudikatura ang mga internasyonal na obligasyong legal na ito kapag sinusuri ang mga hakbang laban sa terorismo.")</f>
        <v>Ang hudikatura ng Pilipinas ay gumaganap ng isang mahalagang papel sa pagrepaso at pag-apruba ng mga hakbang laban sa terorismo, na kumikilos bilang isang pagsusuri sa kapangyarihan ng sangay na tagapagpaganap upang matiyak na ang mga hakbang na ito ay sumusunod sa Konstitusyon ng Pilipinas at itaguyod ang mga indibidwal na karapatan. Narito ang isang breakdown ng kanilang mga pangunahing function:
**Pagsusuri ng Batas:**
* Ang Korte Suprema ay may kapangyarihan ng **judicial review**. Nagbibigay-daan ito sa kanila na matukoy kung ang mga batas na ipinasa ng Kongreso, kabilang ang batas laban sa terorismo, ay naaayon sa Konstitusyon.
* Maaaring magdeklara ang Korte ng mga batas **labag sa konstitusyon** kung nilalabag ng mga ito ang mga pangunahing karapatan o prinsipyong nakasaad sa Konstitusyon, tulad ng:
* Nararapat na proseso (karapatan sa isang patas na paglilitis)
* Pantay na proteksyon ng batas
* Kalayaan sa pagsasalita at pagpapahayag
* Karapatan sa privacy
**Pagsusuri sa Paglalapat ng mga Batas:**
* Nirepaso ng mga mababang hukuman sa buong Pilipinas ang legalidad ng mga aksyon na ginawa ng mga nagpapatupad ng batas sa ilalim ng mga batas laban sa terorismo. Kabilang dito ang:
* Pag-isyu ng mga warrant para sa mga pag-aresto, pagkulong, at pagsubaybay batay sa posibleng dahilan.
* Pagsusuri sa ebidensyang ipinakita ng prosekusyon sa mga kasong may kinalaman sa terorismo.
* Pagtitiyak na ang mga karapatan ng mga akusado ay protektado sa buong prosesong legal.
**Mga Landmark Case:**
* Ang Korte Suprema ng Pilipinas ay naglabas ng mga desisyon sa ilang mahahalagang kaso kaugnay ng mga hakbang laban sa terorismo, pagtatakda ng mga precedent at paghubog ng legal na tanawin. Ang mga desisyong ito ay mayroong:
* Binigyang-diin ang pangangailangan para sa isang **balanse** sa pagitan ng pambansang seguridad at mga karapatan ng indibidwal.
* Tinukoy ang **saklaw ng mga lehitimong** aktibidad sa pagpapatupad ng batas sa ilalim ng mga batas laban sa terorismo.
* Itinatag **mga limitasyon** sa kapangyarihan ng pamahalaan na pigilan ang mga indibidwal na pinaghihinalaang terorismo.
**Mga Limitasyon:**
* Ang kapangyarihan ng judicial review ay hindi ganap. Maaaring iapela ang mga desisyon ng Korte Suprema, at minsan ay maaaring muling isulat ng Kongreso ang mga batas upang matugunan ang mga alalahanin sa konstitusyon na ibinangon ng Korte.
* Ang pagiging epektibo ng hudikatura ay nakasalalay sa **kalayaan** nito. Kung ang hudikatura ay napapailalim sa hindi nararapat na impluwensya mula sa ehekutibong sangay o iba pang pulitikal na aktor, ang kakayahan nitong kumilos bilang layuning pagsusuri sa kapangyarihan ay maaaring makompromiso.
**Pangkalahatang Kahalagahan:**
* Ang hudikatura ng Pilipinas ay gumaganap ng isang mahalagang papel sa pagtiyak na ang mga hakbang laban sa terorismo ay ipinatupad sa paraang iginagalang ang mga karapatang pantao at ang tuntunin ng batas.
**Mga Karagdagang Pagsasaalang-alang:**
* **Pampublikong Pagsusuri:** Ang mga desisyon ng korte sa mga hakbang laban sa terorismo ay kadalasang napapailalim sa pampublikong pagsisiyasat at debate. Makakatulong ito upang matiyak ang transparency at pananagutan sa pagpapatupad ng mga batas na ito.
* **Nagbabagong Landscape:** Ang kalikasan ng terorismo at ang legal na balangkas na nakapalibot dito ay patuloy na umuunlad. Ang hudikatura ay kailangang maging madaling ibagay at tumutugon sa mga pagbabagong ito upang patuloy na magampanan ang mahalagang papel nito.
* **International Law:** Ang Pilipinas ay lumagda sa iba't ibang internasyonal na kasunduan sa karapatang pantao. Maaari ding isaalang-alang ng hudikatura ang mga internasyonal na obligasyong legal na ito kapag sinusuri ang mga hakbang laban sa terorismo.</v>
      </c>
      <c r="F2305" s="2">
        <f t="shared" si="1"/>
        <v>0</v>
      </c>
      <c r="G2305" s="2"/>
      <c r="H2305" s="2"/>
      <c r="I2305" s="2"/>
      <c r="J2305" s="2"/>
      <c r="K2305" s="2"/>
      <c r="L2305" s="2"/>
      <c r="M2305" s="2"/>
      <c r="N2305" s="2"/>
      <c r="O2305" s="2"/>
      <c r="P2305" s="2"/>
      <c r="Q2305" s="2"/>
      <c r="R2305" s="2"/>
      <c r="S2305" s="2"/>
      <c r="T2305" s="2"/>
      <c r="U2305" s="2"/>
      <c r="V2305" s="2"/>
      <c r="W2305" s="2"/>
      <c r="X2305" s="2"/>
      <c r="Y2305" s="2"/>
      <c r="Z2305" s="2"/>
      <c r="AA2305" s="2"/>
    </row>
    <row r="2306">
      <c r="A2306" s="1" t="s">
        <v>5490</v>
      </c>
      <c r="B2306" s="1" t="s">
        <v>5577</v>
      </c>
      <c r="C2306" s="3" t="s">
        <v>5578</v>
      </c>
      <c r="D2306" s="2" t="str">
        <f>IFERROR(__xludf.DUMMYFUNCTION("GOOGLETRANSLATE(B2306, ""en"", ""TL"")"),"Paano kinokontrol at iniuusig ang mga indibidwal sa pagsasanay ng mga terorista?")</f>
        <v>Paano kinokontrol at iniuusig ang mga indibidwal sa pagsasanay ng mga terorista?</v>
      </c>
      <c r="E2306" s="2" t="str">
        <f>IFERROR(__xludf.DUMMYFUNCTION("GOOGLETRANSLATE(C2306, ""en"", ""TL"")"),"Ang Pilipinas ay nag-uusig sa mga indibidwal na nakikibahagi sa pagsasanay sa terorista sa pamamagitan ng kumbinasyon ng mga umiiral na batas at mga espesyal na hakbang laban sa terorismo. Narito ang isang breakdown ng pangunahing legal na balangkas:
**Pa"&amp;"gsasanay sa Pagtugon sa mga Batas:**
* **Anti-Terrorism Act of 2007 (Republic Act No. 9514):**
* **Seksyon 4:** Ang pangunahing probisyong ito ay nagsasakriminal ng mga aksyon bilang paghahanda o pag-uudyok ng terorismo. Ang pagsasanay sa iba sa mga kasan"&amp;"ayan sa terorismo ay malamang na nasa ilalim ng kategoryang ito.
* Hindi malinaw na tinukoy ng batas ang ""pagsasanay,"" ngunit maaari itong sumaklaw sa pagtuturo sa paggawa ng bomba, paghawak ng mga armas, taktika sa pakikipaglaban, o iba pang kasanayang"&amp;" ginagamit para sa mga aktibidad ng terorista.
* **Binago ang Kodigo Penal (RPC):**
* Depende sa partikular na nilalaman ng pagsasanay, ang ilang mga probisyon ng RPC ay maaaring naaangkop:
* **Ilegal na Pagmamay-ari ng mga Pasasabog o Incendiary Device ("&amp;"RPC Kabanata 6, Title II):** Kung ang pagsasanay ay nagsasangkot ng pagtatayo o paggamit ng mga pampasabog para sa mga layunin ng terorista.
* **Illegal Recruitment (RPC Article 149):** Nalalapat ito kung ang pagsasanay ay bahagi ng mas malaking pagsisika"&amp;"p na mag-recruit ng mga indibidwal sa isang teroristang organisasyon.
**Proseso ng Pag-uusig:**
* Ang mga ahensyang nagpapatupad ng batas ay nag-iimbestiga sa mga pinaghihinalaang kaso ng pagsasanay sa terorista. Maaaring kabilang dito ang pangangalap ng "&amp;"ebidensya, pakikipanayam sa mga saksi, at pagsasagawa ng pagsubaybay.
* Kung may sapat na ebidensya, ang kaso ay iniharap sa mga tagausig na magpapasya kung magsasampa ng mga kaso sa korte.
* Ang mga partikular na singil ay depende sa mga detalye ng aktib"&amp;"idad sa pagsasanay at sa mga batas na nilabag. * Ang akusado ay may karapatan sa isang patas na paglilitis, kabilang ang pag-aakalang inosente at ang karapatan sa legal na representasyon.
**Mga Hamon:**
* **Pagtitipon ng Ebidensya:** Ang pagkolekta ng kon"&amp;"kretong patunay ng mga aktibidad sa pagsasanay ay maaaring maging mahirap, lalo na kung nangyayari ang mga ito sa mga lihim na setting.
* **Pagtukoy sa ""Pagsasanay"":** Ang legal na kahulugan ng ""pagsasanay"" sa konteksto ng terorismo ay maaaring maging"&amp;" malabo, na nangangailangan ng maingat na interpretasyon ng tagapagpatupad ng batas at ng mga korte.
* **Pagbabalanse ng Seguridad at Mga Karapatan:** Kailangang tiyakin ng mga awtoridad na ang mga lehitimong aktibidad sa pagsasanay sa pagtatanggol sa sar"&amp;"ili ay hindi maling naiuri bilang pagsasanay sa terorista.
**Internasyonal na Kooperasyon:**
* Nakikipagtulungan ang Pilipinas sa mga internasyonal na kasosyo sa pagbabahagi ng katalinuhan tungkol sa mga aktibidad ng terorista at mga pamamaraan ng pagsasa"&amp;"nay. Makakatulong ito na matukoy ang mga indibidwal na kasangkot sa pagsasanay sa iba at makagambala sa mga pakana ng terorista.
**Mga Karagdagang Pagsasaalang-alang:**
* **Mga Parusa:** Ang mga parusa para sa mga nahatulang nagsasanay sa mga terorista ay"&amp;" nag-iiba depende sa mga partikular na singil at sa kalubhaan ng pagkakasala. Maaari silang mula sa ilang taong pagkakakulong hanggang sa habambuhay na sentensiya.
* **Mga Programa sa Deradicalization:** Sa ilang mga kaso, ang mga indibidwal na nasangkot "&amp;"sa pagsasanay sa terorista ay maaaring mag-alok ng mga pagkakataon para sa mga programa sa rehabilitasyon at deradikalisasyon, lalo na kung sila ay itinuturing na mababa ang panganib at handang talikuran ang marahas na ekstremismo.
**Mahalagang Paalala:**"&amp;"
Ang mga partikular na legal na probisyon na inilapat at ang proseso ng pag-uusig ay magdedepende sa mga natatanging kalagayan ng bawat kaso. Ang pagkonsulta sa isang abogado na may kadalubhasaan sa kontra-terorismo na batas ay inirerekomenda para sa isan"&amp;"g mas nuanced na pag-unawa sa mga legalidad na kasangkot.")</f>
        <v>Ang Pilipinas ay nag-uusig sa mga indibidwal na nakikibahagi sa pagsasanay sa terorista sa pamamagitan ng kumbinasyon ng mga umiiral na batas at mga espesyal na hakbang laban sa terorismo. Narito ang isang breakdown ng pangunahing legal na balangkas:
**Pagsasanay sa Pagtugon sa mga Batas:**
* **Anti-Terrorism Act of 2007 (Republic Act No. 9514):**
* **Seksyon 4:** Ang pangunahing probisyong ito ay nagsasakriminal ng mga aksyon bilang paghahanda o pag-uudyok ng terorismo. Ang pagsasanay sa iba sa mga kasanayan sa terorismo ay malamang na nasa ilalim ng kategoryang ito.
* Hindi malinaw na tinukoy ng batas ang "pagsasanay," ngunit maaari itong sumaklaw sa pagtuturo sa paggawa ng bomba, paghawak ng mga armas, taktika sa pakikipaglaban, o iba pang kasanayang ginagamit para sa mga aktibidad ng terorista.
* **Binago ang Kodigo Penal (RPC):**
* Depende sa partikular na nilalaman ng pagsasanay, ang ilang mga probisyon ng RPC ay maaaring naaangkop:
* **Ilegal na Pagmamay-ari ng mga Pasasabog o Incendiary Device (RPC Kabanata 6, Title II):** Kung ang pagsasanay ay nagsasangkot ng pagtatayo o paggamit ng mga pampasabog para sa mga layunin ng terorista.
* **Illegal Recruitment (RPC Article 149):** Nalalapat ito kung ang pagsasanay ay bahagi ng mas malaking pagsisikap na mag-recruit ng mga indibidwal sa isang teroristang organisasyon.
**Proseso ng Pag-uusig:**
* Ang mga ahensyang nagpapatupad ng batas ay nag-iimbestiga sa mga pinaghihinalaang kaso ng pagsasanay sa terorista. Maaaring kabilang dito ang pangangalap ng ebidensya, pakikipanayam sa mga saksi, at pagsasagawa ng pagsubaybay.
* Kung may sapat na ebidensya, ang kaso ay iniharap sa mga tagausig na magpapasya kung magsasampa ng mga kaso sa korte.
* Ang mga partikular na singil ay depende sa mga detalye ng aktibidad sa pagsasanay at sa mga batas na nilabag. * Ang akusado ay may karapatan sa isang patas na paglilitis, kabilang ang pag-aakalang inosente at ang karapatan sa legal na representasyon.
**Mga Hamon:**
* **Pagtitipon ng Ebidensya:** Ang pagkolekta ng konkretong patunay ng mga aktibidad sa pagsasanay ay maaaring maging mahirap, lalo na kung nangyayari ang mga ito sa mga lihim na setting.
* **Pagtukoy sa "Pagsasanay":** Ang legal na kahulugan ng "pagsasanay" sa konteksto ng terorismo ay maaaring maging malabo, na nangangailangan ng maingat na interpretasyon ng tagapagpatupad ng batas at ng mga korte.
* **Pagbabalanse ng Seguridad at Mga Karapatan:** Kailangang tiyakin ng mga awtoridad na ang mga lehitimong aktibidad sa pagsasanay sa pagtatanggol sa sarili ay hindi maling naiuri bilang pagsasanay sa terorista.
**Internasyonal na Kooperasyon:**
* Nakikipagtulungan ang Pilipinas sa mga internasyonal na kasosyo sa pagbabahagi ng katalinuhan tungkol sa mga aktibidad ng terorista at mga pamamaraan ng pagsasanay. Makakatulong ito na matukoy ang mga indibidwal na kasangkot sa pagsasanay sa iba at makagambala sa mga pakana ng terorista.
**Mga Karagdagang Pagsasaalang-alang:**
* **Mga Parusa:** Ang mga parusa para sa mga nahatulang nagsasanay sa mga terorista ay nag-iiba depende sa mga partikular na singil at sa kalubhaan ng pagkakasala. Maaari silang mula sa ilang taong pagkakakulong hanggang sa habambuhay na sentensiya.
* **Mga Programa sa Deradicalization:** Sa ilang mga kaso, ang mga indibidwal na nasangkot sa pagsasanay sa terorista ay maaaring mag-alok ng mga pagkakataon para sa mga programa sa rehabilitasyon at deradikalisasyon, lalo na kung sila ay itinuturing na mababa ang panganib at handang talikuran ang marahas na ekstremismo.
**Mahalagang Paalala:**
Ang mga partikular na legal na probisyon na inilapat at ang proseso ng pag-uusig ay magdedepende sa mga natatanging kalagayan ng bawat kaso. Ang pagkonsulta sa isang abogado na may kadalubhasaan sa kontra-terorismo na batas ay inirerekomenda para sa isang mas nuanced na pag-unawa sa mga legalidad na kasangkot.</v>
      </c>
      <c r="F2306" s="2">
        <f t="shared" si="1"/>
        <v>0</v>
      </c>
      <c r="G2306" s="2"/>
      <c r="H2306" s="2"/>
      <c r="I2306" s="2"/>
      <c r="J2306" s="2"/>
      <c r="K2306" s="2"/>
      <c r="L2306" s="2"/>
      <c r="M2306" s="2"/>
      <c r="N2306" s="2"/>
      <c r="O2306" s="2"/>
      <c r="P2306" s="2"/>
      <c r="Q2306" s="2"/>
      <c r="R2306" s="2"/>
      <c r="S2306" s="2"/>
      <c r="T2306" s="2"/>
      <c r="U2306" s="2"/>
      <c r="V2306" s="2"/>
      <c r="W2306" s="2"/>
      <c r="X2306" s="2"/>
      <c r="Y2306" s="2"/>
      <c r="Z2306" s="2"/>
      <c r="AA2306" s="2"/>
    </row>
    <row r="2307">
      <c r="A2307" s="1" t="s">
        <v>5490</v>
      </c>
      <c r="B2307" s="1" t="s">
        <v>5579</v>
      </c>
      <c r="C2307" s="3" t="s">
        <v>5580</v>
      </c>
      <c r="D2307" s="2" t="str">
        <f>IFERROR(__xludf.DUMMYFUNCTION("GOOGLETRANSLATE(B2307, ""en"", ""TL"")"),"Anong mga legal na probisyon ang namamahala sa paggamit ng puwersang militar sa mga operasyong kontra-terorismo?")</f>
        <v>Anong mga legal na probisyon ang namamahala sa paggamit ng puwersang militar sa mga operasyong kontra-terorismo?</v>
      </c>
      <c r="E2307" s="2" t="str">
        <f>IFERROR(__xludf.DUMMYFUNCTION("GOOGLETRANSLATE(C2307, ""en"", ""TL"")"),"Gumagamit ang Pilipinas ng legal na balangkas na pinagsasama-sama ang mga lokal na batas, doktrinang militar, at internasyonal na pamantayan upang pamahalaan ang paggamit ng puwersang militar sa mga operasyong kontra-terorismo. Narito ang isang breakdown "&amp;"ng mga pangunahing aspeto:
**Mga Batas sa Bahay:**
* **1987 Konstitusyon ng Pilipinas:**
* **Artikulo II, Seksyon 1:** Binibigyang-diin ng seksyong ito ang responsibilidad ng estado na itaguyod ang ""pinakamahalagang seguridad ng Republika."" * **Artikulo"&amp;" III, Bill of Rights:** Habang isinusulong ang pambansang seguridad, ang mga karapatang ito (hal., karapatan sa buhay, angkop na proseso) ay dapat isaalang-alang sa panahon ng operasyon.
* **Republic Act No. 10354 (Revised Armed Forces of the Philippines "&amp;"Modernization Act):** Binabalangkas ng batas na ito ang mandato ng Armed Forces of the Philippines (AFP) na ipagtanggol ang bansa mula sa panlabas at panloob na mga banta, kabilang ang terorismo.
* **Anti-Terrorism Act of 2007 (RA No. 9514):**
* **Seksyon"&amp;" 15:** Ang seksyong ito ay nagbibigay ng kapangyarihan sa Pangulo, sa rekomendasyon ng National Security Council, na tumawag sa AFP na tulungan ang mga ahensyang nagpapatupad ng batas sa pagtugon sa mga banta ng terorista.
**Mga Doktrina sa Militar:**
* S"&amp;"umusunod ang AFP sa itinatag na mga doktrinang militar para sa pagsasagawa ng mga operasyon, kabilang ang mga may kaugnayan sa kontra-terorismo. Ang mga doktrinang ito ay nagbibigay-diin sa mga alituntunin tulad ng:
* **Proporsyonalidad:** Ang paggamit ng"&amp;" puwersa ay dapat na proporsyonal sa banta ng mga terorista.
* **Kailangan:** Ang puwersang militar ay dapat lamang gamitin kapag ang ibang mga hakbang, gaya ng pagkilos sa pagpapatupad ng batas, ay napatunayang hindi epektibo o hindi sapat.
* **Diskrimin"&amp;"asyon:** Dapat na makilala ng militar ang pagitan ng mga mandirigma at sibilyan, at gawin ang lahat ng posibleng pag-iingat upang mabawasan ang mga sibilyan na kaswalti.
**Mga Pamantayan sa Internasyonal:**
* Ang Pilipinas ay lumagda sa iba't ibang intern"&amp;"asyonal na kasunduan na may kaugnayan sa armadong tunggalian at batas sa karapatang pantao. Nalalapat din ang mga pamantayang ito sa mga operasyong kontra-terorismo, na nangangailangan ng AFP na:
* **International Humanitarian Law (IHL):** Mga prinsipyo t"&amp;"ulad ng proporsyonalidad at pagkakaiba sa pagitan ng mga sibilyan at mga manlalaban sa panahon ng armadong labanan.
* **International Human Rights Law:** Paggalang sa mga pangunahing karapatang pantao kahit na sa panahon ng mga operasyong kontra-terorismo"&amp;".
**Mga Mekanismo ng Pagmamasid:**
* **Kongreso:** Ang Kongreso ng Pilipinas ay may awtoridad sa pangangasiwa sa AFP at maaaring suriin ang paggamit ng puwersang militar sa mga operasyong kontra-terorismo.
* **Commission on Human Rights (CHR):** Ang indep"&amp;"endiyenteng katawan na ito ay nag-iimbestiga sa mga sinasabing paglabag sa karapatang pantao na ginawa ng mga aktor ng estado, kabilang ang militar.
**Mga Hamon at Pagsasaalang-alang:**
* **Pagbabalanse sa Seguridad at Mga Karapatan:** Nananatiling isang "&amp;"hamon ang pagkakaroon ng balanse sa pagitan ng epektibong pagtugon sa banta ng terorista at pagtataguyod ng mga karapatang pantao. * **Transparency at Pananagutan:** Ang pagtiyak ng transparency sa mga operasyong militar at pagpapanagot sa mga lumalabag a"&amp;"y napakahalaga para sa pagpapanatili ng tiwala ng publiko.
* **Urban Warfare:** Ang Pilipinas ay madalas na nahaharap sa mga banta ng terorista sa mga setting ng urban, na nagpapataas ng mga kumplikado sa pagliit ng mga sibilyan na kaswalti sa panahon ng "&amp;"mga operasyong militar.
**Mahalagang Tandaan:**
* Ang mga partikular na legal na probisyon at doktrinang inilapat sa isang kontra-terorismo na operasyon ay magdedepende sa mga partikular na pangyayari, gaya ng katangian ng banta, lokasyon, at mga potensya"&amp;"l na panganib na kasangkot.
* Ang mga detalye ng pagpaplano at operasyon ng militar ay kadalasang inuuri para sa mga kadahilanang pangseguridad.
Nagbibigay ito ng pangkalahatang balangkas para sa pag-unawa sa mga legal na aspeto ng paggamit ng puwersang m"&amp;"ilitar sa mga operasyong kontra-terorismo sa loob ng Pilipinas.")</f>
        <v>Gumagamit ang Pilipinas ng legal na balangkas na pinagsasama-sama ang mga lokal na batas, doktrinang militar, at internasyonal na pamantayan upang pamahalaan ang paggamit ng puwersang militar sa mga operasyong kontra-terorismo. Narito ang isang breakdown ng mga pangunahing aspeto:
**Mga Batas sa Bahay:**
* **1987 Konstitusyon ng Pilipinas:**
* **Artikulo II, Seksyon 1:** Binibigyang-diin ng seksyong ito ang responsibilidad ng estado na itaguyod ang "pinakamahalagang seguridad ng Republika." * **Artikulo III, Bill of Rights:** Habang isinusulong ang pambansang seguridad, ang mga karapatang ito (hal., karapatan sa buhay, angkop na proseso) ay dapat isaalang-alang sa panahon ng operasyon.
* **Republic Act No. 10354 (Revised Armed Forces of the Philippines Modernization Act):** Binabalangkas ng batas na ito ang mandato ng Armed Forces of the Philippines (AFP) na ipagtanggol ang bansa mula sa panlabas at panloob na mga banta, kabilang ang terorismo.
* **Anti-Terrorism Act of 2007 (RA No. 9514):**
* **Seksyon 15:** Ang seksyong ito ay nagbibigay ng kapangyarihan sa Pangulo, sa rekomendasyon ng National Security Council, na tumawag sa AFP na tulungan ang mga ahensyang nagpapatupad ng batas sa pagtugon sa mga banta ng terorista.
**Mga Doktrina sa Militar:**
* Sumusunod ang AFP sa itinatag na mga doktrinang militar para sa pagsasagawa ng mga operasyon, kabilang ang mga may kaugnayan sa kontra-terorismo. Ang mga doktrinang ito ay nagbibigay-diin sa mga alituntunin tulad ng:
* **Proporsyonalidad:** Ang paggamit ng puwersa ay dapat na proporsyonal sa banta ng mga terorista.
* **Kailangan:** Ang puwersang militar ay dapat lamang gamitin kapag ang ibang mga hakbang, gaya ng pagkilos sa pagpapatupad ng batas, ay napatunayang hindi epektibo o hindi sapat.
* **Diskriminasyon:** Dapat na makilala ng militar ang pagitan ng mga mandirigma at sibilyan, at gawin ang lahat ng posibleng pag-iingat upang mabawasan ang mga sibilyan na kaswalti.
**Mga Pamantayan sa Internasyonal:**
* Ang Pilipinas ay lumagda sa iba't ibang internasyonal na kasunduan na may kaugnayan sa armadong tunggalian at batas sa karapatang pantao. Nalalapat din ang mga pamantayang ito sa mga operasyong kontra-terorismo, na nangangailangan ng AFP na:
* **International Humanitarian Law (IHL):** Mga prinsipyo tulad ng proporsyonalidad at pagkakaiba sa pagitan ng mga sibilyan at mga manlalaban sa panahon ng armadong labanan.
* **International Human Rights Law:** Paggalang sa mga pangunahing karapatang pantao kahit na sa panahon ng mga operasyong kontra-terorismo.
**Mga Mekanismo ng Pagmamasid:**
* **Kongreso:** Ang Kongreso ng Pilipinas ay may awtoridad sa pangangasiwa sa AFP at maaaring suriin ang paggamit ng puwersang militar sa mga operasyong kontra-terorismo.
* **Commission on Human Rights (CHR):** Ang independiyenteng katawan na ito ay nag-iimbestiga sa mga sinasabing paglabag sa karapatang pantao na ginawa ng mga aktor ng estado, kabilang ang militar.
**Mga Hamon at Pagsasaalang-alang:**
* **Pagbabalanse sa Seguridad at Mga Karapatan:** Nananatiling isang hamon ang pagkakaroon ng balanse sa pagitan ng epektibong pagtugon sa banta ng terorista at pagtataguyod ng mga karapatang pantao. * **Transparency at Pananagutan:** Ang pagtiyak ng transparency sa mga operasyong militar at pagpapanagot sa mga lumalabag ay napakahalaga para sa pagpapanatili ng tiwala ng publiko.
* **Urban Warfare:** Ang Pilipinas ay madalas na nahaharap sa mga banta ng terorista sa mga setting ng urban, na nagpapataas ng mga kumplikado sa pagliit ng mga sibilyan na kaswalti sa panahon ng mga operasyong militar.
**Mahalagang Tandaan:**
* Ang mga partikular na legal na probisyon at doktrinang inilapat sa isang kontra-terorismo na operasyon ay magdedepende sa mga partikular na pangyayari, gaya ng katangian ng banta, lokasyon, at mga potensyal na panganib na kasangkot.
* Ang mga detalye ng pagpaplano at operasyon ng militar ay kadalasang inuuri para sa mga kadahilanang pangseguridad.
Nagbibigay ito ng pangkalahatang balangkas para sa pag-unawa sa mga legal na aspeto ng paggamit ng puwersang militar sa mga operasyong kontra-terorismo sa loob ng Pilipinas.</v>
      </c>
      <c r="F2307" s="2">
        <f t="shared" si="1"/>
        <v>0</v>
      </c>
      <c r="G2307" s="2"/>
      <c r="H2307" s="2"/>
      <c r="I2307" s="2"/>
      <c r="J2307" s="2"/>
      <c r="K2307" s="2"/>
      <c r="L2307" s="2"/>
      <c r="M2307" s="2"/>
      <c r="N2307" s="2"/>
      <c r="O2307" s="2"/>
      <c r="P2307" s="2"/>
      <c r="Q2307" s="2"/>
      <c r="R2307" s="2"/>
      <c r="S2307" s="2"/>
      <c r="T2307" s="2"/>
      <c r="U2307" s="2"/>
      <c r="V2307" s="2"/>
      <c r="W2307" s="2"/>
      <c r="X2307" s="2"/>
      <c r="Y2307" s="2"/>
      <c r="Z2307" s="2"/>
      <c r="AA2307" s="2"/>
    </row>
    <row r="2308">
      <c r="A2308" s="1" t="s">
        <v>5490</v>
      </c>
      <c r="B2308" s="1" t="s">
        <v>5581</v>
      </c>
      <c r="C2308" s="3" t="s">
        <v>5582</v>
      </c>
      <c r="D2308" s="2" t="str">
        <f>IFERROR(__xludf.DUMMYFUNCTION("GOOGLETRANSLATE(B2308, ""en"", ""TL"")"),"Paano tinutugunan ng batas ng Pilipinas ang proteksyon ng mga karapatang pantao sa konteksto ng kontra-terorismo?")</f>
        <v>Paano tinutugunan ng batas ng Pilipinas ang proteksyon ng mga karapatang pantao sa konteksto ng kontra-terorismo?</v>
      </c>
      <c r="E2308" s="2" t="str">
        <f>IFERROR(__xludf.DUMMYFUNCTION("GOOGLETRANSLATE(C2308, ""en"", ""TL"")"),"Ang Pilipinas ay nahaharap sa isang masalimuot na hamon: ang pagbabalanse ng epektibong mga hakbang sa kontra-terorismo sa pangangalaga ng mga karapatang pantao. Narito ang isang pangkalahatang-ideya kung paano ito tinutugunan ng batas ng Pilipinas:
**Leg"&amp;"al na Balangkas:**
* **1987 Konstitusyon ng Pilipinas:** Ang batong panulok, na nagtataglay ng mga pangunahing karapatan (karapatan sa buhay, angkop na proseso) na naaangkop kahit na sa panahon ng mga operasyong kontra-terorismo (Artikulo III).
* **Anti-T"&amp;"errorism Act of 2007 (RA No. 9514):**
* **Habang naglalayong hadlangan ang terorismo, kasama rin dito ang mga pag-iingat:**
* **Seksyon 2:** Nagdedeklara ng pangako ng estado na itaguyod ang mga karapatang pantao at ang panuntunan ng batas sa mga pagsusum"&amp;"ikap na kontra-terorismo.
* **Mga Warrant:** Nangangailangan ng pag-apruba ng korte para sa pagsubaybay at pagpigil (Seksyon 16).
* **Mga Potensyal na Tensyon:** Ang pagbabalanse ng mga alalahanin sa seguridad sa mga pag-iingat ay maaaring maging mahirap,"&amp;" at maaaring mag-iba ang mga interpretasyon.
* **Mga Internasyonal na Obligasyon:** Ang Pilipinas ay isang lumagda sa iba't ibang mga kasunduan sa karapatang pantao na nagbibigay-alam sa kanyang kontra-terorismo na pamamaraan:
* **International Covenant o"&amp;"n Civil and Political Rights (ICCPR):** Ginagarantiyahan ang mga pangunahing karapatan, kahit na sa panahon ng mga emerhensiya.
* **Kombensyon laban sa Torture at Iba Pang Malupit, Hindi Makatao o Mapang-uyam na Pagtrato o Parusa:** Ipinagbabawal ang tort"&amp;"yur sa anumang sitwasyon.
**Mga Pag-iingat at Pangangasiwa:**
* **Judicial Review:** Ang hudikatura ay gumaganap ng isang mahalagang papel sa pagrepaso sa legalidad ng mga aksyon na isinagawa sa ilalim ng mga batas laban sa terorismo, na tinitiyak na sumu"&amp;"sunod ang mga ito sa Konstitusyon (hal., pagbibigay ng mga warrant batay sa posibleng dahilan).
* **Commission on Human Rights (CHR):** Isang independiyenteng katawan na nag-iimbestiga sa mga paglabag sa karapatang pantao na ginawa ng mga aktor ng estado,"&amp;" kabilang ang militar at tagapagpatupad ng batas.
**Mga Hamon at Pagsasaalang-alang:**
* **Balancing Act:** Nananatiling hamon ang pag-iwas sa tamang balanse sa pagitan ng seguridad at karapatang pantao. May mga alalahanin tungkol sa:
* **Labis na Puwersa"&amp;":** Potensyal para sa militar o tagapagpatupad ng batas na gumamit ng labis na puwersa sa panahon ng mga operasyong kontra-terorismo. * **Nararapat na Proseso:** Pagtiyak na ang mga karapatan ng mga pinaghihinalaan ay itinataguyod sa panahon ng pag-aresto"&amp;", pagkulong, at paglilitis.
* **Kalayaan sa Pagpapahayag:** Mga alalahanin tungkol sa paggamit ng mga batas kontra-terorismo upang pigilan ang lehitimong hindi pagsang-ayon o pagpuna. * **Resource Constraints:** Ang epektibong pagpapatupad ng mga safeguar"&amp;"d ay nangangailangan ng mga mapagkukunan para sa pagsasanay, pagsisiyasat, at mga mekanismo ng pangangasiwa.
* **Transparency at Pananagutan:** Ang pagiging bukas tungkol sa mga operasyong kontra-terorismo at pagpapanagot sa mga lumalabag ay nagtatayo ng "&amp;"tiwala ng publiko.
**Mga Positibong Pag-unlad:**
* **Mga Landmark na Kaso:** Ang Korte Suprema ng Pilipinas ay naglabas ng mga desisyon sa mga mahahalagang kaso na nagbibigay-diin sa pangangailangan para sa balanse at pagtatakda ng mga limitasyon sa kapan"&amp;"gyarihan ng pamahalaan.
* **Mga Programang Nakabatay sa Komunidad:** Ang mga pagsisikap ay isinasagawa upang matugunan ang mga ugat ng terorismo sa pamamagitan ng mga programang nakabatay sa komunidad, na nagsusulong ng panlipunang integrasyon at edukasyo"&amp;"n bilang mga alternatibo sa karahasan.
**Nagsusumikap ang Pilipinas na pahusayin ang diskarte nito sa kontra-terorismo habang itinataguyod ang karapatang pantao. Narito ang ilang bagay na dapat tandaan:**
* Ito ay isang kumplikado at umuusbong na isyu.
* "&amp;"Ang pagkakaroon ng tamang balanse ay isang patuloy na hamon.
* Ang pananatiling may kaalaman at naghahanap ng legal na payo kung kinakailangan ay mga mahahalagang hakbang para sa mga indibidwal na nahuli sa mga kaso na may kaugnayan sa terorismo.")</f>
        <v>Ang Pilipinas ay nahaharap sa isang masalimuot na hamon: ang pagbabalanse ng epektibong mga hakbang sa kontra-terorismo sa pangangalaga ng mga karapatang pantao. Narito ang isang pangkalahatang-ideya kung paano ito tinutugunan ng batas ng Pilipinas:
**Legal na Balangkas:**
* **1987 Konstitusyon ng Pilipinas:** Ang batong panulok, na nagtataglay ng mga pangunahing karapatan (karapatan sa buhay, angkop na proseso) na naaangkop kahit na sa panahon ng mga operasyong kontra-terorismo (Artikulo III).
* **Anti-Terrorism Act of 2007 (RA No. 9514):**
* **Habang naglalayong hadlangan ang terorismo, kasama rin dito ang mga pag-iingat:**
* **Seksyon 2:** Nagdedeklara ng pangako ng estado na itaguyod ang mga karapatang pantao at ang panuntunan ng batas sa mga pagsusumikap na kontra-terorismo.
* **Mga Warrant:** Nangangailangan ng pag-apruba ng korte para sa pagsubaybay at pagpigil (Seksyon 16).
* **Mga Potensyal na Tensyon:** Ang pagbabalanse ng mga alalahanin sa seguridad sa mga pag-iingat ay maaaring maging mahirap, at maaaring mag-iba ang mga interpretasyon.
* **Mga Internasyonal na Obligasyon:** Ang Pilipinas ay isang lumagda sa iba't ibang mga kasunduan sa karapatang pantao na nagbibigay-alam sa kanyang kontra-terorismo na pamamaraan:
* **International Covenant on Civil and Political Rights (ICCPR):** Ginagarantiyahan ang mga pangunahing karapatan, kahit na sa panahon ng mga emerhensiya.
* **Kombensyon laban sa Torture at Iba Pang Malupit, Hindi Makatao o Mapang-uyam na Pagtrato o Parusa:** Ipinagbabawal ang tortyur sa anumang sitwasyon.
**Mga Pag-iingat at Pangangasiwa:**
* **Judicial Review:** Ang hudikatura ay gumaganap ng isang mahalagang papel sa pagrepaso sa legalidad ng mga aksyon na isinagawa sa ilalim ng mga batas laban sa terorismo, na tinitiyak na sumusunod ang mga ito sa Konstitusyon (hal., pagbibigay ng mga warrant batay sa posibleng dahilan).
* **Commission on Human Rights (CHR):** Isang independiyenteng katawan na nag-iimbestiga sa mga paglabag sa karapatang pantao na ginawa ng mga aktor ng estado, kabilang ang militar at tagapagpatupad ng batas.
**Mga Hamon at Pagsasaalang-alang:**
* **Balancing Act:** Nananatiling hamon ang pag-iwas sa tamang balanse sa pagitan ng seguridad at karapatang pantao. May mga alalahanin tungkol sa:
* **Labis na Puwersa:** Potensyal para sa militar o tagapagpatupad ng batas na gumamit ng labis na puwersa sa panahon ng mga operasyong kontra-terorismo. * **Nararapat na Proseso:** Pagtiyak na ang mga karapatan ng mga pinaghihinalaan ay itinataguyod sa panahon ng pag-aresto, pagkulong, at paglilitis.
* **Kalayaan sa Pagpapahayag:** Mga alalahanin tungkol sa paggamit ng mga batas kontra-terorismo upang pigilan ang lehitimong hindi pagsang-ayon o pagpuna. * **Resource Constraints:** Ang epektibong pagpapatupad ng mga safeguard ay nangangailangan ng mga mapagkukunan para sa pagsasanay, pagsisiyasat, at mga mekanismo ng pangangasiwa.
* **Transparency at Pananagutan:** Ang pagiging bukas tungkol sa mga operasyong kontra-terorismo at pagpapanagot sa mga lumalabag ay nagtatayo ng tiwala ng publiko.
**Mga Positibong Pag-unlad:**
* **Mga Landmark na Kaso:** Ang Korte Suprema ng Pilipinas ay naglabas ng mga desisyon sa mga mahahalagang kaso na nagbibigay-diin sa pangangailangan para sa balanse at pagtatakda ng mga limitasyon sa kapangyarihan ng pamahalaan.
* **Mga Programang Nakabatay sa Komunidad:** Ang mga pagsisikap ay isinasagawa upang matugunan ang mga ugat ng terorismo sa pamamagitan ng mga programang nakabatay sa komunidad, na nagsusulong ng panlipunang integrasyon at edukasyon bilang mga alternatibo sa karahasan.
**Nagsusumikap ang Pilipinas na pahusayin ang diskarte nito sa kontra-terorismo habang itinataguyod ang karapatang pantao. Narito ang ilang bagay na dapat tandaan:**
* Ito ay isang kumplikado at umuusbong na isyu.
* Ang pagkakaroon ng tamang balanse ay isang patuloy na hamon.
* Ang pananatiling may kaalaman at naghahanap ng legal na payo kung kinakailangan ay mga mahahalagang hakbang para sa mga indibidwal na nahuli sa mga kaso na may kaugnayan sa terorismo.</v>
      </c>
      <c r="F2308" s="2">
        <f t="shared" si="1"/>
        <v>0</v>
      </c>
      <c r="G2308" s="2"/>
      <c r="H2308" s="2"/>
      <c r="I2308" s="2"/>
      <c r="J2308" s="2"/>
      <c r="K2308" s="2"/>
      <c r="L2308" s="2"/>
      <c r="M2308" s="2"/>
      <c r="N2308" s="2"/>
      <c r="O2308" s="2"/>
      <c r="P2308" s="2"/>
      <c r="Q2308" s="2"/>
      <c r="R2308" s="2"/>
      <c r="S2308" s="2"/>
      <c r="T2308" s="2"/>
      <c r="U2308" s="2"/>
      <c r="V2308" s="2"/>
      <c r="W2308" s="2"/>
      <c r="X2308" s="2"/>
      <c r="Y2308" s="2"/>
      <c r="Z2308" s="2"/>
      <c r="AA2308" s="2"/>
    </row>
    <row r="2309">
      <c r="A2309" s="1" t="s">
        <v>5490</v>
      </c>
      <c r="B2309" s="1" t="s">
        <v>5583</v>
      </c>
      <c r="C2309" s="3" t="s">
        <v>5584</v>
      </c>
      <c r="D2309" s="2" t="str">
        <f>IFERROR(__xludf.DUMMYFUNCTION("GOOGLETRANSLATE(B2309, ""en"", ""TL"")"),"Anong mga hakbang ang inilalagay upang matiyak ang epektibong koordinasyon ng iba't ibang ahensya ng gobyerno sa mga pagsusumikap na kontra-terorismo?")</f>
        <v>Anong mga hakbang ang inilalagay upang matiyak ang epektibong koordinasyon ng iba't ibang ahensya ng gobyerno sa mga pagsusumikap na kontra-terorismo?</v>
      </c>
      <c r="E2309" s="2" t="str">
        <f>IFERROR(__xludf.DUMMYFUNCTION("GOOGLETRANSLATE(C2309, ""en"", ""TL"")"),"Kinikilala ng Pilipinas ang kahalagahan ng pinagsama-samang pagsusumikap sa kontra-terorismo at nagtatag ng ilang mga hakbang upang matiyak na epektibong nagtutulungan ang iba't ibang ahensya ng gobyerno. Narito ang isang breakdown ng mga pangunahing meka"&amp;"nismo:
**National Security Council (NSC):**
* **Core Coordinating Body:** Ang NSC, na pinamumunuan ng Pangulo, ay nagsisilbing central coordinating body para sa lahat ng pambansang seguridad, kabilang ang kontra-terorismo.
* **Membership:** Kabilang dito "&amp;"ang mga kinatawan mula sa iba't ibang ahensya ng gobyerno tulad ng Department of National Defense (DND), Department of Interior and Local Government (DILG), Department of Foreign Affairs (DFA), Philippine National Police (PNP), at mga ahensya ng paniktik."&amp;"
* **Mga Pag-andar:**
* Bumubuo at nagpapatupad ng National Counter-Terrorism Strategy (NCTS).
* Pinangangasiwaan ang mga aktibidad ng iba't ibang ahensyang sangkot sa kontra-terorismo.
* Pinapadali ang pagbabahagi ng impormasyon at pagpapalitan ng katali"&amp;"nuhan sa pagitan ng mga ahensya.
* Inirerekomenda ang paglalagay ng Armed Forces of the Philippines (AFP) upang tumulong sa pagpapatupad ng batas sa mga operasyong kontra-terorismo (RA No. 9514, Seksyon 15).
**Anti-Terrorism Council (ATC):**
* **Operation"&amp;"al Level Coordination:** Ang ATC, sa ilalim ng NSC, ay namamahala sa pang-araw-araw na operasyon ng mga pagsusumikap sa kontra-terorismo.
* **Pagmimiyembro:** Katulad ng NSC, ngunit may higit na nakatuon sa pagpapatakbo. * **Mga Pag-andar:**
* Pinangangas"&amp;"iwaan ang pagpapatupad ng NCTS sa antas ng pagpapatakbo.
* Nag-coordinate ng intelligence gathering at pagsusuri mula sa iba't ibang ahensya.
* Pinamamahalaan ang Anti-Terrorism Financing (ATF) Countermeasures Unit.
* Nagpapanatili ng watchlist ng mga pin"&amp;"aghihinalaang terorista at teroristang organisasyon.
**Joint Task Forces (JTFs):**
* **Situasyonal na Tugon:** Para sa mga partikular na sitwasyon o patuloy na pagbabanta, ang mga JTF ay nabuo. Ang mga pansamantalang katawan na ito ay nagsasama-sama ng mg"&amp;"a tauhan mula sa PNP, AFP, at iba pang kaugnay na ahensya para sa isang nakatutok na tugon.
* **Halimbawa:** Ang JTF Marawi ay itinatag upang tugunan ang 2017 Marawi siege.
**Mga Mekanismo ng Pagbabahagi ng Impormasyon:**
* **National Intelligence Coordin"&amp;"ating Agency (NICA):** Nangunguna sa mga pagsisikap sa pangangalap ng katalinuhan ng bansa at pinapadali ang pagbabahagi ng impormasyon sa pagitan ng iba't ibang ahensya.
* **Memoranda of Agreement (MOAs):** Ang mga ahensyang sangkot sa counterterrorism a"&amp;"y kadalasang may mga pormal na kasunduan na nagbabalangkas sa mga protocol ng komunikasyon at mga pamamaraan sa pagbabahagi ng impormasyon.
**Mga Hamon at Pagsasaalang-alang:**
* **Bureaucratic Hurdles:** Ang pag-navigate sa mga kumplikadong bureaucratic "&amp;"na istruktura ay minsan ay maaaring makahadlang sa mabilis at mahusay na koordinasyon.
* **Resource Constraints:** Ang limitadong resource ay maaaring hadlangan ang epektibong komunikasyon at pakikipagtulungan sa pagitan ng mga ahensya.
* **Mga Alalahanin"&amp;" sa Pagbabahagi ng Data:** Ang pagbabalanse ng pagbabahagi ng impormasyon sa mga alalahanin sa privacy ay mahalaga.
**Sa pangkalahatan, ang Pilipinas ay patuloy na nagsusumikap upang mapabuti ang inter-agency na koordinasyon para sa kontra-terorismo. Nari"&amp;"to ang ilang karagdagang puntos na dapat tandaan:**
* **Civil Society Engagement:** Ang pakikipagtulungan sa mga civil society organization (CSOs) ay maaaring maging mahalaga para sa pangangalap ng impormasyon at pagtataguyod ng mga solusyon sa komunidad."&amp;"
* **International Cooperation:** Ang pagbabahagi ng impormasyon at pakikipagtulungan sa mga internasyonal na kasosyo ay may mahalagang papel sa paglaban sa mga banta ng transnasyonal na terorismo.
Sa pamamagitan ng pagpapatibay ng isang koordinadong disk"&amp;"arte, layunin ng gobyerno ng Pilipinas na maging mas epektibo sa mga pagsusumikap nitong kontra-terorismo habang itinataguyod ang mga karapatang pantao at ang panuntunan ng batas.")</f>
        <v>Kinikilala ng Pilipinas ang kahalagahan ng pinagsama-samang pagsusumikap sa kontra-terorismo at nagtatag ng ilang mga hakbang upang matiyak na epektibong nagtutulungan ang iba't ibang ahensya ng gobyerno. Narito ang isang breakdown ng mga pangunahing mekanismo:
**National Security Council (NSC):**
* **Core Coordinating Body:** Ang NSC, na pinamumunuan ng Pangulo, ay nagsisilbing central coordinating body para sa lahat ng pambansang seguridad, kabilang ang kontra-terorismo.
* **Membership:** Kabilang dito ang mga kinatawan mula sa iba't ibang ahensya ng gobyerno tulad ng Department of National Defense (DND), Department of Interior and Local Government (DILG), Department of Foreign Affairs (DFA), Philippine National Police (PNP), at mga ahensya ng paniktik.
* **Mga Pag-andar:**
* Bumubuo at nagpapatupad ng National Counter-Terrorism Strategy (NCTS).
* Pinangangasiwaan ang mga aktibidad ng iba't ibang ahensyang sangkot sa kontra-terorismo.
* Pinapadali ang pagbabahagi ng impormasyon at pagpapalitan ng katalinuhan sa pagitan ng mga ahensya.
* Inirerekomenda ang paglalagay ng Armed Forces of the Philippines (AFP) upang tumulong sa pagpapatupad ng batas sa mga operasyong kontra-terorismo (RA No. 9514, Seksyon 15).
**Anti-Terrorism Council (ATC):**
* **Operational Level Coordination:** Ang ATC, sa ilalim ng NSC, ay namamahala sa pang-araw-araw na operasyon ng mga pagsusumikap sa kontra-terorismo.
* **Pagmimiyembro:** Katulad ng NSC, ngunit may higit na nakatuon sa pagpapatakbo. * **Mga Pag-andar:**
* Pinangangasiwaan ang pagpapatupad ng NCTS sa antas ng pagpapatakbo.
* Nag-coordinate ng intelligence gathering at pagsusuri mula sa iba't ibang ahensya.
* Pinamamahalaan ang Anti-Terrorism Financing (ATF) Countermeasures Unit.
* Nagpapanatili ng watchlist ng mga pinaghihinalaang terorista at teroristang organisasyon.
**Joint Task Forces (JTFs):**
* **Situasyonal na Tugon:** Para sa mga partikular na sitwasyon o patuloy na pagbabanta, ang mga JTF ay nabuo. Ang mga pansamantalang katawan na ito ay nagsasama-sama ng mga tauhan mula sa PNP, AFP, at iba pang kaugnay na ahensya para sa isang nakatutok na tugon.
* **Halimbawa:** Ang JTF Marawi ay itinatag upang tugunan ang 2017 Marawi siege.
**Mga Mekanismo ng Pagbabahagi ng Impormasyon:**
* **National Intelligence Coordinating Agency (NICA):** Nangunguna sa mga pagsisikap sa pangangalap ng katalinuhan ng bansa at pinapadali ang pagbabahagi ng impormasyon sa pagitan ng iba't ibang ahensya.
* **Memoranda of Agreement (MOAs):** Ang mga ahensyang sangkot sa counterterrorism ay kadalasang may mga pormal na kasunduan na nagbabalangkas sa mga protocol ng komunikasyon at mga pamamaraan sa pagbabahagi ng impormasyon.
**Mga Hamon at Pagsasaalang-alang:**
* **Bureaucratic Hurdles:** Ang pag-navigate sa mga kumplikadong bureaucratic na istruktura ay minsan ay maaaring makahadlang sa mabilis at mahusay na koordinasyon.
* **Resource Constraints:** Ang limitadong resource ay maaaring hadlangan ang epektibong komunikasyon at pakikipagtulungan sa pagitan ng mga ahensya.
* **Mga Alalahanin sa Pagbabahagi ng Data:** Ang pagbabalanse ng pagbabahagi ng impormasyon sa mga alalahanin sa privacy ay mahalaga.
**Sa pangkalahatan, ang Pilipinas ay patuloy na nagsusumikap upang mapabuti ang inter-agency na koordinasyon para sa kontra-terorismo. Narito ang ilang karagdagang puntos na dapat tandaan:**
* **Civil Society Engagement:** Ang pakikipagtulungan sa mga civil society organization (CSOs) ay maaaring maging mahalaga para sa pangangalap ng impormasyon at pagtataguyod ng mga solusyon sa komunidad.
* **International Cooperation:** Ang pagbabahagi ng impormasyon at pakikipagtulungan sa mga internasyonal na kasosyo ay may mahalagang papel sa paglaban sa mga banta ng transnasyonal na terorismo.
Sa pamamagitan ng pagpapatibay ng isang koordinadong diskarte, layunin ng gobyerno ng Pilipinas na maging mas epektibo sa mga pagsusumikap nitong kontra-terorismo habang itinataguyod ang mga karapatang pantao at ang panuntunan ng batas.</v>
      </c>
      <c r="F2309" s="2">
        <f t="shared" si="1"/>
        <v>0</v>
      </c>
      <c r="G2309" s="2"/>
      <c r="H2309" s="2"/>
      <c r="I2309" s="2"/>
      <c r="J2309" s="2"/>
      <c r="K2309" s="2"/>
      <c r="L2309" s="2"/>
      <c r="M2309" s="2"/>
      <c r="N2309" s="2"/>
      <c r="O2309" s="2"/>
      <c r="P2309" s="2"/>
      <c r="Q2309" s="2"/>
      <c r="R2309" s="2"/>
      <c r="S2309" s="2"/>
      <c r="T2309" s="2"/>
      <c r="U2309" s="2"/>
      <c r="V2309" s="2"/>
      <c r="W2309" s="2"/>
      <c r="X2309" s="2"/>
      <c r="Y2309" s="2"/>
      <c r="Z2309" s="2"/>
      <c r="AA2309" s="2"/>
    </row>
    <row r="2310">
      <c r="A2310" s="1" t="s">
        <v>5490</v>
      </c>
      <c r="B2310" s="1" t="s">
        <v>5585</v>
      </c>
      <c r="C2310" s="3" t="s">
        <v>5586</v>
      </c>
      <c r="D2310" s="2" t="str">
        <f>IFERROR(__xludf.DUMMYFUNCTION("GOOGLETRANSLATE(B2310, ""en"", ""TL"")"),"Paano iniuusig ang mga indibidwal sa paggawa at pagpapalaganap ng propaganda ng terorista?")</f>
        <v>Paano iniuusig ang mga indibidwal sa paggawa at pagpapalaganap ng propaganda ng terorista?</v>
      </c>
      <c r="E2310" s="2" t="str">
        <f>IFERROR(__xludf.DUMMYFUNCTION("GOOGLETRANSLATE(C2310, ""en"", ""TL"")"),"Sa Pilipinas, ang mga indibidwal na sangkot sa paggawa at pagpapakalat ng propaganda ng terorista ay maaaring kasuhan sa ilalim ng ilang umiiral na batas. Narito ang isang breakdown ng mga pangunahing legal na probisyon:
**Cybercrime Act (RA No. 10175):**"&amp;"
* Ang gawaing ito ay nasa gitna ng yugto sa pag-uusig sa online na nilalaman ng terorista. * **Seksyon 4(c)(4):** **Ilegal na Nilalaman:** Ang probisyong ito ay nagsasakriminal sa pag-post o pagbabahagi ng impormasyon na nag-uudyok ng karahasan o nagsasa"&amp;"panganib sa kaligtasan ng publiko. Ito ay maaaring sumaklaw sa online na propaganda ng terorista na nagsusulong o nagpaparangal sa mga gawaing terorista. * **Seksyon 14 (Illegal na Pag-access):** Pinipigilan nito ang hindi awtorisadong pag-access sa mga c"&amp;"omputer system na ginagamit para sa pag-iimbak o pagpapadala ng propaganda ng terorista. * **Seksyon 15 (Panghihimasok sa Data):** Pinaparusahan nito ang pagbabago o panghihimasok sa pagpapadala ng data, na posibleng naaangkop kung may makagambala sa onli"&amp;"ne na pagsisikap na kontrahin ang propaganda ng terorista. **Anti-Terrorism Act of 2007 (RA No. 9514):**
* Bagama't hindi tahasang binabanggit ang ""propaganda,"" ginagawang kriminal ng batas ang mga gawaing naglalayong magdulot ng malawakang takot at ser"&amp;"yosong panganib sa kaligtasan ng publiko (Seksyon 14). Ang pagpapakalat ng propaganda ng terorista online na naglalayong mag-udyok ng karahasan o magdulot ng takot ay maaaring kasuhan sa ilalim ng seksyong ito. * **Seksyon 4:** Materyal na Suporta para sa"&amp;" Terorismo: Ang isang malawak na interpretasyon ay maaaring sumaklaw sa pagbibigay ng mga online na platform o teknikal na tulong na ginagamit para sa teroristang propaganda at recruitment, depende sa partikular na mga pangyayari.
**Binagong Kodigo Penal "&amp;"(RPC):**
* Depende sa nilalaman ng propaganda, maaaring naaangkop ang ilang tradisyonal na probisyon ng RPC:
* **Inciting to Sedition (RPC Article 146):** Nalalapat ito kung ang online na content ay naghihikayat ng rebelyon o pag-aalsa laban sa gobyerno, "&amp;"isang tema na itinataguyod ng ilang teroristang grupo.
* **Ilegal na Pagmamay-ari ng mga Pasasabog o Incendiary Device (RPC Kabanata 6, Title II):** Kung itinataguyod ng propaganda ang pagtatayo o paggamit ng mga pampasabog para sa mga layunin ng terorist"&amp;"a.
**Mga Hamon at Pagsasaalang-alang:**
* **Pagtitipon ng Digital na Ebidensya:** Kailangang kolektahin at pangalagaan ng mga tagausig ang malakas na digital na ebidensya upang patunayan ang likas na katangian ng nilalaman at ang layunin ng gumagamit. * *"&amp;"*Kalayaan sa Pagsasalita:** Itinataguyod ng Pilipinas ang kalayaan sa pagsasalita (Konstitusyon ng Pilipinas, Artikulo III, Seksyon 4). Kailangang balansehin ng mga awtoridad ang pambansang seguridad at ang karapatang magpahayag ng mga personal na pananaw"&amp;". * **Tungkulin ng Mga Platform ng Social Media:** Ang mga platform na ito ay may responsibilidad na alisin ang mapaminsalang content at makipagtulungan sa mga pagsisiyasat sa pagpapatupad ng batas (RA No. 10175). Maaari ding mag-ulat ang mga user ng kahi"&amp;"na-hinalang content sa mga platform.
**Kahalagahan ng Pagkonsulta sa Abogado:**
Ang (mga) partikular na batas na inilapat at ang kaukulang parusa ay depende sa **mga partikular na detalye ng aktibidad ng propaganda**. Ang isang abogado na may kadalubhasaa"&amp;"n sa batas ng cybercrime ay maaaring magbigay ng isang mas nuanced na pag-unawa sa mga legal na opsyon na magagamit sa isang partikular na kaso.
Narito ang isang karagdagang punto na dapat isaalang-alang:
* **International Cooperation:** Maaaring makipagt"&amp;"ulungan ang Pilipinas sa mga internasyonal na kasosyo sa pagsisiyasat at pag-uusig sa mga indibidwal na sangkot sa online na propaganda ng terorista, lalo na kung ang nilalaman ay nagmula sa labas ng bansa.")</f>
        <v>Sa Pilipinas, ang mga indibidwal na sangkot sa paggawa at pagpapakalat ng propaganda ng terorista ay maaaring kasuhan sa ilalim ng ilang umiiral na batas. Narito ang isang breakdown ng mga pangunahing legal na probisyon:
**Cybercrime Act (RA No. 10175):**
* Ang gawaing ito ay nasa gitna ng yugto sa pag-uusig sa online na nilalaman ng terorista. * **Seksyon 4(c)(4):** **Ilegal na Nilalaman:** Ang probisyong ito ay nagsasakriminal sa pag-post o pagbabahagi ng impormasyon na nag-uudyok ng karahasan o nagsasapanganib sa kaligtasan ng publiko. Ito ay maaaring sumaklaw sa online na propaganda ng terorista na nagsusulong o nagpaparangal sa mga gawaing terorista. * **Seksyon 14 (Illegal na Pag-access):** Pinipigilan nito ang hindi awtorisadong pag-access sa mga computer system na ginagamit para sa pag-iimbak o pagpapadala ng propaganda ng terorista. * **Seksyon 15 (Panghihimasok sa Data):** Pinaparusahan nito ang pagbabago o panghihimasok sa pagpapadala ng data, na posibleng naaangkop kung may makagambala sa online na pagsisikap na kontrahin ang propaganda ng terorista. **Anti-Terrorism Act of 2007 (RA No. 9514):**
* Bagama't hindi tahasang binabanggit ang "propaganda," ginagawang kriminal ng batas ang mga gawaing naglalayong magdulot ng malawakang takot at seryosong panganib sa kaligtasan ng publiko (Seksyon 14). Ang pagpapakalat ng propaganda ng terorista online na naglalayong mag-udyok ng karahasan o magdulot ng takot ay maaaring kasuhan sa ilalim ng seksyong ito. * **Seksyon 4:** Materyal na Suporta para sa Terorismo: Ang isang malawak na interpretasyon ay maaaring sumaklaw sa pagbibigay ng mga online na platform o teknikal na tulong na ginagamit para sa teroristang propaganda at recruitment, depende sa partikular na mga pangyayari.
**Binagong Kodigo Penal (RPC):**
* Depende sa nilalaman ng propaganda, maaaring naaangkop ang ilang tradisyonal na probisyon ng RPC:
* **Inciting to Sedition (RPC Article 146):** Nalalapat ito kung ang online na content ay naghihikayat ng rebelyon o pag-aalsa laban sa gobyerno, isang tema na itinataguyod ng ilang teroristang grupo.
* **Ilegal na Pagmamay-ari ng mga Pasasabog o Incendiary Device (RPC Kabanata 6, Title II):** Kung itinataguyod ng propaganda ang pagtatayo o paggamit ng mga pampasabog para sa mga layunin ng terorista.
**Mga Hamon at Pagsasaalang-alang:**
* **Pagtitipon ng Digital na Ebidensya:** Kailangang kolektahin at pangalagaan ng mga tagausig ang malakas na digital na ebidensya upang patunayan ang likas na katangian ng nilalaman at ang layunin ng gumagamit. * **Kalayaan sa Pagsasalita:** Itinataguyod ng Pilipinas ang kalayaan sa pagsasalita (Konstitusyon ng Pilipinas, Artikulo III, Seksyon 4). Kailangang balansehin ng mga awtoridad ang pambansang seguridad at ang karapatang magpahayag ng mga personal na pananaw. * **Tungkulin ng Mga Platform ng Social Media:** Ang mga platform na ito ay may responsibilidad na alisin ang mapaminsalang content at makipagtulungan sa mga pagsisiyasat sa pagpapatupad ng batas (RA No. 10175). Maaari ding mag-ulat ang mga user ng kahina-hinalang content sa mga platform.
**Kahalagahan ng Pagkonsulta sa Abogado:**
Ang (mga) partikular na batas na inilapat at ang kaukulang parusa ay depende sa **mga partikular na detalye ng aktibidad ng propaganda**. Ang isang abogado na may kadalubhasaan sa batas ng cybercrime ay maaaring magbigay ng isang mas nuanced na pag-unawa sa mga legal na opsyon na magagamit sa isang partikular na kaso.
Narito ang isang karagdagang punto na dapat isaalang-alang:
* **International Cooperation:** Maaaring makipagtulungan ang Pilipinas sa mga internasyonal na kasosyo sa pagsisiyasat at pag-uusig sa mga indibidwal na sangkot sa online na propaganda ng terorista, lalo na kung ang nilalaman ay nagmula sa labas ng bansa.</v>
      </c>
      <c r="F2310" s="2">
        <f t="shared" si="1"/>
        <v>0</v>
      </c>
      <c r="G2310" s="2"/>
      <c r="H2310" s="2"/>
      <c r="I2310" s="2"/>
      <c r="J2310" s="2"/>
      <c r="K2310" s="2"/>
      <c r="L2310" s="2"/>
      <c r="M2310" s="2"/>
      <c r="N2310" s="2"/>
      <c r="O2310" s="2"/>
      <c r="P2310" s="2"/>
      <c r="Q2310" s="2"/>
      <c r="R2310" s="2"/>
      <c r="S2310" s="2"/>
      <c r="T2310" s="2"/>
      <c r="U2310" s="2"/>
      <c r="V2310" s="2"/>
      <c r="W2310" s="2"/>
      <c r="X2310" s="2"/>
      <c r="Y2310" s="2"/>
      <c r="Z2310" s="2"/>
      <c r="AA2310" s="2"/>
    </row>
    <row r="2311">
      <c r="A2311" s="1" t="s">
        <v>5490</v>
      </c>
      <c r="B2311" s="1" t="s">
        <v>5587</v>
      </c>
      <c r="C2311" s="3" t="s">
        <v>5588</v>
      </c>
      <c r="D2311" s="2" t="str">
        <f>IFERROR(__xludf.DUMMYFUNCTION("GOOGLETRANSLATE(B2311, ""en"", ""TL"")"),"Anong mga legal na aksyon ang maaaring gawin laban sa mga indibidwal na nagtatangkang mag-recruit ng mga miyembro para sa isang teroristang organisasyon?")</f>
        <v>Anong mga legal na aksyon ang maaaring gawin laban sa mga indibidwal na nagtatangkang mag-recruit ng mga miyembro para sa isang teroristang organisasyon?</v>
      </c>
      <c r="E2311" s="2" t="str">
        <f>IFERROR(__xludf.DUMMYFUNCTION("GOOGLETRANSLATE(C2311, ""en"", ""TL"")"),"Sa Pilipinas, maraming batas ang tumutugon sa recruitment para sa mga teroristang organisasyon. Narito ang isang breakdown batay sa nauugnay na batas ng Pilipinas:
**Konstitusyon ng Pilipinas (1987):**
* **Artikulo II, Seksyon 14:** Ginagarantiya ang kara"&amp;"patan sa buhay, kalayaan at seguridad ng tao. Ang recruitment para sa terorismo ay likas na nagbabanta sa mga karapatang ito.
**Republic Acts (RAs):**
* **RA 9372 (Human Security Act of 2007):**
* **Seksyon 4:** Tinutukoy ang terorismo at mga organisasyon"&amp;"g terorista.
* **Seksyon 6:** Nagpaparusa sa pag-uudyok na gumawa ng terorismo, kabilang ang pangangalap. * **Seksyon 7:** Sinasaklaw ang pagpopondo ng terorismo, na maaaring maiugnay sa mga pagsisikap sa pangangalap.
* **RA 10174 (Anti-Terrorism Act of 2"&amp;"020):**
* **Seksyon 4:** Tinutukoy ang mga paglabag sa terorismo, kabilang ang recruitment. * **Seksyon 6:** Binabalangkas ang mga kilos na bumubuo sa pangangalap sa isang teroristang organisasyon. * **Seksyon 25:** Tinutukoy at pinaparusahan ang panukala"&amp;"ng sumali sa isang organisasyong terorista.
**Dagdag pa:**
* **Revised Penal Code (RPC):** Ang ilang partikular na probisyon ng RPC, gaya ng mga nauugnay sa rebelyon o sedisyon, ay maaaring malapat depende sa mga partikular na layunin ng teroristang organ"&amp;"isasyon.
**Sino ang maaaring gumawa ng legal na aksyon?**
* Ang mga ahensyang nagpapatupad ng batas ay maaaring magsimula ng mga pagsisiyasat at magsampa ng mga singil.
* Ang mga pribadong mamamayan ay maaaring mag-ulat ng mga pinaghihinalaang aktibidad s"&amp;"a pangangalap sa mga awtoridad.
**Mahalagang Tandaan:**
* Ang pasanin ng patunay ay nakasalalay sa pag-uusig. * Ang mga partikular na singil at parusa ay depende sa mga detalye ng kaso.
**Para sa karagdagang impormasyon:**
* Maaari mong mahanap ang buong "&amp;"teksto ng Konstitusyon ng Pilipinas at mga RA na binanggit sa itaas online sa pamamagitan ng mga website ng gobyerno.
**Disclaimer:** Ito ay hindi kapalit para sa propesyonal na legal na payo. Kung pinaghihinalaan mong may nagre-recruit para sa isang tero"&amp;"ristang organisasyon, iulat ito kaagad sa mga awtoridad.")</f>
        <v>Sa Pilipinas, maraming batas ang tumutugon sa recruitment para sa mga teroristang organisasyon. Narito ang isang breakdown batay sa nauugnay na batas ng Pilipinas:
**Konstitusyon ng Pilipinas (1987):**
* **Artikulo II, Seksyon 14:** Ginagarantiya ang karapatan sa buhay, kalayaan at seguridad ng tao. Ang recruitment para sa terorismo ay likas na nagbabanta sa mga karapatang ito.
**Republic Acts (RAs):**
* **RA 9372 (Human Security Act of 2007):**
* **Seksyon 4:** Tinutukoy ang terorismo at mga organisasyong terorista.
* **Seksyon 6:** Nagpaparusa sa pag-uudyok na gumawa ng terorismo, kabilang ang pangangalap. * **Seksyon 7:** Sinasaklaw ang pagpopondo ng terorismo, na maaaring maiugnay sa mga pagsisikap sa pangangalap.
* **RA 10174 (Anti-Terrorism Act of 2020):**
* **Seksyon 4:** Tinutukoy ang mga paglabag sa terorismo, kabilang ang recruitment. * **Seksyon 6:** Binabalangkas ang mga kilos na bumubuo sa pangangalap sa isang teroristang organisasyon. * **Seksyon 25:** Tinutukoy at pinaparusahan ang panukalang sumali sa isang organisasyong terorista.
**Dagdag pa:**
* **Revised Penal Code (RPC):** Ang ilang partikular na probisyon ng RPC, gaya ng mga nauugnay sa rebelyon o sedisyon, ay maaaring malapat depende sa mga partikular na layunin ng teroristang organisasyon.
**Sino ang maaaring gumawa ng legal na aksyon?**
* Ang mga ahensyang nagpapatupad ng batas ay maaaring magsimula ng mga pagsisiyasat at magsampa ng mga singil.
* Ang mga pribadong mamamayan ay maaaring mag-ulat ng mga pinaghihinalaang aktibidad sa pangangalap sa mga awtoridad.
**Mahalagang Tandaan:**
* Ang pasanin ng patunay ay nakasalalay sa pag-uusig. * Ang mga partikular na singil at parusa ay depende sa mga detalye ng kaso.
**Para sa karagdagang impormasyon:**
* Maaari mong mahanap ang buong teksto ng Konstitusyon ng Pilipinas at mga RA na binanggit sa itaas online sa pamamagitan ng mga website ng gobyerno.
**Disclaimer:** Ito ay hindi kapalit para sa propesyonal na legal na payo. Kung pinaghihinalaan mong may nagre-recruit para sa isang teroristang organisasyon, iulat ito kaagad sa mga awtoridad.</v>
      </c>
      <c r="F2311" s="2">
        <f t="shared" si="1"/>
        <v>0</v>
      </c>
      <c r="G2311" s="2"/>
      <c r="H2311" s="2"/>
      <c r="I2311" s="2"/>
      <c r="J2311" s="2"/>
      <c r="K2311" s="2"/>
      <c r="L2311" s="2"/>
      <c r="M2311" s="2"/>
      <c r="N2311" s="2"/>
      <c r="O2311" s="2"/>
      <c r="P2311" s="2"/>
      <c r="Q2311" s="2"/>
      <c r="R2311" s="2"/>
      <c r="S2311" s="2"/>
      <c r="T2311" s="2"/>
      <c r="U2311" s="2"/>
      <c r="V2311" s="2"/>
      <c r="W2311" s="2"/>
      <c r="X2311" s="2"/>
      <c r="Y2311" s="2"/>
      <c r="Z2311" s="2"/>
      <c r="AA2311" s="2"/>
    </row>
    <row r="2312">
      <c r="A2312" s="1" t="s">
        <v>5490</v>
      </c>
      <c r="B2312" s="1" t="s">
        <v>5589</v>
      </c>
      <c r="C2312" s="3" t="s">
        <v>5590</v>
      </c>
      <c r="D2312" s="2" t="str">
        <f>IFERROR(__xludf.DUMMYFUNCTION("GOOGLETRANSLATE(B2312, ""en"", ""TL"")"),"Paano kinokontrol at pinaparusahan ang pagkakasala sa pagpaplano at pagsasagawa ng mga pagsasanay para sa mga aktibidad ng terorista?")</f>
        <v>Paano kinokontrol at pinaparusahan ang pagkakasala sa pagpaplano at pagsasagawa ng mga pagsasanay para sa mga aktibidad ng terorista?</v>
      </c>
      <c r="E2312" s="2" t="str">
        <f>IFERROR(__xludf.DUMMYFUNCTION("GOOGLETRANSLATE(C2312, ""en"", ""TL"")"),"Ang sistemang legal ng Pilipinas ay walang iisang, partikular na batas na tumutugon lamang sa pagpaplano at pagsasagawa ng mga pagsasanay para sa mga aktibidad ng terorista. Gayunpaman, maraming umiiral na batas ang maaaring gamitin upang usigin ang mga n"&amp;"aturang aktibidad:
**1. Republic Act No. 9372 (Human Security Act of 2007):**
* **Seksyon 4:** Tinutukoy ang terorismo at isang teroristang organisasyon. Bagama't ang mga drill mismo ay maaaring hindi tahasang binanggit, ang pagpaplano at pagsasagawa ng m"&amp;"ga ito ay maaaring makita bilang **paghahanda** para sa isang teroristang pagkilos, na nasa ilalim ng saklaw ng seksyong ito.
* **Seksyon 6:** Ang seksyong ito ay nagpaparusa sa **pag-uudyok na gumawa ng terorismo**. Kung ang mga pagsasanay ay nagsasangko"&amp;"t ng pagtataguyod o paghikayat ng karahasan o pananakot, maaari itong ituring na pag-uudyok.
**2. Republic Act No. 10174 (Anti-Terrorism Act of 2020):**
* **Seksyon 4:** Tinutukoy ng seksyong ito ang iba't ibang mga paglabag sa terorismo, kabilang ang **p"&amp;"agbibigay ng pagsasanay para sa mga layunin ng terorista**. Ang pagpaplano at pagsasagawa ng mga drill na nagbibigay ng pagsasanay sa paggawa ng bomba, negosasyon sa hostage, o iba pang taktika ng terorista ay maaaring ituring na isang pagkakasala sa ilal"&amp;"im ng seksyong ito.
**3. Binagong Kodigo Penal (RPC):**
* Depende sa likas na katangian ng mga drills, ang ilang mga probisyon ng RPC ay maaaring naaangkop. * **Pagsasabwatan upang gumawa ng rebelyon o sedisyon (Artikulo 139):** Kung ang mga pagsasanay ay"&amp;" naglalayong ibagsak ang gobyerno o mag-udyok ng kaguluhan sa publiko, ito ay maaaring may kaugnayang singil.
* **Ilegal na pagmamay-ari ng mga baril o pampasabog (Artikulo 168 &amp; 169):** Kung ang mga drill ay may kinalaman sa paggamit ng mga ilegal na arm"&amp;"as o pampasabog, maaaring malapat ang mga artikulong ito.
**Paano ito pinarusahan:**
Ang mga parusa para sa pagpaplano at pagsasagawa ng mga pagsasanay para sa mga aktibidad ng terorista ay magdedepende sa mga partikular na singil na isinampa at ang bigat"&amp;" ng pagkakasala, ayon sa itinakda ng korte. Ang mga parusa ay maaaring mula sa pagkakulong hanggang sa habambuhay na sentensiya, depende sa partikular na batas na inilapat.
**Mahalagang Tandaan:**
* Ang interpretasyon ng batas ay gumaganap ng isang mahala"&amp;"gang papel. Dapat patunayan ng prosekusyon na ang mga pagsasanay ay nilayon upang suportahan ang mga gawaing terorista sa hinaharap.
* Napakahalaga ng pagkakaroon ng abogado para ma-navigate ang mga legal na kumplikadong kasangkot.
**Disclaimer:** Ito ay "&amp;"hindi kapalit para sa propesyonal na legal na payo. Kung pinaghihinalaan mong may nagpaplano o nagsasagawa ng mga pagsasanay para sa mga aktibidad ng terorista, iulat ito kaagad sa mga awtoridad.")</f>
        <v>Ang sistemang legal ng Pilipinas ay walang iisang, partikular na batas na tumutugon lamang sa pagpaplano at pagsasagawa ng mga pagsasanay para sa mga aktibidad ng terorista. Gayunpaman, maraming umiiral na batas ang maaaring gamitin upang usigin ang mga naturang aktibidad:
**1. Republic Act No. 9372 (Human Security Act of 2007):**
* **Seksyon 4:** Tinutukoy ang terorismo at isang teroristang organisasyon. Bagama't ang mga drill mismo ay maaaring hindi tahasang binanggit, ang pagpaplano at pagsasagawa ng mga ito ay maaaring makita bilang **paghahanda** para sa isang teroristang pagkilos, na nasa ilalim ng saklaw ng seksyong ito.
* **Seksyon 6:** Ang seksyong ito ay nagpaparusa sa **pag-uudyok na gumawa ng terorismo**. Kung ang mga pagsasanay ay nagsasangkot ng pagtataguyod o paghikayat ng karahasan o pananakot, maaari itong ituring na pag-uudyok.
**2. Republic Act No. 10174 (Anti-Terrorism Act of 2020):**
* **Seksyon 4:** Tinutukoy ng seksyong ito ang iba't ibang mga paglabag sa terorismo, kabilang ang **pagbibigay ng pagsasanay para sa mga layunin ng terorista**. Ang pagpaplano at pagsasagawa ng mga drill na nagbibigay ng pagsasanay sa paggawa ng bomba, negosasyon sa hostage, o iba pang taktika ng terorista ay maaaring ituring na isang pagkakasala sa ilalim ng seksyong ito.
**3. Binagong Kodigo Penal (RPC):**
* Depende sa likas na katangian ng mga drills, ang ilang mga probisyon ng RPC ay maaaring naaangkop. * **Pagsasabwatan upang gumawa ng rebelyon o sedisyon (Artikulo 139):** Kung ang mga pagsasanay ay naglalayong ibagsak ang gobyerno o mag-udyok ng kaguluhan sa publiko, ito ay maaaring may kaugnayang singil.
* **Ilegal na pagmamay-ari ng mga baril o pampasabog (Artikulo 168 &amp; 169):** Kung ang mga drill ay may kinalaman sa paggamit ng mga ilegal na armas o pampasabog, maaaring malapat ang mga artikulong ito.
**Paano ito pinarusahan:**
Ang mga parusa para sa pagpaplano at pagsasagawa ng mga pagsasanay para sa mga aktibidad ng terorista ay magdedepende sa mga partikular na singil na isinampa at ang bigat ng pagkakasala, ayon sa itinakda ng korte. Ang mga parusa ay maaaring mula sa pagkakulong hanggang sa habambuhay na sentensiya, depende sa partikular na batas na inilapat.
**Mahalagang Tandaan:**
* Ang interpretasyon ng batas ay gumaganap ng isang mahalagang papel. Dapat patunayan ng prosekusyon na ang mga pagsasanay ay nilayon upang suportahan ang mga gawaing terorista sa hinaharap.
* Napakahalaga ng pagkakaroon ng abogado para ma-navigate ang mga legal na kumplikadong kasangkot.
**Disclaimer:** Ito ay hindi kapalit para sa propesyonal na legal na payo. Kung pinaghihinalaan mong may nagpaplano o nagsasagawa ng mga pagsasanay para sa mga aktibidad ng terorista, iulat ito kaagad sa mga awtoridad.</v>
      </c>
      <c r="F2312" s="2">
        <f t="shared" si="1"/>
        <v>0</v>
      </c>
      <c r="G2312" s="2"/>
      <c r="H2312" s="2"/>
      <c r="I2312" s="2"/>
      <c r="J2312" s="2"/>
      <c r="K2312" s="2"/>
      <c r="L2312" s="2"/>
      <c r="M2312" s="2"/>
      <c r="N2312" s="2"/>
      <c r="O2312" s="2"/>
      <c r="P2312" s="2"/>
      <c r="Q2312" s="2"/>
      <c r="R2312" s="2"/>
      <c r="S2312" s="2"/>
      <c r="T2312" s="2"/>
      <c r="U2312" s="2"/>
      <c r="V2312" s="2"/>
      <c r="W2312" s="2"/>
      <c r="X2312" s="2"/>
      <c r="Y2312" s="2"/>
      <c r="Z2312" s="2"/>
      <c r="AA2312" s="2"/>
    </row>
    <row r="2313">
      <c r="A2313" s="1" t="s">
        <v>5490</v>
      </c>
      <c r="B2313" s="1" t="s">
        <v>5591</v>
      </c>
      <c r="C2313" s="3" t="s">
        <v>5592</v>
      </c>
      <c r="D2313" s="2" t="str">
        <f>IFERROR(__xludf.DUMMYFUNCTION("GOOGLETRANSLATE(B2313, ""en"", ""TL"")"),"Ano ang papel na ginagampanan ng mga internasyonal na kasunduan at kombensiyon sa paghubog ng mga patakarang kontra-terorismo ng Pilipinas?")</f>
        <v>Ano ang papel na ginagampanan ng mga internasyonal na kasunduan at kombensiyon sa paghubog ng mga patakarang kontra-terorismo ng Pilipinas?</v>
      </c>
      <c r="E2313" s="2" t="str">
        <f>IFERROR(__xludf.DUMMYFUNCTION("GOOGLETRANSLATE(C2313, ""en"", ""TL"")"),"Habang ang batas ng Pilipinas (Konstitusyon at RAs) ay bumubuo ng pundasyon ng mga patakarang kontra-terorismo, ang mga internasyonal na kasunduan at kumbensyon ay may mahalagang papel sa paghubog ng mga ito. Ganito:
**Ang mga internasyonal na instrumento"&amp;" ay lumilikha ng mga obligasyon:**
* Sa pamamagitan ng pagpapatibay sa mga kasunduang ito, ang Pilipinas ay nangangako na itaguyod ang ilang mga pamantayan at pakikipagtulungan sa ibang mga bansa sa pagsusumikap sa kontra-terorismo. **Mga halimbawa ng mga"&amp;" nauugnay na kasunduan:**
* **International Covenant on Civil and Political Rights (ICCPR):** Tinitiyak na iginagalang ang mga pangunahing karapatang pantao kahit na sa mga hakbang laban sa terorismo.
* **International Convention for the Suppression of Fi"&amp;"nancing of Terrorism:** Nag-uutos ng kooperasyon upang pigilan at labanan ang pagpopondo ng terorista.
* **Mga Resolusyon ng UN Security Council on Counter-Terrorism:** Balangkas ang mga partikular na hakbang upang matugunan ang mga banta ng terorista, na"&amp;" obligadong isaalang-alang ng Pilipinas kapag gumagawa ng mga patakaran.
**Paano nila naiimpluwensyahan ang mga patakaran ng Pilipinas:**
* **Pag-align sa mga International Standards:** Ang mga patakaran ng kontra-terorismo ng Pilipinas ay hinubog upang s"&amp;"umunod sa mga obligasyong nakabalangkas sa mga kasunduang ito. Nakakatulong ito na matiyak ang balanse sa pagitan ng seguridad at karapatang pantao.
* **Pagbabahagi ng Impormasyon at Pakikipagtulungan:** Ang mga kasunduang ito ay nagpapadali sa pagbabahag"&amp;"i ng impormasyon at pakikipagtulungan sa ibang mga bansa sa mga pagsisiyasat ng terorismo, pagpopondo, at pag-abala sa mga aktibidad ng terorista. * **Pinakamahuhusay na Kasanayan at Pagbuo ng Kapasidad:** Ang mga internasyonal na organisasyon ay maaaring"&amp;" magbigay ng teknikal na tulong at magbahagi ng pinakamahuhusay na kagawian sa mga lugar tulad ng counterterrorism financing, seguridad sa hangganan, at mga programa sa deradicalization.
**Mga Limitasyon:**
* Ang mga internasyonal na kasunduan ay hindi di"&amp;"rektang maipapatupad sa loob ng Pilipinas. Kailangang isalin ang mga ito sa lokal na batas (hal., RA) upang maipatupad.
* Ang mga partikular na probisyon at interpretasyon ng mga kasunduang ito ay maaaring kumplikado at napapailalim sa debate.
**Konklusyo"&amp;"n:**
Ang mga internasyonal na kasunduan at kumbensyon ay gumaganap ng mahalagang papel sa paghubog ng mga patakaran ng kontra-terorismo ng Pilipinas sa pamamagitan ng pagtataguyod ng internasyonal na kooperasyon, pagtatatag ng mga internasyonal na pamanta"&amp;"yan, at pagbibigay ng access sa mga pinakamahusay na kasanayan. Gayunpaman, pinamamahalaan ng mga lokal na batas kung paano ipinapatupad ang mga kasunduang ito.")</f>
        <v>Habang ang batas ng Pilipinas (Konstitusyon at RAs) ay bumubuo ng pundasyon ng mga patakarang kontra-terorismo, ang mga internasyonal na kasunduan at kumbensyon ay may mahalagang papel sa paghubog ng mga ito. Ganito:
**Ang mga internasyonal na instrumento ay lumilikha ng mga obligasyon:**
* Sa pamamagitan ng pagpapatibay sa mga kasunduang ito, ang Pilipinas ay nangangako na itaguyod ang ilang mga pamantayan at pakikipagtulungan sa ibang mga bansa sa pagsusumikap sa kontra-terorismo. **Mga halimbawa ng mga nauugnay na kasunduan:**
* **International Covenant on Civil and Political Rights (ICCPR):** Tinitiyak na iginagalang ang mga pangunahing karapatang pantao kahit na sa mga hakbang laban sa terorismo.
* **International Convention for the Suppression of Financing of Terrorism:** Nag-uutos ng kooperasyon upang pigilan at labanan ang pagpopondo ng terorista.
* **Mga Resolusyon ng UN Security Council on Counter-Terrorism:** Balangkas ang mga partikular na hakbang upang matugunan ang mga banta ng terorista, na obligadong isaalang-alang ng Pilipinas kapag gumagawa ng mga patakaran.
**Paano nila naiimpluwensyahan ang mga patakaran ng Pilipinas:**
* **Pag-align sa mga International Standards:** Ang mga patakaran ng kontra-terorismo ng Pilipinas ay hinubog upang sumunod sa mga obligasyong nakabalangkas sa mga kasunduang ito. Nakakatulong ito na matiyak ang balanse sa pagitan ng seguridad at karapatang pantao.
* **Pagbabahagi ng Impormasyon at Pakikipagtulungan:** Ang mga kasunduang ito ay nagpapadali sa pagbabahagi ng impormasyon at pakikipagtulungan sa ibang mga bansa sa mga pagsisiyasat ng terorismo, pagpopondo, at pag-abala sa mga aktibidad ng terorista. * **Pinakamahuhusay na Kasanayan at Pagbuo ng Kapasidad:** Ang mga internasyonal na organisasyon ay maaaring magbigay ng teknikal na tulong at magbahagi ng pinakamahuhusay na kagawian sa mga lugar tulad ng counterterrorism financing, seguridad sa hangganan, at mga programa sa deradicalization.
**Mga Limitasyon:**
* Ang mga internasyonal na kasunduan ay hindi direktang maipapatupad sa loob ng Pilipinas. Kailangang isalin ang mga ito sa lokal na batas (hal., RA) upang maipatupad.
* Ang mga partikular na probisyon at interpretasyon ng mga kasunduang ito ay maaaring kumplikado at napapailalim sa debate.
**Konklusyon:**
Ang mga internasyonal na kasunduan at kumbensyon ay gumaganap ng mahalagang papel sa paghubog ng mga patakaran ng kontra-terorismo ng Pilipinas sa pamamagitan ng pagtataguyod ng internasyonal na kooperasyon, pagtatatag ng mga internasyonal na pamantayan, at pagbibigay ng access sa mga pinakamahusay na kasanayan. Gayunpaman, pinamamahalaan ng mga lokal na batas kung paano ipinapatupad ang mga kasunduang ito.</v>
      </c>
      <c r="F2313" s="2">
        <f t="shared" si="1"/>
        <v>0</v>
      </c>
      <c r="G2313" s="2"/>
      <c r="H2313" s="2"/>
      <c r="I2313" s="2"/>
      <c r="J2313" s="2"/>
      <c r="K2313" s="2"/>
      <c r="L2313" s="2"/>
      <c r="M2313" s="2"/>
      <c r="N2313" s="2"/>
      <c r="O2313" s="2"/>
      <c r="P2313" s="2"/>
      <c r="Q2313" s="2"/>
      <c r="R2313" s="2"/>
      <c r="S2313" s="2"/>
      <c r="T2313" s="2"/>
      <c r="U2313" s="2"/>
      <c r="V2313" s="2"/>
      <c r="W2313" s="2"/>
      <c r="X2313" s="2"/>
      <c r="Y2313" s="2"/>
      <c r="Z2313" s="2"/>
      <c r="AA2313" s="2"/>
    </row>
    <row r="2314">
      <c r="A2314" s="1" t="s">
        <v>5490</v>
      </c>
      <c r="B2314" s="1" t="s">
        <v>5593</v>
      </c>
      <c r="C2314" s="3" t="s">
        <v>5594</v>
      </c>
      <c r="D2314" s="2" t="str">
        <f>IFERROR(__xludf.DUMMYFUNCTION("GOOGLETRANSLATE(B2314, ""en"", ""TL"")"),"Natuklasan mo ang isang grupo na nagpaplano ng pag-atake ng terorista sa loob ng iyong komunidad. Anong mga agarang legal na aksyon ang maaaring gawin upang maiwasan ang pag-atake at mahuli ang mga indibidwal na kasangkot?")</f>
        <v>Natuklasan mo ang isang grupo na nagpaplano ng pag-atake ng terorista sa loob ng iyong komunidad. Anong mga agarang legal na aksyon ang maaaring gawin upang maiwasan ang pag-atake at mahuli ang mga indibidwal na kasangkot?</v>
      </c>
      <c r="E2314" s="2" t="str">
        <f>IFERROR(__xludf.DUMMYFUNCTION("GOOGLETRANSLATE(C2314, ""en"", ""TL"")"),"Kung matuklasan mo ang isang grupo na nagpaplano ng pag-atake ng terorista sa iyong komunidad, ang agarang priyoridad ay pigilan ang pag-atake at hulihin ang mga indibidwal na kasangkot. Narito ang mga legal na aksyon na maaari mong gawin:
**1. Iulat sa A"&amp;"wtoridad:**
* **Pagpapatupad ng Batas:** Makipag-ugnayan sa iyong lokal na istasyon ng pulisya o tumawag sa hotline ng Philippine National Police (PNP) 117. * **Mga Pambansang Awtoridad:** Maaari ka ring mag-ulat sa hotline ng National Bureau of Investiga"&amp;"tion (NBI) (02) 820-04-00 o ang Anti-Terrorism Council (ATC) sa pamamagitan ng kanilang website ([http://www.amlc.gov.ph/images/PDFs/ATC%20RESO%2010.pdf](http://www. amlc.gov.ph/images/PDFs/ATC%20RESO%2010.pdf) - maaaring limitado ang functionality).
**2."&amp;" Pagtitipon ng Impormasyon (Kung Ligtas Lang):**
* **Mga Detalye:** Habang nag-uulat, subukang magbigay ng mas maraming detalye hangga't maaari tungkol sa grupo, kanilang mga plano (petsa, target, atbp.), at anumang ebidensya na maaaring mayroon ka (narin"&amp;"ig na mga pag-uusap, kahina-hinalang aktibidad, atbp.). * **Tandaan:** **Ang iyong kaligtasan ay pinakamahalaga.** Huwag ilagay sa panganib ang iyong sarili na mangalap ng impormasyon.
**3. Pakikipagtulungan:**
* **Pag-follow-up sa Pagpapatupad ng Batas:*"&amp;"* Makipagtulungan sa pagpapatupad ng batas kung humingi sila ng karagdagang impormasyon o paglilinaw. * **Proteksyon ng Saksi:** Kung naging saksi ka sa anumang legal na paglilitis, magtanong tungkol sa mga programa sa proteksyon ng saksi na inaalok ng mg"&amp;"a ahensyang nagpapatupad ng batas. **Mahalagang Tandaan:**
* **Huwag subukang hulihin ang mga indibidwal.** Ito ay maaaring mapanganib at makahadlang sa imbestigasyon.
* **Huwag magbahagi ng impormasyon sa publiko.** Ang pagkalat ng hindi na-verify na imp"&amp;"ormasyon ay maaaring lumikha ng gulat at mapanganib ang imbestigasyon.
**Mga Legal na Aksyon ng Mga Awtoridad:**
Batay sa iyong ulat, maaaring magsagawa ng iba't ibang legal na aksyon ang nagpapatupad ng batas:
* **Pagsisiyasat:** Sisiyasatin ng mga awtor"&amp;"idad ang iyong ulat at mangangalap ng karagdagang ebidensya. * **Mga Warrant:** Kung may probable cause, maaari silang humingi ng warrant para arestuhin ang mga suspek, maghanap ng mga armas o pampasabog, at mag-access ng electronic data.
* **Pag-aresto:*"&amp;"* Ang mga indibidwal na pinaghihinalaang nagplano ng pag-atake ay maaaring arestuhin at kasuhan sa ilalim ng mga nauugnay na batas tulad ng Human Security Act o Anti-Terrorism Act.
**Disclaimer:** Ito ay hindi kapalit para sa propesyonal na legal na payo."&amp;" Ang mga partikular na legal na aksyon ay nakadepende sa mga detalye ng sitwasyon at sa mga desisyong ginawa ng mga ahensyang nagpapatupad ng batas. Sa pamamagitan ng pag-uulat kaagad ng iyong mga natuklasan at pakikipagtulungan sa mga awtoridad, maaari k"&amp;"ang magkaroon ng mahalagang papel sa pagpigil sa pag-atake ng terorista at pagdadala sa mga responsable sa hustisya.")</f>
        <v>Kung matuklasan mo ang isang grupo na nagpaplano ng pag-atake ng terorista sa iyong komunidad, ang agarang priyoridad ay pigilan ang pag-atake at hulihin ang mga indibidwal na kasangkot. Narito ang mga legal na aksyon na maaari mong gawin:
**1. Iulat sa Awtoridad:**
* **Pagpapatupad ng Batas:** Makipag-ugnayan sa iyong lokal na istasyon ng pulisya o tumawag sa hotline ng Philippine National Police (PNP) 117. * **Mga Pambansang Awtoridad:** Maaari ka ring mag-ulat sa hotline ng National Bureau of Investigation (NBI) (02) 820-04-00 o ang Anti-Terrorism Council (ATC) sa pamamagitan ng kanilang website ([http://www.amlc.gov.ph/images/PDFs/ATC%20RESO%2010.pdf](http://www. amlc.gov.ph/images/PDFs/ATC%20RESO%2010.pdf) - maaaring limitado ang functionality).
**2. Pagtitipon ng Impormasyon (Kung Ligtas Lang):**
* **Mga Detalye:** Habang nag-uulat, subukang magbigay ng mas maraming detalye hangga't maaari tungkol sa grupo, kanilang mga plano (petsa, target, atbp.), at anumang ebidensya na maaaring mayroon ka (narinig na mga pag-uusap, kahina-hinalang aktibidad, atbp.). * **Tandaan:** **Ang iyong kaligtasan ay pinakamahalaga.** Huwag ilagay sa panganib ang iyong sarili na mangalap ng impormasyon.
**3. Pakikipagtulungan:**
* **Pag-follow-up sa Pagpapatupad ng Batas:** Makipagtulungan sa pagpapatupad ng batas kung humingi sila ng karagdagang impormasyon o paglilinaw. * **Proteksyon ng Saksi:** Kung naging saksi ka sa anumang legal na paglilitis, magtanong tungkol sa mga programa sa proteksyon ng saksi na inaalok ng mga ahensyang nagpapatupad ng batas. **Mahalagang Tandaan:**
* **Huwag subukang hulihin ang mga indibidwal.** Ito ay maaaring mapanganib at makahadlang sa imbestigasyon.
* **Huwag magbahagi ng impormasyon sa publiko.** Ang pagkalat ng hindi na-verify na impormasyon ay maaaring lumikha ng gulat at mapanganib ang imbestigasyon.
**Mga Legal na Aksyon ng Mga Awtoridad:**
Batay sa iyong ulat, maaaring magsagawa ng iba't ibang legal na aksyon ang nagpapatupad ng batas:
* **Pagsisiyasat:** Sisiyasatin ng mga awtoridad ang iyong ulat at mangangalap ng karagdagang ebidensya. * **Mga Warrant:** Kung may probable cause, maaari silang humingi ng warrant para arestuhin ang mga suspek, maghanap ng mga armas o pampasabog, at mag-access ng electronic data.
* **Pag-aresto:** Ang mga indibidwal na pinaghihinalaang nagplano ng pag-atake ay maaaring arestuhin at kasuhan sa ilalim ng mga nauugnay na batas tulad ng Human Security Act o Anti-Terrorism Act.
**Disclaimer:** Ito ay hindi kapalit para sa propesyonal na legal na payo. Ang mga partikular na legal na aksyon ay nakadepende sa mga detalye ng sitwasyon at sa mga desisyong ginawa ng mga ahensyang nagpapatupad ng batas. Sa pamamagitan ng pag-uulat kaagad ng iyong mga natuklasan at pakikipagtulungan sa mga awtoridad, maaari kang magkaroon ng mahalagang papel sa pagpigil sa pag-atake ng terorista at pagdadala sa mga responsable sa hustisya.</v>
      </c>
      <c r="F2314" s="2">
        <f t="shared" si="1"/>
        <v>0</v>
      </c>
      <c r="G2314" s="2"/>
      <c r="H2314" s="2"/>
      <c r="I2314" s="2"/>
      <c r="J2314" s="2"/>
      <c r="K2314" s="2"/>
      <c r="L2314" s="2"/>
      <c r="M2314" s="2"/>
      <c r="N2314" s="2"/>
      <c r="O2314" s="2"/>
      <c r="P2314" s="2"/>
      <c r="Q2314" s="2"/>
      <c r="R2314" s="2"/>
      <c r="S2314" s="2"/>
      <c r="T2314" s="2"/>
      <c r="U2314" s="2"/>
      <c r="V2314" s="2"/>
      <c r="W2314" s="2"/>
      <c r="X2314" s="2"/>
      <c r="Y2314" s="2"/>
      <c r="Z2314" s="2"/>
      <c r="AA2314" s="2"/>
    </row>
    <row r="2315">
      <c r="A2315" s="1" t="s">
        <v>5490</v>
      </c>
      <c r="B2315" s="1" t="s">
        <v>5595</v>
      </c>
      <c r="C2315" s="3" t="s">
        <v>5596</v>
      </c>
      <c r="D2315" s="2" t="str">
        <f>IFERROR(__xludf.DUMMYFUNCTION("GOOGLETRANSLATE(B2315, ""en"", ""TL"")"),"Nasasaksihan mo ang isang kahina-hinalang transaksyon sa pananalapi na maaaring maiugnay sa pagpopondo ng terorista. Anong mga legal na hakbang ang dapat gawin upang iulat ito at i-freeze ang mga asset na kasangkot?")</f>
        <v>Nasasaksihan mo ang isang kahina-hinalang transaksyon sa pananalapi na maaaring maiugnay sa pagpopondo ng terorista. Anong mga legal na hakbang ang dapat gawin upang iulat ito at i-freeze ang mga asset na kasangkot?</v>
      </c>
      <c r="E2315" s="2" t="str">
        <f>IFERROR(__xludf.DUMMYFUNCTION("GOOGLETRANSLATE(C2315, ""en"", ""TL"")"),"Sa Pilipinas, ang pag-uulat ng mga kahina-hinalang transaksyon sa pananalapi na posibleng nauugnay sa pagpopondo ng terorista ay may partikular na pamamaraan. Narito ang maaari mong gawin:
**1. Iulat sa Financial Intelligence Unit (FIU):**
* Ang FIU ay an"&amp;"g pangunahing katawan ng pamahalaan na responsable para sa pagtanggap at pagsusuri ng mga ulat sa mga kahina-hinalang transaksyon. Maaari kang direktang maghain ng Suspicious Transaction Report (STR) sa pamamagitan ng kanilang website ([http://www.amlc.go"&amp;"v.ph/](http://www.amlc.gov.ph/)) o sa pamamagitan ng pakikipag-ugnayan sa kanilang hotline: +632 886-20-70 lokal 270.
**2. Pagtitipon ng Impormasyon (Opsyonal):**
* Bagama't hindi sapilitan, ang pangangalap ng ilang detalye ay maaaring palakasin ang iyong"&amp;" ulat:
* Kalikasan ng transaksyon (malaking cash deposit, wire transfer, atbp.)
* Mga indibidwal o entity na kasangkot (mga pangalan, numero ng account, atbp.)
* Dahilan ng hinala (hindi pangkaraniwang aktibidad, hindi tumutugma sa profile ng customer, at"&amp;"bp.)
**Mahalagang Tandaan:**
* Hindi mo kailangang magkaroon ng tiyak na patunay ng pagpopondo ng terorista. Iulat ang anumang hinala mo.
* Maaari kang mag-ulat nang hindi nagpapakilala kung gusto mo. **Mga Nagyeyelong Asset:**
* Ang mga nagyeyelong asset"&amp;" na pinaghihinalaang financing ng terorista ay isang hiwalay na aksyon. * Ang FIU, sa pagsusuri sa iyong STR, ay maaaring magrekomenda sa Anti-Terrorism Council (ATC) na i-freeze ang mga asset. * May awtoridad ang ATC na i-freeze ang mga asset sa loob ng "&amp;"limitadong panahon habang nagpapatuloy ang mga pagsisiyasat.
**Mga Karagdagang Opsyon:**
* **Mag-ulat sa iyong Bangko:** Maaari mo ring direktang iulat ang iyong mga alalahanin sa opisyal ng pagsunod ng iyong bangko. Mayroon silang mga panloob na pamamara"&amp;"an para sa paghawak ng mga ganitong sitwasyon at malamang na ipapasa ito sa FIU.
**Disclaimer:** Ito ay hindi kapalit para sa propesyonal na legal na payo. Para sa masalimuot na mga detalye o partikular na mga sitwasyon, kumunsulta sa isang abogado na dal"&amp;"ubhasa sa mga transaksyong pinansyal o laban sa money laundering.
Sa pamamagitan ng pag-uulat ng mga kahina-hinalang transaksyon sa pananalapi, maaari kang magkaroon ng mahalagang papel sa pag-abala sa mga aktibidad ng terorista at pagprotekta sa pambansa"&amp;"ng seguridad.")</f>
        <v>Sa Pilipinas, ang pag-uulat ng mga kahina-hinalang transaksyon sa pananalapi na posibleng nauugnay sa pagpopondo ng terorista ay may partikular na pamamaraan. Narito ang maaari mong gawin:
**1. Iulat sa Financial Intelligence Unit (FIU):**
* Ang FIU ay ang pangunahing katawan ng pamahalaan na responsable para sa pagtanggap at pagsusuri ng mga ulat sa mga kahina-hinalang transaksyon. Maaari kang direktang maghain ng Suspicious Transaction Report (STR) sa pamamagitan ng kanilang website ([http://www.amlc.gov.ph/](http://www.amlc.gov.ph/)) o sa pamamagitan ng pakikipag-ugnayan sa kanilang hotline: +632 886-20-70 lokal 270.
**2. Pagtitipon ng Impormasyon (Opsyonal):**
* Bagama't hindi sapilitan, ang pangangalap ng ilang detalye ay maaaring palakasin ang iyong ulat:
* Kalikasan ng transaksyon (malaking cash deposit, wire transfer, atbp.)
* Mga indibidwal o entity na kasangkot (mga pangalan, numero ng account, atbp.)
* Dahilan ng hinala (hindi pangkaraniwang aktibidad, hindi tumutugma sa profile ng customer, atbp.)
**Mahalagang Tandaan:**
* Hindi mo kailangang magkaroon ng tiyak na patunay ng pagpopondo ng terorista. Iulat ang anumang hinala mo.
* Maaari kang mag-ulat nang hindi nagpapakilala kung gusto mo. **Mga Nagyeyelong Asset:**
* Ang mga nagyeyelong asset na pinaghihinalaang financing ng terorista ay isang hiwalay na aksyon. * Ang FIU, sa pagsusuri sa iyong STR, ay maaaring magrekomenda sa Anti-Terrorism Council (ATC) na i-freeze ang mga asset. * May awtoridad ang ATC na i-freeze ang mga asset sa loob ng limitadong panahon habang nagpapatuloy ang mga pagsisiyasat.
**Mga Karagdagang Opsyon:**
* **Mag-ulat sa iyong Bangko:** Maaari mo ring direktang iulat ang iyong mga alalahanin sa opisyal ng pagsunod ng iyong bangko. Mayroon silang mga panloob na pamamaraan para sa paghawak ng mga ganitong sitwasyon at malamang na ipapasa ito sa FIU.
**Disclaimer:** Ito ay hindi kapalit para sa propesyonal na legal na payo. Para sa masalimuot na mga detalye o partikular na mga sitwasyon, kumunsulta sa isang abogado na dalubhasa sa mga transaksyong pinansyal o laban sa money laundering.
Sa pamamagitan ng pag-uulat ng mga kahina-hinalang transaksyon sa pananalapi, maaari kang magkaroon ng mahalagang papel sa pag-abala sa mga aktibidad ng terorista at pagprotekta sa pambansang seguridad.</v>
      </c>
      <c r="F2315" s="2">
        <f t="shared" si="1"/>
        <v>0</v>
      </c>
      <c r="G2315" s="2"/>
      <c r="H2315" s="2"/>
      <c r="I2315" s="2"/>
      <c r="J2315" s="2"/>
      <c r="K2315" s="2"/>
      <c r="L2315" s="2"/>
      <c r="M2315" s="2"/>
      <c r="N2315" s="2"/>
      <c r="O2315" s="2"/>
      <c r="P2315" s="2"/>
      <c r="Q2315" s="2"/>
      <c r="R2315" s="2"/>
      <c r="S2315" s="2"/>
      <c r="T2315" s="2"/>
      <c r="U2315" s="2"/>
      <c r="V2315" s="2"/>
      <c r="W2315" s="2"/>
      <c r="X2315" s="2"/>
      <c r="Y2315" s="2"/>
      <c r="Z2315" s="2"/>
      <c r="AA2315" s="2"/>
    </row>
    <row r="2316">
      <c r="A2316" s="1" t="s">
        <v>5490</v>
      </c>
      <c r="B2316" s="1" t="s">
        <v>5597</v>
      </c>
      <c r="C2316" s="3" t="s">
        <v>5598</v>
      </c>
      <c r="D2316" s="2" t="str">
        <f>IFERROR(__xludf.DUMMYFUNCTION("GOOGLETRANSLATE(B2316, ""en"", ""TL"")"),"Ang isang miyembro ng pamilya ay nagpapakita ng mga palatandaan ng radikalisasyon at nagpapahayag ng suporta para sa mga ideolohiyang terorista. Anong mga legal na hakbang ang maaaring gawin upang makialam at maiwasan ang kanilang pagkakasangkot sa terori"&amp;"smo?")</f>
        <v>Ang isang miyembro ng pamilya ay nagpapakita ng mga palatandaan ng radikalisasyon at nagpapahayag ng suporta para sa mga ideolohiyang terorista. Anong mga legal na hakbang ang maaaring gawin upang makialam at maiwasan ang kanilang pagkakasangkot sa terorismo?</v>
      </c>
      <c r="E2316" s="2" t="str">
        <f>IFERROR(__xludf.DUMMYFUNCTION("GOOGLETRANSLATE(C2316, ""en"", ""TL"")"),"Sa Pilipinas, walang direktang legal na hakbang na maaari mong gawin laban sa isang miyembro ng pamilya para lamang sa pagpapahayag ng mga radikal na pananaw o pagsuporta sa mga ideolohiyang terorista. Gayunpaman, may mga hakbang na maaari mong gawin upan"&amp;"g mamagitan at sana ay pigilan sila sa pagpunta sa isang mapanganib na landas. Narito ang ilang mga opsyon:
**1. Bukas na Komunikasyon:**
* **Makipag-usap sa kanila:** Subukang unawain ang mga dahilan sa likod ng kanilang mga pananaw. Makisali sa isang ma"&amp;"hinahon at magalang na pag-uusap upang malaman ang tungkol sa mga mapagkukunang nakakaimpluwensya sa kanila. * **Hamunin ang kanilang mga paniniwala:** Magpakita ng mga kontra-salaysay na nagtataguyod ng kapayapaan, pagpaparaya, at paggalang sa batas. * *"&amp;"*Tumuon sa mga nakabahaging pagpapahalaga:** Paalalahanan sila ng mga pangunahing pagpapahalaga sa pamilya at i-highlight ang mga negatibong epekto ng terorismo sa mga indibidwal at lipunan. **2. Humingi ng Suporta:**
* **Mga Programa sa Deradicalization:"&amp;"** Ang pamahalaan, sa pamamagitan ng National Counter-Terrorism Council (NCTC), ay nag-aalok ng mga programa sa deradikalisasyon. Maaari mong tuklasin kung ang mga programang ito ay maaaring maging kapaki-pakinabang na mapagkukunan para sa iyong miyembro "&amp;"ng pamilya ([https://www.dni.gov/index.php/nctc-home](https://www.dni.gov/index.php/ nctc-bahay)).
* **Mga Pinuno ng Relihiyon at Mga Pigura ng Komunidad:** Makipag-ugnayan sa mga pinuno ng relihiyon o mga respetadong tao sa komunidad na maaaring mag-alok"&amp;" ng patnubay at hamunin ang mga ekstremistang interpretasyon.
* **Mga Propesyonal sa Kalusugan ng Pag-iisip:** Isaalang-alang ang paghingi ng tulong mula sa isang propesyonal sa kalusugang pangkaisipan kung ang miyembro ng iyong pamilya ay nagpapakita ng "&amp;"mga palatandaan ng depresyon, pagkabalisa, o iba pang mga isyu sa kalusugan ng isip na maaaring nagpapasigla sa kanilang radikalisasyon.
**3. Iulat sa Mga Awtoridad (bilang huling paraan):**
* Ang pag-uulat sa mga awtoridad ay dapat na huling paraan, lalo"&amp;" na kung walang ebidensya ng mga konkretong planong gumawa ng karahasan. * Gayunpaman, kung ang iyong miyembro ng pamilya ay nagpahayag ng isang malinaw na layunin na sumali sa isang teroristang organisasyon o lumahok sa isang pag-atake, iulat ito kaagad "&amp;"sa mga awtoridad. Maaari kang makipag-ugnayan sa Philippine National Police (PNP) hotline 117 o sa National Bureau of Investigation (NBI) hotline (02) 820-04-00.
**Mahalagang Tandaan:**
* **Kaligtasan Una:** Ang iyong kaligtasan at kagalingan ay pinakamah"&amp;"alaga. Kung sa tingin mo ay nanganganib o nasa panganib, unahin ang iyong sariling kaligtasan at isangkot ang mga awtoridad.
* **Patience at Empathy:** Ang deradicalization ay isang mabagal na proseso na nangangailangan ng pasensya at empatiya. * **Huming"&amp;"i ng Legal na Payo:** Ang pagkonsulta sa isang abogado na dalubhasa sa mga isyu sa kontraterorismo ay maaaring magbigay ng partikular na patnubay batay sa iyong sitwasyon. Sa pamamagitan ng pagsasagawa ng mga hakbang na ito, sana ay makialam ka at maiwasa"&amp;"n ang miyembro ng iyong pamilya na masangkot sa terorismo. Tandaan, ang komunikasyon, suporta, at paghingi ng propesyonal na tulong ay mahalaga sa mga pagsisikap sa deradikalisasyon.")</f>
        <v>Sa Pilipinas, walang direktang legal na hakbang na maaari mong gawin laban sa isang miyembro ng pamilya para lamang sa pagpapahayag ng mga radikal na pananaw o pagsuporta sa mga ideolohiyang terorista. Gayunpaman, may mga hakbang na maaari mong gawin upang mamagitan at sana ay pigilan sila sa pagpunta sa isang mapanganib na landas. Narito ang ilang mga opsyon:
**1. Bukas na Komunikasyon:**
* **Makipag-usap sa kanila:** Subukang unawain ang mga dahilan sa likod ng kanilang mga pananaw. Makisali sa isang mahinahon at magalang na pag-uusap upang malaman ang tungkol sa mga mapagkukunang nakakaimpluwensya sa kanila. * **Hamunin ang kanilang mga paniniwala:** Magpakita ng mga kontra-salaysay na nagtataguyod ng kapayapaan, pagpaparaya, at paggalang sa batas. * **Tumuon sa mga nakabahaging pagpapahalaga:** Paalalahanan sila ng mga pangunahing pagpapahalaga sa pamilya at i-highlight ang mga negatibong epekto ng terorismo sa mga indibidwal at lipunan. **2. Humingi ng Suporta:**
* **Mga Programa sa Deradicalization:** Ang pamahalaan, sa pamamagitan ng National Counter-Terrorism Council (NCTC), ay nag-aalok ng mga programa sa deradikalisasyon. Maaari mong tuklasin kung ang mga programang ito ay maaaring maging kapaki-pakinabang na mapagkukunan para sa iyong miyembro ng pamilya ([https://www.dni.gov/index.php/nctc-home](https://www.dni.gov/index.php/ nctc-bahay)).
* **Mga Pinuno ng Relihiyon at Mga Pigura ng Komunidad:** Makipag-ugnayan sa mga pinuno ng relihiyon o mga respetadong tao sa komunidad na maaaring mag-alok ng patnubay at hamunin ang mga ekstremistang interpretasyon.
* **Mga Propesyonal sa Kalusugan ng Pag-iisip:** Isaalang-alang ang paghingi ng tulong mula sa isang propesyonal sa kalusugang pangkaisipan kung ang miyembro ng iyong pamilya ay nagpapakita ng mga palatandaan ng depresyon, pagkabalisa, o iba pang mga isyu sa kalusugan ng isip na maaaring nagpapasigla sa kanilang radikalisasyon.
**3. Iulat sa Mga Awtoridad (bilang huling paraan):**
* Ang pag-uulat sa mga awtoridad ay dapat na huling paraan, lalo na kung walang ebidensya ng mga konkretong planong gumawa ng karahasan. * Gayunpaman, kung ang iyong miyembro ng pamilya ay nagpahayag ng isang malinaw na layunin na sumali sa isang teroristang organisasyon o lumahok sa isang pag-atake, iulat ito kaagad sa mga awtoridad. Maaari kang makipag-ugnayan sa Philippine National Police (PNP) hotline 117 o sa National Bureau of Investigation (NBI) hotline (02) 820-04-00.
**Mahalagang Tandaan:**
* **Kaligtasan Una:** Ang iyong kaligtasan at kagalingan ay pinakamahalaga. Kung sa tingin mo ay nanganganib o nasa panganib, unahin ang iyong sariling kaligtasan at isangkot ang mga awtoridad.
* **Patience at Empathy:** Ang deradicalization ay isang mabagal na proseso na nangangailangan ng pasensya at empatiya. * **Humingi ng Legal na Payo:** Ang pagkonsulta sa isang abogado na dalubhasa sa mga isyu sa kontraterorismo ay maaaring magbigay ng partikular na patnubay batay sa iyong sitwasyon. Sa pamamagitan ng pagsasagawa ng mga hakbang na ito, sana ay makialam ka at maiwasan ang miyembro ng iyong pamilya na masangkot sa terorismo. Tandaan, ang komunikasyon, suporta, at paghingi ng propesyonal na tulong ay mahalaga sa mga pagsisikap sa deradikalisasyon.</v>
      </c>
      <c r="F2316" s="2">
        <f t="shared" si="1"/>
        <v>0</v>
      </c>
      <c r="G2316" s="2"/>
      <c r="H2316" s="2"/>
      <c r="I2316" s="2"/>
      <c r="J2316" s="2"/>
      <c r="K2316" s="2"/>
      <c r="L2316" s="2"/>
      <c r="M2316" s="2"/>
      <c r="N2316" s="2"/>
      <c r="O2316" s="2"/>
      <c r="P2316" s="2"/>
      <c r="Q2316" s="2"/>
      <c r="R2316" s="2"/>
      <c r="S2316" s="2"/>
      <c r="T2316" s="2"/>
      <c r="U2316" s="2"/>
      <c r="V2316" s="2"/>
      <c r="W2316" s="2"/>
      <c r="X2316" s="2"/>
      <c r="Y2316" s="2"/>
      <c r="Z2316" s="2"/>
      <c r="AA2316" s="2"/>
    </row>
    <row r="2317">
      <c r="A2317" s="1" t="s">
        <v>5490</v>
      </c>
      <c r="B2317" s="1" t="s">
        <v>5599</v>
      </c>
      <c r="C2317" s="3" t="s">
        <v>5600</v>
      </c>
      <c r="D2317" s="2" t="str">
        <f>IFERROR(__xludf.DUMMYFUNCTION("GOOGLETRANSLATE(B2317, ""en"", ""TL"")"),"Nakatagpo ka ng online na nilalamang nagpo-promote ng mga aktibidad ng terorista. Anong mga legal na aksyon ang maaaring gawin upang iulat at alisin ang naturang nilalaman?")</f>
        <v>Nakatagpo ka ng online na nilalamang nagpo-promote ng mga aktibidad ng terorista. Anong mga legal na aksyon ang maaaring gawin upang iulat at alisin ang naturang nilalaman?</v>
      </c>
      <c r="E2317" s="2" t="str">
        <f>IFERROR(__xludf.DUMMYFUNCTION("GOOGLETRANSLATE(C2317, ""en"", ""TL"")"),"Sa Pilipinas, may mga hakbang na maaari mong gawin upang mag-ulat at potensyal na alisin ang online na nilalamang nagpo-promote ng mga aktibidad ng terorista. Narito ang maaari mong gawin:
**1. Iulat sa Platform:**
* Karamihan sa mga social media platform"&amp;" at website ay may mga mekanismo para sa pag-uulat ng nilalaman na lumalabag sa kanilang mga tuntunin ng serbisyo. Hanapin ang button na ""ulat"" o link na nauugnay sa nilalaman. * Malinaw na sabihin kung bakit nagpo-promote ang content ng terorismo at na"&amp;"gbibigay ng mga detalye (partikular na wika, imagery, atbp.).
**2. Mag-ulat sa mga Ahensya ng Pamahalaan:**
* **Department of Justice (DOJ):** May online portal ang DOJ para sa pag-uulat ng cybercrime ([https://cybercrime.doj.gov.ph/](https://cybercrime.d"&amp;"oj.gov.ph/) ). Bagama't hindi partikular na idinisenyo para sa terorismo, maaari mong iulat ang nilalaman sa ilalim ng ""Online na Banta o Pananakot.""
* **Philippine National Police (PNP):** May Cybercrime Complaint Center ang PNP. Maaari mo silang konta"&amp;"kin sa pamamagitan ng kanilang website ([https://acg.pnp.gov.ph/](https://acg.pnp.gov.ph/)) o sa pamamagitan ng pagtawag sa kanilang hotline (02) 828-44-62 .
**3. Magbigay ng Ebidensya (Opsyonal ngunit Nakatutulong):**
* Kapag nag-uulat, isaalang-alang an"&amp;"g pagsasama ng mga screenshot o mga link sa nilalaman para sa mas madaling pagkakakilanlan. **Mahalagang Tandaan:**
* **Specificity is Key:** Kung mas partikular ka tungkol sa content at kung paano ito nagpo-promote ng terorismo, mas mabuti. * **Walang Ga"&amp;"rantiya:** Walang garantiya na agad na aalisin ang nilalaman. Ang mga platform at ahensya ay may mga proseso ng pagsusuri.
* **Mga Maling Ulat:** Huwag gamitin sa maling paraan ang sistema ng pag-uulat para sa nilalamang hindi mo sinasang-ayunan. **Mga Ka"&amp;"ragdagang Mapagkukunan:**
* **Report.gov.ph:** Isang website ng gobyerno para sa pag-uulat ng iba't ibang online na paglabag sa content ([https://reports.dole.gov.ph/](https://reports.dole.gov.ph/)) .
* **DOJ Cybersecurity Bureau:** Nagbibigay ng impormas"&amp;"yon sa pag-iwas at pag-uulat ng cybercrime ([https://cybercrime.doj.gov.ph/](https://cybercrime.doj.gov.ph/)).
Tandaan, sa pamamagitan ng pag-uulat ng naturang nilalaman, maaari kang makatulong na lumikha ng isang mas ligtas na kapaligiran sa online at po"&amp;"tensyal na maiwasan ang pagkalat ng mga ideolohiyang ekstremista.")</f>
        <v>Sa Pilipinas, may mga hakbang na maaari mong gawin upang mag-ulat at potensyal na alisin ang online na nilalamang nagpo-promote ng mga aktibidad ng terorista. Narito ang maaari mong gawin:
**1. Iulat sa Platform:**
* Karamihan sa mga social media platform at website ay may mga mekanismo para sa pag-uulat ng nilalaman na lumalabag sa kanilang mga tuntunin ng serbisyo. Hanapin ang button na "ulat" o link na nauugnay sa nilalaman. * Malinaw na sabihin kung bakit nagpo-promote ang content ng terorismo at nagbibigay ng mga detalye (partikular na wika, imagery, atbp.).
**2. Mag-ulat sa mga Ahensya ng Pamahalaan:**
* **Department of Justice (DOJ):** May online portal ang DOJ para sa pag-uulat ng cybercrime ([https://cybercrime.doj.gov.ph/](https://cybercrime.doj.gov.ph/) ). Bagama't hindi partikular na idinisenyo para sa terorismo, maaari mong iulat ang nilalaman sa ilalim ng "Online na Banta o Pananakot."
* **Philippine National Police (PNP):** May Cybercrime Complaint Center ang PNP. Maaari mo silang kontakin sa pamamagitan ng kanilang website ([https://acg.pnp.gov.ph/](https://acg.pnp.gov.ph/)) o sa pamamagitan ng pagtawag sa kanilang hotline (02) 828-44-62 .
**3. Magbigay ng Ebidensya (Opsyonal ngunit Nakatutulong):**
* Kapag nag-uulat, isaalang-alang ang pagsasama ng mga screenshot o mga link sa nilalaman para sa mas madaling pagkakakilanlan. **Mahalagang Tandaan:**
* **Specificity is Key:** Kung mas partikular ka tungkol sa content at kung paano ito nagpo-promote ng terorismo, mas mabuti. * **Walang Garantiya:** Walang garantiya na agad na aalisin ang nilalaman. Ang mga platform at ahensya ay may mga proseso ng pagsusuri.
* **Mga Maling Ulat:** Huwag gamitin sa maling paraan ang sistema ng pag-uulat para sa nilalamang hindi mo sinasang-ayunan. **Mga Karagdagang Mapagkukunan:**
* **Report.gov.ph:** Isang website ng gobyerno para sa pag-uulat ng iba't ibang online na paglabag sa content ([https://reports.dole.gov.ph/](https://reports.dole.gov.ph/)) .
* **DOJ Cybersecurity Bureau:** Nagbibigay ng impormasyon sa pag-iwas at pag-uulat ng cybercrime ([https://cybercrime.doj.gov.ph/](https://cybercrime.doj.gov.ph/)).
Tandaan, sa pamamagitan ng pag-uulat ng naturang nilalaman, maaari kang makatulong na lumikha ng isang mas ligtas na kapaligiran sa online at potensyal na maiwasan ang pagkalat ng mga ideolohiyang ekstremista.</v>
      </c>
      <c r="F2317" s="2">
        <f t="shared" si="1"/>
        <v>0</v>
      </c>
      <c r="G2317" s="2"/>
      <c r="H2317" s="2"/>
      <c r="I2317" s="2"/>
      <c r="J2317" s="2"/>
      <c r="K2317" s="2"/>
      <c r="L2317" s="2"/>
      <c r="M2317" s="2"/>
      <c r="N2317" s="2"/>
      <c r="O2317" s="2"/>
      <c r="P2317" s="2"/>
      <c r="Q2317" s="2"/>
      <c r="R2317" s="2"/>
      <c r="S2317" s="2"/>
      <c r="T2317" s="2"/>
      <c r="U2317" s="2"/>
      <c r="V2317" s="2"/>
      <c r="W2317" s="2"/>
      <c r="X2317" s="2"/>
      <c r="Y2317" s="2"/>
      <c r="Z2317" s="2"/>
      <c r="AA2317" s="2"/>
    </row>
    <row r="2318">
      <c r="A2318" s="1" t="s">
        <v>5490</v>
      </c>
      <c r="B2318" s="1" t="s">
        <v>5601</v>
      </c>
      <c r="C2318" s="3" t="s">
        <v>5602</v>
      </c>
      <c r="D2318" s="2" t="str">
        <f>IFERROR(__xludf.DUMMYFUNCTION("GOOGLETRANSLATE(B2318, ""en"", ""TL"")"),"Sa isang regular na pagsusuri, nakahanap ang mga awtoridad ng cache ng mga armas sa isang lokasyon na pinaghihinalaang nauugnay sa mga aktibidad ng terorista. Anong mga legal na hakbang ang maaaring gawin upang siyasatin at matugunan ang sitwasyong ito?")</f>
        <v>Sa isang regular na pagsusuri, nakahanap ang mga awtoridad ng cache ng mga armas sa isang lokasyon na pinaghihinalaang nauugnay sa mga aktibidad ng terorista. Anong mga legal na hakbang ang maaaring gawin upang siyasatin at matugunan ang sitwasyong ito?</v>
      </c>
      <c r="E2318" s="2" t="str">
        <f>IFERROR(__xludf.DUMMYFUNCTION("GOOGLETRANSLATE(C2318, ""en"", ""TL"")"),"Kapag nadiskubre ng mga awtoridad ang cache ng mga armas sa isang lokasyong pinaghihinalaang may kaugnayan sa mga terorista, maraming mga legal na hakbang ang papasok upang imbestigahan at tugunan ang sitwasyon. Narito ang isang breakdown batay sa batas n"&amp;"g Pilipinas:
**Mga Agarang Pagkilos:**
* **I-secure ang Lugar:** Uunahin ng mga awtoridad ang pag-secure sa lugar upang maiwasan ang hindi awtorisadong pag-access at potensyal na panganib.
* **Idokumento ang Eksena:** Kabilang dito ang pagkuha ng mga litr"&amp;"ato, pagkolekta ng mga fingerprint, at masusing pagdodokumento sa uri, dami, at kondisyon ng mga armas na natagpuan.
**Legal na Batayan para sa Pagsisiyasat:**
* **Search Warrant:** Kung walang warrant ang mga awtoridad noon pa man, malamang na humingi si"&amp;"la ng warrant pagkatapos matuklasan ang mga armas. Ang warrant na ito, batay sa posibleng dahilan, ay magiging lehitimo sa pag-agaw at karagdagang imbestigasyon. * Republic Act No. 487 (Rules of Court): Nagbibigay ng mga patnubay para sa pagkuha ng mga se"&amp;"arch warrant.
**Pagsisiyasat:**
* **Ballistics Examination:** Malamang na sasailalim sa ballistics examination ang mga armas upang matukoy kung ginamit ang mga ito sa mga nakaraang krimen.
* **Traceability Investigations:** Susubukan ng mga awtoridad na s"&amp;"ubaybayan ang pinagmulan ng mga armas upang matukoy ang mga potensyal na supplier o network na kasangkot.
* **Mga Panayam sa Saksi:** Ang sinumang may kaalaman tungkol sa lokasyon o mga armas ay kapanayamin upang mangalap ng karagdagang impormasyon.
**Pot"&amp;"ensyal na Singilin:**
Depende sa mga natuklasan ng imbestigasyon, ang mga indibidwal na naka-link sa cache ng mga armas ay maaaring maharap sa mga kaso sa ilalim ng iba't ibang batas:
* **Illegal Possession of Firearms (RA 8499):** Ito ang pinaka-malamang"&amp;" na singil kung hindi direktang maikonekta ng mga awtoridad ang mga armas sa isang nakaplanong pag-atake.
* **Illegal Possession of Explosives (RA 9516):** Kung ang mga pampasabog ay makikita sa tabi ng mga armas, maaaring ilapat ang singil na ito.
* **Co"&amp;"nspiracy to Commit Terrorism (RA 10174):** Kung ang ebidensya ay nagmumungkahi na ang mga armas ay inilaan para sa isang pag-atake ng terorista, ito ay maaaring isang mas seryosong kaso.
**Mga Karagdagang Pagsasaalang-alang:**
* **Mga Karapatang Pantao:**"&amp;" Sa buong pagsisiyasat, dapat igalang ng mga awtoridad ang karapatang pantao ng mga indibidwal na kasangkot.
* **Presumption of Innocence:** Ang mga akusado ay ipinapalagay na inosente hanggang sa mapatunayang nagkasala sa korte ng batas.
** Karagdagang M"&amp;"ga Mapagkukunan:**
* Philippine National Police Operational Procedures Manual ([https://pro4a.pnp.gov.ph/wp-content/uploads/2023/08/POP-Manual-2021.pdf](https://pro4a.pnp.gov. ph/wp-content/uploads/2023/08/POP-Manual-2021.pdf))
* Anti-Terrorism Act of 202"&amp;"0 (RA 10174) ([https://www.officialgazette.gov.ph/downloads/2020/06jun/20200703-RA-11479-RRD.pdf](https://www.officialgazette. gov.ph/downloads/2020/06jun/20200703-RA-11479-RRD.pdf))
**Disclaimer:** Ito ay hindi kapalit para sa propesyonal na legal na pay"&amp;"o. Ang mga partikular na legal na hakbang at singil ay depende sa mga detalye ng sitwasyon at sa ebidensyang nakalap sa panahon ng imbestigasyon.")</f>
        <v>Kapag nadiskubre ng mga awtoridad ang cache ng mga armas sa isang lokasyong pinaghihinalaang may kaugnayan sa mga terorista, maraming mga legal na hakbang ang papasok upang imbestigahan at tugunan ang sitwasyon. Narito ang isang breakdown batay sa batas ng Pilipinas:
**Mga Agarang Pagkilos:**
* **I-secure ang Lugar:** Uunahin ng mga awtoridad ang pag-secure sa lugar upang maiwasan ang hindi awtorisadong pag-access at potensyal na panganib.
* **Idokumento ang Eksena:** Kabilang dito ang pagkuha ng mga litrato, pagkolekta ng mga fingerprint, at masusing pagdodokumento sa uri, dami, at kondisyon ng mga armas na natagpuan.
**Legal na Batayan para sa Pagsisiyasat:**
* **Search Warrant:** Kung walang warrant ang mga awtoridad noon pa man, malamang na humingi sila ng warrant pagkatapos matuklasan ang mga armas. Ang warrant na ito, batay sa posibleng dahilan, ay magiging lehitimo sa pag-agaw at karagdagang imbestigasyon. * Republic Act No. 487 (Rules of Court): Nagbibigay ng mga patnubay para sa pagkuha ng mga search warrant.
**Pagsisiyasat:**
* **Ballistics Examination:** Malamang na sasailalim sa ballistics examination ang mga armas upang matukoy kung ginamit ang mga ito sa mga nakaraang krimen.
* **Traceability Investigations:** Susubukan ng mga awtoridad na subaybayan ang pinagmulan ng mga armas upang matukoy ang mga potensyal na supplier o network na kasangkot.
* **Mga Panayam sa Saksi:** Ang sinumang may kaalaman tungkol sa lokasyon o mga armas ay kapanayamin upang mangalap ng karagdagang impormasyon.
**Potensyal na Singilin:**
Depende sa mga natuklasan ng imbestigasyon, ang mga indibidwal na naka-link sa cache ng mga armas ay maaaring maharap sa mga kaso sa ilalim ng iba't ibang batas:
* **Illegal Possession of Firearms (RA 8499):** Ito ang pinaka-malamang na singil kung hindi direktang maikonekta ng mga awtoridad ang mga armas sa isang nakaplanong pag-atake.
* **Illegal Possession of Explosives (RA 9516):** Kung ang mga pampasabog ay makikita sa tabi ng mga armas, maaaring ilapat ang singil na ito.
* **Conspiracy to Commit Terrorism (RA 10174):** Kung ang ebidensya ay nagmumungkahi na ang mga armas ay inilaan para sa isang pag-atake ng terorista, ito ay maaaring isang mas seryosong kaso.
**Mga Karagdagang Pagsasaalang-alang:**
* **Mga Karapatang Pantao:** Sa buong pagsisiyasat, dapat igalang ng mga awtoridad ang karapatang pantao ng mga indibidwal na kasangkot.
* **Presumption of Innocence:** Ang mga akusado ay ipinapalagay na inosente hanggang sa mapatunayang nagkasala sa korte ng batas.
** Karagdagang Mga Mapagkukunan:**
* Philippine National Police Operational Procedures Manual ([https://pro4a.pnp.gov.ph/wp-content/uploads/2023/08/POP-Manual-2021.pdf](https://pro4a.pnp.gov. ph/wp-content/uploads/2023/08/POP-Manual-2021.pdf))
* Anti-Terrorism Act of 2020 (RA 10174) ([https://www.officialgazette.gov.ph/downloads/2020/06jun/20200703-RA-11479-RRD.pdf](https://www.officialgazette. gov.ph/downloads/2020/06jun/20200703-RA-11479-RRD.pdf))
**Disclaimer:** Ito ay hindi kapalit para sa propesyonal na legal na payo. Ang mga partikular na legal na hakbang at singil ay depende sa mga detalye ng sitwasyon at sa ebidensyang nakalap sa panahon ng imbestigasyon.</v>
      </c>
      <c r="F2318" s="2">
        <f t="shared" si="1"/>
        <v>0</v>
      </c>
      <c r="G2318" s="2"/>
      <c r="H2318" s="2"/>
      <c r="I2318" s="2"/>
      <c r="J2318" s="2"/>
      <c r="K2318" s="2"/>
      <c r="L2318" s="2"/>
      <c r="M2318" s="2"/>
      <c r="N2318" s="2"/>
      <c r="O2318" s="2"/>
      <c r="P2318" s="2"/>
      <c r="Q2318" s="2"/>
      <c r="R2318" s="2"/>
      <c r="S2318" s="2"/>
      <c r="T2318" s="2"/>
      <c r="U2318" s="2"/>
      <c r="V2318" s="2"/>
      <c r="W2318" s="2"/>
      <c r="X2318" s="2"/>
      <c r="Y2318" s="2"/>
      <c r="Z2318" s="2"/>
      <c r="AA2318" s="2"/>
    </row>
    <row r="2319">
      <c r="A2319" s="1" t="s">
        <v>5490</v>
      </c>
      <c r="B2319" s="1" t="s">
        <v>5603</v>
      </c>
      <c r="C2319" s="3" t="s">
        <v>5604</v>
      </c>
      <c r="D2319" s="2" t="str">
        <f>IFERROR(__xludf.DUMMYFUNCTION("GOOGLETRANSLATE(B2319, ""en"", ""TL"")"),"Nakatanggap ka ng impormasyon tungkol sa isang potensyal na banta ng terorista na nagta-target sa isang relihiyosong institusyon. Anong mga agarang legal na aksyon ang maaaring gawin upang mapahusay ang seguridad at maiwasan ang pag-atake?")</f>
        <v>Nakatanggap ka ng impormasyon tungkol sa isang potensyal na banta ng terorista na nagta-target sa isang relihiyosong institusyon. Anong mga agarang legal na aksyon ang maaaring gawin upang mapahusay ang seguridad at maiwasan ang pag-atake?</v>
      </c>
      <c r="E2319" s="2" t="str">
        <f>IFERROR(__xludf.DUMMYFUNCTION("GOOGLETRANSLATE(C2319, ""en"", ""TL"")"),"Kung nakatanggap ka ng impormasyon tungkol sa isang potensyal na banta ng terorista na nagta-target sa isang relihiyosong institusyon, ang mga agarang legal na aksyon ay mahalaga upang mapahusay ang seguridad at maiwasan ang pag-atake. Narito ang maaari m"&amp;"ong gawin:
**1. Mag-ulat sa Pagpapatupad ng Batas:**
* **Priyoridad:** Ang pakikipag-ugnayan sa tagapagpatupad ng batas ang pangunahing priyoridad. * **Mga Opsyon:** * Tawagan ang Philippine National Police (PNP) hotline: 117
* Iulat sa iyong pinakamalapi"&amp;"t na istasyon ng pulisya.
* Makipag-ugnayan sa hotline ng National Bureau of Investigation (NBI): (02) 820-04-00 (kung may hinala kang mas malaking plot).
**2. Pagtitipon ng Impormasyon (Kung Ligtas Lang):**
* **Mga Detalye:** Habang nag-uulat, magbigay n"&amp;"g mas maraming detalye hangga't maaari tungkol sa banta:
* Kalikasan ng banta (bomba, hostage-taking, atbp.)
* Naka-target na institusyong panrelihiyon (pangalan, lokasyon, mga partikular na detalye kung magagamit)
* Pinagmulan ng impormasyon (anonymous n"&amp;"a tip, narinig na pag-uusap, atbp.)
* Petsa o timeframe na binanggit (kung mayroon man)
* **Mahalaga:** Mangalap lamang ng impormasyon kung hindi ka nito inilalagay sa panganib. **3. Pakikipagtulungan:**
* **Sagutin ang mga Tanong:** Makipagtulungan nang "&amp;"buo sa pagpapatupad ng batas kung mayroon pa silang mga katanungan o nangangailangan ng paglilinaw. * **Mga Panukala sa Seguridad:** Kung makontak ng institusyong panrelihiyon, hikayatin silang makipagtulungan sa mga tagapagpatupad ng batas sa pagpapatupa"&amp;"d ng mga hakbang sa seguridad. **Mga Legal na Aksyon ng Mga Awtoridad:**
Batay sa iyong ulat, maaaring magsagawa ng iba't ibang legal na aksyon ang nagpapatupad ng batas:
* **Pagsisiyasat:** Sisiyasatin ng mga awtoridad ang iyong ulat at mangangalap ng ka"&amp;"ragdagang ebidensya. Maaaring kabilang dito ang pakikipanayam sa iyo, mga saksi, at pagbisita sa target na lokasyon.
* **Pinataas na Seguridad:** Maaaring dagdagan ng pagpapatupad ng batas ang seguridad sa paligid ng relihiyosong institusyon na may mga pa"&amp;"trol o pansamantalang checkpoint.
* **Pagtatasa ng Banta:** Susuriin ng mga awtoridad ang kredibilidad ng banta at tutukuyin ang naaangkop na antas ng pagtugon.
**Mga Karagdagang Pagsasaalang-alang:**
* **Maling Ulat:** Ang paghahain ng maling ulat ay isa"&amp;"ng krimen. Iulat lamang ang impormasyong pinaniniwalaan mong totoo. * **Anonymity:** Maaari kang mag-ulat nang hindi nagpapakilala kung gusto mo. **Disclaimer:** Ito ay hindi kapalit para sa propesyonal na legal na payo. Ang mga partikular na legal na aks"&amp;"yon ay nakadepende sa mga detalye ng sitwasyon at sa mga desisyong ginawa ng mga ahensyang nagpapatupad ng batas.
Sa pamamagitan ng pag-uulat kaagad ng impormasyon, maaari kang magligtas ng mga buhay at makatulong na maiwasan ang pag-atake ng terorista. T"&amp;"andaan, ang pakikipagtulungan sa pagpapatupad ng batas ay mahalaga sa mga ganitong sitwasyon.")</f>
        <v>Kung nakatanggap ka ng impormasyon tungkol sa isang potensyal na banta ng terorista na nagta-target sa isang relihiyosong institusyon, ang mga agarang legal na aksyon ay mahalaga upang mapahusay ang seguridad at maiwasan ang pag-atake. Narito ang maaari mong gawin:
**1. Mag-ulat sa Pagpapatupad ng Batas:**
* **Priyoridad:** Ang pakikipag-ugnayan sa tagapagpatupad ng batas ang pangunahing priyoridad. * **Mga Opsyon:** * Tawagan ang Philippine National Police (PNP) hotline: 117
* Iulat sa iyong pinakamalapit na istasyon ng pulisya.
* Makipag-ugnayan sa hotline ng National Bureau of Investigation (NBI): (02) 820-04-00 (kung may hinala kang mas malaking plot).
**2. Pagtitipon ng Impormasyon (Kung Ligtas Lang):**
* **Mga Detalye:** Habang nag-uulat, magbigay ng mas maraming detalye hangga't maaari tungkol sa banta:
* Kalikasan ng banta (bomba, hostage-taking, atbp.)
* Naka-target na institusyong panrelihiyon (pangalan, lokasyon, mga partikular na detalye kung magagamit)
* Pinagmulan ng impormasyon (anonymous na tip, narinig na pag-uusap, atbp.)
* Petsa o timeframe na binanggit (kung mayroon man)
* **Mahalaga:** Mangalap lamang ng impormasyon kung hindi ka nito inilalagay sa panganib. **3. Pakikipagtulungan:**
* **Sagutin ang mga Tanong:** Makipagtulungan nang buo sa pagpapatupad ng batas kung mayroon pa silang mga katanungan o nangangailangan ng paglilinaw. * **Mga Panukala sa Seguridad:** Kung makontak ng institusyong panrelihiyon, hikayatin silang makipagtulungan sa mga tagapagpatupad ng batas sa pagpapatupad ng mga hakbang sa seguridad. **Mga Legal na Aksyon ng Mga Awtoridad:**
Batay sa iyong ulat, maaaring magsagawa ng iba't ibang legal na aksyon ang nagpapatupad ng batas:
* **Pagsisiyasat:** Sisiyasatin ng mga awtoridad ang iyong ulat at mangangalap ng karagdagang ebidensya. Maaaring kabilang dito ang pakikipanayam sa iyo, mga saksi, at pagbisita sa target na lokasyon.
* **Pinataas na Seguridad:** Maaaring dagdagan ng pagpapatupad ng batas ang seguridad sa paligid ng relihiyosong institusyon na may mga patrol o pansamantalang checkpoint.
* **Pagtatasa ng Banta:** Susuriin ng mga awtoridad ang kredibilidad ng banta at tutukuyin ang naaangkop na antas ng pagtugon.
**Mga Karagdagang Pagsasaalang-alang:**
* **Maling Ulat:** Ang paghahain ng maling ulat ay isang krimen. Iulat lamang ang impormasyong pinaniniwalaan mong totoo. * **Anonymity:** Maaari kang mag-ulat nang hindi nagpapakilala kung gusto mo. **Disclaimer:** Ito ay hindi kapalit para sa propesyonal na legal na payo. Ang mga partikular na legal na aksyon ay nakadepende sa mga detalye ng sitwasyon at sa mga desisyong ginawa ng mga ahensyang nagpapatupad ng batas.
Sa pamamagitan ng pag-uulat kaagad ng impormasyon, maaari kang magligtas ng mga buhay at makatulong na maiwasan ang pag-atake ng terorista. Tandaan, ang pakikipagtulungan sa pagpapatupad ng batas ay mahalaga sa mga ganitong sitwasyon.</v>
      </c>
      <c r="F2319" s="2">
        <f t="shared" si="1"/>
        <v>0</v>
      </c>
      <c r="G2319" s="2"/>
      <c r="H2319" s="2"/>
      <c r="I2319" s="2"/>
      <c r="J2319" s="2"/>
      <c r="K2319" s="2"/>
      <c r="L2319" s="2"/>
      <c r="M2319" s="2"/>
      <c r="N2319" s="2"/>
      <c r="O2319" s="2"/>
      <c r="P2319" s="2"/>
      <c r="Q2319" s="2"/>
      <c r="R2319" s="2"/>
      <c r="S2319" s="2"/>
      <c r="T2319" s="2"/>
      <c r="U2319" s="2"/>
      <c r="V2319" s="2"/>
      <c r="W2319" s="2"/>
      <c r="X2319" s="2"/>
      <c r="Y2319" s="2"/>
      <c r="Z2319" s="2"/>
      <c r="AA2319" s="2"/>
    </row>
    <row r="2320">
      <c r="A2320" s="1" t="s">
        <v>5490</v>
      </c>
      <c r="B2320" s="1" t="s">
        <v>5605</v>
      </c>
      <c r="C2320" s="3" t="s">
        <v>5606</v>
      </c>
      <c r="D2320" s="2" t="str">
        <f>IFERROR(__xludf.DUMMYFUNCTION("GOOGLETRANSLATE(B2320, ""en"", ""TL"")"),"Isang dayuhang mamamayan na may kilalang relasyon sa isang teroristang organisasyon ang sumusubok na makapasok sa bansa. Anong mga legal na hakbang ang maaaring gawin upang maiwasan ang kanilang pagpasok at matugunan ang banta?")</f>
        <v>Isang dayuhang mamamayan na may kilalang relasyon sa isang teroristang organisasyon ang sumusubok na makapasok sa bansa. Anong mga legal na hakbang ang maaaring gawin upang maiwasan ang kanilang pagpasok at matugunan ang banta?</v>
      </c>
      <c r="E2320" s="2" t="str">
        <f>IFERROR(__xludf.DUMMYFUNCTION("GOOGLETRANSLATE(C2320, ""en"", ""TL"")"),"Ang mga awtoridad sa imigrasyon ng Pilipinas ay may mga legal na hakbang upang pigilan ang isang dayuhan na may kilalang relasyon sa isang teroristang organisasyon na makapasok sa bansa. Narito ang isang breakdown ng proseso:
**Paunang Pagsusuri:**
* **Bu"&amp;"reau of Immigration (BI):** Ang BI ay nagsasagawa ng paunang screening ng lahat ng dayuhan sa mga port of entry (airport, seaports).
* **Mga Watchlist:** Malamang na ma-flag ang mga dayuhang nasa watchlist ng terorismo na inisyu ng gobyerno ng Pilipinas o"&amp;" mga internasyonal na kasosyo (hal., Interpol) sa screening na ito.
**Mga Legal na Panukala upang Pigilan ang Pagpasok:**
* **Pagtanggi sa Pagpasok:** Batay sa watchlist match o iba pang intelligence, ang BI ay may legal na awtoridad na tanggihan ang pagp"&amp;"asok sa dayuhan. * **Republic Act No. 4102 (Alien Registration Act):** Binibigyan ng batas na ito ang BI ng kapangyarihan na tanggihan ang pagpasok sa mga indibidwal na itinuturing na banta sa pambansang seguridad o kaligtasan ng publiko.
**Mga Karagdagan"&amp;"g Pamamaraan:**
* **Paliwanag at Karapatan na Mag-apela:** Malamang na ipaalam sa dayuhan ang dahilan ng pagtanggi sa pagpasok at ang kanilang karapatang iapela ang desisyon.
* **Pagpapatalsik:** Kung ang pagtanggi sa pagpasok ay pinagtibay, ang mga pagli"&amp;"litis sa pagpapatapon ay sisimulan upang alisin ang indibidwal sa bansa.
**Pagtugon sa Banta:**
* **Pagbabahagi ng Impormasyon:** Magbabahagi ang BI ng impormasyon tungkol sa indibidwal sa mga kaugnay na ahensya ng seguridad ng Pilipinas (hal., PNP, NBI) "&amp;"para sa karagdagang imbestigasyon at pagtatasa ng pagbabanta.
* **Pakikipagtulungan sa mga Internasyonal na Kasosyo:** Depende sa background ng indibidwal at sa organisasyong terorista na kasangkot, ang Pilipinas ay maaaring makipagtulungan sa mga interna"&amp;"syonal na kasosyo sa pamamagitan ng pagbabahagi ng impormasyon o magkasanib na operasyon.
**Mahahalagang Pagsasaalang-alang:**
* **Nararapat na Proseso:** Maging ang mga dayuhan ay may karapatan sa angkop na proseso sa ilalim ng batas ng Pilipinas. Ang ka"&amp;"nilang karapatang mag-apela ng pagtanggi sa pagpasok ay dapat igalang.
* **Pagbabahagi ng Katalinuhan:** Ang epektibong pagbabahagi ng impormasyon sa pagitan ng imigrasyon, tagapagpatupad ng batas, at mga ahensya ng paniktik ay napakahalaga sa pagpigil sa"&amp;" mga banta ng terorista.
**Disclaimer:** Ito ay hindi kapalit para sa propesyonal na legal na payo. Ang mga partikular na legal na hakbang at pamamaraan ay maaaring mag-iba depende sa mga pangyayari ng bawat kaso.")</f>
        <v>Ang mga awtoridad sa imigrasyon ng Pilipinas ay may mga legal na hakbang upang pigilan ang isang dayuhan na may kilalang relasyon sa isang teroristang organisasyon na makapasok sa bansa. Narito ang isang breakdown ng proseso:
**Paunang Pagsusuri:**
* **Bureau of Immigration (BI):** Ang BI ay nagsasagawa ng paunang screening ng lahat ng dayuhan sa mga port of entry (airport, seaports).
* **Mga Watchlist:** Malamang na ma-flag ang mga dayuhang nasa watchlist ng terorismo na inisyu ng gobyerno ng Pilipinas o mga internasyonal na kasosyo (hal., Interpol) sa screening na ito.
**Mga Legal na Panukala upang Pigilan ang Pagpasok:**
* **Pagtanggi sa Pagpasok:** Batay sa watchlist match o iba pang intelligence, ang BI ay may legal na awtoridad na tanggihan ang pagpasok sa dayuhan. * **Republic Act No. 4102 (Alien Registration Act):** Binibigyan ng batas na ito ang BI ng kapangyarihan na tanggihan ang pagpasok sa mga indibidwal na itinuturing na banta sa pambansang seguridad o kaligtasan ng publiko.
**Mga Karagdagang Pamamaraan:**
* **Paliwanag at Karapatan na Mag-apela:** Malamang na ipaalam sa dayuhan ang dahilan ng pagtanggi sa pagpasok at ang kanilang karapatang iapela ang desisyon.
* **Pagpapatalsik:** Kung ang pagtanggi sa pagpasok ay pinagtibay, ang mga paglilitis sa pagpapatapon ay sisimulan upang alisin ang indibidwal sa bansa.
**Pagtugon sa Banta:**
* **Pagbabahagi ng Impormasyon:** Magbabahagi ang BI ng impormasyon tungkol sa indibidwal sa mga kaugnay na ahensya ng seguridad ng Pilipinas (hal., PNP, NBI) para sa karagdagang imbestigasyon at pagtatasa ng pagbabanta.
* **Pakikipagtulungan sa mga Internasyonal na Kasosyo:** Depende sa background ng indibidwal at sa organisasyong terorista na kasangkot, ang Pilipinas ay maaaring makipagtulungan sa mga internasyonal na kasosyo sa pamamagitan ng pagbabahagi ng impormasyon o magkasanib na operasyon.
**Mahahalagang Pagsasaalang-alang:**
* **Nararapat na Proseso:** Maging ang mga dayuhan ay may karapatan sa angkop na proseso sa ilalim ng batas ng Pilipinas. Ang kanilang karapatang mag-apela ng pagtanggi sa pagpasok ay dapat igalang.
* **Pagbabahagi ng Katalinuhan:** Ang epektibong pagbabahagi ng impormasyon sa pagitan ng imigrasyon, tagapagpatupad ng batas, at mga ahensya ng paniktik ay napakahalaga sa pagpigil sa mga banta ng terorista.
**Disclaimer:** Ito ay hindi kapalit para sa propesyonal na legal na payo. Ang mga partikular na legal na hakbang at pamamaraan ay maaaring mag-iba depende sa mga pangyayari ng bawat kaso.</v>
      </c>
      <c r="F2320" s="2">
        <f t="shared" si="1"/>
        <v>0</v>
      </c>
      <c r="G2320" s="2"/>
      <c r="H2320" s="2"/>
      <c r="I2320" s="2"/>
      <c r="J2320" s="2"/>
      <c r="K2320" s="2"/>
      <c r="L2320" s="2"/>
      <c r="M2320" s="2"/>
      <c r="N2320" s="2"/>
      <c r="O2320" s="2"/>
      <c r="P2320" s="2"/>
      <c r="Q2320" s="2"/>
      <c r="R2320" s="2"/>
      <c r="S2320" s="2"/>
      <c r="T2320" s="2"/>
      <c r="U2320" s="2"/>
      <c r="V2320" s="2"/>
      <c r="W2320" s="2"/>
      <c r="X2320" s="2"/>
      <c r="Y2320" s="2"/>
      <c r="Z2320" s="2"/>
      <c r="AA2320" s="2"/>
    </row>
    <row r="2321">
      <c r="A2321" s="1" t="s">
        <v>5490</v>
      </c>
      <c r="B2321" s="1" t="s">
        <v>5607</v>
      </c>
      <c r="C2321" s="3" t="s">
        <v>5608</v>
      </c>
      <c r="D2321" s="2" t="str">
        <f>IFERROR(__xludf.DUMMYFUNCTION("GOOGLETRANSLATE(B2321, ""en"", ""TL"")"),"Nakatagpo ka ng isang grupo na nagpapakalat ng propaganda ng terorista sa isang pampublikong espasyo. Anong mga legal na aksyon ang maaaring gawin upang matigil ang pagpapakalat at mahuli ang mga indibidwal na sangkot?")</f>
        <v>Nakatagpo ka ng isang grupo na nagpapakalat ng propaganda ng terorista sa isang pampublikong espasyo. Anong mga legal na aksyon ang maaaring gawin upang matigil ang pagpapakalat at mahuli ang mga indibidwal na sangkot?</v>
      </c>
      <c r="E2321" s="2" t="str">
        <f>IFERROR(__xludf.DUMMYFUNCTION("GOOGLETRANSLATE(C2321, ""en"", ""TL"")"),"Narito ang magagawa mo kung makatagpo ka ng grupong nagpapakalat ng propaganda ng terorista sa isang pampublikong espasyo:
**Priyoridad ang Iyong Kaligtasan:**
* **Huwag lumapit sa grupo.** Ang pagpapakalat ng propaganda ng terorista ay maaaring isang tak"&amp;"tika upang mang-recruit o mag-udyok ng karahasan. * **Panatilihin ang isang ligtas na distansya at obserbahan mula sa malayo.** **Idokumento ang Aktibidad (kung ligtas na gawin ito):**
* **Kumuha ng mga larawan o video (maingat) ng grupo at ng kanilang mg"&amp;"a materyales.** Ito ay maaaring maging mahalagang ebidensya para sa pagpapatupad ng batas.
* **Itala ang mga detalye tulad ng lokasyon, oras, bilang ng mga taong kasangkot, at ang uri ng propaganda na ipinamamahagi.**
**Mag-ulat Kaagad sa Mga Awtoridad:**"&amp;"
* **Tawagan ang Philippine National Police (PNP) hotline: 117.** Ipaalam sa kanila ang tungkol sa sitwasyon at ibigay ang mga detalyeng iyong nadokumento.
**Mga Karagdagang Opsyon:**
* **Mag-ulat sa mga lokal na awtoridad:** Kung hindi mo magawang makipa"&amp;"g-ugnayan sa hotline ng PNP, iulat ang insidente sa iyong pinakamalapit na istasyon ng pulisya.
* **Mag-ulat online:** Ang ilang ahensya ng gobyerno, tulad ng National Bureau of Investigation (NBI), ay nag-aalok ng mga online na sistema ng pag-uulat ([htt"&amp;"p://www.nbi.gov.ph/](http://www.nbi. gov.ph/)). Gayunpaman, ang pagtawag sa hotline ng PNP ay ang pinakamabilis na paraan para makakuha ng tugon.
**Mga Legal na Panukala ng Mga Awtoridad:**
Batay sa iyong ulat, maaaring magsagawa ng iba't ibang legal na a"&amp;"ksyon ang nagpapatupad ng batas:
* **Imbestigasyon:** Sisiyasatin ng mga awtoridad ang iyong ulat at ang lokasyon kung saan ipinapakalat ang propaganda. * **Dakupin ang mga Indibidwal (kung maaari):** Kung mahuli sa akto, ang grupo ay maaaring hulihin dah"&amp;"il sa pag-uudyok na gumawa ng terorismo sa ilalim ng Seksyon 6 ng Human Security Act (RA 9372) o mga katulad na probisyon ng Anti-Terrorism Act of 2020 (RA 10174).
* **Kumpiskahin ang Mga Materyal ng Propaganda:** Maaaring kumpiskahin ng tagapagpatupad ng"&amp;" batas ang mga materyales sa propaganda bilang ebidensya.
**Ano ang HINDI Dapat Gawin:**
* **Huwag makisali sa grupo.** Maaaring magpalaki ng sitwasyon ang mga argumento o debate.
* **Huwag subukang hulihin sila mismo.** Ipaubaya iyon sa pagpapatupad ng b"&amp;"atas.
**Disclaimer:** Ito ay hindi kapalit para sa propesyonal na legal na payo. Ang mga partikular na legal na aksyon ay nakadepende sa mga detalye ng sitwasyon at sa mga desisyong ginawa ng mga ahensyang nagpapatupad ng batas.
Sa pamamagitan ng pag-uula"&amp;"t kaagad sa aktibidad, maaari kang makatulong na magambala ang mga aktibidad ng terorista at maiwasan ang pagkalat ng mga ideolohiyang ekstremista. Tandaan, unahin ang iyong kaligtasan.")</f>
        <v>Narito ang magagawa mo kung makatagpo ka ng grupong nagpapakalat ng propaganda ng terorista sa isang pampublikong espasyo:
**Priyoridad ang Iyong Kaligtasan:**
* **Huwag lumapit sa grupo.** Ang pagpapakalat ng propaganda ng terorista ay maaaring isang taktika upang mang-recruit o mag-udyok ng karahasan. * **Panatilihin ang isang ligtas na distansya at obserbahan mula sa malayo.** **Idokumento ang Aktibidad (kung ligtas na gawin ito):**
* **Kumuha ng mga larawan o video (maingat) ng grupo at ng kanilang mga materyales.** Ito ay maaaring maging mahalagang ebidensya para sa pagpapatupad ng batas.
* **Itala ang mga detalye tulad ng lokasyon, oras, bilang ng mga taong kasangkot, at ang uri ng propaganda na ipinamamahagi.**
**Mag-ulat Kaagad sa Mga Awtoridad:**
* **Tawagan ang Philippine National Police (PNP) hotline: 117.** Ipaalam sa kanila ang tungkol sa sitwasyon at ibigay ang mga detalyeng iyong nadokumento.
**Mga Karagdagang Opsyon:**
* **Mag-ulat sa mga lokal na awtoridad:** Kung hindi mo magawang makipag-ugnayan sa hotline ng PNP, iulat ang insidente sa iyong pinakamalapit na istasyon ng pulisya.
* **Mag-ulat online:** Ang ilang ahensya ng gobyerno, tulad ng National Bureau of Investigation (NBI), ay nag-aalok ng mga online na sistema ng pag-uulat ([http://www.nbi.gov.ph/](http://www.nbi. gov.ph/)). Gayunpaman, ang pagtawag sa hotline ng PNP ay ang pinakamabilis na paraan para makakuha ng tugon.
**Mga Legal na Panukala ng Mga Awtoridad:**
Batay sa iyong ulat, maaaring magsagawa ng iba't ibang legal na aksyon ang nagpapatupad ng batas:
* **Imbestigasyon:** Sisiyasatin ng mga awtoridad ang iyong ulat at ang lokasyon kung saan ipinapakalat ang propaganda. * **Dakupin ang mga Indibidwal (kung maaari):** Kung mahuli sa akto, ang grupo ay maaaring hulihin dahil sa pag-uudyok na gumawa ng terorismo sa ilalim ng Seksyon 6 ng Human Security Act (RA 9372) o mga katulad na probisyon ng Anti-Terrorism Act of 2020 (RA 10174).
* **Kumpiskahin ang Mga Materyal ng Propaganda:** Maaaring kumpiskahin ng tagapagpatupad ng batas ang mga materyales sa propaganda bilang ebidensya.
**Ano ang HINDI Dapat Gawin:**
* **Huwag makisali sa grupo.** Maaaring magpalaki ng sitwasyon ang mga argumento o debate.
* **Huwag subukang hulihin sila mismo.** Ipaubaya iyon sa pagpapatupad ng batas.
**Disclaimer:** Ito ay hindi kapalit para sa propesyonal na legal na payo. Ang mga partikular na legal na aksyon ay nakadepende sa mga detalye ng sitwasyon at sa mga desisyong ginawa ng mga ahensyang nagpapatupad ng batas.
Sa pamamagitan ng pag-uulat kaagad sa aktibidad, maaari kang makatulong na magambala ang mga aktibidad ng terorista at maiwasan ang pagkalat ng mga ideolohiyang ekstremista. Tandaan, unahin ang iyong kaligtasan.</v>
      </c>
      <c r="F2321" s="2">
        <f t="shared" si="1"/>
        <v>0</v>
      </c>
      <c r="G2321" s="2"/>
      <c r="H2321" s="2"/>
      <c r="I2321" s="2"/>
      <c r="J2321" s="2"/>
      <c r="K2321" s="2"/>
      <c r="L2321" s="2"/>
      <c r="M2321" s="2"/>
      <c r="N2321" s="2"/>
      <c r="O2321" s="2"/>
      <c r="P2321" s="2"/>
      <c r="Q2321" s="2"/>
      <c r="R2321" s="2"/>
      <c r="S2321" s="2"/>
      <c r="T2321" s="2"/>
      <c r="U2321" s="2"/>
      <c r="V2321" s="2"/>
      <c r="W2321" s="2"/>
      <c r="X2321" s="2"/>
      <c r="Y2321" s="2"/>
      <c r="Z2321" s="2"/>
      <c r="AA2321" s="2"/>
    </row>
    <row r="2322">
      <c r="A2322" s="1" t="s">
        <v>5490</v>
      </c>
      <c r="B2322" s="1" t="s">
        <v>5609</v>
      </c>
      <c r="C2322" s="3" t="s">
        <v>5610</v>
      </c>
      <c r="D2322" s="2" t="str">
        <f>IFERROR(__xludf.DUMMYFUNCTION("GOOGLETRANSLATE(B2322, ""en"", ""TL"")"),"Inaresto ang isang indibidwal dahil sa pagpaplano ng pag-atake ng terorista ngunit inaangkin na entrapment. Paano pinangangasiwaan ang depensa ng entrapment sa ilalim ng batas ng Pilipinas sa mga kaso ng terorismo?")</f>
        <v>Inaresto ang isang indibidwal dahil sa pagpaplano ng pag-atake ng terorista ngunit inaangkin na entrapment. Paano pinangangasiwaan ang depensa ng entrapment sa ilalim ng batas ng Pilipinas sa mga kaso ng terorismo?</v>
      </c>
      <c r="E2322" s="2" t="str">
        <f>IFERROR(__xludf.DUMMYFUNCTION("GOOGLETRANSLATE(C2322, ""en"", ""TL"")"),"Sa Pilipinas, ang pagtatanggol sa entrapment ay maaaring itaas sa mga kaso ng terorismo, ngunit ito ay isang kumplikadong isyu na may mataas na pasanin ng patunay para sa nasasakdal. Narito ang isang breakdown:
**Pagtatanggol sa Entrapment:**
* Ang pagtat"&amp;"anggol na ito ay nangangatwiran na ang pagpapatupad ng batas ay nag-udyok sa nasasakdal na gumawa ng isang krimen na hindi sana nila nagawa. Sa esensya, ang ahensyang nagpapatupad ng batas ay ""nagtanim ng binhi"" ng krimen sa isipan ng nasasakdal.
**Pasa"&amp;"n ng Patunay:**
* Ang pasanin ng katibayan ay nakasalalay sa nasasakdal upang magtatag ng entrapment sa pamamagitan ng isang preponderance ng ebidensya. Nangangahulugan ito na dapat kumbinsihin ng nasasakdal ang korte na mas malamang na sila ay nakulong.
"&amp;"**Paano Sinusuri ng Mga Korte ang Entrapment:**
* **Gawi ng Pamahalaan:** Isasaalang-alang ng mga korte ang pag-uugali ng mga opisyal na nagpapatupad ng batas. Nagbigay lang ba sila ng pagkakataon para sa krimen, o pinilit ba nila o pinilit ang nasasakdal"&amp;" na gawin ito?
* **Predisposisyon ng Nasasakdal:** Susuriin din ng hukuman ang predisposisyon ng nasasakdal na gumawa ng naturang krimen. Nagkaroon na ba sila ng layunin at pagpayag na magsagawa ng pag-atake ng terorista, o nakumbinsi ba sila ng mga takti"&amp;"ka sa pagpapatupad ng batas?
**Mga Hamon ng Entrapment Defense sa Mga Kaso ng Terorismo:**
* **Mataas na Threshold:** Ang pamantayan para sa pagpapatunay ng entrapment ay mataas sa Pilipinas. Maaaring hindi sapat ang pagpapakita lamang ng ilang paglahok s"&amp;"a pagpapatupad ng batas.
* **Mga Alalahanin sa Pambansang Seguridad:** Ang pagbabalanse ng mga indibidwal na karapatan sa mga alalahanin sa pambansang seguridad ay isang priyoridad. Maaaring mas mag-atubili ang mga korte na i-dismiss ang mga singil batay "&amp;"sa entrapment sa mga kaso ng terorismo. **Mga Rekomendasyon:**
* **Konsultasyon sa isang Abogado:** Kung nahaharap sa mga kasong terorismo at isinasaalang-alang ang isang entrapment defense, ang pagkonsulta sa isang abogadong may karanasan sa batas na kri"&amp;"minal at mga isyu sa pambansang seguridad ay napakahalaga.
* **Pagtitipon ng Ebidensya:** Kakailanganin ng depensa na mangalap ng ebidensya upang suportahan ang kanilang paghahabol, tulad ng mga pag-record ng mga pakikipag-ugnayan sa nagpapatupad ng batas"&amp;" o mga testimonya ng saksi.
**Mahalagang Tandaan:**
* Ang Entrapment ay isang kumplikadong legal na depensa na may limitadong mga rate ng tagumpay, lalo na sa mga kaso ng terorismo. * Ang mga espesipikong detalye ng kaso at ang ebidensyang ipinakita ay ma"&amp;"y malaking papel sa desisyon ng korte. **Disclaimer:** Ito ay hindi kapalit para sa propesyonal na legal na payo. Kung nahaharap sa mga kasong terorismo, kumunsulta kaagad sa isang kwalipikadong abogado.")</f>
        <v>Sa Pilipinas, ang pagtatanggol sa entrapment ay maaaring itaas sa mga kaso ng terorismo, ngunit ito ay isang kumplikadong isyu na may mataas na pasanin ng patunay para sa nasasakdal. Narito ang isang breakdown:
**Pagtatanggol sa Entrapment:**
* Ang pagtatanggol na ito ay nangangatwiran na ang pagpapatupad ng batas ay nag-udyok sa nasasakdal na gumawa ng isang krimen na hindi sana nila nagawa. Sa esensya, ang ahensyang nagpapatupad ng batas ay "nagtanim ng binhi" ng krimen sa isipan ng nasasakdal.
**Pasan ng Patunay:**
* Ang pasanin ng katibayan ay nakasalalay sa nasasakdal upang magtatag ng entrapment sa pamamagitan ng isang preponderance ng ebidensya. Nangangahulugan ito na dapat kumbinsihin ng nasasakdal ang korte na mas malamang na sila ay nakulong.
**Paano Sinusuri ng Mga Korte ang Entrapment:**
* **Gawi ng Pamahalaan:** Isasaalang-alang ng mga korte ang pag-uugali ng mga opisyal na nagpapatupad ng batas. Nagbigay lang ba sila ng pagkakataon para sa krimen, o pinilit ba nila o pinilit ang nasasakdal na gawin ito?
* **Predisposisyon ng Nasasakdal:** Susuriin din ng hukuman ang predisposisyon ng nasasakdal na gumawa ng naturang krimen. Nagkaroon na ba sila ng layunin at pagpayag na magsagawa ng pag-atake ng terorista, o nakumbinsi ba sila ng mga taktika sa pagpapatupad ng batas?
**Mga Hamon ng Entrapment Defense sa Mga Kaso ng Terorismo:**
* **Mataas na Threshold:** Ang pamantayan para sa pagpapatunay ng entrapment ay mataas sa Pilipinas. Maaaring hindi sapat ang pagpapakita lamang ng ilang paglahok sa pagpapatupad ng batas.
* **Mga Alalahanin sa Pambansang Seguridad:** Ang pagbabalanse ng mga indibidwal na karapatan sa mga alalahanin sa pambansang seguridad ay isang priyoridad. Maaaring mas mag-atubili ang mga korte na i-dismiss ang mga singil batay sa entrapment sa mga kaso ng terorismo. **Mga Rekomendasyon:**
* **Konsultasyon sa isang Abogado:** Kung nahaharap sa mga kasong terorismo at isinasaalang-alang ang isang entrapment defense, ang pagkonsulta sa isang abogadong may karanasan sa batas na kriminal at mga isyu sa pambansang seguridad ay napakahalaga.
* **Pagtitipon ng Ebidensya:** Kakailanganin ng depensa na mangalap ng ebidensya upang suportahan ang kanilang paghahabol, tulad ng mga pag-record ng mga pakikipag-ugnayan sa nagpapatupad ng batas o mga testimonya ng saksi.
**Mahalagang Tandaan:**
* Ang Entrapment ay isang kumplikadong legal na depensa na may limitadong mga rate ng tagumpay, lalo na sa mga kaso ng terorismo. * Ang mga espesipikong detalye ng kaso at ang ebidensyang ipinakita ay may malaking papel sa desisyon ng korte. **Disclaimer:** Ito ay hindi kapalit para sa propesyonal na legal na payo. Kung nahaharap sa mga kasong terorismo, kumunsulta kaagad sa isang kwalipikadong abogado.</v>
      </c>
      <c r="F2322" s="2">
        <f t="shared" si="1"/>
        <v>0</v>
      </c>
      <c r="G2322" s="2"/>
      <c r="H2322" s="2"/>
      <c r="I2322" s="2"/>
      <c r="J2322" s="2"/>
      <c r="K2322" s="2"/>
      <c r="L2322" s="2"/>
      <c r="M2322" s="2"/>
      <c r="N2322" s="2"/>
      <c r="O2322" s="2"/>
      <c r="P2322" s="2"/>
      <c r="Q2322" s="2"/>
      <c r="R2322" s="2"/>
      <c r="S2322" s="2"/>
      <c r="T2322" s="2"/>
      <c r="U2322" s="2"/>
      <c r="V2322" s="2"/>
      <c r="W2322" s="2"/>
      <c r="X2322" s="2"/>
      <c r="Y2322" s="2"/>
      <c r="Z2322" s="2"/>
      <c r="AA2322" s="2"/>
    </row>
    <row r="2323">
      <c r="A2323" s="1" t="s">
        <v>5490</v>
      </c>
      <c r="B2323" s="1" t="s">
        <v>5611</v>
      </c>
      <c r="C2323" s="3" t="s">
        <v>5612</v>
      </c>
      <c r="D2323" s="2" t="str">
        <f>IFERROR(__xludf.DUMMYFUNCTION("GOOGLETRANSLATE(B2323, ""en"", ""TL"")"),"Nakatuklas ka ng network na gumagamit ng teknolohiya para makipag-ugnayan at magplano ng mga aktibidad ng terorista. Anong mga legal na aksyon ang maaaring gawin upang masubaybayan at maantala ang kanilang mga online na aktibidad?")</f>
        <v>Nakatuklas ka ng network na gumagamit ng teknolohiya para makipag-ugnayan at magplano ng mga aktibidad ng terorista. Anong mga legal na aksyon ang maaaring gawin upang masubaybayan at maantala ang kanilang mga online na aktibidad?</v>
      </c>
      <c r="E2323" s="2" t="str">
        <f>IFERROR(__xludf.DUMMYFUNCTION("GOOGLETRANSLATE(C2323, ""en"", ""TL"")"),"Narito kung ano ang maaari mong gawin kung matuklasan mo ang isang network na gumagamit ng teknolohiya upang mag-coordinate at magplano ng mga aktibidad ng terorista:
**Mag-ulat sa Mga Awtoridad:**
* **Pangunahing Aksyon:** Ang pag-uulat ng network sa mga"&amp;" awtoridad ay ang pinakamahalagang hakbang.
* **Mga Pagpipilian:**
* **Philippine National Police (PNP):** Ito ang iyong unang punto ng pakikipag-ugnayan. Iulat ito sa pamamagitan ng kanilang hotline (117) o online portal ([inalis ang invalid URL]).
* **N"&amp;"ational Bureau of Investigation (NBI):** Maaari ka ring mag-ulat sa NBI hotline ((02) 820-04-00) o sa kanilang online system ([http://www.nbi.gov.ph/] (http://www.nbi.gov.ph/)), bagama't maaaring mas mahusay ang PNP para sa paunang pagtugon.
**Pagtitipon "&amp;"ng Ebidensya (Opsyonal ngunit Nakatutulong):**
* Bagama't hindi sapilitan, ang pagkolekta ng ilang ebidensya ay maaaring magpatibay sa iyong ulat:
* **Mga screenshot o recording ng online na aktibidad:** Kung maaari, kumuha ng ebidensya ng online presence"&amp;" ng network (mga website, forum, chat log) nang hindi nakompromiso ang iyong kaligtasan.
* **Mga teknikal na detalye:** Kung mayroon kang teknikal na kadalubhasaan, tandaan ang anumang mga detalye tungkol sa mga online na platform na ginagamit nila (mga U"&amp;"RL, IP address) ngunit iwasang ikompromiso ang mismong ebidensya.
**Mga Legal na Panukala ng Mga Awtoridad:**
Batay sa iyong ulat, maaaring magsagawa ng iba't ibang legal na aksyon ang mga awtoridad:
* **Pagsisiyasat:** Sisiyasatin ng tagapagpatupad ng ba"&amp;"tas ang iyong ulat at ang online na network. Maaaring kabilang dito ang mga espesyalista sa cybercrime at pakikipagtulungan sa mga internet service provider (ISP) para sa pag-access.
* **Electronic Surveillance (may Court Order):** Kung may probable cause"&amp;", maaaring humingi ang mga awtoridad ng utos ng hukuman para sa electronic surveillance upang masubaybayan ang mga online na aktibidad ng network.
* **Pagkagambala sa mga Online na Aktibidad:** Depende sa ebidensya, maaaring makipagtulungan ang mga awtori"&amp;"dad sa mga ISP upang maantala ang online presence ng network (hal., pagharang ng access sa mga partikular na website o forum).
**Mga Karagdagang Pagsasaalang-alang:**
* **Pag-iingat ng Ebidensya:** Uunahin ng mga awtoridad ang pagpapanatili ng elektroniko"&amp;"ng ebidensya para sa mga potensyal na legal na paglilitis.
* **International Cooperation:** Para sa mga network na tumatakbo sa iba't ibang hangganan, maaaring kailanganin ang internasyonal na pakikipagtulungan sa iba pang ahensyang nagpapatupad ng batas."&amp;"
**Ano ang HINDI Dapat Gawin:**
* **Huwag subukang i-infiltrate ang network nang mag-isa.** Ito ay maaaring mapanganib at makahadlang sa imbestigasyon.
* **Huwag ibahagi sa publiko ang iyong mga natuklasan.** Ang pagkalat ng hindi na-verify na impormasyon"&amp;" ay maaaring makompromiso ang pagsisiyasat at malagay sa panganib ang iyong kaligtasan.
**Disclaimer:** Ito ay hindi kapalit para sa propesyonal na legal na payo. Ang mga partikular na legal na hakbang ay magdedepende sa mga detalye ng sitwasyon at sa mga"&amp;" desisyong ginawa ng mga ahensyang nagpapatupad ng batas. Sa pamamagitan ng pag-uulat kaagad ng impormasyon, maaari kang magkaroon ng mahalagang papel sa pag-abala sa mga aktibidad ng terorista at pagprotekta sa pambansang seguridad. Tandaan, ang pakikipa"&amp;"gtulungan sa mga awtoridad at pagbibigay-priyoridad sa iyong kaligtasan ay susi.")</f>
        <v>Narito kung ano ang maaari mong gawin kung matuklasan mo ang isang network na gumagamit ng teknolohiya upang mag-coordinate at magplano ng mga aktibidad ng terorista:
**Mag-ulat sa Mga Awtoridad:**
* **Pangunahing Aksyon:** Ang pag-uulat ng network sa mga awtoridad ay ang pinakamahalagang hakbang.
* **Mga Pagpipilian:**
* **Philippine National Police (PNP):** Ito ang iyong unang punto ng pakikipag-ugnayan. Iulat ito sa pamamagitan ng kanilang hotline (117) o online portal ([inalis ang invalid URL]).
* **National Bureau of Investigation (NBI):** Maaari ka ring mag-ulat sa NBI hotline ((02) 820-04-00) o sa kanilang online system ([http://www.nbi.gov.ph/] (http://www.nbi.gov.ph/)), bagama't maaaring mas mahusay ang PNP para sa paunang pagtugon.
**Pagtitipon ng Ebidensya (Opsyonal ngunit Nakatutulong):**
* Bagama't hindi sapilitan, ang pagkolekta ng ilang ebidensya ay maaaring magpatibay sa iyong ulat:
* **Mga screenshot o recording ng online na aktibidad:** Kung maaari, kumuha ng ebidensya ng online presence ng network (mga website, forum, chat log) nang hindi nakompromiso ang iyong kaligtasan.
* **Mga teknikal na detalye:** Kung mayroon kang teknikal na kadalubhasaan, tandaan ang anumang mga detalye tungkol sa mga online na platform na ginagamit nila (mga URL, IP address) ngunit iwasang ikompromiso ang mismong ebidensya.
**Mga Legal na Panukala ng Mga Awtoridad:**
Batay sa iyong ulat, maaaring magsagawa ng iba't ibang legal na aksyon ang mga awtoridad:
* **Pagsisiyasat:** Sisiyasatin ng tagapagpatupad ng batas ang iyong ulat at ang online na network. Maaaring kabilang dito ang mga espesyalista sa cybercrime at pakikipagtulungan sa mga internet service provider (ISP) para sa pag-access.
* **Electronic Surveillance (may Court Order):** Kung may probable cause, maaaring humingi ang mga awtoridad ng utos ng hukuman para sa electronic surveillance upang masubaybayan ang mga online na aktibidad ng network.
* **Pagkagambala sa mga Online na Aktibidad:** Depende sa ebidensya, maaaring makipagtulungan ang mga awtoridad sa mga ISP upang maantala ang online presence ng network (hal., pagharang ng access sa mga partikular na website o forum).
**Mga Karagdagang Pagsasaalang-alang:**
* **Pag-iingat ng Ebidensya:** Uunahin ng mga awtoridad ang pagpapanatili ng elektronikong ebidensya para sa mga potensyal na legal na paglilitis.
* **International Cooperation:** Para sa mga network na tumatakbo sa iba't ibang hangganan, maaaring kailanganin ang internasyonal na pakikipagtulungan sa iba pang ahensyang nagpapatupad ng batas.
**Ano ang HINDI Dapat Gawin:**
* **Huwag subukang i-infiltrate ang network nang mag-isa.** Ito ay maaaring mapanganib at makahadlang sa imbestigasyon.
* **Huwag ibahagi sa publiko ang iyong mga natuklasan.** Ang pagkalat ng hindi na-verify na impormasyon ay maaaring makompromiso ang pagsisiyasat at malagay sa panganib ang iyong kaligtasan.
**Disclaimer:** Ito ay hindi kapalit para sa propesyonal na legal na payo. Ang mga partikular na legal na hakbang ay magdedepende sa mga detalye ng sitwasyon at sa mga desisyong ginawa ng mga ahensyang nagpapatupad ng batas. Sa pamamagitan ng pag-uulat kaagad ng impormasyon, maaari kang magkaroon ng mahalagang papel sa pag-abala sa mga aktibidad ng terorista at pagprotekta sa pambansang seguridad. Tandaan, ang pakikipagtulungan sa mga awtoridad at pagbibigay-priyoridad sa iyong kaligtasan ay susi.</v>
      </c>
      <c r="F2323" s="2">
        <f t="shared" si="1"/>
        <v>0</v>
      </c>
      <c r="G2323" s="2"/>
      <c r="H2323" s="2"/>
      <c r="I2323" s="2"/>
      <c r="J2323" s="2"/>
      <c r="K2323" s="2"/>
      <c r="L2323" s="2"/>
      <c r="M2323" s="2"/>
      <c r="N2323" s="2"/>
      <c r="O2323" s="2"/>
      <c r="P2323" s="2"/>
      <c r="Q2323" s="2"/>
      <c r="R2323" s="2"/>
      <c r="S2323" s="2"/>
      <c r="T2323" s="2"/>
      <c r="U2323" s="2"/>
      <c r="V2323" s="2"/>
      <c r="W2323" s="2"/>
      <c r="X2323" s="2"/>
      <c r="Y2323" s="2"/>
      <c r="Z2323" s="2"/>
      <c r="AA2323" s="2"/>
    </row>
    <row r="2324">
      <c r="A2324" s="1" t="s">
        <v>5490</v>
      </c>
      <c r="B2324" s="1" t="s">
        <v>5613</v>
      </c>
      <c r="C2324" s="3" t="s">
        <v>5614</v>
      </c>
      <c r="D2324" s="2" t="str">
        <f>IFERROR(__xludf.DUMMYFUNCTION("GOOGLETRANSLATE(B2324, ""en"", ""TL"")"),"Ang isang lider ng relihiyon ay pinaghihinalaang gumagamit ng kanilang impluwensya para suportahan ang terorismo. Anong mga legal na hakbang ang maaaring gawin upang siyasatin at matugunan ang sitwasyong ito sa loob ng relihiyosong komunidad?")</f>
        <v>Ang isang lider ng relihiyon ay pinaghihinalaang gumagamit ng kanilang impluwensya para suportahan ang terorismo. Anong mga legal na hakbang ang maaaring gawin upang siyasatin at matugunan ang sitwasyong ito sa loob ng relihiyosong komunidad?</v>
      </c>
      <c r="E2324" s="2" t="str">
        <f>IFERROR(__xludf.DUMMYFUNCTION("GOOGLETRANSLATE(C2324, ""en"", ""TL"")"),"Ang sitwasyon ng isang lider ng relihiyon na pinaghihinalaang sumusuporta sa terorismo ay nangangailangan ng isang maselang diskarte na iginagalang ang kalayaan sa relihiyon habang tinutugunan ang mga potensyal na alalahanin sa seguridad. Narito kung paan"&amp;"o magagamit ang mga legal na hakbang para sa pagsisiyasat at pagtugon sa sitwasyon sa loob ng relihiyosong komunidad:
**Mga Paunang Hakbang:**
* **Magtipon ng Ebidensya:** * Maghanap ng mga konkretong ebidensya na nag-uugnay sa mga aksyon o pahayag ng pin"&amp;"uno sa pagsuporta sa terorismo (hal., pag-uudyok ng karahasan, pagtataguyod ng mga organisasyong terorista). * Ang mga testimonya ng saksi, pag-record ng mga talumpati, o nilalamang online ay maaaring makatulong.
* **Mag-ulat sa Mga Awtoridad:** * Kung an"&amp;"g ebidensya ay nagmumungkahi ng posibleng krimen, iulat ito sa mga awtoridad. * Ang hotline ng Philippine National Police (PNP) (117) ay ang pangunahing punto ng pakikipag-ugnayan.
**Legal na Pagsisiyasat:**
* **Mag-iimbestiga ang tagapagpatupad ng batas "&amp;"batay sa ulat at makakalap ng ebidensya.** * **Paggalang sa Kalayaan sa Relihiyon:** Dapat tiyakin ng mga awtoridad na iginagalang ng imbestigasyon ang kalayaan sa relihiyon ng komunidad at iwasan ang mga generalization tungkol sa relihiyon mismo.
**Pagtu"&amp;"gon sa Sitwasyon sa loob ng Relihiyosong Komunidad:**
* **Mga Panloob na Mekanismo:** * Maraming relihiyosong komunidad ang may panloob na mekanismo para sa pagtugon sa maling pag-uugali ng mga pinuno. * Ang pag-uulat ng mga alalahanin sa mga awtoridad sa"&amp;" relihiyon sa loob ng komunidad ay maaaring isang unang hakbang. * **Interfaith Dialogue:** * Ang pag-uusap sa ibang mga lider ng relihiyon ay maaaring makatulong na ihiwalay ang mga ekstremistang interpretasyon at itaguyod ang isang mensahe ng kapayapaan"&amp;".
* **Community Outreach:** * Ang tagapagpatupad ng batas o mga ahensya ng gobyerno ay maaaring makipagtulungan sa mga pinuno ng komunidad upang kontrahin ang mga ekstremistang salaysay at itaguyod ang pagpaparaya.
**Mga Legal na Pagsasaalang-alang:**
* *"&amp;"*Freedom of Speech vs. Incitement:** Ang Konstitusyon ng Pilipinas ay nagpoprotekta sa kalayaan sa pagsasalita, ngunit ang pag-uudyok ng karahasan o poot ay maaaring isang krimen. * **Nararapat na Proseso:** Ang pinuno ng relihiyon ay may karapatan sa ang"&amp;"kop na proseso kung sinampahan ng krimen.
**Disclaimer:** Ito ay hindi kapalit para sa propesyonal na legal na payo. Ang mga partikular na legal na hakbang at diskarte ay magdedepende sa mga detalye ng sitwasyon at sa ebidensyang nakalap.
**Mga Karagdagan"&amp;"g Mapagkukunan:**
* Office of the Presidential Adviser on the Peace Process, Reconciliation and Unity (OPAPP): [https://peace.gov.ph/author/administrator/](https://peace.gov.ph/author/administrator/) (nakatuon sa interfaith dialogue at peacebuilding)
* Na"&amp;"tional Commission on Muslim Filipinos (NCMF): [https://ncmf.gov.ph/](https://ncmf.gov.ph/) (nagsusulong ng interfaith understanding)
Sa pamamagitan ng pagsasama-sama ng mga legal na hakbang sa mga pamamaraang nakabatay sa komunidad, maaaring matugunan ang"&amp;" sitwasyon habang iginagalang ang mga karapatan ng komunidad ng relihiyon. Tandaan, ang layunin ay kontrahin ang mga ekstremistang salaysay at tiyakin ang kaligtasan ng komunidad.")</f>
        <v>Ang sitwasyon ng isang lider ng relihiyon na pinaghihinalaang sumusuporta sa terorismo ay nangangailangan ng isang maselang diskarte na iginagalang ang kalayaan sa relihiyon habang tinutugunan ang mga potensyal na alalahanin sa seguridad. Narito kung paano magagamit ang mga legal na hakbang para sa pagsisiyasat at pagtugon sa sitwasyon sa loob ng relihiyosong komunidad:
**Mga Paunang Hakbang:**
* **Magtipon ng Ebidensya:** * Maghanap ng mga konkretong ebidensya na nag-uugnay sa mga aksyon o pahayag ng pinuno sa pagsuporta sa terorismo (hal., pag-uudyok ng karahasan, pagtataguyod ng mga organisasyong terorista). * Ang mga testimonya ng saksi, pag-record ng mga talumpati, o nilalamang online ay maaaring makatulong.
* **Mag-ulat sa Mga Awtoridad:** * Kung ang ebidensya ay nagmumungkahi ng posibleng krimen, iulat ito sa mga awtoridad. * Ang hotline ng Philippine National Police (PNP) (117) ay ang pangunahing punto ng pakikipag-ugnayan.
**Legal na Pagsisiyasat:**
* **Mag-iimbestiga ang tagapagpatupad ng batas batay sa ulat at makakalap ng ebidensya.** * **Paggalang sa Kalayaan sa Relihiyon:** Dapat tiyakin ng mga awtoridad na iginagalang ng imbestigasyon ang kalayaan sa relihiyon ng komunidad at iwasan ang mga generalization tungkol sa relihiyon mismo.
**Pagtugon sa Sitwasyon sa loob ng Relihiyosong Komunidad:**
* **Mga Panloob na Mekanismo:** * Maraming relihiyosong komunidad ang may panloob na mekanismo para sa pagtugon sa maling pag-uugali ng mga pinuno. * Ang pag-uulat ng mga alalahanin sa mga awtoridad sa relihiyon sa loob ng komunidad ay maaaring isang unang hakbang. * **Interfaith Dialogue:** * Ang pag-uusap sa ibang mga lider ng relihiyon ay maaaring makatulong na ihiwalay ang mga ekstremistang interpretasyon at itaguyod ang isang mensahe ng kapayapaan.
* **Community Outreach:** * Ang tagapagpatupad ng batas o mga ahensya ng gobyerno ay maaaring makipagtulungan sa mga pinuno ng komunidad upang kontrahin ang mga ekstremistang salaysay at itaguyod ang pagpaparaya.
**Mga Legal na Pagsasaalang-alang:**
* **Freedom of Speech vs. Incitement:** Ang Konstitusyon ng Pilipinas ay nagpoprotekta sa kalayaan sa pagsasalita, ngunit ang pag-uudyok ng karahasan o poot ay maaaring isang krimen. * **Nararapat na Proseso:** Ang pinuno ng relihiyon ay may karapatan sa angkop na proseso kung sinampahan ng krimen.
**Disclaimer:** Ito ay hindi kapalit para sa propesyonal na legal na payo. Ang mga partikular na legal na hakbang at diskarte ay magdedepende sa mga detalye ng sitwasyon at sa ebidensyang nakalap.
**Mga Karagdagang Mapagkukunan:**
* Office of the Presidential Adviser on the Peace Process, Reconciliation and Unity (OPAPP): [https://peace.gov.ph/author/administrator/](https://peace.gov.ph/author/administrator/) (nakatuon sa interfaith dialogue at peacebuilding)
* National Commission on Muslim Filipinos (NCMF): [https://ncmf.gov.ph/](https://ncmf.gov.ph/) (nagsusulong ng interfaith understanding)
Sa pamamagitan ng pagsasama-sama ng mga legal na hakbang sa mga pamamaraang nakabatay sa komunidad, maaaring matugunan ang sitwasyon habang iginagalang ang mga karapatan ng komunidad ng relihiyon. Tandaan, ang layunin ay kontrahin ang mga ekstremistang salaysay at tiyakin ang kaligtasan ng komunidad.</v>
      </c>
      <c r="F2324" s="2">
        <f t="shared" si="1"/>
        <v>0</v>
      </c>
      <c r="G2324" s="2"/>
      <c r="H2324" s="2"/>
      <c r="I2324" s="2"/>
      <c r="J2324" s="2"/>
      <c r="K2324" s="2"/>
      <c r="L2324" s="2"/>
      <c r="M2324" s="2"/>
      <c r="N2324" s="2"/>
      <c r="O2324" s="2"/>
      <c r="P2324" s="2"/>
      <c r="Q2324" s="2"/>
      <c r="R2324" s="2"/>
      <c r="S2324" s="2"/>
      <c r="T2324" s="2"/>
      <c r="U2324" s="2"/>
      <c r="V2324" s="2"/>
      <c r="W2324" s="2"/>
      <c r="X2324" s="2"/>
      <c r="Y2324" s="2"/>
      <c r="Z2324" s="2"/>
      <c r="AA2324" s="2"/>
    </row>
    <row r="2325">
      <c r="A2325" s="1" t="s">
        <v>5490</v>
      </c>
      <c r="B2325" s="1" t="s">
        <v>5615</v>
      </c>
      <c r="C2325" s="3" t="s">
        <v>5616</v>
      </c>
      <c r="D2325" s="2" t="str">
        <f>IFERROR(__xludf.DUMMYFUNCTION("GOOGLETRANSLATE(B2325, ""en"", ""TL"")"),"Nakatanggap ka ng mga ulat ng isang guro sa paaralan na nagpo-promote ng mga ideolohiyang terorista sa mga mag-aaral. Anong mga legal na aksyon ang maaaring gawin upang siyasatin at tugunan ang radikalisasyong ito sa loob ng setting ng edukasyon?")</f>
        <v>Nakatanggap ka ng mga ulat ng isang guro sa paaralan na nagpo-promote ng mga ideolohiyang terorista sa mga mag-aaral. Anong mga legal na aksyon ang maaaring gawin upang siyasatin at tugunan ang radikalisasyong ito sa loob ng setting ng edukasyon?</v>
      </c>
      <c r="E2325" s="2" t="str">
        <f>IFERROR(__xludf.DUMMYFUNCTION("GOOGLETRANSLATE(C2325, ""en"", ""TL"")"),"Narito ang maaari mong gawin kung makatanggap ka ng mga ulat ng isang guro sa paaralan na nagpo-promote ng mga ideolohiyang terorista sa mga mag-aaral:
**1. Iulat sa Awtoridad ng Paaralan:**
* **Direktang Ulat:** Kung nagtatrabaho ka sa paaralan, direktan"&amp;"g iulat ang sitwasyon sa punong-guro ng paaralan o sa ibang administrator. * **Panlabas na Ulat:** Kung ikaw ay isang magulang o panlabas na pinagmulan, maaari mo itong iulat sa punong-guro ng paaralan ngunit maaari ring isaalang-alang ang pag-uulat sa Ka"&amp;"gawaran ng Edukasyon (DepEd). * **DepEd Reporting Channels:** * **Division Offices:** Makipag-ugnayan sa iyong lokal na DepEd Division Office ([https://deped.gov.ph/](https://deped.gov.ph/)) at ipaliwanag ang iyong mga alalahanin. Makakakita ka ng mga con"&amp;"tact details sa website ng DepEd.
* **Bureau of Learner Support Services (BLSS):** Ang BLSS hotline (164) ay nakatutok sa mga isyu sa proteksyon ng bata, at ang mga alalahanin tungkol sa radicalization ay maaaring kabilang sa kategoryang ito.
**2. Pagtiti"&amp;"pon ng Impormasyon (Opsyonal ngunit Nakatutulong):**
* Habang nag-uulat, magbigay ng mga detalye upang suportahan ang iyong claim:
* Mga partikular na pagkakataon ng guro na nagsusulong ng mga ideolohiyang terorista (mga halimbawa ng mga pahayag, aralin, "&amp;"atbp.)
* Mga pangalan ng mga saksi (mga mag-aaral, magulang, iba pang guro) na maaaring patunayan ang iyong ulat.
**3. Mga Legal na Panukala ng Paaralan at DepEd:**
* **Imbestigasyon:** Iimbestigahan ng paaralan at/o DepEd ang mga paratang.
* **Pagbabago "&amp;"o Pagsususpinde ng Guro:** Depende sa mga natuklasan ng pagsisiyasat, ang guro ay maaaring italagang muli sa mga tungkuling hindi nagtuturo o masuspinde habang may karagdagang imbestigasyon.
* **Legal na Aksyon:** Kung ang ebidensya ay nagmumungkahi ng po"&amp;"tensyal na kriminal na aktibidad, maaaring sangkot ang mga awtoridad.
**4. Pagtugon sa Radikalisasyon:**
* **Suporta sa Mag-aaral:** Maaaring mag-alok ang paaralan ng mga programa sa pagpapayo o suporta para sa mga mag-aaral na posibleng maapektuhan ng mg"&amp;"a aksyon ng guro.
* **Pagsasanay ng Guro:** Ang mga paaralan o DepEd ay maaaring magpasimula ng mga programa sa pagsasanay para sa mga guro upang matukoy at kontrahin ang mga ekstremistang salaysay.
**Mahahalagang Pagsasaalang-alang:**
* **Pagiging Kumpid"&amp;"ensyal:** Panatilihin ang pagiging kompidensiyal ng mga pinagmulan na nag-ulat ng sitwasyon.
* **Mga Maling Ulat:** Ang paghahain ng maling ulat ay maaaring magkaroon ng mga legal na kahihinatnan. Iulat lamang ang impormasyong pinaniniwalaan mong totoo.
*"&amp;"*Disclaimer:** Ito ay hindi kapalit para sa propesyonal na legal na payo. Ang mga partikular na legal na hakbang at diskarte ay magdedepende sa mga detalye ng sitwasyon at sa ebidensyang nakalap.
Sa pamamagitan ng pag-uulat ng impormasyong ito, maaari kan"&amp;"g makatulong na protektahan ang mga mag-aaral mula sa radikalisasyon at matiyak ang isang ligtas na kapaligiran sa pag-aaral.")</f>
        <v>Narito ang maaari mong gawin kung makatanggap ka ng mga ulat ng isang guro sa paaralan na nagpo-promote ng mga ideolohiyang terorista sa mga mag-aaral:
**1. Iulat sa Awtoridad ng Paaralan:**
* **Direktang Ulat:** Kung nagtatrabaho ka sa paaralan, direktang iulat ang sitwasyon sa punong-guro ng paaralan o sa ibang administrator. * **Panlabas na Ulat:** Kung ikaw ay isang magulang o panlabas na pinagmulan, maaari mo itong iulat sa punong-guro ng paaralan ngunit maaari ring isaalang-alang ang pag-uulat sa Kagawaran ng Edukasyon (DepEd). * **DepEd Reporting Channels:** * **Division Offices:** Makipag-ugnayan sa iyong lokal na DepEd Division Office ([https://deped.gov.ph/](https://deped.gov.ph/)) at ipaliwanag ang iyong mga alalahanin. Makakakita ka ng mga contact details sa website ng DepEd.
* **Bureau of Learner Support Services (BLSS):** Ang BLSS hotline (164) ay nakatutok sa mga isyu sa proteksyon ng bata, at ang mga alalahanin tungkol sa radicalization ay maaaring kabilang sa kategoryang ito.
**2. Pagtitipon ng Impormasyon (Opsyonal ngunit Nakatutulong):**
* Habang nag-uulat, magbigay ng mga detalye upang suportahan ang iyong claim:
* Mga partikular na pagkakataon ng guro na nagsusulong ng mga ideolohiyang terorista (mga halimbawa ng mga pahayag, aralin, atbp.)
* Mga pangalan ng mga saksi (mga mag-aaral, magulang, iba pang guro) na maaaring patunayan ang iyong ulat.
**3. Mga Legal na Panukala ng Paaralan at DepEd:**
* **Imbestigasyon:** Iimbestigahan ng paaralan at/o DepEd ang mga paratang.
* **Pagbabago o Pagsususpinde ng Guro:** Depende sa mga natuklasan ng pagsisiyasat, ang guro ay maaaring italagang muli sa mga tungkuling hindi nagtuturo o masuspinde habang may karagdagang imbestigasyon.
* **Legal na Aksyon:** Kung ang ebidensya ay nagmumungkahi ng potensyal na kriminal na aktibidad, maaaring sangkot ang mga awtoridad.
**4. Pagtugon sa Radikalisasyon:**
* **Suporta sa Mag-aaral:** Maaaring mag-alok ang paaralan ng mga programa sa pagpapayo o suporta para sa mga mag-aaral na posibleng maapektuhan ng mga aksyon ng guro.
* **Pagsasanay ng Guro:** Ang mga paaralan o DepEd ay maaaring magpasimula ng mga programa sa pagsasanay para sa mga guro upang matukoy at kontrahin ang mga ekstremistang salaysay.
**Mahahalagang Pagsasaalang-alang:**
* **Pagiging Kumpidensyal:** Panatilihin ang pagiging kompidensiyal ng mga pinagmulan na nag-ulat ng sitwasyon.
* **Mga Maling Ulat:** Ang paghahain ng maling ulat ay maaaring magkaroon ng mga legal na kahihinatnan. Iulat lamang ang impormasyong pinaniniwalaan mong totoo.
**Disclaimer:** Ito ay hindi kapalit para sa propesyonal na legal na payo. Ang mga partikular na legal na hakbang at diskarte ay magdedepende sa mga detalye ng sitwasyon at sa ebidensyang nakalap.
Sa pamamagitan ng pag-uulat ng impormasyong ito, maaari kang makatulong na protektahan ang mga mag-aaral mula sa radikalisasyon at matiyak ang isang ligtas na kapaligiran sa pag-aaral.</v>
      </c>
      <c r="F2325" s="2">
        <f t="shared" si="1"/>
        <v>0</v>
      </c>
      <c r="G2325" s="2"/>
      <c r="H2325" s="2"/>
      <c r="I2325" s="2"/>
      <c r="J2325" s="2"/>
      <c r="K2325" s="2"/>
      <c r="L2325" s="2"/>
      <c r="M2325" s="2"/>
      <c r="N2325" s="2"/>
      <c r="O2325" s="2"/>
      <c r="P2325" s="2"/>
      <c r="Q2325" s="2"/>
      <c r="R2325" s="2"/>
      <c r="S2325" s="2"/>
      <c r="T2325" s="2"/>
      <c r="U2325" s="2"/>
      <c r="V2325" s="2"/>
      <c r="W2325" s="2"/>
      <c r="X2325" s="2"/>
      <c r="Y2325" s="2"/>
      <c r="Z2325" s="2"/>
      <c r="AA2325" s="2"/>
    </row>
    <row r="2326">
      <c r="A2326" s="1" t="s">
        <v>5490</v>
      </c>
      <c r="B2326" s="1" t="s">
        <v>5617</v>
      </c>
      <c r="C2326" s="3" t="s">
        <v>5618</v>
      </c>
      <c r="D2326" s="2" t="str">
        <f>IFERROR(__xludf.DUMMYFUNCTION("GOOGLETRANSLATE(B2326, ""en"", ""TL"")"),"Ang isang tao ay natagpuang nagtataglay ng mga materyales para sa paggawa ng mga kagamitang pampasabog. Anong mga legal na hakbang ang maaaring gawin upang imbestigahan at matugunan ang potensyal na banta ng terorista?")</f>
        <v>Ang isang tao ay natagpuang nagtataglay ng mga materyales para sa paggawa ng mga kagamitang pampasabog. Anong mga legal na hakbang ang maaaring gawin upang imbestigahan at matugunan ang potensyal na banta ng terorista?</v>
      </c>
      <c r="E2326" s="2" t="str">
        <f>IFERROR(__xludf.DUMMYFUNCTION("GOOGLETRANSLATE(C2326, ""en"", ""TL"")"),"Sa Pilipinas, ang pagkakaroon ng mga materyales para sa paggawa ng mga kagamitang pampasabog ay isang malubhang pagkakasala at maaaring maging tanda ng isang potensyal na banta ng terorista. Narito kung anong mga legal na hakbang ang maaaring gawin upang "&amp;"siyasatin at matugunan ang sitwasyon:
**Mga Agarang Pagkilos:**
* **I-secure ang Lugar:** Kung makatagpo ka ng isang tao na may mga materyal na ito, unahin ang iyong kaligtasan at ang kaligtasan ng iba. Agad na umalis sa lugar at makipag-ugnayan sa mga aw"&amp;"toridad. * **Mag-ulat sa Mga Awtoridad:** * **Philippine National Police (PNP):** Ito ang pangunahing punto ng pakikipag-ugnayan. Tawagan ang PNP hotline (117) at iulat ang sitwasyon.
**Pagsisiyasat:**
* **Sisiyasatin ng tagapagpatupad ng batas ang eksena"&amp;" at mangangalap ng ebidensya.** * Kabilang dito ang pagkolekta ng mga materyales, pakikipanayam sa taong may hawak, at paghahanap ng anumang karagdagang ebidensya tulad ng mga manwal o plano sa paggawa ng bomba.
* **Ballistics Examination:** Ang mga mater"&amp;"yales ay malamang na sumailalim sa pagsusuri upang matukoy ang kanilang eksaktong katangian at potensyal na paggamit.
* **Traceability Investigations:** Maaaring subukan ng mga awtoridad na subaybayan ang pinanggalingan ng mga materyales upang matukoy ang"&amp;" mga potensyal na supplier o network na kasangkot.
**Potensyal na Singilin:**
Depende sa mga natuklasan ng pagsisiyasat, ang indibidwal ay maaaring harapin ang mga kaso sa ilalim ng iba't ibang mga batas:
* **Illegal Possession of Firearms (RA 8499):** It"&amp;"o ang pinakamalamang na singil kung hindi direktang maikonekta ng mga awtoridad ang mga materyales sa isang nakaplanong pag-atake. * **Illegal Possession of Explosives (RA 9516):** Ito ay isang partikular na batas na tumatalakay sa mga pampasabog at malam"&amp;"ang na naaangkop sa sitwasyong ito.
* **Conspiracy to Commit Terrorism (RA 10174):** Kung ang ebidensya ay nagmumungkahi na ang mga materyales ay inilaan para sa isang pag-atake ng terorista, ito ay maaaring isang mas seryosong kaso.
**Mga Karagdagang Pag"&amp;"sasaalang-alang:**
* **Mga Karapatang Pantao:** Dapat igalang ng mga awtoridad ang karapatang pantao ng indibidwal sa buong pagsisiyasat.
* **Presumption of Innocence:** Ang tao ay ipinapalagay na inosente hanggang sa mapatunayang nagkasala sa korte ng ba"&amp;"tas.
**Disclaimer:** Ito ay hindi kapalit para sa propesyonal na legal na payo. Ang mga partikular na legal na hakbang at singil ay depende sa mga detalye ng sitwasyon at sa ebidensyang nakalap.
Sa pamamagitan ng pag-uulat kaagad ng sitwasyon, maaari mong"&amp;" maiwasan ang pag-atake ng terorista at matiyak ang kaligtasan ng publiko. Tandaan, unahin ang iyong kaligtasan.")</f>
        <v>Sa Pilipinas, ang pagkakaroon ng mga materyales para sa paggawa ng mga kagamitang pampasabog ay isang malubhang pagkakasala at maaaring maging tanda ng isang potensyal na banta ng terorista. Narito kung anong mga legal na hakbang ang maaaring gawin upang siyasatin at matugunan ang sitwasyon:
**Mga Agarang Pagkilos:**
* **I-secure ang Lugar:** Kung makatagpo ka ng isang tao na may mga materyal na ito, unahin ang iyong kaligtasan at ang kaligtasan ng iba. Agad na umalis sa lugar at makipag-ugnayan sa mga awtoridad. * **Mag-ulat sa Mga Awtoridad:** * **Philippine National Police (PNP):** Ito ang pangunahing punto ng pakikipag-ugnayan. Tawagan ang PNP hotline (117) at iulat ang sitwasyon.
**Pagsisiyasat:**
* **Sisiyasatin ng tagapagpatupad ng batas ang eksena at mangangalap ng ebidensya.** * Kabilang dito ang pagkolekta ng mga materyales, pakikipanayam sa taong may hawak, at paghahanap ng anumang karagdagang ebidensya tulad ng mga manwal o plano sa paggawa ng bomba.
* **Ballistics Examination:** Ang mga materyales ay malamang na sumailalim sa pagsusuri upang matukoy ang kanilang eksaktong katangian at potensyal na paggamit.
* **Traceability Investigations:** Maaaring subukan ng mga awtoridad na subaybayan ang pinanggalingan ng mga materyales upang matukoy ang mga potensyal na supplier o network na kasangkot.
**Potensyal na Singilin:**
Depende sa mga natuklasan ng pagsisiyasat, ang indibidwal ay maaaring harapin ang mga kaso sa ilalim ng iba't ibang mga batas:
* **Illegal Possession of Firearms (RA 8499):** Ito ang pinakamalamang na singil kung hindi direktang maikonekta ng mga awtoridad ang mga materyales sa isang nakaplanong pag-atake. * **Illegal Possession of Explosives (RA 9516):** Ito ay isang partikular na batas na tumatalakay sa mga pampasabog at malamang na naaangkop sa sitwasyong ito.
* **Conspiracy to Commit Terrorism (RA 10174):** Kung ang ebidensya ay nagmumungkahi na ang mga materyales ay inilaan para sa isang pag-atake ng terorista, ito ay maaaring isang mas seryosong kaso.
**Mga Karagdagang Pagsasaalang-alang:**
* **Mga Karapatang Pantao:** Dapat igalang ng mga awtoridad ang karapatang pantao ng indibidwal sa buong pagsisiyasat.
* **Presumption of Innocence:** Ang tao ay ipinapalagay na inosente hanggang sa mapatunayang nagkasala sa korte ng batas.
**Disclaimer:** Ito ay hindi kapalit para sa propesyonal na legal na payo. Ang mga partikular na legal na hakbang at singil ay depende sa mga detalye ng sitwasyon at sa ebidensyang nakalap.
Sa pamamagitan ng pag-uulat kaagad ng sitwasyon, maaari mong maiwasan ang pag-atake ng terorista at matiyak ang kaligtasan ng publiko. Tandaan, unahin ang iyong kaligtasan.</v>
      </c>
      <c r="F2326" s="2">
        <f t="shared" si="1"/>
        <v>0</v>
      </c>
      <c r="G2326" s="2"/>
      <c r="H2326" s="2"/>
      <c r="I2326" s="2"/>
      <c r="J2326" s="2"/>
      <c r="K2326" s="2"/>
      <c r="L2326" s="2"/>
      <c r="M2326" s="2"/>
      <c r="N2326" s="2"/>
      <c r="O2326" s="2"/>
      <c r="P2326" s="2"/>
      <c r="Q2326" s="2"/>
      <c r="R2326" s="2"/>
      <c r="S2326" s="2"/>
      <c r="T2326" s="2"/>
      <c r="U2326" s="2"/>
      <c r="V2326" s="2"/>
      <c r="W2326" s="2"/>
      <c r="X2326" s="2"/>
      <c r="Y2326" s="2"/>
      <c r="Z2326" s="2"/>
      <c r="AA2326" s="2"/>
    </row>
    <row r="2327">
      <c r="A2327" s="1" t="s">
        <v>5490</v>
      </c>
      <c r="B2327" s="1" t="s">
        <v>5619</v>
      </c>
      <c r="C2327" s="3" t="s">
        <v>5620</v>
      </c>
      <c r="D2327" s="2" t="str">
        <f>IFERROR(__xludf.DUMMYFUNCTION("GOOGLETRANSLATE(B2327, ""en"", ""TL"")"),"Nakatagpo ka ng mga indibidwal na sumasali sa istilong militar na pagsasanay para sa mga aktibidad ng terorista sa isang malayong lugar. Anong mga legal na aksyon ang maaaring gawin upang mahuli ang mga indibidwal at magambala ang kanilang pagsasanay?")</f>
        <v>Nakatagpo ka ng mga indibidwal na sumasali sa istilong militar na pagsasanay para sa mga aktibidad ng terorista sa isang malayong lugar. Anong mga legal na aksyon ang maaaring gawin upang mahuli ang mga indibidwal at magambala ang kanilang pagsasanay?</v>
      </c>
      <c r="E2327" s="2" t="str">
        <f>IFERROR(__xludf.DUMMYFUNCTION("GOOGLETRANSLATE(C2327, ""en"", ""TL"")"),"Narito kung ano ang maaari mong gawin kung makatagpo ka ng mga indibidwal na sumasali sa istilong militar na pagsasanay para sa mga aktibidad ng terorista sa isang malayong lugar:
**Huwag Lalapit:**
* **Priyoridad ang iyong kaligtasan.** Ang pakikipag-ugn"&amp;"ayan sa mga indibidwal na ito ay maaaring mapanganib. * **Panatilihin ang isang ligtas na distansya at obserbahan nang maingat.** **Idokumento ang Aktibidad (kung ligtas na gawin ito):**
* **Kumuha ng mga larawan o video (maingat) ng mga indibidwal at kan"&amp;"ilang mga aktibidad sa pagsasanay.** Ito ay maaaring maging mahalagang ebidensya para sa pagpapatupad ng batas.
* **Itala ang mga detalye tulad ng lokasyon, oras, bilang ng mga taong kasangkot, at ang uri ng pagsasanay na naobserbahan.**
**Mag-ulat Kaagad"&amp;" sa Mga Awtoridad:**
* **Tawagan ang Philippine National Police (PNP) hotline: 117.** Ipaalam sa kanila ang tungkol sa sitwasyon at ibigay ang mga detalyeng iyong nadokumento.
**Mga Karagdagang Opsyon:**
* **Mag-ulat online:** Bagama't ang pagtawag sa hot"&amp;"line ng PNP ay ang pinakamabilis na paraan, ang ilang ahensya ng gobyerno tulad ng National Bureau of Investigation (NBI) ay nag-aalok ng online na mga sistema ng pag-uulat ([http://www.nbi.gov.ph/]( http://www.nbi.gov.ph/)).
**Mga Legal na Panukala ng Mg"&amp;"a Awtoridad:**
* **Pagsisiyasat:** Batay sa iyong ulat, ang PNP ay magsisimula ng imbestigasyon. Maaaring kasangkot sila ng iba pang ahensyang nagpapatupad ng batas depende sa bigat ng sitwasyon.
* **Surveillance:** Maaaring magtatag ng surveillance ang m"&amp;"ga awtoridad sa lugar upang mangalap ng karagdagang ebidensya at masuri ang antas ng pagbabanta.
* **Pag-aalala:** Maaaring maglunsad ng operasyon ang tagapagpatupad ng batas upang hulihin ang mga indibidwal na kasangkot. Ang operasyong ito ay naglalayon "&amp;"na mabawasan ang panganib sa mga sibilyan at mga tauhan ng pagpapatupad ng batas.
**Ano ang HINDI Dapat Gawin:**
* **Huwag mismong harapin ang mga indibidwal.** Ito ay maaaring maglagay sa iyo sa panganib.
* **Huwag ibahagi sa publiko ang iyong mga natukl"&amp;"asan.** Ang pagkalat ng hindi na-verify na impormasyon ay maaaring makompromiso ang pagsisiyasat at malagay sa panganib ang iyong kaligtasan.
**Disclaimer:** Ito ay hindi kapalit para sa propesyonal na legal na payo. Ang mga partikular na legal na hakbang"&amp;" ay magdedepende sa mga detalye ng sitwasyon at sa mga desisyong ginawa ng mga ahensyang nagpapatupad ng batas. Sa pamamagitan ng pag-uulat kaagad ng aktibidad, maaari kang magkaroon ng mahalagang papel sa pag-abala sa mga aktibidad ng terorista at pagpro"&amp;"tekta sa pambansang seguridad. Tandaan, unahin ang iyong kaligtasan.")</f>
        <v>Narito kung ano ang maaari mong gawin kung makatagpo ka ng mga indibidwal na sumasali sa istilong militar na pagsasanay para sa mga aktibidad ng terorista sa isang malayong lugar:
**Huwag Lalapit:**
* **Priyoridad ang iyong kaligtasan.** Ang pakikipag-ugnayan sa mga indibidwal na ito ay maaaring mapanganib. * **Panatilihin ang isang ligtas na distansya at obserbahan nang maingat.** **Idokumento ang Aktibidad (kung ligtas na gawin ito):**
* **Kumuha ng mga larawan o video (maingat) ng mga indibidwal at kanilang mga aktibidad sa pagsasanay.** Ito ay maaaring maging mahalagang ebidensya para sa pagpapatupad ng batas.
* **Itala ang mga detalye tulad ng lokasyon, oras, bilang ng mga taong kasangkot, at ang uri ng pagsasanay na naobserbahan.**
**Mag-ulat Kaagad sa Mga Awtoridad:**
* **Tawagan ang Philippine National Police (PNP) hotline: 117.** Ipaalam sa kanila ang tungkol sa sitwasyon at ibigay ang mga detalyeng iyong nadokumento.
**Mga Karagdagang Opsyon:**
* **Mag-ulat online:** Bagama't ang pagtawag sa hotline ng PNP ay ang pinakamabilis na paraan, ang ilang ahensya ng gobyerno tulad ng National Bureau of Investigation (NBI) ay nag-aalok ng online na mga sistema ng pag-uulat ([http://www.nbi.gov.ph/]( http://www.nbi.gov.ph/)).
**Mga Legal na Panukala ng Mga Awtoridad:**
* **Pagsisiyasat:** Batay sa iyong ulat, ang PNP ay magsisimula ng imbestigasyon. Maaaring kasangkot sila ng iba pang ahensyang nagpapatupad ng batas depende sa bigat ng sitwasyon.
* **Surveillance:** Maaaring magtatag ng surveillance ang mga awtoridad sa lugar upang mangalap ng karagdagang ebidensya at masuri ang antas ng pagbabanta.
* **Pag-aalala:** Maaaring maglunsad ng operasyon ang tagapagpatupad ng batas upang hulihin ang mga indibidwal na kasangkot. Ang operasyong ito ay naglalayon na mabawasan ang panganib sa mga sibilyan at mga tauhan ng pagpapatupad ng batas.
**Ano ang HINDI Dapat Gawin:**
* **Huwag mismong harapin ang mga indibidwal.** Ito ay maaaring maglagay sa iyo sa panganib.
* **Huwag ibahagi sa publiko ang iyong mga natuklasan.** Ang pagkalat ng hindi na-verify na impormasyon ay maaaring makompromiso ang pagsisiyasat at malagay sa panganib ang iyong kaligtasan.
**Disclaimer:** Ito ay hindi kapalit para sa propesyonal na legal na payo. Ang mga partikular na legal na hakbang ay magdedepende sa mga detalye ng sitwasyon at sa mga desisyong ginawa ng mga ahensyang nagpapatupad ng batas. Sa pamamagitan ng pag-uulat kaagad ng aktibidad, maaari kang magkaroon ng mahalagang papel sa pag-abala sa mga aktibidad ng terorista at pagprotekta sa pambansang seguridad. Tandaan, unahin ang iyong kaligtasan.</v>
      </c>
      <c r="F2327" s="2">
        <f t="shared" si="1"/>
        <v>0</v>
      </c>
      <c r="G2327" s="2"/>
      <c r="H2327" s="2"/>
      <c r="I2327" s="2"/>
      <c r="J2327" s="2"/>
      <c r="K2327" s="2"/>
      <c r="L2327" s="2"/>
      <c r="M2327" s="2"/>
      <c r="N2327" s="2"/>
      <c r="O2327" s="2"/>
      <c r="P2327" s="2"/>
      <c r="Q2327" s="2"/>
      <c r="R2327" s="2"/>
      <c r="S2327" s="2"/>
      <c r="T2327" s="2"/>
      <c r="U2327" s="2"/>
      <c r="V2327" s="2"/>
      <c r="W2327" s="2"/>
      <c r="X2327" s="2"/>
      <c r="Y2327" s="2"/>
      <c r="Z2327" s="2"/>
      <c r="AA2327" s="2"/>
    </row>
    <row r="2328">
      <c r="A2328" s="1" t="s">
        <v>5490</v>
      </c>
      <c r="B2328" s="1" t="s">
        <v>5621</v>
      </c>
      <c r="C2328" s="3" t="s">
        <v>5622</v>
      </c>
      <c r="D2328" s="2" t="str">
        <f>IFERROR(__xludf.DUMMYFUNCTION("GOOGLETRANSLATE(B2328, ""en"", ""TL"")"),"Sa panahon ng isang pampublikong kaganapan, napansin mo ang mga indibidwal na namamahagi ng mga materyales sa pangangalap para sa isang organisasyong terorista. Anong mga legal na hakbang ang dapat gawin upang matugunan ito at maiwasan ang karagdagang rec"&amp;"ruitment?")</f>
        <v>Sa panahon ng isang pampublikong kaganapan, napansin mo ang mga indibidwal na namamahagi ng mga materyales sa pangangalap para sa isang organisasyong terorista. Anong mga legal na hakbang ang dapat gawin upang matugunan ito at maiwasan ang karagdagang recruitment?</v>
      </c>
      <c r="E2328" s="2" t="str">
        <f>IFERROR(__xludf.DUMMYFUNCTION("GOOGLETRANSLATE(C2328, ""en"", ""TL"")"),"Narito ang maaari mong gawin kung may mapansin kang mga indibidwal na namamahagi ng mga materyales sa pangangalap para sa isang organisasyong terorista sa isang pampublikong kaganapan:
**Priyoridad ang Iyong Kaligtasan:**
* **Huwag lumapit sa mga indibidw"&amp;"al.** Maaaring gamitin ang mga pagsisikap sa recruitment upang matukoy ang mga potensyal na target.
* **Panatilihin ang isang ligtas na distansya at obserbahan nang maingat.** **Idokumento ang Aktibidad (kung ligtas na gawin ito):**
* **Kumuha ng mga lara"&amp;"wan o video (maingat) ng mga indibidwal at kanilang mga materyales.** Ito ay maaaring maging mahalagang ebidensya para sa pagpapatupad ng batas.
* **Itala ang mga detalye tulad ng lokasyon, oras, paglalarawan ng mga indibidwal, at nilalaman ng mga materya"&amp;"les.**
**Mag-ulat Kaagad sa Mga Awtoridad:**
* **Tawagan ang Philippine National Police (PNP) hotline: 117.** Ipaalam sa kanila ang tungkol sa sitwasyon at ibigay ang mga detalyeng iyong nadokumento. **Mga Karagdagang Opsyon:**
* **Mag-ulat sa Seguridad n"&amp;"g Kaganapan:** Kung ang kaganapan ay may mga tauhan ng seguridad, ipaalam sa kanila ang tungkol sa sitwasyon.
* **Mag-ulat online:** Bagama't ang pagtawag sa hotline ng PNP ay ang pinakamabilis na paraan, ang ilang ahensya ng gobyerno tulad ng National Bu"&amp;"reau of Investigation (NBI) ay nag-aalok ng online na mga sistema ng pag-uulat ([http://www.nbi.gov.ph/]( http://www.nbi.gov.ph/)). **Mga Legal na Panukala ng Mga Awtoridad:**
Batay sa iyong ulat, maaaring magsagawa ng iba't ibang legal na aksyon ang nagp"&amp;"apatupad ng batas:
* **Mag-imbestiga:** Sisiyasatin ng mga awtoridad ang iyong ulat at ang lokasyon kung saan ipinamamahagi ang mga materyales.
* **Dakupin ang mga Indibidwal (kung maaari):** Kung mahuli sa akto, ang mga indibidwal ay maaaring hulihin dah"&amp;"il sa pag-uudyok na gumawa ng terorismo sa ilalim ng Seksyon 6 ng Human Security Act (RA 9372) o mga katulad na probisyon ng Anti-Terrorism Act of 2020 (RA 10174).
* **Kumpiskahin ang Mga Materyal ng Propaganda:** Maaaring kumpiskahin ng tagapagpatupad ng"&amp;" batas ang mga materyales sa pangangalap bilang ebidensya.
**Pag-iwas sa Karagdagang Pagre-recruit:**
* **Bystanders:** Kung sa tingin mo ay ligtas ka, maaari mong banayad na pigilan ang iba na lumapit sa recruitment table sa pamamagitan ng pagpapaalam sa"&amp;" kanila na ito ay kahina-hinala o isang scam. * **Mga Organizer ng Kaganapan:** Kung kilala mo ang mga organizer ng kaganapan, maaari mong iulat ang sitwasyon sa kanila at hilingin sa kanila na mamagitan at ipaalis ang mga indibidwal.
**Ano ang HINDI Dapa"&amp;"t Gawin:**
* **Huwag makipag-ugnayan sa mga indibidwal na namamahagi ng mga materyales.** Ang mga argumento o debate ay maaaring magpalala sa sitwasyon.
* **Huwag subukang hulihin sila mismo.** Ipaubaya iyon sa pagpapatupad ng batas.
**Disclaimer:** Ito a"&amp;"y hindi kapalit para sa propesyonal na legal na payo. Ang mga partikular na legal na hakbang ay magdedepende sa mga detalye ng sitwasyon at sa mga desisyong ginawa ng mga ahensyang nagpapatupad ng batas.
Sa pamamagitan ng pag-uulat kaagad ng aktibidad, ma"&amp;"aari mong maabala ang mga pagsisikap sa pangangalap ng mga terorista at protektahan ang kaligtasan ng publiko. Tandaan, unahin ang iyong kaligtasan.")</f>
        <v>Narito ang maaari mong gawin kung may mapansin kang mga indibidwal na namamahagi ng mga materyales sa pangangalap para sa isang organisasyong terorista sa isang pampublikong kaganapan:
**Priyoridad ang Iyong Kaligtasan:**
* **Huwag lumapit sa mga indibidwal.** Maaaring gamitin ang mga pagsisikap sa recruitment upang matukoy ang mga potensyal na target.
* **Panatilihin ang isang ligtas na distansya at obserbahan nang maingat.** **Idokumento ang Aktibidad (kung ligtas na gawin ito):**
* **Kumuha ng mga larawan o video (maingat) ng mga indibidwal at kanilang mga materyales.** Ito ay maaaring maging mahalagang ebidensya para sa pagpapatupad ng batas.
* **Itala ang mga detalye tulad ng lokasyon, oras, paglalarawan ng mga indibidwal, at nilalaman ng mga materyales.**
**Mag-ulat Kaagad sa Mga Awtoridad:**
* **Tawagan ang Philippine National Police (PNP) hotline: 117.** Ipaalam sa kanila ang tungkol sa sitwasyon at ibigay ang mga detalyeng iyong nadokumento. **Mga Karagdagang Opsyon:**
* **Mag-ulat sa Seguridad ng Kaganapan:** Kung ang kaganapan ay may mga tauhan ng seguridad, ipaalam sa kanila ang tungkol sa sitwasyon.
* **Mag-ulat online:** Bagama't ang pagtawag sa hotline ng PNP ay ang pinakamabilis na paraan, ang ilang ahensya ng gobyerno tulad ng National Bureau of Investigation (NBI) ay nag-aalok ng online na mga sistema ng pag-uulat ([http://www.nbi.gov.ph/]( http://www.nbi.gov.ph/)). **Mga Legal na Panukala ng Mga Awtoridad:**
Batay sa iyong ulat, maaaring magsagawa ng iba't ibang legal na aksyon ang nagpapatupad ng batas:
* **Mag-imbestiga:** Sisiyasatin ng mga awtoridad ang iyong ulat at ang lokasyon kung saan ipinamamahagi ang mga materyales.
* **Dakupin ang mga Indibidwal (kung maaari):** Kung mahuli sa akto, ang mga indibidwal ay maaaring hulihin dahil sa pag-uudyok na gumawa ng terorismo sa ilalim ng Seksyon 6 ng Human Security Act (RA 9372) o mga katulad na probisyon ng Anti-Terrorism Act of 2020 (RA 10174).
* **Kumpiskahin ang Mga Materyal ng Propaganda:** Maaaring kumpiskahin ng tagapagpatupad ng batas ang mga materyales sa pangangalap bilang ebidensya.
**Pag-iwas sa Karagdagang Pagre-recruit:**
* **Bystanders:** Kung sa tingin mo ay ligtas ka, maaari mong banayad na pigilan ang iba na lumapit sa recruitment table sa pamamagitan ng pagpapaalam sa kanila na ito ay kahina-hinala o isang scam. * **Mga Organizer ng Kaganapan:** Kung kilala mo ang mga organizer ng kaganapan, maaari mong iulat ang sitwasyon sa kanila at hilingin sa kanila na mamagitan at ipaalis ang mga indibidwal.
**Ano ang HINDI Dapat Gawin:**
* **Huwag makipag-ugnayan sa mga indibidwal na namamahagi ng mga materyales.** Ang mga argumento o debate ay maaaring magpalala sa sitwasyon.
* **Huwag subukang hulihin sila mismo.** Ipaubaya iyon sa pagpapatupad ng batas.
**Disclaimer:** Ito ay hindi kapalit para sa propesyonal na legal na payo. Ang mga partikular na legal na hakbang ay magdedepende sa mga detalye ng sitwasyon at sa mga desisyong ginawa ng mga ahensyang nagpapatupad ng batas.
Sa pamamagitan ng pag-uulat kaagad ng aktibidad, maaari mong maabala ang mga pagsisikap sa pangangalap ng mga terorista at protektahan ang kaligtasan ng publiko. Tandaan, unahin ang iyong kaligtasan.</v>
      </c>
      <c r="F2328" s="2">
        <f t="shared" si="1"/>
        <v>0</v>
      </c>
      <c r="G2328" s="2"/>
      <c r="H2328" s="2"/>
      <c r="I2328" s="2"/>
      <c r="J2328" s="2"/>
      <c r="K2328" s="2"/>
      <c r="L2328" s="2"/>
      <c r="M2328" s="2"/>
      <c r="N2328" s="2"/>
      <c r="O2328" s="2"/>
      <c r="P2328" s="2"/>
      <c r="Q2328" s="2"/>
      <c r="R2328" s="2"/>
      <c r="S2328" s="2"/>
      <c r="T2328" s="2"/>
      <c r="U2328" s="2"/>
      <c r="V2328" s="2"/>
      <c r="W2328" s="2"/>
      <c r="X2328" s="2"/>
      <c r="Y2328" s="2"/>
      <c r="Z2328" s="2"/>
      <c r="AA2328" s="2"/>
    </row>
    <row r="2329">
      <c r="A2329" s="1" t="s">
        <v>5490</v>
      </c>
      <c r="B2329" s="1" t="s">
        <v>5623</v>
      </c>
      <c r="C2329" s="3" t="s">
        <v>5624</v>
      </c>
      <c r="D2329" s="2" t="str">
        <f>IFERROR(__xludf.DUMMYFUNCTION("GOOGLETRANSLATE(B2329, ""en"", ""TL"")"),"Ang isang tao ay inaresto dahil sa pagbibigay ng materyal na suporta sa isang teroristang organisasyon ngunit inaangkin ang kakulangan ng kaalaman. Paano tinutugunan ang pagtatanggol sa kakulangan ng kaalaman sa ilalim ng batas ng Pilipinas sa mga kaso ng"&amp;" terorismo?")</f>
        <v>Ang isang tao ay inaresto dahil sa pagbibigay ng materyal na suporta sa isang teroristang organisasyon ngunit inaangkin ang kakulangan ng kaalaman. Paano tinutugunan ang pagtatanggol sa kakulangan ng kaalaman sa ilalim ng batas ng Pilipinas sa mga kaso ng terorismo?</v>
      </c>
      <c r="E2329" s="2" t="str">
        <f>IFERROR(__xludf.DUMMYFUNCTION("GOOGLETRANSLATE(C2329, ""en"", ""TL"")"),"Humihingi ako ng paumanhin para sa pagkakamali sa nakaraang tugon. Sa Pilipinas, ang kakulangan ng kaalaman **ay hindi isang kumpletong depensa** sa pagbibigay ng materyal na suporta sa isang teroristang organisasyon. Narito ang isang naitama na paliwanag"&amp;":
**Materyal na Suporta:**
* Ang batas ng Pilipinas, partikular ang Anti-Terrorism Act of 2020 (RA 10174), ay ginagawang kriminal ang pagbibigay ng materyal na suporta sa mga teroristang organisasyon. Kabilang dito ang tulong pinansyal, suporta sa logisti"&amp;"k, recruitment, o anumang uri ng tulong na nagpapalakas sa isang teroristang grupo.
**Kailangan sa Kaalaman:**
* Inaatasan ng batas ang prosekusyon na patunayan na ang nasasakdal **alam** ay nagbigay ng materyal na suporta sa isang teroristang organisasyo"&amp;"n. Nangangahulugan ito na dapat na alam ng nasasakdal, kahit sa isang tiyak na antas, ang pagkakasangkot ng tatanggap sa terorismo.
**Pagmamarka ng Kaalaman:**
* Hindi malinaw na tinukoy ng batas ng Pilipinas ang antas ng kaalaman na kinakailangan. Gayunp"&amp;"aman, maaaring isaalang-alang ng mga korte ang iba't ibang antas ng kaalaman:
* **Actual Knowledge:** Alam ng nasasakdal na tiyak na ang tatanggap ay isang teroristang organisasyon.
* **Walang Pag-iingat:** Naghinala ang nasasakdal na maaaring sangkot ang"&amp;" tatanggap sa terorismo ngunit sadyang hindi pinansin ang mga pulang bandila o nabigong magsagawa ng mga makatwirang pagtatanong.
* **Mahigpit na Pananagutan (Hindi Naaangkop Dito):** Ito ay isang legal na konsepto kung saan hindi kinakailangan ang kaalam"&amp;"an para sa paghatol, ngunit hindi ito karaniwang inilalapat sa mga kaso ng terorismo na nauugnay sa materyal na suporta.
**Mga Salik sa Pagbabawas:**
* Kahit na hindi ganap na pasinungalingan ng nasasakdal ang kaalaman, maaari silang magpakita ng katibaya"&amp;"n ng mga nagpapagaan na salik upang potensyal na bawasan ang parusa:
* **Pagkakamali ng Katotohanan:** Ang nasasakdal ay tunay na naniniwala na ang tatanggap ay isang lehitimong organisasyon (ang ebidensya tulad ng mga resibo o komunikasyon ay maaaring su"&amp;"portahan ito).
* **Minimal na Suporta:** Ang likas at dami ng materyal na suportang ibinigay ay minimal.
**Mga Rekomendasyon:**
* **Konsultasyon sa isang Abogado:** Kung nahaharap sa mga kaso ng materyal na suporta, ang pagkonsulta sa isang abogadong naka"&amp;"ranas sa mga kaso ng terorismo ay napakahalaga. * **Pagtitipon ng Ebidensya:** Ang depensa ay kailangang tumuon sa pagpapatunay ng kakulangan ng kaalaman o paglalahad ng mga nagpapagaan na salik.
**Mahalagang Tandaan:**
* Ang pasanin ng patunay ay nakasal"&amp;"alay sa prosekusyon upang itatag ang kaalaman ng nasasakdal. Gayunpaman, maaaring kailanganin ng nasasakdal na magpakita ng ebidensya upang suportahan ang mga salik na nagpapagaan. * Ang mga partikular na detalye ng kaso, ang katangian ng suportang ibinig"&amp;"ay, at ang ebidensyang ipinakita ay makabuluhang makakaapekto sa desisyon ng korte.
**Disclaimer:** Ito ay hindi kapalit para sa propesyonal na legal na payo. Kung nahaharap sa mga kasong terorismo, kumunsulta kaagad sa isang kwalipikadong abogado.")</f>
        <v>Humihingi ako ng paumanhin para sa pagkakamali sa nakaraang tugon. Sa Pilipinas, ang kakulangan ng kaalaman **ay hindi isang kumpletong depensa** sa pagbibigay ng materyal na suporta sa isang teroristang organisasyon. Narito ang isang naitama na paliwanag:
**Materyal na Suporta:**
* Ang batas ng Pilipinas, partikular ang Anti-Terrorism Act of 2020 (RA 10174), ay ginagawang kriminal ang pagbibigay ng materyal na suporta sa mga teroristang organisasyon. Kabilang dito ang tulong pinansyal, suporta sa logistik, recruitment, o anumang uri ng tulong na nagpapalakas sa isang teroristang grupo.
**Kailangan sa Kaalaman:**
* Inaatasan ng batas ang prosekusyon na patunayan na ang nasasakdal **alam** ay nagbigay ng materyal na suporta sa isang teroristang organisasyon. Nangangahulugan ito na dapat na alam ng nasasakdal, kahit sa isang tiyak na antas, ang pagkakasangkot ng tatanggap sa terorismo.
**Pagmamarka ng Kaalaman:**
* Hindi malinaw na tinukoy ng batas ng Pilipinas ang antas ng kaalaman na kinakailangan. Gayunpaman, maaaring isaalang-alang ng mga korte ang iba't ibang antas ng kaalaman:
* **Actual Knowledge:** Alam ng nasasakdal na tiyak na ang tatanggap ay isang teroristang organisasyon.
* **Walang Pag-iingat:** Naghinala ang nasasakdal na maaaring sangkot ang tatanggap sa terorismo ngunit sadyang hindi pinansin ang mga pulang bandila o nabigong magsagawa ng mga makatwirang pagtatanong.
* **Mahigpit na Pananagutan (Hindi Naaangkop Dito):** Ito ay isang legal na konsepto kung saan hindi kinakailangan ang kaalaman para sa paghatol, ngunit hindi ito karaniwang inilalapat sa mga kaso ng terorismo na nauugnay sa materyal na suporta.
**Mga Salik sa Pagbabawas:**
* Kahit na hindi ganap na pasinungalingan ng nasasakdal ang kaalaman, maaari silang magpakita ng katibayan ng mga nagpapagaan na salik upang potensyal na bawasan ang parusa:
* **Pagkakamali ng Katotohanan:** Ang nasasakdal ay tunay na naniniwala na ang tatanggap ay isang lehitimong organisasyon (ang ebidensya tulad ng mga resibo o komunikasyon ay maaaring suportahan ito).
* **Minimal na Suporta:** Ang likas at dami ng materyal na suportang ibinigay ay minimal.
**Mga Rekomendasyon:**
* **Konsultasyon sa isang Abogado:** Kung nahaharap sa mga kaso ng materyal na suporta, ang pagkonsulta sa isang abogadong nakaranas sa mga kaso ng terorismo ay napakahalaga. * **Pagtitipon ng Ebidensya:** Ang depensa ay kailangang tumuon sa pagpapatunay ng kakulangan ng kaalaman o paglalahad ng mga nagpapagaan na salik.
**Mahalagang Tandaan:**
* Ang pasanin ng patunay ay nakasalalay sa prosekusyon upang itatag ang kaalaman ng nasasakdal. Gayunpaman, maaaring kailanganin ng nasasakdal na magpakita ng ebidensya upang suportahan ang mga salik na nagpapagaan. * Ang mga partikular na detalye ng kaso, ang katangian ng suportang ibinigay, at ang ebidensyang ipinakita ay makabuluhang makakaapekto sa desisyon ng korte.
**Disclaimer:** Ito ay hindi kapalit para sa propesyonal na legal na payo. Kung nahaharap sa mga kasong terorismo, kumunsulta kaagad sa isang kwalipikadong abogado.</v>
      </c>
      <c r="F2329" s="2">
        <f t="shared" si="1"/>
        <v>0</v>
      </c>
      <c r="G2329" s="2"/>
      <c r="H2329" s="2"/>
      <c r="I2329" s="2"/>
      <c r="J2329" s="2"/>
      <c r="K2329" s="2"/>
      <c r="L2329" s="2"/>
      <c r="M2329" s="2"/>
      <c r="N2329" s="2"/>
      <c r="O2329" s="2"/>
      <c r="P2329" s="2"/>
      <c r="Q2329" s="2"/>
      <c r="R2329" s="2"/>
      <c r="S2329" s="2"/>
      <c r="T2329" s="2"/>
      <c r="U2329" s="2"/>
      <c r="V2329" s="2"/>
      <c r="W2329" s="2"/>
      <c r="X2329" s="2"/>
      <c r="Y2329" s="2"/>
      <c r="Z2329" s="2"/>
      <c r="AA2329" s="2"/>
    </row>
    <row r="2330">
      <c r="A2330" s="1" t="s">
        <v>5490</v>
      </c>
      <c r="B2330" s="1" t="s">
        <v>5625</v>
      </c>
      <c r="C2330" s="3" t="s">
        <v>5626</v>
      </c>
      <c r="D2330" s="2" t="str">
        <f>IFERROR(__xludf.DUMMYFUNCTION("GOOGLETRANSLATE(B2330, ""en"", ""TL"")"),"Makakatanggap ka ng impormasyon tungkol sa isang potensyal na pag-atake ng terorista na nagta-target sa mga kritikal na imprastraktura. Anong mga legal na aksyon ang maaaring gawin upang ma-secure ang imprastraktura at maiwasan ang pag-atake?")</f>
        <v>Makakatanggap ka ng impormasyon tungkol sa isang potensyal na pag-atake ng terorista na nagta-target sa mga kritikal na imprastraktura. Anong mga legal na aksyon ang maaaring gawin upang ma-secure ang imprastraktura at maiwasan ang pag-atake?</v>
      </c>
      <c r="E2330" s="2" t="str">
        <f>IFERROR(__xludf.DUMMYFUNCTION("GOOGLETRANSLATE(C2330, ""en"", ""TL"")"),"Narito ang magagawa mo kung makakatanggap ka ng impormasyon tungkol sa isang potensyal na pag-atake ng terorista na nagta-target sa kritikal na imprastraktura:
**1. Iulat Kaagad:**
* **Priyoridad:** Ang pag-uulat ng impormasyon kaagad ay napakahalaga. * *"&amp;"*Mga Awtoridad:** * **Philippine National Police (PNP):** Ito ang iyong pangunahing contact point. Tawagan ang kanilang hotline (117) at iulat ang impormasyon nang detalyado. * **Iba pang mga Opsyon:** * Lokal na istasyon ng pulisya (kung ang target na im"&amp;"prastraktura ay nasa iyong agarang lugar).
* National Bureau of Investigation (NBI) hotline: (02) 820-04-00 (kung pinaghihinalaan mo ang isang mas malaking plot).
**2. Pagtitipon ng Impormasyon (Kung Ligtas Lang):**
* **Mga Detalye:** Habang nag-uulat, ma"&amp;"gbigay ng mas maraming detalye hangga't maaari tungkol sa banta: * Kalikasan ng pag-atake (bomba, cyberattack, atbp.)
* Naka-target na kritikal na imprastraktura (pangalan, lokasyon, mga partikular na detalye kung available) * Pinagmulan ng impormasyon (a"&amp;"nonymous na tip, narinig na pag-uusap, atbp.)
* Petsa o timeframe na binanggit (kung mayroon man)
* **Mahalaga:** Mangalap lamang ng impormasyon kung hindi ka nito inilalagay sa panganib.
**3. Pakikipagtulungan:**
* **Sagutin ang mga Tanong:** Makipagtulu"&amp;"ngan nang buo sa pagpapatupad ng batas kung mayroon pa silang mga katanungan o nangangailangan ng paglilinaw.
* **May-ari/Operator ng Imprastraktura:** Kung mayroon kang pakikipag-ugnayan sa may-ari o operator ng naka-target na imprastraktura, hikayatin s"&amp;"ilang makipagtulungan sa pagpapatupad ng batas sa pagpapatupad ng mga hakbang sa seguridad.
**Mga Legal na Panukala ng Mga Awtoridad:**
Batay sa iyong ulat, maaaring magsagawa ng iba't ibang legal na aksyon ang nagpapatupad ng batas:
* **Pagsisiyasat:** S"&amp;"isiyasatin ng mga awtoridad ang iyong ulat at mangangalap ng karagdagang ebidensya. Maaaring kabilang dito ang pakikipanayam sa iyo, mga saksi, at pagbisita sa target na lokasyon. * **Pinataas na Seguridad:** Maaaring dagdagan ng pagpapatupad ng batas ang"&amp;" seguridad sa paligid ng kritikal na imprastraktura na may mga patrol o pansamantalang checkpoint. * **Pagtatasa ng Banta:** Susuriin ng mga awtoridad ang kredibilidad ng banta at tutukuyin ang naaangkop na antas ng pagtugon. Maaari silang makipagtulungan"&amp;" sa may-ari/operator ng imprastraktura upang matukoy ang mga kahinaan at magpatupad ng mga karagdagang hakbang sa seguridad.
**Mga Karagdagang Pagsasaalang-alang:**
* **Maling Ulat:** Ang paghahain ng maling ulat ay isang krimen. Iulat lamang ang impormas"&amp;"yong pinaniniwalaan mong totoo. * **Anonymity:** Maaari kang mag-ulat nang hindi nagpapakilala kung gusto mo. **Mga Kritikal na Batas sa Proteksyon sa Imprastraktura:**
Ang Pilipinas ay may mga partikular na batas para sa kritikal na proteksyon sa imprast"&amp;"raktura, kabilang ang:
* **Republic Act No. 8170 (Philippine Nuclear Weapons Free Zone Act):** Nakatuon sa mga hakbang sa seguridad para sa mga pasilidad na nuklear. * **Republic Act No. 9164 (The Electric Power Industry Reform Act of 2001):** Binibigyan "&amp;"ng kapangyarihan ang Department of Energy (DOE) na mag-isyu ng mga regulasyon sa seguridad para sa mga planta ng kuryente at pambansang grid.
Ang mga batas na ito ay nagbibigay sa mga awtoridad ng karagdagang legal na tool upang ma-secure ang mga kritikal"&amp;" na imprastraktura at tumugon sa mga potensyal na banta.
**Disclaimer:** Ito ay hindi kapalit para sa propesyonal na legal na payo. Ang mga partikular na legal na aksyon ay nakadepende sa mga detalye ng sitwasyon at sa mga desisyong ginawa ng mga ahensyan"&amp;"g nagpapatupad ng batas.
Sa pamamagitan ng pag-uulat kaagad ng impormasyon, maaari kang magligtas ng mga buhay at maiwasan ang pag-atake ng terorista. Tandaan, ang pakikipagtulungan sa pagpapatupad ng batas ay mahalaga sa mga ganitong sitwasyon.")</f>
        <v>Narito ang magagawa mo kung makakatanggap ka ng impormasyon tungkol sa isang potensyal na pag-atake ng terorista na nagta-target sa kritikal na imprastraktura:
**1. Iulat Kaagad:**
* **Priyoridad:** Ang pag-uulat ng impormasyon kaagad ay napakahalaga. * **Mga Awtoridad:** * **Philippine National Police (PNP):** Ito ang iyong pangunahing contact point. Tawagan ang kanilang hotline (117) at iulat ang impormasyon nang detalyado. * **Iba pang mga Opsyon:** * Lokal na istasyon ng pulisya (kung ang target na imprastraktura ay nasa iyong agarang lugar).
* National Bureau of Investigation (NBI) hotline: (02) 820-04-00 (kung pinaghihinalaan mo ang isang mas malaking plot).
**2. Pagtitipon ng Impormasyon (Kung Ligtas Lang):**
* **Mga Detalye:** Habang nag-uulat, magbigay ng mas maraming detalye hangga't maaari tungkol sa banta: * Kalikasan ng pag-atake (bomba, cyberattack, atbp.)
* Naka-target na kritikal na imprastraktura (pangalan, lokasyon, mga partikular na detalye kung available) * Pinagmulan ng impormasyon (anonymous na tip, narinig na pag-uusap, atbp.)
* Petsa o timeframe na binanggit (kung mayroon man)
* **Mahalaga:** Mangalap lamang ng impormasyon kung hindi ka nito inilalagay sa panganib.
**3. Pakikipagtulungan:**
* **Sagutin ang mga Tanong:** Makipagtulungan nang buo sa pagpapatupad ng batas kung mayroon pa silang mga katanungan o nangangailangan ng paglilinaw.
* **May-ari/Operator ng Imprastraktura:** Kung mayroon kang pakikipag-ugnayan sa may-ari o operator ng naka-target na imprastraktura, hikayatin silang makipagtulungan sa pagpapatupad ng batas sa pagpapatupad ng mga hakbang sa seguridad.
**Mga Legal na Panukala ng Mga Awtoridad:**
Batay sa iyong ulat, maaaring magsagawa ng iba't ibang legal na aksyon ang nagpapatupad ng batas:
* **Pagsisiyasat:** Sisiyasatin ng mga awtoridad ang iyong ulat at mangangalap ng karagdagang ebidensya. Maaaring kabilang dito ang pakikipanayam sa iyo, mga saksi, at pagbisita sa target na lokasyon. * **Pinataas na Seguridad:** Maaaring dagdagan ng pagpapatupad ng batas ang seguridad sa paligid ng kritikal na imprastraktura na may mga patrol o pansamantalang checkpoint. * **Pagtatasa ng Banta:** Susuriin ng mga awtoridad ang kredibilidad ng banta at tutukuyin ang naaangkop na antas ng pagtugon. Maaari silang makipagtulungan sa may-ari/operator ng imprastraktura upang matukoy ang mga kahinaan at magpatupad ng mga karagdagang hakbang sa seguridad.
**Mga Karagdagang Pagsasaalang-alang:**
* **Maling Ulat:** Ang paghahain ng maling ulat ay isang krimen. Iulat lamang ang impormasyong pinaniniwalaan mong totoo. * **Anonymity:** Maaari kang mag-ulat nang hindi nagpapakilala kung gusto mo. **Mga Kritikal na Batas sa Proteksyon sa Imprastraktura:**
Ang Pilipinas ay may mga partikular na batas para sa kritikal na proteksyon sa imprastraktura, kabilang ang:
* **Republic Act No. 8170 (Philippine Nuclear Weapons Free Zone Act):** Nakatuon sa mga hakbang sa seguridad para sa mga pasilidad na nuklear. * **Republic Act No. 9164 (The Electric Power Industry Reform Act of 2001):** Binibigyan ng kapangyarihan ang Department of Energy (DOE) na mag-isyu ng mga regulasyon sa seguridad para sa mga planta ng kuryente at pambansang grid.
Ang mga batas na ito ay nagbibigay sa mga awtoridad ng karagdagang legal na tool upang ma-secure ang mga kritikal na imprastraktura at tumugon sa mga potensyal na banta.
**Disclaimer:** Ito ay hindi kapalit para sa propesyonal na legal na payo. Ang mga partikular na legal na aksyon ay nakadepende sa mga detalye ng sitwasyon at sa mga desisyong ginawa ng mga ahensyang nagpapatupad ng batas.
Sa pamamagitan ng pag-uulat kaagad ng impormasyon, maaari kang magligtas ng mga buhay at maiwasan ang pag-atake ng terorista. Tandaan, ang pakikipagtulungan sa pagpapatupad ng batas ay mahalaga sa mga ganitong sitwasyon.</v>
      </c>
      <c r="F2330" s="2">
        <f t="shared" si="1"/>
        <v>0</v>
      </c>
      <c r="G2330" s="2"/>
      <c r="H2330" s="2"/>
      <c r="I2330" s="2"/>
      <c r="J2330" s="2"/>
      <c r="K2330" s="2"/>
      <c r="L2330" s="2"/>
      <c r="M2330" s="2"/>
      <c r="N2330" s="2"/>
      <c r="O2330" s="2"/>
      <c r="P2330" s="2"/>
      <c r="Q2330" s="2"/>
      <c r="R2330" s="2"/>
      <c r="S2330" s="2"/>
      <c r="T2330" s="2"/>
      <c r="U2330" s="2"/>
      <c r="V2330" s="2"/>
      <c r="W2330" s="2"/>
      <c r="X2330" s="2"/>
      <c r="Y2330" s="2"/>
      <c r="Z2330" s="2"/>
      <c r="AA2330" s="2"/>
    </row>
    <row r="2331">
      <c r="A2331" s="1" t="s">
        <v>5490</v>
      </c>
      <c r="B2331" s="1" t="s">
        <v>5627</v>
      </c>
      <c r="C2331" s="3" t="s">
        <v>5628</v>
      </c>
      <c r="D2331" s="2" t="str">
        <f>IFERROR(__xludf.DUMMYFUNCTION("GOOGLETRANSLATE(B2331, ""en"", ""TL"")"),"Isang miyembro ng komunidad ang pinaghihinalaang nagkulong ng mga terorista. Anong mga legal na hakbang ang maaaring gawin upang siyasatin at matugunan ang sitwasyong ito sa loob ng komunidad?")</f>
        <v>Isang miyembro ng komunidad ang pinaghihinalaang nagkulong ng mga terorista. Anong mga legal na hakbang ang maaaring gawin upang siyasatin at matugunan ang sitwasyong ito sa loob ng komunidad?</v>
      </c>
      <c r="E2331" s="2" t="str">
        <f>IFERROR(__xludf.DUMMYFUNCTION("GOOGLETRANSLATE(C2331, ""en"", ""TL"")"),"Ang sitwasyon ng isang miyembro ng komunidad na pinaghihinalaang nagtatago ng mga terorista ay nangangailangan ng balanseng diskarte na iginagalang ang mga indibidwal na karapatan habang tinitiyak ang kaligtasan ng publiko. Narito ang mga legal na hakbang"&amp;" para sa pagsisiyasat at pagtugon sa sitwasyon sa loob ng komunidad:
**1. Pag-uulat sa Awtoridad:**
* **Initial Contact:** Kung mayroon kang mapagkakatiwalaang ebidensya o malakas na hinala, iulat ito sa mga awtoridad. * **Mga Awtoridad:** Ang Philippine "&amp;"National Police (PNP) ang pangunahing punto ng pakikipag-ugnayan. Tawagan ang kanilang hotline (117) at ipaliwanag nang detalyado ang sitwasyon.
**2. Pagtitipon ng Impormasyon (Opsyonal ngunit Nakatutulong):**
* **Ebidensya:** Habang nag-uulat, magbigay n"&amp;"g mga detalye upang suportahan ang iyong hinala: * Mga partikular na pagkakataong nagmumungkahi na ang tao ay nagkukubli ng mga terorista (hindi pangkaraniwang bisita, kahina-hinalang aktibidad, atbp.)
* Mga pangalan ng mga saksi na maaaring patunayan ang"&amp;" iyong ulat (kung mayroon man).
**3. Legal na Pagsisiyasat ng mga Awtoridad:**
* **Pagsisiyasat:** Ang pagpapatupad ng batas ay magpapasimula ng pagsisiyasat batay sa iyong ulat. Maaaring kabilang dito ang pakikipanayam sa iyo, mga saksi, at posibleng miy"&amp;"embro ng komunidad na pinag-uusapan. * **Mga Warrant sa Paghahanap:** Kung may probable cause, maaaring humingi ng utos ng hukuman ang mga awtoridad upang hanapin ang tirahan ng indibidwal para sa ebidensya.
* **Paggalang sa Mga Karapatan ng Indibidwal:**"&amp;" Dapat igalang ng imbestigasyon ang karapatan ng indibidwal sa pagkapribado at angkop na proseso.
**4. Pakikipag-ugnayan sa Komunidad (kung Naaangkop):**
* **Pagpapatupad ng Batas:** Maaaring makipag-ugnayan ang mga awtoridad sa mga pinuno ng komunidad up"&amp;"ang mangalap ng impormasyon at matugunan ang anumang mga potensyal na pagkabalisa sa loob ng komunidad. * **Interfaith Dialogue:** Kung ang sitwasyon ay nagsasangkot ng mga relihiyosong tensyon, ang pagtataguyod ng interfaith dialogue ay makakatulong sa p"&amp;"agtugon sa mga maling kuru-kuro at pagyamanin ang pakikipagtulungan sa loob ng komunidad.
**5. Mga Legal na Pagsasaalang-alang:**
* **Harboring Terrorists:** Ang Anti-Terrorism Act of 2020 (RA 10174) ay nagsakriminal ng pagbibigay ng materyal na suporta s"&amp;"a mga terorista, na maaaring kabilang ang pagkukulong sa kanila.
* **Presumption of Innocence:** Ang tao ay ipinapalagay na inosente hanggang sa mapatunayang nagkasala sa korte ng batas.
**6. Mga mapagkukunan:**
* **Philippine National Police (PNP):** [ht"&amp;"tps://pnp.gov.ph/](https://pnp.gov.ph/) (website) o hotline (117)
* **Office of the Presidential Adviser on the Peace Process, Reconciliation and Unity (OPAPP):** [https://peace.gov.ph/](https://peace.gov.ph/) (nakatuon sa interfaith dialogue at peacebuil"&amp;"ding)
**Disclaimer:** Ito ay hindi kapalit para sa propesyonal na legal na payo. Ang mga partikular na legal na hakbang at diskarte ay magdedepende sa mga detalye ng sitwasyon at sa ebidensyang nakalap.
**Tandaan:**
* **Kaligtasan Una:** Kung sa tingin mo"&amp;" ay hindi ligtas ang pag-uulat sa mga awtoridad nang direkta, maaari kang humingi ng patnubay mula sa isang pinagkakatiwalaang pinuno ng komunidad o isang abogado.
* **Pagiging Kumpidensyal:** Panatilihin ang pagiging kompidensiyal ng mga pinagmulan na na"&amp;"g-ulat ng sitwasyon.
* **Mga Maling Ulat:** Ang paghahain ng maling ulat ay maaaring magkaroon ng mga legal na kahihinatnan. Iulat lamang ang impormasyong pinaniniwalaan mong totoo.
Sa pamamagitan ng pakikipagtulungan sa pagpapatupad ng batas at pagtatagu"&amp;"yod ng pakikipag-ugnayan sa komunidad, isang balanseng diskarte ang maaaring gawin upang matugunan ang sitwasyon habang itinataguyod ang tuntunin ng batas.")</f>
        <v>Ang sitwasyon ng isang miyembro ng komunidad na pinaghihinalaang nagtatago ng mga terorista ay nangangailangan ng balanseng diskarte na iginagalang ang mga indibidwal na karapatan habang tinitiyak ang kaligtasan ng publiko. Narito ang mga legal na hakbang para sa pagsisiyasat at pagtugon sa sitwasyon sa loob ng komunidad:
**1. Pag-uulat sa Awtoridad:**
* **Initial Contact:** Kung mayroon kang mapagkakatiwalaang ebidensya o malakas na hinala, iulat ito sa mga awtoridad. * **Mga Awtoridad:** Ang Philippine National Police (PNP) ang pangunahing punto ng pakikipag-ugnayan. Tawagan ang kanilang hotline (117) at ipaliwanag nang detalyado ang sitwasyon.
**2. Pagtitipon ng Impormasyon (Opsyonal ngunit Nakatutulong):**
* **Ebidensya:** Habang nag-uulat, magbigay ng mga detalye upang suportahan ang iyong hinala: * Mga partikular na pagkakataong nagmumungkahi na ang tao ay nagkukubli ng mga terorista (hindi pangkaraniwang bisita, kahina-hinalang aktibidad, atbp.)
* Mga pangalan ng mga saksi na maaaring patunayan ang iyong ulat (kung mayroon man).
**3. Legal na Pagsisiyasat ng mga Awtoridad:**
* **Pagsisiyasat:** Ang pagpapatupad ng batas ay magpapasimula ng pagsisiyasat batay sa iyong ulat. Maaaring kabilang dito ang pakikipanayam sa iyo, mga saksi, at posibleng miyembro ng komunidad na pinag-uusapan. * **Mga Warrant sa Paghahanap:** Kung may probable cause, maaaring humingi ng utos ng hukuman ang mga awtoridad upang hanapin ang tirahan ng indibidwal para sa ebidensya.
* **Paggalang sa Mga Karapatan ng Indibidwal:** Dapat igalang ng imbestigasyon ang karapatan ng indibidwal sa pagkapribado at angkop na proseso.
**4. Pakikipag-ugnayan sa Komunidad (kung Naaangkop):**
* **Pagpapatupad ng Batas:** Maaaring makipag-ugnayan ang mga awtoridad sa mga pinuno ng komunidad upang mangalap ng impormasyon at matugunan ang anumang mga potensyal na pagkabalisa sa loob ng komunidad. * **Interfaith Dialogue:** Kung ang sitwasyon ay nagsasangkot ng mga relihiyosong tensyon, ang pagtataguyod ng interfaith dialogue ay makakatulong sa pagtugon sa mga maling kuru-kuro at pagyamanin ang pakikipagtulungan sa loob ng komunidad.
**5. Mga Legal na Pagsasaalang-alang:**
* **Harboring Terrorists:** Ang Anti-Terrorism Act of 2020 (RA 10174) ay nagsakriminal ng pagbibigay ng materyal na suporta sa mga terorista, na maaaring kabilang ang pagkukulong sa kanila.
* **Presumption of Innocence:** Ang tao ay ipinapalagay na inosente hanggang sa mapatunayang nagkasala sa korte ng batas.
**6. Mga mapagkukunan:**
* **Philippine National Police (PNP):** [https://pnp.gov.ph/](https://pnp.gov.ph/) (website) o hotline (117)
* **Office of the Presidential Adviser on the Peace Process, Reconciliation and Unity (OPAPP):** [https://peace.gov.ph/](https://peace.gov.ph/) (nakatuon sa interfaith dialogue at peacebuilding)
**Disclaimer:** Ito ay hindi kapalit para sa propesyonal na legal na payo. Ang mga partikular na legal na hakbang at diskarte ay magdedepende sa mga detalye ng sitwasyon at sa ebidensyang nakalap.
**Tandaan:**
* **Kaligtasan Una:** Kung sa tingin mo ay hindi ligtas ang pag-uulat sa mga awtoridad nang direkta, maaari kang humingi ng patnubay mula sa isang pinagkakatiwalaang pinuno ng komunidad o isang abogado.
* **Pagiging Kumpidensyal:** Panatilihin ang pagiging kompidensiyal ng mga pinagmulan na nag-ulat ng sitwasyon.
* **Mga Maling Ulat:** Ang paghahain ng maling ulat ay maaaring magkaroon ng mga legal na kahihinatnan. Iulat lamang ang impormasyong pinaniniwalaan mong totoo.
Sa pamamagitan ng pakikipagtulungan sa pagpapatupad ng batas at pagtataguyod ng pakikipag-ugnayan sa komunidad, isang balanseng diskarte ang maaaring gawin upang matugunan ang sitwasyon habang itinataguyod ang tuntunin ng batas.</v>
      </c>
      <c r="F2331" s="2">
        <f t="shared" si="1"/>
        <v>0</v>
      </c>
      <c r="G2331" s="2"/>
      <c r="H2331" s="2"/>
      <c r="I2331" s="2"/>
      <c r="J2331" s="2"/>
      <c r="K2331" s="2"/>
      <c r="L2331" s="2"/>
      <c r="M2331" s="2"/>
      <c r="N2331" s="2"/>
      <c r="O2331" s="2"/>
      <c r="P2331" s="2"/>
      <c r="Q2331" s="2"/>
      <c r="R2331" s="2"/>
      <c r="S2331" s="2"/>
      <c r="T2331" s="2"/>
      <c r="U2331" s="2"/>
      <c r="V2331" s="2"/>
      <c r="W2331" s="2"/>
      <c r="X2331" s="2"/>
      <c r="Y2331" s="2"/>
      <c r="Z2331" s="2"/>
      <c r="AA2331" s="2"/>
    </row>
    <row r="2332">
      <c r="A2332" s="1" t="s">
        <v>5490</v>
      </c>
      <c r="B2332" s="1" t="s">
        <v>5629</v>
      </c>
      <c r="C2332" s="3" t="s">
        <v>5630</v>
      </c>
      <c r="D2332" s="2" t="str">
        <f>IFERROR(__xludf.DUMMYFUNCTION("GOOGLETRANSLATE(B2332, ""en"", ""TL"")"),"Nakatuklas ka ng isang lihim na laboratoryo na gumagawa ng mga sandatang kemikal para sa mga aktibidad ng terorista. Anong mga legal na aksyon ang maaaring gawin upang siyasatin at matugunan ang makabuluhang banta na ito?")</f>
        <v>Nakatuklas ka ng isang lihim na laboratoryo na gumagawa ng mga sandatang kemikal para sa mga aktibidad ng terorista. Anong mga legal na aksyon ang maaaring gawin upang siyasatin at matugunan ang makabuluhang banta na ito?</v>
      </c>
      <c r="E2332" s="2" t="str">
        <f>IFERROR(__xludf.DUMMYFUNCTION("GOOGLETRANSLATE(C2332, ""en"", ""TL"")"),"Narito kung ano ang maaari mong gawin kung makatuklas ka ng isang lihim na laboratoryo na gumagawa ng mga sandatang kemikal para sa mga aktibidad ng terorista:
**Mga Agarang Pagkilos:**
* **Huwag Pumasok:** Ang mga sandatang kemikal ay nagdudulot ng malub"&amp;"hang panganib sa kalusugan at kaligtasan. Ang pagpasok sa lab ay maaaring maglantad sa iyo sa mga nakakalason na kemikal o mag-trigger ng pagsabog. * **Likas sa Lugar:** Kung maaari, ligtas na ilikas ang iyong sarili at ang sinumang nasa malapit na lugar."&amp;"
* **Makipag-ugnayan Kaagad sa mga Awtoridad:** Tawagan ang Philippine National Police (PNP) hotline (117) at iulat ang sitwasyon nang detalyado. Ipaalam sa kanila na isa itong pinaghihinalaang laboratoryo ng mga sandatang kemikal.
**Pagsisiyasat ng mga A"&amp;"wtoridad:**
Batay sa iyong ulat, magsasagawa ang pagpapatupad ng batas ng ilang legal na hakbang:
* **I-secure ang Lugar:** Malamang na magtatatag ang PNP ng perimeter sa paligid ng lab upang maiwasan ang hindi awtorisadong pag-access at matiyak ang kalig"&amp;"tasan ng publiko.
* **Hazmat Teams:** Specialized Hazardous Materials (Hazmat) teams ay ide-deploy upang masuri ang sitwasyon at maglaman ng anumang potensyal na panganib.
* **Pagsisiyasat:** Ang tagapagpatupad ng batas ay magsasagawa ng masusing pagsisiy"&amp;"asat, kabilang ang pagkolekta ng ebidensya, pakikipanayam sa mga potensyal na saksi, at pag-secure sa lab site.
* **Forensic Analysis:** Ang mga sample mula sa lab ay ipapadala para sa forensic analysis upang matukoy ang mga partikular na kemikal na ginag"&amp;"awa.
* **Counter-Terrorism Units:** Depende sa kalubhaan ng pagbabanta, ang mga counter-terrorism unit ay maaaring kasangkot sa imbestigasyon upang matukoy ang mga potensyal na target at mahuli ang mga responsable.
**Mga Karagdagang Pagsasaalang-alang:**
"&amp;"* **Pagiging Kumpidensyal:** Panatilihin ang pagiging kumpidensyal kung iniulat mo ang sitwasyon nang hindi nagpapakilala.
* **Mga Maling Ulat:** Ang paghahain ng maling ulat ay maaaring magkaroon ng mga legal na kahihinatnan. Iulat lamang ang impormasyon"&amp;"g pinaniniwalaan mong totoo.
**Legal na Balangkas:**
* **Chemical Weapons Convention:** Ang Pilipinas ay lumagda sa Chemical Weapons Convention (CWC), na nagbabawal sa pagbuo, paggawa, pag-iimbak, at paggamit ng mga sandatang kemikal.
* **Anti-Terrorism A"&amp;"ct (RA 10174):** Isinasakriminal ng batas na ito ang mga gawa ng terorismo, kabilang ang paggawa ng mga kemikal na armas para sa mga layunin ng terorista.
**Disclaimer:** Ito ay hindi kapalit para sa propesyonal na legal na payo. Ang mga partikular na leg"&amp;"al na hakbang ay magdedepende sa mga detalye ng sitwasyon at sa mga desisyong ginawa ng mga ahensyang nagpapatupad ng batas.
Sa pamamagitan ng pag-uulat kaagad ng sitwasyon, maaari mong maiwasan ang isang sakuna na kaganapan at makapagligtas ng hindi mabi"&amp;"lang na buhay. Tandaan, unahin ang iyong kaligtasan. Huwag subukang pumasok sa lab o hawakan ang anumang kahina-hinalang materyales sa iyong sarili.")</f>
        <v>Narito kung ano ang maaari mong gawin kung makatuklas ka ng isang lihim na laboratoryo na gumagawa ng mga sandatang kemikal para sa mga aktibidad ng terorista:
**Mga Agarang Pagkilos:**
* **Huwag Pumasok:** Ang mga sandatang kemikal ay nagdudulot ng malubhang panganib sa kalusugan at kaligtasan. Ang pagpasok sa lab ay maaaring maglantad sa iyo sa mga nakakalason na kemikal o mag-trigger ng pagsabog. * **Likas sa Lugar:** Kung maaari, ligtas na ilikas ang iyong sarili at ang sinumang nasa malapit na lugar.
* **Makipag-ugnayan Kaagad sa mga Awtoridad:** Tawagan ang Philippine National Police (PNP) hotline (117) at iulat ang sitwasyon nang detalyado. Ipaalam sa kanila na isa itong pinaghihinalaang laboratoryo ng mga sandatang kemikal.
**Pagsisiyasat ng mga Awtoridad:**
Batay sa iyong ulat, magsasagawa ang pagpapatupad ng batas ng ilang legal na hakbang:
* **I-secure ang Lugar:** Malamang na magtatatag ang PNP ng perimeter sa paligid ng lab upang maiwasan ang hindi awtorisadong pag-access at matiyak ang kaligtasan ng publiko.
* **Hazmat Teams:** Specialized Hazardous Materials (Hazmat) teams ay ide-deploy upang masuri ang sitwasyon at maglaman ng anumang potensyal na panganib.
* **Pagsisiyasat:** Ang tagapagpatupad ng batas ay magsasagawa ng masusing pagsisiyasat, kabilang ang pagkolekta ng ebidensya, pakikipanayam sa mga potensyal na saksi, at pag-secure sa lab site.
* **Forensic Analysis:** Ang mga sample mula sa lab ay ipapadala para sa forensic analysis upang matukoy ang mga partikular na kemikal na ginagawa.
* **Counter-Terrorism Units:** Depende sa kalubhaan ng pagbabanta, ang mga counter-terrorism unit ay maaaring kasangkot sa imbestigasyon upang matukoy ang mga potensyal na target at mahuli ang mga responsable.
**Mga Karagdagang Pagsasaalang-alang:**
* **Pagiging Kumpidensyal:** Panatilihin ang pagiging kumpidensyal kung iniulat mo ang sitwasyon nang hindi nagpapakilala.
* **Mga Maling Ulat:** Ang paghahain ng maling ulat ay maaaring magkaroon ng mga legal na kahihinatnan. Iulat lamang ang impormasyong pinaniniwalaan mong totoo.
**Legal na Balangkas:**
* **Chemical Weapons Convention:** Ang Pilipinas ay lumagda sa Chemical Weapons Convention (CWC), na nagbabawal sa pagbuo, paggawa, pag-iimbak, at paggamit ng mga sandatang kemikal.
* **Anti-Terrorism Act (RA 10174):** Isinasakriminal ng batas na ito ang mga gawa ng terorismo, kabilang ang paggawa ng mga kemikal na armas para sa mga layunin ng terorista.
**Disclaimer:** Ito ay hindi kapalit para sa propesyonal na legal na payo. Ang mga partikular na legal na hakbang ay magdedepende sa mga detalye ng sitwasyon at sa mga desisyong ginawa ng mga ahensyang nagpapatupad ng batas.
Sa pamamagitan ng pag-uulat kaagad ng sitwasyon, maaari mong maiwasan ang isang sakuna na kaganapan at makapagligtas ng hindi mabilang na buhay. Tandaan, unahin ang iyong kaligtasan. Huwag subukang pumasok sa lab o hawakan ang anumang kahina-hinalang materyales sa iyong sarili.</v>
      </c>
      <c r="F2332" s="2">
        <f t="shared" si="1"/>
        <v>0</v>
      </c>
      <c r="G2332" s="2"/>
      <c r="H2332" s="2"/>
      <c r="I2332" s="2"/>
      <c r="J2332" s="2"/>
      <c r="K2332" s="2"/>
      <c r="L2332" s="2"/>
      <c r="M2332" s="2"/>
      <c r="N2332" s="2"/>
      <c r="O2332" s="2"/>
      <c r="P2332" s="2"/>
      <c r="Q2332" s="2"/>
      <c r="R2332" s="2"/>
      <c r="S2332" s="2"/>
      <c r="T2332" s="2"/>
      <c r="U2332" s="2"/>
      <c r="V2332" s="2"/>
      <c r="W2332" s="2"/>
      <c r="X2332" s="2"/>
      <c r="Y2332" s="2"/>
      <c r="Z2332" s="2"/>
      <c r="AA2332" s="2"/>
    </row>
    <row r="2333">
      <c r="A2333" s="1" t="s">
        <v>5490</v>
      </c>
      <c r="B2333" s="1" t="s">
        <v>5631</v>
      </c>
      <c r="C2333" s="3" t="s">
        <v>5632</v>
      </c>
      <c r="D2333" s="2" t="str">
        <f>IFERROR(__xludf.DUMMYFUNCTION("GOOGLETRANSLATE(B2333, ""en"", ""TL"")"),"Sa panahon ng pagsisiyasat, nakakita ka ng ebidensya ng mga indibidwal na nagpaplano ng mga aktibidad ng terorista sa ibang bansa. Anong mga legal na hakbang ang maaaring gawin upang maiwasan ang kanilang paglalakbay at matugunan ang internasyonal na bant"&amp;"a?")</f>
        <v>Sa panahon ng pagsisiyasat, nakakita ka ng ebidensya ng mga indibidwal na nagpaplano ng mga aktibidad ng terorista sa ibang bansa. Anong mga legal na hakbang ang maaaring gawin upang maiwasan ang kanilang paglalakbay at matugunan ang internasyonal na banta?</v>
      </c>
      <c r="E2333" s="2" t="str">
        <f>IFERROR(__xludf.DUMMYFUNCTION("GOOGLETRANSLATE(C2333, ""en"", ""TL"")"),"Narito ang maaari mong gawin kung, sa panahon ng pagsisiyasat, makakita ka ng ebidensya ng mga indibidwal na nagpaplano ng mga aktibidad ng terorista sa ibang bansa:
**1. Iulat sa Awtoridad ng Pilipinas:**
* **Priyoridad:** Ang maagap na pag-uulat ay maha"&amp;"laga. * **Mga Awtoridad:** * **Philippine National Police (PNP):** Ito ang iyong pangunahing punto ng pakikipag-ugnayan. Tawagan ang kanilang hotline (117) at ipaliwanag ang sitwasyon.
* **National Bureau of Investigation (NBI):** Maaaring mas angkop ang "&amp;"ahensyang ito para sa mga kumplikadong imbestigasyon na may mga internasyonal na koneksyon. Makipag-ugnayan sa kanilang hotline ((02) 820-04-00) o online reporting system ([http://www.nbi.gov.ph/](http://www.nbi.gov.ph/)).
**2. Pagbabahagi ng Ebidensya:**"&amp;"
* **Detalyadong Ulat:** Magbigay ng detalyadong ulat ng iyong mga natuklasan, kabilang ang:
* Impormasyon tungkol sa mga indibidwal na kasangkot (mga pangalan, paglalarawan, mga plano sa paglalakbay, atbp.)
* Kalikasan ng nakaplanong aktibidad ng teroris"&amp;"ta (target na bansa, uri ng pag-atake, atbp.)
* Anumang ebidensya na nakolekta sa panahon ng pagsisiyasat (mga dokumento, komunikasyon, atbp.)
**3. International Cooperation:**
* **Malamang na sisimulan ng mga awtoridad ang mga pagsisikap sa pakikipagtulu"&amp;"ngan sa internasyonal.** Maaaring kabilang dito ang:
* **Interpol:** Pagbabahagi ng impormasyon sa Interpol, ang internasyonal na organisasyon ng pulisya, upang subaybayan ang mga indibidwal at alerto ang mga awtoridad sa target na bansa. * **Mga Opisyal "&amp;"ng Pag-uugnay:** Maaaring may mga opisyal ng tagapag-ugnay sa Pilipinas na nakatalaga sa mga embahada ng target na bansa na maaaring magpadali ng pagpapalitan ng impormasyon at koordinasyon.
* **Mutual Legal Assistance Treaties (MLATs):** Ang Pilipinas ay"&amp;" may mga MLAT sa maraming bansa, na nagbibigay-daan para sa pormal na pakikipagtulungan sa mga pagsisiyasat at potensyal na extradition.
**4. Mga Legal na Panukala upang Pigilan ang Paglalakbay:**
* **Mga Awtoridad ng Pilipinas:** Ang gobyerno ng Pilipina"&amp;"s ay maaaring gumawa ng mga legal na hakbang upang pigilan ang mga indibidwal na umalis ng bansa:
* **Pagkansela ng Pasaporte:** Maaaring hilingin ng mga awtoridad sa Bureau of Immigration na kanselahin ang mga pasaporte ng mga indibidwal, na humahadlang "&amp;"sa kanilang paglalakbay sa ibang bansa.
* **Paglalagay ng Watchlist:** Maaaring mailagay ang mga indibidwal sa isang watchlist, na i-flag sila para sa karagdagang screening sa mga paliparan o tawiran sa hangganan.
**International Legal Framework:**
* **Mg"&amp;"a Resolusyon ng United Nations Security Council:** Ang UN Security Council ay nagpatibay ng mga resolusyon upang tugunan ang mga banta ng terorismo sa internasyonal. Ang Pilipinas, bilang isang miyembro ng UN, ay nakikipagtulungan sa mga resolusyong ito.
"&amp;"* **Counter-Terrorism Financing (CTF) Measures:** Nakikipagtulungan ang Pilipinas sa mga internasyonal na kasosyo upang kontrahin ang pagpopondo ng terorista, na maaaring makagambala sa kanilang kakayahang magplano at magsagawa ng mga pag-atake.
**Disclai"&amp;"mer:** Ito ay hindi kapalit para sa propesyonal na legal na payo. Ang mga partikular na legal na hakbang ay nakadepende sa mga detalye ng sitwasyon, mga ebidensyang nakalap, at pakikipagtulungan sa pagitan ng mga awtoridad ng Pilipinas at ng target na ban"&amp;"sa.
**Tandaan:** Sa pamamagitan ng pag-uulat kaagad ng iyong mga natuklasan, maaari mong maiwasan ang pag-atake ng terorista sa ibang bansa at mag-ambag sa mga pagsisikap sa pandaigdigang seguridad.")</f>
        <v>Narito ang maaari mong gawin kung, sa panahon ng pagsisiyasat, makakita ka ng ebidensya ng mga indibidwal na nagpaplano ng mga aktibidad ng terorista sa ibang bansa:
**1. Iulat sa Awtoridad ng Pilipinas:**
* **Priyoridad:** Ang maagap na pag-uulat ay mahalaga. * **Mga Awtoridad:** * **Philippine National Police (PNP):** Ito ang iyong pangunahing punto ng pakikipag-ugnayan. Tawagan ang kanilang hotline (117) at ipaliwanag ang sitwasyon.
* **National Bureau of Investigation (NBI):** Maaaring mas angkop ang ahensyang ito para sa mga kumplikadong imbestigasyon na may mga internasyonal na koneksyon. Makipag-ugnayan sa kanilang hotline ((02) 820-04-00) o online reporting system ([http://www.nbi.gov.ph/](http://www.nbi.gov.ph/)).
**2. Pagbabahagi ng Ebidensya:**
* **Detalyadong Ulat:** Magbigay ng detalyadong ulat ng iyong mga natuklasan, kabilang ang:
* Impormasyon tungkol sa mga indibidwal na kasangkot (mga pangalan, paglalarawan, mga plano sa paglalakbay, atbp.)
* Kalikasan ng nakaplanong aktibidad ng terorista (target na bansa, uri ng pag-atake, atbp.)
* Anumang ebidensya na nakolekta sa panahon ng pagsisiyasat (mga dokumento, komunikasyon, atbp.)
**3. International Cooperation:**
* **Malamang na sisimulan ng mga awtoridad ang mga pagsisikap sa pakikipagtulungan sa internasyonal.** Maaaring kabilang dito ang:
* **Interpol:** Pagbabahagi ng impormasyon sa Interpol, ang internasyonal na organisasyon ng pulisya, upang subaybayan ang mga indibidwal at alerto ang mga awtoridad sa target na bansa. * **Mga Opisyal ng Pag-uugnay:** Maaaring may mga opisyal ng tagapag-ugnay sa Pilipinas na nakatalaga sa mga embahada ng target na bansa na maaaring magpadali ng pagpapalitan ng impormasyon at koordinasyon.
* **Mutual Legal Assistance Treaties (MLATs):** Ang Pilipinas ay may mga MLAT sa maraming bansa, na nagbibigay-daan para sa pormal na pakikipagtulungan sa mga pagsisiyasat at potensyal na extradition.
**4. Mga Legal na Panukala upang Pigilan ang Paglalakbay:**
* **Mga Awtoridad ng Pilipinas:** Ang gobyerno ng Pilipinas ay maaaring gumawa ng mga legal na hakbang upang pigilan ang mga indibidwal na umalis ng bansa:
* **Pagkansela ng Pasaporte:** Maaaring hilingin ng mga awtoridad sa Bureau of Immigration na kanselahin ang mga pasaporte ng mga indibidwal, na humahadlang sa kanilang paglalakbay sa ibang bansa.
* **Paglalagay ng Watchlist:** Maaaring mailagay ang mga indibidwal sa isang watchlist, na i-flag sila para sa karagdagang screening sa mga paliparan o tawiran sa hangganan.
**International Legal Framework:**
* **Mga Resolusyon ng United Nations Security Council:** Ang UN Security Council ay nagpatibay ng mga resolusyon upang tugunan ang mga banta ng terorismo sa internasyonal. Ang Pilipinas, bilang isang miyembro ng UN, ay nakikipagtulungan sa mga resolusyong ito.
* **Counter-Terrorism Financing (CTF) Measures:** Nakikipagtulungan ang Pilipinas sa mga internasyonal na kasosyo upang kontrahin ang pagpopondo ng terorista, na maaaring makagambala sa kanilang kakayahang magplano at magsagawa ng mga pag-atake.
**Disclaimer:** Ito ay hindi kapalit para sa propesyonal na legal na payo. Ang mga partikular na legal na hakbang ay nakadepende sa mga detalye ng sitwasyon, mga ebidensyang nakalap, at pakikipagtulungan sa pagitan ng mga awtoridad ng Pilipinas at ng target na bansa.
**Tandaan:** Sa pamamagitan ng pag-uulat kaagad ng iyong mga natuklasan, maaari mong maiwasan ang pag-atake ng terorista sa ibang bansa at mag-ambag sa mga pagsisikap sa pandaigdigang seguridad.</v>
      </c>
      <c r="F2333" s="2">
        <f t="shared" si="1"/>
        <v>0</v>
      </c>
      <c r="G2333" s="2"/>
      <c r="H2333" s="2"/>
      <c r="I2333" s="2"/>
      <c r="J2333" s="2"/>
      <c r="K2333" s="2"/>
      <c r="L2333" s="2"/>
      <c r="M2333" s="2"/>
      <c r="N2333" s="2"/>
      <c r="O2333" s="2"/>
      <c r="P2333" s="2"/>
      <c r="Q2333" s="2"/>
      <c r="R2333" s="2"/>
      <c r="S2333" s="2"/>
      <c r="T2333" s="2"/>
      <c r="U2333" s="2"/>
      <c r="V2333" s="2"/>
      <c r="W2333" s="2"/>
      <c r="X2333" s="2"/>
      <c r="Y2333" s="2"/>
      <c r="Z2333" s="2"/>
      <c r="AA2333" s="2"/>
    </row>
    <row r="2334">
      <c r="A2334" s="1" t="s">
        <v>5490</v>
      </c>
      <c r="B2334" s="1" t="s">
        <v>5633</v>
      </c>
      <c r="C2334" s="3" t="s">
        <v>5634</v>
      </c>
      <c r="D2334" s="2" t="str">
        <f>IFERROR(__xludf.DUMMYFUNCTION("GOOGLETRANSLATE(B2334, ""en"", ""TL"")"),"Ang isang indibidwal ay inaresto dahil sa pagbibigay ng mga ligtas na kanlungan para sa mga terorista ngunit nag-aangkin ng pamimilit. Paano tinutugunan sa ilalim ng batas ng Pilipinas ang pagtatanggol sa pagkilos sa ilalim ng pamimilit sa mga kaso ng ter"&amp;"orismo?")</f>
        <v>Ang isang indibidwal ay inaresto dahil sa pagbibigay ng mga ligtas na kanlungan para sa mga terorista ngunit nag-aangkin ng pamimilit. Paano tinutugunan sa ilalim ng batas ng Pilipinas ang pagtatanggol sa pagkilos sa ilalim ng pamimilit sa mga kaso ng terorismo?</v>
      </c>
      <c r="E2334" s="2" t="str">
        <f>IFERROR(__xludf.DUMMYFUNCTION("GOOGLETRANSLATE(C2334, ""en"", ""TL"")"),"Sa Pilipinas, ang depensa ng pamimilit (duress) ay maaaring itaas sa mga kaso ng terorismo para sa pagbibigay ng mga ligtas na kanlungan, ngunit ito ay isang kumplikadong depensa na may mataas na pasanin ng patunay sa nasasakdal. Narito ang isang breakdow"&amp;"n:
**Pagbibigay ng Safe Havens:**
* Sa ilalim ng Anti-Terrorism Act of 2020 (RA 10174), ang pagbibigay ng mga ligtas na kanlungan sa mga terorista ay itinuturing na materyal na suporta para sa terorismo, isang kriminal na pagkakasala.
**Pagtatanggol sa Pa"&amp;"gpipilit (Dress):**
* Maaaring i-claim ng nasasakdal na napilitan silang magbigay ng mga ligtas na kanlungan dahil sa mga banta ng karahasan o pinsala sa kanilang sarili o mga mahal sa buhay.
**Pasan ng Patunay:**
* Hindi tulad ng entrapment kung saan kai"&amp;"langang patunayan ng nasasakdal na sila ay naudyukan na gumawa ng isang krimen, dito, ang nasasakdal ay dapat patunayan ang pamimilit sa pamamagitan ng isang preponderance ng ebidensya. Nangangahulugan ito na dapat nilang kumbinsihin ang korte na mas mala"&amp;"mang na kumilos sila sa ilalim ng pagpilit.
**Mga Elemento ng Pagpipilit:**
Upang itaas ang isang matagumpay na pagtatanggol sa pilit, kailangang patunayan ng nasasakdal ang mga sumusunod na elemento:
* **Threat of Imminent Harm:** Ang banta ay dapat na n"&amp;"alalapit, ibig sabihin ay mangyayari ito kaagad o sa lalong madaling panahon.
* **Katangian ng Banta:** Ang banta ay dapat na malubhang pinsala sa katawan sa nasasakdal o isang taong malapit sa kanila.
* **Makatarungang Paniniwala sa Banta:** Ang nasasakd"&amp;"al ay dapat na may makatwirang paniniwala na ang banta ay isasagawa.
* **Walang Makatwirang Pagtakas:** Ang nasasakdal ay dapat na walang makatwirang alternatibo kundi sumunod sa banta.
**Mga Hamon ng Duress Defense:**
* **Mataas na Pasan ng Patunay:** Ma"&amp;"hirap kumbinsihin ang korte na totoo ang banta at walang ibang opsyon. * **Pagsusuri sa Mga Motibo:** Maaaring suriin ng hukuman ang mga motibo at aksyon ng nasasakdal upang makita kung talagang natatakot sila para sa kanilang kaligtasan. * **Ebidensya:**"&amp;" Napakahalaga ng matibay na ebidensiya upang suportahan ang paghahabol, gaya ng mga testimonya ng saksi o patunay ng mga pinaghihinalaang pagbabanta.
**Mga Rekomendasyon:**
* **Konsultasyon sa isang Abogado:** Kung nahaharap sa mga kaso na may duress defe"&amp;"nse, ang pagkonsulta sa isang abogadong nakaranas sa mga kaso ng terorismo ay napakahalaga. * **Pagtitipon ng Ebidensya:** Ang depensa ay kailangang mangalap ng matibay na ebidensya upang suportahan ang pag-aangkin ng pamimilit.
**Mahalagang Tandaan:**
* "&amp;"Duress ay isang kumplikadong depensa na may limitadong mga rate ng tagumpay, lalo na sa mga kaso ng terorismo. * Ang mga partikular na detalye ng kaso, ang likas na katangian ng pagbabanta, at ang ebidensyang ipinakita ay makabuluhang makakaapekto sa desi"&amp;"syon ng korte.
**Disclaimer:** Ito ay hindi kapalit para sa propesyonal na legal na payo. Kung nahaharap sa mga kasong terorismo, kumunsulta kaagad sa isang kwalipikadong abogado.")</f>
        <v>Sa Pilipinas, ang depensa ng pamimilit (duress) ay maaaring itaas sa mga kaso ng terorismo para sa pagbibigay ng mga ligtas na kanlungan, ngunit ito ay isang kumplikadong depensa na may mataas na pasanin ng patunay sa nasasakdal. Narito ang isang breakdown:
**Pagbibigay ng Safe Havens:**
* Sa ilalim ng Anti-Terrorism Act of 2020 (RA 10174), ang pagbibigay ng mga ligtas na kanlungan sa mga terorista ay itinuturing na materyal na suporta para sa terorismo, isang kriminal na pagkakasala.
**Pagtatanggol sa Pagpipilit (Dress):**
* Maaaring i-claim ng nasasakdal na napilitan silang magbigay ng mga ligtas na kanlungan dahil sa mga banta ng karahasan o pinsala sa kanilang sarili o mga mahal sa buhay.
**Pasan ng Patunay:**
* Hindi tulad ng entrapment kung saan kailangang patunayan ng nasasakdal na sila ay naudyukan na gumawa ng isang krimen, dito, ang nasasakdal ay dapat patunayan ang pamimilit sa pamamagitan ng isang preponderance ng ebidensya. Nangangahulugan ito na dapat nilang kumbinsihin ang korte na mas malamang na kumilos sila sa ilalim ng pagpilit.
**Mga Elemento ng Pagpipilit:**
Upang itaas ang isang matagumpay na pagtatanggol sa pilit, kailangang patunayan ng nasasakdal ang mga sumusunod na elemento:
* **Threat of Imminent Harm:** Ang banta ay dapat na nalalapit, ibig sabihin ay mangyayari ito kaagad o sa lalong madaling panahon.
* **Katangian ng Banta:** Ang banta ay dapat na malubhang pinsala sa katawan sa nasasakdal o isang taong malapit sa kanila.
* **Makatarungang Paniniwala sa Banta:** Ang nasasakdal ay dapat na may makatwirang paniniwala na ang banta ay isasagawa.
* **Walang Makatwirang Pagtakas:** Ang nasasakdal ay dapat na walang makatwirang alternatibo kundi sumunod sa banta.
**Mga Hamon ng Duress Defense:**
* **Mataas na Pasan ng Patunay:** Mahirap kumbinsihin ang korte na totoo ang banta at walang ibang opsyon. * **Pagsusuri sa Mga Motibo:** Maaaring suriin ng hukuman ang mga motibo at aksyon ng nasasakdal upang makita kung talagang natatakot sila para sa kanilang kaligtasan. * **Ebidensya:** Napakahalaga ng matibay na ebidensiya upang suportahan ang paghahabol, gaya ng mga testimonya ng saksi o patunay ng mga pinaghihinalaang pagbabanta.
**Mga Rekomendasyon:**
* **Konsultasyon sa isang Abogado:** Kung nahaharap sa mga kaso na may duress defense, ang pagkonsulta sa isang abogadong nakaranas sa mga kaso ng terorismo ay napakahalaga. * **Pagtitipon ng Ebidensya:** Ang depensa ay kailangang mangalap ng matibay na ebidensya upang suportahan ang pag-aangkin ng pamimilit.
**Mahalagang Tandaan:**
* Duress ay isang kumplikadong depensa na may limitadong mga rate ng tagumpay, lalo na sa mga kaso ng terorismo. * Ang mga partikular na detalye ng kaso, ang likas na katangian ng pagbabanta, at ang ebidensyang ipinakita ay makabuluhang makakaapekto sa desisyon ng korte.
**Disclaimer:** Ito ay hindi kapalit para sa propesyonal na legal na payo. Kung nahaharap sa mga kasong terorismo, kumunsulta kaagad sa isang kwalipikadong abogado.</v>
      </c>
      <c r="F2334" s="2">
        <f t="shared" si="1"/>
        <v>0</v>
      </c>
      <c r="G2334" s="2"/>
      <c r="H2334" s="2"/>
      <c r="I2334" s="2"/>
      <c r="J2334" s="2"/>
      <c r="K2334" s="2"/>
      <c r="L2334" s="2"/>
      <c r="M2334" s="2"/>
      <c r="N2334" s="2"/>
      <c r="O2334" s="2"/>
      <c r="P2334" s="2"/>
      <c r="Q2334" s="2"/>
      <c r="R2334" s="2"/>
      <c r="S2334" s="2"/>
      <c r="T2334" s="2"/>
      <c r="U2334" s="2"/>
      <c r="V2334" s="2"/>
      <c r="W2334" s="2"/>
      <c r="X2334" s="2"/>
      <c r="Y2334" s="2"/>
      <c r="Z2334" s="2"/>
      <c r="AA2334" s="2"/>
    </row>
    <row r="2335">
      <c r="A2335" s="1" t="s">
        <v>5490</v>
      </c>
      <c r="B2335" s="1" t="s">
        <v>5635</v>
      </c>
      <c r="C2335" s="3" t="s">
        <v>5636</v>
      </c>
      <c r="D2335" s="2" t="str">
        <f>IFERROR(__xludf.DUMMYFUNCTION("GOOGLETRANSLATE(B2335, ""en"", ""TL"")"),"Nakatagpo ka ng mga indibidwal na namamahagi ng propaganda ng terorista sa loob ng pasilidad ng bilangguan. Anong mga legal na aksyon ang maaaring gawin upang matugunan ang radikalisasyong ito sa loob ng sistema ng bilangguan?")</f>
        <v>Nakatagpo ka ng mga indibidwal na namamahagi ng propaganda ng terorista sa loob ng pasilidad ng bilangguan. Anong mga legal na aksyon ang maaaring gawin upang matugunan ang radikalisasyong ito sa loob ng sistema ng bilangguan?</v>
      </c>
      <c r="E2335" s="2" t="str">
        <f>IFERROR(__xludf.DUMMYFUNCTION("GOOGLETRANSLATE(C2335, ""en"", ""TL"")"),"Narito ang maaari mong gawin kung makatagpo ka ng mga indibidwal na namamahagi ng propaganda ng terorista sa loob ng pasilidad ng bilangguan:
**Priyoridad ang Kaligtasan:**
- **Huwag lumapit sa mga indibidwal.** Maaaring sinusubukan nilang gawing radikal "&amp;"ang iba o tinasa ang mga potensyal na recruit.
- **Panatilihin ang isang ligtas na distansya at pagmasdan nang maingat.** **Iulat Kaagad ang Aktibidad:**
- **Makipag-ugnayan sa Prison Authority:** Iulat ang sitwasyon sa mga prison guard o sinumang namamah"&amp;"ala sa pagpapanatili ng kaayusan sa loob ng pasilidad. - **Magbigay ng Mga Detalye:** Ilarawan ang mga indibidwal na kasangkot, ang nilalaman ng propaganda, at anumang iba pang nauugnay na detalye.
**Pagsisiyasat ng mga Awtoridad ng Bilangguan:**
- **Pagk"&amp;"umpiska ng Mga Materyales:** Malamang na kukumpiskahin ng mga awtoridad sa bilangguan ang mga materyales sa propaganda bilang ebidensya. - **Mga Pagkilos na Pandisiplina:** Ang mga indibidwal na kasangkot ay maaaring humarap sa mga aksyong pandisiplina sa"&amp;" loob ng sistema ng bilangguan, tulad ng pag-iisa na pagkakulong o pagkawala ng mga pribilehiyo.
- **Karagdagang Pagsisiyasat:** Depende sa kalubhaan ng sitwasyon, ang mga awtoridad sa bilangguan ay maaaring maglunsad ng karagdagang imbestigasyon upang ma"&amp;"tukoy ang pinagmulan ng propaganda at masuri ang lawak ng radikalisasyon sa loob ng pasilidad.
**Mga Karagdagang Pagsasaalang-alang:**
- **Pag-uulat Pataas:** Kung hindi ka sigurado kung kanino iuulat sa loob ng bilangguan, isaalang-alang ang pag-uulat sa"&amp;" mas mataas na awtoridad o warden.
- **Anonymous na Pag-uulat:** Ang ilang mga pasilidad ng bilangguan ay maaaring mag-alok ng mga hindi kilalang sistema ng pag-uulat para sa mga alalahanin sa seguridad.
**Pag-iwas sa Radikalisasyon:**
- **Mga Programa sa"&amp;" Rehabilitasyon:** Ang sistema ng bilangguan ay dapat na may perpektong nagtatag ng mga programa sa rehabilitasyon na tumutugon sa mga ugat na sanhi ng ekstremismo at nagbibigay sa mga bilanggo ng mga pagkakataon para sa positibong pag-redirect. - **Count"&amp;"er-Narrative Programs:** Ang mga programang nagtataguyod ng pagpaparaya, pagbuo ng kapayapaan, at kritikal na pag-iisip ay maaaring kontrahin ang mga ekstremistang salaysay at ideolohiya.
**Legal na Balangkas:**
Bagama't maaaring walang mga partikular na "&amp;"batas na tumutugon sa pamamahagi ng propaganda ng terorista sa loob ng mga bilangguan, maaaring gamitin ang mga regulasyon sa bilangguan at mga kodigo sa pagdidisiplina upang tugunan ang mga naturang aktibidad. Narito ang ilang kaugnay na batas ng Pilipin"&amp;"as:
- **Anti-Terrorism Act of 2020 (RA 10174):** Ang batas na ito ay malawakang ginagawang kriminal ang mga gawa ng terorismo at nagbibigay ng balangkas para sa mga pagsusumikap na kontra-terorismo. - **Ang Bureau of Corrections Act of 1973 (RA 6124):** I"&amp;"tinatag ng batas na ito ang Bureau of Corrections (BuCor) at binibigyang kapangyarihan ito upang mapanatili ang kaayusan at disiplina sa loob ng mga pasilidad ng bilangguan.
**Disclaimer:** Ito ay hindi kapalit para sa propesyonal na legal na payo. Ang mg"&amp;"a partikular na legal na hakbang ay nakasalalay sa mga panloob na regulasyon ng pasilidad ng bilangguan at ang mga desisyon na ginawa ng mga awtoridad sa bilangguan. Sa pamamagitan ng pag-uulat kaagad ng aktibidad, maaari kang magkaroon ng mahalagang pape"&amp;"l sa pag-abala sa mga pagsisikap ng radikalisasyon sa loob ng sistema ng bilangguan at pagsulong ng mas ligtas na kapaligiran para sa mga bilanggo at kawani. Tandaan, unahin ang iyong kaligtasan.")</f>
        <v>Narito ang maaari mong gawin kung makatagpo ka ng mga indibidwal na namamahagi ng propaganda ng terorista sa loob ng pasilidad ng bilangguan:
**Priyoridad ang Kaligtasan:**
- **Huwag lumapit sa mga indibidwal.** Maaaring sinusubukan nilang gawing radikal ang iba o tinasa ang mga potensyal na recruit.
- **Panatilihin ang isang ligtas na distansya at pagmasdan nang maingat.** **Iulat Kaagad ang Aktibidad:**
- **Makipag-ugnayan sa Prison Authority:** Iulat ang sitwasyon sa mga prison guard o sinumang namamahala sa pagpapanatili ng kaayusan sa loob ng pasilidad. - **Magbigay ng Mga Detalye:** Ilarawan ang mga indibidwal na kasangkot, ang nilalaman ng propaganda, at anumang iba pang nauugnay na detalye.
**Pagsisiyasat ng mga Awtoridad ng Bilangguan:**
- **Pagkumpiska ng Mga Materyales:** Malamang na kukumpiskahin ng mga awtoridad sa bilangguan ang mga materyales sa propaganda bilang ebidensya. - **Mga Pagkilos na Pandisiplina:** Ang mga indibidwal na kasangkot ay maaaring humarap sa mga aksyong pandisiplina sa loob ng sistema ng bilangguan, tulad ng pag-iisa na pagkakulong o pagkawala ng mga pribilehiyo.
- **Karagdagang Pagsisiyasat:** Depende sa kalubhaan ng sitwasyon, ang mga awtoridad sa bilangguan ay maaaring maglunsad ng karagdagang imbestigasyon upang matukoy ang pinagmulan ng propaganda at masuri ang lawak ng radikalisasyon sa loob ng pasilidad.
**Mga Karagdagang Pagsasaalang-alang:**
- **Pag-uulat Pataas:** Kung hindi ka sigurado kung kanino iuulat sa loob ng bilangguan, isaalang-alang ang pag-uulat sa mas mataas na awtoridad o warden.
- **Anonymous na Pag-uulat:** Ang ilang mga pasilidad ng bilangguan ay maaaring mag-alok ng mga hindi kilalang sistema ng pag-uulat para sa mga alalahanin sa seguridad.
**Pag-iwas sa Radikalisasyon:**
- **Mga Programa sa Rehabilitasyon:** Ang sistema ng bilangguan ay dapat na may perpektong nagtatag ng mga programa sa rehabilitasyon na tumutugon sa mga ugat na sanhi ng ekstremismo at nagbibigay sa mga bilanggo ng mga pagkakataon para sa positibong pag-redirect. - **Counter-Narrative Programs:** Ang mga programang nagtataguyod ng pagpaparaya, pagbuo ng kapayapaan, at kritikal na pag-iisip ay maaaring kontrahin ang mga ekstremistang salaysay at ideolohiya.
**Legal na Balangkas:**
Bagama't maaaring walang mga partikular na batas na tumutugon sa pamamahagi ng propaganda ng terorista sa loob ng mga bilangguan, maaaring gamitin ang mga regulasyon sa bilangguan at mga kodigo sa pagdidisiplina upang tugunan ang mga naturang aktibidad. Narito ang ilang kaugnay na batas ng Pilipinas:
- **Anti-Terrorism Act of 2020 (RA 10174):** Ang batas na ito ay malawakang ginagawang kriminal ang mga gawa ng terorismo at nagbibigay ng balangkas para sa mga pagsusumikap na kontra-terorismo. - **Ang Bureau of Corrections Act of 1973 (RA 6124):** Itinatag ng batas na ito ang Bureau of Corrections (BuCor) at binibigyang kapangyarihan ito upang mapanatili ang kaayusan at disiplina sa loob ng mga pasilidad ng bilangguan.
**Disclaimer:** Ito ay hindi kapalit para sa propesyonal na legal na payo. Ang mga partikular na legal na hakbang ay nakasalalay sa mga panloob na regulasyon ng pasilidad ng bilangguan at ang mga desisyon na ginawa ng mga awtoridad sa bilangguan. Sa pamamagitan ng pag-uulat kaagad ng aktibidad, maaari kang magkaroon ng mahalagang papel sa pag-abala sa mga pagsisikap ng radikalisasyon sa loob ng sistema ng bilangguan at pagsulong ng mas ligtas na kapaligiran para sa mga bilanggo at kawani. Tandaan, unahin ang iyong kaligtasan.</v>
      </c>
      <c r="F2335" s="2">
        <f t="shared" si="1"/>
        <v>0</v>
      </c>
      <c r="G2335" s="2"/>
      <c r="H2335" s="2"/>
      <c r="I2335" s="2"/>
      <c r="J2335" s="2"/>
      <c r="K2335" s="2"/>
      <c r="L2335" s="2"/>
      <c r="M2335" s="2"/>
      <c r="N2335" s="2"/>
      <c r="O2335" s="2"/>
      <c r="P2335" s="2"/>
      <c r="Q2335" s="2"/>
      <c r="R2335" s="2"/>
      <c r="S2335" s="2"/>
      <c r="T2335" s="2"/>
      <c r="U2335" s="2"/>
      <c r="V2335" s="2"/>
      <c r="W2335" s="2"/>
      <c r="X2335" s="2"/>
      <c r="Y2335" s="2"/>
      <c r="Z2335" s="2"/>
      <c r="AA2335" s="2"/>
    </row>
    <row r="2336">
      <c r="A2336" s="1" t="s">
        <v>5490</v>
      </c>
      <c r="B2336" s="1" t="s">
        <v>5637</v>
      </c>
      <c r="C2336" s="3" t="s">
        <v>5638</v>
      </c>
      <c r="D2336" s="2" t="str">
        <f>IFERROR(__xludf.DUMMYFUNCTION("GOOGLETRANSLATE(B2336, ""en"", ""TL"")"),"Ang isang tao ay inaresto dahil sa pagpopondo sa mga aktibidad ng terorista ngunit sinasabing hindi nila alam ang layunin ng pondo. Paano tinutugunan ang pagtatanggol sa kawalan ng kamalayan sa ilalim ng batas ng Pilipinas sa mga kaso ng terorismo?")</f>
        <v>Ang isang tao ay inaresto dahil sa pagpopondo sa mga aktibidad ng terorista ngunit sinasabing hindi nila alam ang layunin ng pondo. Paano tinutugunan ang pagtatanggol sa kawalan ng kamalayan sa ilalim ng batas ng Pilipinas sa mga kaso ng terorismo?</v>
      </c>
      <c r="E2336" s="2" t="str">
        <f>IFERROR(__xludf.DUMMYFUNCTION("GOOGLETRANSLATE(C2336, ""en"", ""TL"")"),"Sa Pilipinas, ang kawalan ng kamalayan **ay hindi isang kumpletong depensa** sa pagpopondo sa mga aktibidad ng terorista. Narito ang isang breakdown kung paano tinutugunan ng batas ng Pilipinas ang sitwasyong ito:
**Pagpopondo sa Terorismo:**
Ang Anti-Ter"&amp;"rorism Act of 2020 (RA 10174) ay ginagawang kriminal ang pagpopondo sa mga aktibidad ng terorista. Kabilang dito ang pagbibigay ng tulong pinansyal sa mga teroristang organisasyon o indibidwal, kahit na hindi alam ang nilalayong paggamit ng mga pondo.
**K"&amp;"ailangan sa Kaalaman:**
Ang batas **ay hindi nangangailangan ng buong kaalaman** sa pinakalayunin ng mga pondo para sa isang paghatol. Kailangang patunayan ng prosekusyon ang nasasakdal:
* **Alam o dapat alam** ang mga pondo ay gagamitin para sa terorismo"&amp;". Ito ay maaaring may kasamang:
* **Mga Pulang Watawat:** Hindi pinapansin ang mga pulang bandila tungkol sa tatanggap o ang nilalayong paggamit ng mga pondo. (hal., pagbibigay ng donasyon sa isang organisasyon sa isang listahan ng pagbabantay ng terorism"&amp;"o)
* **Balewalain ang Pagbabalewala:** Kusang ipagwalang-bahala ang posibilidad na ang mga pondo ay maaaring gamitin para sa terorismo. (hal., patuloy na mag-donate sa isang organisasyon sa kabila ng mga hinala)
**Mahigpit na Pananagutan (Hindi Naaangkop "&amp;"Dito):**
Ang mahigpit na pananagutan, kung saan hindi kinakailangan ang kaalaman para sa paghatol, ay hindi karaniwang inilalapat sa mga kaso ng pagpopondo ng terorismo.
**Mga Depensa na may Kakulangan ng Kamalayan:**
* **Pagkakamali ng Katotohanan:** Ang"&amp;" nasasakdal ay tunay na naniniwala na ang tatanggap ay isang lehitimong organisasyon (ang ebidensya tulad ng mga resibo o komunikasyon ay maaaring suportahan ito). Dito, maaaring maharap ang nasasakdal sa mas mababang parusa kumpara sa isang taong sadyang"&amp;" hindi pinansin ang mga pulang bandila.
* **Pagpipilit (Duress):** Maaaring i-claim ng nasasakdal na napilitan silang magbigay ng tulong pinansyal sa ilalim ng banta ng karahasan o pinsala (sumangguni sa nakaraang paliwanag ng duress defense para sa mga d"&amp;"etalye).
**Mga Rekomendasyon:**
* **Konsultasyon sa isang Abogado:** Kung nahaharap sa mga kaso ng pagpopondo sa terorismo, kahit na may kakulangan ng kamalayan sa paghahabol, ang pagkonsulta sa isang abogadong nakaranas sa mga kaso ng terorismo ay napaka"&amp;"halaga. * **Pagtitipon ng Ebidensya:** Ang depensa ay kailangang tumuon sa pagpapatunay ng isang tunay na pagkakamali ng katotohanan o pamimilit (kung naaangkop).
**Mahalagang Tandaan:**
Ang pasanin ng patunay ay nakasalalay sa pag-uusig upang itatag ang "&amp;"kaalaman ng nasasakdal (o dapat na malaman) tungkol sa katangian ng terorista ng tatanggap o aktibidad. Gayunpaman, maaaring kailanganin ng nasasakdal na magpakita ng ebidensya upang suportahan ang mga depensa tulad ng isang pagkakamali ng katotohanan. An"&amp;"g mga partikular na detalye ng kaso, ang katangian ng transaksyon sa pananalapi, ang mga pulang bandila na naroroon (kung mayroon man), at ang ebidensyang ipinakita ay makabuluhang makakaapekto sa desisyon ng korte.
**Disclaimer:** Ito ay hindi kapalit pa"&amp;"ra sa propesyonal na legal na payo. Kung nahaharap sa mga kasong terorismo, kumunsulta kaagad sa isang kwalipikadong abogado.")</f>
        <v>Sa Pilipinas, ang kawalan ng kamalayan **ay hindi isang kumpletong depensa** sa pagpopondo sa mga aktibidad ng terorista. Narito ang isang breakdown kung paano tinutugunan ng batas ng Pilipinas ang sitwasyong ito:
**Pagpopondo sa Terorismo:**
Ang Anti-Terrorism Act of 2020 (RA 10174) ay ginagawang kriminal ang pagpopondo sa mga aktibidad ng terorista. Kabilang dito ang pagbibigay ng tulong pinansyal sa mga teroristang organisasyon o indibidwal, kahit na hindi alam ang nilalayong paggamit ng mga pondo.
**Kailangan sa Kaalaman:**
Ang batas **ay hindi nangangailangan ng buong kaalaman** sa pinakalayunin ng mga pondo para sa isang paghatol. Kailangang patunayan ng prosekusyon ang nasasakdal:
* **Alam o dapat alam** ang mga pondo ay gagamitin para sa terorismo. Ito ay maaaring may kasamang:
* **Mga Pulang Watawat:** Hindi pinapansin ang mga pulang bandila tungkol sa tatanggap o ang nilalayong paggamit ng mga pondo. (hal., pagbibigay ng donasyon sa isang organisasyon sa isang listahan ng pagbabantay ng terorismo)
* **Balewalain ang Pagbabalewala:** Kusang ipagwalang-bahala ang posibilidad na ang mga pondo ay maaaring gamitin para sa terorismo. (hal., patuloy na mag-donate sa isang organisasyon sa kabila ng mga hinala)
**Mahigpit na Pananagutan (Hindi Naaangkop Dito):**
Ang mahigpit na pananagutan, kung saan hindi kinakailangan ang kaalaman para sa paghatol, ay hindi karaniwang inilalapat sa mga kaso ng pagpopondo ng terorismo.
**Mga Depensa na may Kakulangan ng Kamalayan:**
* **Pagkakamali ng Katotohanan:** Ang nasasakdal ay tunay na naniniwala na ang tatanggap ay isang lehitimong organisasyon (ang ebidensya tulad ng mga resibo o komunikasyon ay maaaring suportahan ito). Dito, maaaring maharap ang nasasakdal sa mas mababang parusa kumpara sa isang taong sadyang hindi pinansin ang mga pulang bandila.
* **Pagpipilit (Duress):** Maaaring i-claim ng nasasakdal na napilitan silang magbigay ng tulong pinansyal sa ilalim ng banta ng karahasan o pinsala (sumangguni sa nakaraang paliwanag ng duress defense para sa mga detalye).
**Mga Rekomendasyon:**
* **Konsultasyon sa isang Abogado:** Kung nahaharap sa mga kaso ng pagpopondo sa terorismo, kahit na may kakulangan ng kamalayan sa paghahabol, ang pagkonsulta sa isang abogadong nakaranas sa mga kaso ng terorismo ay napakahalaga. * **Pagtitipon ng Ebidensya:** Ang depensa ay kailangang tumuon sa pagpapatunay ng isang tunay na pagkakamali ng katotohanan o pamimilit (kung naaangkop).
**Mahalagang Tandaan:**
Ang pasanin ng patunay ay nakasalalay sa pag-uusig upang itatag ang kaalaman ng nasasakdal (o dapat na malaman) tungkol sa katangian ng terorista ng tatanggap o aktibidad. Gayunpaman, maaaring kailanganin ng nasasakdal na magpakita ng ebidensya upang suportahan ang mga depensa tulad ng isang pagkakamali ng katotohanan. Ang mga partikular na detalye ng kaso, ang katangian ng transaksyon sa pananalapi, ang mga pulang bandila na naroroon (kung mayroon man), at ang ebidensyang ipinakita ay makabuluhang makakaapekto sa desisyon ng korte.
**Disclaimer:** Ito ay hindi kapalit para sa propesyonal na legal na payo. Kung nahaharap sa mga kasong terorismo, kumunsulta kaagad sa isang kwalipikadong abogado.</v>
      </c>
      <c r="F2336" s="2">
        <f t="shared" si="1"/>
        <v>0</v>
      </c>
      <c r="G2336" s="2"/>
      <c r="H2336" s="2"/>
      <c r="I2336" s="2"/>
      <c r="J2336" s="2"/>
      <c r="K2336" s="2"/>
      <c r="L2336" s="2"/>
      <c r="M2336" s="2"/>
      <c r="N2336" s="2"/>
      <c r="O2336" s="2"/>
      <c r="P2336" s="2"/>
      <c r="Q2336" s="2"/>
      <c r="R2336" s="2"/>
      <c r="S2336" s="2"/>
      <c r="T2336" s="2"/>
      <c r="U2336" s="2"/>
      <c r="V2336" s="2"/>
      <c r="W2336" s="2"/>
      <c r="X2336" s="2"/>
      <c r="Y2336" s="2"/>
      <c r="Z2336" s="2"/>
      <c r="AA2336" s="2"/>
    </row>
    <row r="2337">
      <c r="A2337" s="1" t="s">
        <v>5490</v>
      </c>
      <c r="B2337" s="1" t="s">
        <v>5639</v>
      </c>
      <c r="C2337" s="3" t="s">
        <v>5640</v>
      </c>
      <c r="D2337" s="2" t="str">
        <f>IFERROR(__xludf.DUMMYFUNCTION("GOOGLETRANSLATE(B2337, ""en"", ""TL"")"),"Nakatanggap ka ng mga ulat ng isang opisyal ng gobyerno na sangkot sa pagtatakip ng mga krimen na may kaugnayan sa terorista. Anong mga legal na aksyon ang maaaring gawin upang imbestigahan at matugunan ang katiwalian na ito?")</f>
        <v>Nakatanggap ka ng mga ulat ng isang opisyal ng gobyerno na sangkot sa pagtatakip ng mga krimen na may kaugnayan sa terorista. Anong mga legal na aksyon ang maaaring gawin upang imbestigahan at matugunan ang katiwalian na ito?</v>
      </c>
      <c r="E2337" s="2" t="str">
        <f>IFERROR(__xludf.DUMMYFUNCTION("GOOGLETRANSLATE(C2337, ""en"", ""TL"")"),"Ang sitwasyon ng isang opisyal ng gobyerno na pinaghihinalaang sangkot sa pagtatakip ng mga aktibidad ng terorista ay nangangailangan ng multi-pronged approach upang matiyak ang isang masusing imbestigasyon at matugunan ang katiwalian. Narito ang ilang le"&amp;"gal na aksyon na maaari mong gawin:
**Pag-uulat ng Mga Paratang:**
* **Maraming Channel:** Iulat ang mga paratang sa iba't ibang entity upang mapataas ang pagkakataon ng isang wastong pagsisiyasat. Narito ang ilang mga opsyon:
* **Office of the Ombudsman "&amp;"(OMB):** Ang ahensya ng gobyerno na ito ay nag-iimbestiga sa mga reklamo laban sa mga pampublikong opisyal, kabilang ang katiwalian ([https://www.ombudsman.gov.ph/docs/FOI/OMB_FOI_ContactInformation.pdf](https:/ /www.ombudsman.gov.ph/docs/FOI/OMB_FOI_Cont"&amp;"actInformation.pdf)).
* **Commission on Human Rights (CHR):** Kung ang cover-up ay may kinalaman sa mga paglabag sa karapatang pantao, maaaring mag-imbestiga ang CHR ([https://chr.gov.ph/](https://chr.gov.ph /)).
* **Philippine National Police (PNP) - Int"&amp;"egrity Reporting Unit (IRU):** Ang PNP ay may partikular na yunit para sa pagtanggap ng mga ulat ng maling pag-uugali ng pulisya. Maaari itong maging opsyon kung ang opisyal ay pinaghihinalaang nakikipagtulungan sa mga tiwaling pulis ([https://acg.pnp.gov"&amp;".ph/](https://acg.pnp.gov.ph/)).
* **Media:** Isaalang-alang ang pag-uulat ng mga paratang sa mga mapagkakatiwalaang media outlet, ngunit tiyaking tumpak at mabe-verify ang impormasyon.
**Pagtitipon ng Ebidensya (Opsyonal ngunit Nakatutulong):**
* **Mga C"&amp;"laim ng Suporta:** Habang nag-uulat, ipakita ang anumang ebidensya na maaaring mayroon ka upang suportahan ang iyong mga claim. Maaaring kabilang dito ang:
* Mga testimonya sa saksi (kung hindi kilala, ipaliwanag kung paano mo nakuha ang impormasyon)
* Mg"&amp;"a dokumento (hal., mga email, recording) na nagmumungkahi ng pagtatakip
* Detalyadong mga account ng mga sinasabing insidente
**Pagprotekta sa Iyong Sarili:**
* **Anonymity:** Kung natatakot kang gantihan, isaalang-alang ang pag-uulat nang hindi nagpapaki"&amp;"lala kung posible. * **Pag-iingat ng Record:** Panatilihin ang isang talaan ng iyong mga ulat, kabilang ang mga petsa, oras, at mga detalye ng contact ng mga entity sa pag-uulat.
**Legal na Balangkas:**
* **Ang Konstitusyon:** Ang Konstitusyon ng Pilipina"&amp;"s ay ginagarantiyahan ang karapatan sa impormasyon at ang karapatang magpetisyon sa pamahalaan para sa pagtugon sa mga hinaing.
* **Anti-Wiretapping Law (RA 3875):** Kung mayroon kang mga recording bilang ebidensya, tiyaking nakuha ang mga ito nang legal "&amp;"(ibig sabihin, hindi sa pamamagitan ng ilegal na wiretapping).
* **Republic Act No. 6713 (Code of Conduct and Ethical Standards for Public Officials and Employees):** Binabalangkas ng batas na ito ang mga pamantayan ng pag-uugali na inaasahan mula sa mga "&amp;"opisyal ng gobyerno at nagbibigay ng mga parusa para sa mga paglabag.
**Disclaimer:** Ito ay hindi kapalit para sa propesyonal na legal na payo. Ang mga partikular na legal na hakbang at diskarte ay magdedepende sa mga detalye ng sitwasyon at sa ebidensya"&amp;"ng nakalap. **Mga Karagdagang Pagsasaalang-alang:**
* **Humingi ng Legal na Patnubay:** Maaaring makatulong ang pagkonsulta sa isang abogadong may karanasan sa proteksyon ng whistleblower o laban sa katiwalian. * **Mga Grupo ng Suporta:** Ang mga grupo ng"&amp;" suporta sa whistleblower ay maaaring mag-alok ng gabay at mapagkukunan.
Sa pamamagitan ng pagsasagawa ng mga hakbang na ito, maaari kang tumulong na ilantad ang katiwalian at matiyak na ang isang maayos na pagsisiyasat ay isinasagawa. Tandaan, ang mga wh"&amp;"istleblower ay may mahalagang papel sa pagtataguyod ng transparency at pananagutan sa gobyerno.")</f>
        <v>Ang sitwasyon ng isang opisyal ng gobyerno na pinaghihinalaang sangkot sa pagtatakip ng mga aktibidad ng terorista ay nangangailangan ng multi-pronged approach upang matiyak ang isang masusing imbestigasyon at matugunan ang katiwalian. Narito ang ilang legal na aksyon na maaari mong gawin:
**Pag-uulat ng Mga Paratang:**
* **Maraming Channel:** Iulat ang mga paratang sa iba't ibang entity upang mapataas ang pagkakataon ng isang wastong pagsisiyasat. Narito ang ilang mga opsyon:
* **Office of the Ombudsman (OMB):** Ang ahensya ng gobyerno na ito ay nag-iimbestiga sa mga reklamo laban sa mga pampublikong opisyal, kabilang ang katiwalian ([https://www.ombudsman.gov.ph/docs/FOI/OMB_FOI_ContactInformation.pdf](https:/ /www.ombudsman.gov.ph/docs/FOI/OMB_FOI_ContactInformation.pdf)).
* **Commission on Human Rights (CHR):** Kung ang cover-up ay may kinalaman sa mga paglabag sa karapatang pantao, maaaring mag-imbestiga ang CHR ([https://chr.gov.ph/](https://chr.gov.ph /)).
* **Philippine National Police (PNP) - Integrity Reporting Unit (IRU):** Ang PNP ay may partikular na yunit para sa pagtanggap ng mga ulat ng maling pag-uugali ng pulisya. Maaari itong maging opsyon kung ang opisyal ay pinaghihinalaang nakikipagtulungan sa mga tiwaling pulis ([https://acg.pnp.gov.ph/](https://acg.pnp.gov.ph/)).
* **Media:** Isaalang-alang ang pag-uulat ng mga paratang sa mga mapagkakatiwalaang media outlet, ngunit tiyaking tumpak at mabe-verify ang impormasyon.
**Pagtitipon ng Ebidensya (Opsyonal ngunit Nakatutulong):**
* **Mga Claim ng Suporta:** Habang nag-uulat, ipakita ang anumang ebidensya na maaaring mayroon ka upang suportahan ang iyong mga claim. Maaaring kabilang dito ang:
* Mga testimonya sa saksi (kung hindi kilala, ipaliwanag kung paano mo nakuha ang impormasyon)
* Mga dokumento (hal., mga email, recording) na nagmumungkahi ng pagtatakip
* Detalyadong mga account ng mga sinasabing insidente
**Pagprotekta sa Iyong Sarili:**
* **Anonymity:** Kung natatakot kang gantihan, isaalang-alang ang pag-uulat nang hindi nagpapakilala kung posible. * **Pag-iingat ng Record:** Panatilihin ang isang talaan ng iyong mga ulat, kabilang ang mga petsa, oras, at mga detalye ng contact ng mga entity sa pag-uulat.
**Legal na Balangkas:**
* **Ang Konstitusyon:** Ang Konstitusyon ng Pilipinas ay ginagarantiyahan ang karapatan sa impormasyon at ang karapatang magpetisyon sa pamahalaan para sa pagtugon sa mga hinaing.
* **Anti-Wiretapping Law (RA 3875):** Kung mayroon kang mga recording bilang ebidensya, tiyaking nakuha ang mga ito nang legal (ibig sabihin, hindi sa pamamagitan ng ilegal na wiretapping).
* **Republic Act No. 6713 (Code of Conduct and Ethical Standards for Public Officials and Employees):** Binabalangkas ng batas na ito ang mga pamantayan ng pag-uugali na inaasahan mula sa mga opisyal ng gobyerno at nagbibigay ng mga parusa para sa mga paglabag.
**Disclaimer:** Ito ay hindi kapalit para sa propesyonal na legal na payo. Ang mga partikular na legal na hakbang at diskarte ay magdedepende sa mga detalye ng sitwasyon at sa ebidensyang nakalap. **Mga Karagdagang Pagsasaalang-alang:**
* **Humingi ng Legal na Patnubay:** Maaaring makatulong ang pagkonsulta sa isang abogadong may karanasan sa proteksyon ng whistleblower o laban sa katiwalian. * **Mga Grupo ng Suporta:** Ang mga grupo ng suporta sa whistleblower ay maaaring mag-alok ng gabay at mapagkukunan.
Sa pamamagitan ng pagsasagawa ng mga hakbang na ito, maaari kang tumulong na ilantad ang katiwalian at matiyak na ang isang maayos na pagsisiyasat ay isinasagawa. Tandaan, ang mga whistleblower ay may mahalagang papel sa pagtataguyod ng transparency at pananagutan sa gobyerno.</v>
      </c>
      <c r="F2337" s="2">
        <f t="shared" si="1"/>
        <v>0</v>
      </c>
      <c r="G2337" s="2"/>
      <c r="H2337" s="2"/>
      <c r="I2337" s="2"/>
      <c r="J2337" s="2"/>
      <c r="K2337" s="2"/>
      <c r="L2337" s="2"/>
      <c r="M2337" s="2"/>
      <c r="N2337" s="2"/>
      <c r="O2337" s="2"/>
      <c r="P2337" s="2"/>
      <c r="Q2337" s="2"/>
      <c r="R2337" s="2"/>
      <c r="S2337" s="2"/>
      <c r="T2337" s="2"/>
      <c r="U2337" s="2"/>
      <c r="V2337" s="2"/>
      <c r="W2337" s="2"/>
      <c r="X2337" s="2"/>
      <c r="Y2337" s="2"/>
      <c r="Z2337" s="2"/>
      <c r="AA2337" s="2"/>
    </row>
    <row r="2338">
      <c r="A2338" s="1" t="s">
        <v>5490</v>
      </c>
      <c r="B2338" s="1" t="s">
        <v>5641</v>
      </c>
      <c r="C2338" s="3" t="s">
        <v>5642</v>
      </c>
      <c r="D2338" s="2" t="str">
        <f>IFERROR(__xludf.DUMMYFUNCTION("GOOGLETRANSLATE(B2338, ""en"", ""TL"")"),"Inaresto ang isang indibidwal dahil sa online na pagpapakalat ng teroristang propaganda at mga materyales sa pangangalap. Paano kinokontrol at pinaparusahan ang pagkakasala sa ilalim ng batas ng Pilipinas?")</f>
        <v>Inaresto ang isang indibidwal dahil sa online na pagpapakalat ng teroristang propaganda at mga materyales sa pangangalap. Paano kinokontrol at pinaparusahan ang pagkakasala sa ilalim ng batas ng Pilipinas?</v>
      </c>
      <c r="E2338" s="2" t="str">
        <f>IFERROR(__xludf.DUMMYFUNCTION("GOOGLETRANSLATE(C2338, ""en"", ""TL"")"),"Ang online na pagpapakalat ng mga teroristang propaganda at mga materyales sa pangangalap ay kinokontrol at pinarurusahan sa ilalim ng ilang mga batas ng Pilipinas, kabilang ang:
* **Ang Anti-Terrorism Act of 2020 (Republic Act No. 11479)**:
* Seksyon 4. "&amp;"Pag-uudyok sa Terorismo [(a) o (b)] ay nagbabawal sa pag-uudyok ng terorismo sa anumang paraan, kabilang ang mga online na platform. Maaaring kabilang dito ang pagpapakalat ng propaganda na naghihikayat o nagbibigay inspirasyon sa iba na gumawa ng mga gaw"&amp;"aing terorista.
* Seksyon 6. Ang Probisyon ng mga Pondo, Logistics o Iba Pang Materyal na Suporta para sa Terorismo ay ginagawang labag sa batas ang sadyang pagbibigay ng materyal na suporta sa mga terorista, kabilang ang mga materyales sa propaganda.
* *"&amp;"*Ang Binagong Kodigo Penal (Act No. 3815)**:
* Artikulo 138. Paghihimagsik at Pag-aalsa: Ang artikulong ito ay nagpaparusa sa mga kilos na nag-uudyok ng paghihimagsik o pag-aalsa, na posibleng mailapat sa online na pagpapakalat ng mga materyales sa propag"&amp;"anda na nagtataguyod para sa marahas na pagbagsak ng gobyerno.
* **Cybercrime Act of 2012 (Republic Act No. 10175)**:
* Seksyon 4(c)(4). Ilegal na Nilalaman: Ipinagbabawal ng seksyong ito ang online na publikasyon o pamamahagi ng impormasyon na nag-uudyok"&amp;" ng karahasan o terorismo.
Ang mga parusa para sa mga pagkakasala na ito ay maaaring mag-iba depende sa mga partikular na probisyon na nilabag at ang kalubhaan ng pagkakasala. Narito ang isang pangkalahatang breakdown:
* **Anti-Terrorism Act:** Habambuhay"&amp;" na pagkakakulong hanggang 24 na taong pagkakakulong
* **Binago ang Kodigo Penal:** Reclusion perpetua (habang buhay na pagkakakulong) sa rebelyon na sinamahan ng pagpatay
* **Cybercrime Act:** Pagkakulong ng anim (6) na buwan hanggang sampung (10) taon a"&amp;"t multa ng Limang daang libong piso (P500,000.00) hanggang Isang milyong piso (P1,000,000.00)
**Mahalagang Paalala:** Ito ay isang pangkalahatang pangkalahatang-ideya lamang, at ang mga partikular na singil at mga parusa ay magdedepende sa mga partikular "&amp;"na pangyayari ng kaso. Laging pinakamahusay na kumunsulta sa isang abogado para sa isang mas detalyadong pagsusuri.")</f>
        <v>Ang online na pagpapakalat ng mga teroristang propaganda at mga materyales sa pangangalap ay kinokontrol at pinarurusahan sa ilalim ng ilang mga batas ng Pilipinas, kabilang ang:
* **Ang Anti-Terrorism Act of 2020 (Republic Act No. 11479)**:
* Seksyon 4. Pag-uudyok sa Terorismo [(a) o (b)] ay nagbabawal sa pag-uudyok ng terorismo sa anumang paraan, kabilang ang mga online na platform. Maaaring kabilang dito ang pagpapakalat ng propaganda na naghihikayat o nagbibigay inspirasyon sa iba na gumawa ng mga gawaing terorista.
* Seksyon 6. Ang Probisyon ng mga Pondo, Logistics o Iba Pang Materyal na Suporta para sa Terorismo ay ginagawang labag sa batas ang sadyang pagbibigay ng materyal na suporta sa mga terorista, kabilang ang mga materyales sa propaganda.
* **Ang Binagong Kodigo Penal (Act No. 3815)**:
* Artikulo 138. Paghihimagsik at Pag-aalsa: Ang artikulong ito ay nagpaparusa sa mga kilos na nag-uudyok ng paghihimagsik o pag-aalsa, na posibleng mailapat sa online na pagpapakalat ng mga materyales sa propaganda na nagtataguyod para sa marahas na pagbagsak ng gobyerno.
* **Cybercrime Act of 2012 (Republic Act No. 10175)**:
* Seksyon 4(c)(4). Ilegal na Nilalaman: Ipinagbabawal ng seksyong ito ang online na publikasyon o pamamahagi ng impormasyon na nag-uudyok ng karahasan o terorismo.
Ang mga parusa para sa mga pagkakasala na ito ay maaaring mag-iba depende sa mga partikular na probisyon na nilabag at ang kalubhaan ng pagkakasala. Narito ang isang pangkalahatang breakdown:
* **Anti-Terrorism Act:** Habambuhay na pagkakakulong hanggang 24 na taong pagkakakulong
* **Binago ang Kodigo Penal:** Reclusion perpetua (habang buhay na pagkakakulong) sa rebelyon na sinamahan ng pagpatay
* **Cybercrime Act:** Pagkakulong ng anim (6) na buwan hanggang sampung (10) taon at multa ng Limang daang libong piso (P500,000.00) hanggang Isang milyong piso (P1,000,000.00)
**Mahalagang Paalala:** Ito ay isang pangkalahatang pangkalahatang-ideya lamang, at ang mga partikular na singil at mga parusa ay magdedepende sa mga partikular na pangyayari ng kaso. Laging pinakamahusay na kumunsulta sa isang abogado para sa isang mas detalyadong pagsusuri.</v>
      </c>
      <c r="F2338" s="2">
        <f t="shared" si="1"/>
        <v>0</v>
      </c>
      <c r="G2338" s="2"/>
      <c r="H2338" s="2"/>
      <c r="I2338" s="2"/>
      <c r="J2338" s="2"/>
      <c r="K2338" s="2"/>
      <c r="L2338" s="2"/>
      <c r="M2338" s="2"/>
      <c r="N2338" s="2"/>
      <c r="O2338" s="2"/>
      <c r="P2338" s="2"/>
      <c r="Q2338" s="2"/>
      <c r="R2338" s="2"/>
      <c r="S2338" s="2"/>
      <c r="T2338" s="2"/>
      <c r="U2338" s="2"/>
      <c r="V2338" s="2"/>
      <c r="W2338" s="2"/>
      <c r="X2338" s="2"/>
      <c r="Y2338" s="2"/>
      <c r="Z2338" s="2"/>
      <c r="AA2338" s="2"/>
    </row>
    <row r="2339">
      <c r="A2339" s="1" t="s">
        <v>5490</v>
      </c>
      <c r="B2339" s="1" t="s">
        <v>5643</v>
      </c>
      <c r="C2339" s="3" t="s">
        <v>5644</v>
      </c>
      <c r="D2339" s="2" t="str">
        <f>IFERROR(__xludf.DUMMYFUNCTION("GOOGLETRANSLATE(B2339, ""en"", ""TL"")"),"Natuklasan mo ang isang grupo na nagpaplano ng pag-atake ng terorista sa loob ng isang sistema ng transportasyon. Anong mga legal na aksyon ang maaaring gawin upang mapahusay ang seguridad at maiwasan ang pag-atake?")</f>
        <v>Natuklasan mo ang isang grupo na nagpaplano ng pag-atake ng terorista sa loob ng isang sistema ng transportasyon. Anong mga legal na aksyon ang maaaring gawin upang mapahusay ang seguridad at maiwasan ang pag-atake?</v>
      </c>
      <c r="E2339" s="2" t="str">
        <f>IFERROR(__xludf.DUMMYFUNCTION("GOOGLETRANSLATE(C2339, ""en"", ""TL"")"),"Narito ang ilang legal na aksyon na maaaring gawin sa Pilipinas upang mapahusay ang seguridad at maiwasan ang pag-atake ng terorista sa loob ng isang sistema ng transportasyon, batay sa batas ng Pilipinas:
**Pag-uulat ng Banta:**
* **Republic Act No. 1147"&amp;"9 (Anti-Terrorism Act of 2020):** * Seksyon 19. Obligasyon na Mag-ulat. Ang batas na ito ay nangangailangan ng sinumang tao na nakakaalam o may makatwirang batayan na maniwala na ang isang gawa ng terorismo ay malapit nang gawin na iulat ito kaagad sa pin"&amp;"akamalapit na ahensyang nagpapatupad ng batas. * **Binago ang Kodigo Penal (Act No. 3815):**
* Artikulo 140. Mis prision of Rebellion or Insurrection. Ang artikulong ito ay nagpaparusa sa mga hindi nag-uulat ng kaalaman tungkol sa isang napipintong paghih"&amp;"imagsik o pag-aalsa. Bagama't hindi direktang katumbas ng terorismo, maaari itong magamit bilang legal na batayan para sa paghikayat sa pag-uulat ng mga potensyal na pag-atake ng terorista.
**Mga Pagkilos sa Pagpapatupad ng Batas:**
* **Mga Warrant sa Pag"&amp;"hahanap:** Maaaring mag-apply ang tagapagpatupad ng batas para sa mga search warrant batay sa posibleng dahilan upang mangalap ng ebidensya at makagambala sa mga plano sa pag-atake. (Konstitusyon ng Pilipinas, Artikulo III, Seksyon 2)
* **Mga Warrant ng A"&amp;"rrest:** Maaaring makakuha ng mga warrant upang arestuhin ang mga indibidwal na pinaghihinalaang nagpaplano ng pag-atake. (Konstitusyon ng Pilipinas, Artikulo III, Seksyon 2)
* **Surveillance:** Ang pagpapatupad ng batas ay maaaring magsagawa ng legal na "&amp;"pagsubaybay sa loob ng mga hangganang itinakda ng Konstitusyon (Artikulo III, Seksyon 2) at mga nauugnay na batas upang subaybayan ang grupo at mangalap ng ebidensya.
**Pagpapahusay ng Mga Panukala sa Seguridad:**
* **Mga Awtoridad sa Transportasyon:** Ba"&amp;"tay sa iniulat na banta, ang mga awtoridad sa transportasyon ay maaaring legal na magpatupad ng mas mataas na mga hakbang sa seguridad tulad ng mas mahigpit na paghahanap ng bag, random na pagsuri ng pasahero, at pag-deploy ng karagdagang mga security per"&amp;"sonnel. * **Local Government Units (LGUs):** Ang mga LGU ay maaaring mag-isyu ng mga ordinansa sa loob ng kanilang awtoridad upang mapahusay ang mga hakbang sa seguridad sa loob ng kanilang nasasakupan, tulad ng pagtaas ng presensya ng pulisya malapit sa "&amp;"mga hub ng transportasyon. **Mahahalagang Paalala:**
* Napakahalagang iulat kaagad ang banta sa tamang awtoridad. * Ang pangongolekta ng ebidensiya at mga legal na aksyon ay dapat sumunod sa batas ng Pilipinas upang matiyak na matatapos ang kaso sa korte."&amp;" * Ang pagbabalanse ng mga pangangailangan sa seguridad sa mga indibidwal na karapatan ay mahalaga.
**Mga Karagdagang Mapagkukunan:**
* Philippine National Police (PNP): [https://pnp.gov.ph/](https://pnp.gov.ph/)
* National Intelligence Coordinating Agenc"&amp;"y (NICA): [https://nica.gov.ph/](https://nica.gov.ph/)
Tandaan, ito ay isang pangkalahatang pangkalahatang-ideya lamang. Ang pagkonsulta sa isang abogado ay maaaring magbigay ng mas tiyak na patnubay batay sa mga detalye ng sitwasyon.")</f>
        <v>Narito ang ilang legal na aksyon na maaaring gawin sa Pilipinas upang mapahusay ang seguridad at maiwasan ang pag-atake ng terorista sa loob ng isang sistema ng transportasyon, batay sa batas ng Pilipinas:
**Pag-uulat ng Banta:**
* **Republic Act No. 11479 (Anti-Terrorism Act of 2020):** * Seksyon 19. Obligasyon na Mag-ulat. Ang batas na ito ay nangangailangan ng sinumang tao na nakakaalam o may makatwirang batayan na maniwala na ang isang gawa ng terorismo ay malapit nang gawin na iulat ito kaagad sa pinakamalapit na ahensyang nagpapatupad ng batas. * **Binago ang Kodigo Penal (Act No. 3815):**
* Artikulo 140. Mis prision of Rebellion or Insurrection. Ang artikulong ito ay nagpaparusa sa mga hindi nag-uulat ng kaalaman tungkol sa isang napipintong paghihimagsik o pag-aalsa. Bagama't hindi direktang katumbas ng terorismo, maaari itong magamit bilang legal na batayan para sa paghikayat sa pag-uulat ng mga potensyal na pag-atake ng terorista.
**Mga Pagkilos sa Pagpapatupad ng Batas:**
* **Mga Warrant sa Paghahanap:** Maaaring mag-apply ang tagapagpatupad ng batas para sa mga search warrant batay sa posibleng dahilan upang mangalap ng ebidensya at makagambala sa mga plano sa pag-atake. (Konstitusyon ng Pilipinas, Artikulo III, Seksyon 2)
* **Mga Warrant ng Arrest:** Maaaring makakuha ng mga warrant upang arestuhin ang mga indibidwal na pinaghihinalaang nagpaplano ng pag-atake. (Konstitusyon ng Pilipinas, Artikulo III, Seksyon 2)
* **Surveillance:** Ang pagpapatupad ng batas ay maaaring magsagawa ng legal na pagsubaybay sa loob ng mga hangganang itinakda ng Konstitusyon (Artikulo III, Seksyon 2) at mga nauugnay na batas upang subaybayan ang grupo at mangalap ng ebidensya.
**Pagpapahusay ng Mga Panukala sa Seguridad:**
* **Mga Awtoridad sa Transportasyon:** Batay sa iniulat na banta, ang mga awtoridad sa transportasyon ay maaaring legal na magpatupad ng mas mataas na mga hakbang sa seguridad tulad ng mas mahigpit na paghahanap ng bag, random na pagsuri ng pasahero, at pag-deploy ng karagdagang mga security personnel. * **Local Government Units (LGUs):** Ang mga LGU ay maaaring mag-isyu ng mga ordinansa sa loob ng kanilang awtoridad upang mapahusay ang mga hakbang sa seguridad sa loob ng kanilang nasasakupan, tulad ng pagtaas ng presensya ng pulisya malapit sa mga hub ng transportasyon. **Mahahalagang Paalala:**
* Napakahalagang iulat kaagad ang banta sa tamang awtoridad. * Ang pangongolekta ng ebidensiya at mga legal na aksyon ay dapat sumunod sa batas ng Pilipinas upang matiyak na matatapos ang kaso sa korte. * Ang pagbabalanse ng mga pangangailangan sa seguridad sa mga indibidwal na karapatan ay mahalaga.
**Mga Karagdagang Mapagkukunan:**
* Philippine National Police (PNP): [https://pnp.gov.ph/](https://pnp.gov.ph/)
* National Intelligence Coordinating Agency (NICA): [https://nica.gov.ph/](https://nica.gov.ph/)
Tandaan, ito ay isang pangkalahatang pangkalahatang-ideya lamang. Ang pagkonsulta sa isang abogado ay maaaring magbigay ng mas tiyak na patnubay batay sa mga detalye ng sitwasyon.</v>
      </c>
      <c r="F2339" s="2">
        <f t="shared" si="1"/>
        <v>0</v>
      </c>
      <c r="G2339" s="2"/>
      <c r="H2339" s="2"/>
      <c r="I2339" s="2"/>
      <c r="J2339" s="2"/>
      <c r="K2339" s="2"/>
      <c r="L2339" s="2"/>
      <c r="M2339" s="2"/>
      <c r="N2339" s="2"/>
      <c r="O2339" s="2"/>
      <c r="P2339" s="2"/>
      <c r="Q2339" s="2"/>
      <c r="R2339" s="2"/>
      <c r="S2339" s="2"/>
      <c r="T2339" s="2"/>
      <c r="U2339" s="2"/>
      <c r="V2339" s="2"/>
      <c r="W2339" s="2"/>
      <c r="X2339" s="2"/>
      <c r="Y2339" s="2"/>
      <c r="Z2339" s="2"/>
      <c r="AA2339" s="2"/>
    </row>
    <row r="2340">
      <c r="A2340" s="1" t="s">
        <v>5490</v>
      </c>
      <c r="B2340" s="1" t="s">
        <v>5645</v>
      </c>
      <c r="C2340" s="3" t="s">
        <v>5646</v>
      </c>
      <c r="D2340" s="2" t="str">
        <f>IFERROR(__xludf.DUMMYFUNCTION("GOOGLETRANSLATE(B2340, ""en"", ""TL"")"),"Ang isang tao ay inaresto dahil sa pagpaplano ng isang pag-atake ng terorista ngunit inaangkin ang mental incapacity. Paano tinutugunan ang depensa ng mental incapacity sa ilalim ng batas ng Pilipinas sa mga kaso ng terorismo?")</f>
        <v>Ang isang tao ay inaresto dahil sa pagpaplano ng isang pag-atake ng terorista ngunit inaangkin ang mental incapacity. Paano tinutugunan ang depensa ng mental incapacity sa ilalim ng batas ng Pilipinas sa mga kaso ng terorismo?</v>
      </c>
      <c r="E2340" s="2" t="str">
        <f>IFERROR(__xludf.DUMMYFUNCTION("GOOGLETRANSLATE(C2340, ""en"", ""TL"")"),"Ang pagtatanggol sa mental incapacity sa mga kaso ng terorismo sa ilalim ng batas ng Pilipinas ay tinutugunan sa pamamagitan ng Revised Penal Code (Act No. 3815) at jurisprudence (mga desisyon ng korte). Narito ang isang breakdown:
**Binago ang Penal Code"&amp;":**
* **Artikulo 12. Mga Sirkumstansya na Nakakaapekto sa Kriminal na Pananagutan:** Binabalangkas ng artikulong ito ang iba't ibang mga pangyayari na maaaring magpalibre sa isang tao mula sa pananagutang kriminal o pagaanin ang parusa. Narito ang mga nau"&amp;"ugnay na seksyon:
* **Talata 1. Exemption sa Pananagutan:** Ito ay naglilibre sa mga ganap na pinagkaitan ng katwiran dahil sa isang karamdaman o depekto. * **Talata 5. Pagbabawas ng mga Kalagayan:** Binabawasan nito ang parusa para sa mga kumilos nang ma"&amp;"y hindi kumpletong dahilan o pag-unawa dahil sa isang depekto sa pag-iisip.
**Pagtukoy sa Mental Incapacity:**
Tutukuyin ng korte ang kawalan ng kakayahan sa pag-iisip sa pamamagitan ng:
* **Pagsusuri sa Medikal:** Ang hukuman ay maaaring mag-utos ng pags"&amp;"usuri sa pag-iisip ng mga kwalipikadong medikal na propesyonal upang masuri ang kalagayan ng pag-iisip ng akusado sa oras ng pagkakasala.
* **Pagtatanghal ng Ebidensya:** Ang abogado ng depensa ay maaaring magpakita ng ebidensya, kabilang ang mga rekord n"&amp;"g medikal at mga testimonya ng ekspertong saksi, upang suportahan ang pag-aangkin ng kawalan ng kakayahan sa pag-iisip.
**Pasan ng Patunay:**
* Ang pasanin ng patunay para sa mental incapacity ay nakasalalay sa depensa. Dapat nilang kumbinsihin ang korte "&amp;"sa pamamagitan ng higit na katibayan na ang akusado ay kulang sa kinakailangang kakayahan sa pag-iisip upang managot sa krimen.
**Mga Posibleng Resulta:**
* **Acquittal:** Kung hahanapin ng hukuman ang akusado nang walang dahilan, maaari silang mapawalang"&amp;"-sala. Gayunpaman, ang hukuman ay maaaring mag-utos ng pagkakulong sa isang mental na institusyon. * **Binabaang Parusa:** Kung ang kawalan ng kakayahan sa pag-iisip ay bahagyang nakakaapekto sa katwiran, ang parusa ay maaaring bawasan.
**Mga Hamon:**
Ang"&amp;" matagumpay na pakikipagtalo sa mental incapacity sa mga kaso ng terorismo ay maaaring maging mahirap. Malamang na magtaltalan ang prosekusyon na naunawaan ng akusado ang mga kahihinatnan ng kanilang mga aksyon. **Mahalagang Paalala:**
Ito ay isang pangka"&amp;"lahatang pangkalahatang-ideya lamang. Ang partikular na aplikasyon ng batas ay nakasalalay sa mga detalye ng kaso. Ang pagkonsulta sa isang kwalipikadong abogado ay mahalaga para sa pag-navigate sa legal na proseso at epektibong paglalahad ng pagtatanggol"&amp;" sa mental incapacity.")</f>
        <v>Ang pagtatanggol sa mental incapacity sa mga kaso ng terorismo sa ilalim ng batas ng Pilipinas ay tinutugunan sa pamamagitan ng Revised Penal Code (Act No. 3815) at jurisprudence (mga desisyon ng korte). Narito ang isang breakdown:
**Binago ang Penal Code:**
* **Artikulo 12. Mga Sirkumstansya na Nakakaapekto sa Kriminal na Pananagutan:** Binabalangkas ng artikulong ito ang iba't ibang mga pangyayari na maaaring magpalibre sa isang tao mula sa pananagutang kriminal o pagaanin ang parusa. Narito ang mga nauugnay na seksyon:
* **Talata 1. Exemption sa Pananagutan:** Ito ay naglilibre sa mga ganap na pinagkaitan ng katwiran dahil sa isang karamdaman o depekto. * **Talata 5. Pagbabawas ng mga Kalagayan:** Binabawasan nito ang parusa para sa mga kumilos nang may hindi kumpletong dahilan o pag-unawa dahil sa isang depekto sa pag-iisip.
**Pagtukoy sa Mental Incapacity:**
Tutukuyin ng korte ang kawalan ng kakayahan sa pag-iisip sa pamamagitan ng:
* **Pagsusuri sa Medikal:** Ang hukuman ay maaaring mag-utos ng pagsusuri sa pag-iisip ng mga kwalipikadong medikal na propesyonal upang masuri ang kalagayan ng pag-iisip ng akusado sa oras ng pagkakasala.
* **Pagtatanghal ng Ebidensya:** Ang abogado ng depensa ay maaaring magpakita ng ebidensya, kabilang ang mga rekord ng medikal at mga testimonya ng ekspertong saksi, upang suportahan ang pag-aangkin ng kawalan ng kakayahan sa pag-iisip.
**Pasan ng Patunay:**
* Ang pasanin ng patunay para sa mental incapacity ay nakasalalay sa depensa. Dapat nilang kumbinsihin ang korte sa pamamagitan ng higit na katibayan na ang akusado ay kulang sa kinakailangang kakayahan sa pag-iisip upang managot sa krimen.
**Mga Posibleng Resulta:**
* **Acquittal:** Kung hahanapin ng hukuman ang akusado nang walang dahilan, maaari silang mapawalang-sala. Gayunpaman, ang hukuman ay maaaring mag-utos ng pagkakulong sa isang mental na institusyon. * **Binabaang Parusa:** Kung ang kawalan ng kakayahan sa pag-iisip ay bahagyang nakakaapekto sa katwiran, ang parusa ay maaaring bawasan.
**Mga Hamon:**
Ang matagumpay na pakikipagtalo sa mental incapacity sa mga kaso ng terorismo ay maaaring maging mahirap. Malamang na magtaltalan ang prosekusyon na naunawaan ng akusado ang mga kahihinatnan ng kanilang mga aksyon. **Mahalagang Paalala:**
Ito ay isang pangkalahatang pangkalahatang-ideya lamang. Ang partikular na aplikasyon ng batas ay nakasalalay sa mga detalye ng kaso. Ang pagkonsulta sa isang kwalipikadong abogado ay mahalaga para sa pag-navigate sa legal na proseso at epektibong paglalahad ng pagtatanggol sa mental incapacity.</v>
      </c>
      <c r="F2340" s="2">
        <f t="shared" si="1"/>
        <v>0</v>
      </c>
      <c r="G2340" s="2"/>
      <c r="H2340" s="2"/>
      <c r="I2340" s="2"/>
      <c r="J2340" s="2"/>
      <c r="K2340" s="2"/>
      <c r="L2340" s="2"/>
      <c r="M2340" s="2"/>
      <c r="N2340" s="2"/>
      <c r="O2340" s="2"/>
      <c r="P2340" s="2"/>
      <c r="Q2340" s="2"/>
      <c r="R2340" s="2"/>
      <c r="S2340" s="2"/>
      <c r="T2340" s="2"/>
      <c r="U2340" s="2"/>
      <c r="V2340" s="2"/>
      <c r="W2340" s="2"/>
      <c r="X2340" s="2"/>
      <c r="Y2340" s="2"/>
      <c r="Z2340" s="2"/>
      <c r="AA2340" s="2"/>
    </row>
    <row r="2341">
      <c r="A2341" s="1" t="s">
        <v>5490</v>
      </c>
      <c r="B2341" s="1" t="s">
        <v>5647</v>
      </c>
      <c r="C2341" s="3" t="s">
        <v>5648</v>
      </c>
      <c r="D2341" s="2" t="str">
        <f>IFERROR(__xludf.DUMMYFUNCTION("GOOGLETRANSLATE(B2341, ""en"", ""TL"")"),"Sa isang regular na inspeksyon, nakita ng mga awtoridad ang isang dayuhang terorista na kumikilos sa loob ng bansa. Anong mga legal na hakbang ang maaaring gawin upang usigin at matugunan ang banta ng dayuhan?")</f>
        <v>Sa isang regular na inspeksyon, nakita ng mga awtoridad ang isang dayuhang terorista na kumikilos sa loob ng bansa. Anong mga legal na hakbang ang maaaring gawin upang usigin at matugunan ang banta ng dayuhan?</v>
      </c>
      <c r="E2341" s="2" t="str">
        <f>IFERROR(__xludf.DUMMYFUNCTION("GOOGLETRANSLATE(C2341, ""en"", ""TL"")"),"Nag-aalok ang batas ng Pilipinas ng ilang mga legal na hakbang upang usigin at tugunan ang banta ng teroristang dayuhan na natuklasan sa isang regular na inspeksyon:
**Mga Pamamaraan sa Deportasyon:**
* **Immigration Act of 1950 (Republic Act No. 562):** "&amp;"Ang batas na ito ay nagpapahintulot sa mga awtoridad na simulan ang mga paglilitis sa deportasyon laban sa dayuhang terorista. Ang pambansang seguridad ay isang lehitimong batayan para sa deportasyon sa ilalim ng batas ng Pilipinas.
**Pag-uusig sa ilalim "&amp;"ng Anti-Terrorism Act:**
* **Republic Act No. 11479 (Anti-Terrorism Act of 2020):** Depende sa mga aktibidad na natuklasan sa panahon ng inspeksyon, ang dayuhang terorista ay maaaring kasuhan ng iba't ibang mga pagkakasala sa ilalim ng Batas na ito, tulad"&amp;" ng:
* **Seksyon 4. Pag-uudyok sa Terorismo:** Kung ang ebidensya ay nagmumungkahi na ang dayuhan ay nag-uudyok ng terorismo.
* **Seksyon 6. Pagkakaloob ng mga Pondo, Logistics o Iba Pang Materyal na Suporta para sa Terorismo:** Kung ang inspeksyon ay nag"&amp;"papakita na ang dayuhan ay nagbibigay ng materyal na suporta para sa terorismo.
**Internasyonal na Kooperasyon:**
* Ang Pilipinas ay maaaring makipagtulungan sa ibang mga bansa sa pamamagitan ng:
* **Pagbabahagi ng Impormasyon:** Pagbabahagi ng katalinuha"&amp;"n tungkol sa dayuhang terorista sa kanilang sariling bansa.
* **Mga Kasunduan sa Ekstradisyon:** Kung umiiral ang mga naaangkop na kasunduan, ang Pilipinas ay maaaring magpasimula ng mga paglilitis sa extradition upang ang dayuhan ay humarap sa paglilitis"&amp;" sa kanilang sariling bansa.
**Mga Karagdagang Punto:**
* Ang ebidensyang nakalap sa panahon ng inspeksyon ay dapat makuhang legal upang matanggap sa korte.
* Ang mga partikular na legal na hakbang na gagawin ay depende sa mga partikular na pangyayari na "&amp;"nakapalibot sa kaso.
**Mga Rekomendasyon:**
* Kumonsulta sa legal na tagapayo na dalubhasa sa batas sa imigrasyon at pambansang seguridad para sa mas detalyadong pagsusuri sa sitwasyon.
* Makipag-ugnayan sa mga kaugnay na ahensya ng gobyerno tulad ng Bure"&amp;"au of Immigration (BI) at National Intelligence Coordinating Agency (NICA) para sa mga tamang pamamaraan.")</f>
        <v>Nag-aalok ang batas ng Pilipinas ng ilang mga legal na hakbang upang usigin at tugunan ang banta ng teroristang dayuhan na natuklasan sa isang regular na inspeksyon:
**Mga Pamamaraan sa Deportasyon:**
* **Immigration Act of 1950 (Republic Act No. 562):** Ang batas na ito ay nagpapahintulot sa mga awtoridad na simulan ang mga paglilitis sa deportasyon laban sa dayuhang terorista. Ang pambansang seguridad ay isang lehitimong batayan para sa deportasyon sa ilalim ng batas ng Pilipinas.
**Pag-uusig sa ilalim ng Anti-Terrorism Act:**
* **Republic Act No. 11479 (Anti-Terrorism Act of 2020):** Depende sa mga aktibidad na natuklasan sa panahon ng inspeksyon, ang dayuhang terorista ay maaaring kasuhan ng iba't ibang mga pagkakasala sa ilalim ng Batas na ito, tulad ng:
* **Seksyon 4. Pag-uudyok sa Terorismo:** Kung ang ebidensya ay nagmumungkahi na ang dayuhan ay nag-uudyok ng terorismo.
* **Seksyon 6. Pagkakaloob ng mga Pondo, Logistics o Iba Pang Materyal na Suporta para sa Terorismo:** Kung ang inspeksyon ay nagpapakita na ang dayuhan ay nagbibigay ng materyal na suporta para sa terorismo.
**Internasyonal na Kooperasyon:**
* Ang Pilipinas ay maaaring makipagtulungan sa ibang mga bansa sa pamamagitan ng:
* **Pagbabahagi ng Impormasyon:** Pagbabahagi ng katalinuhan tungkol sa dayuhang terorista sa kanilang sariling bansa.
* **Mga Kasunduan sa Ekstradisyon:** Kung umiiral ang mga naaangkop na kasunduan, ang Pilipinas ay maaaring magpasimula ng mga paglilitis sa extradition upang ang dayuhan ay humarap sa paglilitis sa kanilang sariling bansa.
**Mga Karagdagang Punto:**
* Ang ebidensyang nakalap sa panahon ng inspeksyon ay dapat makuhang legal upang matanggap sa korte.
* Ang mga partikular na legal na hakbang na gagawin ay depende sa mga partikular na pangyayari na nakapalibot sa kaso.
**Mga Rekomendasyon:**
* Kumonsulta sa legal na tagapayo na dalubhasa sa batas sa imigrasyon at pambansang seguridad para sa mas detalyadong pagsusuri sa sitwasyon.
* Makipag-ugnayan sa mga kaugnay na ahensya ng gobyerno tulad ng Bureau of Immigration (BI) at National Intelligence Coordinating Agency (NICA) para sa mga tamang pamamaraan.</v>
      </c>
      <c r="F2341" s="2">
        <f t="shared" si="1"/>
        <v>0</v>
      </c>
      <c r="G2341" s="2"/>
      <c r="H2341" s="2"/>
      <c r="I2341" s="2"/>
      <c r="J2341" s="2"/>
      <c r="K2341" s="2"/>
      <c r="L2341" s="2"/>
      <c r="M2341" s="2"/>
      <c r="N2341" s="2"/>
      <c r="O2341" s="2"/>
      <c r="P2341" s="2"/>
      <c r="Q2341" s="2"/>
      <c r="R2341" s="2"/>
      <c r="S2341" s="2"/>
      <c r="T2341" s="2"/>
      <c r="U2341" s="2"/>
      <c r="V2341" s="2"/>
      <c r="W2341" s="2"/>
      <c r="X2341" s="2"/>
      <c r="Y2341" s="2"/>
      <c r="Z2341" s="2"/>
      <c r="AA2341" s="2"/>
    </row>
    <row r="2342">
      <c r="A2342" s="1" t="s">
        <v>5490</v>
      </c>
      <c r="B2342" s="1" t="s">
        <v>5649</v>
      </c>
      <c r="C2342" s="3" t="s">
        <v>5650</v>
      </c>
      <c r="D2342" s="2" t="str">
        <f>IFERROR(__xludf.DUMMYFUNCTION("GOOGLETRANSLATE(B2342, ""en"", ""TL"")"),"Makakatanggap ka ng impormasyon tungkol sa isang potensyal na pag-atake ng terorista na nagta-target sa isang shopping mall. Anong mga legal na aksyon ang maaaring gawin upang ma-secure ang mall at maiwasan ang pag-atake?")</f>
        <v>Makakatanggap ka ng impormasyon tungkol sa isang potensyal na pag-atake ng terorista na nagta-target sa isang shopping mall. Anong mga legal na aksyon ang maaaring gawin upang ma-secure ang mall at maiwasan ang pag-atake?</v>
      </c>
      <c r="E2342" s="2" t="str">
        <f>IFERROR(__xludf.DUMMYFUNCTION("GOOGLETRANSLATE(C2342, ""en"", ""TL"")"),"Narito ang ilang legal na aksyon na maaaring gawin upang ma-secure ang mall at maiwasan ang pag-atake ng terorista batay sa batas ng Pilipinas:
**Agad na Pag-uulat:**
* **Republic Act No. 11479 (Anti-Terrorism Act of 2020):** Ang Seksyon 19. Obligation to"&amp;" Report ay nangangailangan ng sinumang may kaalaman o makatwirang hinala ng isang paparating na pag-atake ng terorista na iulat ito kaagad sa pinakamalapit na ahensyang nagpapatupad ng batas.
**Mga Pagkilos sa Pagpapatupad ng Batas:**
* **Pagsisiyasat:** "&amp;"Maaaring magsimula ang mga awtoridad ng pagsisiyasat upang masuri ang kredibilidad ng impormasyon at matukoy ang mga potensyal na umaatake.
* **Mga Warrant sa Paghahanap:** Batay sa posibleng dahilan, maaaring mag-apply ang pagpapatupad ng batas para sa m"&amp;"ga search warrant upang mahanap ang mga armas, pampasabog, o iba pang materyal na nauugnay sa nakaplanong pag-atake. (Konstitusyon ng Pilipinas, Artikulo III, Seksyon 2)
* **Surveillance:** Ang mga awtoridad ay maaaring magsagawa ng legal na pagsubaybay s"&amp;"a mall at mga indibidwal na pinaghihinalaang may kinalaman, sa loob ng mga hangganang itinakda ng Konstitusyon (Artikulo III, Seksyon 2) at mga nauugnay na batas.
**Pag-secure sa Mall:**
* **Mall Management Cooperation:** Ang mga awtoridad ay maaaring mak"&amp;"ipagtulungan sa mall management upang ipatupad ang mas mataas na mga hakbang sa seguridad, tulad ng:
* Mas mahigpit na mga pagsusuri sa bag at mga kontrol sa pag-access.
* Paglalagay ng karagdagang mga tauhan ng seguridad.
* Mga pagsasanay sa paglikas at "&amp;"mga plano sa pagtugon sa emerhensiya.
* **Pansamantalang Pagsasara:** Sa matinding mga pangyayari, ang mga awtoridad ay maaaring, sa pakikipag-ugnayan sa pamunuan ng mall, humingi ng legal na awtorisasyon para sa pansamantalang pagsasara upang matiyak ang"&amp;" kaligtasan ng publiko. Ito ay malamang na nangangailangan ng pag-apruba ng korte.
**Pampublikong Komunikasyon:**
* Ang pagpapanatili ng balanse sa pagitan ng kamalayan ng publiko at pagpigil sa gulat ay mahalaga. Ang mga awtoridad ay maaaring, sa kanilan"&amp;"g paghuhusga, mag-isyu ng mga pampublikong advisory na naghihikayat sa pagbabantay at pag-uulat ng kahina-hinalang aktibidad.
**Mahahalagang Paalala:**
* Ang pangangalap ng ebidensya at paggawa ng mga legal na aksyon ay dapat sumunod sa batas ng Pilipinas"&amp;" upang matiyak na ang mga aksyon ay gaganapin sa korte. * Ang pagbabalanse ng mga pangangailangan sa seguridad sa mga indibidwal na karapatan at pag-iwas sa hindi kinakailangang pagkagambala sa mga operasyon ng mall ay mahalaga.
**Mga Karagdagang Mapagkuk"&amp;"unan:**
* Philippine National Police (PNP): [https://pnp.gov.ph/](https://pnp.gov.ph/)
* National Intelligence Coordinating Agency (NICA): [https://nica.gov.ph/](https://nica.gov.ph/)
Tandaan, ito ay isang pangkalahatang pangkalahatang-ideya lamang. Ang p"&amp;"agkonsulta sa isang abogado ay maaaring magbigay ng mas tiyak na patnubay batay sa mga detalye ng sitwasyon.")</f>
        <v>Narito ang ilang legal na aksyon na maaaring gawin upang ma-secure ang mall at maiwasan ang pag-atake ng terorista batay sa batas ng Pilipinas:
**Agad na Pag-uulat:**
* **Republic Act No. 11479 (Anti-Terrorism Act of 2020):** Ang Seksyon 19. Obligation to Report ay nangangailangan ng sinumang may kaalaman o makatwirang hinala ng isang paparating na pag-atake ng terorista na iulat ito kaagad sa pinakamalapit na ahensyang nagpapatupad ng batas.
**Mga Pagkilos sa Pagpapatupad ng Batas:**
* **Pagsisiyasat:** Maaaring magsimula ang mga awtoridad ng pagsisiyasat upang masuri ang kredibilidad ng impormasyon at matukoy ang mga potensyal na umaatake.
* **Mga Warrant sa Paghahanap:** Batay sa posibleng dahilan, maaaring mag-apply ang pagpapatupad ng batas para sa mga search warrant upang mahanap ang mga armas, pampasabog, o iba pang materyal na nauugnay sa nakaplanong pag-atake. (Konstitusyon ng Pilipinas, Artikulo III, Seksyon 2)
* **Surveillance:** Ang mga awtoridad ay maaaring magsagawa ng legal na pagsubaybay sa mall at mga indibidwal na pinaghihinalaang may kinalaman, sa loob ng mga hangganang itinakda ng Konstitusyon (Artikulo III, Seksyon 2) at mga nauugnay na batas.
**Pag-secure sa Mall:**
* **Mall Management Cooperation:** Ang mga awtoridad ay maaaring makipagtulungan sa mall management upang ipatupad ang mas mataas na mga hakbang sa seguridad, tulad ng:
* Mas mahigpit na mga pagsusuri sa bag at mga kontrol sa pag-access.
* Paglalagay ng karagdagang mga tauhan ng seguridad.
* Mga pagsasanay sa paglikas at mga plano sa pagtugon sa emerhensiya.
* **Pansamantalang Pagsasara:** Sa matinding mga pangyayari, ang mga awtoridad ay maaaring, sa pakikipag-ugnayan sa pamunuan ng mall, humingi ng legal na awtorisasyon para sa pansamantalang pagsasara upang matiyak ang kaligtasan ng publiko. Ito ay malamang na nangangailangan ng pag-apruba ng korte.
**Pampublikong Komunikasyon:**
* Ang pagpapanatili ng balanse sa pagitan ng kamalayan ng publiko at pagpigil sa gulat ay mahalaga. Ang mga awtoridad ay maaaring, sa kanilang paghuhusga, mag-isyu ng mga pampublikong advisory na naghihikayat sa pagbabantay at pag-uulat ng kahina-hinalang aktibidad.
**Mahahalagang Paalala:**
* Ang pangangalap ng ebidensya at paggawa ng mga legal na aksyon ay dapat sumunod sa batas ng Pilipinas upang matiyak na ang mga aksyon ay gaganapin sa korte. * Ang pagbabalanse ng mga pangangailangan sa seguridad sa mga indibidwal na karapatan at pag-iwas sa hindi kinakailangang pagkagambala sa mga operasyon ng mall ay mahalaga.
**Mga Karagdagang Mapagkukunan:**
* Philippine National Police (PNP): [https://pnp.gov.ph/](https://pnp.gov.ph/)
* National Intelligence Coordinating Agency (NICA): [https://nica.gov.ph/](https://nica.gov.ph/)
Tandaan, ito ay isang pangkalahatang pangkalahatang-ideya lamang. Ang pagkonsulta sa isang abogado ay maaaring magbigay ng mas tiyak na patnubay batay sa mga detalye ng sitwasyon.</v>
      </c>
      <c r="F2342" s="2">
        <f t="shared" si="1"/>
        <v>0</v>
      </c>
      <c r="G2342" s="2"/>
      <c r="H2342" s="2"/>
      <c r="I2342" s="2"/>
      <c r="J2342" s="2"/>
      <c r="K2342" s="2"/>
      <c r="L2342" s="2"/>
      <c r="M2342" s="2"/>
      <c r="N2342" s="2"/>
      <c r="O2342" s="2"/>
      <c r="P2342" s="2"/>
      <c r="Q2342" s="2"/>
      <c r="R2342" s="2"/>
      <c r="S2342" s="2"/>
      <c r="T2342" s="2"/>
      <c r="U2342" s="2"/>
      <c r="V2342" s="2"/>
      <c r="W2342" s="2"/>
      <c r="X2342" s="2"/>
      <c r="Y2342" s="2"/>
      <c r="Z2342" s="2"/>
      <c r="AA2342" s="2"/>
    </row>
    <row r="2343">
      <c r="A2343" s="1" t="s">
        <v>5490</v>
      </c>
      <c r="B2343" s="1" t="s">
        <v>5651</v>
      </c>
      <c r="C2343" s="3" t="s">
        <v>5652</v>
      </c>
      <c r="D2343" s="2" t="str">
        <f>IFERROR(__xludf.DUMMYFUNCTION("GOOGLETRANSLATE(B2343, ""en"", ""TL"")"),"Ang isang tao ay inaresto para sa pangangalap ng mga menor de edad sa isang teroristang organisasyon ngunit sinasabing walang layunin. Paano tinutugunan ang pagtatanggol sa kawalan ng layunin sa ilalim ng batas ng Pilipinas sa mga kaso ng terorismo?")</f>
        <v>Ang isang tao ay inaresto para sa pangangalap ng mga menor de edad sa isang teroristang organisasyon ngunit sinasabing walang layunin. Paano tinutugunan ang pagtatanggol sa kawalan ng layunin sa ilalim ng batas ng Pilipinas sa mga kaso ng terorismo?</v>
      </c>
      <c r="E2343" s="2" t="str">
        <f>IFERROR(__xludf.DUMMYFUNCTION("GOOGLETRANSLATE(C2343, ""en"", ""TL"")"),"Ang kawalan ng layunin, sa sarili nitong, ay maaaring hindi sapat na malakas na depensa sa isang kaso ng terorismo sa Pilipinas na kinasasangkutan ng recruitment ng mga menor de edad (Republic Act No. 11479 - Anti-Terrorism Act of 2020). Narito kung bakit"&amp;":
* **Strict Liability Offense:** Seksyon 10 ng Anti-Terrorism Act (ATA) ay ginagawang kriminal ang recruitment sa isang teroristang organisasyon. Ito ay partikular na nagsasaad na ""ang kaalaman na ang organisasyon ay isang organisasyong terorista ay hin"&amp;"di isang elemento ng pagkakasala."" Nangangahulugan ito na kahit na hindi alam ng tao na nagre-recruit sila para sa isang teroristang organisasyon, maaari pa rin silang mapatunayang nagkasala.
Gayunpaman, maaaring may mga paraan upang matugunan ang kawala"&amp;"n ng layunin sa pamamagitan ng pagtatalo sa iba pang mga depensa:
* **Pagkakamali ng Katotohanan:** Maaaring magtaltalan ang tao na nagkamali silang naniniwala na ang organisasyon ay hindi isang teroristang grupo. Ang pagtatanggol na ito ay nangangailanga"&amp;"n ng patunay na ang pagkakamali ay makatwiran at may mabuting loob. Ang ebidensya na sumusuporta sa claim na ito ay magiging mahalaga.
* **Mali sa Batas:** Mas malamang na magtagumpay, ngunit maaaring magtaltalan ang tao na hindi niya alam na ilegal ang p"&amp;"ag-recruit para sa isang partikular na organisasyon. Ang pagtatanggol na ito ay karaniwang hindi pinapaboran sa mga kasong kriminal. * **Pagpapasok sa pamamagitan ng Pagpapatupad ng Batas:** Kung hinikayat o hinikayat ng tagapagpatupad ng batas ang tao na"&amp;" gawin ang krimen sa pamamagitan ng mga taktika sa pagmamanipula, ang pagtatanggol na ito ay posibleng magamit. **Pagbabawas ng mga Kalagayan:**
Kahit na ang kawalan ng layunin ay hindi ganap na nagpapawalang-sala sa akusado, maaari itong gamitin bilang i"&amp;"sang nagpapagaan na pangyayari sa panahon ng paghatol. Maaaring isaalang-alang ito ng korte kapag nagpapasya sa parusa, na posibleng humahantong sa mas magaan na sentensiya.
**Kahalagahan ng Ebidensya:**
Anuman ang napiling depensa, ang matibay na ebidens"&amp;"ya ay mahalaga. Ang mga testimonya ng saksi, mga dokumento, o mga talaan ng komunikasyon na sumusuporta sa pag-aangkin ng kawalan ng layunin o ibang depensa ay magiging mahalaga para sa kaso.
**Rekomendasyon:**
Ang pagkonsulta sa isang kwalipikadong aboga"&amp;"do na dalubhasa sa batas sa kriminal at pambansang seguridad ay lubos na inirerekomenda. Maaari nilang suriin ang mga partikular na detalye ng kaso, payuhan ang pinakaangkop na diskarte sa pagtatanggol, at tumulong sa epektibong pag-navigate sa legal na p"&amp;"roseso.")</f>
        <v>Ang kawalan ng layunin, sa sarili nitong, ay maaaring hindi sapat na malakas na depensa sa isang kaso ng terorismo sa Pilipinas na kinasasangkutan ng recruitment ng mga menor de edad (Republic Act No. 11479 - Anti-Terrorism Act of 2020). Narito kung bakit:
* **Strict Liability Offense:** Seksyon 10 ng Anti-Terrorism Act (ATA) ay ginagawang kriminal ang recruitment sa isang teroristang organisasyon. Ito ay partikular na nagsasaad na "ang kaalaman na ang organisasyon ay isang organisasyong terorista ay hindi isang elemento ng pagkakasala." Nangangahulugan ito na kahit na hindi alam ng tao na nagre-recruit sila para sa isang teroristang organisasyon, maaari pa rin silang mapatunayang nagkasala.
Gayunpaman, maaaring may mga paraan upang matugunan ang kawalan ng layunin sa pamamagitan ng pagtatalo sa iba pang mga depensa:
* **Pagkakamali ng Katotohanan:** Maaaring magtaltalan ang tao na nagkamali silang naniniwala na ang organisasyon ay hindi isang teroristang grupo. Ang pagtatanggol na ito ay nangangailangan ng patunay na ang pagkakamali ay makatwiran at may mabuting loob. Ang ebidensya na sumusuporta sa claim na ito ay magiging mahalaga.
* **Mali sa Batas:** Mas malamang na magtagumpay, ngunit maaaring magtaltalan ang tao na hindi niya alam na ilegal ang pag-recruit para sa isang partikular na organisasyon. Ang pagtatanggol na ito ay karaniwang hindi pinapaboran sa mga kasong kriminal. * **Pagpapasok sa pamamagitan ng Pagpapatupad ng Batas:** Kung hinikayat o hinikayat ng tagapagpatupad ng batas ang tao na gawin ang krimen sa pamamagitan ng mga taktika sa pagmamanipula, ang pagtatanggol na ito ay posibleng magamit. **Pagbabawas ng mga Kalagayan:**
Kahit na ang kawalan ng layunin ay hindi ganap na nagpapawalang-sala sa akusado, maaari itong gamitin bilang isang nagpapagaan na pangyayari sa panahon ng paghatol. Maaaring isaalang-alang ito ng korte kapag nagpapasya sa parusa, na posibleng humahantong sa mas magaan na sentensiya.
**Kahalagahan ng Ebidensya:**
Anuman ang napiling depensa, ang matibay na ebidensya ay mahalaga. Ang mga testimonya ng saksi, mga dokumento, o mga talaan ng komunikasyon na sumusuporta sa pag-aangkin ng kawalan ng layunin o ibang depensa ay magiging mahalaga para sa kaso.
**Rekomendasyon:**
Ang pagkonsulta sa isang kwalipikadong abogado na dalubhasa sa batas sa kriminal at pambansang seguridad ay lubos na inirerekomenda. Maaari nilang suriin ang mga partikular na detalye ng kaso, payuhan ang pinakaangkop na diskarte sa pagtatanggol, at tumulong sa epektibong pag-navigate sa legal na proseso.</v>
      </c>
      <c r="F2343" s="2">
        <f t="shared" si="1"/>
        <v>0</v>
      </c>
      <c r="G2343" s="2"/>
      <c r="H2343" s="2"/>
      <c r="I2343" s="2"/>
      <c r="J2343" s="2"/>
      <c r="K2343" s="2"/>
      <c r="L2343" s="2"/>
      <c r="M2343" s="2"/>
      <c r="N2343" s="2"/>
      <c r="O2343" s="2"/>
      <c r="P2343" s="2"/>
      <c r="Q2343" s="2"/>
      <c r="R2343" s="2"/>
      <c r="S2343" s="2"/>
      <c r="T2343" s="2"/>
      <c r="U2343" s="2"/>
      <c r="V2343" s="2"/>
      <c r="W2343" s="2"/>
      <c r="X2343" s="2"/>
      <c r="Y2343" s="2"/>
      <c r="Z2343" s="2"/>
      <c r="AA2343" s="2"/>
    </row>
    <row r="2344">
      <c r="A2344" s="1" t="s">
        <v>5490</v>
      </c>
      <c r="B2344" s="1" t="s">
        <v>5653</v>
      </c>
      <c r="C2344" s="3" t="s">
        <v>5654</v>
      </c>
      <c r="D2344" s="2" t="str">
        <f>IFERROR(__xludf.DUMMYFUNCTION("GOOGLETRANSLATE(B2344, ""en"", ""TL"")"),"Natuklasan mo ang isang grupo na nagpaplano ng pag-atake ng terorista sa loob ng isang institusyong pang-edukasyon. Anong mga legal na aksyon ang maaaring gawin upang mapahusay ang seguridad at maiwasan ang pag-atake?")</f>
        <v>Natuklasan mo ang isang grupo na nagpaplano ng pag-atake ng terorista sa loob ng isang institusyong pang-edukasyon. Anong mga legal na aksyon ang maaaring gawin upang mapahusay ang seguridad at maiwasan ang pag-atake?</v>
      </c>
      <c r="E2344" s="2" t="str">
        <f>IFERROR(__xludf.DUMMYFUNCTION("GOOGLETRANSLATE(C2344, ""en"", ""TL"")"),"Narito ang ilang legal na aksyon na maaari mong gawin upang mapahusay ang seguridad at maiwasan ang pag-atake ng terorista sa loob ng isang institusyong pang-edukasyon batay sa batas ng Pilipinas:
**Agad na Pag-uulat:**
* **Republic Act No. 11479 (Anti-Te"&amp;"rrorism Act of 2020):** Ang Seksyon 19. Obligation to Report ay nangangailangan ng sinumang may kaalaman o makatwirang hinala ng isang paparating na pag-atake ng terorista na iulat ito kaagad sa pinakamalapit na ahensyang nagpapatupad ng batas. Ito ang pi"&amp;"nakamahalagang hakbang.
**Mga Pagkilos sa Pagpapatupad ng Batas:**
* **Pagsisiyasat:** Maaaring magsimula ang mga awtoridad ng pagsisiyasat upang masuri ang kredibilidad ng impormasyon at matukoy ang mga potensyal na umaatake.
* **Mga Warrant sa Paghahana"&amp;"p:** Kung may probable cause, maaaring mag-apply ang tagapagpatupad ng batas para sa mga search warrant upang mahanap ang mga armas, pampasabog, o iba pang materyal na nauugnay sa nakaplanong pag-atake. (Konstitusyon ng Pilipinas, Artikulo III, Seksyon 2)"&amp;"
* **Surveillance:** Ang mga awtoridad ay maaaring magsagawa ng legal na pagsubaybay sa institusyong pang-edukasyon at mga indibidwal na pinaghihinalaang may kinalaman, sa loob ng mga hangganang itinakda ng Konstitusyon (Artikulo III, Seksyon 2) at mga na"&amp;"uugnay na batas.
**Pag-secure ng Institusyong Pang-edukasyon:**
* **Kooperasyon sa Pangangasiwa ng Paaralan:** Maaaring makipagtulungan ang mga awtoridad sa administrasyon ng paaralan upang ipatupad ang mga mas mataas na hakbang sa seguridad, tulad ng:
* "&amp;"Mas mahigpit na mga pagsusuri sa bag at mga kontrol sa pag-access sa mga entry point.
* Paglalagay ng karagdagang mga tauhan ng seguridad.
* Nadagdagang patrolya ng seguridad sa loob ng campus.
* Ang mga evacuation drill at mga plano sa pagtugon sa emerhe"&amp;"nsiya ay regular na ginagawa kasama ng mga estudyante at kawani.
**Pampublikong Komunikasyon:**
* Ang pagpapanatili ng balanse sa pagitan ng kamalayan ng publiko at pagpigil sa gulat ay mahalaga. * Ang administrasyon ng paaralan, sa pakikipag-ugnayan sa m"&amp;"ga awtoridad, ay maaaring mag-isyu ng mga payo sa mga magulang, mag-aaral, at kawani na naghihikayat sa pagbabantay at pag-uulat ng kahina-hinalang aktibidad.
**Mga Karagdagang Pagsasaalang-alang:**
* **Kaligtasan ng Mag-aaral:** Ang kaligtasan ng mga mag"&amp;"-aaral at kawani ay dapat na pinakamahalaga sa buong proseso. Dapat magsikap ang mga awtoridad na mabawasan ang pagkagambala sa mga aktibidad na pang-edukasyon habang tinitiyak ang seguridad.
* **Mental Health Support:** Ang potensyal para sa pagkabalisa "&amp;"at takot sa komunidad ng paaralan ay dapat matugunan. Ang administrasyon ng paaralan, sa pakikipag-ugnayan sa mga nauugnay na ahensya, ay maaaring mag-alok ng mga serbisyo sa pagpapayo sa mga mag-aaral at kawani.
**Mahahalagang Paalala:**
* Ang pangangala"&amp;"p ng ebidensya at paggawa ng mga legal na aksyon ay dapat sumunod sa batas ng Pilipinas upang matiyak na ang mga aksyon ay gaganapin sa korte. * Ang pagbabalanse ng mga pangangailangan sa seguridad sa mga indibidwal na karapatan at pag-iwas sa hindi kinak"&amp;"ailangang pagkagambala sa mga operasyon ng paaralan ay mahalaga.
**Mga Karagdagang Mapagkukunan:**
* Philippine National Police (PNP): [https://pnp.gov.ph/](https://pnp.gov.ph/)
* National Intelligence Coordinating Agency (NICA): [https://nica.gov.ph/](ht"&amp;"tps://nica.gov.ph/)
Tandaan, ito ay isang pangkalahatang pangkalahatang-ideya lamang. Ang pagkonsulta sa isang abogado ay maaaring magbigay ng mas tiyak na patnubay batay sa mga detalye ng sitwasyon.")</f>
        <v>Narito ang ilang legal na aksyon na maaari mong gawin upang mapahusay ang seguridad at maiwasan ang pag-atake ng terorista sa loob ng isang institusyong pang-edukasyon batay sa batas ng Pilipinas:
**Agad na Pag-uulat:**
* **Republic Act No. 11479 (Anti-Terrorism Act of 2020):** Ang Seksyon 19. Obligation to Report ay nangangailangan ng sinumang may kaalaman o makatwirang hinala ng isang paparating na pag-atake ng terorista na iulat ito kaagad sa pinakamalapit na ahensyang nagpapatupad ng batas. Ito ang pinakamahalagang hakbang.
**Mga Pagkilos sa Pagpapatupad ng Batas:**
* **Pagsisiyasat:** Maaaring magsimula ang mga awtoridad ng pagsisiyasat upang masuri ang kredibilidad ng impormasyon at matukoy ang mga potensyal na umaatake.
* **Mga Warrant sa Paghahanap:** Kung may probable cause, maaaring mag-apply ang tagapagpatupad ng batas para sa mga search warrant upang mahanap ang mga armas, pampasabog, o iba pang materyal na nauugnay sa nakaplanong pag-atake. (Konstitusyon ng Pilipinas, Artikulo III, Seksyon 2)
* **Surveillance:** Ang mga awtoridad ay maaaring magsagawa ng legal na pagsubaybay sa institusyong pang-edukasyon at mga indibidwal na pinaghihinalaang may kinalaman, sa loob ng mga hangganang itinakda ng Konstitusyon (Artikulo III, Seksyon 2) at mga nauugnay na batas.
**Pag-secure ng Institusyong Pang-edukasyon:**
* **Kooperasyon sa Pangangasiwa ng Paaralan:** Maaaring makipagtulungan ang mga awtoridad sa administrasyon ng paaralan upang ipatupad ang mga mas mataas na hakbang sa seguridad, tulad ng:
* Mas mahigpit na mga pagsusuri sa bag at mga kontrol sa pag-access sa mga entry point.
* Paglalagay ng karagdagang mga tauhan ng seguridad.
* Nadagdagang patrolya ng seguridad sa loob ng campus.
* Ang mga evacuation drill at mga plano sa pagtugon sa emerhensiya ay regular na ginagawa kasama ng mga estudyante at kawani.
**Pampublikong Komunikasyon:**
* Ang pagpapanatili ng balanse sa pagitan ng kamalayan ng publiko at pagpigil sa gulat ay mahalaga. * Ang administrasyon ng paaralan, sa pakikipag-ugnayan sa mga awtoridad, ay maaaring mag-isyu ng mga payo sa mga magulang, mag-aaral, at kawani na naghihikayat sa pagbabantay at pag-uulat ng kahina-hinalang aktibidad.
**Mga Karagdagang Pagsasaalang-alang:**
* **Kaligtasan ng Mag-aaral:** Ang kaligtasan ng mga mag-aaral at kawani ay dapat na pinakamahalaga sa buong proseso. Dapat magsikap ang mga awtoridad na mabawasan ang pagkagambala sa mga aktibidad na pang-edukasyon habang tinitiyak ang seguridad.
* **Mental Health Support:** Ang potensyal para sa pagkabalisa at takot sa komunidad ng paaralan ay dapat matugunan. Ang administrasyon ng paaralan, sa pakikipag-ugnayan sa mga nauugnay na ahensya, ay maaaring mag-alok ng mga serbisyo sa pagpapayo sa mga mag-aaral at kawani.
**Mahahalagang Paalala:**
* Ang pangangalap ng ebidensya at paggawa ng mga legal na aksyon ay dapat sumunod sa batas ng Pilipinas upang matiyak na ang mga aksyon ay gaganapin sa korte. * Ang pagbabalanse ng mga pangangailangan sa seguridad sa mga indibidwal na karapatan at pag-iwas sa hindi kinakailangang pagkagambala sa mga operasyon ng paaralan ay mahalaga.
**Mga Karagdagang Mapagkukunan:**
* Philippine National Police (PNP): [https://pnp.gov.ph/](https://pnp.gov.ph/)
* National Intelligence Coordinating Agency (NICA): [https://nica.gov.ph/](https://nica.gov.ph/)
Tandaan, ito ay isang pangkalahatang pangkalahatang-ideya lamang. Ang pagkonsulta sa isang abogado ay maaaring magbigay ng mas tiyak na patnubay batay sa mga detalye ng sitwasyon.</v>
      </c>
      <c r="F2344" s="2">
        <f t="shared" si="1"/>
        <v>0</v>
      </c>
      <c r="G2344" s="2"/>
      <c r="H2344" s="2"/>
      <c r="I2344" s="2"/>
      <c r="J2344" s="2"/>
      <c r="K2344" s="2"/>
      <c r="L2344" s="2"/>
      <c r="M2344" s="2"/>
      <c r="N2344" s="2"/>
      <c r="O2344" s="2"/>
      <c r="P2344" s="2"/>
      <c r="Q2344" s="2"/>
      <c r="R2344" s="2"/>
      <c r="S2344" s="2"/>
      <c r="T2344" s="2"/>
      <c r="U2344" s="2"/>
      <c r="V2344" s="2"/>
      <c r="W2344" s="2"/>
      <c r="X2344" s="2"/>
      <c r="Y2344" s="2"/>
      <c r="Z2344" s="2"/>
      <c r="AA2344" s="2"/>
    </row>
    <row r="2345">
      <c r="A2345" s="1" t="s">
        <v>5490</v>
      </c>
      <c r="B2345" s="1" t="s">
        <v>5655</v>
      </c>
      <c r="C2345" s="3" t="s">
        <v>5656</v>
      </c>
      <c r="D2345" s="2" t="str">
        <f>IFERROR(__xludf.DUMMYFUNCTION("GOOGLETRANSLATE(B2345, ""en"", ""TL"")"),"Ang isang indibidwal ay inaresto dahil sa pagbibigay ng materyal na suporta sa isang dayuhang teroristang organisasyon ngunit nag-aangkin ng pamimilit. Paano tinutugunan sa ilalim ng batas ng Pilipinas ang pagtatanggol sa pagkilos sa ilalim ng pamimilit s"&amp;"a mga kaso ng terorismo?")</f>
        <v>Ang isang indibidwal ay inaresto dahil sa pagbibigay ng materyal na suporta sa isang dayuhang teroristang organisasyon ngunit nag-aangkin ng pamimilit. Paano tinutugunan sa ilalim ng batas ng Pilipinas ang pagtatanggol sa pagkilos sa ilalim ng pamimilit sa mga kaso ng terorismo?</v>
      </c>
      <c r="E2345" s="2" t="str">
        <f>IFERROR(__xludf.DUMMYFUNCTION("GOOGLETRANSLATE(C2345, ""en"", ""TL"")"),"Ang pagtatanggol sa pagkilos sa ilalim ng pamimilit (pagpipilitang gumawa ng krimen) ay maaaring maging isang kumplikadong isyu sa mga kaso ng terorismo sa Pilipinas, lalo na kapag inilapat sa materyal na suporta para sa isang dayuhang teroristang organis"&amp;"asyon. Narito ang isang breakdown kung paano ito tinutugunan ng batas ng Pilipinas:
**Binago ang Kodigo Penal (Act No. 3815):**
* Artikulo 12. Mga Sirkumstansya na Nakakaapekto sa Kriminal na Pananagutan: Ang artikulong ito ay nagbabalangkas ng iba't iban"&amp;"g mga pangyayari na maaaring magpalibre sa isang tao sa kriminal na pananagutan o magaan ang parusa. Narito ang nauugnay na seksyon:
* Talata 6. **Pagpipilit:** Ito ay naglilibre sa isang tao sa pananagutan sa kriminal na kumilos sa ilalim ng pagpilit ng "&amp;"isang hindi mapaglabanan na puwersa o isang matinding banta na hindi maaaring labanan nang hindi nalalagay sa panganib ang kanyang buhay o ng kanyang mga mahal sa buhay.
**Mga Hamon sa Duress Defense para sa Mga Kaso ng Terorismo:**
* **Mahigpit na Panana"&amp;"gutan para sa Materyal na Suporta:** Ang Anti-Terrorism Act (Republic Act No. 11479) ay hindi tahasang binabanggit ang pamimilit bilang isang depensa para sa materyal na suporta sa terorismo. Ginagawa nitong mas mahirap makipagtalo kumpara sa iba pang mga"&amp;" krimen. * **Kamadalian at Gravity of Threat:** Ang pananakot na ginamit bilang pamimilit ay dapat na agaran, seryoso, at hindi makatwirang labanan. Mahirap itong patunayan sa korte.
* **Kaalaman sa Organisasyon ng Terorista:** Bagama't ang kaalaman sa or"&amp;"ganisasyon bilang isang teroristang grupo ay maaaring hindi kailanganin para sa pag-uusig (Seksyon 10, Anti-Terrorism Act), maaari itong magpahina ng isang pilit na pagtatanggol kung ang akusado ay hindi gagawa ng makatwirang pagsisikap upang maiwasan ang"&amp;" pagbibigay ng suporta.
**Posibleng Diskarte:**
* **Tumuon sa Kaagahan at Kabigatan ng Banta:** Ang ebidensya ay mahalaga. Ang patunay ng partikular na banta, ang panganib na idinulot nito, at ang kawalan ng kakayahang labanan ito ay nagpapatibay sa puwer"&amp;"sang pagtatanggol. * **Pakikipagtulungan sa mga Awtoridad:** Ang pagpapakita ng pakikipagtulungan sa pagpapatupad ng batas pagkatapos na humupa ang banta ay maaaring magpakita ng kakulangan ng tunay na katapatan sa organisasyong terorista.
* **Makipagnego"&amp;"sasyon sa Plea Bargain:** Depende sa mga pangyayari, ang plea bargain sa prosekusyon ay maaaring isang opsyon, na posibleng humantong sa mas mababang singil o pinababang sentensiya.
**Rekomendasyon:**
Ang pagkonsulta sa isang kwalipikadong abogado na dalu"&amp;"bhasa sa batas sa kriminal at pambansang seguridad ay mahalaga. Maaari nilang pag-aralan ang mga partikular na detalye ng kaso, tasahin ang posibilidad ng isang duress defense, at tuklasin ang pinakamahusay na paraan ng pagkilos para sa sitwasyon ng indib"&amp;"idwal.")</f>
        <v>Ang pagtatanggol sa pagkilos sa ilalim ng pamimilit (pagpipilitang gumawa ng krimen) ay maaaring maging isang kumplikadong isyu sa mga kaso ng terorismo sa Pilipinas, lalo na kapag inilapat sa materyal na suporta para sa isang dayuhang teroristang organisasyon. Narito ang isang breakdown kung paano ito tinutugunan ng batas ng Pilipinas:
**Binago ang Kodigo Penal (Act No. 3815):**
* Artikulo 12. Mga Sirkumstansya na Nakakaapekto sa Kriminal na Pananagutan: Ang artikulong ito ay nagbabalangkas ng iba't ibang mga pangyayari na maaaring magpalibre sa isang tao sa kriminal na pananagutan o magaan ang parusa. Narito ang nauugnay na seksyon:
* Talata 6. **Pagpipilit:** Ito ay naglilibre sa isang tao sa pananagutan sa kriminal na kumilos sa ilalim ng pagpilit ng isang hindi mapaglabanan na puwersa o isang matinding banta na hindi maaaring labanan nang hindi nalalagay sa panganib ang kanyang buhay o ng kanyang mga mahal sa buhay.
**Mga Hamon sa Duress Defense para sa Mga Kaso ng Terorismo:**
* **Mahigpit na Pananagutan para sa Materyal na Suporta:** Ang Anti-Terrorism Act (Republic Act No. 11479) ay hindi tahasang binabanggit ang pamimilit bilang isang depensa para sa materyal na suporta sa terorismo. Ginagawa nitong mas mahirap makipagtalo kumpara sa iba pang mga krimen. * **Kamadalian at Gravity of Threat:** Ang pananakot na ginamit bilang pamimilit ay dapat na agaran, seryoso, at hindi makatwirang labanan. Mahirap itong patunayan sa korte.
* **Kaalaman sa Organisasyon ng Terorista:** Bagama't ang kaalaman sa organisasyon bilang isang teroristang grupo ay maaaring hindi kailanganin para sa pag-uusig (Seksyon 10, Anti-Terrorism Act), maaari itong magpahina ng isang pilit na pagtatanggol kung ang akusado ay hindi gagawa ng makatwirang pagsisikap upang maiwasan ang pagbibigay ng suporta.
**Posibleng Diskarte:**
* **Tumuon sa Kaagahan at Kabigatan ng Banta:** Ang ebidensya ay mahalaga. Ang patunay ng partikular na banta, ang panganib na idinulot nito, at ang kawalan ng kakayahang labanan ito ay nagpapatibay sa puwersang pagtatanggol. * **Pakikipagtulungan sa mga Awtoridad:** Ang pagpapakita ng pakikipagtulungan sa pagpapatupad ng batas pagkatapos na humupa ang banta ay maaaring magpakita ng kakulangan ng tunay na katapatan sa organisasyong terorista.
* **Makipagnegosasyon sa Plea Bargain:** Depende sa mga pangyayari, ang plea bargain sa prosekusyon ay maaaring isang opsyon, na posibleng humantong sa mas mababang singil o pinababang sentensiya.
**Rekomendasyon:**
Ang pagkonsulta sa isang kwalipikadong abogado na dalubhasa sa batas sa kriminal at pambansang seguridad ay mahalaga. Maaari nilang pag-aralan ang mga partikular na detalye ng kaso, tasahin ang posibilidad ng isang duress defense, at tuklasin ang pinakamahusay na paraan ng pagkilos para sa sitwasyon ng indibidwal.</v>
      </c>
      <c r="F2345" s="2">
        <f t="shared" si="1"/>
        <v>0</v>
      </c>
      <c r="G2345" s="2"/>
      <c r="H2345" s="2"/>
      <c r="I2345" s="2"/>
      <c r="J2345" s="2"/>
      <c r="K2345" s="2"/>
      <c r="L2345" s="2"/>
      <c r="M2345" s="2"/>
      <c r="N2345" s="2"/>
      <c r="O2345" s="2"/>
      <c r="P2345" s="2"/>
      <c r="Q2345" s="2"/>
      <c r="R2345" s="2"/>
      <c r="S2345" s="2"/>
      <c r="T2345" s="2"/>
      <c r="U2345" s="2"/>
      <c r="V2345" s="2"/>
      <c r="W2345" s="2"/>
      <c r="X2345" s="2"/>
      <c r="Y2345" s="2"/>
      <c r="Z2345" s="2"/>
      <c r="AA2345" s="2"/>
    </row>
    <row r="2346">
      <c r="A2346" s="1" t="s">
        <v>5490</v>
      </c>
      <c r="B2346" s="1" t="s">
        <v>5657</v>
      </c>
      <c r="C2346" s="3" t="s">
        <v>5658</v>
      </c>
      <c r="D2346" s="2" t="str">
        <f>IFERROR(__xludf.DUMMYFUNCTION("GOOGLETRANSLATE(B2346, ""en"", ""TL"")"),"Nakatagpo ka ng mga indibidwal na gumagamit ng naka-encrypt na komunikasyon upang magplano ng mga aktibidad ng terorista. Anong mga legal na aksyon ang maaaring gawin upang masubaybayan at maputol ang kanilang mga channel ng komunikasyon?")</f>
        <v>Nakatagpo ka ng mga indibidwal na gumagamit ng naka-encrypt na komunikasyon upang magplano ng mga aktibidad ng terorista. Anong mga legal na aksyon ang maaaring gawin upang masubaybayan at maputol ang kanilang mga channel ng komunikasyon?</v>
      </c>
      <c r="E2346" s="2" t="str">
        <f>IFERROR(__xludf.DUMMYFUNCTION("GOOGLETRANSLATE(C2346, ""en"", ""TL"")"),"Ang mga tagapagpatupad ng batas ng Pilipinas ay nahaharap sa mga hamon sa direktang pagsubaybay at pag-abala sa mga naka-encrypt na komunikasyon na ginagamit para sa mga aktibidad ng terorista. Gayunpaman, may mga legal na aksyon na maaaring gawin sa loob"&amp;" ng balangkas ng batas ng Pilipinas:
* **Mga Tool sa Pag-iimbestiga:** * **Mga Warrant:** Batay sa posibleng dahilan na nagpapakita ng banta ng terorismo, maaaring mag-apply ang mga awtoridad para sa mga warrant sa:
* Kumuha ng impormasyon ng subscriber n"&amp;"a nauugnay sa mga kahina-hinalang channel ng komunikasyon. (Republic Act No. 10862 - Anti-Wiretapping Act)
* Magsagawa ng mga paghahanap para sa pisikal na ebidensiya na may kaugnayan sa balangkas ng terorista, na posibleng humahantong sa mga natuklasang "&amp;"device sa komunikasyon o hindi naka-encrypt na data. (Konstitusyon ng Pilipinas, Artikulo III, Seksyon 2)
* **Intelligence Gathering:** * Maaaring tumuon ang mga awtoridad sa pangangalap ng intelligence sa pamamagitan ng mga human source, informant networ"&amp;"k, at legal na pamamaraan ng pagsubaybay upang maunawaan ang mga detalye ng plot at matukoy ang mga indibidwal na kasangkot.
* **Mga Diskarte sa Pagkagambala:**
* Habang ang mga legal na opsyon para sa direktang pag-abala sa naka-encrypt na komunikasyon a"&amp;"y limitado, ang ibang mga hakbang ay maaaring gamitin:
* **Pagsusuri sa Network ng Komunikasyon:** Sa pamamagitan ng pagsusuri sa mga umiiral nang pattern ng komunikasyon at pagtukoy ng mga koneksyon sa pagitan ng mga indibidwal, maaaring maabala ng mga a"&amp;"wtoridad ang network at gawing mas mahirap ang komunikasyon para sa mga terorista.
* **Tumuon sa Nilalaman:** Kung mayroong ilang hindi naka-encrypt na mga channel ng komunikasyon, ang pagsubaybay sa mga ito para sa nagsasangkot na nilalaman ay maaaring m"&amp;"akatulong sa mga pagsisiyasat.
**Mahahalagang Pagsasaalang-alang:**
* **Mga Karapatan sa Pagkapribado:** Pinoprotektahan ng batas ng Pilipinas ang karapatan sa pagkapribado (Konstitusyon ng Pilipinas, Artikulo III, Seksyon 7). Ang anumang legal na aksyon "&amp;"ay dapat sumunod sa mga proteksyong ito at kumuha ng mga wastong warrant kung kinakailangan.
* **Technical Expertise:** Ang pagsisiyasat sa naka-encrypt na komunikasyon ay nangangailangan ng espesyal na teknikal na kadalubhasaan. Maaaring kailanganin ng t"&amp;"agapagpatupad ng batas na makipagtulungan sa mga eksperto sa teknolohiya upang epektibong mangalap ng ebidensya at masuri ang mga pattern ng komunikasyon.
**Mga Alternatibong Pamamaraan:**
* **International Cooperation:** Para sa mga organisasyong teroris"&amp;"ta na nakabase sa ibang bansa, maaaring kailanganin ang pakikipagtulungan sa mga internasyonal na ahensyang nagpapatupad ng batas upang masubaybayan ang komunikasyon at maantala ang kanilang mga aktibidad.
* **Mga Panukala sa Pambatasan:** Ang legal na ta"&amp;"nawin tungkol sa pag-encrypt at terorismo ay umuusbong. Ang pananatiling updated sa mga potensyal na pagbabago sa pambatasan na maaaring mag-alok ng mga bagong tool para sa pagpapatupad ng batas ay mahalaga.
**Disclaimer:** Ito ay isang pangkalahatang pan"&amp;"gkalahatang-ideya lamang batay sa batas ng Pilipinas. Ang mga partikular na legal na opsyon na magagamit ay depende sa mga detalye ng sitwasyon. Ang pagkonsulta sa isang abogado na dalubhasa sa batas ng pambansang seguridad ay lubos na inirerekomenda para"&amp;" sa isang mas komprehensibong pagsusuri at paggabay sa pinakaangkop na paraan ng pagkilos.")</f>
        <v>Ang mga tagapagpatupad ng batas ng Pilipinas ay nahaharap sa mga hamon sa direktang pagsubaybay at pag-abala sa mga naka-encrypt na komunikasyon na ginagamit para sa mga aktibidad ng terorista. Gayunpaman, may mga legal na aksyon na maaaring gawin sa loob ng balangkas ng batas ng Pilipinas:
* **Mga Tool sa Pag-iimbestiga:** * **Mga Warrant:** Batay sa posibleng dahilan na nagpapakita ng banta ng terorismo, maaaring mag-apply ang mga awtoridad para sa mga warrant sa:
* Kumuha ng impormasyon ng subscriber na nauugnay sa mga kahina-hinalang channel ng komunikasyon. (Republic Act No. 10862 - Anti-Wiretapping Act)
* Magsagawa ng mga paghahanap para sa pisikal na ebidensiya na may kaugnayan sa balangkas ng terorista, na posibleng humahantong sa mga natuklasang device sa komunikasyon o hindi naka-encrypt na data. (Konstitusyon ng Pilipinas, Artikulo III, Seksyon 2)
* **Intelligence Gathering:** * Maaaring tumuon ang mga awtoridad sa pangangalap ng intelligence sa pamamagitan ng mga human source, informant network, at legal na pamamaraan ng pagsubaybay upang maunawaan ang mga detalye ng plot at matukoy ang mga indibidwal na kasangkot.
* **Mga Diskarte sa Pagkagambala:**
* Habang ang mga legal na opsyon para sa direktang pag-abala sa naka-encrypt na komunikasyon ay limitado, ang ibang mga hakbang ay maaaring gamitin:
* **Pagsusuri sa Network ng Komunikasyon:** Sa pamamagitan ng pagsusuri sa mga umiiral nang pattern ng komunikasyon at pagtukoy ng mga koneksyon sa pagitan ng mga indibidwal, maaaring maabala ng mga awtoridad ang network at gawing mas mahirap ang komunikasyon para sa mga terorista.
* **Tumuon sa Nilalaman:** Kung mayroong ilang hindi naka-encrypt na mga channel ng komunikasyon, ang pagsubaybay sa mga ito para sa nagsasangkot na nilalaman ay maaaring makatulong sa mga pagsisiyasat.
**Mahahalagang Pagsasaalang-alang:**
* **Mga Karapatan sa Pagkapribado:** Pinoprotektahan ng batas ng Pilipinas ang karapatan sa pagkapribado (Konstitusyon ng Pilipinas, Artikulo III, Seksyon 7). Ang anumang legal na aksyon ay dapat sumunod sa mga proteksyong ito at kumuha ng mga wastong warrant kung kinakailangan.
* **Technical Expertise:** Ang pagsisiyasat sa naka-encrypt na komunikasyon ay nangangailangan ng espesyal na teknikal na kadalubhasaan. Maaaring kailanganin ng tagapagpatupad ng batas na makipagtulungan sa mga eksperto sa teknolohiya upang epektibong mangalap ng ebidensya at masuri ang mga pattern ng komunikasyon.
**Mga Alternatibong Pamamaraan:**
* **International Cooperation:** Para sa mga organisasyong terorista na nakabase sa ibang bansa, maaaring kailanganin ang pakikipagtulungan sa mga internasyonal na ahensyang nagpapatupad ng batas upang masubaybayan ang komunikasyon at maantala ang kanilang mga aktibidad.
* **Mga Panukala sa Pambatasan:** Ang legal na tanawin tungkol sa pag-encrypt at terorismo ay umuusbong. Ang pananatiling updated sa mga potensyal na pagbabago sa pambatasan na maaaring mag-alok ng mga bagong tool para sa pagpapatupad ng batas ay mahalaga.
**Disclaimer:** Ito ay isang pangkalahatang pangkalahatang-ideya lamang batay sa batas ng Pilipinas. Ang mga partikular na legal na opsyon na magagamit ay depende sa mga detalye ng sitwasyon. Ang pagkonsulta sa isang abogado na dalubhasa sa batas ng pambansang seguridad ay lubos na inirerekomenda para sa isang mas komprehensibong pagsusuri at paggabay sa pinakaangkop na paraan ng pagkilos.</v>
      </c>
      <c r="F2346" s="2">
        <f t="shared" si="1"/>
        <v>0</v>
      </c>
      <c r="G2346" s="2"/>
      <c r="H2346" s="2"/>
      <c r="I2346" s="2"/>
      <c r="J2346" s="2"/>
      <c r="K2346" s="2"/>
      <c r="L2346" s="2"/>
      <c r="M2346" s="2"/>
      <c r="N2346" s="2"/>
      <c r="O2346" s="2"/>
      <c r="P2346" s="2"/>
      <c r="Q2346" s="2"/>
      <c r="R2346" s="2"/>
      <c r="S2346" s="2"/>
      <c r="T2346" s="2"/>
      <c r="U2346" s="2"/>
      <c r="V2346" s="2"/>
      <c r="W2346" s="2"/>
      <c r="X2346" s="2"/>
      <c r="Y2346" s="2"/>
      <c r="Z2346" s="2"/>
      <c r="AA2346" s="2"/>
    </row>
    <row r="2347">
      <c r="A2347" s="1" t="s">
        <v>5490</v>
      </c>
      <c r="B2347" s="1" t="s">
        <v>5659</v>
      </c>
      <c r="C2347" s="3" t="s">
        <v>5660</v>
      </c>
      <c r="D2347" s="2" t="str">
        <f>IFERROR(__xludf.DUMMYFUNCTION("GOOGLETRANSLATE(B2347, ""en"", ""TL"")"),"Ang isang tao ay inaresto dahil sa paggamit ng maling impormasyon na may kaugnayan sa terorismo. Paano kinokontrol at pinaparusahan ang pagkakasala sa ilalim ng batas ng Pilipinas?")</f>
        <v>Ang isang tao ay inaresto dahil sa paggamit ng maling impormasyon na may kaugnayan sa terorismo. Paano kinokontrol at pinaparusahan ang pagkakasala sa ilalim ng batas ng Pilipinas?</v>
      </c>
      <c r="E2347" s="2" t="str">
        <f>IFERROR(__xludf.DUMMYFUNCTION("GOOGLETRANSLATE(C2347, ""en"", ""TL"")"),"Ang pagpapakalat ng maling impormasyon na may kaugnayan sa terorismo ay maaaring regulahin at parusahan sa ilalim ng ilang batas ng Pilipinas, depende sa partikular na katangian at platapormang ginamit:
**Anti-Terrorism Act of 2020 (Republic Act No. 11479"&amp;"):**
* **Seksyon 15. Pag-uudyok sa Terorismo (a) o (b):** Ipinagbabawal nito ang pag-uudyok ng terorismo sa anumang paraan, kabilang ang mga online na platform. Ang pagpapakalat ng maling impormasyon na nag-uudyok ng panic o takot na nauugnay sa isang pag"&amp;"-atake ng terorista ay posibleng mapailalim sa seksyong ito.
**Cybercrime Act of 2012 (Republic Act No. 10175):**
* **Seksyon 4(c)(4). Ilegal na Nilalaman:** Ipinagbabawal ng seksyong ito ang online na publikasyon o pamamahagi ng impormasyon na nag-uudyok"&amp;" ng karahasan o terorismo. Maaaring ituring na isang paglabag ang pagpapakalat ng malinaw na maling impormasyon na maling nagsasabi ng napipintong pag-atake o nagdudulot ng takot.
**Binago ang Kodigo Penal (Act No. 3815):**
* **Artikulo 154. Mga Alarm at "&amp;"Iskandalo:** Pinaparusahan ng artikulong ito ang mga sadyang nagpapakalat ng mga maling alarma o tsismis na maaaring magdulot ng kaguluhan o panic sa publiko. Bagama't hindi partikular na nauugnay sa terorismo, maaari itong malapat sa mga sitwasyon kung s"&amp;"aan ang sadyang pagpapakalat ng maling impormasyon tungkol sa pag-atake ng terorista ay nakakagambala sa kaayusan ng publiko.
**Ang parusa para sa mga paglabag na ito ay maaaring mag-iba depende sa partikular na batas at sa kalubhaan ng pagkakasala.** Nar"&amp;"ito ang isang pangkalahatang breakdown:
* **Anti-Terrorism Act:** Reclusion perpetua (habang buhay na pagkakakulong) hanggang anim (6) na taong pagkakakulong
* **Cybercrime Act:** Pagkakulong ng anim (6) na buwan hanggang sampung (10) taon at multa ng Lim"&amp;"ang daang libong piso (P500,000.00) hanggang Isang milyong piso (P1,000,000.00)
* **Binago ang Penal Code:** Arresto mayor (maximum na 6 na buwang pagkakakulong) hanggang prision correccional (hanggang 6 na taong pagkakakulong)
**Mahahalagang Pagsasaalang"&amp;"-alang:**
* **Layunin at Kaalaman:** Ang kalubhaan ng parusa ay madalas na nakasalalay sa kung ang tao ay sadyang nagpakalat ng maling impormasyon o ginawa ito nang walang ingat nang walang angkop na pagsusumikap upang i-verify ang katumpakan nito.
* **Pa"&amp;"mpublikong Epekto:** Ang lawak ng pampublikong panic o pagkagambala na dulot ng maling impormasyon ay maaaring makaimpluwensya sa mga singil at parusang ipinataw.
**Mga Karagdagang Tala:**
* Depende sa platform na ginamit upang maikalat ang impormasyon (s"&amp;"ocial media, mga news outlet, atbp.), ang mga partikular na alituntunin ng komunidad o mga tuntunin ng serbisyo ay maaari ding lumabag, na posibleng humantong sa pagsususpinde ng account o pag-alis ng nilalaman.
* Ang pagkonsulta sa isang abogado ay maaar"&amp;"ing magbigay ng mas detalyadong pagsusuri ng partikular na sitwasyon at ang pinaka-nauugnay na mga batas na naaangkop.")</f>
        <v>Ang pagpapakalat ng maling impormasyon na may kaugnayan sa terorismo ay maaaring regulahin at parusahan sa ilalim ng ilang batas ng Pilipinas, depende sa partikular na katangian at platapormang ginamit:
**Anti-Terrorism Act of 2020 (Republic Act No. 11479):**
* **Seksyon 15. Pag-uudyok sa Terorismo (a) o (b):** Ipinagbabawal nito ang pag-uudyok ng terorismo sa anumang paraan, kabilang ang mga online na platform. Ang pagpapakalat ng maling impormasyon na nag-uudyok ng panic o takot na nauugnay sa isang pag-atake ng terorista ay posibleng mapailalim sa seksyong ito.
**Cybercrime Act of 2012 (Republic Act No. 10175):**
* **Seksyon 4(c)(4). Ilegal na Nilalaman:** Ipinagbabawal ng seksyong ito ang online na publikasyon o pamamahagi ng impormasyon na nag-uudyok ng karahasan o terorismo. Maaaring ituring na isang paglabag ang pagpapakalat ng malinaw na maling impormasyon na maling nagsasabi ng napipintong pag-atake o nagdudulot ng takot.
**Binago ang Kodigo Penal (Act No. 3815):**
* **Artikulo 154. Mga Alarm at Iskandalo:** Pinaparusahan ng artikulong ito ang mga sadyang nagpapakalat ng mga maling alarma o tsismis na maaaring magdulot ng kaguluhan o panic sa publiko. Bagama't hindi partikular na nauugnay sa terorismo, maaari itong malapat sa mga sitwasyon kung saan ang sadyang pagpapakalat ng maling impormasyon tungkol sa pag-atake ng terorista ay nakakagambala sa kaayusan ng publiko.
**Ang parusa para sa mga paglabag na ito ay maaaring mag-iba depende sa partikular na batas at sa kalubhaan ng pagkakasala.** Narito ang isang pangkalahatang breakdown:
* **Anti-Terrorism Act:** Reclusion perpetua (habang buhay na pagkakakulong) hanggang anim (6) na taong pagkakakulong
* **Cybercrime Act:** Pagkakulong ng anim (6) na buwan hanggang sampung (10) taon at multa ng Limang daang libong piso (P500,000.00) hanggang Isang milyong piso (P1,000,000.00)
* **Binago ang Penal Code:** Arresto mayor (maximum na 6 na buwang pagkakakulong) hanggang prision correccional (hanggang 6 na taong pagkakakulong)
**Mahahalagang Pagsasaalang-alang:**
* **Layunin at Kaalaman:** Ang kalubhaan ng parusa ay madalas na nakasalalay sa kung ang tao ay sadyang nagpakalat ng maling impormasyon o ginawa ito nang walang ingat nang walang angkop na pagsusumikap upang i-verify ang katumpakan nito.
* **Pampublikong Epekto:** Ang lawak ng pampublikong panic o pagkagambala na dulot ng maling impormasyon ay maaaring makaimpluwensya sa mga singil at parusang ipinataw.
**Mga Karagdagang Tala:**
* Depende sa platform na ginamit upang maikalat ang impormasyon (social media, mga news outlet, atbp.), ang mga partikular na alituntunin ng komunidad o mga tuntunin ng serbisyo ay maaari ding lumabag, na posibleng humantong sa pagsususpinde ng account o pag-alis ng nilalaman.
* Ang pagkonsulta sa isang abogado ay maaaring magbigay ng mas detalyadong pagsusuri ng partikular na sitwasyon at ang pinaka-nauugnay na mga batas na naaangkop.</v>
      </c>
      <c r="F2347" s="2">
        <f t="shared" si="1"/>
        <v>0</v>
      </c>
      <c r="G2347" s="2"/>
      <c r="H2347" s="2"/>
      <c r="I2347" s="2"/>
      <c r="J2347" s="2"/>
      <c r="K2347" s="2"/>
      <c r="L2347" s="2"/>
      <c r="M2347" s="2"/>
      <c r="N2347" s="2"/>
      <c r="O2347" s="2"/>
      <c r="P2347" s="2"/>
      <c r="Q2347" s="2"/>
      <c r="R2347" s="2"/>
      <c r="S2347" s="2"/>
      <c r="T2347" s="2"/>
      <c r="U2347" s="2"/>
      <c r="V2347" s="2"/>
      <c r="W2347" s="2"/>
      <c r="X2347" s="2"/>
      <c r="Y2347" s="2"/>
      <c r="Z2347" s="2"/>
      <c r="AA2347" s="2"/>
    </row>
    <row r="2348">
      <c r="A2348" s="1" t="s">
        <v>5490</v>
      </c>
      <c r="B2348" s="1" t="s">
        <v>5661</v>
      </c>
      <c r="C2348" s="3" t="s">
        <v>5662</v>
      </c>
      <c r="D2348" s="2" t="str">
        <f>IFERROR(__xludf.DUMMYFUNCTION("GOOGLETRANSLATE(B2348, ""en"", ""TL"")"),"Makakatanggap ka ng impormasyon tungkol sa isang potensyal na pag-atake ng terorista na nagta-target sa pasilidad ng pangangalagang pangkalusugan. Anong mga legal na aksyon ang maaaring gawin upang ma-secure ang pasilidad at maiwasan ang pag-atake?")</f>
        <v>Makakatanggap ka ng impormasyon tungkol sa isang potensyal na pag-atake ng terorista na nagta-target sa pasilidad ng pangangalagang pangkalusugan. Anong mga legal na aksyon ang maaaring gawin upang ma-secure ang pasilidad at maiwasan ang pag-atake?</v>
      </c>
      <c r="E2348" s="2" t="str">
        <f>IFERROR(__xludf.DUMMYFUNCTION("GOOGLETRANSLATE(C2348, ""en"", ""TL"")"),"Narito ang ilang legal na aksyon na maaari mong gawin upang matiyak ang isang pasilidad ng pangangalagang pangkalusugan at maiwasan ang isang potensyal na pag-atake ng terorista batay sa batas ng Pilipinas:
**Agad na Pag-uulat:**
* **Republic Act No. 1147"&amp;"9 (Anti-Terrorism Act of 2020):** Ang Seksyon 19. Obligation to Report ay nangangailangan ng sinumang may kaalaman o makatwirang hinala ng isang paparating na pag-atake ng terorista na iulat ito kaagad sa pinakamalapit na ahensyang nagpapatupad ng batas. "&amp;"Ito ang pinakamahalagang hakbang.
**Mga Pagkilos sa Pagpapatupad ng Batas:**
* **Pagsisiyasat:** Maaaring magsimula ang mga awtoridad ng pagsisiyasat upang masuri ang kredibilidad ng impormasyon at matukoy ang mga potensyal na umaatake.
* **Mga Warrant sa"&amp;" Paghahanap:** Kung may probable cause, maaaring mag-apply ang tagapagpatupad ng batas para sa mga search warrant upang mahanap ang mga armas, pampasabog, o iba pang materyal na nauugnay sa nakaplanong pag-atake. (Konstitusyon ng Pilipinas, Artikulo III, "&amp;"Seksyon 2)
* **Surveillance:** Ang mga awtoridad ay maaaring magsagawa ng legal na pagsubaybay sa pasilidad ng pangangalagang pangkalusugan at mga indibidwal na pinaghihinalaang may kinalaman, sa loob ng mga hangganang itinakda ng Konstitusyon (Artikulo I"&amp;"II, Seksyon 2) at mga nauugnay na batas.
**Pag-secure ng Pasilidad ng Pangangalagang Pangkalusugan:**
* **Kooperasyon sa Pangangasiwa ng Ospital:** Maaaring makipagtulungan ang mga awtoridad sa administrasyon ng ospital upang ipatupad ang mga mas mataas n"&amp;"a hakbang sa seguridad, tulad ng:
* Mas mahigpit na mga kontrol sa pag-access sa mga entry point, na posibleng kasama ang mga pagsusuri sa bag at pag-verify ng pagkakakilanlan.
* Paglalagay ng karagdagang mga tauhan ng seguridad, alinman sa seguridad sa o"&amp;"spital o pagpapatupad ng batas depende sa kalubhaan ng sitwasyon.
* Nadagdagang patrolya ng seguridad sa loob ng pasilidad.
* Suriin at potensyal na pagbabago ng mga plano sa pagtugon sa emerhensiya para sa mga aktibong tagabaril o hostage na sitwasyon.
*"&amp;"*Komunikasyon:**
* **Pagpapanatili ng Kalmado:** Habang ang pagpapaalam sa mga kawani ng ospital at mga potensyal na pasyente ng sitwasyon ay maaaring kailanganin, ang pagtiyak ng malinaw na komunikasyon na umiiwas sa hindi kinakailangang panic ay napakah"&amp;"alaga. Makipag-ugnayan sa administrasyon ng ospital at potensyal na relasyon sa publiko upang makagawa ng malinaw at maigsi na mensahe.
* **Komunikasyon sa Pagpapatupad ng Batas:** Ang pare-pareho at malinaw na komunikasyon sa pagpapatupad ng batas tungko"&amp;"l sa sitwasyon at anumang mga update ay mahalaga.
**Mga Karagdagang Pagsasaalang-alang:**
* **Pagpapatuloy ng Pangangalaga sa Pasyente:** Ang mga hakbang sa seguridad ay dapat ipatupad sa paraang mabawasan ang pagkagambala sa mahahalagang serbisyo sa pang"&amp;"angalaga ng pasyente.
* **Suporta sa Kalusugan ng Pag-iisip:** Ang potensyal para sa pagkabalisa at takot sa mga kawani at pasyente ay dapat matugunan. Ang administrasyon ng ospital, sa pakikipag-ugnayan sa mga nauugnay na ahensya, ay maaaring mag-alok ng"&amp;" mga serbisyo sa pagpapayo kung kinakailangan.
**Mahahalagang Paalala:**
* Ang pangangalap ng ebidensya at paggawa ng mga legal na aksyon ay dapat sumunod sa batas ng Pilipinas upang matiyak na ang mga aksyon ay gaganapin sa korte. * Ang pagbabalanse ng m"&amp;"ga pangangailangan sa seguridad sa privacy ng pasyente at ang kaligtasan ng kawani/pasyente ay mahalaga.
**Mga Karagdagang Mapagkukunan:**
* Philippine National Police (PNP): [https://pnp.gov.ph/](https://pnp.gov.ph/)
* National Intelligence Coordinating "&amp;"Agency (NICA): [https://nica.gov.ph/](https://nica.gov.ph/)
Tandaan, ito ay isang pangkalahatang pangkalahatang-ideya lamang. Ang pagkonsulta sa isang abogado ay maaaring magbigay ng mas tiyak na patnubay batay sa mga detalye ng sitwasyon.")</f>
        <v>Narito ang ilang legal na aksyon na maaari mong gawin upang matiyak ang isang pasilidad ng pangangalagang pangkalusugan at maiwasan ang isang potensyal na pag-atake ng terorista batay sa batas ng Pilipinas:
**Agad na Pag-uulat:**
* **Republic Act No. 11479 (Anti-Terrorism Act of 2020):** Ang Seksyon 19. Obligation to Report ay nangangailangan ng sinumang may kaalaman o makatwirang hinala ng isang paparating na pag-atake ng terorista na iulat ito kaagad sa pinakamalapit na ahensyang nagpapatupad ng batas. Ito ang pinakamahalagang hakbang.
**Mga Pagkilos sa Pagpapatupad ng Batas:**
* **Pagsisiyasat:** Maaaring magsimula ang mga awtoridad ng pagsisiyasat upang masuri ang kredibilidad ng impormasyon at matukoy ang mga potensyal na umaatake.
* **Mga Warrant sa Paghahanap:** Kung may probable cause, maaaring mag-apply ang tagapagpatupad ng batas para sa mga search warrant upang mahanap ang mga armas, pampasabog, o iba pang materyal na nauugnay sa nakaplanong pag-atake. (Konstitusyon ng Pilipinas, Artikulo III, Seksyon 2)
* **Surveillance:** Ang mga awtoridad ay maaaring magsagawa ng legal na pagsubaybay sa pasilidad ng pangangalagang pangkalusugan at mga indibidwal na pinaghihinalaang may kinalaman, sa loob ng mga hangganang itinakda ng Konstitusyon (Artikulo III, Seksyon 2) at mga nauugnay na batas.
**Pag-secure ng Pasilidad ng Pangangalagang Pangkalusugan:**
* **Kooperasyon sa Pangangasiwa ng Ospital:** Maaaring makipagtulungan ang mga awtoridad sa administrasyon ng ospital upang ipatupad ang mga mas mataas na hakbang sa seguridad, tulad ng:
* Mas mahigpit na mga kontrol sa pag-access sa mga entry point, na posibleng kasama ang mga pagsusuri sa bag at pag-verify ng pagkakakilanlan.
* Paglalagay ng karagdagang mga tauhan ng seguridad, alinman sa seguridad sa ospital o pagpapatupad ng batas depende sa kalubhaan ng sitwasyon.
* Nadagdagang patrolya ng seguridad sa loob ng pasilidad.
* Suriin at potensyal na pagbabago ng mga plano sa pagtugon sa emerhensiya para sa mga aktibong tagabaril o hostage na sitwasyon.
**Komunikasyon:**
* **Pagpapanatili ng Kalmado:** Habang ang pagpapaalam sa mga kawani ng ospital at mga potensyal na pasyente ng sitwasyon ay maaaring kailanganin, ang pagtiyak ng malinaw na komunikasyon na umiiwas sa hindi kinakailangang panic ay napakahalaga. Makipag-ugnayan sa administrasyon ng ospital at potensyal na relasyon sa publiko upang makagawa ng malinaw at maigsi na mensahe.
* **Komunikasyon sa Pagpapatupad ng Batas:** Ang pare-pareho at malinaw na komunikasyon sa pagpapatupad ng batas tungkol sa sitwasyon at anumang mga update ay mahalaga.
**Mga Karagdagang Pagsasaalang-alang:**
* **Pagpapatuloy ng Pangangalaga sa Pasyente:** Ang mga hakbang sa seguridad ay dapat ipatupad sa paraang mabawasan ang pagkagambala sa mahahalagang serbisyo sa pangangalaga ng pasyente.
* **Suporta sa Kalusugan ng Pag-iisip:** Ang potensyal para sa pagkabalisa at takot sa mga kawani at pasyente ay dapat matugunan. Ang administrasyon ng ospital, sa pakikipag-ugnayan sa mga nauugnay na ahensya, ay maaaring mag-alok ng mga serbisyo sa pagpapayo kung kinakailangan.
**Mahahalagang Paalala:**
* Ang pangangalap ng ebidensya at paggawa ng mga legal na aksyon ay dapat sumunod sa batas ng Pilipinas upang matiyak na ang mga aksyon ay gaganapin sa korte. * Ang pagbabalanse ng mga pangangailangan sa seguridad sa privacy ng pasyente at ang kaligtasan ng kawani/pasyente ay mahalaga.
**Mga Karagdagang Mapagkukunan:**
* Philippine National Police (PNP): [https://pnp.gov.ph/](https://pnp.gov.ph/)
* National Intelligence Coordinating Agency (NICA): [https://nica.gov.ph/](https://nica.gov.ph/)
Tandaan, ito ay isang pangkalahatang pangkalahatang-ideya lamang. Ang pagkonsulta sa isang abogado ay maaaring magbigay ng mas tiyak na patnubay batay sa mga detalye ng sitwasyon.</v>
      </c>
      <c r="F2348" s="2">
        <f t="shared" si="1"/>
        <v>0</v>
      </c>
      <c r="G2348" s="2"/>
      <c r="H2348" s="2"/>
      <c r="I2348" s="2"/>
      <c r="J2348" s="2"/>
      <c r="K2348" s="2"/>
      <c r="L2348" s="2"/>
      <c r="M2348" s="2"/>
      <c r="N2348" s="2"/>
      <c r="O2348" s="2"/>
      <c r="P2348" s="2"/>
      <c r="Q2348" s="2"/>
      <c r="R2348" s="2"/>
      <c r="S2348" s="2"/>
      <c r="T2348" s="2"/>
      <c r="U2348" s="2"/>
      <c r="V2348" s="2"/>
      <c r="W2348" s="2"/>
      <c r="X2348" s="2"/>
      <c r="Y2348" s="2"/>
      <c r="Z2348" s="2"/>
      <c r="AA2348" s="2"/>
    </row>
    <row r="2349">
      <c r="A2349" s="1" t="s">
        <v>5490</v>
      </c>
      <c r="B2349" s="1" t="s">
        <v>5663</v>
      </c>
      <c r="C2349" s="3" t="s">
        <v>5664</v>
      </c>
      <c r="D2349" s="2" t="str">
        <f>IFERROR(__xludf.DUMMYFUNCTION("GOOGLETRANSLATE(B2349, ""en"", ""TL"")"),"Ang isang indibidwal ay inaresto dahil sa pagpaplano ng isang teroristang pag-atake ngunit sinasabing sila ay pinilit ng isang dayuhang teroristang organisasyon. Paano tinutugunan ang pagtatanggol sa pamimilit sa ilalim ng batas ng Pilipinas sa mga kaso n"&amp;"g terorismo?")</f>
        <v>Ang isang indibidwal ay inaresto dahil sa pagpaplano ng isang teroristang pag-atake ngunit sinasabing sila ay pinilit ng isang dayuhang teroristang organisasyon. Paano tinutugunan ang pagtatanggol sa pamimilit sa ilalim ng batas ng Pilipinas sa mga kaso ng terorismo?</v>
      </c>
      <c r="E2349" s="2" t="str">
        <f>IFERROR(__xludf.DUMMYFUNCTION("GOOGLETRANSLATE(C2349, ""en"", ""TL"")"),"Dati kong tinugunan ang senaryo na ito, ngunit narito ang isang mas maigsi na tugon na nakatuon sa mga pangunahing punto:
**Coercion Defense in Philippine Terrorism Cases:**
Ang pagtatanggol sa pamimilit sa mga kaso ng terorismo sa Pilipinas, lalo na kapa"&amp;"g kinasasangkutan ng mga dayuhang teroristang organisasyon, ay mahirap ngunit hindi imposible. Narito kung paano ito tinutugunan ng batas ng Pilipinas:
* **Binagong Kodigo Penal (Act No. 3815):** Ang Artikulo 12, Talata 6 ay nagbibigay-daan sa exemption m"&amp;"ula sa kriminal na pananagutan dahil sa ""pagpilitan ng isang hindi mapaglabanan na puwersa o isang matinding banta.""
**Mga Hamon:**
* **Mahigpit na Pananagutan:** Anti-Terrorism Act (RA 11479) ay hindi tahasang binabanggit ang pagpilit bilang isang depe"&amp;"nsa para sa pagpaplano ng mga pag-atake.
* **Pagpapatunay na Pagpipilit:** Ang pagpapakita ng kamadalian, kabigatan, at kawalan ng kakayahan na labanan ang banta ng dayuhan ay mahirap.
* **Layunin at Kaalaman:** Ang ilang antas ng layunin o kaalaman tungk"&amp;"ol sa pag-atake ay maaaring magpahina sa depensa.
**Mga Posibleng Istratehiya:**
* **Malakas na Ebidensya:** Ang mga testimonya ng saksi, naharang na komunikasyon, o patunay ng mga pagbabanta ay nagpapatibay sa pag-aangkin ng pamimilit.
* **Kooperasyon:**"&amp;" Makakatulong ang pagpapakita ng pakikipagtulungan sa mga awtoridad pagkatapos humupa ang banta.
* **Plea Bargain:** Makipag-ayos ng mas mababang singil o pinababang sentensiya bilang kapalit ng pakikipagtulungan.
**Rekomendasyon:**
Kumonsulta sa isang kw"&amp;"alipikadong abogado na dalubhasa sa batas sa kriminal at pambansang seguridad. Maaari silang:
* Suriin ang mga detalye ng kaso.
* Tayahin ang posibilidad ng pagtatanggol sa pamimilit.
* Galugarin ang pinakamahusay na kurso ng pagkilos.
**Mga Karagdagang P"&amp;"agsasaalang-alang:**
* **Banyagang Elemento:** Ang pagpapatunay ng pamimilit ay maaaring mas mahirap dahil sa mga kumplikado ng pangongolekta ng ebidensya mula sa isang dayuhang entity.
* **International Cooperation:** Ang pakikipagtulungan sa internasyon"&amp;"al na pagpapatupad ng batas ay maaaring kailanganin upang mangalap ng ebidensya.
**Disclaimer:** Ito ay isang pangkalahatang pangkalahatang-ideya. Ang isang abogado ay maaaring magbigay ng isang mas komprehensibong pagsusuri at tiyak na patnubay batay sa "&amp;"sitwasyon.")</f>
        <v>Dati kong tinugunan ang senaryo na ito, ngunit narito ang isang mas maigsi na tugon na nakatuon sa mga pangunahing punto:
**Coercion Defense in Philippine Terrorism Cases:**
Ang pagtatanggol sa pamimilit sa mga kaso ng terorismo sa Pilipinas, lalo na kapag kinasasangkutan ng mga dayuhang teroristang organisasyon, ay mahirap ngunit hindi imposible. Narito kung paano ito tinutugunan ng batas ng Pilipinas:
* **Binagong Kodigo Penal (Act No. 3815):** Ang Artikulo 12, Talata 6 ay nagbibigay-daan sa exemption mula sa kriminal na pananagutan dahil sa "pagpilitan ng isang hindi mapaglabanan na puwersa o isang matinding banta."
**Mga Hamon:**
* **Mahigpit na Pananagutan:** Anti-Terrorism Act (RA 11479) ay hindi tahasang binabanggit ang pagpilit bilang isang depensa para sa pagpaplano ng mga pag-atake.
* **Pagpapatunay na Pagpipilit:** Ang pagpapakita ng kamadalian, kabigatan, at kawalan ng kakayahan na labanan ang banta ng dayuhan ay mahirap.
* **Layunin at Kaalaman:** Ang ilang antas ng layunin o kaalaman tungkol sa pag-atake ay maaaring magpahina sa depensa.
**Mga Posibleng Istratehiya:**
* **Malakas na Ebidensya:** Ang mga testimonya ng saksi, naharang na komunikasyon, o patunay ng mga pagbabanta ay nagpapatibay sa pag-aangkin ng pamimilit.
* **Kooperasyon:** Makakatulong ang pagpapakita ng pakikipagtulungan sa mga awtoridad pagkatapos humupa ang banta.
* **Plea Bargain:** Makipag-ayos ng mas mababang singil o pinababang sentensiya bilang kapalit ng pakikipagtulungan.
**Rekomendasyon:**
Kumonsulta sa isang kwalipikadong abogado na dalubhasa sa batas sa kriminal at pambansang seguridad. Maaari silang:
* Suriin ang mga detalye ng kaso.
* Tayahin ang posibilidad ng pagtatanggol sa pamimilit.
* Galugarin ang pinakamahusay na kurso ng pagkilos.
**Mga Karagdagang Pagsasaalang-alang:**
* **Banyagang Elemento:** Ang pagpapatunay ng pamimilit ay maaaring mas mahirap dahil sa mga kumplikado ng pangongolekta ng ebidensya mula sa isang dayuhang entity.
* **International Cooperation:** Ang pakikipagtulungan sa internasyonal na pagpapatupad ng batas ay maaaring kailanganin upang mangalap ng ebidensya.
**Disclaimer:** Ito ay isang pangkalahatang pangkalahatang-ideya. Ang isang abogado ay maaaring magbigay ng isang mas komprehensibong pagsusuri at tiyak na patnubay batay sa sitwasyon.</v>
      </c>
      <c r="F2349" s="2">
        <f t="shared" si="1"/>
        <v>0</v>
      </c>
      <c r="G2349" s="2"/>
      <c r="H2349" s="2"/>
      <c r="I2349" s="2"/>
      <c r="J2349" s="2"/>
      <c r="K2349" s="2"/>
      <c r="L2349" s="2"/>
      <c r="M2349" s="2"/>
      <c r="N2349" s="2"/>
      <c r="O2349" s="2"/>
      <c r="P2349" s="2"/>
      <c r="Q2349" s="2"/>
      <c r="R2349" s="2"/>
      <c r="S2349" s="2"/>
      <c r="T2349" s="2"/>
      <c r="U2349" s="2"/>
      <c r="V2349" s="2"/>
      <c r="W2349" s="2"/>
      <c r="X2349" s="2"/>
      <c r="Y2349" s="2"/>
      <c r="Z2349" s="2"/>
      <c r="AA2349" s="2"/>
    </row>
    <row r="2350">
      <c r="A2350" s="1" t="s">
        <v>5490</v>
      </c>
      <c r="B2350" s="1" t="s">
        <v>5665</v>
      </c>
      <c r="C2350" s="3" t="s">
        <v>5666</v>
      </c>
      <c r="D2350" s="2" t="str">
        <f>IFERROR(__xludf.DUMMYFUNCTION("GOOGLETRANSLATE(B2350, ""en"", ""TL"")"),"Nakatuklas ka ng grupong nagpaplano ng pag-atake ng terorista sa loob ng isang cultural heritage site. Anong mga legal na aksyon ang maaaring gawin upang mapahusay ang seguridad at maiwasan ang pag-atake?")</f>
        <v>Nakatuklas ka ng grupong nagpaplano ng pag-atake ng terorista sa loob ng isang cultural heritage site. Anong mga legal na aksyon ang maaaring gawin upang mapahusay ang seguridad at maiwasan ang pag-atake?</v>
      </c>
      <c r="E2350" s="2" t="str">
        <f>IFERROR(__xludf.DUMMYFUNCTION("GOOGLETRANSLATE(C2350, ""en"", ""TL"")"),"Narito ang ilang legal na aksyon na maaari mong gawin upang mapahusay ang seguridad at maiwasan ang pag-atake ng terorista sa loob ng isang cultural heritage site batay sa batas ng Pilipinas:
**Agad na Pag-uulat:**
* **Republic Act No. 11479 (Anti-Terrori"&amp;"sm Act of 2020):** Ang Seksyon 19. Obligation to Report ay nangangailangan ng sinumang may kaalaman o makatwirang hinala ng isang paparating na pag-atake ng terorista na iulat ito kaagad sa pinakamalapit na ahensyang nagpapatupad ng batas. Ito ang pinakam"&amp;"ahalagang hakbang.
**Mga Pagkilos sa Pagpapatupad ng Batas:**
* **Pagsisiyasat:** Maaaring magsimula ang mga awtoridad ng pagsisiyasat upang masuri ang kredibilidad ng impormasyon at matukoy ang mga potensyal na umaatake.
* **Mga Warrant sa Paghahanap:** "&amp;"Kung may probable cause, maaaring mag-apply ang tagapagpatupad ng batas para sa mga search warrant upang mahanap ang mga armas, pampasabog, o iba pang materyal na nauugnay sa nakaplanong pag-atake. (Konstitusyon ng Pilipinas, Artikulo III, Seksyon 2)
* **"&amp;"Surveillance:** Ang mga awtoridad ay maaaring magsagawa ng legal na pagsubaybay sa cultural heritage site at mga indibidwal na pinaghihinalaang sangkot, sa loob ng mga hangganang itinakda ng Konstitusyon (Artikulo III, Seksyon 2) at mga nauugnay na batas."&amp;"
**Pag-secure sa Cultural Heritage Site:**
* **Kooperasyon sa Pamamahala ng Site:** Maaaring makipagtulungan ang mga awtoridad sa pamamahala ng site upang ipatupad ang mga mas mataas na hakbang sa seguridad, tulad ng:
* Mas mahigpit na mga kontrol sa pag-"&amp;"access sa mga entry point, na posibleng kasama ang mga pagsusuri sa bag at pag-verify ng pagkakakilanlan.
* Deployment ng karagdagang security personnel, alinman sa site security o law enforcement depende sa kalubhaan ng sitwasyon.
* Nadagdagang mga patro"&amp;"l sa seguridad sa loob ng site.
* Suriin at potensyal na pagbabago ng mga plano sa pagtugon sa emerhensiya para sa mga aktibong tagabaril o hostage na sitwasyon.
**Pampublikong Komunikasyon:**
* **Pagbabalanse sa Seguridad at Pampublikong Kamalayan:** Ang"&amp;" pagpapanatili ng balanse sa pagitan ng kamalayan ng publiko at pagpigil sa panic ay mahalaga. Ang mga awtoridad, sa pakikipag-ugnayan sa pamamahala ng site, ay maaaring mag-isyu ng mga payo sa mga bisita at kawani na naghihikayat ng pagbabantay at pag-uu"&amp;"lat ng kahina-hinalang aktibidad. Gayunpaman, iwasang magdulot ng hindi kinakailangang alarma.
* **Pagprotekta sa Site:** Ang mga pamana ng kultura ay kadalasang naglalaman ng mga hindi mapapalitang artifact. Dapat magsikap ang mga awtoridad na mabawasan "&amp;"ang pinsala sa site habang nagpapatupad ng mga hakbang sa seguridad.
**Mga Karagdagang Pagsasaalang-alang:**
* **Cultural Sensitivity:** Kapag nagpapatupad ng mga hakbang sa seguridad, dapat isaalang-alang ang paggalang sa kultural na kahalagahan ng site."&amp;" * **Pagsasanay sa Seguridad:** Maaaring mangailangan ng karagdagang pagsasanay ang mga tauhan ng seguridad sa site sa pagkilala at pagtugon sa kahina-hinalang aktibidad.
**Mahahalagang Paalala:**
* Ang pangangalap ng ebidensya at paggawa ng mga legal na "&amp;"aksyon ay dapat sumunod sa batas ng Pilipinas upang matiyak na ang mga aksyon ay gaganapin sa korte. * Ang pagbabalanse ng mga pangangailangan sa seguridad sa pampublikong pag-access at pangangalaga ng cultural heritage site ay mahalaga.
**Mga Karagdagang"&amp;" Mapagkukunan:**
* Philippine National Police (PNP): [https://pnp.gov.ph/](https://pnp.gov.ph/)
* National Intelligence Coordinating Agency (NICA): [https://nica.gov.ph/](https://nica.gov.ph/)
* Pambansang Museo ng Pilipinas: [https://www.nationalmuseum.g"&amp;"ov.ph/](https://www.nationalmuseum.gov.ph/) (para sa potensyal na konsultasyon sa cultural sensitivity)
Tandaan, ito ay isang pangkalahatang pangkalahatang-ideya lamang. Ang pagkonsulta sa isang abogado ay maaaring magbigay ng mas tiyak na patnubay batay "&amp;"sa mga detalye ng sitwasyon.")</f>
        <v>Narito ang ilang legal na aksyon na maaari mong gawin upang mapahusay ang seguridad at maiwasan ang pag-atake ng terorista sa loob ng isang cultural heritage site batay sa batas ng Pilipinas:
**Agad na Pag-uulat:**
* **Republic Act No. 11479 (Anti-Terrorism Act of 2020):** Ang Seksyon 19. Obligation to Report ay nangangailangan ng sinumang may kaalaman o makatwirang hinala ng isang paparating na pag-atake ng terorista na iulat ito kaagad sa pinakamalapit na ahensyang nagpapatupad ng batas. Ito ang pinakamahalagang hakbang.
**Mga Pagkilos sa Pagpapatupad ng Batas:**
* **Pagsisiyasat:** Maaaring magsimula ang mga awtoridad ng pagsisiyasat upang masuri ang kredibilidad ng impormasyon at matukoy ang mga potensyal na umaatake.
* **Mga Warrant sa Paghahanap:** Kung may probable cause, maaaring mag-apply ang tagapagpatupad ng batas para sa mga search warrant upang mahanap ang mga armas, pampasabog, o iba pang materyal na nauugnay sa nakaplanong pag-atake. (Konstitusyon ng Pilipinas, Artikulo III, Seksyon 2)
* **Surveillance:** Ang mga awtoridad ay maaaring magsagawa ng legal na pagsubaybay sa cultural heritage site at mga indibidwal na pinaghihinalaang sangkot, sa loob ng mga hangganang itinakda ng Konstitusyon (Artikulo III, Seksyon 2) at mga nauugnay na batas.
**Pag-secure sa Cultural Heritage Site:**
* **Kooperasyon sa Pamamahala ng Site:** Maaaring makipagtulungan ang mga awtoridad sa pamamahala ng site upang ipatupad ang mga mas mataas na hakbang sa seguridad, tulad ng:
* Mas mahigpit na mga kontrol sa pag-access sa mga entry point, na posibleng kasama ang mga pagsusuri sa bag at pag-verify ng pagkakakilanlan.
* Deployment ng karagdagang security personnel, alinman sa site security o law enforcement depende sa kalubhaan ng sitwasyon.
* Nadagdagang mga patrol sa seguridad sa loob ng site.
* Suriin at potensyal na pagbabago ng mga plano sa pagtugon sa emerhensiya para sa mga aktibong tagabaril o hostage na sitwasyon.
**Pampublikong Komunikasyon:**
* **Pagbabalanse sa Seguridad at Pampublikong Kamalayan:** Ang pagpapanatili ng balanse sa pagitan ng kamalayan ng publiko at pagpigil sa panic ay mahalaga. Ang mga awtoridad, sa pakikipag-ugnayan sa pamamahala ng site, ay maaaring mag-isyu ng mga payo sa mga bisita at kawani na naghihikayat ng pagbabantay at pag-uulat ng kahina-hinalang aktibidad. Gayunpaman, iwasang magdulot ng hindi kinakailangang alarma.
* **Pagprotekta sa Site:** Ang mga pamana ng kultura ay kadalasang naglalaman ng mga hindi mapapalitang artifact. Dapat magsikap ang mga awtoridad na mabawasan ang pinsala sa site habang nagpapatupad ng mga hakbang sa seguridad.
**Mga Karagdagang Pagsasaalang-alang:**
* **Cultural Sensitivity:** Kapag nagpapatupad ng mga hakbang sa seguridad, dapat isaalang-alang ang paggalang sa kultural na kahalagahan ng site. * **Pagsasanay sa Seguridad:** Maaaring mangailangan ng karagdagang pagsasanay ang mga tauhan ng seguridad sa site sa pagkilala at pagtugon sa kahina-hinalang aktibidad.
**Mahahalagang Paalala:**
* Ang pangangalap ng ebidensya at paggawa ng mga legal na aksyon ay dapat sumunod sa batas ng Pilipinas upang matiyak na ang mga aksyon ay gaganapin sa korte. * Ang pagbabalanse ng mga pangangailangan sa seguridad sa pampublikong pag-access at pangangalaga ng cultural heritage site ay mahalaga.
**Mga Karagdagang Mapagkukunan:**
* Philippine National Police (PNP): [https://pnp.gov.ph/](https://pnp.gov.ph/)
* National Intelligence Coordinating Agency (NICA): [https://nica.gov.ph/](https://nica.gov.ph/)
* Pambansang Museo ng Pilipinas: [https://www.nationalmuseum.gov.ph/](https://www.nationalmuseum.gov.ph/) (para sa potensyal na konsultasyon sa cultural sensitivity)
Tandaan, ito ay isang pangkalahatang pangkalahatang-ideya lamang. Ang pagkonsulta sa isang abogado ay maaaring magbigay ng mas tiyak na patnubay batay sa mga detalye ng sitwasyon.</v>
      </c>
      <c r="F2350" s="2">
        <f t="shared" si="1"/>
        <v>0</v>
      </c>
      <c r="G2350" s="2"/>
      <c r="H2350" s="2"/>
      <c r="I2350" s="2"/>
      <c r="J2350" s="2"/>
      <c r="K2350" s="2"/>
      <c r="L2350" s="2"/>
      <c r="M2350" s="2"/>
      <c r="N2350" s="2"/>
      <c r="O2350" s="2"/>
      <c r="P2350" s="2"/>
      <c r="Q2350" s="2"/>
      <c r="R2350" s="2"/>
      <c r="S2350" s="2"/>
      <c r="T2350" s="2"/>
      <c r="U2350" s="2"/>
      <c r="V2350" s="2"/>
      <c r="W2350" s="2"/>
      <c r="X2350" s="2"/>
      <c r="Y2350" s="2"/>
      <c r="Z2350" s="2"/>
      <c r="AA2350" s="2"/>
    </row>
    <row r="2351">
      <c r="A2351" s="1" t="s">
        <v>5490</v>
      </c>
      <c r="B2351" s="1" t="s">
        <v>5667</v>
      </c>
      <c r="C2351" s="3" t="s">
        <v>5668</v>
      </c>
      <c r="D2351" s="2" t="str">
        <f>IFERROR(__xludf.DUMMYFUNCTION("GOOGLETRANSLATE(B2351, ""en"", ""TL"")"),"Ang isang tao ay inaresto dahil sa paggamit ng teknolohiya sa pagpaplano ng mga aktibidad ng terorista. Paano kinokontrol at pinaparusahan ang pagkakasala sa ilalim ng batas ng Pilipinas?")</f>
        <v>Ang isang tao ay inaresto dahil sa paggamit ng teknolohiya sa pagpaplano ng mga aktibidad ng terorista. Paano kinokontrol at pinaparusahan ang pagkakasala sa ilalim ng batas ng Pilipinas?</v>
      </c>
      <c r="E2351" s="2" t="str">
        <f>IFERROR(__xludf.DUMMYFUNCTION("GOOGLETRANSLATE(C2351, ""en"", ""TL"")"),"Ang paggamit ng teknolohiya sa pagpaplano ng mga aktibidad ng terorista ay maaaring regulahin at parusahan sa ilalim ng ilang mga batas ng Pilipinas, depende sa partikular na teknolohiyang ginamit at ang katangian ng mga aktibidad sa pagpaplano. Narito an"&amp;"g isang breakdown ng mga nauugnay na batas:
**Anti-Terrorism Act of 2020 (Republic Act No. 11479):**
* **Seksyon 4. Pag-uudyok sa Terorismo:** Ang paggamit ng teknolohiya upang magpalaganap ng propaganda, mag-udyok ng karahasan, o bigyang-katwiran ang mga"&amp;" gawaing terorista ay maaaring maparusahan sa ilalim ng seksyong ito. Kasama sa mga halimbawa ang paggawa o pagbabahagi ng mga video na nagpo-promote ng terorismo o paggamit ng social media para mag-recruit ng iba para sa isang teroristang organisasyon.
*"&amp;" **Seksyon 6. Probisyon ng Mga Pondo, Logistics o Iba Pang Materyal na Suporta para sa Terorismo:** Ang paggamit ng teknolohiya upang mapadali ang pagpaplano, tulad ng paglilipat ng mga pondo sa elektronikong paraan o pagbabahagi ng mga naka-encrypt na me"&amp;"nsahe sa mga kasabwat, ay maaaring ituring na materyal na suporta.
**Cybercrime Act of 2012 (Republic Act No. 10175):**
* **Seksyon 4(c)(4). Ilegal na Nilalaman:** Ipinagbabawal ng seksyong ito ang online na publikasyon o pamamahagi ng impormasyon na nag-"&amp;"uudyok ng karahasan o terorismo. Maaaring isang paglabag ang pag-upload ng mga tagubilin sa paggawa ng bomba o marahas na extremist na content online.
* **Seksyon 12. Pag-hack:** Kung ang paggamit ng teknolohiya ay nagsasangkot ng pag-hack sa mga sistema "&amp;"ng computer upang magnakaw ng impormasyon o makagambala sa mga kritikal na imprastraktura bilang suporta sa isang pag-atake ng terorista, ang seksyong ito ay malalapat.
**Binago ang Kodigo Penal (Act No. 3815):**
* **Artikulo 144. Ilegal na Paggamit ng Pa"&amp;"raan ng Komunikasyon:** Bagama't hindi partikular na nauugnay sa terorismo, pinaparusahan ng artikulong ito ang mga gumagamit ng mga teknolohiya ng komunikasyon para sa mga ilegal na layunin. Kung ang paggamit ng teknolohiya ay nagsasangkot ng pagpapadala"&amp;" ng mga naka-encrypt na mensahe upang i-coordinate ang isang pag-atake, maaari itong isaalang-alang.
**Mga Parusa:**
Ang mga parusa para sa mga pagkakasala na ito ay maaaring mag-iba depende sa partikular na batas at sa kalubhaan ng pagkakasala. Narito an"&amp;"g isang pangkalahatang breakdown:
* **Anti-Terrorism Act:** Reclusion perpetua (habang buhay na pagkakakulong) hanggang anim (6) na taong pagkakakulong
* **Cybercrime Act:** Pagkakulong ng anim (6) na buwan hanggang sampung (10) taon at multa ng Limang da"&amp;"ang libong piso (P500,000.00) hanggang Isang milyong piso (P1,000,000.00)
* **Binago ang Kodigo Penal:** Hanggang anim (6) na taong pagkakakulong
**Mahahalagang Pagsasaalang-alang:**
* **Layunin at Kaalaman:** Ang kalubhaan ng parusa ay kadalasang nakasal"&amp;"alay sa kung ang tao ay sadyang gumamit ng teknolohiya para sa mga aktibidad ng terorista o ginawa ito nang walang ingat nang hindi isinasaalang-alang ang mga kahihinatnan.
* **Tukoy na Teknolohiya na Ginamit:** Ang partikular na platform o teknolohiyang "&amp;"ginamit (social media, mga tool sa pag-hack, atbp.) ay maaaring makaimpluwensya sa nauugnay na batas at sa paraan ng pagkolekta ng ebidensya.
**Mga Karagdagang Tala:**
* Depende sa platform na ginamit, ang mga partikular na alituntunin ng komunidad o mga "&amp;"tuntunin ng serbisyo ay maaari ding lumabag, na posibleng humantong sa pagsususpinde ng account o pag-aalis ng content.
* Ang pagkonsulta sa isang abogado ay maaaring magbigay ng mas detalyadong pagsusuri ng partikular na sitwasyon at ang pinaka-nauugnay "&amp;"na mga batas na naaangkop.")</f>
        <v>Ang paggamit ng teknolohiya sa pagpaplano ng mga aktibidad ng terorista ay maaaring regulahin at parusahan sa ilalim ng ilang mga batas ng Pilipinas, depende sa partikular na teknolohiyang ginamit at ang katangian ng mga aktibidad sa pagpaplano. Narito ang isang breakdown ng mga nauugnay na batas:
**Anti-Terrorism Act of 2020 (Republic Act No. 11479):**
* **Seksyon 4. Pag-uudyok sa Terorismo:** Ang paggamit ng teknolohiya upang magpalaganap ng propaganda, mag-udyok ng karahasan, o bigyang-katwiran ang mga gawaing terorista ay maaaring maparusahan sa ilalim ng seksyong ito. Kasama sa mga halimbawa ang paggawa o pagbabahagi ng mga video na nagpo-promote ng terorismo o paggamit ng social media para mag-recruit ng iba para sa isang teroristang organisasyon.
* **Seksyon 6. Probisyon ng Mga Pondo, Logistics o Iba Pang Materyal na Suporta para sa Terorismo:** Ang paggamit ng teknolohiya upang mapadali ang pagpaplano, tulad ng paglilipat ng mga pondo sa elektronikong paraan o pagbabahagi ng mga naka-encrypt na mensahe sa mga kasabwat, ay maaaring ituring na materyal na suporta.
**Cybercrime Act of 2012 (Republic Act No. 10175):**
* **Seksyon 4(c)(4). Ilegal na Nilalaman:** Ipinagbabawal ng seksyong ito ang online na publikasyon o pamamahagi ng impormasyon na nag-uudyok ng karahasan o terorismo. Maaaring isang paglabag ang pag-upload ng mga tagubilin sa paggawa ng bomba o marahas na extremist na content online.
* **Seksyon 12. Pag-hack:** Kung ang paggamit ng teknolohiya ay nagsasangkot ng pag-hack sa mga sistema ng computer upang magnakaw ng impormasyon o makagambala sa mga kritikal na imprastraktura bilang suporta sa isang pag-atake ng terorista, ang seksyong ito ay malalapat.
**Binago ang Kodigo Penal (Act No. 3815):**
* **Artikulo 144. Ilegal na Paggamit ng Paraan ng Komunikasyon:** Bagama't hindi partikular na nauugnay sa terorismo, pinaparusahan ng artikulong ito ang mga gumagamit ng mga teknolohiya ng komunikasyon para sa mga ilegal na layunin. Kung ang paggamit ng teknolohiya ay nagsasangkot ng pagpapadala ng mga naka-encrypt na mensahe upang i-coordinate ang isang pag-atake, maaari itong isaalang-alang.
**Mga Parusa:**
Ang mga parusa para sa mga pagkakasala na ito ay maaaring mag-iba depende sa partikular na batas at sa kalubhaan ng pagkakasala. Narito ang isang pangkalahatang breakdown:
* **Anti-Terrorism Act:** Reclusion perpetua (habang buhay na pagkakakulong) hanggang anim (6) na taong pagkakakulong
* **Cybercrime Act:** Pagkakulong ng anim (6) na buwan hanggang sampung (10) taon at multa ng Limang daang libong piso (P500,000.00) hanggang Isang milyong piso (P1,000,000.00)
* **Binago ang Kodigo Penal:** Hanggang anim (6) na taong pagkakakulong
**Mahahalagang Pagsasaalang-alang:**
* **Layunin at Kaalaman:** Ang kalubhaan ng parusa ay kadalasang nakasalalay sa kung ang tao ay sadyang gumamit ng teknolohiya para sa mga aktibidad ng terorista o ginawa ito nang walang ingat nang hindi isinasaalang-alang ang mga kahihinatnan.
* **Tukoy na Teknolohiya na Ginamit:** Ang partikular na platform o teknolohiyang ginamit (social media, mga tool sa pag-hack, atbp.) ay maaaring makaimpluwensya sa nauugnay na batas at sa paraan ng pagkolekta ng ebidensya.
**Mga Karagdagang Tala:**
* Depende sa platform na ginamit, ang mga partikular na alituntunin ng komunidad o mga tuntunin ng serbisyo ay maaari ding lumabag, na posibleng humantong sa pagsususpinde ng account o pag-aalis ng content.
* Ang pagkonsulta sa isang abogado ay maaaring magbigay ng mas detalyadong pagsusuri ng partikular na sitwasyon at ang pinaka-nauugnay na mga batas na naaangkop.</v>
      </c>
      <c r="F2351" s="2">
        <f t="shared" si="1"/>
        <v>0</v>
      </c>
      <c r="G2351" s="2"/>
      <c r="H2351" s="2"/>
      <c r="I2351" s="2"/>
      <c r="J2351" s="2"/>
      <c r="K2351" s="2"/>
      <c r="L2351" s="2"/>
      <c r="M2351" s="2"/>
      <c r="N2351" s="2"/>
      <c r="O2351" s="2"/>
      <c r="P2351" s="2"/>
      <c r="Q2351" s="2"/>
      <c r="R2351" s="2"/>
      <c r="S2351" s="2"/>
      <c r="T2351" s="2"/>
      <c r="U2351" s="2"/>
      <c r="V2351" s="2"/>
      <c r="W2351" s="2"/>
      <c r="X2351" s="2"/>
      <c r="Y2351" s="2"/>
      <c r="Z2351" s="2"/>
      <c r="AA2351" s="2"/>
    </row>
    <row r="2352">
      <c r="A2352" s="1" t="s">
        <v>5490</v>
      </c>
      <c r="B2352" s="1" t="s">
        <v>5669</v>
      </c>
      <c r="C2352" s="3" t="s">
        <v>5670</v>
      </c>
      <c r="D2352" s="2" t="str">
        <f>IFERROR(__xludf.DUMMYFUNCTION("GOOGLETRANSLATE(B2352, ""en"", ""TL"")"),"Sa panahon ng pagsisiyasat, nakakita ka ng ebidensya ng mga indibidwal na nagpaplano ng mga aktibidad ng terorista sa loob ng isang unyon ng manggagawa. Anong mga legal na hakbang ang maaaring gawin upang maiwasan ang kanilang mga aktibidad sa loob ng uny"&amp;"on?")</f>
        <v>Sa panahon ng pagsisiyasat, nakakita ka ng ebidensya ng mga indibidwal na nagpaplano ng mga aktibidad ng terorista sa loob ng isang unyon ng manggagawa. Anong mga legal na hakbang ang maaaring gawin upang maiwasan ang kanilang mga aktibidad sa loob ng unyon?</v>
      </c>
      <c r="E2352" s="2" t="str">
        <f>IFERROR(__xludf.DUMMYFUNCTION("GOOGLETRANSLATE(C2352, ""en"", ""TL"")"),"Narito ang ilang legal na hakbang na maaari mong gawin upang maiwasan ang mga aktibidad ng terorista sa loob ng isang unyon ng manggagawa batay sa ebidensya na iyong nakita sa panahon ng pagsisiyasat:
**Pag-uulat at Pagsisiyasat:**
* **Republic Act No. 11"&amp;"479 (Anti-Terrorism Act of 2020):** * Seksyon 19: Obligasyon na Mag-ulat - Iulat kaagad ang mga natuklasan sa pinakamalapit na ahensyang nagpapatupad ng batas.
* Seksyon 20: Awtoridad na Magsagawa ng Pagsisiyasat - May legal na karapatan ang mga awtoridad"&amp;" na imbestigahan ang mga pinaghihinalaang aktibidad ng terorista sa loob ng unyon ng manggagawa. Maaaring kabilang dito ang pagkolekta ng ebidensya, pakikipanayam sa mga indibidwal, at potensyal na pagkuha ng mga warrant para sa mga paghahanap o pagsubayb"&amp;"ay.
**Mga Legal na Pagkilos:**
* **Pag-uusig sa ilalim ng Anti-Terrorism Act:** Batay sa ebidensya, matutukoy ng mga awtoridad kung naaangkop ang mga singil sa ilalim ng Anti-Terrorism Act. Maaaring kabilang dito ang:
* **Seksyon 4: Pag-uudyok sa Terorism"&amp;"o:** Kung ang mga indibidwal ay nagkakalat ng propaganda o nagre-recruit ng iba.
* **Seksyon 6: Materyal na Suporta para sa Terorismo:** Kung ang ebidensya ay nagpapakita ng pagpopondo o logistical na suporta para sa terorismo na pinaplano sa loob ng unyo"&amp;"n.
* **Labor Code of the Philippines (Republic Act No. 6715):** * Kung ang imbestigasyon ay nagbubunyag na ang pamunuan ng unyon ay sadyang sangkot sa mga aktibidad ng terorista, maaaring magsagawa ng legal na aksyon sa ilalim ng Labor Code. Maaaring kabi"&amp;"lang dito ang:
* Pagsampa ng mga kaso sa Department of Labor and Employment (DOLE) para sa paglabag sa mga regulasyon ng unyon at posibleng pagbuwag sa pamunuan. * Gayunpaman, dapat sundin ang angkop na proseso, na nagbibigay-daan sa mga pinuno ng unyon n"&amp;"g pagkakataon na ipagtanggol ang kanilang sarili.
**Pagprotekta sa Unyon:**
* **Pakikipagtulungan sa Mga Miyembro ng Unyon:** Ang transparency ay mahalaga. Ipaalam sa mga responsableng miyembro ng unyon, na hindi kasali sa mga aktibidad, tungkol sa imbest"&amp;"igasyon at sa posibleng banta. * **Pagsusulong ng Mga Lehitimong Gawain ng Unyon:** Suportahan ang mga lehitimong aktibidad tulad ng collective bargaining at mga programa sa kapakanan ng manggagawa upang pigilan ang unyon na maging isang lugar ng pag-aana"&amp;"k para sa ekstremismo.
**Mga Karagdagang Pagsasaalang-alang:**
* **Pagtitipon ng Ebidensya:** Tiyaking ang ebidensyang nakolekta sa panahon ng pagsisiyasat ay sumusunod sa mga wastong legal na pamamaraan para sa pagtanggap sa korte.
* **Pagbabalanse sa Mg"&amp;"a Karapatan sa Seguridad at Unyon:** Ang pangunahing layunin ay pigilan ang terorismo, ngunit dapat ding igalang ang mga karapatan ng mga inosenteng miyembro ng unyon.
* **Konsultasyon sa isang Abogado:** Para sa partikular na patnubay sa mga legal na hak"&amp;"bang na naaangkop sa sitwasyon at epektibong pag-navigate sa proseso, ang pagkonsulta sa isang abogado na dalubhasa sa batas sa paggawa at pambansang seguridad ay lubos na inirerekomenda.
**Disclaimer:** Ito ay isang pangkalahatang pangkalahatang-ideya ba"&amp;"tay sa batas ng Pilipinas. Ang mga partikular na legal na aksyon ay depende sa mga detalye ng sitwasyon at sa ebidensyang nakalap.")</f>
        <v>Narito ang ilang legal na hakbang na maaari mong gawin upang maiwasan ang mga aktibidad ng terorista sa loob ng isang unyon ng manggagawa batay sa ebidensya na iyong nakita sa panahon ng pagsisiyasat:
**Pag-uulat at Pagsisiyasat:**
* **Republic Act No. 11479 (Anti-Terrorism Act of 2020):** * Seksyon 19: Obligasyon na Mag-ulat - Iulat kaagad ang mga natuklasan sa pinakamalapit na ahensyang nagpapatupad ng batas.
* Seksyon 20: Awtoridad na Magsagawa ng Pagsisiyasat - May legal na karapatan ang mga awtoridad na imbestigahan ang mga pinaghihinalaang aktibidad ng terorista sa loob ng unyon ng manggagawa. Maaaring kabilang dito ang pagkolekta ng ebidensya, pakikipanayam sa mga indibidwal, at potensyal na pagkuha ng mga warrant para sa mga paghahanap o pagsubaybay.
**Mga Legal na Pagkilos:**
* **Pag-uusig sa ilalim ng Anti-Terrorism Act:** Batay sa ebidensya, matutukoy ng mga awtoridad kung naaangkop ang mga singil sa ilalim ng Anti-Terrorism Act. Maaaring kabilang dito ang:
* **Seksyon 4: Pag-uudyok sa Terorismo:** Kung ang mga indibidwal ay nagkakalat ng propaganda o nagre-recruit ng iba.
* **Seksyon 6: Materyal na Suporta para sa Terorismo:** Kung ang ebidensya ay nagpapakita ng pagpopondo o logistical na suporta para sa terorismo na pinaplano sa loob ng unyon.
* **Labor Code of the Philippines (Republic Act No. 6715):** * Kung ang imbestigasyon ay nagbubunyag na ang pamunuan ng unyon ay sadyang sangkot sa mga aktibidad ng terorista, maaaring magsagawa ng legal na aksyon sa ilalim ng Labor Code. Maaaring kabilang dito ang:
* Pagsampa ng mga kaso sa Department of Labor and Employment (DOLE) para sa paglabag sa mga regulasyon ng unyon at posibleng pagbuwag sa pamunuan. * Gayunpaman, dapat sundin ang angkop na proseso, na nagbibigay-daan sa mga pinuno ng unyon ng pagkakataon na ipagtanggol ang kanilang sarili.
**Pagprotekta sa Unyon:**
* **Pakikipagtulungan sa Mga Miyembro ng Unyon:** Ang transparency ay mahalaga. Ipaalam sa mga responsableng miyembro ng unyon, na hindi kasali sa mga aktibidad, tungkol sa imbestigasyon at sa posibleng banta. * **Pagsusulong ng Mga Lehitimong Gawain ng Unyon:** Suportahan ang mga lehitimong aktibidad tulad ng collective bargaining at mga programa sa kapakanan ng manggagawa upang pigilan ang unyon na maging isang lugar ng pag-aanak para sa ekstremismo.
**Mga Karagdagang Pagsasaalang-alang:**
* **Pagtitipon ng Ebidensya:** Tiyaking ang ebidensyang nakolekta sa panahon ng pagsisiyasat ay sumusunod sa mga wastong legal na pamamaraan para sa pagtanggap sa korte.
* **Pagbabalanse sa Mga Karapatan sa Seguridad at Unyon:** Ang pangunahing layunin ay pigilan ang terorismo, ngunit dapat ding igalang ang mga karapatan ng mga inosenteng miyembro ng unyon.
* **Konsultasyon sa isang Abogado:** Para sa partikular na patnubay sa mga legal na hakbang na naaangkop sa sitwasyon at epektibong pag-navigate sa proseso, ang pagkonsulta sa isang abogado na dalubhasa sa batas sa paggawa at pambansang seguridad ay lubos na inirerekomenda.
**Disclaimer:** Ito ay isang pangkalahatang pangkalahatang-ideya batay sa batas ng Pilipinas. Ang mga partikular na legal na aksyon ay depende sa mga detalye ng sitwasyon at sa ebidensyang nakalap.</v>
      </c>
      <c r="F2352" s="2">
        <f t="shared" si="1"/>
        <v>0</v>
      </c>
      <c r="G2352" s="2"/>
      <c r="H2352" s="2"/>
      <c r="I2352" s="2"/>
      <c r="J2352" s="2"/>
      <c r="K2352" s="2"/>
      <c r="L2352" s="2"/>
      <c r="M2352" s="2"/>
      <c r="N2352" s="2"/>
      <c r="O2352" s="2"/>
      <c r="P2352" s="2"/>
      <c r="Q2352" s="2"/>
      <c r="R2352" s="2"/>
      <c r="S2352" s="2"/>
      <c r="T2352" s="2"/>
      <c r="U2352" s="2"/>
      <c r="V2352" s="2"/>
      <c r="W2352" s="2"/>
      <c r="X2352" s="2"/>
      <c r="Y2352" s="2"/>
      <c r="Z2352" s="2"/>
      <c r="AA2352" s="2"/>
    </row>
    <row r="2353">
      <c r="A2353" s="1" t="s">
        <v>5490</v>
      </c>
      <c r="B2353" s="1" t="s">
        <v>5671</v>
      </c>
      <c r="C2353" s="3" t="s">
        <v>5672</v>
      </c>
      <c r="D2353" s="2" t="str">
        <f>IFERROR(__xludf.DUMMYFUNCTION("GOOGLETRANSLATE(B2353, ""en"", ""TL"")"),"Ang isang indibidwal ay inaresto para sa pangangalap ng mga menor de edad sa isang teroristang organisasyon ngunit inaangkin na entrapment. Paano tinutugunan ang depensa ng entrapment sa ilalim ng batas ng Pilipinas sa mga kaso ng terorismo?")</f>
        <v>Ang isang indibidwal ay inaresto para sa pangangalap ng mga menor de edad sa isang teroristang organisasyon ngunit inaangkin na entrapment. Paano tinutugunan ang depensa ng entrapment sa ilalim ng batas ng Pilipinas sa mga kaso ng terorismo?</v>
      </c>
      <c r="E2353" s="2" t="str">
        <f>IFERROR(__xludf.DUMMYFUNCTION("GOOGLETRANSLATE(C2353, ""en"", ""TL"")"),"Ang entrapment, kung saan ang nagpapatupad ng batas ay nag-uudyok sa isang tao na gumawa ng isang krimen na hindi naman nila gagawin kung hindi, ay isang kumplikadong depensa sa mga kaso ng terorismo sa Pilipinas, lalo na kapag inilapat sa recruitment ng "&amp;"mga menor de edad. Narito ang isang breakdown:
**Pagtatanggol sa Entrapment:**
* Kinikilala ng batas ng Pilipinas ang entrapment bilang isang depensa na posibleng mapawalang-bisa ang kriminal na pananagutan. (Hindi ito tahasang binanggit sa Anti-Terrorism"&amp;" Act, ngunit naaangkop ang mga pangkalahatang prinsipyo)
**Mga Hamon ng Entrapment Defense sa Terorismo:**
* **Mataas na Pasan ng Patunay:** Ang nasasakdal ay may mataas na pasanin upang patunayan:
* Ang pagpapatupad ng batas ay nag-udyok sa kanila na gaw"&amp;"in ang krimen (recruitment). * Hindi nila ito gagawin kung hindi man.
* **Pandaraya ng Gobyerno:** Nangangailangan ang Entrapment ng pagpapakita ng panlilinlang ng gobyerno na nagtanim ng layuning kriminal sa isipan ng nasasakdal, na maaaring mahirap patu"&amp;"nayan sa mga sitwasyon sa pangangalap.
* **Mga Alalahanin sa Pampublikong Patakaran:** * Ang pagprotekta sa mga menor de edad ay isang mataas na priyoridad. * Ang mga korte ay maaaring mas malamang na tumanggap ng entrapment kung may kasamang menor de eda"&amp;"d.
**Mga Posibleng Diskarte para sa Entrapment Defense:**
* **Detalyadong Ebidensya:** Ang pagpapakita ng lawak ng panggigipit o pagmamanipula ng pagpapatupad ng batas na ginamit upang kumbinsihin ang nasasakdal na kumuha ng mga menor de edad ay nagpapati"&amp;"bay sa depensa. * Maaaring kabilang dito ang mga testimonya ng saksi, pagrekord ng mga pakikipag-ugnayan, o pagpapakita na ang nasasakdal ay walang paunang pakikilahok sa mga naturang aktibidad.
* **Pakikipagtulungan sa Mga Awtoridad:** Kung ang nasasakda"&amp;"l ay nakipagtulungan sa mga awtoridad pagkatapos na mapagtanto na sila ay manipulahin, maaari itong magpakita ng kakulangan ng tunay na layuning kriminal.
* **Tumuon sa Proteksyon ng mga Menor de edad:** Maaaring magtaltalan ang depensa na kahit na medyo "&amp;"nahikayat ang nasasakdal, ang pangunahing pagtutuon ay dapat na sa pagprotekta sa mga menor de edad mula sa pangangalap, anuman ang ginamit na mga taktika ng entrapment.
**Rekomendasyon:**
Ang pagkonsulta sa isang kwalipikadong abogado na dalubhasa sa bat"&amp;"as sa kriminal at pambansang seguridad ay mahalaga. Maaari silang:
* Suriin ang mga partikular na detalye ng kaso, kabilang ang katangian ng di-umano'y pagkakakulong at pagkakasangkot ng menor de edad.
* Tayahin ang posibilidad ng pagtatanggol sa entrapme"&amp;"nt batay sa batas ng Pilipinas at mga kaugnay na kaso.
* Galugarin ang pinakamahusay na paraan ng pagkilos, isinasaalang-alang ang mga potensyal na plea bargain o iba pang mga opsyon.
**Mga Karagdagang Pagsasaalang-alang:**
* **International Law:** Ang Pi"&amp;"lipinas ay lumagda sa Convention on the Rights of the Child. Maaaring tuklasin ng isang abogado kung paano maaaring suportahan ng mga internasyonal na legal na prinsipyo tungkol sa proteksyon ng bata ang depensa.
**Disclaimer:** Ito ay isang pangkalahatan"&amp;"g pangkalahatang-ideya. Ang isang abogado ay maaaring magbigay ng isang mas komprehensibong pagsusuri at tiyak na patnubay batay sa sitwasyon. Ang entrapment ay isang kumplikadong depensa, at ang tagumpay nito sa mga kaso ng terorismo, lalo na ang kinasas"&amp;"angkutan ng mga menor de edad, ay hindi ginagarantiyahan.")</f>
        <v>Ang entrapment, kung saan ang nagpapatupad ng batas ay nag-uudyok sa isang tao na gumawa ng isang krimen na hindi naman nila gagawin kung hindi, ay isang kumplikadong depensa sa mga kaso ng terorismo sa Pilipinas, lalo na kapag inilapat sa recruitment ng mga menor de edad. Narito ang isang breakdown:
**Pagtatanggol sa Entrapment:**
* Kinikilala ng batas ng Pilipinas ang entrapment bilang isang depensa na posibleng mapawalang-bisa ang kriminal na pananagutan. (Hindi ito tahasang binanggit sa Anti-Terrorism Act, ngunit naaangkop ang mga pangkalahatang prinsipyo)
**Mga Hamon ng Entrapment Defense sa Terorismo:**
* **Mataas na Pasan ng Patunay:** Ang nasasakdal ay may mataas na pasanin upang patunayan:
* Ang pagpapatupad ng batas ay nag-udyok sa kanila na gawin ang krimen (recruitment). * Hindi nila ito gagawin kung hindi man.
* **Pandaraya ng Gobyerno:** Nangangailangan ang Entrapment ng pagpapakita ng panlilinlang ng gobyerno na nagtanim ng layuning kriminal sa isipan ng nasasakdal, na maaaring mahirap patunayan sa mga sitwasyon sa pangangalap.
* **Mga Alalahanin sa Pampublikong Patakaran:** * Ang pagprotekta sa mga menor de edad ay isang mataas na priyoridad. * Ang mga korte ay maaaring mas malamang na tumanggap ng entrapment kung may kasamang menor de edad.
**Mga Posibleng Diskarte para sa Entrapment Defense:**
* **Detalyadong Ebidensya:** Ang pagpapakita ng lawak ng panggigipit o pagmamanipula ng pagpapatupad ng batas na ginamit upang kumbinsihin ang nasasakdal na kumuha ng mga menor de edad ay nagpapatibay sa depensa. * Maaaring kabilang dito ang mga testimonya ng saksi, pagrekord ng mga pakikipag-ugnayan, o pagpapakita na ang nasasakdal ay walang paunang pakikilahok sa mga naturang aktibidad.
* **Pakikipagtulungan sa Mga Awtoridad:** Kung ang nasasakdal ay nakipagtulungan sa mga awtoridad pagkatapos na mapagtanto na sila ay manipulahin, maaari itong magpakita ng kakulangan ng tunay na layuning kriminal.
* **Tumuon sa Proteksyon ng mga Menor de edad:** Maaaring magtaltalan ang depensa na kahit na medyo nahikayat ang nasasakdal, ang pangunahing pagtutuon ay dapat na sa pagprotekta sa mga menor de edad mula sa pangangalap, anuman ang ginamit na mga taktika ng entrapment.
**Rekomendasyon:**
Ang pagkonsulta sa isang kwalipikadong abogado na dalubhasa sa batas sa kriminal at pambansang seguridad ay mahalaga. Maaari silang:
* Suriin ang mga partikular na detalye ng kaso, kabilang ang katangian ng di-umano'y pagkakakulong at pagkakasangkot ng menor de edad.
* Tayahin ang posibilidad ng pagtatanggol sa entrapment batay sa batas ng Pilipinas at mga kaugnay na kaso.
* Galugarin ang pinakamahusay na paraan ng pagkilos, isinasaalang-alang ang mga potensyal na plea bargain o iba pang mga opsyon.
**Mga Karagdagang Pagsasaalang-alang:**
* **International Law:** Ang Pilipinas ay lumagda sa Convention on the Rights of the Child. Maaaring tuklasin ng isang abogado kung paano maaaring suportahan ng mga internasyonal na legal na prinsipyo tungkol sa proteksyon ng bata ang depensa.
**Disclaimer:** Ito ay isang pangkalahatang pangkalahatang-ideya. Ang isang abogado ay maaaring magbigay ng isang mas komprehensibong pagsusuri at tiyak na patnubay batay sa sitwasyon. Ang entrapment ay isang kumplikadong depensa, at ang tagumpay nito sa mga kaso ng terorismo, lalo na ang kinasasangkutan ng mga menor de edad, ay hindi ginagarantiyahan.</v>
      </c>
      <c r="F2353" s="2">
        <f t="shared" si="1"/>
        <v>0</v>
      </c>
      <c r="G2353" s="2"/>
      <c r="H2353" s="2"/>
      <c r="I2353" s="2"/>
      <c r="J2353" s="2"/>
      <c r="K2353" s="2"/>
      <c r="L2353" s="2"/>
      <c r="M2353" s="2"/>
      <c r="N2353" s="2"/>
      <c r="O2353" s="2"/>
      <c r="P2353" s="2"/>
      <c r="Q2353" s="2"/>
      <c r="R2353" s="2"/>
      <c r="S2353" s="2"/>
      <c r="T2353" s="2"/>
      <c r="U2353" s="2"/>
      <c r="V2353" s="2"/>
      <c r="W2353" s="2"/>
      <c r="X2353" s="2"/>
      <c r="Y2353" s="2"/>
      <c r="Z2353" s="2"/>
      <c r="AA2353" s="2"/>
    </row>
    <row r="2354">
      <c r="A2354" s="1" t="s">
        <v>5490</v>
      </c>
      <c r="B2354" s="1" t="s">
        <v>5673</v>
      </c>
      <c r="C2354" s="3" t="s">
        <v>5674</v>
      </c>
      <c r="D2354" s="2" t="str">
        <f>IFERROR(__xludf.DUMMYFUNCTION("GOOGLETRANSLATE(B2354, ""en"", ""TL"")"),"Nakatanggap ka ng impormasyon tungkol sa isang potensyal na pag-atake ng terorista na nagta-target sa isang tanggapan ng gobyerno. Anong mga legal na aksyon ang maaaring gawin upang ma-secure ang opisina at maiwasan ang pag-atake?")</f>
        <v>Nakatanggap ka ng impormasyon tungkol sa isang potensyal na pag-atake ng terorista na nagta-target sa isang tanggapan ng gobyerno. Anong mga legal na aksyon ang maaaring gawin upang ma-secure ang opisina at maiwasan ang pag-atake?</v>
      </c>
      <c r="E2354" s="2" t="str">
        <f>IFERROR(__xludf.DUMMYFUNCTION("GOOGLETRANSLATE(C2354, ""en"", ""TL"")"),"Narito ang ilang legal na aksyon na maaari mong gawin upang matiyak ang isang tanggapan ng gobyerno at maiwasan ang pag-atake ng terorista batay sa batas ng Pilipinas:
**Agad na Pag-uulat:**
* **Republic Act No. 11479 (Anti-Terrorism Act of 2020):** Ang S"&amp;"eksyon 19. Obligation to Report ay nangangailangan ng sinumang may kaalaman o makatwirang hinala ng isang paparating na pag-atake ng terorista na iulat ito kaagad sa pinakamalapit na ahensyang nagpapatupad ng batas. Ito ang pinakamahalagang hakbang.
**Mga"&amp;" Pagkilos sa Pagpapatupad ng Batas:**
* **Pagsisiyasat:** Maaaring magsimula ang mga awtoridad ng pagsisiyasat upang masuri ang kredibilidad ng impormasyon at matukoy ang mga potensyal na umaatake.
* **Mga Warrant sa Paghahanap:** Kung may probable cause,"&amp;" maaaring mag-apply ang tagapagpatupad ng batas para sa mga search warrant upang mahanap ang mga armas, pampasabog, o iba pang materyal na nauugnay sa nakaplanong pag-atake. (Konstitusyon ng Pilipinas, Artikulo III, Seksyon 2)
* **Surveillance:** Ang mga "&amp;"awtoridad ay maaaring magsagawa ng legal na pagsubaybay sa opisina ng gobyerno at mga indibidwal na pinaghihinalaang may kinalaman, sa loob ng mga hangganang itinakda ng Konstitusyon (Artikulo III, Seksyon 2) at mga nauugnay na batas.
**Pag-secure sa Opis"&amp;"ina ng Pamahalaan:**
* **Kolaborasyon sa Seguridad ng Pamahalaan:** Maaaring makipagtulungan ang mga awtoridad sa mga tauhan ng seguridad ng tanggapan ng pamahalaan upang ipatupad ang mga mas mataas na hakbang sa seguridad, tulad ng:
* Mas mahigpit na mga"&amp;" kontrol sa pag-access sa mga entry point, kabilang ang mga pagsusuri sa bag at pag-verify ng pagkakakilanlan.
* Paglalagay ng karagdagang mga tauhan ng seguridad, alinman sa seguridad ng gobyerno o tagapagpatupad ng batas depende sa kalubhaan ng sitwasyo"&amp;"n.
* Nadagdagang patrolya ng seguridad sa loob ng gusali.
* Suriin at potensyal na pagbabago ng mga plano sa pagtugon sa emerhensiya para sa mga aktibong tagabaril o hostage na sitwasyon.
**Komunikasyon:**
* **Pagpapanatiling Kalmado:** Habang ipinapaalam"&amp;" sa mga kawani ng tanggapan ng gobyerno ang sitwasyon at maaaring kailanganin ang mga potensyal na hakbang sa seguridad, ang pagtiyak ng malinaw na komunikasyon na umiiwas sa hindi kinakailangang panic ay napakahalaga. Makipag-ugnayan sa mga naaangkop na "&amp;"opisyal ng pamahalaan upang makagawa ng malinaw at maigsi na mensahe.
* **Komunikasyon sa Pagpapatupad ng Batas:** Ang pare-pareho at malinaw na komunikasyon sa pagpapatupad ng batas tungkol sa sitwasyon at anumang mga update ay mahalaga.
**Mga Karagdagan"&amp;"g Pagsasaalang-alang:**
* **Pagpapatuloy ng mga Operasyon ng Pamahalaan:** Ang mga hakbang sa seguridad ay dapat ipatupad sa paraang nagpapaliit sa pagkagambala sa mahahalagang serbisyo ng pamahalaan.
* **Kagalingan ng Empleyado:** Ang potensyal para sa p"&amp;"agkabalisa at takot sa mga kawani ay dapat matugunan. Ang administrasyon ng opisina ng gobyerno, na posibleng nakikipag-ugnayan sa mga nauugnay na ahensya, ay maaaring mag-alok ng mga serbisyo sa pagpapayo kung kinakailangan.
**Mahahalagang Paalala:**
* A"&amp;"ng pangangalap ng ebidensya at paggawa ng mga legal na aksyon ay dapat sumunod sa batas ng Pilipinas upang matiyak na ang mga aksyon ay gaganapin sa korte. * Ang pagbabalanse ng mga pangangailangan sa seguridad sa pampublikong pag-access at mahahalagang o"&amp;"perasyon ng pamahalaan ay mahalaga.
**Mga Karagdagang Mapagkukunan:**
* Philippine National Police (PNP): [https://pnp.gov.ph/](https://pnp.gov.ph/)
* National Intelligence Coordinating Agency (NICA): [https://nica.gov.ph/](https://nica.gov.ph/)
Tandaan, "&amp;"ito ay isang pangkalahatang pangkalahatang-ideya lamang. Ang pagkonsulta sa isang abogado ay maaaring magbigay ng mas tiyak na patnubay batay sa mga detalye ng sitwasyon.")</f>
        <v>Narito ang ilang legal na aksyon na maaari mong gawin upang matiyak ang isang tanggapan ng gobyerno at maiwasan ang pag-atake ng terorista batay sa batas ng Pilipinas:
**Agad na Pag-uulat:**
* **Republic Act No. 11479 (Anti-Terrorism Act of 2020):** Ang Seksyon 19. Obligation to Report ay nangangailangan ng sinumang may kaalaman o makatwirang hinala ng isang paparating na pag-atake ng terorista na iulat ito kaagad sa pinakamalapit na ahensyang nagpapatupad ng batas. Ito ang pinakamahalagang hakbang.
**Mga Pagkilos sa Pagpapatupad ng Batas:**
* **Pagsisiyasat:** Maaaring magsimula ang mga awtoridad ng pagsisiyasat upang masuri ang kredibilidad ng impormasyon at matukoy ang mga potensyal na umaatake.
* **Mga Warrant sa Paghahanap:** Kung may probable cause, maaaring mag-apply ang tagapagpatupad ng batas para sa mga search warrant upang mahanap ang mga armas, pampasabog, o iba pang materyal na nauugnay sa nakaplanong pag-atake. (Konstitusyon ng Pilipinas, Artikulo III, Seksyon 2)
* **Surveillance:** Ang mga awtoridad ay maaaring magsagawa ng legal na pagsubaybay sa opisina ng gobyerno at mga indibidwal na pinaghihinalaang may kinalaman, sa loob ng mga hangganang itinakda ng Konstitusyon (Artikulo III, Seksyon 2) at mga nauugnay na batas.
**Pag-secure sa Opisina ng Pamahalaan:**
* **Kolaborasyon sa Seguridad ng Pamahalaan:** Maaaring makipagtulungan ang mga awtoridad sa mga tauhan ng seguridad ng tanggapan ng pamahalaan upang ipatupad ang mga mas mataas na hakbang sa seguridad, tulad ng:
* Mas mahigpit na mga kontrol sa pag-access sa mga entry point, kabilang ang mga pagsusuri sa bag at pag-verify ng pagkakakilanlan.
* Paglalagay ng karagdagang mga tauhan ng seguridad, alinman sa seguridad ng gobyerno o tagapagpatupad ng batas depende sa kalubhaan ng sitwasyon.
* Nadagdagang patrolya ng seguridad sa loob ng gusali.
* Suriin at potensyal na pagbabago ng mga plano sa pagtugon sa emerhensiya para sa mga aktibong tagabaril o hostage na sitwasyon.
**Komunikasyon:**
* **Pagpapanatiling Kalmado:** Habang ipinapaalam sa mga kawani ng tanggapan ng gobyerno ang sitwasyon at maaaring kailanganin ang mga potensyal na hakbang sa seguridad, ang pagtiyak ng malinaw na komunikasyon na umiiwas sa hindi kinakailangang panic ay napakahalaga. Makipag-ugnayan sa mga naaangkop na opisyal ng pamahalaan upang makagawa ng malinaw at maigsi na mensahe.
* **Komunikasyon sa Pagpapatupad ng Batas:** Ang pare-pareho at malinaw na komunikasyon sa pagpapatupad ng batas tungkol sa sitwasyon at anumang mga update ay mahalaga.
**Mga Karagdagang Pagsasaalang-alang:**
* **Pagpapatuloy ng mga Operasyon ng Pamahalaan:** Ang mga hakbang sa seguridad ay dapat ipatupad sa paraang nagpapaliit sa pagkagambala sa mahahalagang serbisyo ng pamahalaan.
* **Kagalingan ng Empleyado:** Ang potensyal para sa pagkabalisa at takot sa mga kawani ay dapat matugunan. Ang administrasyon ng opisina ng gobyerno, na posibleng nakikipag-ugnayan sa mga nauugnay na ahensya, ay maaaring mag-alok ng mga serbisyo sa pagpapayo kung kinakailangan.
**Mahahalagang Paalala:**
* Ang pangangalap ng ebidensya at paggawa ng mga legal na aksyon ay dapat sumunod sa batas ng Pilipinas upang matiyak na ang mga aksyon ay gaganapin sa korte. * Ang pagbabalanse ng mga pangangailangan sa seguridad sa pampublikong pag-access at mahahalagang operasyon ng pamahalaan ay mahalaga.
**Mga Karagdagang Mapagkukunan:**
* Philippine National Police (PNP): [https://pnp.gov.ph/](https://pnp.gov.ph/)
* National Intelligence Coordinating Agency (NICA): [https://nica.gov.ph/](https://nica.gov.ph/)
Tandaan, ito ay isang pangkalahatang pangkalahatang-ideya lamang. Ang pagkonsulta sa isang abogado ay maaaring magbigay ng mas tiyak na patnubay batay sa mga detalye ng sitwasyon.</v>
      </c>
      <c r="F2354" s="2">
        <f t="shared" si="1"/>
        <v>0</v>
      </c>
      <c r="G2354" s="2"/>
      <c r="H2354" s="2"/>
      <c r="I2354" s="2"/>
      <c r="J2354" s="2"/>
      <c r="K2354" s="2"/>
      <c r="L2354" s="2"/>
      <c r="M2354" s="2"/>
      <c r="N2354" s="2"/>
      <c r="O2354" s="2"/>
      <c r="P2354" s="2"/>
      <c r="Q2354" s="2"/>
      <c r="R2354" s="2"/>
      <c r="S2354" s="2"/>
      <c r="T2354" s="2"/>
      <c r="U2354" s="2"/>
      <c r="V2354" s="2"/>
      <c r="W2354" s="2"/>
      <c r="X2354" s="2"/>
      <c r="Y2354" s="2"/>
      <c r="Z2354" s="2"/>
      <c r="AA2354" s="2"/>
    </row>
    <row r="2355">
      <c r="A2355" s="1" t="s">
        <v>5490</v>
      </c>
      <c r="B2355" s="1" t="s">
        <v>5675</v>
      </c>
      <c r="C2355" s="3" t="s">
        <v>5676</v>
      </c>
      <c r="D2355" s="2" t="str">
        <f>IFERROR(__xludf.DUMMYFUNCTION("GOOGLETRANSLATE(B2355, ""en"", ""TL"")"),"Ang isang tao ay inaresto dahil sa pagpaplano ng pag-atake ng terorista ngunit sinasabing sila ay pinilit ng isang domestic teroristang organisasyon. Paano tinutugunan ang pagtatanggol sa pamimilit sa ilalim ng batas ng Pilipinas sa mga kaso ng terorismo?")</f>
        <v>Ang isang tao ay inaresto dahil sa pagpaplano ng pag-atake ng terorista ngunit sinasabing sila ay pinilit ng isang domestic teroristang organisasyon. Paano tinutugunan ang pagtatanggol sa pamimilit sa ilalim ng batas ng Pilipinas sa mga kaso ng terorismo?</v>
      </c>
      <c r="E2355" s="2" t="str">
        <f>IFERROR(__xludf.DUMMYFUNCTION("GOOGLETRANSLATE(C2355, ""en"", ""TL"")"),"Ang pagtatanggol sa pamimilit, kapag inilapat sa isang kaso ng terorismo sa Pilipinas na kinasasangkutan ng isang domestic teroristang organisasyon, ay maaaring maging mahirap ngunit hindi imposible. Narito ang isang breakdown kung paano ito tinutugunan n"&amp;"g batas ng Pilipinas:
**Binago ang Kodigo Penal (Act No. 3815):**
* Artikulo 12. Mga Sirkumstansya na Nakakaapekto sa Kriminal na Pananagutan: Ang artikulong ito ay nagbabalangkas ng iba't ibang mga pangyayari na maaaring magpalibre sa isang tao sa krimin"&amp;"al na pananagutan o magaan ang parusa. Narito ang nauugnay na seksyon:
* Talata 6. **Pagpipilit:** Ito ay naglilibre sa isang tao sa pananagutan sa kriminal na kumilos sa ilalim ng pagpilit ng isang hindi mapaglabanan na puwersa o isang matinding banta na"&amp;" hindi maaaring labanan nang hindi nalalagay sa panganib ang kanyang buhay o ng kanyang mga mahal sa buhay.
**Mga Hamon ng Coercion Defense sa Domestic Terrorism:**
* **Mahigpit na Pananagutan para sa Pagpaplano:** Ang batas ng Pilipinas, partikular ang A"&amp;"nti-Terrorism Act (Republic Act No. 11479), ay hindi tahasang binanggit ang pamimilit (coercion) bilang depensa para sa pagpaplano ng pag-atake ng terorista. Ginagawa nitong mas mahirap kumpara sa iba pang mga krimen. * **Kamadalian at Gravity of Threat:*"&amp;"* Ang pananakot na ginamit bilang pamimilit ay dapat na agaran, seryoso, at hindi makatwirang labanan. Maaaring mahirap itong patunayan sa korte, lalo na sa isang domestic na organisasyon. * **Layunin at Kaalaman:** Bagama't ang akusado ay maaaring hindi "&amp;"kumilos nang buo sa kanilang sariling kusa, maaaring mayroon pa rin silang antas ng layunin o kaalaman tungkol sa nakaplanong pag-atake. Maaari nitong pahinain ang depensa.
**Posibleng Diskarte:**
* **Ebidensya ng Pagpipilit:** Ang pagbibigay ng matibay n"&amp;"a ebidensya ng banta, ang panganib na idinulot nito, at ang kawalan ng kakayahang labanan ito ay nagpapatibay sa puwersang pagtatanggol. Maaaring kabilang dito ang mga testimonya ng mga saksi, mga pagtatala ng mga pagbabanta, o patunay ng kasaysayan ng ka"&amp;"rahasan ng domestic teroristang organisasyon.
* **Kooperasyon sa mga Awtoridad:** Ang pagpapakita ng pakikipagtulungan sa mga tagapagpatupad ng batas pagkatapos na humupa ang banta ay maaaring magpakita ng kakulangan ng tunay na katapatan sa organisasyong"&amp;" terorista. * **Makipagnegosasyon sa Plea Bargain:** Depende sa mga pangyayari, ang plea bargain sa prosekusyon ay maaaring isang opsyon, na posibleng humantong sa mas mababang singil o pinababang sentensiya kapalit ng pakikipagtulungan.
**Rekomendasyon:*"&amp;"*
Ang pagkonsulta sa isang kwalipikadong abogado na dalubhasa sa batas sa kriminal at pambansang seguridad ay mahalaga. Maaari nilang pag-aralan ang mga partikular na detalye ng kaso, tasahin ang posibilidad ng isang puwersang pagtatanggol batay sa batas "&amp;"ng Pilipinas, at tuklasin ang pinakamahusay na paraan ng pagkilos para sa sitwasyon ng indibidwal. Narito ang ilang karagdagang punto na dapat isaalang-alang:
* **Domestic Terrorist Organization:** Habang nananatili ang mga hamon, maaaring mas madali ang "&amp;"pangongolekta ng ebidensya sa loob ng Pilipinas kumpara sa isang dayuhang entity.
* **Pagtutulungan sa Pagpapatupad ng Batas:** Ang pagbibigay ng impormasyon tungkol sa istruktura, aktibidad, at potensyal na banta ng domestic terorista na organisasyon ay "&amp;"maaaring palakasin ang pagtatanggol sa pamimilit at makinabang sa mga pagsisikap ng pambansang seguridad.
**Disclaimer:** Ito ay isang pangkalahatang pangkalahatang-ideya lamang batay sa batas ng Pilipinas. Ang mga partikular na legal na opsyon na magagam"&amp;"it at ang lakas ng pagtatanggol sa pamimilit ay depende sa mga detalye ng sitwasyon. Ang pagkonsulta sa isang abogado ay lubos na inirerekomenda para sa isang mas komprehensibong pagsusuri at paggabay sa pinakaangkop na paraan ng pagkilos.")</f>
        <v>Ang pagtatanggol sa pamimilit, kapag inilapat sa isang kaso ng terorismo sa Pilipinas na kinasasangkutan ng isang domestic teroristang organisasyon, ay maaaring maging mahirap ngunit hindi imposible. Narito ang isang breakdown kung paano ito tinutugunan ng batas ng Pilipinas:
**Binago ang Kodigo Penal (Act No. 3815):**
* Artikulo 12. Mga Sirkumstansya na Nakakaapekto sa Kriminal na Pananagutan: Ang artikulong ito ay nagbabalangkas ng iba't ibang mga pangyayari na maaaring magpalibre sa isang tao sa kriminal na pananagutan o magaan ang parusa. Narito ang nauugnay na seksyon:
* Talata 6. **Pagpipilit:** Ito ay naglilibre sa isang tao sa pananagutan sa kriminal na kumilos sa ilalim ng pagpilit ng isang hindi mapaglabanan na puwersa o isang matinding banta na hindi maaaring labanan nang hindi nalalagay sa panganib ang kanyang buhay o ng kanyang mga mahal sa buhay.
**Mga Hamon ng Coercion Defense sa Domestic Terrorism:**
* **Mahigpit na Pananagutan para sa Pagpaplano:** Ang batas ng Pilipinas, partikular ang Anti-Terrorism Act (Republic Act No. 11479), ay hindi tahasang binanggit ang pamimilit (coercion) bilang depensa para sa pagpaplano ng pag-atake ng terorista. Ginagawa nitong mas mahirap kumpara sa iba pang mga krimen. * **Kamadalian at Gravity of Threat:** Ang pananakot na ginamit bilang pamimilit ay dapat na agaran, seryoso, at hindi makatwirang labanan. Maaaring mahirap itong patunayan sa korte, lalo na sa isang domestic na organisasyon. * **Layunin at Kaalaman:** Bagama't ang akusado ay maaaring hindi kumilos nang buo sa kanilang sariling kusa, maaaring mayroon pa rin silang antas ng layunin o kaalaman tungkol sa nakaplanong pag-atake. Maaari nitong pahinain ang depensa.
**Posibleng Diskarte:**
* **Ebidensya ng Pagpipilit:** Ang pagbibigay ng matibay na ebidensya ng banta, ang panganib na idinulot nito, at ang kawalan ng kakayahang labanan ito ay nagpapatibay sa puwersang pagtatanggol. Maaaring kabilang dito ang mga testimonya ng mga saksi, mga pagtatala ng mga pagbabanta, o patunay ng kasaysayan ng karahasan ng domestic teroristang organisasyon.
* **Kooperasyon sa mga Awtoridad:** Ang pagpapakita ng pakikipagtulungan sa mga tagapagpatupad ng batas pagkatapos na humupa ang banta ay maaaring magpakita ng kakulangan ng tunay na katapatan sa organisasyong terorista. * **Makipagnegosasyon sa Plea Bargain:** Depende sa mga pangyayari, ang plea bargain sa prosekusyon ay maaaring isang opsyon, na posibleng humantong sa mas mababang singil o pinababang sentensiya kapalit ng pakikipagtulungan.
**Rekomendasyon:**
Ang pagkonsulta sa isang kwalipikadong abogado na dalubhasa sa batas sa kriminal at pambansang seguridad ay mahalaga. Maaari nilang pag-aralan ang mga partikular na detalye ng kaso, tasahin ang posibilidad ng isang puwersang pagtatanggol batay sa batas ng Pilipinas, at tuklasin ang pinakamahusay na paraan ng pagkilos para sa sitwasyon ng indibidwal. Narito ang ilang karagdagang punto na dapat isaalang-alang:
* **Domestic Terrorist Organization:** Habang nananatili ang mga hamon, maaaring mas madali ang pangongolekta ng ebidensya sa loob ng Pilipinas kumpara sa isang dayuhang entity.
* **Pagtutulungan sa Pagpapatupad ng Batas:** Ang pagbibigay ng impormasyon tungkol sa istruktura, aktibidad, at potensyal na banta ng domestic terorista na organisasyon ay maaaring palakasin ang pagtatanggol sa pamimilit at makinabang sa mga pagsisikap ng pambansang seguridad.
**Disclaimer:** Ito ay isang pangkalahatang pangkalahatang-ideya lamang batay sa batas ng Pilipinas. Ang mga partikular na legal na opsyon na magagamit at ang lakas ng pagtatanggol sa pamimilit ay depende sa mga detalye ng sitwasyon. Ang pagkonsulta sa isang abogado ay lubos na inirerekomenda para sa isang mas komprehensibong pagsusuri at paggabay sa pinakaangkop na paraan ng pagkilos.</v>
      </c>
      <c r="F2355" s="2">
        <f t="shared" si="1"/>
        <v>0</v>
      </c>
      <c r="G2355" s="2"/>
      <c r="H2355" s="2"/>
      <c r="I2355" s="2"/>
      <c r="J2355" s="2"/>
      <c r="K2355" s="2"/>
      <c r="L2355" s="2"/>
      <c r="M2355" s="2"/>
      <c r="N2355" s="2"/>
      <c r="O2355" s="2"/>
      <c r="P2355" s="2"/>
      <c r="Q2355" s="2"/>
      <c r="R2355" s="2"/>
      <c r="S2355" s="2"/>
      <c r="T2355" s="2"/>
      <c r="U2355" s="2"/>
      <c r="V2355" s="2"/>
      <c r="W2355" s="2"/>
      <c r="X2355" s="2"/>
      <c r="Y2355" s="2"/>
      <c r="Z2355" s="2"/>
      <c r="AA2355" s="2"/>
    </row>
    <row r="2356">
      <c r="A2356" s="1" t="s">
        <v>5490</v>
      </c>
      <c r="B2356" s="1" t="s">
        <v>5677</v>
      </c>
      <c r="C2356" s="3" t="s">
        <v>5678</v>
      </c>
      <c r="D2356" s="2" t="str">
        <f>IFERROR(__xludf.DUMMYFUNCTION("GOOGLETRANSLATE(B2356, ""en"", ""TL"")"),"Nakatagpo ka ng mga indibidwal na nagpapakalat ng propaganda ng terorista sa loob ng isang lugar ng trabaho. Anong mga legal na aksyon ang maaaring gawin upang matugunan ang radicalization na ito sa loob ng lugar ng trabaho?")</f>
        <v>Nakatagpo ka ng mga indibidwal na nagpapakalat ng propaganda ng terorista sa loob ng isang lugar ng trabaho. Anong mga legal na aksyon ang maaaring gawin upang matugunan ang radicalization na ito sa loob ng lugar ng trabaho?</v>
      </c>
      <c r="E2356" s="2" t="str">
        <f>IFERROR(__xludf.DUMMYFUNCTION("GOOGLETRANSLATE(C2356, ""en"", ""TL"")"),"Narito ang ilang legal na aksyon na maaari mong gawin upang matugunan ang pagpapakalat ng propaganda ng terorista sa loob ng isang lugar ng trabaho sa Pilipinas:
**Pagharap sa Sitwasyon:**
* **Internal na Pag-uulat:** Iulat kaagad ang insidente sa iyong s"&amp;"uperbisor o departamento ng Human Resources. * **Pagtitipon ng Ebidensya:** Kung maaari, subukang maingat na mangalap ng ebidensya, gaya ng pagkuha ng mga screenshot o pagpuna sa partikular na content na ipinapakalat (nang hindi inilalagay ang iyong saril"&amp;"i sa panganib). Gayunpaman, unahin ang iyong kaligtasan at huwag subukan ang anumang bagay na maaaring magpalala sa sitwasyon.
**Mga Legal na Panukala:**
* **Depende sa kalubhaan ng propaganda at mga aksyon ng mga indibidwal na kasangkot, maaaring kabilan"&amp;"g sa mga legal na opsyon ang:**
* **Pagwawakas ng Trabaho:** Karamihan sa mga kontrata sa pagtatrabaho sa Pilipinas ay nagpapahintulot sa pagwawakas para sa ""gross misconduct"" o paglabag sa mga patakaran ng kumpanya. Ang pagpapakalat ng propaganda ng te"&amp;"rorista ay posibleng mapailalim sa mga kategoryang ito. Ang pagkonsulta sa isang abogado na dalubhasa sa batas sa paggawa ay inirerekomenda upang masuri ang mga potensyal na batayan para sa pagwawakas at matiyak ang pagsunod sa mga legal na pamamaraan.
* "&amp;"**Paghain ng Kriminal na Reklamo:** Para sa mas malalang kaso na kinasasangkutan ng pag-uudyok sa karahasan o terorismo, maaaring kailanganin ang paghahain ng reklamo sa pulisya. * Kabilang sa mga nauugnay na batas ang:
* Republic Act No. 11479 (Anti-Terr"&amp;"orism Act of 2020) - Seksyon 4: Pag-uudyok sa Terorismo
* Binagong Kodigo Penal (Act No. 3815) - Artikulo 144: Ilegal na Paggamit ng Paraan ng Komunikasyon (depende sa platapormang ginamit para sa pagpapakalat)
**Mga Panukala sa Seguridad sa Trabaho:**
* "&amp;"**Pagsusuri sa Mga Patakaran ng Kumpanya:** Suriin at potensyal na baguhin ang mga patakaran ng kumpanya tungkol sa paggamit ng internet at komunikasyon sa loob ng lugar ng trabaho. Maaaring kabilang dito ang tahasang pagbabawal sa pagpapakalat ng teroris"&amp;"tang propaganda o extremist na nilalaman.
* **Pagsasanay sa Kamalayan ng Empleyado:** Isaalang-alang ang pagsasagawa ng mga programa sa pagsasanay sa kamalayan ng empleyado sa pagtukoy at pag-uulat ng kahina-hinalang aktibidad, kabilang ang mga panganib n"&amp;"g radikalisasyon at propaganda ng terorista.
**Mga Karagdagang Pagsasaalang-alang:**
* **Kaligtasan ng Empleyado:** Unahin ang iyong kaligtasan at ang kaligtasan ng iba sa buong proseso. Huwag tangkaing direktang harapin ang mga indibidwal na kasangkot.
*"&amp;" **Balansehin ang Libreng Pagsasalita at Seguridad:** Habang ang kalayaan sa pagpapahayag ay protektado sa Pilipinas (Konstitusyon ng Pilipinas, Artikulo III, Seksyon 4), ang pagpapakalat ng nilalaman na nag-uudyok ng karahasan ay hindi. Ang pagkakaroon n"&amp;"g balanse sa pagitan ng pagprotekta sa malayang pananalita at pagtiyak ng seguridad sa lugar ng trabaho ay mahalaga.
* **Legal na Konsultasyon:** Ang pagkonsulta sa isang abogadong dalubhasa sa batas sa paggawa at potensyal na batas sa pambansang segurida"&amp;"d ay maaaring magbigay ng mas partikular na patnubay batay sa sitwasyon at mga potensyal na legal na aksyon.
**Disclaimer:** Ito ay isang pangkalahatang pangkalahatang-ideya. Ang mga tiyak na legal na opsyon na magagamit ay depende sa mga detalye ng sitwa"&amp;"syon at sa kalubhaan ng propaganda na ipinakalat. Ang pagkonsulta sa isang abogado ay lubos na inirerekomenda para sa isang mas komprehensibong pagsusuri at pinasadyang payo.")</f>
        <v>Narito ang ilang legal na aksyon na maaari mong gawin upang matugunan ang pagpapakalat ng propaganda ng terorista sa loob ng isang lugar ng trabaho sa Pilipinas:
**Pagharap sa Sitwasyon:**
* **Internal na Pag-uulat:** Iulat kaagad ang insidente sa iyong superbisor o departamento ng Human Resources. * **Pagtitipon ng Ebidensya:** Kung maaari, subukang maingat na mangalap ng ebidensya, gaya ng pagkuha ng mga screenshot o pagpuna sa partikular na content na ipinapakalat (nang hindi inilalagay ang iyong sarili sa panganib). Gayunpaman, unahin ang iyong kaligtasan at huwag subukan ang anumang bagay na maaaring magpalala sa sitwasyon.
**Mga Legal na Panukala:**
* **Depende sa kalubhaan ng propaganda at mga aksyon ng mga indibidwal na kasangkot, maaaring kabilang sa mga legal na opsyon ang:**
* **Pagwawakas ng Trabaho:** Karamihan sa mga kontrata sa pagtatrabaho sa Pilipinas ay nagpapahintulot sa pagwawakas para sa "gross misconduct" o paglabag sa mga patakaran ng kumpanya. Ang pagpapakalat ng propaganda ng terorista ay posibleng mapailalim sa mga kategoryang ito. Ang pagkonsulta sa isang abogado na dalubhasa sa batas sa paggawa ay inirerekomenda upang masuri ang mga potensyal na batayan para sa pagwawakas at matiyak ang pagsunod sa mga legal na pamamaraan.
* **Paghain ng Kriminal na Reklamo:** Para sa mas malalang kaso na kinasasangkutan ng pag-uudyok sa karahasan o terorismo, maaaring kailanganin ang paghahain ng reklamo sa pulisya. * Kabilang sa mga nauugnay na batas ang:
* Republic Act No. 11479 (Anti-Terrorism Act of 2020) - Seksyon 4: Pag-uudyok sa Terorismo
* Binagong Kodigo Penal (Act No. 3815) - Artikulo 144: Ilegal na Paggamit ng Paraan ng Komunikasyon (depende sa platapormang ginamit para sa pagpapakalat)
**Mga Panukala sa Seguridad sa Trabaho:**
* **Pagsusuri sa Mga Patakaran ng Kumpanya:** Suriin at potensyal na baguhin ang mga patakaran ng kumpanya tungkol sa paggamit ng internet at komunikasyon sa loob ng lugar ng trabaho. Maaaring kabilang dito ang tahasang pagbabawal sa pagpapakalat ng teroristang propaganda o extremist na nilalaman.
* **Pagsasanay sa Kamalayan ng Empleyado:** Isaalang-alang ang pagsasagawa ng mga programa sa pagsasanay sa kamalayan ng empleyado sa pagtukoy at pag-uulat ng kahina-hinalang aktibidad, kabilang ang mga panganib ng radikalisasyon at propaganda ng terorista.
**Mga Karagdagang Pagsasaalang-alang:**
* **Kaligtasan ng Empleyado:** Unahin ang iyong kaligtasan at ang kaligtasan ng iba sa buong proseso. Huwag tangkaing direktang harapin ang mga indibidwal na kasangkot.
* **Balansehin ang Libreng Pagsasalita at Seguridad:** Habang ang kalayaan sa pagpapahayag ay protektado sa Pilipinas (Konstitusyon ng Pilipinas, Artikulo III, Seksyon 4), ang pagpapakalat ng nilalaman na nag-uudyok ng karahasan ay hindi. Ang pagkakaroon ng balanse sa pagitan ng pagprotekta sa malayang pananalita at pagtiyak ng seguridad sa lugar ng trabaho ay mahalaga.
* **Legal na Konsultasyon:** Ang pagkonsulta sa isang abogadong dalubhasa sa batas sa paggawa at potensyal na batas sa pambansang seguridad ay maaaring magbigay ng mas partikular na patnubay batay sa sitwasyon at mga potensyal na legal na aksyon.
**Disclaimer:** Ito ay isang pangkalahatang pangkalahatang-ideya. Ang mga tiyak na legal na opsyon na magagamit ay depende sa mga detalye ng sitwasyon at sa kalubhaan ng propaganda na ipinakalat. Ang pagkonsulta sa isang abogado ay lubos na inirerekomenda para sa isang mas komprehensibong pagsusuri at pinasadyang payo.</v>
      </c>
      <c r="F2356" s="2">
        <f t="shared" si="1"/>
        <v>0</v>
      </c>
      <c r="G2356" s="2"/>
      <c r="H2356" s="2"/>
      <c r="I2356" s="2"/>
      <c r="J2356" s="2"/>
      <c r="K2356" s="2"/>
      <c r="L2356" s="2"/>
      <c r="M2356" s="2"/>
      <c r="N2356" s="2"/>
      <c r="O2356" s="2"/>
      <c r="P2356" s="2"/>
      <c r="Q2356" s="2"/>
      <c r="R2356" s="2"/>
      <c r="S2356" s="2"/>
      <c r="T2356" s="2"/>
      <c r="U2356" s="2"/>
      <c r="V2356" s="2"/>
      <c r="W2356" s="2"/>
      <c r="X2356" s="2"/>
      <c r="Y2356" s="2"/>
      <c r="Z2356" s="2"/>
      <c r="AA2356" s="2"/>
    </row>
    <row r="2357">
      <c r="A2357" s="1" t="s">
        <v>5490</v>
      </c>
      <c r="B2357" s="1" t="s">
        <v>5679</v>
      </c>
      <c r="C2357" s="3" t="s">
        <v>5680</v>
      </c>
      <c r="D2357" s="2" t="str">
        <f>IFERROR(__xludf.DUMMYFUNCTION("GOOGLETRANSLATE(B2357, ""en"", ""TL"")"),"Sa isang regular na pagsusuri, nakahanap ang mga awtoridad ng ebidensya ng mga indibidwal na nagpaplano ng mga aktibidad ng terorista sa loob ng isang relihiyosong pagtitipon. Anong legal na mga hakbang ang maaaring gawin upang maiwasan ang kanilang mga g"&amp;"awain sa loob ng kongregasyon?")</f>
        <v>Sa isang regular na pagsusuri, nakahanap ang mga awtoridad ng ebidensya ng mga indibidwal na nagpaplano ng mga aktibidad ng terorista sa loob ng isang relihiyosong pagtitipon. Anong legal na mga hakbang ang maaaring gawin upang maiwasan ang kanilang mga gawain sa loob ng kongregasyon?</v>
      </c>
      <c r="E2357" s="2" t="str">
        <f>IFERROR(__xludf.DUMMYFUNCTION("GOOGLETRANSLATE(C2357, ""en"", ""TL"")"),"Narito ang ilang legal na hakbang na maaaring gawin ng mga awtoridad upang maiwasan ang mga aktibidad ng terorista sa loob ng isang relihiyosong pagtitipon batay sa ebidensyang natagpuan sa isang regular na pagsusuri sa Pilipinas:
**Mga Agarang Pagkilos:*"&amp;"*
* **Karagdagang Pagsisiyasat:** Batay sa ebidensya, maaaring magsimula ang mga awtoridad ng mas masusing pagsisiyasat para masuri ang kredibilidad ng banta, tukuyin ang mga potensyal na umaatake, at matukoy ang lawak ng mga nakaplanong aktibidad. Maaari"&amp;"ng kabilang dito ang pagsubaybay, mga panayam sa saksi, at posibleng pagkuha ng mga warrant para sa karagdagang imbestigasyon.
* **Pag-secure sa Pagtitipon:** * Depende sa tindi ng banta at laki ng pagtitipon, maaaring kailanganin ang pag-secure ng lokasy"&amp;"on. Maaaring kabilang dito ang pagtaas ng presensya ng pulisya, mas mahigpit na kontrol sa pag-access, at potensyal na paglikas kung ang isang agarang pag-atake ay itinuturing na malamang.
* Ang pakikipagtulungan sa mga pinuno ng relihiyon ay mahalaga upa"&amp;"ng matiyak na ang mga hakbang sa seguridad ay mabawasan ang pagkagambala sa mga lehitimong aktibidad sa relihiyon.
**Mga Legal na Pagsasaalang-alang:**
* **Pagbabalanse ng Seguridad at Relihiyosong Kalayaan:** Ang Konstitusyon ng Pilipinas (Artikulo III, "&amp;"Seksyon 5) ay ginagarantiyahan ang kalayaan sa relihiyon. Dapat tiyakin ng mga awtoridad na ang anumang hakbang sa seguridad na ginawa ay iginagalang ang karapatang ito.
* **Anti-Terrorism Act of 2020 (Republic Act No. 11479):** * Seksyon 19: Obligasyon n"&amp;"a Mag-ulat - Ang mga awtoridad ay may legal na obligasyon na iulat ang mga natuklasan sa kanilang mga superyor.
* Kung ang pagsisiyasat ay nagpapakita ng sapat na ebidensya, maaaring magsampa ng mga kaso sa ilalim ng Anti-Terrorism Act, tulad ng:
* Seksyo"&amp;"n 4: Pag-uudyok sa Terorismo - Kung ang mga indibidwal ay nagkakalat ng propaganda o nagsusulong ng karahasan.
* Seksyon 6: Materyal na Suporta para sa Terorismo - Kung ang ebidensya ay nagpapakita ng pagpopondo o logistical na suporta para sa terorismo n"&amp;"a pinaplano.
**Mga Paraang Pang-iwas para sa Kongregasyon:**
* **Pakikipagtulungan sa mga Relihiyosong Pinuno:** Ang pakikipag-ugnayan sa mga pinuno ng relihiyon upang lumikha ng kamalayan tungkol sa potensyal na radicalization at hikayatin silang iulat a"&amp;"ng anumang kahina-hinalang aktibidad sa mga awtoridad.
* **Pagsasanay sa Seguridad:** Isaalang-alang ang pag-aalok ng pagsasanay sa kaalaman sa seguridad sa kongregasyon sa pagtukoy ng kahina-hinalang aktibidad at pag-uulat nito sa mga itinalagang tauhan."&amp;"
**Mga Karagdagang Pagsasaalang-alang:**
* **Pagtitipon ng Ebidensya:** Tiyaking nakolekta ang ebidensya ayon sa wastong legal na pamamaraan para sa pagtanggap sa korte, kung kinakailangan.
* **Transparency at Komunikasyon:** Habang ang pagpapanatili ng k"&amp;"aligtasan ng publiko ay kritikal, ang mga awtoridad ay dapat maging transparent sa kongregasyon sa loob ng mga hangganan ng mga protocol ng seguridad. Maaaring kabilang dito ang paglalabas ng mga pampublikong pahayag o anunsyo sa pamamagitan ng mga pinuno"&amp;" ng relihiyon, pagtiyak ng kalinawan at pag-iwas sa hindi kinakailangang panic.
* **Legal na Konsultasyon:** Ang pagkonsulta sa isang abogado na dalubhasa sa batas ng pambansang seguridad ay maaaring magbigay ng mas tiyak na patnubay sa legal na balangkas"&amp;" na naaangkop at ang pinakaepektibong paraan ng pagkilos.
**Disclaimer:** Ito ay isang pangkalahatang pangkalahatang-ideya batay sa batas ng Pilipinas. Ang mga partikular na legal na hakbang at ang kanilang aplikasyon ay depende sa mga detalye ng sitwasyo"&amp;"n, ang katangian ng ebidensya na natagpuan, at ang kalubhaan ng potensyal na banta.")</f>
        <v>Narito ang ilang legal na hakbang na maaaring gawin ng mga awtoridad upang maiwasan ang mga aktibidad ng terorista sa loob ng isang relihiyosong pagtitipon batay sa ebidensyang natagpuan sa isang regular na pagsusuri sa Pilipinas:
**Mga Agarang Pagkilos:**
* **Karagdagang Pagsisiyasat:** Batay sa ebidensya, maaaring magsimula ang mga awtoridad ng mas masusing pagsisiyasat para masuri ang kredibilidad ng banta, tukuyin ang mga potensyal na umaatake, at matukoy ang lawak ng mga nakaplanong aktibidad. Maaaring kabilang dito ang pagsubaybay, mga panayam sa saksi, at posibleng pagkuha ng mga warrant para sa karagdagang imbestigasyon.
* **Pag-secure sa Pagtitipon:** * Depende sa tindi ng banta at laki ng pagtitipon, maaaring kailanganin ang pag-secure ng lokasyon. Maaaring kabilang dito ang pagtaas ng presensya ng pulisya, mas mahigpit na kontrol sa pag-access, at potensyal na paglikas kung ang isang agarang pag-atake ay itinuturing na malamang.
* Ang pakikipagtulungan sa mga pinuno ng relihiyon ay mahalaga upang matiyak na ang mga hakbang sa seguridad ay mabawasan ang pagkagambala sa mga lehitimong aktibidad sa relihiyon.
**Mga Legal na Pagsasaalang-alang:**
* **Pagbabalanse ng Seguridad at Relihiyosong Kalayaan:** Ang Konstitusyon ng Pilipinas (Artikulo III, Seksyon 5) ay ginagarantiyahan ang kalayaan sa relihiyon. Dapat tiyakin ng mga awtoridad na ang anumang hakbang sa seguridad na ginawa ay iginagalang ang karapatang ito.
* **Anti-Terrorism Act of 2020 (Republic Act No. 11479):** * Seksyon 19: Obligasyon na Mag-ulat - Ang mga awtoridad ay may legal na obligasyon na iulat ang mga natuklasan sa kanilang mga superyor.
* Kung ang pagsisiyasat ay nagpapakita ng sapat na ebidensya, maaaring magsampa ng mga kaso sa ilalim ng Anti-Terrorism Act, tulad ng:
* Seksyon 4: Pag-uudyok sa Terorismo - Kung ang mga indibidwal ay nagkakalat ng propaganda o nagsusulong ng karahasan.
* Seksyon 6: Materyal na Suporta para sa Terorismo - Kung ang ebidensya ay nagpapakita ng pagpopondo o logistical na suporta para sa terorismo na pinaplano.
**Mga Paraang Pang-iwas para sa Kongregasyon:**
* **Pakikipagtulungan sa mga Relihiyosong Pinuno:** Ang pakikipag-ugnayan sa mga pinuno ng relihiyon upang lumikha ng kamalayan tungkol sa potensyal na radicalization at hikayatin silang iulat ang anumang kahina-hinalang aktibidad sa mga awtoridad.
* **Pagsasanay sa Seguridad:** Isaalang-alang ang pag-aalok ng pagsasanay sa kaalaman sa seguridad sa kongregasyon sa pagtukoy ng kahina-hinalang aktibidad at pag-uulat nito sa mga itinalagang tauhan.
**Mga Karagdagang Pagsasaalang-alang:**
* **Pagtitipon ng Ebidensya:** Tiyaking nakolekta ang ebidensya ayon sa wastong legal na pamamaraan para sa pagtanggap sa korte, kung kinakailangan.
* **Transparency at Komunikasyon:** Habang ang pagpapanatili ng kaligtasan ng publiko ay kritikal, ang mga awtoridad ay dapat maging transparent sa kongregasyon sa loob ng mga hangganan ng mga protocol ng seguridad. Maaaring kabilang dito ang paglalabas ng mga pampublikong pahayag o anunsyo sa pamamagitan ng mga pinuno ng relihiyon, pagtiyak ng kalinawan at pag-iwas sa hindi kinakailangang panic.
* **Legal na Konsultasyon:** Ang pagkonsulta sa isang abogado na dalubhasa sa batas ng pambansang seguridad ay maaaring magbigay ng mas tiyak na patnubay sa legal na balangkas na naaangkop at ang pinakaepektibong paraan ng pagkilos.
**Disclaimer:** Ito ay isang pangkalahatang pangkalahatang-ideya batay sa batas ng Pilipinas. Ang mga partikular na legal na hakbang at ang kanilang aplikasyon ay depende sa mga detalye ng sitwasyon, ang katangian ng ebidensya na natagpuan, at ang kalubhaan ng potensyal na banta.</v>
      </c>
      <c r="F2357" s="2">
        <f t="shared" si="1"/>
        <v>0</v>
      </c>
      <c r="G2357" s="2"/>
      <c r="H2357" s="2"/>
      <c r="I2357" s="2"/>
      <c r="J2357" s="2"/>
      <c r="K2357" s="2"/>
      <c r="L2357" s="2"/>
      <c r="M2357" s="2"/>
      <c r="N2357" s="2"/>
      <c r="O2357" s="2"/>
      <c r="P2357" s="2"/>
      <c r="Q2357" s="2"/>
      <c r="R2357" s="2"/>
      <c r="S2357" s="2"/>
      <c r="T2357" s="2"/>
      <c r="U2357" s="2"/>
      <c r="V2357" s="2"/>
      <c r="W2357" s="2"/>
      <c r="X2357" s="2"/>
      <c r="Y2357" s="2"/>
      <c r="Z2357" s="2"/>
      <c r="AA2357" s="2"/>
    </row>
    <row r="2358">
      <c r="A2358" s="1" t="s">
        <v>5490</v>
      </c>
      <c r="B2358" s="1" t="s">
        <v>5681</v>
      </c>
      <c r="C2358" s="3" t="s">
        <v>5682</v>
      </c>
      <c r="D2358" s="2" t="str">
        <f>IFERROR(__xludf.DUMMYFUNCTION("GOOGLETRANSLATE(B2358, ""en"", ""TL"")"),"Ang isang indibidwal ay inaresto dahil sa pagbibigay ng materyal na suporta sa isang organisasyong terorista ngunit sinasabing kakulangan ng kamalayan. Paano tinutugunan ang pagtatanggol sa kawalan ng kamalayan sa ilalim ng batas ng Pilipinas sa mga kaso "&amp;"ng terorismo?")</f>
        <v>Ang isang indibidwal ay inaresto dahil sa pagbibigay ng materyal na suporta sa isang organisasyong terorista ngunit sinasabing kakulangan ng kamalayan. Paano tinutugunan ang pagtatanggol sa kawalan ng kamalayan sa ilalim ng batas ng Pilipinas sa mga kaso ng terorismo?</v>
      </c>
      <c r="E2358" s="2" t="str">
        <f>IFERROR(__xludf.DUMMYFUNCTION("GOOGLETRANSLATE(C2358, ""en"", ""TL"")"),"Ang kawalan ng kamalayan, na kilala rin bilang pagkakamali ng katotohanan, ay maaaring maging isang depensa sa ilang kaso ng terorismo sa Pilipinas, ngunit ito ay isang kumplikadong argumento na may iba't ibang antas ng tagumpay depende sa partikular na m"&amp;"ga pangyayari. Narito ang isang breakdown:
**Binago ang Kodigo Penal (Act No. 3815):**
* Artikulo 36. Pananagutan sa Kriminal - Ang talata 1 ay nagsasaad: ""Upang ma-exempt sa kriminal na pananagutan, ang mga sumusunod na pangyayari ay dapat sumang-ayon:
"&amp;"* Ang kilos ay boluntaryo; at
* May kakulangan ng kriminal na layunin.""
**Anti-Terrorism Act of 2020 (Republic Act No. 11479):**
* Ang Batas ay hindi tahasang binanggit ang ""kakulangan ng kamalayan"" bilang isang depensa. Gayunpaman, ang konsepto ng kri"&amp;"minal na layunin ay nalalapat pa rin.
**Mga Hamon ng Kakulangan ng Awareness Defense sa Terorismo:**
* **Kaalaman kumpara sa Kawalang-ingat:** Ang batas ng Pilipinas ay may pagkakaiba sa pagitan ng kaalaman at kawalang-ingat. Upang magtagumpay sa isang ka"&amp;"kulangan ng pagtatanggol sa kamalayan, ang indibidwal ay dapat magpakita ng kumpletong kakulangan ng kaalaman tungkol sa tunay na kalikasan ng organisasyon o sa kanilang mga aktibidad. * Ang simpleng pag-claim ng kamangmangan ay maaaring hindi sapat. Maaa"&amp;"ring magtaltalan ang mga tagausig na dapat alam ng indibidwal, kung isasaalang-alang ang katangian ng suportang ibinigay.
* **Kahulugan ng Suporta sa Materyal:** Ang Batas Anti-Terorismo ay tumutukoy sa ""materyal na suporta"" nang malawakan. Kabilang dit"&amp;"o ang tulong pinansyal, tulong sa logistik, o pagbibigay ng mga ligtas na kanlungan. Kahit na hindi alam ng indibidwal ang mga aktibidad ng terorista ng organisasyon, maaaring naging walang ingat sila sa pagbibigay ng suporta na maaaring magamit sa maling"&amp;" paraan.
* **Burden of Proof:** Ang pasanin ng patunay ay nakasalalay sa nasasakdal upang itatag ang kanilang kawalan ng kamalayan sa pamamagitan ng malinaw at nakakumbinsi na ebidensya. Ito ay maaaring maging mahirap, lalo na kapag nakikitungo sa mga lih"&amp;"im na organisasyon.
**Mga Posibleng Diskarte para sa Kakulangan ng Awareness Defense:**
* **Pagpapakita ng Mabuting Pananampalataya:** Ang katibayan na ang indibidwal ay tunay na nalinlang o nalinlang tungkol sa tunay na layunin ng organisasyon ay maaarin"&amp;"g palakasin ang depensa. Maaaring kabilang dito ang mga testimonya ng saksi, mga dokumento, o mga talaan ng komunikasyon na nagpapakita na naniniwala sila na ang organisasyon ay nakikibahagi sa mga lehitimong aktibidad.
* **Limitado o Hindi Direktang Supo"&amp;"rta:** Kung ang materyal na suporta ay minimal o hindi direkta, nang walang kaalaman sa potensyal na paggamit nito para sa terorismo, maaari nitong palakasin ang pag-aangkin ng kawalan ng kamalayan.
**Rekomendasyon:**
Ang pagkonsulta sa isang kwalipikadon"&amp;"g abogado na dalubhasa sa batas sa kriminal at pambansang seguridad ay mahalaga. Maaari silang:
* Suriin ang mga partikular na detalye ng kaso, kabilang ang likas na katangian ng materyal na suporta na ibinigay at ang ebidensya na magagamit upang ipakita "&amp;"ang kakulangan ng kamalayan.
* Tayahin ang posibilidad ng kawalan ng awareness defense batay sa batas ng Pilipinas at mga kaugnay na case precedents.
* Galugarin ang mga alternatibong estratehiya, tulad ng plea bargaining o pakikipagtulungan sa mga awtori"&amp;"dad, depende sa sitwasyon.
**Mga Karagdagang Pagsasaalang-alang:**
* **Kawalang-ingat kumpara sa Kawalang-ingat:** Ang linya sa pagitan ng kapabayaan (pagkabigong magsagawa ng angkop na pangangalaga) at kawalang-ingat (sinasadyang pagwawalang-bahala sa mg"&amp;"a potensyal na kahihinatnan) ay mahalaga. Makakatulong ang isang abogado na i-navigate ang pagkakaibang ito sa konteksto ng kaso.
* **Pakikipagtulungan sa Mga Awtoridad:** Ang pagpapakita ng pagpayag na makipagtulungan sa mga awtoridad pagkatapos na malam"&amp;"an na hindi nila alam na sinusuportahan nila ang isang organisasyong terorista ay maaaring tingnan nang mabuti.
**Disclaimer:** Ito ay isang pangkalahatang pangkalahatang-ideya. Ang tagumpay ng isang kakulangan ng pagtatanggol sa kamalayan sa isang kaso n"&amp;"g terorismo ay nakadepende nang husto sa mga partikular na detalye at mga ebidensyang ipinakita. Ang pagkonsulta sa isang abogado ay lubos na inirerekomenda para sa isang mas komprehensibong pagsusuri at pinasadyang legal na payo.")</f>
        <v>Ang kawalan ng kamalayan, na kilala rin bilang pagkakamali ng katotohanan, ay maaaring maging isang depensa sa ilang kaso ng terorismo sa Pilipinas, ngunit ito ay isang kumplikadong argumento na may iba't ibang antas ng tagumpay depende sa partikular na mga pangyayari. Narito ang isang breakdown:
**Binago ang Kodigo Penal (Act No. 3815):**
* Artikulo 36. Pananagutan sa Kriminal - Ang talata 1 ay nagsasaad: "Upang ma-exempt sa kriminal na pananagutan, ang mga sumusunod na pangyayari ay dapat sumang-ayon:
* Ang kilos ay boluntaryo; at
* May kakulangan ng kriminal na layunin."
**Anti-Terrorism Act of 2020 (Republic Act No. 11479):**
* Ang Batas ay hindi tahasang binanggit ang "kakulangan ng kamalayan" bilang isang depensa. Gayunpaman, ang konsepto ng kriminal na layunin ay nalalapat pa rin.
**Mga Hamon ng Kakulangan ng Awareness Defense sa Terorismo:**
* **Kaalaman kumpara sa Kawalang-ingat:** Ang batas ng Pilipinas ay may pagkakaiba sa pagitan ng kaalaman at kawalang-ingat. Upang magtagumpay sa isang kakulangan ng pagtatanggol sa kamalayan, ang indibidwal ay dapat magpakita ng kumpletong kakulangan ng kaalaman tungkol sa tunay na kalikasan ng organisasyon o sa kanilang mga aktibidad. * Ang simpleng pag-claim ng kamangmangan ay maaaring hindi sapat. Maaaring magtaltalan ang mga tagausig na dapat alam ng indibidwal, kung isasaalang-alang ang katangian ng suportang ibinigay.
* **Kahulugan ng Suporta sa Materyal:** Ang Batas Anti-Terorismo ay tumutukoy sa "materyal na suporta" nang malawakan. Kabilang dito ang tulong pinansyal, tulong sa logistik, o pagbibigay ng mga ligtas na kanlungan. Kahit na hindi alam ng indibidwal ang mga aktibidad ng terorista ng organisasyon, maaaring naging walang ingat sila sa pagbibigay ng suporta na maaaring magamit sa maling paraan.
* **Burden of Proof:** Ang pasanin ng patunay ay nakasalalay sa nasasakdal upang itatag ang kanilang kawalan ng kamalayan sa pamamagitan ng malinaw at nakakumbinsi na ebidensya. Ito ay maaaring maging mahirap, lalo na kapag nakikitungo sa mga lihim na organisasyon.
**Mga Posibleng Diskarte para sa Kakulangan ng Awareness Defense:**
* **Pagpapakita ng Mabuting Pananampalataya:** Ang katibayan na ang indibidwal ay tunay na nalinlang o nalinlang tungkol sa tunay na layunin ng organisasyon ay maaaring palakasin ang depensa. Maaaring kabilang dito ang mga testimonya ng saksi, mga dokumento, o mga talaan ng komunikasyon na nagpapakita na naniniwala sila na ang organisasyon ay nakikibahagi sa mga lehitimong aktibidad.
* **Limitado o Hindi Direktang Suporta:** Kung ang materyal na suporta ay minimal o hindi direkta, nang walang kaalaman sa potensyal na paggamit nito para sa terorismo, maaari nitong palakasin ang pag-aangkin ng kawalan ng kamalayan.
**Rekomendasyon:**
Ang pagkonsulta sa isang kwalipikadong abogado na dalubhasa sa batas sa kriminal at pambansang seguridad ay mahalaga. Maaari silang:
* Suriin ang mga partikular na detalye ng kaso, kabilang ang likas na katangian ng materyal na suporta na ibinigay at ang ebidensya na magagamit upang ipakita ang kakulangan ng kamalayan.
* Tayahin ang posibilidad ng kawalan ng awareness defense batay sa batas ng Pilipinas at mga kaugnay na case precedents.
* Galugarin ang mga alternatibong estratehiya, tulad ng plea bargaining o pakikipagtulungan sa mga awtoridad, depende sa sitwasyon.
**Mga Karagdagang Pagsasaalang-alang:**
* **Kawalang-ingat kumpara sa Kawalang-ingat:** Ang linya sa pagitan ng kapabayaan (pagkabigong magsagawa ng angkop na pangangalaga) at kawalang-ingat (sinasadyang pagwawalang-bahala sa mga potensyal na kahihinatnan) ay mahalaga. Makakatulong ang isang abogado na i-navigate ang pagkakaibang ito sa konteksto ng kaso.
* **Pakikipagtulungan sa Mga Awtoridad:** Ang pagpapakita ng pagpayag na makipagtulungan sa mga awtoridad pagkatapos na malaman na hindi nila alam na sinusuportahan nila ang isang organisasyong terorista ay maaaring tingnan nang mabuti.
**Disclaimer:** Ito ay isang pangkalahatang pangkalahatang-ideya. Ang tagumpay ng isang kakulangan ng pagtatanggol sa kamalayan sa isang kaso ng terorismo ay nakadepende nang husto sa mga partikular na detalye at mga ebidensyang ipinakita. Ang pagkonsulta sa isang abogado ay lubos na inirerekomenda para sa isang mas komprehensibong pagsusuri at pinasadyang legal na payo.</v>
      </c>
      <c r="F2358" s="2">
        <f t="shared" si="1"/>
        <v>0</v>
      </c>
      <c r="G2358" s="2"/>
      <c r="H2358" s="2"/>
      <c r="I2358" s="2"/>
      <c r="J2358" s="2"/>
      <c r="K2358" s="2"/>
      <c r="L2358" s="2"/>
      <c r="M2358" s="2"/>
      <c r="N2358" s="2"/>
      <c r="O2358" s="2"/>
      <c r="P2358" s="2"/>
      <c r="Q2358" s="2"/>
      <c r="R2358" s="2"/>
      <c r="S2358" s="2"/>
      <c r="T2358" s="2"/>
      <c r="U2358" s="2"/>
      <c r="V2358" s="2"/>
      <c r="W2358" s="2"/>
      <c r="X2358" s="2"/>
      <c r="Y2358" s="2"/>
      <c r="Z2358" s="2"/>
      <c r="AA2358" s="2"/>
    </row>
    <row r="2359">
      <c r="A2359" s="1" t="s">
        <v>5490</v>
      </c>
      <c r="B2359" s="1" t="s">
        <v>5683</v>
      </c>
      <c r="C2359" s="3" t="s">
        <v>5684</v>
      </c>
      <c r="D2359" s="2" t="str">
        <f>IFERROR(__xludf.DUMMYFUNCTION("GOOGLETRANSLATE(B2359, ""en"", ""TL"")"),"Makakatanggap ka ng impormasyon tungkol sa isang potensyal na pag-atake ng terorista na nagta-target sa isang pampublikong sasakyang pang-transportasyon. Anong mga legal na aksyon ang maaaring gawin upang ma-secure ang sasakyan at maiwasan ang pag-atake?")</f>
        <v>Makakatanggap ka ng impormasyon tungkol sa isang potensyal na pag-atake ng terorista na nagta-target sa isang pampublikong sasakyang pang-transportasyon. Anong mga legal na aksyon ang maaaring gawin upang ma-secure ang sasakyan at maiwasan ang pag-atake?</v>
      </c>
      <c r="E2359" s="2" t="str">
        <f>IFERROR(__xludf.DUMMYFUNCTION("GOOGLETRANSLATE(C2359, ""en"", ""TL"")"),"Narito ang ilang legal na aksyon na maaari mong gawin upang ma-secure ang isang pampublikong sasakyan at maiwasan ang pag-atake ng terorista batay sa impormasyong natanggap mo:
**Agad na Pag-uulat:**
* **Republic Act No. 11479 (Anti-Terrorism Act of 2020)"&amp;":** Ang Seksyon 19. Obligation to Report ay nangangailangan ng sinumang may kaalaman o makatwirang hinala ng isang paparating na pag-atake ng terorista na iulat ito kaagad sa pinakamalapit na ahensyang nagpapatupad ng batas. Ito ang pinakamahalagang hakba"&amp;"ng.
**Mga Pagkilos sa Pagpapatupad ng Batas:**
* **Pagsisiyasat:** Maaaring magsimula ang mga awtoridad ng pagsisiyasat upang masuri ang kredibilidad ng impormasyon at matukoy ang mga potensyal na umaatake. * Depende sa mga detalyeng natanggap, maaaring k"&amp;"abilang dito ang:
* Pagsusuri sa mga manifest ng pasahero o footage ng seguridad mula sa mga nakaraang biyahe sa target na sasakyan (kung magagamit).
* Pag-iimbestiga sa mga kilalang teroristang grupo o indibidwal sa lugar.
* Pagsasagawa ng mga panayam sa"&amp;" mga impormante o indibidwal na maaaring may karagdagang impormasyon.
* **Surveillance:** Ang mga awtoridad ay maaaring magsagawa ng legal na pagsubaybay sa sistema ng pampublikong transportasyon at mga potensyal na target sa loob ng mga hangganang itinak"&amp;"da ng Konstitusyon (Artikulo III, Seksyon 2) at mga nauugnay na batas.
**Pag-secure ng Pampublikong Transportasyong Sasakyan:**
* **Pakikipagtulungan sa Mga Awtoridad sa Transportasyon:** Makipagtulungan sa may-katuturang awtoridad sa transportasyon (hal."&amp;", kumpanya ng bus, operator ng tren) upang ipatupad ang mga pinataas na hakbang sa seguridad. Maaaring kabilang dito ang:
* Nadagdagang presensya ng seguridad sa mga istasyon o terminal, na posibleng kinasasangkutan ng pulis o mga tauhan ng seguridad.
* R"&amp;"andom na mga tseke ng bag o security screening para sa mga pasaherong sumasakay sa sasakyan.
* Dumami ang mga patrol sa sakay ng sasakyan habang nasa biyahe.
**Komunikasyon:**
* **Pagbabalanse sa Seguridad at Pampublikong Panic:** Habang ang pagpapaalam s"&amp;"a publiko tungkol sa potensyal na banta ay maaaring kailanganin, ang pag-iwas sa panic ay napakahalaga. Makipag-ugnayan sa mga naaangkop na awtoridad at kumpanya ng transportasyon upang makagawa ng malinaw at maigsi na mensahe na nakatuon sa mga hakbang s"&amp;"a seguridad na ginagawa.
**Mga Karagdagang Pagsasaalang-alang:**
* **Katiyakan ng Impormasyon:** Ang bisa ng mga legal na aksyon ay nakadepende nang husto sa mga detalye ng impormasyong natanggap. Kung mas partikular ang impormasyon (hal., oras, lokasyon,"&amp;" mga detalye ng target na sasakyan, paglalarawan ng attacker), mas maaaring maging target ang tugon.
* **Pampublikong Kooperasyon:** Hikayatin ang publiko na iulat sa mga awtoridad ang anumang kahina-hinalang aktibidad o hindi binabantayang mga pakete sa "&amp;"mga pampublikong sasakyan.
* **Pag-aangkop ng Mga Panukala sa Seguridad:** Ang mga hakbang sa seguridad ay dapat iakma batay sa nagbabagong impormasyon at mga potensyal na pagbabago sa banta.
**Mahahalagang Paalala:**
* Ang lahat ng pangongolekta ng ebide"&amp;"nsya at mga legal na aksyon ay dapat sumunod sa batas ng Pilipinas upang matiyak na hahawak sila sa korte. * Ang pagbabalanse ng mga pangangailangan sa seguridad sa kaligtasan ng publiko at maayos na operasyon ng sistema ng transportasyon ay mahalaga.
**M"&amp;"ga Karagdagang Mapagkukunan:**
* Philippine National Police (PNP): [https://pnp.gov.ph/](https://pnp.gov.ph/)
* National Intelligence Coordinating Agency (NICA): [https://nica.gov.ph/](https://nica.gov.ph/)
Tandaan, ito ay isang pangkalahatang pangkalahat"&amp;"ang-ideya lamang. Ang pagkonsulta sa isang abogado ay maaaring magbigay ng mas tiyak na patnubay batay sa mga detalye ng impormasyong natanggap mo at ang partikular na uri ng pampublikong sasakyang pang-transportasyon na kasangkot.")</f>
        <v>Narito ang ilang legal na aksyon na maaari mong gawin upang ma-secure ang isang pampublikong sasakyan at maiwasan ang pag-atake ng terorista batay sa impormasyong natanggap mo:
**Agad na Pag-uulat:**
* **Republic Act No. 11479 (Anti-Terrorism Act of 2020):** Ang Seksyon 19. Obligation to Report ay nangangailangan ng sinumang may kaalaman o makatwirang hinala ng isang paparating na pag-atake ng terorista na iulat ito kaagad sa pinakamalapit na ahensyang nagpapatupad ng batas. Ito ang pinakamahalagang hakbang.
**Mga Pagkilos sa Pagpapatupad ng Batas:**
* **Pagsisiyasat:** Maaaring magsimula ang mga awtoridad ng pagsisiyasat upang masuri ang kredibilidad ng impormasyon at matukoy ang mga potensyal na umaatake. * Depende sa mga detalyeng natanggap, maaaring kabilang dito ang:
* Pagsusuri sa mga manifest ng pasahero o footage ng seguridad mula sa mga nakaraang biyahe sa target na sasakyan (kung magagamit).
* Pag-iimbestiga sa mga kilalang teroristang grupo o indibidwal sa lugar.
* Pagsasagawa ng mga panayam sa mga impormante o indibidwal na maaaring may karagdagang impormasyon.
* **Surveillance:** Ang mga awtoridad ay maaaring magsagawa ng legal na pagsubaybay sa sistema ng pampublikong transportasyon at mga potensyal na target sa loob ng mga hangganang itinakda ng Konstitusyon (Artikulo III, Seksyon 2) at mga nauugnay na batas.
**Pag-secure ng Pampublikong Transportasyong Sasakyan:**
* **Pakikipagtulungan sa Mga Awtoridad sa Transportasyon:** Makipagtulungan sa may-katuturang awtoridad sa transportasyon (hal., kumpanya ng bus, operator ng tren) upang ipatupad ang mga pinataas na hakbang sa seguridad. Maaaring kabilang dito ang:
* Nadagdagang presensya ng seguridad sa mga istasyon o terminal, na posibleng kinasasangkutan ng pulis o mga tauhan ng seguridad.
* Random na mga tseke ng bag o security screening para sa mga pasaherong sumasakay sa sasakyan.
* Dumami ang mga patrol sa sakay ng sasakyan habang nasa biyahe.
**Komunikasyon:**
* **Pagbabalanse sa Seguridad at Pampublikong Panic:** Habang ang pagpapaalam sa publiko tungkol sa potensyal na banta ay maaaring kailanganin, ang pag-iwas sa panic ay napakahalaga. Makipag-ugnayan sa mga naaangkop na awtoridad at kumpanya ng transportasyon upang makagawa ng malinaw at maigsi na mensahe na nakatuon sa mga hakbang sa seguridad na ginagawa.
**Mga Karagdagang Pagsasaalang-alang:**
* **Katiyakan ng Impormasyon:** Ang bisa ng mga legal na aksyon ay nakadepende nang husto sa mga detalye ng impormasyong natanggap. Kung mas partikular ang impormasyon (hal., oras, lokasyon, mga detalye ng target na sasakyan, paglalarawan ng attacker), mas maaaring maging target ang tugon.
* **Pampublikong Kooperasyon:** Hikayatin ang publiko na iulat sa mga awtoridad ang anumang kahina-hinalang aktibidad o hindi binabantayang mga pakete sa mga pampublikong sasakyan.
* **Pag-aangkop ng Mga Panukala sa Seguridad:** Ang mga hakbang sa seguridad ay dapat iakma batay sa nagbabagong impormasyon at mga potensyal na pagbabago sa banta.
**Mahahalagang Paalala:**
* Ang lahat ng pangongolekta ng ebidensya at mga legal na aksyon ay dapat sumunod sa batas ng Pilipinas upang matiyak na hahawak sila sa korte. * Ang pagbabalanse ng mga pangangailangan sa seguridad sa kaligtasan ng publiko at maayos na operasyon ng sistema ng transportasyon ay mahalaga.
**Mga Karagdagang Mapagkukunan:**
* Philippine National Police (PNP): [https://pnp.gov.ph/](https://pnp.gov.ph/)
* National Intelligence Coordinating Agency (NICA): [https://nica.gov.ph/](https://nica.gov.ph/)
Tandaan, ito ay isang pangkalahatang pangkalahatang-ideya lamang. Ang pagkonsulta sa isang abogado ay maaaring magbigay ng mas tiyak na patnubay batay sa mga detalye ng impormasyong natanggap mo at ang partikular na uri ng pampublikong sasakyang pang-transportasyon na kasangkot.</v>
      </c>
      <c r="F2359" s="2">
        <f t="shared" si="1"/>
        <v>0</v>
      </c>
      <c r="G2359" s="2"/>
      <c r="H2359" s="2"/>
      <c r="I2359" s="2"/>
      <c r="J2359" s="2"/>
      <c r="K2359" s="2"/>
      <c r="L2359" s="2"/>
      <c r="M2359" s="2"/>
      <c r="N2359" s="2"/>
      <c r="O2359" s="2"/>
      <c r="P2359" s="2"/>
      <c r="Q2359" s="2"/>
      <c r="R2359" s="2"/>
      <c r="S2359" s="2"/>
      <c r="T2359" s="2"/>
      <c r="U2359" s="2"/>
      <c r="V2359" s="2"/>
      <c r="W2359" s="2"/>
      <c r="X2359" s="2"/>
      <c r="Y2359" s="2"/>
      <c r="Z2359" s="2"/>
      <c r="AA2359" s="2"/>
    </row>
    <row r="2360">
      <c r="A2360" s="1" t="s">
        <v>5490</v>
      </c>
      <c r="B2360" s="1" t="s">
        <v>5685</v>
      </c>
      <c r="C2360" s="3" t="s">
        <v>5686</v>
      </c>
      <c r="D2360" s="2" t="str">
        <f>IFERROR(__xludf.DUMMYFUNCTION("GOOGLETRANSLATE(B2360, ""en"", ""TL"")"),"Ang isang tao ay inaresto dahil sa paggamit ng maling impormasyon na may kaugnayan sa terorismo ngunit sinasabing sila ay pinilit. Paano tinutugunan ang pagtatanggol sa pamimilit sa ilalim ng batas ng Pilipinas?")</f>
        <v>Ang isang tao ay inaresto dahil sa paggamit ng maling impormasyon na may kaugnayan sa terorismo ngunit sinasabing sila ay pinilit. Paano tinutugunan ang pagtatanggol sa pamimilit sa ilalim ng batas ng Pilipinas?</v>
      </c>
      <c r="E2360" s="2" t="str">
        <f>IFERROR(__xludf.DUMMYFUNCTION("GOOGLETRANSLATE(C2360, ""en"", ""TL"")"),"Ang pagtatanggol sa pamimilit, kapag inilapat sa isang kaso na kinasasangkutan ng paggamit ng maling impormasyon na may kaugnayan sa terorismo, ay maaaring maging kumplikado sa batas ng Pilipinas. Narito ang isang breakdown ng kung paano ito maaaring matu"&amp;"gunan:
**Binago ang Kodigo Penal (Act No. 3815):**
* Artikulo 12. Mga Sirkumstansya na Nakakaapekto sa Kriminal na Pananagutan: Ang artikulong ito ay nagbabalangkas ng iba't ibang mga pangyayari na maaaring magpalibre sa isang tao sa kriminal na pananagut"&amp;"an o magaan ang parusa. Narito ang nauugnay na seksyon:
* Talata 6. **Pagpipilit:** Ito ay naglilibre sa isang tao sa pananagutan sa kriminal na kumilos sa ilalim ng pagpilit ng isang hindi mapaglabanan na puwersa o isang matinding banta na hindi maaaring"&amp;" labanan nang hindi nalalagay sa panganib ang kanyang buhay o ng kanyang mga mahal sa buhay.
**Mga Hamon ng Coercion Defense:**
* **Mahigpit na Pananagutan para sa Maling Impormasyon:** Ang batas ng Pilipinas, partikular na ang Anti-Terrorism Act of 2020 "&amp;"(Republic Act No. 11479), ay hindi tahasang binabanggit ang pamimilit bilang isang depensa para sa paggamit ng maling impormasyong nauugnay sa terorismo. Ginagawa nitong mas mahirap kumpara sa iba pang mga krimen. * **Kamadalian at Gravity of Threat:** An"&amp;"g pananakot na ginamit bilang pamimilit ay dapat na agaran, seryoso, at hindi makatwirang labanan. Maaaring mahirap patunayan ito sa korte, lalo na kung walang malinaw na ebidensya.
* **Layunin at Kaalaman:** Bagama't ang akusado ay maaaring hindi ganap n"&amp;"a kumilos sa kanilang sariling kusa, maaaring mayroon pa rin silang antas ng layunin o kaalaman tungkol sa mga kahihinatnan ng pagkalat ng maling impormasyon. Maaari nitong pahinain ang depensa.
**Mga Posibleng Diskarte para sa Coercion Defense:**
* **Ebi"&amp;"densya ng Pagpipilit:** Ang pagbibigay ng matibay na ebidensya ng banta, ang panganib na idinulot nito, at ang kawalan ng kakayahang labanan ito ay nagpapatibay sa puwersang pagtatanggol. Maaaring kabilang dito ang mga testimonya ng saksi, mga pagrekord n"&amp;"g mga pagbabanta, o patunay ng kasaysayan ng karahasan o pananakot ng manunupil.
* **Kooperasyon sa mga Awtoridad:** Ang pagpapakita ng pakikipagtulungan sa pagpapatupad ng batas pagkatapos na humupa ang banta ay maaaring magpakita ng kakulangan ng tunay "&amp;"na malisyosong layunin o pagnanais na mag-ambag sa terorismo. * **Katangian ng Maling Impormasyon:** Ang katangian ng maling impormasyon ay maaaring may kaugnayan. Kung ito ay malinaw na hindi nakakapinsala o malamang na hindi magdulot ng malaking pagkaga"&amp;"mbala, maaari nitong palakasin ang paghahabol sa pamimilit.
**Rekomendasyon:**
Ang pagkonsulta sa isang kwalipikadong abogado na dalubhasa sa batas sa kriminal at pambansang seguridad ay mahalaga. Maaari nilang pag-aralan ang mga partikular na detalye ng "&amp;"kaso, tasahin ang posibilidad ng isang coercion defense batay sa batas ng Pilipinas, at tuklasin ang pinakamahusay na paraan ng pagkilos para sa sitwasyon ng indibidwal.
**Narito ang ilang karagdagang puntong dapat isaalang-alang:**
* **Nilalaman ng Malin"&amp;"g Impormasyon:** Ang kalubhaan ng parusa ay maaaring depende sa nilalaman ng maling impormasyon at ang potensyal na epekto nito sa kaligtasan ng publiko o pambansang seguridad.
* **Pagtutulungan sa Pagsisiyasat:** Ang pagbibigay ng makatotohanang impormas"&amp;"yon tungkol sa pinagmulan ng pamimilit at pakikipagtulungan sa imbestigasyon ay maaaring makatulong sa pagpapagaan ng mga potensyal na singil. **Disclaimer:** Ito ay isang pangkalahatang pangkalahatang-ideya lamang batay sa batas ng Pilipinas. Ang mga par"&amp;"tikular na legal na opsyon na magagamit at ang lakas ng pagtatanggol sa pamimilit ay depende sa mga detalye ng sitwasyon. Ang pagkonsulta sa isang abogado ay lubos na inirerekomenda para sa isang mas komprehensibong pagsusuri at paggabay sa pinakaangkop n"&amp;"a paraan ng pagkilos.")</f>
        <v>Ang pagtatanggol sa pamimilit, kapag inilapat sa isang kaso na kinasasangkutan ng paggamit ng maling impormasyon na may kaugnayan sa terorismo, ay maaaring maging kumplikado sa batas ng Pilipinas. Narito ang isang breakdown ng kung paano ito maaaring matugunan:
**Binago ang Kodigo Penal (Act No. 3815):**
* Artikulo 12. Mga Sirkumstansya na Nakakaapekto sa Kriminal na Pananagutan: Ang artikulong ito ay nagbabalangkas ng iba't ibang mga pangyayari na maaaring magpalibre sa isang tao sa kriminal na pananagutan o magaan ang parusa. Narito ang nauugnay na seksyon:
* Talata 6. **Pagpipilit:** Ito ay naglilibre sa isang tao sa pananagutan sa kriminal na kumilos sa ilalim ng pagpilit ng isang hindi mapaglabanan na puwersa o isang matinding banta na hindi maaaring labanan nang hindi nalalagay sa panganib ang kanyang buhay o ng kanyang mga mahal sa buhay.
**Mga Hamon ng Coercion Defense:**
* **Mahigpit na Pananagutan para sa Maling Impormasyon:** Ang batas ng Pilipinas, partikular na ang Anti-Terrorism Act of 2020 (Republic Act No. 11479), ay hindi tahasang binabanggit ang pamimilit bilang isang depensa para sa paggamit ng maling impormasyong nauugnay sa terorismo. Ginagawa nitong mas mahirap kumpara sa iba pang mga krimen. * **Kamadalian at Gravity of Threat:** Ang pananakot na ginamit bilang pamimilit ay dapat na agaran, seryoso, at hindi makatwirang labanan. Maaaring mahirap patunayan ito sa korte, lalo na kung walang malinaw na ebidensya.
* **Layunin at Kaalaman:** Bagama't ang akusado ay maaaring hindi ganap na kumilos sa kanilang sariling kusa, maaaring mayroon pa rin silang antas ng layunin o kaalaman tungkol sa mga kahihinatnan ng pagkalat ng maling impormasyon. Maaari nitong pahinain ang depensa.
**Mga Posibleng Diskarte para sa Coercion Defense:**
* **Ebidensya ng Pagpipilit:** Ang pagbibigay ng matibay na ebidensya ng banta, ang panganib na idinulot nito, at ang kawalan ng kakayahang labanan ito ay nagpapatibay sa puwersang pagtatanggol. Maaaring kabilang dito ang mga testimonya ng saksi, mga pagrekord ng mga pagbabanta, o patunay ng kasaysayan ng karahasan o pananakot ng manunupil.
* **Kooperasyon sa mga Awtoridad:** Ang pagpapakita ng pakikipagtulungan sa pagpapatupad ng batas pagkatapos na humupa ang banta ay maaaring magpakita ng kakulangan ng tunay na malisyosong layunin o pagnanais na mag-ambag sa terorismo. * **Katangian ng Maling Impormasyon:** Ang katangian ng maling impormasyon ay maaaring may kaugnayan. Kung ito ay malinaw na hindi nakakapinsala o malamang na hindi magdulot ng malaking pagkagambala, maaari nitong palakasin ang paghahabol sa pamimilit.
**Rekomendasyon:**
Ang pagkonsulta sa isang kwalipikadong abogado na dalubhasa sa batas sa kriminal at pambansang seguridad ay mahalaga. Maaari nilang pag-aralan ang mga partikular na detalye ng kaso, tasahin ang posibilidad ng isang coercion defense batay sa batas ng Pilipinas, at tuklasin ang pinakamahusay na paraan ng pagkilos para sa sitwasyon ng indibidwal.
**Narito ang ilang karagdagang puntong dapat isaalang-alang:**
* **Nilalaman ng Maling Impormasyon:** Ang kalubhaan ng parusa ay maaaring depende sa nilalaman ng maling impormasyon at ang potensyal na epekto nito sa kaligtasan ng publiko o pambansang seguridad.
* **Pagtutulungan sa Pagsisiyasat:** Ang pagbibigay ng makatotohanang impormasyon tungkol sa pinagmulan ng pamimilit at pakikipagtulungan sa imbestigasyon ay maaaring makatulong sa pagpapagaan ng mga potensyal na singil. **Disclaimer:** Ito ay isang pangkalahatang pangkalahatang-ideya lamang batay sa batas ng Pilipinas. Ang mga partikular na legal na opsyon na magagamit at ang lakas ng pagtatanggol sa pamimilit ay depende sa mga detalye ng sitwasyon. Ang pagkonsulta sa isang abogado ay lubos na inirerekomenda para sa isang mas komprehensibong pagsusuri at paggabay sa pinakaangkop na paraan ng pagkilos.</v>
      </c>
      <c r="F2360" s="2">
        <f t="shared" si="1"/>
        <v>0</v>
      </c>
      <c r="G2360" s="2"/>
      <c r="H2360" s="2"/>
      <c r="I2360" s="2"/>
      <c r="J2360" s="2"/>
      <c r="K2360" s="2"/>
      <c r="L2360" s="2"/>
      <c r="M2360" s="2"/>
      <c r="N2360" s="2"/>
      <c r="O2360" s="2"/>
      <c r="P2360" s="2"/>
      <c r="Q2360" s="2"/>
      <c r="R2360" s="2"/>
      <c r="S2360" s="2"/>
      <c r="T2360" s="2"/>
      <c r="U2360" s="2"/>
      <c r="V2360" s="2"/>
      <c r="W2360" s="2"/>
      <c r="X2360" s="2"/>
      <c r="Y2360" s="2"/>
      <c r="Z2360" s="2"/>
      <c r="AA2360" s="2"/>
    </row>
    <row r="2361">
      <c r="A2361" s="1" t="s">
        <v>5490</v>
      </c>
      <c r="B2361" s="1" t="s">
        <v>5687</v>
      </c>
      <c r="C2361" s="3" t="s">
        <v>5688</v>
      </c>
      <c r="D2361" s="2" t="str">
        <f>IFERROR(__xludf.DUMMYFUNCTION("GOOGLETRANSLATE(B2361, ""en"", ""TL"")"),"Natuklasan mo ang isang grupo na nagpaplano ng pag-atake ng terorista sa loob ng isang residential area. Anong mga legal na aksyon ang maaaring gawin upang mapahusay ang seguridad at maiwasan ang pag-atake?")</f>
        <v>Natuklasan mo ang isang grupo na nagpaplano ng pag-atake ng terorista sa loob ng isang residential area. Anong mga legal na aksyon ang maaaring gawin upang mapahusay ang seguridad at maiwasan ang pag-atake?</v>
      </c>
      <c r="E2361" s="2" t="str">
        <f>IFERROR(__xludf.DUMMYFUNCTION("GOOGLETRANSLATE(C2361, ""en"", ""TL"")"),"Narito ang ilang legal na aksyon na maaari mong gawin upang mapahusay ang seguridad at maiwasan ang pag-atake ng terorista sa loob ng isang residential area:
**Agad na Pag-uulat:**
* **Republic Act No. 11479 (Anti-Terrorism Act of 2020):** Ang Seksyon 19."&amp;" Obligation to Report ay nangangailangan ng sinumang may kaalaman o makatwirang hinala ng isang paparating na pag-atake ng terorista na iulat ito kaagad sa pinakamalapit na ahensyang nagpapatupad ng batas. Ito ang pinakamahalagang hakbang.
**Mga Pagkilos "&amp;"sa Pagpapatupad ng Batas:**
* **Pagsisiyasat:** Maaaring magsimula ang mga awtoridad ng pagsisiyasat upang masuri ang kredibilidad ng impormasyon at matukoy ang mga potensyal na umaatake. Maaaring kabilang dito ang:
* Surveillance ng grupo at ang kanilang"&amp;" mga aktibidad sa loob ng legal na mga hangganan.
* Mga panayam sa mga kapitbahay o indibidwal na maaaring may karagdagang impormasyon.
* Pangangalap ng ebidensya, posibleng may mga warrant kung kinakailangan. * **Pag-secure ng Lugar:** Depende sa antas n"&amp;"g banta at mga detalye ng nakaplanong pag-atake, maaaring kailanganin ng mga awtoridad na i-secure ang residential area. Maaaring kabilang dito ang:
* Nadagdagang presensya ng pulisya sa kapitbahayan.
* Paglikas sa mga residente mula sa malapit na lugar k"&amp;"ung pinaghihinalaan ang isang napipintong pag-atake.
* Pagse-set up ng mga checkpoint sa entry at exit point (na may wastong legal na awtorisasyon).
**Pakikipag-ugnayan sa Komunidad:**
* **Public Awareness:** Ang mga lokal na awtoridad ay maaaring makipag"&amp;"tulungan sa mga pinuno ng komunidad upang itaas ang kamalayan tungkol sa sitwasyon nang hindi lumilikha ng hindi kinakailangang panic.
* **Mga Programa sa Pagmamasid sa Kapitbahayan:** Ang paghikayat at pagsuporta sa mga kasalukuyang programa sa panonood "&amp;"ng kapitbahayan, o pagtatatag ng mga ito kung wala ang mga ito, ay maaaring makapagpataas ng kamalayan ng mamamayan at pag-uulat ng kahina-hinalang aktibidad.
**Mga Legal na Pagsasaalang-alang:**
* **Pagbabalanse ng Seguridad at Kalayaan Sibil:** Ang mga "&amp;"hakbang sa seguridad ay dapat sumunod sa batas ng Pilipinas at maiwasan ang mga hindi makatwirang paglabag sa mga karapatan ng mga residente sa privacy at paggalaw.
* **Mga Warrant sa Paghahanap:** Maaaring kailanganin ang pagkuha ng mga search warrant ku"&amp;"ng kailangan ng mga awtoridad na pumasok sa pribadong pag-aari upang mangalap ng ebidensya o makagambala sa plano ng pag-atake.
* **Transparency at Komunikasyon:** Habang ang pagpapanatili ng kaligtasan ng publiko ay kritikal, ang mga awtoridad ay dapat m"&amp;"aging transparent sa komunidad sa loob ng mga hangganan ng mga protocol ng seguridad. Maaaring kabilang dito ang paglalabas ng mga pampublikong pahayag o anunsyo sa pamamagitan ng mga pinuno ng komunidad.
**Mga Karagdagang Pagsasaalang-alang:**
* **Pagtit"&amp;"ipon ng Ebidensya:** Tiyaking nakolekta ang ebidensya ayon sa wastong legal na pamamaraan para sa pagtanggap sa korte, kung kinakailangan.
* **Mental Health Resources:** Kung ang mga indibidwal na kasangkot sa nakaplanong pag-atake ay mukhang nahihirapan "&amp;"sa radicalization o mga isyu sa kalusugan ng isip, ang pagkonekta sa kanila sa mga naaangkop na mapagkukunan ay maaaring maging kapaki-pakinabang upang maiwasan ang mga banta sa hinaharap.
**Disclaimer:** Ito ay isang pangkalahatang pangkalahatang-ideya b"&amp;"atay sa batas ng Pilipinas. Ang mga partikular na legal na hakbang at ang kanilang aplikasyon ay depende sa mga detalye ng sitwasyon, ang kalubhaan ng banta, at ang mga mapagkukunang magagamit sa pagpapatupad ng batas. Ang pagkonsulta sa isang abogado na "&amp;"dalubhasa sa batas ng pambansang seguridad ay maaaring magbigay ng mas tiyak na patnubay sa legal na balangkas na naaangkop.")</f>
        <v>Narito ang ilang legal na aksyon na maaari mong gawin upang mapahusay ang seguridad at maiwasan ang pag-atake ng terorista sa loob ng isang residential area:
**Agad na Pag-uulat:**
* **Republic Act No. 11479 (Anti-Terrorism Act of 2020):** Ang Seksyon 19. Obligation to Report ay nangangailangan ng sinumang may kaalaman o makatwirang hinala ng isang paparating na pag-atake ng terorista na iulat ito kaagad sa pinakamalapit na ahensyang nagpapatupad ng batas. Ito ang pinakamahalagang hakbang.
**Mga Pagkilos sa Pagpapatupad ng Batas:**
* **Pagsisiyasat:** Maaaring magsimula ang mga awtoridad ng pagsisiyasat upang masuri ang kredibilidad ng impormasyon at matukoy ang mga potensyal na umaatake. Maaaring kabilang dito ang:
* Surveillance ng grupo at ang kanilang mga aktibidad sa loob ng legal na mga hangganan.
* Mga panayam sa mga kapitbahay o indibidwal na maaaring may karagdagang impormasyon.
* Pangangalap ng ebidensya, posibleng may mga warrant kung kinakailangan. * **Pag-secure ng Lugar:** Depende sa antas ng banta at mga detalye ng nakaplanong pag-atake, maaaring kailanganin ng mga awtoridad na i-secure ang residential area. Maaaring kabilang dito ang:
* Nadagdagang presensya ng pulisya sa kapitbahayan.
* Paglikas sa mga residente mula sa malapit na lugar kung pinaghihinalaan ang isang napipintong pag-atake.
* Pagse-set up ng mga checkpoint sa entry at exit point (na may wastong legal na awtorisasyon).
**Pakikipag-ugnayan sa Komunidad:**
* **Public Awareness:** Ang mga lokal na awtoridad ay maaaring makipagtulungan sa mga pinuno ng komunidad upang itaas ang kamalayan tungkol sa sitwasyon nang hindi lumilikha ng hindi kinakailangang panic.
* **Mga Programa sa Pagmamasid sa Kapitbahayan:** Ang paghikayat at pagsuporta sa mga kasalukuyang programa sa panonood ng kapitbahayan, o pagtatatag ng mga ito kung wala ang mga ito, ay maaaring makapagpataas ng kamalayan ng mamamayan at pag-uulat ng kahina-hinalang aktibidad.
**Mga Legal na Pagsasaalang-alang:**
* **Pagbabalanse ng Seguridad at Kalayaan Sibil:** Ang mga hakbang sa seguridad ay dapat sumunod sa batas ng Pilipinas at maiwasan ang mga hindi makatwirang paglabag sa mga karapatan ng mga residente sa privacy at paggalaw.
* **Mga Warrant sa Paghahanap:** Maaaring kailanganin ang pagkuha ng mga search warrant kung kailangan ng mga awtoridad na pumasok sa pribadong pag-aari upang mangalap ng ebidensya o makagambala sa plano ng pag-atake.
* **Transparency at Komunikasyon:** Habang ang pagpapanatili ng kaligtasan ng publiko ay kritikal, ang mga awtoridad ay dapat maging transparent sa komunidad sa loob ng mga hangganan ng mga protocol ng seguridad. Maaaring kabilang dito ang paglalabas ng mga pampublikong pahayag o anunsyo sa pamamagitan ng mga pinuno ng komunidad.
**Mga Karagdagang Pagsasaalang-alang:**
* **Pagtitipon ng Ebidensya:** Tiyaking nakolekta ang ebidensya ayon sa wastong legal na pamamaraan para sa pagtanggap sa korte, kung kinakailangan.
* **Mental Health Resources:** Kung ang mga indibidwal na kasangkot sa nakaplanong pag-atake ay mukhang nahihirapan sa radicalization o mga isyu sa kalusugan ng isip, ang pagkonekta sa kanila sa mga naaangkop na mapagkukunan ay maaaring maging kapaki-pakinabang upang maiwasan ang mga banta sa hinaharap.
**Disclaimer:** Ito ay isang pangkalahatang pangkalahatang-ideya batay sa batas ng Pilipinas. Ang mga partikular na legal na hakbang at ang kanilang aplikasyon ay depende sa mga detalye ng sitwasyon, ang kalubhaan ng banta, at ang mga mapagkukunang magagamit sa pagpapatupad ng batas. Ang pagkonsulta sa isang abogado na dalubhasa sa batas ng pambansang seguridad ay maaaring magbigay ng mas tiyak na patnubay sa legal na balangkas na naaangkop.</v>
      </c>
      <c r="F2361" s="2">
        <f t="shared" si="1"/>
        <v>0</v>
      </c>
      <c r="G2361" s="2"/>
      <c r="H2361" s="2"/>
      <c r="I2361" s="2"/>
      <c r="J2361" s="2"/>
      <c r="K2361" s="2"/>
      <c r="L2361" s="2"/>
      <c r="M2361" s="2"/>
      <c r="N2361" s="2"/>
      <c r="O2361" s="2"/>
      <c r="P2361" s="2"/>
      <c r="Q2361" s="2"/>
      <c r="R2361" s="2"/>
      <c r="S2361" s="2"/>
      <c r="T2361" s="2"/>
      <c r="U2361" s="2"/>
      <c r="V2361" s="2"/>
      <c r="W2361" s="2"/>
      <c r="X2361" s="2"/>
      <c r="Y2361" s="2"/>
      <c r="Z2361" s="2"/>
      <c r="AA2361" s="2"/>
    </row>
    <row r="2362">
      <c r="A2362" s="1" t="s">
        <v>5490</v>
      </c>
      <c r="B2362" s="1" t="s">
        <v>5689</v>
      </c>
      <c r="C2362" s="3" t="s">
        <v>5690</v>
      </c>
      <c r="D2362" s="2" t="str">
        <f>IFERROR(__xludf.DUMMYFUNCTION("GOOGLETRANSLATE(B2362, ""en"", ""TL"")"),"Ang isang indibidwal ay inaresto para sa online na pagpapakalat ng mga propaganda ng terorista at mga materyales sa pangangalap ngunit sinasabing walang layunin. Paano tinutugunan ang pagtatanggol sa kawalan ng layunin sa ilalim ng batas ng Pilipinas sa m"&amp;"ga kaso ng terorismo?")</f>
        <v>Ang isang indibidwal ay inaresto para sa online na pagpapakalat ng mga propaganda ng terorista at mga materyales sa pangangalap ngunit sinasabing walang layunin. Paano tinutugunan ang pagtatanggol sa kawalan ng layunin sa ilalim ng batas ng Pilipinas sa mga kaso ng terorismo?</v>
      </c>
      <c r="E2362" s="2" t="str">
        <f>IFERROR(__xludf.DUMMYFUNCTION("GOOGLETRANSLATE(C2362, ""en"", ""TL"")"),"Sa Pilipinas, ang kawalan ng layunin, na kung minsan ay tinutukoy bilang pagkakamali ng katotohanan, ay maaaring maging isang depensa sa ilang mga kaso ng terorismo, ngunit ang tagumpay nito ay nakadepende nang husto sa mga partikular na pangyayari. Narit"&amp;"o ang isang breakdown ng kung paano ito maaaring matugunan:
**Binago ang Kodigo Penal (Act No. 3815):**
* Artikulo 36. Pananagutan sa Kriminal - Ang talata 1 ay nagsasaad: ""Upang ma-exempt sa kriminal na pananagutan, ang mga sumusunod na pangyayari ay da"&amp;"pat sumang-ayon:
* Ang kilos ay boluntaryo; at
* May kakulangan ng kriminal na layunin.""
**Anti-Terrorism Act of 2020 (Republic Act No. 11479):**
* Ang Batas ay hindi tahasang binanggit ang ""kakulangan ng layunin"" bilang isang depensa. Gayunpaman, ang "&amp;"konsepto ng kriminal na layunin ay nalalapat pa rin.
**Mga Hamon ng Kakulangan sa Pagtatanggol sa Layunin:**
* **Pagtukoy sa Terrorist Propaganda:** Ang Anti-Terrorism Act ay malawakang tumutukoy sa ""teroristang propaganda"" bilang mga materyales na nag-"&amp;"uudyok ng karahasan o nagtataguyod ng terorismo. Ginagawa nitong mahirap na magtaltalan na hindi naunawaan ng indibidwal ang nilalaman na kanilang ipinapakalat. * **Kaalaman kumpara sa Kawalang-ingat:** Ang batas ng Pilipinas ay may pagkakaiba sa pagitan "&amp;"ng kaalaman at kawalang-ingat. Upang magtagumpay sa kawalan ng layuning pagtatanggol, dapat ipakita ng indibidwal ang kumpletong kakulangan ng kaalaman tungkol sa nilalamang materyal na ginagamit para sa terorismo o ang tunay na katangian ng organisasyon."&amp;" Maaaring hindi sapat ang simpleng pag-claim ng kamangmangan.
* **Burden of Proof:** Ang pasanin ng patunay ay nakasalalay sa nasasakdal na itatag ang kanilang kawalan ng layunin sa pamamagitan ng malinaw at nakakumbinsi na ebidensya. Maaari itong maging "&amp;"mahirap, lalo na kapag nakikitungo sa online na nilalaman na kadalasang madaling matukoy bilang extremist.
**Mga Posibleng Diskarte para sa Kakulangan ng Intent Defense:**
* **Hindi pagkakaunawaan sa Nilalaman:** Ang ebidensya na ang indibidwal ay tunay n"&amp;"a hindi naunawaan ang nilalaman o ang layunin nito ay maaaring magpatibay sa depensa. Maaaring kabilang dito ang pagpapakita na iniligaw sila ng iba, napagkamalan ng kahulugan ang materyal dahil sa mga hadlang sa wika, o kawalan ng kaalaman tungkol sa mga"&amp;" simbolong ekstremista o terminolohiya.
* **Accidental Sharing:** Kung ang pagpapakalat ay hindi sinasadya (hal., hindi sinasadyang pagbabahagi ng link), ang pagpapakita nito na may teknikal na ebidensya o mga testimonya ng saksi ay maaaring makatulong.
*"&amp;"*Rekomendasyon:**
Ang pagkonsulta sa isang kwalipikadong abogado na dalubhasa sa batas sa kriminal at pambansang seguridad ay mahalaga. Maaari silang:
* Suriin ang mga partikular na detalye ng kaso, kabilang ang likas na katangian ng content na ipinakalat"&amp;", ang online na platform na ginamit, at ang ebidensyang magagamit upang ipakita ang kawalan ng layunin.
* Suriin ang posibilidad ng kawalan ng layuning pagtatanggol batay sa batas ng Pilipinas at mga kaugnay na kaso.
* Galugarin ang mga alternatibong estr"&amp;"atehiya, tulad ng plea bargaining o pakikipagtulungan sa mga awtoridad, depende sa sitwasyon.
**Mga Karagdagang Pagsasaalang-alang:**
* **Katangian ng Platform:** Ang online na platform na ginamit para sa pagpapakalat ay maaaring may kaugnayan. Ang pagbab"&amp;"ahagi ng nilalaman sa isang personal na pahina ng social media kumpara sa isang kilalang extremist forum ay maaaring makaimpluwensya sa pananaw ng hukuman sa layunin.
* **Pakikipagtulungan sa Mga Awtoridad:** Ang pagpapakita ng kahandaang makipagtulungan "&amp;"sa mga awtoridad sa pamamagitan ng pag-alis ng nilalaman, pagtukoy sa pinagmulan ng maling impormasyon (kung naaangkop), at pagtuligsa sa terorismo ay maaaring tingnan nang mabuti.
**Disclaimer:** Ito ay isang pangkalahatang pangkalahatang-ideya. Ang tagu"&amp;"mpay ng isang kakulangan ng layunin ng pagtatanggol sa isang kaso ng terorismo ay nakadepende nang husto sa mga partikular na detalye at sa ebidensyang ipinakita. Ang pagkonsulta sa isang abogado ay lubos na inirerekomenda para sa isang mas komprehensibon"&amp;"g pagsusuri at pinasadyang legal na payo.")</f>
        <v>Sa Pilipinas, ang kawalan ng layunin, na kung minsan ay tinutukoy bilang pagkakamali ng katotohanan, ay maaaring maging isang depensa sa ilang mga kaso ng terorismo, ngunit ang tagumpay nito ay nakadepende nang husto sa mga partikular na pangyayari. Narito ang isang breakdown ng kung paano ito maaaring matugunan:
**Binago ang Kodigo Penal (Act No. 3815):**
* Artikulo 36. Pananagutan sa Kriminal - Ang talata 1 ay nagsasaad: "Upang ma-exempt sa kriminal na pananagutan, ang mga sumusunod na pangyayari ay dapat sumang-ayon:
* Ang kilos ay boluntaryo; at
* May kakulangan ng kriminal na layunin."
**Anti-Terrorism Act of 2020 (Republic Act No. 11479):**
* Ang Batas ay hindi tahasang binanggit ang "kakulangan ng layunin" bilang isang depensa. Gayunpaman, ang konsepto ng kriminal na layunin ay nalalapat pa rin.
**Mga Hamon ng Kakulangan sa Pagtatanggol sa Layunin:**
* **Pagtukoy sa Terrorist Propaganda:** Ang Anti-Terrorism Act ay malawakang tumutukoy sa "teroristang propaganda" bilang mga materyales na nag-uudyok ng karahasan o nagtataguyod ng terorismo. Ginagawa nitong mahirap na magtaltalan na hindi naunawaan ng indibidwal ang nilalaman na kanilang ipinapakalat. * **Kaalaman kumpara sa Kawalang-ingat:** Ang batas ng Pilipinas ay may pagkakaiba sa pagitan ng kaalaman at kawalang-ingat. Upang magtagumpay sa kawalan ng layuning pagtatanggol, dapat ipakita ng indibidwal ang kumpletong kakulangan ng kaalaman tungkol sa nilalamang materyal na ginagamit para sa terorismo o ang tunay na katangian ng organisasyon. Maaaring hindi sapat ang simpleng pag-claim ng kamangmangan.
* **Burden of Proof:** Ang pasanin ng patunay ay nakasalalay sa nasasakdal na itatag ang kanilang kawalan ng layunin sa pamamagitan ng malinaw at nakakumbinsi na ebidensya. Maaari itong maging mahirap, lalo na kapag nakikitungo sa online na nilalaman na kadalasang madaling matukoy bilang extremist.
**Mga Posibleng Diskarte para sa Kakulangan ng Intent Defense:**
* **Hindi pagkakaunawaan sa Nilalaman:** Ang ebidensya na ang indibidwal ay tunay na hindi naunawaan ang nilalaman o ang layunin nito ay maaaring magpatibay sa depensa. Maaaring kabilang dito ang pagpapakita na iniligaw sila ng iba, napagkamalan ng kahulugan ang materyal dahil sa mga hadlang sa wika, o kawalan ng kaalaman tungkol sa mga simbolong ekstremista o terminolohiya.
* **Accidental Sharing:** Kung ang pagpapakalat ay hindi sinasadya (hal., hindi sinasadyang pagbabahagi ng link), ang pagpapakita nito na may teknikal na ebidensya o mga testimonya ng saksi ay maaaring makatulong.
**Rekomendasyon:**
Ang pagkonsulta sa isang kwalipikadong abogado na dalubhasa sa batas sa kriminal at pambansang seguridad ay mahalaga. Maaari silang:
* Suriin ang mga partikular na detalye ng kaso, kabilang ang likas na katangian ng content na ipinakalat, ang online na platform na ginamit, at ang ebidensyang magagamit upang ipakita ang kawalan ng layunin.
* Suriin ang posibilidad ng kawalan ng layuning pagtatanggol batay sa batas ng Pilipinas at mga kaugnay na kaso.
* Galugarin ang mga alternatibong estratehiya, tulad ng plea bargaining o pakikipagtulungan sa mga awtoridad, depende sa sitwasyon.
**Mga Karagdagang Pagsasaalang-alang:**
* **Katangian ng Platform:** Ang online na platform na ginamit para sa pagpapakalat ay maaaring may kaugnayan. Ang pagbabahagi ng nilalaman sa isang personal na pahina ng social media kumpara sa isang kilalang extremist forum ay maaaring makaimpluwensya sa pananaw ng hukuman sa layunin.
* **Pakikipagtulungan sa Mga Awtoridad:** Ang pagpapakita ng kahandaang makipagtulungan sa mga awtoridad sa pamamagitan ng pag-alis ng nilalaman, pagtukoy sa pinagmulan ng maling impormasyon (kung naaangkop), at pagtuligsa sa terorismo ay maaaring tingnan nang mabuti.
**Disclaimer:** Ito ay isang pangkalahatang pangkalahatang-ideya. Ang tagumpay ng isang kakulangan ng layunin ng pagtatanggol sa isang kaso ng terorismo ay nakadepende nang husto sa mga partikular na detalye at sa ebidensyang ipinakita. Ang pagkonsulta sa isang abogado ay lubos na inirerekomenda para sa isang mas komprehensibong pagsusuri at pinasadyang legal na payo.</v>
      </c>
      <c r="F2362" s="2">
        <f t="shared" si="1"/>
        <v>0</v>
      </c>
      <c r="G2362" s="2"/>
      <c r="H2362" s="2"/>
      <c r="I2362" s="2"/>
      <c r="J2362" s="2"/>
      <c r="K2362" s="2"/>
      <c r="L2362" s="2"/>
      <c r="M2362" s="2"/>
      <c r="N2362" s="2"/>
      <c r="O2362" s="2"/>
      <c r="P2362" s="2"/>
      <c r="Q2362" s="2"/>
      <c r="R2362" s="2"/>
      <c r="S2362" s="2"/>
      <c r="T2362" s="2"/>
      <c r="U2362" s="2"/>
      <c r="V2362" s="2"/>
      <c r="W2362" s="2"/>
      <c r="X2362" s="2"/>
      <c r="Y2362" s="2"/>
      <c r="Z2362" s="2"/>
      <c r="AA2362" s="2"/>
    </row>
    <row r="2363">
      <c r="A2363" s="1" t="s">
        <v>5490</v>
      </c>
      <c r="B2363" s="1" t="s">
        <v>5691</v>
      </c>
      <c r="C2363" s="3" t="s">
        <v>5692</v>
      </c>
      <c r="D2363" s="2" t="str">
        <f>IFERROR(__xludf.DUMMYFUNCTION("GOOGLETRANSLATE(B2363, ""en"", ""TL"")"),"Sa panahon ng pagsisiyasat, nakakita ka ng ebidensya ng mga indibidwal na nagpaplano ng mga aktibidad ng terorista sa loob ng isang online gaming community. Anong mga legal na hakbang ang maaaring gawin upang maiwasan ang kanilang mga aktibidad sa loob ng"&amp;" komunidad ng paglalaro?")</f>
        <v>Sa panahon ng pagsisiyasat, nakakita ka ng ebidensya ng mga indibidwal na nagpaplano ng mga aktibidad ng terorista sa loob ng isang online gaming community. Anong mga legal na hakbang ang maaaring gawin upang maiwasan ang kanilang mga aktibidad sa loob ng komunidad ng paglalaro?</v>
      </c>
      <c r="E2363" s="2" t="str">
        <f>IFERROR(__xludf.DUMMYFUNCTION("GOOGLETRANSLATE(C2363, ""en"", ""TL"")"),"Narito ang ilang legal na hakbang na maaaring gawin upang maiwasan ang mga aktibidad ng terorista sa loob ng isang online gaming community batay sa ebidensyang nakita sa panahon ng imbestigasyon sa Pilipinas:
**Mga Pag-iimbestiga:**
* **Kilalanin at I-tar"&amp;"get ang mga Indibidwal:** Suriin ang ebidensya upang matukoy ang mga partikular na indibidwal na kasangkot sa pagpaplano ng mga aktibidad ng terorista. Maaaring kabilang dito ang mga username, IP address, chat log, o voice recording.
* **Suriin ang Antas "&amp;"ng Banta:** Tayahin ang kalubhaan ng pagbabanta batay sa ebidensya. Tinatalakay lang ba nila ang mga ideya, aktibong nagpaplano ng pag-atake, o sinusubukang mag-recruit ng iba?
**Mga Legal na Panukala:**
* **Pag-uulat:** * **Republic Act No. 11479 (Anti-T"&amp;"errorism Act of 2020):** * Seksyon 19. Ang Obligasyon na Mag-ulat ay nangangailangan ng pag-uulat ng mga natuklasan sa tagapagpatupad ng batas kung may matukoy na mapagkakatiwalaang banta.
* Kung ang pagsisiyasat ay nagpapakita ng ebidensya ng kriminal na"&amp;" aktibidad na lampas sa pagpaplano (hal., pagpopondo, pagkuha ng mga armas), ang mga karagdagang kaso ay maaaring isulong sa ilalim ng Anti-Terrorism Act o ng Revised Penal Code.
* **Pag-iingat ng Ebidensya:** Tiyaking lahat ng ebidensyang nakolekta sa pa"&amp;"nahon ng pagsisiyasat ay sumusunod sa wastong mga legal na pamamaraan para sa pagtanggap sa korte, kung kinakailangan. Maaaring may kasama itong pakikipagtulungan sa mga internet service provider (ISP) upang mapanatili ang mga log ng chat o impormasyon ng"&amp;" account.
**Pagtutulungan sa Mga Platform ng Paglalaro:**
* **Mga Gumagamit na Nag-uulat:** Iulat ang mga natukoy na user sa pangkat ng seguridad ng online gaming platform. Karamihan sa mga platform ay may mga mekanismo para sa pag-uulat ng kahina-hinalan"&amp;"g aktibidad o mga user na pinaghihinalaang lumalabag sa kanilang mga tuntunin ng serbisyo, na kadalasang nagbabawal sa pagsulong ng karahasan o terorismo.
* **Platform Security Measures:** Makipagtulungan sa gaming platform upang tuklasin ang mga paraan u"&amp;"pang mapahusay ang mga hakbang sa seguridad sa loob ng online na komunidad. Maaaring kabilang dito ang:
* Pinahusay na mga pamamaraan ng pagkilala at pag-verify ng user.
* Mga tool sa pag-moderate ng nilalaman upang matukoy at ma-flag ang potensyal na ext"&amp;"remist na nilalaman.
* Mga mekanismo ng pag-uulat na madaling gamitin at hinihikayat ang responsableng pag-uulat ng kahina-hinalang aktibidad sa loob ng laro.
**Mga Karagdagang Pagsasaalang-alang:**
* **Freedom of Speech:** Bagama't ang pagpigil sa terori"&amp;"smo ay mahalaga, ang kalayaan sa pagsasalita ay pinoprotektahan din sa ilalim ng Konstitusyon ng Pilipinas (Artikulo III, Seksyon 4). Ang layunin ay i-target ang mga indibidwal na nagpaplano ng karahasan, hindi mga lehitimong talakayan o pagpapahayag ng o"&amp;"pinyon.
* **International Cooperation:** Kung ang online gaming platform o mga user na kasangkot ay nasa labas ng Pilipinas, maaaring kailanganin ang internasyonal na pakikipagtulungan sa mga ahensyang nagpapatupad ng batas.
**Disclaimer:** Ito ay isang p"&amp;"angkalahatang pangkalahatang-ideya. Ang mga partikular na legal na hakbang na naaangkop at ang pagiging epektibo ng mga ito ay depende sa likas na katangian ng ebidensya, ang online gaming platform na kasangkot, at ang kanilang mga tuntunin ng serbisyo. A"&amp;"ng pagkonsulta sa isang abogado na dalubhasa sa cybercrime at batas sa pambansang seguridad ay maaaring magbigay ng mas partikular na patnubay sa legal na balangkas na naaangkop at ang pinakaepektibong paraan ng pagkilos.")</f>
        <v>Narito ang ilang legal na hakbang na maaaring gawin upang maiwasan ang mga aktibidad ng terorista sa loob ng isang online gaming community batay sa ebidensyang nakita sa panahon ng imbestigasyon sa Pilipinas:
**Mga Pag-iimbestiga:**
* **Kilalanin at I-target ang mga Indibidwal:** Suriin ang ebidensya upang matukoy ang mga partikular na indibidwal na kasangkot sa pagpaplano ng mga aktibidad ng terorista. Maaaring kabilang dito ang mga username, IP address, chat log, o voice recording.
* **Suriin ang Antas ng Banta:** Tayahin ang kalubhaan ng pagbabanta batay sa ebidensya. Tinatalakay lang ba nila ang mga ideya, aktibong nagpaplano ng pag-atake, o sinusubukang mag-recruit ng iba?
**Mga Legal na Panukala:**
* **Pag-uulat:** * **Republic Act No. 11479 (Anti-Terrorism Act of 2020):** * Seksyon 19. Ang Obligasyon na Mag-ulat ay nangangailangan ng pag-uulat ng mga natuklasan sa tagapagpatupad ng batas kung may matukoy na mapagkakatiwalaang banta.
* Kung ang pagsisiyasat ay nagpapakita ng ebidensya ng kriminal na aktibidad na lampas sa pagpaplano (hal., pagpopondo, pagkuha ng mga armas), ang mga karagdagang kaso ay maaaring isulong sa ilalim ng Anti-Terrorism Act o ng Revised Penal Code.
* **Pag-iingat ng Ebidensya:** Tiyaking lahat ng ebidensyang nakolekta sa panahon ng pagsisiyasat ay sumusunod sa wastong mga legal na pamamaraan para sa pagtanggap sa korte, kung kinakailangan. Maaaring may kasama itong pakikipagtulungan sa mga internet service provider (ISP) upang mapanatili ang mga log ng chat o impormasyon ng account.
**Pagtutulungan sa Mga Platform ng Paglalaro:**
* **Mga Gumagamit na Nag-uulat:** Iulat ang mga natukoy na user sa pangkat ng seguridad ng online gaming platform. Karamihan sa mga platform ay may mga mekanismo para sa pag-uulat ng kahina-hinalang aktibidad o mga user na pinaghihinalaang lumalabag sa kanilang mga tuntunin ng serbisyo, na kadalasang nagbabawal sa pagsulong ng karahasan o terorismo.
* **Platform Security Measures:** Makipagtulungan sa gaming platform upang tuklasin ang mga paraan upang mapahusay ang mga hakbang sa seguridad sa loob ng online na komunidad. Maaaring kabilang dito ang:
* Pinahusay na mga pamamaraan ng pagkilala at pag-verify ng user.
* Mga tool sa pag-moderate ng nilalaman upang matukoy at ma-flag ang potensyal na extremist na nilalaman.
* Mga mekanismo ng pag-uulat na madaling gamitin at hinihikayat ang responsableng pag-uulat ng kahina-hinalang aktibidad sa loob ng laro.
**Mga Karagdagang Pagsasaalang-alang:**
* **Freedom of Speech:** Bagama't ang pagpigil sa terorismo ay mahalaga, ang kalayaan sa pagsasalita ay pinoprotektahan din sa ilalim ng Konstitusyon ng Pilipinas (Artikulo III, Seksyon 4). Ang layunin ay i-target ang mga indibidwal na nagpaplano ng karahasan, hindi mga lehitimong talakayan o pagpapahayag ng opinyon.
* **International Cooperation:** Kung ang online gaming platform o mga user na kasangkot ay nasa labas ng Pilipinas, maaaring kailanganin ang internasyonal na pakikipagtulungan sa mga ahensyang nagpapatupad ng batas.
**Disclaimer:** Ito ay isang pangkalahatang pangkalahatang-ideya. Ang mga partikular na legal na hakbang na naaangkop at ang pagiging epektibo ng mga ito ay depende sa likas na katangian ng ebidensya, ang online gaming platform na kasangkot, at ang kanilang mga tuntunin ng serbisyo. Ang pagkonsulta sa isang abogado na dalubhasa sa cybercrime at batas sa pambansang seguridad ay maaaring magbigay ng mas partikular na patnubay sa legal na balangkas na naaangkop at ang pinakaepektibong paraan ng pagkilos.</v>
      </c>
      <c r="F2363" s="2">
        <f t="shared" si="1"/>
        <v>0</v>
      </c>
      <c r="G2363" s="2"/>
      <c r="H2363" s="2"/>
      <c r="I2363" s="2"/>
      <c r="J2363" s="2"/>
      <c r="K2363" s="2"/>
      <c r="L2363" s="2"/>
      <c r="M2363" s="2"/>
      <c r="N2363" s="2"/>
      <c r="O2363" s="2"/>
      <c r="P2363" s="2"/>
      <c r="Q2363" s="2"/>
      <c r="R2363" s="2"/>
      <c r="S2363" s="2"/>
      <c r="T2363" s="2"/>
      <c r="U2363" s="2"/>
      <c r="V2363" s="2"/>
      <c r="W2363" s="2"/>
      <c r="X2363" s="2"/>
      <c r="Y2363" s="2"/>
      <c r="Z2363" s="2"/>
      <c r="AA2363" s="2"/>
    </row>
    <row r="2364">
      <c r="A2364" s="3" t="s">
        <v>5693</v>
      </c>
      <c r="B2364" s="3" t="s">
        <v>5694</v>
      </c>
      <c r="C2364" s="3" t="s">
        <v>5695</v>
      </c>
      <c r="D2364" s="2" t="str">
        <f>IFERROR(__xludf.DUMMYFUNCTION("GOOGLETRANSLATE(B2364, ""en"", ""TL"")"),"Sa isang senaryo kung saan ang isang grupo ng mga aktibista ay nag-organisa ng isang protesta na humahantong sa pinsala sa ari-arian, anong mga legal na aksyon ang maaaring gawin laban sa kanila sa ilalim ng batas ng Pilipinas?")</f>
        <v>Sa isang senaryo kung saan ang isang grupo ng mga aktibista ay nag-organisa ng isang protesta na humahantong sa pinsala sa ari-arian, anong mga legal na aksyon ang maaaring gawin laban sa kanila sa ilalim ng batas ng Pilipinas?</v>
      </c>
      <c r="E2364" s="2" t="str">
        <f>IFERROR(__xludf.DUMMYFUNCTION("GOOGLETRANSLATE(C2364, ""en"", ""TL"")"),"Narito ang isang breakdown ng mga potensyal na legal na aksyon sa Pilipinas laban sa mga aktibista na nagdulot ng pinsala sa ari-arian sa panahon ng isang protesta:
**Mga Sibil laban sa Kriminal na Pagsingil:**
* Ang (mga) may-ari ng ari-arian ay maaaring"&amp;" potensyal na ituloy ang parehong sibil at kriminal na mga kaso laban sa mga indibidwal na naging sanhi ng pinsala. **Sibil na Singil:**
* **Civil Lawsuit:** Ang may-ari ng ari-arian ay maaaring magsampa ng isang sibil na kaso para humingi ng kabayaran pa"&amp;"ra sa mga pinsalang dulot ng protesta. Ito ay kasangkot sa pagpapatunay:
* Pagmamay-ari ng ari-arian.
* Naganap ang pinsala sa panahon ng protesta.
* Ang mga partikular na indibidwal na kasangkot ang nagdulot ng pinsala (maaaring maging isyu ang pagkakaki"&amp;"lanlan sa malalaking protesta).
**Mga Pagsingil sa Kriminal:**
* Depende sa kalubhaan at uri ng pinsala, maaaring naaangkop ang mga sumusunod na kasong kriminal:
* **Destructive Trespass (Revised Penal Code, Article 358):** Pagpasok sa isang property nang"&amp;" walang pahintulot at nagdudulot ng pinsala.
* **Malicious Mischief (Binagong Kodigo Penal, Artikulo 355):** Kusang sinisira ang ari-arian.
* **Vandalism (Special Penal Code, Act No. 3815, Article 143):** Paninira ng pribadong ari-arian na may layuning in"&amp;"sultuhin ang may-ari o ang publiko. (Maaaring naaangkop ito kung ang pinsala ay inilaan upang magpadala ng isang partikular na mensahe)
**Mga Salik na Nakakaapekto sa Mga Pagsingil:**
* **Kalubhaan ng Pinsala:** Ang lawak ng pinsala (mga maliliit na gasga"&amp;"s kumpara sa malaking pagkasira) ay makakaimpluwensya sa uri ng mga pagsingil na hinahabol.
* **Intentionality:** Kung ang pinsala ay sinadya (vandalism) o resulta ng hindi sinasadyang pagkilos sa panahon ng protesta (malicious mischief) ay maaaring makaa"&amp;"pekto sa mga singil.
* **Pagkilala sa Mga Nagkasala:** Ang pagtukoy sa mga partikular na indibidwal na responsable sa pinsala ay maaaring maging mahirap sa malalaking protesta. Maaaring maging mahalaga ang footage ng video, mga testimonya ng saksi, o mga "&amp;"pagtatapat.
**Mga Depensa para sa mga Aktibista:**
* **Karapatan sa Mapayapang Asembleya:** Ang Konstitusyon ng Pilipinas (Artikulo III, Seksyon 4) ay ginagarantiyahan ang karapatan sa mapayapang pagpupulong. Maaaring magtaltalan ang mga aktibista na mapa"&amp;"yapa ang kanilang protesta, at ang anumang pinsala ay hindi sinasadya o resulta ng mga aksyon ng pulisya.
* **Pagtatanggol sa Sarili:** Kung ang pinsala sa ari-arian ay nangyari sa panahon ng mga sagupaan sa mga pulis o mga tauhan ng seguridad, ang mga ak"&amp;"tibista ay maaaring mag-claim ng pagtatanggol sa sarili kung natatakot sila para sa kanilang kaligtasan.
**Rekomendasyon:**
* **Maaaring makinabang ang may-ari ng ari-arian at ang mga aktibista sa pagkonsulta sa isang abogado.** * Maaaring tuklasin ng may"&amp;"-ari ng ari-arian ang mga legal na opsyon para sa pagsasampa ng mga kasong sibil at potensyal na paghahabol ng mga kasong kriminal. * Ang mga aktibista ay maaaring makatanggap ng legal na patnubay sa mga potensyal na depensa at representasyon sa korte.
**"&amp;"Mga Karagdagang Pagsasaalang-alang:**
* **Mga Pahintulot sa Pagprotesta:** * Bagama't hindi palaging kinakailangan, ang pagkuha ng permit para sa malalaking protesta ay maaaring makatulong na pamahalaan ang mga ito nang mas epektibo at potensyal na mabawa"&amp;"san ang panganib ng pinsala sa ari-arian.
* Kung nakakuha ng permit, ang mga tuntunin ng permit at pagsunod sa mga ito ay maaaring may kaugnayan sa anumang legal na paglilitis.
* **Mga Pagkilos ng Pulis:** * Ang papel ng pulisya sa pamamahala ng protesta "&amp;"at ang kanilang mga aksyon sa mga aktibista ay maaaring may kaugnayan sa ilang mga kaso, lalo na kung ang pagtatanggol sa sarili ay inaangkin.
**Disclaimer:** Ito ay isang pangkalahatang pangkalahatang-ideya. Ang mga partikular na legal na aksyon at ang t"&amp;"agumpay ng mga ito ay nakasalalay sa mga detalye ng sitwasyon, ang ebidensyang makukuha, at ang mga partikular na kaso na hinahabol. Ang pagkonsulta sa isang abogado ay lubos na inirerekomenda para sa isang komprehensibong pagsusuri at pinasadyang legal n"&amp;"a payo.")</f>
        <v>Narito ang isang breakdown ng mga potensyal na legal na aksyon sa Pilipinas laban sa mga aktibista na nagdulot ng pinsala sa ari-arian sa panahon ng isang protesta:
**Mga Sibil laban sa Kriminal na Pagsingil:**
* Ang (mga) may-ari ng ari-arian ay maaaring potensyal na ituloy ang parehong sibil at kriminal na mga kaso laban sa mga indibidwal na naging sanhi ng pinsala. **Sibil na Singil:**
* **Civil Lawsuit:** Ang may-ari ng ari-arian ay maaaring magsampa ng isang sibil na kaso para humingi ng kabayaran para sa mga pinsalang dulot ng protesta. Ito ay kasangkot sa pagpapatunay:
* Pagmamay-ari ng ari-arian.
* Naganap ang pinsala sa panahon ng protesta.
* Ang mga partikular na indibidwal na kasangkot ang nagdulot ng pinsala (maaaring maging isyu ang pagkakakilanlan sa malalaking protesta).
**Mga Pagsingil sa Kriminal:**
* Depende sa kalubhaan at uri ng pinsala, maaaring naaangkop ang mga sumusunod na kasong kriminal:
* **Destructive Trespass (Revised Penal Code, Article 358):** Pagpasok sa isang property nang walang pahintulot at nagdudulot ng pinsala.
* **Malicious Mischief (Binagong Kodigo Penal, Artikulo 355):** Kusang sinisira ang ari-arian.
* **Vandalism (Special Penal Code, Act No. 3815, Article 143):** Paninira ng pribadong ari-arian na may layuning insultuhin ang may-ari o ang publiko. (Maaaring naaangkop ito kung ang pinsala ay inilaan upang magpadala ng isang partikular na mensahe)
**Mga Salik na Nakakaapekto sa Mga Pagsingil:**
* **Kalubhaan ng Pinsala:** Ang lawak ng pinsala (mga maliliit na gasgas kumpara sa malaking pagkasira) ay makakaimpluwensya sa uri ng mga pagsingil na hinahabol.
* **Intentionality:** Kung ang pinsala ay sinadya (vandalism) o resulta ng hindi sinasadyang pagkilos sa panahon ng protesta (malicious mischief) ay maaaring makaapekto sa mga singil.
* **Pagkilala sa Mga Nagkasala:** Ang pagtukoy sa mga partikular na indibidwal na responsable sa pinsala ay maaaring maging mahirap sa malalaking protesta. Maaaring maging mahalaga ang footage ng video, mga testimonya ng saksi, o mga pagtatapat.
**Mga Depensa para sa mga Aktibista:**
* **Karapatan sa Mapayapang Asembleya:** Ang Konstitusyon ng Pilipinas (Artikulo III, Seksyon 4) ay ginagarantiyahan ang karapatan sa mapayapang pagpupulong. Maaaring magtaltalan ang mga aktibista na mapayapa ang kanilang protesta, at ang anumang pinsala ay hindi sinasadya o resulta ng mga aksyon ng pulisya.
* **Pagtatanggol sa Sarili:** Kung ang pinsala sa ari-arian ay nangyari sa panahon ng mga sagupaan sa mga pulis o mga tauhan ng seguridad, ang mga aktibista ay maaaring mag-claim ng pagtatanggol sa sarili kung natatakot sila para sa kanilang kaligtasan.
**Rekomendasyon:**
* **Maaaring makinabang ang may-ari ng ari-arian at ang mga aktibista sa pagkonsulta sa isang abogado.** * Maaaring tuklasin ng may-ari ng ari-arian ang mga legal na opsyon para sa pagsasampa ng mga kasong sibil at potensyal na paghahabol ng mga kasong kriminal. * Ang mga aktibista ay maaaring makatanggap ng legal na patnubay sa mga potensyal na depensa at representasyon sa korte.
**Mga Karagdagang Pagsasaalang-alang:**
* **Mga Pahintulot sa Pagprotesta:** * Bagama't hindi palaging kinakailangan, ang pagkuha ng permit para sa malalaking protesta ay maaaring makatulong na pamahalaan ang mga ito nang mas epektibo at potensyal na mabawasan ang panganib ng pinsala sa ari-arian.
* Kung nakakuha ng permit, ang mga tuntunin ng permit at pagsunod sa mga ito ay maaaring may kaugnayan sa anumang legal na paglilitis.
* **Mga Pagkilos ng Pulis:** * Ang papel ng pulisya sa pamamahala ng protesta at ang kanilang mga aksyon sa mga aktibista ay maaaring may kaugnayan sa ilang mga kaso, lalo na kung ang pagtatanggol sa sarili ay inaangkin.
**Disclaimer:** Ito ay isang pangkalahatang pangkalahatang-ideya. Ang mga partikular na legal na aksyon at ang tagumpay ng mga ito ay nakasalalay sa mga detalye ng sitwasyon, ang ebidensyang makukuha, at ang mga partikular na kaso na hinahabol. Ang pagkonsulta sa isang abogado ay lubos na inirerekomenda para sa isang komprehensibong pagsusuri at pinasadyang legal na payo.</v>
      </c>
      <c r="F2364" s="2">
        <f t="shared" si="1"/>
        <v>0</v>
      </c>
      <c r="G2364" s="2"/>
      <c r="H2364" s="2"/>
      <c r="I2364" s="2"/>
      <c r="J2364" s="2"/>
      <c r="K2364" s="2"/>
      <c r="L2364" s="2"/>
      <c r="M2364" s="2"/>
      <c r="N2364" s="2"/>
      <c r="O2364" s="2"/>
      <c r="P2364" s="2"/>
      <c r="Q2364" s="2"/>
      <c r="R2364" s="2"/>
      <c r="S2364" s="2"/>
      <c r="T2364" s="2"/>
      <c r="U2364" s="2"/>
      <c r="V2364" s="2"/>
      <c r="W2364" s="2"/>
      <c r="X2364" s="2"/>
      <c r="Y2364" s="2"/>
      <c r="Z2364" s="2"/>
      <c r="AA2364" s="2"/>
    </row>
    <row r="2365">
      <c r="A2365" s="3" t="s">
        <v>5693</v>
      </c>
      <c r="B2365" s="1" t="s">
        <v>5696</v>
      </c>
      <c r="C2365" s="3" t="s">
        <v>5697</v>
      </c>
      <c r="D2365" s="2" t="str">
        <f>IFERROR(__xludf.DUMMYFUNCTION("GOOGLETRANSLATE(B2365, ""en"", ""TL"")"),"Nasasaksihan mo ang isang pagkilos ng karahasan na nagta-target sa isang politiko sa panahon ng isang pampublikong kaganapan. Anong mga agarang legal na aksyon ang maaaring gawin upang matugunan ang sitwasyon?")</f>
        <v>Nasasaksihan mo ang isang pagkilos ng karahasan na nagta-target sa isang politiko sa panahon ng isang pampublikong kaganapan. Anong mga agarang legal na aksyon ang maaaring gawin upang matugunan ang sitwasyon?</v>
      </c>
      <c r="E2365" s="2" t="str">
        <f>IFERROR(__xludf.DUMMYFUNCTION("GOOGLETRANSLATE(C2365, ""en"", ""TL"")"),"Narito ang ilang agarang legal na aksyon na maaaring gawin upang matugunan ang isang pagkilos ng karahasan na nagta-target sa isang politiko sa panahon ng isang pampublikong kaganapan sa Pilipinas:
**Priyoridad ang Kaligtasan:**
* **Siguraduhin ang iyong "&amp;"sariling kaligtasan at ang kaligtasan ng iba sa paligid mo.** Suriin ang sitwasyon at lumipat sa isang ligtas na lokasyon kung maaari.
**Tumawag para sa Tulong:**
* **I-dial ang 117 (PNP Emergency Hotline) o lumapit kaagad sa pinakamalapit na pulis.** Iul"&amp;"at ang pagkilos ng karahasan at magbigay ng mga detalye tungkol sa umaatake, biktima, at iyong lokasyon.
**I-secure ang Eksena:**
* **Kung ligtas na gawin ito, at mayroon kang tamang pagsasanay, maaari kang tumulong sa pag-secure ng eksena.** Maaaring kab"&amp;"ilang dito ang pagtulong na pigilan ang umaatake (kung talagang kinakailangan at ligtas) o pagpigil sa iba na makapasok kaagad. paligid. Gayunpaman, unahin ang iyong kaligtasan at iwanan ito sa mga tauhan ng seguridad kung magagamit.
**Palagaan ang Ebiden"&amp;"sya:**
* **Kung maaari, at nang hindi inilalagay ang iyong sarili sa panganib, subukang idokumento ang eksena.** Maaaring kabilang dito ang pagkuha ng mga larawan o video ng umaatake, biktima, at ang resulta ng karahasan. Gayunpaman, unahin ang iyong kali"&amp;"gtasan at iwasang makialam sa mga emergency responder.
**Testimonya ng Saksi:**
* **Kung nasaksihan mo ang pag-atake, makipagtulungan sa pagpapatupad ng batas sa pamamagitan ng pagbibigay ng malinaw at tumpak na salaysay ng iyong nakita.** **Mga Karagdaga"&amp;"ng Pagsasaalang-alang:**
* **Atensyon sa Medikal:** Kung ang politiko o sinumang iba pa ay nasugatan, tiyaking makakatanggap sila ng medikal na atensyon sa lalong madaling panahon. * **Legal na Representasyon:** Maaaring makinabang ang political figure mu"&amp;"la sa pagkonsulta sa isang abogado upang tuklasin ang mga legal na opsyon, gaya ng pagsampa ng mga kaso laban sa umaatake.
**Mahahalagang Paalala:**
* **Huwag subukang hulihin ang mismong umaatake.** Ipaubaya iyon sa mga sinanay na tauhan ng pagpapatupad "&amp;"ng batas.
* **Maging kamalayan sa iyong paligid at manatiling kalmado.** * **Sundin ang mga tagubilin mula sa mga opisyal ng pagpapatupad ng batas.**
**Disclaimer:** Ito ay isang pangkalahatang pangkalahatang-ideya. Ang mga partikular na legal na aksyon a"&amp;"t ang kanilang aplikasyon ay depende sa mga detalye ng sitwasyon at sa kalubhaan ng karahasan. Ang pagkonsulta sa isang abogado ay maaaring magbigay ng mas tiyak na patnubay depende sa partikular na mga pangyayari.")</f>
        <v>Narito ang ilang agarang legal na aksyon na maaaring gawin upang matugunan ang isang pagkilos ng karahasan na nagta-target sa isang politiko sa panahon ng isang pampublikong kaganapan sa Pilipinas:
**Priyoridad ang Kaligtasan:**
* **Siguraduhin ang iyong sariling kaligtasan at ang kaligtasan ng iba sa paligid mo.** Suriin ang sitwasyon at lumipat sa isang ligtas na lokasyon kung maaari.
**Tumawag para sa Tulong:**
* **I-dial ang 117 (PNP Emergency Hotline) o lumapit kaagad sa pinakamalapit na pulis.** Iulat ang pagkilos ng karahasan at magbigay ng mga detalye tungkol sa umaatake, biktima, at iyong lokasyon.
**I-secure ang Eksena:**
* **Kung ligtas na gawin ito, at mayroon kang tamang pagsasanay, maaari kang tumulong sa pag-secure ng eksena.** Maaaring kabilang dito ang pagtulong na pigilan ang umaatake (kung talagang kinakailangan at ligtas) o pagpigil sa iba na makapasok kaagad. paligid. Gayunpaman, unahin ang iyong kaligtasan at iwanan ito sa mga tauhan ng seguridad kung magagamit.
**Palagaan ang Ebidensya:**
* **Kung maaari, at nang hindi inilalagay ang iyong sarili sa panganib, subukang idokumento ang eksena.** Maaaring kabilang dito ang pagkuha ng mga larawan o video ng umaatake, biktima, at ang resulta ng karahasan. Gayunpaman, unahin ang iyong kaligtasan at iwasang makialam sa mga emergency responder.
**Testimonya ng Saksi:**
* **Kung nasaksihan mo ang pag-atake, makipagtulungan sa pagpapatupad ng batas sa pamamagitan ng pagbibigay ng malinaw at tumpak na salaysay ng iyong nakita.** **Mga Karagdagang Pagsasaalang-alang:**
* **Atensyon sa Medikal:** Kung ang politiko o sinumang iba pa ay nasugatan, tiyaking makakatanggap sila ng medikal na atensyon sa lalong madaling panahon. * **Legal na Representasyon:** Maaaring makinabang ang political figure mula sa pagkonsulta sa isang abogado upang tuklasin ang mga legal na opsyon, gaya ng pagsampa ng mga kaso laban sa umaatake.
**Mahahalagang Paalala:**
* **Huwag subukang hulihin ang mismong umaatake.** Ipaubaya iyon sa mga sinanay na tauhan ng pagpapatupad ng batas.
* **Maging kamalayan sa iyong paligid at manatiling kalmado.** * **Sundin ang mga tagubilin mula sa mga opisyal ng pagpapatupad ng batas.**
**Disclaimer:** Ito ay isang pangkalahatang pangkalahatang-ideya. Ang mga partikular na legal na aksyon at ang kanilang aplikasyon ay depende sa mga detalye ng sitwasyon at sa kalubhaan ng karahasan. Ang pagkonsulta sa isang abogado ay maaaring magbigay ng mas tiyak na patnubay depende sa partikular na mga pangyayari.</v>
      </c>
      <c r="F2365" s="2">
        <f t="shared" si="1"/>
        <v>0</v>
      </c>
      <c r="G2365" s="2"/>
      <c r="H2365" s="2"/>
      <c r="I2365" s="2"/>
      <c r="J2365" s="2"/>
      <c r="K2365" s="2"/>
      <c r="L2365" s="2"/>
      <c r="M2365" s="2"/>
      <c r="N2365" s="2"/>
      <c r="O2365" s="2"/>
      <c r="P2365" s="2"/>
      <c r="Q2365" s="2"/>
      <c r="R2365" s="2"/>
      <c r="S2365" s="2"/>
      <c r="T2365" s="2"/>
      <c r="U2365" s="2"/>
      <c r="V2365" s="2"/>
      <c r="W2365" s="2"/>
      <c r="X2365" s="2"/>
      <c r="Y2365" s="2"/>
      <c r="Z2365" s="2"/>
      <c r="AA2365" s="2"/>
    </row>
    <row r="2366">
      <c r="A2366" s="3" t="s">
        <v>5693</v>
      </c>
      <c r="B2366" s="1" t="s">
        <v>5698</v>
      </c>
      <c r="C2366" s="3" t="s">
        <v>5699</v>
      </c>
      <c r="D2366" s="2" t="str">
        <f>IFERROR(__xludf.DUMMYFUNCTION("GOOGLETRANSLATE(B2366, ""en"", ""TL"")"),"Ang isang aktibistang pulitikal ay nahaharap sa mga banta at panliligalig online. Anong mga legal na hakbang ang dapat gawin upang protektahan ang aktibista at panagutin ang mga may kasalanan?")</f>
        <v>Ang isang aktibistang pulitikal ay nahaharap sa mga banta at panliligalig online. Anong mga legal na hakbang ang dapat gawin upang protektahan ang aktibista at panagutin ang mga may kasalanan?</v>
      </c>
      <c r="E2366" s="2" t="str">
        <f>IFERROR(__xludf.DUMMYFUNCTION("GOOGLETRANSLATE(C2366, ""en"", ""TL"")"),"Narito ang ilang legal na hakbang na maaaring gawin ng isang aktibistang pulitikal na nahaharap sa online na pagbabanta at panliligalig sa Pilipinas para protektahan ang kanilang sarili at panagutin ang mga may kasalanan:
**Pagtitipon ng Ebidensya:**
* **"&amp;"Idokumento ang mga Banta:** * I-save ang mga screenshot o recording ng online na pagbabanta at panliligalig. * Isama ang mga timestamp at anumang impormasyon tungkol sa mga account ng mga salarin (mga username, ID).
* **Mag-ulat sa Platform:** Iulat ang m"&amp;"ga banta at panliligalig sa platform ng social media o online na serbisyo kung saan nangyari ang mga ito. Karamihan sa mga platform ay may mga mekanismo sa pag-uulat para sa cyberbullying at panliligalig.
**Mga Legal na Pagkilos:**
* **Cybercrime Complain"&amp;"t:** Isaalang-alang ang paghahain ng cybercrime complaint sa ilalim ng Republic Act No. 10175 o ang Cybercrime Prevention Act of 2012. Ang Batas na ito ay tumutukoy at nagpaparusa sa iba't ibang online na pagkakasala, kabilang ang:
* **Cyberbullying (Seks"&amp;"yon 4 c):** Anumang gawain na umaatake sa reputasyon ng isang tao, na nagdudulot ng pagkabalisa, takot, o kahihiyan.
* **Pagbabanta sa Karahasan (Seksyon 5):** Pagbabanta na magdulot ng pinsala sa isang tao o sa kanilang ari-arian. * **Pangliligalig (Seks"&amp;"yon 6):** Mga kilos na naglalayong mang-inis, abusuhin, o pilitin ang isang tao.
* **Reklamo sa Libel:** Kung ang mga online na banta ay may kasamang mapanirang-puri na mga pahayag na sumisira sa reputasyon ng aktibista, maaaring isaalang-alang ang isang "&amp;"reklamong libelo sa ilalim ng Binagong Kodigo Penal (Artikulo 355).
**Mga Panukala sa Proteksyon:**
* **Seguridad ng Account:** Suriin at palakasin ang mga setting ng seguridad ng account sa mga platform ng social media at iba pang mga online na account. "&amp;"Maaaring kabilang dito ang pagpapagana ng two-factor authentication at paggamit ng malalakas na password.
* **Mga Setting ng Privacy:** Ayusin ang mga setting ng privacy sa mga platform ng social media upang limitahan kung sino ang makakakita ng mga post "&amp;"at komento. * **Isaalang-alang ang isang Restraining Order:** Depende sa kalubhaan ng mga pagbabanta at ang potensyal na panganib sa kaligtasan, ang isang abogado ay maaaring magpayo sa posibilidad na humingi ng restraining order laban sa mga salarin.
**M"&amp;"ga Karagdagang Pagsasaalang-alang:**
* **Tulong sa Pagpapatupad ng Batas:** Iulat ang mga banta sa tagapagpatupad ng batas, lalo na kung may kinalaman ang mga ito sa totoong mundo na karahasan o stalking.
* **Network ng Suporta:** Palibutan ang iyong sari"&amp;"li ng isang sumusuportang network ng mga kaibigan, pamilya, at kasamahan. * **Suporta sa Kalusugan ng Pag-iisip:** Ang online na panliligalig ay maaaring makapinsala sa kagalingan ng pag-iisip. Pag-isipang humingi ng propesyonal na suporta sa kalusugan ng"&amp;" isip kung kinakailangan.
**Rekomendasyon:**
Ang pagkonsulta sa isang abogado na dalubhasa sa cybercrime at batas sa media ay mahalaga. Maaari silang:
* Suriin ang ebidensyang nakolekta at payuhan ang pinakaangkop na legal na paraan ng aksyon (reklamo sa "&amp;"cybercrime, libel suit, atbp.). * Tumulong sa pag-file ng mga legal na dokumento at pag-navigate sa legal na proseso.
* Gabayan ang aktibista sa mga online na hakbang sa kaligtasan at mga potensyal na diskarte sa pamamahala ng peligro.
**Disclaimer:** Ito"&amp;" ay isang pangkalahatang pangkalahatang-ideya. Ang mga partikular na legal na opsyon na magagamit at ang kanilang tagumpay ay nakasalalay sa mga detalye ng online na pagbabanta at panliligalig, ang ebidensyang nakolekta, at ang pagkakakilanlan ng mga sala"&amp;"rin. Ang pagkonsulta sa isang abogado ay lubos na inirerekomenda para sa isang komprehensibong pagsusuri at pinasadyang legal na payo.")</f>
        <v>Narito ang ilang legal na hakbang na maaaring gawin ng isang aktibistang pulitikal na nahaharap sa online na pagbabanta at panliligalig sa Pilipinas para protektahan ang kanilang sarili at panagutin ang mga may kasalanan:
**Pagtitipon ng Ebidensya:**
* **Idokumento ang mga Banta:** * I-save ang mga screenshot o recording ng online na pagbabanta at panliligalig. * Isama ang mga timestamp at anumang impormasyon tungkol sa mga account ng mga salarin (mga username, ID).
* **Mag-ulat sa Platform:** Iulat ang mga banta at panliligalig sa platform ng social media o online na serbisyo kung saan nangyari ang mga ito. Karamihan sa mga platform ay may mga mekanismo sa pag-uulat para sa cyberbullying at panliligalig.
**Mga Legal na Pagkilos:**
* **Cybercrime Complaint:** Isaalang-alang ang paghahain ng cybercrime complaint sa ilalim ng Republic Act No. 10175 o ang Cybercrime Prevention Act of 2012. Ang Batas na ito ay tumutukoy at nagpaparusa sa iba't ibang online na pagkakasala, kabilang ang:
* **Cyberbullying (Seksyon 4 c):** Anumang gawain na umaatake sa reputasyon ng isang tao, na nagdudulot ng pagkabalisa, takot, o kahihiyan.
* **Pagbabanta sa Karahasan (Seksyon 5):** Pagbabanta na magdulot ng pinsala sa isang tao o sa kanilang ari-arian. * **Pangliligalig (Seksyon 6):** Mga kilos na naglalayong mang-inis, abusuhin, o pilitin ang isang tao.
* **Reklamo sa Libel:** Kung ang mga online na banta ay may kasamang mapanirang-puri na mga pahayag na sumisira sa reputasyon ng aktibista, maaaring isaalang-alang ang isang reklamong libelo sa ilalim ng Binagong Kodigo Penal (Artikulo 355).
**Mga Panukala sa Proteksyon:**
* **Seguridad ng Account:** Suriin at palakasin ang mga setting ng seguridad ng account sa mga platform ng social media at iba pang mga online na account. Maaaring kabilang dito ang pagpapagana ng two-factor authentication at paggamit ng malalakas na password.
* **Mga Setting ng Privacy:** Ayusin ang mga setting ng privacy sa mga platform ng social media upang limitahan kung sino ang makakakita ng mga post at komento. * **Isaalang-alang ang isang Restraining Order:** Depende sa kalubhaan ng mga pagbabanta at ang potensyal na panganib sa kaligtasan, ang isang abogado ay maaaring magpayo sa posibilidad na humingi ng restraining order laban sa mga salarin.
**Mga Karagdagang Pagsasaalang-alang:**
* **Tulong sa Pagpapatupad ng Batas:** Iulat ang mga banta sa tagapagpatupad ng batas, lalo na kung may kinalaman ang mga ito sa totoong mundo na karahasan o stalking.
* **Network ng Suporta:** Palibutan ang iyong sarili ng isang sumusuportang network ng mga kaibigan, pamilya, at kasamahan. * **Suporta sa Kalusugan ng Pag-iisip:** Ang online na panliligalig ay maaaring makapinsala sa kagalingan ng pag-iisip. Pag-isipang humingi ng propesyonal na suporta sa kalusugan ng isip kung kinakailangan.
**Rekomendasyon:**
Ang pagkonsulta sa isang abogado na dalubhasa sa cybercrime at batas sa media ay mahalaga. Maaari silang:
* Suriin ang ebidensyang nakolekta at payuhan ang pinakaangkop na legal na paraan ng aksyon (reklamo sa cybercrime, libel suit, atbp.). * Tumulong sa pag-file ng mga legal na dokumento at pag-navigate sa legal na proseso.
* Gabayan ang aktibista sa mga online na hakbang sa kaligtasan at mga potensyal na diskarte sa pamamahala ng peligro.
**Disclaimer:** Ito ay isang pangkalahatang pangkalahatang-ideya. Ang mga partikular na legal na opsyon na magagamit at ang kanilang tagumpay ay nakasalalay sa mga detalye ng online na pagbabanta at panliligalig, ang ebidensyang nakolekta, at ang pagkakakilanlan ng mga salarin. Ang pagkonsulta sa isang abogado ay lubos na inirerekomenda para sa isang komprehensibong pagsusuri at pinasadyang legal na payo.</v>
      </c>
      <c r="F2366" s="2">
        <f t="shared" si="1"/>
        <v>0</v>
      </c>
      <c r="G2366" s="2"/>
      <c r="H2366" s="2"/>
      <c r="I2366" s="2"/>
      <c r="J2366" s="2"/>
      <c r="K2366" s="2"/>
      <c r="L2366" s="2"/>
      <c r="M2366" s="2"/>
      <c r="N2366" s="2"/>
      <c r="O2366" s="2"/>
      <c r="P2366" s="2"/>
      <c r="Q2366" s="2"/>
      <c r="R2366" s="2"/>
      <c r="S2366" s="2"/>
      <c r="T2366" s="2"/>
      <c r="U2366" s="2"/>
      <c r="V2366" s="2"/>
      <c r="W2366" s="2"/>
      <c r="X2366" s="2"/>
      <c r="Y2366" s="2"/>
      <c r="Z2366" s="2"/>
      <c r="AA2366" s="2"/>
    </row>
    <row r="2367">
      <c r="A2367" s="3" t="s">
        <v>5693</v>
      </c>
      <c r="B2367" s="1" t="s">
        <v>5700</v>
      </c>
      <c r="C2367" s="3" t="s">
        <v>5701</v>
      </c>
      <c r="D2367" s="2" t="str">
        <f>IFERROR(__xludf.DUMMYFUNCTION("GOOGLETRANSLATE(B2367, ""en"", ""TL"")"),"Sa panahon ng halalan, nakikita mo ang mga indibidwal na nananakot sa mga botante sa isang istasyon ng botohan. Anong mga legal na aksyon ang maaaring gawin upang matiyak ang isang patas at malinaw na proseso ng pagboto?")</f>
        <v>Sa panahon ng halalan, nakikita mo ang mga indibidwal na nananakot sa mga botante sa isang istasyon ng botohan. Anong mga legal na aksyon ang maaaring gawin upang matiyak ang isang patas at malinaw na proseso ng pagboto?</v>
      </c>
      <c r="E2367" s="2" t="str">
        <f>IFERROR(__xludf.DUMMYFUNCTION("GOOGLETRANSLATE(C2367, ""en"", ""TL"")"),"Mga Legal na Aksyon:
1. Iulat kaagad ang insidente sa mga opisyal ng Commission on Elections (COMELEC) na naroroon sa istasyon ng botohan.
2. Maghain ng pormal na reklamo sa COMELEC hinggil sa insidente ng pananakot sa botante, na nagbibigay ng anumang "&amp;"ebidensya o testimonya ng saksi.
3. Humiling ng tulong sa mga opisyal ng pagpapatupad ng batas na naroroon sa istasyon ng botohan upang mamagitan at tugunan ang pananakot sa botante.
4. Kung kinakailangan, humingi ng pansamantalang restraining order mul"&amp;"a sa naaangkop na hukuman upang maiwasan ang karagdagang pananakot ng botante sa istasyon ng botohan.
5. Hikayatin ang mga apektadong botante na idokumento ang insidente at magbigay ng mga pahayag upang suportahan ang reklamong inihain sa COMELEC.
6. Ma"&amp;"kipagtulungan sa mga organisasyong nagbabantay sa halalan o mga grupo ng lipunang sibil upang subaybayan at iulat ang mga pagkakataon ng pananakot sa mga botante sa panahon ng halalan.
7. Magtaguyod para sa mas mataas na mga hakbang sa seguridad sa istas"&amp;"yon ng botohan upang maiwasan ang mga hinaharap na pagkakataon ng pananakot sa botante.
8. Turuan ang mga botante tungkol sa kanilang mga karapatan at ang mga pamamaraan para sa pag-uulat ng pananakot sa botante upang matiyak ang isang patas at malinaw n"&amp;"a proseso ng pagboto.
9. Suportahan ang mga pagsisikap na usigin ang mga indibidwal na responsable sa pananakot sa botante sa ilalim ng mga kaugnay na batas at regulasyon sa halalan.
10. Itaas ang kamalayan tungkol sa kahalagahan ng malaya at patas na h"&amp;"alalan at ang mga kahihinatnan ng pakikialam sa proseso ng pagboto upang hadlangan ang mga hinaharap na pagkakataon ng pananakot sa botante.")</f>
        <v>Mga Legal na Aksyon:
1. Iulat kaagad ang insidente sa mga opisyal ng Commission on Elections (COMELEC) na naroroon sa istasyon ng botohan.
2. Maghain ng pormal na reklamo sa COMELEC hinggil sa insidente ng pananakot sa botante, na nagbibigay ng anumang ebidensya o testimonya ng saksi.
3. Humiling ng tulong sa mga opisyal ng pagpapatupad ng batas na naroroon sa istasyon ng botohan upang mamagitan at tugunan ang pananakot sa botante.
4. Kung kinakailangan, humingi ng pansamantalang restraining order mula sa naaangkop na hukuman upang maiwasan ang karagdagang pananakot ng botante sa istasyon ng botohan.
5. Hikayatin ang mga apektadong botante na idokumento ang insidente at magbigay ng mga pahayag upang suportahan ang reklamong inihain sa COMELEC.
6. Makipagtulungan sa mga organisasyong nagbabantay sa halalan o mga grupo ng lipunang sibil upang subaybayan at iulat ang mga pagkakataon ng pananakot sa mga botante sa panahon ng halalan.
7. Magtaguyod para sa mas mataas na mga hakbang sa seguridad sa istasyon ng botohan upang maiwasan ang mga hinaharap na pagkakataon ng pananakot sa botante.
8. Turuan ang mga botante tungkol sa kanilang mga karapatan at ang mga pamamaraan para sa pag-uulat ng pananakot sa botante upang matiyak ang isang patas at malinaw na proseso ng pagboto.
9. Suportahan ang mga pagsisikap na usigin ang mga indibidwal na responsable sa pananakot sa botante sa ilalim ng mga kaugnay na batas at regulasyon sa halalan.
10. Itaas ang kamalayan tungkol sa kahalagahan ng malaya at patas na halalan at ang mga kahihinatnan ng pakikialam sa proseso ng pagboto upang hadlangan ang mga hinaharap na pagkakataon ng pananakot sa botante.</v>
      </c>
      <c r="F2367" s="2">
        <f t="shared" si="1"/>
        <v>0</v>
      </c>
      <c r="G2367" s="2"/>
      <c r="H2367" s="2"/>
      <c r="I2367" s="2"/>
      <c r="J2367" s="2"/>
      <c r="K2367" s="2"/>
      <c r="L2367" s="2"/>
      <c r="M2367" s="2"/>
      <c r="N2367" s="2"/>
      <c r="O2367" s="2"/>
      <c r="P2367" s="2"/>
      <c r="Q2367" s="2"/>
      <c r="R2367" s="2"/>
      <c r="S2367" s="2"/>
      <c r="T2367" s="2"/>
      <c r="U2367" s="2"/>
      <c r="V2367" s="2"/>
      <c r="W2367" s="2"/>
      <c r="X2367" s="2"/>
      <c r="Y2367" s="2"/>
      <c r="Z2367" s="2"/>
      <c r="AA2367" s="2"/>
    </row>
    <row r="2368">
      <c r="A2368" s="3" t="s">
        <v>5693</v>
      </c>
      <c r="B2368" s="1" t="s">
        <v>5702</v>
      </c>
      <c r="C2368" s="3" t="s">
        <v>5703</v>
      </c>
      <c r="D2368" s="2" t="str">
        <f>IFERROR(__xludf.DUMMYFUNCTION("GOOGLETRANSLATE(B2368, ""en"", ""TL"")"),"Isang mamamahayag na nag-uulat ng mga isyu sa pulitika ay inaatake at nasugatan habang nagko-cover ng isang protesta. Anong mga legal na hakbang ang maaaring gawin upang matugunan ang pag-atake at protektahan ang mga mamamahayag sa mga katulad na sitwasyo"&amp;"n?")</f>
        <v>Isang mamamahayag na nag-uulat ng mga isyu sa pulitika ay inaatake at nasugatan habang nagko-cover ng isang protesta. Anong mga legal na hakbang ang maaaring gawin upang matugunan ang pag-atake at protektahan ang mga mamamahayag sa mga katulad na sitwasyon?</v>
      </c>
      <c r="E2368" s="2" t="str">
        <f>IFERROR(__xludf.DUMMYFUNCTION("GOOGLETRANSLATE(C2368, ""en"", ""TL"")"),"Narito ang ilang mga legal na hakbang na maaaring gawin upang matugunan ang pag-atake sa mamamahayag at protektahan ang mga mamamahayag sa mga katulad na sitwasyon:
**Para sa partikular na pag-atake:**
* **Maghain ng ulat sa pulisya:** Ito ang unang hakba"&amp;"ng upang masangkot ang pagpapatupad ng batas sa pagsisiyasat sa pag-atake at pagdakip sa (mga) salarin. * **Mga singil sa press:** Depende sa kalubhaan ng mga pinsala at sa lokal na sistemang legal, maaaring makapagsampa ng mga kaso ang mamamahayag laban "&amp;"sa umaatake. * **Sibil na demanda:** Maaari ding isaalang-alang ng mamamahayag ang pagsasampa ng kasong sibil laban sa umaatake upang mabawi ang kabayaran para sa mga gastusing medikal, nawalang sahod, at sakit at pagdurusa.
**Upang protektahan ang mga ma"&amp;"mamahayag sa pangkalahatan:**
* **Pagtataguyod para sa mas matibay na batas:** Ang mga organisasyon ng mamamahayag at mga tagapagtaguyod ng kalayaan sa pamamahayag ay maaaring mag-lobby para sa mga batas na partikular na nagpoprotekta sa mga mamamahayag m"&amp;"ula sa karahasan habang nag-uulat, lalo na sa panahon ng mga protesta. * **Imbistigahan at usigin ang mga pag-atake:** Kailangang masusing imbestigahan ng mga awtoridad ang mga pag-atake sa mga mamamahayag at panagutin ang mga may kasalanan. Nagpapadala i"&amp;"to ng mensahe na ang ganitong karahasan ay hindi papayagan.
* **Pagsasanay para sa pagpapatupad ng batas:** Ang mga opisyal ng pagpapatupad ng batas ay maaaring sanayin upang kilalanin ang mga mamamahayag at maunawaan ang kanilang tungkulin sa pagsakop sa"&amp;" mga protesta. Makakatulong ito upang mabawasan ang mga sitwasyon at maiwasan ang karahasan.
* **Mga protocol sa kaligtasan para sa mga mamamahayag:** Ang mga organisasyon ng balita ay maaaring bumuo at magpatupad ng mga protocol sa kaligtasan para sa mga"&amp;" mamamahayag na sumasaklaw sa mga potensyal na peligrosong kaganapan tulad ng mga protesta. Maaaring kabilang dito ang mga bagay tulad ng pagsusuot ng protective gear, pagkakaroon ng buddy system, at pagkakaroon ng malinaw na mga ruta ng pagtakas.
Ito ang"&amp;" ilan sa mga legal na hakbang na maaaring gawin. Mag-iiba-iba ang mga partikular na aksyon depende sa lokasyon at mga pangyayari ng pag-atake.
Narito ang ilang mga mapagkukunan na maaaring magbigay ng higit pang impormasyon:
* Committee to Protect Journal"&amp;"ists ([https://cpj.org/](https://cpj.org/))
* Reporters Without Borders ([https://rsf.org/en](https://rsf.org/en))")</f>
        <v>Narito ang ilang mga legal na hakbang na maaaring gawin upang matugunan ang pag-atake sa mamamahayag at protektahan ang mga mamamahayag sa mga katulad na sitwasyon:
**Para sa partikular na pag-atake:**
* **Maghain ng ulat sa pulisya:** Ito ang unang hakbang upang masangkot ang pagpapatupad ng batas sa pagsisiyasat sa pag-atake at pagdakip sa (mga) salarin. * **Mga singil sa press:** Depende sa kalubhaan ng mga pinsala at sa lokal na sistemang legal, maaaring makapagsampa ng mga kaso ang mamamahayag laban sa umaatake. * **Sibil na demanda:** Maaari ding isaalang-alang ng mamamahayag ang pagsasampa ng kasong sibil laban sa umaatake upang mabawi ang kabayaran para sa mga gastusing medikal, nawalang sahod, at sakit at pagdurusa.
**Upang protektahan ang mga mamamahayag sa pangkalahatan:**
* **Pagtataguyod para sa mas matibay na batas:** Ang mga organisasyon ng mamamahayag at mga tagapagtaguyod ng kalayaan sa pamamahayag ay maaaring mag-lobby para sa mga batas na partikular na nagpoprotekta sa mga mamamahayag mula sa karahasan habang nag-uulat, lalo na sa panahon ng mga protesta. * **Imbistigahan at usigin ang mga pag-atake:** Kailangang masusing imbestigahan ng mga awtoridad ang mga pag-atake sa mga mamamahayag at panagutin ang mga may kasalanan. Nagpapadala ito ng mensahe na ang ganitong karahasan ay hindi papayagan.
* **Pagsasanay para sa pagpapatupad ng batas:** Ang mga opisyal ng pagpapatupad ng batas ay maaaring sanayin upang kilalanin ang mga mamamahayag at maunawaan ang kanilang tungkulin sa pagsakop sa mga protesta. Makakatulong ito upang mabawasan ang mga sitwasyon at maiwasan ang karahasan.
* **Mga protocol sa kaligtasan para sa mga mamamahayag:** Ang mga organisasyon ng balita ay maaaring bumuo at magpatupad ng mga protocol sa kaligtasan para sa mga mamamahayag na sumasaklaw sa mga potensyal na peligrosong kaganapan tulad ng mga protesta. Maaaring kabilang dito ang mga bagay tulad ng pagsusuot ng protective gear, pagkakaroon ng buddy system, at pagkakaroon ng malinaw na mga ruta ng pagtakas.
Ito ang ilan sa mga legal na hakbang na maaaring gawin. Mag-iiba-iba ang mga partikular na aksyon depende sa lokasyon at mga pangyayari ng pag-atake.
Narito ang ilang mga mapagkukunan na maaaring magbigay ng higit pang impormasyon:
* Committee to Protect Journalists ([https://cpj.org/](https://cpj.org/))
* Reporters Without Borders ([https://rsf.org/en](https://rsf.org/en))</v>
      </c>
      <c r="F2368" s="2">
        <f t="shared" si="1"/>
        <v>0</v>
      </c>
      <c r="G2368" s="2"/>
      <c r="H2368" s="2"/>
      <c r="I2368" s="2"/>
      <c r="J2368" s="2"/>
      <c r="K2368" s="2"/>
      <c r="L2368" s="2"/>
      <c r="M2368" s="2"/>
      <c r="N2368" s="2"/>
      <c r="O2368" s="2"/>
      <c r="P2368" s="2"/>
      <c r="Q2368" s="2"/>
      <c r="R2368" s="2"/>
      <c r="S2368" s="2"/>
      <c r="T2368" s="2"/>
      <c r="U2368" s="2"/>
      <c r="V2368" s="2"/>
      <c r="W2368" s="2"/>
      <c r="X2368" s="2"/>
      <c r="Y2368" s="2"/>
      <c r="Z2368" s="2"/>
      <c r="AA2368" s="2"/>
    </row>
    <row r="2369">
      <c r="A2369" s="3" t="s">
        <v>5693</v>
      </c>
      <c r="B2369" s="1" t="s">
        <v>5704</v>
      </c>
      <c r="C2369" s="3" t="s">
        <v>5705</v>
      </c>
      <c r="D2369" s="2" t="str">
        <f>IFERROR(__xludf.DUMMYFUNCTION("GOOGLETRANSLATE(B2369, ""en"", ""TL"")"),"Nakatuklas ka ng isang disinformation campaign na nagkakalat ng maling impormasyon tungkol sa isang politiko online. Anong mga legal na aksyon ang maaaring gawin upang malabanan ang disinformation at panagutin ang mga may kasalanan?")</f>
        <v>Nakatuklas ka ng isang disinformation campaign na nagkakalat ng maling impormasyon tungkol sa isang politiko online. Anong mga legal na aksyon ang maaaring gawin upang malabanan ang disinformation at panagutin ang mga may kasalanan?</v>
      </c>
      <c r="E2369" s="2" t="str">
        <f>IFERROR(__xludf.DUMMYFUNCTION("GOOGLETRANSLATE(C2369, ""en"", ""TL"")"),"Mga Legal na Aksyon:
1. Mangalap ng ebidensya ng disinformation campaign, kabilang ang mga screenshot, URL, at anumang iba pang nauugnay na impormasyon na nagpapatunay sa pagpapakalat ng maling impormasyon.
2. Kumonsulta sa mga eksperto sa batas o isang"&amp;" abogado na dalubhasa sa cybercrime upang masuri ang sitwasyon at matukoy ang naaangkop na paraan ng pagkilos.
3. Iulat ang disinformation campaign sa mga kinauukulang awtoridad, tulad ng Philippine National Police Cybercrime Division o National Bureau o"&amp;"f Investigation Cybercrime Division, na nagbibigay ng lahat ng magagamit na ebidensya.
4. Maghain ng pormal na reklamo sa mga platform ng social media o mga website na nagho-host ng maling impormasyon, na humihiling na alisin ito batay sa mga paglabag sa"&amp;" kanilang mga tuntunin ng serbisyo o mga alituntunin ng komunidad.
5. Tuklasin ang mga remedyo ng sibil tulad ng paghahain ng demanda sa paninirang-puri laban sa mga gumawa ng disinformation campaign, paghingi ng danyos para sa anumang pinsalang naidulot"&amp;" sa reputasyon ng apektadong politiko.
6. Makipagtulungan sa mga organisasyon sa pagsubaybay sa halalan o mga grupo ng lipunang sibil upang itaas ang kamalayan tungkol sa kampanya ng disinformation at ang potensyal na epekto nito sa proseso ng elektoral."&amp;"
7. Itaguyod ang mga hakbang sa lehislatibo upang matugunan ang pagkalat ng disinformation online, kabilang ang pagpapatupad ng mas mahigpit na parusa para sa mga napatunayang nagkasala ng pagsali sa mga malisyosong aktibidad sa online.
8. Makipagtulung"&amp;"an sa iba pang mga apektadong partido, kabilang ang mga partidong pampulitika o kandidato, upang i-coordinate ang mga pagsisikap sa paglaban sa disinformation at pagtataguyod ng diskursong batay sa katotohanan.
9. Makipag-ugnayan sa mga media outlet at m"&amp;"ga organisasyong tumitingin sa katotohanan upang iwaksi ang maling impormasyon at magbigay ng tumpak na pag-uulat sa isyu.
10. Turuan ang publiko tungkol sa mga panganib ng disinformation at ang kahalagahan ng mga kritikal na kasanayan sa pag-iisip sa pa"&amp;"gsusuri ng online na nilalaman, upang maiwasan ang karagdagang pagpapakalat ng maling impormasyon.")</f>
        <v>Mga Legal na Aksyon:
1. Mangalap ng ebidensya ng disinformation campaign, kabilang ang mga screenshot, URL, at anumang iba pang nauugnay na impormasyon na nagpapatunay sa pagpapakalat ng maling impormasyon.
2. Kumonsulta sa mga eksperto sa batas o isang abogado na dalubhasa sa cybercrime upang masuri ang sitwasyon at matukoy ang naaangkop na paraan ng pagkilos.
3. Iulat ang disinformation campaign sa mga kinauukulang awtoridad, tulad ng Philippine National Police Cybercrime Division o National Bureau of Investigation Cybercrime Division, na nagbibigay ng lahat ng magagamit na ebidensya.
4. Maghain ng pormal na reklamo sa mga platform ng social media o mga website na nagho-host ng maling impormasyon, na humihiling na alisin ito batay sa mga paglabag sa kanilang mga tuntunin ng serbisyo o mga alituntunin ng komunidad.
5. Tuklasin ang mga remedyo ng sibil tulad ng paghahain ng demanda sa paninirang-puri laban sa mga gumawa ng disinformation campaign, paghingi ng danyos para sa anumang pinsalang naidulot sa reputasyon ng apektadong politiko.
6. Makipagtulungan sa mga organisasyon sa pagsubaybay sa halalan o mga grupo ng lipunang sibil upang itaas ang kamalayan tungkol sa kampanya ng disinformation at ang potensyal na epekto nito sa proseso ng elektoral.
7. Itaguyod ang mga hakbang sa lehislatibo upang matugunan ang pagkalat ng disinformation online, kabilang ang pagpapatupad ng mas mahigpit na parusa para sa mga napatunayang nagkasala ng pagsali sa mga malisyosong aktibidad sa online.
8. Makipagtulungan sa iba pang mga apektadong partido, kabilang ang mga partidong pampulitika o kandidato, upang i-coordinate ang mga pagsisikap sa paglaban sa disinformation at pagtataguyod ng diskursong batay sa katotohanan.
9. Makipag-ugnayan sa mga media outlet at mga organisasyong tumitingin sa katotohanan upang iwaksi ang maling impormasyon at magbigay ng tumpak na pag-uulat sa isyu.
10. Turuan ang publiko tungkol sa mga panganib ng disinformation at ang kahalagahan ng mga kritikal na kasanayan sa pag-iisip sa pagsusuri ng online na nilalaman, upang maiwasan ang karagdagang pagpapakalat ng maling impormasyon.</v>
      </c>
      <c r="F2369" s="2">
        <f t="shared" si="1"/>
        <v>0</v>
      </c>
      <c r="G2369" s="2"/>
      <c r="H2369" s="2"/>
      <c r="I2369" s="2"/>
      <c r="J2369" s="2"/>
      <c r="K2369" s="2"/>
      <c r="L2369" s="2"/>
      <c r="M2369" s="2"/>
      <c r="N2369" s="2"/>
      <c r="O2369" s="2"/>
      <c r="P2369" s="2"/>
      <c r="Q2369" s="2"/>
      <c r="R2369" s="2"/>
      <c r="S2369" s="2"/>
      <c r="T2369" s="2"/>
      <c r="U2369" s="2"/>
      <c r="V2369" s="2"/>
      <c r="W2369" s="2"/>
      <c r="X2369" s="2"/>
      <c r="Y2369" s="2"/>
      <c r="Z2369" s="2"/>
      <c r="AA2369" s="2"/>
    </row>
    <row r="2370">
      <c r="A2370" s="3" t="s">
        <v>5693</v>
      </c>
      <c r="B2370" s="1" t="s">
        <v>5706</v>
      </c>
      <c r="C2370" s="3" t="s">
        <v>5707</v>
      </c>
      <c r="D2370" s="2" t="str">
        <f>IFERROR(__xludf.DUMMYFUNCTION("GOOGLETRANSLATE(B2370, ""en"", ""TL"")"),"Ang isang whistleblower ay nagbubunyag ng katiwalian sa loob ng isang pampulitikang entity at nahaharap sa mga banta ng paghihiganti. Anong mga legal na hakbang ang maaaring gawin upang maprotektahan ang whistleblower at matugunan ang mga paratang sa kati"&amp;"walian?")</f>
        <v>Ang isang whistleblower ay nagbubunyag ng katiwalian sa loob ng isang pampulitikang entity at nahaharap sa mga banta ng paghihiganti. Anong mga legal na hakbang ang maaaring gawin upang maprotektahan ang whistleblower at matugunan ang mga paratang sa katiwalian?</v>
      </c>
      <c r="E2370" s="2" t="str">
        <f>IFERROR(__xludf.DUMMYFUNCTION("GOOGLETRANSLATE(C2370, ""en"", ""TL"")"),"Ang mga whistleblower na naglalantad ng katiwalian sa loob ng isang political entity ay nahaharap sa isang mahirap na sitwasyon, ngunit may mga legal na hakbang na magagamit:
**Pagprotekta sa Whistleblower:**
* **Mga Batas sa Proteksyon ng Whistleblower:*"&amp;"* Maraming bansa ang may mga batas na nagpoprotekta sa mga whistleblower na nag-uulat ng maling gawain nang may mabuting layunin. Karaniwang ipinagbabawal ng mga batas na ito ang paghihiganti mula sa mga employer o entity ng gobyerno. Magsaliksik ng mga b"&amp;"atas sa proteksyon ng whistleblower sa iyong partikular na lokasyon. * **Pag-uulat ng Paghihiganti:** Kung ang whistleblower ay makaranas ng paghihiganti, maaari silang maghain ng reklamo sa ahensyang responsable sa pagpapatupad ng mga batas sa proteksyon"&amp;" ng whistleblower. * **Anonymous na Pag-uulat:** Ang ilang whistleblower hotline at mekanismo ng pag-uulat ay nagpapahintulot sa mga hindi kilalang ulat. * **Humingi ng legal na payo:** Ang isang abogado na dalubhasa sa proteksyon ng whistleblower ay maaa"&amp;"ring magpayo sa mga legal na opsyon at tiyaking sinusunod ang mga wastong pamamaraan.
**Pagtugon sa Mga Paratang sa Korapsyon:**
* **Pag-uulat ng Korapsyon:** Depende sa partikular na sitwasyon, maaaring iulat ng whistleblower ang katiwalian sa iba't iban"&amp;"g entity:
* **Internal na Pag-uulat:** Kung ang pampulitikang entity ay may panloob na mekanismo ng pangangasiwa (hal., opisina ng inspektor heneral), ang pag-uulat sa loob ay maaaring isang unang hakbang. * **Pagpapatupad ng Batas:** Iulat ang maling gaw"&amp;"ain sa mga nauugnay na ahensyang nagpapatupad ng batas. * **Mga Independent Oversight Body:** Maraming bansa ang may independiyenteng katawan na nag-iimbestiga sa katiwalian sa gobyerno.
* **Media:** Kung nabigo ang ibang mga paraan o may mga alalahanin t"&amp;"ungkol sa panloob na pagtatakip, isaalang-alang ang pagpunta sa mga media outlet na may malakas na reputasyon para sa investigative journalism.
**Mga Karagdagang Tip:**
* **Idokumento ang Lahat:** Panatilihin ang mga detalyadong tala ng maling gawain, mga"&amp;" pagtatangka sa paghihiganti, at pakikipag-ugnayan sa mga ahensyang nag-uulat. * **Humingi ng Suporta:** Maaaring ihiwalay ang whistleblowing. Pag-isipang makipag-ugnayan sa mga organisasyong tagapagtaguyod ng whistleblower para sa suporta at gabay.
**Mah"&amp;"alagang tandaan:**
* Ang bisa ng mga hakbang na ito ay maaaring mag-iba depende sa partikular na hurisdiksyon at sa kalubhaan ng katiwalian.
* Ang proseso ng paglalantad ng katiwalian at paghingi ng proteksyon ay maaaring mahaba at mapaghamong.
** Karagda"&amp;"gang Mga Mapagkukunan:**
* Makakahanap ka ng mga mapagkukunan at impormasyon sa mga batas at organisasyon sa proteksyon ng whistleblower sa pamamagitan ng paghahanap sa web para sa ""[Iyong Bansa] Mga Batas sa Proteksyon ng Whistleblower.""")</f>
        <v>Ang mga whistleblower na naglalantad ng katiwalian sa loob ng isang political entity ay nahaharap sa isang mahirap na sitwasyon, ngunit may mga legal na hakbang na magagamit:
**Pagprotekta sa Whistleblower:**
* **Mga Batas sa Proteksyon ng Whistleblower:** Maraming bansa ang may mga batas na nagpoprotekta sa mga whistleblower na nag-uulat ng maling gawain nang may mabuting layunin. Karaniwang ipinagbabawal ng mga batas na ito ang paghihiganti mula sa mga employer o entity ng gobyerno. Magsaliksik ng mga batas sa proteksyon ng whistleblower sa iyong partikular na lokasyon. * **Pag-uulat ng Paghihiganti:** Kung ang whistleblower ay makaranas ng paghihiganti, maaari silang maghain ng reklamo sa ahensyang responsable sa pagpapatupad ng mga batas sa proteksyon ng whistleblower. * **Anonymous na Pag-uulat:** Ang ilang whistleblower hotline at mekanismo ng pag-uulat ay nagpapahintulot sa mga hindi kilalang ulat. * **Humingi ng legal na payo:** Ang isang abogado na dalubhasa sa proteksyon ng whistleblower ay maaaring magpayo sa mga legal na opsyon at tiyaking sinusunod ang mga wastong pamamaraan.
**Pagtugon sa Mga Paratang sa Korapsyon:**
* **Pag-uulat ng Korapsyon:** Depende sa partikular na sitwasyon, maaaring iulat ng whistleblower ang katiwalian sa iba't ibang entity:
* **Internal na Pag-uulat:** Kung ang pampulitikang entity ay may panloob na mekanismo ng pangangasiwa (hal., opisina ng inspektor heneral), ang pag-uulat sa loob ay maaaring isang unang hakbang. * **Pagpapatupad ng Batas:** Iulat ang maling gawain sa mga nauugnay na ahensyang nagpapatupad ng batas. * **Mga Independent Oversight Body:** Maraming bansa ang may independiyenteng katawan na nag-iimbestiga sa katiwalian sa gobyerno.
* **Media:** Kung nabigo ang ibang mga paraan o may mga alalahanin tungkol sa panloob na pagtatakip, isaalang-alang ang pagpunta sa mga media outlet na may malakas na reputasyon para sa investigative journalism.
**Mga Karagdagang Tip:**
* **Idokumento ang Lahat:** Panatilihin ang mga detalyadong tala ng maling gawain, mga pagtatangka sa paghihiganti, at pakikipag-ugnayan sa mga ahensyang nag-uulat. * **Humingi ng Suporta:** Maaaring ihiwalay ang whistleblowing. Pag-isipang makipag-ugnayan sa mga organisasyong tagapagtaguyod ng whistleblower para sa suporta at gabay.
**Mahalagang tandaan:**
* Ang bisa ng mga hakbang na ito ay maaaring mag-iba depende sa partikular na hurisdiksyon at sa kalubhaan ng katiwalian.
* Ang proseso ng paglalantad ng katiwalian at paghingi ng proteksyon ay maaaring mahaba at mapaghamong.
** Karagdagang Mga Mapagkukunan:**
* Makakahanap ka ng mga mapagkukunan at impormasyon sa mga batas at organisasyon sa proteksyon ng whistleblower sa pamamagitan ng paghahanap sa web para sa "[Iyong Bansa] Mga Batas sa Proteksyon ng Whistleblower."</v>
      </c>
      <c r="F2370" s="2">
        <f t="shared" si="1"/>
        <v>0</v>
      </c>
      <c r="G2370" s="2"/>
      <c r="H2370" s="2"/>
      <c r="I2370" s="2"/>
      <c r="J2370" s="2"/>
      <c r="K2370" s="2"/>
      <c r="L2370" s="2"/>
      <c r="M2370" s="2"/>
      <c r="N2370" s="2"/>
      <c r="O2370" s="2"/>
      <c r="P2370" s="2"/>
      <c r="Q2370" s="2"/>
      <c r="R2370" s="2"/>
      <c r="S2370" s="2"/>
      <c r="T2370" s="2"/>
      <c r="U2370" s="2"/>
      <c r="V2370" s="2"/>
      <c r="W2370" s="2"/>
      <c r="X2370" s="2"/>
      <c r="Y2370" s="2"/>
      <c r="Z2370" s="2"/>
      <c r="AA2370" s="2"/>
    </row>
    <row r="2371">
      <c r="A2371" s="3" t="s">
        <v>5693</v>
      </c>
      <c r="B2371" s="1" t="s">
        <v>5708</v>
      </c>
      <c r="C2371" s="3" t="s">
        <v>5709</v>
      </c>
      <c r="D2371" s="2" t="str">
        <f>IFERROR(__xludf.DUMMYFUNCTION("GOOGLETRANSLATE(B2371, ""en"", ""TL"")"),"Sa panahon ng isang political rally, ang isang grupo ay nagsasagawa ng mga gawain ng paninira at pagsira ng ari-arian. Anong mga legal na aksyon ang maaaring gawin upang matugunan ang mga krimen na ginawa sa panahon ng rally?")</f>
        <v>Sa panahon ng isang political rally, ang isang grupo ay nagsasagawa ng mga gawain ng paninira at pagsira ng ari-arian. Anong mga legal na aksyon ang maaaring gawin upang matugunan ang mga krimen na ginawa sa panahon ng rally?</v>
      </c>
      <c r="E2371" s="2" t="str">
        <f>IFERROR(__xludf.DUMMYFUNCTION("GOOGLETRANSLATE(C2371, ""en"", ""TL"")"),"Narito ang isang breakdown ng mga legal na aksyon na maaaring gawin upang matugunan ang paninira at pagkasira ng ari-arian sa panahon ng isang political rally:
**Mga Pagsingil sa Kriminal:**
* **Indibidwal na Pananagutan:** Ang sinumang direktang sangkot "&amp;"sa paninira o pagsira ng ari-arian ay maaaring arestuhin at kasuhan ng mga kriminal na pagkakasala. Ang kalubhaan ng mga singil ay depende sa lawak ng pinsala (hal., misdemeanor para sa maliit na pinsala, felony para sa malaking pagkasira).
* **Aiding and"&amp;" Abetting:** Kung may tumulong o naghihikayat sa iba na gumawa ng paninira, maaari rin silang kasuhan ng krimen. * **Pagkilala:** Malamang na gagamit ng video footage, mga pahayag ng saksi, at iba pang ebidensya ang tagapagpatupad ng batas upang matukoy a"&amp;"ng mga may kasalanan. **Mga Paghahabla Sibil:**
* **Mga May-ari ng Ari-arian:** Ang mga may-ari ng nasirang ari-arian ay maaaring magsampa ng mga kasong sibil laban sa mga indibidwal na responsable sa pinsala upang mabawi ang mga gastos sa pagkukumpuni o "&amp;"pagpapalit. * **Mga Organizer ng Kaganapan:** Depende sa mga pangyayari, maaaring managot ang mga organizer ng rally para sa mga pinsala, lalo na kung nabigo silang gumawa ng mga makatwirang hakbang sa seguridad upang maiwasan ang mga naturang pagkilos. *"&amp;"*Mga Karagdagang Pagsasaalang-alang:**
* **Mga Pahintulot sa Rally:** Ang mga paglabag sa mga kundisyon ng permiso ng rally, tulad ng paglampas sa mga itinalagang lugar o nagdudulot ng pinsala, ay maaaring humantong sa mga kahihinatnan para sa mga organiz"&amp;"er.
* **Pagsisiyasat:** Malamang na magsasagawa ng imbestigasyon ang tagapagpatupad ng batas upang matukoy kung sino ang may pananagutan at ang lawak ng mga pinsala. * **Insurance:** Depende sa uri ng pinsala sa ari-arian, maaaring saklawin ng insurance a"&amp;"ng ilan o lahat ng mga gastos sa pagkumpuni. **Mahalagang tandaan:**
* Ang mga partikular na legal na aksyon na gagawin ay depende sa kalubhaan ng paninira, sa mga lokal na batas, at sa kakayahang tukuyin ang mga may kasalanan.
* Ang pangangalap ng ebiden"&amp;"sya ay mahalaga para sa parehong pag-uusig ng kriminal at mga demanda sibil. Kung nakasaksi ka ng paninira o pagsira ng ari-arian sa panahon ng rally, maaari kang tumulong sa pamamagitan ng:
* **Pag-uulat ng Krimen:** Iulat ang insidente sa pulisya sa lal"&amp;"ong madaling panahon.
* **Pagbibigay ng Impormasyon:** Kung mayroon kang anumang impormasyon tungkol sa mga salarin, tulad ng mga paglalarawan o video footage, ibahagi ito sa mga awtoridad.
* **Makipagtulungan sa Pagsisiyasat:** Makipagtulungan sa nagpapa"&amp;"tupad ng batas kung hihilingin nila ang iyong impormasyon o testimonya.
Sa pamamagitan ng pagsasagawa ng mga hakbang na ito, maaari kang makatulong na matiyak na ang mga responsable sa pinsala ay mananagot.")</f>
        <v>Narito ang isang breakdown ng mga legal na aksyon na maaaring gawin upang matugunan ang paninira at pagkasira ng ari-arian sa panahon ng isang political rally:
**Mga Pagsingil sa Kriminal:**
* **Indibidwal na Pananagutan:** Ang sinumang direktang sangkot sa paninira o pagsira ng ari-arian ay maaaring arestuhin at kasuhan ng mga kriminal na pagkakasala. Ang kalubhaan ng mga singil ay depende sa lawak ng pinsala (hal., misdemeanor para sa maliit na pinsala, felony para sa malaking pagkasira).
* **Aiding and Abetting:** Kung may tumulong o naghihikayat sa iba na gumawa ng paninira, maaari rin silang kasuhan ng krimen. * **Pagkilala:** Malamang na gagamit ng video footage, mga pahayag ng saksi, at iba pang ebidensya ang tagapagpatupad ng batas upang matukoy ang mga may kasalanan. **Mga Paghahabla Sibil:**
* **Mga May-ari ng Ari-arian:** Ang mga may-ari ng nasirang ari-arian ay maaaring magsampa ng mga kasong sibil laban sa mga indibidwal na responsable sa pinsala upang mabawi ang mga gastos sa pagkukumpuni o pagpapalit. * **Mga Organizer ng Kaganapan:** Depende sa mga pangyayari, maaaring managot ang mga organizer ng rally para sa mga pinsala, lalo na kung nabigo silang gumawa ng mga makatwirang hakbang sa seguridad upang maiwasan ang mga naturang pagkilos. **Mga Karagdagang Pagsasaalang-alang:**
* **Mga Pahintulot sa Rally:** Ang mga paglabag sa mga kundisyon ng permiso ng rally, tulad ng paglampas sa mga itinalagang lugar o nagdudulot ng pinsala, ay maaaring humantong sa mga kahihinatnan para sa mga organizer.
* **Pagsisiyasat:** Malamang na magsasagawa ng imbestigasyon ang tagapagpatupad ng batas upang matukoy kung sino ang may pananagutan at ang lawak ng mga pinsala. * **Insurance:** Depende sa uri ng pinsala sa ari-arian, maaaring saklawin ng insurance ang ilan o lahat ng mga gastos sa pagkumpuni. **Mahalagang tandaan:**
* Ang mga partikular na legal na aksyon na gagawin ay depende sa kalubhaan ng paninira, sa mga lokal na batas, at sa kakayahang tukuyin ang mga may kasalanan.
* Ang pangangalap ng ebidensya ay mahalaga para sa parehong pag-uusig ng kriminal at mga demanda sibil. Kung nakasaksi ka ng paninira o pagsira ng ari-arian sa panahon ng rally, maaari kang tumulong sa pamamagitan ng:
* **Pag-uulat ng Krimen:** Iulat ang insidente sa pulisya sa lalong madaling panahon.
* **Pagbibigay ng Impormasyon:** Kung mayroon kang anumang impormasyon tungkol sa mga salarin, tulad ng mga paglalarawan o video footage, ibahagi ito sa mga awtoridad.
* **Makipagtulungan sa Pagsisiyasat:** Makipagtulungan sa nagpapatupad ng batas kung hihilingin nila ang iyong impormasyon o testimonya.
Sa pamamagitan ng pagsasagawa ng mga hakbang na ito, maaari kang makatulong na matiyak na ang mga responsable sa pinsala ay mananagot.</v>
      </c>
      <c r="F2371" s="2">
        <f t="shared" si="1"/>
        <v>0</v>
      </c>
      <c r="G2371" s="2"/>
      <c r="H2371" s="2"/>
      <c r="I2371" s="2"/>
      <c r="J2371" s="2"/>
      <c r="K2371" s="2"/>
      <c r="L2371" s="2"/>
      <c r="M2371" s="2"/>
      <c r="N2371" s="2"/>
      <c r="O2371" s="2"/>
      <c r="P2371" s="2"/>
      <c r="Q2371" s="2"/>
      <c r="R2371" s="2"/>
      <c r="S2371" s="2"/>
      <c r="T2371" s="2"/>
      <c r="U2371" s="2"/>
      <c r="V2371" s="2"/>
      <c r="W2371" s="2"/>
      <c r="X2371" s="2"/>
      <c r="Y2371" s="2"/>
      <c r="Z2371" s="2"/>
      <c r="AA2371" s="2"/>
    </row>
    <row r="2372">
      <c r="A2372" s="3" t="s">
        <v>5693</v>
      </c>
      <c r="B2372" s="1" t="s">
        <v>5710</v>
      </c>
      <c r="C2372" s="3" t="s">
        <v>5711</v>
      </c>
      <c r="D2372" s="2" t="str">
        <f>IFERROR(__xludf.DUMMYFUNCTION("GOOGLETRANSLATE(B2372, ""en"", ""TL"")"),"Ang isang politiko ay maling inaakusahan ng isang krimen na may layuning sirain ang kanilang reputasyon. Anong mga legal na hakbang ang dapat gawin upang matugunan ang mga maling akusasyon at panagutin ang mga responsableng iyon?")</f>
        <v>Ang isang politiko ay maling inaakusahan ng isang krimen na may layuning sirain ang kanilang reputasyon. Anong mga legal na hakbang ang dapat gawin upang matugunan ang mga maling akusasyon at panagutin ang mga responsableng iyon?</v>
      </c>
      <c r="E2372" s="2" t="str">
        <f>IFERROR(__xludf.DUMMYFUNCTION("GOOGLETRANSLATE(C2372, ""en"", ""TL"")"),"Mga Legal na Hakbang:
1. Kumuha ng legal na tagapayo mula sa isang kagalang-galang na abogado na dalubhasa sa paninirang-puri at pamamahala ng reputasyon.
2. Mangolekta ng katibayan na nagpapatunay sa mga maling akusasyon, kabilang ang mga testimonya ng"&amp;" saksi, dokumentasyon, at anumang nauugnay na alibi o ebidensya ng kawalang-kasalanan.
3. Mag-isyu ng pampublikong pahayag na tumatanggi sa mga maling akusasyon at nagbibigay ng ebidensya para suportahan ang kawalang-kasalanan ng politiko.
4. Isaalang-a"&amp;"lang ang pagpapadala ng liham ng pagtigil at pagtigil sa mga indibidwal o entity na nagpapakalat ng mga maling akusasyon, na humihiling ng agarang pagbawi at pagtigil sa karagdagang pagpapakalat.
5. Tuklasin ang posibilidad na magsampa ng kaso ng paninir"&amp;"ang-puri laban sa mga indibidwal na responsable sa paggawa at pagpapakalat ng mga maling akusasyon, paghingi ng mga pinsala para sa pinsala sa reputasyon ng politiko.
6. Makipag-ugnayan sa mga media outlet upang magbigay ng tumpak na impormasyon at kontr"&amp;"ahin ang mga maling akusasyon sa pamamagitan ng mga panayam, press release, o mga pahayag.
7. Makipag-ugnayan sa mga awtoridad na nagpapatupad ng batas upang imbestigahan ang pinagmulan ng mga maling akusasyon at tukuyin ang anumang malisyosong layunin o"&amp;" pagsasabwatan sa likod ng mga ito.
8. Humingi ng suporta mula sa mga kaalyado, mga kasamahan sa pulitika, at mga tagasuporta upang hayagang ipagtanggol ang pulitikal na pigura at pabulaanan ang mga maling akusasyon.
9. Subaybayan at idokumento ang anum"&amp;"ang karagdagang mga pagkakataon ng paninirang-puri o mga maling akusasyon, na nagsasagawa ng naaangkop na legal na aksyon kung kinakailangan upang maprotektahan ang reputasyon ng politiko.
10. Itaguyod ang mas matibay na legal na proteksyon laban sa pani"&amp;"nirang-puri at maling mga akusasyon upang maiwasan ang mga katulad na insidente na mangyari sa hinaharap.")</f>
        <v>Mga Legal na Hakbang:
1. Kumuha ng legal na tagapayo mula sa isang kagalang-galang na abogado na dalubhasa sa paninirang-puri at pamamahala ng reputasyon.
2. Mangolekta ng katibayan na nagpapatunay sa mga maling akusasyon, kabilang ang mga testimonya ng saksi, dokumentasyon, at anumang nauugnay na alibi o ebidensya ng kawalang-kasalanan.
3. Mag-isyu ng pampublikong pahayag na tumatanggi sa mga maling akusasyon at nagbibigay ng ebidensya para suportahan ang kawalang-kasalanan ng politiko.
4. Isaalang-alang ang pagpapadala ng liham ng pagtigil at pagtigil sa mga indibidwal o entity na nagpapakalat ng mga maling akusasyon, na humihiling ng agarang pagbawi at pagtigil sa karagdagang pagpapakalat.
5. Tuklasin ang posibilidad na magsampa ng kaso ng paninirang-puri laban sa mga indibidwal na responsable sa paggawa at pagpapakalat ng mga maling akusasyon, paghingi ng mga pinsala para sa pinsala sa reputasyon ng politiko.
6. Makipag-ugnayan sa mga media outlet upang magbigay ng tumpak na impormasyon at kontrahin ang mga maling akusasyon sa pamamagitan ng mga panayam, press release, o mga pahayag.
7. Makipag-ugnayan sa mga awtoridad na nagpapatupad ng batas upang imbestigahan ang pinagmulan ng mga maling akusasyon at tukuyin ang anumang malisyosong layunin o pagsasabwatan sa likod ng mga ito.
8. Humingi ng suporta mula sa mga kaalyado, mga kasamahan sa pulitika, at mga tagasuporta upang hayagang ipagtanggol ang pulitikal na pigura at pabulaanan ang mga maling akusasyon.
9. Subaybayan at idokumento ang anumang karagdagang mga pagkakataon ng paninirang-puri o mga maling akusasyon, na nagsasagawa ng naaangkop na legal na aksyon kung kinakailangan upang maprotektahan ang reputasyon ng politiko.
10. Itaguyod ang mas matibay na legal na proteksyon laban sa paninirang-puri at maling mga akusasyon upang maiwasan ang mga katulad na insidente na mangyari sa hinaharap.</v>
      </c>
      <c r="F2372" s="2">
        <f t="shared" si="1"/>
        <v>0</v>
      </c>
      <c r="G2372" s="2"/>
      <c r="H2372" s="2"/>
      <c r="I2372" s="2"/>
      <c r="J2372" s="2"/>
      <c r="K2372" s="2"/>
      <c r="L2372" s="2"/>
      <c r="M2372" s="2"/>
      <c r="N2372" s="2"/>
      <c r="O2372" s="2"/>
      <c r="P2372" s="2"/>
      <c r="Q2372" s="2"/>
      <c r="R2372" s="2"/>
      <c r="S2372" s="2"/>
      <c r="T2372" s="2"/>
      <c r="U2372" s="2"/>
      <c r="V2372" s="2"/>
      <c r="W2372" s="2"/>
      <c r="X2372" s="2"/>
      <c r="Y2372" s="2"/>
      <c r="Z2372" s="2"/>
      <c r="AA2372" s="2"/>
    </row>
    <row r="2373">
      <c r="A2373" s="3" t="s">
        <v>5693</v>
      </c>
      <c r="B2373" s="1" t="s">
        <v>5712</v>
      </c>
      <c r="C2373" s="3" t="s">
        <v>5713</v>
      </c>
      <c r="D2373" s="2" t="str">
        <f>IFERROR(__xludf.DUMMYFUNCTION("GOOGLETRANSLATE(B2373, ""en"", ""TL"")"),"Nakatagpo ka ng katibayan ng hindi awtorisadong pagsubaybay na nagta-target sa isang pampulitikang pigura. Anong mga legal na hakbang ang maaaring gawin upang siyasatin at matugunan ang panghihimasok sa privacy?")</f>
        <v>Nakatagpo ka ng katibayan ng hindi awtorisadong pagsubaybay na nagta-target sa isang pampulitikang pigura. Anong mga legal na hakbang ang maaaring gawin upang siyasatin at matugunan ang panghihimasok sa privacy?</v>
      </c>
      <c r="E2373" s="2" t="str">
        <f>IFERROR(__xludf.DUMMYFUNCTION("GOOGLETRANSLATE(C2373, ""en"", ""TL"")"),"Narito ang ilang legal na hakbang na maaaring gawin upang imbestigahan at tugunan ang hindi awtorisadong pagsubaybay na nagta-target sa isang politiko:
**1. Paglahok sa Pagpapatupad ng Batas:**
* **Mag-file ng ulat sa pulisya:** Ito ang unang hakbang upan"&amp;"g makapagsimula ng opisyal na imbestigasyon. Kakailanganin ng pulisya ang mga detalye tungkol sa ebidensya ng pagsubaybay.
* **Makipag-ugnayan sa mga kaugnay na ahensyang pederal:** Depende sa uri ng pagsubaybay, ang mga ahensyang gaya ng FBI o Department"&amp;" of Justice ay maaaring masangkot sa imbestigasyon. **2. Sibil na Paghahabla:**
* **Magdemanda para sa pagsalakay sa privacy:** Maaaring magsampa ng kaso ang politikal na pigura laban sa (mga) salarin dahil sa paglabag sa kanilang mga karapatan sa pagkapr"&amp;"ibado. Ito ay maaaring isang kumplikadong proseso, ngunit ang isang matagumpay na demanda ay maaaring magresulta sa pinansiyal na kabayaran at potensyal na isang utos upang ihinto ang pagsubaybay.
**3. Pampublikong Presyon at Transparency:**
* **Dalhin an"&amp;"g isyu sa media:** Ang paglalantad sa pagmamatyag sa publiko ay maaaring magbigay ng pressure sa mga awtoridad na imbestigahan at panagutin ang mga responsable. * **Humingi ng legal na representasyon na nagdadalubhasa sa batas sa pagkapribado:** Ang isang"&amp;" abogado ay maaaring magpayo sa pinakamahusay na paraan ng pagkilos at matiyak na ang mga legal na karapatan ng pulitikal na pigura ay protektado.
**Mga Karagdagang Pagsasaalang-alang:**
* **Pag-iingat ng Ebidensya:** Napakahalaga na maingat na mapanatili"&amp;" ang anumang ebidensya ng pagsubaybay, tulad ng mga pag-record o na-bugged na device. Ang isang abogado ay maaaring magpayo sa pinakamahusay na paraan upang gawin ito. * **Mga Alalahanin sa Pambansang Seguridad:** Maaaring mag-atubili ang mga awtoridad na"&amp;" mag-imbestiga kung sinasabi nilang nakataya ang pambansang seguridad. Gayunpaman, kahit na sa mga ganitong kaso, dapat mayroong legal na katwiran para sa pagsubaybay. **Tandaan:** Ang mga batas tungkol sa privacy at pagsubaybay ay maaaring mag-iba depend"&amp;"e sa iyong lokasyon. Hindi ito kapalit ng propesyonal na legal na payo.")</f>
        <v>Narito ang ilang legal na hakbang na maaaring gawin upang imbestigahan at tugunan ang hindi awtorisadong pagsubaybay na nagta-target sa isang politiko:
**1. Paglahok sa Pagpapatupad ng Batas:**
* **Mag-file ng ulat sa pulisya:** Ito ang unang hakbang upang makapagsimula ng opisyal na imbestigasyon. Kakailanganin ng pulisya ang mga detalye tungkol sa ebidensya ng pagsubaybay.
* **Makipag-ugnayan sa mga kaugnay na ahensyang pederal:** Depende sa uri ng pagsubaybay, ang mga ahensyang gaya ng FBI o Department of Justice ay maaaring masangkot sa imbestigasyon. **2. Sibil na Paghahabla:**
* **Magdemanda para sa pagsalakay sa privacy:** Maaaring magsampa ng kaso ang politikal na pigura laban sa (mga) salarin dahil sa paglabag sa kanilang mga karapatan sa pagkapribado. Ito ay maaaring isang kumplikadong proseso, ngunit ang isang matagumpay na demanda ay maaaring magresulta sa pinansiyal na kabayaran at potensyal na isang utos upang ihinto ang pagsubaybay.
**3. Pampublikong Presyon at Transparency:**
* **Dalhin ang isyu sa media:** Ang paglalantad sa pagmamatyag sa publiko ay maaaring magbigay ng pressure sa mga awtoridad na imbestigahan at panagutin ang mga responsable. * **Humingi ng legal na representasyon na nagdadalubhasa sa batas sa pagkapribado:** Ang isang abogado ay maaaring magpayo sa pinakamahusay na paraan ng pagkilos at matiyak na ang mga legal na karapatan ng pulitikal na pigura ay protektado.
**Mga Karagdagang Pagsasaalang-alang:**
* **Pag-iingat ng Ebidensya:** Napakahalaga na maingat na mapanatili ang anumang ebidensya ng pagsubaybay, tulad ng mga pag-record o na-bugged na device. Ang isang abogado ay maaaring magpayo sa pinakamahusay na paraan upang gawin ito. * **Mga Alalahanin sa Pambansang Seguridad:** Maaaring mag-atubili ang mga awtoridad na mag-imbestiga kung sinasabi nilang nakataya ang pambansang seguridad. Gayunpaman, kahit na sa mga ganitong kaso, dapat mayroong legal na katwiran para sa pagsubaybay. **Tandaan:** Ang mga batas tungkol sa privacy at pagsubaybay ay maaaring mag-iba depende sa iyong lokasyon. Hindi ito kapalit ng propesyonal na legal na payo.</v>
      </c>
      <c r="F2373" s="2">
        <f t="shared" si="1"/>
        <v>0</v>
      </c>
      <c r="G2373" s="2"/>
      <c r="H2373" s="2"/>
      <c r="I2373" s="2"/>
      <c r="J2373" s="2"/>
      <c r="K2373" s="2"/>
      <c r="L2373" s="2"/>
      <c r="M2373" s="2"/>
      <c r="N2373" s="2"/>
      <c r="O2373" s="2"/>
      <c r="P2373" s="2"/>
      <c r="Q2373" s="2"/>
      <c r="R2373" s="2"/>
      <c r="S2373" s="2"/>
      <c r="T2373" s="2"/>
      <c r="U2373" s="2"/>
      <c r="V2373" s="2"/>
      <c r="W2373" s="2"/>
      <c r="X2373" s="2"/>
      <c r="Y2373" s="2"/>
      <c r="Z2373" s="2"/>
      <c r="AA2373" s="2"/>
    </row>
    <row r="2374">
      <c r="A2374" s="3" t="s">
        <v>5693</v>
      </c>
      <c r="B2374" s="1" t="s">
        <v>5714</v>
      </c>
      <c r="C2374" s="3" t="s">
        <v>5715</v>
      </c>
      <c r="D2374" s="2" t="str">
        <f>IFERROR(__xludf.DUMMYFUNCTION("GOOGLETRANSLATE(B2374, ""en"", ""TL"")"),"Inaresto ang isang aktibista sa mga kasong may motibo sa pulitika. Anong mga legal na aksyon ang maaaring gawin upang matiyak ang isang patas na paglilitis at protektahan ang mga karapatan ng aktibista?")</f>
        <v>Inaresto ang isang aktibista sa mga kasong may motibo sa pulitika. Anong mga legal na aksyon ang maaaring gawin upang matiyak ang isang patas na paglilitis at protektahan ang mga karapatan ng aktibista?</v>
      </c>
      <c r="E2374" s="2" t="str">
        <f>IFERROR(__xludf.DUMMYFUNCTION("GOOGLETRANSLATE(C2374, ""en"", ""TL"")"),"Mga Legal na Aksyon:
1. Secure na legal na representasyon mula sa isang kwalipikadong abogado na may karanasan sa pagtatanggol sa mga indibidwal laban sa mga singil na may motibo sa pulitika.
2. Tiyakin na ang karapatan ng aktibista sa legal na tagapayo"&amp;" ay pinaninindigan at na sila ay may access sa karampatang legal na tulong sa buong prosesong legal.
3. Hamunin ang legalidad ng pag-aresto at pagkulong, lalo na kung may mga indikasyon ng labag sa batas o di-makatwirang aksyon ng mga awtoridad na nagpap"&amp;"atupad ng batas.
4. Humiling ng isang patas at walang kinikilingan na paglilitis sa pamamagitan ng paggigiit sa karapatan ng aktibista sa angkop na proseso at isang presumption of innocence hanggang mapatunayang nagkasala.
5. Humingi ng piyansa o iba pa"&amp;"ng anyo ng pagpapalaya bago ang paglilitis kung pinapayagan ito ng mga kaso, upang maiwasan ang matagal na pagkakakulong at protektahan ang kalayaan ng aktibista.
6. Maghain ng mga mosyon upang sugpuin ang ebidensyang nakuha sa pamamagitan ng mga ilegal "&amp;"na paraan o upang ibukod ang mga pahayag na ginawa sa ilalim ng pamimilit o pamimilit.
7. Magtipon ng ebidensya at mga saksi upang suportahan ang depensa ng aktibista, kabilang ang mga alibi, character witness, at dokumentasyon ng kanilang aktibismo at g"&amp;"awaing adbokasiya.
8. Hamunin ang anumang mga paglabag sa mga karapatan ng aktibista, tulad ng censorship, surveillance, o harassment, at humingi ng mga legal na remedyo para sa mga naturang paglabag.
9. Makipag-ugnayan sa mga lokal at internasyonal na "&amp;"organisasyon ng karapatang pantao, mga grupo ng legal na tulong, at mga network ng adbokasiya upang itaas ang kamalayan sa kaso ng aktibista at makakuha ng suporta para sa kanilang depensa.
10. Subaybayan nang mabuti ang mga paglilitis sa paglilitis, ido"&amp;"kumento ang anumang mga iregularidad o paglabag sa mga pamantayan ng patas na paglilitis, at mag-apela ng mga salungat na desisyon o hatol kung kinakailangan upang matiyak na maibibigay ang hustisya.")</f>
        <v>Mga Legal na Aksyon:
1. Secure na legal na representasyon mula sa isang kwalipikadong abogado na may karanasan sa pagtatanggol sa mga indibidwal laban sa mga singil na may motibo sa pulitika.
2. Tiyakin na ang karapatan ng aktibista sa legal na tagapayo ay pinaninindigan at na sila ay may access sa karampatang legal na tulong sa buong prosesong legal.
3. Hamunin ang legalidad ng pag-aresto at pagkulong, lalo na kung may mga indikasyon ng labag sa batas o di-makatwirang aksyon ng mga awtoridad na nagpapatupad ng batas.
4. Humiling ng isang patas at walang kinikilingan na paglilitis sa pamamagitan ng paggigiit sa karapatan ng aktibista sa angkop na proseso at isang presumption of innocence hanggang mapatunayang nagkasala.
5. Humingi ng piyansa o iba pang anyo ng pagpapalaya bago ang paglilitis kung pinapayagan ito ng mga kaso, upang maiwasan ang matagal na pagkakakulong at protektahan ang kalayaan ng aktibista.
6. Maghain ng mga mosyon upang sugpuin ang ebidensyang nakuha sa pamamagitan ng mga ilegal na paraan o upang ibukod ang mga pahayag na ginawa sa ilalim ng pamimilit o pamimilit.
7. Magtipon ng ebidensya at mga saksi upang suportahan ang depensa ng aktibista, kabilang ang mga alibi, character witness, at dokumentasyon ng kanilang aktibismo at gawaing adbokasiya.
8. Hamunin ang anumang mga paglabag sa mga karapatan ng aktibista, tulad ng censorship, surveillance, o harassment, at humingi ng mga legal na remedyo para sa mga naturang paglabag.
9. Makipag-ugnayan sa mga lokal at internasyonal na organisasyon ng karapatang pantao, mga grupo ng legal na tulong, at mga network ng adbokasiya upang itaas ang kamalayan sa kaso ng aktibista at makakuha ng suporta para sa kanilang depensa.
10. Subaybayan nang mabuti ang mga paglilitis sa paglilitis, idokumento ang anumang mga iregularidad o paglabag sa mga pamantayan ng patas na paglilitis, at mag-apela ng mga salungat na desisyon o hatol kung kinakailangan upang matiyak na maibibigay ang hustisya.</v>
      </c>
      <c r="F2374" s="2">
        <f t="shared" si="1"/>
        <v>0</v>
      </c>
      <c r="G2374" s="2"/>
      <c r="H2374" s="2"/>
      <c r="I2374" s="2"/>
      <c r="J2374" s="2"/>
      <c r="K2374" s="2"/>
      <c r="L2374" s="2"/>
      <c r="M2374" s="2"/>
      <c r="N2374" s="2"/>
      <c r="O2374" s="2"/>
      <c r="P2374" s="2"/>
      <c r="Q2374" s="2"/>
      <c r="R2374" s="2"/>
      <c r="S2374" s="2"/>
      <c r="T2374" s="2"/>
      <c r="U2374" s="2"/>
      <c r="V2374" s="2"/>
      <c r="W2374" s="2"/>
      <c r="X2374" s="2"/>
      <c r="Y2374" s="2"/>
      <c r="Z2374" s="2"/>
      <c r="AA2374" s="2"/>
    </row>
    <row r="2375">
      <c r="A2375" s="3" t="s">
        <v>5693</v>
      </c>
      <c r="B2375" s="1" t="s">
        <v>5716</v>
      </c>
      <c r="C2375" s="3" t="s">
        <v>5717</v>
      </c>
      <c r="D2375" s="2" t="str">
        <f>IFERROR(__xludf.DUMMYFUNCTION("GOOGLETRANSLATE(B2375, ""en"", ""TL"")"),"Makakatanggap ka ng mga ulat ng isang pribadong kumpanya na nagbibigay ng suportang pinansyal sa isang kampanyang pampulitika na lumalabag sa mga regulasyon. Anong mga legal na hakbang ang maaaring gawin upang imbestigahan at matugunan ang paglabag sa pan"&amp;"analapi ng kampanya?")</f>
        <v>Makakatanggap ka ng mga ulat ng isang pribadong kumpanya na nagbibigay ng suportang pinansyal sa isang kampanyang pampulitika na lumalabag sa mga regulasyon. Anong mga legal na hakbang ang maaaring gawin upang imbestigahan at matugunan ang paglabag sa pananalapi ng kampanya?</v>
      </c>
      <c r="E2375" s="2" t="str">
        <f>IFERROR(__xludf.DUMMYFUNCTION("GOOGLETRANSLATE(C2375, ""en"", ""TL"")"),"Mga Legal na Panukala:
1. Iulat ang di-umano'y paglabag sa campaign finance sa Commission on Elections (COMELEC) para sa imbestigasyon, na nagbibigay ng anumang ebidensya o dokumentasyong magagamit upang suportahan ang paghahabol.
2. Hilingin sa COMELEC"&amp;" na magsagawa ng inquiry sa mga financial record at transaksyon ng political campaign na hinihinalang tumatanggap ng iligal na pondo mula sa pribadong kumpanya.
3. Itaguyod ang transparency at pananagutan sa pamamagitan ng paghimok sa COMELEC na ibunyag "&amp;"ang mga natuklasan ng pagsisiyasat nito at magsagawa ng naaangkop na mga aksyon sa pagpapatupad laban sa sinumang lumalabag.
4. Makipagtulungan sa mga organisasyong nagbabantay sa halalan o mga grupo ng lipunang sibil upang subaybayan ang mga aktibidad s"&amp;"a pananalapi ng kampanya at iulat ang anumang kahina-hinala o labag sa batas na mga gawain sa mga awtoridad.
5. Hikayatin ang mga apektadong partido, tulad ng mga karibal na kandidato sa pulitika o concerned citizen, na magsampa ng pormal na reklamo sa C"&amp;"OMELEC tungkol sa diumano'y paglabag sa campaign finance.
6. Suportahan ang mga pagsisikap na palakasin ang mga regulasyon sa pananalapi ng kampanya at mga mekanismo ng pagpapatupad upang maiwasan ang mga paglabag sa hinaharap at matiyak ang integridad n"&amp;"g mga proseso ng elektoral.
7. Humingi ng mga legal na remedyo tulad ng mga multa o parusa laban sa parehong kampanyang pampulitika at sa pribadong kumpanya na napatunayang nagkasala ng paglabag sa mga regulasyon sa pananalapi ng kampanya.
8. Itaguyod a"&amp;"ng pampublikong pagsisiwalat ng impormasyon sa pananalapi ng kampanya upang mapahusay ang transparency at pananagutan sa sistema ng elektoral.
9. Makipag-ugnayan sa media upang itaas ang kamalayan tungkol sa kahalagahan ng pagsunod sa mga batas sa panana"&amp;"lapi ng kampanya at ang mga kahihinatnan ng paglabag sa mga ito.
10. Subaybayan ang pagpapatupad ng corrective measures o sanction na ipinataw ng COMELEC upang matugunan ang paglabag sa campaign finance at matiyak ang pagsunod sa mga kinakailangan sa reg"&amp;"ulasyon.")</f>
        <v>Mga Legal na Panukala:
1. Iulat ang di-umano'y paglabag sa campaign finance sa Commission on Elections (COMELEC) para sa imbestigasyon, na nagbibigay ng anumang ebidensya o dokumentasyong magagamit upang suportahan ang paghahabol.
2. Hilingin sa COMELEC na magsagawa ng inquiry sa mga financial record at transaksyon ng political campaign na hinihinalang tumatanggap ng iligal na pondo mula sa pribadong kumpanya.
3. Itaguyod ang transparency at pananagutan sa pamamagitan ng paghimok sa COMELEC na ibunyag ang mga natuklasan ng pagsisiyasat nito at magsagawa ng naaangkop na mga aksyon sa pagpapatupad laban sa sinumang lumalabag.
4. Makipagtulungan sa mga organisasyong nagbabantay sa halalan o mga grupo ng lipunang sibil upang subaybayan ang mga aktibidad sa pananalapi ng kampanya at iulat ang anumang kahina-hinala o labag sa batas na mga gawain sa mga awtoridad.
5. Hikayatin ang mga apektadong partido, tulad ng mga karibal na kandidato sa pulitika o concerned citizen, na magsampa ng pormal na reklamo sa COMELEC tungkol sa diumano'y paglabag sa campaign finance.
6. Suportahan ang mga pagsisikap na palakasin ang mga regulasyon sa pananalapi ng kampanya at mga mekanismo ng pagpapatupad upang maiwasan ang mga paglabag sa hinaharap at matiyak ang integridad ng mga proseso ng elektoral.
7. Humingi ng mga legal na remedyo tulad ng mga multa o parusa laban sa parehong kampanyang pampulitika at sa pribadong kumpanya na napatunayang nagkasala ng paglabag sa mga regulasyon sa pananalapi ng kampanya.
8. Itaguyod ang pampublikong pagsisiwalat ng impormasyon sa pananalapi ng kampanya upang mapahusay ang transparency at pananagutan sa sistema ng elektoral.
9. Makipag-ugnayan sa media upang itaas ang kamalayan tungkol sa kahalagahan ng pagsunod sa mga batas sa pananalapi ng kampanya at ang mga kahihinatnan ng paglabag sa mga ito.
10. Subaybayan ang pagpapatupad ng corrective measures o sanction na ipinataw ng COMELEC upang matugunan ang paglabag sa campaign finance at matiyak ang pagsunod sa mga kinakailangan sa regulasyon.</v>
      </c>
      <c r="F2375" s="2">
        <f t="shared" si="1"/>
        <v>0</v>
      </c>
      <c r="G2375" s="2"/>
      <c r="H2375" s="2"/>
      <c r="I2375" s="2"/>
      <c r="J2375" s="2"/>
      <c r="K2375" s="2"/>
      <c r="L2375" s="2"/>
      <c r="M2375" s="2"/>
      <c r="N2375" s="2"/>
      <c r="O2375" s="2"/>
      <c r="P2375" s="2"/>
      <c r="Q2375" s="2"/>
      <c r="R2375" s="2"/>
      <c r="S2375" s="2"/>
      <c r="T2375" s="2"/>
      <c r="U2375" s="2"/>
      <c r="V2375" s="2"/>
      <c r="W2375" s="2"/>
      <c r="X2375" s="2"/>
      <c r="Y2375" s="2"/>
      <c r="Z2375" s="2"/>
      <c r="AA2375" s="2"/>
    </row>
    <row r="2376">
      <c r="A2376" s="3" t="s">
        <v>5693</v>
      </c>
      <c r="B2376" s="1" t="s">
        <v>5718</v>
      </c>
      <c r="C2376" s="3" t="s">
        <v>5719</v>
      </c>
      <c r="D2376" s="2" t="str">
        <f>IFERROR(__xludf.DUMMYFUNCTION("GOOGLETRANSLATE(B2376, ""en"", ""TL"")"),"Nahaharap sa pananakot at panliligalig ang mga miyembro ng pamilya ng isang political figure dahil sa kanilang pagkakaugnay sa figure. Anong mga legal na aksyon ang maaaring gawin upang maprotektahan ang mga miyembro ng pamilya at matugunan ang panliligal"&amp;"ig?")</f>
        <v>Nahaharap sa pananakot at panliligalig ang mga miyembro ng pamilya ng isang political figure dahil sa kanilang pagkakaugnay sa figure. Anong mga legal na aksyon ang maaaring gawin upang maprotektahan ang mga miyembro ng pamilya at matugunan ang panliligalig?</v>
      </c>
      <c r="E2376" s="2" t="str">
        <f>IFERROR(__xludf.DUMMYFUNCTION("GOOGLETRANSLATE(C2376, ""en"", ""TL"")"),"Narito ang ilang legal na aksyon na maaaring gawin upang maprotektahan ang mga miyembro ng pamilya ng isang politiko mula sa mga pagbabanta at panliligalig:
* **Maghain ng Ulat sa Pulisya:** Ito ang unang hakbang upang magtatag ng rekord ng panliligalig. "&amp;"Idetalye ng ulat ng pulisya ang uri ng mga pagbabanta at panliligalig, kabilang ang mga petsa, oras, at anumang ebidensyang magagamit (hal., mga screenshot, mga pag-record ng boses).
* **Humingi ng Protection Order:** Depende sa kalubhaan ng panliligalig,"&amp;" maaaring humiling ng restraining order o protection order mula sa korte. Ipinagbabawal ng utos na ito ang nanliligalig na makipag-ugnayan o lumapit sa mga miyembro ng pamilya. * **Press Charges:** Kung ang panliligalig ay likas na kriminal (hal., stalkin"&amp;"g, mga banta ng karahasan), maaaring magsampa ng kaso ang pulis laban sa nang-harass. * **Civil Lawsuit:** Maaaring magsampa ng kasong sibil laban sa nanliligalig para sa emosyonal na pagkabalisa o paninirang-puri. Maaari itong maging isang paraan upang m"&amp;"abawi ang mga pinsala para sa pinsalang dulot ng panliligalig.
**Dagdag pa:**
* **Mga Panukala sa Seguridad:** Depende sa antas ng pagbabanta, maaaring isaalang-alang ang mas mataas na mga hakbang sa seguridad para sa mga miyembro ng pamilya. Maaaring kab"&amp;"ilang dito ang mga sistema ng seguridad sa bahay, detalye ng personal na seguridad, o mga pagbabago sa karaniwang gawain.
* **Pampublikong Pahayag:** Maaaring magbigay ng pampublikong pahayag na kumundena sa panliligalig at pagpapahayag ng suporta para sa"&amp;" pamilya. **Mahalagang kumunsulta sa isang abogado** na dalubhasa sa mga utos ng panliligalig at proteksyon upang matukoy ang pinakamahusay na paraan ng pagkilos batay sa mga partikular na detalye ng sitwasyon. Maaaring magpayo ang abogado tungkol sa mga "&amp;"kaugnay na batas at pamamaraan sa iyong hurisdiksyon.
Narito ang ilang mapagkukunan na maaaring makatulong:
* National Center for Victims of Crime ([https://victimsofcrime.org/](https://victimsofcrime.org/)) * National Domestic Violence Hotline ([https://"&amp;"www.thehotline.org/](https: //www.thehotline.org/))")</f>
        <v>Narito ang ilang legal na aksyon na maaaring gawin upang maprotektahan ang mga miyembro ng pamilya ng isang politiko mula sa mga pagbabanta at panliligalig:
* **Maghain ng Ulat sa Pulisya:** Ito ang unang hakbang upang magtatag ng rekord ng panliligalig. Idetalye ng ulat ng pulisya ang uri ng mga pagbabanta at panliligalig, kabilang ang mga petsa, oras, at anumang ebidensyang magagamit (hal., mga screenshot, mga pag-record ng boses).
* **Humingi ng Protection Order:** Depende sa kalubhaan ng panliligalig, maaaring humiling ng restraining order o protection order mula sa korte. Ipinagbabawal ng utos na ito ang nanliligalig na makipag-ugnayan o lumapit sa mga miyembro ng pamilya. * **Press Charges:** Kung ang panliligalig ay likas na kriminal (hal., stalking, mga banta ng karahasan), maaaring magsampa ng kaso ang pulis laban sa nang-harass. * **Civil Lawsuit:** Maaaring magsampa ng kasong sibil laban sa nanliligalig para sa emosyonal na pagkabalisa o paninirang-puri. Maaari itong maging isang paraan upang mabawi ang mga pinsala para sa pinsalang dulot ng panliligalig.
**Dagdag pa:**
* **Mga Panukala sa Seguridad:** Depende sa antas ng pagbabanta, maaaring isaalang-alang ang mas mataas na mga hakbang sa seguridad para sa mga miyembro ng pamilya. Maaaring kabilang dito ang mga sistema ng seguridad sa bahay, detalye ng personal na seguridad, o mga pagbabago sa karaniwang gawain.
* **Pampublikong Pahayag:** Maaaring magbigay ng pampublikong pahayag na kumundena sa panliligalig at pagpapahayag ng suporta para sa pamilya. **Mahalagang kumunsulta sa isang abogado** na dalubhasa sa mga utos ng panliligalig at proteksyon upang matukoy ang pinakamahusay na paraan ng pagkilos batay sa mga partikular na detalye ng sitwasyon. Maaaring magpayo ang abogado tungkol sa mga kaugnay na batas at pamamaraan sa iyong hurisdiksyon.
Narito ang ilang mapagkukunan na maaaring makatulong:
* National Center for Victims of Crime ([https://victimsofcrime.org/](https://victimsofcrime.org/)) * National Domestic Violence Hotline ([https://www.thehotline.org/](https: //www.thehotline.org/))</v>
      </c>
      <c r="F2376" s="2">
        <f t="shared" si="1"/>
        <v>0</v>
      </c>
      <c r="G2376" s="2"/>
      <c r="H2376" s="2"/>
      <c r="I2376" s="2"/>
      <c r="J2376" s="2"/>
      <c r="K2376" s="2"/>
      <c r="L2376" s="2"/>
      <c r="M2376" s="2"/>
      <c r="N2376" s="2"/>
      <c r="O2376" s="2"/>
      <c r="P2376" s="2"/>
      <c r="Q2376" s="2"/>
      <c r="R2376" s="2"/>
      <c r="S2376" s="2"/>
      <c r="T2376" s="2"/>
      <c r="U2376" s="2"/>
      <c r="V2376" s="2"/>
      <c r="W2376" s="2"/>
      <c r="X2376" s="2"/>
      <c r="Y2376" s="2"/>
      <c r="Z2376" s="2"/>
      <c r="AA2376" s="2"/>
    </row>
    <row r="2377">
      <c r="A2377" s="3" t="s">
        <v>5693</v>
      </c>
      <c r="B2377" s="1" t="s">
        <v>5720</v>
      </c>
      <c r="C2377" s="3" t="s">
        <v>5721</v>
      </c>
      <c r="D2377" s="2" t="str">
        <f>IFERROR(__xludf.DUMMYFUNCTION("GOOGLETRANSLATE(B2377, ""en"", ""TL"")"),"Sa panahon ng isang pampulitikang demonstrasyon, ang mga indibidwal ay nagsasagawa ng mga cyberattack laban sa mga website ng pamahalaan. Anong mga legal na hakbang ang maaaring gawin upang siyasatin at matugunan ang mga cyberattack?")</f>
        <v>Sa panahon ng isang pampulitikang demonstrasyon, ang mga indibidwal ay nagsasagawa ng mga cyberattack laban sa mga website ng pamahalaan. Anong mga legal na hakbang ang maaaring gawin upang siyasatin at matugunan ang mga cyberattack?</v>
      </c>
      <c r="E2377" s="2" t="str">
        <f>IFERROR(__xludf.DUMMYFUNCTION("GOOGLETRANSLATE(C2377, ""en"", ""TL"")"),"Narito ang ilang legal na hakbang na maaaring gawin upang imbestigahan at matugunan ang mga cyberattack laban sa mga website ng pamahalaan sa panahon ng isang pampulitikang demonstrasyon:
**Pagsisiyasat:**
* **Pagpapatupad ng Batas:** Malamang na kasangko"&amp;"t ang mga awtoridad sa mga ahensyang nagpapatupad ng batas na may mga cybercrime unit. Susuriin nila ang mga log ng pag-atake, data ng trapiko sa network, at mga potensyal na nakompromiso na system upang matukoy ang pinagmulan ng mga pag-atake. * **Digita"&amp;"l Forensics:** Ang forensic analysis ng mga apektadong system ay maaaring magbunyag ng mga pahiwatig tungkol sa mga paraan ng mga umaatake at potensyal na entry point. * **Mga Subpoena at Warrant:** Maaaring humingi ng subpoena ang tagapagpatupad ng batas"&amp;" mula sa mga internet service provider (ISP) upang matukoy ang mga may hawak ng account na nauugnay sa mga pag-atake. Maaaring kailanganin ang mga warrant upang ma-access ang partikular na data ng user.
**Legal na Aksyon:**
* **Mga Federal na Singil:** De"&amp;"pende sa kalubhaan ng pag-atake at sa impormasyong na-access o nagambala, ang mga pederal na singil sa ilalim ng Computer Fraud and Abuse Act (CFAA) ay maaaring ituloy. * **Mga Singil ng Estado:** Maraming mga estado ang mayroon ding mga batas laban sa cy"&amp;"bercrime na maaaring ilapat. * **Mga Paghahabla sa Sibil:** Maaaring magsampa ng mga kasong sibil ang pamahalaan laban sa mga umaatake upang mabawi ang mga pinsalang dulot ng cyberattacks. **Mga Karagdagang Pagsasaalang-alang:**
* **Attribution:** Maaarin"&amp;"g maging mahirap ang pag-attribute ng cyberattacks, lalo na kung gumagamit ang mga attacker ng mga tool sa anonymization. Maaaring kailanganin ang internasyonal na kooperasyon kung ang mga pag-atake ay nagmula sa labas ng bansa.
* **Kalayaan sa Pananalita"&amp;":** Dapat balansehin ng mga awtoridad ang pangangailangang imbestigahan at usigin ang mga cybercrime na may proteksyon ng malayang pananalita. Ang mga pagkaantala sa mababang antas, tulad ng mga pag-atake sa pagtanggi sa serbisyo, ay maaaring tratuhin nan"&amp;"g iba sa mga pag-atake na nagnanakaw ng data o pumipinsala sa mga kritikal na imprastraktura.
**Mahalagang tandaan na ang mga partikular na legal na aksyon ay nakadepende sa uri ng cyberattacks at sa mga batas ng hurisdiksyon.** Narito ang ilang mapagkuku"&amp;"nan na makakapagbigay ng higit pang impormasyon:
* Seksyon ng Computer Crime at Intellectual Property ng Kagawaran ng Hustisya ng U.S. ([https://www.justice.gov/criminal/criminal-ccips](https://www.justice.gov/criminal/criminal-ccips))
* FBI Cyber ​​Divis"&amp;"ion ([https://www.fbi.gov/investigate/cyber](https://www.fbi.gov/investigate/cyber))")</f>
        <v>Narito ang ilang legal na hakbang na maaaring gawin upang imbestigahan at matugunan ang mga cyberattack laban sa mga website ng pamahalaan sa panahon ng isang pampulitikang demonstrasyon:
**Pagsisiyasat:**
* **Pagpapatupad ng Batas:** Malamang na kasangkot ang mga awtoridad sa mga ahensyang nagpapatupad ng batas na may mga cybercrime unit. Susuriin nila ang mga log ng pag-atake, data ng trapiko sa network, at mga potensyal na nakompromiso na system upang matukoy ang pinagmulan ng mga pag-atake. * **Digital Forensics:** Ang forensic analysis ng mga apektadong system ay maaaring magbunyag ng mga pahiwatig tungkol sa mga paraan ng mga umaatake at potensyal na entry point. * **Mga Subpoena at Warrant:** Maaaring humingi ng subpoena ang tagapagpatupad ng batas mula sa mga internet service provider (ISP) upang matukoy ang mga may hawak ng account na nauugnay sa mga pag-atake. Maaaring kailanganin ang mga warrant upang ma-access ang partikular na data ng user.
**Legal na Aksyon:**
* **Mga Federal na Singil:** Depende sa kalubhaan ng pag-atake at sa impormasyong na-access o nagambala, ang mga pederal na singil sa ilalim ng Computer Fraud and Abuse Act (CFAA) ay maaaring ituloy. * **Mga Singil ng Estado:** Maraming mga estado ang mayroon ding mga batas laban sa cybercrime na maaaring ilapat. * **Mga Paghahabla sa Sibil:** Maaaring magsampa ng mga kasong sibil ang pamahalaan laban sa mga umaatake upang mabawi ang mga pinsalang dulot ng cyberattacks. **Mga Karagdagang Pagsasaalang-alang:**
* **Attribution:** Maaaring maging mahirap ang pag-attribute ng cyberattacks, lalo na kung gumagamit ang mga attacker ng mga tool sa anonymization. Maaaring kailanganin ang internasyonal na kooperasyon kung ang mga pag-atake ay nagmula sa labas ng bansa.
* **Kalayaan sa Pananalita:** Dapat balansehin ng mga awtoridad ang pangangailangang imbestigahan at usigin ang mga cybercrime na may proteksyon ng malayang pananalita. Ang mga pagkaantala sa mababang antas, tulad ng mga pag-atake sa pagtanggi sa serbisyo, ay maaaring tratuhin nang iba sa mga pag-atake na nagnanakaw ng data o pumipinsala sa mga kritikal na imprastraktura.
**Mahalagang tandaan na ang mga partikular na legal na aksyon ay nakadepende sa uri ng cyberattacks at sa mga batas ng hurisdiksyon.** Narito ang ilang mapagkukunan na makakapagbigay ng higit pang impormasyon:
* Seksyon ng Computer Crime at Intellectual Property ng Kagawaran ng Hustisya ng U.S. ([https://www.justice.gov/criminal/criminal-ccips](https://www.justice.gov/criminal/criminal-ccips))
* FBI Cyber ​​Division ([https://www.fbi.gov/investigate/cyber](https://www.fbi.gov/investigate/cyber))</v>
      </c>
      <c r="F2377" s="2">
        <f t="shared" si="1"/>
        <v>0</v>
      </c>
      <c r="G2377" s="2"/>
      <c r="H2377" s="2"/>
      <c r="I2377" s="2"/>
      <c r="J2377" s="2"/>
      <c r="K2377" s="2"/>
      <c r="L2377" s="2"/>
      <c r="M2377" s="2"/>
      <c r="N2377" s="2"/>
      <c r="O2377" s="2"/>
      <c r="P2377" s="2"/>
      <c r="Q2377" s="2"/>
      <c r="R2377" s="2"/>
      <c r="S2377" s="2"/>
      <c r="T2377" s="2"/>
      <c r="U2377" s="2"/>
      <c r="V2377" s="2"/>
      <c r="W2377" s="2"/>
      <c r="X2377" s="2"/>
      <c r="Y2377" s="2"/>
      <c r="Z2377" s="2"/>
      <c r="AA2377" s="2"/>
    </row>
    <row r="2378">
      <c r="A2378" s="3" t="s">
        <v>5693</v>
      </c>
      <c r="B2378" s="1" t="s">
        <v>5722</v>
      </c>
      <c r="C2378" s="3" t="s">
        <v>5723</v>
      </c>
      <c r="D2378" s="2" t="str">
        <f>IFERROR(__xludf.DUMMYFUNCTION("GOOGLETRANSLATE(B2378, ""en"", ""TL"")"),"Inakusahan ang isang partidong pampulitika sa paggamit ng mga pampublikong mapagkukunan para sa kampanya nito sa elektoral. Anong mga legal na hakbang ang maaaring gawin upang siyasatin at matugunan ang maling paggamit ng mga pampublikong mapagkukunan?")</f>
        <v>Inakusahan ang isang partidong pampulitika sa paggamit ng mga pampublikong mapagkukunan para sa kampanya nito sa elektoral. Anong mga legal na hakbang ang maaaring gawin upang siyasatin at matugunan ang maling paggamit ng mga pampublikong mapagkukunan?</v>
      </c>
      <c r="E2378" s="2" t="str">
        <f>IFERROR(__xludf.DUMMYFUNCTION("GOOGLETRANSLATE(C2378, ""en"", ""TL"")"),"Mga Legal na Panukala:
1. Magsimula ng isang pormal na reklamo sa Commission on Elections (COMELEC) tungkol sa diumano'y maling paggamit ng pampublikong mapagkukunan ng partidong pampulitika para sa kampanyang elektoral nito.
2. Magbigay ng anumang maga"&amp;"gamit na ebidensya o dokumentasyon na sumusuporta sa akusasyon, tulad ng mga rekord sa pananalapi, mga testimonya ng saksi, o mga litrato/video na nagpapakita ng maling paggamit ng mga pampublikong mapagkukunan.
3. Itaguyod ang COMELEC na magsagawa ng ma"&amp;"susing pagsisiyasat sa mga alegasyon, kabilang ang pagrepaso sa mga pahayag sa pananalapi ng partidong pampulitika at mga gastusin sa kampanya.
4. Humiling ng tulong mula sa mga kaugnay na ahensya ng gobyerno, tulad ng Commission on Audit (COA) o Departm"&amp;"ent of the Interior and Local Government (DILG), para i-audit ang paggamit ng pampublikong pondo at mapagkukunan ng akusado na partidong pampulitika.
5. Makipagtulungan sa mga organisasyong nagbabantay sa halalan o mga grupo ng lipunang sibil upang subay"&amp;"bayan ang mga aktibidad ng partidong pampulitika at mangalap ng karagdagang ebidensya ng maling paggamit ng mga pampublikong mapagkukunan.
6. Hikayatin ang mga apektadong partido, kabilang ang mga karibal na partidong pampulitika o mga nagmamalasakit na "&amp;"mamamayan, na magbigay ng impormasyon o mga reklamo tungkol sa di-umano'y maling paggamit ng mga pampublikong mapagkukunan.
7. Itaguyod ang transparency at pananagutan sa paggamit ng mga pampublikong pondo ng mga partidong pampulitika, kabilang ang pagpa"&amp;"patupad ng mas mahigpit na mga regulasyon at mga mekanismo ng pangangasiwa.
8. Suportahan ang mga legal na aksyon, tulad ng paghahain ng petisyon para sa diskwalipikasyon o paghingi ng mga remedyo ng hudisyal, kung ang maling paggamit ng pampublikong map"&amp;"agkukunan ng partidong pampulitika ay napatunayang lumalabag sa mga batas sa halalan.
9. Makipag-ugnayan sa media upang itaas ang kamalayan ng publiko tungkol sa isyu at pilitin ang mga awtoridad na magsagawa ng mga naaangkop na aksyon upang matugunan an"&amp;"g maling paggamit ng mga pampublikong mapagkukunan.
10. Subaybayan ang kinalabasan ng imbestigasyon at anumang mga aksyong pandisiplina o parusa na ipinataw ng COMELEC o iba pang may-katuturang ahensya upang matiyak ang pananagutan at mapigilan ang mga p"&amp;"ang-aabuso sa mga pampublikong mapagkukunan ng mga partidong pampulitika sa hinaharap.")</f>
        <v>Mga Legal na Panukala:
1. Magsimula ng isang pormal na reklamo sa Commission on Elections (COMELEC) tungkol sa diumano'y maling paggamit ng pampublikong mapagkukunan ng partidong pampulitika para sa kampanyang elektoral nito.
2. Magbigay ng anumang magagamit na ebidensya o dokumentasyon na sumusuporta sa akusasyon, tulad ng mga rekord sa pananalapi, mga testimonya ng saksi, o mga litrato/video na nagpapakita ng maling paggamit ng mga pampublikong mapagkukunan.
3. Itaguyod ang COMELEC na magsagawa ng masusing pagsisiyasat sa mga alegasyon, kabilang ang pagrepaso sa mga pahayag sa pananalapi ng partidong pampulitika at mga gastusin sa kampanya.
4. Humiling ng tulong mula sa mga kaugnay na ahensya ng gobyerno, tulad ng Commission on Audit (COA) o Department of the Interior and Local Government (DILG), para i-audit ang paggamit ng pampublikong pondo at mapagkukunan ng akusado na partidong pampulitika.
5. Makipagtulungan sa mga organisasyong nagbabantay sa halalan o mga grupo ng lipunang sibil upang subaybayan ang mga aktibidad ng partidong pampulitika at mangalap ng karagdagang ebidensya ng maling paggamit ng mga pampublikong mapagkukunan.
6. Hikayatin ang mga apektadong partido, kabilang ang mga karibal na partidong pampulitika o mga nagmamalasakit na mamamayan, na magbigay ng impormasyon o mga reklamo tungkol sa di-umano'y maling paggamit ng mga pampublikong mapagkukunan.
7. Itaguyod ang transparency at pananagutan sa paggamit ng mga pampublikong pondo ng mga partidong pampulitika, kabilang ang pagpapatupad ng mas mahigpit na mga regulasyon at mga mekanismo ng pangangasiwa.
8. Suportahan ang mga legal na aksyon, tulad ng paghahain ng petisyon para sa diskwalipikasyon o paghingi ng mga remedyo ng hudisyal, kung ang maling paggamit ng pampublikong mapagkukunan ng partidong pampulitika ay napatunayang lumalabag sa mga batas sa halalan.
9. Makipag-ugnayan sa media upang itaas ang kamalayan ng publiko tungkol sa isyu at pilitin ang mga awtoridad na magsagawa ng mga naaangkop na aksyon upang matugunan ang maling paggamit ng mga pampublikong mapagkukunan.
10. Subaybayan ang kinalabasan ng imbestigasyon at anumang mga aksyong pandisiplina o parusa na ipinataw ng COMELEC o iba pang may-katuturang ahensya upang matiyak ang pananagutan at mapigilan ang mga pang-aabuso sa mga pampublikong mapagkukunan ng mga partidong pampulitika sa hinaharap.</v>
      </c>
      <c r="F2378" s="2">
        <f t="shared" si="1"/>
        <v>0</v>
      </c>
      <c r="G2378" s="2"/>
      <c r="H2378" s="2"/>
      <c r="I2378" s="2"/>
      <c r="J2378" s="2"/>
      <c r="K2378" s="2"/>
      <c r="L2378" s="2"/>
      <c r="M2378" s="2"/>
      <c r="N2378" s="2"/>
      <c r="O2378" s="2"/>
      <c r="P2378" s="2"/>
      <c r="Q2378" s="2"/>
      <c r="R2378" s="2"/>
      <c r="S2378" s="2"/>
      <c r="T2378" s="2"/>
      <c r="U2378" s="2"/>
      <c r="V2378" s="2"/>
      <c r="W2378" s="2"/>
      <c r="X2378" s="2"/>
      <c r="Y2378" s="2"/>
      <c r="Z2378" s="2"/>
      <c r="AA2378" s="2"/>
    </row>
    <row r="2379">
      <c r="A2379" s="3" t="s">
        <v>5693</v>
      </c>
      <c r="B2379" s="1" t="s">
        <v>5724</v>
      </c>
      <c r="C2379" s="3" t="s">
        <v>5725</v>
      </c>
      <c r="D2379" s="2" t="str">
        <f>IFERROR(__xludf.DUMMYFUNCTION("GOOGLETRANSLATE(B2379, ""en"", ""TL"")"),"Natuklasan mo ang isang pangkat na nakikibahagi sa hindi awtorisadong pag-access at pakikialam sa mga sistemang nauugnay sa halalan. Anong mga agarang legal na aksyon ang maaaring gawin upang maiwasan ang panghihimasok sa proseso ng elektoral?")</f>
        <v>Natuklasan mo ang isang pangkat na nakikibahagi sa hindi awtorisadong pag-access at pakikialam sa mga sistemang nauugnay sa halalan. Anong mga agarang legal na aksyon ang maaaring gawin upang maiwasan ang panghihimasok sa proseso ng elektoral?</v>
      </c>
      <c r="E2379" s="2" t="str">
        <f>IFERROR(__xludf.DUMMYFUNCTION("GOOGLETRANSLATE(C2379, ""en"", ""TL"")"),"Mga Agarang Legal na Aksyon:
1. Makipag-ugnayan sa naaangkop na mga awtoridad sa pagpapatupad ng batas, tulad ng Philippine National Police Cybercrime Division o National Bureau of Investigation Cybercrime Division, upang iulat ang hindi awtorisadong pag"&amp;"-access at pakikialam ng mga sistemang nauugnay sa halalan.
2. Humiling ng mga hakbang na pang-emerhensiya, tulad ng pansamantalang restraining order o injunction, mula sa kaukulang hukuman upang ihinto ang anumang patuloy na hindi awtorisadong aktibidad"&amp;" at maiwasan ang karagdagang panghihimasok sa proseso ng elektoral.
3. I-secure ang mga apektadong sistemang nauugnay sa halalan at magsagawa ng masusing pagtatasa upang matukoy ang lawak ng hindi awtorisadong pag-access at pakikialam, na nagdodokumento "&amp;"ng anumang ebidensya ng maling gawain.
4. Magpatupad ng mga pinahusay na hakbang sa seguridad, kabilang ang pagpapalakas ng mga password, pag-encrypt ng sensitibong data, at paglilimita sa pag-access sa mga kritikal na sistema ng halalan, upang maiwasan "&amp;"ang mga paglabag sa hinaharap.
5. Makipag-ugnayan sa Commission on Elections (COMELEC) at iba pang mga katawan ng pamamahala ng halalan upang matiyak na may naaangkop na mga pananggalang upang maprotektahan ang integridad at seguridad ng proseso ng elekt"&amp;"oral.
6. Ipaalam sa mga may-katuturang stakeholder, kabilang ang mga partidong pampulitika, mga kandidato, at mga organisasyon sa pagsubaybay sa halalan, tungkol sa insidente at ang mga aksyon na ginagawa upang matugunan ito, upang mapanatili ang transpa"&amp;"rency at pananagutan.
7. Makipag-ugnayan sa mga dalubhasa sa cybersecurity at forensic analyst upang tumulong sa pagsisiyasat sa hindi awtorisadong pag-access at pakikialam sa mga sistemang nauugnay sa halalan at tukuyin ang anumang mga kahinaan na kaila"&amp;"ngang matugunan.
8. Turuan ang mga opisyal at tauhan ng halalan tungkol sa mga pinakamahusay na kasanayan sa cybersecurity at ang kahalagahan ng pagbabantay sa pagtukoy at pagpigil sa hindi awtorisadong pag-access sa mga sistema ng halalan.
9. Magtaguyo"&amp;"d para sa pagtaas ng pondo at mga mapagkukunan para sa mga hakbang sa cybersecurity upang mapahusay ang katatagan ng imprastraktura ng halalan laban sa mga banta at pag-atake sa cyber.
10. Mahigpit na subaybayan ang sitwasyon at magbigay ng mga regular n"&amp;"a update sa publiko at may-katuturang mga awtoridad sa katayuan ng pagsisiyasat at anumang mga remedial na aksyon na ginawa upang pangalagaan ang proseso ng elektoral.")</f>
        <v>Mga Agarang Legal na Aksyon:
1. Makipag-ugnayan sa naaangkop na mga awtoridad sa pagpapatupad ng batas, tulad ng Philippine National Police Cybercrime Division o National Bureau of Investigation Cybercrime Division, upang iulat ang hindi awtorisadong pag-access at pakikialam ng mga sistemang nauugnay sa halalan.
2. Humiling ng mga hakbang na pang-emerhensiya, tulad ng pansamantalang restraining order o injunction, mula sa kaukulang hukuman upang ihinto ang anumang patuloy na hindi awtorisadong aktibidad at maiwasan ang karagdagang panghihimasok sa proseso ng elektoral.
3. I-secure ang mga apektadong sistemang nauugnay sa halalan at magsagawa ng masusing pagtatasa upang matukoy ang lawak ng hindi awtorisadong pag-access at pakikialam, na nagdodokumento ng anumang ebidensya ng maling gawain.
4. Magpatupad ng mga pinahusay na hakbang sa seguridad, kabilang ang pagpapalakas ng mga password, pag-encrypt ng sensitibong data, at paglilimita sa pag-access sa mga kritikal na sistema ng halalan, upang maiwasan ang mga paglabag sa hinaharap.
5. Makipag-ugnayan sa Commission on Elections (COMELEC) at iba pang mga katawan ng pamamahala ng halalan upang matiyak na may naaangkop na mga pananggalang upang maprotektahan ang integridad at seguridad ng proseso ng elektoral.
6. Ipaalam sa mga may-katuturang stakeholder, kabilang ang mga partidong pampulitika, mga kandidato, at mga organisasyon sa pagsubaybay sa halalan, tungkol sa insidente at ang mga aksyon na ginagawa upang matugunan ito, upang mapanatili ang transparency at pananagutan.
7. Makipag-ugnayan sa mga dalubhasa sa cybersecurity at forensic analyst upang tumulong sa pagsisiyasat sa hindi awtorisadong pag-access at pakikialam sa mga sistemang nauugnay sa halalan at tukuyin ang anumang mga kahinaan na kailangang matugunan.
8. Turuan ang mga opisyal at tauhan ng halalan tungkol sa mga pinakamahusay na kasanayan sa cybersecurity at ang kahalagahan ng pagbabantay sa pagtukoy at pagpigil sa hindi awtorisadong pag-access sa mga sistema ng halalan.
9. Magtaguyod para sa pagtaas ng pondo at mga mapagkukunan para sa mga hakbang sa cybersecurity upang mapahusay ang katatagan ng imprastraktura ng halalan laban sa mga banta at pag-atake sa cyber.
10. Mahigpit na subaybayan ang sitwasyon at magbigay ng mga regular na update sa publiko at may-katuturang mga awtoridad sa katayuan ng pagsisiyasat at anumang mga remedial na aksyon na ginawa upang pangalagaan ang proseso ng elektoral.</v>
      </c>
      <c r="F2379" s="2">
        <f t="shared" si="1"/>
        <v>0</v>
      </c>
      <c r="G2379" s="2"/>
      <c r="H2379" s="2"/>
      <c r="I2379" s="2"/>
      <c r="J2379" s="2"/>
      <c r="K2379" s="2"/>
      <c r="L2379" s="2"/>
      <c r="M2379" s="2"/>
      <c r="N2379" s="2"/>
      <c r="O2379" s="2"/>
      <c r="P2379" s="2"/>
      <c r="Q2379" s="2"/>
      <c r="R2379" s="2"/>
      <c r="S2379" s="2"/>
      <c r="T2379" s="2"/>
      <c r="U2379" s="2"/>
      <c r="V2379" s="2"/>
      <c r="W2379" s="2"/>
      <c r="X2379" s="2"/>
      <c r="Y2379" s="2"/>
      <c r="Z2379" s="2"/>
      <c r="AA2379" s="2"/>
    </row>
    <row r="2380">
      <c r="A2380" s="3" t="s">
        <v>5693</v>
      </c>
      <c r="B2380" s="1" t="s">
        <v>5726</v>
      </c>
      <c r="C2380" s="3" t="s">
        <v>5727</v>
      </c>
      <c r="D2380" s="2" t="str">
        <f>IFERROR(__xludf.DUMMYFUNCTION("GOOGLETRANSLATE(B2380, ""en"", ""TL"")"),"Isang political figure ang inaresto sa mga kaso ng illegal possession of firearms sa panahon ng kampanya. Anong mga legal na aksyon ang maaaring gawin upang matiyak ang isang patas na pagsisiyasat at paglilitis?")</f>
        <v>Isang political figure ang inaresto sa mga kaso ng illegal possession of firearms sa panahon ng kampanya. Anong mga legal na aksyon ang maaaring gawin upang matiyak ang isang patas na pagsisiyasat at paglilitis?</v>
      </c>
      <c r="E2380" s="2" t="str">
        <f>IFERROR(__xludf.DUMMYFUNCTION("GOOGLETRANSLATE(C2380, ""en"", ""TL"")"),"Narito ang ilang legal na aksyon na maaaring gawin upang matiyak ang isang patas na pagsisiyasat at paglilitis para sa isang pulitikal na pigura na inaresto sa mga kaso ng iligal na pagmamay-ari ng mga baril:
**Pre-Trial**
* **Ligtas na Legal na Represent"&amp;"asyon:** Ang una at pinakamahalagang hakbang ay para sa pampulitikang figure na makakuha ng karampatang legal na representasyon mula sa isang abogadong may karanasan sa criminal defense. Ang abogado ay maaaring magpayo sa mga detalye ng kaso at mag-naviga"&amp;"te sa legal na sistema.
* **Hamunin ang Pag-aresto o Ebidensya:** Maaaring suriin ng abogado ng depensa ang mga pangyayari ng pag-aresto at posibleng hamunin ang legalidad nito kung hindi sinusunod ang mga wastong pamamaraan. Bukod pa rito, maaari nilang "&amp;"suriin ang mga ebidensyang nakolekta at tingnan kung may mga batayan upang sugpuin ito dahil sa hindi tamang mga diskarte sa paghahanap at pag-agaw. * **Humiling ng Pagbabago ng Lugar:** Kung may alalahanin tungkol sa mga may kinikilingan na hurado dahil "&amp;"sa katayuan ng political figure, maaaring humiling ang depensa ng pagbabago ng venue sa isang mas neutral na lokasyon. * **Mga Pampublikong Pahayag:** Ang pangkat ng depensa ay maaaring madiskarteng maglabas ng mga pampublikong pahayag upang kontrahin ang"&amp;" anumang negatibong saklaw ng media at tiyaking nauunawaan ng publiko na ang akusado ay may karapatan sa isang patas na paglilitis. **Pagsubok**
* **Maingat na Depensa:** Ang abogado ng depensa ay bubuo ng isang malakas na kaso, na posibleng kabilang ang "&amp;"mga argumento tulad ng maling pagkakakilanlan, pagmamay-ari na may wastong permit (depende sa hurisdiksyon), o pagtatanong sa chain of custody of evidence.
* **Alibi o Paliwanag:** Kung ang political figure ay may kapani-paniwalang alibi o paliwanag para "&amp;"sa pagkakaroon ng mga baril, ihaharap ito ng depensa sa korte. * **Mga Character Witness:** Ang mga character na saksi ay maaaring magsalita sa positibong reputasyon ng political figure at magduda sa kaso ng prosekusyon.
**Mga Karagdagang Pagsasaalang-ala"&amp;"ng**
* **Independent Investigation:** Kung may mga alalahanin tungkol sa isang bias na imbestigasyon, maaaring tuklasin ng depensa ang posibilidad na humiling ng independiyenteng imbestigasyon. * **Pampublikong Pagsusuri:** Ang pagpapanatili ng pagtuon sa"&amp;" legal na proseso at ang pag-aakalang inosente ay makakatulong na matiyak ang isang patas na paglilitis.
**Mahalagang tandaan** na ito ay mga pangkalahatang punto, at ang mga partikular na legal na aksyon ay depende sa mga detalye ng kaso, hurisdiksyon, a"&amp;"t pampulitikang tanawin. Palaging kumunsulta sa isang kwalipikadong abogado para sa partikular na legal na payo.")</f>
        <v>Narito ang ilang legal na aksyon na maaaring gawin upang matiyak ang isang patas na pagsisiyasat at paglilitis para sa isang pulitikal na pigura na inaresto sa mga kaso ng iligal na pagmamay-ari ng mga baril:
**Pre-Trial**
* **Ligtas na Legal na Representasyon:** Ang una at pinakamahalagang hakbang ay para sa pampulitikang figure na makakuha ng karampatang legal na representasyon mula sa isang abogadong may karanasan sa criminal defense. Ang abogado ay maaaring magpayo sa mga detalye ng kaso at mag-navigate sa legal na sistema.
* **Hamunin ang Pag-aresto o Ebidensya:** Maaaring suriin ng abogado ng depensa ang mga pangyayari ng pag-aresto at posibleng hamunin ang legalidad nito kung hindi sinusunod ang mga wastong pamamaraan. Bukod pa rito, maaari nilang suriin ang mga ebidensyang nakolekta at tingnan kung may mga batayan upang sugpuin ito dahil sa hindi tamang mga diskarte sa paghahanap at pag-agaw. * **Humiling ng Pagbabago ng Lugar:** Kung may alalahanin tungkol sa mga may kinikilingan na hurado dahil sa katayuan ng political figure, maaaring humiling ang depensa ng pagbabago ng venue sa isang mas neutral na lokasyon. * **Mga Pampublikong Pahayag:** Ang pangkat ng depensa ay maaaring madiskarteng maglabas ng mga pampublikong pahayag upang kontrahin ang anumang negatibong saklaw ng media at tiyaking nauunawaan ng publiko na ang akusado ay may karapatan sa isang patas na paglilitis. **Pagsubok**
* **Maingat na Depensa:** Ang abogado ng depensa ay bubuo ng isang malakas na kaso, na posibleng kabilang ang mga argumento tulad ng maling pagkakakilanlan, pagmamay-ari na may wastong permit (depende sa hurisdiksyon), o pagtatanong sa chain of custody of evidence.
* **Alibi o Paliwanag:** Kung ang political figure ay may kapani-paniwalang alibi o paliwanag para sa pagkakaroon ng mga baril, ihaharap ito ng depensa sa korte. * **Mga Character Witness:** Ang mga character na saksi ay maaaring magsalita sa positibong reputasyon ng political figure at magduda sa kaso ng prosekusyon.
**Mga Karagdagang Pagsasaalang-alang**
* **Independent Investigation:** Kung may mga alalahanin tungkol sa isang bias na imbestigasyon, maaaring tuklasin ng depensa ang posibilidad na humiling ng independiyenteng imbestigasyon. * **Pampublikong Pagsusuri:** Ang pagpapanatili ng pagtuon sa legal na proseso at ang pag-aakalang inosente ay makakatulong na matiyak ang isang patas na paglilitis.
**Mahalagang tandaan** na ito ay mga pangkalahatang punto, at ang mga partikular na legal na aksyon ay depende sa mga detalye ng kaso, hurisdiksyon, at pampulitikang tanawin. Palaging kumunsulta sa isang kwalipikadong abogado para sa partikular na legal na payo.</v>
      </c>
      <c r="F2380" s="2">
        <f t="shared" si="1"/>
        <v>0</v>
      </c>
      <c r="G2380" s="2"/>
      <c r="H2380" s="2"/>
      <c r="I2380" s="2"/>
      <c r="J2380" s="2"/>
      <c r="K2380" s="2"/>
      <c r="L2380" s="2"/>
      <c r="M2380" s="2"/>
      <c r="N2380" s="2"/>
      <c r="O2380" s="2"/>
      <c r="P2380" s="2"/>
      <c r="Q2380" s="2"/>
      <c r="R2380" s="2"/>
      <c r="S2380" s="2"/>
      <c r="T2380" s="2"/>
      <c r="U2380" s="2"/>
      <c r="V2380" s="2"/>
      <c r="W2380" s="2"/>
      <c r="X2380" s="2"/>
      <c r="Y2380" s="2"/>
      <c r="Z2380" s="2"/>
      <c r="AA2380" s="2"/>
    </row>
    <row r="2381">
      <c r="A2381" s="3" t="s">
        <v>5693</v>
      </c>
      <c r="B2381" s="1" t="s">
        <v>5728</v>
      </c>
      <c r="C2381" s="3" t="s">
        <v>5729</v>
      </c>
      <c r="D2381" s="2" t="str">
        <f>IFERROR(__xludf.DUMMYFUNCTION("GOOGLETRANSLATE(B2381, ""en"", ""TL"")"),"Nasasaksihan mo ang isang pribadong entity na naglalabas ng maling impormasyon upang manipulahin ang pampublikong opinyon pabor sa isang partikular na pigura sa pulitika. Anong mga legal na hakbang ang maaaring gawin upang kontrahin ang disinformation cam"&amp;"paign at panagutin ang entity?")</f>
        <v>Nasasaksihan mo ang isang pribadong entity na naglalabas ng maling impormasyon upang manipulahin ang pampublikong opinyon pabor sa isang partikular na pigura sa pulitika. Anong mga legal na hakbang ang maaaring gawin upang kontrahin ang disinformation campaign at panagutin ang entity?</v>
      </c>
      <c r="E2381" s="2" t="str">
        <f>IFERROR(__xludf.DUMMYFUNCTION("GOOGLETRANSLATE(C2381, ""en"", ""TL"")"),"Mga Legal na Hakbang:
1. Idokumento ang maling impormasyon na ipinakalat ng pribadong entity, kabilang ang mga screenshot, URL, at anumang iba pang ebidensya na nagpapatunay sa pagmamanipula ng pampublikong opinyon.
2. Kumonsulta sa mga eksperto sa bata"&amp;"s o isang abogado na dalubhasa sa paninirang-puri at batas ng media upang masuri ang mga legal na opsyon na magagamit para sa pagtugon sa kampanya ng disinformation.
3. Magpadala ng liham ng pagtigil at pagtigil sa pribadong entity, na humihiling ng agar"&amp;"ang pagbawi at pagtigil ng karagdagang pagpapakalat ng maling impormasyon, na nagbabanggit ng mga naaangkop na batas sa paninirang-puri.
4. Maghain ng pormal na reklamo sa Philippine National Police Cybercrime Division o National Bureau of Investigation "&amp;"Cybercrime Division, na nag-uulat ng pagpapakalat ng maling impormasyon online at nagbibigay ng ebidensya upang suportahan ang claim.
5. Humiling ng tulong ng mga social media platform o website na nagho-host ng maling impormasyon upang alisin ang nilala"&amp;"man batay sa mga paglabag sa kanilang mga tuntunin ng serbisyo o mga alituntunin ng komunidad.
6. Ituloy ang mga remedyo ng sibil tulad ng paghahain ng kaso ng paninirang-puri laban sa pribadong entity na responsable para sa kampanyang disinformation, pa"&amp;"ghingi ng danyos para sa anumang pinsalang naidulot sa reputasyon ng apektadong politiko.
7. Makipagtulungan sa mga organisasyon sa pagsubaybay sa halalan o mga grupo ng lipunang sibil upang itaas ang kamalayan tungkol sa kampanya ng disinformation at an"&amp;"g potensyal na epekto nito sa opinyon ng publiko at mga demokratikong proseso.
8. Itaguyod ang mga hakbang sa pambatasan upang matugunan ang pagkalat ng disinformation at maling impormasyon, kabilang ang pagpapatupad ng mas mahigpit na mga parusa para sa"&amp;" mga napatunayang nagkasala ng pagsali sa mga malisyosong aktibidad sa online.
9. Makipag-ugnayan sa mga media outlet at mga organisasyong tumitingin sa katotohanan upang iwaksi ang maling impormasyon at magbigay ng tumpak na pag-uulat sa isyu.
10. Maki"&amp;"pagtulungan sa ibang mga apektadong partido, kabilang ang mga partidong pampulitika, mga kandidato, at mga grupo ng adbokasiya, upang i-coordinate ang mga pagsisikap sa paglaban sa disinformation at pagtataguyod ng diskursong batay sa katotohanan sa pampu"&amp;"blikong globo.")</f>
        <v>Mga Legal na Hakbang:
1. Idokumento ang maling impormasyon na ipinakalat ng pribadong entity, kabilang ang mga screenshot, URL, at anumang iba pang ebidensya na nagpapatunay sa pagmamanipula ng pampublikong opinyon.
2. Kumonsulta sa mga eksperto sa batas o isang abogado na dalubhasa sa paninirang-puri at batas ng media upang masuri ang mga legal na opsyon na magagamit para sa pagtugon sa kampanya ng disinformation.
3. Magpadala ng liham ng pagtigil at pagtigil sa pribadong entity, na humihiling ng agarang pagbawi at pagtigil ng karagdagang pagpapakalat ng maling impormasyon, na nagbabanggit ng mga naaangkop na batas sa paninirang-puri.
4. Maghain ng pormal na reklamo sa Philippine National Police Cybercrime Division o National Bureau of Investigation Cybercrime Division, na nag-uulat ng pagpapakalat ng maling impormasyon online at nagbibigay ng ebidensya upang suportahan ang claim.
5. Humiling ng tulong ng mga social media platform o website na nagho-host ng maling impormasyon upang alisin ang nilalaman batay sa mga paglabag sa kanilang mga tuntunin ng serbisyo o mga alituntunin ng komunidad.
6. Ituloy ang mga remedyo ng sibil tulad ng paghahain ng kaso ng paninirang-puri laban sa pribadong entity na responsable para sa kampanyang disinformation, paghingi ng danyos para sa anumang pinsalang naidulot sa reputasyon ng apektadong politiko.
7. Makipagtulungan sa mga organisasyon sa pagsubaybay sa halalan o mga grupo ng lipunang sibil upang itaas ang kamalayan tungkol sa kampanya ng disinformation at ang potensyal na epekto nito sa opinyon ng publiko at mga demokratikong proseso.
8. Itaguyod ang mga hakbang sa pambatasan upang matugunan ang pagkalat ng disinformation at maling impormasyon, kabilang ang pagpapatupad ng mas mahigpit na mga parusa para sa mga napatunayang nagkasala ng pagsali sa mga malisyosong aktibidad sa online.
9. Makipag-ugnayan sa mga media outlet at mga organisasyong tumitingin sa katotohanan upang iwaksi ang maling impormasyon at magbigay ng tumpak na pag-uulat sa isyu.
10. Makipagtulungan sa ibang mga apektadong partido, kabilang ang mga partidong pampulitika, mga kandidato, at mga grupo ng adbokasiya, upang i-coordinate ang mga pagsisikap sa paglaban sa disinformation at pagtataguyod ng diskursong batay sa katotohanan sa pampublikong globo.</v>
      </c>
      <c r="F2381" s="2">
        <f t="shared" si="1"/>
        <v>0</v>
      </c>
      <c r="G2381" s="2"/>
      <c r="H2381" s="2"/>
      <c r="I2381" s="2"/>
      <c r="J2381" s="2"/>
      <c r="K2381" s="2"/>
      <c r="L2381" s="2"/>
      <c r="M2381" s="2"/>
      <c r="N2381" s="2"/>
      <c r="O2381" s="2"/>
      <c r="P2381" s="2"/>
      <c r="Q2381" s="2"/>
      <c r="R2381" s="2"/>
      <c r="S2381" s="2"/>
      <c r="T2381" s="2"/>
      <c r="U2381" s="2"/>
      <c r="V2381" s="2"/>
      <c r="W2381" s="2"/>
      <c r="X2381" s="2"/>
      <c r="Y2381" s="2"/>
      <c r="Z2381" s="2"/>
      <c r="AA2381" s="2"/>
    </row>
    <row r="2382">
      <c r="A2382" s="3" t="s">
        <v>5693</v>
      </c>
      <c r="B2382" s="1" t="s">
        <v>5730</v>
      </c>
      <c r="C2382" s="3" t="s">
        <v>5731</v>
      </c>
      <c r="D2382" s="2" t="str">
        <f>IFERROR(__xludf.DUMMYFUNCTION("GOOGLETRANSLATE(B2382, ""en"", ""TL"")"),"Ang mga online na aktibidad ng isang aktibista ay sinusubaybayan nang hindi nila nalalaman. Anong mga legal na hakbang ang maaaring gawin upang imbestigahan at matugunan ang hindi awtorisadong pagsubaybay?")</f>
        <v>Ang mga online na aktibidad ng isang aktibista ay sinusubaybayan nang hindi nila nalalaman. Anong mga legal na hakbang ang maaaring gawin upang imbestigahan at matugunan ang hindi awtorisadong pagsubaybay?</v>
      </c>
      <c r="E2382" s="2" t="str">
        <f>IFERROR(__xludf.DUMMYFUNCTION("GOOGLETRANSLATE(C2382, ""en"", ""TL"")"),"Maaaring gamitin ang Konstitusyon ng Pilipinas at ilang RA upang imbestigahan at tugunan ang hindi awtorisadong pagsubaybay sa mga online na aktibidad ng isang aktibista. Ganito:
**Konstitusyon ng Pilipinas**
* **Artikulo III, Seksyon 1**: Karapatan sa pa"&amp;"gkapribado - Ginagarantiyahan nito ang karapatang maging ligtas sa sarili, mga bahay, mga papeles, at mga epekto laban sa hindi makatwirang mga paghahanap at pang-aagaw. Ang mga aktibidad sa online ay maaaring ituring na bahagi ng ""mga epekto"" ng isang "&amp;"tao depende sa uri ng impormasyong nakolekta.
**Republic Acts (RAs)**
* **RA 10173 (Data Privacy Act of 2012)**: Pinoprotektahan ng batas na ito ang personal na impormasyon ng isang indibidwal. Binibigyan nito ang mga indibidwal ng karapatang malaman, ma-"&amp;"access, tumanggi, ayusin, at burahin ang kanilang personal na data. Ang hindi awtorisadong pagsubaybay sa online ay malamang na nagsasangkot ng pagkolekta ng personal na impormasyon, na ginagawa itong isang potensyal na paglabag.
* **RA 10175 (Cybersecuri"&amp;"ty Act of 2012)**: Layunin ng batas na ito na protektahan ang cyberspace ng bansa. Bagama't ang pangunahing pagtutuon nito ay sa pambansang seguridad, maaari itong pagtalunan na ang hindi awtorisadong pagsubaybay ay maaaring isang anyo ng cybercrime.
**Pa"&amp;"gsisiyasat at Mga Legal na Panukala**
* **National Privacy Commission (NPC)**: Maaaring magsampa ng reklamo ang aktibista sa NPC para sa potensyal na paglabag sa Data Privacy Act. Ang NPC ay maaaring mag-imbestiga at mag-utos ng mga pagwawasto, kabilang a"&amp;"ng pagtanggal ng mga iligal na nakolektang data. [https://privacy.gov.ph/](https://privacy.gov.ph/)
* **Legal na Aksyon**: Depende sa uri at layunin ng pagsubaybay, maaaring isaalang-alang ng aktibista ang pagsasampa ng kaso para sa paglabag sa mga karapa"&amp;"tan sa privacy o mga paglabag sa cybercrime. Ang pagkonsulta sa isang abogado na dalubhasa sa cyberlaw ay lubos na inirerekomenda sa kasong ito. **Mga Karagdagang Punto**
* Ang tagumpay ng mga legal na hakbang na ito ay nakasalalay sa pangangalap ng ebide"&amp;"nsya ng hindi awtorisadong pagsubaybay. Maaaring kabilang dito ang mga screenshot, log, o testimonya ng eksperto.
* Kung pinaghihinalaan ng aktibista na isang ahensya ng gobyerno ang nasa likod ng surveillance, ang isang petisyon para sa isang writ of amp"&amp;"aro (protection order) ay maaaring isang opsyon. Gayunpaman, ito ay isang kumplikadong legal na pamamaraan at nangangailangan ng kadalubhasaan ng isang abogado.
**Tandaan:** Ito ay hindi isang kumpletong listahan, at ang mga partikular na legal na opsyon "&amp;"ay depende sa mga detalye ng kaso. Ang pagkonsulta sa isang kwalipikadong abogado na dalubhasa sa cyberlaw ay lubos na inirerekomenda para sa isang mas komprehensibong legal na diskarte.")</f>
        <v>Maaaring gamitin ang Konstitusyon ng Pilipinas at ilang RA upang imbestigahan at tugunan ang hindi awtorisadong pagsubaybay sa mga online na aktibidad ng isang aktibista. Ganito:
**Konstitusyon ng Pilipinas**
* **Artikulo III, Seksyon 1**: Karapatan sa pagkapribado - Ginagarantiyahan nito ang karapatang maging ligtas sa sarili, mga bahay, mga papeles, at mga epekto laban sa hindi makatwirang mga paghahanap at pang-aagaw. Ang mga aktibidad sa online ay maaaring ituring na bahagi ng "mga epekto" ng isang tao depende sa uri ng impormasyong nakolekta.
**Republic Acts (RAs)**
* **RA 10173 (Data Privacy Act of 2012)**: Pinoprotektahan ng batas na ito ang personal na impormasyon ng isang indibidwal. Binibigyan nito ang mga indibidwal ng karapatang malaman, ma-access, tumanggi, ayusin, at burahin ang kanilang personal na data. Ang hindi awtorisadong pagsubaybay sa online ay malamang na nagsasangkot ng pagkolekta ng personal na impormasyon, na ginagawa itong isang potensyal na paglabag.
* **RA 10175 (Cybersecurity Act of 2012)**: Layunin ng batas na ito na protektahan ang cyberspace ng bansa. Bagama't ang pangunahing pagtutuon nito ay sa pambansang seguridad, maaari itong pagtalunan na ang hindi awtorisadong pagsubaybay ay maaaring isang anyo ng cybercrime.
**Pagsisiyasat at Mga Legal na Panukala**
* **National Privacy Commission (NPC)**: Maaaring magsampa ng reklamo ang aktibista sa NPC para sa potensyal na paglabag sa Data Privacy Act. Ang NPC ay maaaring mag-imbestiga at mag-utos ng mga pagwawasto, kabilang ang pagtanggal ng mga iligal na nakolektang data. [https://privacy.gov.ph/](https://privacy.gov.ph/)
* **Legal na Aksyon**: Depende sa uri at layunin ng pagsubaybay, maaaring isaalang-alang ng aktibista ang pagsasampa ng kaso para sa paglabag sa mga karapatan sa privacy o mga paglabag sa cybercrime. Ang pagkonsulta sa isang abogado na dalubhasa sa cyberlaw ay lubos na inirerekomenda sa kasong ito. **Mga Karagdagang Punto**
* Ang tagumpay ng mga legal na hakbang na ito ay nakasalalay sa pangangalap ng ebidensya ng hindi awtorisadong pagsubaybay. Maaaring kabilang dito ang mga screenshot, log, o testimonya ng eksperto.
* Kung pinaghihinalaan ng aktibista na isang ahensya ng gobyerno ang nasa likod ng surveillance, ang isang petisyon para sa isang writ of amparo (protection order) ay maaaring isang opsyon. Gayunpaman, ito ay isang kumplikadong legal na pamamaraan at nangangailangan ng kadalubhasaan ng isang abogado.
**Tandaan:** Ito ay hindi isang kumpletong listahan, at ang mga partikular na legal na opsyon ay depende sa mga detalye ng kaso. Ang pagkonsulta sa isang kwalipikadong abogado na dalubhasa sa cyberlaw ay lubos na inirerekomenda para sa isang mas komprehensibong legal na diskarte.</v>
      </c>
      <c r="F2382" s="2">
        <f t="shared" si="1"/>
        <v>0</v>
      </c>
      <c r="G2382" s="2"/>
      <c r="H2382" s="2"/>
      <c r="I2382" s="2"/>
      <c r="J2382" s="2"/>
      <c r="K2382" s="2"/>
      <c r="L2382" s="2"/>
      <c r="M2382" s="2"/>
      <c r="N2382" s="2"/>
      <c r="O2382" s="2"/>
      <c r="P2382" s="2"/>
      <c r="Q2382" s="2"/>
      <c r="R2382" s="2"/>
      <c r="S2382" s="2"/>
      <c r="T2382" s="2"/>
      <c r="U2382" s="2"/>
      <c r="V2382" s="2"/>
      <c r="W2382" s="2"/>
      <c r="X2382" s="2"/>
      <c r="Y2382" s="2"/>
      <c r="Z2382" s="2"/>
      <c r="AA2382" s="2"/>
    </row>
    <row r="2383">
      <c r="A2383" s="3" t="s">
        <v>5693</v>
      </c>
      <c r="B2383" s="1" t="s">
        <v>5732</v>
      </c>
      <c r="C2383" s="3" t="s">
        <v>5733</v>
      </c>
      <c r="D2383" s="2" t="str">
        <f>IFERROR(__xludf.DUMMYFUNCTION("GOOGLETRANSLATE(B2383, ""en"", ""TL"")"),"Inakusahan ang isang politiko na tumatanggap ng suhol mula sa isang korporasyon. Anong mga legal na aksyon ang maaaring gawin upang imbestigahan at matugunan ang mga paratang ng panunuhol?")</f>
        <v>Inakusahan ang isang politiko na tumatanggap ng suhol mula sa isang korporasyon. Anong mga legal na aksyon ang maaaring gawin upang imbestigahan at matugunan ang mga paratang ng panunuhol?</v>
      </c>
      <c r="E2383" s="2" t="str">
        <f>IFERROR(__xludf.DUMMYFUNCTION("GOOGLETRANSLATE(C2383, ""en"", ""TL"")"),"Narito kung paano magagamit ang batas ng Pilipinas upang imbestigahan at tugunan ang mga alegasyon ng panunuhol laban sa isang politiko:
**Konstitusyon ng Pilipinas**
* **Artikulo XI, Seksyon 1**: Pampublikong Pananagutan - Ang probisyong ito ay nagbibiga"&amp;"y-diin na ang mga pampublikong opisyal at empleyado ay dapat na managot sa mga tao. **Republic Acts (RAs)**
* **RA 3019 (Anti-Graft and Corrupt Practices Act)**: Ito ang pangunahing batas laban sa katiwalian sa Pilipinas. Tinutukoy at pinaparusahan nito a"&amp;"ng iba't ibang gawain ng panunuhol, kabilang ang mga kinasasangkutan ng mga pampublikong opisyal.
* **RA 6770 (Ombudsman Act of 1988)**: Lumilikha ang batas na ito ng Opisina ng Ombudsman, na nag-iimbestiga at nag-uusig ng mga kaso laban sa mga opisyal ng"&amp;" gobyerno, kabilang ang panunuhol.
**Pagsisiyasat at Legal na Pagkilos:**
* **Ombudsman**: Sinuman ay maaaring magsampa ng na-verify na reklamo sa Opisina ng Ombudsman laban sa pulitikal na pigura. Dapat idetalye ng reklamo ang mga paratang ng panunuhol, "&amp;"kasama ang anumang ebidensyang makukuha. [https://www.ombudsman.gov.ph/docs/FOI/OMB_FOI_ContactInformation.pdf](https://www.ombudsman.gov.ph/docs/FOI/OMB_FOI_ContactInformation.pdf) * **Sandiganbayan**: Kung nakahanap ng probable cause ang Ombudsman, maaa"&amp;"ri itong magsampa ng kaso sa Sandiganbayan, isang espesyal na hukuman na humahawak ng mga kaso laban sa mga opisyal ng gobyerno na may parusang hindi bababa sa apat na taong pagkakakulong.
* **Senado o Kapulungan ng mga Kinatawan**: Depende sa pampulitika"&amp;"ng posisyon ng akusado, ang Senado (para sa mga pambansang opisyal) o ang Kapulungan ng mga Kinatawan (para sa mga lokal na opisyal) ay maaaring magsagawa ng proseso ng impeachment. Ito ay isang pampulitikang proseso na maaaring humantong sa pagtanggal sa"&amp;" pwesto.
**Pagtitipon ng Ebidensya:**
Ang isang malakas na kaso ay nakasalalay sa pangangalap ng ebidensya tulad ng:
* **Mga testimonya ng saksi**: Maaaring kabilang dito ang mga indibidwal na may kaalaman sa sinasabing pagbibigay o pagtanggap.
* **Dokume"&amp;"ntaryong ebidensya**: Ito ay maaaring mga financial record, email, o iba pang dokumento na nagmumungkahi ng transaksyon ng suhol.
**Mga Karagdagang Punto:**
* **Whistleblower Protection Program**: Ang Whistleblower Protection Program sa ilalim ng RA 6713 "&amp;"ay hinihikayat ang mga indibidwal na mag-ulat ng katiwalian. Nag-aalok ang programang ito ng proteksyon at mga benepisyo sa mga whistleblower na naghahatid ng impormasyon.
* **Media**: Ang paglalantad ng mga paratang sa pamamagitan ng mga media outlet ay "&amp;"maaaring magbigay ng pressure sa mga awtoridad na mag-imbestiga.
**Mahalagang Paalala:**
Ang pasanin ng patunay ay nasa nagrereklamo. Ang pangangalap ng matibay na ebidensya ay mahalaga para sa isang matagumpay na pagsisiyasat at pag-uusig.
**Rekomendasyo"&amp;"n:**
Ang pagkonsulta sa isang abogado na dalubhasa sa mga batas laban sa katiwalian ay lubos na inirerekomenda upang mag-navigate sa legal na proseso at bumuo ng isang malakas na kaso.")</f>
        <v>Narito kung paano magagamit ang batas ng Pilipinas upang imbestigahan at tugunan ang mga alegasyon ng panunuhol laban sa isang politiko:
**Konstitusyon ng Pilipinas**
* **Artikulo XI, Seksyon 1**: Pampublikong Pananagutan - Ang probisyong ito ay nagbibigay-diin na ang mga pampublikong opisyal at empleyado ay dapat na managot sa mga tao. **Republic Acts (RAs)**
* **RA 3019 (Anti-Graft and Corrupt Practices Act)**: Ito ang pangunahing batas laban sa katiwalian sa Pilipinas. Tinutukoy at pinaparusahan nito ang iba't ibang gawain ng panunuhol, kabilang ang mga kinasasangkutan ng mga pampublikong opisyal.
* **RA 6770 (Ombudsman Act of 1988)**: Lumilikha ang batas na ito ng Opisina ng Ombudsman, na nag-iimbestiga at nag-uusig ng mga kaso laban sa mga opisyal ng gobyerno, kabilang ang panunuhol.
**Pagsisiyasat at Legal na Pagkilos:**
* **Ombudsman**: Sinuman ay maaaring magsampa ng na-verify na reklamo sa Opisina ng Ombudsman laban sa pulitikal na pigura. Dapat idetalye ng reklamo ang mga paratang ng panunuhol, kasama ang anumang ebidensyang makukuha. [https://www.ombudsman.gov.ph/docs/FOI/OMB_FOI_ContactInformation.pdf](https://www.ombudsman.gov.ph/docs/FOI/OMB_FOI_ContactInformation.pdf) * **Sandiganbayan**: Kung nakahanap ng probable cause ang Ombudsman, maaari itong magsampa ng kaso sa Sandiganbayan, isang espesyal na hukuman na humahawak ng mga kaso laban sa mga opisyal ng gobyerno na may parusang hindi bababa sa apat na taong pagkakakulong.
* **Senado o Kapulungan ng mga Kinatawan**: Depende sa pampulitikang posisyon ng akusado, ang Senado (para sa mga pambansang opisyal) o ang Kapulungan ng mga Kinatawan (para sa mga lokal na opisyal) ay maaaring magsagawa ng proseso ng impeachment. Ito ay isang pampulitikang proseso na maaaring humantong sa pagtanggal sa pwesto.
**Pagtitipon ng Ebidensya:**
Ang isang malakas na kaso ay nakasalalay sa pangangalap ng ebidensya tulad ng:
* **Mga testimonya ng saksi**: Maaaring kabilang dito ang mga indibidwal na may kaalaman sa sinasabing pagbibigay o pagtanggap.
* **Dokumentaryong ebidensya**: Ito ay maaaring mga financial record, email, o iba pang dokumento na nagmumungkahi ng transaksyon ng suhol.
**Mga Karagdagang Punto:**
* **Whistleblower Protection Program**: Ang Whistleblower Protection Program sa ilalim ng RA 6713 ay hinihikayat ang mga indibidwal na mag-ulat ng katiwalian. Nag-aalok ang programang ito ng proteksyon at mga benepisyo sa mga whistleblower na naghahatid ng impormasyon.
* **Media**: Ang paglalantad ng mga paratang sa pamamagitan ng mga media outlet ay maaaring magbigay ng pressure sa mga awtoridad na mag-imbestiga.
**Mahalagang Paalala:**
Ang pasanin ng patunay ay nasa nagrereklamo. Ang pangangalap ng matibay na ebidensya ay mahalaga para sa isang matagumpay na pagsisiyasat at pag-uusig.
**Rekomendasyon:**
Ang pagkonsulta sa isang abogado na dalubhasa sa mga batas laban sa katiwalian ay lubos na inirerekomenda upang mag-navigate sa legal na proseso at bumuo ng isang malakas na kaso.</v>
      </c>
      <c r="F2383" s="2">
        <f t="shared" si="1"/>
        <v>0</v>
      </c>
      <c r="G2383" s="2"/>
      <c r="H2383" s="2"/>
      <c r="I2383" s="2"/>
      <c r="J2383" s="2"/>
      <c r="K2383" s="2"/>
      <c r="L2383" s="2"/>
      <c r="M2383" s="2"/>
      <c r="N2383" s="2"/>
      <c r="O2383" s="2"/>
      <c r="P2383" s="2"/>
      <c r="Q2383" s="2"/>
      <c r="R2383" s="2"/>
      <c r="S2383" s="2"/>
      <c r="T2383" s="2"/>
      <c r="U2383" s="2"/>
      <c r="V2383" s="2"/>
      <c r="W2383" s="2"/>
      <c r="X2383" s="2"/>
      <c r="Y2383" s="2"/>
      <c r="Z2383" s="2"/>
      <c r="AA2383" s="2"/>
    </row>
    <row r="2384">
      <c r="A2384" s="3" t="s">
        <v>5693</v>
      </c>
      <c r="B2384" s="1" t="s">
        <v>5734</v>
      </c>
      <c r="C2384" s="3" t="s">
        <v>5735</v>
      </c>
      <c r="D2384" s="2" t="str">
        <f>IFERROR(__xludf.DUMMYFUNCTION("GOOGLETRANSLATE(B2384, ""en"", ""TL"")"),"Sa panahon ng halalan, nakikita mo ang mga indibidwal na nakikibahagi sa doxxing laban sa mga kandidato sa pulitika. Anong mga legal na hakbang ang maaaring gawin upang matugunan ang doxxing at protektahan ang privacy ng mga kandidato?")</f>
        <v>Sa panahon ng halalan, nakikita mo ang mga indibidwal na nakikibahagi sa doxxing laban sa mga kandidato sa pulitika. Anong mga legal na hakbang ang maaaring gawin upang matugunan ang doxxing at protektahan ang privacy ng mga kandidato?</v>
      </c>
      <c r="E2384" s="2" t="str">
        <f>IFERROR(__xludf.DUMMYFUNCTION("GOOGLETRANSLATE(C2384, ""en"", ""TL"")"),"Sa Pilipinas, ang doxxing, na kinabibilangan ng hindi awtorisadong pagsisiwalat ng personal na impormasyon na may malisyosong layunin, ay maaaring matugunan sa pamamagitan ng iba't ibang legal na paraan. Narito ang ilang hakbang na maaaring gawin upang ma"&amp;"tugunan ang doxxing at protektahan ang privacy ng mga kandidato sa pulitika:
1. Cybercrime Prevention Act of 2012 (RA 10175): Sa ilalim ng batas na ito, ang doxxing ay maaaring ituring na isang cybercrime, lalo na sa ilalim ng mga probisyon na may kaug"&amp;"nayan sa hindi awtorisadong pag-access sa mga computer system at data interference. Ang mga reklamo tungkol sa doxxing ay maaaring ihain sa Cybercrime Investigation and Coordinating Center (CICC) o sa Philippine National Police-Cybercrime Group (PNP-CCG)."&amp;"
2. Data Privacy Act of 2012 (RA 10173): Kinokontrol ng batas na ito ang pagproseso ng personal na impormasyon sa parehong gobyerno at pribadong sektor. Kasama sa Doxxing ang hindi awtorisadong pagbubunyag ng personal na impormasyon, na maaaring lumaba"&amp;"g sa mga karapatan ng mga indibidwal sa ilalim ng batas na ito. Maaaring magsampa ng mga reklamo sa National Privacy Commission (NPC) para sa mga paglabag sa Data Privacy Act.
3. Mga batas sa halalan: Ang Doxxing ay maaari ding lumabag sa mga batas sa "&amp;"halalan, lalo na ang mga nagbabawal sa mga aksyon na naglalayong siraan o sirain ang reputasyon ng mga kandidato sa pulitika. Ang mga paglabag sa mga batas sa halalan ay maaaring iulat sa Commission on Elections (COMELEC) para sa kaukulang aksyon.
4. M"&amp;"ga remedyo sa sibil: Ang mga kandidatong pampulitika na biktima ng doxxing ay maaari ding humingi ng mga remedyo ng sibil, tulad ng paghahain ng reklamo para sa mga pinsala laban sa mga indibidwal na responsable para sa hindi awtorisadong pagsisiwalat ng "&amp;"kanilang personal na impormasyon.
5. Mga probisyon sa Konstitusyon: Ang karapatan sa pagkapribado ay protektado sa ilalim ng Artikulo III, Seksyon 3 ng Konstitusyon ng Pilipinas. Maaaring gamitin ng mga kandidato sa pulitika ang probisyong ito upang hu"&amp;"mingi ng legal na proteksyon laban sa hindi awtorisadong pagsisiwalat ng kanilang personal na impormasyon.
Sa pangkalahatan, ang pagtugon sa doxxing laban sa mga kandidato sa pulitika ay nangangailangan ng komprehensibong diskarte na kinasasangkutan ng"&amp;" iba't ibang legal na mekanismo, kabilang ang mga batas sa cybercrime, mga regulasyon sa privacy ng data, mga batas sa halalan, mga remedyo ng sibil, at mga proteksyon sa konstitusyon ng mga karapatan sa privacy.")</f>
        <v>Sa Pilipinas, ang doxxing, na kinabibilangan ng hindi awtorisadong pagsisiwalat ng personal na impormasyon na may malisyosong layunin, ay maaaring matugunan sa pamamagitan ng iba't ibang legal na paraan. Narito ang ilang hakbang na maaaring gawin upang matugunan ang doxxing at protektahan ang privacy ng mga kandidato sa pulitika:
1. Cybercrime Prevention Act of 2012 (RA 10175): Sa ilalim ng batas na ito, ang doxxing ay maaaring ituring na isang cybercrime, lalo na sa ilalim ng mga probisyon na may kaugnayan sa hindi awtorisadong pag-access sa mga computer system at data interference. Ang mga reklamo tungkol sa doxxing ay maaaring ihain sa Cybercrime Investigation and Coordinating Center (CICC) o sa Philippine National Police-Cybercrime Group (PNP-CCG).
2. Data Privacy Act of 2012 (RA 10173): Kinokontrol ng batas na ito ang pagproseso ng personal na impormasyon sa parehong gobyerno at pribadong sektor. Kasama sa Doxxing ang hindi awtorisadong pagbubunyag ng personal na impormasyon, na maaaring lumabag sa mga karapatan ng mga indibidwal sa ilalim ng batas na ito. Maaaring magsampa ng mga reklamo sa National Privacy Commission (NPC) para sa mga paglabag sa Data Privacy Act.
3. Mga batas sa halalan: Ang Doxxing ay maaari ding lumabag sa mga batas sa halalan, lalo na ang mga nagbabawal sa mga aksyon na naglalayong siraan o sirain ang reputasyon ng mga kandidato sa pulitika. Ang mga paglabag sa mga batas sa halalan ay maaaring iulat sa Commission on Elections (COMELEC) para sa kaukulang aksyon.
4. Mga remedyo sa sibil: Ang mga kandidatong pampulitika na biktima ng doxxing ay maaari ding humingi ng mga remedyo ng sibil, tulad ng paghahain ng reklamo para sa mga pinsala laban sa mga indibidwal na responsable para sa hindi awtorisadong pagsisiwalat ng kanilang personal na impormasyon.
5. Mga probisyon sa Konstitusyon: Ang karapatan sa pagkapribado ay protektado sa ilalim ng Artikulo III, Seksyon 3 ng Konstitusyon ng Pilipinas. Maaaring gamitin ng mga kandidato sa pulitika ang probisyong ito upang humingi ng legal na proteksyon laban sa hindi awtorisadong pagsisiwalat ng kanilang personal na impormasyon.
Sa pangkalahatan, ang pagtugon sa doxxing laban sa mga kandidato sa pulitika ay nangangailangan ng komprehensibong diskarte na kinasasangkutan ng iba't ibang legal na mekanismo, kabilang ang mga batas sa cybercrime, mga regulasyon sa privacy ng data, mga batas sa halalan, mga remedyo ng sibil, at mga proteksyon sa konstitusyon ng mga karapatan sa privacy.</v>
      </c>
      <c r="F2384" s="2">
        <f t="shared" si="1"/>
        <v>0</v>
      </c>
      <c r="G2384" s="2"/>
      <c r="H2384" s="2"/>
      <c r="I2384" s="2"/>
      <c r="J2384" s="2"/>
      <c r="K2384" s="2"/>
      <c r="L2384" s="2"/>
      <c r="M2384" s="2"/>
      <c r="N2384" s="2"/>
      <c r="O2384" s="2"/>
      <c r="P2384" s="2"/>
      <c r="Q2384" s="2"/>
      <c r="R2384" s="2"/>
      <c r="S2384" s="2"/>
      <c r="T2384" s="2"/>
      <c r="U2384" s="2"/>
      <c r="V2384" s="2"/>
      <c r="W2384" s="2"/>
      <c r="X2384" s="2"/>
      <c r="Y2384" s="2"/>
      <c r="Z2384" s="2"/>
      <c r="AA2384" s="2"/>
    </row>
    <row r="2385">
      <c r="A2385" s="3" t="s">
        <v>5693</v>
      </c>
      <c r="B2385" s="1" t="s">
        <v>5736</v>
      </c>
      <c r="C2385" s="3" t="s">
        <v>5737</v>
      </c>
      <c r="D2385" s="2" t="str">
        <f>IFERROR(__xludf.DUMMYFUNCTION("GOOGLETRANSLATE(B2385, ""en"", ""TL"")"),"Ang isang politiko ay nahaharap sa mga pagbabanta at panliligalig mula sa isang karibal na grupong pampulitika. Anong mga legal na aksyon ang maaaring gawin upang matiyak ang kaligtasan ng pigura at panagutin ang mga may kasalanan?")</f>
        <v>Ang isang politiko ay nahaharap sa mga pagbabanta at panliligalig mula sa isang karibal na grupong pampulitika. Anong mga legal na aksyon ang maaaring gawin upang matiyak ang kaligtasan ng pigura at panagutin ang mga may kasalanan?</v>
      </c>
      <c r="E2385" s="2" t="str">
        <f>IFERROR(__xludf.DUMMYFUNCTION("GOOGLETRANSLATE(C2385, ""en"", ""TL"")"),"Narito ang ilang legal na aksyon na maaaring gawin ng isang politiko na nahaharap sa mga banta at panliligalig:
**Iulat ang mga banta sa tagapagpatupad ng batas:**
* Ito ang pinakamahalagang hakbang. Maghain ng ulat sa pulisya na nagdedetalye ng mga banta"&amp;", kabilang ang uri ng mga banta, ang platform kung saan ginawa ang mga ito (berbal, nakasulat, online), at anumang impormasyong nagpapakilala tungkol sa mga may kasalanan. * Maaaring imbestigahan ng tagapagpatupad ng batas ang mga banta at matukoy kung um"&amp;"abot sila sa antas ng kriminal na panliligalig o pananakot. **Humingi ng restraining order:**
* Ang restraining order ay maaaring isang civil court order na nagbabawal sa mga salarin na makipag-ugnayan o lumapit sa political figure. * Maaari itong magbiga"&amp;"y ng kaunting kapayapaan ng isip at potensyal na hadlangan ang panliligalig sa hinaharap.
**Makipagtulungan sa isang abogado na dalubhasa sa batas at seguridad ng media:**
* Ang isang abogado ay maaaring magpayo sa pinakamahusay na paraan ng aksyon batay "&amp;"sa mga partikular na detalye ng kaso. * Maaari din silang tumulong sa pagsasampa ng mga kaso laban sa mga may kasalanan para sa paninirang-puri o sinadyang pagpapahirap ng damdamin (depende sa likas na katangian ng panliligalig).
**Idokumento ang lahat:**"&amp;"
* Panatilihin ang isang talaan ng lahat ng mga banta, kabilang ang mga screenshot, pag-record ng boses, at anumang pisikal na ebidensya. * Magiging mahalaga ang dokumentasyong ito kung gagawin ang legal na aksyon.
**Palakihin ang mga hakbang sa seguridad"&amp;":**
* Depende sa kalubhaan ng mga banta, isaalang-alang ang pagpapataas ng mga hakbang sa seguridad sa paligid ng tahanan, opisina, at pampublikong pagpapakita ng politiko. * Ito ay maaaring kasangkot sa pakikipagtulungan sa pribadong seguridad o paghilin"&amp;"g ng mga police escort.
**Pampubliko na tuligsain ang panliligalig:**
* Ang paglalahad ng panliligalig ay maaaring maglagay ng panggigipit sa karibal na grupo at makapagpahina ng loob ng higit pang pagbabanta. * Mahalagang magkaroon ng balanse sa pagitan "&amp;"ng pagpapataas ng kamalayan at hindi pagbibigay ng hindi nararapat na atensyon sa mga may kasalanan.
**Narito ang ilang karagdagang mapagkukunan:**
* Depende sa iyong lokasyon, maaaring may mga partikular na ahensya ng gobyerno o organisasyon na maaaring "&amp;"mag-alok ng suporta at mapagkukunan para sa mga pulitikong nahaharap sa mga banta.
* Isaalang-alang ang pakikipag-ugnayan sa iyong lokal na kabanata ng American Civil Liberties Union (ACLU) na may kasaysayan ng pagtatanggol sa malayang pananalita ngunit p"&amp;"inoprotektahan din ang mga indibidwal mula sa panliligalig at pananakot.
Tandaan, mahalagang kumilos nang mabilis kapag nahaharap sa mga banta. Sa pamamagitan ng pagsasagawa ng legal na aksyon, pagdodokumento ng lahat, at pagpapataas ng seguridad, sana ay"&amp;" masisiguro ng political figure ang kanilang kaligtasan at mapapanagot ang mga may kasalanan.")</f>
        <v>Narito ang ilang legal na aksyon na maaaring gawin ng isang politiko na nahaharap sa mga banta at panliligalig:
**Iulat ang mga banta sa tagapagpatupad ng batas:**
* Ito ang pinakamahalagang hakbang. Maghain ng ulat sa pulisya na nagdedetalye ng mga banta, kabilang ang uri ng mga banta, ang platform kung saan ginawa ang mga ito (berbal, nakasulat, online), at anumang impormasyong nagpapakilala tungkol sa mga may kasalanan. * Maaaring imbestigahan ng tagapagpatupad ng batas ang mga banta at matukoy kung umabot sila sa antas ng kriminal na panliligalig o pananakot. **Humingi ng restraining order:**
* Ang restraining order ay maaaring isang civil court order na nagbabawal sa mga salarin na makipag-ugnayan o lumapit sa political figure. * Maaari itong magbigay ng kaunting kapayapaan ng isip at potensyal na hadlangan ang panliligalig sa hinaharap.
**Makipagtulungan sa isang abogado na dalubhasa sa batas at seguridad ng media:**
* Ang isang abogado ay maaaring magpayo sa pinakamahusay na paraan ng aksyon batay sa mga partikular na detalye ng kaso. * Maaari din silang tumulong sa pagsasampa ng mga kaso laban sa mga may kasalanan para sa paninirang-puri o sinadyang pagpapahirap ng damdamin (depende sa likas na katangian ng panliligalig).
**Idokumento ang lahat:**
* Panatilihin ang isang talaan ng lahat ng mga banta, kabilang ang mga screenshot, pag-record ng boses, at anumang pisikal na ebidensya. * Magiging mahalaga ang dokumentasyong ito kung gagawin ang legal na aksyon.
**Palakihin ang mga hakbang sa seguridad:**
* Depende sa kalubhaan ng mga banta, isaalang-alang ang pagpapataas ng mga hakbang sa seguridad sa paligid ng tahanan, opisina, at pampublikong pagpapakita ng politiko. * Ito ay maaaring kasangkot sa pakikipagtulungan sa pribadong seguridad o paghiling ng mga police escort.
**Pampubliko na tuligsain ang panliligalig:**
* Ang paglalahad ng panliligalig ay maaaring maglagay ng panggigipit sa karibal na grupo at makapagpahina ng loob ng higit pang pagbabanta. * Mahalagang magkaroon ng balanse sa pagitan ng pagpapataas ng kamalayan at hindi pagbibigay ng hindi nararapat na atensyon sa mga may kasalanan.
**Narito ang ilang karagdagang mapagkukunan:**
* Depende sa iyong lokasyon, maaaring may mga partikular na ahensya ng gobyerno o organisasyon na maaaring mag-alok ng suporta at mapagkukunan para sa mga pulitikong nahaharap sa mga banta.
* Isaalang-alang ang pakikipag-ugnayan sa iyong lokal na kabanata ng American Civil Liberties Union (ACLU) na may kasaysayan ng pagtatanggol sa malayang pananalita ngunit pinoprotektahan din ang mga indibidwal mula sa panliligalig at pananakot.
Tandaan, mahalagang kumilos nang mabilis kapag nahaharap sa mga banta. Sa pamamagitan ng pagsasagawa ng legal na aksyon, pagdodokumento ng lahat, at pagpapataas ng seguridad, sana ay masisiguro ng political figure ang kanilang kaligtasan at mapapanagot ang mga may kasalanan.</v>
      </c>
      <c r="F2385" s="2">
        <f t="shared" si="1"/>
        <v>0</v>
      </c>
      <c r="G2385" s="2"/>
      <c r="H2385" s="2"/>
      <c r="I2385" s="2"/>
      <c r="J2385" s="2"/>
      <c r="K2385" s="2"/>
      <c r="L2385" s="2"/>
      <c r="M2385" s="2"/>
      <c r="N2385" s="2"/>
      <c r="O2385" s="2"/>
      <c r="P2385" s="2"/>
      <c r="Q2385" s="2"/>
      <c r="R2385" s="2"/>
      <c r="S2385" s="2"/>
      <c r="T2385" s="2"/>
      <c r="U2385" s="2"/>
      <c r="V2385" s="2"/>
      <c r="W2385" s="2"/>
      <c r="X2385" s="2"/>
      <c r="Y2385" s="2"/>
      <c r="Z2385" s="2"/>
      <c r="AA2385" s="2"/>
    </row>
    <row r="2386">
      <c r="A2386" s="3" t="s">
        <v>5693</v>
      </c>
      <c r="B2386" s="1" t="s">
        <v>5738</v>
      </c>
      <c r="C2386" s="3" t="s">
        <v>5739</v>
      </c>
      <c r="D2386" s="2" t="str">
        <f>IFERROR(__xludf.DUMMYFUNCTION("GOOGLETRANSLATE(B2386, ""en"", ""TL"")"),"Nakatanggap ka ng mga ulat ng isang partidong pampulitika na nakikibahagi sa pamimilit sa mga botante sa panahon ng isang halalan. Anong mga legal na hakbang ang maaaring gawin upang imbestigahan at matugunan ang mga paratang ng pamimilit sa botante?")</f>
        <v>Nakatanggap ka ng mga ulat ng isang partidong pampulitika na nakikibahagi sa pamimilit sa mga botante sa panahon ng isang halalan. Anong mga legal na hakbang ang maaaring gawin upang imbestigahan at matugunan ang mga paratang ng pamimilit sa botante?</v>
      </c>
      <c r="E2386" s="2" t="str">
        <f>IFERROR(__xludf.DUMMYFUNCTION("GOOGLETRANSLATE(C2386, ""en"", ""TL"")"),"Ang mga paratang ng pamimilit sa mga botante sa panahon ng halalan ay seryoso at dapat na matugunan kaagad upang itaguyod ang integridad ng proseso ng elektoral. Sa Pilipinas, may ilang legal na hakbang na maaaring gawin upang imbestigahan at matugunan an"&amp;"g mga naturang paratang:
1. Commission on Elections (COMELEC): Ang COMELEC ang pangunahing ahensyang responsable sa pagtiyak ng libre, patas, at kapani-paniwalang halalan sa Pilipinas. Ang mga ulat ng pamimilit sa mga botante ay dapat isumite sa COMELE"&amp;"C para sa imbestigasyon. Ang COMELEC ay may awtoridad na magsagawa ng mga pagtatanong, magpatawag ng mga testigo, at mangalap ng ebidensya na may kaugnayan sa mga paglabag sa halalan.
2. Omnibus Election Code (Batas Pambansa Blg. 881): Ang Omnibus Elec"&amp;"tion Code ay naglalaman ng mga probisyon na nagbabawal sa iba't ibang anyo ng mga paglabag sa halalan, kabilang ang pamimilit sa botante. Ang Seksyon 261 ng Omnibus Election Code ay nagsasaad ng mga kilos na bumubuo ng mga pagkakasala sa halalan, kabilang"&amp;" ang pananakot, pamimilit, at pagbabanta upang pilitin ang mga indibidwal na bumoto o umiwas sa pagboto para sa isang partikular na kandidato o partidong pampulitika. Ang mga reklamo hinggil sa voter coercion ay maaaring ihain sa COMELEC, na may awtoridad"&amp;" na mag-prosecute ng mga paglabag sa halalan.
3. Witness Protection, Security, and Benefit Act (RA 6981, na sinususugan ng RA 9372): Ang mga saksi na may impormasyon tungkol sa pamimilit sa botante ay maaaring bigyan ng proteksyon at seguridad sa ilali"&amp;"m ng batas na ito. Ang Witness Protection Program (WPP) ay naglalayon na hikayatin ang mga testigo na lumapit at tumestigo laban sa mga indibidwal na sangkot sa mga kriminal na aktibidad, kabilang ang mga paglabag sa halalan.
4. Kodigo sa Kriminal ng P"&amp;"ilipinas: Ang pamimilit ng botante ay maaari ding bumuo ng mga kriminal na pagkakasala sa ilalim ng Kodigo Kriminal, tulad ng pamimilit (Artikulo 286), pagbabanta (Artikulo 282), at pananakot (Artikulo 133). Ang mga reklamo tungkol sa mga kriminal na pagk"&amp;"akasala na may kaugnayan sa pamimilit sa botante ay maaaring ihain sa naaangkop na mga ahensyang nagpapatupad ng batas para sa imbestigasyon at pag-uusig.
5. Mga remedyo sa sibil: Ang mga indibidwal na napailalim sa pamimilit ng botante ay maaaring hum"&amp;"ingi ng mga remedyo ng sibil, tulad ng paghahain ng reklamo para sa mga pinsala laban sa mga indibidwal o partidong pampulitika na responsable para sa pamimilit.
Sa pangkalahatan, ang pagtugon sa mga paratang ng pamimilit sa mga botante sa panahon ng h"&amp;"alalan ay nangangailangan ng koordinadong pagsisikap ng mga ahensya ng gobyerno, mga awtoridad na nagpapatupad ng batas, at mga stakeholder ng elektoral upang imbestigahan ang mga paratang, mangalap ng ebidensya, at panagutin ang mga responsable sa paglab"&amp;"ag sa mga batas ng halalan at pahinain ang integridad ng proseso ng elektoral. .")</f>
        <v>Ang mga paratang ng pamimilit sa mga botante sa panahon ng halalan ay seryoso at dapat na matugunan kaagad upang itaguyod ang integridad ng proseso ng elektoral. Sa Pilipinas, may ilang legal na hakbang na maaaring gawin upang imbestigahan at matugunan ang mga naturang paratang:
1. Commission on Elections (COMELEC): Ang COMELEC ang pangunahing ahensyang responsable sa pagtiyak ng libre, patas, at kapani-paniwalang halalan sa Pilipinas. Ang mga ulat ng pamimilit sa mga botante ay dapat isumite sa COMELEC para sa imbestigasyon. Ang COMELEC ay may awtoridad na magsagawa ng mga pagtatanong, magpatawag ng mga testigo, at mangalap ng ebidensya na may kaugnayan sa mga paglabag sa halalan.
2. Omnibus Election Code (Batas Pambansa Blg. 881): Ang Omnibus Election Code ay naglalaman ng mga probisyon na nagbabawal sa iba't ibang anyo ng mga paglabag sa halalan, kabilang ang pamimilit sa botante. Ang Seksyon 261 ng Omnibus Election Code ay nagsasaad ng mga kilos na bumubuo ng mga pagkakasala sa halalan, kabilang ang pananakot, pamimilit, at pagbabanta upang pilitin ang mga indibidwal na bumoto o umiwas sa pagboto para sa isang partikular na kandidato o partidong pampulitika. Ang mga reklamo hinggil sa voter coercion ay maaaring ihain sa COMELEC, na may awtoridad na mag-prosecute ng mga paglabag sa halalan.
3. Witness Protection, Security, and Benefit Act (RA 6981, na sinususugan ng RA 9372): Ang mga saksi na may impormasyon tungkol sa pamimilit sa botante ay maaaring bigyan ng proteksyon at seguridad sa ilalim ng batas na ito. Ang Witness Protection Program (WPP) ay naglalayon na hikayatin ang mga testigo na lumapit at tumestigo laban sa mga indibidwal na sangkot sa mga kriminal na aktibidad, kabilang ang mga paglabag sa halalan.
4. Kodigo sa Kriminal ng Pilipinas: Ang pamimilit ng botante ay maaari ding bumuo ng mga kriminal na pagkakasala sa ilalim ng Kodigo Kriminal, tulad ng pamimilit (Artikulo 286), pagbabanta (Artikulo 282), at pananakot (Artikulo 133). Ang mga reklamo tungkol sa mga kriminal na pagkakasala na may kaugnayan sa pamimilit sa botante ay maaaring ihain sa naaangkop na mga ahensyang nagpapatupad ng batas para sa imbestigasyon at pag-uusig.
5. Mga remedyo sa sibil: Ang mga indibidwal na napailalim sa pamimilit ng botante ay maaaring humingi ng mga remedyo ng sibil, tulad ng paghahain ng reklamo para sa mga pinsala laban sa mga indibidwal o partidong pampulitika na responsable para sa pamimilit.
Sa pangkalahatan, ang pagtugon sa mga paratang ng pamimilit sa mga botante sa panahon ng halalan ay nangangailangan ng koordinadong pagsisikap ng mga ahensya ng gobyerno, mga awtoridad na nagpapatupad ng batas, at mga stakeholder ng elektoral upang imbestigahan ang mga paratang, mangalap ng ebidensya, at panagutin ang mga responsable sa paglabag sa mga batas ng halalan at pahinain ang integridad ng proseso ng elektoral. .</v>
      </c>
      <c r="F2386" s="2">
        <f t="shared" si="1"/>
        <v>0</v>
      </c>
      <c r="G2386" s="2"/>
      <c r="H2386" s="2"/>
      <c r="I2386" s="2"/>
      <c r="J2386" s="2"/>
      <c r="K2386" s="2"/>
      <c r="L2386" s="2"/>
      <c r="M2386" s="2"/>
      <c r="N2386" s="2"/>
      <c r="O2386" s="2"/>
      <c r="P2386" s="2"/>
      <c r="Q2386" s="2"/>
      <c r="R2386" s="2"/>
      <c r="S2386" s="2"/>
      <c r="T2386" s="2"/>
      <c r="U2386" s="2"/>
      <c r="V2386" s="2"/>
      <c r="W2386" s="2"/>
      <c r="X2386" s="2"/>
      <c r="Y2386" s="2"/>
      <c r="Z2386" s="2"/>
      <c r="AA2386" s="2"/>
    </row>
    <row r="2387">
      <c r="A2387" s="3" t="s">
        <v>5693</v>
      </c>
      <c r="B2387" s="1" t="s">
        <v>5740</v>
      </c>
      <c r="C2387" s="3" t="s">
        <v>5741</v>
      </c>
      <c r="D2387" s="2" t="str">
        <f>IFERROR(__xludf.DUMMYFUNCTION("GOOGLETRANSLATE(B2387, ""en"", ""TL"")"),"Ang isang mamamahayag na nag-uulat tungkol sa pampulitikang katiwalian ay maling inakusahan ng pagkalat ng disinformation. Anong mga legal na hakbang ang maaaring gawin upang ipagtanggol ang mamamahayag at matugunan ang mga maling akusasyon?")</f>
        <v>Ang isang mamamahayag na nag-uulat tungkol sa pampulitikang katiwalian ay maling inakusahan ng pagkalat ng disinformation. Anong mga legal na hakbang ang maaaring gawin upang ipagtanggol ang mamamahayag at matugunan ang mga maling akusasyon?</v>
      </c>
      <c r="E2387" s="2" t="str">
        <f>IFERROR(__xludf.DUMMYFUNCTION("GOOGLETRANSLATE(C2387, ""en"", ""TL"")"),"Ang mamamahayag ay may ilang mga legal na opsyon upang labanan ang mga maling akusasyon at ipagtanggol ang kanilang reputasyon:
**1. Defamation Defamation:**
* Ito ang pinakakaraniwang paraan ng pagkilos. Maaaring kasuhan ng mamamahayag ang tao o entity n"&amp;"a gumagawa ng maling pag-aangkin para sa paninirang-puri. Para manalo, kailangan nilang patunayan na mali ang pahayag, ginawa nang may malisya (ibig sabihin, alam nilang mali ito o walang ingat na pagwawalang-bahala sa katotohanan), at sinira ang kanilang"&amp;" reputasyon.
**2. Anti-SLAPP Law (kung naaangkop):**
* Ang ilang mga bansa (tulad ng US) ay may mga batas sa Strategic Lawsuit Against Public Participation (SLAPP). Pinoprotektahan ng mga ito ang mga taong gumagamit ng kanilang mga karapatan sa malayang p"&amp;"ananalita mula sa mga demanda na sinadya upang patahimikin sila sa pamamagitan ng mga legal na gastos. Kung ang pag-uulat ng mamamahayag ay itinuturing na pampublikong interes, ang batas na ito ay maaaring makatulong sa pagpapawalang-bisa sa akusasyon.
**"&amp;"3. Karapatan sa Pagsagot:**
* Maraming bansa ang may mga batas na nagbibigay sa mga indibidwal ng karapatang tumugon sa mali o mapanlinlang na impormasyong inilathala tungkol sa kanila. Maaaring gamitin ito ng mamamahayag upang humingi ng pantay na espasy"&amp;"o o airtime para ipakita ang kanilang panig ng kuwento.
**4. Injunction:**
* Sa ilang mga kaso, ang mamamahayag ay maaaring humingi ng utos ng hukuman (injunction) upang pigilan ang pagkalat ng maling akusasyon. Ito ay mas mabilis kaysa sa isang demanda n"&amp;"gunit nangangailangan ng isang malakas na kaso para sa pinsala ng akusasyon.
**Mga Karagdagang Hakbang:**
* **Pampublikong Pahayag:** Mag-isyu ng malinaw at maigsi na pahayag na pinabulaanan ang mga akusasyon, na nagbibigay ng ebidensya na sumusuporta sa "&amp;"kanilang pag-uulat.
* **Media Outreach:** Ibahagi ang kanilang kuwento sa iba pang media outlet para makakuha ng mas malawak na coverage at kontrahin ang maling salaysay.
* **Mga Organisasyon ng Press Freedom:** Humingi ng suporta mula sa mga unyon ng mam"&amp;"amahayag o mga organisasyon ng kalayaan sa pamamahayag. Ang mga grupong ito ay maaaring mag-alok ng legal na payo, mapagkukunan, at pampublikong adbokasiya.
**Tandaan:** * Kumonsulta sa isang abogado na dalubhasa sa batas ng media upang matukoy ang pinaka"&amp;"mahusay na paraan ng pagkilos batay sa partikular na sitwasyon at hurisdiksyon. * Ang pasanin ng patunay ay maaaring magkaiba. Kung minsan ang mamamahayag ay kailangang patunayan ang katotohanan ng kanilang pag-uulat, habang sa ibang mga kaso ang nag-aaku"&amp;"sa ay kailangang patunayan na ang impormasyon ay mali.
Sa pamamagitan ng pagsasagawa ng mga hakbang na ito, maaaring ipagtanggol ng mamamahayag ang kanilang reputasyon, labanan ang mga pagtatangkang patahimikin sila, at ipagpatuloy ang kanilang mahalagang"&amp;" gawain ng paglalantad ng katiwalian.")</f>
        <v>Ang mamamahayag ay may ilang mga legal na opsyon upang labanan ang mga maling akusasyon at ipagtanggol ang kanilang reputasyon:
**1. Defamation Defamation:**
* Ito ang pinakakaraniwang paraan ng pagkilos. Maaaring kasuhan ng mamamahayag ang tao o entity na gumagawa ng maling pag-aangkin para sa paninirang-puri. Para manalo, kailangan nilang patunayan na mali ang pahayag, ginawa nang may malisya (ibig sabihin, alam nilang mali ito o walang ingat na pagwawalang-bahala sa katotohanan), at sinira ang kanilang reputasyon.
**2. Anti-SLAPP Law (kung naaangkop):**
* Ang ilang mga bansa (tulad ng US) ay may mga batas sa Strategic Lawsuit Against Public Participation (SLAPP). Pinoprotektahan ng mga ito ang mga taong gumagamit ng kanilang mga karapatan sa malayang pananalita mula sa mga demanda na sinadya upang patahimikin sila sa pamamagitan ng mga legal na gastos. Kung ang pag-uulat ng mamamahayag ay itinuturing na pampublikong interes, ang batas na ito ay maaaring makatulong sa pagpapawalang-bisa sa akusasyon.
**3. Karapatan sa Pagsagot:**
* Maraming bansa ang may mga batas na nagbibigay sa mga indibidwal ng karapatang tumugon sa mali o mapanlinlang na impormasyong inilathala tungkol sa kanila. Maaaring gamitin ito ng mamamahayag upang humingi ng pantay na espasyo o airtime para ipakita ang kanilang panig ng kuwento.
**4. Injunction:**
* Sa ilang mga kaso, ang mamamahayag ay maaaring humingi ng utos ng hukuman (injunction) upang pigilan ang pagkalat ng maling akusasyon. Ito ay mas mabilis kaysa sa isang demanda ngunit nangangailangan ng isang malakas na kaso para sa pinsala ng akusasyon.
**Mga Karagdagang Hakbang:**
* **Pampublikong Pahayag:** Mag-isyu ng malinaw at maigsi na pahayag na pinabulaanan ang mga akusasyon, na nagbibigay ng ebidensya na sumusuporta sa kanilang pag-uulat.
* **Media Outreach:** Ibahagi ang kanilang kuwento sa iba pang media outlet para makakuha ng mas malawak na coverage at kontrahin ang maling salaysay.
* **Mga Organisasyon ng Press Freedom:** Humingi ng suporta mula sa mga unyon ng mamamahayag o mga organisasyon ng kalayaan sa pamamahayag. Ang mga grupong ito ay maaaring mag-alok ng legal na payo, mapagkukunan, at pampublikong adbokasiya.
**Tandaan:** * Kumonsulta sa isang abogado na dalubhasa sa batas ng media upang matukoy ang pinakamahusay na paraan ng pagkilos batay sa partikular na sitwasyon at hurisdiksyon. * Ang pasanin ng patunay ay maaaring magkaiba. Kung minsan ang mamamahayag ay kailangang patunayan ang katotohanan ng kanilang pag-uulat, habang sa ibang mga kaso ang nag-aakusa ay kailangang patunayan na ang impormasyon ay mali.
Sa pamamagitan ng pagsasagawa ng mga hakbang na ito, maaaring ipagtanggol ng mamamahayag ang kanilang reputasyon, labanan ang mga pagtatangkang patahimikin sila, at ipagpatuloy ang kanilang mahalagang gawain ng paglalantad ng katiwalian.</v>
      </c>
      <c r="F2387" s="2">
        <f t="shared" si="1"/>
        <v>0</v>
      </c>
      <c r="G2387" s="2"/>
      <c r="H2387" s="2"/>
      <c r="I2387" s="2"/>
      <c r="J2387" s="2"/>
      <c r="K2387" s="2"/>
      <c r="L2387" s="2"/>
      <c r="M2387" s="2"/>
      <c r="N2387" s="2"/>
      <c r="O2387" s="2"/>
      <c r="P2387" s="2"/>
      <c r="Q2387" s="2"/>
      <c r="R2387" s="2"/>
      <c r="S2387" s="2"/>
      <c r="T2387" s="2"/>
      <c r="U2387" s="2"/>
      <c r="V2387" s="2"/>
      <c r="W2387" s="2"/>
      <c r="X2387" s="2"/>
      <c r="Y2387" s="2"/>
      <c r="Z2387" s="2"/>
      <c r="AA2387" s="2"/>
    </row>
    <row r="2388">
      <c r="A2388" s="3" t="s">
        <v>5693</v>
      </c>
      <c r="B2388" s="1" t="s">
        <v>5742</v>
      </c>
      <c r="C2388" s="3" t="s">
        <v>5743</v>
      </c>
      <c r="D2388" s="2" t="str">
        <f>IFERROR(__xludf.DUMMYFUNCTION("GOOGLETRANSLATE(B2388, ""en"", ""TL"")"),"Ang isang aktibistang pulitikal ay nakakulong nang walang wastong legal na batayan. Anong mga legal na aksyon ang maaaring gawin upang hamunin ang labag sa batas na pagkulong at protektahan ang mga karapatan ng aktibista?")</f>
        <v>Ang isang aktibistang pulitikal ay nakakulong nang walang wastong legal na batayan. Anong mga legal na aksyon ang maaaring gawin upang hamunin ang labag sa batas na pagkulong at protektahan ang mga karapatan ng aktibista?</v>
      </c>
      <c r="E2388" s="2" t="str">
        <f>IFERROR(__xludf.DUMMYFUNCTION("GOOGLETRANSLATE(C2388, ""en"", ""TL"")"),"Kung ang isang aktibistang pulitikal ay nakakulong nang walang wastong legal na batayan sa Pilipinas, may mga legal na aksyon na maaaring gawin upang hamunin ang labag sa batas na pagkulong at protektahan ang mga karapatan ng aktibista. Narito ang ilang h"&amp;"akbang na maaaring isagawa:
1. Writ of Habeas Corpus: Ang writ of habeas corpus ay isang legal na remedyo na maaaring gamitin upang hamunin ang legalidad ng pagkakakulong ng isang tao. Ang isang aplikasyon para sa isang writ of habeas corpus ay maaarin"&amp;"g ihain sa naaangkop na hukuman, na nagsasaad na ang detensyon ay labag sa batas at humihiling sa korte na iutos ang pagpapalaya sa nakakulong maliban kung ang mga batayan ng batas para sa detensyon ay ipinapakita.
2. Paghahain ng Petisyon para sa Writ"&amp;"s of Amparo at Habeas Data: Sa mga kaso kung saan ang labag sa batas na pagkulong ay sinamahan ng mga banta sa buhay, kalayaan, o seguridad ng detenido, maaaring magsampa ng petisyon para sa writ of amparo at habeas data. Ang writ of amparo ay isang remed"&amp;"yo na magagamit upang protektahan ang mga karapatan sa konstitusyon sa buhay, kalayaan, at seguridad, habang ang writ of habeas data ay isang remedyo para sa proteksyon ng karapatan sa privacy at access sa impormasyon tungkol sa sarili.
3. Legal na rep"&amp;"resentasyon: Ang detenido ay dapat bigyan ng legal na representasyon upang hamunin ang labag sa batas na pagkulong at ipagtanggol ang kanilang mga karapatan. Maaaring humingi ng legal na tulong mula sa mga organisasyon ng karapatang pantao, mga grupo ng l"&amp;"egal na tulong, o pribadong abogado na dalubhasa sa karapatang pantao at batas sa konstitusyon.
4. Pag-uulat sa mga ahensya ng karapatang pantao: Ang mga paratang ng labag sa batas na pagpigil ay dapat iulat sa mga ahensya ng karapatang pantao, tulad n"&amp;"g Commission on Human Rights (CHR), para sa imbestigasyon at interbensyon. Ang CHR ay may awtoridad na mag-usisa sa mga paglabag sa karapatang pantao, kabilang ang di-makatwirang pagkulong, at magrekomenda ng mga hakbang upang matugunan ang mga naturang p"&amp;"aglabag.
5. Pampublikong adbokasiya at mobilisasyon: Maaaring pakilusin ng mga organisasyon ng lipunang sibil, mga grupo ng adbokasiya, at mga nag-aalalang indibidwal ang suporta ng publiko at magpataas ng kamalayan tungkol sa labag sa batas na pagkulo"&amp;"ng sa pamamagitan ng mga kampanya, protesta, at iba pang anyo ng adbokasiya. Makakatulong ang panggigipit ng publiko para bigyang-pansin ang kaso at ipilit ang mga awtoridad na igalang ang mga karapatan ng aktibista at palayain sila mula sa pagkakakulong."&amp;"
Sa pangkalahatan, ang paghamon ng labag sa batas na pagkulong ay nangangailangan ng isang multi-faceted na diskarte na kinasasangkutan ng mga legal na remedyo, adbokasiya ng karapatang pantao, at pampublikong mobilisasyon upang matiyak na ang mga kara"&amp;"patan ng aktibista ay protektado at itinataguyod alinsunod sa mga batas ng Pilipinas at mga internasyonal na pamantayan ng karapatang pantao.")</f>
        <v>Kung ang isang aktibistang pulitikal ay nakakulong nang walang wastong legal na batayan sa Pilipinas, may mga legal na aksyon na maaaring gawin upang hamunin ang labag sa batas na pagkulong at protektahan ang mga karapatan ng aktibista. Narito ang ilang hakbang na maaaring isagawa:
1. Writ of Habeas Corpus: Ang writ of habeas corpus ay isang legal na remedyo na maaaring gamitin upang hamunin ang legalidad ng pagkakakulong ng isang tao. Ang isang aplikasyon para sa isang writ of habeas corpus ay maaaring ihain sa naaangkop na hukuman, na nagsasaad na ang detensyon ay labag sa batas at humihiling sa korte na iutos ang pagpapalaya sa nakakulong maliban kung ang mga batayan ng batas para sa detensyon ay ipinapakita.
2. Paghahain ng Petisyon para sa Writs of Amparo at Habeas Data: Sa mga kaso kung saan ang labag sa batas na pagkulong ay sinamahan ng mga banta sa buhay, kalayaan, o seguridad ng detenido, maaaring magsampa ng petisyon para sa writ of amparo at habeas data. Ang writ of amparo ay isang remedyo na magagamit upang protektahan ang mga karapatan sa konstitusyon sa buhay, kalayaan, at seguridad, habang ang writ of habeas data ay isang remedyo para sa proteksyon ng karapatan sa privacy at access sa impormasyon tungkol sa sarili.
3. Legal na representasyon: Ang detenido ay dapat bigyan ng legal na representasyon upang hamunin ang labag sa batas na pagkulong at ipagtanggol ang kanilang mga karapatan. Maaaring humingi ng legal na tulong mula sa mga organisasyon ng karapatang pantao, mga grupo ng legal na tulong, o pribadong abogado na dalubhasa sa karapatang pantao at batas sa konstitusyon.
4. Pag-uulat sa mga ahensya ng karapatang pantao: Ang mga paratang ng labag sa batas na pagpigil ay dapat iulat sa mga ahensya ng karapatang pantao, tulad ng Commission on Human Rights (CHR), para sa imbestigasyon at interbensyon. Ang CHR ay may awtoridad na mag-usisa sa mga paglabag sa karapatang pantao, kabilang ang di-makatwirang pagkulong, at magrekomenda ng mga hakbang upang matugunan ang mga naturang paglabag.
5. Pampublikong adbokasiya at mobilisasyon: Maaaring pakilusin ng mga organisasyon ng lipunang sibil, mga grupo ng adbokasiya, at mga nag-aalalang indibidwal ang suporta ng publiko at magpataas ng kamalayan tungkol sa labag sa batas na pagkulong sa pamamagitan ng mga kampanya, protesta, at iba pang anyo ng adbokasiya. Makakatulong ang panggigipit ng publiko para bigyang-pansin ang kaso at ipilit ang mga awtoridad na igalang ang mga karapatan ng aktibista at palayain sila mula sa pagkakakulong.
Sa pangkalahatan, ang paghamon ng labag sa batas na pagkulong ay nangangailangan ng isang multi-faceted na diskarte na kinasasangkutan ng mga legal na remedyo, adbokasiya ng karapatang pantao, at pampublikong mobilisasyon upang matiyak na ang mga karapatan ng aktibista ay protektado at itinataguyod alinsunod sa mga batas ng Pilipinas at mga internasyonal na pamantayan ng karapatang pantao.</v>
      </c>
      <c r="F2388" s="2">
        <f t="shared" si="1"/>
        <v>0</v>
      </c>
      <c r="G2388" s="2"/>
      <c r="H2388" s="2"/>
      <c r="I2388" s="2"/>
      <c r="J2388" s="2"/>
      <c r="K2388" s="2"/>
      <c r="L2388" s="2"/>
      <c r="M2388" s="2"/>
      <c r="N2388" s="2"/>
      <c r="O2388" s="2"/>
      <c r="P2388" s="2"/>
      <c r="Q2388" s="2"/>
      <c r="R2388" s="2"/>
      <c r="S2388" s="2"/>
      <c r="T2388" s="2"/>
      <c r="U2388" s="2"/>
      <c r="V2388" s="2"/>
      <c r="W2388" s="2"/>
      <c r="X2388" s="2"/>
      <c r="Y2388" s="2"/>
      <c r="Z2388" s="2"/>
      <c r="AA2388" s="2"/>
    </row>
    <row r="2389">
      <c r="A2389" s="3" t="s">
        <v>5693</v>
      </c>
      <c r="B2389" s="1" t="s">
        <v>5744</v>
      </c>
      <c r="C2389" s="3" t="s">
        <v>5745</v>
      </c>
      <c r="D2389" s="2" t="str">
        <f>IFERROR(__xludf.DUMMYFUNCTION("GOOGLETRANSLATE(B2389, ""en"", ""TL"")"),"Sa panahon ng isang political rally, ang isang grupo ay nagsasagawa ng mapoot na salita at pag-uudyok sa karahasan. Anong mga legal na hakbang ang maaaring gawin upang matugunan ang mapoot na salita at maiwasan ang karahasan?")</f>
        <v>Sa panahon ng isang political rally, ang isang grupo ay nagsasagawa ng mapoot na salita at pag-uudyok sa karahasan. Anong mga legal na hakbang ang maaaring gawin upang matugunan ang mapoot na salita at maiwasan ang karahasan?</v>
      </c>
      <c r="E2389" s="2" t="str">
        <f>IFERROR(__xludf.DUMMYFUNCTION("GOOGLETRANSLATE(C2389, ""en"", ""TL"")"),"Sa Pilipinas, ang mapoot na pananalita at pag-uudyok sa karahasan ay ipinagbabawal ng batas, at may mga legal na hakbang na maaaring gawin upang matugunan ang gayong mga pag-uugali at maiwasan ang karahasan sa panahon ng isang political rally:
1. Binag"&amp;"ong Kodigo Penal: Ang Binagong Kodigo Penal ay naglalaman ng mga probisyon na nagbabawal sa mga gawa ng pag-uudyok sa sedisyon (Artikulo 142) at iligal na pagpupulong (Artikulo 146), bukod sa iba pa. Ang mapoot na pananalita at pag-uudyok sa karahasan ay "&amp;"maaaring bumubuo ng mga pagkakasala sa ilalim ng mga probisyong ito, at ang mga indibidwal na nagsasagawa ng gayong mga pag-uugali ay maaaring managot sa kriminal.
2. Cybercrime Prevention Act of 2012 (RA 10175): Ang mapoot na pananalita at pag-uudyok "&amp;"sa karahasan ay maaari ding mangyari sa pamamagitan ng mga online platform. Ipinagbabawal ng Cybercrime Prevention Act ang mga gawa ng cybercrime, kabilang ang mga nagsasangkot ng paghahatid ng mapoot na salita o pag-uudyok sa karahasan sa pamamagitan ng "&amp;"internet o iba pang elektronikong paraan.
3. Human Security Act of 2007 (RA 9372): Tinutugunan ng Human Security Act ang mga gawain ng terorismo, na maaaring kabilang ang pag-uudyok sa karahasan sa panahon ng mga political rally. Ang mga awtoridad sa p"&amp;"agpapatupad ng batas ay maaaring gumawa ng mga hakbang sa pag-iwas at pagpapatupad upang matugunan ang mga banta sa kaligtasan ng publiko at maiwasan ang karahasan sa panahon ng mga rally o iba pang pampublikong pagtitipon.
4. Commission on Human Right"&amp;"s (CHR): Ang CHR ay may awtoridad na imbestigahan ang mga paglabag sa karapatang pantao, kabilang ang mga gawa ng mapoot na salita at pag-uudyok sa karahasan. Ang mga ulat ng mapoot na salita at pag-uudyok sa karahasan sa panahon ng mga political rally ay"&amp;" maaaring isumite sa CHR para sa imbestigasyon at interbensyon.
5. Interbensyon sa pagpapatupad ng batas: Ang mga awtoridad sa pagpapatupad ng batas, tulad ng Philippine National Police (PNP), ay may responsibilidad na panatilihin ang kapayapaan at kaa"&amp;"yusan sa panahon ng mga political rally at maiwasan ang mga pagkilos ng karahasan. Ang mga opisyal ay maaaring gumawa ng naaangkop na mga hakbang upang ikalat ang mga hindi masupil na pulutong at arestuhin ang mga indibidwal na nakikibahagi sa mapoot na s"&amp;"alita o pag-uudyok sa karahasan.
6. Mga remedyo sa sibil: Ang mga biktima ng mapoot na salita o pag-uudyok sa karahasan sa panahon ng mga rali sa pulitika ay maaaring humingi ng mga remedyo ng sibil, tulad ng paghahain ng reklamo para sa mga pinsala la"&amp;"ban sa mga indibidwal o grupo na responsable para sa nakakasakit na pag-uugali.
Sa pangkalahatan, ang pagtugon sa mapoot na salita at pagpigil sa karahasan sa mga pampulitikang rally ay nangangailangan ng kumbinasyon ng mga legal na hakbang, interbensy"&amp;"on sa pagpapatupad ng batas, at mga kampanya ng kamalayan sa publiko upang itaguyod ang paggalang sa mga karapatang pantao at mapayapang diskursong pampulitika.")</f>
        <v>Sa Pilipinas, ang mapoot na pananalita at pag-uudyok sa karahasan ay ipinagbabawal ng batas, at may mga legal na hakbang na maaaring gawin upang matugunan ang gayong mga pag-uugali at maiwasan ang karahasan sa panahon ng isang political rally:
1. Binagong Kodigo Penal: Ang Binagong Kodigo Penal ay naglalaman ng mga probisyon na nagbabawal sa mga gawa ng pag-uudyok sa sedisyon (Artikulo 142) at iligal na pagpupulong (Artikulo 146), bukod sa iba pa. Ang mapoot na pananalita at pag-uudyok sa karahasan ay maaaring bumubuo ng mga pagkakasala sa ilalim ng mga probisyong ito, at ang mga indibidwal na nagsasagawa ng gayong mga pag-uugali ay maaaring managot sa kriminal.
2. Cybercrime Prevention Act of 2012 (RA 10175): Ang mapoot na pananalita at pag-uudyok sa karahasan ay maaari ding mangyari sa pamamagitan ng mga online platform. Ipinagbabawal ng Cybercrime Prevention Act ang mga gawa ng cybercrime, kabilang ang mga nagsasangkot ng paghahatid ng mapoot na salita o pag-uudyok sa karahasan sa pamamagitan ng internet o iba pang elektronikong paraan.
3. Human Security Act of 2007 (RA 9372): Tinutugunan ng Human Security Act ang mga gawain ng terorismo, na maaaring kabilang ang pag-uudyok sa karahasan sa panahon ng mga political rally. Ang mga awtoridad sa pagpapatupad ng batas ay maaaring gumawa ng mga hakbang sa pag-iwas at pagpapatupad upang matugunan ang mga banta sa kaligtasan ng publiko at maiwasan ang karahasan sa panahon ng mga rally o iba pang pampublikong pagtitipon.
4. Commission on Human Rights (CHR): Ang CHR ay may awtoridad na imbestigahan ang mga paglabag sa karapatang pantao, kabilang ang mga gawa ng mapoot na salita at pag-uudyok sa karahasan. Ang mga ulat ng mapoot na salita at pag-uudyok sa karahasan sa panahon ng mga political rally ay maaaring isumite sa CHR para sa imbestigasyon at interbensyon.
5. Interbensyon sa pagpapatupad ng batas: Ang mga awtoridad sa pagpapatupad ng batas, tulad ng Philippine National Police (PNP), ay may responsibilidad na panatilihin ang kapayapaan at kaayusan sa panahon ng mga political rally at maiwasan ang mga pagkilos ng karahasan. Ang mga opisyal ay maaaring gumawa ng naaangkop na mga hakbang upang ikalat ang mga hindi masupil na pulutong at arestuhin ang mga indibidwal na nakikibahagi sa mapoot na salita o pag-uudyok sa karahasan.
6. Mga remedyo sa sibil: Ang mga biktima ng mapoot na salita o pag-uudyok sa karahasan sa panahon ng mga rali sa pulitika ay maaaring humingi ng mga remedyo ng sibil, tulad ng paghahain ng reklamo para sa mga pinsala laban sa mga indibidwal o grupo na responsable para sa nakakasakit na pag-uugali.
Sa pangkalahatan, ang pagtugon sa mapoot na salita at pagpigil sa karahasan sa mga pampulitikang rally ay nangangailangan ng kumbinasyon ng mga legal na hakbang, interbensyon sa pagpapatupad ng batas, at mga kampanya ng kamalayan sa publiko upang itaguyod ang paggalang sa mga karapatang pantao at mapayapang diskursong pampulitika.</v>
      </c>
      <c r="F2389" s="2">
        <f t="shared" si="1"/>
        <v>0</v>
      </c>
      <c r="G2389" s="2"/>
      <c r="H2389" s="2"/>
      <c r="I2389" s="2"/>
      <c r="J2389" s="2"/>
      <c r="K2389" s="2"/>
      <c r="L2389" s="2"/>
      <c r="M2389" s="2"/>
      <c r="N2389" s="2"/>
      <c r="O2389" s="2"/>
      <c r="P2389" s="2"/>
      <c r="Q2389" s="2"/>
      <c r="R2389" s="2"/>
      <c r="S2389" s="2"/>
      <c r="T2389" s="2"/>
      <c r="U2389" s="2"/>
      <c r="V2389" s="2"/>
      <c r="W2389" s="2"/>
      <c r="X2389" s="2"/>
      <c r="Y2389" s="2"/>
      <c r="Z2389" s="2"/>
      <c r="AA2389" s="2"/>
    </row>
    <row r="2390">
      <c r="A2390" s="3" t="s">
        <v>5693</v>
      </c>
      <c r="B2390" s="1" t="s">
        <v>5746</v>
      </c>
      <c r="C2390" s="3" t="s">
        <v>5747</v>
      </c>
      <c r="D2390" s="2" t="str">
        <f>IFERROR(__xludf.DUMMYFUNCTION("GOOGLETRANSLATE(B2390, ""en"", ""TL"")"),"Isang political figure ang inaakusahan ng identity theft para siraan ang kanilang kampanya. Anong mga legal na aksyon ang maaaring gawin upang imbestigahan at matugunan ang mga maling akusasyon ng pagnanakaw ng pagkakakilanlan?")</f>
        <v>Isang political figure ang inaakusahan ng identity theft para siraan ang kanilang kampanya. Anong mga legal na aksyon ang maaaring gawin upang imbestigahan at matugunan ang mga maling akusasyon ng pagnanakaw ng pagkakakilanlan?</v>
      </c>
      <c r="E2390" s="2" t="str">
        <f>IFERROR(__xludf.DUMMYFUNCTION("GOOGLETRANSLATE(C2390, ""en"", ""TL"")"),"Kung ang isang politiko ay maling inakusahan ng pagnanakaw ng pagkakakilanlan upang siraan ang kanilang kampanya sa Pilipinas, mayroong ilang mga legal na aksyon na maaaring gawin upang imbestigahan at matugunan ang mga maling akusasyon:
1. Mga Batas s"&amp;"a Paninirang-puri: Ang mga maling akusasyon ng pagnanakaw ng pagkakakilanlan ay maaaring bumuo ng paninirang-puri, na isang paglabag sa sibil sa ilalim ng batas ng Pilipinas. Ang naagrabyado ay maaaring magsampa ng sibil na reklamo para sa mga pinsala lab"&amp;"an sa mga indibidwal o entity na responsable sa paggawa ng mga maling akusasyon.
2. Cybercrime Prevention Act of 2012 (RA 10175): Kung ang mga maling akusasyon ay ginawa sa pamamagitan ng elektronikong paraan, gaya ng social media o online na mga platf"&amp;"orm, ang Cybercrime Prevention Act ay maaaring ilapat. Ang naagrabyado ay maaaring magsampa ng reklamo sa Cybercrime Investigation and Coordinating Center (CICC) o sa Philippine National Police-Cybercrime Group (PNP-CCG) para sa imbestigasyon at pag-uusig"&amp;" ng cyber libel o iba pang cybercrimes.
3. Mga Reklamo sa Kriminal: Kung ang mga maling akusasyon ay bumubuo ng mga kriminal na pagkakasala, tulad ng perjury o maling testimonya, maaaring magsampa ng mga reklamong kriminal sa naaangkop na mga ahensyang"&amp;" nagpapatupad ng batas para sa imbestigasyon at pag-uusig.
4. Commission on Human Rights (CHR): Ang Commission on Human Rights ay may awtoridad na imbestigahan ang mga paglabag sa karapatang pantao, kabilang ang mga maling akusasyon na naglalayong mang"&amp;"gulo o siraan ang mga indibidwal. Ang naagrabyado ay maaaring magsumite ng reklamo sa CHR para sa imbestigasyon at interbensyon.
5. Regulasyon ng Media: Kung ang mga maling akusasyon ay ipinakalat sa pamamagitan ng mga tradisyunal na channel ng media, "&amp;"tulad ng mga pahayagan o telebisyon, ang naagrabyado ay maaaring magsampa ng reklamo sa Philippine Press Council o iba pang nauugnay na media regulatory bodies para sa paglabag sa etika at pamantayan ng media.
6. Mga Batas sa Halalan: Ang mga maling ak"&amp;"usasyon na ginawa sa panahon ng kampanya sa halalan ay maaari ding bumubuo ng mga paglabag sa mga batas sa halalan, tulad ng mga nagbabawal sa mga gawa ng disinformation o mudslinging. Ang naagrabyado ay maaaring magsampa ng reklamo sa Commission on Elect"&amp;"ions (COMELEC) para sa imbestigasyon at kaukulang aksyon.
Sa pangkalahatan, ang pagsisiyasat at pagtugon sa mga maling akusasyon ng pagnanakaw ng pagkakakilanlan ay nangangailangan ng maraming paraan, kabilang ang mga legal na remedyo, interbensyon sa "&amp;"pagpapatupad ng batas, at mga hakbang sa regulasyon upang panagutin ang mga may pananagutan sa pagkalat ng maling impormasyon at pagkasira sa reputasyon ng politiko.")</f>
        <v>Kung ang isang politiko ay maling inakusahan ng pagnanakaw ng pagkakakilanlan upang siraan ang kanilang kampanya sa Pilipinas, mayroong ilang mga legal na aksyon na maaaring gawin upang imbestigahan at matugunan ang mga maling akusasyon:
1. Mga Batas sa Paninirang-puri: Ang mga maling akusasyon ng pagnanakaw ng pagkakakilanlan ay maaaring bumuo ng paninirang-puri, na isang paglabag sa sibil sa ilalim ng batas ng Pilipinas. Ang naagrabyado ay maaaring magsampa ng sibil na reklamo para sa mga pinsala laban sa mga indibidwal o entity na responsable sa paggawa ng mga maling akusasyon.
2. Cybercrime Prevention Act of 2012 (RA 10175): Kung ang mga maling akusasyon ay ginawa sa pamamagitan ng elektronikong paraan, gaya ng social media o online na mga platform, ang Cybercrime Prevention Act ay maaaring ilapat. Ang naagrabyado ay maaaring magsampa ng reklamo sa Cybercrime Investigation and Coordinating Center (CICC) o sa Philippine National Police-Cybercrime Group (PNP-CCG) para sa imbestigasyon at pag-uusig ng cyber libel o iba pang cybercrimes.
3. Mga Reklamo sa Kriminal: Kung ang mga maling akusasyon ay bumubuo ng mga kriminal na pagkakasala, tulad ng perjury o maling testimonya, maaaring magsampa ng mga reklamong kriminal sa naaangkop na mga ahensyang nagpapatupad ng batas para sa imbestigasyon at pag-uusig.
4. Commission on Human Rights (CHR): Ang Commission on Human Rights ay may awtoridad na imbestigahan ang mga paglabag sa karapatang pantao, kabilang ang mga maling akusasyon na naglalayong manggulo o siraan ang mga indibidwal. Ang naagrabyado ay maaaring magsumite ng reklamo sa CHR para sa imbestigasyon at interbensyon.
5. Regulasyon ng Media: Kung ang mga maling akusasyon ay ipinakalat sa pamamagitan ng mga tradisyunal na channel ng media, tulad ng mga pahayagan o telebisyon, ang naagrabyado ay maaaring magsampa ng reklamo sa Philippine Press Council o iba pang nauugnay na media regulatory bodies para sa paglabag sa etika at pamantayan ng media.
6. Mga Batas sa Halalan: Ang mga maling akusasyon na ginawa sa panahon ng kampanya sa halalan ay maaari ding bumubuo ng mga paglabag sa mga batas sa halalan, tulad ng mga nagbabawal sa mga gawa ng disinformation o mudslinging. Ang naagrabyado ay maaaring magsampa ng reklamo sa Commission on Elections (COMELEC) para sa imbestigasyon at kaukulang aksyon.
Sa pangkalahatan, ang pagsisiyasat at pagtugon sa mga maling akusasyon ng pagnanakaw ng pagkakakilanlan ay nangangailangan ng maraming paraan, kabilang ang mga legal na remedyo, interbensyon sa pagpapatupad ng batas, at mga hakbang sa regulasyon upang panagutin ang mga may pananagutan sa pagkalat ng maling impormasyon at pagkasira sa reputasyon ng politiko.</v>
      </c>
      <c r="F2390" s="2">
        <f t="shared" si="1"/>
        <v>0</v>
      </c>
      <c r="G2390" s="2"/>
      <c r="H2390" s="2"/>
      <c r="I2390" s="2"/>
      <c r="J2390" s="2"/>
      <c r="K2390" s="2"/>
      <c r="L2390" s="2"/>
      <c r="M2390" s="2"/>
      <c r="N2390" s="2"/>
      <c r="O2390" s="2"/>
      <c r="P2390" s="2"/>
      <c r="Q2390" s="2"/>
      <c r="R2390" s="2"/>
      <c r="S2390" s="2"/>
      <c r="T2390" s="2"/>
      <c r="U2390" s="2"/>
      <c r="V2390" s="2"/>
      <c r="W2390" s="2"/>
      <c r="X2390" s="2"/>
      <c r="Y2390" s="2"/>
      <c r="Z2390" s="2"/>
      <c r="AA2390" s="2"/>
    </row>
    <row r="2391">
      <c r="A2391" s="3" t="s">
        <v>5693</v>
      </c>
      <c r="B2391" s="1" t="s">
        <v>5748</v>
      </c>
      <c r="C2391" s="3" t="s">
        <v>5749</v>
      </c>
      <c r="D2391" s="2" t="str">
        <f>IFERROR(__xludf.DUMMYFUNCTION("GOOGLETRANSLATE(B2391, ""en"", ""TL"")"),"Nakatuklas ka ng ebidensya ng isang partidong pampulitika na nakikibahagi sa panunuhol upang maimpluwensyahan ang mga resulta ng halalan. Anong mga legal na hakbang ang maaaring gawin upang imbestigahan at matugunan ang mga paratang ng panunuhol?")</f>
        <v>Nakatuklas ka ng ebidensya ng isang partidong pampulitika na nakikibahagi sa panunuhol upang maimpluwensyahan ang mga resulta ng halalan. Anong mga legal na hakbang ang maaaring gawin upang imbestigahan at matugunan ang mga paratang ng panunuhol?</v>
      </c>
      <c r="E2391" s="2" t="str">
        <f>IFERROR(__xludf.DUMMYFUNCTION("GOOGLETRANSLATE(C2391, ""en"", ""TL"")"),"Kung ang ebidensya ng isang partidong pampulitika na nakikibahagi sa panunuhol upang maimpluwensyahan ang mga resulta ng halalan ay natuklasan sa Pilipinas, may ilang mga legal na hakbang na maaaring gawin upang imbestigahan at matugunan ang mga paratang:"&amp;"
1. Commission on Elections (COMELEC): Ang COMELEC ang pangunahing ahensyang responsable sa pagtiyak ng libre, patas, at kapani-paniwalang halalan sa Pilipinas. Ang mga ulat ng panunuhol sa panahon ng halalan ay dapat isumite sa COMELEC para sa imbesti"&amp;"gasyon. Ang COMELEC ay may awtoridad na magsagawa ng mga pagtatanong, magpatawag ng mga saksi, at mangalap ng ebidensya na may kaugnayan sa mga paglabag sa halalan, kabilang ang panunuhol.
2. Omnibus Election Code (Batas Pambansa Blg. 881): Ang Omnibus"&amp;" Election Code ay naglalaman ng mga probisyon na nagbabawal sa iba't ibang anyo ng mga paglabag sa halalan, kabilang ang panunuhol. Ang Seksyon 261 ng Omnibus Election Code ay nagsasaad ng mga kilos na bumubuo ng mga pagkakasala sa halalan, kabilang ang p"&amp;"anunuhol sa mga pampublikong opisyal, botante, o kandidato. Ang mga reklamo tungkol sa panunuhol sa panahon ng halalan ay maaaring ihain sa COMELEC, na may awtoridad na mag-usig ng mga paglabag sa halalan.
3. Witness Protection, Security, and Benefit A"&amp;"ct (RA 6981, na sinususugan ng RA 9372): Ang mga saksi na may impormasyon tungkol sa panunuhol sa panahon ng halalan ay maaaring bigyan ng proteksyon at seguridad sa ilalim ng batas na ito. Ang Witness Protection Program (WPP) ay naglalayon na hikayatin a"&amp;"ng mga testigo na lumapit at tumestigo laban sa mga indibidwal o grupong sangkot sa mga aktibidad na kriminal, kabilang ang mga paglabag sa halalan.
4. Criminal Code of the Philippines: Ang panunuhol ay isang kriminal na pagkakasala sa ilalim ng Crimin"&amp;"al Code, partikular sa ilalim ng mga probisyon na may kaugnayan sa katiwalian at panunuhol ng mga pampublikong opisyal (Artikulo 210). Ang mga reklamo tungkol sa panunuhol sa panahon ng halalan ay maaaring ihain sa naaangkop na mga ahensyang nagpapatupad "&amp;"ng batas para sa imbestigasyon at pag-uusig.
5. Mga remedyo sa sibil: Ang mga indibidwal o grupong apektado ng panunuhol sa panahon ng halalan ay maaaring humingi ng mga remedyo ng sibil, tulad ng paghahain ng reklamo para sa mga pinsala laban sa parti"&amp;"dong pampulitika o mga indibidwal na responsable sa panunuhol.
Sa pangkalahatan, ang pagtugon sa mga paratang ng panunuhol sa panahon ng halalan ay nangangailangan ng komprehensibong diskarte na kinasasangkutan ng mga legal na remedyo, interbensyon sa "&amp;"pagpapatupad ng batas, at mga hakbang sa regulasyon upang matiyak ang integridad ng proseso ng elektoral at panagutin ang mga responsable sa paglabag sa mga batas ng halalan.")</f>
        <v>Kung ang ebidensya ng isang partidong pampulitika na nakikibahagi sa panunuhol upang maimpluwensyahan ang mga resulta ng halalan ay natuklasan sa Pilipinas, may ilang mga legal na hakbang na maaaring gawin upang imbestigahan at matugunan ang mga paratang:
1. Commission on Elections (COMELEC): Ang COMELEC ang pangunahing ahensyang responsable sa pagtiyak ng libre, patas, at kapani-paniwalang halalan sa Pilipinas. Ang mga ulat ng panunuhol sa panahon ng halalan ay dapat isumite sa COMELEC para sa imbestigasyon. Ang COMELEC ay may awtoridad na magsagawa ng mga pagtatanong, magpatawag ng mga saksi, at mangalap ng ebidensya na may kaugnayan sa mga paglabag sa halalan, kabilang ang panunuhol.
2. Omnibus Election Code (Batas Pambansa Blg. 881): Ang Omnibus Election Code ay naglalaman ng mga probisyon na nagbabawal sa iba't ibang anyo ng mga paglabag sa halalan, kabilang ang panunuhol. Ang Seksyon 261 ng Omnibus Election Code ay nagsasaad ng mga kilos na bumubuo ng mga pagkakasala sa halalan, kabilang ang panunuhol sa mga pampublikong opisyal, botante, o kandidato. Ang mga reklamo tungkol sa panunuhol sa panahon ng halalan ay maaaring ihain sa COMELEC, na may awtoridad na mag-usig ng mga paglabag sa halalan.
3. Witness Protection, Security, and Benefit Act (RA 6981, na sinususugan ng RA 9372): Ang mga saksi na may impormasyon tungkol sa panunuhol sa panahon ng halalan ay maaaring bigyan ng proteksyon at seguridad sa ilalim ng batas na ito. Ang Witness Protection Program (WPP) ay naglalayon na hikayatin ang mga testigo na lumapit at tumestigo laban sa mga indibidwal o grupong sangkot sa mga aktibidad na kriminal, kabilang ang mga paglabag sa halalan.
4. Criminal Code of the Philippines: Ang panunuhol ay isang kriminal na pagkakasala sa ilalim ng Criminal Code, partikular sa ilalim ng mga probisyon na may kaugnayan sa katiwalian at panunuhol ng mga pampublikong opisyal (Artikulo 210). Ang mga reklamo tungkol sa panunuhol sa panahon ng halalan ay maaaring ihain sa naaangkop na mga ahensyang nagpapatupad ng batas para sa imbestigasyon at pag-uusig.
5. Mga remedyo sa sibil: Ang mga indibidwal o grupong apektado ng panunuhol sa panahon ng halalan ay maaaring humingi ng mga remedyo ng sibil, tulad ng paghahain ng reklamo para sa mga pinsala laban sa partidong pampulitika o mga indibidwal na responsable sa panunuhol.
Sa pangkalahatan, ang pagtugon sa mga paratang ng panunuhol sa panahon ng halalan ay nangangailangan ng komprehensibong diskarte na kinasasangkutan ng mga legal na remedyo, interbensyon sa pagpapatupad ng batas, at mga hakbang sa regulasyon upang matiyak ang integridad ng proseso ng elektoral at panagutin ang mga responsable sa paglabag sa mga batas ng halalan.</v>
      </c>
      <c r="F2391" s="2">
        <f t="shared" si="1"/>
        <v>0</v>
      </c>
      <c r="G2391" s="2"/>
      <c r="H2391" s="2"/>
      <c r="I2391" s="2"/>
      <c r="J2391" s="2"/>
      <c r="K2391" s="2"/>
      <c r="L2391" s="2"/>
      <c r="M2391" s="2"/>
      <c r="N2391" s="2"/>
      <c r="O2391" s="2"/>
      <c r="P2391" s="2"/>
      <c r="Q2391" s="2"/>
      <c r="R2391" s="2"/>
      <c r="S2391" s="2"/>
      <c r="T2391" s="2"/>
      <c r="U2391" s="2"/>
      <c r="V2391" s="2"/>
      <c r="W2391" s="2"/>
      <c r="X2391" s="2"/>
      <c r="Y2391" s="2"/>
      <c r="Z2391" s="2"/>
      <c r="AA2391" s="2"/>
    </row>
    <row r="2392">
      <c r="A2392" s="3" t="s">
        <v>5693</v>
      </c>
      <c r="B2392" s="1" t="s">
        <v>5750</v>
      </c>
      <c r="C2392" s="3" t="s">
        <v>5751</v>
      </c>
      <c r="D2392" s="2" t="str">
        <f>IFERROR(__xludf.DUMMYFUNCTION("GOOGLETRANSLATE(B2392, ""en"", ""TL"")"),"Ang isang whistleblower ay naglalantad ng katiwalian sa loob ng isang pampulitikang entity at nahaharap sa mga banta ng pisikal na pinsala. Anong mga legal na hakbang ang maaaring gawin upang maprotektahan ang whistleblower at matugunan ang mga paratang s"&amp;"a katiwalian?")</f>
        <v>Ang isang whistleblower ay naglalantad ng katiwalian sa loob ng isang pampulitikang entity at nahaharap sa mga banta ng pisikal na pinsala. Anong mga legal na hakbang ang maaaring gawin upang maprotektahan ang whistleblower at matugunan ang mga paratang sa katiwalian?</v>
      </c>
      <c r="E2392" s="2" t="str">
        <f>IFERROR(__xludf.DUMMYFUNCTION("GOOGLETRANSLATE(C2392, ""en"", ""TL"")"),"Narito ang ilang legal na hakbang na maaaring gawin ng whistleblower na nahaharap sa mga banta at paglalantad ng katiwalian sa pulitika:
**Iulat ang mga Banta:**
* **Pagpapatupad ng Batas:** Maghain ng ulat ng pulisya na nagdedetalye ng mga banta. Lumilik"&amp;"ha ito ng rekord at maaaring humantong sa pagsisiyasat at mga hakbang sa proteksyon tulad ng mga restraining order.
* **Seguridad:** Isaalang-alang ang pakikipag-ugnayan sa isang propesyonal sa seguridad upang masuri ang panganib at magrekomenda ng mga pe"&amp;"rsonal na hakbang sa kaligtasan.
**Iulat ang Korapsyon:**
* **Whistleblower Hotline:** Maraming ahensya ng gobyerno at ilang NGO ang may mga hotline na partikular para sa mga whistleblower. Narito ang ilang mapagkukunan upang mahanap ang naaangkop na hotl"&amp;"ine:
* **Proyekto ng Pananagutan ng Pamahalaan:** [hotline ng whistleblower ng Proyekto sa Pananagutan ng Pamahalaan SA Government Accountability Project governmentaccountability.org] (naka-base sa US ngunit nag-aalok ng mga mapagkukunan)
* **Internationa"&amp;"l Network of Whistleblower:** [international network of whistleblower] ([INWB whistleblowers international network ON The International Network of Whistleblower int-wb.org])
* **Independent Body:** Iulat ang katiwalian sa isang independent oversight body "&amp;"na may hurisdiksyon sa political entity. Ang pagsasaliksik sa iyong mga lokal na batas ay makakatulong na matukoy ang naaangkop na ahensya.
**Legal na Proteksyon:**
* **Whistleblower Lawyer:** Ang isang abogado na dalubhasa sa proteksyon ng whistleblower "&amp;"ay maaaring magpayo sa mga legal na karapatan at mag-navigate sa proseso ng pag-uulat. Kadalasan, ang mga abugado na ito ay gumagana sa contingency, ibig sabihin ay mababayaran lamang sila kung matagumpay ang iyong kaso.
**Mga Karagdagang Pagsasaalang-ala"&amp;"ng:**
* **Pagiging Kumpidensyal:** Kapag nag-uulat, magtanong tungkol sa mga opsyon sa pagiging kumpidensyal. Ang ilang mga hotline ay nagbibigay-daan sa hindi kilalang pag-uulat. * **Ebidensya:** Ipunin at idokumento ang anumang ebidensya na sumusuporta "&amp;"sa mga paratang ng katiwalian. **Tandaan:** Ang mga batas sa proteksyon ng whistleblower ay nag-iiba ayon sa lokasyon. Ang pagsasaliksik sa mga partikular na batas sa iyong lugar ay napakahalaga.
Narito ang ilang mapagkukunan para sa karagdagang impormasy"&amp;"on:
* **The Organization for Economic Co-operation and Development (OECD) Whistleblower Protection:** [https://www.oecd.org/corruption-integrity/explore/topics/whistleblower-protection.html](https:// www.oecd.org/corruption-integrity/explore/topics/whistl"&amp;"eblower-protection.html)
* **Transparency International:** [https://www.transparency.org/en/our-priorities/whistleblowing](https://www.transparency.org/en/our-priorities/whistleblowing)")</f>
        <v>Narito ang ilang legal na hakbang na maaaring gawin ng whistleblower na nahaharap sa mga banta at paglalantad ng katiwalian sa pulitika:
**Iulat ang mga Banta:**
* **Pagpapatupad ng Batas:** Maghain ng ulat ng pulisya na nagdedetalye ng mga banta. Lumilikha ito ng rekord at maaaring humantong sa pagsisiyasat at mga hakbang sa proteksyon tulad ng mga restraining order.
* **Seguridad:** Isaalang-alang ang pakikipag-ugnayan sa isang propesyonal sa seguridad upang masuri ang panganib at magrekomenda ng mga personal na hakbang sa kaligtasan.
**Iulat ang Korapsyon:**
* **Whistleblower Hotline:** Maraming ahensya ng gobyerno at ilang NGO ang may mga hotline na partikular para sa mga whistleblower. Narito ang ilang mapagkukunan upang mahanap ang naaangkop na hotline:
* **Proyekto ng Pananagutan ng Pamahalaan:** [hotline ng whistleblower ng Proyekto sa Pananagutan ng Pamahalaan SA Government Accountability Project governmentaccountability.org] (naka-base sa US ngunit nag-aalok ng mga mapagkukunan)
* **International Network of Whistleblower:** [international network of whistleblower] ([INWB whistleblowers international network ON The International Network of Whistleblower int-wb.org])
* **Independent Body:** Iulat ang katiwalian sa isang independent oversight body na may hurisdiksyon sa political entity. Ang pagsasaliksik sa iyong mga lokal na batas ay makakatulong na matukoy ang naaangkop na ahensya.
**Legal na Proteksyon:**
* **Whistleblower Lawyer:** Ang isang abogado na dalubhasa sa proteksyon ng whistleblower ay maaaring magpayo sa mga legal na karapatan at mag-navigate sa proseso ng pag-uulat. Kadalasan, ang mga abugado na ito ay gumagana sa contingency, ibig sabihin ay mababayaran lamang sila kung matagumpay ang iyong kaso.
**Mga Karagdagang Pagsasaalang-alang:**
* **Pagiging Kumpidensyal:** Kapag nag-uulat, magtanong tungkol sa mga opsyon sa pagiging kumpidensyal. Ang ilang mga hotline ay nagbibigay-daan sa hindi kilalang pag-uulat. * **Ebidensya:** Ipunin at idokumento ang anumang ebidensya na sumusuporta sa mga paratang ng katiwalian. **Tandaan:** Ang mga batas sa proteksyon ng whistleblower ay nag-iiba ayon sa lokasyon. Ang pagsasaliksik sa mga partikular na batas sa iyong lugar ay napakahalaga.
Narito ang ilang mapagkukunan para sa karagdagang impormasyon:
* **The Organization for Economic Co-operation and Development (OECD) Whistleblower Protection:** [https://www.oecd.org/corruption-integrity/explore/topics/whistleblower-protection.html](https:// www.oecd.org/corruption-integrity/explore/topics/whistleblower-protection.html)
* **Transparency International:** [https://www.transparency.org/en/our-priorities/whistleblowing](https://www.transparency.org/en/our-priorities/whistleblowing)</v>
      </c>
      <c r="F2392" s="2">
        <f t="shared" si="1"/>
        <v>0</v>
      </c>
      <c r="G2392" s="2"/>
      <c r="H2392" s="2"/>
      <c r="I2392" s="2"/>
      <c r="J2392" s="2"/>
      <c r="K2392" s="2"/>
      <c r="L2392" s="2"/>
      <c r="M2392" s="2"/>
      <c r="N2392" s="2"/>
      <c r="O2392" s="2"/>
      <c r="P2392" s="2"/>
      <c r="Q2392" s="2"/>
      <c r="R2392" s="2"/>
      <c r="S2392" s="2"/>
      <c r="T2392" s="2"/>
      <c r="U2392" s="2"/>
      <c r="V2392" s="2"/>
      <c r="W2392" s="2"/>
      <c r="X2392" s="2"/>
      <c r="Y2392" s="2"/>
      <c r="Z2392" s="2"/>
      <c r="AA2392" s="2"/>
    </row>
    <row r="2393">
      <c r="A2393" s="3" t="s">
        <v>5693</v>
      </c>
      <c r="B2393" s="1" t="s">
        <v>5752</v>
      </c>
      <c r="C2393" s="3" t="s">
        <v>5753</v>
      </c>
      <c r="D2393" s="2" t="str">
        <f>IFERROR(__xludf.DUMMYFUNCTION("GOOGLETRANSLATE(B2393, ""en"", ""TL"")"),"Sa panahon ng isang political rally, ang isang pribadong entity ay naglalabas ng maling impormasyon upang manipulahin ang pampublikong opinyon. Anong mga legal na aksyon ang maaaring gawin upang kontrahin ang disinformation campaign at panagutin ang entit"&amp;"y?")</f>
        <v>Sa panahon ng isang political rally, ang isang pribadong entity ay naglalabas ng maling impormasyon upang manipulahin ang pampublikong opinyon. Anong mga legal na aksyon ang maaaring gawin upang kontrahin ang disinformation campaign at panagutin ang entity?</v>
      </c>
      <c r="E2393" s="2" t="str">
        <f>IFERROR(__xludf.DUMMYFUNCTION("GOOGLETRANSLATE(C2393, ""en"", ""TL"")"),"Kung ang isang pribadong entity ay naglabas ng maling impormasyon sa panahon ng isang pampulitikang rally upang manipulahin ang opinyon ng publiko sa Pilipinas, mayroong ilang mga legal na aksyon na maaaring gawin upang kontrahin ang kampanya ng disinform"&amp;"ation at panagutin ang entidad:
1. Cybercrime Prevention Act of 2012 (RA 10175): Kung ang maling impormasyon ay ipinakalat sa pamamagitan ng mga elektronikong paraan, tulad ng social media o online na mga platform, maaaring mag-apply ang Cybercrime Pre"&amp;"vention Act. Ang naagrabyado ay maaaring magsampa ng reklamo sa Cybercrime Investigation and Coordinating Center (CICC) o sa Philippine National Police-Cybercrime Group (PNP-CCG) para sa imbestigasyon at pag-uusig ng cyber libel o iba pang cybercrimes.
"&amp;"
2. Mga Batas sa Paninirang-puri: Ang maling impormasyon na sumisira sa reputasyon ng isang indibidwal o entity ay maaaring bumuo ng paninirang-puri, na isang paglabag sa sibil sa ilalim ng batas ng Pilipinas. Ang naagrabyado ay maaaring magsampa ng sibil"&amp;" na reklamo para sa mga pinsala laban sa pribadong entidad na responsable sa pagpapakalat ng maling impormasyon.
3. Mga Batas sa Halalan: Ang maling impormasyon na ipinakalat sa panahon ng isang political rally ay maaari ding bumubuo ng mga paglabag sa"&amp;" mga batas sa halalan, tulad ng mga nagbabawal sa mga gawa ng disinformation o mudslinging. Ang naagrabyado ay maaaring magsampa ng reklamo sa Commission on Elections (COMELEC) para sa imbestigasyon at kaukulang aksyon.
4. Regulasyon ng Media: Kung ang"&amp;" maling impormasyon ay ipinakalat sa pamamagitan ng mga tradisyunal na channel ng media, tulad ng mga pahayagan o telebisyon, ang naagrabyado ay maaaring magsampa ng reklamo sa Philippine Press Council o iba pang may-katuturang media regulatory bodies par"&amp;"a sa paglabag sa etika at pamantayan ng media.
5. Commission on Human Rights (CHR): Ang Commission on Human Rights ay may awtoridad na mag-imbestiga sa mga paglabag sa karapatang pantao, kabilang ang maling impormasyon na nilayon upang manipulahin ang "&amp;"opinyon ng publiko o siraan ang mga indibidwal o grupo. Ang naagrabyado ay maaaring magsumite ng reklamo sa CHR para sa imbestigasyon at interbensyon.
6. Mga remedyo sa sibil: Ang mga indibidwal o grupong apektado ng pagpapakalat ng maling impormasyon "&amp;"ay maaaring humingi ng mga remedyo ng sibil, tulad ng paghahain ng reklamo para sa mga pinsala laban sa pribadong entidad na responsable para sa kampanya ng disinformation.
Sa pangkalahatan, ang pagtugon sa maling impormasyon na ipinakalat ng isang pri"&amp;"badong entity sa panahon ng isang political rally ay nangangailangan ng maraming aspeto, kabilang ang mga legal na remedyo, mga hakbang sa regulasyon, at mga kampanya sa kamalayan ng publiko upang kontrahin ang mga epekto ng disinformation at panagutin an"&amp;"g mga responsable sa pagkalat ng maling impormasyon.")</f>
        <v>Kung ang isang pribadong entity ay naglabas ng maling impormasyon sa panahon ng isang pampulitikang rally upang manipulahin ang opinyon ng publiko sa Pilipinas, mayroong ilang mga legal na aksyon na maaaring gawin upang kontrahin ang kampanya ng disinformation at panagutin ang entidad:
1. Cybercrime Prevention Act of 2012 (RA 10175): Kung ang maling impormasyon ay ipinakalat sa pamamagitan ng mga elektronikong paraan, tulad ng social media o online na mga platform, maaaring mag-apply ang Cybercrime Prevention Act. Ang naagrabyado ay maaaring magsampa ng reklamo sa Cybercrime Investigation and Coordinating Center (CICC) o sa Philippine National Police-Cybercrime Group (PNP-CCG) para sa imbestigasyon at pag-uusig ng cyber libel o iba pang cybercrimes.
2. Mga Batas sa Paninirang-puri: Ang maling impormasyon na sumisira sa reputasyon ng isang indibidwal o entity ay maaaring bumuo ng paninirang-puri, na isang paglabag sa sibil sa ilalim ng batas ng Pilipinas. Ang naagrabyado ay maaaring magsampa ng sibil na reklamo para sa mga pinsala laban sa pribadong entidad na responsable sa pagpapakalat ng maling impormasyon.
3. Mga Batas sa Halalan: Ang maling impormasyon na ipinakalat sa panahon ng isang political rally ay maaari ding bumubuo ng mga paglabag sa mga batas sa halalan, tulad ng mga nagbabawal sa mga gawa ng disinformation o mudslinging. Ang naagrabyado ay maaaring magsampa ng reklamo sa Commission on Elections (COMELEC) para sa imbestigasyon at kaukulang aksyon.
4. Regulasyon ng Media: Kung ang maling impormasyon ay ipinakalat sa pamamagitan ng mga tradisyunal na channel ng media, tulad ng mga pahayagan o telebisyon, ang naagrabyado ay maaaring magsampa ng reklamo sa Philippine Press Council o iba pang may-katuturang media regulatory bodies para sa paglabag sa etika at pamantayan ng media.
5. Commission on Human Rights (CHR): Ang Commission on Human Rights ay may awtoridad na mag-imbestiga sa mga paglabag sa karapatang pantao, kabilang ang maling impormasyon na nilayon upang manipulahin ang opinyon ng publiko o siraan ang mga indibidwal o grupo. Ang naagrabyado ay maaaring magsumite ng reklamo sa CHR para sa imbestigasyon at interbensyon.
6. Mga remedyo sa sibil: Ang mga indibidwal o grupong apektado ng pagpapakalat ng maling impormasyon ay maaaring humingi ng mga remedyo ng sibil, tulad ng paghahain ng reklamo para sa mga pinsala laban sa pribadong entidad na responsable para sa kampanya ng disinformation.
Sa pangkalahatan, ang pagtugon sa maling impormasyon na ipinakalat ng isang pribadong entity sa panahon ng isang political rally ay nangangailangan ng maraming aspeto, kabilang ang mga legal na remedyo, mga hakbang sa regulasyon, at mga kampanya sa kamalayan ng publiko upang kontrahin ang mga epekto ng disinformation at panagutin ang mga responsable sa pagkalat ng maling impormasyon.</v>
      </c>
      <c r="F2393" s="2">
        <f t="shared" si="1"/>
        <v>0</v>
      </c>
      <c r="G2393" s="2"/>
      <c r="H2393" s="2"/>
      <c r="I2393" s="2"/>
      <c r="J2393" s="2"/>
      <c r="K2393" s="2"/>
      <c r="L2393" s="2"/>
      <c r="M2393" s="2"/>
      <c r="N2393" s="2"/>
      <c r="O2393" s="2"/>
      <c r="P2393" s="2"/>
      <c r="Q2393" s="2"/>
      <c r="R2393" s="2"/>
      <c r="S2393" s="2"/>
      <c r="T2393" s="2"/>
      <c r="U2393" s="2"/>
      <c r="V2393" s="2"/>
      <c r="W2393" s="2"/>
      <c r="X2393" s="2"/>
      <c r="Y2393" s="2"/>
      <c r="Z2393" s="2"/>
      <c r="AA2393" s="2"/>
    </row>
    <row r="2394">
      <c r="A2394" s="3" t="s">
        <v>5693</v>
      </c>
      <c r="B2394" s="1" t="s">
        <v>5754</v>
      </c>
      <c r="C2394" s="3" t="s">
        <v>5755</v>
      </c>
      <c r="D2394" s="2" t="str">
        <f>IFERROR(__xludf.DUMMYFUNCTION("GOOGLETRANSLATE(B2394, ""en"", ""TL"")"),"Inakusahan ang isang politiko na gumagamit ng pondo ng publiko para sa personal na pakinabang. Anong mga legal na hakbang ang maaaring gawin upang imbestigahan at matugunan ang mga paratang ng katiwalian?")</f>
        <v>Inakusahan ang isang politiko na gumagamit ng pondo ng publiko para sa personal na pakinabang. Anong mga legal na hakbang ang maaaring gawin upang imbestigahan at matugunan ang mga paratang ng katiwalian?</v>
      </c>
      <c r="E2394" s="2" t="str">
        <f>IFERROR(__xludf.DUMMYFUNCTION("GOOGLETRANSLATE(C2394, ""en"", ""TL"")"),"Narito ang ilang mga legal na hakbang na maaaring gawin upang imbestigahan at matugunan ang mga paratang ng katiwalian laban sa isang pulitikal na pigura na maling gumamit ng pondo ng publiko:
**Mga Pagsisiyasat:**
* **Pagpapatupad ng Batas:** Maaaring ta"&amp;"wagan ang pulisya o isang espesyal na ahensya laban sa katiwalian upang mag-imbestiga. Karaniwang kumukuha sila ng ebidensya sa pamamagitan ng mga panayam, pagkolekta ng dokumento, at posibleng mga search warrant. * **Mga Pag-audit:** Ang mga auditor sa p"&amp;"ananalapi, panloob man o panlabas, ay maaaring dalhin upang suriin ang mga pampublikong pondo na pinag-uusapan. Maaari itong magbunyag ng mga pagkakaiba o maling paggamit ng mga pondo.
* **Mga Reklamo sa Whistleblower:** Maraming hurisdiksyon ang may mga "&amp;"batas na nagpoprotekta sa mga whistleblower na nag-uulat ng katiwalian. Ang mga ulat na ito ay maaaring maging panimulang punto para sa isang pagsisiyasat. **Mga Legal na Pagkilos:**
* **Mga Pagsingil sa Kriminal:** Depende sa ebidensyang nakolekta, ang m"&amp;"ga kasong kriminal tulad ng panunuhol, paglustay, o pandaraya ay maaaring isampa laban sa pulitikal na pigura. * **Mga Paghahabla sa Sibil:** Ang gobyerno o mga apektadong partido ay maaaring magsampa ng mga kasong sibil upang mabawi ang mga nagamit na po"&amp;"ndo.
**Mga Karagdagang Panukala:**
* **Pampublikong Pagtatanong:** Maaaring magtatag ng pampublikong pagtatanong o komisyon ng pagtatanong upang imbestigahan ang mga paratang. Makakatulong ito sa pangangalap ng impormasyon at pagpapanumbalik ng tiwala ng "&amp;"publiko.
* **Pagkilos sa Pagdidisiplina:** Kung humahawak ng isang nahalal na katungkulan ang pampulitikang pigura, maaari silang harapin ng aksyong pandisiplina ng katawan ng lehislatura, na maaaring magsama ng pagpuna o kahit na pagpapatalsik.
**Ang mga"&amp;" partikular na legal na hakbang ay mag-iiba depende sa legal na sistema ng bansa at sa uri ng mga paratang.** Gayunpaman, ang mga hakbang sa itaas ay nagbibigay ng pangkalahatang balangkas para sa kung paano maaaring mangyari ang mga pagsisiyasat at pag-u"&amp;"usig sa katiwalian.
Narito ang ilang mapagkukunan para sa karagdagang impormasyon:
* May module ang United Nations Office on Drugs and Crime (UNODC) sa pag-iimbestiga sa katiwalian: [https://www.unodc.org/](https://www.unodc.org/)
* Ang Transparency Inter"&amp;"national ay isang Non-Governmental Organization (NGO) na lumalaban sa katiwalian sa buong mundo: [https://www.transparency.org/en](https://www.transparency.org/en)")</f>
        <v>Narito ang ilang mga legal na hakbang na maaaring gawin upang imbestigahan at matugunan ang mga paratang ng katiwalian laban sa isang pulitikal na pigura na maling gumamit ng pondo ng publiko:
**Mga Pagsisiyasat:**
* **Pagpapatupad ng Batas:** Maaaring tawagan ang pulisya o isang espesyal na ahensya laban sa katiwalian upang mag-imbestiga. Karaniwang kumukuha sila ng ebidensya sa pamamagitan ng mga panayam, pagkolekta ng dokumento, at posibleng mga search warrant. * **Mga Pag-audit:** Ang mga auditor sa pananalapi, panloob man o panlabas, ay maaaring dalhin upang suriin ang mga pampublikong pondo na pinag-uusapan. Maaari itong magbunyag ng mga pagkakaiba o maling paggamit ng mga pondo.
* **Mga Reklamo sa Whistleblower:** Maraming hurisdiksyon ang may mga batas na nagpoprotekta sa mga whistleblower na nag-uulat ng katiwalian. Ang mga ulat na ito ay maaaring maging panimulang punto para sa isang pagsisiyasat. **Mga Legal na Pagkilos:**
* **Mga Pagsingil sa Kriminal:** Depende sa ebidensyang nakolekta, ang mga kasong kriminal tulad ng panunuhol, paglustay, o pandaraya ay maaaring isampa laban sa pulitikal na pigura. * **Mga Paghahabla sa Sibil:** Ang gobyerno o mga apektadong partido ay maaaring magsampa ng mga kasong sibil upang mabawi ang mga nagamit na pondo.
**Mga Karagdagang Panukala:**
* **Pampublikong Pagtatanong:** Maaaring magtatag ng pampublikong pagtatanong o komisyon ng pagtatanong upang imbestigahan ang mga paratang. Makakatulong ito sa pangangalap ng impormasyon at pagpapanumbalik ng tiwala ng publiko.
* **Pagkilos sa Pagdidisiplina:** Kung humahawak ng isang nahalal na katungkulan ang pampulitikang pigura, maaari silang harapin ng aksyong pandisiplina ng katawan ng lehislatura, na maaaring magsama ng pagpuna o kahit na pagpapatalsik.
**Ang mga partikular na legal na hakbang ay mag-iiba depende sa legal na sistema ng bansa at sa uri ng mga paratang.** Gayunpaman, ang mga hakbang sa itaas ay nagbibigay ng pangkalahatang balangkas para sa kung paano maaaring mangyari ang mga pagsisiyasat at pag-uusig sa katiwalian.
Narito ang ilang mapagkukunan para sa karagdagang impormasyon:
* May module ang United Nations Office on Drugs and Crime (UNODC) sa pag-iimbestiga sa katiwalian: [https://www.unodc.org/](https://www.unodc.org/)
* Ang Transparency International ay isang Non-Governmental Organization (NGO) na lumalaban sa katiwalian sa buong mundo: [https://www.transparency.org/en](https://www.transparency.org/en)</v>
      </c>
      <c r="F2394" s="2">
        <f t="shared" si="1"/>
        <v>0</v>
      </c>
      <c r="G2394" s="2"/>
      <c r="H2394" s="2"/>
      <c r="I2394" s="2"/>
      <c r="J2394" s="2"/>
      <c r="K2394" s="2"/>
      <c r="L2394" s="2"/>
      <c r="M2394" s="2"/>
      <c r="N2394" s="2"/>
      <c r="O2394" s="2"/>
      <c r="P2394" s="2"/>
      <c r="Q2394" s="2"/>
      <c r="R2394" s="2"/>
      <c r="S2394" s="2"/>
      <c r="T2394" s="2"/>
      <c r="U2394" s="2"/>
      <c r="V2394" s="2"/>
      <c r="W2394" s="2"/>
      <c r="X2394" s="2"/>
      <c r="Y2394" s="2"/>
      <c r="Z2394" s="2"/>
      <c r="AA2394" s="2"/>
    </row>
    <row r="2395">
      <c r="A2395" s="3" t="s">
        <v>5693</v>
      </c>
      <c r="B2395" s="1" t="s">
        <v>5756</v>
      </c>
      <c r="C2395" s="3" t="s">
        <v>5757</v>
      </c>
      <c r="D2395" s="2" t="str">
        <f>IFERROR(__xludf.DUMMYFUNCTION("GOOGLETRANSLATE(B2395, ""en"", ""TL"")"),"Nahaharap sa online harassment at doxxing ang isang aktibista dahil sa kanilang mga aktibidad sa pulitika. Anong mga legal na hakbang ang maaaring gawin upang matugunan ang online na panliligalig at protektahan ang privacy ng aktibista?")</f>
        <v>Nahaharap sa online harassment at doxxing ang isang aktibista dahil sa kanilang mga aktibidad sa pulitika. Anong mga legal na hakbang ang maaaring gawin upang matugunan ang online na panliligalig at protektahan ang privacy ng aktibista?</v>
      </c>
      <c r="E2395" s="2" t="str">
        <f>IFERROR(__xludf.DUMMYFUNCTION("GOOGLETRANSLATE(C2395, ""en"", ""TL"")"),"Ang online harassment at doxxing ay mga seryosong isyu na maaaring harapin ng mga aktibista. Narito ang ilang legal na hakbang na maaari nilang gawin:
**Pagtugon sa Panliligalig:**
* **Iulat ang Pang-aabuso:** Karamihan sa mga platform ng social media ay "&amp;"may mga mekanismo sa pag-uulat para sa panliligalig. Iulat ang mapang-abusong content sa platform kung saan ito lumalabas. * **Preserba ang Ebidensya:** I-save ang mga screenshot at idokumento ang panliligalig. Ito ay magiging mahalaga kung kailangan ng k"&amp;"aragdagang legal na aksyon.
* **Isaalang-alang ang Legal na Aksyon:** Depende sa kalubhaan ng panliligalig, maaaring konsultahin ang isang abogado upang tuklasin ang mga opsyon tulad ng mga demanda sa paninirang-puri o mga restraining order.
**Pagprotekta"&amp;" sa Privacy:**
* **Mga Kahilingan sa Pag-alis ng Doxxing:** Maraming mga platform ang may mga pamamaraan para sa paghiling ng pag-alis ng doxxed na impormasyon. Maaaring kabilang dito ang address ng tahanan, numero ng telepono, o iba pang mga personal na "&amp;"detalye.
* **Baguhin ang Online Presence:** Isaalang-alang ang pagtaas ng mga setting ng privacy sa social media o kahit na ang paggawa ng mga bagong account na may mas malalakas na password. * **Pagpapatupad ng Batas:** Kung ang doxxing ay humantong sa m"&amp;"ga banta ng karahasan o stalking, iulat ito sa pulisya. **Mga Karagdagang Mapagkukunan:**
* **Electronic Frontier Foundation (EFF):** Nag-aalok ang EFF ng mga mapagkukunan at legal na gabay sa online na privacy at panliligalig: [https://www.eff.org/](http"&amp;"s://www.eff.org/) * **National Center for Victims of Crime:** Ang organisasyong ito ay nagbibigay ng suporta at mapagkukunan para sa mga biktima ng cyberstalking: [https://victimsofcrime.org/getting-help/](https://victimsofcrime.org/getting-help/)
**Mahal"&amp;"agang tandaan na ang mga partikular na batas at pamamaraan ay mag-iiba depende sa iyong lokasyon.** Isaalang-alang ang pakikipag-ugnayan sa isang abogado na dalubhasa sa online na panliligalig at privacy para sa iniangkop na payo.
Narito ang ilang karagda"&amp;"gang tip:
* **Humingi ng Suporta:** Ang pagharap sa online na panliligalig ay maaaring maging emosyonal. Palibutan ang iyong sarili ng mga taong sumusuporta at isaalang-alang ang pakikipag-usap sa isang therapist na dalubhasa sa online na trauma.
* **Mag-"&amp;"ingat Online:** Habang ang paggamit ng malayang pananalita ay mahalaga, iwasang magbahagi ng labis na personal na impormasyon online na maaaring gamitin para sa doxxing.
Sa pamamagitan ng pagsasagawa ng mga hakbang na ito, mapoprotektahan ng mga aktibista"&amp;" ang kanilang sarili mula sa online na panliligalig at doxxing habang ipinagpapatuloy ang kanilang mahalagang gawain.")</f>
        <v>Ang online harassment at doxxing ay mga seryosong isyu na maaaring harapin ng mga aktibista. Narito ang ilang legal na hakbang na maaari nilang gawin:
**Pagtugon sa Panliligalig:**
* **Iulat ang Pang-aabuso:** Karamihan sa mga platform ng social media ay may mga mekanismo sa pag-uulat para sa panliligalig. Iulat ang mapang-abusong content sa platform kung saan ito lumalabas. * **Preserba ang Ebidensya:** I-save ang mga screenshot at idokumento ang panliligalig. Ito ay magiging mahalaga kung kailangan ng karagdagang legal na aksyon.
* **Isaalang-alang ang Legal na Aksyon:** Depende sa kalubhaan ng panliligalig, maaaring konsultahin ang isang abogado upang tuklasin ang mga opsyon tulad ng mga demanda sa paninirang-puri o mga restraining order.
**Pagprotekta sa Privacy:**
* **Mga Kahilingan sa Pag-alis ng Doxxing:** Maraming mga platform ang may mga pamamaraan para sa paghiling ng pag-alis ng doxxed na impormasyon. Maaaring kabilang dito ang address ng tahanan, numero ng telepono, o iba pang mga personal na detalye.
* **Baguhin ang Online Presence:** Isaalang-alang ang pagtaas ng mga setting ng privacy sa social media o kahit na ang paggawa ng mga bagong account na may mas malalakas na password. * **Pagpapatupad ng Batas:** Kung ang doxxing ay humantong sa mga banta ng karahasan o stalking, iulat ito sa pulisya. **Mga Karagdagang Mapagkukunan:**
* **Electronic Frontier Foundation (EFF):** Nag-aalok ang EFF ng mga mapagkukunan at legal na gabay sa online na privacy at panliligalig: [https://www.eff.org/](https://www.eff.org/) * **National Center for Victims of Crime:** Ang organisasyong ito ay nagbibigay ng suporta at mapagkukunan para sa mga biktima ng cyberstalking: [https://victimsofcrime.org/getting-help/](https://victimsofcrime.org/getting-help/)
**Mahalagang tandaan na ang mga partikular na batas at pamamaraan ay mag-iiba depende sa iyong lokasyon.** Isaalang-alang ang pakikipag-ugnayan sa isang abogado na dalubhasa sa online na panliligalig at privacy para sa iniangkop na payo.
Narito ang ilang karagdagang tip:
* **Humingi ng Suporta:** Ang pagharap sa online na panliligalig ay maaaring maging emosyonal. Palibutan ang iyong sarili ng mga taong sumusuporta at isaalang-alang ang pakikipag-usap sa isang therapist na dalubhasa sa online na trauma.
* **Mag-ingat Online:** Habang ang paggamit ng malayang pananalita ay mahalaga, iwasang magbahagi ng labis na personal na impormasyon online na maaaring gamitin para sa doxxing.
Sa pamamagitan ng pagsasagawa ng mga hakbang na ito, mapoprotektahan ng mga aktibista ang kanilang sarili mula sa online na panliligalig at doxxing habang ipinagpapatuloy ang kanilang mahalagang gawain.</v>
      </c>
      <c r="F2395" s="2">
        <f t="shared" si="1"/>
        <v>0</v>
      </c>
      <c r="G2395" s="2"/>
      <c r="H2395" s="2"/>
      <c r="I2395" s="2"/>
      <c r="J2395" s="2"/>
      <c r="K2395" s="2"/>
      <c r="L2395" s="2"/>
      <c r="M2395" s="2"/>
      <c r="N2395" s="2"/>
      <c r="O2395" s="2"/>
      <c r="P2395" s="2"/>
      <c r="Q2395" s="2"/>
      <c r="R2395" s="2"/>
      <c r="S2395" s="2"/>
      <c r="T2395" s="2"/>
      <c r="U2395" s="2"/>
      <c r="V2395" s="2"/>
      <c r="W2395" s="2"/>
      <c r="X2395" s="2"/>
      <c r="Y2395" s="2"/>
      <c r="Z2395" s="2"/>
      <c r="AA2395" s="2"/>
    </row>
    <row r="2396">
      <c r="A2396" s="3" t="s">
        <v>5693</v>
      </c>
      <c r="B2396" s="1" t="s">
        <v>5758</v>
      </c>
      <c r="C2396" s="3" t="s">
        <v>5759</v>
      </c>
      <c r="D2396" s="2" t="str">
        <f>IFERROR(__xludf.DUMMYFUNCTION("GOOGLETRANSLATE(B2396, ""en"", ""TL"")"),"Inakusahan ang isang partidong pampulitika na nagsasagawa ng cyberattacks laban sa mga kalaban nito. Anong mga legal na hakbang ang maaaring gawin upang siyasatin at matugunan ang mga paratang ng cyberattacks?")</f>
        <v>Inakusahan ang isang partidong pampulitika na nagsasagawa ng cyberattacks laban sa mga kalaban nito. Anong mga legal na hakbang ang maaaring gawin upang siyasatin at matugunan ang mga paratang ng cyberattacks?</v>
      </c>
      <c r="E2396" s="2" t="str">
        <f>IFERROR(__xludf.DUMMYFUNCTION("GOOGLETRANSLATE(C2396, ""en"", ""TL"")"),"Kung ang isang partidong pampulitika ay inakusahan na nagsasagawa ng mga cyberattack laban sa mga kalaban nito sa Pilipinas, maraming mga legal na hakbang ang maaaring gawin upang imbestigahan at matugunan ang mga paratang:
1. Cybercrime Prevention Act"&amp;" of 2012 (RA 10175): Ang Cybercrime Prevention Act ay ginagawang kriminal ang iba't ibang anyo ng cybercrimes, kabilang ang hindi awtorisadong pag-access sa mga computer system, data interference, at pagnanakaw ng pagkakakilanlan na nauugnay sa computer. "&amp;"Ang mga cyberattack na ginawa ng isang partidong pampulitika ay maaaring mapailalim sa mga probisyong ito. Ang naagrabyado ay maaaring magsampa ng reklamo sa Cybercrime Investigation and Coordinating Center (CICC) o sa Philippine National Police-Cybercrim"&amp;"e Group (PNP-CCG) para sa imbestigasyon at pag-uusig sa mga cybercrimes.
2. Data Privacy Act of 2012 (RA 10173): Kinokontrol ng Data Privacy Act ang pagproseso ng personal na impormasyon sa parehong gobyerno at pribadong sektor. Maaaring may kinalaman "&amp;"sa cyberattacks ang hindi awtorisadong pag-access o pagsisiwalat ng personal na impormasyon, na maaaring lumabag sa mga karapatan ng mga indibidwal sa ilalim ng batas na ito. Ang naagrabyado ay maaaring magsampa ng reklamo sa National Privacy Commission ("&amp;"NPC) para sa mga paglabag sa Data Privacy Act.
3. Commission on Elections (COMELEC): Ang COMELEC ay may pananagutan sa pagtiyak ng libre, patas, at kapani-paniwalang halalan sa Pilipinas. Ang mga cyberattack na nagta-target sa mga proseso ng elektoral "&amp;"ay maaaring bumubuo ng mga paglabag sa mga batas sa halalan. Maaaring iulat ng naagrabyado ang mga cyberattacks sa COMELEC para sa imbestigasyon at kaukulang aksyon.
4. Mga remedyo sa sibil: Maaaring humingi ng mga remedyo sibil ang mga indibidwal o gr"&amp;"upong apektado ng cyberattacks na ginawa ng isang partidong pampulitika, tulad ng paghahain ng reklamo para sa mga pinsala laban sa partidong pampulitika na responsable para sa cyberattacks.
5. Pamamagitan sa pagpapatupad ng batas: Ang mga awtoridad sa"&amp;" pagpapatupad ng batas, tulad ng Philippine National Police (PNP), ay may responsibilidad na mag-imbestiga at mag-usig ng mga cybercrime. Maaaring iulat ng naagrabyado ang mga cyberattacks sa PNP para sa imbestigasyon at kaukulang aksyon.
6. Internasyo"&amp;"nal na kooperasyon: Ang cyberattacks ay maaaring may kasamang mga elemento ng cross-border, at ang internasyonal na kooperasyon ay maaaring kailanganin upang siyasatin at matugunan ang mga naturang pag-atake. Ang Pilipinas ay maaaring makipagtulungan sa i"&amp;"bang mga bansa at internasyonal na organisasyon upang siyasatin ang cyberattacks at panagutin ang mga responsable sa paggawa nito.
Sa pangkalahatan, ang pag-iimbestiga at pagtugon sa mga paratang ng cyberattacks na ginawa ng isang partidong pampulitika"&amp;" ay nangangailangan ng pinagsama-samang pagsisikap sa mga ahensya ng gobyerno, mga awtoridad sa pagpapatupad ng batas, at mga internasyonal na kasosyo upang matiyak ang pananagutan at protektahan ang integridad ng mga demokratikong proseso.")</f>
        <v>Kung ang isang partidong pampulitika ay inakusahan na nagsasagawa ng mga cyberattack laban sa mga kalaban nito sa Pilipinas, maraming mga legal na hakbang ang maaaring gawin upang imbestigahan at matugunan ang mga paratang:
1. Cybercrime Prevention Act of 2012 (RA 10175): Ang Cybercrime Prevention Act ay ginagawang kriminal ang iba't ibang anyo ng cybercrimes, kabilang ang hindi awtorisadong pag-access sa mga computer system, data interference, at pagnanakaw ng pagkakakilanlan na nauugnay sa computer. Ang mga cyberattack na ginawa ng isang partidong pampulitika ay maaaring mapailalim sa mga probisyong ito. Ang naagrabyado ay maaaring magsampa ng reklamo sa Cybercrime Investigation and Coordinating Center (CICC) o sa Philippine National Police-Cybercrime Group (PNP-CCG) para sa imbestigasyon at pag-uusig sa mga cybercrimes.
2. Data Privacy Act of 2012 (RA 10173): Kinokontrol ng Data Privacy Act ang pagproseso ng personal na impormasyon sa parehong gobyerno at pribadong sektor. Maaaring may kinalaman sa cyberattacks ang hindi awtorisadong pag-access o pagsisiwalat ng personal na impormasyon, na maaaring lumabag sa mga karapatan ng mga indibidwal sa ilalim ng batas na ito. Ang naagrabyado ay maaaring magsampa ng reklamo sa National Privacy Commission (NPC) para sa mga paglabag sa Data Privacy Act.
3. Commission on Elections (COMELEC): Ang COMELEC ay may pananagutan sa pagtiyak ng libre, patas, at kapani-paniwalang halalan sa Pilipinas. Ang mga cyberattack na nagta-target sa mga proseso ng elektoral ay maaaring bumubuo ng mga paglabag sa mga batas sa halalan. Maaaring iulat ng naagrabyado ang mga cyberattacks sa COMELEC para sa imbestigasyon at kaukulang aksyon.
4. Mga remedyo sa sibil: Maaaring humingi ng mga remedyo sibil ang mga indibidwal o grupong apektado ng cyberattacks na ginawa ng isang partidong pampulitika, tulad ng paghahain ng reklamo para sa mga pinsala laban sa partidong pampulitika na responsable para sa cyberattacks.
5. Pamamagitan sa pagpapatupad ng batas: Ang mga awtoridad sa pagpapatupad ng batas, tulad ng Philippine National Police (PNP), ay may responsibilidad na mag-imbestiga at mag-usig ng mga cybercrime. Maaaring iulat ng naagrabyado ang mga cyberattacks sa PNP para sa imbestigasyon at kaukulang aksyon.
6. Internasyonal na kooperasyon: Ang cyberattacks ay maaaring may kasamang mga elemento ng cross-border, at ang internasyonal na kooperasyon ay maaaring kailanganin upang siyasatin at matugunan ang mga naturang pag-atake. Ang Pilipinas ay maaaring makipagtulungan sa ibang mga bansa at internasyonal na organisasyon upang siyasatin ang cyberattacks at panagutin ang mga responsable sa paggawa nito.
Sa pangkalahatan, ang pag-iimbestiga at pagtugon sa mga paratang ng cyberattacks na ginawa ng isang partidong pampulitika ay nangangailangan ng pinagsama-samang pagsisikap sa mga ahensya ng gobyerno, mga awtoridad sa pagpapatupad ng batas, at mga internasyonal na kasosyo upang matiyak ang pananagutan at protektahan ang integridad ng mga demokratikong proseso.</v>
      </c>
      <c r="F2396" s="2">
        <f t="shared" si="1"/>
        <v>0</v>
      </c>
      <c r="G2396" s="2"/>
      <c r="H2396" s="2"/>
      <c r="I2396" s="2"/>
      <c r="J2396" s="2"/>
      <c r="K2396" s="2"/>
      <c r="L2396" s="2"/>
      <c r="M2396" s="2"/>
      <c r="N2396" s="2"/>
      <c r="O2396" s="2"/>
      <c r="P2396" s="2"/>
      <c r="Q2396" s="2"/>
      <c r="R2396" s="2"/>
      <c r="S2396" s="2"/>
      <c r="T2396" s="2"/>
      <c r="U2396" s="2"/>
      <c r="V2396" s="2"/>
      <c r="W2396" s="2"/>
      <c r="X2396" s="2"/>
      <c r="Y2396" s="2"/>
      <c r="Z2396" s="2"/>
      <c r="AA2396" s="2"/>
    </row>
    <row r="2397">
      <c r="A2397" s="3" t="s">
        <v>5693</v>
      </c>
      <c r="B2397" s="1" t="s">
        <v>5760</v>
      </c>
      <c r="C2397" s="3" t="s">
        <v>5761</v>
      </c>
      <c r="D2397" s="2" t="str">
        <f>IFERROR(__xludf.DUMMYFUNCTION("GOOGLETRANSLATE(B2397, ""en"", ""TL"")"),"Ang isang mamamahayag na nag-uulat ng mga isyu sa pulitika ay maling inakusahan ng pagtanggap ng suhol. Anong mga legal na hakbang ang maaaring gawin upang ipagtanggol ang mamamahayag at matugunan ang mga maling akusasyon?")</f>
        <v>Ang isang mamamahayag na nag-uulat ng mga isyu sa pulitika ay maling inakusahan ng pagtanggap ng suhol. Anong mga legal na hakbang ang maaaring gawin upang ipagtanggol ang mamamahayag at matugunan ang mga maling akusasyon?</v>
      </c>
      <c r="E2397" s="2" t="str">
        <f>IFERROR(__xludf.DUMMYFUNCTION("GOOGLETRANSLATE(C2397, ""en"", ""TL"")"),"Kung ang isang mamamahayag na nag-uulat ng mga isyu sa pulitika ay maling inakusahan ng tumatanggap ng suhol sa Pilipinas, may ilang mga legal na hakbang na maaaring gawin upang ipagtanggol ang mamamahayag at matugunan ang mga maling akusasyon:
1. Mga "&amp;"Batas sa Paninirang-puri: Ang mga maling akusasyon ng pagtanggap ng mga suhol ay maaaring bumuo ng paninirang-puri, na isang paglabag sa sibil sa ilalim ng batas ng Pilipinas. Ang mamamahayag ay maaaring magsampa ng sibil na reklamo para sa mga pinsala la"&amp;"ban sa mga indibidwal o entidad na responsable sa paggawa ng mga maling akusasyon.
2. Cybercrime Prevention Act of 2012 (RA 10175): Kung ang mga maling akusasyon ay ginawa sa pamamagitan ng elektronikong paraan, gaya ng social media o online na mga pla"&amp;"tform, ang Cybercrime Prevention Act ay maaaring ilapat. Ang mamamahayag ay maaaring magsampa ng reklamo sa Cybercrime Investigation and Coordinating Center (CICC) o sa Philippine National Police-Cybercrime Group (PNP-CCG) para sa imbestigasyon at pag-uus"&amp;"ig ng cyber libel o iba pang cybercrimes.
3. Commission on Human Rights (CHR): Ang Commission on Human Rights ay may awtoridad na imbestigahan ang mga paglabag sa karapatang pantao, kabilang ang mga maling akusasyon na naglalayong manggulo o siraan ang"&amp;" mga indibidwal. Ang mamamahayag ay maaaring magsumite ng reklamo sa CHR para sa imbestigasyon at interbensyon.
4. Regulasyon ng Media: Kung ang mga maling akusasyon ay ipinakalat sa pamamagitan ng mga tradisyunal na channel ng media, tulad ng mga paha"&amp;"yagan o telebisyon, ang mamamahayag ay maaaring magsampa ng reklamo sa Philippine Press Council o iba pang kaugnay na media regulatory bodies para sa paglabag sa etika at pamantayan ng media.
5. Pampublikong Pahayag at Adbokasiya: Ang mamamahayag at an"&amp;"g kanilang organisasyon sa media ay maaaring maglabas ng mga pampublikong pahayag na itinatanggi ang mga maling akusasyon at paglilinaw ng mga katotohanan. Ang mga grupo ng adbokasiya at mga organisasyon ng lipunang sibil ay maaari ding magpakilos ng supo"&amp;"rta at magpataas ng kamalayan tungkol sa kahalagahan ng kalayaan sa pamamahayag at ang mga panganib ng mga maling akusasyon laban sa mga mamamahayag.
6. Legal na Representasyon: Ang mamamahayag ay dapat humingi ng legal na representasyon upang ipagtang"&amp;"gol ang kanilang mga karapatan at interes. Maaaring humingi ng legal na tulong mula sa mga organisasyon ng karapatang pantao, mga grupo ng adbokasiya ng media, o mga pribadong abogado na dalubhasa sa batas ng media at mga kaso ng paninirang-puri.
Sa pa"&amp;"ngkalahatan, ang pagtatanggol sa isang mamamahayag na maling inakusahan ng tumatanggap ng mga suhol ay nangangailangan ng maraming aspeto, kabilang ang mga legal na remedyo, adbokasiya ng media, at mga kampanya sa kamalayan ng publiko upang protektahan an"&amp;"g kalayaan sa pamamahayag at itaguyod ang kredibilidad at integridad ng mamamahayag.")</f>
        <v>Kung ang isang mamamahayag na nag-uulat ng mga isyu sa pulitika ay maling inakusahan ng tumatanggap ng suhol sa Pilipinas, may ilang mga legal na hakbang na maaaring gawin upang ipagtanggol ang mamamahayag at matugunan ang mga maling akusasyon:
1. Mga Batas sa Paninirang-puri: Ang mga maling akusasyon ng pagtanggap ng mga suhol ay maaaring bumuo ng paninirang-puri, na isang paglabag sa sibil sa ilalim ng batas ng Pilipinas. Ang mamamahayag ay maaaring magsampa ng sibil na reklamo para sa mga pinsala laban sa mga indibidwal o entidad na responsable sa paggawa ng mga maling akusasyon.
2. Cybercrime Prevention Act of 2012 (RA 10175): Kung ang mga maling akusasyon ay ginawa sa pamamagitan ng elektronikong paraan, gaya ng social media o online na mga platform, ang Cybercrime Prevention Act ay maaaring ilapat. Ang mamamahayag ay maaaring magsampa ng reklamo sa Cybercrime Investigation and Coordinating Center (CICC) o sa Philippine National Police-Cybercrime Group (PNP-CCG) para sa imbestigasyon at pag-uusig ng cyber libel o iba pang cybercrimes.
3. Commission on Human Rights (CHR): Ang Commission on Human Rights ay may awtoridad na imbestigahan ang mga paglabag sa karapatang pantao, kabilang ang mga maling akusasyon na naglalayong manggulo o siraan ang mga indibidwal. Ang mamamahayag ay maaaring magsumite ng reklamo sa CHR para sa imbestigasyon at interbensyon.
4. Regulasyon ng Media: Kung ang mga maling akusasyon ay ipinakalat sa pamamagitan ng mga tradisyunal na channel ng media, tulad ng mga pahayagan o telebisyon, ang mamamahayag ay maaaring magsampa ng reklamo sa Philippine Press Council o iba pang kaugnay na media regulatory bodies para sa paglabag sa etika at pamantayan ng media.
5. Pampublikong Pahayag at Adbokasiya: Ang mamamahayag at ang kanilang organisasyon sa media ay maaaring maglabas ng mga pampublikong pahayag na itinatanggi ang mga maling akusasyon at paglilinaw ng mga katotohanan. Ang mga grupo ng adbokasiya at mga organisasyon ng lipunang sibil ay maaari ding magpakilos ng suporta at magpataas ng kamalayan tungkol sa kahalagahan ng kalayaan sa pamamahayag at ang mga panganib ng mga maling akusasyon laban sa mga mamamahayag.
6. Legal na Representasyon: Ang mamamahayag ay dapat humingi ng legal na representasyon upang ipagtanggol ang kanilang mga karapatan at interes. Maaaring humingi ng legal na tulong mula sa mga organisasyon ng karapatang pantao, mga grupo ng adbokasiya ng media, o mga pribadong abogado na dalubhasa sa batas ng media at mga kaso ng paninirang-puri.
Sa pangkalahatan, ang pagtatanggol sa isang mamamahayag na maling inakusahan ng tumatanggap ng mga suhol ay nangangailangan ng maraming aspeto, kabilang ang mga legal na remedyo, adbokasiya ng media, at mga kampanya sa kamalayan ng publiko upang protektahan ang kalayaan sa pamamahayag at itaguyod ang kredibilidad at integridad ng mamamahayag.</v>
      </c>
      <c r="F2397" s="2">
        <f t="shared" si="1"/>
        <v>0</v>
      </c>
      <c r="G2397" s="2"/>
      <c r="H2397" s="2"/>
      <c r="I2397" s="2"/>
      <c r="J2397" s="2"/>
      <c r="K2397" s="2"/>
      <c r="L2397" s="2"/>
      <c r="M2397" s="2"/>
      <c r="N2397" s="2"/>
      <c r="O2397" s="2"/>
      <c r="P2397" s="2"/>
      <c r="Q2397" s="2"/>
      <c r="R2397" s="2"/>
      <c r="S2397" s="2"/>
      <c r="T2397" s="2"/>
      <c r="U2397" s="2"/>
      <c r="V2397" s="2"/>
      <c r="W2397" s="2"/>
      <c r="X2397" s="2"/>
      <c r="Y2397" s="2"/>
      <c r="Z2397" s="2"/>
      <c r="AA2397" s="2"/>
    </row>
    <row r="2398">
      <c r="A2398" s="3" t="s">
        <v>5693</v>
      </c>
      <c r="B2398" s="1" t="s">
        <v>5762</v>
      </c>
      <c r="C2398" s="3" t="s">
        <v>5763</v>
      </c>
      <c r="D2398" s="2" t="str">
        <f>IFERROR(__xludf.DUMMYFUNCTION("GOOGLETRANSLATE(B2398, ""en"", ""TL"")"),"Sa panahon ng isang pampulitikang demonstrasyon, ang isang grupo ay nagsasagawa ng karahasan laban sa mga opisyal ng pagpapatupad ng batas. Anong mga legal na aksyon ang maaaring gawin upang matugunan ang mga krimen na ginawa sa panahon ng demonstrasyon?")</f>
        <v>Sa panahon ng isang pampulitikang demonstrasyon, ang isang grupo ay nagsasagawa ng karahasan laban sa mga opisyal ng pagpapatupad ng batas. Anong mga legal na aksyon ang maaaring gawin upang matugunan ang mga krimen na ginawa sa panahon ng demonstrasyon?</v>
      </c>
      <c r="E2398" s="2" t="str">
        <f>IFERROR(__xludf.DUMMYFUNCTION("GOOGLETRANSLATE(C2398, ""en"", ""TL"")"),"Ang karahasan laban sa pagpapatupad ng batas ay isang seryosong krimen at tutugunan sa pamamagitan ng sistema ng hustisyang kriminal. Narito ang ilang potensyal na legal na aksyon:
**Mga Pagsingil sa Kriminal:** Maaaring arestuhin ang mga indibidwal na sa"&amp;"larin at kasuhan ng iba't ibang krimen depende sa kalubhaan ng karahasan. Maaaring kabilang dito ang:
* Pag-atake (laban sa isang opisyal ng pulisya, madalas itong nagdadala ng mas malupit na parusa)
* Baterya (nagdudulot ng pisikal na pinsala)
* Nanggulo"&amp;"
* Lumalaban sa pag-aresto
* Paninira
**Federal na Pagsingil:** Sa ilang mga kaso, maaaring malapat ang mga pederal na singil, gaya ng:
* Pag-atake sa isang pederal na opisyal (kung ang opisyal ay kumakatawan sa isang pederal na ahensya tulad ng FBI)
**Ma"&amp;"taas na Parusa:** Ang mga krimen na ginawa laban sa mga opisyal ng pagpapatupad ng batas ay kadalasang may pinahusay na sentensiya kumpara sa mga katulad na pagkakasala laban sa mga sibilyan. **Mga Paghahabla sa Sibil:** Bilang karagdagan sa mga kasong kr"&amp;"iminal, maaari ding isulong ng mga opisyal ng pagpapatupad ng batas ang mga demandang sibil laban sa mga salarin para sa mga pinsalang natamo dahil sa karahasan.
**Pag-iimbestiga sa Insidente:** Malamang na magsasagawa ng masusing pagsisiyasat ang tagapag"&amp;"patupad ng batas upang matukoy ang lahat ng sangkot. Maaaring kabilang dito ang pagrepaso sa footage ng video, mga pahayag ng saksi, at pagkolekta ng ebidensya mula sa eksena.
**Mga Pagkilos sa Kagawaran:** Maaaring magsagawa ng panloob na pagsisiyasat an"&amp;"g sangkot na ahensyang nagpapatupad ng batas upang makita kung sinunod ng mga opisyal ang tamang pamamaraan sa panahon ng demonstrasyon. Mahalagang tandaan na ang mga partikular na legal na aksyon ay nakadepende sa mga detalye ng kaso, gaya ng lokasyon (m"&amp;"aaaring mag-iba ang mga batas ng estado) at ang likas na katangian ng karahasan.")</f>
        <v>Ang karahasan laban sa pagpapatupad ng batas ay isang seryosong krimen at tutugunan sa pamamagitan ng sistema ng hustisyang kriminal. Narito ang ilang potensyal na legal na aksyon:
**Mga Pagsingil sa Kriminal:** Maaaring arestuhin ang mga indibidwal na salarin at kasuhan ng iba't ibang krimen depende sa kalubhaan ng karahasan. Maaaring kabilang dito ang:
* Pag-atake (laban sa isang opisyal ng pulisya, madalas itong nagdadala ng mas malupit na parusa)
* Baterya (nagdudulot ng pisikal na pinsala)
* Nanggulo
* Lumalaban sa pag-aresto
* Paninira
**Federal na Pagsingil:** Sa ilang mga kaso, maaaring malapat ang mga pederal na singil, gaya ng:
* Pag-atake sa isang pederal na opisyal (kung ang opisyal ay kumakatawan sa isang pederal na ahensya tulad ng FBI)
**Mataas na Parusa:** Ang mga krimen na ginawa laban sa mga opisyal ng pagpapatupad ng batas ay kadalasang may pinahusay na sentensiya kumpara sa mga katulad na pagkakasala laban sa mga sibilyan. **Mga Paghahabla sa Sibil:** Bilang karagdagan sa mga kasong kriminal, maaari ding isulong ng mga opisyal ng pagpapatupad ng batas ang mga demandang sibil laban sa mga salarin para sa mga pinsalang natamo dahil sa karahasan.
**Pag-iimbestiga sa Insidente:** Malamang na magsasagawa ng masusing pagsisiyasat ang tagapagpatupad ng batas upang matukoy ang lahat ng sangkot. Maaaring kabilang dito ang pagrepaso sa footage ng video, mga pahayag ng saksi, at pagkolekta ng ebidensya mula sa eksena.
**Mga Pagkilos sa Kagawaran:** Maaaring magsagawa ng panloob na pagsisiyasat ang sangkot na ahensyang nagpapatupad ng batas upang makita kung sinunod ng mga opisyal ang tamang pamamaraan sa panahon ng demonstrasyon. Mahalagang tandaan na ang mga partikular na legal na aksyon ay nakadepende sa mga detalye ng kaso, gaya ng lokasyon (maaaring mag-iba ang mga batas ng estado) at ang likas na katangian ng karahasan.</v>
      </c>
      <c r="F2398" s="2">
        <f t="shared" si="1"/>
        <v>0</v>
      </c>
      <c r="G2398" s="2"/>
      <c r="H2398" s="2"/>
      <c r="I2398" s="2"/>
      <c r="J2398" s="2"/>
      <c r="K2398" s="2"/>
      <c r="L2398" s="2"/>
      <c r="M2398" s="2"/>
      <c r="N2398" s="2"/>
      <c r="O2398" s="2"/>
      <c r="P2398" s="2"/>
      <c r="Q2398" s="2"/>
      <c r="R2398" s="2"/>
      <c r="S2398" s="2"/>
      <c r="T2398" s="2"/>
      <c r="U2398" s="2"/>
      <c r="V2398" s="2"/>
      <c r="W2398" s="2"/>
      <c r="X2398" s="2"/>
      <c r="Y2398" s="2"/>
      <c r="Z2398" s="2"/>
      <c r="AA2398" s="2"/>
    </row>
    <row r="2399">
      <c r="A2399" s="3" t="s">
        <v>5693</v>
      </c>
      <c r="B2399" s="1" t="s">
        <v>5764</v>
      </c>
      <c r="C2399" s="3" t="s">
        <v>5765</v>
      </c>
      <c r="D2399" s="2" t="str">
        <f>IFERROR(__xludf.DUMMYFUNCTION("GOOGLETRANSLATE(B2399, ""en"", ""TL"")"),"Inakusahan ang isang politiko na nakikibahagi sa mapoot na salita sa panahon ng pampublikong talumpati. Anong mga legal na hakbang ang maaaring gawin upang imbestigahan at matugunan ang mga paratang ng mapoot na salita?")</f>
        <v>Inakusahan ang isang politiko na nakikibahagi sa mapoot na salita sa panahon ng pampublikong talumpati. Anong mga legal na hakbang ang maaaring gawin upang imbestigahan at matugunan ang mga paratang ng mapoot na salita?</v>
      </c>
      <c r="E2399" s="2" t="str">
        <f>IFERROR(__xludf.DUMMYFUNCTION("GOOGLETRANSLATE(C2399, ""en"", ""TL"")"),"Kung ang isang politiko ay inakusahan ng mapoot na salita sa panahon ng isang pampublikong talumpati sa Pilipinas, maraming legal na hakbang ang maaaring gawin upang imbestigahan at matugunan ang mga paratang:
1. Human Rights Commission: Ang Commission"&amp;" on Human Rights (CHR) ay may awtoridad na imbestigahan ang mga paglabag sa karapatang pantao, kabilang ang mapoot na salita. Ang CHR ay maaaring magsagawa ng mga pagtatanong, mangalap ng ebidensya, at magrekomenda ng mga hakbang upang matugunan ang mapoo"&amp;"t na salita na ginawa ng mga pampublikong tao.
2. Mga Batas laban sa Diskriminasyon: Ang mapoot na salita ay maaaring lumabag sa mga batas laban sa diskriminasyon sa Pilipinas, tulad ng Anti-Discrimination Act of 2019 (RA 11313). Ang mga naagrabyado ay"&amp;" maaaring magsampa ng mga reklamo sa CHR o iba pang may-katuturang ahensya na may katungkulan sa pagpapatupad ng mga batas laban sa diskriminasyon.
3. Cybercrime Prevention Act of 2012 (RA 10175): Kung ang mapoot na salita ay ipinakalat sa pamamagitan "&amp;"ng mga elektronikong paraan, tulad ng social media o online na mga platform, maaaring mag-apply ang Cybercrime Prevention Act. Ang mga naagrabyado ay maaaring magsampa ng mga reklamo sa Cybercrime Investigation and Coordinating Center (CICC) o sa Philippi"&amp;"ne National Police-Cybercrime Group (PNP-CCG) para sa imbestigasyon at pag-uusig ng cyber libel o iba pang cybercrime.
4. Kodigo sa Kriminal ng Pilipinas: Ang mapoot na pananalita ay maaari ding bumuo ng mga kriminal na pagkakasala sa ilalim ng Kodigo "&amp;"Kriminal, tulad ng pag-uudyok sa karahasan (Artikulo 282), malubhang pagbabanta (Artikulo 282), at pag-uudyok sa sedisyon (Artikulo 142). Ang mga reklamo tungkol sa mapoot na salita ay maaaring ihain sa naaangkop na mga ahensyang nagpapatupad ng batas par"&amp;"a sa pagsisiyasat at pag-uusig.
5. Civil Remedies: Ang mga indibidwal o grupong apektado ng hate speech ay maaaring humingi ng civil remedy, gaya ng paghahain ng reklamo para sa mga pinsala laban sa political figure na responsable sa hate speech.
6."&amp;" Pampublikong Pagkondena: Ang mga organisasyon ng lipunang sibil, mga grupo ng adbokasiya, at mga nag-aalalang indibidwal ay maaaring publikong kondenahin ang mapoot na salita at itaas ang kamalayan tungkol sa mga mapaminsalang epekto nito sa lipunan. Maa"&amp;"aring hikayatin ng pampublikong presyon ang mga awtoridad na kumilos laban sa mapoot na salita at panagutin ang mga responsable sa paggawa nito.
Sa pangkalahatan, ang pagsisiyasat at pagtugon sa mga paratang ng mapoot na salita ng isang pulitikal na pi"&amp;"gura ay nangangailangan ng pinagsama-samang pagsisikap sa pagitan ng mga ahensya ng gobyerno, mga awtoridad na nagpapatupad ng batas, at mga organisasyon ng lipunang sibil upang itaguyod ang mga karapatang pantao, itaguyod ang pagpaparaya at pagkakaiba-ib"&amp;"a, at tiyakin ang pananagutan para sa mga nakikibahagi sa mapoot na salita.")</f>
        <v>Kung ang isang politiko ay inakusahan ng mapoot na salita sa panahon ng isang pampublikong talumpati sa Pilipinas, maraming legal na hakbang ang maaaring gawin upang imbestigahan at matugunan ang mga paratang:
1. Human Rights Commission: Ang Commission on Human Rights (CHR) ay may awtoridad na imbestigahan ang mga paglabag sa karapatang pantao, kabilang ang mapoot na salita. Ang CHR ay maaaring magsagawa ng mga pagtatanong, mangalap ng ebidensya, at magrekomenda ng mga hakbang upang matugunan ang mapoot na salita na ginawa ng mga pampublikong tao.
2. Mga Batas laban sa Diskriminasyon: Ang mapoot na salita ay maaaring lumabag sa mga batas laban sa diskriminasyon sa Pilipinas, tulad ng Anti-Discrimination Act of 2019 (RA 11313). Ang mga naagrabyado ay maaaring magsampa ng mga reklamo sa CHR o iba pang may-katuturang ahensya na may katungkulan sa pagpapatupad ng mga batas laban sa diskriminasyon.
3. Cybercrime Prevention Act of 2012 (RA 10175): Kung ang mapoot na salita ay ipinakalat sa pamamagitan ng mga elektronikong paraan, tulad ng social media o online na mga platform, maaaring mag-apply ang Cybercrime Prevention Act. Ang mga naagrabyado ay maaaring magsampa ng mga reklamo sa Cybercrime Investigation and Coordinating Center (CICC) o sa Philippine National Police-Cybercrime Group (PNP-CCG) para sa imbestigasyon at pag-uusig ng cyber libel o iba pang cybercrime.
4. Kodigo sa Kriminal ng Pilipinas: Ang mapoot na pananalita ay maaari ding bumuo ng mga kriminal na pagkakasala sa ilalim ng Kodigo Kriminal, tulad ng pag-uudyok sa karahasan (Artikulo 282), malubhang pagbabanta (Artikulo 282), at pag-uudyok sa sedisyon (Artikulo 142). Ang mga reklamo tungkol sa mapoot na salita ay maaaring ihain sa naaangkop na mga ahensyang nagpapatupad ng batas para sa pagsisiyasat at pag-uusig.
5. Civil Remedies: Ang mga indibidwal o grupong apektado ng hate speech ay maaaring humingi ng civil remedy, gaya ng paghahain ng reklamo para sa mga pinsala laban sa political figure na responsable sa hate speech.
6. Pampublikong Pagkondena: Ang mga organisasyon ng lipunang sibil, mga grupo ng adbokasiya, at mga nag-aalalang indibidwal ay maaaring publikong kondenahin ang mapoot na salita at itaas ang kamalayan tungkol sa mga mapaminsalang epekto nito sa lipunan. Maaaring hikayatin ng pampublikong presyon ang mga awtoridad na kumilos laban sa mapoot na salita at panagutin ang mga responsable sa paggawa nito.
Sa pangkalahatan, ang pagsisiyasat at pagtugon sa mga paratang ng mapoot na salita ng isang pulitikal na pigura ay nangangailangan ng pinagsama-samang pagsisikap sa pagitan ng mga ahensya ng gobyerno, mga awtoridad na nagpapatupad ng batas, at mga organisasyon ng lipunang sibil upang itaguyod ang mga karapatang pantao, itaguyod ang pagpaparaya at pagkakaiba-iba, at tiyakin ang pananagutan para sa mga nakikibahagi sa mapoot na salita.</v>
      </c>
      <c r="F2399" s="2">
        <f t="shared" si="1"/>
        <v>0</v>
      </c>
      <c r="G2399" s="2"/>
      <c r="H2399" s="2"/>
      <c r="I2399" s="2"/>
      <c r="J2399" s="2"/>
      <c r="K2399" s="2"/>
      <c r="L2399" s="2"/>
      <c r="M2399" s="2"/>
      <c r="N2399" s="2"/>
      <c r="O2399" s="2"/>
      <c r="P2399" s="2"/>
      <c r="Q2399" s="2"/>
      <c r="R2399" s="2"/>
      <c r="S2399" s="2"/>
      <c r="T2399" s="2"/>
      <c r="U2399" s="2"/>
      <c r="V2399" s="2"/>
      <c r="W2399" s="2"/>
      <c r="X2399" s="2"/>
      <c r="Y2399" s="2"/>
      <c r="Z2399" s="2"/>
      <c r="AA2399" s="2"/>
    </row>
    <row r="2400">
      <c r="A2400" s="3" t="s">
        <v>5693</v>
      </c>
      <c r="B2400" s="1" t="s">
        <v>5766</v>
      </c>
      <c r="C2400" s="3" t="s">
        <v>5767</v>
      </c>
      <c r="D2400" s="2" t="str">
        <f>IFERROR(__xludf.DUMMYFUNCTION("GOOGLETRANSLATE(B2400, ""en"", ""TL"")"),"Ang mga miyembro ng pamilya ng isang aktibista ay nahaharap sa mga pagbabanta at panliligalig dahil sa kanilang pakikisama sa aktibista. Anong mga legal na aksyon ang maaaring gawin upang maprotektahan ang mga miyembro ng pamilya at matugunan ang panlilig"&amp;"alig?")</f>
        <v>Ang mga miyembro ng pamilya ng isang aktibista ay nahaharap sa mga pagbabanta at panliligalig dahil sa kanilang pakikisama sa aktibista. Anong mga legal na aksyon ang maaaring gawin upang maprotektahan ang mga miyembro ng pamilya at matugunan ang panliligalig?</v>
      </c>
      <c r="E2400" s="2" t="str">
        <f>IFERROR(__xludf.DUMMYFUNCTION("GOOGLETRANSLATE(C2400, ""en"", ""TL"")"),"Sa Pilipinas, may mga legal na aksyon na magagamit upang protektahan ang mga miyembro ng pamilya ng aktibista mula sa panliligalig. Narito ang ilang mga posibilidad:
* **Proteksyon Order:** Ang Republic Act No. 9262, na kilala rin bilang Anti-Violence Aga"&amp;"inst Women and their Children Act (VAWC Act) ay nagpapahintulot sa mga miyembro ng pamilya na magpetisyon para sa isang protection order. Maaaring ipagbawal ng utos na ito ang nang-aasar na makipag-ugnayan o lumapit sa mga miyembro ng pamilya, at maaari r"&amp;"ing hilingin sa kanila na sumailalim sa pagpapayo [https://lawphil.net/statutes/repacts/ra2004/ra_9262_2004.html](https://lawphil.net /statutes/repacts/ra2004/ra_9262_2004.html).
* **Safe Spaces Act:** Ang Republic Act No. 11313, na kilala rin bilang Safe"&amp;" Spaces Act, ay tumutugon sa mga gawaing sekswal na panliligalig, kabilang ang mga nangyayari online. Kung ang panliligalig ay nagsasangkot ng isang sekswal na kalikasan, ang pagkilos na ito ay maaaring naaangkop [https://lawphil.net/statutes/repacts/ra20"&amp;"19/ra_11313_2019.html](https://lawphil.net/statutes/repacts/ra2019/ra_11313_2019.html ).
* **Mga Singil sa Kriminal:** Depende sa uri ng panliligalig, maaaring makapagsampa ang pulisya ng mga kasong kriminal laban sa nang-harass. Maaaring kabilang dito an"&amp;"g stalking, pagbabanta, o mga paglabag sa cybercrime.
**Narito ang ilang karagdagang hakbang na maaaring gawin:**
* **Idokumento ang panliligalig:** Panatilihin ang isang talaan ng lahat ng mga pagkakataon ng panliligalig, kabilang ang mga petsa, oras, at"&amp;" mga detalye ng nangyari. Magiging mahalagang ebidensya ito kung magpasya kang magsagawa ng legal na aksyon.
* **Palakihin ang seguridad:** Isaalang-alang ang pagpapataas ng mga hakbang sa seguridad sa bahay ng aktibista, tulad ng pag-install ng mga secur"&amp;"ity camera o pagpapalit ng mga lock. * **Mag-ulat sa mga awtoridad:** Iulat ang lahat ng insidente ng panliligalig sa pulisya.
* **Humingi ng legal na payo:** Maaaring magpayo ang isang abogado sa pinakamahusay na paraan ng pagkilos batay sa mga partikula"&amp;"r na kalagayan ng kaso.
**Mga Mapagkukunan:**
* Ang Philippine National Police (PNP) Women and Children Protection Center (WCPC) ay maaaring magbigay ng tulong sa pag-uulat ng harassment at pang-aabuso. Makakakita ka ng impormasyon sa pakikipag-ugnayan pa"&amp;"ra sa iyong lokal na WCPC sa website ng PNP [https://pnp.gov.ph/](https://pnp.gov.ph/).
* Nag-aalok din ang Department of Social Welfare and Development (DSWD) ng mga serbisyo ng suporta para sa mga biktima ng karahasan at harassment. Makakakita ka ng imp"&amp;"ormasyon sa pakikipag-ugnayan para sa iyong lokal na tanggapan ng DSWD sa kanilang website [https://www.dswd.gov.ph/](https://www.dswd.gov.ph/).
Mahalagang tandaan na ang mga partikular na batas at pamamaraan ay maaaring mag-iba depende sa lokasyon. Lagin"&amp;"g pinakamahusay na kumunsulta sa isang abogado na pamilyar sa mga nauugnay na batas sa iyong lugar.")</f>
        <v>Sa Pilipinas, may mga legal na aksyon na magagamit upang protektahan ang mga miyembro ng pamilya ng aktibista mula sa panliligalig. Narito ang ilang mga posibilidad:
* **Proteksyon Order:** Ang Republic Act No. 9262, na kilala rin bilang Anti-Violence Against Women and their Children Act (VAWC Act) ay nagpapahintulot sa mga miyembro ng pamilya na magpetisyon para sa isang protection order. Maaaring ipagbawal ng utos na ito ang nang-aasar na makipag-ugnayan o lumapit sa mga miyembro ng pamilya, at maaari ring hilingin sa kanila na sumailalim sa pagpapayo [https://lawphil.net/statutes/repacts/ra2004/ra_9262_2004.html](https://lawphil.net /statutes/repacts/ra2004/ra_9262_2004.html).
* **Safe Spaces Act:** Ang Republic Act No. 11313, na kilala rin bilang Safe Spaces Act, ay tumutugon sa mga gawaing sekswal na panliligalig, kabilang ang mga nangyayari online. Kung ang panliligalig ay nagsasangkot ng isang sekswal na kalikasan, ang pagkilos na ito ay maaaring naaangkop [https://lawphil.net/statutes/repacts/ra2019/ra_11313_2019.html](https://lawphil.net/statutes/repacts/ra2019/ra_11313_2019.html ).
* **Mga Singil sa Kriminal:** Depende sa uri ng panliligalig, maaaring makapagsampa ang pulisya ng mga kasong kriminal laban sa nang-harass. Maaaring kabilang dito ang stalking, pagbabanta, o mga paglabag sa cybercrime.
**Narito ang ilang karagdagang hakbang na maaaring gawin:**
* **Idokumento ang panliligalig:** Panatilihin ang isang talaan ng lahat ng mga pagkakataon ng panliligalig, kabilang ang mga petsa, oras, at mga detalye ng nangyari. Magiging mahalagang ebidensya ito kung magpasya kang magsagawa ng legal na aksyon.
* **Palakihin ang seguridad:** Isaalang-alang ang pagpapataas ng mga hakbang sa seguridad sa bahay ng aktibista, tulad ng pag-install ng mga security camera o pagpapalit ng mga lock. * **Mag-ulat sa mga awtoridad:** Iulat ang lahat ng insidente ng panliligalig sa pulisya.
* **Humingi ng legal na payo:** Maaaring magpayo ang isang abogado sa pinakamahusay na paraan ng pagkilos batay sa mga partikular na kalagayan ng kaso.
**Mga Mapagkukunan:**
* Ang Philippine National Police (PNP) Women and Children Protection Center (WCPC) ay maaaring magbigay ng tulong sa pag-uulat ng harassment at pang-aabuso. Makakakita ka ng impormasyon sa pakikipag-ugnayan para sa iyong lokal na WCPC sa website ng PNP [https://pnp.gov.ph/](https://pnp.gov.ph/).
* Nag-aalok din ang Department of Social Welfare and Development (DSWD) ng mga serbisyo ng suporta para sa mga biktima ng karahasan at harassment. Makakakita ka ng impormasyon sa pakikipag-ugnayan para sa iyong lokal na tanggapan ng DSWD sa kanilang website [https://www.dswd.gov.ph/](https://www.dswd.gov.ph/).
Mahalagang tandaan na ang mga partikular na batas at pamamaraan ay maaaring mag-iba depende sa lokasyon. Laging pinakamahusay na kumunsulta sa isang abogado na pamilyar sa mga nauugnay na batas sa iyong lugar.</v>
      </c>
      <c r="F2400" s="2">
        <f t="shared" si="1"/>
        <v>0</v>
      </c>
      <c r="G2400" s="2"/>
      <c r="H2400" s="2"/>
      <c r="I2400" s="2"/>
      <c r="J2400" s="2"/>
      <c r="K2400" s="2"/>
      <c r="L2400" s="2"/>
      <c r="M2400" s="2"/>
      <c r="N2400" s="2"/>
      <c r="O2400" s="2"/>
      <c r="P2400" s="2"/>
      <c r="Q2400" s="2"/>
      <c r="R2400" s="2"/>
      <c r="S2400" s="2"/>
      <c r="T2400" s="2"/>
      <c r="U2400" s="2"/>
      <c r="V2400" s="2"/>
      <c r="W2400" s="2"/>
      <c r="X2400" s="2"/>
      <c r="Y2400" s="2"/>
      <c r="Z2400" s="2"/>
      <c r="AA2400" s="2"/>
    </row>
    <row r="2401">
      <c r="A2401" s="3" t="s">
        <v>5693</v>
      </c>
      <c r="B2401" s="1" t="s">
        <v>5768</v>
      </c>
      <c r="C2401" s="3" t="s">
        <v>5769</v>
      </c>
      <c r="D2401" s="2" t="str">
        <f>IFERROR(__xludf.DUMMYFUNCTION("GOOGLETRANSLATE(B2401, ""en"", ""TL"")"),"Sa panahon ng pampulitikang rally, ang mga indibidwal ay nagsasagawa ng pamimilit sa mga botante upang maimpluwensyahan ang mga resulta ng halalan. Anong mga legal na hakbang ang maaaring gawin upang imbestigahan at matugunan ang mga paratang ng pamimilit"&amp;" sa botante?")</f>
        <v>Sa panahon ng pampulitikang rally, ang mga indibidwal ay nagsasagawa ng pamimilit sa mga botante upang maimpluwensyahan ang mga resulta ng halalan. Anong mga legal na hakbang ang maaaring gawin upang imbestigahan at matugunan ang mga paratang ng pamimilit sa botante?</v>
      </c>
      <c r="E2401" s="2" t="str">
        <f>IFERROR(__xludf.DUMMYFUNCTION("GOOGLETRANSLATE(C2401, ""en"", ""TL"")"),"Kung ang mga indibidwal ay nakikibahagi sa pamimilit sa mga botante sa panahon ng isang political rally sa Pilipinas, maraming legal na hakbang ang maaaring gawin upang imbestigahan at matugunan ang mga paratang:
1. Commission on Elections (COMELEC): A"&amp;"ng COMELEC ang pangunahing ahensyang responsable sa pagtiyak ng libre, patas, at kapani-paniwalang halalan sa Pilipinas. Ang mga ulat ng pamimilit sa mga botante ay dapat isumite sa COMELEC para sa imbestigasyon. Ang COMELEC ay may awtoridad na magsagawa "&amp;"ng mga pagtatanong, magpatawag ng mga saksi, at mangalap ng ebidensya na may kaugnayan sa mga paglabag sa halalan, kabilang ang pamimilit sa botante.
2. Omnibus Election Code (Batas Pambansa Blg. 881): Ang Omnibus Election Code ay naglalaman ng mga pro"&amp;"bisyon na nagbabawal sa iba't ibang anyo ng mga paglabag sa halalan, kabilang ang pamimilit sa botante. Ang Seksyon 261 ng Omnibus Election Code ay nagsasaad ng mga kilos na bumubuo ng mga pagkakasala sa halalan, kabilang ang pananakot, pamimilit, at pagb"&amp;"abanta upang pilitin ang mga indibidwal na bumoto o umiwas sa pagboto para sa isang partikular na kandidato o partidong pampulitika. Ang mga reklamo hinggil sa voter coercion ay maaaring ihain sa COMELEC, na may awtoridad na mag-prosecute ng mga paglabag "&amp;"sa halalan.
3. Pamamagitan sa Pagpapatupad ng Batas: Ang mga awtoridad sa pagpapatupad ng batas, gaya ng Philippine National Police (PNP), ay may responsibilidad na panatilihin ang kapayapaan at kaayusan sa panahon ng mga political rally at maiwasan an"&amp;"g mga pagkilos ng pamimilit sa mga botante. Ang mga opisyal ay maaaring gumawa ng naaangkop na mga hakbang upang mamagitan at itigil ang mga pagkakataon ng pamimilit sa botante, gayundin ang pag-aresto sa mga indibidwal na nagsasagawa ng gayong pag-uugali"&amp;".
4. Mga Remedyong Sibil: Ang mga biktima ng pamimilit ng botante ay maaaring humingi ng mga remedyo ng sibil, tulad ng paghahain ng reklamo para sa mga pinsala laban sa mga indibidwal o grupo na responsable sa pamimilit. Ang mga aksyong sibil ay maaar"&amp;"ing isulong sa korte upang panagutin ang mga nagsasagawa ng pamimilit sa botante at humingi ng kabayaran para sa anumang pinsalang naidulot.
5. Proteksyon ng Saksi: Ang mga saksi na may impormasyon tungkol sa pamimilit sa botante ay maaaring bigyan ng "&amp;"proteksyon at seguridad sa ilalim ng Witness Protection Program (WPP). Ang programang ito ay naglalayon na hikayatin ang mga testigo na lumapit at tumestigo laban sa mga indibidwal na sangkot sa mga kriminal na aktibidad, kabilang ang mga paglabag sa hala"&amp;"lan tulad ng pamimilit ng botante.
Sa pangkalahatan, ang pagtugon sa mga paratang ng pamimilit sa botante sa panahon ng isang political rally ay nangangailangan ng komprehensibong diskarte na kinasasangkutan ng mga legal na remedyo, interbensyon sa pag"&amp;"papatupad ng batas, at mga hakbang upang maprotektahan ang mga saksi at matiyak ang pananagutan para sa mga nakikibahagi sa mga pagkakasala sa elektoral.")</f>
        <v>Kung ang mga indibidwal ay nakikibahagi sa pamimilit sa mga botante sa panahon ng isang political rally sa Pilipinas, maraming legal na hakbang ang maaaring gawin upang imbestigahan at matugunan ang mga paratang:
1. Commission on Elections (COMELEC): Ang COMELEC ang pangunahing ahensyang responsable sa pagtiyak ng libre, patas, at kapani-paniwalang halalan sa Pilipinas. Ang mga ulat ng pamimilit sa mga botante ay dapat isumite sa COMELEC para sa imbestigasyon. Ang COMELEC ay may awtoridad na magsagawa ng mga pagtatanong, magpatawag ng mga saksi, at mangalap ng ebidensya na may kaugnayan sa mga paglabag sa halalan, kabilang ang pamimilit sa botante.
2. Omnibus Election Code (Batas Pambansa Blg. 881): Ang Omnibus Election Code ay naglalaman ng mga probisyon na nagbabawal sa iba't ibang anyo ng mga paglabag sa halalan, kabilang ang pamimilit sa botante. Ang Seksyon 261 ng Omnibus Election Code ay nagsasaad ng mga kilos na bumubuo ng mga pagkakasala sa halalan, kabilang ang pananakot, pamimilit, at pagbabanta upang pilitin ang mga indibidwal na bumoto o umiwas sa pagboto para sa isang partikular na kandidato o partidong pampulitika. Ang mga reklamo hinggil sa voter coercion ay maaaring ihain sa COMELEC, na may awtoridad na mag-prosecute ng mga paglabag sa halalan.
3. Pamamagitan sa Pagpapatupad ng Batas: Ang mga awtoridad sa pagpapatupad ng batas, gaya ng Philippine National Police (PNP), ay may responsibilidad na panatilihin ang kapayapaan at kaayusan sa panahon ng mga political rally at maiwasan ang mga pagkilos ng pamimilit sa mga botante. Ang mga opisyal ay maaaring gumawa ng naaangkop na mga hakbang upang mamagitan at itigil ang mga pagkakataon ng pamimilit sa botante, gayundin ang pag-aresto sa mga indibidwal na nagsasagawa ng gayong pag-uugali.
4. Mga Remedyong Sibil: Ang mga biktima ng pamimilit ng botante ay maaaring humingi ng mga remedyo ng sibil, tulad ng paghahain ng reklamo para sa mga pinsala laban sa mga indibidwal o grupo na responsable sa pamimilit. Ang mga aksyong sibil ay maaaring isulong sa korte upang panagutin ang mga nagsasagawa ng pamimilit sa botante at humingi ng kabayaran para sa anumang pinsalang naidulot.
5. Proteksyon ng Saksi: Ang mga saksi na may impormasyon tungkol sa pamimilit sa botante ay maaaring bigyan ng proteksyon at seguridad sa ilalim ng Witness Protection Program (WPP). Ang programang ito ay naglalayon na hikayatin ang mga testigo na lumapit at tumestigo laban sa mga indibidwal na sangkot sa mga kriminal na aktibidad, kabilang ang mga paglabag sa halalan tulad ng pamimilit ng botante.
Sa pangkalahatan, ang pagtugon sa mga paratang ng pamimilit sa botante sa panahon ng isang political rally ay nangangailangan ng komprehensibong diskarte na kinasasangkutan ng mga legal na remedyo, interbensyon sa pagpapatupad ng batas, at mga hakbang upang maprotektahan ang mga saksi at matiyak ang pananagutan para sa mga nakikibahagi sa mga pagkakasala sa elektoral.</v>
      </c>
      <c r="F2401" s="2">
        <f t="shared" si="1"/>
        <v>0</v>
      </c>
      <c r="G2401" s="2"/>
      <c r="H2401" s="2"/>
      <c r="I2401" s="2"/>
      <c r="J2401" s="2"/>
      <c r="K2401" s="2"/>
      <c r="L2401" s="2"/>
      <c r="M2401" s="2"/>
      <c r="N2401" s="2"/>
      <c r="O2401" s="2"/>
      <c r="P2401" s="2"/>
      <c r="Q2401" s="2"/>
      <c r="R2401" s="2"/>
      <c r="S2401" s="2"/>
      <c r="T2401" s="2"/>
      <c r="U2401" s="2"/>
      <c r="V2401" s="2"/>
      <c r="W2401" s="2"/>
      <c r="X2401" s="2"/>
      <c r="Y2401" s="2"/>
      <c r="Z2401" s="2"/>
      <c r="AA2401" s="2"/>
    </row>
    <row r="2402">
      <c r="A2402" s="3" t="s">
        <v>5693</v>
      </c>
      <c r="B2402" s="1" t="s">
        <v>5770</v>
      </c>
      <c r="C2402" s="3" t="s">
        <v>5771</v>
      </c>
      <c r="D2402" s="2" t="str">
        <f>IFERROR(__xludf.DUMMYFUNCTION("GOOGLETRANSLATE(B2402, ""en"", ""TL"")"),"Ang isang partidong pampulitika ay inaakusahan ng paggamit ng pampublikong pondo para sa personal na pakinabang. Anong mga legal na hakbang ang maaaring gawin upang imbestigahan at matugunan ang mga paratang ng katiwalian?")</f>
        <v>Ang isang partidong pampulitika ay inaakusahan ng paggamit ng pampublikong pondo para sa personal na pakinabang. Anong mga legal na hakbang ang maaaring gawin upang imbestigahan at matugunan ang mga paratang ng katiwalian?</v>
      </c>
      <c r="E2402" s="2" t="str">
        <f>IFERROR(__xludf.DUMMYFUNCTION("GOOGLETRANSLATE(C2402, ""en"", ""TL"")"),"Kung ang isang partidong pampulitika ay inakusahan ng paggamit ng mga pampublikong pondo para sa personal na pakinabang sa Pilipinas, maraming mga legal na hakbang ang maaaring gawin upang imbestigahan at matugunan ang mga paratang ng katiwalian:
1. Co"&amp;"mmission on Audit (COA): Ang Commission on Audit ay ang ahensya ng gobyerno na may tungkulin sa pag-audit sa paggamit ng pampublikong pondo ng mga ahensya at entidad ng gobyerno, kabilang ang mga partidong pampulitika. Ang COA ay may awtoridad na magsagaw"&amp;"a ng mga pag-audit, pagsusuri, at pagsisiyasat upang matukoy kung ang mga pampublikong pondo ay ginamit alinsunod sa mga batas at regulasyon.
2. Ombudsman: Ang Tanggapan ng Ombudsman ay may pananagutan sa pag-iimbestiga at pag-uusig sa mga kaso ng graf"&amp;"t at katiwalian sa gobyerno. Ang mga reklamo tungkol sa maling paggamit ng pampublikong pondo ng isang partidong pampulitika ay maaaring ihain sa Ombudsman para sa imbestigasyon at naaangkop na aksyon.
3. Mga Batas laban sa Korupsyon: Ipinagbabawal ng "&amp;"iba't ibang batas laban sa katiwalian sa Pilipinas ang maling paggamit ng pondo ng publiko para sa pansariling kapakanan. Kabilang dito ang Anti-Graft and Corrupt Practices Act (RA 3019), na nagpaparusa sa mga katiwalian ng mga pampublikong opisyal, gayun"&amp;"din ang Code of Conduct and Ethical Standards for Public Officials and Employees (RA 6713), na nagtatakda ng mga pamantayan ng pag-uugali para sa publiko. mga tagapaglingkod.
4. Mga Remedyo Sibil: Ang mga indibidwal o grupong apektado ng maling paggami"&amp;"t ng pampublikong pondo ng isang partidong pampulitika ay maaaring humingi ng mga remedyo sibil, tulad ng paghahain ng reklamo para sa mga pinsala laban sa partidong pampulitika o mga indibidwal na responsable sa katiwalian. Ang mga aksyong sibil ay maaar"&amp;"ing isulong sa korte upang panagutin ang mga taong maling gumagamit ng mga pampublikong pondo at humingi ng kabayaran para sa anumang pinsalang naidulot.
5. Media at Pampublikong Pagsusuri: Ang mga organisasyon ng media at mga grupo ng civil society ay"&amp;" maaaring mag-imbestiga at maglantad ng mga kaso ng katiwalian na kinasasangkutan ng pampublikong pondo. Makakatulong ang pagsisiyasat at panggigipit ng publiko upang mapataas ang kamalayan tungkol sa mga isyu sa katiwalian at panagutin ang mga responsabl"&amp;"e sa maling paggamit ng mga pondo ng publiko.
Sa pangkalahatan, ang pagsisiyasat at pagtugon sa mga paratang ng katiwalian na kinasasangkutan ng pampublikong pondo ng isang partidong pampulitika ay nangangailangan ng isang komprehensibong diskarte na k"&amp;"inasasangkutan ng mga ahensya ng gobyerno, mga awtoridad sa pagpapatupad ng batas, mga organisasyon ng civil society, at ang media upang matiyak ang pananagutan at transparency sa paggamit ng mga pampublikong mapagkukunan.")</f>
        <v>Kung ang isang partidong pampulitika ay inakusahan ng paggamit ng mga pampublikong pondo para sa personal na pakinabang sa Pilipinas, maraming mga legal na hakbang ang maaaring gawin upang imbestigahan at matugunan ang mga paratang ng katiwalian:
1. Commission on Audit (COA): Ang Commission on Audit ay ang ahensya ng gobyerno na may tungkulin sa pag-audit sa paggamit ng pampublikong pondo ng mga ahensya at entidad ng gobyerno, kabilang ang mga partidong pampulitika. Ang COA ay may awtoridad na magsagawa ng mga pag-audit, pagsusuri, at pagsisiyasat upang matukoy kung ang mga pampublikong pondo ay ginamit alinsunod sa mga batas at regulasyon.
2. Ombudsman: Ang Tanggapan ng Ombudsman ay may pananagutan sa pag-iimbestiga at pag-uusig sa mga kaso ng graft at katiwalian sa gobyerno. Ang mga reklamo tungkol sa maling paggamit ng pampublikong pondo ng isang partidong pampulitika ay maaaring ihain sa Ombudsman para sa imbestigasyon at naaangkop na aksyon.
3. Mga Batas laban sa Korupsyon: Ipinagbabawal ng iba't ibang batas laban sa katiwalian sa Pilipinas ang maling paggamit ng pondo ng publiko para sa pansariling kapakanan. Kabilang dito ang Anti-Graft and Corrupt Practices Act (RA 3019), na nagpaparusa sa mga katiwalian ng mga pampublikong opisyal, gayundin ang Code of Conduct and Ethical Standards for Public Officials and Employees (RA 6713), na nagtatakda ng mga pamantayan ng pag-uugali para sa publiko. mga tagapaglingkod.
4. Mga Remedyo Sibil: Ang mga indibidwal o grupong apektado ng maling paggamit ng pampublikong pondo ng isang partidong pampulitika ay maaaring humingi ng mga remedyo sibil, tulad ng paghahain ng reklamo para sa mga pinsala laban sa partidong pampulitika o mga indibidwal na responsable sa katiwalian. Ang mga aksyong sibil ay maaaring isulong sa korte upang panagutin ang mga taong maling gumagamit ng mga pampublikong pondo at humingi ng kabayaran para sa anumang pinsalang naidulot.
5. Media at Pampublikong Pagsusuri: Ang mga organisasyon ng media at mga grupo ng civil society ay maaaring mag-imbestiga at maglantad ng mga kaso ng katiwalian na kinasasangkutan ng pampublikong pondo. Makakatulong ang pagsisiyasat at panggigipit ng publiko upang mapataas ang kamalayan tungkol sa mga isyu sa katiwalian at panagutin ang mga responsable sa maling paggamit ng mga pondo ng publiko.
Sa pangkalahatan, ang pagsisiyasat at pagtugon sa mga paratang ng katiwalian na kinasasangkutan ng pampublikong pondo ng isang partidong pampulitika ay nangangailangan ng isang komprehensibong diskarte na kinasasangkutan ng mga ahensya ng gobyerno, mga awtoridad sa pagpapatupad ng batas, mga organisasyon ng civil society, at ang media upang matiyak ang pananagutan at transparency sa paggamit ng mga pampublikong mapagkukunan.</v>
      </c>
      <c r="F2402" s="2">
        <f t="shared" si="1"/>
        <v>0</v>
      </c>
      <c r="G2402" s="2"/>
      <c r="H2402" s="2"/>
      <c r="I2402" s="2"/>
      <c r="J2402" s="2"/>
      <c r="K2402" s="2"/>
      <c r="L2402" s="2"/>
      <c r="M2402" s="2"/>
      <c r="N2402" s="2"/>
      <c r="O2402" s="2"/>
      <c r="P2402" s="2"/>
      <c r="Q2402" s="2"/>
      <c r="R2402" s="2"/>
      <c r="S2402" s="2"/>
      <c r="T2402" s="2"/>
      <c r="U2402" s="2"/>
      <c r="V2402" s="2"/>
      <c r="W2402" s="2"/>
      <c r="X2402" s="2"/>
      <c r="Y2402" s="2"/>
      <c r="Z2402" s="2"/>
      <c r="AA2402" s="2"/>
    </row>
    <row r="2403">
      <c r="A2403" s="3" t="s">
        <v>5693</v>
      </c>
      <c r="B2403" s="1" t="s">
        <v>5772</v>
      </c>
      <c r="C2403" s="3" t="s">
        <v>5773</v>
      </c>
      <c r="D2403" s="2" t="str">
        <f>IFERROR(__xludf.DUMMYFUNCTION("GOOGLETRANSLATE(B2403, ""en"", ""TL"")"),"Paano tinukoy ang mga krimeng may kaugnayan sa pulitika at aktibista sa ilalim ng batas ng Pilipinas?")</f>
        <v>Paano tinukoy ang mga krimeng may kaugnayan sa pulitika at aktibista sa ilalim ng batas ng Pilipinas?</v>
      </c>
      <c r="E2403" s="2" t="str">
        <f>IFERROR(__xludf.DUMMYFUNCTION("GOOGLETRANSLATE(C2403, ""en"", ""TL"")"),"Ang kahulugan ng mga krimen na may kaugnayan sa pulitika at aktibista sa Pilipinas ay maaaring maging kumplikado at nakadepende sa mga partikular na kalagayan ng kaso. Narito ang isang pangkalahatang pangkalahatang-ideya:
* **Mga Krimen sa Pulitikal:** It"&amp;"o ay mga pagkakasala na nakadirekta laban sa seguridad ng Estado. Tinutukoy ng Revised Penal Code of the Philippines (RPC) ang ilang mga pulitikal na krimen, tulad ng rebelyon, coup d'état, pag-uudyok sa rebelyon, sedisyon, at pagtataksil.
* **Mga Krimen "&amp;"na Kaugnay ng Aktibista:** Ang mga ito ay hindi inuri sa ilalim ng iisang kategorya ngunit maaaring kasangkot ang mga aktibista sa paggamit ng kanilang karapatan sa malayang pananalita o pagpupulong. Gayunpaman, ang kanilang mga aksyon ay maaaring ituring"&amp;" na labag sa batas kung sila ay magiging marahas o makagambala sa pampublikong kaayusan. Ang ilang mga posibleng singil ay kinabibilangan ng:
* Ilegal na pagpupulong: kung ang isang pagtitipon ay itinuring na labag sa batas dahil sa layunin nito o sa para"&amp;"an ng pagsasagawa nito (hal., pagharang sa mga kalsada nang walang permit)
* Kaguluhan: kung ang isang legal na pagpupulong ay naging marahas
* Coercion: kung pinipilit o tinatakot ng mga aktibista ang iba
* Obstruction of justice: kung hadlangan ng mga a"&amp;"ktibista ang pagpapatupad ng batas
**Mahalagang Tandaan:**
* Binatikos ang gobyerno ng Pilipinas sa paggamit umano ng mga batas na ito para pigilan ang hindi pagsang-ayon. Inakusahan ng mga aktibista ang mga awtoridad ng maling pagpigil o pagsasampa ng mg"&amp;"a kaso laban sa kanila.
* Kung interesado kang matuto nang higit pa tungkol sa mga partikular na kaso o legal na interpretasyon, inirerekomenda ko ang paghahanap sa online na legal na mapagkukunan o pagkonsulta sa isang abogado.")</f>
        <v>Ang kahulugan ng mga krimen na may kaugnayan sa pulitika at aktibista sa Pilipinas ay maaaring maging kumplikado at nakadepende sa mga partikular na kalagayan ng kaso. Narito ang isang pangkalahatang pangkalahatang-ideya:
* **Mga Krimen sa Pulitikal:** Ito ay mga pagkakasala na nakadirekta laban sa seguridad ng Estado. Tinutukoy ng Revised Penal Code of the Philippines (RPC) ang ilang mga pulitikal na krimen, tulad ng rebelyon, coup d'état, pag-uudyok sa rebelyon, sedisyon, at pagtataksil.
* **Mga Krimen na Kaugnay ng Aktibista:** Ang mga ito ay hindi inuri sa ilalim ng iisang kategorya ngunit maaaring kasangkot ang mga aktibista sa paggamit ng kanilang karapatan sa malayang pananalita o pagpupulong. Gayunpaman, ang kanilang mga aksyon ay maaaring ituring na labag sa batas kung sila ay magiging marahas o makagambala sa pampublikong kaayusan. Ang ilang mga posibleng singil ay kinabibilangan ng:
* Ilegal na pagpupulong: kung ang isang pagtitipon ay itinuring na labag sa batas dahil sa layunin nito o sa paraan ng pagsasagawa nito (hal., pagharang sa mga kalsada nang walang permit)
* Kaguluhan: kung ang isang legal na pagpupulong ay naging marahas
* Coercion: kung pinipilit o tinatakot ng mga aktibista ang iba
* Obstruction of justice: kung hadlangan ng mga aktibista ang pagpapatupad ng batas
**Mahalagang Tandaan:**
* Binatikos ang gobyerno ng Pilipinas sa paggamit umano ng mga batas na ito para pigilan ang hindi pagsang-ayon. Inakusahan ng mga aktibista ang mga awtoridad ng maling pagpigil o pagsasampa ng mga kaso laban sa kanila.
* Kung interesado kang matuto nang higit pa tungkol sa mga partikular na kaso o legal na interpretasyon, inirerekomenda ko ang paghahanap sa online na legal na mapagkukunan o pagkonsulta sa isang abogado.</v>
      </c>
      <c r="F2403" s="2">
        <f t="shared" si="1"/>
        <v>0</v>
      </c>
      <c r="G2403" s="2"/>
      <c r="H2403" s="2"/>
      <c r="I2403" s="2"/>
      <c r="J2403" s="2"/>
      <c r="K2403" s="2"/>
      <c r="L2403" s="2"/>
      <c r="M2403" s="2"/>
      <c r="N2403" s="2"/>
      <c r="O2403" s="2"/>
      <c r="P2403" s="2"/>
      <c r="Q2403" s="2"/>
      <c r="R2403" s="2"/>
      <c r="S2403" s="2"/>
      <c r="T2403" s="2"/>
      <c r="U2403" s="2"/>
      <c r="V2403" s="2"/>
      <c r="W2403" s="2"/>
      <c r="X2403" s="2"/>
      <c r="Y2403" s="2"/>
      <c r="Z2403" s="2"/>
      <c r="AA2403" s="2"/>
    </row>
    <row r="2404">
      <c r="A2404" s="3" t="s">
        <v>5693</v>
      </c>
      <c r="B2404" s="1" t="s">
        <v>5774</v>
      </c>
      <c r="C2404" s="3" t="s">
        <v>5775</v>
      </c>
      <c r="D2404" s="2" t="str">
        <f>IFERROR(__xludf.DUMMYFUNCTION("GOOGLETRANSLATE(B2404, ""en"", ""TL"")"),"Anong mga legal na hakbang ang inilalagay upang maiwasan at matugunan ang mga krimen laban sa mga politiko?")</f>
        <v>Anong mga legal na hakbang ang inilalagay upang maiwasan at matugunan ang mga krimen laban sa mga politiko?</v>
      </c>
      <c r="E2404" s="2" t="str">
        <f>IFERROR(__xludf.DUMMYFUNCTION("GOOGLETRANSLATE(C2404, ""en"", ""TL"")"),"Ang Pilipinas ay may ilang mga legal na hakbang upang maiwasan at matugunan ang mga krimen laban sa mga politiko:
**Pag-iwas:**
* **Special Security Measures:** Ang mga pulitiko, lalo na ang matataas na opisyal, ay itinalaga ng mga detalye ng seguridad ng"&amp;" Philippine National Police (PNP). * **Threat Assessment:** Ang mga ahensyang nagpapatupad ng batas tulad ng PNP ay sumusubaybay sa mga potensyal na banta at nagsasagawa ng mga aksyong pang-iwas.
* **Mga Batas sa Pagkontrol ng Baril:** Ang Pilipinas ay ma"&amp;"y medyo mahigpit na batas sa pagkontrol ng baril, na naglalayong limitahan ang bilang ng mga baril sa sirkulasyon at bawasan ang panganib ng karahasan ng baril, kabilang ang laban sa mga pulitiko.
**Batas:**
* **Revised Penal Code (RPC) Provisions:** Ang "&amp;"RPC ay kinabibilangan ng mga seksyon na partikular na tumutugon sa mga krimen laban sa mga taong may awtoridad, kabilang ang:
* Pagpatay at Pagpatay (Artikulo 248-255)
* Mga Pisikal na Pinsala (Mga Artikulo 256-259)
* Mga Banta (Artikulo 148)
* Pagpipilit"&amp;" (Artikulo 149)
* **Mga Espesyal na Batas:** * Anti-Murder Law (Republic Act No. 7659): Ang batas na ito ay nagpapataw ng mas matinding parusa para sa pagpatay sa ilang indibidwal, kabilang ang mga halal na opisyal. * Programa sa Proteksyon ng Saksi (Repu"&amp;"blic Act No. 6984): Ang programang ito ay nagbibigay ng proteksyon sa mga testigo, kabilang ang mga maaaring magbigay ng impormasyon tungkol sa mga krimen laban sa mga pulitiko.
**Pagsisiyasat at Pag-uusig:**
* **Mga Espesyal na Task Force:** Ang mga ahen"&amp;"syang nagpapatupad ng batas ay maaaring lumikha ng mga task force na nakatuon sa pag-iimbestiga sa mga krimen laban sa mga pulitiko, lalo na sa mga kaso na may mataas na profile. * **Fast-Track Trial Lane:** Maaaring unahin ng sistema ng hukuman ang mga k"&amp;"aso na kinasasangkutan ng karahasan o mga banta laban sa mga pulitikal na tao. **Mga Hamon:**
* **Pagpapatupad:** Ang epektibong pagpapatupad ng mga batas na ito ay mahalaga. Ang mga limitasyon sa mapagkukunan at potensyal na impluwensyang pampulitika ay "&amp;"maaaring makahadlang sa masusing pagsisiyasat at pag-uusig.
* **Pagbabalanse ng Seguridad at Kalayaan:** Ang mga hakbang sa seguridad ay kailangang balansehin sa karapatan sa malayang pananalita at pagpupulong. Ang labis na paghihigpit na mga hakbang ay m"&amp;"aaaring makapigil sa pampulitikang diskurso.
**Sa pangkalahatan, ang Pilipinas ay may legal na balangkas upang tugunan ang mga krimen laban sa mga politiko. Gayunpaman, nananatiling mga hamon ang epektibong pagpapatupad at pagtiyak ng balanse sa pagitan n"&amp;"g seguridad at mga demokratikong kalayaan.**")</f>
        <v>Ang Pilipinas ay may ilang mga legal na hakbang upang maiwasan at matugunan ang mga krimen laban sa mga politiko:
**Pag-iwas:**
* **Special Security Measures:** Ang mga pulitiko, lalo na ang matataas na opisyal, ay itinalaga ng mga detalye ng seguridad ng Philippine National Police (PNP). * **Threat Assessment:** Ang mga ahensyang nagpapatupad ng batas tulad ng PNP ay sumusubaybay sa mga potensyal na banta at nagsasagawa ng mga aksyong pang-iwas.
* **Mga Batas sa Pagkontrol ng Baril:** Ang Pilipinas ay may medyo mahigpit na batas sa pagkontrol ng baril, na naglalayong limitahan ang bilang ng mga baril sa sirkulasyon at bawasan ang panganib ng karahasan ng baril, kabilang ang laban sa mga pulitiko.
**Batas:**
* **Revised Penal Code (RPC) Provisions:** Ang RPC ay kinabibilangan ng mga seksyon na partikular na tumutugon sa mga krimen laban sa mga taong may awtoridad, kabilang ang:
* Pagpatay at Pagpatay (Artikulo 248-255)
* Mga Pisikal na Pinsala (Mga Artikulo 256-259)
* Mga Banta (Artikulo 148)
* Pagpipilit (Artikulo 149)
* **Mga Espesyal na Batas:** * Anti-Murder Law (Republic Act No. 7659): Ang batas na ito ay nagpapataw ng mas matinding parusa para sa pagpatay sa ilang indibidwal, kabilang ang mga halal na opisyal. * Programa sa Proteksyon ng Saksi (Republic Act No. 6984): Ang programang ito ay nagbibigay ng proteksyon sa mga testigo, kabilang ang mga maaaring magbigay ng impormasyon tungkol sa mga krimen laban sa mga pulitiko.
**Pagsisiyasat at Pag-uusig:**
* **Mga Espesyal na Task Force:** Ang mga ahensyang nagpapatupad ng batas ay maaaring lumikha ng mga task force na nakatuon sa pag-iimbestiga sa mga krimen laban sa mga pulitiko, lalo na sa mga kaso na may mataas na profile. * **Fast-Track Trial Lane:** Maaaring unahin ng sistema ng hukuman ang mga kaso na kinasasangkutan ng karahasan o mga banta laban sa mga pulitikal na tao. **Mga Hamon:**
* **Pagpapatupad:** Ang epektibong pagpapatupad ng mga batas na ito ay mahalaga. Ang mga limitasyon sa mapagkukunan at potensyal na impluwensyang pampulitika ay maaaring makahadlang sa masusing pagsisiyasat at pag-uusig.
* **Pagbabalanse ng Seguridad at Kalayaan:** Ang mga hakbang sa seguridad ay kailangang balansehin sa karapatan sa malayang pananalita at pagpupulong. Ang labis na paghihigpit na mga hakbang ay maaaring makapigil sa pampulitikang diskurso.
**Sa pangkalahatan, ang Pilipinas ay may legal na balangkas upang tugunan ang mga krimen laban sa mga politiko. Gayunpaman, nananatiling mga hamon ang epektibong pagpapatupad at pagtiyak ng balanse sa pagitan ng seguridad at mga demokratikong kalayaan.**</v>
      </c>
      <c r="F2404" s="2">
        <f t="shared" si="1"/>
        <v>0</v>
      </c>
      <c r="G2404" s="2"/>
      <c r="H2404" s="2"/>
      <c r="I2404" s="2"/>
      <c r="J2404" s="2"/>
      <c r="K2404" s="2"/>
      <c r="L2404" s="2"/>
      <c r="M2404" s="2"/>
      <c r="N2404" s="2"/>
      <c r="O2404" s="2"/>
      <c r="P2404" s="2"/>
      <c r="Q2404" s="2"/>
      <c r="R2404" s="2"/>
      <c r="S2404" s="2"/>
      <c r="T2404" s="2"/>
      <c r="U2404" s="2"/>
      <c r="V2404" s="2"/>
      <c r="W2404" s="2"/>
      <c r="X2404" s="2"/>
      <c r="Y2404" s="2"/>
      <c r="Z2404" s="2"/>
      <c r="AA2404" s="2"/>
    </row>
    <row r="2405">
      <c r="A2405" s="3" t="s">
        <v>5693</v>
      </c>
      <c r="B2405" s="1" t="s">
        <v>5776</v>
      </c>
      <c r="C2405" s="3" t="s">
        <v>5777</v>
      </c>
      <c r="D2405" s="2" t="str">
        <f>IFERROR(__xludf.DUMMYFUNCTION("GOOGLETRANSLATE(B2405, ""en"", ""TL"")"),"Paano pinoprotektahan ng batas ang mga aktibista mula sa mga pagbabanta, panliligalig, at karahasan?")</f>
        <v>Paano pinoprotektahan ng batas ang mga aktibista mula sa mga pagbabanta, panliligalig, at karahasan?</v>
      </c>
      <c r="E2405" s="2" t="str">
        <f>IFERROR(__xludf.DUMMYFUNCTION("GOOGLETRANSLATE(C2405, ""en"", ""TL"")"),"Ang mga legal na proteksyon para sa mga aktibista sa Pilipinas mula sa mga pagbabanta, panliligalig, at karahasan ay isang kumplikadong isyu na may ilang makabuluhang pagkukulang. Narito ang isang breakdown:
**Mga Batas na Dapat Protektahan ang mga Aktibi"&amp;"sta:**
* **Ang Saligang Batas:** Ginagarantiyahan ng Konstitusyon ng Pilipinas ang mga pangunahing karapatan tulad ng kalayaan sa pagsasalita, pagpupulong, at pagsasamahan. Ang mga kalayaang ito ay mahalaga para sa aktibismo.
* **Mga Tukoy na Batas:** Nag"&amp;"-aalok ang ilang batas ng ilang proteksyon:
* Writ of Amparo (Protection Order): Maaaring magpetisyon ang mga aktibista sa Korte Suprema para sa isang writ of amparo upang maiwasan ang mga pagbabanta, panliligalig, o karahasan.
* Anti-Enforced or Involunt"&amp;"ary Disappearance Act (2012): Isinakriminal ng batas na ito ang mga sapilitang pagkawala, isang taktika na ginagamit laban sa ilang aktibista.
**Mga Hamon at Alalahanin:**
* **Limitadong Saklaw:** Ang mga batas tulad ng Writ of Amparo ay maaaring maging i"&amp;"sang napakahabang proseso at maaaring hindi palaging magagamit. * **Red-Tagging:** Ang pagsasagawa ng maling pag-label sa mga aktibista bilang mga rebeldeng komunista (""red-tagging"") ay maaaring mag-udyok ng karahasan at maging bulnerable sa kanila. Hin"&amp;"di epektibong natugunan ng gobyerno ang isyung ito.
* **Anti-Terrorism Act (2020):** Ang batas na ito ay binatikos dahil sa malawak na kahulugan nito ng terorismo, na maaaring gamitin upang patahimikin ang hindi pagsang-ayon at target ang mga aktibista. *"&amp;" **Mahinang Pagpapatupad:** Ang pagsisiyasat at pag-uusig ng mga krimen laban sa mga aktibista ay maaaring maging mabagal at hindi epektibo. Maaaring mag-atubili ang mga awtoridad na ituloy ang mga kaso laban sa mga makapangyarihang indibidwal o grupo.
**"&amp;"Ang Resulta:**
* **Kawalan ng parusa:** Ang mga aktibista sa Pilipinas ay madalas na nahaharap sa mga pagbabanta, panliligalig, at kahit na karahasan na may kaunting legal na paraan. Lumilikha ito ng isang klima ng takot at pinipigilan ang aktibismo.
**An"&amp;"o ang maaaring gawin?**
* **Pagpapalakas ng mga umiiral na batas:** Maaaring maging mas malinaw ang batas sa pagtukoy at pagprotekta sa mga karapatan ng aktibista.
* **Epektibong Pagpapatupad:** Ang pagpapatupad ng batas at ang sistema ng hustisya ay kail"&amp;"angang epektibong mag-imbestiga at mag-usig ng mga krimen laban sa mga aktibista.
* **Pagtugon sa Red-Tagging:** Ang pamahalaan ay dapat magkaroon ng isang malakas na paninindigan laban sa red-tagging at panagutin ang mga responsable. **Sa pangkalahatan, "&amp;"ang Pilipinas ay may ilang batas sa mga aklat para protektahan ang mga aktibista, ngunit nananatili ang malalaking hamon sa epektibong pagpapatupad ng mga ito at paglikha ng ligtas na espasyo para sa aktibismo.**")</f>
        <v>Ang mga legal na proteksyon para sa mga aktibista sa Pilipinas mula sa mga pagbabanta, panliligalig, at karahasan ay isang kumplikadong isyu na may ilang makabuluhang pagkukulang. Narito ang isang breakdown:
**Mga Batas na Dapat Protektahan ang mga Aktibista:**
* **Ang Saligang Batas:** Ginagarantiyahan ng Konstitusyon ng Pilipinas ang mga pangunahing karapatan tulad ng kalayaan sa pagsasalita, pagpupulong, at pagsasamahan. Ang mga kalayaang ito ay mahalaga para sa aktibismo.
* **Mga Tukoy na Batas:** Nag-aalok ang ilang batas ng ilang proteksyon:
* Writ of Amparo (Protection Order): Maaaring magpetisyon ang mga aktibista sa Korte Suprema para sa isang writ of amparo upang maiwasan ang mga pagbabanta, panliligalig, o karahasan.
* Anti-Enforced or Involuntary Disappearance Act (2012): Isinakriminal ng batas na ito ang mga sapilitang pagkawala, isang taktika na ginagamit laban sa ilang aktibista.
**Mga Hamon at Alalahanin:**
* **Limitadong Saklaw:** Ang mga batas tulad ng Writ of Amparo ay maaaring maging isang napakahabang proseso at maaaring hindi palaging magagamit. * **Red-Tagging:** Ang pagsasagawa ng maling pag-label sa mga aktibista bilang mga rebeldeng komunista ("red-tagging") ay maaaring mag-udyok ng karahasan at maging bulnerable sa kanila. Hindi epektibong natugunan ng gobyerno ang isyung ito.
* **Anti-Terrorism Act (2020):** Ang batas na ito ay binatikos dahil sa malawak na kahulugan nito ng terorismo, na maaaring gamitin upang patahimikin ang hindi pagsang-ayon at target ang mga aktibista. * **Mahinang Pagpapatupad:** Ang pagsisiyasat at pag-uusig ng mga krimen laban sa mga aktibista ay maaaring maging mabagal at hindi epektibo. Maaaring mag-atubili ang mga awtoridad na ituloy ang mga kaso laban sa mga makapangyarihang indibidwal o grupo.
**Ang Resulta:**
* **Kawalan ng parusa:** Ang mga aktibista sa Pilipinas ay madalas na nahaharap sa mga pagbabanta, panliligalig, at kahit na karahasan na may kaunting legal na paraan. Lumilikha ito ng isang klima ng takot at pinipigilan ang aktibismo.
**Ano ang maaaring gawin?**
* **Pagpapalakas ng mga umiiral na batas:** Maaaring maging mas malinaw ang batas sa pagtukoy at pagprotekta sa mga karapatan ng aktibista.
* **Epektibong Pagpapatupad:** Ang pagpapatupad ng batas at ang sistema ng hustisya ay kailangang epektibong mag-imbestiga at mag-usig ng mga krimen laban sa mga aktibista.
* **Pagtugon sa Red-Tagging:** Ang pamahalaan ay dapat magkaroon ng isang malakas na paninindigan laban sa red-tagging at panagutin ang mga responsable. **Sa pangkalahatan, ang Pilipinas ay may ilang batas sa mga aklat para protektahan ang mga aktibista, ngunit nananatili ang malalaking hamon sa epektibong pagpapatupad ng mga ito at paglikha ng ligtas na espasyo para sa aktibismo.**</v>
      </c>
      <c r="F2405" s="2">
        <f t="shared" si="1"/>
        <v>0</v>
      </c>
      <c r="G2405" s="2"/>
      <c r="H2405" s="2"/>
      <c r="I2405" s="2"/>
      <c r="J2405" s="2"/>
      <c r="K2405" s="2"/>
      <c r="L2405" s="2"/>
      <c r="M2405" s="2"/>
      <c r="N2405" s="2"/>
      <c r="O2405" s="2"/>
      <c r="P2405" s="2"/>
      <c r="Q2405" s="2"/>
      <c r="R2405" s="2"/>
      <c r="S2405" s="2"/>
      <c r="T2405" s="2"/>
      <c r="U2405" s="2"/>
      <c r="V2405" s="2"/>
      <c r="W2405" s="2"/>
      <c r="X2405" s="2"/>
      <c r="Y2405" s="2"/>
      <c r="Z2405" s="2"/>
      <c r="AA2405" s="2"/>
    </row>
    <row r="2406">
      <c r="A2406" s="3" t="s">
        <v>5693</v>
      </c>
      <c r="B2406" s="1" t="s">
        <v>5778</v>
      </c>
      <c r="C2406" s="3" t="s">
        <v>5779</v>
      </c>
      <c r="D2406" s="2" t="str">
        <f>IFERROR(__xludf.DUMMYFUNCTION("GOOGLETRANSLATE(B2406, ""en"", ""TL"")"),"Anong mga parusa ang naaangkop para sa mga krimen tulad ng pananakot o pamimilit laban sa mga politiko o aktibista?")</f>
        <v>Anong mga parusa ang naaangkop para sa mga krimen tulad ng pananakot o pamimilit laban sa mga politiko o aktibista?</v>
      </c>
      <c r="E2406" s="2" t="str">
        <f>IFERROR(__xludf.DUMMYFUNCTION("GOOGLETRANSLATE(C2406, ""en"", ""TL"")"),"Ang mga parusa para sa pananakot o pamimilit laban sa mga politiko at aktibista sa Pilipinas ay nakadepende sa partikular na batas at sa batas na ginamit upang usigin ang krimen. Narito ang isang breakdown:
**Mga Pangkalahatang Batas:**
* **Binago ang Kod"&amp;"igo Penal (RPC):**
* **Mga Banta (Artikulo 148):** Ang mga parusa ay mula sa arresto menor (1-30 araw) hanggang reclusion temporal na minimum (6 na buwan at 1 araw hanggang 4 na taon at 2 buwan) depende sa bigat ng banta.
* **Pagpipilit (Artikulo 149):** "&amp;"Katulad na mga parusa sa mga pagbabanta, na may mga karagdagang pagsasaalang-alang para sa mga partikular na paraan ng pamimilit na ginamit.
**Mga Espesyal na Batas:**
* **Anti-Murder Law (Republic Act No. 7659):** Para sa mga pagbabanta o pananakot na hu"&amp;"mahantong sa pagpatay sa isang politiko, ang mga parusa ay mas mabigat, na posibleng kabilang ang habambuhay na pagkakakulong.
**Mga Hamon sa Pagtukoy ng mga Parusa:**
* **Layunin:** Maaaring mahirap patunayan ang layuning takutin o pilitin. * **Kalubhaan"&amp;":** Ang partikular na parusa ay depende sa tindi ng pananakot o pamimilit. Ang isang nakatagong banta ay maaaring makatanggap ng mas magaan na sentensiya kaysa sa isang marahas.
**Mga Karagdagang Pagsasaalang-alang:**
* **Proteksyon ng Saksi:** Kung ang i"&amp;"sang aktibista ay lumalapit bilang saksi sa pananakot laban sa isang politiko, maaari silang maging karapat-dapat para sa proteksyon sa ilalim ng Witness Protection Program (Republic Act No. 6984).
**Mahalagang tandaan na ang mga ito ay mga potensyal na p"&amp;"arusa lamang na nakabalangkas sa batas.** Ang aktwal na sentensiya na ipinataw ng korte ay maaaring mag-iba depende sa mga pangyayari ng kaso at sa pagpapasya ng hukom.
**Narito ang ilang mapagkukunan para sa karagdagang impormasyon:**
* Ang Binagong Kodi"&amp;"go Penal ng Pilipinas: [https://chanrobles.com/revisedpenalcodeofthephilippines.htm](https://chanrobles.com/revisedpenalcodeofthephilippines.htm)
* Republic Act No. 7659 (Anti-Murder Law): [https://lawlibrary.chanrobles.com/](https://lawlibrary.chanrobles"&amp;".com/)
* Republic Act No. 6984 (Witness Protection Program): [https://lawlibrary.chanrobles.com/](https://lawlibrary.chanrobles.com/)")</f>
        <v>Ang mga parusa para sa pananakot o pamimilit laban sa mga politiko at aktibista sa Pilipinas ay nakadepende sa partikular na batas at sa batas na ginamit upang usigin ang krimen. Narito ang isang breakdown:
**Mga Pangkalahatang Batas:**
* **Binago ang Kodigo Penal (RPC):**
* **Mga Banta (Artikulo 148):** Ang mga parusa ay mula sa arresto menor (1-30 araw) hanggang reclusion temporal na minimum (6 na buwan at 1 araw hanggang 4 na taon at 2 buwan) depende sa bigat ng banta.
* **Pagpipilit (Artikulo 149):** Katulad na mga parusa sa mga pagbabanta, na may mga karagdagang pagsasaalang-alang para sa mga partikular na paraan ng pamimilit na ginamit.
**Mga Espesyal na Batas:**
* **Anti-Murder Law (Republic Act No. 7659):** Para sa mga pagbabanta o pananakot na humahantong sa pagpatay sa isang politiko, ang mga parusa ay mas mabigat, na posibleng kabilang ang habambuhay na pagkakakulong.
**Mga Hamon sa Pagtukoy ng mga Parusa:**
* **Layunin:** Maaaring mahirap patunayan ang layuning takutin o pilitin. * **Kalubhaan:** Ang partikular na parusa ay depende sa tindi ng pananakot o pamimilit. Ang isang nakatagong banta ay maaaring makatanggap ng mas magaan na sentensiya kaysa sa isang marahas.
**Mga Karagdagang Pagsasaalang-alang:**
* **Proteksyon ng Saksi:** Kung ang isang aktibista ay lumalapit bilang saksi sa pananakot laban sa isang politiko, maaari silang maging karapat-dapat para sa proteksyon sa ilalim ng Witness Protection Program (Republic Act No. 6984).
**Mahalagang tandaan na ang mga ito ay mga potensyal na parusa lamang na nakabalangkas sa batas.** Ang aktwal na sentensiya na ipinataw ng korte ay maaaring mag-iba depende sa mga pangyayari ng kaso at sa pagpapasya ng hukom.
**Narito ang ilang mapagkukunan para sa karagdagang impormasyon:**
* Ang Binagong Kodigo Penal ng Pilipinas: [https://chanrobles.com/revisedpenalcodeofthephilippines.htm](https://chanrobles.com/revisedpenalcodeofthephilippines.htm)
* Republic Act No. 7659 (Anti-Murder Law): [https://lawlibrary.chanrobles.com/](https://lawlibrary.chanrobles.com/)
* Republic Act No. 6984 (Witness Protection Program): [https://lawlibrary.chanrobles.com/](https://lawlibrary.chanrobles.com/)</v>
      </c>
      <c r="F2406" s="2">
        <f t="shared" si="1"/>
        <v>0</v>
      </c>
      <c r="G2406" s="2"/>
      <c r="H2406" s="2"/>
      <c r="I2406" s="2"/>
      <c r="J2406" s="2"/>
      <c r="K2406" s="2"/>
      <c r="L2406" s="2"/>
      <c r="M2406" s="2"/>
      <c r="N2406" s="2"/>
      <c r="O2406" s="2"/>
      <c r="P2406" s="2"/>
      <c r="Q2406" s="2"/>
      <c r="R2406" s="2"/>
      <c r="S2406" s="2"/>
      <c r="T2406" s="2"/>
      <c r="U2406" s="2"/>
      <c r="V2406" s="2"/>
      <c r="W2406" s="2"/>
      <c r="X2406" s="2"/>
      <c r="Y2406" s="2"/>
      <c r="Z2406" s="2"/>
      <c r="AA2406" s="2"/>
    </row>
    <row r="2407">
      <c r="A2407" s="3" t="s">
        <v>5693</v>
      </c>
      <c r="B2407" s="1" t="s">
        <v>5780</v>
      </c>
      <c r="C2407" s="3" t="s">
        <v>5781</v>
      </c>
      <c r="D2407" s="2" t="str">
        <f>IFERROR(__xludf.DUMMYFUNCTION("GOOGLETRANSLATE(B2407, ""en"", ""TL"")"),"Paano kinokontrol at pinaparusahan ang mga pagkakasala tulad ng cyberattacks na nagta-target sa mga entidad sa pulitika?")</f>
        <v>Paano kinokontrol at pinaparusahan ang mga pagkakasala tulad ng cyberattacks na nagta-target sa mga entidad sa pulitika?</v>
      </c>
      <c r="E2407" s="2" t="str">
        <f>IFERROR(__xludf.DUMMYFUNCTION("GOOGLETRANSLATE(C2407, ""en"", ""TL"")"),"Ang Pilipinas ay may isang kumplikadong legal na tanawin pagdating sa pagsasaayos at pagpaparusa sa mga cyberattack na nagta-target sa mga pulitikal na entidad. May mga umiiral nang batas na tumatalakay sa isyu, ngunit nananatili ang ilang puwang at hamon"&amp;". Narito ang isang breakdown:
**Mga Kaugnay na Batas:**
* **Revised Penal Code (RPC):** Maaaring naaangkop ang ilang probisyon depende sa uri ng cyberattack. Halimbawa:
* **Espionage (Artikulo 82):** Kung ang cyberattack ay naglalayong magnakaw ng classif"&amp;"ied na impormasyon.
* **Palsipikasyon ng Mga Pampublikong Dokumento (Artikulo 171):** Kung binago o manipulahin ng pag-atake ang opisyal na data.
* **Electronic Commerce Act (Republic Act No. 8792):** Ipinagbabawal ng batas na ito ang mga cybercrime tulad"&amp;" ng data breaches at ilegal na pag-access sa mga computer system. Gayunpaman, maaaring hindi gaanong malinaw ang aplikasyon nito sa mga pag-atake na may motibo sa pulitika.
* **Cybersecurity Act of 2012 (Republic Act No. 10175):** Nakatuon ang batas na it"&amp;"o sa pagtatatag ng pambansang balangkas ng cybersecurity at sistema ng pagtugon sa insidente. Bagama't hindi direktang tinutugunan ang parusa, nilalayon nitong mapabuti ang pagtuklas at pag-iwas sa mga cyberattacks. **Mga Hamon:**
* **Attribution:** Ang p"&amp;"agtukoy sa salarin sa likod ng isang cyberattack ay maaaring maging mahirap, lalo na kung sila ay gumagana mula sa labas ng Pilipinas. * **Nagbabagong Banta:** Ang mga paraan ng Cyberattack ay patuloy na nagbabago, at maaaring hindi ganap na makuha ng mga"&amp;" kasalukuyang batas ang mga bagong taktika.
* **International Cooperation:** Ang epektibong pag-uusig sa mga cybercrime ay kadalasang nangangailangan ng internasyonal na kooperasyon upang masubaybayan ang mga umaatake at magpatupad ng mga parusa.
**Ano an"&amp;"g Ginagawa:**
* Nagsusumikap ang gobyerno ng Pilipinas na palakasin ang imprastraktura nito sa cybersecurity at nakikipagtulungan sa mga internasyonal na kasosyo upang matugunan ang cybercrime.
* Ang bagong batas na partikular na nagta-target ng mga cyber"&amp;"attack laban sa mga pampulitikang entity ay isang posibilidad, ngunit wala pang konkretong plano ang inihayag.
**Sa pangkalahatan, ang Pilipinas ay gumagawa ng mga hakbang upang matugunan ang mga cyberattack, ngunit may puwang para sa pagpapabuti. Ang mas"&amp;" malinaw na batas, mas mahusay na paraan ng pagpapatungkol, at pinahusay na internasyonal na kooperasyon ay mahalaga para epektibong mapigilan at maparusahan ang mga krimeng ito.**")</f>
        <v>Ang Pilipinas ay may isang kumplikadong legal na tanawin pagdating sa pagsasaayos at pagpaparusa sa mga cyberattack na nagta-target sa mga pulitikal na entidad. May mga umiiral nang batas na tumatalakay sa isyu, ngunit nananatili ang ilang puwang at hamon. Narito ang isang breakdown:
**Mga Kaugnay na Batas:**
* **Revised Penal Code (RPC):** Maaaring naaangkop ang ilang probisyon depende sa uri ng cyberattack. Halimbawa:
* **Espionage (Artikulo 82):** Kung ang cyberattack ay naglalayong magnakaw ng classified na impormasyon.
* **Palsipikasyon ng Mga Pampublikong Dokumento (Artikulo 171):** Kung binago o manipulahin ng pag-atake ang opisyal na data.
* **Electronic Commerce Act (Republic Act No. 8792):** Ipinagbabawal ng batas na ito ang mga cybercrime tulad ng data breaches at ilegal na pag-access sa mga computer system. Gayunpaman, maaaring hindi gaanong malinaw ang aplikasyon nito sa mga pag-atake na may motibo sa pulitika.
* **Cybersecurity Act of 2012 (Republic Act No. 10175):** Nakatuon ang batas na ito sa pagtatatag ng pambansang balangkas ng cybersecurity at sistema ng pagtugon sa insidente. Bagama't hindi direktang tinutugunan ang parusa, nilalayon nitong mapabuti ang pagtuklas at pag-iwas sa mga cyberattacks. **Mga Hamon:**
* **Attribution:** Ang pagtukoy sa salarin sa likod ng isang cyberattack ay maaaring maging mahirap, lalo na kung sila ay gumagana mula sa labas ng Pilipinas. * **Nagbabagong Banta:** Ang mga paraan ng Cyberattack ay patuloy na nagbabago, at maaaring hindi ganap na makuha ng mga kasalukuyang batas ang mga bagong taktika.
* **International Cooperation:** Ang epektibong pag-uusig sa mga cybercrime ay kadalasang nangangailangan ng internasyonal na kooperasyon upang masubaybayan ang mga umaatake at magpatupad ng mga parusa.
**Ano ang Ginagawa:**
* Nagsusumikap ang gobyerno ng Pilipinas na palakasin ang imprastraktura nito sa cybersecurity at nakikipagtulungan sa mga internasyonal na kasosyo upang matugunan ang cybercrime.
* Ang bagong batas na partikular na nagta-target ng mga cyberattack laban sa mga pampulitikang entity ay isang posibilidad, ngunit wala pang konkretong plano ang inihayag.
**Sa pangkalahatan, ang Pilipinas ay gumagawa ng mga hakbang upang matugunan ang mga cyberattack, ngunit may puwang para sa pagpapabuti. Ang mas malinaw na batas, mas mahusay na paraan ng pagpapatungkol, at pinahusay na internasyonal na kooperasyon ay mahalaga para epektibong mapigilan at maparusahan ang mga krimeng ito.**</v>
      </c>
      <c r="F2407" s="2">
        <f t="shared" si="1"/>
        <v>0</v>
      </c>
      <c r="G2407" s="2"/>
      <c r="H2407" s="2"/>
      <c r="I2407" s="2"/>
      <c r="J2407" s="2"/>
      <c r="K2407" s="2"/>
      <c r="L2407" s="2"/>
      <c r="M2407" s="2"/>
      <c r="N2407" s="2"/>
      <c r="O2407" s="2"/>
      <c r="P2407" s="2"/>
      <c r="Q2407" s="2"/>
      <c r="R2407" s="2"/>
      <c r="S2407" s="2"/>
      <c r="T2407" s="2"/>
      <c r="U2407" s="2"/>
      <c r="V2407" s="2"/>
      <c r="W2407" s="2"/>
      <c r="X2407" s="2"/>
      <c r="Y2407" s="2"/>
      <c r="Z2407" s="2"/>
      <c r="AA2407" s="2"/>
    </row>
    <row r="2408">
      <c r="A2408" s="3" t="s">
        <v>5693</v>
      </c>
      <c r="B2408" s="1" t="s">
        <v>5782</v>
      </c>
      <c r="C2408" s="3" t="s">
        <v>5783</v>
      </c>
      <c r="D2408" s="2" t="str">
        <f>IFERROR(__xludf.DUMMYFUNCTION("GOOGLETRANSLATE(B2408, ""en"", ""TL"")"),"Anong mga legal na aksyon ang maaaring gawin laban sa mga indibidwal na nakikibahagi sa mga kampanya ng disinformation upang maimpluwensyahan ang mga halalan?")</f>
        <v>Anong mga legal na aksyon ang maaaring gawin laban sa mga indibidwal na nakikibahagi sa mga kampanya ng disinformation upang maimpluwensyahan ang mga halalan?</v>
      </c>
      <c r="E2408" s="2" t="str">
        <f>IFERROR(__xludf.DUMMYFUNCTION("GOOGLETRANSLATE(C2408, ""en"", ""TL"")"),"Ang mga indibidwal na nakikibahagi sa mga kampanya ng disinformation upang maimpluwensyahan ang mga halalan sa Pilipinas ay maaaring humarap sa iba't ibang legal na aksyon upang matugunan ang kanilang mga aktibidad. Narito ang ilan sa mga legal na hakbang"&amp;" na maaaring gawin:
1. Cybercrime Prevention Act of 2012 (RA 10175): Ang Cybercrime Prevention Act ay ginagawang kriminal ang iba't ibang anyo ng cybercrimes, kabilang ang cyber libel, online na panliligalig, at pagpapakalat ng maling impormasyon. Ang "&amp;"mga indibidwal na nakikibahagi sa mga kampanya ng disinformation sa pamamagitan ng mga elektronikong paraan ay maaaring managot sa ilalim ng batas na ito. Maaaring magsampa ng mga reklamo sa Cybercrime Investigation and Coordinating Center (CICC) o sa Phi"&amp;"lippine National Police-Cybercrime Group (PNP-CCG) para sa imbestigasyon at pag-uusig.
2. Mga Batas sa Halalan: Ang mga kampanya ng disinformation ay maaaring lumabag sa mga batas sa halalan, tulad ng mga nagbabawal sa mga gawa ng disinformation, pagmu"&amp;"dsling, at pagkalat ng maling impormasyon upang linlangin ang mga botante. Ang Commission on Elections (COMELEC) ay may awtoridad na imbestigahan ang mga paglabag sa halalan at usigin ang mga indibidwal na nakikibahagi sa mga kampanya ng disinformation sa"&amp;" panahon ng halalan.
3. Mga Batas sa Paninirang-puri: Ang mga maling pahayag at mapanirang-puri na ginawa sa layuning makapinsala sa reputasyon ng mga indibidwal o grupo ay maaaring bumuo ng paninirang-puri, na isang sibil na pagkakasala sa ilalim ng b"&amp;"atas ng Pilipinas. Ang mga indibidwal na apektado ng mga kampanya ng disinformation ay maaaring magsampa ng mga sibil na reklamo para sa mga pinsala laban sa mga indibidwal o entity na responsable sa pagkalat ng maling impormasyon.
4. Regulasyon ng Med"&amp;"ia: Kung ang mga kampanya ng disinformation ay ipinakalat sa pamamagitan ng tradisyonal na mga channel ng media, tulad ng mga pahayagan, telebisyon, o radyo, ang mga regulatory body gaya ng Philippine Press Council o Movie and Television Review and Classi"&amp;"fication Board (MTRCB) ay maaaring gumawa ng aksyon laban sa mga paglabag sa etika at pamantayan ng media.
5. Commission on Human Rights (CHR): Ang Commission on Human Rights ay may awtoridad na mag-imbestiga sa mga paglabag sa karapatang pantao, kabil"&amp;"ang ang mga kampanyang disinformation na nilayon upang manipulahin ang opinyon ng publiko o pahinain ang mga demokratikong proseso. Ang mga reklamo ay maaaring isumite sa CHR para sa imbestigasyon at interbensyon.
Sa pangkalahatan, ang pagtugon sa mga "&amp;"kampanya ng disinformation upang maimpluwensyahan ang mga halalan ay nangangailangan ng isang multi-faceted na diskarte na kinasasangkutan ng mga legal na remedyo, mga hakbang sa regulasyon, at mga kampanya sa kamalayan ng publiko upang itaguyod ang katot"&amp;"ohanan, transparency, at pananagutan sa proseso ng elektoral.")</f>
        <v>Ang mga indibidwal na nakikibahagi sa mga kampanya ng disinformation upang maimpluwensyahan ang mga halalan sa Pilipinas ay maaaring humarap sa iba't ibang legal na aksyon upang matugunan ang kanilang mga aktibidad. Narito ang ilan sa mga legal na hakbang na maaaring gawin:
1. Cybercrime Prevention Act of 2012 (RA 10175): Ang Cybercrime Prevention Act ay ginagawang kriminal ang iba't ibang anyo ng cybercrimes, kabilang ang cyber libel, online na panliligalig, at pagpapakalat ng maling impormasyon. Ang mga indibidwal na nakikibahagi sa mga kampanya ng disinformation sa pamamagitan ng mga elektronikong paraan ay maaaring managot sa ilalim ng batas na ito. Maaaring magsampa ng mga reklamo sa Cybercrime Investigation and Coordinating Center (CICC) o sa Philippine National Police-Cybercrime Group (PNP-CCG) para sa imbestigasyon at pag-uusig.
2. Mga Batas sa Halalan: Ang mga kampanya ng disinformation ay maaaring lumabag sa mga batas sa halalan, tulad ng mga nagbabawal sa mga gawa ng disinformation, pagmudsling, at pagkalat ng maling impormasyon upang linlangin ang mga botante. Ang Commission on Elections (COMELEC) ay may awtoridad na imbestigahan ang mga paglabag sa halalan at usigin ang mga indibidwal na nakikibahagi sa mga kampanya ng disinformation sa panahon ng halalan.
3. Mga Batas sa Paninirang-puri: Ang mga maling pahayag at mapanirang-puri na ginawa sa layuning makapinsala sa reputasyon ng mga indibidwal o grupo ay maaaring bumuo ng paninirang-puri, na isang sibil na pagkakasala sa ilalim ng batas ng Pilipinas. Ang mga indibidwal na apektado ng mga kampanya ng disinformation ay maaaring magsampa ng mga sibil na reklamo para sa mga pinsala laban sa mga indibidwal o entity na responsable sa pagkalat ng maling impormasyon.
4. Regulasyon ng Media: Kung ang mga kampanya ng disinformation ay ipinakalat sa pamamagitan ng tradisyonal na mga channel ng media, tulad ng mga pahayagan, telebisyon, o radyo, ang mga regulatory body gaya ng Philippine Press Council o Movie and Television Review and Classification Board (MTRCB) ay maaaring gumawa ng aksyon laban sa mga paglabag sa etika at pamantayan ng media.
5. Commission on Human Rights (CHR): Ang Commission on Human Rights ay may awtoridad na mag-imbestiga sa mga paglabag sa karapatang pantao, kabilang ang mga kampanyang disinformation na nilayon upang manipulahin ang opinyon ng publiko o pahinain ang mga demokratikong proseso. Ang mga reklamo ay maaaring isumite sa CHR para sa imbestigasyon at interbensyon.
Sa pangkalahatan, ang pagtugon sa mga kampanya ng disinformation upang maimpluwensyahan ang mga halalan ay nangangailangan ng isang multi-faceted na diskarte na kinasasangkutan ng mga legal na remedyo, mga hakbang sa regulasyon, at mga kampanya sa kamalayan ng publiko upang itaguyod ang katotohanan, transparency, at pananagutan sa proseso ng elektoral.</v>
      </c>
      <c r="F2408" s="2">
        <f t="shared" si="1"/>
        <v>0</v>
      </c>
      <c r="G2408" s="2"/>
      <c r="H2408" s="2"/>
      <c r="I2408" s="2"/>
      <c r="J2408" s="2"/>
      <c r="K2408" s="2"/>
      <c r="L2408" s="2"/>
      <c r="M2408" s="2"/>
      <c r="N2408" s="2"/>
      <c r="O2408" s="2"/>
      <c r="P2408" s="2"/>
      <c r="Q2408" s="2"/>
      <c r="R2408" s="2"/>
      <c r="S2408" s="2"/>
      <c r="T2408" s="2"/>
      <c r="U2408" s="2"/>
      <c r="V2408" s="2"/>
      <c r="W2408" s="2"/>
      <c r="X2408" s="2"/>
      <c r="Y2408" s="2"/>
      <c r="Z2408" s="2"/>
      <c r="AA2408" s="2"/>
    </row>
    <row r="2409">
      <c r="A2409" s="3" t="s">
        <v>5693</v>
      </c>
      <c r="B2409" s="1" t="s">
        <v>5784</v>
      </c>
      <c r="C2409" s="3" t="s">
        <v>5785</v>
      </c>
      <c r="D2409" s="2" t="str">
        <f>IFERROR(__xludf.DUMMYFUNCTION("GOOGLETRANSLATE(B2409, ""en"", ""TL"")"),"Paano tinutugunan ng batas ng Pilipinas ang mga krimen ng karahasan na ginawa laban sa mga aktibista sa panahon ng mga protesta o demonstrasyon?")</f>
        <v>Paano tinutugunan ng batas ng Pilipinas ang mga krimen ng karahasan na ginawa laban sa mga aktibista sa panahon ng mga protesta o demonstrasyon?</v>
      </c>
      <c r="E2409" s="2" t="str">
        <f>IFERROR(__xludf.DUMMYFUNCTION("GOOGLETRANSLATE(C2409, ""en"", ""TL"")"),"Ang batas ng Pilipinas ay may mga probisyon na dapat magprotekta sa mga aktibista mula sa karahasan sa panahon ng mga protesta, ngunit mayroon ding mga alalahanin tungkol sa pagpapatupad at mga butas. Narito ang isang breakdown:
**Mga batas na nagpoprotek"&amp;"ta sa mga aktibista:**
* **Saligang Batas:** Ginagarantiyahan ng Konstitusyon ng Pilipinas ang kalayaan sa pagsasalita, pagpupulong, at petisyon (Artikulo III).
* **Human Security Act:** Ang batas na ito (Republic Act No. 11705) ay nagsakriminal ng mga ga"&amp;"wa ng karahasan at pananakot laban sa mga indibidwal na gumagamit ng kanilang mga karapatang pantao, kabilang ang mga lumalahok sa mga protesta.
**Mga Hamon at Alalahanin:**
* **Pagpapatupad:** Ang mga pangkat ng karapatang pantao ay nagdokumento ng mga k"&amp;"aso kung saan ang mga aktibista ay nasugatan o napatay sa panahon ng mga protesta, na ang mga pagsisiyasat at pag-uusig ay mabagal o wala. * **Paglalagay ng label bilang ""mga terorista"":** May mga pagkakataon kung saan ang mga aktibista ay na-red-tag o "&amp;"binansagan bilang mga terorista, na ginagawang bulnerable sa karahasan.
* **Anti-Terror Law:** Bagama't nilayon upang labanan ang terorismo, ang ilang mga kritiko ay nangangatwiran na ang Anti-Terrorism Act of 2020 (Republic Act No. 11479) ay may malabong"&amp;" kahulugan ng terorismo na maaaring gamitin upang i-target ang mga aktibista.
**Kabuuan:**
Ang batas ng Pilipinas ay may mga balangkas upang protektahan ang mga aktibista, ngunit may mga alalahanin tungkol sa pagpapatupad at mga butas na maaaring pagsasam"&amp;"antalahan. Narito ang ilang mga mapagkukunan para sa karagdagang pagbabasa:
* **Handbook of Public Pedagogy: Education and Learning Beyond Schooling Tinatalakay ang kalayaan sa pagpupulong: books.google.com.ph
* **Konstitusyon ng Pilipinas Artikulo III sa"&amp;" Kalayaan sa Pananalita: officialgazette.gov.ph")</f>
        <v>Ang batas ng Pilipinas ay may mga probisyon na dapat magprotekta sa mga aktibista mula sa karahasan sa panahon ng mga protesta, ngunit mayroon ding mga alalahanin tungkol sa pagpapatupad at mga butas. Narito ang isang breakdown:
**Mga batas na nagpoprotekta sa mga aktibista:**
* **Saligang Batas:** Ginagarantiyahan ng Konstitusyon ng Pilipinas ang kalayaan sa pagsasalita, pagpupulong, at petisyon (Artikulo III).
* **Human Security Act:** Ang batas na ito (Republic Act No. 11705) ay nagsakriminal ng mga gawa ng karahasan at pananakot laban sa mga indibidwal na gumagamit ng kanilang mga karapatang pantao, kabilang ang mga lumalahok sa mga protesta.
**Mga Hamon at Alalahanin:**
* **Pagpapatupad:** Ang mga pangkat ng karapatang pantao ay nagdokumento ng mga kaso kung saan ang mga aktibista ay nasugatan o napatay sa panahon ng mga protesta, na ang mga pagsisiyasat at pag-uusig ay mabagal o wala. * **Paglalagay ng label bilang "mga terorista":** May mga pagkakataon kung saan ang mga aktibista ay na-red-tag o binansagan bilang mga terorista, na ginagawang bulnerable sa karahasan.
* **Anti-Terror Law:** Bagama't nilayon upang labanan ang terorismo, ang ilang mga kritiko ay nangangatwiran na ang Anti-Terrorism Act of 2020 (Republic Act No. 11479) ay may malabong kahulugan ng terorismo na maaaring gamitin upang i-target ang mga aktibista.
**Kabuuan:**
Ang batas ng Pilipinas ay may mga balangkas upang protektahan ang mga aktibista, ngunit may mga alalahanin tungkol sa pagpapatupad at mga butas na maaaring pagsasamantalahan. Narito ang ilang mga mapagkukunan para sa karagdagang pagbabasa:
* **Handbook of Public Pedagogy: Education and Learning Beyond Schooling Tinatalakay ang kalayaan sa pagpupulong: books.google.com.ph
* **Konstitusyon ng Pilipinas Artikulo III sa Kalayaan sa Pananalita: officialgazette.gov.ph</v>
      </c>
      <c r="F2409" s="2">
        <f t="shared" si="1"/>
        <v>0</v>
      </c>
      <c r="G2409" s="2"/>
      <c r="H2409" s="2"/>
      <c r="I2409" s="2"/>
      <c r="J2409" s="2"/>
      <c r="K2409" s="2"/>
      <c r="L2409" s="2"/>
      <c r="M2409" s="2"/>
      <c r="N2409" s="2"/>
      <c r="O2409" s="2"/>
      <c r="P2409" s="2"/>
      <c r="Q2409" s="2"/>
      <c r="R2409" s="2"/>
      <c r="S2409" s="2"/>
      <c r="T2409" s="2"/>
      <c r="U2409" s="2"/>
      <c r="V2409" s="2"/>
      <c r="W2409" s="2"/>
      <c r="X2409" s="2"/>
      <c r="Y2409" s="2"/>
      <c r="Z2409" s="2"/>
      <c r="AA2409" s="2"/>
    </row>
    <row r="2410">
      <c r="A2410" s="3" t="s">
        <v>5693</v>
      </c>
      <c r="B2410" s="1" t="s">
        <v>5786</v>
      </c>
      <c r="C2410" s="3" t="s">
        <v>5787</v>
      </c>
      <c r="D2410" s="2" t="str">
        <f>IFERROR(__xludf.DUMMYFUNCTION("GOOGLETRANSLATE(B2410, ""en"", ""TL"")"),"Anong mga hakbang ang inilalagay upang maiwasan at matugunan ang mga krimen na nauugnay sa pulitika at aktibista na isinasagawa ng mga aktor ng estado?")</f>
        <v>Anong mga hakbang ang inilalagay upang maiwasan at matugunan ang mga krimen na nauugnay sa pulitika at aktibista na isinasagawa ng mga aktor ng estado?</v>
      </c>
      <c r="E2410" s="2" t="str">
        <f>IFERROR(__xludf.DUMMYFUNCTION("GOOGLETRANSLATE(C2410, ""en"", ""TL"")"),"Ang pagpigil at pagtugon sa mga krimen na pinapahintulutan ng estado laban sa mga aktor at aktibista sa pulitika ay isang masalimuot na hamon. Narito ang isang breakdown ng ilang kasalukuyang mga hakbang:
**Mga Panukala sa Bahay:**
* **Mga Legal na Framew"&amp;"ork:** Sa isip, umiiral ang mga matibay na batas sa loob ng bansa na tumutukoy sa mga krimeng ito at nagbibigay ng mga paraan para sa pag-uusig. Kabilang dito ang Human Security Act sa Pilipinas bilang isang halimbawa. * **Independent Judiciary:** Ang isa"&amp;"ng tunay na independiyenteng hudikatura, malaya sa impluwensyang pampulitika, ay mahalaga para sa pananagutan ng mga aktor ng estado. * **National Human Rights Institutions (NHRIs):** Ang mga independyenteng katawan na ito ay maaaring mag-imbestiga ng mga"&amp;" paratang ng pang-aabuso at gumawa ng mga rekomendasyon para sa reporma. Gayunpaman, ang kanilang pagiging epektibo ay madalas na nakasalalay sa kooperasyon ng gobyerno.
**Mga Pandaigdigang Panukala:**
* **Mga Kasunduan:** Ang mga internasyonal na kasundu"&amp;"an sa karapatang pantao na pinagtibay ng isang bansa ay maaaring magbigay ng isang balangkas para sa pananagutan sa kanila para sa mga paglabag. * **Mga Internasyonal na Organisasyon:** Ang mga katawan tulad ng UN Human Rights Council ay maaaring mag-imbe"&amp;"stiga ng mga pang-aabuso at magbigay ng mga rekomendasyon o pagkondena. * **Mga Naka-target na Sanction:** Maaaring magpataw ng mga parusa ang mga bansa sa mga indibidwal o entity na responsable para sa mga paglabag sa karapatang pantao.
**Mga Hamon:**
* "&amp;"**Kakulangan ng Political Will:** Maaaring ayaw ng mga pamahalaan na imbestigahan o usigin ang sarili nilang mga opisyal.
* **Limited Leverage**: Maaaring limitado ang pang-internasyonal na presyon, lalo na laban sa mga makapangyarihang estado.
* **Takot "&amp;"sa Paghihiganti**: Maaaring matakot ang mga aktibista at testigo na lumapit dahil sa takot sa paghihiganti.
**Mga Karagdagang Pagsasaalang-alang:**
* **Independent Media:** Ang isang libre at independiyenteng media ay gumaganap ng isang mahalagang papel s"&amp;"a paglalantad ng mga pang-aabuso at pagpapanagot sa mga makapangyarihang aktor.
* **Civil Society Organizations (CSOs):** Ang mga grupong ito ay maaaring magdokumento ng mga pang-aabuso, magsulong para sa reporma, at magpataas ng kamalayan.
* **Teknolohiy"&amp;"a:** Ang mga tool tulad ng digital documentation at secure na mga channel ng komunikasyon ay makakatulong sa mga aktibista na mangalap ng ebidensya at protektahan ang kanilang sarili.
**Mahalagang tandaan na ang mga hakbang na ito ay pinakaepektibo kapag "&amp;"ginamit nang pinagsama. Sa kasamaang palad, walang solong solusyon, at maaaring mabagal ang pag-unlad.**")</f>
        <v>Ang pagpigil at pagtugon sa mga krimen na pinapahintulutan ng estado laban sa mga aktor at aktibista sa pulitika ay isang masalimuot na hamon. Narito ang isang breakdown ng ilang kasalukuyang mga hakbang:
**Mga Panukala sa Bahay:**
* **Mga Legal na Framework:** Sa isip, umiiral ang mga matibay na batas sa loob ng bansa na tumutukoy sa mga krimeng ito at nagbibigay ng mga paraan para sa pag-uusig. Kabilang dito ang Human Security Act sa Pilipinas bilang isang halimbawa. * **Independent Judiciary:** Ang isang tunay na independiyenteng hudikatura, malaya sa impluwensyang pampulitika, ay mahalaga para sa pananagutan ng mga aktor ng estado. * **National Human Rights Institutions (NHRIs):** Ang mga independyenteng katawan na ito ay maaaring mag-imbestiga ng mga paratang ng pang-aabuso at gumawa ng mga rekomendasyon para sa reporma. Gayunpaman, ang kanilang pagiging epektibo ay madalas na nakasalalay sa kooperasyon ng gobyerno.
**Mga Pandaigdigang Panukala:**
* **Mga Kasunduan:** Ang mga internasyonal na kasunduan sa karapatang pantao na pinagtibay ng isang bansa ay maaaring magbigay ng isang balangkas para sa pananagutan sa kanila para sa mga paglabag. * **Mga Internasyonal na Organisasyon:** Ang mga katawan tulad ng UN Human Rights Council ay maaaring mag-imbestiga ng mga pang-aabuso at magbigay ng mga rekomendasyon o pagkondena. * **Mga Naka-target na Sanction:** Maaaring magpataw ng mga parusa ang mga bansa sa mga indibidwal o entity na responsable para sa mga paglabag sa karapatang pantao.
**Mga Hamon:**
* **Kakulangan ng Political Will:** Maaaring ayaw ng mga pamahalaan na imbestigahan o usigin ang sarili nilang mga opisyal.
* **Limited Leverage**: Maaaring limitado ang pang-internasyonal na presyon, lalo na laban sa mga makapangyarihang estado.
* **Takot sa Paghihiganti**: Maaaring matakot ang mga aktibista at testigo na lumapit dahil sa takot sa paghihiganti.
**Mga Karagdagang Pagsasaalang-alang:**
* **Independent Media:** Ang isang libre at independiyenteng media ay gumaganap ng isang mahalagang papel sa paglalantad ng mga pang-aabuso at pagpapanagot sa mga makapangyarihang aktor.
* **Civil Society Organizations (CSOs):** Ang mga grupong ito ay maaaring magdokumento ng mga pang-aabuso, magsulong para sa reporma, at magpataas ng kamalayan.
* **Teknolohiya:** Ang mga tool tulad ng digital documentation at secure na mga channel ng komunikasyon ay makakatulong sa mga aktibista na mangalap ng ebidensya at protektahan ang kanilang sarili.
**Mahalagang tandaan na ang mga hakbang na ito ay pinakaepektibo kapag ginamit nang pinagsama. Sa kasamaang palad, walang solong solusyon, at maaaring mabagal ang pag-unlad.**</v>
      </c>
      <c r="F2410" s="2">
        <f t="shared" si="1"/>
        <v>0</v>
      </c>
      <c r="G2410" s="2"/>
      <c r="H2410" s="2"/>
      <c r="I2410" s="2"/>
      <c r="J2410" s="2"/>
      <c r="K2410" s="2"/>
      <c r="L2410" s="2"/>
      <c r="M2410" s="2"/>
      <c r="N2410" s="2"/>
      <c r="O2410" s="2"/>
      <c r="P2410" s="2"/>
      <c r="Q2410" s="2"/>
      <c r="R2410" s="2"/>
      <c r="S2410" s="2"/>
      <c r="T2410" s="2"/>
      <c r="U2410" s="2"/>
      <c r="V2410" s="2"/>
      <c r="W2410" s="2"/>
      <c r="X2410" s="2"/>
      <c r="Y2410" s="2"/>
      <c r="Z2410" s="2"/>
      <c r="AA2410" s="2"/>
    </row>
    <row r="2411">
      <c r="A2411" s="3" t="s">
        <v>5693</v>
      </c>
      <c r="B2411" s="1" t="s">
        <v>5788</v>
      </c>
      <c r="C2411" s="3" t="s">
        <v>5789</v>
      </c>
      <c r="D2411" s="2" t="str">
        <f>IFERROR(__xludf.DUMMYFUNCTION("GOOGLETRANSLATE(B2411, ""en"", ""TL"")"),"Paano kinokontrol at pinaparusahan ang mga krimen tulad ng labag sa batas na pagpupulong o pag-uudyok sa sedisyon?")</f>
        <v>Paano kinokontrol at pinaparusahan ang mga krimen tulad ng labag sa batas na pagpupulong o pag-uudyok sa sedisyon?</v>
      </c>
      <c r="E2411" s="2" t="str">
        <f>IFERROR(__xludf.DUMMYFUNCTION("GOOGLETRANSLATE(C2411, ""en"", ""TL"")"),"Ang labag sa batas na pagpupulong at pag-uudyok sa sedisyon ay mga krimen na kinokontrol ng Binagong Kodigo Penal ng Pilipinas (Act No. 3815). Narito ang isang breakdown ng bawat isa:
**Labag sa batas na Pagpupulong:**
* **Kahulugan:** Tinukoy sa ilalim n"&amp;"g Artikulo 146 ng Binagong Kodigo Penal. Ito ay tumutukoy sa isang pagtitipon ng mga tao na may iisang layunin na gumawa ng krimen o guluhin ang kapayapaan. * **Mga Elemento:** Dapat mayroong isang pagpupulong (pagtitipon ng mga tao), isang karaniwang lay"&amp;"unin ng paggawa ng krimen o pag-istorbo sa kapayapaan, at isang hayagang kilos na nagpapakita ng layunin na gawin ang krimen o guluhin ang kapayapaan. * **Penalty:** Pagkakulong ng isa hanggang anim na buwan o multa ng hanggang P200 pesos (humigit-kumulan"&amp;"g $4 USD). **Pag-uudyok sa Sedisyon:**
* **Kahulugan:** Sinasaklaw sa ilalim ng Artikulo 142 ng Binagong Kodigo Penal. Ang krimen na ito ay nagsasangkot ng paghimok sa mga tao na maghimagsik laban sa gobyerno o sumuway sa batas.
* **Mga Elemento:** Dapat "&amp;"na mayroong pampublikong talumpati, proklamasyon, o pagsulat na nag-uudyok ng paghihimagsik o pagsuway laban sa isang legal na awtoridad. Ang pagsasalita o pagsulat ay dapat na may direktang tendensya na magdulot ng mga pagkilos na ito.
* **Parusa:** Depe"&amp;"nde sa bigat ng pag-uudyok, ang parusa ay maaaring mula sa prision mayor (6 na taon at 1 araw hanggang 12 taong pagkakakulong) hanggang sa reclusion perpetua (habang buhay na pagkakakulong).
**Mahahalagang Punto:**
* **Interpretasyon:** Ang mga kahulugan "&amp;"ng mga krimeng ito ay maaaring medyo malabo, at ang kanilang aplikasyon ay maaaring depende sa mga partikular na pangyayari. Ito ay humantong sa mga alalahanin tungkol sa kalayaan sa pagsasalita at pagpupulong. * **Pagpuna:** Ang mga kritiko ay nangangatu"&amp;"wiran na ang mga batas na ito ay maaaring gamitin upang pigilan ang hindi pagsang-ayon laban sa pamahalaan. **Mahalagang tandaan na ang batas ng Pilipinas ay patuloy na umuunlad. Kung mayroon kang anumang mga alalahanin tungkol sa mga partikular na sitwas"&amp;"yon, pinakamahusay na kumunsulta sa isang abogado na makakapagbigay sa iyo ng pinaka-up-to-date na impormasyon.**")</f>
        <v>Ang labag sa batas na pagpupulong at pag-uudyok sa sedisyon ay mga krimen na kinokontrol ng Binagong Kodigo Penal ng Pilipinas (Act No. 3815). Narito ang isang breakdown ng bawat isa:
**Labag sa batas na Pagpupulong:**
* **Kahulugan:** Tinukoy sa ilalim ng Artikulo 146 ng Binagong Kodigo Penal. Ito ay tumutukoy sa isang pagtitipon ng mga tao na may iisang layunin na gumawa ng krimen o guluhin ang kapayapaan. * **Mga Elemento:** Dapat mayroong isang pagpupulong (pagtitipon ng mga tao), isang karaniwang layunin ng paggawa ng krimen o pag-istorbo sa kapayapaan, at isang hayagang kilos na nagpapakita ng layunin na gawin ang krimen o guluhin ang kapayapaan. * **Penalty:** Pagkakulong ng isa hanggang anim na buwan o multa ng hanggang P200 pesos (humigit-kumulang $4 USD). **Pag-uudyok sa Sedisyon:**
* **Kahulugan:** Sinasaklaw sa ilalim ng Artikulo 142 ng Binagong Kodigo Penal. Ang krimen na ito ay nagsasangkot ng paghimok sa mga tao na maghimagsik laban sa gobyerno o sumuway sa batas.
* **Mga Elemento:** Dapat na mayroong pampublikong talumpati, proklamasyon, o pagsulat na nag-uudyok ng paghihimagsik o pagsuway laban sa isang legal na awtoridad. Ang pagsasalita o pagsulat ay dapat na may direktang tendensya na magdulot ng mga pagkilos na ito.
* **Parusa:** Depende sa bigat ng pag-uudyok, ang parusa ay maaaring mula sa prision mayor (6 na taon at 1 araw hanggang 12 taong pagkakakulong) hanggang sa reclusion perpetua (habang buhay na pagkakakulong).
**Mahahalagang Punto:**
* **Interpretasyon:** Ang mga kahulugan ng mga krimeng ito ay maaaring medyo malabo, at ang kanilang aplikasyon ay maaaring depende sa mga partikular na pangyayari. Ito ay humantong sa mga alalahanin tungkol sa kalayaan sa pagsasalita at pagpupulong. * **Pagpuna:** Ang mga kritiko ay nangangatuwiran na ang mga batas na ito ay maaaring gamitin upang pigilan ang hindi pagsang-ayon laban sa pamahalaan. **Mahalagang tandaan na ang batas ng Pilipinas ay patuloy na umuunlad. Kung mayroon kang anumang mga alalahanin tungkol sa mga partikular na sitwasyon, pinakamahusay na kumunsulta sa isang abogado na makakapagbigay sa iyo ng pinaka-up-to-date na impormasyon.**</v>
      </c>
      <c r="F2411" s="2">
        <f t="shared" si="1"/>
        <v>0</v>
      </c>
      <c r="G2411" s="2"/>
      <c r="H2411" s="2"/>
      <c r="I2411" s="2"/>
      <c r="J2411" s="2"/>
      <c r="K2411" s="2"/>
      <c r="L2411" s="2"/>
      <c r="M2411" s="2"/>
      <c r="N2411" s="2"/>
      <c r="O2411" s="2"/>
      <c r="P2411" s="2"/>
      <c r="Q2411" s="2"/>
      <c r="R2411" s="2"/>
      <c r="S2411" s="2"/>
      <c r="T2411" s="2"/>
      <c r="U2411" s="2"/>
      <c r="V2411" s="2"/>
      <c r="W2411" s="2"/>
      <c r="X2411" s="2"/>
      <c r="Y2411" s="2"/>
      <c r="Z2411" s="2"/>
      <c r="AA2411" s="2"/>
    </row>
    <row r="2412">
      <c r="A2412" s="3" t="s">
        <v>5693</v>
      </c>
      <c r="B2412" s="1" t="s">
        <v>5790</v>
      </c>
      <c r="C2412" s="3" t="s">
        <v>5791</v>
      </c>
      <c r="D2412" s="2" t="str">
        <f>IFERROR(__xludf.DUMMYFUNCTION("GOOGLETRANSLATE(B2412, ""en"", ""TL"")"),"Paano pinoprotektahan ng batas ang mga whistleblower na naglalantad ng katiwalian sa loob ng mga entidad sa pulitika o gobyerno?")</f>
        <v>Paano pinoprotektahan ng batas ang mga whistleblower na naglalantad ng katiwalian sa loob ng mga entidad sa pulitika o gobyerno?</v>
      </c>
      <c r="E2412" s="2" t="str">
        <f>IFERROR(__xludf.DUMMYFUNCTION("GOOGLETRANSLATE(C2412, ""en"", ""TL"")"),"Ang Pilipinas ay may mga mekanismo na inilalagay upang protektahan ang mga whistleblower na naglalantad ng katiwalian sa loob ng pulitikal o mga entidad ng pamahalaan, ngunit may mga limitasyon at patuloy na mga talakayan para sa pagpapabuti. Narito ang i"&amp;"sang breakdown:
**Mga Kasalukuyang Proteksyon:**
* **Republic Act No. 6713 (Code of Conduct and Ethical Standards for Public Officials and Employees):** Ang batas na ito ay nag-uutos sa mga ahensya ng gobyerno na magtatag ng mga mekanismo para sa whistleb"&amp;"lowing. Ipinagbabawal din nito ang paghihiganti laban sa mga whistleblower.
* **Opisina ng Ombudsman:** Ang independiyenteng katawan na ito ay tumatanggap at nag-iimbestiga ng mga reklamo laban sa mga opisyal ng gobyerno, kabilang ang mga may kaugnayan sa"&amp;" katiwalian. Ang mga whistleblower ay maaaring direktang mag-ulat ng katiwalian sa Ombudsman.
* **Programa sa Proteksyon ng Saksi:** Nag-aalok ang gobyerno ng proteksyon sa mga testigo, na maaaring kabilang ang mga whistleblower, na natatakot na gantihan "&amp;"para sa pag-uulat ng mga krimen.
**Mga Hamon at Limitasyon:**
* **Mahinang Pagpapatupad:** May mga kaso kung saan ang mga whistleblower ay nahaharap sa paghihiganti sa kabila ng mga legal na proteksyon. Maaaring mabagal ang pagsisiyasat at pag-uusig ng mg"&amp;"a kaso ng paghihiganti.
* **Takot sa Paghihiganti:** Ang kultura ng katahimikan at takot sa paghihiganti ay maaari pa ring humadlang sa mga potensyal na whistleblower na sumulong. * **Limitadong Saklaw:** Maaaring hindi saklaw ng mga kasalukuyang proteksy"&amp;"on ang lahat ng uri ng whistleblowing o lahat ng sektor ng gobyerno.
**Mga Kasalukuyang Pagsisikap:**
* **Iminungkahing Whistleblower Protection Act:** Nagkaroon ng mga pagsusumikap na magpatibay ng isang komprehensibong Whistleblower Protection Act na ma"&amp;"gpapalakas sa mga kasalukuyang pananggalang. Ang mga pagsisikap na ito ay patuloy.
**Kabuuan:**
Bagama't may mga legal na balangkas upang protektahan ang mga whistleblower sa Pilipinas, ang sistema ay walang limitasyon. May pangangailangan para sa mas mal"&amp;"akas na pagpapatupad, isang pagbabago sa kultura upang hikayatin ang whistleblowing, at potensyal na isang mas komprehensibong legal na balangkas.")</f>
        <v>Ang Pilipinas ay may mga mekanismo na inilalagay upang protektahan ang mga whistleblower na naglalantad ng katiwalian sa loob ng pulitikal o mga entidad ng pamahalaan, ngunit may mga limitasyon at patuloy na mga talakayan para sa pagpapabuti. Narito ang isang breakdown:
**Mga Kasalukuyang Proteksyon:**
* **Republic Act No. 6713 (Code of Conduct and Ethical Standards for Public Officials and Employees):** Ang batas na ito ay nag-uutos sa mga ahensya ng gobyerno na magtatag ng mga mekanismo para sa whistleblowing. Ipinagbabawal din nito ang paghihiganti laban sa mga whistleblower.
* **Opisina ng Ombudsman:** Ang independiyenteng katawan na ito ay tumatanggap at nag-iimbestiga ng mga reklamo laban sa mga opisyal ng gobyerno, kabilang ang mga may kaugnayan sa katiwalian. Ang mga whistleblower ay maaaring direktang mag-ulat ng katiwalian sa Ombudsman.
* **Programa sa Proteksyon ng Saksi:** Nag-aalok ang gobyerno ng proteksyon sa mga testigo, na maaaring kabilang ang mga whistleblower, na natatakot na gantihan para sa pag-uulat ng mga krimen.
**Mga Hamon at Limitasyon:**
* **Mahinang Pagpapatupad:** May mga kaso kung saan ang mga whistleblower ay nahaharap sa paghihiganti sa kabila ng mga legal na proteksyon. Maaaring mabagal ang pagsisiyasat at pag-uusig ng mga kaso ng paghihiganti.
* **Takot sa Paghihiganti:** Ang kultura ng katahimikan at takot sa paghihiganti ay maaari pa ring humadlang sa mga potensyal na whistleblower na sumulong. * **Limitadong Saklaw:** Maaaring hindi saklaw ng mga kasalukuyang proteksyon ang lahat ng uri ng whistleblowing o lahat ng sektor ng gobyerno.
**Mga Kasalukuyang Pagsisikap:**
* **Iminungkahing Whistleblower Protection Act:** Nagkaroon ng mga pagsusumikap na magpatibay ng isang komprehensibong Whistleblower Protection Act na magpapalakas sa mga kasalukuyang pananggalang. Ang mga pagsisikap na ito ay patuloy.
**Kabuuan:**
Bagama't may mga legal na balangkas upang protektahan ang mga whistleblower sa Pilipinas, ang sistema ay walang limitasyon. May pangangailangan para sa mas malakas na pagpapatupad, isang pagbabago sa kultura upang hikayatin ang whistleblowing, at potensyal na isang mas komprehensibong legal na balangkas.</v>
      </c>
      <c r="F2412" s="2">
        <f t="shared" si="1"/>
        <v>0</v>
      </c>
      <c r="G2412" s="2"/>
      <c r="H2412" s="2"/>
      <c r="I2412" s="2"/>
      <c r="J2412" s="2"/>
      <c r="K2412" s="2"/>
      <c r="L2412" s="2"/>
      <c r="M2412" s="2"/>
      <c r="N2412" s="2"/>
      <c r="O2412" s="2"/>
      <c r="P2412" s="2"/>
      <c r="Q2412" s="2"/>
      <c r="R2412" s="2"/>
      <c r="S2412" s="2"/>
      <c r="T2412" s="2"/>
      <c r="U2412" s="2"/>
      <c r="V2412" s="2"/>
      <c r="W2412" s="2"/>
      <c r="X2412" s="2"/>
      <c r="Y2412" s="2"/>
      <c r="Z2412" s="2"/>
      <c r="AA2412" s="2"/>
    </row>
    <row r="2413">
      <c r="A2413" s="3" t="s">
        <v>5693</v>
      </c>
      <c r="B2413" s="1" t="s">
        <v>5792</v>
      </c>
      <c r="C2413" s="3" t="s">
        <v>5793</v>
      </c>
      <c r="D2413" s="2" t="str">
        <f>IFERROR(__xludf.DUMMYFUNCTION("GOOGLETRANSLATE(B2413, ""en"", ""TL"")"),"Anong mga legal na probisyon ang umiiral upang matugunan ang mga krimen na ginawa laban sa mga mamamahayag na nag-uulat sa mga isyung pampulitika?")</f>
        <v>Anong mga legal na probisyon ang umiiral upang matugunan ang mga krimen na ginawa laban sa mga mamamahayag na nag-uulat sa mga isyung pampulitika?</v>
      </c>
      <c r="E2413" s="2" t="str">
        <f>IFERROR(__xludf.DUMMYFUNCTION("GOOGLETRANSLATE(C2413, ""en"", ""TL"")"),"Ang Pilipinas ay may ilang mga legal na probisyon upang tugunan ang mga krimen laban sa mga mamamahayag na nag-uulat ng mga isyu sa pulitika, ngunit may mga makabuluhang alalahanin tungkol sa kanilang pagiging epektibo. Narito ang isang breakdown:
**Mga U"&amp;"miiral na Probisyon:**
* **Ang Saligang Batas:** Ginagarantiyahan ng Konstitusyon ng Pilipinas ang kalayaan sa pamamahayag (Artikulo III, Seksyon 7).
* **Cybercrime Law (Republic Act No. 10175):** Kasama sa batas na ito ang mga parusa para sa online na pa"&amp;"gbabanta at panliligalig, na maaaring gamitin laban sa mga nagta-target sa mga mamamahayag online.
* **Mga Batas sa Pagpatay at Pag-atake:** Ang mga pangkalahatang batas na ito ay nalalapat sa anumang marahas na krimen, kabilang ang mga ginawa laban sa mg"&amp;"a mamamahayag.
* **Media Security Bills:** Ilang iminungkahing panukalang batas ay naglalayong lumikha ng isang mas secure na kapaligiran para sa mga mamamahayag, kabilang ang isang espesyal na yunit upang siyasatin ang mga pag-atake sa mga mamamahayag. ("&amp;"**Tandaan:** Ito ay mga panukala pa rin at hindi pa naisabatas)
**Mga Hamon at Alalahanin:**
* **Kawalan ng parusa:** Ang mga pagsisiyasat at pag-uusig para sa mga krimen laban sa mga mamamahayag ay kadalasang mabagal o wala, na humahantong sa isang mataa"&amp;"s na antas ng impunity para sa mga may kasalanan.
* **Batas ng Cyber ​​libel:** Ang probisyon ng cyber libel ng Cybercrime Law ay binatikos dahil sa pagpapalamig ng investigative journalism at malayang pananalita. Ang isang high-profile na kaso ay kinasas"&amp;"angkutan ng mamamahayag na si Maria Ressa na nahatulan ng cyber libel.
* **Red-tagging:** Ang mga mamamahayag na tumutuligsa sa gobyerno o nag-uulat sa ilang partikular na isyu ay maaaring ma-label bilang mga komunista o terorista (""red-tag""), na nagdar"&amp;"agdag sa kanilang kahinaan sa karahasan.
* **Kakulangan ng Political Will:** May mga alalahanin na ang ilang opisyal ng gobyerno ay maaaring hindi unahin ang pagsisiyasat ng mga pag-atake sa mga mamamahayag na kritikal sa kanilang mga aksyon.
**Mga Pandai"&amp;"gdigang Panukala:**
* **Ang United Nations Educational, Scientific and Cultural Organization (UNESCO):** Ang internasyonal na katawan na ito ay nagtataguyod ng kalayaan sa pamamahayag at kaligtasan ng mga mamamahayag. Pinapanatili nila ang mga mapagkukuna"&amp;"n at nagtataguyod para sa proteksyon ng mamamahayag sa buong mundo. **Naghahanap sa Harap:**
* Ang bisa ng mga legal na probisyon ay nakasalalay sa malakas na mekanismo ng pagpapatupad at isang pangako sa kalayaan sa pamamahayag.
* May pangangailangan par"&amp;"a sa patuloy na pagsisikap upang matugunan ang kawalan ng parusa, reporma sa mga batas sa cyber libel, at labanan ang red-tagging.
* Ang tumaas na pang-internasyonal na presyon at suporta para sa kalayaan sa pamamahayag ay maaari ding gumanap ng isang pap"&amp;"el.
Sa pangkalahatan, habang ang Pilipinas ay may ilang mga legal na balangkas upang tugunan ang mga krimen laban sa mga mamamahayag, nananatili ang malalaking hamon. Kailangan ang isang multi-pronged na diskarte upang matiyak na ligtas na makakapag-ulat "&amp;"ang mga mamamahayag tungkol sa mga isyung pampulitika.")</f>
        <v>Ang Pilipinas ay may ilang mga legal na probisyon upang tugunan ang mga krimen laban sa mga mamamahayag na nag-uulat ng mga isyu sa pulitika, ngunit may mga makabuluhang alalahanin tungkol sa kanilang pagiging epektibo. Narito ang isang breakdown:
**Mga Umiiral na Probisyon:**
* **Ang Saligang Batas:** Ginagarantiyahan ng Konstitusyon ng Pilipinas ang kalayaan sa pamamahayag (Artikulo III, Seksyon 7).
* **Cybercrime Law (Republic Act No. 10175):** Kasama sa batas na ito ang mga parusa para sa online na pagbabanta at panliligalig, na maaaring gamitin laban sa mga nagta-target sa mga mamamahayag online.
* **Mga Batas sa Pagpatay at Pag-atake:** Ang mga pangkalahatang batas na ito ay nalalapat sa anumang marahas na krimen, kabilang ang mga ginawa laban sa mga mamamahayag.
* **Media Security Bills:** Ilang iminungkahing panukalang batas ay naglalayong lumikha ng isang mas secure na kapaligiran para sa mga mamamahayag, kabilang ang isang espesyal na yunit upang siyasatin ang mga pag-atake sa mga mamamahayag. (**Tandaan:** Ito ay mga panukala pa rin at hindi pa naisabatas)
**Mga Hamon at Alalahanin:**
* **Kawalan ng parusa:** Ang mga pagsisiyasat at pag-uusig para sa mga krimen laban sa mga mamamahayag ay kadalasang mabagal o wala, na humahantong sa isang mataas na antas ng impunity para sa mga may kasalanan.
* **Batas ng Cyber ​​libel:** Ang probisyon ng cyber libel ng Cybercrime Law ay binatikos dahil sa pagpapalamig ng investigative journalism at malayang pananalita. Ang isang high-profile na kaso ay kinasasangkutan ng mamamahayag na si Maria Ressa na nahatulan ng cyber libel.
* **Red-tagging:** Ang mga mamamahayag na tumutuligsa sa gobyerno o nag-uulat sa ilang partikular na isyu ay maaaring ma-label bilang mga komunista o terorista ("red-tag"), na nagdaragdag sa kanilang kahinaan sa karahasan.
* **Kakulangan ng Political Will:** May mga alalahanin na ang ilang opisyal ng gobyerno ay maaaring hindi unahin ang pagsisiyasat ng mga pag-atake sa mga mamamahayag na kritikal sa kanilang mga aksyon.
**Mga Pandaigdigang Panukala:**
* **Ang United Nations Educational, Scientific and Cultural Organization (UNESCO):** Ang internasyonal na katawan na ito ay nagtataguyod ng kalayaan sa pamamahayag at kaligtasan ng mga mamamahayag. Pinapanatili nila ang mga mapagkukunan at nagtataguyod para sa proteksyon ng mamamahayag sa buong mundo. **Naghahanap sa Harap:**
* Ang bisa ng mga legal na probisyon ay nakasalalay sa malakas na mekanismo ng pagpapatupad at isang pangako sa kalayaan sa pamamahayag.
* May pangangailangan para sa patuloy na pagsisikap upang matugunan ang kawalan ng parusa, reporma sa mga batas sa cyber libel, at labanan ang red-tagging.
* Ang tumaas na pang-internasyonal na presyon at suporta para sa kalayaan sa pamamahayag ay maaari ding gumanap ng isang papel.
Sa pangkalahatan, habang ang Pilipinas ay may ilang mga legal na balangkas upang tugunan ang mga krimen laban sa mga mamamahayag, nananatili ang malalaking hamon. Kailangan ang isang multi-pronged na diskarte upang matiyak na ligtas na makakapag-ulat ang mga mamamahayag tungkol sa mga isyung pampulitika.</v>
      </c>
      <c r="F2413" s="2">
        <f t="shared" si="1"/>
        <v>0</v>
      </c>
      <c r="G2413" s="2"/>
      <c r="H2413" s="2"/>
      <c r="I2413" s="2"/>
      <c r="J2413" s="2"/>
      <c r="K2413" s="2"/>
      <c r="L2413" s="2"/>
      <c r="M2413" s="2"/>
      <c r="N2413" s="2"/>
      <c r="O2413" s="2"/>
      <c r="P2413" s="2"/>
      <c r="Q2413" s="2"/>
      <c r="R2413" s="2"/>
      <c r="S2413" s="2"/>
      <c r="T2413" s="2"/>
      <c r="U2413" s="2"/>
      <c r="V2413" s="2"/>
      <c r="W2413" s="2"/>
      <c r="X2413" s="2"/>
      <c r="Y2413" s="2"/>
      <c r="Z2413" s="2"/>
      <c r="AA2413" s="2"/>
    </row>
    <row r="2414">
      <c r="A2414" s="3" t="s">
        <v>5693</v>
      </c>
      <c r="B2414" s="1" t="s">
        <v>5794</v>
      </c>
      <c r="C2414" s="3" t="s">
        <v>5795</v>
      </c>
      <c r="D2414" s="2" t="str">
        <f>IFERROR(__xludf.DUMMYFUNCTION("GOOGLETRANSLATE(B2414, ""en"", ""TL"")"),"Paano kinokontrol at pinaparusahan ang mga krimen tulad ng pagbili ng boto o pamimilit ng botante sa konteksto ng halalan?")</f>
        <v>Paano kinokontrol at pinaparusahan ang mga krimen tulad ng pagbili ng boto o pamimilit ng botante sa konteksto ng halalan?</v>
      </c>
      <c r="E2414" s="2" t="str">
        <f>IFERROR(__xludf.DUMMYFUNCTION("GOOGLETRANSLATE(C2414, ""en"", ""TL"")"),"Sa Pilipinas, ang mga krimen tulad ng pagbili ng boto at pamimilit sa botante ay kinokontrol at pinarurusahan sa pamamagitan ng iba't ibang legal na mekanismo, partikular sa konteksto ng halalan. Narito kung paano tinutugunan ang mga krimeng ito:
1. Mg"&amp;"a Batas at Regulasyon: Ang pangunahing legal na balangkas na namamahala sa mga halalan sa Pilipinas ay ang Omnibus Election Code (Batas Pambansa Blg. 881). Ang batas na ito ay naglalaman ng mga probisyon na partikular na tumutugon sa mga pagkakasala na ma"&amp;"y kaugnayan sa pandaraya sa elektoral, kabilang ang pagbili ng boto at pamimilit sa botante.
2. Pagbili ng Boto: Ang pagbili ng boto ay ipinagbabawal sa ilalim ng Seksyon 261(a) ng Kodigo sa Halalan ng Omnibus, na tumutukoy dito bilang anumang alok o p"&amp;"angako ng pera, mahalagang konsiderasyon, o iba pang panghihikayat upang maimpluwensyahan ang pagpili ng isang botante sa isang halalan. Ang mga lumalabag sa probisyong ito ay maaaring maharap sa mga parusang kriminal, kabilang ang pagkakulong at pagkadis"&amp;"kwalipikasyon sa paghawak ng pampublikong tungkulin.
3. Pagpipilit sa Botante: Ang pamimilit ng botante ay kinabibilangan ng paggamit ng puwersa, pananakot, pagbabanta, o iba pang paraan upang pilitin ang isang botante na bumoto o umiwas sa pagboto par"&amp;"a sa isang partikular na kandidato o partidong pampulitika. Ang Seksyon 261(b) ng Omnibus Election Code ay nagbabawal sa mga gawa ng pamimilit, at ang mga lalabag ay maaaring kasuhan at parusahan sa ilalim ng mga batas sa halalan.
4. Commission on Elec"&amp;"tions (COMELEC): Ang COMELEC ay ang ahensya ng gobyerno na responsable sa pangangasiwa sa mga halalan sa Pilipinas. May awtoridad itong imbestigahan ang mga reklamo ng pagbili ng boto, pamimilit sa botante, at iba pang mga paglabag sa halalan, at usigin a"&amp;"ng mga lumalabag sa pakikipag-ugnayan sa mga ahensyang nagpapatupad ng batas.
5. Pamamagitan sa Pagpapatupad ng Batas: Ang mga awtoridad sa pagpapatupad ng batas, tulad ng Philippine National Police (PNP), ay may responsibilidad na ipatupad ang mga bat"&amp;"as sa halalan at panatilihin ang kapayapaan at kaayusan sa panahon ng halalan. Maaari nilang imbestigahan ang mga reklamo ng pagbili ng boto at pamimilit sa botante, magsagawa ng mga pag-aresto, at magsampa ng mga kaso laban sa mga indibidwal na sangkot s"&amp;"a mga ilegal na aktibidad na ito.
6. Mga Pagkakasala sa Halalan: Ang mga paglabag sa mga batas sa halalan, kabilang ang pagbili ng boto at pamimilit sa botante, ay itinuturing na mga pagkakasala sa halalan na mapaparusahan sa ilalim ng Omnibus Election"&amp;" Code. Maaaring kabilang sa mga parusa para sa mga pagkakasalang ito ang pagkakulong, multa, at diskwalipikasyon sa paghawak ng pampublikong katungkulan.
Sa pangkalahatan, ang pagtugon sa mga krimen tulad ng pagbili ng boto at pamimilit ng botante sa k"&amp;"onteksto ng mga halalan ay nangangailangan ng kumbinasyon ng legal na regulasyon, interbensyon sa pagpapatupad ng batas, at mga kampanya sa kamalayan ng publiko upang itaguyod ang integridad ng proseso ng elektoral at matiyak ang malaya at patas na halala"&amp;"n.")</f>
        <v>Sa Pilipinas, ang mga krimen tulad ng pagbili ng boto at pamimilit sa botante ay kinokontrol at pinarurusahan sa pamamagitan ng iba't ibang legal na mekanismo, partikular sa konteksto ng halalan. Narito kung paano tinutugunan ang mga krimeng ito:
1. Mga Batas at Regulasyon: Ang pangunahing legal na balangkas na namamahala sa mga halalan sa Pilipinas ay ang Omnibus Election Code (Batas Pambansa Blg. 881). Ang batas na ito ay naglalaman ng mga probisyon na partikular na tumutugon sa mga pagkakasala na may kaugnayan sa pandaraya sa elektoral, kabilang ang pagbili ng boto at pamimilit sa botante.
2. Pagbili ng Boto: Ang pagbili ng boto ay ipinagbabawal sa ilalim ng Seksyon 261(a) ng Kodigo sa Halalan ng Omnibus, na tumutukoy dito bilang anumang alok o pangako ng pera, mahalagang konsiderasyon, o iba pang panghihikayat upang maimpluwensyahan ang pagpili ng isang botante sa isang halalan. Ang mga lumalabag sa probisyong ito ay maaaring maharap sa mga parusang kriminal, kabilang ang pagkakulong at pagkadiskwalipikasyon sa paghawak ng pampublikong tungkulin.
3. Pagpipilit sa Botante: Ang pamimilit ng botante ay kinabibilangan ng paggamit ng puwersa, pananakot, pagbabanta, o iba pang paraan upang pilitin ang isang botante na bumoto o umiwas sa pagboto para sa isang partikular na kandidato o partidong pampulitika. Ang Seksyon 261(b) ng Omnibus Election Code ay nagbabawal sa mga gawa ng pamimilit, at ang mga lalabag ay maaaring kasuhan at parusahan sa ilalim ng mga batas sa halalan.
4. Commission on Elections (COMELEC): Ang COMELEC ay ang ahensya ng gobyerno na responsable sa pangangasiwa sa mga halalan sa Pilipinas. May awtoridad itong imbestigahan ang mga reklamo ng pagbili ng boto, pamimilit sa botante, at iba pang mga paglabag sa halalan, at usigin ang mga lumalabag sa pakikipag-ugnayan sa mga ahensyang nagpapatupad ng batas.
5. Pamamagitan sa Pagpapatupad ng Batas: Ang mga awtoridad sa pagpapatupad ng batas, tulad ng Philippine National Police (PNP), ay may responsibilidad na ipatupad ang mga batas sa halalan at panatilihin ang kapayapaan at kaayusan sa panahon ng halalan. Maaari nilang imbestigahan ang mga reklamo ng pagbili ng boto at pamimilit sa botante, magsagawa ng mga pag-aresto, at magsampa ng mga kaso laban sa mga indibidwal na sangkot sa mga ilegal na aktibidad na ito.
6. Mga Pagkakasala sa Halalan: Ang mga paglabag sa mga batas sa halalan, kabilang ang pagbili ng boto at pamimilit sa botante, ay itinuturing na mga pagkakasala sa halalan na mapaparusahan sa ilalim ng Omnibus Election Code. Maaaring kabilang sa mga parusa para sa mga pagkakasalang ito ang pagkakulong, multa, at diskwalipikasyon sa paghawak ng pampublikong katungkulan.
Sa pangkalahatan, ang pagtugon sa mga krimen tulad ng pagbili ng boto at pamimilit ng botante sa konteksto ng mga halalan ay nangangailangan ng kumbinasyon ng legal na regulasyon, interbensyon sa pagpapatupad ng batas, at mga kampanya sa kamalayan ng publiko upang itaguyod ang integridad ng proseso ng elektoral at matiyak ang malaya at patas na halalan.</v>
      </c>
      <c r="F2414" s="2">
        <f t="shared" si="1"/>
        <v>0</v>
      </c>
      <c r="G2414" s="2"/>
      <c r="H2414" s="2"/>
      <c r="I2414" s="2"/>
      <c r="J2414" s="2"/>
      <c r="K2414" s="2"/>
      <c r="L2414" s="2"/>
      <c r="M2414" s="2"/>
      <c r="N2414" s="2"/>
      <c r="O2414" s="2"/>
      <c r="P2414" s="2"/>
      <c r="Q2414" s="2"/>
      <c r="R2414" s="2"/>
      <c r="S2414" s="2"/>
      <c r="T2414" s="2"/>
      <c r="U2414" s="2"/>
      <c r="V2414" s="2"/>
      <c r="W2414" s="2"/>
      <c r="X2414" s="2"/>
      <c r="Y2414" s="2"/>
      <c r="Z2414" s="2"/>
      <c r="AA2414" s="2"/>
    </row>
    <row r="2415">
      <c r="A2415" s="3" t="s">
        <v>5693</v>
      </c>
      <c r="B2415" s="1" t="s">
        <v>5796</v>
      </c>
      <c r="C2415" s="3" t="s">
        <v>5797</v>
      </c>
      <c r="D2415" s="2" t="str">
        <f>IFERROR(__xludf.DUMMYFUNCTION("GOOGLETRANSLATE(B2415, ""en"", ""TL"")"),"Anong papel ang ginagampanan ng mga ahensyang nagpapatupad ng batas sa pagpigil at pagtugon sa mga krimeng may kaugnayan sa pulitika at aktibista?")</f>
        <v>Anong papel ang ginagampanan ng mga ahensyang nagpapatupad ng batas sa pagpigil at pagtugon sa mga krimeng may kaugnayan sa pulitika at aktibista?</v>
      </c>
      <c r="E2415" s="2" t="str">
        <f>IFERROR(__xludf.DUMMYFUNCTION("GOOGLETRANSLATE(C2415, ""en"", ""TL"")"),"Ang mga ahensyang nagpapatupad ng batas ay gumaganap ng isang mahalagang papel sa parehong pagpigil at pagtugon sa mga krimen na nauugnay sa pulitika at aktibista. Narito ang isang breakdown ng kanilang mga pangunahing function:
**Pag-iwas:**
* **Pagtitip"&amp;"on at pagsusuri ng intelihensiya:** Sinusubaybayan ng pagpapatupad ng batas ang mga potensyal na banta sa pamamagitan ng social media, mga network ng impormante, at mga pagsisiyasat. Makakatulong ito na matukoy ang mga indibidwal o grupo na nagpaplano ng "&amp;"karahasan o mga ilegal na aktibidad sa mga protesta. * **Community outreach:** Ang pagbuo ng tiwala at komunikasyon sa mga aktibistang grupo ay nagbibigay-daan para sa bukas na pag-uusap at makakatulong na maiwasan ang mga hindi pagkakaunawaan na maaaring"&amp;" mauwi sa karahasan. * **Crowd control:** Ang pagpapatupad ng batas ay may responsibilidad na pamahalaan ang mga pulutong sa mga protesta at demonstrasyon upang matiyak ang kaligtasan ng publiko at maiwasan ang karahasan. Kabilang dito ang pagpaplano ng d"&amp;"aloy ng trapiko, mga itinalagang lugar ng protesta, at paggamit ng mga sinanay na taktika ng crowd control.
**Pagtugon sa mga Krimen:**
* **Pagsisiyasat:** Kapag nangyari ang mga krimen na nauugnay sa pulitika o aktibista, nag-iimbestiga ang pagpapatupad "&amp;"ng batas upang matukoy ang mga may kasalanan at mangalap ng ebidensya. Maaaring kabilang dito ang mga panayam ng saksi, pagsusuri sa forensic, at pagsusuri sa mga digital footprint. * **Pag-aresto at pag-uusig:** Kapag mayroon nang sapat na ebidensya, ina"&amp;"aresto ng mga nagpapatupad ng batas ang mga indibidwal na pinaghihinalaan ng mga krimen. Nakikipagtulungan sila sa mga tagausig upang matiyak ang isang makatarungang proseso ng paglilitis. * **De-escalation:** Sa tensiyonado na mga sitwasyon, ang mga opis"&amp;"yal ng pagpapatupad ng batas ay sinanay sa mga diskarte sa de-escalation upang maiwasan ang hindi kinakailangang paggamit ng puwersa at mapanatili ang kaligtasan ng publiko sa panahon ng mga protesta. **Mga Hamon at Pagsasaalang-alang:**
* **Pagbabalanse "&amp;"ng seguridad at kalayaan sa pagpapahayag:** Ang pagpapatupad ng batas ay kailangang makahanap ng balanse sa pagitan ng pagprotekta sa kaligtasan ng publiko at pagtataguyod ng karapatan sa mapayapang protesta. * **Pagpapanatili ng neutralidad:** Napakahala"&amp;"ga para sa pagpapatupad ng batas na manatiling neutral sa mga usaping pampulitika at pantay na ipatupad ang batas, anuman ang kaugnayan sa pulitika. * **Pagtitiwala ng komunidad:** Ang pagbuo ng tiwala sa magkakaibang mga komunidad ay mahalaga. Nagbibigay"&amp;"-daan ito para sa mas mahusay na komunikasyon at pakikipagtulungan sa pagpigil at pagtugon sa mga pulitikal na krimen.
Sa pangkalahatan, ang pagpapatupad ng batas ay gumaganap ng isang kumplikadong papel sa larangan ng pampulitika at mga krimen na nauugna"&amp;"y sa aktibista. Sa pamamagitan ng paggamit ng mga hakbang sa pag-iwas, pagpapatibay ng komunikasyon, at pagtataguyod ng batas nang patas, makakatulong sila na matiyak ang isang ligtas na kapaligiran para sa pampulitikang diskurso at aktibismo.")</f>
        <v>Ang mga ahensyang nagpapatupad ng batas ay gumaganap ng isang mahalagang papel sa parehong pagpigil at pagtugon sa mga krimen na nauugnay sa pulitika at aktibista. Narito ang isang breakdown ng kanilang mga pangunahing function:
**Pag-iwas:**
* **Pagtitipon at pagsusuri ng intelihensiya:** Sinusubaybayan ng pagpapatupad ng batas ang mga potensyal na banta sa pamamagitan ng social media, mga network ng impormante, at mga pagsisiyasat. Makakatulong ito na matukoy ang mga indibidwal o grupo na nagpaplano ng karahasan o mga ilegal na aktibidad sa mga protesta. * **Community outreach:** Ang pagbuo ng tiwala at komunikasyon sa mga aktibistang grupo ay nagbibigay-daan para sa bukas na pag-uusap at makakatulong na maiwasan ang mga hindi pagkakaunawaan na maaaring mauwi sa karahasan. * **Crowd control:** Ang pagpapatupad ng batas ay may responsibilidad na pamahalaan ang mga pulutong sa mga protesta at demonstrasyon upang matiyak ang kaligtasan ng publiko at maiwasan ang karahasan. Kabilang dito ang pagpaplano ng daloy ng trapiko, mga itinalagang lugar ng protesta, at paggamit ng mga sinanay na taktika ng crowd control.
**Pagtugon sa mga Krimen:**
* **Pagsisiyasat:** Kapag nangyari ang mga krimen na nauugnay sa pulitika o aktibista, nag-iimbestiga ang pagpapatupad ng batas upang matukoy ang mga may kasalanan at mangalap ng ebidensya. Maaaring kabilang dito ang mga panayam ng saksi, pagsusuri sa forensic, at pagsusuri sa mga digital footprint. * **Pag-aresto at pag-uusig:** Kapag mayroon nang sapat na ebidensya, inaaresto ng mga nagpapatupad ng batas ang mga indibidwal na pinaghihinalaan ng mga krimen. Nakikipagtulungan sila sa mga tagausig upang matiyak ang isang makatarungang proseso ng paglilitis. * **De-escalation:** Sa tensiyonado na mga sitwasyon, ang mga opisyal ng pagpapatupad ng batas ay sinanay sa mga diskarte sa de-escalation upang maiwasan ang hindi kinakailangang paggamit ng puwersa at mapanatili ang kaligtasan ng publiko sa panahon ng mga protesta. **Mga Hamon at Pagsasaalang-alang:**
* **Pagbabalanse ng seguridad at kalayaan sa pagpapahayag:** Ang pagpapatupad ng batas ay kailangang makahanap ng balanse sa pagitan ng pagprotekta sa kaligtasan ng publiko at pagtataguyod ng karapatan sa mapayapang protesta. * **Pagpapanatili ng neutralidad:** Napakahalaga para sa pagpapatupad ng batas na manatiling neutral sa mga usaping pampulitika at pantay na ipatupad ang batas, anuman ang kaugnayan sa pulitika. * **Pagtitiwala ng komunidad:** Ang pagbuo ng tiwala sa magkakaibang mga komunidad ay mahalaga. Nagbibigay-daan ito para sa mas mahusay na komunikasyon at pakikipagtulungan sa pagpigil at pagtugon sa mga pulitikal na krimen.
Sa pangkalahatan, ang pagpapatupad ng batas ay gumaganap ng isang kumplikadong papel sa larangan ng pampulitika at mga krimen na nauugnay sa aktibista. Sa pamamagitan ng paggamit ng mga hakbang sa pag-iwas, pagpapatibay ng komunikasyon, at pagtataguyod ng batas nang patas, makakatulong sila na matiyak ang isang ligtas na kapaligiran para sa pampulitikang diskurso at aktibismo.</v>
      </c>
      <c r="F2415" s="2">
        <f t="shared" si="1"/>
        <v>0</v>
      </c>
      <c r="G2415" s="2"/>
      <c r="H2415" s="2"/>
      <c r="I2415" s="2"/>
      <c r="J2415" s="2"/>
      <c r="K2415" s="2"/>
      <c r="L2415" s="2"/>
      <c r="M2415" s="2"/>
      <c r="N2415" s="2"/>
      <c r="O2415" s="2"/>
      <c r="P2415" s="2"/>
      <c r="Q2415" s="2"/>
      <c r="R2415" s="2"/>
      <c r="S2415" s="2"/>
      <c r="T2415" s="2"/>
      <c r="U2415" s="2"/>
      <c r="V2415" s="2"/>
      <c r="W2415" s="2"/>
      <c r="X2415" s="2"/>
      <c r="Y2415" s="2"/>
      <c r="Z2415" s="2"/>
      <c r="AA2415" s="2"/>
    </row>
    <row r="2416">
      <c r="A2416" s="3" t="s">
        <v>5693</v>
      </c>
      <c r="B2416" s="1" t="s">
        <v>5798</v>
      </c>
      <c r="C2416" s="3" t="s">
        <v>5799</v>
      </c>
      <c r="D2416" s="2" t="str">
        <f>IFERROR(__xludf.DUMMYFUNCTION("GOOGLETRANSLATE(B2416, ""en"", ""TL"")"),"Paano tinutugunan ang krimen ng graft and corruption sa loob ng mga political entity sa ilalim ng batas ng Pilipinas?")</f>
        <v>Paano tinutugunan ang krimen ng graft and corruption sa loob ng mga political entity sa ilalim ng batas ng Pilipinas?</v>
      </c>
      <c r="E2416" s="2" t="str">
        <f>IFERROR(__xludf.DUMMYFUNCTION("GOOGLETRANSLATE(C2416, ""en"", ""TL"")"),"Ang Pilipinas ay may ilang mga batas na inilalagay upang tugunan ang graft at katiwalian sa loob ng mga pulitikal na entidad. Narito ang isang breakdown ng pangunahing legal na balangkas:
**Pangunahing Batas Anti-Graft:**
* **Republic Act No. 3019, o ang "&amp;"Anti-Graft and Corrupt Practices Act:** Ito ang pundasyong batas laban sa graft at katiwalian sa Pilipinas. Tinutukoy nito ang iba't ibang mga ipinagbabawal na gawain ng mga pampublikong opisyal, kabilang ang:
* Direkta o hindi direktang panunuhol
* Labag"&amp;" sa batas na paggamit ng pampublikong pondo o ari-arian
* Nepotismo sa pampublikong opisina * Falsification ng mga pampublikong dokumento
* Salungatan ng interes
**Ibang Kaugnay na Batas:**
* **Republic Act No. 6713, o ang Code of Conduct and Ethical Stan"&amp;"dards for Public Officials and Employees:** Ang batas na ito ay nagtatatag ng mga etikal na pamantayan para sa mga pampublikong opisyal at empleyado, na nagtataguyod ng transparency at pananagutan.
* **Republic Act No. 7080, o ang Ombudsman Act of 1988:**"&amp;" Ang batas na ito ay lumilikha ng Office of the Ombudsman, isang independiyenteng katawan na may kapangyarihang mag-imbestiga at mag-prosecute sa mga pampublikong opisyal para sa mga paglabag sa Anti-Graft and Corrupt Practices Act .
**Mga Ahensya ng Pagp"&amp;"apatupad:**
* **Opisina ng Ombudsman:** Ang Ombudsman ay responsable para sa pagsisiyasat ng mga reklamo laban sa mga pampublikong opisyal at empleyado. May kapangyarihan silang magsagawa ng mga imbestigasyon, mangalap ng ebidensya, at magsampa ng mga kas"&amp;"o sa Sandiganbayan.
* **Sandiganbayan:** Ang espesyal na hukuman na ito ay may tungkulin sa paglilitis sa mga kaso ng graft and corruption na kinasasangkutan ng mga opisyal ng gobyerno.
**Mga Hamon:**
* **Red tape at mahahabang proseso:** Ang legal na sis"&amp;"tema ay maaaring mabagal, at kung minsan ang mga kumplikadong pamamaraan ay maaaring hadlangan ang mabilis na pag-uusig.
* **Kultura ng impunity:** Ang pang-unawa na ang ilang makapangyarihang indibidwal ay maaaring umiwas sa mga kahihinatnan ay maaaring "&amp;"makapagpahina ng loob sa pag-uulat at pag-uusig.
**Mga Inisyatiba upang Tugunan ang mga Hamon:**
* **Philippine Commission on Good Government (PCGG):** Ang ahensyang ito ay nagtatrabaho upang mabawi ang ill-gotten wealth na naipon sa pamamagitan ng graft "&amp;"and corruption. * **Transparency initiatives:** Ang mga pagsisikap ay isinasagawa upang isulong ang transparency sa paggasta at mga pamamaraan ng pamahalaan. * **Mga kampanya sa pampublikong kamalayan:** Tinuturuan ng mga kampanya ang mga mamamayan tungko"&amp;"l sa kanilang mga karapatan at hinihikayat silang mag-ulat ng katiwalian.
Sa kabila ng mga hamon, may legal na balangkas ang Pilipinas para tugunan ang graft at corruption. Ang patuloy na pagsisikap na palakasin ang pagpapatupad, i-streamline ang mga pros"&amp;"eso, at itaguyod ang isang kultura ng pananagutan ay mahalaga sa paglaban sa sakit na ito ng lipunan.")</f>
        <v>Ang Pilipinas ay may ilang mga batas na inilalagay upang tugunan ang graft at katiwalian sa loob ng mga pulitikal na entidad. Narito ang isang breakdown ng pangunahing legal na balangkas:
**Pangunahing Batas Anti-Graft:**
* **Republic Act No. 3019, o ang Anti-Graft and Corrupt Practices Act:** Ito ang pundasyong batas laban sa graft at katiwalian sa Pilipinas. Tinutukoy nito ang iba't ibang mga ipinagbabawal na gawain ng mga pampublikong opisyal, kabilang ang:
* Direkta o hindi direktang panunuhol
* Labag sa batas na paggamit ng pampublikong pondo o ari-arian
* Nepotismo sa pampublikong opisina * Falsification ng mga pampublikong dokumento
* Salungatan ng interes
**Ibang Kaugnay na Batas:**
* **Republic Act No. 6713, o ang Code of Conduct and Ethical Standards for Public Officials and Employees:** Ang batas na ito ay nagtatatag ng mga etikal na pamantayan para sa mga pampublikong opisyal at empleyado, na nagtataguyod ng transparency at pananagutan.
* **Republic Act No. 7080, o ang Ombudsman Act of 1988:** Ang batas na ito ay lumilikha ng Office of the Ombudsman, isang independiyenteng katawan na may kapangyarihang mag-imbestiga at mag-prosecute sa mga pampublikong opisyal para sa mga paglabag sa Anti-Graft and Corrupt Practices Act .
**Mga Ahensya ng Pagpapatupad:**
* **Opisina ng Ombudsman:** Ang Ombudsman ay responsable para sa pagsisiyasat ng mga reklamo laban sa mga pampublikong opisyal at empleyado. May kapangyarihan silang magsagawa ng mga imbestigasyon, mangalap ng ebidensya, at magsampa ng mga kaso sa Sandiganbayan.
* **Sandiganbayan:** Ang espesyal na hukuman na ito ay may tungkulin sa paglilitis sa mga kaso ng graft and corruption na kinasasangkutan ng mga opisyal ng gobyerno.
**Mga Hamon:**
* **Red tape at mahahabang proseso:** Ang legal na sistema ay maaaring mabagal, at kung minsan ang mga kumplikadong pamamaraan ay maaaring hadlangan ang mabilis na pag-uusig.
* **Kultura ng impunity:** Ang pang-unawa na ang ilang makapangyarihang indibidwal ay maaaring umiwas sa mga kahihinatnan ay maaaring makapagpahina ng loob sa pag-uulat at pag-uusig.
**Mga Inisyatiba upang Tugunan ang mga Hamon:**
* **Philippine Commission on Good Government (PCGG):** Ang ahensyang ito ay nagtatrabaho upang mabawi ang ill-gotten wealth na naipon sa pamamagitan ng graft and corruption. * **Transparency initiatives:** Ang mga pagsisikap ay isinasagawa upang isulong ang transparency sa paggasta at mga pamamaraan ng pamahalaan. * **Mga kampanya sa pampublikong kamalayan:** Tinuturuan ng mga kampanya ang mga mamamayan tungkol sa kanilang mga karapatan at hinihikayat silang mag-ulat ng katiwalian.
Sa kabila ng mga hamon, may legal na balangkas ang Pilipinas para tugunan ang graft at corruption. Ang patuloy na pagsisikap na palakasin ang pagpapatupad, i-streamline ang mga proseso, at itaguyod ang isang kultura ng pananagutan ay mahalaga sa paglaban sa sakit na ito ng lipunan.</v>
      </c>
      <c r="F2416" s="2">
        <f t="shared" si="1"/>
        <v>0</v>
      </c>
      <c r="G2416" s="2"/>
      <c r="H2416" s="2"/>
      <c r="I2416" s="2"/>
      <c r="J2416" s="2"/>
      <c r="K2416" s="2"/>
      <c r="L2416" s="2"/>
      <c r="M2416" s="2"/>
      <c r="N2416" s="2"/>
      <c r="O2416" s="2"/>
      <c r="P2416" s="2"/>
      <c r="Q2416" s="2"/>
      <c r="R2416" s="2"/>
      <c r="S2416" s="2"/>
      <c r="T2416" s="2"/>
      <c r="U2416" s="2"/>
      <c r="V2416" s="2"/>
      <c r="W2416" s="2"/>
      <c r="X2416" s="2"/>
      <c r="Y2416" s="2"/>
      <c r="Z2416" s="2"/>
      <c r="AA2416" s="2"/>
    </row>
    <row r="2417">
      <c r="A2417" s="3" t="s">
        <v>5693</v>
      </c>
      <c r="B2417" s="1" t="s">
        <v>5800</v>
      </c>
      <c r="C2417" s="3" t="s">
        <v>5801</v>
      </c>
      <c r="D2417" s="2" t="str">
        <f>IFERROR(__xludf.DUMMYFUNCTION("GOOGLETRANSLATE(B2417, ""en"", ""TL"")"),"Anong mga legal na pananggalang ang inilalagay upang protektahan ang mga karapatan ng mga indibidwal na inakusahan ng mga krimeng may kaugnayan sa pulitika o aktibista?")</f>
        <v>Anong mga legal na pananggalang ang inilalagay upang protektahan ang mga karapatan ng mga indibidwal na inakusahan ng mga krimeng may kaugnayan sa pulitika o aktibista?</v>
      </c>
      <c r="E2417" s="2" t="str">
        <f>IFERROR(__xludf.DUMMYFUNCTION("GOOGLETRANSLATE(C2417, ""en"", ""TL"")"),"Mayroong ilang mga legal na pag-iingat upang protektahan ang mga karapatan ng mga indibidwal na inakusahan ng mga krimen na may kaugnayan sa pulitika o aktibista sa maraming bansa, kabilang ang Pilipinas:
**Nararapat na Proseso:**
* **Karapatan sa isang p"&amp;"atas na paglilitis:** Ang akusado ay may karapatang litisin sa harap ng isang walang kinikilingan na hukuman ng batas at naroroon sa panahon ng paglilitis. * **Karapatan sa legal na representasyon:** Ang akusado ay may karapatan sa legal na tagapayo na ka"&amp;"nilang pinili, o mabigyan ng isa kung hindi nila ito kayang bayaran. Tinitiyak nito na mayroon silang isang taong nakakaunawa sa legal na proseso at maaaring magsulong para sa kanilang mga karapatan.
* **Karapatang ituring na inosente:** Ang pasanin ng pa"&amp;"tunay ay nakasalalay sa prosekusyon upang patunayan ang pagkakasala ng akusado nang walang makatwirang pagdududa. Hindi kailangang patunayan ng akusado ang kanilang inosente.
* **Karapatan sa mabilis na paglilitis:** Ang hindi makatwirang pagkaantala sa p"&amp;"aglilitis ay maaaring makapinsala sa depensa ng akusado. Ang legal na sistema ay dapat maghangad ng isang mabilis na resolusyon.
**Mga Tukoy na Safeguard para sa Mga Kaso sa Politika at Aktibista:**
* **Proportionality:** Ang parusa ay dapat na proporsyon"&amp;"al sa kalubhaan ng krimen. Ang mga menor de edad na pagkakasala sa panahon ng mga protesta ay hindi dapat magresulta sa labis na parusa.
* **Motive Test:** Sa ilang mga kaso, maaaring isaalang-alang ng mga korte ang motibo ng akusado, lalo na kung ang kan"&amp;"ilang mga aksyon ay nagmula sa isang paniniwala sa pulitika o pagnanais para sa pagbabago sa lipunan. * **Kalayaan sa Pagsasalita at Pagpupulong:** Ang mga batas ay dapat na makitid na iniakma upang tugunan ang karahasan o pinsala sa ari-arian, hindi mapa"&amp;"yapang protesta o pagpapahayag ng hindi pagsang-ayon.
**Mga Internasyonal na Instrumento:**
* **International Covenant on Civil and Political Rights (ICCPR):** Ang internasyonal na kasunduan na ito ay ginagarantiyahan ang mga pangunahing karapatang pantao"&amp;", kabilang ang mga nauugnay sa patas na paglilitis at kalayaan sa pagpapahayag. Ang mga bansang nagpatibay sa ICCPR ay obligadong itaguyod ang mga karapatang ito.
**Mga Hamon at Pagsasaalang-alang:**
* **Selective Application:** May panganib na ang mga ba"&amp;"tas ay maaaring gamitin nang pili upang i-target ang mga aktibista o patahimikin ang hindi pagsang-ayon. Napakahalaga para sa pagpapatupad ng batas at mga korte na ilapat ang batas nang patas at walang kinikilingan.
* **Pag-abuso sa Pre-Trial Detention:**"&amp;" Ang pagkulong nang walang paglilitis ay maaaring isang paglabag sa mga karapatan sa angkop na proseso. Dapat limitahan ng mga batas ang pre-trial detention sa mga seryosong kasalanan at tiyaking may access ang mga detenido sa legal na payo.
**Konteksto n"&amp;"g Pilipinas:**
Ang sistemang legal ng Pilipinas ay nagsasama ng marami sa mga nabanggit na pananggalang. Gayunpaman, umiiral ang mga alalahanin tungkol sa mahabang pre-trial na mga detensyon at ang potensyal para sa piling aplikasyon ng mga batas laban sa"&amp;" mga aktibista. **Kabuuan:**
Habang ang mga legal na pananggalang ay nasa lugar, ang pagtiyak sa kanilang pare-pareho at patas na aplikasyon ay nananatiling isang patuloy na hamon. Ang kamalayan ng publiko, matibay na mga institusyon, at isang masiglang l"&amp;"ipunang sibil ay mahalaga sa pagtataguyod ng mga karapatan ng mga indibidwal na inakusahan ng mga krimen na may kaugnayan sa pulitika o aktibista.")</f>
        <v>Mayroong ilang mga legal na pag-iingat upang protektahan ang mga karapatan ng mga indibidwal na inakusahan ng mga krimen na may kaugnayan sa pulitika o aktibista sa maraming bansa, kabilang ang Pilipinas:
**Nararapat na Proseso:**
* **Karapatan sa isang patas na paglilitis:** Ang akusado ay may karapatang litisin sa harap ng isang walang kinikilingan na hukuman ng batas at naroroon sa panahon ng paglilitis. * **Karapatan sa legal na representasyon:** Ang akusado ay may karapatan sa legal na tagapayo na kanilang pinili, o mabigyan ng isa kung hindi nila ito kayang bayaran. Tinitiyak nito na mayroon silang isang taong nakakaunawa sa legal na proseso at maaaring magsulong para sa kanilang mga karapatan.
* **Karapatang ituring na inosente:** Ang pasanin ng patunay ay nakasalalay sa prosekusyon upang patunayan ang pagkakasala ng akusado nang walang makatwirang pagdududa. Hindi kailangang patunayan ng akusado ang kanilang inosente.
* **Karapatan sa mabilis na paglilitis:** Ang hindi makatwirang pagkaantala sa paglilitis ay maaaring makapinsala sa depensa ng akusado. Ang legal na sistema ay dapat maghangad ng isang mabilis na resolusyon.
**Mga Tukoy na Safeguard para sa Mga Kaso sa Politika at Aktibista:**
* **Proportionality:** Ang parusa ay dapat na proporsyonal sa kalubhaan ng krimen. Ang mga menor de edad na pagkakasala sa panahon ng mga protesta ay hindi dapat magresulta sa labis na parusa.
* **Motive Test:** Sa ilang mga kaso, maaaring isaalang-alang ng mga korte ang motibo ng akusado, lalo na kung ang kanilang mga aksyon ay nagmula sa isang paniniwala sa pulitika o pagnanais para sa pagbabago sa lipunan. * **Kalayaan sa Pagsasalita at Pagpupulong:** Ang mga batas ay dapat na makitid na iniakma upang tugunan ang karahasan o pinsala sa ari-arian, hindi mapayapang protesta o pagpapahayag ng hindi pagsang-ayon.
**Mga Internasyonal na Instrumento:**
* **International Covenant on Civil and Political Rights (ICCPR):** Ang internasyonal na kasunduan na ito ay ginagarantiyahan ang mga pangunahing karapatang pantao, kabilang ang mga nauugnay sa patas na paglilitis at kalayaan sa pagpapahayag. Ang mga bansang nagpatibay sa ICCPR ay obligadong itaguyod ang mga karapatang ito.
**Mga Hamon at Pagsasaalang-alang:**
* **Selective Application:** May panganib na ang mga batas ay maaaring gamitin nang pili upang i-target ang mga aktibista o patahimikin ang hindi pagsang-ayon. Napakahalaga para sa pagpapatupad ng batas at mga korte na ilapat ang batas nang patas at walang kinikilingan.
* **Pag-abuso sa Pre-Trial Detention:** Ang pagkulong nang walang paglilitis ay maaaring isang paglabag sa mga karapatan sa angkop na proseso. Dapat limitahan ng mga batas ang pre-trial detention sa mga seryosong kasalanan at tiyaking may access ang mga detenido sa legal na payo.
**Konteksto ng Pilipinas:**
Ang sistemang legal ng Pilipinas ay nagsasama ng marami sa mga nabanggit na pananggalang. Gayunpaman, umiiral ang mga alalahanin tungkol sa mahabang pre-trial na mga detensyon at ang potensyal para sa piling aplikasyon ng mga batas laban sa mga aktibista. **Kabuuan:**
Habang ang mga legal na pananggalang ay nasa lugar, ang pagtiyak sa kanilang pare-pareho at patas na aplikasyon ay nananatiling isang patuloy na hamon. Ang kamalayan ng publiko, matibay na mga institusyon, at isang masiglang lipunang sibil ay mahalaga sa pagtataguyod ng mga karapatan ng mga indibidwal na inakusahan ng mga krimen na may kaugnayan sa pulitika o aktibista.</v>
      </c>
      <c r="F2417" s="2">
        <f t="shared" si="1"/>
        <v>0</v>
      </c>
      <c r="G2417" s="2"/>
      <c r="H2417" s="2"/>
      <c r="I2417" s="2"/>
      <c r="J2417" s="2"/>
      <c r="K2417" s="2"/>
      <c r="L2417" s="2"/>
      <c r="M2417" s="2"/>
      <c r="N2417" s="2"/>
      <c r="O2417" s="2"/>
      <c r="P2417" s="2"/>
      <c r="Q2417" s="2"/>
      <c r="R2417" s="2"/>
      <c r="S2417" s="2"/>
      <c r="T2417" s="2"/>
      <c r="U2417" s="2"/>
      <c r="V2417" s="2"/>
      <c r="W2417" s="2"/>
      <c r="X2417" s="2"/>
      <c r="Y2417" s="2"/>
      <c r="Z2417" s="2"/>
      <c r="AA2417" s="2"/>
    </row>
    <row r="2418">
      <c r="A2418" s="3" t="s">
        <v>5693</v>
      </c>
      <c r="B2418" s="1" t="s">
        <v>5802</v>
      </c>
      <c r="C2418" s="3" t="s">
        <v>5803</v>
      </c>
      <c r="D2418" s="2" t="str">
        <f>IFERROR(__xludf.DUMMYFUNCTION("GOOGLETRANSLATE(B2418, ""en"", ""TL"")"),"Paano tinutugunan ng batas ang paggamit ng dahas o karahasan sa pagsupil sa pampulitikang hindi pagsang-ayon o aktibismo?")</f>
        <v>Paano tinutugunan ng batas ang paggamit ng dahas o karahasan sa pagsupil sa pampulitikang hindi pagsang-ayon o aktibismo?</v>
      </c>
      <c r="E2418" s="2" t="str">
        <f>IFERROR(__xludf.DUMMYFUNCTION("GOOGLETRANSLATE(C2418, ""en"", ""TL"")"),"Sa pangkalahatan, ipinagbabawal ng batas ang paggamit ng puwersa o karahasan ng anumang entity, kabilang ang gobyerno, upang sugpuin ang pampulitikang hindi pagsang-ayon o aktibismo. Narito ang isang breakdown ng mga pangunahing legal na prinsipyo:
**Inte"&amp;"rnasyonal na Batas:**
* **Universal Declaration of Human Rights (UDHR):** Ang deklarasyong ito, na pinagtibay ng United Nations, ay ginagarantiyahan ang karapatan sa mapayapang pagpupulong at kalayaan sa pagpapahayag (Artikulo 19 &amp; 20). Ang pagsupil sa hi"&amp;"ndi pagsang-ayon sa pamamagitan ng karahasan ay lumalabag sa mga pangunahing karapatang ito.
* **International Covenant on Civil and Political Rights (ICCPR):** Katulad ng UDHR, ginagarantiyahan ng ICCPR ang mga karapatang ito at inoobliga ang mga bansang"&amp;" nagratipika nito na itaguyod ang mga ito.
**Mga Batas sa Bahay:**
* **Mga Pambansang Konstitusyon:** Karamihan sa mga demokratikong konstitusyon ay nagtataglay ng kalayaan sa pagpapahayag at pagpupulong. Ang paggamit ng karahasan laban sa mapayapang mga "&amp;"sumasalungat sa mga prinsipyong ito.
* **Tiyak na Batas:** Maaaring may mga batas ang ilang bansa na tahasang nagbabawal sa paggamit ng labis na puwersa ng mga nagpapatupad ng batas sa panahon ng mga protesta.
**Mga Prinsipyo ng Proporsyonalidad at Pangan"&amp;"gailangan:**
* **Proporsyonalidad:** Ang antas ng puwersa na ginagamit ng mga awtoridad ay dapat na proporsyonal sa banta ng mga nagpoprotesta. Ang puwersa ay dapat lamang gamitin bilang isang huling paraan at sa kaunting lawak na kinakailangan upang mapa"&amp;"natili ang kaayusan.
* **Kailangan:** Magagamit lang ang puwersa kung walang ibang paraan para makamit ang isang lehitimong layunin, gaya ng pagpigil sa karahasan o pinsala sa ari-arian.
**International Oversight:**
* **Mga Human Rights Organization:** An"&amp;"g mga organisasyon tulad ng Amnesty International at Human Rights Watch ay sumusubaybay at nag-uulat sa mga pang-aabuso sa karapatang pantao ng mga pamahalaan, kabilang ang labis na puwersa laban sa mga nagpoprotesta.
**Mga Hamon at Pagsasaalang-alang:**
"&amp;"* **Pagtukoy sa ""Payapang Protesta"":** Minsan, ang mga protesta ay maaaring maging marahas. Maaaring malabo ang linya sa pagitan ng mapayapang protesta at nangangailangan ng interbensyon, na humahantong sa mga pagtatalo tungkol sa paggamit ng dahas.
* *"&amp;"*Accountability:** Maaaring maging mahirap ang pagpapanagot sa mga awtoridad para sa labis na puwersa. Ang matatag na institusyon at independiyenteng hudikatura ay mahalaga.
**Mga Halimbawa:**
* **The United Nations Basic Principles on the Use of Force an"&amp;"d Firearms by Law Enforcement Officials:** Binabalangkas ng dokumentong ito ang mga prinsipyo para sa pagpapatupad ng batas na gumamit ng puwersa nang proporsyonal at sa paraang iginagalang ang mga karapatang pantao. **Kabuuan:**
Malinaw na hindi hinihika"&amp;"yat ng batas ang paggamit ng dahas o karahasan upang sugpuin ang hindi pagsang-ayon. Gayunpaman, ang pagpapatupad ng mga legal na prinsipyong ito at ang pagpapanagot sa mga lumalabag ay maaaring maging kumplikado. Ang mga internasyonal at lokal na mekanis"&amp;"mo ay may mahalagang papel sa pagtataguyod ng mapayapang diskurso at pagprotekta sa mga karapatan ng mga nagpoprotesta.")</f>
        <v>Sa pangkalahatan, ipinagbabawal ng batas ang paggamit ng puwersa o karahasan ng anumang entity, kabilang ang gobyerno, upang sugpuin ang pampulitikang hindi pagsang-ayon o aktibismo. Narito ang isang breakdown ng mga pangunahing legal na prinsipyo:
**Internasyonal na Batas:**
* **Universal Declaration of Human Rights (UDHR):** Ang deklarasyong ito, na pinagtibay ng United Nations, ay ginagarantiyahan ang karapatan sa mapayapang pagpupulong at kalayaan sa pagpapahayag (Artikulo 19 &amp; 20). Ang pagsupil sa hindi pagsang-ayon sa pamamagitan ng karahasan ay lumalabag sa mga pangunahing karapatang ito.
* **International Covenant on Civil and Political Rights (ICCPR):** Katulad ng UDHR, ginagarantiyahan ng ICCPR ang mga karapatang ito at inoobliga ang mga bansang nagratipika nito na itaguyod ang mga ito.
**Mga Batas sa Bahay:**
* **Mga Pambansang Konstitusyon:** Karamihan sa mga demokratikong konstitusyon ay nagtataglay ng kalayaan sa pagpapahayag at pagpupulong. Ang paggamit ng karahasan laban sa mapayapang mga sumasalungat sa mga prinsipyong ito.
* **Tiyak na Batas:** Maaaring may mga batas ang ilang bansa na tahasang nagbabawal sa paggamit ng labis na puwersa ng mga nagpapatupad ng batas sa panahon ng mga protesta.
**Mga Prinsipyo ng Proporsyonalidad at Pangangailangan:**
* **Proporsyonalidad:** Ang antas ng puwersa na ginagamit ng mga awtoridad ay dapat na proporsyonal sa banta ng mga nagpoprotesta. Ang puwersa ay dapat lamang gamitin bilang isang huling paraan at sa kaunting lawak na kinakailangan upang mapanatili ang kaayusan.
* **Kailangan:** Magagamit lang ang puwersa kung walang ibang paraan para makamit ang isang lehitimong layunin, gaya ng pagpigil sa karahasan o pinsala sa ari-arian.
**International Oversight:**
* **Mga Human Rights Organization:** Ang mga organisasyon tulad ng Amnesty International at Human Rights Watch ay sumusubaybay at nag-uulat sa mga pang-aabuso sa karapatang pantao ng mga pamahalaan, kabilang ang labis na puwersa laban sa mga nagpoprotesta.
**Mga Hamon at Pagsasaalang-alang:**
* **Pagtukoy sa "Payapang Protesta":** Minsan, ang mga protesta ay maaaring maging marahas. Maaaring malabo ang linya sa pagitan ng mapayapang protesta at nangangailangan ng interbensyon, na humahantong sa mga pagtatalo tungkol sa paggamit ng dahas.
* **Accountability:** Maaaring maging mahirap ang pagpapanagot sa mga awtoridad para sa labis na puwersa. Ang matatag na institusyon at independiyenteng hudikatura ay mahalaga.
**Mga Halimbawa:**
* **The United Nations Basic Principles on the Use of Force and Firearms by Law Enforcement Officials:** Binabalangkas ng dokumentong ito ang mga prinsipyo para sa pagpapatupad ng batas na gumamit ng puwersa nang proporsyonal at sa paraang iginagalang ang mga karapatang pantao. **Kabuuan:**
Malinaw na hindi hinihikayat ng batas ang paggamit ng dahas o karahasan upang sugpuin ang hindi pagsang-ayon. Gayunpaman, ang pagpapatupad ng mga legal na prinsipyong ito at ang pagpapanagot sa mga lumalabag ay maaaring maging kumplikado. Ang mga internasyonal at lokal na mekanismo ay may mahalagang papel sa pagtataguyod ng mapayapang diskurso at pagprotekta sa mga karapatan ng mga nagpoprotesta.</v>
      </c>
      <c r="F2418" s="2">
        <f t="shared" si="1"/>
        <v>0</v>
      </c>
      <c r="G2418" s="2"/>
      <c r="H2418" s="2"/>
      <c r="I2418" s="2"/>
      <c r="J2418" s="2"/>
      <c r="K2418" s="2"/>
      <c r="L2418" s="2"/>
      <c r="M2418" s="2"/>
      <c r="N2418" s="2"/>
      <c r="O2418" s="2"/>
      <c r="P2418" s="2"/>
      <c r="Q2418" s="2"/>
      <c r="R2418" s="2"/>
      <c r="S2418" s="2"/>
      <c r="T2418" s="2"/>
      <c r="U2418" s="2"/>
      <c r="V2418" s="2"/>
      <c r="W2418" s="2"/>
      <c r="X2418" s="2"/>
      <c r="Y2418" s="2"/>
      <c r="Z2418" s="2"/>
      <c r="AA2418" s="2"/>
    </row>
    <row r="2419">
      <c r="A2419" s="3" t="s">
        <v>5693</v>
      </c>
      <c r="B2419" s="1" t="s">
        <v>5804</v>
      </c>
      <c r="C2419" s="3" t="s">
        <v>5805</v>
      </c>
      <c r="D2419" s="2" t="str">
        <f>IFERROR(__xludf.DUMMYFUNCTION("GOOGLETRANSLATE(B2419, ""en"", ""TL"")"),"Anong mga hakbang ang inilalagay upang maiwasan at matugunan ang cyberbullying at online na panliligalig laban sa mga politiko o aktibista?")</f>
        <v>Anong mga hakbang ang inilalagay upang maiwasan at matugunan ang cyberbullying at online na panliligalig laban sa mga politiko o aktibista?</v>
      </c>
      <c r="E2419" s="2" t="str">
        <f>IFERROR(__xludf.DUMMYFUNCTION("GOOGLETRANSLATE(C2419, ""en"", ""TL"")"),"Ang cyberbullying at online na panliligalig laban sa mga politiko at aktibista ay may kinalaman sa mga isyu. Narito ang isang pagtingin sa ilang mga hakbang sa lugar upang maiwasan at matugunan ang mga ito:
**Mga Pagsukat sa Antas ng Platform:**
* **Pag-m"&amp;"oderate ng nilalaman:** Ang mga platform ng social media ay may mga patakaran sa pag-moderate ng nilalaman na maaaring nagbabawal sa mapang-abusong pananalita, pagbabanta, at mapoot na salita. Maaari nilang alisin ang naturang nilalaman at suspindihin o i"&amp;"pagbawal ang mga umuulit na nagkasala. Gayunpaman, maaaring hindi pare-pareho ang pagpapatupad at magtaas ng mga alalahanin tungkol sa censorship.
* **Mga mekanismo ng pag-uulat:** Nag-aalok ang mga platform ng mga tool sa pag-uulat para sa mga user na ma"&amp;"g-ulat ng panliligalig. Sa isip, ang mga system na ito ay dapat na madaling gamitin, na may malinaw na mga alituntunin sa pag-uulat at mahusay na mga oras ng pagtugon. * **Transparency reports:** Ang ilang platform ay nag-publish ng mga transparency repor"&amp;"t na nagdedetalye sa dami ng content na inalis at mga account na nasuspinde dahil sa paglabag sa mga alituntunin ng komunidad. Maaari itong magbigay ng liwanag sa lawak ng problema at mga pagsisikap ng platform.
**Mga Legal na Panukala:**
* **Mga batas sa"&amp;" cyberbullying:** Maraming bansa ang may mga batas laban sa cyberbullying, na maaaring malapat sa online na panliligalig sa mga pampublikong tao. Gayunpaman, ang mga batas na ito ay maaaring hindi partikular na iniakma upang tugunan ang mga natatanging ha"&amp;"mon na kinakaharap ng mga politiko at aktibista.
* **Mga batas sa paninirang-puri:** Maaaring gamitin ang mga batas sa paninirang-puri upang magdemanda para sa pinsala sa reputasyon na dulot ng online na panliligalig. Gayunpaman, ang mga batas na ito ay m"&amp;"aaaring maging kumplikado at magastos upang i-navigate, at maaaring magkaroon ng nakakapanghinayang epekto sa malayang pananalita.
**Mga Indibidwal na Istratehiya:**
* **Makapal na balat:** Ang pagbuo ng katatagan at pagbabalewala sa maliit na panliligali"&amp;"g ay maaaring maging isang diskarte. Gayunpaman, maaaring mahirap balewalain ang patuloy o matinding pang-aabuso.
* **Pagba-block at pag-mute:** Ang mga platform ay kadalasang nagbibigay ng mga opsyon upang harangan ang mga mapang-abusong account at i-mut"&amp;"e ang mga keyword upang limitahan ang pagkakalantad sa negatibiti.
* **Nagpapahinga:** Ang paglayo sa social media saglit ay maaaring kailanganin upang mapanatili ang mental na kagalingan.
**Mga Hamon at Pagsasaalang-alang:**
* **Anonymity:** Ang online a"&amp;"nonymity ay nagbibigay ng kapangyarihan sa mga troll at ginagawang mahirap na tukuyin at panagutin sila.
* **Mabilis na pagkalat ng content:** Maaaring mabilis na kumalat ang panliligalig online, na nagpapahirap sa pagpigil sa pinsala.
* **Hirap sa pagtuk"&amp;"oy ng panliligalig:** Ang linya sa pagitan ng matatag na pagpuna at online na panliligalig ay maaaring malabo. * **Nakakalamig na epekto sa malayang pananalita:** Ang mga hakbang upang matugunan ang panliligalig ay hindi dapat pigilan ang lehitimong pagpu"&amp;"na o hindi pagsang-ayon.
**Inaasahan:**
* **Platform accountability:** Tumaas na presyon sa mga social media platform upang epektibong ipatupad ang kanilang mga patakaran at bumuo ng mas mahusay na mga sistema ng pag-uulat.
* **Mga solusyong pambatas:** P"&amp;"agbuo ng mga legal na balangkas na partikular na tumutugon sa online na panliligalig, habang pinangangalagaan ang kalayaan sa pagpapahayag.
* **Mga kampanya sa edukasyon at kamalayan:** Pagtuturo sa mga user tungkol sa online na etiquette at responsableng"&amp;" online na pag-uugali.
Sa pangkalahatan, walang solong solusyon sa cyberbullying at online na panliligalig. Ang isang kumbinasyon ng mga hakbang sa antas ng platform, mga legal na balangkas, mga indibidwal na estratehiya, at mga kampanya ng kamalayan sa p"&amp;"ubliko ay kinakailangan upang lumikha ng isang mas ligtas na kapaligiran sa online para sa mga pulitikal na pigura at aktibista upang makisali sa pampublikong diskurso.")</f>
        <v>Ang cyberbullying at online na panliligalig laban sa mga politiko at aktibista ay may kinalaman sa mga isyu. Narito ang isang pagtingin sa ilang mga hakbang sa lugar upang maiwasan at matugunan ang mga ito:
**Mga Pagsukat sa Antas ng Platform:**
* **Pag-moderate ng nilalaman:** Ang mga platform ng social media ay may mga patakaran sa pag-moderate ng nilalaman na maaaring nagbabawal sa mapang-abusong pananalita, pagbabanta, at mapoot na salita. Maaari nilang alisin ang naturang nilalaman at suspindihin o ipagbawal ang mga umuulit na nagkasala. Gayunpaman, maaaring hindi pare-pareho ang pagpapatupad at magtaas ng mga alalahanin tungkol sa censorship.
* **Mga mekanismo ng pag-uulat:** Nag-aalok ang mga platform ng mga tool sa pag-uulat para sa mga user na mag-ulat ng panliligalig. Sa isip, ang mga system na ito ay dapat na madaling gamitin, na may malinaw na mga alituntunin sa pag-uulat at mahusay na mga oras ng pagtugon. * **Transparency reports:** Ang ilang platform ay nag-publish ng mga transparency report na nagdedetalye sa dami ng content na inalis at mga account na nasuspinde dahil sa paglabag sa mga alituntunin ng komunidad. Maaari itong magbigay ng liwanag sa lawak ng problema at mga pagsisikap ng platform.
**Mga Legal na Panukala:**
* **Mga batas sa cyberbullying:** Maraming bansa ang may mga batas laban sa cyberbullying, na maaaring malapat sa online na panliligalig sa mga pampublikong tao. Gayunpaman, ang mga batas na ito ay maaaring hindi partikular na iniakma upang tugunan ang mga natatanging hamon na kinakaharap ng mga politiko at aktibista.
* **Mga batas sa paninirang-puri:** Maaaring gamitin ang mga batas sa paninirang-puri upang magdemanda para sa pinsala sa reputasyon na dulot ng online na panliligalig. Gayunpaman, ang mga batas na ito ay maaaring maging kumplikado at magastos upang i-navigate, at maaaring magkaroon ng nakakapanghinayang epekto sa malayang pananalita.
**Mga Indibidwal na Istratehiya:**
* **Makapal na balat:** Ang pagbuo ng katatagan at pagbabalewala sa maliit na panliligalig ay maaaring maging isang diskarte. Gayunpaman, maaaring mahirap balewalain ang patuloy o matinding pang-aabuso.
* **Pagba-block at pag-mute:** Ang mga platform ay kadalasang nagbibigay ng mga opsyon upang harangan ang mga mapang-abusong account at i-mute ang mga keyword upang limitahan ang pagkakalantad sa negatibiti.
* **Nagpapahinga:** Ang paglayo sa social media saglit ay maaaring kailanganin upang mapanatili ang mental na kagalingan.
**Mga Hamon at Pagsasaalang-alang:**
* **Anonymity:** Ang online anonymity ay nagbibigay ng kapangyarihan sa mga troll at ginagawang mahirap na tukuyin at panagutin sila.
* **Mabilis na pagkalat ng content:** Maaaring mabilis na kumalat ang panliligalig online, na nagpapahirap sa pagpigil sa pinsala.
* **Hirap sa pagtukoy ng panliligalig:** Ang linya sa pagitan ng matatag na pagpuna at online na panliligalig ay maaaring malabo. * **Nakakalamig na epekto sa malayang pananalita:** Ang mga hakbang upang matugunan ang panliligalig ay hindi dapat pigilan ang lehitimong pagpuna o hindi pagsang-ayon.
**Inaasahan:**
* **Platform accountability:** Tumaas na presyon sa mga social media platform upang epektibong ipatupad ang kanilang mga patakaran at bumuo ng mas mahusay na mga sistema ng pag-uulat.
* **Mga solusyong pambatas:** Pagbuo ng mga legal na balangkas na partikular na tumutugon sa online na panliligalig, habang pinangangalagaan ang kalayaan sa pagpapahayag.
* **Mga kampanya sa edukasyon at kamalayan:** Pagtuturo sa mga user tungkol sa online na etiquette at responsableng online na pag-uugali.
Sa pangkalahatan, walang solong solusyon sa cyberbullying at online na panliligalig. Ang isang kumbinasyon ng mga hakbang sa antas ng platform, mga legal na balangkas, mga indibidwal na estratehiya, at mga kampanya ng kamalayan sa publiko ay kinakailangan upang lumikha ng isang mas ligtas na kapaligiran sa online para sa mga pulitikal na pigura at aktibista upang makisali sa pampublikong diskurso.</v>
      </c>
      <c r="F2419" s="2">
        <f t="shared" si="1"/>
        <v>0</v>
      </c>
      <c r="G2419" s="2"/>
      <c r="H2419" s="2"/>
      <c r="I2419" s="2"/>
      <c r="J2419" s="2"/>
      <c r="K2419" s="2"/>
      <c r="L2419" s="2"/>
      <c r="M2419" s="2"/>
      <c r="N2419" s="2"/>
      <c r="O2419" s="2"/>
      <c r="P2419" s="2"/>
      <c r="Q2419" s="2"/>
      <c r="R2419" s="2"/>
      <c r="S2419" s="2"/>
      <c r="T2419" s="2"/>
      <c r="U2419" s="2"/>
      <c r="V2419" s="2"/>
      <c r="W2419" s="2"/>
      <c r="X2419" s="2"/>
      <c r="Y2419" s="2"/>
      <c r="Z2419" s="2"/>
      <c r="AA2419" s="2"/>
    </row>
    <row r="2420">
      <c r="A2420" s="3" t="s">
        <v>5693</v>
      </c>
      <c r="B2420" s="1" t="s">
        <v>5806</v>
      </c>
      <c r="C2420" s="3" t="s">
        <v>5807</v>
      </c>
      <c r="D2420" s="2" t="str">
        <f>IFERROR(__xludf.DUMMYFUNCTION("GOOGLETRANSLATE(B2420, ""en"", ""TL"")"),"Paano kinokontrol ng batas ng Pilipinas ang paggamit ng mga pampublikong mapagkukunan para sa mga layuning pampulitika o elektoral?")</f>
        <v>Paano kinokontrol ng batas ng Pilipinas ang paggamit ng mga pampublikong mapagkukunan para sa mga layuning pampulitika o elektoral?</v>
      </c>
      <c r="E2420" s="2" t="str">
        <f>IFERROR(__xludf.DUMMYFUNCTION("GOOGLETRANSLATE(C2420, ""en"", ""TL"")"),"Ang Pilipinas ay may ilang mga hakbang upang ayusin ang paggamit ng mga pampublikong mapagkukunan para sa mga layuning pampulitika o elektoral. Narito ang isang breakdown ng mga pangunahing punto:
**Prinsipyo ng Konstitusyon:**
* **Ang 1987 Philippine Con"&amp;"stitution** ay naglalaman ng prinsipyo na ang pampublikong pondo ay dapat gamitin lamang para sa kapakanan ng publiko, hindi para sa pansariling pakinabang o pampulitika na kalamangan. **Pangunahing Legal na Probisyon:**
* **Republic Act No. 9006, o ang F"&amp;"air Election Act:** Ang batas na ito ay nagbabawal sa mga partidong pampulitika sa paggamit ng mga mapagkukunan ng estado para sa pangangampanya, kabilang ang:
* Pondo ng gobyerno
* Pampublikong pasilidad at ari-arian
* Mga serbisyo sa koreo
* Mga sasakya"&amp;"n ng pamahalaan, kompyuter, at iba pang kagamitan
**Ibang Kaugnay na Batas:**
* **Ang Anti-Graft and Corrupt Practices Act (RA No. 3019):** Ipinagbabawal ng batas na ito ang mga pampublikong opisyal na gamitin ang kanilang posisyon para sa personal na kap"&amp;"akanan, na maaaring kabilang ang paggamit ng pampublikong mapagkukunan para sa mga layuning pampulitika.
* **Ang Kodigo ng Pag-uugali at Mga Pamantayan sa Etika para sa mga Pampublikong Opisyal at Empleyado (RA No. 6713):** Ang batas na ito ay nagtatatag "&amp;"ng mga pamantayang etikal para sa mga pampublikong opisyal, na nagsusulong ng transparency at hindi hinihikayat ang paggamit ng pampublikong opisina para sa personal o pampulitika na benepisyo.
**Mga Mekanismo ng Pagpapatupad:**
* **Ang Commission on Elec"&amp;"tions (COMELEC):** Ang katawan na ito ay may pananagutan sa pagpapatupad ng mga batas sa halalan, kabilang ang mga nauugnay sa paggamit ng mga pampublikong mapagkukunan. Maaari silang mag-imbestiga ng mga reklamo at magpataw ng mga parusa, tulad ng pag-di"&amp;"squalify sa opisina.
* **Ang Opisina ng Ombudsman:** Ang independyenteng katawan na ito ay nag-iimbestiga sa mga reklamo laban sa mga pampublikong opisyal para sa mga paglabag, kabilang ang maling paggamit ng mga pampublikong mapagkukunan.
**Mga Hamon at "&amp;"Pagsasaalang-alang:**
* **Mga kahirapan sa pagpapatunay ng maling paggamit:** Maaaring maging mahirap na mangalap ng konkretong ebidensya na ang mga pampublikong mapagkukunan ay ginamit lamang para sa mga layuning pampulitika. * **Kultura ng patronage pol"&amp;"itics:** Isang kultura ng pagtangkilik, kung saan ang mga mapagkukunan ng pamahalaan ay ipinagpapalit para sa pampulitikang suporta, ay maaaring nakatanim sa ilang mga lugar.
* **Selektif na pagpapatupad:** Umiiral ang mga alalahanin tungkol sa potensyal "&amp;"para sa piling pagpapatupad ng mga batas, depende sa political affiliation ng akusado.
**Inaasahan:**
* **Pagpapalakas ng mga mekanismo sa pagpapatupad:** Ang mga pagsisikap na i-streamline ang mga pagsisiyasat at matiyak ang pananagutan para sa mga pagla"&amp;"bag ay mahalaga.
* **Mga kampanya ng pampublikong kamalayan:** Ang pagtuturo sa mga mamamayan tungkol sa kanilang mga karapatan at paghikayat sa kanila na mag-ulat ng maling paggamit ng mga pampublikong mapagkukunan ay maaaring magpalakas ng pagpapatupad."&amp;"
* **Teknolohiya at transparency:** Ang paggamit ng teknolohiya upang pahusayin ang transparency sa paggasta ng pamahalaan ay maaaring makatulong sa pagpigil sa maling paggamit ng mga pampublikong pondo. Ang Pilipinas ay may legal na balangkas na inilalag"&amp;"ay upang ayusin ang paggamit ng mga pampublikong mapagkukunan para sa mga layuning pampulitika. Gayunpaman, ang pare-parehong pagpapatupad, pagbabago sa kulturang pampulitika, at pagbabantay ng publiko ay kinakailangan upang matiyak na ang mga pondo ng pu"&amp;"bliko ay ginagamit para sa kanilang nilalayon na layunin - ang paglilingkod sa mamamayang Pilipino.")</f>
        <v>Ang Pilipinas ay may ilang mga hakbang upang ayusin ang paggamit ng mga pampublikong mapagkukunan para sa mga layuning pampulitika o elektoral. Narito ang isang breakdown ng mga pangunahing punto:
**Prinsipyo ng Konstitusyon:**
* **Ang 1987 Philippine Constitution** ay naglalaman ng prinsipyo na ang pampublikong pondo ay dapat gamitin lamang para sa kapakanan ng publiko, hindi para sa pansariling pakinabang o pampulitika na kalamangan. **Pangunahing Legal na Probisyon:**
* **Republic Act No. 9006, o ang Fair Election Act:** Ang batas na ito ay nagbabawal sa mga partidong pampulitika sa paggamit ng mga mapagkukunan ng estado para sa pangangampanya, kabilang ang:
* Pondo ng gobyerno
* Pampublikong pasilidad at ari-arian
* Mga serbisyo sa koreo
* Mga sasakyan ng pamahalaan, kompyuter, at iba pang kagamitan
**Ibang Kaugnay na Batas:**
* **Ang Anti-Graft and Corrupt Practices Act (RA No. 3019):** Ipinagbabawal ng batas na ito ang mga pampublikong opisyal na gamitin ang kanilang posisyon para sa personal na kapakanan, na maaaring kabilang ang paggamit ng pampublikong mapagkukunan para sa mga layuning pampulitika.
* **Ang Kodigo ng Pag-uugali at Mga Pamantayan sa Etika para sa mga Pampublikong Opisyal at Empleyado (RA No. 6713):** Ang batas na ito ay nagtatatag ng mga pamantayang etikal para sa mga pampublikong opisyal, na nagsusulong ng transparency at hindi hinihikayat ang paggamit ng pampublikong opisina para sa personal o pampulitika na benepisyo.
**Mga Mekanismo ng Pagpapatupad:**
* **Ang Commission on Elections (COMELEC):** Ang katawan na ito ay may pananagutan sa pagpapatupad ng mga batas sa halalan, kabilang ang mga nauugnay sa paggamit ng mga pampublikong mapagkukunan. Maaari silang mag-imbestiga ng mga reklamo at magpataw ng mga parusa, tulad ng pag-disqualify sa opisina.
* **Ang Opisina ng Ombudsman:** Ang independyenteng katawan na ito ay nag-iimbestiga sa mga reklamo laban sa mga pampublikong opisyal para sa mga paglabag, kabilang ang maling paggamit ng mga pampublikong mapagkukunan.
**Mga Hamon at Pagsasaalang-alang:**
* **Mga kahirapan sa pagpapatunay ng maling paggamit:** Maaaring maging mahirap na mangalap ng konkretong ebidensya na ang mga pampublikong mapagkukunan ay ginamit lamang para sa mga layuning pampulitika. * **Kultura ng patronage politics:** Isang kultura ng pagtangkilik, kung saan ang mga mapagkukunan ng pamahalaan ay ipinagpapalit para sa pampulitikang suporta, ay maaaring nakatanim sa ilang mga lugar.
* **Selektif na pagpapatupad:** Umiiral ang mga alalahanin tungkol sa potensyal para sa piling pagpapatupad ng mga batas, depende sa political affiliation ng akusado.
**Inaasahan:**
* **Pagpapalakas ng mga mekanismo sa pagpapatupad:** Ang mga pagsisikap na i-streamline ang mga pagsisiyasat at matiyak ang pananagutan para sa mga paglabag ay mahalaga.
* **Mga kampanya ng pampublikong kamalayan:** Ang pagtuturo sa mga mamamayan tungkol sa kanilang mga karapatan at paghikayat sa kanila na mag-ulat ng maling paggamit ng mga pampublikong mapagkukunan ay maaaring magpalakas ng pagpapatupad.
* **Teknolohiya at transparency:** Ang paggamit ng teknolohiya upang pahusayin ang transparency sa paggasta ng pamahalaan ay maaaring makatulong sa pagpigil sa maling paggamit ng mga pampublikong pondo. Ang Pilipinas ay may legal na balangkas na inilalagay upang ayusin ang paggamit ng mga pampublikong mapagkukunan para sa mga layuning pampulitika. Gayunpaman, ang pare-parehong pagpapatupad, pagbabago sa kulturang pampulitika, at pagbabantay ng publiko ay kinakailangan upang matiyak na ang mga pondo ng publiko ay ginagamit para sa kanilang nilalayon na layunin - ang paglilingkod sa mamamayang Pilipino.</v>
      </c>
      <c r="F2420" s="2">
        <f t="shared" si="1"/>
        <v>0</v>
      </c>
      <c r="G2420" s="2"/>
      <c r="H2420" s="2"/>
      <c r="I2420" s="2"/>
      <c r="J2420" s="2"/>
      <c r="K2420" s="2"/>
      <c r="L2420" s="2"/>
      <c r="M2420" s="2"/>
      <c r="N2420" s="2"/>
      <c r="O2420" s="2"/>
      <c r="P2420" s="2"/>
      <c r="Q2420" s="2"/>
      <c r="R2420" s="2"/>
      <c r="S2420" s="2"/>
      <c r="T2420" s="2"/>
      <c r="U2420" s="2"/>
      <c r="V2420" s="2"/>
      <c r="W2420" s="2"/>
      <c r="X2420" s="2"/>
      <c r="Y2420" s="2"/>
      <c r="Z2420" s="2"/>
      <c r="AA2420" s="2"/>
    </row>
    <row r="2421">
      <c r="A2421" s="3" t="s">
        <v>5693</v>
      </c>
      <c r="B2421" s="1" t="s">
        <v>5808</v>
      </c>
      <c r="C2421" s="3" t="s">
        <v>5809</v>
      </c>
      <c r="D2421" s="2" t="str">
        <f>IFERROR(__xludf.DUMMYFUNCTION("GOOGLETRANSLATE(B2421, ""en"", ""TL"")"),"Anong mga legal na aksyon ang maaaring gawin laban sa mga indibidwal na nagsasagawa ng character assassination laban sa mga political figure o aktibista?")</f>
        <v>Anong mga legal na aksyon ang maaaring gawin laban sa mga indibidwal na nagsasagawa ng character assassination laban sa mga political figure o aktibista?</v>
      </c>
      <c r="E2421" s="2" t="str">
        <f>IFERROR(__xludf.DUMMYFUNCTION("GOOGLETRANSLATE(C2421, ""en"", ""TL"")"),"Ang character assassination, na kilala rin bilang paninirang-puri o libelo, laban sa mga political figure o aktibista sa Pilipinas ay maaaring magkaroon ng legal na kahihinatnan. Narito ang mga legal na aksyon na maaaring gawin laban sa mga indibidwal na "&amp;"sangkot sa pagpatay ng karakter:
1. Sibil na Reklamo para sa Libel: Ang biktima ng character assassination ay maaaring magsampa ng reklamong sibil para sa libel laban sa mga indibidwal na responsable sa paggawa ng mga pahayag na mapanirang-puri. Ang li"&amp;"bel ay tinukoy bilang pampubliko at malisyosong pagpaparatang ng isang krimen, o ng isang bisyo o depekto, totoo o haka-haka, o anumang kilos, pagkukulang, kundisyon, katayuan, o pangyayari na may posibilidad na magdulot ng kahihiyan, kasiraan, o paghamak"&amp;" sa isang natural o juridical person, o para itim ang alaala ng isang patay na. Ang mga biktima ay maaaring humingi ng danyos para sa pinsala sa reputasyon, emosyonal na pagkabalisa, at iba pang pagkalugi na dulot ng paninirang-puri.
2. Kriminal na Rek"&amp;"lamo para sa Libel: Bilang karagdagan sa mga remedyong sibil, ang mga biktima ay maaari ding magsampa ng mga reklamong kriminal para sa libel sa ilalim ng Binagong Kodigo Penal ng Pilipinas. Ang libel ay itinuturing na isang kriminal na pagkakasala na maa"&amp;"aring parusahan ng pagkakulong at multa. Ang naagrabyado na partido ay maaaring magsampa ng isang kriminal na reklamo sa naaangkop na mga awtoridad sa pagpapatupad ng batas para sa pagsisiyasat at pag-uusig sa mga indibidwal na responsable para sa mapanir"&amp;"ang-puri na mga pahayag.
3. Cyber ​​Libel: Kung ang mga pahayag na mapanirang-puri ay ginawa sa pamamagitan ng mga elektronikong paraan, tulad ng social media o online na mga platform, maaaring ilapat ang Cybercrime Prevention Act of 2012 (RA 10175). A"&amp;"ng cyber libel ay tinukoy bilang ang labag sa batas o ipinagbabawal na mga gawain ng libel gaya ng tinukoy sa Artikulo 355 ng Binagong Kodigo Penal, bilang susugan, ginawa sa pamamagitan ng isang computer system o anumang iba pang katulad na paraan na maa"&amp;"aring malikha sa hinaharap.
4. Human Rights Complaint: Ang mga biktima ng character assassination ay maaaring magsampa ng mga reklamo sa Commission on Human Rights (CHR) kung ang paninirang-puri ay lumalabag sa kanilang karapatang pantao, kabilang ang "&amp;"karapatan sa reputasyon at dignidad. Ang CHR ay may awtoridad na mag-imbestiga sa mga paglabag sa karapatang pantao, kabilang ang mga kaso ng paninirang-puri, at magrekomenda ng mga hakbang upang matugunan ang mga naturang paglabag.
5. Regulasyon ng Me"&amp;"dia: Ang mga mapanirang pahayag na ginawa sa pamamagitan ng tradisyonal na mga channel ng media, tulad ng mga pahayagan, telebisyon, o radyo, ay maaaring lumabag sa etika at pamantayan ng media. Maaaring magsampa ng mga reklamo ang mga biktima sa mga regu"&amp;"latory body ng media, tulad ng Philippine Press Council o Movie and Television Review and Classification Board (MTRCB), para sa paglabag sa etika at pamantayan ng media.
Sa pangkalahatan, ang mga biktima ng character assassination ay may legal na paraa"&amp;"n sa pamamagitan ng sibil at kriminal na mga remedyo, gayundin sa pamamagitan ng mga mekanismo ng regulasyon at mga proteksyon sa karapatang pantao, upang matugunan ang paninirang-puri at protektahan ang kanilang reputasyon at mga karapatan.")</f>
        <v>Ang character assassination, na kilala rin bilang paninirang-puri o libelo, laban sa mga political figure o aktibista sa Pilipinas ay maaaring magkaroon ng legal na kahihinatnan. Narito ang mga legal na aksyon na maaaring gawin laban sa mga indibidwal na sangkot sa pagpatay ng karakter:
1. Sibil na Reklamo para sa Libel: Ang biktima ng character assassination ay maaaring magsampa ng reklamong sibil para sa libel laban sa mga indibidwal na responsable sa paggawa ng mga pahayag na mapanirang-puri. Ang libel ay tinukoy bilang pampubliko at malisyosong pagpaparatang ng isang krimen, o ng isang bisyo o depekto, totoo o haka-haka, o anumang kilos, pagkukulang, kundisyon, katayuan, o pangyayari na may posibilidad na magdulot ng kahihiyan, kasiraan, o paghamak sa isang natural o juridical person, o para itim ang alaala ng isang patay na. Ang mga biktima ay maaaring humingi ng danyos para sa pinsala sa reputasyon, emosyonal na pagkabalisa, at iba pang pagkalugi na dulot ng paninirang-puri.
2. Kriminal na Reklamo para sa Libel: Bilang karagdagan sa mga remedyong sibil, ang mga biktima ay maaari ding magsampa ng mga reklamong kriminal para sa libel sa ilalim ng Binagong Kodigo Penal ng Pilipinas. Ang libel ay itinuturing na isang kriminal na pagkakasala na maaaring parusahan ng pagkakulong at multa. Ang naagrabyado na partido ay maaaring magsampa ng isang kriminal na reklamo sa naaangkop na mga awtoridad sa pagpapatupad ng batas para sa pagsisiyasat at pag-uusig sa mga indibidwal na responsable para sa mapanirang-puri na mga pahayag.
3. Cyber ​​Libel: Kung ang mga pahayag na mapanirang-puri ay ginawa sa pamamagitan ng mga elektronikong paraan, tulad ng social media o online na mga platform, maaaring ilapat ang Cybercrime Prevention Act of 2012 (RA 10175). Ang cyber libel ay tinukoy bilang ang labag sa batas o ipinagbabawal na mga gawain ng libel gaya ng tinukoy sa Artikulo 355 ng Binagong Kodigo Penal, bilang susugan, ginawa sa pamamagitan ng isang computer system o anumang iba pang katulad na paraan na maaaring malikha sa hinaharap.
4. Human Rights Complaint: Ang mga biktima ng character assassination ay maaaring magsampa ng mga reklamo sa Commission on Human Rights (CHR) kung ang paninirang-puri ay lumalabag sa kanilang karapatang pantao, kabilang ang karapatan sa reputasyon at dignidad. Ang CHR ay may awtoridad na mag-imbestiga sa mga paglabag sa karapatang pantao, kabilang ang mga kaso ng paninirang-puri, at magrekomenda ng mga hakbang upang matugunan ang mga naturang paglabag.
5. Regulasyon ng Media: Ang mga mapanirang pahayag na ginawa sa pamamagitan ng tradisyonal na mga channel ng media, tulad ng mga pahayagan, telebisyon, o radyo, ay maaaring lumabag sa etika at pamantayan ng media. Maaaring magsampa ng mga reklamo ang mga biktima sa mga regulatory body ng media, tulad ng Philippine Press Council o Movie and Television Review and Classification Board (MTRCB), para sa paglabag sa etika at pamantayan ng media.
Sa pangkalahatan, ang mga biktima ng character assassination ay may legal na paraan sa pamamagitan ng sibil at kriminal na mga remedyo, gayundin sa pamamagitan ng mga mekanismo ng regulasyon at mga proteksyon sa karapatang pantao, upang matugunan ang paninirang-puri at protektahan ang kanilang reputasyon at mga karapatan.</v>
      </c>
      <c r="F2421" s="2">
        <f t="shared" si="1"/>
        <v>0</v>
      </c>
      <c r="G2421" s="2"/>
      <c r="H2421" s="2"/>
      <c r="I2421" s="2"/>
      <c r="J2421" s="2"/>
      <c r="K2421" s="2"/>
      <c r="L2421" s="2"/>
      <c r="M2421" s="2"/>
      <c r="N2421" s="2"/>
      <c r="O2421" s="2"/>
      <c r="P2421" s="2"/>
      <c r="Q2421" s="2"/>
      <c r="R2421" s="2"/>
      <c r="S2421" s="2"/>
      <c r="T2421" s="2"/>
      <c r="U2421" s="2"/>
      <c r="V2421" s="2"/>
      <c r="W2421" s="2"/>
      <c r="X2421" s="2"/>
      <c r="Y2421" s="2"/>
      <c r="Z2421" s="2"/>
      <c r="AA2421" s="2"/>
    </row>
    <row r="2422">
      <c r="A2422" s="3" t="s">
        <v>5693</v>
      </c>
      <c r="B2422" s="1" t="s">
        <v>5810</v>
      </c>
      <c r="C2422" s="3" t="s">
        <v>5811</v>
      </c>
      <c r="D2422" s="2" t="str">
        <f>IFERROR(__xludf.DUMMYFUNCTION("GOOGLETRANSLATE(B2422, ""en"", ""TL"")"),"Paano kinokontrol at pinaparusahan ang mga krimen tulad ng iligal na pag-aari ng mga baril sa konteksto ng mga aktibidad sa pulitika?")</f>
        <v>Paano kinokontrol at pinaparusahan ang mga krimen tulad ng iligal na pag-aari ng mga baril sa konteksto ng mga aktibidad sa pulitika?</v>
      </c>
      <c r="E2422" s="2" t="str">
        <f>IFERROR(__xludf.DUMMYFUNCTION("GOOGLETRANSLATE(C2422, ""en"", ""TL"")"),"Ang regulasyon at parusa ng ilegal na pag-aari ng baril sa panahon ng mga gawaing pampulitika ay lubos na nakadepende sa lokasyon. Narito ang isang breakdown:
**Mga Pangkalahatang Batas:**
* Karamihan sa mga bansa at rehiyon ay may mga batas laban sa ileg"&amp;"al na pagmamay-ari ng mga baril. Nalalapat ang mga batayang batas na ito anuman ang konteksto, kabilang ang mga aktibidad sa pulitika. Ang mga parusa ay maaaring mula sa mga multa hanggang sa pagkakulong depende sa kalubhaan ng pagkakasala.
**Mga Detalye "&amp;"ng Pampulitika na Aktibidad:**
* Ang ilang mga lugar ay may mas mahigpit na mga regulasyon sa paligid ng mga baril sa panahon ng pulitikal na pagtitipon, protesta, o demonstrasyon. Maaaring kabilang dito ang mga pansamantalang pagbabawal sa pagdadala ng m"&amp;"ga baril sa mga partikular na zone o sa mga partikular na kaganapan. * Ang paglabag sa mga regulasyong ito ay maaaring magresulta sa mga karagdagang singil bukod pa sa mga pangkalahatang ilegal na pagmamay-ari. **Mga Pagsasaalang-alang ng Pahintulot:**
* "&amp;"Maaaring may mga paghihigpit ang mga may hawak ng permit kung kailan at saan nila maaaring dalhin ang kanilang mga baril. Ang mga aktibidad sa pulitika sa ilang partikular na lugar ay maaaring lumabag sa mga limitasyon sa permit na ito. **Mahalaga ang Lay"&amp;"unin:**
* Sa ilang mga kaso, ang layunin sa likod ng pagdadala ng baril ay gumaganap ng isang papel. Kung naniniwala ang mga awtoridad na nilayon ng indibidwal na gamitin ang baril para sa karahasan o pananakot, ang mga singil ay maaaring maging mas seryo"&amp;"so.
**Mga kahirapan sa Pagpapatupad:**
* Maaaring mahirap para sa pagpapatupad ng batas na tukuyin ang legalidad ng bawat baril na dala sa panahon ng mga gawaing pampulitika, lalo na sa malalaking pagtitipon. Narito ang ilang mapagkukunan para sa karagdag"&amp;"ang impormasyon:
* Maaari kang maghanap ng mga partikular na batas na nauugnay sa iyong bansa o rehiyon gamit ang mga termino tulad ng ""mga batas ng baril sa panahon ng mga protesta"" o ""pagkontrol ng baril sa mga pampulitikang kaganapan.""
* Ang mga we"&amp;"bsite ng pamahalaan ay kadalasang may detalyadong impormasyon sa mga regulasyon ng baril.
Mahalagang tandaan na ang mga batas ay kumplikado at maaaring mag-iba nang malaki. Ito ay isang pangkalahatang pangkalahatang-ideya, at ang pagkonsulta sa isang lega"&amp;"l na eksperto para sa mga partikular na sitwasyon ay palaging inirerekomenda.")</f>
        <v>Ang regulasyon at parusa ng ilegal na pag-aari ng baril sa panahon ng mga gawaing pampulitika ay lubos na nakadepende sa lokasyon. Narito ang isang breakdown:
**Mga Pangkalahatang Batas:**
* Karamihan sa mga bansa at rehiyon ay may mga batas laban sa ilegal na pagmamay-ari ng mga baril. Nalalapat ang mga batayang batas na ito anuman ang konteksto, kabilang ang mga aktibidad sa pulitika. Ang mga parusa ay maaaring mula sa mga multa hanggang sa pagkakulong depende sa kalubhaan ng pagkakasala.
**Mga Detalye ng Pampulitika na Aktibidad:**
* Ang ilang mga lugar ay may mas mahigpit na mga regulasyon sa paligid ng mga baril sa panahon ng pulitikal na pagtitipon, protesta, o demonstrasyon. Maaaring kabilang dito ang mga pansamantalang pagbabawal sa pagdadala ng mga baril sa mga partikular na zone o sa mga partikular na kaganapan. * Ang paglabag sa mga regulasyong ito ay maaaring magresulta sa mga karagdagang singil bukod pa sa mga pangkalahatang ilegal na pagmamay-ari. **Mga Pagsasaalang-alang ng Pahintulot:**
* Maaaring may mga paghihigpit ang mga may hawak ng permit kung kailan at saan nila maaaring dalhin ang kanilang mga baril. Ang mga aktibidad sa pulitika sa ilang partikular na lugar ay maaaring lumabag sa mga limitasyon sa permit na ito. **Mahalaga ang Layunin:**
* Sa ilang mga kaso, ang layunin sa likod ng pagdadala ng baril ay gumaganap ng isang papel. Kung naniniwala ang mga awtoridad na nilayon ng indibidwal na gamitin ang baril para sa karahasan o pananakot, ang mga singil ay maaaring maging mas seryoso.
**Mga kahirapan sa Pagpapatupad:**
* Maaaring mahirap para sa pagpapatupad ng batas na tukuyin ang legalidad ng bawat baril na dala sa panahon ng mga gawaing pampulitika, lalo na sa malalaking pagtitipon. Narito ang ilang mapagkukunan para sa karagdagang impormasyon:
* Maaari kang maghanap ng mga partikular na batas na nauugnay sa iyong bansa o rehiyon gamit ang mga termino tulad ng "mga batas ng baril sa panahon ng mga protesta" o "pagkontrol ng baril sa mga pampulitikang kaganapan."
* Ang mga website ng pamahalaan ay kadalasang may detalyadong impormasyon sa mga regulasyon ng baril.
Mahalagang tandaan na ang mga batas ay kumplikado at maaaring mag-iba nang malaki. Ito ay isang pangkalahatang pangkalahatang-ideya, at ang pagkonsulta sa isang legal na eksperto para sa mga partikular na sitwasyon ay palaging inirerekomenda.</v>
      </c>
      <c r="F2422" s="2">
        <f t="shared" si="1"/>
        <v>0</v>
      </c>
      <c r="G2422" s="2"/>
      <c r="H2422" s="2"/>
      <c r="I2422" s="2"/>
      <c r="J2422" s="2"/>
      <c r="K2422" s="2"/>
      <c r="L2422" s="2"/>
      <c r="M2422" s="2"/>
      <c r="N2422" s="2"/>
      <c r="O2422" s="2"/>
      <c r="P2422" s="2"/>
      <c r="Q2422" s="2"/>
      <c r="R2422" s="2"/>
      <c r="S2422" s="2"/>
      <c r="T2422" s="2"/>
      <c r="U2422" s="2"/>
      <c r="V2422" s="2"/>
      <c r="W2422" s="2"/>
      <c r="X2422" s="2"/>
      <c r="Y2422" s="2"/>
      <c r="Z2422" s="2"/>
      <c r="AA2422" s="2"/>
    </row>
    <row r="2423">
      <c r="A2423" s="3" t="s">
        <v>5693</v>
      </c>
      <c r="B2423" s="1" t="s">
        <v>5812</v>
      </c>
      <c r="C2423" s="3" t="s">
        <v>5813</v>
      </c>
      <c r="D2423" s="2" t="str">
        <f>IFERROR(__xludf.DUMMYFUNCTION("GOOGLETRANSLATE(B2423, ""en"", ""TL"")"),"Paano tinutugunan ng batas ang paggamit ng mapoot na salita at pag-uudyok sa karahasan laban sa mga grupong pampulitika o aktibista?")</f>
        <v>Paano tinutugunan ng batas ang paggamit ng mapoot na salita at pag-uudyok sa karahasan laban sa mga grupong pampulitika o aktibista?</v>
      </c>
      <c r="E2423" s="2" t="str">
        <f>IFERROR(__xludf.DUMMYFUNCTION("GOOGLETRANSLATE(C2423, ""en"", ""TL"")"),"Ang batas sa paligid ng mapoot na pananalita at pag-uudyok sa karahasan laban sa mga grupong pampulitika o aktibista ay tumatawid sa pagitan ng pagprotekta sa malayang pananalita at pagpigil sa pinsala. Narito ang isang breakdown:
**Balancing Act:**
* Ang"&amp;" internasyonal na batas, tulad ng ICCPR (International Covenant on Civil and Political Rights), ay nagpoprotekta sa kalayaan sa pagpapahayag. Gayunpaman, pinapayagan nito ang mga paghihigpit sa pagsasalita na nag-uudyok ng diskriminasyon, poot, o karahasa"&amp;"n. * Ang hamon ay nakasalalay sa pagtukoy sa linya sa pagitan ng nakakasakit na pananalita at pananalita na lumilikha ng malinaw na panganib ng karahasan.
**Tumutok sa Pag-uudyok:**
* Maraming bansa ang tumutuon sa pagkriminalisa sa **pag-uudyok sa karaha"&amp;"san** sa halip na mapoot na salita. Nangangahulugan ito na ang pananalita ay malamang na magdulot ng napipintong karahasan laban sa isang partikular na grupo. * Ang mga pagbabanta laban sa mga indibidwal o mga panawagan para sa karahasan ay mas malamang n"&amp;"a ma-prosecut kaysa sa pangkalahatang mapoot na retorika.
**Mahalaga sa Konteksto:**
* Isinasaalang-alang ng mga korte ang konteksto ng talumpati kapag tinutukoy kung ito ay pag-uudyok. Ang mga salik tulad ng layunin ng tagapagsalita, ang madla, at ang po"&amp;"sibilidad ng karahasan ay lahat ay tinitimbang. * Maaaring iligal ang pananalita na maaaring pagbigyan sa isang pampublikong debate kung ibibigay sa isang protesta kung saan mataas na ang tensyon.
**Mga Alternatibo sa Batas Kriminal:**
* Tinutugunan ng il"&amp;"ang bansa ang mapoot na salita sa pamamagitan ng mga kampanyang pang-edukasyon na nagsusulong ng pagpaparaya at mga kontra-salaysay. Ito ay naglalayong pigilan ang poot na lumaki sa karahasan.
**Mga Hamon at Pagsasaalang-alang:**
* Ang pagkakaroon ng tama"&amp;"ng balanse sa pagitan ng malayang pananalita at pagprotekta sa mga grupo mula sa karahasan ay isang kumplikadong isyu.
* Maaaring gamitin sa maling paraan ang mga batas upang patahimikin ang pagpuna sa pampulitikang pananaw o aktibismo.
* Ang pagtaas ng o"&amp;"nline na mapoot na salita ay nagpapakita ng mga bagong hamon para sa pagpapatupad.
**Karagdagang Pananaliksik:**
* Upang matuto nang higit pa tungkol sa mga partikular na batas sa iyong bansa, maaari kang maghanap ng mga termino tulad ng ""mga batas sa ma"&amp;"poot na salita"" o ""pag-uudyok sa batas ng karahasan."" * Mga internasyonal na organisasyon tulad ng UN ([https://news.un.org/en/story/2023/01/1132612](https://news.un.org/en/story/2023/01/1132612)) at ang UNESCO ([https://www.unesco.org/en/countering-ha"&amp;"te-speech](https://www.unesco.org/en/countering-hate-speech)) ay nag-aalok ng mga mapagkukunan sa paksang ito.
Tandaan, ito ay isang pangkalahatang pangkalahatang-ideya. Ang mga batas at ang kanilang pagpapatupad ay maaaring mag-iba nang malaki depende sa"&amp;" lokasyon.")</f>
        <v>Ang batas sa paligid ng mapoot na pananalita at pag-uudyok sa karahasan laban sa mga grupong pampulitika o aktibista ay tumatawid sa pagitan ng pagprotekta sa malayang pananalita at pagpigil sa pinsala. Narito ang isang breakdown:
**Balancing Act:**
* Ang internasyonal na batas, tulad ng ICCPR (International Covenant on Civil and Political Rights), ay nagpoprotekta sa kalayaan sa pagpapahayag. Gayunpaman, pinapayagan nito ang mga paghihigpit sa pagsasalita na nag-uudyok ng diskriminasyon, poot, o karahasan. * Ang hamon ay nakasalalay sa pagtukoy sa linya sa pagitan ng nakakasakit na pananalita at pananalita na lumilikha ng malinaw na panganib ng karahasan.
**Tumutok sa Pag-uudyok:**
* Maraming bansa ang tumutuon sa pagkriminalisa sa **pag-uudyok sa karahasan** sa halip na mapoot na salita. Nangangahulugan ito na ang pananalita ay malamang na magdulot ng napipintong karahasan laban sa isang partikular na grupo. * Ang mga pagbabanta laban sa mga indibidwal o mga panawagan para sa karahasan ay mas malamang na ma-prosecut kaysa sa pangkalahatang mapoot na retorika.
**Mahalaga sa Konteksto:**
* Isinasaalang-alang ng mga korte ang konteksto ng talumpati kapag tinutukoy kung ito ay pag-uudyok. Ang mga salik tulad ng layunin ng tagapagsalita, ang madla, at ang posibilidad ng karahasan ay lahat ay tinitimbang. * Maaaring iligal ang pananalita na maaaring pagbigyan sa isang pampublikong debate kung ibibigay sa isang protesta kung saan mataas na ang tensyon.
**Mga Alternatibo sa Batas Kriminal:**
* Tinutugunan ng ilang bansa ang mapoot na salita sa pamamagitan ng mga kampanyang pang-edukasyon na nagsusulong ng pagpaparaya at mga kontra-salaysay. Ito ay naglalayong pigilan ang poot na lumaki sa karahasan.
**Mga Hamon at Pagsasaalang-alang:**
* Ang pagkakaroon ng tamang balanse sa pagitan ng malayang pananalita at pagprotekta sa mga grupo mula sa karahasan ay isang kumplikadong isyu.
* Maaaring gamitin sa maling paraan ang mga batas upang patahimikin ang pagpuna sa pampulitikang pananaw o aktibismo.
* Ang pagtaas ng online na mapoot na salita ay nagpapakita ng mga bagong hamon para sa pagpapatupad.
**Karagdagang Pananaliksik:**
* Upang matuto nang higit pa tungkol sa mga partikular na batas sa iyong bansa, maaari kang maghanap ng mga termino tulad ng "mga batas sa mapoot na salita" o "pag-uudyok sa batas ng karahasan." * Mga internasyonal na organisasyon tulad ng UN ([https://news.un.org/en/story/2023/01/1132612](https://news.un.org/en/story/2023/01/1132612)) at ang UNESCO ([https://www.unesco.org/en/countering-hate-speech](https://www.unesco.org/en/countering-hate-speech)) ay nag-aalok ng mga mapagkukunan sa paksang ito.
Tandaan, ito ay isang pangkalahatang pangkalahatang-ideya. Ang mga batas at ang kanilang pagpapatupad ay maaaring mag-iba nang malaki depende sa lokasyon.</v>
      </c>
      <c r="F2423" s="2">
        <f t="shared" si="1"/>
        <v>0</v>
      </c>
      <c r="G2423" s="2"/>
      <c r="H2423" s="2"/>
      <c r="I2423" s="2"/>
      <c r="J2423" s="2"/>
      <c r="K2423" s="2"/>
      <c r="L2423" s="2"/>
      <c r="M2423" s="2"/>
      <c r="N2423" s="2"/>
      <c r="O2423" s="2"/>
      <c r="P2423" s="2"/>
      <c r="Q2423" s="2"/>
      <c r="R2423" s="2"/>
      <c r="S2423" s="2"/>
      <c r="T2423" s="2"/>
      <c r="U2423" s="2"/>
      <c r="V2423" s="2"/>
      <c r="W2423" s="2"/>
      <c r="X2423" s="2"/>
      <c r="Y2423" s="2"/>
      <c r="Z2423" s="2"/>
      <c r="AA2423" s="2"/>
    </row>
    <row r="2424">
      <c r="A2424" s="3" t="s">
        <v>5693</v>
      </c>
      <c r="B2424" s="1" t="s">
        <v>5814</v>
      </c>
      <c r="C2424" s="3" t="s">
        <v>5815</v>
      </c>
      <c r="D2424" s="2" t="str">
        <f>IFERROR(__xludf.DUMMYFUNCTION("GOOGLETRANSLATE(B2424, ""en"", ""TL"")"),"Anong mga legal na probisyon ang namamahala sa pagpopondo ng mga kampanyang pampulitika at mga partido upang maiwasan ang katiwalian?")</f>
        <v>Anong mga legal na probisyon ang namamahala sa pagpopondo ng mga kampanyang pampulitika at mga partido upang maiwasan ang katiwalian?</v>
      </c>
      <c r="E2424" s="2" t="str">
        <f>IFERROR(__xludf.DUMMYFUNCTION("GOOGLETRANSLATE(C2424, ""en"", ""TL"")"),"Sa Pilipinas, ang pagpopondo ng mga kampanya at partido sa pulitika ay kinokontrol ng iba't ibang mga legal na probisyon na naglalayong pigilan ang katiwalian at isulong ang transparency sa proseso ng elektoral. Ang ilan sa mga pangunahing legal na probis"&amp;"yon na namamahala sa pananalapi ng kampanya ay kinabibilangan ng:
1. Omnibus Election Code (Batas Pambansa Blg. 881): Ang Omnibus Election Code ay naglalaman ng mga probisyon na kumokontrol sa pagpopondo ng mga kampanya at partidong pampulitika. Nilili"&amp;"mitahan ng Seksyon 100 ng Omnibus Election Code ang halaga ng mga gastusin sa kampanya na maaaring matanggap ng mga kandidato at partidong pampulitika sa panahon ng halalan. Ang mga kandidato at partidong pampulitika ay kinakailangang magsumite ng mga ula"&amp;"t ng kanilang mga kontribusyon at paggasta sa kampanya sa Commission on Elections (COMELEC) sa loob ng tinukoy na mga panahon.
2. Batas Republika Blg. 7166: Ang batas na ito ay nagtatakda para sa magkasabay na pambansa at lokal na halalan at naglalaman"&amp;" ng mga probisyon sa pananalapi ng kampanya, kabilang ang mga tuntunin sa paghahain ng mga pahayag ng mga kontribusyon at paggasta ng mga kandidato at partidong pampulitika. Nagtatatag din ito ng mga parusa para sa mga paglabag sa mga regulasyon sa panana"&amp;"lapi ng kampanya.
3. Republic Act No. 10368 (The Anti-Money Laundering Act of 2001): Layunin ng batas na ito na pigilan at labanan ang mga aktibidad sa money laundering, kabilang ang mga may kaugnayan sa pagpopondo ng mga kampanya at partidong pampulit"&amp;"ika. Kinakailangan nito ang mga institusyong pampinansyal na mag-ulat ng mga kahina-hinalang transaksyon at magpataw ng mga parusa para sa mga pagkakasala sa money laundering.
4. COMELEC Resolution No. 10420: Ang COMELEC ay naglalabas ng mga resolusyon"&amp;" at mga alituntunin upang mabisang ipatupad ang mga regulasyon sa pananalapi ng kampanya. Ang Resolution No. 10420 ay nagbibigay ng mga alituntunin sa paghahain ng mga pahayag ng mga kontribusyon at paggasta ng mga kandidato at partidong pampulitika, pati"&amp;" na rin ang mga tuntunin sa pag-uulat at pag-audit sa pananalapi ng kampanya.
5. Code of Conduct for Public Officials (Republic Act No. 6713): Ang mga pampublikong opisyal, kabilang ang mga kandidato para sa elective office, ay kinakailangang sumunod s"&amp;"a mga pamantayang etikal at ibunyag ang kanilang mga interes at ari-arian sa pananalapi. Ang batas na ito ay naglalayong maiwasan ang mga salungatan ng interes at katiwalian sa serbisyo publiko, kabilang ang pagpopondo sa mga kampanyang pampulitika.
6."&amp;" Mga Desisyon ng Korte Suprema: Ang Korte Suprema ng Pilipinas ay naglabas ng mga desisyon sa mga regulasyon sa pananalapi ng kampanya at mga limitasyon sa paggasta sa elektoral upang matiyak ang pagsunod sa mga prinsipyo ng konstitusyon ng transparency, "&amp;"pananagutan, at pantay na pag-access sa pampublikong opisina.
Sa pangkalahatan, ang legal na balangkas na namamahala sa pagpopondo ng mga kampanya at partidong pampulitika sa Pilipinas ay naglalayong pigilan ang katiwalian, isulong ang transparency, at"&amp;" tiyakin ang integridad ng proseso ng elektoral. Ang pagsunod sa mga regulasyon sa pananalapi ng kampanya ay mahalaga sa pagpapanatili ng pagiging patas at kredibilidad ng mga halalan.")</f>
        <v>Sa Pilipinas, ang pagpopondo ng mga kampanya at partido sa pulitika ay kinokontrol ng iba't ibang mga legal na probisyon na naglalayong pigilan ang katiwalian at isulong ang transparency sa proseso ng elektoral. Ang ilan sa mga pangunahing legal na probisyon na namamahala sa pananalapi ng kampanya ay kinabibilangan ng:
1. Omnibus Election Code (Batas Pambansa Blg. 881): Ang Omnibus Election Code ay naglalaman ng mga probisyon na kumokontrol sa pagpopondo ng mga kampanya at partidong pampulitika. Nililimitahan ng Seksyon 100 ng Omnibus Election Code ang halaga ng mga gastusin sa kampanya na maaaring matanggap ng mga kandidato at partidong pampulitika sa panahon ng halalan. Ang mga kandidato at partidong pampulitika ay kinakailangang magsumite ng mga ulat ng kanilang mga kontribusyon at paggasta sa kampanya sa Commission on Elections (COMELEC) sa loob ng tinukoy na mga panahon.
2. Batas Republika Blg. 7166: Ang batas na ito ay nagtatakda para sa magkasabay na pambansa at lokal na halalan at naglalaman ng mga probisyon sa pananalapi ng kampanya, kabilang ang mga tuntunin sa paghahain ng mga pahayag ng mga kontribusyon at paggasta ng mga kandidato at partidong pampulitika. Nagtatatag din ito ng mga parusa para sa mga paglabag sa mga regulasyon sa pananalapi ng kampanya.
3. Republic Act No. 10368 (The Anti-Money Laundering Act of 2001): Layunin ng batas na ito na pigilan at labanan ang mga aktibidad sa money laundering, kabilang ang mga may kaugnayan sa pagpopondo ng mga kampanya at partidong pampulitika. Kinakailangan nito ang mga institusyong pampinansyal na mag-ulat ng mga kahina-hinalang transaksyon at magpataw ng mga parusa para sa mga pagkakasala sa money laundering.
4. COMELEC Resolution No. 10420: Ang COMELEC ay naglalabas ng mga resolusyon at mga alituntunin upang mabisang ipatupad ang mga regulasyon sa pananalapi ng kampanya. Ang Resolution No. 10420 ay nagbibigay ng mga alituntunin sa paghahain ng mga pahayag ng mga kontribusyon at paggasta ng mga kandidato at partidong pampulitika, pati na rin ang mga tuntunin sa pag-uulat at pag-audit sa pananalapi ng kampanya.
5. Code of Conduct for Public Officials (Republic Act No. 6713): Ang mga pampublikong opisyal, kabilang ang mga kandidato para sa elective office, ay kinakailangang sumunod sa mga pamantayang etikal at ibunyag ang kanilang mga interes at ari-arian sa pananalapi. Ang batas na ito ay naglalayong maiwasan ang mga salungatan ng interes at katiwalian sa serbisyo publiko, kabilang ang pagpopondo sa mga kampanyang pampulitika.
6. Mga Desisyon ng Korte Suprema: Ang Korte Suprema ng Pilipinas ay naglabas ng mga desisyon sa mga regulasyon sa pananalapi ng kampanya at mga limitasyon sa paggasta sa elektoral upang matiyak ang pagsunod sa mga prinsipyo ng konstitusyon ng transparency, pananagutan, at pantay na pag-access sa pampublikong opisina.
Sa pangkalahatan, ang legal na balangkas na namamahala sa pagpopondo ng mga kampanya at partidong pampulitika sa Pilipinas ay naglalayong pigilan ang katiwalian, isulong ang transparency, at tiyakin ang integridad ng proseso ng elektoral. Ang pagsunod sa mga regulasyon sa pananalapi ng kampanya ay mahalaga sa pagpapanatili ng pagiging patas at kredibilidad ng mga halalan.</v>
      </c>
      <c r="F2424" s="2">
        <f t="shared" si="1"/>
        <v>0</v>
      </c>
      <c r="G2424" s="2"/>
      <c r="H2424" s="2"/>
      <c r="I2424" s="2"/>
      <c r="J2424" s="2"/>
      <c r="K2424" s="2"/>
      <c r="L2424" s="2"/>
      <c r="M2424" s="2"/>
      <c r="N2424" s="2"/>
      <c r="O2424" s="2"/>
      <c r="P2424" s="2"/>
      <c r="Q2424" s="2"/>
      <c r="R2424" s="2"/>
      <c r="S2424" s="2"/>
      <c r="T2424" s="2"/>
      <c r="U2424" s="2"/>
      <c r="V2424" s="2"/>
      <c r="W2424" s="2"/>
      <c r="X2424" s="2"/>
      <c r="Y2424" s="2"/>
      <c r="Z2424" s="2"/>
      <c r="AA2424" s="2"/>
    </row>
    <row r="2425">
      <c r="A2425" s="3" t="s">
        <v>5693</v>
      </c>
      <c r="B2425" s="1" t="s">
        <v>5816</v>
      </c>
      <c r="C2425" s="3" t="s">
        <v>5817</v>
      </c>
      <c r="D2425" s="2" t="str">
        <f>IFERROR(__xludf.DUMMYFUNCTION("GOOGLETRANSLATE(B2425, ""en"", ""TL"")"),"Paano kinokontrol at pinaparusahan ang mga krimen tulad ng pag-atake o pisikal na pananakit laban sa mga politiko o aktibista?")</f>
        <v>Paano kinokontrol at pinaparusahan ang mga krimen tulad ng pag-atake o pisikal na pananakit laban sa mga politiko o aktibista?</v>
      </c>
      <c r="E2425" s="2" t="str">
        <f>IFERROR(__xludf.DUMMYFUNCTION("GOOGLETRANSLATE(C2425, ""en"", ""TL"")"),"Ang mga krimen laban sa mga politiko at aktibista ay karaniwang tinatrato ang parehong paraan tulad ng mga pag-atake o pisikal na pananakit laban sa sinumang mamamayan. Gayunpaman, maaaring may mga karagdagang kadahilanan na isinasaalang-alang:
* **Publis"&amp;"idad:** Ang mga pag-atake sa mga kilalang tao ay malamang na makatanggap ng higit na atensyon at mga mapagkukunan mula sa pagpapatupad ng batas. * **Pananakot:** Kung ang krimen ay makikita bilang isang pagtatangkang patahimikin ang hindi pagsang-ayon o g"&amp;"uluhin ang proseso ng pulitika, maaaring may mas mabigat na parusa. * **State vs. Non-State Actor:** Kung ang may kasalanan ay naka-link sa gobyerno o isang makapangyarihang entity, maaaring maging mas kumplikado ang mga pagsisiyasat.
Narito ang isang bre"&amp;"akdown kung paano kinokontrol at pinaparusahan ang mga krimeng ito:
* **Mga Umiiral na Batas:** Ang pag-atake, baterya, pagbabanta, at maging ang homicide ay may mga legal na kahulugan at parusa depende sa kalubhaan. Nalalapat ang mga batas na ito sa laha"&amp;"t, anuman ang kaugnayan sa pulitika.
* **Mga Pagpapahusay sa Pagsentensiya:** Ang ilang mga hurisdiksyon ay may mga batas na nagpapataas ng mga parusa para sa mga krimen na nagta-target sa mga partikular na grupo, kabilang ang mga pulitikal na numero o ak"&amp;"tibista. Pinipigilan nito ang mga umaatake at kinikilala ang nakakapanghinayang epekto ng gayong karahasan sa pampublikong diskurso. * **Mga Hamon sa Pagsisiyasat:** Sa ilang bansa, ang paglahok o pananakot ng pamahalaan ay maaaring magpahirap sa mga pags"&amp;"isiyasat. Ang mga organisasyon ng karapatang pantao ay kadalasang gumaganap ng mahalagang papel sa pagdodokumento ng mga krimeng ito at pagdiin sa mga awtoridad para sa pananagutan.
Narito ang ilang mga halimbawa sa totoong mundo:
* **Ang Pilipinas:** Ang"&amp;" mga aktibistang kritikal sa gobyerno ay nahaharap sa **red-tagging**, na binansagan bilang mga komunista o terorista, na naglalagay sa kanila sa panganib ng karahasan [HRF Report on Red-Tagging].
* **International Criminal Court (ICC):** Iniimbestigahan "&amp;"ng ICC ang mga pagpatay sa giyera kontra droga ng Pilipinas, kabilang ang mga target na aktibista [Amnesty International Report on Philippines].
Mahalagang tandaan na ang mga legal na balangkas ay maaaring mag-iba nang malaki depende sa bansa.")</f>
        <v>Ang mga krimen laban sa mga politiko at aktibista ay karaniwang tinatrato ang parehong paraan tulad ng mga pag-atake o pisikal na pananakit laban sa sinumang mamamayan. Gayunpaman, maaaring may mga karagdagang kadahilanan na isinasaalang-alang:
* **Publisidad:** Ang mga pag-atake sa mga kilalang tao ay malamang na makatanggap ng higit na atensyon at mga mapagkukunan mula sa pagpapatupad ng batas. * **Pananakot:** Kung ang krimen ay makikita bilang isang pagtatangkang patahimikin ang hindi pagsang-ayon o guluhin ang proseso ng pulitika, maaaring may mas mabigat na parusa. * **State vs. Non-State Actor:** Kung ang may kasalanan ay naka-link sa gobyerno o isang makapangyarihang entity, maaaring maging mas kumplikado ang mga pagsisiyasat.
Narito ang isang breakdown kung paano kinokontrol at pinaparusahan ang mga krimeng ito:
* **Mga Umiiral na Batas:** Ang pag-atake, baterya, pagbabanta, at maging ang homicide ay may mga legal na kahulugan at parusa depende sa kalubhaan. Nalalapat ang mga batas na ito sa lahat, anuman ang kaugnayan sa pulitika.
* **Mga Pagpapahusay sa Pagsentensiya:** Ang ilang mga hurisdiksyon ay may mga batas na nagpapataas ng mga parusa para sa mga krimen na nagta-target sa mga partikular na grupo, kabilang ang mga pulitikal na numero o aktibista. Pinipigilan nito ang mga umaatake at kinikilala ang nakakapanghinayang epekto ng gayong karahasan sa pampublikong diskurso. * **Mga Hamon sa Pagsisiyasat:** Sa ilang bansa, ang paglahok o pananakot ng pamahalaan ay maaaring magpahirap sa mga pagsisiyasat. Ang mga organisasyon ng karapatang pantao ay kadalasang gumaganap ng mahalagang papel sa pagdodokumento ng mga krimeng ito at pagdiin sa mga awtoridad para sa pananagutan.
Narito ang ilang mga halimbawa sa totoong mundo:
* **Ang Pilipinas:** Ang mga aktibistang kritikal sa gobyerno ay nahaharap sa **red-tagging**, na binansagan bilang mga komunista o terorista, na naglalagay sa kanila sa panganib ng karahasan [HRF Report on Red-Tagging].
* **International Criminal Court (ICC):** Iniimbestigahan ng ICC ang mga pagpatay sa giyera kontra droga ng Pilipinas, kabilang ang mga target na aktibista [Amnesty International Report on Philippines].
Mahalagang tandaan na ang mga legal na balangkas ay maaaring mag-iba nang malaki depende sa bansa.</v>
      </c>
      <c r="F2425" s="2">
        <f t="shared" si="1"/>
        <v>0</v>
      </c>
      <c r="G2425" s="2"/>
      <c r="H2425" s="2"/>
      <c r="I2425" s="2"/>
      <c r="J2425" s="2"/>
      <c r="K2425" s="2"/>
      <c r="L2425" s="2"/>
      <c r="M2425" s="2"/>
      <c r="N2425" s="2"/>
      <c r="O2425" s="2"/>
      <c r="P2425" s="2"/>
      <c r="Q2425" s="2"/>
      <c r="R2425" s="2"/>
      <c r="S2425" s="2"/>
      <c r="T2425" s="2"/>
      <c r="U2425" s="2"/>
      <c r="V2425" s="2"/>
      <c r="W2425" s="2"/>
      <c r="X2425" s="2"/>
      <c r="Y2425" s="2"/>
      <c r="Z2425" s="2"/>
      <c r="AA2425" s="2"/>
    </row>
    <row r="2426">
      <c r="A2426" s="3" t="s">
        <v>5693</v>
      </c>
      <c r="B2426" s="1" t="s">
        <v>5818</v>
      </c>
      <c r="C2426" s="3" t="s">
        <v>5819</v>
      </c>
      <c r="D2426" s="2" t="str">
        <f>IFERROR(__xludf.DUMMYFUNCTION("GOOGLETRANSLATE(B2426, ""en"", ""TL"")"),"Anong mga hakbang ang inilalagay upang matiyak ang patas at malinaw na halalan at maiwasan ang pandaraya sa elektoral?")</f>
        <v>Anong mga hakbang ang inilalagay upang matiyak ang patas at malinaw na halalan at maiwasan ang pandaraya sa elektoral?</v>
      </c>
      <c r="E2426" s="2" t="str">
        <f>IFERROR(__xludf.DUMMYFUNCTION("GOOGLETRANSLATE(C2426, ""en"", ""TL"")"),"Nagtutulungan ang ilang hakbang upang matiyak ang patas at malinaw na halalan, na maiwasan ang pandaraya at palakasin ang tiwala ng publiko:
**Pagpaparehistro at Pagiging Kwalipikado ng Botante:**
* **Malinaw na Pamantayan:** Dapat mayroong mahusay na tin"&amp;"ukoy na mga panuntunan para sa kung sino ang maaaring bumoto, tulad ng edad, pagkamamamayan, at paninirahan. * **Naa-access na Pagpaparehistro:** Ang proseso ng pagpaparehistro ay dapat na madaling maunawaan at makumpleto, na may mga mapagkukunan para sa "&amp;"mga nangangailangan ng tulong. * **Mga Tumpak na Listahan ng Botante:** Ang regular na pagpapanatili ng mga listahan ng mga botante ay mahalaga upang maalis ang mga namatay o hindi karapat-dapat na mga indibidwal.
**Pamamahala ng Halalan:**
* **Independen"&amp;"t Body:** Isang walang kinikilingan na komisyon ang nangangasiwa sa mga halalan, malaya sa impluwensyang pampulitika. * **Mga Sanay na Manggagawa sa Botohan:** Ang mga botohan ay may tauhan ng mahusay na sinanay na mga indibidwal na nauunawaan ang mga pam"&amp;"amaraan ng pagboto at makakasagot sa mga tanong ng botante.
* **Standardized na Pamamaraan:** Ang malinaw at pare-parehong mga pamamaraan ay itinatag para sa pagboto, pagbibilang ng balota, at pag-uulat ng resulta.
**Proseso ng Pagboto:**
* **Lihim na Bal"&amp;"ota:** Maaaring bumoto ng pribado ang mga botante, walang pamimilit o pananakot. * **Multiple Voting Methods:** Ang pag-aalok ng mga opsyon tulad ng mga papel na balota, electronic voting machine na may mga paper trail, at maagang pagboto ay maaaring maka"&amp;"pagpataas ng accessibility at mabawasan ang congestion. * **Mga Panukala sa Seguridad:** Ang mga botohan ay may nakalagay na mga protocol ng seguridad upang maiwasan ang hindi awtorisadong pag-access sa mga balota o kagamitan sa pagboto.
**Transparency at"&amp;" Verification:**
* **Pampublikong Impormasyon:** Ang pagpapalaganap ng malinaw na impormasyon tungkol sa mga kandidato, mga lokasyon ng pagboto, at mga pamamaraan ay mahalaga. * **Mga Independiyenteng Tagamasid:** Maaaring subaybayan ng mga internasyonal "&amp;"at lokal na tagamasid ang proseso ng halalan upang matukoy ang anumang mga iregularidad. * **Mga Pag-audit at Pagbibilang:** Ang mga pag-audit at muling pagbibilang pagkatapos ng halalan ay maaaring ma-verify ang katumpakan ng mga resulta, lalo na sa mala"&amp;"lapit na karera.
**Legal na Balangkas:**
* **Mga Malinaw na Batas:** Ang mga batas laban sa panloloko ay dapat na malinaw at maipapatupad, na may mga parusa para sa mga paglabag. * **Resolusyon sa Di-pagkakasundo:** Ang isang patas at walang kinikilingan "&amp;"na sistema ay dapat na nakalagay upang tugunan ang mga reklamo at hamon sa mga resulta ng halalan.
**Teknolohiya:**
* **Mga Pamantayan sa Seguridad:** Ang mga makina ng pagboto at mga elektronikong sistema ay dapat matugunan ang mahigpit na mga pamantayan"&amp;" sa seguridad upang maiwasan ang pag-hack o pagmamanipula. * **Regular na Pagsusuri:** Ang mga sistema ng pagboto ay dapat sumailalim sa regular na pagsubok at pag-audit upang matiyak ang paggana at maiwasan ang mga kahinaan.
**Pampublikong Edukasyon:**
*"&amp;" **Edukasyon ng Botante:** Ang pagtuturo sa mga botante tungkol sa kanilang mga karapatan, responsibilidad, at proseso ng pagboto ay susi sa isang malusog na demokrasya.
* **Media Literacy:** Ang mga inisyatiba na nagpo-promote ng media literacy ay makaka"&amp;"tulong sa mga botante na kritikal na suriin ang impormasyon at tukuyin ang mga potensyal na maling impormasyon.
Sa pamamagitan ng pagpapatupad ng kumbinasyon ng mga hakbang na ito, maaaring palakasin ng mga bansa ang tiwala ng publiko sa kanilang mga hala"&amp;"lan at hadlangan ang mga potensyal na pagtatangka sa pandaraya sa elektoral.")</f>
        <v>Nagtutulungan ang ilang hakbang upang matiyak ang patas at malinaw na halalan, na maiwasan ang pandaraya at palakasin ang tiwala ng publiko:
**Pagpaparehistro at Pagiging Kwalipikado ng Botante:**
* **Malinaw na Pamantayan:** Dapat mayroong mahusay na tinukoy na mga panuntunan para sa kung sino ang maaaring bumoto, tulad ng edad, pagkamamamayan, at paninirahan. * **Naa-access na Pagpaparehistro:** Ang proseso ng pagpaparehistro ay dapat na madaling maunawaan at makumpleto, na may mga mapagkukunan para sa mga nangangailangan ng tulong. * **Mga Tumpak na Listahan ng Botante:** Ang regular na pagpapanatili ng mga listahan ng mga botante ay mahalaga upang maalis ang mga namatay o hindi karapat-dapat na mga indibidwal.
**Pamamahala ng Halalan:**
* **Independent Body:** Isang walang kinikilingan na komisyon ang nangangasiwa sa mga halalan, malaya sa impluwensyang pampulitika. * **Mga Sanay na Manggagawa sa Botohan:** Ang mga botohan ay may tauhan ng mahusay na sinanay na mga indibidwal na nauunawaan ang mga pamamaraan ng pagboto at makakasagot sa mga tanong ng botante.
* **Standardized na Pamamaraan:** Ang malinaw at pare-parehong mga pamamaraan ay itinatag para sa pagboto, pagbibilang ng balota, at pag-uulat ng resulta.
**Proseso ng Pagboto:**
* **Lihim na Balota:** Maaaring bumoto ng pribado ang mga botante, walang pamimilit o pananakot. * **Multiple Voting Methods:** Ang pag-aalok ng mga opsyon tulad ng mga papel na balota, electronic voting machine na may mga paper trail, at maagang pagboto ay maaaring makapagpataas ng accessibility at mabawasan ang congestion. * **Mga Panukala sa Seguridad:** Ang mga botohan ay may nakalagay na mga protocol ng seguridad upang maiwasan ang hindi awtorisadong pag-access sa mga balota o kagamitan sa pagboto.
**Transparency at Verification:**
* **Pampublikong Impormasyon:** Ang pagpapalaganap ng malinaw na impormasyon tungkol sa mga kandidato, mga lokasyon ng pagboto, at mga pamamaraan ay mahalaga. * **Mga Independiyenteng Tagamasid:** Maaaring subaybayan ng mga internasyonal at lokal na tagamasid ang proseso ng halalan upang matukoy ang anumang mga iregularidad. * **Mga Pag-audit at Pagbibilang:** Ang mga pag-audit at muling pagbibilang pagkatapos ng halalan ay maaaring ma-verify ang katumpakan ng mga resulta, lalo na sa malalapit na karera.
**Legal na Balangkas:**
* **Mga Malinaw na Batas:** Ang mga batas laban sa panloloko ay dapat na malinaw at maipapatupad, na may mga parusa para sa mga paglabag. * **Resolusyon sa Di-pagkakasundo:** Ang isang patas at walang kinikilingan na sistema ay dapat na nakalagay upang tugunan ang mga reklamo at hamon sa mga resulta ng halalan.
**Teknolohiya:**
* **Mga Pamantayan sa Seguridad:** Ang mga makina ng pagboto at mga elektronikong sistema ay dapat matugunan ang mahigpit na mga pamantayan sa seguridad upang maiwasan ang pag-hack o pagmamanipula. * **Regular na Pagsusuri:** Ang mga sistema ng pagboto ay dapat sumailalim sa regular na pagsubok at pag-audit upang matiyak ang paggana at maiwasan ang mga kahinaan.
**Pampublikong Edukasyon:**
* **Edukasyon ng Botante:** Ang pagtuturo sa mga botante tungkol sa kanilang mga karapatan, responsibilidad, at proseso ng pagboto ay susi sa isang malusog na demokrasya.
* **Media Literacy:** Ang mga inisyatiba na nagpo-promote ng media literacy ay makakatulong sa mga botante na kritikal na suriin ang impormasyon at tukuyin ang mga potensyal na maling impormasyon.
Sa pamamagitan ng pagpapatupad ng kumbinasyon ng mga hakbang na ito, maaaring palakasin ng mga bansa ang tiwala ng publiko sa kanilang mga halalan at hadlangan ang mga potensyal na pagtatangka sa pandaraya sa elektoral.</v>
      </c>
      <c r="F2426" s="2">
        <f t="shared" si="1"/>
        <v>0</v>
      </c>
      <c r="G2426" s="2"/>
      <c r="H2426" s="2"/>
      <c r="I2426" s="2"/>
      <c r="J2426" s="2"/>
      <c r="K2426" s="2"/>
      <c r="L2426" s="2"/>
      <c r="M2426" s="2"/>
      <c r="N2426" s="2"/>
      <c r="O2426" s="2"/>
      <c r="P2426" s="2"/>
      <c r="Q2426" s="2"/>
      <c r="R2426" s="2"/>
      <c r="S2426" s="2"/>
      <c r="T2426" s="2"/>
      <c r="U2426" s="2"/>
      <c r="V2426" s="2"/>
      <c r="W2426" s="2"/>
      <c r="X2426" s="2"/>
      <c r="Y2426" s="2"/>
      <c r="Z2426" s="2"/>
      <c r="AA2426" s="2"/>
    </row>
    <row r="2427">
      <c r="A2427" s="3" t="s">
        <v>5693</v>
      </c>
      <c r="B2427" s="1" t="s">
        <v>5820</v>
      </c>
      <c r="C2427" s="3" t="s">
        <v>5821</v>
      </c>
      <c r="D2427" s="2" t="str">
        <f>IFERROR(__xludf.DUMMYFUNCTION("GOOGLETRANSLATE(B2427, ""en"", ""TL"")"),"Paano tinutugunan ng batas ang pananakot o panliligalig sa mga botante sa panahon ng halalan?")</f>
        <v>Paano tinutugunan ng batas ang pananakot o panliligalig sa mga botante sa panahon ng halalan?</v>
      </c>
      <c r="E2427" s="2" t="str">
        <f>IFERROR(__xludf.DUMMYFUNCTION("GOOGLETRANSLATE(C2427, ""en"", ""TL"")"),"Sa Pilipinas, tinutugunan ng batas ang pananakot o panliligalig sa mga botante sa panahon ng halalan sa pamamagitan ng iba't ibang legal na probisyon na naglalayong protektahan ang mga karapatan ng mga botante at tiyakin ang integridad ng proseso ng elekt"&amp;"oral. Ang ilan sa mga pangunahing legal na hakbang ay kinabibilangan ng:
1. Omnibus Election Code (Batas Pambansa Blg. 881): Ang Omnibus Election Code ay naglalaman ng mga probisyon na nagbabawal sa mga gawaing pananakot o panliligalig sa mga botante s"&amp;"a panahon ng halalan. Ang Seksyon 261 (a) (1) (i) ng Omnibus Election Code ay tumutukoy sa pagkakasala ng pamimilit, na kinabibilangan ng paggamit ng puwersa, pananakot, pagbabanta, o iba pang paraan upang pilitin ang isang botante na bumoto o umiwas sa p"&amp;"agboto para sa isang partikular na kandidato o partidong pampulitika. Ang mga lumalabag sa probisyong ito ay maaaring maharap sa mga parusang kriminal, kabilang ang pagkakulong at pagkadiskwalipikasyon sa paghawak ng pampublikong tungkulin.
2. Mga Reso"&amp;"lusyon at Alituntunin ng COMELEC: Ang Commission on Elections (COMELEC) ay naglalabas ng mga resolusyon at alituntunin upang mabisang ipatupad ang mga batas sa halalan at matiyak ang pangangalaga sa mga karapatan ng mga botante. Maaaring kabilang sa mga r"&amp;"esolusyong ito ang mga hakbang upang maiwasan at matugunan ang mga insidente ng pananakot o panliligalig sa botante, tulad ng pagbibigay ng deployment ng mga tauhan ng pagpapatupad ng batas sa mga lugar ng botohan at pagtatatag ng mga pamamaraan para sa p"&amp;"ag-uulat at pagsisiyasat ng mga reklamo ng mga paglabag sa elektoral.
3. Pamamagitan sa Pagpapatupad ng Batas: Ang mga awtoridad sa pagpapatupad ng batas, gaya ng Philippine National Police (PNP), ay may responsibilidad na ipatupad ang mga batas sa hal"&amp;"alan at panatilihin ang kapayapaan at kaayusan sa panahon ng halalan. Maaari silang makialam upang maiwasan ang mga insidente ng pananakot o panliligalig sa mga botante, tumugon sa mga reklamo mula sa mga botante, at gumawa ng naaangkop na aksyon laban sa"&amp;" mga indibidwal o grupong sangkot sa mga ilegal na aktibidad.
4. Commission on Human Rights (CHR): Ang Commission on Human Rights ay may awtoridad na imbestigahan ang mga paglabag sa karapatang pantao, kabilang ang mga insidente ng pananakot o panlilig"&amp;"alig sa mga botante. Ang mga botante na nakakaranas ng pananakot o panliligalig sa panahon ng halalan ay maaaring magsampa ng mga reklamo sa CHR para sa imbestigasyon at interbensyon.
5. Pampublikong Kamalayan at Edukasyon: Ang mga kampanya ng pampubli"&amp;"kong kamalayan at mga inisyatiba sa edukasyon ng botante ay may mahalagang papel sa pagpigil sa pananakot o panliligalig ng botante. Ang pagtuturo sa mga botante tungkol sa kanilang mga karapatan at ang proseso ng elektoral ay maaaring magbigay ng kapangy"&amp;"arihan sa kanila na mag-ulat ng mga insidente ng pananakot o panliligalig at humingi ng tulong mula sa mga kaugnay na awtoridad.
Sa pangkalahatan, ang pagtugon sa pananakot o panliligalig sa mga botante sa panahon ng halalan ay nangangailangan ng isang"&amp;" multi-faceted na diskarte na kinasasangkutan ng mga legal na hakbang, interbensyon sa pagpapatupad ng batas, mga kampanya sa kamalayan ng publiko, at mga pananggalang sa institusyon upang protektahan ang mga karapatan ng mga botante at itaguyod ang integ"&amp;"ridad ng proseso ng elektoral.")</f>
        <v>Sa Pilipinas, tinutugunan ng batas ang pananakot o panliligalig sa mga botante sa panahon ng halalan sa pamamagitan ng iba't ibang legal na probisyon na naglalayong protektahan ang mga karapatan ng mga botante at tiyakin ang integridad ng proseso ng elektoral. Ang ilan sa mga pangunahing legal na hakbang ay kinabibilangan ng:
1. Omnibus Election Code (Batas Pambansa Blg. 881): Ang Omnibus Election Code ay naglalaman ng mga probisyon na nagbabawal sa mga gawaing pananakot o panliligalig sa mga botante sa panahon ng halalan. Ang Seksyon 261 (a) (1) (i) ng Omnibus Election Code ay tumutukoy sa pagkakasala ng pamimilit, na kinabibilangan ng paggamit ng puwersa, pananakot, pagbabanta, o iba pang paraan upang pilitin ang isang botante na bumoto o umiwas sa pagboto para sa isang partikular na kandidato o partidong pampulitika. Ang mga lumalabag sa probisyong ito ay maaaring maharap sa mga parusang kriminal, kabilang ang pagkakulong at pagkadiskwalipikasyon sa paghawak ng pampublikong tungkulin.
2. Mga Resolusyon at Alituntunin ng COMELEC: Ang Commission on Elections (COMELEC) ay naglalabas ng mga resolusyon at alituntunin upang mabisang ipatupad ang mga batas sa halalan at matiyak ang pangangalaga sa mga karapatan ng mga botante. Maaaring kabilang sa mga resolusyong ito ang mga hakbang upang maiwasan at matugunan ang mga insidente ng pananakot o panliligalig sa botante, tulad ng pagbibigay ng deployment ng mga tauhan ng pagpapatupad ng batas sa mga lugar ng botohan at pagtatatag ng mga pamamaraan para sa pag-uulat at pagsisiyasat ng mga reklamo ng mga paglabag sa elektoral.
3. Pamamagitan sa Pagpapatupad ng Batas: Ang mga awtoridad sa pagpapatupad ng batas, gaya ng Philippine National Police (PNP), ay may responsibilidad na ipatupad ang mga batas sa halalan at panatilihin ang kapayapaan at kaayusan sa panahon ng halalan. Maaari silang makialam upang maiwasan ang mga insidente ng pananakot o panliligalig sa mga botante, tumugon sa mga reklamo mula sa mga botante, at gumawa ng naaangkop na aksyon laban sa mga indibidwal o grupong sangkot sa mga ilegal na aktibidad.
4. Commission on Human Rights (CHR): Ang Commission on Human Rights ay may awtoridad na imbestigahan ang mga paglabag sa karapatang pantao, kabilang ang mga insidente ng pananakot o panliligalig sa mga botante. Ang mga botante na nakakaranas ng pananakot o panliligalig sa panahon ng halalan ay maaaring magsampa ng mga reklamo sa CHR para sa imbestigasyon at interbensyon.
5. Pampublikong Kamalayan at Edukasyon: Ang mga kampanya ng pampublikong kamalayan at mga inisyatiba sa edukasyon ng botante ay may mahalagang papel sa pagpigil sa pananakot o panliligalig ng botante. Ang pagtuturo sa mga botante tungkol sa kanilang mga karapatan at ang proseso ng elektoral ay maaaring magbigay ng kapangyarihan sa kanila na mag-ulat ng mga insidente ng pananakot o panliligalig at humingi ng tulong mula sa mga kaugnay na awtoridad.
Sa pangkalahatan, ang pagtugon sa pananakot o panliligalig sa mga botante sa panahon ng halalan ay nangangailangan ng isang multi-faceted na diskarte na kinasasangkutan ng mga legal na hakbang, interbensyon sa pagpapatupad ng batas, mga kampanya sa kamalayan ng publiko, at mga pananggalang sa institusyon upang protektahan ang mga karapatan ng mga botante at itaguyod ang integridad ng proseso ng elektoral.</v>
      </c>
      <c r="F2427" s="2">
        <f t="shared" si="1"/>
        <v>0</v>
      </c>
      <c r="G2427" s="2"/>
      <c r="H2427" s="2"/>
      <c r="I2427" s="2"/>
      <c r="J2427" s="2"/>
      <c r="K2427" s="2"/>
      <c r="L2427" s="2"/>
      <c r="M2427" s="2"/>
      <c r="N2427" s="2"/>
      <c r="O2427" s="2"/>
      <c r="P2427" s="2"/>
      <c r="Q2427" s="2"/>
      <c r="R2427" s="2"/>
      <c r="S2427" s="2"/>
      <c r="T2427" s="2"/>
      <c r="U2427" s="2"/>
      <c r="V2427" s="2"/>
      <c r="W2427" s="2"/>
      <c r="X2427" s="2"/>
      <c r="Y2427" s="2"/>
      <c r="Z2427" s="2"/>
      <c r="AA2427" s="2"/>
    </row>
    <row r="2428">
      <c r="A2428" s="3" t="s">
        <v>5693</v>
      </c>
      <c r="B2428" s="1" t="s">
        <v>5822</v>
      </c>
      <c r="C2428" s="3" t="s">
        <v>5823</v>
      </c>
      <c r="D2428" s="2" t="str">
        <f>IFERROR(__xludf.DUMMYFUNCTION("GOOGLETRANSLATE(B2428, ""en"", ""TL"")"),"Ano ang papel na ginagampanan ng mga ahensya ng gobyerno sa pagsubaybay at pagtugon sa mga krimeng may kinalaman sa pulitika at aktibista?")</f>
        <v>Ano ang papel na ginagampanan ng mga ahensya ng gobyerno sa pagsubaybay at pagtugon sa mga krimeng may kinalaman sa pulitika at aktibista?</v>
      </c>
      <c r="E2428" s="2" t="str">
        <f>IFERROR(__xludf.DUMMYFUNCTION("GOOGLETRANSLATE(C2428, ""en"", ""TL"")"),"Ang mga ahensya ng gobyerno ay may mahalagang papel sa pagsubaybay at pagtugon sa mga krimen na may kaugnayan sa pulitika at aktibista. Narito ang isang breakdown ng kanilang mga pangunahing function:
**Pagsubaybay:**
* **Pagtitipon ng intelihensiya:** Na"&amp;"ngongolekta ang mga ahensya ng impormasyon tungkol sa mga potensyal na banta mula sa iba't ibang mapagkukunan, kabilang ang pagsubaybay sa social media, mga network ng impormante, at pagsubaybay (na may legal na pangangasiwa). * **Mga aktibidad sa pagsuba"&amp;"ybay:** Binabantayan nila ang mga grupo at indibidwal na pinaghihinalaang nagpaplano ng karahasan o ilegal na aktibidad sa panahon ng mga protesta o pampulitikang kaganapan.
* **Pagtatasa ng pagbabanta:** Batay sa nakalap na impormasyon, sinusuri nila ang"&amp;" posibilidad at kalubhaan ng mga potensyal na krimen. **Pag-address:**
* **Pagsisiyasat:** Kapag may nangyaring krimen, naglulunsad sila ng mga pagsisiyasat para matukoy ang mga may kasalanan, mangalap ng ebidensya, at bumuo ng kaso para sa pag-uusig. * *"&amp;"*Pagpapatupad ng batas:** Nagtatalaga sila ng mga tauhan ng pagpapatupad ng batas upang mapanatili ang kaayusan sa panahon ng mga protesta, maiwasan ang karahasan, at gumawa ng mga pag-aresto kung kinakailangan. * **Community outreach:** Nakikipagtulungan"&amp;" ang ilang ahensya sa mga komunidad upang bumuo ng tiwala, tugunan ang mga karaingan na maaaring magpasigla sa aktibismo, at manghikayat ng mapayapang paraan ng protesta.
**Balanse act:**
Ang tungkuling ito ay nangangailangan ng maselang balanse. Kailanga"&amp;"ng maging mapagbantay ang mga pamahalaan laban sa mga tunay na banta ngunit iwasan din ang pagpigil sa mga lehitimong hindi pagsang-ayon at aktibismo. Narito ang ilang potensyal na alalahanin:
* **Overreach:** Ang labis na pagsubaybay o paglusot ng mga ak"&amp;"tibistang grupo ay maaaring lumabag sa mga karapatan sa privacy at malayang pananalita. * **Pagta-target:** Pinipiling pagsubaybay o pag-uusig batay sa kaugnayan sa pulitika ay sumisira sa tiwala ng publiko.
* **Transparency:** Ang malinaw na mga alituntu"&amp;"nin at pangangasiwa ay mahalaga upang matiyak na ang mga aktibidad sa pagsubaybay ay legal at makatwiran.
Ang mga partikular na awtoridad at diskarte ng mga ahensya ng gobyerno ay nag-iiba depende sa legal na balangkas at sistemang pampulitika ng bansa.")</f>
        <v>Ang mga ahensya ng gobyerno ay may mahalagang papel sa pagsubaybay at pagtugon sa mga krimen na may kaugnayan sa pulitika at aktibista. Narito ang isang breakdown ng kanilang mga pangunahing function:
**Pagsubaybay:**
* **Pagtitipon ng intelihensiya:** Nangongolekta ang mga ahensya ng impormasyon tungkol sa mga potensyal na banta mula sa iba't ibang mapagkukunan, kabilang ang pagsubaybay sa social media, mga network ng impormante, at pagsubaybay (na may legal na pangangasiwa). * **Mga aktibidad sa pagsubaybay:** Binabantayan nila ang mga grupo at indibidwal na pinaghihinalaang nagpaplano ng karahasan o ilegal na aktibidad sa panahon ng mga protesta o pampulitikang kaganapan.
* **Pagtatasa ng pagbabanta:** Batay sa nakalap na impormasyon, sinusuri nila ang posibilidad at kalubhaan ng mga potensyal na krimen. **Pag-address:**
* **Pagsisiyasat:** Kapag may nangyaring krimen, naglulunsad sila ng mga pagsisiyasat para matukoy ang mga may kasalanan, mangalap ng ebidensya, at bumuo ng kaso para sa pag-uusig. * **Pagpapatupad ng batas:** Nagtatalaga sila ng mga tauhan ng pagpapatupad ng batas upang mapanatili ang kaayusan sa panahon ng mga protesta, maiwasan ang karahasan, at gumawa ng mga pag-aresto kung kinakailangan. * **Community outreach:** Nakikipagtulungan ang ilang ahensya sa mga komunidad upang bumuo ng tiwala, tugunan ang mga karaingan na maaaring magpasigla sa aktibismo, at manghikayat ng mapayapang paraan ng protesta.
**Balanse act:**
Ang tungkuling ito ay nangangailangan ng maselang balanse. Kailangang maging mapagbantay ang mga pamahalaan laban sa mga tunay na banta ngunit iwasan din ang pagpigil sa mga lehitimong hindi pagsang-ayon at aktibismo. Narito ang ilang potensyal na alalahanin:
* **Overreach:** Ang labis na pagsubaybay o paglusot ng mga aktibistang grupo ay maaaring lumabag sa mga karapatan sa privacy at malayang pananalita. * **Pagta-target:** Pinipiling pagsubaybay o pag-uusig batay sa kaugnayan sa pulitika ay sumisira sa tiwala ng publiko.
* **Transparency:** Ang malinaw na mga alituntunin at pangangasiwa ay mahalaga upang matiyak na ang mga aktibidad sa pagsubaybay ay legal at makatwiran.
Ang mga partikular na awtoridad at diskarte ng mga ahensya ng gobyerno ay nag-iiba depende sa legal na balangkas at sistemang pampulitika ng bansa.</v>
      </c>
      <c r="F2428" s="2">
        <f t="shared" si="1"/>
        <v>0</v>
      </c>
      <c r="G2428" s="2"/>
      <c r="H2428" s="2"/>
      <c r="I2428" s="2"/>
      <c r="J2428" s="2"/>
      <c r="K2428" s="2"/>
      <c r="L2428" s="2"/>
      <c r="M2428" s="2"/>
      <c r="N2428" s="2"/>
      <c r="O2428" s="2"/>
      <c r="P2428" s="2"/>
      <c r="Q2428" s="2"/>
      <c r="R2428" s="2"/>
      <c r="S2428" s="2"/>
      <c r="T2428" s="2"/>
      <c r="U2428" s="2"/>
      <c r="V2428" s="2"/>
      <c r="W2428" s="2"/>
      <c r="X2428" s="2"/>
      <c r="Y2428" s="2"/>
      <c r="Z2428" s="2"/>
      <c r="AA2428" s="2"/>
    </row>
    <row r="2429">
      <c r="A2429" s="3" t="s">
        <v>5693</v>
      </c>
      <c r="B2429" s="1" t="s">
        <v>5824</v>
      </c>
      <c r="C2429" s="3" t="s">
        <v>5825</v>
      </c>
      <c r="D2429" s="2" t="str">
        <f>IFERROR(__xludf.DUMMYFUNCTION("GOOGLETRANSLATE(B2429, ""en"", ""TL"")"),"Paano tinutugunan sa ilalim ng batas ng Pilipinas ang mga krimen tulad ng iligal na pagkulong o sapilitang pagkawala sa mga gawaing pampulitika?")</f>
        <v>Paano tinutugunan sa ilalim ng batas ng Pilipinas ang mga krimen tulad ng iligal na pagkulong o sapilitang pagkawala sa mga gawaing pampulitika?</v>
      </c>
      <c r="E2429" s="2" t="str">
        <f>IFERROR(__xludf.DUMMYFUNCTION("GOOGLETRANSLATE(C2429, ""en"", ""TL"")"),"Matibay ang paninindigan ng batas ng Pilipinas laban sa mga krimen tulad ng iligal na pagkulong at sapilitang pagkawala, lalo na kapag konektado sa mga gawaing pampulitika. Narito kung paano tinutugunan ang mga pagkilos na ito:
**Mga Kaugnay na Batas:**
*"&amp;" **Revised Penal Code (RPC):** Ang pangunahing criminal code na ito ay kinabibilangan ng mga probisyon laban sa:
* **Illegal Detention (Artikulo 124):** Pinaparusahan ang pagkilos ng pag-alis ng kalayaan ng isang tao nang walang legal na batayan.
* **Acts"&amp;" of Violence and Threats (Artikulo 282-283):** Sinasaklaw ang mga pagbabanta, pananakot, at karahasan na ginamit upang patahimikin o saktan ang mga indibidwal.
* **Anti-Enforced or Involuntary Disappearance Act of 2012 (Republic Act No. 10354):** Partikul"&amp;"ar na ginagawang kriminal ang mga sapilitang pagkawala, na tinutukoy ito bilang pagkuha ng isang aktor ng estado, grupo, o indibidwal na sinusundan ng pagtanggi sa pagkilala ng pagkakait ng kalayaan o sa pamamagitan ng pagtatago ng kapalaran o kinaroroona"&amp;"n ng tao.
**Pagtugon sa mga Krimen:**
* **Pagsisiyasat:** Ang mga ahensyang nagpapatupad ng batas tulad ng Philippine National Police (PNP) ay inatasan na imbestigahan ang mga alegasyon ng iligal na pagkulong at sapilitang pagkawala. Ang Commission on Hum"&amp;"an Rights (CHR) ay maaari ding magsagawa ng mga independiyenteng imbestigasyon.
* **Pag-uusig:** Kung sinusuportahan ng ebidensya ang mga kaso, ang mga may kasalanan ay nahaharap sa pag-uusig sa mga regular na korte. Ang mga parusa ay maaaring mula sa pag"&amp;"kakulong hanggang sa habambuhay na sentensiya depende sa kalubhaan ng krimen. * **Mga Panukala sa Proteksyon:** Ang Anti-Enforced o Involuntary Disappearance Act ay nagbibigay ng mga programa sa proteksyon ng saksi at iba pang mga hakbang upang mapangalag"&amp;"aan ang mga naghahatid ng impormasyon.
**Mga Hamon:**
Sa kabila ng mga legal na balangkas, maaaring maging mahirap ang pagtugon sa mga krimeng ito dahil sa:
* **Kultura ng Impunity:** Ang mga may kasalanan, lalo na ang mga may kapangyarihan o koneksyon, a"&amp;"y maaaring umiwas sa pananagutan.
* **Pananakot sa Saksi:** Ang takot sa paghihiganti ay maaaring huminto sa mga indibidwal na iulat ang mga krimeng ito.
* **Hirap sa Pagkalap ng Ebidensya:** Dahil sa likas na katangian ng mga sapilitang pagkawala ay nahi"&amp;"hirapang hanapin ang mga biktima at mangolekta ng patunay.
**Naghahanap ng Tulong:**
* **Commission on Human Rights (CHR):** Tumatanggap ng mga reklamo tungkol sa mga paglabag sa karapatang pantao, kabilang ang iligal na pagkulong at sapilitang pagkawala."&amp;" Maaari silang mag-imbestiga, magrekomenda ng mga pag-uusig, at magbigay ng legal na tulong sa mga biktima.
* **Non-Governmental Organizations (NGOs):** Ilang NGO sa Pilipinas ang nagtatrabaho sa mga isyu sa karapatang pantao at maaaring mag-alok ng supor"&amp;"ta at tulong legal sa mga biktima.
Sa pamamagitan ng pag-unawa sa mga batas at paraan para sa paghingi ng tulong, ang mga Pilipino ay maaaring labanan ang mga pulitikal na pagkakasala at matiyak na mabibigyan ng hustisya.")</f>
        <v>Matibay ang paninindigan ng batas ng Pilipinas laban sa mga krimen tulad ng iligal na pagkulong at sapilitang pagkawala, lalo na kapag konektado sa mga gawaing pampulitika. Narito kung paano tinutugunan ang mga pagkilos na ito:
**Mga Kaugnay na Batas:**
* **Revised Penal Code (RPC):** Ang pangunahing criminal code na ito ay kinabibilangan ng mga probisyon laban sa:
* **Illegal Detention (Artikulo 124):** Pinaparusahan ang pagkilos ng pag-alis ng kalayaan ng isang tao nang walang legal na batayan.
* **Acts of Violence and Threats (Artikulo 282-283):** Sinasaklaw ang mga pagbabanta, pananakot, at karahasan na ginamit upang patahimikin o saktan ang mga indibidwal.
* **Anti-Enforced or Involuntary Disappearance Act of 2012 (Republic Act No. 10354):** Partikular na ginagawang kriminal ang mga sapilitang pagkawala, na tinutukoy ito bilang pagkuha ng isang aktor ng estado, grupo, o indibidwal na sinusundan ng pagtanggi sa pagkilala ng pagkakait ng kalayaan o sa pamamagitan ng pagtatago ng kapalaran o kinaroroonan ng tao.
**Pagtugon sa mga Krimen:**
* **Pagsisiyasat:** Ang mga ahensyang nagpapatupad ng batas tulad ng Philippine National Police (PNP) ay inatasan na imbestigahan ang mga alegasyon ng iligal na pagkulong at sapilitang pagkawala. Ang Commission on Human Rights (CHR) ay maaari ding magsagawa ng mga independiyenteng imbestigasyon.
* **Pag-uusig:** Kung sinusuportahan ng ebidensya ang mga kaso, ang mga may kasalanan ay nahaharap sa pag-uusig sa mga regular na korte. Ang mga parusa ay maaaring mula sa pagkakulong hanggang sa habambuhay na sentensiya depende sa kalubhaan ng krimen. * **Mga Panukala sa Proteksyon:** Ang Anti-Enforced o Involuntary Disappearance Act ay nagbibigay ng mga programa sa proteksyon ng saksi at iba pang mga hakbang upang mapangalagaan ang mga naghahatid ng impormasyon.
**Mga Hamon:**
Sa kabila ng mga legal na balangkas, maaaring maging mahirap ang pagtugon sa mga krimeng ito dahil sa:
* **Kultura ng Impunity:** Ang mga may kasalanan, lalo na ang mga may kapangyarihan o koneksyon, ay maaaring umiwas sa pananagutan.
* **Pananakot sa Saksi:** Ang takot sa paghihiganti ay maaaring huminto sa mga indibidwal na iulat ang mga krimeng ito.
* **Hirap sa Pagkalap ng Ebidensya:** Dahil sa likas na katangian ng mga sapilitang pagkawala ay nahihirapang hanapin ang mga biktima at mangolekta ng patunay.
**Naghahanap ng Tulong:**
* **Commission on Human Rights (CHR):** Tumatanggap ng mga reklamo tungkol sa mga paglabag sa karapatang pantao, kabilang ang iligal na pagkulong at sapilitang pagkawala. Maaari silang mag-imbestiga, magrekomenda ng mga pag-uusig, at magbigay ng legal na tulong sa mga biktima.
* **Non-Governmental Organizations (NGOs):** Ilang NGO sa Pilipinas ang nagtatrabaho sa mga isyu sa karapatang pantao at maaaring mag-alok ng suporta at tulong legal sa mga biktima.
Sa pamamagitan ng pag-unawa sa mga batas at paraan para sa paghingi ng tulong, ang mga Pilipino ay maaaring labanan ang mga pulitikal na pagkakasala at matiyak na mabibigyan ng hustisya.</v>
      </c>
      <c r="F2429" s="2">
        <f t="shared" si="1"/>
        <v>0</v>
      </c>
      <c r="G2429" s="2"/>
      <c r="H2429" s="2"/>
      <c r="I2429" s="2"/>
      <c r="J2429" s="2"/>
      <c r="K2429" s="2"/>
      <c r="L2429" s="2"/>
      <c r="M2429" s="2"/>
      <c r="N2429" s="2"/>
      <c r="O2429" s="2"/>
      <c r="P2429" s="2"/>
      <c r="Q2429" s="2"/>
      <c r="R2429" s="2"/>
      <c r="S2429" s="2"/>
      <c r="T2429" s="2"/>
      <c r="U2429" s="2"/>
      <c r="V2429" s="2"/>
      <c r="W2429" s="2"/>
      <c r="X2429" s="2"/>
      <c r="Y2429" s="2"/>
      <c r="Z2429" s="2"/>
      <c r="AA2429" s="2"/>
    </row>
    <row r="2430">
      <c r="A2430" s="3" t="s">
        <v>5693</v>
      </c>
      <c r="B2430" s="1" t="s">
        <v>5826</v>
      </c>
      <c r="C2430" s="3" t="s">
        <v>5827</v>
      </c>
      <c r="D2430" s="2" t="str">
        <f>IFERROR(__xludf.DUMMYFUNCTION("GOOGLETRANSLATE(B2430, ""en"", ""TL"")"),"Anong mga legal na aksyon ang maaaring gawin laban sa mga indibidwal na nakikibahagi sa mga online na kampanya ng disinformation upang manipulahin ang opinyon ng publiko?")</f>
        <v>Anong mga legal na aksyon ang maaaring gawin laban sa mga indibidwal na nakikibahagi sa mga online na kampanya ng disinformation upang manipulahin ang opinyon ng publiko?</v>
      </c>
      <c r="E2430" s="2" t="str">
        <f>IFERROR(__xludf.DUMMYFUNCTION("GOOGLETRANSLATE(C2430, ""en"", ""TL"")"),"Sa Pilipinas, maaaring magsagawa ng mga legal na aksyon laban sa mga indibidwal na nakikibahagi sa mga online na kampanya ng disinformation upang manipulahin ang opinyon ng publiko. Narito ang ilan sa mga legal na hakbang na maaaring isagawa:
1. Cyberc"&amp;"rime Prevention Act of 2012 (RA 10175): Ang Cybercrime Prevention Act ay ginagawang kriminal ang iba't ibang anyo ng cybercrimes, kabilang ang cyber libel, online na panliligalig, at pagpapakalat ng maling impormasyon. Ang mga indibidwal na nakikibahagi s"&amp;"a mga online na kampanya ng disinformation ay maaaring panagutin sa ilalim ng batas na ito. Maaaring magsampa ng mga reklamo sa Cybercrime Investigation and Coordinating Center (CICC) o sa Philippine National Police-Cybercrime Group (PNP-CCG) para sa imbe"&amp;"stigasyon at pag-uusig ng cyber libel o iba pang cybercrimes.
2. Mga Batas sa Halalan: Ang mga kampanya ng disinformation na naglalayong manipulahin ang opinyon ng publiko ay maaaring lumabag sa mga batas sa halalan, tulad ng mga nagbabawal sa mga gawa"&amp;" ng disinformation, pagmudsling, at pagkalat ng maling impormasyon upang linlangin ang mga botante. Ang Commission on Elections (COMELEC) ay may awtoridad na imbestigahan ang mga paglabag sa halalan at usigin ang mga indibidwal na nakikibahagi sa mga kamp"&amp;"anya ng disinformation sa panahon ng halalan.
3. Mga Batas sa Paninirang-puri: Ang mga maling pahayag at mapanirang-puri na ginawa sa layuning makapinsala sa reputasyon ng mga indibidwal o grupo ay maaaring bumuo ng paninirang-puri, na isang sibil na p"&amp;"agkakasala sa ilalim ng batas ng Pilipinas. Ang mga biktima ng online na disinformation campaign ay maaaring magsampa ng mga sibil na reklamo para sa mga pinsala laban sa mga indibidwal o entity na responsable sa pagkalat ng maling impormasyon.
4. Regu"&amp;"lasyon sa Media: Ang mga kampanya ng disinformation na ipinakalat sa pamamagitan ng tradisyonal na mga channel ng media, tulad ng mga pahayagan, telebisyon, o radyo, ay maaaring lumabag sa etika at pamantayan ng media. Maaaring magsampa ng mga reklamo sa "&amp;"mga regulatory body ng media, tulad ng Philippine Press Council o Movie and Television Review and Classification Board (MTRCB), para sa paglabag sa etika at pamantayan ng media.
5. Commission on Human Rights (CHR): Ang Commission on Human Rights ay may"&amp;" awtoridad na mag-imbestiga sa mga paglabag sa karapatang pantao, kabilang ang mga kampanyang disinformation na nilayon upang manipulahin ang opinyon ng publiko o pahinain ang mga demokratikong proseso. Ang mga reklamo ay maaaring isumite sa CHR para sa i"&amp;"mbestigasyon at interbensyon.
Sa pangkalahatan, ang mga legal na aksyon laban sa mga indibidwal na nakikibahagi sa mga online na kampanya ng disinformation ay maaaring may kasamang kumbinasyon ng mga remedyo sa kriminal at sibil, gayundin ang mga hakba"&amp;"ng sa regulasyon at mga proteksyon sa karapatang pantao, upang tugunan ang mga mapaminsalang epekto ng disinformation at protektahan ang integridad ng pampublikong diskurso.")</f>
        <v>Sa Pilipinas, maaaring magsagawa ng mga legal na aksyon laban sa mga indibidwal na nakikibahagi sa mga online na kampanya ng disinformation upang manipulahin ang opinyon ng publiko. Narito ang ilan sa mga legal na hakbang na maaaring isagawa:
1. Cybercrime Prevention Act of 2012 (RA 10175): Ang Cybercrime Prevention Act ay ginagawang kriminal ang iba't ibang anyo ng cybercrimes, kabilang ang cyber libel, online na panliligalig, at pagpapakalat ng maling impormasyon. Ang mga indibidwal na nakikibahagi sa mga online na kampanya ng disinformation ay maaaring panagutin sa ilalim ng batas na ito. Maaaring magsampa ng mga reklamo sa Cybercrime Investigation and Coordinating Center (CICC) o sa Philippine National Police-Cybercrime Group (PNP-CCG) para sa imbestigasyon at pag-uusig ng cyber libel o iba pang cybercrimes.
2. Mga Batas sa Halalan: Ang mga kampanya ng disinformation na naglalayong manipulahin ang opinyon ng publiko ay maaaring lumabag sa mga batas sa halalan, tulad ng mga nagbabawal sa mga gawa ng disinformation, pagmudsling, at pagkalat ng maling impormasyon upang linlangin ang mga botante. Ang Commission on Elections (COMELEC) ay may awtoridad na imbestigahan ang mga paglabag sa halalan at usigin ang mga indibidwal na nakikibahagi sa mga kampanya ng disinformation sa panahon ng halalan.
3. Mga Batas sa Paninirang-puri: Ang mga maling pahayag at mapanirang-puri na ginawa sa layuning makapinsala sa reputasyon ng mga indibidwal o grupo ay maaaring bumuo ng paninirang-puri, na isang sibil na pagkakasala sa ilalim ng batas ng Pilipinas. Ang mga biktima ng online na disinformation campaign ay maaaring magsampa ng mga sibil na reklamo para sa mga pinsala laban sa mga indibidwal o entity na responsable sa pagkalat ng maling impormasyon.
4. Regulasyon sa Media: Ang mga kampanya ng disinformation na ipinakalat sa pamamagitan ng tradisyonal na mga channel ng media, tulad ng mga pahayagan, telebisyon, o radyo, ay maaaring lumabag sa etika at pamantayan ng media. Maaaring magsampa ng mga reklamo sa mga regulatory body ng media, tulad ng Philippine Press Council o Movie and Television Review and Classification Board (MTRCB), para sa paglabag sa etika at pamantayan ng media.
5. Commission on Human Rights (CHR): Ang Commission on Human Rights ay may awtoridad na mag-imbestiga sa mga paglabag sa karapatang pantao, kabilang ang mga kampanyang disinformation na nilayon upang manipulahin ang opinyon ng publiko o pahinain ang mga demokratikong proseso. Ang mga reklamo ay maaaring isumite sa CHR para sa imbestigasyon at interbensyon.
Sa pangkalahatan, ang mga legal na aksyon laban sa mga indibidwal na nakikibahagi sa mga online na kampanya ng disinformation ay maaaring may kasamang kumbinasyon ng mga remedyo sa kriminal at sibil, gayundin ang mga hakbang sa regulasyon at mga proteksyon sa karapatang pantao, upang tugunan ang mga mapaminsalang epekto ng disinformation at protektahan ang integridad ng pampublikong diskurso.</v>
      </c>
      <c r="F2430" s="2">
        <f t="shared" si="1"/>
        <v>0</v>
      </c>
      <c r="G2430" s="2"/>
      <c r="H2430" s="2"/>
      <c r="I2430" s="2"/>
      <c r="J2430" s="2"/>
      <c r="K2430" s="2"/>
      <c r="L2430" s="2"/>
      <c r="M2430" s="2"/>
      <c r="N2430" s="2"/>
      <c r="O2430" s="2"/>
      <c r="P2430" s="2"/>
      <c r="Q2430" s="2"/>
      <c r="R2430" s="2"/>
      <c r="S2430" s="2"/>
      <c r="T2430" s="2"/>
      <c r="U2430" s="2"/>
      <c r="V2430" s="2"/>
      <c r="W2430" s="2"/>
      <c r="X2430" s="2"/>
      <c r="Y2430" s="2"/>
      <c r="Z2430" s="2"/>
      <c r="AA2430" s="2"/>
    </row>
    <row r="2431">
      <c r="A2431" s="3" t="s">
        <v>5693</v>
      </c>
      <c r="B2431" s="1" t="s">
        <v>5828</v>
      </c>
      <c r="C2431" s="3" t="s">
        <v>5829</v>
      </c>
      <c r="D2431" s="2" t="str">
        <f>IFERROR(__xludf.DUMMYFUNCTION("GOOGLETRANSLATE(B2431, ""en"", ""TL"")"),"Paano tinutugunan ng batas ng Pilipinas ang paggamit ng dahas o karahasan upang maimpluwensyahan ang paggawa ng desisyon sa pulitika?")</f>
        <v>Paano tinutugunan ng batas ng Pilipinas ang paggamit ng dahas o karahasan upang maimpluwensyahan ang paggawa ng desisyon sa pulitika?</v>
      </c>
      <c r="E2431" s="2" t="str">
        <f>IFERROR(__xludf.DUMMYFUNCTION("GOOGLETRANSLATE(C2431, ""en"", ""TL"")"),"Ipinagbabawal ng batas ng Pilipinas ang paggamit ng puwersa o karahasan upang maimpluwensyahan ang paggawa ng desisyon sa pulitika. Narito ang ilang nauugnay na probisyon:
* **Ang Konstitusyon ng Pilipinas** Ang Konstitusyon ay ginagarantiyahan ang karapa"&amp;"tan sa mapayapang pagpupulong at ang karapatang magpetisyon sa pamahalaan para sa pagtugon sa mga hinaing (Artikulo III, Seksyon 4 at 15). Nangangahulugan ito na maaaring ipahayag ng mga tao ang kanilang mga pananaw sa pulitika at itaguyod ang kanilang mg"&amp;"a posisyon sa pamamagitan ng mapayapang paraan.
* **Ang Binagong Kodigo Penal** Ang Binagong Kodigo Penal ay tumutukoy at nagpaparusa sa iba't ibang krimen na may kinalaman sa karahasan o pananakot, gaya ng:
* Paghihimagsik (Artikulo 134)
* Sedisyon (Arti"&amp;"kulo 136)
* Direktang pag-atake (Artikulo 148)
* Magulong demonstrasyon (Artikulo 146)
* Pagpipilit (Artikulo 132)
* **The Public Assemblies Act of 1985 (Batas Pambansa Blg. 880)** Ang batas na ito ay kinokontrol ang pagdaraos ng mga pagtitipon, rali, at "&amp;"demonstrasyon. Nangangailangan ito ng mga permit para sa ilang uri ng mga pagtitipon at ipinagbabawal ang mga gawaing maaaring humantong sa karahasan o kaguluhan.
Ang paggamit ng puwersa o karahasan upang maimpluwensyahan ang paggawa ng desisyon sa puliti"&amp;"ka ay isang krimen sa Pilipinas at maaaring magresulta sa pagkakulong at iba pang mga parusa.")</f>
        <v>Ipinagbabawal ng batas ng Pilipinas ang paggamit ng puwersa o karahasan upang maimpluwensyahan ang paggawa ng desisyon sa pulitika. Narito ang ilang nauugnay na probisyon:
* **Ang Konstitusyon ng Pilipinas** Ang Konstitusyon ay ginagarantiyahan ang karapatan sa mapayapang pagpupulong at ang karapatang magpetisyon sa pamahalaan para sa pagtugon sa mga hinaing (Artikulo III, Seksyon 4 at 15). Nangangahulugan ito na maaaring ipahayag ng mga tao ang kanilang mga pananaw sa pulitika at itaguyod ang kanilang mga posisyon sa pamamagitan ng mapayapang paraan.
* **Ang Binagong Kodigo Penal** Ang Binagong Kodigo Penal ay tumutukoy at nagpaparusa sa iba't ibang krimen na may kinalaman sa karahasan o pananakot, gaya ng:
* Paghihimagsik (Artikulo 134)
* Sedisyon (Artikulo 136)
* Direktang pag-atake (Artikulo 148)
* Magulong demonstrasyon (Artikulo 146)
* Pagpipilit (Artikulo 132)
* **The Public Assemblies Act of 1985 (Batas Pambansa Blg. 880)** Ang batas na ito ay kinokontrol ang pagdaraos ng mga pagtitipon, rali, at demonstrasyon. Nangangailangan ito ng mga permit para sa ilang uri ng mga pagtitipon at ipinagbabawal ang mga gawaing maaaring humantong sa karahasan o kaguluhan.
Ang paggamit ng puwersa o karahasan upang maimpluwensyahan ang paggawa ng desisyon sa pulitika ay isang krimen sa Pilipinas at maaaring magresulta sa pagkakulong at iba pang mga parusa.</v>
      </c>
      <c r="F2431" s="2">
        <f t="shared" si="1"/>
        <v>0</v>
      </c>
      <c r="G2431" s="2"/>
      <c r="H2431" s="2"/>
      <c r="I2431" s="2"/>
      <c r="J2431" s="2"/>
      <c r="K2431" s="2"/>
      <c r="L2431" s="2"/>
      <c r="M2431" s="2"/>
      <c r="N2431" s="2"/>
      <c r="O2431" s="2"/>
      <c r="P2431" s="2"/>
      <c r="Q2431" s="2"/>
      <c r="R2431" s="2"/>
      <c r="S2431" s="2"/>
      <c r="T2431" s="2"/>
      <c r="U2431" s="2"/>
      <c r="V2431" s="2"/>
      <c r="W2431" s="2"/>
      <c r="X2431" s="2"/>
      <c r="Y2431" s="2"/>
      <c r="Z2431" s="2"/>
      <c r="AA2431" s="2"/>
    </row>
    <row r="2432">
      <c r="A2432" s="3" t="s">
        <v>5693</v>
      </c>
      <c r="B2432" s="1" t="s">
        <v>5830</v>
      </c>
      <c r="C2432" s="3" t="s">
        <v>5831</v>
      </c>
      <c r="D2432" s="2" t="str">
        <f>IFERROR(__xludf.DUMMYFUNCTION("GOOGLETRANSLATE(B2432, ""en"", ""TL"")"),"Anong mga hakbang ang inilalagay upang maiwasan at matugunan ang mga krimen na ginawa ng mga pribadong indibidwal o grupo laban sa mga politiko o aktibista?")</f>
        <v>Anong mga hakbang ang inilalagay upang maiwasan at matugunan ang mga krimen na ginawa ng mga pribadong indibidwal o grupo laban sa mga politiko o aktibista?</v>
      </c>
      <c r="E2432" s="2" t="str">
        <f>IFERROR(__xludf.DUMMYFUNCTION("GOOGLETRANSLATE(C2432, ""en"", ""TL"")"),"Ang Pilipinas ay nagpapatupad ng kumbinasyon ng mga hakbang na pang-iwas at tumutugon upang matugunan ang karahasan laban sa mga politiko at aktibista:
**Pag-iwas:**
* **Detalye ng Seguridad:** Ang mga may mataas na profile sa pulitika ay kadalasang nakak"&amp;"atanggap ng mga detalye ng seguridad mula sa Philippine National Police (PNP) o pribadong security firm. * **Threat Assessment:** Ang mga ahensyang nagpapatupad ng batas tulad ng PNP ay sumusubaybay sa mga potensyal na banta at nagsasagawa ng mga pagtatas"&amp;"a ng panganib para sa mga indibidwal na itinuturing na mahina.
* **Pagpupulis ng Komunidad:** Ang mga programang nagpapatibay ng tiwala at pakikipagtulungan sa pagitan ng pulisya at mga komunidad ay maaaring makatulong sa pagtukoy ng mga potensyal na bant"&amp;"a at pagpigil sa karahasan.
* **Mga Batas sa Pagkontrol ng Baril:** Ang Pilipinas ay may mga batas sa pagkontrol ng baril na naglalayong bawasan ang bilang ng mga baril sa sirkulasyon, na posibleng mapababa ang panganib ng karahasan. * **Mga Kampanya sa P"&amp;"ampublikong Edukasyon:** Ang mga kampanyang nagsusulong ng mapayapang pampulitikang diskurso at pagkondena sa karahasan ay maaaring mabawasan ang pagtanggap ng lipunan sa mga naturang gawain.
**Tugon:**
* **Pagsisiyasat at Pag-uusig:** Ang pagpapatupad ng"&amp;" batas ay nag-iimbestiga ng mga krimen laban sa mga politiko at aktibista, na naglalayong hulihin at usigin ang mga may kasalanan. * **Mga Programa sa Proteksyon ng Saksi:** Umiiral ang mga programa upang protektahan ang mga testigo na nagbibigay ng impor"&amp;"masyon tungkol sa mga krimeng ito. * **Mga Espesyal na Hukuman:** Ang ilang rehiyon na may mataas na rate ng pampulitikang karahasan ay may mga espesyal na hukuman upang mapabilis ang mga paglilitis sa mga kasong ito.
**Mga Hamon:**
* **Impunity:** Hindi "&amp;"lahat ng krimen ay naresolba, at ang mga may kasalanan ay maaaring makatakas sa kaparusahan, na humihikayat sa iba na sumulong at humina sa pagpigil.
* **Mga Tiwaling Kasanayan:** Maaaring hadlangan ng katiwalian sa loob ng pagpapatupad ng batas ang epekt"&amp;"ibong pagsisiyasat at pag-uusig.
* **Mga Pampulitika na Pagganyak:** Ang mga pagsisiyasat ay maaaring gawing pulitika, na nagpapahirap sa pagtiyak ng isang patas at walang kinikilingan na proseso.
**Mga Karagdagang Pagsasaalang-alang:**
* **Mga Online na "&amp;"Banta:** Ang pagtaas ng social media ay lumikha ng mga bagong paraan para sa mga pagbabanta at panliligalig laban sa mga pulitiko at aktibista. * **Tungkulin ng Media:** Maaaring maiwasan ng responsableng media coverage ang pagpapalakas ng mapoot na salit"&amp;"a o pag-uudyok ng karahasan. Ang pagiging epektibo ng mga hakbang na ito ay nag-iiba depende sa partikular na konteksto. Ang patuloy na pagsisikap ay kailangan upang palakasin ang pagpapatupad ng batas, tugunan ang katiwalian, at itaguyod ang isang kultur"&amp;"a ng mapayapang diskursong pampulitika.")</f>
        <v>Ang Pilipinas ay nagpapatupad ng kumbinasyon ng mga hakbang na pang-iwas at tumutugon upang matugunan ang karahasan laban sa mga politiko at aktibista:
**Pag-iwas:**
* **Detalye ng Seguridad:** Ang mga may mataas na profile sa pulitika ay kadalasang nakakatanggap ng mga detalye ng seguridad mula sa Philippine National Police (PNP) o pribadong security firm. * **Threat Assessment:** Ang mga ahensyang nagpapatupad ng batas tulad ng PNP ay sumusubaybay sa mga potensyal na banta at nagsasagawa ng mga pagtatasa ng panganib para sa mga indibidwal na itinuturing na mahina.
* **Pagpupulis ng Komunidad:** Ang mga programang nagpapatibay ng tiwala at pakikipagtulungan sa pagitan ng pulisya at mga komunidad ay maaaring makatulong sa pagtukoy ng mga potensyal na banta at pagpigil sa karahasan.
* **Mga Batas sa Pagkontrol ng Baril:** Ang Pilipinas ay may mga batas sa pagkontrol ng baril na naglalayong bawasan ang bilang ng mga baril sa sirkulasyon, na posibleng mapababa ang panganib ng karahasan. * **Mga Kampanya sa Pampublikong Edukasyon:** Ang mga kampanyang nagsusulong ng mapayapang pampulitikang diskurso at pagkondena sa karahasan ay maaaring mabawasan ang pagtanggap ng lipunan sa mga naturang gawain.
**Tugon:**
* **Pagsisiyasat at Pag-uusig:** Ang pagpapatupad ng batas ay nag-iimbestiga ng mga krimen laban sa mga politiko at aktibista, na naglalayong hulihin at usigin ang mga may kasalanan. * **Mga Programa sa Proteksyon ng Saksi:** Umiiral ang mga programa upang protektahan ang mga testigo na nagbibigay ng impormasyon tungkol sa mga krimeng ito. * **Mga Espesyal na Hukuman:** Ang ilang rehiyon na may mataas na rate ng pampulitikang karahasan ay may mga espesyal na hukuman upang mapabilis ang mga paglilitis sa mga kasong ito.
**Mga Hamon:**
* **Impunity:** Hindi lahat ng krimen ay naresolba, at ang mga may kasalanan ay maaaring makatakas sa kaparusahan, na humihikayat sa iba na sumulong at humina sa pagpigil.
* **Mga Tiwaling Kasanayan:** Maaaring hadlangan ng katiwalian sa loob ng pagpapatupad ng batas ang epektibong pagsisiyasat at pag-uusig.
* **Mga Pampulitika na Pagganyak:** Ang mga pagsisiyasat ay maaaring gawing pulitika, na nagpapahirap sa pagtiyak ng isang patas at walang kinikilingan na proseso.
**Mga Karagdagang Pagsasaalang-alang:**
* **Mga Online na Banta:** Ang pagtaas ng social media ay lumikha ng mga bagong paraan para sa mga pagbabanta at panliligalig laban sa mga pulitiko at aktibista. * **Tungkulin ng Media:** Maaaring maiwasan ng responsableng media coverage ang pagpapalakas ng mapoot na salita o pag-uudyok ng karahasan. Ang pagiging epektibo ng mga hakbang na ito ay nag-iiba depende sa partikular na konteksto. Ang patuloy na pagsisikap ay kailangan upang palakasin ang pagpapatupad ng batas, tugunan ang katiwalian, at itaguyod ang isang kultura ng mapayapang diskursong pampulitika.</v>
      </c>
      <c r="F2432" s="2">
        <f t="shared" si="1"/>
        <v>0</v>
      </c>
      <c r="G2432" s="2"/>
      <c r="H2432" s="2"/>
      <c r="I2432" s="2"/>
      <c r="J2432" s="2"/>
      <c r="K2432" s="2"/>
      <c r="L2432" s="2"/>
      <c r="M2432" s="2"/>
      <c r="N2432" s="2"/>
      <c r="O2432" s="2"/>
      <c r="P2432" s="2"/>
      <c r="Q2432" s="2"/>
      <c r="R2432" s="2"/>
      <c r="S2432" s="2"/>
      <c r="T2432" s="2"/>
      <c r="U2432" s="2"/>
      <c r="V2432" s="2"/>
      <c r="W2432" s="2"/>
      <c r="X2432" s="2"/>
      <c r="Y2432" s="2"/>
      <c r="Z2432" s="2"/>
      <c r="AA2432" s="2"/>
    </row>
    <row r="2433">
      <c r="A2433" s="3" t="s">
        <v>5693</v>
      </c>
      <c r="B2433" s="1" t="s">
        <v>5832</v>
      </c>
      <c r="C2433" s="3" t="s">
        <v>5833</v>
      </c>
      <c r="D2433" s="2" t="str">
        <f>IFERROR(__xludf.DUMMYFUNCTION("GOOGLETRANSLATE(B2433, ""en"", ""TL"")"),"Paano kinokontrol at pinaparusahan ang mga krimen tulad ng pagharang sa hustisya o pakikialam sa ebidensya na may kaugnayan sa mga kaso na may kaugnayan sa pulitika at aktibista?")</f>
        <v>Paano kinokontrol at pinaparusahan ang mga krimen tulad ng pagharang sa hustisya o pakikialam sa ebidensya na may kaugnayan sa mga kaso na may kaugnayan sa pulitika at aktibista?</v>
      </c>
      <c r="E2433" s="2" t="str">
        <f>IFERROR(__xludf.DUMMYFUNCTION("GOOGLETRANSLATE(C2433, ""en"", ""TL"")"),"Sa Pilipinas, ang pagharang sa hustisya at pakikialam sa ebidensiya ay mga seryosong pagkakasala na pantay na naaangkop sa mga kaso na may kaugnayan sa pulitika at aktibista, at anumang iba pang legal na kaso. Narito kung paano kinokontrol at pinaparusaha"&amp;"n ang mga ito:
* **Mga Kaugnay na Batas:**
* **Revised Penal Code:** * Article 148 (Obstruction of Justice in Criminal Proceedings) - Nalalapat ito sa sinumang sadyang humahadlang o humahadlang sa pagdakip, imbestigasyon, pag-uusig, o pagpaparusa ng isang"&amp;" krimen.
* Artikulo 185 (Pakikialam sa Ebidensya) - Sinasaklaw nito ang sinumang sumisira, nagtatago, nagbabago, o pumutol ng ebidensya sa isang pagsisiyasat o paglilitis ng kriminal.
* **Mga Espesyal na Batas:** Sa ilang pagkakataon, ang mga espesyal na "&amp;"batas ay maaaring magbigay ng mas mabibigat na parusa para sa pakikialam sa ebidensya o paghadlang sa hustisya sa mga krimen na may motibo sa pulitika.
* **Mga Parusa:** * Ang mga parusa para sa pagharang sa hustisya at pakikialam sa ebidensya ay nag-iiba"&amp;" depende sa kalubhaan ng pagkakasala at sa pinagbabatayan na krimen. Maaari silang mula sa pagkakakulong ng ilang buwan hanggang ilang taon.
* **Mga Hamon:** * **Mga Rate ng Conviction:** Maaaring mahirap patunayan ang pagharang sa hustisya at pakikialam "&amp;"sa ebidensya, na posibleng humantong sa mas mababang mga rate ng paghatol. * **Impluwensiya sa Pulitika:** Sa mga kasong may kinalaman sa pulitika, maaaring may pressure na bawasan o balewalain ang pakikialam sa ebidensya, na humahadlang sa patas na pag-u"&amp;"usig.
* **Kahalagahan sa Mga Kaso sa Pulitikal at Aktibista:** * Ang pagharang sa hustisya at pakikialam sa ebidensya ay maaaring makaapekto nang malaki sa mga kaso na may kaugnayan sa pulitika at aktibista. Kung ang ebidensya ay pinakialaman, maaaring ma"&amp;"hirap na panagutin ang mga may kasalanan para sa mga krimen laban sa mga pulitikal na pigura o aktibista. Sa kabaligtaran, ang isang matagumpay na pag-uusig para sa pagharang o pakikialam ay maaaring palakasin ang pangkalahatang kaso at matiyak ang panana"&amp;"gutan.
* **Pagharap sa mga Hamon:** * Ang pagpapalakas ng mga ahensyang nagpapatupad ng batas at ang sistema ng hustisya ay maaaring mapabuti ang mga kakayahan sa pagsisiyasat at pag-uusig. * Ang pagtataguyod ng kalayaang panghukuman ay nakakatulong na ma"&amp;"tiyak na ang impluwensyang pampulitika ay hindi makahahadlang sa mga patas na paglilitis. * Maaaring i-highlight ng mga pampublikong kampanya sa kamalayan ang kahalagahan ng pagtataguyod ng panuntunan ng batas at paggalang sa mga proseso ng hudisyal.
Sa p"&amp;"amamagitan ng epektibong pagsasaayos at pagpaparusa sa pagharang sa hustisya at pakikialam sa ebidensiya, ang Pilipinas ay maaaring magtrabaho tungo sa isang mas kapani-paniwalang sistema ng hustisya na naghahatid ng pantay na mga resulta sa lahat ng mga "&amp;"kaso, kabilang ang mga kinasasangkutan ng mga politiko at aktibista.")</f>
        <v>Sa Pilipinas, ang pagharang sa hustisya at pakikialam sa ebidensiya ay mga seryosong pagkakasala na pantay na naaangkop sa mga kaso na may kaugnayan sa pulitika at aktibista, at anumang iba pang legal na kaso. Narito kung paano kinokontrol at pinaparusahan ang mga ito:
* **Mga Kaugnay na Batas:**
* **Revised Penal Code:** * Article 148 (Obstruction of Justice in Criminal Proceedings) - Nalalapat ito sa sinumang sadyang humahadlang o humahadlang sa pagdakip, imbestigasyon, pag-uusig, o pagpaparusa ng isang krimen.
* Artikulo 185 (Pakikialam sa Ebidensya) - Sinasaklaw nito ang sinumang sumisira, nagtatago, nagbabago, o pumutol ng ebidensya sa isang pagsisiyasat o paglilitis ng kriminal.
* **Mga Espesyal na Batas:** Sa ilang pagkakataon, ang mga espesyal na batas ay maaaring magbigay ng mas mabibigat na parusa para sa pakikialam sa ebidensya o paghadlang sa hustisya sa mga krimen na may motibo sa pulitika.
* **Mga Parusa:** * Ang mga parusa para sa pagharang sa hustisya at pakikialam sa ebidensya ay nag-iiba depende sa kalubhaan ng pagkakasala at sa pinagbabatayan na krimen. Maaari silang mula sa pagkakakulong ng ilang buwan hanggang ilang taon.
* **Mga Hamon:** * **Mga Rate ng Conviction:** Maaaring mahirap patunayan ang pagharang sa hustisya at pakikialam sa ebidensya, na posibleng humantong sa mas mababang mga rate ng paghatol. * **Impluwensiya sa Pulitika:** Sa mga kasong may kinalaman sa pulitika, maaaring may pressure na bawasan o balewalain ang pakikialam sa ebidensya, na humahadlang sa patas na pag-uusig.
* **Kahalagahan sa Mga Kaso sa Pulitikal at Aktibista:** * Ang pagharang sa hustisya at pakikialam sa ebidensya ay maaaring makaapekto nang malaki sa mga kaso na may kaugnayan sa pulitika at aktibista. Kung ang ebidensya ay pinakialaman, maaaring mahirap na panagutin ang mga may kasalanan para sa mga krimen laban sa mga pulitikal na pigura o aktibista. Sa kabaligtaran, ang isang matagumpay na pag-uusig para sa pagharang o pakikialam ay maaaring palakasin ang pangkalahatang kaso at matiyak ang pananagutan.
* **Pagharap sa mga Hamon:** * Ang pagpapalakas ng mga ahensyang nagpapatupad ng batas at ang sistema ng hustisya ay maaaring mapabuti ang mga kakayahan sa pagsisiyasat at pag-uusig. * Ang pagtataguyod ng kalayaang panghukuman ay nakakatulong na matiyak na ang impluwensyang pampulitika ay hindi makahahadlang sa mga patas na paglilitis. * Maaaring i-highlight ng mga pampublikong kampanya sa kamalayan ang kahalagahan ng pagtataguyod ng panuntunan ng batas at paggalang sa mga proseso ng hudisyal.
Sa pamamagitan ng epektibong pagsasaayos at pagpaparusa sa pagharang sa hustisya at pakikialam sa ebidensiya, ang Pilipinas ay maaaring magtrabaho tungo sa isang mas kapani-paniwalang sistema ng hustisya na naghahatid ng pantay na mga resulta sa lahat ng mga kaso, kabilang ang mga kinasasangkutan ng mga politiko at aktibista.</v>
      </c>
      <c r="F2433" s="2">
        <f t="shared" si="1"/>
        <v>0</v>
      </c>
      <c r="G2433" s="2"/>
      <c r="H2433" s="2"/>
      <c r="I2433" s="2"/>
      <c r="J2433" s="2"/>
      <c r="K2433" s="2"/>
      <c r="L2433" s="2"/>
      <c r="M2433" s="2"/>
      <c r="N2433" s="2"/>
      <c r="O2433" s="2"/>
      <c r="P2433" s="2"/>
      <c r="Q2433" s="2"/>
      <c r="R2433" s="2"/>
      <c r="S2433" s="2"/>
      <c r="T2433" s="2"/>
      <c r="U2433" s="2"/>
      <c r="V2433" s="2"/>
      <c r="W2433" s="2"/>
      <c r="X2433" s="2"/>
      <c r="Y2433" s="2"/>
      <c r="Z2433" s="2"/>
      <c r="AA2433" s="2"/>
    </row>
    <row r="2434">
      <c r="A2434" s="3" t="s">
        <v>5693</v>
      </c>
      <c r="B2434" s="1" t="s">
        <v>5834</v>
      </c>
      <c r="C2434" s="3" t="s">
        <v>5835</v>
      </c>
      <c r="D2434" s="2" t="str">
        <f>IFERROR(__xludf.DUMMYFUNCTION("GOOGLETRANSLATE(B2434, ""en"", ""TL"")"),"Anong mga legal na probisyon ang namamahala sa pananagutan ng mga pampublikong opisyal para sa mga krimeng ginawa sa panahon ng mga gawaing pampulitika?")</f>
        <v>Anong mga legal na probisyon ang namamahala sa pananagutan ng mga pampublikong opisyal para sa mga krimeng ginawa sa panahon ng mga gawaing pampulitika?</v>
      </c>
      <c r="E2434" s="2" t="str">
        <f>IFERROR(__xludf.DUMMYFUNCTION("GOOGLETRANSLATE(C2434, ""en"", ""TL"")"),"Ang Pilipinas ay may ilang mga legal na probisyon na tumutugon sa pananagutan ng mga pampublikong opisyal para sa mga krimen na ginawa sa panahon ng mga gawaing pampulitika. Narito ang isang breakdown ng mga pangunahing aspeto:
**Mga Probisyon sa Konstitu"&amp;"syon:**
* **Artikulo III, Seksyon 14:** Ang seksyong ito ay nagtataglay ng prinsipyo ng pampublikong pananagutan sa pamamagitan ng pagsasabi na ""walang opisyal o empleyado ng Pamahalaan ang maaaring sumali sa anumang iba pang aktibidad, propesyon, o nego"&amp;"syo o maging interesado sa pananalapi sa anumang kontrata sa Pamahalaan."" Ang probisyong ito ay naglalayong pigilan ang mga pampublikong opisyal na gamitin ang kanilang posisyon para sa personal na pakinabang, na kung minsan ay maaaring humantong sa akti"&amp;"bidad na kriminal sa panahon ng mga kampanyang pampulitika.
* **Artikulo XI, Seksyon 1:** Binabalangkas ng seksyong ito ang mandato ng proseso ng impeachment para sa mga pampublikong opisyal tulad ng Pangulo, Pangalawang Pangulo, mga miyembro ng Kongreso,"&amp;" Ombudsman, at mga Mahistrado ng Korte Suprema. Ang impeachment ay maaaring resulta ng pagtataksil sa tiwala ng publiko, na maaaring sumaklaw sa mga krimen na ginawa sa panahon ng mga aktibidad sa pulitika.
**Mga Espesyal na Batas:**
* **Anti-Graft and Co"&amp;"rrupt Practices Act (Republic Act No. 3019):** Tinutukoy at pinaparusahan ng batas na ito ang iba't ibang gawaing katiwalian ng mga pampublikong opisyal, kabilang ang mga gawaing ginawa sa panahon ng mga kampanyang pampulitika. Halimbawa, ang panunuhol sa"&amp;" mga botante o paggamit ng mga mapagkukunan ng gobyerno para sa personal na pampulitikang pakinabang ay maaaring mahulog sa ilalim ng Batas na ito.
* **Ang Omnibus Election Code (Comelec Code - Batas Pambansa Blg. 881):** Binabalangkas ng code na ito ang "&amp;"mga regulasyon sa pananalapi ng kampanya at ipinagbabawal ang ilang aktibidad sa panahon ng halalan. Ang mga paglabag ay maaaring humantong sa diskwalipikasyon mula sa pagtakbo para sa opisina o kahit na mga kasong kriminal.
**Ibang Kaugnay na Batas:**
* "&amp;"**Binagong Kodigo Penal:** Nalalapat din ang pangkalahatang kodigo sa kriminal sa mga pampublikong opisyal. Ang mga krimen tulad ng karahasan, pamimilit, o pananakot na ginawa sa panahon ng mga pampulitikang aktibidad ay maaaring kasuhan sa ilalim ng mga "&amp;"probisyong ito.
**Mga Mekanismo ng Pananagutan:**
* **Ombudsman:** Ang Opisina ng Ombudsman ay nag-iimbestiga at nag-uusig ng mga kaso laban sa mga pampublikong opisyal para sa mga paglabag sa Anti-Graft and Corrupt Practices Act at iba pang mga batas.
* "&amp;"**Sandiganbayan:** Ang espesyal na hukuman na ito ang humahawak sa mga kasong kriminal at sibil laban sa mga opisyal ng gobyerno, kabilang ang mga nagmumula sa mga gawaing pampulitika.
* **Civil Society Organizations (CSOs):** Ang mga CSO ay maaaring guma"&amp;"nap ng isang mahalagang papel sa pagsubaybay sa mga halalan, paghahain ng mga reklamo laban sa mga nagkakamali na opisyal, at pagtataguyod para sa mga reporma na nagpapahusay sa pampublikong pananagutan.
**Mga Hamon:**
* **Impluwensyang Pampulitika:** Ang"&amp;" pampulitikang proseso mismo ay maaaring minsan maging hadlang sa pagpapanagot sa mga makapangyarihang opisyal. Maaaring maantala o mahadlangan ang mga pagsisiyasat at pag-uusig dahil sa pampulitikang presyon.
* **Mahahabang Legal na Proseso:** Ang sistem"&amp;"a ng hustisya sa Pilipinas ay maaaring mabagal, at ang mga kaso laban sa mga pampublikong opisyal ay maaaring tumagal ng mga taon upang malutas.
* **Mahinang Proteksyon sa Whistleblower:** Ang takot sa paghihiganti ay maaaring huminto sa mga indibidwal na"&amp;" mag-ulat ng maling gawain ng mga pampublikong opisyal.
**Inaasahan:**
Ang mga pagsisikap na palakasin ang mga institusyon tulad ng Ombudsman at Sandiganbayan, pahusayin ang proteksyon ng whistleblower, at isulong ang kultura ng integridad sa pulitika ay "&amp;"mga mahahalagang hakbang tungo sa pagtiyak na ang mga pampublikong opisyal sa Pilipinas ay papanagutin sa mga krimeng ginawa sa panahon ng mga aktibidad na pampulitika.")</f>
        <v>Ang Pilipinas ay may ilang mga legal na probisyon na tumutugon sa pananagutan ng mga pampublikong opisyal para sa mga krimen na ginawa sa panahon ng mga gawaing pampulitika. Narito ang isang breakdown ng mga pangunahing aspeto:
**Mga Probisyon sa Konstitusyon:**
* **Artikulo III, Seksyon 14:** Ang seksyong ito ay nagtataglay ng prinsipyo ng pampublikong pananagutan sa pamamagitan ng pagsasabi na "walang opisyal o empleyado ng Pamahalaan ang maaaring sumali sa anumang iba pang aktibidad, propesyon, o negosyo o maging interesado sa pananalapi sa anumang kontrata sa Pamahalaan." Ang probisyong ito ay naglalayong pigilan ang mga pampublikong opisyal na gamitin ang kanilang posisyon para sa personal na pakinabang, na kung minsan ay maaaring humantong sa aktibidad na kriminal sa panahon ng mga kampanyang pampulitika.
* **Artikulo XI, Seksyon 1:** Binabalangkas ng seksyong ito ang mandato ng proseso ng impeachment para sa mga pampublikong opisyal tulad ng Pangulo, Pangalawang Pangulo, mga miyembro ng Kongreso, Ombudsman, at mga Mahistrado ng Korte Suprema. Ang impeachment ay maaaring resulta ng pagtataksil sa tiwala ng publiko, na maaaring sumaklaw sa mga krimen na ginawa sa panahon ng mga aktibidad sa pulitika.
**Mga Espesyal na Batas:**
* **Anti-Graft and Corrupt Practices Act (Republic Act No. 3019):** Tinutukoy at pinaparusahan ng batas na ito ang iba't ibang gawaing katiwalian ng mga pampublikong opisyal, kabilang ang mga gawaing ginawa sa panahon ng mga kampanyang pampulitika. Halimbawa, ang panunuhol sa mga botante o paggamit ng mga mapagkukunan ng gobyerno para sa personal na pampulitikang pakinabang ay maaaring mahulog sa ilalim ng Batas na ito.
* **Ang Omnibus Election Code (Comelec Code - Batas Pambansa Blg. 881):** Binabalangkas ng code na ito ang mga regulasyon sa pananalapi ng kampanya at ipinagbabawal ang ilang aktibidad sa panahon ng halalan. Ang mga paglabag ay maaaring humantong sa diskwalipikasyon mula sa pagtakbo para sa opisina o kahit na mga kasong kriminal.
**Ibang Kaugnay na Batas:**
* **Binagong Kodigo Penal:** Nalalapat din ang pangkalahatang kodigo sa kriminal sa mga pampublikong opisyal. Ang mga krimen tulad ng karahasan, pamimilit, o pananakot na ginawa sa panahon ng mga pampulitikang aktibidad ay maaaring kasuhan sa ilalim ng mga probisyong ito.
**Mga Mekanismo ng Pananagutan:**
* **Ombudsman:** Ang Opisina ng Ombudsman ay nag-iimbestiga at nag-uusig ng mga kaso laban sa mga pampublikong opisyal para sa mga paglabag sa Anti-Graft and Corrupt Practices Act at iba pang mga batas.
* **Sandiganbayan:** Ang espesyal na hukuman na ito ang humahawak sa mga kasong kriminal at sibil laban sa mga opisyal ng gobyerno, kabilang ang mga nagmumula sa mga gawaing pampulitika.
* **Civil Society Organizations (CSOs):** Ang mga CSO ay maaaring gumanap ng isang mahalagang papel sa pagsubaybay sa mga halalan, paghahain ng mga reklamo laban sa mga nagkakamali na opisyal, at pagtataguyod para sa mga reporma na nagpapahusay sa pampublikong pananagutan.
**Mga Hamon:**
* **Impluwensyang Pampulitika:** Ang pampulitikang proseso mismo ay maaaring minsan maging hadlang sa pagpapanagot sa mga makapangyarihang opisyal. Maaaring maantala o mahadlangan ang mga pagsisiyasat at pag-uusig dahil sa pampulitikang presyon.
* **Mahahabang Legal na Proseso:** Ang sistema ng hustisya sa Pilipinas ay maaaring mabagal, at ang mga kaso laban sa mga pampublikong opisyal ay maaaring tumagal ng mga taon upang malutas.
* **Mahinang Proteksyon sa Whistleblower:** Ang takot sa paghihiganti ay maaaring huminto sa mga indibidwal na mag-ulat ng maling gawain ng mga pampublikong opisyal.
**Inaasahan:**
Ang mga pagsisikap na palakasin ang mga institusyon tulad ng Ombudsman at Sandiganbayan, pahusayin ang proteksyon ng whistleblower, at isulong ang kultura ng integridad sa pulitika ay mga mahahalagang hakbang tungo sa pagtiyak na ang mga pampublikong opisyal sa Pilipinas ay papanagutin sa mga krimeng ginawa sa panahon ng mga aktibidad na pampulitika.</v>
      </c>
      <c r="F2434" s="2">
        <f t="shared" si="1"/>
        <v>0</v>
      </c>
      <c r="G2434" s="2"/>
      <c r="H2434" s="2"/>
      <c r="I2434" s="2"/>
      <c r="J2434" s="2"/>
      <c r="K2434" s="2"/>
      <c r="L2434" s="2"/>
      <c r="M2434" s="2"/>
      <c r="N2434" s="2"/>
      <c r="O2434" s="2"/>
      <c r="P2434" s="2"/>
      <c r="Q2434" s="2"/>
      <c r="R2434" s="2"/>
      <c r="S2434" s="2"/>
      <c r="T2434" s="2"/>
      <c r="U2434" s="2"/>
      <c r="V2434" s="2"/>
      <c r="W2434" s="2"/>
      <c r="X2434" s="2"/>
      <c r="Y2434" s="2"/>
      <c r="Z2434" s="2"/>
      <c r="AA2434" s="2"/>
    </row>
    <row r="2435">
      <c r="A2435" s="3" t="s">
        <v>5693</v>
      </c>
      <c r="B2435" s="1" t="s">
        <v>5836</v>
      </c>
      <c r="C2435" s="3" t="s">
        <v>5837</v>
      </c>
      <c r="D2435" s="2" t="str">
        <f>IFERROR(__xludf.DUMMYFUNCTION("GOOGLETRANSLATE(B2435, ""en"", ""TL"")"),"Paano tinutugunan ng batas ang hindi awtorisadong pag-access o pakikialam sa mga sistema o imprastraktura na may kaugnayan sa halalan?")</f>
        <v>Paano tinutugunan ng batas ang hindi awtorisadong pag-access o pakikialam sa mga sistema o imprastraktura na may kaugnayan sa halalan?</v>
      </c>
      <c r="E2435" s="2" t="str">
        <f>IFERROR(__xludf.DUMMYFUNCTION("GOOGLETRANSLATE(C2435, ""en"", ""TL"")"),"Sa Pilipinas, tinutugunan ng batas ang hindi awtorisadong pag-access o pakikialam sa mga sistema o imprastraktura na may kaugnayan sa halalan sa pamamagitan ng iba't ibang legal na probisyon na naglalayong protektahan ang integridad ng proseso ng elektora"&amp;"l. Narito ang ilan sa mga pangunahing hakbang:
1. Cybercrime Prevention Act of 2012 (RA 10175): Ang Cybercrime Prevention Act ay ginagawang kriminal ang iba't ibang anyo ng cybercrimes, kabilang ang hindi awtorisadong pag-access sa mga computer system,"&amp;" data interference, at pagnanakaw ng pagkakakilanlan na nauugnay sa computer. Ang hindi awtorisadong pag-access o pakikialam sa mga sistema o imprastraktura na may kaugnayan sa halalan ay maaaring mapailalim sa mga probisyong ito. Ang mga indibidwal na na"&amp;"kikibahagi sa mga naturang aktibidad ay maaaring managot sa krimen at kasuhan sa ilalim ng batas na ito.
2. Omnibus Election Code (Batas Pambansa Blg. 881): Ang Omnibus Election Code ay naglalaman ng mga probisyon na kumokontrol sa pagsasagawa ng mga h"&amp;"alalan at nagpoprotekta sa integridad ng proseso ng elektoral. Ipinagbabawal ng Seksyon 261 (q) ng Omnibus Election Code ang mga pagkilos ng pakikialam o pagbabago sa mga pagbabalik ng halalan, mga balota, o iba pang mga dokumentong nauugnay sa halalan. A"&amp;"ng mga lumalabag sa probisyong ito ay maaaring maharap sa mga parusang kriminal, kabilang ang pagkakulong at pagkadiskwalipikasyon sa paghawak ng pampublikong tungkulin.
3. Mga Resolusyon at Alituntunin ng Commission on Elections (COMELEC): Ang COMELEC"&amp;" ay naglalabas ng mga resolusyon at alituntunin upang mabisang ipatupad ang mga batas sa halalan at matiyak ang seguridad ng mga sistema at imprastraktura na may kaugnayan sa halalan. Maaaring kabilang sa mga resolusyong ito ang mga hakbang upang pangalag"&amp;"aan ang mga electronic voting machine, mga database ng pagpaparehistro ng botante, at iba pang teknolohiyang nauugnay sa halalan mula sa hindi awtorisadong pag-access o pakikialam.
4. Pamamagitan sa Pagpapatupad ng Batas: Ang mga awtoridad sa pagpapatu"&amp;"pad ng batas, tulad ng Philippine National Police (PNP), ay may responsibilidad na ipatupad ang mga batas sa halalan at panatilihin ang kapayapaan at kaayusan sa panahon ng halalan. Maaari nilang imbestigahan ang mga ulat ng hindi awtorisadong pag-access "&amp;"o pakikialam sa mga sistema o imprastraktura na nauugnay sa halalan, magsagawa ng mga pag-aresto, at magsampa ng mga kaso laban sa mga indibidwal na nakikibahagi sa mga naturang aktibidad.
5. Pagsubaybay at Pangangasiwa sa Halalan: Ang mga organisasyon"&amp;" sa pagsubaybay sa halalan at mga grupo ng lipunang sibil ay gumaganap ng mahalagang papel sa pagsubaybay sa pagsasagawa ng mga halalan at pag-uulat ng anumang mga iregularidad o paglabag sa mga batas sa halalan, kabilang ang hindi awtorisadong pag-access"&amp;" o pakikialam sa mga sistema o imprastraktura na may kaugnayan sa halalan. Makakatulong ang kanilang mga ulat upang matiyak ang pananagutan at transparency sa proseso ng elektoral.
Sa pangkalahatan, ang pagtugon sa hindi awtorisadong pag-access o pakik"&amp;"ialam sa mga sistema o imprastraktura na may kaugnayan sa halalan ay nangangailangan ng isang komprehensibong diskarte na kinasasangkutan ng mga legal na hakbang, interbensyon sa pagpapatupad ng batas, pagsubaybay at pangangasiwa sa halalan, at mga kampan"&amp;"ya sa kamalayan ng publiko upang maprotektahan ang integridad ng proseso ng elektoral at itaguyod ang mga demokratikong karapatan ng mga botante.")</f>
        <v>Sa Pilipinas, tinutugunan ng batas ang hindi awtorisadong pag-access o pakikialam sa mga sistema o imprastraktura na may kaugnayan sa halalan sa pamamagitan ng iba't ibang legal na probisyon na naglalayong protektahan ang integridad ng proseso ng elektoral. Narito ang ilan sa mga pangunahing hakbang:
1. Cybercrime Prevention Act of 2012 (RA 10175): Ang Cybercrime Prevention Act ay ginagawang kriminal ang iba't ibang anyo ng cybercrimes, kabilang ang hindi awtorisadong pag-access sa mga computer system, data interference, at pagnanakaw ng pagkakakilanlan na nauugnay sa computer. Ang hindi awtorisadong pag-access o pakikialam sa mga sistema o imprastraktura na may kaugnayan sa halalan ay maaaring mapailalim sa mga probisyong ito. Ang mga indibidwal na nakikibahagi sa mga naturang aktibidad ay maaaring managot sa krimen at kasuhan sa ilalim ng batas na ito.
2. Omnibus Election Code (Batas Pambansa Blg. 881): Ang Omnibus Election Code ay naglalaman ng mga probisyon na kumokontrol sa pagsasagawa ng mga halalan at nagpoprotekta sa integridad ng proseso ng elektoral. Ipinagbabawal ng Seksyon 261 (q) ng Omnibus Election Code ang mga pagkilos ng pakikialam o pagbabago sa mga pagbabalik ng halalan, mga balota, o iba pang mga dokumentong nauugnay sa halalan. Ang mga lumalabag sa probisyong ito ay maaaring maharap sa mga parusang kriminal, kabilang ang pagkakulong at pagkadiskwalipikasyon sa paghawak ng pampublikong tungkulin.
3. Mga Resolusyon at Alituntunin ng Commission on Elections (COMELEC): Ang COMELEC ay naglalabas ng mga resolusyon at alituntunin upang mabisang ipatupad ang mga batas sa halalan at matiyak ang seguridad ng mga sistema at imprastraktura na may kaugnayan sa halalan. Maaaring kabilang sa mga resolusyong ito ang mga hakbang upang pangalagaan ang mga electronic voting machine, mga database ng pagpaparehistro ng botante, at iba pang teknolohiyang nauugnay sa halalan mula sa hindi awtorisadong pag-access o pakikialam.
4. Pamamagitan sa Pagpapatupad ng Batas: Ang mga awtoridad sa pagpapatupad ng batas, tulad ng Philippine National Police (PNP), ay may responsibilidad na ipatupad ang mga batas sa halalan at panatilihin ang kapayapaan at kaayusan sa panahon ng halalan. Maaari nilang imbestigahan ang mga ulat ng hindi awtorisadong pag-access o pakikialam sa mga sistema o imprastraktura na nauugnay sa halalan, magsagawa ng mga pag-aresto, at magsampa ng mga kaso laban sa mga indibidwal na nakikibahagi sa mga naturang aktibidad.
5. Pagsubaybay at Pangangasiwa sa Halalan: Ang mga organisasyon sa pagsubaybay sa halalan at mga grupo ng lipunang sibil ay gumaganap ng mahalagang papel sa pagsubaybay sa pagsasagawa ng mga halalan at pag-uulat ng anumang mga iregularidad o paglabag sa mga batas sa halalan, kabilang ang hindi awtorisadong pag-access o pakikialam sa mga sistema o imprastraktura na may kaugnayan sa halalan. Makakatulong ang kanilang mga ulat upang matiyak ang pananagutan at transparency sa proseso ng elektoral.
Sa pangkalahatan, ang pagtugon sa hindi awtorisadong pag-access o pakikialam sa mga sistema o imprastraktura na may kaugnayan sa halalan ay nangangailangan ng isang komprehensibong diskarte na kinasasangkutan ng mga legal na hakbang, interbensyon sa pagpapatupad ng batas, pagsubaybay at pangangasiwa sa halalan, at mga kampanya sa kamalayan ng publiko upang maprotektahan ang integridad ng proseso ng elektoral at itaguyod ang mga demokratikong karapatan ng mga botante.</v>
      </c>
      <c r="F2435" s="2">
        <f t="shared" si="1"/>
        <v>0</v>
      </c>
      <c r="G2435" s="2"/>
      <c r="H2435" s="2"/>
      <c r="I2435" s="2"/>
      <c r="J2435" s="2"/>
      <c r="K2435" s="2"/>
      <c r="L2435" s="2"/>
      <c r="M2435" s="2"/>
      <c r="N2435" s="2"/>
      <c r="O2435" s="2"/>
      <c r="P2435" s="2"/>
      <c r="Q2435" s="2"/>
      <c r="R2435" s="2"/>
      <c r="S2435" s="2"/>
      <c r="T2435" s="2"/>
      <c r="U2435" s="2"/>
      <c r="V2435" s="2"/>
      <c r="W2435" s="2"/>
      <c r="X2435" s="2"/>
      <c r="Y2435" s="2"/>
      <c r="Z2435" s="2"/>
      <c r="AA2435" s="2"/>
    </row>
    <row r="2436">
      <c r="A2436" s="3" t="s">
        <v>5693</v>
      </c>
      <c r="B2436" s="1" t="s">
        <v>5838</v>
      </c>
      <c r="C2436" s="3" t="s">
        <v>5839</v>
      </c>
      <c r="D2436" s="2" t="str">
        <f>IFERROR(__xludf.DUMMYFUNCTION("GOOGLETRANSLATE(B2436, ""en"", ""TL"")"),"Anong mga legal na pananggalang ang umiiral upang protektahan ang mga indibidwal mula sa mga pag-aresto o pagkulong na may motibo sa pulitika?")</f>
        <v>Anong mga legal na pananggalang ang umiiral upang protektahan ang mga indibidwal mula sa mga pag-aresto o pagkulong na may motibo sa pulitika?</v>
      </c>
      <c r="E2436" s="2" t="str">
        <f>IFERROR(__xludf.DUMMYFUNCTION("GOOGLETRANSLATE(C2436, ""en"", ""TL"")"),"Ang eksaktong mga pananggalang laban sa mga pag-aresto na may motibo sa pulitika ay nag-iiba depende sa legal na sistema ng bansa. Narito ang ilang pangkalahatang prinsipyo na umiiral sa maraming demokrasya:
* **Nararapat na proseso:** Tinitiyak ng legal "&amp;"na konseptong ito na ang mga pag-aresto at pagkulong ay sumusunod sa isang patas at itinatag na pamamaraan. Ito ay karaniwang nagsasangkot ng pagpapakita ng ebidensya sa harap ng isang neutral na hukom at pagpapahintulot sa akusado ng karapatan sa legal n"&amp;"a representasyon. Ang angkop na proseso ay nakakatulong na maiwasan ang mga di-makatwirang pag-aresto batay sa pampulitikang motibo.
* **Independiyenteng hudikatura:** Ang isang malakas at independiyenteng hudikatura, malaya sa impluwensyang pampulitika, "&amp;"ay mahalaga. Ang mga hukom ay dapat na walang kinikilingan at gumawa ng mga desisyon batay sa batas at ebidensya, hindi pampulitika na panggigipit.
* **Habeas corpus:** Ito ay isang legal na pamamaraan na nagpapahintulot sa isang tao na hamunin ang legali"&amp;"dad ng kanilang pagkakakulong. Kung napag-alaman ng korte na labag sa batas ang pagkulong, dapat palayain ang tao.
* **Karapatan sa isang patas na paglilitis:** Ang isang naarestong indibidwal ay may karapatan sa isang patas at pampublikong paglilitis sa "&amp;"loob ng makatwirang panahon. Kabilang dito ang karapatang maging kinatawan ng isang abogado, magharap ng ebidensya, at harapin ang mga nag-aakusa sa kanila.
* **Kalayaan sa pagpapahayag at pagpupulong:** Ang mga pangunahing karapatang ito ay nagbibigay-da"&amp;"an sa hindi pagsang-ayon at pakikilahok sa pulitika. Bagama't maaaring umiral ang mga paghihigpit para sa pag-uudyok ng karahasan o mapoot na salita, hindi magagamit ng mga pamahalaan ang mga paghihigpit na ito para patahimikin ang mga kalaban sa pulitika"&amp;".
* **Internasyonal na batas:** Ang mga internasyonal na kasunduan sa karapatang pantao ay maaari ding magbigay ng mga pananggalang. Halimbawa, ginagarantiyahan ng International Covenant on Civil and Political Rights (ICCPR) ang karapatan sa kalayaan at s"&amp;"eguridad ng tao, gayundin ang karapatan sa isang patas na paglilitis. Mahalagang tandaan na ang mga pag-iingat na ito ay hindi palya, at maaari pa ring mangyari ang mga pag-aresto sa pulitika. Gayunpaman, ang isang matibay na legal na balangkas at isang m"&amp;"asiglang lipunang sibil ay maaaring makatulong sa pananagutan ng mga pamahalaan at protektahan ang mga indibidwal na karapatan.")</f>
        <v>Ang eksaktong mga pananggalang laban sa mga pag-aresto na may motibo sa pulitika ay nag-iiba depende sa legal na sistema ng bansa. Narito ang ilang pangkalahatang prinsipyo na umiiral sa maraming demokrasya:
* **Nararapat na proseso:** Tinitiyak ng legal na konseptong ito na ang mga pag-aresto at pagkulong ay sumusunod sa isang patas at itinatag na pamamaraan. Ito ay karaniwang nagsasangkot ng pagpapakita ng ebidensya sa harap ng isang neutral na hukom at pagpapahintulot sa akusado ng karapatan sa legal na representasyon. Ang angkop na proseso ay nakakatulong na maiwasan ang mga di-makatwirang pag-aresto batay sa pampulitikang motibo.
* **Independiyenteng hudikatura:** Ang isang malakas at independiyenteng hudikatura, malaya sa impluwensyang pampulitika, ay mahalaga. Ang mga hukom ay dapat na walang kinikilingan at gumawa ng mga desisyon batay sa batas at ebidensya, hindi pampulitika na panggigipit.
* **Habeas corpus:** Ito ay isang legal na pamamaraan na nagpapahintulot sa isang tao na hamunin ang legalidad ng kanilang pagkakakulong. Kung napag-alaman ng korte na labag sa batas ang pagkulong, dapat palayain ang tao.
* **Karapatan sa isang patas na paglilitis:** Ang isang naarestong indibidwal ay may karapatan sa isang patas at pampublikong paglilitis sa loob ng makatwirang panahon. Kabilang dito ang karapatang maging kinatawan ng isang abogado, magharap ng ebidensya, at harapin ang mga nag-aakusa sa kanila.
* **Kalayaan sa pagpapahayag at pagpupulong:** Ang mga pangunahing karapatang ito ay nagbibigay-daan sa hindi pagsang-ayon at pakikilahok sa pulitika. Bagama't maaaring umiral ang mga paghihigpit para sa pag-uudyok ng karahasan o mapoot na salita, hindi magagamit ng mga pamahalaan ang mga paghihigpit na ito para patahimikin ang mga kalaban sa pulitika.
* **Internasyonal na batas:** Ang mga internasyonal na kasunduan sa karapatang pantao ay maaari ding magbigay ng mga pananggalang. Halimbawa, ginagarantiyahan ng International Covenant on Civil and Political Rights (ICCPR) ang karapatan sa kalayaan at seguridad ng tao, gayundin ang karapatan sa isang patas na paglilitis. Mahalagang tandaan na ang mga pag-iingat na ito ay hindi palya, at maaari pa ring mangyari ang mga pag-aresto sa pulitika. Gayunpaman, ang isang matibay na legal na balangkas at isang masiglang lipunang sibil ay maaaring makatulong sa pananagutan ng mga pamahalaan at protektahan ang mga indibidwal na karapatan.</v>
      </c>
      <c r="F2436" s="2">
        <f t="shared" si="1"/>
        <v>0</v>
      </c>
      <c r="G2436" s="2"/>
      <c r="H2436" s="2"/>
      <c r="I2436" s="2"/>
      <c r="J2436" s="2"/>
      <c r="K2436" s="2"/>
      <c r="L2436" s="2"/>
      <c r="M2436" s="2"/>
      <c r="N2436" s="2"/>
      <c r="O2436" s="2"/>
      <c r="P2436" s="2"/>
      <c r="Q2436" s="2"/>
      <c r="R2436" s="2"/>
      <c r="S2436" s="2"/>
      <c r="T2436" s="2"/>
      <c r="U2436" s="2"/>
      <c r="V2436" s="2"/>
      <c r="W2436" s="2"/>
      <c r="X2436" s="2"/>
      <c r="Y2436" s="2"/>
      <c r="Z2436" s="2"/>
      <c r="AA2436" s="2"/>
    </row>
    <row r="2437">
      <c r="A2437" s="3" t="s">
        <v>5693</v>
      </c>
      <c r="B2437" s="1" t="s">
        <v>5840</v>
      </c>
      <c r="C2437" s="3" t="s">
        <v>5841</v>
      </c>
      <c r="D2437" s="2" t="str">
        <f>IFERROR(__xludf.DUMMYFUNCTION("GOOGLETRANSLATE(B2437, ""en"", ""TL"")"),"Paano kinokontrol at pinaparusahan ang mga krimen tulad ng perjury o maling testimonya sa mga pagsisiyasat sa pulitika?")</f>
        <v>Paano kinokontrol at pinaparusahan ang mga krimen tulad ng perjury o maling testimonya sa mga pagsisiyasat sa pulitika?</v>
      </c>
      <c r="E2437" s="2" t="str">
        <f>IFERROR(__xludf.DUMMYFUNCTION("GOOGLETRANSLATE(C2437, ""en"", ""TL"")"),"Ang pagsisinungaling at maling testimonya ay mga seryosong pagkakasala na ginagamot nang katulad anuman ang nangyari sa panahon ng pampulitikang imbestigasyon o isang regular na kasong kriminal. Narito kung paano sila kinokontrol at pinarurusahan:
**Regul"&amp;"asyon:**
* **Panunumpa:** Ang mga saksi sa mga pagsisiyasat, kabilang ang mga pulitikal, ay karaniwang kinakailangan na manumpa upang sabihin ang katotohanan, ang buong katotohanan, at walang iba kundi ang katotohanan. Ang panunumpa na ito ay nagsisilbing"&amp;" paalala ng kabigatan ng makatotohanang patotoo.
* **Mga batas laban sa perjury at maling testimonya:** Karamihan sa mga bansa ay may mga partikular na batas na tumutukoy at nagkikriminal sa perjury at maling testimonya. Karaniwang binabalangkas ng mga ba"&amp;"tas na ito ang mga elemento ng krimen, tulad ng sadyang paggawa ng maling pahayag sa ilalim ng panunumpa.
**Parusa:**
* **Kalubhaan:** Ang mga parusa para sa pagsisinungaling at maling patotoo ay maaaring mag-iba depende sa hurisdiksyon at kalubhaan ng pa"&amp;"gkakasala. Ang mga parusa ay maaaring mula sa multa at serbisyo sa komunidad hanggang sa pagkakulong. * **Mga salik na nakakaapekto sa parusa:** Maraming salik ang maaaring makaimpluwensya sa kalubhaan ng parusa, kabilang ang:
* Ang materyalidad ng kasinu"&amp;"ngalingan: Naapektuhan ba ng maling pahayag ang resulta ng imbestigasyon?
* Layunin: Sinadya ba ang kasinungalingan o ginawa dahil sa kawalang-ingat?
* Naunang mga pagkakasala: Ang tao ba ay may kasaysayan ng pagsisinungaling o maling patotoo?
**Mga halim"&amp;"bawa ng mga kahihinatnan:**
* **Mga kasong kriminal:** Maaaring magsampa ng mga kasong kriminal ang mga tagausig laban sa mga indibidwal na pinaghihinalaan ng pagsisinungaling o maling testimonya. Kung mapatunayang nagkasala, maaari silang maharap sa pagk"&amp;"akulong, multa, at isang kriminal na rekord.
* **Pagkawala ng reputasyon:** Ang paghatol para sa perjury ay maaaring makapinsala sa reputasyon ng isang tao, na makakaapekto sa kanilang karera at katayuan sa publiko.
* **Mga demanda sa sibil:** Sa ilang mg"&amp;"a kaso, ang mga indibidwal na sinaktan ng maling patotoo ay maaaring magsampa ng mga kasong sibil laban sa taong nagsinungaling.
**Mahahalagang puntos:**
* Ang pasanin ng patunay ay nakasalalay sa prosekusyon upang patunayan na ang testimonya ay nagpapaki"&amp;"tang mali at sadyang ginawa. * Dahil ang mga pagsisiyasat sa pulitika ay maaaring maging kontrobersya, ang pagpapatunay ng layunin ay maaaring maging mahirap. Sa pangkalahatan, ang pagsisinungaling at maling patotoo ay mga seryosong pagkakasala na may mak"&amp;"abuluhang kahihinatnan, anuman ang konteksto ng isang pampulitikang pagsisiyasat. Ang mga batas na ito ay naglalayong tiyakin ang integridad ng proseso ng pagsisiyasat at ang sistema ng hustisya mismo.")</f>
        <v>Ang pagsisinungaling at maling testimonya ay mga seryosong pagkakasala na ginagamot nang katulad anuman ang nangyari sa panahon ng pampulitikang imbestigasyon o isang regular na kasong kriminal. Narito kung paano sila kinokontrol at pinarurusahan:
**Regulasyon:**
* **Panunumpa:** Ang mga saksi sa mga pagsisiyasat, kabilang ang mga pulitikal, ay karaniwang kinakailangan na manumpa upang sabihin ang katotohanan, ang buong katotohanan, at walang iba kundi ang katotohanan. Ang panunumpa na ito ay nagsisilbing paalala ng kabigatan ng makatotohanang patotoo.
* **Mga batas laban sa perjury at maling testimonya:** Karamihan sa mga bansa ay may mga partikular na batas na tumutukoy at nagkikriminal sa perjury at maling testimonya. Karaniwang binabalangkas ng mga batas na ito ang mga elemento ng krimen, tulad ng sadyang paggawa ng maling pahayag sa ilalim ng panunumpa.
**Parusa:**
* **Kalubhaan:** Ang mga parusa para sa pagsisinungaling at maling patotoo ay maaaring mag-iba depende sa hurisdiksyon at kalubhaan ng pagkakasala. Ang mga parusa ay maaaring mula sa multa at serbisyo sa komunidad hanggang sa pagkakulong. * **Mga salik na nakakaapekto sa parusa:** Maraming salik ang maaaring makaimpluwensya sa kalubhaan ng parusa, kabilang ang:
* Ang materyalidad ng kasinungalingan: Naapektuhan ba ng maling pahayag ang resulta ng imbestigasyon?
* Layunin: Sinadya ba ang kasinungalingan o ginawa dahil sa kawalang-ingat?
* Naunang mga pagkakasala: Ang tao ba ay may kasaysayan ng pagsisinungaling o maling patotoo?
**Mga halimbawa ng mga kahihinatnan:**
* **Mga kasong kriminal:** Maaaring magsampa ng mga kasong kriminal ang mga tagausig laban sa mga indibidwal na pinaghihinalaan ng pagsisinungaling o maling testimonya. Kung mapatunayang nagkasala, maaari silang maharap sa pagkakulong, multa, at isang kriminal na rekord.
* **Pagkawala ng reputasyon:** Ang paghatol para sa perjury ay maaaring makapinsala sa reputasyon ng isang tao, na makakaapekto sa kanilang karera at katayuan sa publiko.
* **Mga demanda sa sibil:** Sa ilang mga kaso, ang mga indibidwal na sinaktan ng maling patotoo ay maaaring magsampa ng mga kasong sibil laban sa taong nagsinungaling.
**Mahahalagang puntos:**
* Ang pasanin ng patunay ay nakasalalay sa prosekusyon upang patunayan na ang testimonya ay nagpapakitang mali at sadyang ginawa. * Dahil ang mga pagsisiyasat sa pulitika ay maaaring maging kontrobersya, ang pagpapatunay ng layunin ay maaaring maging mahirap. Sa pangkalahatan, ang pagsisinungaling at maling patotoo ay mga seryosong pagkakasala na may makabuluhang kahihinatnan, anuman ang konteksto ng isang pampulitikang pagsisiyasat. Ang mga batas na ito ay naglalayong tiyakin ang integridad ng proseso ng pagsisiyasat at ang sistema ng hustisya mismo.</v>
      </c>
      <c r="F2437" s="2">
        <f t="shared" si="1"/>
        <v>0</v>
      </c>
      <c r="G2437" s="2"/>
      <c r="H2437" s="2"/>
      <c r="I2437" s="2"/>
      <c r="J2437" s="2"/>
      <c r="K2437" s="2"/>
      <c r="L2437" s="2"/>
      <c r="M2437" s="2"/>
      <c r="N2437" s="2"/>
      <c r="O2437" s="2"/>
      <c r="P2437" s="2"/>
      <c r="Q2437" s="2"/>
      <c r="R2437" s="2"/>
      <c r="S2437" s="2"/>
      <c r="T2437" s="2"/>
      <c r="U2437" s="2"/>
      <c r="V2437" s="2"/>
      <c r="W2437" s="2"/>
      <c r="X2437" s="2"/>
      <c r="Y2437" s="2"/>
      <c r="Z2437" s="2"/>
      <c r="AA2437" s="2"/>
    </row>
    <row r="2438">
      <c r="A2438" s="3" t="s">
        <v>5693</v>
      </c>
      <c r="B2438" s="1" t="s">
        <v>5842</v>
      </c>
      <c r="C2438" s="3" t="s">
        <v>5843</v>
      </c>
      <c r="D2438" s="2" t="str">
        <f>IFERROR(__xludf.DUMMYFUNCTION("GOOGLETRANSLATE(B2438, ""en"", ""TL"")"),"Anong mga hakbang ang inilalagay upang maiwasan at matugunan ang mga banta o karahasan laban sa mga pamilya ng mga politiko o aktibista?")</f>
        <v>Anong mga hakbang ang inilalagay upang maiwasan at matugunan ang mga banta o karahasan laban sa mga pamilya ng mga politiko o aktibista?</v>
      </c>
      <c r="E2438" s="2" t="str">
        <f>IFERROR(__xludf.DUMMYFUNCTION("GOOGLETRANSLATE(C2438, ""en"", ""TL"")"),"Narito ang ilang mga hakbang na maaaring gawin upang maiwasan at matugunan ang mga banta o karahasan laban sa mga pamilya ng mga politiko o aktibista:
**Mga Paraan sa Pag-iwas:**
* **Pagtatasa ng pagbabanta:** Ang mga ahensya ng pagpapatupad ng batas at s"&amp;"eguridad ay maaaring magsagawa ng mga pagtasa sa pagbabanta upang matukoy ang mga potensyal na panganib sa mga pamilya. Maaaring kabilang dito ang pagsubaybay sa online na aktibidad, pagsusuri sa mga nakaraang insidente, at pagtatasa sa antas ng pampublik"&amp;"ong diskurso na nakapalibot sa pulitikal na pigura o aktibista.
* **Mga panseguridad na briefing:** Ang mga pamilya ay maaaring ipaalam sa mga protocol ng seguridad, kabilang ang mga personal na hakbang sa kaligtasan, mga pag-upgrade sa seguridad sa tahan"&amp;"an, at mga diskarte sa komunikasyon kapag nakikitungo sa mga banta.
* **Mga kampanya sa pampublikong kamalayan:** Ang pagtataguyod ng kamalayan ng publiko tungkol sa mga panganib na kinakaharap ng mga pamilya ng mga politiko at aktibista ay maaaring makat"&amp;"ulong na pigilan ang mga potensyal na umaatake at hikayatin ang mga bystanders na mag-ulat ng kahina-hinalang aktibidad.
* **Lobbying para sa mas malakas na legal na proteksyon:** Ang mga pagsusumikap sa pagtataguyod ay maaaring itulak ang batas na partik"&amp;"ular na tumutugon sa mga banta at karahasan laban sa mga pamilya ng mga pulitikal na numero at aktibista. Ito ay maaaring may kasamang mas mabigat na parusa para sa mga may kasalanan at mas mataas na mapagkukunan para sa mga hakbang sa proteksyon.
**Mga T"&amp;"umutugon na Panukala:**
* **Pinataas na seguridad:** Ang pagpapatupad ng batas ay maaaring magbigay ng mas mataas na seguridad para sa mga pamilya, kabilang ang mga patrol, pagsubaybay, at mga personal na detalye ng seguridad depende sa antas ng pagbabant"&amp;"a.
* **Support services:** Psychological counseling at support services ay maaaring ialok sa mga pamilyang nakaranas ng mga pagbabanta o karahasan. Makakatulong ito sa kanila na makayanan ang trauma at magkaroon ng katatagan.
* **Mga pagsisiyasat at pag-u"&amp;"usig:** Ang pagpapatupad ng batas ay dapat na lubusang mag-imbestiga sa mga banta at karahasan laban sa mga pamilya. Ang mga may kasalanan ay dapat managot sa pamamagitan ng pag-uusig at naaangkop na legal na aksyon.
* **Responsibilidad ng media:** Maaari"&amp;"ng gumanap ang mga media outlet sa pagpapababa ng tensyon sa pamamagitan ng pag-iwas sa nakakaalab na pananalita at pagprotekta sa privacy ng mga pamilya, lalo na ang mga menor de edad.
**Mga Hamon:**
* **Pagbabalanse ng seguridad at privacy:** Ang pagpap"&amp;"atupad ng mga hakbang sa seguridad ay dapat magkaroon ng balanse sa pagitan ng pagprotekta sa mga pamilya at pagpapanatili ng kanilang karapatan sa privacy. * **Mga limitasyon sa mapagkukunan:** Ang pagbibigay ng sapat na seguridad at mga serbisyo ng supo"&amp;"rta para sa lahat ng pamilyang nasa panganib ay maaaring maging masinsinang mapagkukunan, lalo na sa mga bansang may limitadong badyet.
* **Political pressure:** Maaaring mag-atubili ang mga pamahalaan na magpatupad ng matitinding hakbang na proteksiyon p"&amp;"ara sa mga pamilya ng kanilang mga kalaban.
**Ang pagiging epektibo ng mga hakbang na ito ay nakasalalay sa partikular na konteksto, klimang pampulitika, at magagamit na mga mapagkukunan. Gayunpaman, ang kumbinasyon ng mga aksyong pang-iwas at tumutugon a"&amp;"y maaaring makatulong na lumikha ng isang mas ligtas na kapaligiran para sa mga pamilya ng mga politiko at aktibista.**")</f>
        <v>Narito ang ilang mga hakbang na maaaring gawin upang maiwasan at matugunan ang mga banta o karahasan laban sa mga pamilya ng mga politiko o aktibista:
**Mga Paraan sa Pag-iwas:**
* **Pagtatasa ng pagbabanta:** Ang mga ahensya ng pagpapatupad ng batas at seguridad ay maaaring magsagawa ng mga pagtasa sa pagbabanta upang matukoy ang mga potensyal na panganib sa mga pamilya. Maaaring kabilang dito ang pagsubaybay sa online na aktibidad, pagsusuri sa mga nakaraang insidente, at pagtatasa sa antas ng pampublikong diskurso na nakapalibot sa pulitikal na pigura o aktibista.
* **Mga panseguridad na briefing:** Ang mga pamilya ay maaaring ipaalam sa mga protocol ng seguridad, kabilang ang mga personal na hakbang sa kaligtasan, mga pag-upgrade sa seguridad sa tahanan, at mga diskarte sa komunikasyon kapag nakikitungo sa mga banta.
* **Mga kampanya sa pampublikong kamalayan:** Ang pagtataguyod ng kamalayan ng publiko tungkol sa mga panganib na kinakaharap ng mga pamilya ng mga politiko at aktibista ay maaaring makatulong na pigilan ang mga potensyal na umaatake at hikayatin ang mga bystanders na mag-ulat ng kahina-hinalang aktibidad.
* **Lobbying para sa mas malakas na legal na proteksyon:** Ang mga pagsusumikap sa pagtataguyod ay maaaring itulak ang batas na partikular na tumutugon sa mga banta at karahasan laban sa mga pamilya ng mga pulitikal na numero at aktibista. Ito ay maaaring may kasamang mas mabigat na parusa para sa mga may kasalanan at mas mataas na mapagkukunan para sa mga hakbang sa proteksyon.
**Mga Tumutugon na Panukala:**
* **Pinataas na seguridad:** Ang pagpapatupad ng batas ay maaaring magbigay ng mas mataas na seguridad para sa mga pamilya, kabilang ang mga patrol, pagsubaybay, at mga personal na detalye ng seguridad depende sa antas ng pagbabanta.
* **Support services:** Psychological counseling at support services ay maaaring ialok sa mga pamilyang nakaranas ng mga pagbabanta o karahasan. Makakatulong ito sa kanila na makayanan ang trauma at magkaroon ng katatagan.
* **Mga pagsisiyasat at pag-uusig:** Ang pagpapatupad ng batas ay dapat na lubusang mag-imbestiga sa mga banta at karahasan laban sa mga pamilya. Ang mga may kasalanan ay dapat managot sa pamamagitan ng pag-uusig at naaangkop na legal na aksyon.
* **Responsibilidad ng media:** Maaaring gumanap ang mga media outlet sa pagpapababa ng tensyon sa pamamagitan ng pag-iwas sa nakakaalab na pananalita at pagprotekta sa privacy ng mga pamilya, lalo na ang mga menor de edad.
**Mga Hamon:**
* **Pagbabalanse ng seguridad at privacy:** Ang pagpapatupad ng mga hakbang sa seguridad ay dapat magkaroon ng balanse sa pagitan ng pagprotekta sa mga pamilya at pagpapanatili ng kanilang karapatan sa privacy. * **Mga limitasyon sa mapagkukunan:** Ang pagbibigay ng sapat na seguridad at mga serbisyo ng suporta para sa lahat ng pamilyang nasa panganib ay maaaring maging masinsinang mapagkukunan, lalo na sa mga bansang may limitadong badyet.
* **Political pressure:** Maaaring mag-atubili ang mga pamahalaan na magpatupad ng matitinding hakbang na proteksiyon para sa mga pamilya ng kanilang mga kalaban.
**Ang pagiging epektibo ng mga hakbang na ito ay nakasalalay sa partikular na konteksto, klimang pampulitika, at magagamit na mga mapagkukunan. Gayunpaman, ang kumbinasyon ng mga aksyong pang-iwas at tumutugon ay maaaring makatulong na lumikha ng isang mas ligtas na kapaligiran para sa mga pamilya ng mga politiko at aktibista.**</v>
      </c>
      <c r="F2438" s="2">
        <f t="shared" si="1"/>
        <v>0</v>
      </c>
      <c r="G2438" s="2"/>
      <c r="H2438" s="2"/>
      <c r="I2438" s="2"/>
      <c r="J2438" s="2"/>
      <c r="K2438" s="2"/>
      <c r="L2438" s="2"/>
      <c r="M2438" s="2"/>
      <c r="N2438" s="2"/>
      <c r="O2438" s="2"/>
      <c r="P2438" s="2"/>
      <c r="Q2438" s="2"/>
      <c r="R2438" s="2"/>
      <c r="S2438" s="2"/>
      <c r="T2438" s="2"/>
      <c r="U2438" s="2"/>
      <c r="V2438" s="2"/>
      <c r="W2438" s="2"/>
      <c r="X2438" s="2"/>
      <c r="Y2438" s="2"/>
      <c r="Z2438" s="2"/>
      <c r="AA2438" s="2"/>
    </row>
    <row r="2439">
      <c r="A2439" s="3" t="s">
        <v>5693</v>
      </c>
      <c r="B2439" s="1" t="s">
        <v>5844</v>
      </c>
      <c r="C2439" s="3" t="s">
        <v>5845</v>
      </c>
      <c r="D2439" s="2" t="str">
        <f>IFERROR(__xludf.DUMMYFUNCTION("GOOGLETRANSLATE(B2439, ""en"", ""TL"")"),"Paano kinokontrol ng batas ng Pilipinas ang paggamit ng mga pampublikong espasyo para sa mga pampulitikang pagtitipon at protesta?")</f>
        <v>Paano kinokontrol ng batas ng Pilipinas ang paggamit ng mga pampublikong espasyo para sa mga pampulitikang pagtitipon at protesta?</v>
      </c>
      <c r="E2439" s="2" t="str">
        <f>IFERROR(__xludf.DUMMYFUNCTION("GOOGLETRANSLATE(C2439, ""en"", ""TL"")"),"Pinoprotektahan ng Pilipinas ang karapatan sa mapayapang pagpupulong, ngunit may mga regulasyon na nakalagay upang matiyak ang kaayusan at kaligtasan ng publiko sa panahon ng mga pampulitikang pagtitipon at protesta. Narito ang isang breakdown kung paano "&amp;"ito tinutugunan ng batas ng Pilipinas:
**Karapatang Konstitusyonal:**
* Ang Konstitusyon ng Pilipinas (Artikulo III, Seksyon 4) ay ginagarantiyahan ang kalayaan sa pagsasalita, pagpupulong, at ang karapatang magpetisyon sa Pamahalaan para sa pagtugon sa m"&amp;"ga hinaing. Nagbibigay ito ng pundasyon para sa mga Pilipino na magdaos ng mga political gatherings at protesta sa mga pampublikong espasyo.
**Regulatory Framework:**
* **Public Assembly Act (Batas Pambansa Blg. 880):** Binabalangkas ng batas na ito ang p"&amp;"roseso ng pag-abiso sa mga awtoridad tungkol sa mga nakaplanong pagtitipon. Kinakailangan nito ang mga organizer na kumuha ng permit mula sa local government unit (LGU) nang hindi bababa sa tatlong araw bago ang kaganapan. * **Mga ordinansa ng lokal na pa"&amp;"mahalaan:** Ang mga LGU ay maaaring magkaroon ng sarili nilang mga ordinansa na higit pang kumokontrol sa paggamit ng mga partikular na pampublikong espasyo para sa mga pagtitipon. Maaaring tukuyin ng mga ordinansang ito ang mga limitasyon sa mga antas ng"&amp;" ingay, mga itinalagang protest zone, at mga paghihigpit sa pagharang sa mga pangunahing lansangan. **Balanse Rights and Order:**
* Ang pamahalaan ay may lehitimong interes sa pagpapanatili ng kaayusan at kaligtasan ng publiko. Gayunpaman, ang mga regulas"&amp;"yon ay hindi maaaring maging mahigpit na hindi makatwirang pinipigilan nila ang karapatan sa mapayapang pagpupulong.
* Ang mga korte ay may kapangyarihan na suriin ang mga pagtanggi ng permit at tiyakin na ang mga dahilan ng gobyerno sa pagtanggi sa isang"&amp;" permit ay lehitimo at kinakailangan.
**Mahahalagang Pagsasaalang-alang:**
* **Ang mga permit ay hindi ganap:** Kahit na may permit, maaari pa ring maghiwa-hiwalay ang mga awtoridad ng mga pagtitipon kung sila ay naging marahas o magdulot ng malinaw na ba"&amp;"nta sa kaligtasan ng publiko.
* **Karapatan sa mapayapang pagpupulong:** Ang karapatang magtipon ay umaabot lamang sa mapayapang protesta. Ang mga aktibidad na may kinalaman sa karahasan, pagsira ng ari-arian, o pag-uudyok sa karahasan ay hindi pinoprotek"&amp;"tahan.
**Mga Karagdagang Mapagkukunan:**
* Makikita mo ang buong teksto ng Public Assembly Act dito: [Batas Pambansa Blg. 880 SA Chan Robles lawphil.net] (hindi opisyal na pagsasalin)
**Tandaan:** Ito ay isang pangkalahatang pangkalahatang-ideya, at ipina"&amp;"payong kumonsulta sa isang abogado na dalubhasa sa mga karapatan sa pagpupulong para sa partikular na legal na payo.")</f>
        <v>Pinoprotektahan ng Pilipinas ang karapatan sa mapayapang pagpupulong, ngunit may mga regulasyon na nakalagay upang matiyak ang kaayusan at kaligtasan ng publiko sa panahon ng mga pampulitikang pagtitipon at protesta. Narito ang isang breakdown kung paano ito tinutugunan ng batas ng Pilipinas:
**Karapatang Konstitusyonal:**
* Ang Konstitusyon ng Pilipinas (Artikulo III, Seksyon 4) ay ginagarantiyahan ang kalayaan sa pagsasalita, pagpupulong, at ang karapatang magpetisyon sa Pamahalaan para sa pagtugon sa mga hinaing. Nagbibigay ito ng pundasyon para sa mga Pilipino na magdaos ng mga political gatherings at protesta sa mga pampublikong espasyo.
**Regulatory Framework:**
* **Public Assembly Act (Batas Pambansa Blg. 880):** Binabalangkas ng batas na ito ang proseso ng pag-abiso sa mga awtoridad tungkol sa mga nakaplanong pagtitipon. Kinakailangan nito ang mga organizer na kumuha ng permit mula sa local government unit (LGU) nang hindi bababa sa tatlong araw bago ang kaganapan. * **Mga ordinansa ng lokal na pamahalaan:** Ang mga LGU ay maaaring magkaroon ng sarili nilang mga ordinansa na higit pang kumokontrol sa paggamit ng mga partikular na pampublikong espasyo para sa mga pagtitipon. Maaaring tukuyin ng mga ordinansang ito ang mga limitasyon sa mga antas ng ingay, mga itinalagang protest zone, at mga paghihigpit sa pagharang sa mga pangunahing lansangan. **Balanse Rights and Order:**
* Ang pamahalaan ay may lehitimong interes sa pagpapanatili ng kaayusan at kaligtasan ng publiko. Gayunpaman, ang mga regulasyon ay hindi maaaring maging mahigpit na hindi makatwirang pinipigilan nila ang karapatan sa mapayapang pagpupulong.
* Ang mga korte ay may kapangyarihan na suriin ang mga pagtanggi ng permit at tiyakin na ang mga dahilan ng gobyerno sa pagtanggi sa isang permit ay lehitimo at kinakailangan.
**Mahahalagang Pagsasaalang-alang:**
* **Ang mga permit ay hindi ganap:** Kahit na may permit, maaari pa ring maghiwa-hiwalay ang mga awtoridad ng mga pagtitipon kung sila ay naging marahas o magdulot ng malinaw na banta sa kaligtasan ng publiko.
* **Karapatan sa mapayapang pagpupulong:** Ang karapatang magtipon ay umaabot lamang sa mapayapang protesta. Ang mga aktibidad na may kinalaman sa karahasan, pagsira ng ari-arian, o pag-uudyok sa karahasan ay hindi pinoprotektahan.
**Mga Karagdagang Mapagkukunan:**
* Makikita mo ang buong teksto ng Public Assembly Act dito: [Batas Pambansa Blg. 880 SA Chan Robles lawphil.net] (hindi opisyal na pagsasalin)
**Tandaan:** Ito ay isang pangkalahatang pangkalahatang-ideya, at ipinapayong kumonsulta sa isang abogado na dalubhasa sa mga karapatan sa pagpupulong para sa partikular na legal na payo.</v>
      </c>
      <c r="F2439" s="2">
        <f t="shared" si="1"/>
        <v>0</v>
      </c>
      <c r="G2439" s="2"/>
      <c r="H2439" s="2"/>
      <c r="I2439" s="2"/>
      <c r="J2439" s="2"/>
      <c r="K2439" s="2"/>
      <c r="L2439" s="2"/>
      <c r="M2439" s="2"/>
      <c r="N2439" s="2"/>
      <c r="O2439" s="2"/>
      <c r="P2439" s="2"/>
      <c r="Q2439" s="2"/>
      <c r="R2439" s="2"/>
      <c r="S2439" s="2"/>
      <c r="T2439" s="2"/>
      <c r="U2439" s="2"/>
      <c r="V2439" s="2"/>
      <c r="W2439" s="2"/>
      <c r="X2439" s="2"/>
      <c r="Y2439" s="2"/>
      <c r="Z2439" s="2"/>
      <c r="AA2439" s="2"/>
    </row>
    <row r="2440">
      <c r="A2440" s="3" t="s">
        <v>5693</v>
      </c>
      <c r="B2440" s="1" t="s">
        <v>5846</v>
      </c>
      <c r="C2440" s="3" t="s">
        <v>5847</v>
      </c>
      <c r="D2440" s="2" t="str">
        <f>IFERROR(__xludf.DUMMYFUNCTION("GOOGLETRANSLATE(B2440, ""en"", ""TL"")"),"Anong mga legal na aksyon ang maaaring gawin laban sa mga indibidwal na nakikibahagi sa doxxing o naglalabas ng pribadong impormasyon upang makapinsala sa mga pulitikal na numero o aktibista?")</f>
        <v>Anong mga legal na aksyon ang maaaring gawin laban sa mga indibidwal na nakikibahagi sa doxxing o naglalabas ng pribadong impormasyon upang makapinsala sa mga pulitikal na numero o aktibista?</v>
      </c>
      <c r="E2440" s="2" t="str">
        <f>IFERROR(__xludf.DUMMYFUNCTION("GOOGLETRANSLATE(C2440, ""en"", ""TL"")"),"Ang pagdo-doxx sa isang politiko o aktibista ay maaaring humantong sa mga legal na kahihinatnan depende sa uri ng impormasyong ibinunyag at ang layunin sa likod nito. Narito ang isang breakdown ng mga potensyal na legal na aksyon:
**Mga Paghahabla Sibil:*"&amp;"*
* **Intensyonal na pagpapahirap ng emosyonal:** Kung ang doxxing ay nagdulot ng emosyonal na pagkabalisa sa pulitikal na pigura o aktibista, maaari silang magdemanda ng mga pinsala. Kabilang dito ang pagpapatunay na sinadya ang doxxing at nagresulta sa "&amp;"malaking emosyonal na pinsala.
* **Pagsalakay sa privacy:** Ang paglabas ng pribadong impormasyon nang walang pahintulot ay maaaring ituring na isang pagsalakay sa privacy, na nagpapahintulot sa indibidwal na magdemanda para sa kabayaran.
* **Paninirang-p"&amp;"uri:** Kung mali ang doxxed na impormasyon at sinisira ang reputasyon ng pulitikal na pigura o aktibista, maaaring posible ang isang demanda sa paninirang-puri.
**Mga Pagsingil sa Kriminal:**
Ang mga partikular na kasong kriminal ay depende sa mga detalye"&amp;" ng doxxing at ang pinsalang idinulot nito. Narito ang ilang mga posibilidad:
* **Stalking:** Ang paulit-ulit na paglalabas ng pribadong impormasyon para manligalig o takutin ang isang politiko o aktibista ay maaaring ituring na stalking, isang kriminal n"&amp;"a pagkakasala. * **Cyberbullying:** Sa ilang hurisdiksyon, maaaring malapat ang mga batas sa cyberbullying kung ang doxxing ay bahagi ng mas malawak na pattern ng online na panliligalig.
* **Mga Banta:** Kung ang doxxing ay sinamahan ng mga banta ng karah"&amp;"asan, maaaring ito ay isang kriminal na pagkakasala.
**Dagdag pa:**
* **Depende sa nilalaman ng impormasyong na-doxx:** Ang paglabas ng pribadong impormasyong nakuha nang ilegal (hal., pag-hack) o impormasyong nauugnay sa ilang partikular na protektadong "&amp;"kategorya (hal., social security number) ay maaaring humantong sa magkahiwalay na mga pagsingil.
* **Mga batas laban sa panliligalig:** Ang ilang mga hurisdiksyon ay may mga partikular na batas laban sa panliligalig o pananakot sa mga politiko o aktibista"&amp;". Maaaring saklaw ng mga batas na ito ang doxxing sa ilang partikular na sitwasyon.
**Mga Hamon:**
* **Pagpapatunay ng layunin:** Maaaring mahirap patunayan na ang doxxing ay ginawa nang may malisyosong layunin, lalo na kung ang impormasyon ay available s"&amp;"a publiko mula sa iba pang mga mapagkukunan.
* **Anonymity online:** Ang anonymous na katangian ng internet ay maaaring maging mahirap na tukuyin ang mga indibidwal na responsable para sa doxxing.
**Sa pangkalahatan, bagama't maaaring walang partikular na"&amp;" batas laban sa doxxing sa Pilipinas, ang mga pagkilos na binanggit sa itaas ay maaaring magbigay ng legal na paraan para sa mga na-target.** Mahalagang kumunsulta sa isang abogadong dalubhasa sa cybercrime o batas sa privacy upang matukoy ang pinakamahus"&amp;"ay na kurso ng legal na aksyon sa isang partikular na kaso ng doxxing.")</f>
        <v>Ang pagdo-doxx sa isang politiko o aktibista ay maaaring humantong sa mga legal na kahihinatnan depende sa uri ng impormasyong ibinunyag at ang layunin sa likod nito. Narito ang isang breakdown ng mga potensyal na legal na aksyon:
**Mga Paghahabla Sibil:**
* **Intensyonal na pagpapahirap ng emosyonal:** Kung ang doxxing ay nagdulot ng emosyonal na pagkabalisa sa pulitikal na pigura o aktibista, maaari silang magdemanda ng mga pinsala. Kabilang dito ang pagpapatunay na sinadya ang doxxing at nagresulta sa malaking emosyonal na pinsala.
* **Pagsalakay sa privacy:** Ang paglabas ng pribadong impormasyon nang walang pahintulot ay maaaring ituring na isang pagsalakay sa privacy, na nagpapahintulot sa indibidwal na magdemanda para sa kabayaran.
* **Paninirang-puri:** Kung mali ang doxxed na impormasyon at sinisira ang reputasyon ng pulitikal na pigura o aktibista, maaaring posible ang isang demanda sa paninirang-puri.
**Mga Pagsingil sa Kriminal:**
Ang mga partikular na kasong kriminal ay depende sa mga detalye ng doxxing at ang pinsalang idinulot nito. Narito ang ilang mga posibilidad:
* **Stalking:** Ang paulit-ulit na paglalabas ng pribadong impormasyon para manligalig o takutin ang isang politiko o aktibista ay maaaring ituring na stalking, isang kriminal na pagkakasala. * **Cyberbullying:** Sa ilang hurisdiksyon, maaaring malapat ang mga batas sa cyberbullying kung ang doxxing ay bahagi ng mas malawak na pattern ng online na panliligalig.
* **Mga Banta:** Kung ang doxxing ay sinamahan ng mga banta ng karahasan, maaaring ito ay isang kriminal na pagkakasala.
**Dagdag pa:**
* **Depende sa nilalaman ng impormasyong na-doxx:** Ang paglabas ng pribadong impormasyong nakuha nang ilegal (hal., pag-hack) o impormasyong nauugnay sa ilang partikular na protektadong kategorya (hal., social security number) ay maaaring humantong sa magkahiwalay na mga pagsingil.
* **Mga batas laban sa panliligalig:** Ang ilang mga hurisdiksyon ay may mga partikular na batas laban sa panliligalig o pananakot sa mga politiko o aktibista. Maaaring saklaw ng mga batas na ito ang doxxing sa ilang partikular na sitwasyon.
**Mga Hamon:**
* **Pagpapatunay ng layunin:** Maaaring mahirap patunayan na ang doxxing ay ginawa nang may malisyosong layunin, lalo na kung ang impormasyon ay available sa publiko mula sa iba pang mga mapagkukunan.
* **Anonymity online:** Ang anonymous na katangian ng internet ay maaaring maging mahirap na tukuyin ang mga indibidwal na responsable para sa doxxing.
**Sa pangkalahatan, bagama't maaaring walang partikular na batas laban sa doxxing sa Pilipinas, ang mga pagkilos na binanggit sa itaas ay maaaring magbigay ng legal na paraan para sa mga na-target.** Mahalagang kumunsulta sa isang abogadong dalubhasa sa cybercrime o batas sa privacy upang matukoy ang pinakamahusay na kurso ng legal na aksyon sa isang partikular na kaso ng doxxing.</v>
      </c>
      <c r="F2440" s="2">
        <f t="shared" si="1"/>
        <v>0</v>
      </c>
      <c r="G2440" s="2"/>
      <c r="H2440" s="2"/>
      <c r="I2440" s="2"/>
      <c r="J2440" s="2"/>
      <c r="K2440" s="2"/>
      <c r="L2440" s="2"/>
      <c r="M2440" s="2"/>
      <c r="N2440" s="2"/>
      <c r="O2440" s="2"/>
      <c r="P2440" s="2"/>
      <c r="Q2440" s="2"/>
      <c r="R2440" s="2"/>
      <c r="S2440" s="2"/>
      <c r="T2440" s="2"/>
      <c r="U2440" s="2"/>
      <c r="V2440" s="2"/>
      <c r="W2440" s="2"/>
      <c r="X2440" s="2"/>
      <c r="Y2440" s="2"/>
      <c r="Z2440" s="2"/>
      <c r="AA2440" s="2"/>
    </row>
    <row r="2441">
      <c r="A2441" s="3" t="s">
        <v>5693</v>
      </c>
      <c r="B2441" s="1" t="s">
        <v>5848</v>
      </c>
      <c r="C2441" s="3" t="s">
        <v>5849</v>
      </c>
      <c r="D2441" s="2" t="str">
        <f>IFERROR(__xludf.DUMMYFUNCTION("GOOGLETRANSLATE(B2441, ""en"", ""TL"")"),"Paano kinokontrol at pinaparusahan ang mga krimen tulad ng panununog o pagsira ng ari-arian sa panahon ng mga gawaing pampulitika?")</f>
        <v>Paano kinokontrol at pinaparusahan ang mga krimen tulad ng panununog o pagsira ng ari-arian sa panahon ng mga gawaing pampulitika?</v>
      </c>
      <c r="E2441" s="2" t="str">
        <f>IFERROR(__xludf.DUMMYFUNCTION("GOOGLETRANSLATE(C2441, ""en"", ""TL"")"),"Ang panununog at pagsira ng ari-arian sa panahon ng mga pampulitikang aktibidad ay itinuturing na mga seryosong krimen, hiwalay sa pampulitikang mensahe na maaaring sinusubukang ihatid ng kilos. Narito kung paano kinokontrol at pinaparusahan ang mga gawai"&amp;"ng ito:
**Mga Pangkalahatang Batas sa Kriminal Nalalapat:**
* Ang mga partikular na batas ay mag-iiba depende sa hurisdiksyon, ngunit karamihan sa mga bansa ay may mga batas laban sa panununog, paninira, at pagsira ng ari-arian. Karaniwang nalalapat ang m"&amp;"ga batas na ito anuman ang motibo sa likod ng krimen, kabilang ang mga motibasyong pampulitika.
**Mataas na Parusa:**
* Sa ilang mga kaso, ang parusa para sa mga krimeng ito ay maaaring maging mas malupit kung gagawin sa mga gawaing pampulitika. Ito ay da"&amp;"hil ang mga ganitong gawain ay maaaring makagambala sa kaayusan ng publiko, lumikha ng klima ng takot, at makapinsala sa pampublikong ari-arian. Maaaring isaalang-alang ng mga hukom ang konteksto ng krimen kapag hinahatulan, na may udyok ng pulitika na pa"&amp;"gkasira na posibleng humahantong sa mas mahabang panahon ng pagkakakulong o mas mataas na multa.
**Mga Halimbawa ng Mga Kaugnay na Batas:**
* **Philippines:** Ang Binagong Kodigo Penal (Artikulo 318) ay nagsasakriminal sa panununog, na may mga parusa mula"&amp;" sa pagkakulong hanggang kamatayan depende sa kalubhaan ng pinsala at mga resulta ng pinsala. Ang paninira at pagsira ng ari-arian ay napapailalim din sa Kodigo Penal (Artikulo 355 at 357) na may iba't ibang parusa batay sa halaga ng pinsalang naidulot.
*"&amp;"*Mga Hamon:**
* **Layunin vs. Protesta:** Ang linya sa pagitan ng pagkasira bilang bahagi ng isang protesta at isang kriminal na gawa ay maaaring malabo. Kailangang isaalang-alang ng mga hukom ang kalikasan ng pagkawasak, ang antas ng karahasan na kasangk"&amp;"ot, at kung ito ay nakadirekta sa ari-arian o mga tao. * **Pagtitipon ng Ebidensya:** Ang pagtukoy at paghuli sa mga may kasalanan ay maaaring maging mahirap, lalo na sa magulong sitwasyon sa panahon ng mga protesta. **Mga Paraan sa Pag-iwas:**
* Ang pagp"&amp;"apatupad ng batas ay maaaring gumawa ng mga hakbang upang mabawasan ang mga sitwasyon at maiwasan ang karahasan sa panahon ng mga protesta. Maaaring kabilang dito ang pagpapanatili ng nakikitang presensya, pamamagitan ng mga nagpoprotesta at awtoridad, at"&amp;" pagtiyak na may malinaw na mga channel ng komunikasyon.
**Sa pangkalahatan, ang panununog at pagsira ng ari-arian ay mga seryosong krimen na may makabuluhang kahihinatnan, kahit na ginawa sa panahon ng mga gawaing pampulitika. Maaaring pahinain ng mga pa"&amp;"gkilos na ito ang pagiging lehitimo ng mga kilusang pampulitika at lumikha ng klima ng takot. Mayroong mga legal na balangkas upang hadlangan ang mga naturang aksyon at parusahan ang mga responsable.**")</f>
        <v>Ang panununog at pagsira ng ari-arian sa panahon ng mga pampulitikang aktibidad ay itinuturing na mga seryosong krimen, hiwalay sa pampulitikang mensahe na maaaring sinusubukang ihatid ng kilos. Narito kung paano kinokontrol at pinaparusahan ang mga gawaing ito:
**Mga Pangkalahatang Batas sa Kriminal Nalalapat:**
* Ang mga partikular na batas ay mag-iiba depende sa hurisdiksyon, ngunit karamihan sa mga bansa ay may mga batas laban sa panununog, paninira, at pagsira ng ari-arian. Karaniwang nalalapat ang mga batas na ito anuman ang motibo sa likod ng krimen, kabilang ang mga motibasyong pampulitika.
**Mataas na Parusa:**
* Sa ilang mga kaso, ang parusa para sa mga krimeng ito ay maaaring maging mas malupit kung gagawin sa mga gawaing pampulitika. Ito ay dahil ang mga ganitong gawain ay maaaring makagambala sa kaayusan ng publiko, lumikha ng klima ng takot, at makapinsala sa pampublikong ari-arian. Maaaring isaalang-alang ng mga hukom ang konteksto ng krimen kapag hinahatulan, na may udyok ng pulitika na pagkasira na posibleng humahantong sa mas mahabang panahon ng pagkakakulong o mas mataas na multa.
**Mga Halimbawa ng Mga Kaugnay na Batas:**
* **Philippines:** Ang Binagong Kodigo Penal (Artikulo 318) ay nagsasakriminal sa panununog, na may mga parusa mula sa pagkakulong hanggang kamatayan depende sa kalubhaan ng pinsala at mga resulta ng pinsala. Ang paninira at pagsira ng ari-arian ay napapailalim din sa Kodigo Penal (Artikulo 355 at 357) na may iba't ibang parusa batay sa halaga ng pinsalang naidulot.
**Mga Hamon:**
* **Layunin vs. Protesta:** Ang linya sa pagitan ng pagkasira bilang bahagi ng isang protesta at isang kriminal na gawa ay maaaring malabo. Kailangang isaalang-alang ng mga hukom ang kalikasan ng pagkawasak, ang antas ng karahasan na kasangkot, at kung ito ay nakadirekta sa ari-arian o mga tao. * **Pagtitipon ng Ebidensya:** Ang pagtukoy at paghuli sa mga may kasalanan ay maaaring maging mahirap, lalo na sa magulong sitwasyon sa panahon ng mga protesta. **Mga Paraan sa Pag-iwas:**
* Ang pagpapatupad ng batas ay maaaring gumawa ng mga hakbang upang mabawasan ang mga sitwasyon at maiwasan ang karahasan sa panahon ng mga protesta. Maaaring kabilang dito ang pagpapanatili ng nakikitang presensya, pamamagitan ng mga nagpoprotesta at awtoridad, at pagtiyak na may malinaw na mga channel ng komunikasyon.
**Sa pangkalahatan, ang panununog at pagsira ng ari-arian ay mga seryosong krimen na may makabuluhang kahihinatnan, kahit na ginawa sa panahon ng mga gawaing pampulitika. Maaaring pahinain ng mga pagkilos na ito ang pagiging lehitimo ng mga kilusang pampulitika at lumikha ng klima ng takot. Mayroong mga legal na balangkas upang hadlangan ang mga naturang aksyon at parusahan ang mga responsable.**</v>
      </c>
      <c r="F2441" s="2">
        <f t="shared" si="1"/>
        <v>0</v>
      </c>
      <c r="G2441" s="2"/>
      <c r="H2441" s="2"/>
      <c r="I2441" s="2"/>
      <c r="J2441" s="2"/>
      <c r="K2441" s="2"/>
      <c r="L2441" s="2"/>
      <c r="M2441" s="2"/>
      <c r="N2441" s="2"/>
      <c r="O2441" s="2"/>
      <c r="P2441" s="2"/>
      <c r="Q2441" s="2"/>
      <c r="R2441" s="2"/>
      <c r="S2441" s="2"/>
      <c r="T2441" s="2"/>
      <c r="U2441" s="2"/>
      <c r="V2441" s="2"/>
      <c r="W2441" s="2"/>
      <c r="X2441" s="2"/>
      <c r="Y2441" s="2"/>
      <c r="Z2441" s="2"/>
      <c r="AA2441" s="2"/>
    </row>
    <row r="2442">
      <c r="A2442" s="3" t="s">
        <v>5693</v>
      </c>
      <c r="B2442" s="1" t="s">
        <v>5850</v>
      </c>
      <c r="C2442" s="3" t="s">
        <v>5851</v>
      </c>
      <c r="D2442" s="2" t="str">
        <f>IFERROR(__xludf.DUMMYFUNCTION("GOOGLETRANSLATE(B2442, ""en"", ""TL"")"),"Paano tinutugunan ng batas ang pagmamanipula o pagsugpo ng impormasyon upang maimpluwensyahan ang mga resulta ng pulitika?")</f>
        <v>Paano tinutugunan ng batas ang pagmamanipula o pagsugpo ng impormasyon upang maimpluwensyahan ang mga resulta ng pulitika?</v>
      </c>
      <c r="E2442" s="2" t="str">
        <f>IFERROR(__xludf.DUMMYFUNCTION("GOOGLETRANSLATE(C2442, ""en"", ""TL"")"),"Sa Pilipinas, tinutugunan ng batas ang pagmamanipula o pagsugpo ng impormasyon upang maimpluwensyahan ang mga resultang pampulitika sa pamamagitan ng iba't ibang mga legal na probisyon na naglalayong protektahan ang integridad ng proseso ng elektoral at i"&amp;"taguyod ang kalayaan sa pagpapahayag. Narito ang ilang pangunahing hakbang:
1. Omnibus Election Code (Batas Pambansa Blg. 881): Ang Omnibus Election Code ay naglalaman ng mga probisyon na kumokontrol sa pagsasagawa ng mga halalan at nagbabawal sa mga p"&amp;"agkilos ng pagmamanipula o pagsugpo ng impormasyon upang maimpluwensyahan ang mga resulta ng pulitika. Ang Seksyon 261 (a) (1) (xvi) ng Omnibus Election Code ay nagbabawal sa sinumang tao na ""maglathala, magpakita o magpakita ng anumang listahan ng mga k"&amp;"andidato para sa layunin ng paghingi ng mga boto, pangako o suporta maliban kung pinahintulutan ng Komisyon."" Ang probisyong ito ay naglalayong pigilan ang pagmamanipula ng impormasyon ng mga hindi awtorisadong partido upang maimpluwensyahan ang mga bota"&amp;"nte.
2. Cybercrime Prevention Act of 2012 (RA 10175): Ang Cybercrime Prevention Act ay ginagawang kriminal ang iba't ibang anyo ng cybercrimes, kabilang ang cyber libel, online na panliligalig, at pagpapakalat ng maling impormasyon. Ang mga indibidwal "&amp;"na nakikibahagi sa pagmamanipula o pagsugpo ng impormasyon sa pamamagitan ng mga online na platform ay maaaring managot sa krimen at kasuhan sa ilalim ng batas na ito.
3. Mga Batas sa Paninirang-puri: Ang mga maling pahayag at mapanirang-puri na ginawa"&amp;" sa layuning makapinsala sa reputasyon ng mga indibidwal o grupo ay maaaring bumuo ng paninirang-puri, na isang sibil na pagkakasala sa ilalim ng batas ng Pilipinas. Ang mga biktima ng pagmamanipula o pagsugpo ng impormasyon ay maaaring magsampa ng mga si"&amp;"bil na reklamo para sa mga pinsala laban sa mga indibidwal o entidad na responsable sa pagkalat ng maling impormasyon.
4. Regulasyon ng Media: Ang mga organisasyon at mamamahayag ng media ay napapailalim sa mga regulasyon at pamantayan ng pag-uugali na"&amp;" naglalayong tiyakin ang katumpakan at pagiging patas ng pag-uulat. Ang mga regulatory body, gaya ng Philippine Press Council o Movie and Television Review and Classification Board (MTRCB), ay nangangasiwa sa pagsunod sa etika at pamantayan ng media at ma"&amp;"aaring gumawa ng aksyon laban sa mga paglabag.
5. Commission on Human Rights (CHR): Ang Commission on Human Rights ay may awtoridad na mag-imbestiga sa mga paglabag sa karapatang pantao, kabilang ang mga kaso ng censorship o pagsugpo sa impormasyon na "&amp;"sumisira sa kalayaan sa pagpapahayag at mga demokratikong proseso. Ang mga reklamo ay maaaring isumite sa CHR para sa imbestigasyon at interbensyon.
Sa pangkalahatan, ang pagtugon sa pagmamanipula o pagsugpo sa impormasyon upang maimpluwensyahan ang mg"&amp;"a resulta sa pulitika ay nangangailangan ng kumbinasyon ng mga legal na hakbang, regulasyon ng media, at mga proteksyon sa karapatang pantao upang mapangalagaan ang integridad ng proseso ng elektoral at itaguyod ang mga demokratikong prinsipyo ng transpar"&amp;"ency, pananagutan, at kalayaan sa pagpapahayag.")</f>
        <v>Sa Pilipinas, tinutugunan ng batas ang pagmamanipula o pagsugpo ng impormasyon upang maimpluwensyahan ang mga resultang pampulitika sa pamamagitan ng iba't ibang mga legal na probisyon na naglalayong protektahan ang integridad ng proseso ng elektoral at itaguyod ang kalayaan sa pagpapahayag. Narito ang ilang pangunahing hakbang:
1. Omnibus Election Code (Batas Pambansa Blg. 881): Ang Omnibus Election Code ay naglalaman ng mga probisyon na kumokontrol sa pagsasagawa ng mga halalan at nagbabawal sa mga pagkilos ng pagmamanipula o pagsugpo ng impormasyon upang maimpluwensyahan ang mga resulta ng pulitika. Ang Seksyon 261 (a) (1) (xvi) ng Omnibus Election Code ay nagbabawal sa sinumang tao na "maglathala, magpakita o magpakita ng anumang listahan ng mga kandidato para sa layunin ng paghingi ng mga boto, pangako o suporta maliban kung pinahintulutan ng Komisyon." Ang probisyong ito ay naglalayong pigilan ang pagmamanipula ng impormasyon ng mga hindi awtorisadong partido upang maimpluwensyahan ang mga botante.
2. Cybercrime Prevention Act of 2012 (RA 10175): Ang Cybercrime Prevention Act ay ginagawang kriminal ang iba't ibang anyo ng cybercrimes, kabilang ang cyber libel, online na panliligalig, at pagpapakalat ng maling impormasyon. Ang mga indibidwal na nakikibahagi sa pagmamanipula o pagsugpo ng impormasyon sa pamamagitan ng mga online na platform ay maaaring managot sa krimen at kasuhan sa ilalim ng batas na ito.
3. Mga Batas sa Paninirang-puri: Ang mga maling pahayag at mapanirang-puri na ginawa sa layuning makapinsala sa reputasyon ng mga indibidwal o grupo ay maaaring bumuo ng paninirang-puri, na isang sibil na pagkakasala sa ilalim ng batas ng Pilipinas. Ang mga biktima ng pagmamanipula o pagsugpo ng impormasyon ay maaaring magsampa ng mga sibil na reklamo para sa mga pinsala laban sa mga indibidwal o entidad na responsable sa pagkalat ng maling impormasyon.
4. Regulasyon ng Media: Ang mga organisasyon at mamamahayag ng media ay napapailalim sa mga regulasyon at pamantayan ng pag-uugali na naglalayong tiyakin ang katumpakan at pagiging patas ng pag-uulat. Ang mga regulatory body, gaya ng Philippine Press Council o Movie and Television Review and Classification Board (MTRCB), ay nangangasiwa sa pagsunod sa etika at pamantayan ng media at maaaring gumawa ng aksyon laban sa mga paglabag.
5. Commission on Human Rights (CHR): Ang Commission on Human Rights ay may awtoridad na mag-imbestiga sa mga paglabag sa karapatang pantao, kabilang ang mga kaso ng censorship o pagsugpo sa impormasyon na sumisira sa kalayaan sa pagpapahayag at mga demokratikong proseso. Ang mga reklamo ay maaaring isumite sa CHR para sa imbestigasyon at interbensyon.
Sa pangkalahatan, ang pagtugon sa pagmamanipula o pagsugpo sa impormasyon upang maimpluwensyahan ang mga resulta sa pulitika ay nangangailangan ng kumbinasyon ng mga legal na hakbang, regulasyon ng media, at mga proteksyon sa karapatang pantao upang mapangalagaan ang integridad ng proseso ng elektoral at itaguyod ang mga demokratikong prinsipyo ng transparency, pananagutan, at kalayaan sa pagpapahayag.</v>
      </c>
      <c r="F2442" s="2">
        <f t="shared" si="1"/>
        <v>0</v>
      </c>
      <c r="G2442" s="2"/>
      <c r="H2442" s="2"/>
      <c r="I2442" s="2"/>
      <c r="J2442" s="2"/>
      <c r="K2442" s="2"/>
      <c r="L2442" s="2"/>
      <c r="M2442" s="2"/>
      <c r="N2442" s="2"/>
      <c r="O2442" s="2"/>
      <c r="P2442" s="2"/>
      <c r="Q2442" s="2"/>
      <c r="R2442" s="2"/>
      <c r="S2442" s="2"/>
      <c r="T2442" s="2"/>
      <c r="U2442" s="2"/>
      <c r="V2442" s="2"/>
      <c r="W2442" s="2"/>
      <c r="X2442" s="2"/>
      <c r="Y2442" s="2"/>
      <c r="Z2442" s="2"/>
      <c r="AA2442" s="2"/>
    </row>
    <row r="2443">
      <c r="A2443" s="3" t="s">
        <v>5693</v>
      </c>
      <c r="B2443" s="1" t="s">
        <v>5852</v>
      </c>
      <c r="C2443" s="3" t="s">
        <v>5853</v>
      </c>
      <c r="D2443" s="2" t="str">
        <f>IFERROR(__xludf.DUMMYFUNCTION("GOOGLETRANSLATE(B2443, ""en"", ""TL"")"),"Ano ang papel na ginagampanan ng mga internasyonal na kasunduan at kumbensyon sa paghubog ng mga batas ng Pilipinas sa mga krimeng may kinalaman sa pulitika at aktibista?")</f>
        <v>Ano ang papel na ginagampanan ng mga internasyonal na kasunduan at kumbensyon sa paghubog ng mga batas ng Pilipinas sa mga krimeng may kinalaman sa pulitika at aktibista?</v>
      </c>
      <c r="E2443" s="2" t="str">
        <f>IFERROR(__xludf.DUMMYFUNCTION("GOOGLETRANSLATE(C2443, ""en"", ""TL"")"),"Malaki ang papel na ginagampanan ng mga internasyonal na kasunduan at kombensiyon sa paghubog ng mga batas ng Pilipinas sa mga krimeng may kaugnayan sa pulitika at aktibista, bagaman hindi ito palaging direktang impluwensya. Ganito:
**Pagtatakda ng mga Pa"&amp;"mantayan:** Ang Pilipinas ay lumagda sa ilang pangunahing kasunduan sa karapatang pantao, kabilang ang International Covenant on Civil and Political Rights (ICCPR) Ang mga kasunduan na ito ay nagtatatag ng mga internasyonal na pamantayan para sa makatarun"&amp;"gang mga pagsubok, kalayaan sa pagpapahayag, at kalayaan sa pagpupulong. Ang mga pamantayang ito ay maaaring gamitin sa mga korte ng Pilipinas upang hamunin ang mga batas o gawaing itinuturing na labis na mahigpit.
**Mga Obligasyon at Pagsusuri:** Sa pagi"&amp;"ging isang partido sa mga kasunduang ito, inaako ng Pilipinas ang mga obligasyon na itaguyod ang mga nakasaad na karapatan. Lumilikha ito ng pang-internasyonal na panggigipit upang matiyak na ang mga lokal na batas ay sumusunod sa mga pamantayang ito. Ang"&amp;" mga organisasyon ng karapatang pantao at iba pang mga bansa ay maaaring maghain ng mga alalahanin kung ang mga batas ng Pilipinas o ang kanilang aplikasyon ay lumalabas na lumalabag sa mga kasunduang ito. **Interpretation at Legal na Hamon:** Ang mga int"&amp;"ernasyonal na kasunduan ay maaaring makaimpluwensya kung paano binibigyang-kahulugan ng mga korte ng Pilipinas ang mga umiiral na batas. Maaaring magtaltalan ang mga abogado na ang mga lokal na batas ay dapat bigyang-kahulugan sa paraang naaayon sa mga in"&amp;"ternasyonal na pangako ng Pilipinas. Maaari itong humantong sa mga legal na hamon laban sa masyadong malawak o malabong tinukoy na mga batas na nauugnay sa aktibidad sa pulitika.
**Mga Limitasyon:** Mahalagang tandaan na ang mga internasyonal na kasunduan"&amp;" ay hindi direktang maipapatupad sa loob ng Pilipinas. Nangangailangan sila ng lokal na batas na ipatupad. Karagdagan pa, ang mga mekanismo ng pagpapatupad ay kadalasang mahina, kaya nagiging mahirap na panagutin ang Pilipinas para sa mga paglabag.
**Pang"&amp;"kalahatang Epekto:** Sa kabila ng mga limitasyon, ang mga internasyonal na kasunduan at kumbensyon ay gumaganap ng mahalagang papel sa paghubog ng legal na tanawin ng Pilipinas para sa mga krimen na nauugnay sa pulitika at aktibista. Ang mga ito ay nagsis"&amp;"ilbing reference point para sa paggawa ng mga batas, pagbibigay-kahulugan sa mga umiiral na, at paggigiit sa pamahalaan na itaguyod ang mga pamantayan ng karapatang pantao.")</f>
        <v>Malaki ang papel na ginagampanan ng mga internasyonal na kasunduan at kombensiyon sa paghubog ng mga batas ng Pilipinas sa mga krimeng may kaugnayan sa pulitika at aktibista, bagaman hindi ito palaging direktang impluwensya. Ganito:
**Pagtatakda ng mga Pamantayan:** Ang Pilipinas ay lumagda sa ilang pangunahing kasunduan sa karapatang pantao, kabilang ang International Covenant on Civil and Political Rights (ICCPR) Ang mga kasunduan na ito ay nagtatatag ng mga internasyonal na pamantayan para sa makatarungang mga pagsubok, kalayaan sa pagpapahayag, at kalayaan sa pagpupulong. Ang mga pamantayang ito ay maaaring gamitin sa mga korte ng Pilipinas upang hamunin ang mga batas o gawaing itinuturing na labis na mahigpit.
**Mga Obligasyon at Pagsusuri:** Sa pagiging isang partido sa mga kasunduang ito, inaako ng Pilipinas ang mga obligasyon na itaguyod ang mga nakasaad na karapatan. Lumilikha ito ng pang-internasyonal na panggigipit upang matiyak na ang mga lokal na batas ay sumusunod sa mga pamantayang ito. Ang mga organisasyon ng karapatang pantao at iba pang mga bansa ay maaaring maghain ng mga alalahanin kung ang mga batas ng Pilipinas o ang kanilang aplikasyon ay lumalabas na lumalabag sa mga kasunduang ito. **Interpretation at Legal na Hamon:** Ang mga internasyonal na kasunduan ay maaaring makaimpluwensya kung paano binibigyang-kahulugan ng mga korte ng Pilipinas ang mga umiiral na batas. Maaaring magtaltalan ang mga abogado na ang mga lokal na batas ay dapat bigyang-kahulugan sa paraang naaayon sa mga internasyonal na pangako ng Pilipinas. Maaari itong humantong sa mga legal na hamon laban sa masyadong malawak o malabong tinukoy na mga batas na nauugnay sa aktibidad sa pulitika.
**Mga Limitasyon:** Mahalagang tandaan na ang mga internasyonal na kasunduan ay hindi direktang maipapatupad sa loob ng Pilipinas. Nangangailangan sila ng lokal na batas na ipatupad. Karagdagan pa, ang mga mekanismo ng pagpapatupad ay kadalasang mahina, kaya nagiging mahirap na panagutin ang Pilipinas para sa mga paglabag.
**Pangkalahatang Epekto:** Sa kabila ng mga limitasyon, ang mga internasyonal na kasunduan at kumbensyon ay gumaganap ng mahalagang papel sa paghubog ng legal na tanawin ng Pilipinas para sa mga krimen na nauugnay sa pulitika at aktibista. Ang mga ito ay nagsisilbing reference point para sa paggawa ng mga batas, pagbibigay-kahulugan sa mga umiiral na, at paggigiit sa pamahalaan na itaguyod ang mga pamantayan ng karapatang pantao.</v>
      </c>
      <c r="F2443" s="2">
        <f t="shared" si="1"/>
        <v>0</v>
      </c>
      <c r="G2443" s="2"/>
      <c r="H2443" s="2"/>
      <c r="I2443" s="2"/>
      <c r="J2443" s="2"/>
      <c r="K2443" s="2"/>
      <c r="L2443" s="2"/>
      <c r="M2443" s="2"/>
      <c r="N2443" s="2"/>
      <c r="O2443" s="2"/>
      <c r="P2443" s="2"/>
      <c r="Q2443" s="2"/>
      <c r="R2443" s="2"/>
      <c r="S2443" s="2"/>
      <c r="T2443" s="2"/>
      <c r="U2443" s="2"/>
      <c r="V2443" s="2"/>
      <c r="W2443" s="2"/>
      <c r="X2443" s="2"/>
      <c r="Y2443" s="2"/>
      <c r="Z2443" s="2"/>
      <c r="AA2443" s="2"/>
    </row>
    <row r="2444">
      <c r="A2444" s="3" t="s">
        <v>5693</v>
      </c>
      <c r="B2444" s="1" t="s">
        <v>5854</v>
      </c>
      <c r="C2444" s="3" t="s">
        <v>5855</v>
      </c>
      <c r="D2444" s="2" t="str">
        <f>IFERROR(__xludf.DUMMYFUNCTION("GOOGLETRANSLATE(B2444, ""en"", ""TL"")"),"Paano kinokontrol at pinaparusahan ang mga krimen tulad ng pangingikil o panunuhol sa konteksto ng mga aktibidad sa pulitika?")</f>
        <v>Paano kinokontrol at pinaparusahan ang mga krimen tulad ng pangingikil o panunuhol sa konteksto ng mga aktibidad sa pulitika?</v>
      </c>
      <c r="E2444" s="2" t="str">
        <f>IFERROR(__xludf.DUMMYFUNCTION("GOOGLETRANSLATE(C2444, ""en"", ""TL"")"),"Ang pangingikil at panunuhol, kahit na sa konteksto ng mga gawaing pampulitika, ay mga ilegal at may parusang pagkakasala sa Pilipinas. Narito kung paano sila kinokontrol at pinarurusahan:
**Pangingikil:**
* Tinukoy bilang pagkuha ng pera, ari-arian, o an"&amp;"umang bagay mula sa ibang tao sa pamamagitan ng pananakot o pananakot (Philippine Penal Code: [https://lawphil.net/judjuris/juri2020/jun2020/gr_246580_caguioa.html](https://lawphil. net/judjuris/juri2020/jun2020/gr_246580_caguioa.html)).
* Nalalapat nang "&amp;"pantay-pantay sa mga pulitiko o sinumang gumagamit ng mga pagbabanta o pananakot upang makakuha ng isang bagay mula sa isang kandidato, politiko, o aktibista.
* Maaaring malubha ang mga parusa, mula sa pagkakakulong ng ilang buwan hanggang habambuhay depe"&amp;"nde sa tindi ng banta at halaga ng kinkil.
**Panunuhol:**
* Tinukoy bilang pag-aalok, pagbibigay, pagtanggap, o paghingi ng isang bagay na may halaga (pera, regalo, atbp.) kapalit ng isang opisyal na aksyon o pagkukulang (Philippine Penal Code: [https://l"&amp;"awphil.net/judjuris/juri2010/feb2010/ gr_181409_2010.html](https://lawphil.net/judjuris/juri2010/feb2010/gr_181409_2010.html)).
* Sinasaklaw ang mga pagtatangka na suhulan ang mga pulitiko o aktibista upang maimpluwensyahan ang kanilang mga aksyon o desis"&amp;"yon.
* Ang mga parusa ay nag-iiba depende sa uri ng suhol at sa opisinang kasangkot. Maaaring may kasamang pagkakulong at diskwalipikasyon sa paghawak ng pampublikong tungkulin.
**Mga Karagdagang Batas:**
* Ang Anti-Graft and Corrupt Practices Act ([Repub"&amp;"lic Act No. 3019]) ay lalong nagpapalakas sa paglaban sa katiwalian sa pampublikong opisina.
* Ang Code of Conduct and Ethical Standards for Public Officials ([Executive Order No. 292, s. 2016]) ay nagbabalangkas ng inaasahang etikal na pag-uugali para sa"&amp;" mga opisyal ng gobyerno, kabilang ang pag-iwas sa panunuhol.
**Mga Hamon:**
* Habang umiiral ang mga batas, ang pagpapatupad ng mga ito ay maaaring maging mahirap dahil sa mga kumplikadong pagsisiyasat at potensyal na impluwensya sa pulitika.
* Maaaring "&amp;"may pressure na ayusin ang mga kaso ng extortion o panunuhol sa labas ng korte, na humahadlang sa pag-uusig.
**Kahalagahan:**
* Ang pagtugon sa mga krimeng ito ay napakahalaga para sa pagpapanatili ng isang patas at demokratikong sistemang pampulitika.
* "&amp;"Tinitiyak nito na ang mga desisyon sa pulitika ay nakabatay sa merito sa halip na hindi nararapat na impluwensya.
**Pag-uulat:**
* Maaaring mag-ulat ang mga Pilipino ng pinaghihinalaang pangingikil o panunuhol sa mga ahensyang nagpapatupad ng batas tulad "&amp;"ng Philippine National Police (PNP) o Office of the Ombudsman.
**Paglahok ng Mamamayan:**
* Ang kamalayan ng publiko at pakikilahok ay mahalaga sa pagpapanagot sa mga pulitiko at opisyal.
* Sa pamamagitan ng pag-uulat ng mga krimeng ito at pagtataguyod pa"&amp;"ra sa transparency, makakatulong ang mga Pilipino na matiyak ang isang mas malinis na kapaligiran sa pulitika.")</f>
        <v>Ang pangingikil at panunuhol, kahit na sa konteksto ng mga gawaing pampulitika, ay mga ilegal at may parusang pagkakasala sa Pilipinas. Narito kung paano sila kinokontrol at pinarurusahan:
**Pangingikil:**
* Tinukoy bilang pagkuha ng pera, ari-arian, o anumang bagay mula sa ibang tao sa pamamagitan ng pananakot o pananakot (Philippine Penal Code: [https://lawphil.net/judjuris/juri2020/jun2020/gr_246580_caguioa.html](https://lawphil. net/judjuris/juri2020/jun2020/gr_246580_caguioa.html)).
* Nalalapat nang pantay-pantay sa mga pulitiko o sinumang gumagamit ng mga pagbabanta o pananakot upang makakuha ng isang bagay mula sa isang kandidato, politiko, o aktibista.
* Maaaring malubha ang mga parusa, mula sa pagkakakulong ng ilang buwan hanggang habambuhay depende sa tindi ng banta at halaga ng kinkil.
**Panunuhol:**
* Tinukoy bilang pag-aalok, pagbibigay, pagtanggap, o paghingi ng isang bagay na may halaga (pera, regalo, atbp.) kapalit ng isang opisyal na aksyon o pagkukulang (Philippine Penal Code: [https://lawphil.net/judjuris/juri2010/feb2010/ gr_181409_2010.html](https://lawphil.net/judjuris/juri2010/feb2010/gr_181409_2010.html)).
* Sinasaklaw ang mga pagtatangka na suhulan ang mga pulitiko o aktibista upang maimpluwensyahan ang kanilang mga aksyon o desisyon.
* Ang mga parusa ay nag-iiba depende sa uri ng suhol at sa opisinang kasangkot. Maaaring may kasamang pagkakulong at diskwalipikasyon sa paghawak ng pampublikong tungkulin.
**Mga Karagdagang Batas:**
* Ang Anti-Graft and Corrupt Practices Act ([Republic Act No. 3019]) ay lalong nagpapalakas sa paglaban sa katiwalian sa pampublikong opisina.
* Ang Code of Conduct and Ethical Standards for Public Officials ([Executive Order No. 292, s. 2016]) ay nagbabalangkas ng inaasahang etikal na pag-uugali para sa mga opisyal ng gobyerno, kabilang ang pag-iwas sa panunuhol.
**Mga Hamon:**
* Habang umiiral ang mga batas, ang pagpapatupad ng mga ito ay maaaring maging mahirap dahil sa mga kumplikadong pagsisiyasat at potensyal na impluwensya sa pulitika.
* Maaaring may pressure na ayusin ang mga kaso ng extortion o panunuhol sa labas ng korte, na humahadlang sa pag-uusig.
**Kahalagahan:**
* Ang pagtugon sa mga krimeng ito ay napakahalaga para sa pagpapanatili ng isang patas at demokratikong sistemang pampulitika.
* Tinitiyak nito na ang mga desisyon sa pulitika ay nakabatay sa merito sa halip na hindi nararapat na impluwensya.
**Pag-uulat:**
* Maaaring mag-ulat ang mga Pilipino ng pinaghihinalaang pangingikil o panunuhol sa mga ahensyang nagpapatupad ng batas tulad ng Philippine National Police (PNP) o Office of the Ombudsman.
**Paglahok ng Mamamayan:**
* Ang kamalayan ng publiko at pakikilahok ay mahalaga sa pagpapanagot sa mga pulitiko at opisyal.
* Sa pamamagitan ng pag-uulat ng mga krimeng ito at pagtataguyod para sa transparency, makakatulong ang mga Pilipino na matiyak ang isang mas malinis na kapaligiran sa pulitika.</v>
      </c>
      <c r="F2444" s="2">
        <f t="shared" si="1"/>
        <v>0</v>
      </c>
      <c r="G2444" s="2"/>
      <c r="H2444" s="2"/>
      <c r="I2444" s="2"/>
      <c r="J2444" s="2"/>
      <c r="K2444" s="2"/>
      <c r="L2444" s="2"/>
      <c r="M2444" s="2"/>
      <c r="N2444" s="2"/>
      <c r="O2444" s="2"/>
      <c r="P2444" s="2"/>
      <c r="Q2444" s="2"/>
      <c r="R2444" s="2"/>
      <c r="S2444" s="2"/>
      <c r="T2444" s="2"/>
      <c r="U2444" s="2"/>
      <c r="V2444" s="2"/>
      <c r="W2444" s="2"/>
      <c r="X2444" s="2"/>
      <c r="Y2444" s="2"/>
      <c r="Z2444" s="2"/>
      <c r="AA2444" s="2"/>
    </row>
    <row r="2445">
      <c r="A2445" s="3" t="s">
        <v>5693</v>
      </c>
      <c r="B2445" s="1" t="s">
        <v>5856</v>
      </c>
      <c r="C2445" s="3" t="s">
        <v>5857</v>
      </c>
      <c r="D2445" s="2" t="str">
        <f>IFERROR(__xludf.DUMMYFUNCTION("GOOGLETRANSLATE(B2445, ""en"", ""TL"")"),"Anong mga legal na aksyon ang maaaring gawin laban sa mga indibidwal na nagsasagawa ng online stalking o panliligalig laban sa mga politiko o aktibista?")</f>
        <v>Anong mga legal na aksyon ang maaaring gawin laban sa mga indibidwal na nagsasagawa ng online stalking o panliligalig laban sa mga politiko o aktibista?</v>
      </c>
      <c r="E2445" s="2" t="str">
        <f>IFERROR(__xludf.DUMMYFUNCTION("GOOGLETRANSLATE(C2445, ""en"", ""TL"")"),"Ang Pilipinas ay may ilang mga legal na opsyon para tugunan ang online stalking at harassment laban sa mga politiko at aktibista. Narito ang isang breakdown ng mga nauugnay na batas at potensyal na pagkilos:
**Cybercrime Law (Republic Act No. 10175):**
* "&amp;"Ito ang pangunahing legal na sandata laban sa online stalking at harassment.
* Kabilang sa mga nauugnay na probisyon ang:
* **Cyberstalking:** Mga paulit-ulit na pagkilos ng pagpapadala ng mga mensahe na nagdudulot ng hindi nararapat na alarma o pagkabali"&amp;"sa (Seksyon 4(c)(2)).
* **Online na Panliligalig:** Mga kilos na naglalayong mang-inis, mang-istorbo, maalarma, o molestiyahin ang sinumang tao (Seksyon 4(c)(4)).
* **Slander via Cyberspace:** Maling impormasyon na sumisira sa reputasyon ng isang tao (Sek"&amp;"syon 4(c)(5)).
* **Mga Parusa:** Maaaring kasama ang pagkakulong at mga multa depende sa kalubhaan ng pagkakasala.
**Ibang Batas:**
* **Anti-Violence Against Women and Children Act (Republic Act No. 9262):** Bagama't pangunahing nakatuon sa pisikal na kar"&amp;"ahasan, maaari itong ilapat sa mga kaso kung saan ang online na panliligalig ay nagsasangkot ng mga banta o karahasan laban sa mga aktibista/pulitiko ng kababaihan o mga bata. * **Binagong Kodigo Penal:** Ang mga tradisyunal na pagkakasala tulad ng mga pa"&amp;"gbabanta (Artikulo 148) at libelo (Artikulo 355) ay maaaring may kaugnayan depende sa uri ng online na nilalaman.
**Mga Hamon:**
* **Pagtitipon ng Ebidensya:** Ang pagpapanatili ng online na komunikasyon at pagtukoy ng mga hindi kilalang account ay maaari"&amp;"ng maging mahirap.
* **Interpretasyon:** Ang kahulugan ng ""hindi nararapat na alarma o pagkabalisa"" ay maaaring mangailangan ng malinaw na katibayan ng pinsalang dulot ng biktima.
**Mga Rekomendasyon:**
* **Idokumento ang Lahat:** Dapat idokumento ng mg"&amp;"a pulitikal na numero at aktibista ang mga mensahe ng panliligalig at online na banta. Ang mga screenshot at recording ay maaaring maging mahalagang ebidensya.
* **Mag-ulat sa Mga Awtoridad:** Magsampa ng pormal na reklamo sa Philippine National Police (P"&amp;"NP) o National Bureau of Investigation (NBI).
* **Humingi ng Legal na Counsel:** Maaaring magpayo ang isang abogado sa pinakaangkop na legal na aksyon batay sa mga partikular na pangyayari.
**Dagdag pa:**
* Ang mga platform tulad ng Facebook at Twitter ay"&amp;" may sariling mga alituntunin ng komunidad laban sa panliligalig. Ang direktang pag-uulat ng pang-aabuso sa platform ay maaaring humantong sa pagsususpinde ng account o pag-aalis ng content.
**Kahalagahan:**
* Ang pagsasagawa ng legal na aksyon laban sa o"&amp;"nline stalking at panliligalig ay nagpapadala ng isang malakas na mensahe na ang gayong pag-uugali ay hindi papayagan.
* Pinoprotektahan nito ang karapatan sa malayang pagpapahayag ng mga politiko at aktibista sa pamamagitan ng pagtiyak ng isang ligtas na"&amp;" online na espasyo para sa kanila upang makisali sa pampublikong diskurso.")</f>
        <v>Ang Pilipinas ay may ilang mga legal na opsyon para tugunan ang online stalking at harassment laban sa mga politiko at aktibista. Narito ang isang breakdown ng mga nauugnay na batas at potensyal na pagkilos:
**Cybercrime Law (Republic Act No. 10175):**
* Ito ang pangunahing legal na sandata laban sa online stalking at harassment.
* Kabilang sa mga nauugnay na probisyon ang:
* **Cyberstalking:** Mga paulit-ulit na pagkilos ng pagpapadala ng mga mensahe na nagdudulot ng hindi nararapat na alarma o pagkabalisa (Seksyon 4(c)(2)).
* **Online na Panliligalig:** Mga kilos na naglalayong mang-inis, mang-istorbo, maalarma, o molestiyahin ang sinumang tao (Seksyon 4(c)(4)).
* **Slander via Cyberspace:** Maling impormasyon na sumisira sa reputasyon ng isang tao (Seksyon 4(c)(5)).
* **Mga Parusa:** Maaaring kasama ang pagkakulong at mga multa depende sa kalubhaan ng pagkakasala.
**Ibang Batas:**
* **Anti-Violence Against Women and Children Act (Republic Act No. 9262):** Bagama't pangunahing nakatuon sa pisikal na karahasan, maaari itong ilapat sa mga kaso kung saan ang online na panliligalig ay nagsasangkot ng mga banta o karahasan laban sa mga aktibista/pulitiko ng kababaihan o mga bata. * **Binagong Kodigo Penal:** Ang mga tradisyunal na pagkakasala tulad ng mga pagbabanta (Artikulo 148) at libelo (Artikulo 355) ay maaaring may kaugnayan depende sa uri ng online na nilalaman.
**Mga Hamon:**
* **Pagtitipon ng Ebidensya:** Ang pagpapanatili ng online na komunikasyon at pagtukoy ng mga hindi kilalang account ay maaaring maging mahirap.
* **Interpretasyon:** Ang kahulugan ng "hindi nararapat na alarma o pagkabalisa" ay maaaring mangailangan ng malinaw na katibayan ng pinsalang dulot ng biktima.
**Mga Rekomendasyon:**
* **Idokumento ang Lahat:** Dapat idokumento ng mga pulitikal na numero at aktibista ang mga mensahe ng panliligalig at online na banta. Ang mga screenshot at recording ay maaaring maging mahalagang ebidensya.
* **Mag-ulat sa Mga Awtoridad:** Magsampa ng pormal na reklamo sa Philippine National Police (PNP) o National Bureau of Investigation (NBI).
* **Humingi ng Legal na Counsel:** Maaaring magpayo ang isang abogado sa pinakaangkop na legal na aksyon batay sa mga partikular na pangyayari.
**Dagdag pa:**
* Ang mga platform tulad ng Facebook at Twitter ay may sariling mga alituntunin ng komunidad laban sa panliligalig. Ang direktang pag-uulat ng pang-aabuso sa platform ay maaaring humantong sa pagsususpinde ng account o pag-aalis ng content.
**Kahalagahan:**
* Ang pagsasagawa ng legal na aksyon laban sa online stalking at panliligalig ay nagpapadala ng isang malakas na mensahe na ang gayong pag-uugali ay hindi papayagan.
* Pinoprotektahan nito ang karapatan sa malayang pagpapahayag ng mga politiko at aktibista sa pamamagitan ng pagtiyak ng isang ligtas na online na espasyo para sa kanila upang makisali sa pampublikong diskurso.</v>
      </c>
      <c r="F2445" s="2">
        <f t="shared" si="1"/>
        <v>0</v>
      </c>
      <c r="G2445" s="2"/>
      <c r="H2445" s="2"/>
      <c r="I2445" s="2"/>
      <c r="J2445" s="2"/>
      <c r="K2445" s="2"/>
      <c r="L2445" s="2"/>
      <c r="M2445" s="2"/>
      <c r="N2445" s="2"/>
      <c r="O2445" s="2"/>
      <c r="P2445" s="2"/>
      <c r="Q2445" s="2"/>
      <c r="R2445" s="2"/>
      <c r="S2445" s="2"/>
      <c r="T2445" s="2"/>
      <c r="U2445" s="2"/>
      <c r="V2445" s="2"/>
      <c r="W2445" s="2"/>
      <c r="X2445" s="2"/>
      <c r="Y2445" s="2"/>
      <c r="Z2445" s="2"/>
      <c r="AA2445" s="2"/>
    </row>
    <row r="2446">
      <c r="A2446" s="3" t="s">
        <v>5693</v>
      </c>
      <c r="B2446" s="1" t="s">
        <v>5858</v>
      </c>
      <c r="C2446" s="3" t="s">
        <v>5859</v>
      </c>
      <c r="D2446" s="2" t="str">
        <f>IFERROR(__xludf.DUMMYFUNCTION("GOOGLETRANSLATE(B2446, ""en"", ""TL"")"),"Paano tinutugunan ng batas ng Pilipinas ang pang-aabuso ng pagmamatyag o pangangalap ng katalinuhan laban sa mga politiko o aktibista?")</f>
        <v>Paano tinutugunan ng batas ng Pilipinas ang pang-aabuso ng pagmamatyag o pangangalap ng katalinuhan laban sa mga politiko o aktibista?</v>
      </c>
      <c r="E2446" s="2" t="str">
        <f>IFERROR(__xludf.DUMMYFUNCTION("GOOGLETRANSLATE(C2446, ""en"", ""TL"")"),"Ang Pilipinas ay may ilang mga legal na mekanismo upang tugunan ang pang-aabuso ng pagmamatyag o intelligence-gathering laban sa mga politiko at aktibista, ngunit ito ay isang umuusbong na lugar na may mga limitasyon. Narito ang isang breakdown:
**Mga Mag"&amp;"agamit na Legal na Tool:**
* **Writ of Habeas Data:** Inilabas ng Korte Suprema, pinapayagan ng writ na ito ang mga indibidwal na hamunin ang labag sa batas na pagkolekta o pag-imbak ng kanilang personal na data ng mga pampublikong opisyal o pribadong ent"&amp;"ity (A.M. No. 08-1-16-SC). Ito ay maaaring may kaugnayan kung ang pagsubaybay ay nagsasangkot ng pangangalap ng labis na personal na impormasyon.
* **Data Privacy Act (DPA) (Republic Act No. 10173):** Pinoprotektahan ng batas na ito ang privacy ng persona"&amp;"l na impormasyon, kabilang ang karapatang i-access at kontrolin ang data ng isang tao. Maaaring naaangkop ito kung ang mga paraan ng pagsubaybay ay may kasamang pagkolekta at pag-iimbak ng personal na data nang walang wastong pahintulot o katwiran. (Tanda"&amp;"an: Pangunahing nakatuon ang DPA sa privacy ng data, hindi sa pagsubaybay sa komunikasyon).
* **Karapatan sa Pagkapribado (Konstitusyon ng Pilipinas):** Ginagarantiyahan ng Konstitusyon ang karapatan sa pagkapribado sa komunikasyon at pakikipagtalastasan "&amp;"(Artikulo III, Seksyon 7). Ang karapatang ito ay maaaring tawagin upang hamunin ang hindi makatwirang mga kasanayan sa pagsubaybay.
**Mga Hamon at Limitasyon:**
* **Mahinang Pangangasiwa:** Ang mga batas ay madalas na walang malinaw na mga alituntunin sa "&amp;"lehitimong pangangalap ng intelligence kumpara sa pang-aabuso. Ang magkakapatong na hurisdiksyon sa pagitan ng mga ahensya ay maaaring maging mahirap na panagutin sila.
* **Mga Alalahanin sa Lihim:** Ang mga operasyon ng intelligence ay kadalasang nababal"&amp;"ot ng lihim, na nagpapahirap sa pangangalap ng ebidensya ng pang-aabuso.
* **Limitadong Saklaw:** Maaaring hindi tugunan ng mga kasalukuyang batas ang mga partikular na paraan ng pagsubaybay tulad ng pagkilala sa mukha o pagsubaybay sa social media.
* **C"&amp;"hilling Effect:** Ang takot na masubaybayan ay maaaring humantong sa self-censorship at hadlangan ang malayang pagpapahayag. **Ano ang maaaring gawin?**
* **Mga Reporma sa Pambatasan:** Pagsusulong ng mga batas na malinaw na tumutukoy sa lehitimong pangan"&amp;"galap ng katalinuhan at nagtatatag ng mga mekanismo ng matibay na pangangasiwa.
* **Judicial Activism:** Ang mga korte na gumaganap ng mas aktibong papel sa pagbibigay-kahulugan sa mga karapatan sa pagkapribado at pagtatakda ng mga limitasyon sa mga kapan"&amp;"gyarihan sa pagsubaybay.
* **Public Awareness:** Pagtuturo sa mga mamamayan tungkol sa kanilang mga karapatan sa privacy at kung paano hamunin ang potensyal na pang-aabuso.
**Ang Sitwasyon:** Ang Pilipinas ay nahaharap sa patuloy na debate tungkol sa bala"&amp;"nse sa pagitan ng pambansang seguridad at indibidwal na privacy. Bagama't ang mga legal na tool na ito ay nag-aalok ng ilang proteksyon, ang pagtataguyod para sa mas matibay na mga pananggalang at pinataas na transparency ay nananatiling mahalaga.")</f>
        <v>Ang Pilipinas ay may ilang mga legal na mekanismo upang tugunan ang pang-aabuso ng pagmamatyag o intelligence-gathering laban sa mga politiko at aktibista, ngunit ito ay isang umuusbong na lugar na may mga limitasyon. Narito ang isang breakdown:
**Mga Magagamit na Legal na Tool:**
* **Writ of Habeas Data:** Inilabas ng Korte Suprema, pinapayagan ng writ na ito ang mga indibidwal na hamunin ang labag sa batas na pagkolekta o pag-imbak ng kanilang personal na data ng mga pampublikong opisyal o pribadong entity (A.M. No. 08-1-16-SC). Ito ay maaaring may kaugnayan kung ang pagsubaybay ay nagsasangkot ng pangangalap ng labis na personal na impormasyon.
* **Data Privacy Act (DPA) (Republic Act No. 10173):** Pinoprotektahan ng batas na ito ang privacy ng personal na impormasyon, kabilang ang karapatang i-access at kontrolin ang data ng isang tao. Maaaring naaangkop ito kung ang mga paraan ng pagsubaybay ay may kasamang pagkolekta at pag-iimbak ng personal na data nang walang wastong pahintulot o katwiran. (Tandaan: Pangunahing nakatuon ang DPA sa privacy ng data, hindi sa pagsubaybay sa komunikasyon).
* **Karapatan sa Pagkapribado (Konstitusyon ng Pilipinas):** Ginagarantiyahan ng Konstitusyon ang karapatan sa pagkapribado sa komunikasyon at pakikipagtalastasan (Artikulo III, Seksyon 7). Ang karapatang ito ay maaaring tawagin upang hamunin ang hindi makatwirang mga kasanayan sa pagsubaybay.
**Mga Hamon at Limitasyon:**
* **Mahinang Pangangasiwa:** Ang mga batas ay madalas na walang malinaw na mga alituntunin sa lehitimong pangangalap ng intelligence kumpara sa pang-aabuso. Ang magkakapatong na hurisdiksyon sa pagitan ng mga ahensya ay maaaring maging mahirap na panagutin sila.
* **Mga Alalahanin sa Lihim:** Ang mga operasyon ng intelligence ay kadalasang nababalot ng lihim, na nagpapahirap sa pangangalap ng ebidensya ng pang-aabuso.
* **Limitadong Saklaw:** Maaaring hindi tugunan ng mga kasalukuyang batas ang mga partikular na paraan ng pagsubaybay tulad ng pagkilala sa mukha o pagsubaybay sa social media.
* **Chilling Effect:** Ang takot na masubaybayan ay maaaring humantong sa self-censorship at hadlangan ang malayang pagpapahayag. **Ano ang maaaring gawin?**
* **Mga Reporma sa Pambatasan:** Pagsusulong ng mga batas na malinaw na tumutukoy sa lehitimong pangangalap ng katalinuhan at nagtatatag ng mga mekanismo ng matibay na pangangasiwa.
* **Judicial Activism:** Ang mga korte na gumaganap ng mas aktibong papel sa pagbibigay-kahulugan sa mga karapatan sa pagkapribado at pagtatakda ng mga limitasyon sa mga kapangyarihan sa pagsubaybay.
* **Public Awareness:** Pagtuturo sa mga mamamayan tungkol sa kanilang mga karapatan sa privacy at kung paano hamunin ang potensyal na pang-aabuso.
**Ang Sitwasyon:** Ang Pilipinas ay nahaharap sa patuloy na debate tungkol sa balanse sa pagitan ng pambansang seguridad at indibidwal na privacy. Bagama't ang mga legal na tool na ito ay nag-aalok ng ilang proteksyon, ang pagtataguyod para sa mas matibay na mga pananggalang at pinataas na transparency ay nananatiling mahalaga.</v>
      </c>
      <c r="F2446" s="2">
        <f t="shared" si="1"/>
        <v>0</v>
      </c>
      <c r="G2446" s="2"/>
      <c r="H2446" s="2"/>
      <c r="I2446" s="2"/>
      <c r="J2446" s="2"/>
      <c r="K2446" s="2"/>
      <c r="L2446" s="2"/>
      <c r="M2446" s="2"/>
      <c r="N2446" s="2"/>
      <c r="O2446" s="2"/>
      <c r="P2446" s="2"/>
      <c r="Q2446" s="2"/>
      <c r="R2446" s="2"/>
      <c r="S2446" s="2"/>
      <c r="T2446" s="2"/>
      <c r="U2446" s="2"/>
      <c r="V2446" s="2"/>
      <c r="W2446" s="2"/>
      <c r="X2446" s="2"/>
      <c r="Y2446" s="2"/>
      <c r="Z2446" s="2"/>
      <c r="AA2446" s="2"/>
    </row>
    <row r="2447">
      <c r="A2447" s="3" t="s">
        <v>5693</v>
      </c>
      <c r="B2447" s="1" t="s">
        <v>5860</v>
      </c>
      <c r="C2447" s="3" t="s">
        <v>5861</v>
      </c>
      <c r="D2447" s="2" t="str">
        <f>IFERROR(__xludf.DUMMYFUNCTION("GOOGLETRANSLATE(B2447, ""en"", ""TL"")"),"Anong mga hakbang ang inilalagay upang maprotektahan ang privacy at seguridad ng mga politiko o aktibista?")</f>
        <v>Anong mga hakbang ang inilalagay upang maprotektahan ang privacy at seguridad ng mga politiko o aktibista?</v>
      </c>
      <c r="E2447" s="2" t="str">
        <f>IFERROR(__xludf.DUMMYFUNCTION("GOOGLETRANSLATE(C2447, ""en"", ""TL"")"),"Ang Pilipinas ay may pinaghalong bag ng mga hakbang upang protektahan ang privacy at seguridad ng mga politiko at aktibista. Narito ang isang breakdown ng mga kasalukuyang pananggalang at mga limitasyon ng mga ito:
**Pisikal na Seguridad:**
* **Detalye ng"&amp;" Seguridad ng Estado:** Maaaring italaga ng mga ahensya ng gobyerno ang mga may mataas na profile sa pulitika na mga detalye ng seguridad.
* **Mga Pagsusuri sa Banta:** Ang mga ahensya ng seguridad ay maaaring magsagawa ng mga pagtatasa ng pagbabanta upan"&amp;"g matukoy ang mga potensyal na panganib.
**Mga Legal na Proteksyon:**
* **Mga Batas sa Anti-Violence:** Ang mga batas tulad ng Anti-Violence Against Women and Children (RA 9262) ay maaaring mag-alok ng ilang proteksyon kung ang mga pagbabanta ay magiging "&amp;"marahas.
* **Cybercrime Law:** Pinoprotektahan laban sa online na panliligalig at stalking (RA 10175).
**Mga Hamon:**
* **Resource Constraints:** Ang pagbibigay ng mga detalye ng seguridad para sa lahat ng political figure o aktibista ay maaaring maging r"&amp;"esource-intensive.
* **Limitadong Saklaw:** Maaaring hindi tugunan ng mga kasalukuyang batas ang lahat ng banta sa seguridad, tulad ng mga online na kampanya ng disinformation.
* **Selective Enforcement:** Umiiral ang mga alalahanin tungkol sa potensyal p"&amp;"ara sa piling aplikasyon ng mga hakbang sa seguridad batay sa political affiliation.
**Mga Proteksyon sa Privacy:**
* **Data Privacy Act (DPA):** Nagbibigay sa mga indibidwal ng kontrol sa kanilang personal na data (RA 10173).
* **Writ of Habeas Data:** N"&amp;"agbibigay-daan sa mapaghamong labag sa batas na pangongolekta ng data (A.M. No. 08-1-16-SC).
**Mga Limitasyon:**
* **Tumuon sa Data:** Pangunahing tumutuon ang DPA sa privacy ng data, hindi sa pagsubaybay sa komunikasyon.
* **Mga Hamon sa Pagpapatupad:** "&amp;"Maaaring hadlangan ng mahinang mekanismo ng pangangasiwa ang epektibong pagpapatupad ng mga karapatan sa privacy.
**Mga Karagdagang Pagsasaalang-alang:**
* **Mga Kasanayan sa Self-Security:** Maaaring gumawa ng mga personal na hakbang ang mga pulitikal na"&amp;" tao at aktibista tulad ng digital hygiene at iba't ibang gawain upang mapahusay ang seguridad.
* **Pagsusuri ng Media:** Ang isang libre at independiyenteng media ay maaaring gumanap ng isang papel sa paglalantad ng mga potensyal na pang-aabuso sa pagmam"&amp;"atyag o mga banta laban sa mga pulitikal na pigura o aktibista.
**Kabuuan:**
Ang Pilipinas ay may umuunlad na balangkas para sa pagprotekta sa mga politiko at aktibista. Habang umiiral ang ilang legal na tool, nananatili ang mga limitasyon sa mga tuntunin"&amp;" ng mga mapagkukunan, pagpapatupad, at pagtugon sa mga bagong banta sa seguridad. Ang patuloy na adbokasiya para sa mas matibay na mga pag-iingat, pinataas na transparency, at pampublikong kamalayan ay mahalaga.")</f>
        <v>Ang Pilipinas ay may pinaghalong bag ng mga hakbang upang protektahan ang privacy at seguridad ng mga politiko at aktibista. Narito ang isang breakdown ng mga kasalukuyang pananggalang at mga limitasyon ng mga ito:
**Pisikal na Seguridad:**
* **Detalye ng Seguridad ng Estado:** Maaaring italaga ng mga ahensya ng gobyerno ang mga may mataas na profile sa pulitika na mga detalye ng seguridad.
* **Mga Pagsusuri sa Banta:** Ang mga ahensya ng seguridad ay maaaring magsagawa ng mga pagtatasa ng pagbabanta upang matukoy ang mga potensyal na panganib.
**Mga Legal na Proteksyon:**
* **Mga Batas sa Anti-Violence:** Ang mga batas tulad ng Anti-Violence Against Women and Children (RA 9262) ay maaaring mag-alok ng ilang proteksyon kung ang mga pagbabanta ay magiging marahas.
* **Cybercrime Law:** Pinoprotektahan laban sa online na panliligalig at stalking (RA 10175).
**Mga Hamon:**
* **Resource Constraints:** Ang pagbibigay ng mga detalye ng seguridad para sa lahat ng political figure o aktibista ay maaaring maging resource-intensive.
* **Limitadong Saklaw:** Maaaring hindi tugunan ng mga kasalukuyang batas ang lahat ng banta sa seguridad, tulad ng mga online na kampanya ng disinformation.
* **Selective Enforcement:** Umiiral ang mga alalahanin tungkol sa potensyal para sa piling aplikasyon ng mga hakbang sa seguridad batay sa political affiliation.
**Mga Proteksyon sa Privacy:**
* **Data Privacy Act (DPA):** Nagbibigay sa mga indibidwal ng kontrol sa kanilang personal na data (RA 10173).
* **Writ of Habeas Data:** Nagbibigay-daan sa mapaghamong labag sa batas na pangongolekta ng data (A.M. No. 08-1-16-SC).
**Mga Limitasyon:**
* **Tumuon sa Data:** Pangunahing tumutuon ang DPA sa privacy ng data, hindi sa pagsubaybay sa komunikasyon.
* **Mga Hamon sa Pagpapatupad:** Maaaring hadlangan ng mahinang mekanismo ng pangangasiwa ang epektibong pagpapatupad ng mga karapatan sa privacy.
**Mga Karagdagang Pagsasaalang-alang:**
* **Mga Kasanayan sa Self-Security:** Maaaring gumawa ng mga personal na hakbang ang mga pulitikal na tao at aktibista tulad ng digital hygiene at iba't ibang gawain upang mapahusay ang seguridad.
* **Pagsusuri ng Media:** Ang isang libre at independiyenteng media ay maaaring gumanap ng isang papel sa paglalantad ng mga potensyal na pang-aabuso sa pagmamatyag o mga banta laban sa mga pulitikal na pigura o aktibista.
**Kabuuan:**
Ang Pilipinas ay may umuunlad na balangkas para sa pagprotekta sa mga politiko at aktibista. Habang umiiral ang ilang legal na tool, nananatili ang mga limitasyon sa mga tuntunin ng mga mapagkukunan, pagpapatupad, at pagtugon sa mga bagong banta sa seguridad. Ang patuloy na adbokasiya para sa mas matibay na mga pag-iingat, pinataas na transparency, at pampublikong kamalayan ay mahalaga.</v>
      </c>
      <c r="F2447" s="2">
        <f t="shared" si="1"/>
        <v>0</v>
      </c>
      <c r="G2447" s="2"/>
      <c r="H2447" s="2"/>
      <c r="I2447" s="2"/>
      <c r="J2447" s="2"/>
      <c r="K2447" s="2"/>
      <c r="L2447" s="2"/>
      <c r="M2447" s="2"/>
      <c r="N2447" s="2"/>
      <c r="O2447" s="2"/>
      <c r="P2447" s="2"/>
      <c r="Q2447" s="2"/>
      <c r="R2447" s="2"/>
      <c r="S2447" s="2"/>
      <c r="T2447" s="2"/>
      <c r="U2447" s="2"/>
      <c r="V2447" s="2"/>
      <c r="W2447" s="2"/>
      <c r="X2447" s="2"/>
      <c r="Y2447" s="2"/>
      <c r="Z2447" s="2"/>
      <c r="AA2447" s="2"/>
    </row>
    <row r="2448">
      <c r="A2448" s="3" t="s">
        <v>5693</v>
      </c>
      <c r="B2448" s="1" t="s">
        <v>5862</v>
      </c>
      <c r="C2448" s="3" t="s">
        <v>5863</v>
      </c>
      <c r="D2448" s="2" t="str">
        <f>IFERROR(__xludf.DUMMYFUNCTION("GOOGLETRANSLATE(B2448, ""en"", ""TL"")"),"Paano kinokontrol at pinaparusahan ang mga krimen tulad ng pagnanakaw ng pagkakakilanlan o pagpapanggap sa konteksto ng mga aktibidad sa pulitika?")</f>
        <v>Paano kinokontrol at pinaparusahan ang mga krimen tulad ng pagnanakaw ng pagkakakilanlan o pagpapanggap sa konteksto ng mga aktibidad sa pulitika?</v>
      </c>
      <c r="E2448" s="2" t="str">
        <f>IFERROR(__xludf.DUMMYFUNCTION("GOOGLETRANSLATE(C2448, ""en"", ""TL"")"),"Sa Pilipinas, ang mga krimen tulad ng pagnanakaw ng pagkakakilanlan o pagpapanggap sa konteksto ng mga pampulitikang aktibidad ay kinokontrol at pinaparusahan sa pamamagitan ng iba't ibang legal na probisyon na naglalayong protektahan ang integridad ng pr"&amp;"oseso ng elektoral at maiwasan ang mga mapanlinlang na aktibidad. Narito kung paano tinutugunan ang mga krimeng ito:
1. Cybercrime Prevention Act of 2012 (RA 10175): Ang Cybercrime Prevention Act ay ginagawang kriminal ang iba't ibang anyo ng cybercrim"&amp;"es, kabilang ang pagnanakaw ng pagkakakilanlan, online na pagpapanggap, at iba pang mapanlinlang na aktibidad na ginagawa sa pamamagitan ng elektronikong paraan. Ang mga indibidwal na sangkot sa pagnanakaw ng pagkakakilanlan o pagpapanggap para sa mga lay"&amp;"uning pampulitika ay maaaring managot sa krimen at kasuhan sa ilalim ng batas na ito.
2. Omnibus Election Code (Batas Pambansa Blg. 881): Ang Omnibus Election Code ay naglalaman ng mga probisyon na kumokontrol sa pagsasagawa ng mga halalan at nagbabawa"&amp;"l sa mga mapanlinlang na gawain, kabilang ang pagnanakaw ng pagkakakilanlan at pagpapanggap. Ipinagbabawal ng Seksyon 261 (a) (1) (xv) ng Omnibus Election Code ang ""paggamit ng pangalan ng iba, buhay man o patay, o kathang-isip na pangalan, o kung sino a"&amp;"ng nagdudulot ng kalituhan"" para sa layuning maimpluwensyahan ang resulta ng isang halalan. Ang mga lumalabag sa probisyong ito ay maaaring maharap sa mga parusang kriminal, kabilang ang pagkakulong at pagkadiskwalipikasyon sa paghawak ng pampublikong tu"&amp;"ngkulin.
3. Anti-Identity Theft Act (Republic Act No. 10173): Nilalayon ng batas na ito na pigilan at parusahan ang pagnanakaw ng pagkakakilanlan, na tinukoy bilang ang hindi awtorisadong paggamit ng personal na impormasyon ng ibang tao upang gumawa ng"&amp;" mga mapanlinlang na aktibidad. Ang mga indibidwal na nakikibahagi sa pagnanakaw ng pagkakakilanlan para sa mga layuning pampulitika ay maaaring kasuhan sa ilalim ng batas na ito.
4. Kodigo sa Kriminal ng Pilipinas: Ang pagnanakaw ng pagkakakilanlan at"&amp;" pagpapanggap ay maaari ding maging mga kriminal na pagkakasala sa ilalim ng Kodigo Kriminal, tulad ng pandaraya (Artikulo 315), palsipikasyon ng mga dokumento (Artikulo 172), at pag-agaw ng awtoridad o opisyal na tungkulin (Artikulo 177). Ang mga lumalab"&amp;"ag sa mga probisyong ito ay maaaring maharap sa mga parusang kriminal, kabilang ang pagkakulong at mga multa.
5. Pamamagitan sa Pagpapatupad ng Batas: Ang mga awtoridad sa pagpapatupad ng batas, gaya ng Philippine National Police (PNP), ay may responsi"&amp;"bilidad na imbestigahan ang mga ulat ng pagnanakaw ng pagkakakilanlan o pagpapanggap at pag-usig sa mga indibidwal na sangkot sa mga mapanlinlang na aktibidad. Maaari silang mag-aresto, mangalap ng ebidensya, at magsampa ng mga kaso laban sa mga may kasal"&amp;"anan ng mga krimeng ito.
Sa pangkalahatan, ang pagtugon sa mga krimen tulad ng pagnanakaw ng pagkakakilanlan o pagpapanggap sa konteksto ng mga pampulitikang aktibidad ay nangangailangan ng kumbinasyon ng mga legal na hakbang, interbensyon sa pagpapatu"&amp;"pad ng batas, at mga kampanya ng kamalayan sa publiko upang mapangalagaan ang integridad ng proseso ng elektoral at itaguyod ang mga demokratikong prinsipyo ng transparency at pananagutan.")</f>
        <v>Sa Pilipinas, ang mga krimen tulad ng pagnanakaw ng pagkakakilanlan o pagpapanggap sa konteksto ng mga pampulitikang aktibidad ay kinokontrol at pinaparusahan sa pamamagitan ng iba't ibang legal na probisyon na naglalayong protektahan ang integridad ng proseso ng elektoral at maiwasan ang mga mapanlinlang na aktibidad. Narito kung paano tinutugunan ang mga krimeng ito:
1. Cybercrime Prevention Act of 2012 (RA 10175): Ang Cybercrime Prevention Act ay ginagawang kriminal ang iba't ibang anyo ng cybercrimes, kabilang ang pagnanakaw ng pagkakakilanlan, online na pagpapanggap, at iba pang mapanlinlang na aktibidad na ginagawa sa pamamagitan ng elektronikong paraan. Ang mga indibidwal na sangkot sa pagnanakaw ng pagkakakilanlan o pagpapanggap para sa mga layuning pampulitika ay maaaring managot sa krimen at kasuhan sa ilalim ng batas na ito.
2. Omnibus Election Code (Batas Pambansa Blg. 881): Ang Omnibus Election Code ay naglalaman ng mga probisyon na kumokontrol sa pagsasagawa ng mga halalan at nagbabawal sa mga mapanlinlang na gawain, kabilang ang pagnanakaw ng pagkakakilanlan at pagpapanggap. Ipinagbabawal ng Seksyon 261 (a) (1) (xv) ng Omnibus Election Code ang "paggamit ng pangalan ng iba, buhay man o patay, o kathang-isip na pangalan, o kung sino ang nagdudulot ng kalituhan" para sa layuning maimpluwensyahan ang resulta ng isang halalan. Ang mga lumalabag sa probisyong ito ay maaaring maharap sa mga parusang kriminal, kabilang ang pagkakulong at pagkadiskwalipikasyon sa paghawak ng pampublikong tungkulin.
3. Anti-Identity Theft Act (Republic Act No. 10173): Nilalayon ng batas na ito na pigilan at parusahan ang pagnanakaw ng pagkakakilanlan, na tinukoy bilang ang hindi awtorisadong paggamit ng personal na impormasyon ng ibang tao upang gumawa ng mga mapanlinlang na aktibidad. Ang mga indibidwal na nakikibahagi sa pagnanakaw ng pagkakakilanlan para sa mga layuning pampulitika ay maaaring kasuhan sa ilalim ng batas na ito.
4. Kodigo sa Kriminal ng Pilipinas: Ang pagnanakaw ng pagkakakilanlan at pagpapanggap ay maaari ding maging mga kriminal na pagkakasala sa ilalim ng Kodigo Kriminal, tulad ng pandaraya (Artikulo 315), palsipikasyon ng mga dokumento (Artikulo 172), at pag-agaw ng awtoridad o opisyal na tungkulin (Artikulo 177). Ang mga lumalabag sa mga probisyong ito ay maaaring maharap sa mga parusang kriminal, kabilang ang pagkakulong at mga multa.
5. Pamamagitan sa Pagpapatupad ng Batas: Ang mga awtoridad sa pagpapatupad ng batas, gaya ng Philippine National Police (PNP), ay may responsibilidad na imbestigahan ang mga ulat ng pagnanakaw ng pagkakakilanlan o pagpapanggap at pag-usig sa mga indibidwal na sangkot sa mga mapanlinlang na aktibidad. Maaari silang mag-aresto, mangalap ng ebidensya, at magsampa ng mga kaso laban sa mga may kasalanan ng mga krimeng ito.
Sa pangkalahatan, ang pagtugon sa mga krimen tulad ng pagnanakaw ng pagkakakilanlan o pagpapanggap sa konteksto ng mga pampulitikang aktibidad ay nangangailangan ng kumbinasyon ng mga legal na hakbang, interbensyon sa pagpapatupad ng batas, at mga kampanya ng kamalayan sa publiko upang mapangalagaan ang integridad ng proseso ng elektoral at itaguyod ang mga demokratikong prinsipyo ng transparency at pananagutan.</v>
      </c>
      <c r="F2448" s="2">
        <f t="shared" si="1"/>
        <v>0</v>
      </c>
      <c r="G2448" s="2"/>
      <c r="H2448" s="2"/>
      <c r="I2448" s="2"/>
      <c r="J2448" s="2"/>
      <c r="K2448" s="2"/>
      <c r="L2448" s="2"/>
      <c r="M2448" s="2"/>
      <c r="N2448" s="2"/>
      <c r="O2448" s="2"/>
      <c r="P2448" s="2"/>
      <c r="Q2448" s="2"/>
      <c r="R2448" s="2"/>
      <c r="S2448" s="2"/>
      <c r="T2448" s="2"/>
      <c r="U2448" s="2"/>
      <c r="V2448" s="2"/>
      <c r="W2448" s="2"/>
      <c r="X2448" s="2"/>
      <c r="Y2448" s="2"/>
      <c r="Z2448" s="2"/>
      <c r="AA2448" s="2"/>
    </row>
    <row r="2449">
      <c r="A2449" s="3" t="s">
        <v>5693</v>
      </c>
      <c r="B2449" s="1" t="s">
        <v>5864</v>
      </c>
      <c r="C2449" s="3" t="s">
        <v>5865</v>
      </c>
      <c r="D2449" s="2" t="str">
        <f>IFERROR(__xludf.DUMMYFUNCTION("GOOGLETRANSLATE(B2449, ""en"", ""TL"")"),"Anong mga legal na probisyon ang namamahala sa pananagutan ng mga pribadong entidad o mga korporasyong sangkot sa mga gawaing pampulitika o elektoral?")</f>
        <v>Anong mga legal na probisyon ang namamahala sa pananagutan ng mga pribadong entidad o mga korporasyong sangkot sa mga gawaing pampulitika o elektoral?</v>
      </c>
      <c r="E2449" s="2" t="str">
        <f>IFERROR(__xludf.DUMMYFUNCTION("GOOGLETRANSLATE(C2449, ""en"", ""TL"")"),"Sa Pilipinas, ang mga pribadong entidad o korporasyong kasangkot sa mga gawaing pampulitika o elektoral ay pinamamahalaan ng iba't ibang mga legal na probisyon na naglalayong tiyakin ang transparency, pananagutan, at pagiging patas sa proseso ng elektoral"&amp;". Narito ang ilang pangunahing legal na probisyon na kumokontrol sa pananagutan ng mga pribadong entidad o korporasyon sa kontekstong ito:
1. Omnibus Election Code (Batas Pambansa Blg. 881): Ang Omnibus Election Code ay naglalaman ng mga probisyon na k"&amp;"umokontrol sa pagsasagawa ng mga halalan at pampulitikang aktibidad, kabilang ang mga kinasasangkutan ng mga pribadong entidad o korporasyon. Ang Seksyon 95 ng Omnibus Election Code ay nagbabawal sa mga kontribusyon o paggasta ng mga dayuhang korporasyon,"&amp;" entidad, o indibidwal para sa layuning maimpluwensyahan ang resulta ng isang halalan. Ang mga lumalabag sa probisyong ito ay maaaring maharap sa mga parusang kriminal, kabilang ang pagkakulong at mga multa.
2. Mga Regulasyon sa Pananalapi ng Kampanya:"&amp;" Ang mga pribadong entidad o korporasyong kasangkot sa pagpopondo sa mga kampanya o aktibidad sa pulitika ay napapailalim sa mga regulasyon sa pananalapi ng kampanya na pinangangasiwaan ng Commission on Elections (COMELEC). Kasama sa mga regulasyong ito a"&amp;"ng mga limitasyon sa mga kontribusyon at paggasta sa kampanya, mga kinakailangan sa pagsisiwalat para sa mga donor, at mga parusa para sa mga paglabag sa mga batas sa pananalapi ng kampanya.
3. Mga Batas sa Pamamahala ng Kumpanya: Ang mga pribadong ent"&amp;"idad o korporasyong nakikibahagi sa mga aktibidad na pampulitika o elektoral ay napapailalim sa mga batas at regulasyon ng pamamahala ng korporasyon, na namamahala sa kanilang panloob na pamamahala, mga operasyon, at pananagutan sa mga shareholder at stak"&amp;"eholder. Maaaring kabilang sa mga batas na ito ang mga kinakailangan para sa transparency, pananagutan, at etikal na pag-uugali sa mga corporate affairs.
4. Mga Batas laban sa Korupsyon: Ang mga pribadong entidad o korporasyong sangkot sa mga gawaing p"&amp;"ampulitika o elektoral ay napapailalim din sa mga batas laban sa katiwalian, tulad ng Anti-Graft and Corrupt Practices Act (Republic Act No. 3019) at ang Code of Conduct and Ethical Mga Pamantayan para sa mga Pampublikong Opisyal at Empleyado (Republic Ac"&amp;"t No. 6713). Ipinagbabawal ng mga batas na ito ang panunuhol, graft, at iba pang uri ng katiwalian sa mga pakikitungo sa publiko at pribadong sektor.
5. Regulatory Oversight: Ang mga regulatory body, tulad ng Securities and Exchange Commission (SEC) at"&amp;" COMELEC, ay nangangasiwa sa mga aktibidad ng mga pribadong entidad o korporasyon na nakikibahagi sa mga aktibidad na pampulitika o elektoral upang matiyak ang pagsunod sa mga nauugnay na batas at regulasyon. Ang mga katawan na ito ay maaaring magsagawa n"&amp;"g mga pag-audit, pagsisiyasat, at mga aksyon sa pagpapatupad upang matugunan ang mga paglabag sa mga batas sa halalan at mga regulasyon sa pananalapi ng kampanya.
Sa pangkalahatan, ang mga pribadong entidad o korporasyong sangkot sa mga gawaing pampuli"&amp;"tika o elektoral sa Pilipinas ay napapailalim sa hanay ng mga legal na probisyon na naglalayong isulong ang transparency, pananagutan, at integridad sa proseso ng elektoral. Ang pagsunod sa mga batas at regulasyong ito ay mahalaga sa pangangalaga sa integ"&amp;"ridad ng mga demokratikong institusyon at proseso.")</f>
        <v>Sa Pilipinas, ang mga pribadong entidad o korporasyong kasangkot sa mga gawaing pampulitika o elektoral ay pinamamahalaan ng iba't ibang mga legal na probisyon na naglalayong tiyakin ang transparency, pananagutan, at pagiging patas sa proseso ng elektoral. Narito ang ilang pangunahing legal na probisyon na kumokontrol sa pananagutan ng mga pribadong entidad o korporasyon sa kontekstong ito:
1. Omnibus Election Code (Batas Pambansa Blg. 881): Ang Omnibus Election Code ay naglalaman ng mga probisyon na kumokontrol sa pagsasagawa ng mga halalan at pampulitikang aktibidad, kabilang ang mga kinasasangkutan ng mga pribadong entidad o korporasyon. Ang Seksyon 95 ng Omnibus Election Code ay nagbabawal sa mga kontribusyon o paggasta ng mga dayuhang korporasyon, entidad, o indibidwal para sa layuning maimpluwensyahan ang resulta ng isang halalan. Ang mga lumalabag sa probisyong ito ay maaaring maharap sa mga parusang kriminal, kabilang ang pagkakulong at mga multa.
2. Mga Regulasyon sa Pananalapi ng Kampanya: Ang mga pribadong entidad o korporasyong kasangkot sa pagpopondo sa mga kampanya o aktibidad sa pulitika ay napapailalim sa mga regulasyon sa pananalapi ng kampanya na pinangangasiwaan ng Commission on Elections (COMELEC). Kasama sa mga regulasyong ito ang mga limitasyon sa mga kontribusyon at paggasta sa kampanya, mga kinakailangan sa pagsisiwalat para sa mga donor, at mga parusa para sa mga paglabag sa mga batas sa pananalapi ng kampanya.
3. Mga Batas sa Pamamahala ng Kumpanya: Ang mga pribadong entidad o korporasyong nakikibahagi sa mga aktibidad na pampulitika o elektoral ay napapailalim sa mga batas at regulasyon ng pamamahala ng korporasyon, na namamahala sa kanilang panloob na pamamahala, mga operasyon, at pananagutan sa mga shareholder at stakeholder. Maaaring kabilang sa mga batas na ito ang mga kinakailangan para sa transparency, pananagutan, at etikal na pag-uugali sa mga corporate affairs.
4. Mga Batas laban sa Korupsyon: Ang mga pribadong entidad o korporasyong sangkot sa mga gawaing pampulitika o elektoral ay napapailalim din sa mga batas laban sa katiwalian, tulad ng Anti-Graft and Corrupt Practices Act (Republic Act No. 3019) at ang Code of Conduct and Ethical Mga Pamantayan para sa mga Pampublikong Opisyal at Empleyado (Republic Act No. 6713). Ipinagbabawal ng mga batas na ito ang panunuhol, graft, at iba pang uri ng katiwalian sa mga pakikitungo sa publiko at pribadong sektor.
5. Regulatory Oversight: Ang mga regulatory body, tulad ng Securities and Exchange Commission (SEC) at COMELEC, ay nangangasiwa sa mga aktibidad ng mga pribadong entidad o korporasyon na nakikibahagi sa mga aktibidad na pampulitika o elektoral upang matiyak ang pagsunod sa mga nauugnay na batas at regulasyon. Ang mga katawan na ito ay maaaring magsagawa ng mga pag-audit, pagsisiyasat, at mga aksyon sa pagpapatupad upang matugunan ang mga paglabag sa mga batas sa halalan at mga regulasyon sa pananalapi ng kampanya.
Sa pangkalahatan, ang mga pribadong entidad o korporasyong sangkot sa mga gawaing pampulitika o elektoral sa Pilipinas ay napapailalim sa hanay ng mga legal na probisyon na naglalayong isulong ang transparency, pananagutan, at integridad sa proseso ng elektoral. Ang pagsunod sa mga batas at regulasyong ito ay mahalaga sa pangangalaga sa integridad ng mga demokratikong institusyon at proseso.</v>
      </c>
      <c r="F2449" s="2">
        <f t="shared" si="1"/>
        <v>0</v>
      </c>
      <c r="G2449" s="2"/>
      <c r="H2449" s="2"/>
      <c r="I2449" s="2"/>
      <c r="J2449" s="2"/>
      <c r="K2449" s="2"/>
      <c r="L2449" s="2"/>
      <c r="M2449" s="2"/>
      <c r="N2449" s="2"/>
      <c r="O2449" s="2"/>
      <c r="P2449" s="2"/>
      <c r="Q2449" s="2"/>
      <c r="R2449" s="2"/>
      <c r="S2449" s="2"/>
      <c r="T2449" s="2"/>
      <c r="U2449" s="2"/>
      <c r="V2449" s="2"/>
      <c r="W2449" s="2"/>
      <c r="X2449" s="2"/>
      <c r="Y2449" s="2"/>
      <c r="Z2449" s="2"/>
      <c r="AA2449" s="2"/>
    </row>
    <row r="2450">
      <c r="A2450" s="3" t="s">
        <v>5693</v>
      </c>
      <c r="B2450" s="1" t="s">
        <v>5866</v>
      </c>
      <c r="C2450" s="3" t="s">
        <v>5867</v>
      </c>
      <c r="D2450" s="2" t="str">
        <f>IFERROR(__xludf.DUMMYFUNCTION("GOOGLETRANSLATE(B2450, ""en"", ""TL"")"),"Paano tinutugunan ng batas ang paggamit ng mga mapagkukunan ng estado para sa kapakinabangan ng mga partikular na personalidad o partido sa pulitika?")</f>
        <v>Paano tinutugunan ng batas ang paggamit ng mga mapagkukunan ng estado para sa kapakinabangan ng mga partikular na personalidad o partido sa pulitika?</v>
      </c>
      <c r="E2450" s="2" t="str">
        <f>IFERROR(__xludf.DUMMYFUNCTION("GOOGLETRANSLATE(C2450, ""en"", ""TL"")"),"Sa Pilipinas, ang paggamit ng mga mapagkukunan ng estado para sa kapakinabangan ng mga partikular na politiko o partido ay kinokontrol at pinaghihigpitan upang maiwasan ang pag-abuso sa kapangyarihan, mapanatili ang pagiging patas sa mga halalan, at itagu"&amp;"yod ang mga prinsipyo ng demokrasya. Narito ang ilang pangunahing paraan na tinutugunan ng batas ang isyung ito:
1. Omnibus Election Code (Batas Pambansa Blg. 881): Ang Omnibus Election Code ay naglalaman ng mga probisyon na kumokontrol sa pagsasagawa "&amp;"ng mga halalan at nagbabawal sa paggamit ng mga pampublikong pondo, pasilidad, o mapagkukunan para sa kapakinabangan ng sinumang kandidato o partidong pampulitika. Ang Seksyon 261 (o) ng Omnibus Election Code ay nagbabawal sa paggamit ng mga pondo, kagami"&amp;"tan, pasilidad, o mapagkukunan ng pamahalaan para sa partidistang aktibidad sa pulitika. Ang mga lumalabag sa probisyong ito ay maaaring maharap sa mga parusang kriminal, kabilang ang pagkakulong at pagkadiskwalipikasyon sa paghawak ng pampublikong tungku"&amp;"lin.
2. Mga Resolusyon at Alituntunin ng Commission on Elections (COMELEC): Ang COMELEC ay naglalabas ng mga resolusyon at alituntunin upang mabisang ipatupad ang mga batas sa halalan at tiyakin ang pagsunod sa mga paghihigpit sa paggamit ng mga mapagk"&amp;"ukunan ng estado para sa mga layuning pampulitika. Maaaring kabilang sa mga resolusyong ito ang mga hakbang upang pigilan ang mga opisyal o ahensya ng gobyerno na makisali sa mga partidistang aktibidad sa pulitika o paggamit ng mga pampublikong mapagkukun"&amp;"an upang makinabang ang mga partikular na kandidato o partido.
3. Code of Conduct and Ethical Standards for Public Officials and Employees (Republic Act No. 6713): Ang mga pampublikong opisyal at empleyado ay kinakailangang sumunod sa mga pamantayang e"&amp;"tikal at prinsipyo ng pag-uugali na nagbabawal sa paggamit ng mga pampublikong mapagkukunan para sa personal o pampulitika na pakinabang. Ang batas na ito ay nagtatatag ng mga patnubay para sa wastong paggamit ng mga pondo, pasilidad, at mapagkukunan ng p"&amp;"amahalaan at nagpapataw ng mga parusa para sa mga paglabag, kabilang ang mga parusang administratibo at aksyong pandisiplina.
4. Anti-Graft and Corrupt Practices Act (Republic Act No. 3019): Ang batas na ito ay naglalayong pigilan at parusahan ang mga "&amp;"katiwalian sa gobyerno, kabilang ang maling paggamit ng pampublikong pondo o mapagkukunan para sa personal o pampulitika na layunin. Ang mga opisyal o empleyado ng gobyerno na nagsasagawa ng graft o katiwalian sa pamamagitan ng paggamit ng mga mapagkukuna"&amp;"n ng estado para sa partisan political na mga aktibidad ay maaaring kasuhan at panagutin sa ilalim ng batas na ito.
5. Transparency and Accountability Mechanisms: Ang mga oversight body, tulad ng Commission on Audit (COA) at Ombudsman, ay gumaganap ng "&amp;"mahalagang papel sa pagsubaybay sa paggasta ng pamahalaan at pag-iimbestiga sa mga paratang ng maling paggamit ng mga pampublikong pondo o mapagkukunan para sa mga layuning pampulitika. Ang mga katawan na ito ay nagsasagawa ng mga pag-audit, pagtatanong, "&amp;"at pagsisiyasat upang matiyak ang transparency, pananagutan, at integridad sa paggamit ng mga mapagkukunan ng estado.
Sa pangkalahatan, ang pagtugon sa paggamit ng mga mapagkukunan ng estado para sa kapakinabangan ng mga partikular na politiko o partid"&amp;"o ay nangangailangan ng mahigpit na pagpapatupad ng mga batas sa halalan, mga pamantayan sa etika para sa mga pampublikong opisyal, at mga mekanismo para sa transparency at pananagutan sa paggasta ng pamahalaan. Ang pagsunod sa mga legal na probisyon na i"&amp;"to ay mahalaga para mapangalagaan ang integridad ng proseso ng elektoral at itaguyod ang mga demokratikong prinsipyo sa Pilipinas.")</f>
        <v>Sa Pilipinas, ang paggamit ng mga mapagkukunan ng estado para sa kapakinabangan ng mga partikular na politiko o partido ay kinokontrol at pinaghihigpitan upang maiwasan ang pag-abuso sa kapangyarihan, mapanatili ang pagiging patas sa mga halalan, at itaguyod ang mga prinsipyo ng demokrasya. Narito ang ilang pangunahing paraan na tinutugunan ng batas ang isyung ito:
1. Omnibus Election Code (Batas Pambansa Blg. 881): Ang Omnibus Election Code ay naglalaman ng mga probisyon na kumokontrol sa pagsasagawa ng mga halalan at nagbabawal sa paggamit ng mga pampublikong pondo, pasilidad, o mapagkukunan para sa kapakinabangan ng sinumang kandidato o partidong pampulitika. Ang Seksyon 261 (o) ng Omnibus Election Code ay nagbabawal sa paggamit ng mga pondo, kagamitan, pasilidad, o mapagkukunan ng pamahalaan para sa partidistang aktibidad sa pulitika. Ang mga lumalabag sa probisyong ito ay maaaring maharap sa mga parusang kriminal, kabilang ang pagkakulong at pagkadiskwalipikasyon sa paghawak ng pampublikong tungkulin.
2. Mga Resolusyon at Alituntunin ng Commission on Elections (COMELEC): Ang COMELEC ay naglalabas ng mga resolusyon at alituntunin upang mabisang ipatupad ang mga batas sa halalan at tiyakin ang pagsunod sa mga paghihigpit sa paggamit ng mga mapagkukunan ng estado para sa mga layuning pampulitika. Maaaring kabilang sa mga resolusyong ito ang mga hakbang upang pigilan ang mga opisyal o ahensya ng gobyerno na makisali sa mga partidistang aktibidad sa pulitika o paggamit ng mga pampublikong mapagkukunan upang makinabang ang mga partikular na kandidato o partido.
3. Code of Conduct and Ethical Standards for Public Officials and Employees (Republic Act No. 6713): Ang mga pampublikong opisyal at empleyado ay kinakailangang sumunod sa mga pamantayang etikal at prinsipyo ng pag-uugali na nagbabawal sa paggamit ng mga pampublikong mapagkukunan para sa personal o pampulitika na pakinabang. Ang batas na ito ay nagtatatag ng mga patnubay para sa wastong paggamit ng mga pondo, pasilidad, at mapagkukunan ng pamahalaan at nagpapataw ng mga parusa para sa mga paglabag, kabilang ang mga parusang administratibo at aksyong pandisiplina.
4. Anti-Graft and Corrupt Practices Act (Republic Act No. 3019): Ang batas na ito ay naglalayong pigilan at parusahan ang mga katiwalian sa gobyerno, kabilang ang maling paggamit ng pampublikong pondo o mapagkukunan para sa personal o pampulitika na layunin. Ang mga opisyal o empleyado ng gobyerno na nagsasagawa ng graft o katiwalian sa pamamagitan ng paggamit ng mga mapagkukunan ng estado para sa partisan political na mga aktibidad ay maaaring kasuhan at panagutin sa ilalim ng batas na ito.
5. Transparency and Accountability Mechanisms: Ang mga oversight body, tulad ng Commission on Audit (COA) at Ombudsman, ay gumaganap ng mahalagang papel sa pagsubaybay sa paggasta ng pamahalaan at pag-iimbestiga sa mga paratang ng maling paggamit ng mga pampublikong pondo o mapagkukunan para sa mga layuning pampulitika. Ang mga katawan na ito ay nagsasagawa ng mga pag-audit, pagtatanong, at pagsisiyasat upang matiyak ang transparency, pananagutan, at integridad sa paggamit ng mga mapagkukunan ng estado.
Sa pangkalahatan, ang pagtugon sa paggamit ng mga mapagkukunan ng estado para sa kapakinabangan ng mga partikular na politiko o partido ay nangangailangan ng mahigpit na pagpapatupad ng mga batas sa halalan, mga pamantayan sa etika para sa mga pampublikong opisyal, at mga mekanismo para sa transparency at pananagutan sa paggasta ng pamahalaan. Ang pagsunod sa mga legal na probisyon na ito ay mahalaga para mapangalagaan ang integridad ng proseso ng elektoral at itaguyod ang mga demokratikong prinsipyo sa Pilipinas.</v>
      </c>
      <c r="F2450" s="2">
        <f t="shared" si="1"/>
        <v>0</v>
      </c>
      <c r="G2450" s="2"/>
      <c r="H2450" s="2"/>
      <c r="I2450" s="2"/>
      <c r="J2450" s="2"/>
      <c r="K2450" s="2"/>
      <c r="L2450" s="2"/>
      <c r="M2450" s="2"/>
      <c r="N2450" s="2"/>
      <c r="O2450" s="2"/>
      <c r="P2450" s="2"/>
      <c r="Q2450" s="2"/>
      <c r="R2450" s="2"/>
      <c r="S2450" s="2"/>
      <c r="T2450" s="2"/>
      <c r="U2450" s="2"/>
      <c r="V2450" s="2"/>
      <c r="W2450" s="2"/>
      <c r="X2450" s="2"/>
      <c r="Y2450" s="2"/>
      <c r="Z2450" s="2"/>
      <c r="AA2450" s="2"/>
    </row>
    <row r="2451">
      <c r="A2451" s="3" t="s">
        <v>5693</v>
      </c>
      <c r="B2451" s="1" t="s">
        <v>5868</v>
      </c>
      <c r="C2451" s="3" t="s">
        <v>5869</v>
      </c>
      <c r="D2451" s="2" t="str">
        <f>IFERROR(__xludf.DUMMYFUNCTION("GOOGLETRANSLATE(B2451, ""en"", ""TL"")"),"Anong mga legal na aksyon ang maaaring gawin laban sa mga indibidwal na nakikibahagi sa doxing o paglalabas ng pribadong impormasyon upang makapinsala sa mga pulitikal na numero o aktibista?")</f>
        <v>Anong mga legal na aksyon ang maaaring gawin laban sa mga indibidwal na nakikibahagi sa doxing o paglalabas ng pribadong impormasyon upang makapinsala sa mga pulitikal na numero o aktibista?</v>
      </c>
      <c r="E2451" s="2" t="str">
        <f>IFERROR(__xludf.DUMMYFUNCTION("GOOGLETRANSLATE(C2451, ""en"", ""TL"")"),"Sa Pilipinas, maaaring magsagawa ng mga legal na aksyon laban sa mga indibidwal na nagsasagawa ng doxing o naglalabas ng pribadong impormasyon upang saktan ang mga pulitikal na pigura o aktibista sa pamamagitan ng iba't ibang legal na paraan. Narito ang i"&amp;"lan sa mga legal na hakbang na maaaring isagawa:
1. Cybercrime Prevention Act of 2012 (RA 10175): Ang Cybercrime Prevention Act ay ginagawang kriminal ang iba't ibang anyo ng cybercrimes, kabilang ang pagnanakaw ng pagkakakilanlan, online na panliligal"&amp;"ig, at hindi awtorisadong pag-access sa mga computer system. Maaaring kasuhan sa ilalim ng batas na ito ang pagdo-dox o paglalabas ng pribadong impormasyon na may layuning makapinsala sa mga pulitiko o aktibista. Maaaring magsampa ng mga reklamo sa Cyberc"&amp;"rime Investigation and Coordinating Center (CICC) o sa Philippine National Police-Cybercrime Group (PNP-CCG) para sa imbestigasyon at pag-uusig.
2. Data Privacy Act of 2012 (RA 10173): Kinokontrol ng Data Privacy Act ang pagproseso ng personal na impor"&amp;"masyon sa Pilipinas at nagbibigay ng proteksyon laban sa hindi awtorisadong pagbubunyag o maling paggamit ng personal na data. Maaaring lumabag sa mga probisyon ng batas na ito ang paglalabas ng pribadong impormasyon nang walang pahintulot na makapinsala "&amp;"sa mga pulitiko o aktibista. Ang mga biktima ng doxing ay maaaring maghain ng mga reklamo sa National Privacy Commission (NPC) para sa pagsisiyasat at pagpapatupad ng mga karapatan sa privacy ng data.
3. Anti-Cyberbullying Act (Republic Act No. 10627):"&amp;" Ang batas na ito ay naglalayong pigilan at tugunan ang cyberbullying, na tinukoy bilang ang pagkilos ng paggamit ng teknolohiya ng impormasyon at komunikasyon upang takutin, harass, o banta ang mga indibidwal. Ang paglalabas ng pribadong impormasyon upan"&amp;"g makapinsala sa mga pulitikal na numero o aktibista ay maaaring bumuo ng cyberbullying sa ilalim ng batas na ito. Ang mga biktima ay maaaring magsampa ng mga reklamo sa mga awtoridad na nagpapatupad ng batas para sa pagsisiyasat at pag-uusig ng mga pagla"&amp;"bag sa cyberbullying.
4. Mga Batas sa Paninirang-puri: Ang mga maling pahayag at mapanirang-puri na ginawa sa layuning makapinsala sa reputasyon ng mga indibidwal o grupo ay maaaring bumuo ng paninirang-puri, na isang paglabag sa sibil sa ilalim ng bat"&amp;"as ng Pilipinas. Ang mga biktima ng doxing ay maaaring magsampa ng mga sibil na reklamo para sa mga pinsala laban sa mga indibidwal o entity na responsable sa pagpapalabas ng pribadong impormasyon.
5. Commission on Human Rights (CHR): Ang Commission on"&amp;" Human Rights ay may awtoridad na imbestigahan ang mga paglabag sa karapatang pantao, kabilang ang mga kaso ng paglabag sa privacy at panliligalig. Ang mga biktima ng doxing ay maaaring magsampa ng mga reklamo sa CHR para sa imbestigasyon at interbensyon "&amp;"upang protektahan ang kanilang mga karapatan at humingi ng kabayaran para sa anumang pinsalang naidulot.
Sa pangkalahatan, ang mga legal na aksyon laban sa mga indibidwal na nakikibahagi sa doxing o pagpapalabas ng pribadong impormasyon upang makapinsa"&amp;"la sa mga pulitikal na tao o aktibista ay nangangailangan ng maraming aspetong diskarte na kinasasangkutan ng pag-uusig ng kriminal, mga remedyo ng sibil, pagpapatupad ng privacy ng data, at proteksyon ng mga karapatang pantao upang matugunan ang mga mapa"&amp;"minsalang epekto ng paglabag at pagtataguyod ng privacy mga demokratikong prinsipyo ng transparency, pananagutan, at paggalang sa dignidad ng tao.")</f>
        <v>Sa Pilipinas, maaaring magsagawa ng mga legal na aksyon laban sa mga indibidwal na nagsasagawa ng doxing o naglalabas ng pribadong impormasyon upang saktan ang mga pulitikal na pigura o aktibista sa pamamagitan ng iba't ibang legal na paraan. Narito ang ilan sa mga legal na hakbang na maaaring isagawa:
1. Cybercrime Prevention Act of 2012 (RA 10175): Ang Cybercrime Prevention Act ay ginagawang kriminal ang iba't ibang anyo ng cybercrimes, kabilang ang pagnanakaw ng pagkakakilanlan, online na panliligalig, at hindi awtorisadong pag-access sa mga computer system. Maaaring kasuhan sa ilalim ng batas na ito ang pagdo-dox o paglalabas ng pribadong impormasyon na may layuning makapinsala sa mga pulitiko o aktibista. Maaaring magsampa ng mga reklamo sa Cybercrime Investigation and Coordinating Center (CICC) o sa Philippine National Police-Cybercrime Group (PNP-CCG) para sa imbestigasyon at pag-uusig.
2. Data Privacy Act of 2012 (RA 10173): Kinokontrol ng Data Privacy Act ang pagproseso ng personal na impormasyon sa Pilipinas at nagbibigay ng proteksyon laban sa hindi awtorisadong pagbubunyag o maling paggamit ng personal na data. Maaaring lumabag sa mga probisyon ng batas na ito ang paglalabas ng pribadong impormasyon nang walang pahintulot na makapinsala sa mga pulitiko o aktibista. Ang mga biktima ng doxing ay maaaring maghain ng mga reklamo sa National Privacy Commission (NPC) para sa pagsisiyasat at pagpapatupad ng mga karapatan sa privacy ng data.
3. Anti-Cyberbullying Act (Republic Act No. 10627): Ang batas na ito ay naglalayong pigilan at tugunan ang cyberbullying, na tinukoy bilang ang pagkilos ng paggamit ng teknolohiya ng impormasyon at komunikasyon upang takutin, harass, o banta ang mga indibidwal. Ang paglalabas ng pribadong impormasyon upang makapinsala sa mga pulitikal na numero o aktibista ay maaaring bumuo ng cyberbullying sa ilalim ng batas na ito. Ang mga biktima ay maaaring magsampa ng mga reklamo sa mga awtoridad na nagpapatupad ng batas para sa pagsisiyasat at pag-uusig ng mga paglabag sa cyberbullying.
4. Mga Batas sa Paninirang-puri: Ang mga maling pahayag at mapanirang-puri na ginawa sa layuning makapinsala sa reputasyon ng mga indibidwal o grupo ay maaaring bumuo ng paninirang-puri, na isang paglabag sa sibil sa ilalim ng batas ng Pilipinas. Ang mga biktima ng doxing ay maaaring magsampa ng mga sibil na reklamo para sa mga pinsala laban sa mga indibidwal o entity na responsable sa pagpapalabas ng pribadong impormasyon.
5. Commission on Human Rights (CHR): Ang Commission on Human Rights ay may awtoridad na imbestigahan ang mga paglabag sa karapatang pantao, kabilang ang mga kaso ng paglabag sa privacy at panliligalig. Ang mga biktima ng doxing ay maaaring magsampa ng mga reklamo sa CHR para sa imbestigasyon at interbensyon upang protektahan ang kanilang mga karapatan at humingi ng kabayaran para sa anumang pinsalang naidulot.
Sa pangkalahatan, ang mga legal na aksyon laban sa mga indibidwal na nakikibahagi sa doxing o pagpapalabas ng pribadong impormasyon upang makapinsala sa mga pulitikal na tao o aktibista ay nangangailangan ng maraming aspetong diskarte na kinasasangkutan ng pag-uusig ng kriminal, mga remedyo ng sibil, pagpapatupad ng privacy ng data, at proteksyon ng mga karapatang pantao upang matugunan ang mga mapaminsalang epekto ng paglabag at pagtataguyod ng privacy mga demokratikong prinsipyo ng transparency, pananagutan, at paggalang sa dignidad ng tao.</v>
      </c>
      <c r="F2451" s="2">
        <f t="shared" si="1"/>
        <v>0</v>
      </c>
      <c r="G2451" s="2"/>
      <c r="H2451" s="2"/>
      <c r="I2451" s="2"/>
      <c r="J2451" s="2"/>
      <c r="K2451" s="2"/>
      <c r="L2451" s="2"/>
      <c r="M2451" s="2"/>
      <c r="N2451" s="2"/>
      <c r="O2451" s="2"/>
      <c r="P2451" s="2"/>
      <c r="Q2451" s="2"/>
      <c r="R2451" s="2"/>
      <c r="S2451" s="2"/>
      <c r="T2451" s="2"/>
      <c r="U2451" s="2"/>
      <c r="V2451" s="2"/>
      <c r="W2451" s="2"/>
      <c r="X2451" s="2"/>
      <c r="Y2451" s="2"/>
      <c r="Z2451" s="2"/>
      <c r="AA2451" s="2"/>
    </row>
    <row r="2452">
      <c r="A2452" s="1" t="s">
        <v>5870</v>
      </c>
      <c r="B2452" s="1" t="s">
        <v>5871</v>
      </c>
      <c r="C2452" s="3" t="s">
        <v>5872</v>
      </c>
      <c r="D2452" s="2" t="str">
        <f>IFERROR(__xludf.DUMMYFUNCTION("GOOGLETRANSLATE(B2452, ""en"", ""TL"")"),"Paano kinokontrol at pinaparusahan ang mga krimen tulad ng panunuhol o katiwalian sa loob ng mga partidong pampulitika?")</f>
        <v>Paano kinokontrol at pinaparusahan ang mga krimen tulad ng panunuhol o katiwalian sa loob ng mga partidong pampulitika?</v>
      </c>
      <c r="E2452" s="2" t="str">
        <f>IFERROR(__xludf.DUMMYFUNCTION("GOOGLETRANSLATE(C2452, ""en"", ""TL"")"),"Sa Pilipinas, ang mga krimen tulad ng panunuhol o katiwalian sa loob ng mga partidong pampulitika ay kinokontrol at pinaparusahan sa pamamagitan ng iba't ibang legal na mekanismo na naglalayong itaguyod ang transparency, pananagutan, at integridad sa pros"&amp;"eso ng pulitika. Narito ang ilan sa mga pangunahing hakbang:
1. Anti-Graft and Corrupt Practices Act (Republic Act No. 3019): Ang batas na ito ay naglalayong pigilan at parusahan ang graft at corrupt practices sa gobyerno, kabilang ang mga partidong po"&amp;"litikal. Ipinagbabawal nito ang mga pampublikong opisyal, kabilang ang mga opisyal ng partidong pampulitika, na tumanggap o magbigay ng mga regalo, pabor, o benepisyo kapalit ng pabor o impluwensya. Ang mga paglabag sa batas na ito ay napapailalim sa mga "&amp;"parusang kriminal, kabilang ang pagkakulong at mga multa.
2. Mga Regulasyon sa Pananalapi ng Kampanya: Ang mga partidong pampulitika ay napapailalim sa mga regulasyon sa pananalapi ng kampanya na pinangangasiwaan ng Commission on Elections (COMELEC). K"&amp;"asama sa mga regulasyong ito ang mga limitasyon sa mga kontribusyon at paggasta sa kampanya, mga kinakailangan sa pagsisiwalat para sa mga donor, at mga parusa para sa mga paglabag sa mga batas sa pananalapi ng kampanya. Ang mga partidong pampulitika na n"&amp;"apatunayang nagkasala ng panunuhol o katiwalian sa konteksto ng pananalapi ng kampanya ay maaaring maharap sa mga parusa, kabilang ang mga multa at diskwalipikasyon sa paglahok sa mga halalan sa hinaharap.
3. Code of Conduct and Ethical Standards for P"&amp;"ublic Officials and Employees (Republic Act No. 6713): Ang mga pampublikong opisyal, kabilang ang mga kaanib sa mga partidong pampulitika, ay kinakailangang sumunod sa mga etikal na pamantayan at prinsipyo ng pag-uugali na nagbabawal sa panunuhol, katiwal"&amp;"ian, at iba pang mga anyo ng maling pag-uugali. Ang mga paglabag sa batas na ito ay napapailalim sa mga parusang administratibo, kabilang ang pagsuspinde o pagtanggal sa pampublikong opisina.
4. Ombudsman: Ang Tanggapan ng Ombudsman ay may pananagutan "&amp;"sa pag-iimbestiga at pag-uusig sa mga kaso ng graft at katiwalian sa gobyerno, kabilang ang mga partidong pampulitika. Ang mga reklamo tungkol sa panunuhol o katiwalian sa loob ng mga partidong pampulitika ay maaaring ihain sa Ombudsman para sa imbestigas"&amp;"yon at naaangkop na aksyon.
5. Mga Remedyo Sibil: Ang mga indibidwal o grupong apektado ng panunuhol o katiwalian sa loob ng mga partidong pampulitika ay maaaring humingi ng mga remedyo sibil, tulad ng paghahain ng reklamo para sa mga pinsala laban sa "&amp;"partidong pampulitika o mga indibidwal na responsable sa katiwalian. Ang mga aksyong sibil ay maaaring isulong sa korte upang panagutin ang mga nakikibahagi sa panunuhol o katiwalian at humingi ng kabayaran para sa anumang pinsalang naidulot.
Sa pangka"&amp;"lahatan, ang pagtugon sa panunuhol o katiwalian sa loob ng mga partidong pampulitika ay nangangailangan ng komprehensibong diskarte na kinasasangkutan ng legal na regulasyon, pagpapatupad, at mga mekanismo ng pananagutan upang matiyak ang transparency, in"&amp;"tegridad, at pagiging patas sa proseso ng pulitika. Ang pagsunod sa mga batas laban sa katiwalian at mga pamantayang etikal ay mahalaga sa pagpapanatili ng tiwala at tiwala ng publiko sa mga demokratikong institusyon.")</f>
        <v>Sa Pilipinas, ang mga krimen tulad ng panunuhol o katiwalian sa loob ng mga partidong pampulitika ay kinokontrol at pinaparusahan sa pamamagitan ng iba't ibang legal na mekanismo na naglalayong itaguyod ang transparency, pananagutan, at integridad sa proseso ng pulitika. Narito ang ilan sa mga pangunahing hakbang:
1. Anti-Graft and Corrupt Practices Act (Republic Act No. 3019): Ang batas na ito ay naglalayong pigilan at parusahan ang graft at corrupt practices sa gobyerno, kabilang ang mga partidong politikal. Ipinagbabawal nito ang mga pampublikong opisyal, kabilang ang mga opisyal ng partidong pampulitika, na tumanggap o magbigay ng mga regalo, pabor, o benepisyo kapalit ng pabor o impluwensya. Ang mga paglabag sa batas na ito ay napapailalim sa mga parusang kriminal, kabilang ang pagkakulong at mga multa.
2. Mga Regulasyon sa Pananalapi ng Kampanya: Ang mga partidong pampulitika ay napapailalim sa mga regulasyon sa pananalapi ng kampanya na pinangangasiwaan ng Commission on Elections (COMELEC). Kasama sa mga regulasyong ito ang mga limitasyon sa mga kontribusyon at paggasta sa kampanya, mga kinakailangan sa pagsisiwalat para sa mga donor, at mga parusa para sa mga paglabag sa mga batas sa pananalapi ng kampanya. Ang mga partidong pampulitika na napatunayang nagkasala ng panunuhol o katiwalian sa konteksto ng pananalapi ng kampanya ay maaaring maharap sa mga parusa, kabilang ang mga multa at diskwalipikasyon sa paglahok sa mga halalan sa hinaharap.
3. Code of Conduct and Ethical Standards for Public Officials and Employees (Republic Act No. 6713): Ang mga pampublikong opisyal, kabilang ang mga kaanib sa mga partidong pampulitika, ay kinakailangang sumunod sa mga etikal na pamantayan at prinsipyo ng pag-uugali na nagbabawal sa panunuhol, katiwalian, at iba pang mga anyo ng maling pag-uugali. Ang mga paglabag sa batas na ito ay napapailalim sa mga parusang administratibo, kabilang ang pagsuspinde o pagtanggal sa pampublikong opisina.
4. Ombudsman: Ang Tanggapan ng Ombudsman ay may pananagutan sa pag-iimbestiga at pag-uusig sa mga kaso ng graft at katiwalian sa gobyerno, kabilang ang mga partidong pampulitika. Ang mga reklamo tungkol sa panunuhol o katiwalian sa loob ng mga partidong pampulitika ay maaaring ihain sa Ombudsman para sa imbestigasyon at naaangkop na aksyon.
5. Mga Remedyo Sibil: Ang mga indibidwal o grupong apektado ng panunuhol o katiwalian sa loob ng mga partidong pampulitika ay maaaring humingi ng mga remedyo sibil, tulad ng paghahain ng reklamo para sa mga pinsala laban sa partidong pampulitika o mga indibidwal na responsable sa katiwalian. Ang mga aksyong sibil ay maaaring isulong sa korte upang panagutin ang mga nakikibahagi sa panunuhol o katiwalian at humingi ng kabayaran para sa anumang pinsalang naidulot.
Sa pangkalahatan, ang pagtugon sa panunuhol o katiwalian sa loob ng mga partidong pampulitika ay nangangailangan ng komprehensibong diskarte na kinasasangkutan ng legal na regulasyon, pagpapatupad, at mga mekanismo ng pananagutan upang matiyak ang transparency, integridad, at pagiging patas sa proseso ng pulitika. Ang pagsunod sa mga batas laban sa katiwalian at mga pamantayang etikal ay mahalaga sa pagpapanatili ng tiwala at tiwala ng publiko sa mga demokratikong institusyon.</v>
      </c>
      <c r="F2452" s="2">
        <f t="shared" si="1"/>
        <v>0</v>
      </c>
      <c r="G2452" s="2"/>
      <c r="H2452" s="2"/>
      <c r="I2452" s="2"/>
      <c r="J2452" s="2"/>
      <c r="K2452" s="2"/>
      <c r="L2452" s="2"/>
      <c r="M2452" s="2"/>
      <c r="N2452" s="2"/>
      <c r="O2452" s="2"/>
      <c r="P2452" s="2"/>
      <c r="Q2452" s="2"/>
      <c r="R2452" s="2"/>
      <c r="S2452" s="2"/>
      <c r="T2452" s="2"/>
      <c r="U2452" s="2"/>
      <c r="V2452" s="2"/>
      <c r="W2452" s="2"/>
      <c r="X2452" s="2"/>
      <c r="Y2452" s="2"/>
      <c r="Z2452" s="2"/>
      <c r="AA2452" s="2"/>
    </row>
    <row r="2453">
      <c r="A2453" s="1" t="s">
        <v>5870</v>
      </c>
      <c r="B2453" s="1" t="s">
        <v>5873</v>
      </c>
      <c r="C2453" s="3" t="s">
        <v>5874</v>
      </c>
      <c r="D2453" s="2" t="str">
        <f>IFERROR(__xludf.DUMMYFUNCTION("GOOGLETRANSLATE(B2453, ""en"", ""TL"")"),"Paano tinukoy ang pagpapakamatay sa ilalim ng batas ng Pilipinas?")</f>
        <v>Paano tinukoy ang pagpapakamatay sa ilalim ng batas ng Pilipinas?</v>
      </c>
      <c r="E2453" s="2" t="str">
        <f>IFERROR(__xludf.DUMMYFUNCTION("GOOGLETRANSLATE(C2453, ""en"", ""TL"")"),"Ang Pilipinas talaga ay walang legal na kahulugan ng pagpapakamatay mismo. Gayunpaman, may mga nauugnay na mapagkukunan:
* **Tumutok sa Pag-iwas:** Ang Pilipinas ay umaasa sa pagtingin sa pagpapakamatay bilang isang pampublikong alalahanin sa kalusugan. M"&amp;"akikita mo ito sa mga panukalang batas ng Senado na naglalayong maiwasan, tulad ng iminungkahing ""Student Suicide Prevention Act of 2005"".
* **Pag-uulat:** Ang Pambansang Pulisya ng Pilipinas ay nagsasama ng mga insidente ng pagpapakamatay sa kanilang C"&amp;"rime Information, Reporting and Analysis System (CIRAS), na nakategorya kasama ng mga self-inflicted na aksidente [ID 2022-001 Encoding of Suicide and Self Accident in the Crime Information, Reporting at Sistema ng Pagsusuri (CIRAS)].
Kung naghahanap ka n"&amp;"g tulong o mapagkukunan tungkol sa pag-iwas sa pagpapakamatay, narito ang ilang organisasyon sa Pilipinas na makakatulong:
* Department of Health (DOH): [https://doh.gov.ph/](https://doh.gov.ph/)
* National Center for Mental Health (NCMH): [https://ncmh.g"&amp;"ov.ph/](https://ncmh.gov.ph/)")</f>
        <v>Ang Pilipinas talaga ay walang legal na kahulugan ng pagpapakamatay mismo. Gayunpaman, may mga nauugnay na mapagkukunan:
* **Tumutok sa Pag-iwas:** Ang Pilipinas ay umaasa sa pagtingin sa pagpapakamatay bilang isang pampublikong alalahanin sa kalusugan. Makikita mo ito sa mga panukalang batas ng Senado na naglalayong maiwasan, tulad ng iminungkahing "Student Suicide Prevention Act of 2005".
* **Pag-uulat:** Ang Pambansang Pulisya ng Pilipinas ay nagsasama ng mga insidente ng pagpapakamatay sa kanilang Crime Information, Reporting and Analysis System (CIRAS), na nakategorya kasama ng mga self-inflicted na aksidente [ID 2022-001 Encoding of Suicide and Self Accident in the Crime Information, Reporting at Sistema ng Pagsusuri (CIRAS)].
Kung naghahanap ka ng tulong o mapagkukunan tungkol sa pag-iwas sa pagpapakamatay, narito ang ilang organisasyon sa Pilipinas na makakatulong:
* Department of Health (DOH): [https://doh.gov.ph/](https://doh.gov.ph/)
* National Center for Mental Health (NCMH): [https://ncmh.gov.ph/](https://ncmh.gov.ph/)</v>
      </c>
      <c r="F2453" s="2">
        <f t="shared" si="1"/>
        <v>0</v>
      </c>
      <c r="G2453" s="2"/>
      <c r="H2453" s="2"/>
      <c r="I2453" s="2"/>
      <c r="J2453" s="2"/>
      <c r="K2453" s="2"/>
      <c r="L2453" s="2"/>
      <c r="M2453" s="2"/>
      <c r="N2453" s="2"/>
      <c r="O2453" s="2"/>
      <c r="P2453" s="2"/>
      <c r="Q2453" s="2"/>
      <c r="R2453" s="2"/>
      <c r="S2453" s="2"/>
      <c r="T2453" s="2"/>
      <c r="U2453" s="2"/>
      <c r="V2453" s="2"/>
      <c r="W2453" s="2"/>
      <c r="X2453" s="2"/>
      <c r="Y2453" s="2"/>
      <c r="Z2453" s="2"/>
      <c r="AA2453" s="2"/>
    </row>
    <row r="2454">
      <c r="A2454" s="1" t="s">
        <v>5870</v>
      </c>
      <c r="B2454" s="1" t="s">
        <v>5875</v>
      </c>
      <c r="C2454" s="3" t="s">
        <v>5876</v>
      </c>
      <c r="D2454" s="2" t="str">
        <f>IFERROR(__xludf.DUMMYFUNCTION("GOOGLETRANSLATE(B2454, ""en"", ""TL"")"),"Anong mga legal na hakbang ang inilalagay upang maiwasan ang pagpapakamatay at magbigay ng suporta sa mga indibidwal na nasa panganib?")</f>
        <v>Anong mga legal na hakbang ang inilalagay upang maiwasan ang pagpapakamatay at magbigay ng suporta sa mga indibidwal na nasa panganib?</v>
      </c>
      <c r="E2454" s="2" t="str">
        <f>IFERROR(__xludf.DUMMYFUNCTION("GOOGLETRANSLATE(C2454, ""en"", ""TL"")"),"Bagama't ang Pilipinas ay walang mga partikular na batas na nagsasakriminal sa mga pagtatangkang magpakamatay, may matinding pagtuon sa pag-iwas at suporta:
**Mga Pagsisikap sa Pambatasan:**
* **Mga Iminungkahing Bill:** Kinikilala ng Pilipinas ang pagpap"&amp;"akamatay bilang isang isyu sa kalusugan ng publiko. Makakahanap ka ng ebidensya sa mga panukalang batas sa Senado tulad ng ""Student Suicide Prevention Act of 2005"" na naglalayong magtatag ng mga hakbang sa pagpigil.
**Public Health Approach:**
* **Tumut"&amp;"ok sa Mental Health:** Ang Department of Health (DOH)菲律賓衛生部 (Pi-li-pin Wei-sheng Pu) ay gumaganap ng isang mahalagang papel. Nagbibigay sila ng mga mapagkukunan at nagpapataas ng kamalayan tungkol sa mga isyu sa kalusugan ng isip na maaaring pinagbabataya"&amp;"n ng mga kadahilanan para sa pagpapakamatay. [https://doh.gov.ph/](https://doh.gov.ph/)
* **National Center for Mental Health (NCMH):** Ang ahensya ng gobyernong ito [https://ncmh.gov.ph/](https://ncmh.gov.ph/) ay nagbibigay ng mga serbisyo sa kalusugan n"&amp;"g isip at interbensyon sa krisis. **Dagdag pa:**
* **Pag-uulat ng Pagpapakamatay:** Ang Pambansang Pulisya ng Pilipinas ay nagsasama ng data ng pagpapakamatay sa kanilang Crime Information, Reporting and Analysis System (CIRAS) na nakategorya kasama ng mg"&amp;"a aksidenteng nagdulot ng sarili. Nakakatulong ito na subaybayan ang mga uso at matukoy ang mga lugar na nangangailangan ng suporta.
Itinatampok ng mga hakbang na ito ang diskarte ng Pilipinas sa pagpigil sa pagpapakamatay sa pamamagitan ng pagtutok sa ka"&amp;"lusugan ng isip at pinahusay na pangongolekta ng data.")</f>
        <v>Bagama't ang Pilipinas ay walang mga partikular na batas na nagsasakriminal sa mga pagtatangkang magpakamatay, may matinding pagtuon sa pag-iwas at suporta:
**Mga Pagsisikap sa Pambatasan:**
* **Mga Iminungkahing Bill:** Kinikilala ng Pilipinas ang pagpapakamatay bilang isang isyu sa kalusugan ng publiko. Makakahanap ka ng ebidensya sa mga panukalang batas sa Senado tulad ng "Student Suicide Prevention Act of 2005" na naglalayong magtatag ng mga hakbang sa pagpigil.
**Public Health Approach:**
* **Tumutok sa Mental Health:** Ang Department of Health (DOH)菲律賓衛生部 (Pi-li-pin Wei-sheng Pu) ay gumaganap ng isang mahalagang papel. Nagbibigay sila ng mga mapagkukunan at nagpapataas ng kamalayan tungkol sa mga isyu sa kalusugan ng isip na maaaring pinagbabatayan ng mga kadahilanan para sa pagpapakamatay. [https://doh.gov.ph/](https://doh.gov.ph/)
* **National Center for Mental Health (NCMH):** Ang ahensya ng gobyernong ito [https://ncmh.gov.ph/](https://ncmh.gov.ph/) ay nagbibigay ng mga serbisyo sa kalusugan ng isip at interbensyon sa krisis. **Dagdag pa:**
* **Pag-uulat ng Pagpapakamatay:** Ang Pambansang Pulisya ng Pilipinas ay nagsasama ng data ng pagpapakamatay sa kanilang Crime Information, Reporting and Analysis System (CIRAS) na nakategorya kasama ng mga aksidenteng nagdulot ng sarili. Nakakatulong ito na subaybayan ang mga uso at matukoy ang mga lugar na nangangailangan ng suporta.
Itinatampok ng mga hakbang na ito ang diskarte ng Pilipinas sa pagpigil sa pagpapakamatay sa pamamagitan ng pagtutok sa kalusugan ng isip at pinahusay na pangongolekta ng data.</v>
      </c>
      <c r="F2454" s="2">
        <f t="shared" si="1"/>
        <v>0</v>
      </c>
      <c r="G2454" s="2"/>
      <c r="H2454" s="2"/>
      <c r="I2454" s="2"/>
      <c r="J2454" s="2"/>
      <c r="K2454" s="2"/>
      <c r="L2454" s="2"/>
      <c r="M2454" s="2"/>
      <c r="N2454" s="2"/>
      <c r="O2454" s="2"/>
      <c r="P2454" s="2"/>
      <c r="Q2454" s="2"/>
      <c r="R2454" s="2"/>
      <c r="S2454" s="2"/>
      <c r="T2454" s="2"/>
      <c r="U2454" s="2"/>
      <c r="V2454" s="2"/>
      <c r="W2454" s="2"/>
      <c r="X2454" s="2"/>
      <c r="Y2454" s="2"/>
      <c r="Z2454" s="2"/>
      <c r="AA2454" s="2"/>
    </row>
    <row r="2455">
      <c r="A2455" s="1" t="s">
        <v>5870</v>
      </c>
      <c r="B2455" s="1" t="s">
        <v>5877</v>
      </c>
      <c r="C2455" s="3" t="s">
        <v>5878</v>
      </c>
      <c r="D2455" s="2" t="str">
        <f>IFERROR(__xludf.DUMMYFUNCTION("GOOGLETRANSLATE(B2455, ""en"", ""TL"")"),"Mayroon bang mga partikular na batas na tumutugon sa tinulungang pagpapakamatay o euthanasia sa Pilipinas?")</f>
        <v>Mayroon bang mga partikular na batas na tumutugon sa tinulungang pagpapakamatay o euthanasia sa Pilipinas?</v>
      </c>
      <c r="E2455" s="2" t="str">
        <f>IFERROR(__xludf.DUMMYFUNCTION("GOOGLETRANSLATE(C2455, ""en"", ""TL"")"),"Hindi, kasalukuyang **walang mga partikular na batas** na tumutugon sa tinulungang pagpapakamatay o euthanasia sa Pilipinas. **Parehong itinuturing na ilegal**.
Narito ang isang breakdown ng legal na sitwasyon:
* **Anti-Suicide Stance:** Ang Pilipinas, na"&amp;" may malakas na impluwensyang Katoliko, sa pangkalahatan ay negatibo ang pagtingin sa pagpapakamatay.
* **Walang Mga Pagsisikap sa Pag-legalize:** Hindi tulad ng ilang mga bansa, walang matagumpay na pagtatangka sa pambatasan na gawing legal ang tinulunga"&amp;"ng pagpapakamatay o euthanasia.
* **Umiiral na Batas:** Ang pinakamalapit na legal na sanggunian ay ang **Revised Penal Code**, na isinasaalang-alang ang mga gawa ng euthanasia bilang isang uri ng pagpatay. Maaaring kasuhan ng malpractice ang mga doktor n"&amp;"a tumutulong sa pagpapakamatay. **Mga Pagtalakay sa Karapatan na Mamatay:**
* **Mga Limitadong Talakayan:** Umiiral ang mga talakayan tungkol sa mga isyu tungkol sa right-to-die, ngunit hindi sila nakakuha ng malawak na traksyon dahil sa etikal at relihiy"&amp;"osong mga alalahanin.
* **Mga Advance Directive:** Ang Pilipinas ay may batas (Republic Act No. 6124) na nauugnay sa mga karapatan ng pasyente, ngunit hindi nito tahasang tinutugunan ang tinulungang pagpapakamatay o euthanasia. Ito ay higit na nakatuon sa"&amp;" kaalamang pahintulot at ang karapatang tumanggi sa paggamot.
**Kabuuan:**
Sa kasalukuyan, ang tinulungang pagpapakamatay at euthanasia ay ilegal sa Pilipinas. Kung isinasaalang-alang mo o ng isang taong kilala mo ang mga opsyong ito, napakahalagang humin"&amp;"gi ng propesyonal na medikal na payo at tuklasin ang mga alternatibong solusyon para sa pamamahala ng sakit at pangangalaga sa katapusan ng buhay.")</f>
        <v>Hindi, kasalukuyang **walang mga partikular na batas** na tumutugon sa tinulungang pagpapakamatay o euthanasia sa Pilipinas. **Parehong itinuturing na ilegal**.
Narito ang isang breakdown ng legal na sitwasyon:
* **Anti-Suicide Stance:** Ang Pilipinas, na may malakas na impluwensyang Katoliko, sa pangkalahatan ay negatibo ang pagtingin sa pagpapakamatay.
* **Walang Mga Pagsisikap sa Pag-legalize:** Hindi tulad ng ilang mga bansa, walang matagumpay na pagtatangka sa pambatasan na gawing legal ang tinulungang pagpapakamatay o euthanasia.
* **Umiiral na Batas:** Ang pinakamalapit na legal na sanggunian ay ang **Revised Penal Code**, na isinasaalang-alang ang mga gawa ng euthanasia bilang isang uri ng pagpatay. Maaaring kasuhan ng malpractice ang mga doktor na tumutulong sa pagpapakamatay. **Mga Pagtalakay sa Karapatan na Mamatay:**
* **Mga Limitadong Talakayan:** Umiiral ang mga talakayan tungkol sa mga isyu tungkol sa right-to-die, ngunit hindi sila nakakuha ng malawak na traksyon dahil sa etikal at relihiyosong mga alalahanin.
* **Mga Advance Directive:** Ang Pilipinas ay may batas (Republic Act No. 6124) na nauugnay sa mga karapatan ng pasyente, ngunit hindi nito tahasang tinutugunan ang tinulungang pagpapakamatay o euthanasia. Ito ay higit na nakatuon sa kaalamang pahintulot at ang karapatang tumanggi sa paggamot.
**Kabuuan:**
Sa kasalukuyan, ang tinulungang pagpapakamatay at euthanasia ay ilegal sa Pilipinas. Kung isinasaalang-alang mo o ng isang taong kilala mo ang mga opsyong ito, napakahalagang humingi ng propesyonal na medikal na payo at tuklasin ang mga alternatibong solusyon para sa pamamahala ng sakit at pangangalaga sa katapusan ng buhay.</v>
      </c>
      <c r="F2455" s="2">
        <f t="shared" si="1"/>
        <v>0</v>
      </c>
      <c r="G2455" s="2"/>
      <c r="H2455" s="2"/>
      <c r="I2455" s="2"/>
      <c r="J2455" s="2"/>
      <c r="K2455" s="2"/>
      <c r="L2455" s="2"/>
      <c r="M2455" s="2"/>
      <c r="N2455" s="2"/>
      <c r="O2455" s="2"/>
      <c r="P2455" s="2"/>
      <c r="Q2455" s="2"/>
      <c r="R2455" s="2"/>
      <c r="S2455" s="2"/>
      <c r="T2455" s="2"/>
      <c r="U2455" s="2"/>
      <c r="V2455" s="2"/>
      <c r="W2455" s="2"/>
      <c r="X2455" s="2"/>
      <c r="Y2455" s="2"/>
      <c r="Z2455" s="2"/>
      <c r="AA2455" s="2"/>
    </row>
    <row r="2456">
      <c r="A2456" s="1" t="s">
        <v>5870</v>
      </c>
      <c r="B2456" s="1" t="s">
        <v>5879</v>
      </c>
      <c r="C2456" s="3" t="s">
        <v>5880</v>
      </c>
      <c r="D2456" s="2" t="str">
        <f>IFERROR(__xludf.DUMMYFUNCTION("GOOGLETRANSLATE(B2456, ""en"", ""TL"")"),"Paano pinoprotektahan ng batas ang mga indibidwal na may mga isyu sa kalusugan ng isip na maaaring nasa panganib na magpakamatay?")</f>
        <v>Paano pinoprotektahan ng batas ang mga indibidwal na may mga isyu sa kalusugan ng isip na maaaring nasa panganib na magpakamatay?</v>
      </c>
      <c r="E2456" s="2" t="str">
        <f>IFERROR(__xludf.DUMMYFUNCTION("GOOGLETRANSLATE(C2456, ""en"", ""TL"")"),"Ang Pilipinas ay gumawa ng isang makabuluhang hakbang tungo sa pagprotekta sa mga indibidwal na may mga isyu sa kalusugan ng isip, partikular ang mga nasa panganib na magpakamatay, sa pamamagitan ng pagsasabatas ng Republic Act No. 11036, na kilala rin bi"&amp;"lang **Mental Health Act**. Narito kung paano nagbibigay ang batas ng mga pananggalang:
* **Karapatan sa proteksyon:** Ginagarantiyahan ng Batas ang karapatan ng mga indibidwal na may mga kondisyon sa kalusugan ng isip na maging malaya mula sa diskrimi"&amp;"nasyon at malupit, hindi makatao, at nakababahalang pagtrato [R.A. 11036, Sec. 3(b)].
* **Availability ng Mga Serbisyo:** Ang batas ay nag-uutos ng probisyon ng naa-access at abot-kayang mga serbisyo sa kalusugan ng isip, kabilang ang mga diskarte sa p"&amp;"ag-iwas sa pagpapakamatay at interbensyon [R.A. 11036, Sec. 21]. Kabilang dito ang pagtatatag ng 24/7 hotlines para magbigay ng tulong partikular sa mga nasa panganib na magpakamatay [R.A. 11036, Sec. 21].
* **Tumutok sa Kabataan:** Kinikilala ng Batas"&amp;" ang mga partikular na alalahanin ng mga kabataan at binibigyang-diin ang pangangailangan para sa mga estratehiya sa pag-iwas sa pagpapakamatay na iniayon sa kanila [R.A. 11036, Sec. 21]. 
* **Informed Consent:** Ang mga indibidwal ay may karapatang ma"&amp;"bigyan ng sapat na kaalaman tungkol sa kanilang mga pagsusuri sa kalusugan ng isip at lumahok sa kanilang mga plano sa paggamot [R.A. 11036, Sec. 10(b)]. Tinitiyak nito na nauunawaan nila ang mga opsyon na magagamit at makakagawa ng matalinong mga desisyo"&amp;"n tungkol sa kanilang pangangalaga.
* **Pagiging Kumpidensyal:** Pinoprotektahan ng Batas ang pagiging kompidensyal ng impormasyon sa kalusugan ng isip, nagtataguyod ng tiwala at hinihikayat ang mga indibidwal na humingi ng tulong nang walang takot sa "&amp;"stigma [R.A. 11036, Sec. 11].
**Mahalagang tandaan:**
* Ang Mental Health Act ay nakatuon sa pagbibigay ng suporta at mga mapagkukunan, hindi sa hindi boluntaryong pangako. Ang sapilitang paggamot ay limitado sa mga setting ng ospital [R.A. 11036].
"&amp;"
* Habang ang Batas ay nagbibigay ng legal na balangkas, ang bisa ng mga proteksyong ito ay umaasa sa sapat na pagpopondo, imprastraktura, at sinanay na mga propesyonal sa kalusugan ng isip.
**Mga Karagdagang Mapagkukunan:**
* Department of Health -"&amp;" Mental Health Program: [https://www.who.int/philippines/news/detail/12-10-2023-doh--who-launch-philippine-council-for-mental-health-strategic -framework-2024-2028](https://www.who.int/philippines/news/detail/12-10-2023-doh--who-launch-philippine-council-"&amp;"for-mental-health-strategic-framework -2024-2028)
Kung ikaw o isang taong kilala mo ay nahihirapan sa pag-iisip ng pagpapakamatay, mangyaring makipag-ugnayan para sa tulong. Narito ang ilang mga hotline sa Pilipinas:
* National Center for Mental H"&amp;"ealth Crisis Hotline: 1554
* HOPELINE Philippines: 0928-HOPE (4673)
* In Touch Community Services Crisis Line: (02) 893-7606
Tandaan, hindi ka nag-iisa. May magagamit na tulong.")</f>
        <v>Ang Pilipinas ay gumawa ng isang makabuluhang hakbang tungo sa pagprotekta sa mga indibidwal na may mga isyu sa kalusugan ng isip, partikular ang mga nasa panganib na magpakamatay, sa pamamagitan ng pagsasabatas ng Republic Act No. 11036, na kilala rin bilang **Mental Health Act**. Narito kung paano nagbibigay ang batas ng mga pananggalang:
* **Karapatan sa proteksyon:** Ginagarantiyahan ng Batas ang karapatan ng mga indibidwal na may mga kondisyon sa kalusugan ng isip na maging malaya mula sa diskriminasyon at malupit, hindi makatao, at nakababahalang pagtrato [R.A. 11036, Sec. 3(b)].
* **Availability ng Mga Serbisyo:** Ang batas ay nag-uutos ng probisyon ng naa-access at abot-kayang mga serbisyo sa kalusugan ng isip, kabilang ang mga diskarte sa pag-iwas sa pagpapakamatay at interbensyon [R.A. 11036, Sec. 21]. Kabilang dito ang pagtatatag ng 24/7 hotlines para magbigay ng tulong partikular sa mga nasa panganib na magpakamatay [R.A. 11036, Sec. 21].
* **Tumutok sa Kabataan:** Kinikilala ng Batas ang mga partikular na alalahanin ng mga kabataan at binibigyang-diin ang pangangailangan para sa mga estratehiya sa pag-iwas sa pagpapakamatay na iniayon sa kanila [R.A. 11036, Sec. 21]. 
* **Informed Consent:** Ang mga indibidwal ay may karapatang mabigyan ng sapat na kaalaman tungkol sa kanilang mga pagsusuri sa kalusugan ng isip at lumahok sa kanilang mga plano sa paggamot [R.A. 11036, Sec. 10(b)]. Tinitiyak nito na nauunawaan nila ang mga opsyon na magagamit at makakagawa ng matalinong mga desisyon tungkol sa kanilang pangangalaga.
* **Pagiging Kumpidensyal:** Pinoprotektahan ng Batas ang pagiging kompidensyal ng impormasyon sa kalusugan ng isip, nagtataguyod ng tiwala at hinihikayat ang mga indibidwal na humingi ng tulong nang walang takot sa stigma [R.A. 11036, Sec. 11].
**Mahalagang tandaan:**
* Ang Mental Health Act ay nakatuon sa pagbibigay ng suporta at mga mapagkukunan, hindi sa hindi boluntaryong pangako. Ang sapilitang paggamot ay limitado sa mga setting ng ospital [R.A. 11036].
* Habang ang Batas ay nagbibigay ng legal na balangkas, ang bisa ng mga proteksyong ito ay umaasa sa sapat na pagpopondo, imprastraktura, at sinanay na mga propesyonal sa kalusugan ng isip.
**Mga Karagdagang Mapagkukunan:**
* Department of Health - Mental Health Program: [https://www.who.int/philippines/news/detail/12-10-2023-doh--who-launch-philippine-council-for-mental-health-strategic -framework-2024-2028](https://www.who.int/philippines/news/detail/12-10-2023-doh--who-launch-philippine-council-for-mental-health-strategic-framework -2024-2028)
Kung ikaw o isang taong kilala mo ay nahihirapan sa pag-iisip ng pagpapakamatay, mangyaring makipag-ugnayan para sa tulong. Narito ang ilang mga hotline sa Pilipinas:
* National Center for Mental Health Crisis Hotline: 1554
* HOPELINE Philippines: 0928-HOPE (4673)
* In Touch Community Services Crisis Line: (02) 893-7606
Tandaan, hindi ka nag-iisa. May magagamit na tulong.</v>
      </c>
      <c r="F2456" s="2">
        <f t="shared" si="1"/>
        <v>0</v>
      </c>
      <c r="G2456" s="2"/>
      <c r="H2456" s="2"/>
      <c r="I2456" s="2"/>
      <c r="J2456" s="2"/>
      <c r="K2456" s="2"/>
      <c r="L2456" s="2"/>
      <c r="M2456" s="2"/>
      <c r="N2456" s="2"/>
      <c r="O2456" s="2"/>
      <c r="P2456" s="2"/>
      <c r="Q2456" s="2"/>
      <c r="R2456" s="2"/>
      <c r="S2456" s="2"/>
      <c r="T2456" s="2"/>
      <c r="U2456" s="2"/>
      <c r="V2456" s="2"/>
      <c r="W2456" s="2"/>
      <c r="X2456" s="2"/>
      <c r="Y2456" s="2"/>
      <c r="Z2456" s="2"/>
      <c r="AA2456" s="2"/>
    </row>
    <row r="2457">
      <c r="A2457" s="1" t="s">
        <v>5870</v>
      </c>
      <c r="B2457" s="1" t="s">
        <v>5881</v>
      </c>
      <c r="C2457" s="3" t="s">
        <v>5882</v>
      </c>
      <c r="D2457" s="2" t="str">
        <f>IFERROR(__xludf.DUMMYFUNCTION("GOOGLETRANSLATE(B2457, ""en"", ""TL"")"),"Anong mga legal na aksyon ang maaaring gawin laban sa mga indibidwal na naghihikayat o tumutulong sa iba sa pagpapakamatay?")</f>
        <v>Anong mga legal na aksyon ang maaaring gawin laban sa mga indibidwal na naghihikayat o tumutulong sa iba sa pagpapakamatay?</v>
      </c>
      <c r="E2457" s="2" t="str">
        <f>IFERROR(__xludf.DUMMYFUNCTION("GOOGLETRANSLATE(C2457, ""en"", ""TL"")"),"Ang mga batas tungkol sa paghikayat o pagtulong sa pagpapakamatay ay iba-iba sa buong mundo. Sa Pilipinas, walang partikular na batas na direktang nagsasakriminal sa gawaing ito. Gayunpaman, may ilang paraan na maaaring magkaroon ng mga legal na epekto:
*"&amp;" **Pagtulong sa Pagpapakamatay:** Ang batas ng Pilipinas ay hindi tahasang tumutukoy sa ""pagtulong sa pagpapakamatay,"" ngunit mayroon itong pangkalahatang batas sa pag-uukol sa mga krimen (Artikulo 18 ng Binagong Kodigo Penal). Nangangahulugan ito na ku"&amp;"ng ang isang tao ay nagbibigay ng paraan o mga tagubilin para sa pagpapakamatay at natapos ang pagkilos, maaari silang makasuhan bilang isang accessory sa krimen ng pagpapakamatay.
* **Reckless Imprudence Resulting in Death:** Isa pang posibilidad ay ang "&amp;"pag-uusig sa ilalim ng Article 365 ng Revised Penal Code para sa Reckless Imprudence Result in Death. Nalalapat ito kung ang mga aksyon ng isang tao, na ginawa nang walang ingat na pagwawalang-bahala sa mga kahihinatnan, ay humantong sa pagkamatay ng iban"&amp;"g tao, kabilang ang pagpapakamatay.
**Ang mga pangunahing salik para sa mga pagsingil na ito ay:**
* **Layunin:** Kailangang patunayan ng prosekusyon ang taong nilayon na hikayatin o tulungan ang pagpapakamatay.
* **Dahilan:** Kailangang mayroong malinaw "&amp;"na ugnayan sa pagitan ng mga aksyon ng indibidwal at ng pagpapakamatay.
**Bukod pa rito, maaaring magkaroon ng mga kasong sibil:**
* **Maling Kamatayan:** Kung may kumilos sa paraang naghihikayat ng pagpapakamatay at namatay ang tao, maaaring magdemanda a"&amp;"ng pamilya para sa maling kamatayan.
**Narito ang ilang bagay na dapat isaalang-alang:**
* Ang mga ito ay masalimuot na legal na isyu, at ang resulta ay depende sa partikular na mga pangyayari. * Ang pasanin ng patunay ay nakasalalay sa pag-uusig. **Mahal"&amp;"agang tandaan na ang pokus sa Pilipinas ay ang pagtataguyod ng mga serbisyo sa kalusugan ng isip at interbensyon sa krisis upang maiwasan ang pagpapakamatay.** Narito ang ilang mga mapagkukunan na makakatulong:
* **National Center for Mental Health Philip"&amp;"pines:** [https://www.facebook.com/ncmhcrisishotline/](https://www.facebook.com/ncmhcrisishotline/) (crisis hotline at mental health services information)
* **Ang Natasha Goulbourn Foundation:** [https://www.ngf-hope.org/about-ngf/what-we-do/](https://www"&amp;".ngf-hope.org/about-ngf /what-we-do/) (Philippine mental health advocacy group)
Kung nag-aalala ka tungkol sa isang tao na maaaring magpakamatay, mangyaring makipag-ugnayan sa isang hotline ng krisis o propesyonal sa kalusugan ng isip.")</f>
        <v>Ang mga batas tungkol sa paghikayat o pagtulong sa pagpapakamatay ay iba-iba sa buong mundo. Sa Pilipinas, walang partikular na batas na direktang nagsasakriminal sa gawaing ito. Gayunpaman, may ilang paraan na maaaring magkaroon ng mga legal na epekto:
* **Pagtulong sa Pagpapakamatay:** Ang batas ng Pilipinas ay hindi tahasang tumutukoy sa "pagtulong sa pagpapakamatay," ngunit mayroon itong pangkalahatang batas sa pag-uukol sa mga krimen (Artikulo 18 ng Binagong Kodigo Penal). Nangangahulugan ito na kung ang isang tao ay nagbibigay ng paraan o mga tagubilin para sa pagpapakamatay at natapos ang pagkilos, maaari silang makasuhan bilang isang accessory sa krimen ng pagpapakamatay.
* **Reckless Imprudence Resulting in Death:** Isa pang posibilidad ay ang pag-uusig sa ilalim ng Article 365 ng Revised Penal Code para sa Reckless Imprudence Result in Death. Nalalapat ito kung ang mga aksyon ng isang tao, na ginawa nang walang ingat na pagwawalang-bahala sa mga kahihinatnan, ay humantong sa pagkamatay ng ibang tao, kabilang ang pagpapakamatay.
**Ang mga pangunahing salik para sa mga pagsingil na ito ay:**
* **Layunin:** Kailangang patunayan ng prosekusyon ang taong nilayon na hikayatin o tulungan ang pagpapakamatay.
* **Dahilan:** Kailangang mayroong malinaw na ugnayan sa pagitan ng mga aksyon ng indibidwal at ng pagpapakamatay.
**Bukod pa rito, maaaring magkaroon ng mga kasong sibil:**
* **Maling Kamatayan:** Kung may kumilos sa paraang naghihikayat ng pagpapakamatay at namatay ang tao, maaaring magdemanda ang pamilya para sa maling kamatayan.
**Narito ang ilang bagay na dapat isaalang-alang:**
* Ang mga ito ay masalimuot na legal na isyu, at ang resulta ay depende sa partikular na mga pangyayari. * Ang pasanin ng patunay ay nakasalalay sa pag-uusig. **Mahalagang tandaan na ang pokus sa Pilipinas ay ang pagtataguyod ng mga serbisyo sa kalusugan ng isip at interbensyon sa krisis upang maiwasan ang pagpapakamatay.** Narito ang ilang mga mapagkukunan na makakatulong:
* **National Center for Mental Health Philippines:** [https://www.facebook.com/ncmhcrisishotline/](https://www.facebook.com/ncmhcrisishotline/) (crisis hotline at mental health services information)
* **Ang Natasha Goulbourn Foundation:** [https://www.ngf-hope.org/about-ngf/what-we-do/](https://www.ngf-hope.org/about-ngf /what-we-do/) (Philippine mental health advocacy group)
Kung nag-aalala ka tungkol sa isang tao na maaaring magpakamatay, mangyaring makipag-ugnayan sa isang hotline ng krisis o propesyonal sa kalusugan ng isip.</v>
      </c>
      <c r="F2457" s="2">
        <f t="shared" si="1"/>
        <v>0</v>
      </c>
      <c r="G2457" s="2"/>
      <c r="H2457" s="2"/>
      <c r="I2457" s="2"/>
      <c r="J2457" s="2"/>
      <c r="K2457" s="2"/>
      <c r="L2457" s="2"/>
      <c r="M2457" s="2"/>
      <c r="N2457" s="2"/>
      <c r="O2457" s="2"/>
      <c r="P2457" s="2"/>
      <c r="Q2457" s="2"/>
      <c r="R2457" s="2"/>
      <c r="S2457" s="2"/>
      <c r="T2457" s="2"/>
      <c r="U2457" s="2"/>
      <c r="V2457" s="2"/>
      <c r="W2457" s="2"/>
      <c r="X2457" s="2"/>
      <c r="Y2457" s="2"/>
      <c r="Z2457" s="2"/>
      <c r="AA2457" s="2"/>
    </row>
    <row r="2458">
      <c r="A2458" s="1" t="s">
        <v>5870</v>
      </c>
      <c r="B2458" s="1" t="s">
        <v>5883</v>
      </c>
      <c r="C2458" s="3" t="s">
        <v>5884</v>
      </c>
      <c r="D2458" s="2" t="str">
        <f>IFERROR(__xludf.DUMMYFUNCTION("GOOGLETRANSLATE(B2458, ""en"", ""TL"")"),"Mayroon bang mga legal na probisyon para sa hindi boluntaryong pangako ng mga indibidwal na nasa panganib na magpakamatay?")</f>
        <v>Mayroon bang mga legal na probisyon para sa hindi boluntaryong pangako ng mga indibidwal na nasa panganib na magpakamatay?</v>
      </c>
      <c r="E2458" s="2" t="str">
        <f>IFERROR(__xludf.DUMMYFUNCTION("GOOGLETRANSLATE(C2458, ""en"", ""TL"")"),"Oo, ang Pilipinas ay may mga legal na probisyon para sa hindi boluntaryong pangako ng mga indibidwal na nanganganib na magpakamatay sa ilalim ng Republic Act No. 11036, na kilala rin bilang Mental Health Act of 2018 [https://lawphil.net/statutes/repacts/r"&amp;"a2018/ra_11036_2018. html](https://lawphil.net/statutes/repacts/ra2018/ra_11036_2018.html).
Narito ang isang nauugnay na seksyon ng Batas:
* **Kabanata IV, Seksyon 21. Pagpasok sa Pasilidad ng Kalusugan ng Pag-iisip:** Binabalangkas ng seksyong ito ang mg"&amp;"a batayan para sa hindi boluntaryong pagpasok, kabilang ang:
* **Panganib sa Sarili:** Ang isang tao na, bilang resulta ng isang mental disorder, ay malamang na magdulot ng malubhang pisikal na pinsala sa kanyang sarili. Ang probisyong ito ay nagbibigay-d"&amp;"aan para sa hindi boluntaryong pangako kung ang isang propesyonal sa kalusugan ng isip ay nagpasiya na ang isang taong may pag-iisip ng pagpapakamatay ay nagdudulot ng malaking panganib na saktan ang kanilang sarili dahil sa kanilang kalagayan sa pag-iisi"&amp;"p.
**Gayunpaman, may mga pag-iingat sa lugar:**
* **Least Restrictive Alternative:** Ang Batas ay nagbibigay-diin sa paggamit ng hindi bababa sa paghihigpit na alternatibo sa di-boluntaryong pangako hangga't maaari. Maaaring kabilang dito ang paggamot sa "&amp;"outpatient o iba pang mga interbensyon bago magpa-ospital.
* **Medical Certification:** Ang isang hindi boluntaryong pagpasok ay nangangailangan ng isang medikal na sertipiko mula sa isang kwalipikadong propesyonal sa kalusugan ng isip na nagsuri sa indib"&amp;"idwal. * **Judicial Review:** Ang Batas ay nagbibigay para sa judicial review ng mga involuntary commitment order, na tinitiyak ang legal na pagsusuri sa proseso.
**Mahalagang tandaan na ang hindi boluntaryong pangako ay dapat na isang huling paraan.** An"&amp;"g pokus ng Mental Health Act ay sa pagbibigay ng naa-access at naaangkop na mga serbisyo sa kalusugan ng isip upang maiwasan ang mga ganitong sitwasyon.")</f>
        <v>Oo, ang Pilipinas ay may mga legal na probisyon para sa hindi boluntaryong pangako ng mga indibidwal na nanganganib na magpakamatay sa ilalim ng Republic Act No. 11036, na kilala rin bilang Mental Health Act of 2018 [https://lawphil.net/statutes/repacts/ra2018/ra_11036_2018. html](https://lawphil.net/statutes/repacts/ra2018/ra_11036_2018.html).
Narito ang isang nauugnay na seksyon ng Batas:
* **Kabanata IV, Seksyon 21. Pagpasok sa Pasilidad ng Kalusugan ng Pag-iisip:** Binabalangkas ng seksyong ito ang mga batayan para sa hindi boluntaryong pagpasok, kabilang ang:
* **Panganib sa Sarili:** Ang isang tao na, bilang resulta ng isang mental disorder, ay malamang na magdulot ng malubhang pisikal na pinsala sa kanyang sarili. Ang probisyong ito ay nagbibigay-daan para sa hindi boluntaryong pangako kung ang isang propesyonal sa kalusugan ng isip ay nagpasiya na ang isang taong may pag-iisip ng pagpapakamatay ay nagdudulot ng malaking panganib na saktan ang kanilang sarili dahil sa kanilang kalagayan sa pag-iisip.
**Gayunpaman, may mga pag-iingat sa lugar:**
* **Least Restrictive Alternative:** Ang Batas ay nagbibigay-diin sa paggamit ng hindi bababa sa paghihigpit na alternatibo sa di-boluntaryong pangako hangga't maaari. Maaaring kabilang dito ang paggamot sa outpatient o iba pang mga interbensyon bago magpa-ospital.
* **Medical Certification:** Ang isang hindi boluntaryong pagpasok ay nangangailangan ng isang medikal na sertipiko mula sa isang kwalipikadong propesyonal sa kalusugan ng isip na nagsuri sa indibidwal. * **Judicial Review:** Ang Batas ay nagbibigay para sa judicial review ng mga involuntary commitment order, na tinitiyak ang legal na pagsusuri sa proseso.
**Mahalagang tandaan na ang hindi boluntaryong pangako ay dapat na isang huling paraan.** Ang pokus ng Mental Health Act ay sa pagbibigay ng naa-access at naaangkop na mga serbisyo sa kalusugan ng isip upang maiwasan ang mga ganitong sitwasyon.</v>
      </c>
      <c r="F2458" s="2">
        <f t="shared" si="1"/>
        <v>0</v>
      </c>
      <c r="G2458" s="2"/>
      <c r="H2458" s="2"/>
      <c r="I2458" s="2"/>
      <c r="J2458" s="2"/>
      <c r="K2458" s="2"/>
      <c r="L2458" s="2"/>
      <c r="M2458" s="2"/>
      <c r="N2458" s="2"/>
      <c r="O2458" s="2"/>
      <c r="P2458" s="2"/>
      <c r="Q2458" s="2"/>
      <c r="R2458" s="2"/>
      <c r="S2458" s="2"/>
      <c r="T2458" s="2"/>
      <c r="U2458" s="2"/>
      <c r="V2458" s="2"/>
      <c r="W2458" s="2"/>
      <c r="X2458" s="2"/>
      <c r="Y2458" s="2"/>
      <c r="Z2458" s="2"/>
      <c r="AA2458" s="2"/>
    </row>
    <row r="2459">
      <c r="A2459" s="1" t="s">
        <v>5870</v>
      </c>
      <c r="B2459" s="1" t="s">
        <v>5885</v>
      </c>
      <c r="C2459" s="3" t="s">
        <v>5886</v>
      </c>
      <c r="D2459" s="2" t="str">
        <f>IFERROR(__xludf.DUMMYFUNCTION("GOOGLETRANSLATE(B2459, ""en"", ""TL"")"),"Paano tinutugunan ng batas ng Pilipinas ang mga pagsusumikap sa pagpigil sa pagpapakamatay sa mga institusyong pang-edukasyon?")</f>
        <v>Paano tinutugunan ng batas ng Pilipinas ang mga pagsusumikap sa pagpigil sa pagpapakamatay sa mga institusyong pang-edukasyon?</v>
      </c>
      <c r="E2459" s="2" t="str">
        <f>IFERROR(__xludf.DUMMYFUNCTION("GOOGLETRANSLATE(C2459, ""en"", ""TL"")"),"Walang isang batas sa Pilipinas na direktang nag-uutos ng mga pagsusumikap sa pagpigil sa pagpapakamatay sa mga institusyong pang-edukasyon. Gayunpaman, may ilang piraso ng batas at mga hakbangin ng pamahalaan na hindi direktang tumutugon sa isyung ito. N"&amp;"arito ang isang breakdown:
* **Republic Act No. 11035 o ang Mental Health Act of 2018:** Ang batas na ito ay nagtataguyod ng kamalayan sa kalusugan ng isip at nagpapalakas ng paghahatid ng serbisyo. Binibigyang-diin nito ang kahalagahan ng pagsasama-sama "&amp;"ng mga serbisyo sa kalusugan ng isip sa iba't ibang mga setting, kabilang ang mga paaralan. Bagama't hindi partikular sa pag-iwas sa pagpapakamatay, ito ay naglalatag ng batayan para sa paglikha ng isang sumusuportang kapaligiran sa mga institusyong pang-"&amp;"edukasyon.
* **Kautusan ng Departamento ng Edukasyon (DepEd) Blg. 34, s. 2012 o ang Guidelines on the Implementation of the School Mental Health Program in Public Elementary and Secondary Schools:** Ang DepEd order na ito ay nagtatatag ng School Mental He"&amp;"alth Program (SMHP) sa loob ng mga pampublikong paaralan. Ang programa ay naglalayon na tukuyin ang mga mag-aaral na may mga alalahanin sa kalusugan ng isip at bigyan sila ng naaangkop na mga interbensyon, na maaaring makatulong na maiwasan ang pagpapakam"&amp;"atay.
* **DepEd Memorandum No. 2020-015 o ang Strengthening of Social-Emotional Learning (SEL) Programs sa DepEd Schools:** Itong DepEd memorandum ay nagtataguyod ng integrasyon ng Social-Emotional Learning (SEL) sa mga paaralan. Ang mga programa ng SEL a"&amp;"y nagbibigay sa mga mag-aaral ng mga kasanayan upang pamahalaan ang mga emosyon, bumuo ng malusog na relasyon, at gumawa ng mga responsableng desisyon. Ang mga kasanayang ito ay maaaring mag-ambag sa katatagan at potensyal na mabawasan ang panganib ng pag"&amp;"papakamatay.
**Sa buod, bagama't walang iisang batas na nag-uutos ng mga programa sa pag-iwas sa pagpapakamatay sa mga paaralan, ang Pilipinas ay may balangkas sa pamamagitan ng Mental Health Act at mga inilabas ng DepEd na naghihikayat ng suporta sa kalu"&amp;"sugan ng isip at lumilikha ng mas matulungin na kapaligiran para sa mga mag-aaral, na posibleng mabawasan ang panganib sa pagpapakamatay.* * **Narito ang ilang mapagkukunan para sa karagdagang impormasyon:**
* Department of Education Philippines: [https:/"&amp;"/deped.gov.ph/](https://deped.gov.ph/)
* Ang Natasha Goulbourn Foundation: [https://pcnc.com.ph/certified_ngo/natasha-goulbourn-foundation-inc/](https://pcnc.com.ph/certified_ngo/natasha-goulbourn-foundation-inc/) (Philippine mental health advocacy group)")</f>
        <v>Walang isang batas sa Pilipinas na direktang nag-uutos ng mga pagsusumikap sa pagpigil sa pagpapakamatay sa mga institusyong pang-edukasyon. Gayunpaman, may ilang piraso ng batas at mga hakbangin ng pamahalaan na hindi direktang tumutugon sa isyung ito. Narito ang isang breakdown:
* **Republic Act No. 11035 o ang Mental Health Act of 2018:** Ang batas na ito ay nagtataguyod ng kamalayan sa kalusugan ng isip at nagpapalakas ng paghahatid ng serbisyo. Binibigyang-diin nito ang kahalagahan ng pagsasama-sama ng mga serbisyo sa kalusugan ng isip sa iba't ibang mga setting, kabilang ang mga paaralan. Bagama't hindi partikular sa pag-iwas sa pagpapakamatay, ito ay naglalatag ng batayan para sa paglikha ng isang sumusuportang kapaligiran sa mga institusyong pang-edukasyon.
* **Kautusan ng Departamento ng Edukasyon (DepEd) Blg. 34, s. 2012 o ang Guidelines on the Implementation of the School Mental Health Program in Public Elementary and Secondary Schools:** Ang DepEd order na ito ay nagtatatag ng School Mental Health Program (SMHP) sa loob ng mga pampublikong paaralan. Ang programa ay naglalayon na tukuyin ang mga mag-aaral na may mga alalahanin sa kalusugan ng isip at bigyan sila ng naaangkop na mga interbensyon, na maaaring makatulong na maiwasan ang pagpapakamatay.
* **DepEd Memorandum No. 2020-015 o ang Strengthening of Social-Emotional Learning (SEL) Programs sa DepEd Schools:** Itong DepEd memorandum ay nagtataguyod ng integrasyon ng Social-Emotional Learning (SEL) sa mga paaralan. Ang mga programa ng SEL ay nagbibigay sa mga mag-aaral ng mga kasanayan upang pamahalaan ang mga emosyon, bumuo ng malusog na relasyon, at gumawa ng mga responsableng desisyon. Ang mga kasanayang ito ay maaaring mag-ambag sa katatagan at potensyal na mabawasan ang panganib ng pagpapakamatay.
**Sa buod, bagama't walang iisang batas na nag-uutos ng mga programa sa pag-iwas sa pagpapakamatay sa mga paaralan, ang Pilipinas ay may balangkas sa pamamagitan ng Mental Health Act at mga inilabas ng DepEd na naghihikayat ng suporta sa kalusugan ng isip at lumilikha ng mas matulungin na kapaligiran para sa mga mag-aaral, na posibleng mabawasan ang panganib sa pagpapakamatay.* * **Narito ang ilang mapagkukunan para sa karagdagang impormasyon:**
* Department of Education Philippines: [https://deped.gov.ph/](https://deped.gov.ph/)
* Ang Natasha Goulbourn Foundation: [https://pcnc.com.ph/certified_ngo/natasha-goulbourn-foundation-inc/](https://pcnc.com.ph/certified_ngo/natasha-goulbourn-foundation-inc/) (Philippine mental health advocacy group)</v>
      </c>
      <c r="F2459" s="2">
        <f t="shared" si="1"/>
        <v>0</v>
      </c>
      <c r="G2459" s="2"/>
      <c r="H2459" s="2"/>
      <c r="I2459" s="2"/>
      <c r="J2459" s="2"/>
      <c r="K2459" s="2"/>
      <c r="L2459" s="2"/>
      <c r="M2459" s="2"/>
      <c r="N2459" s="2"/>
      <c r="O2459" s="2"/>
      <c r="P2459" s="2"/>
      <c r="Q2459" s="2"/>
      <c r="R2459" s="2"/>
      <c r="S2459" s="2"/>
      <c r="T2459" s="2"/>
      <c r="U2459" s="2"/>
      <c r="V2459" s="2"/>
      <c r="W2459" s="2"/>
      <c r="X2459" s="2"/>
      <c r="Y2459" s="2"/>
      <c r="Z2459" s="2"/>
      <c r="AA2459" s="2"/>
    </row>
    <row r="2460">
      <c r="A2460" s="1" t="s">
        <v>5870</v>
      </c>
      <c r="B2460" s="1" t="s">
        <v>5887</v>
      </c>
      <c r="C2460" s="3" t="s">
        <v>5888</v>
      </c>
      <c r="D2460" s="2" t="str">
        <f>IFERROR(__xludf.DUMMYFUNCTION("GOOGLETRANSLATE(B2460, ""en"", ""TL"")"),"Anong papel ang ginagampanan ng mga propesyonal sa kalusugan ng isip sa konteksto ng pag-iwas at interbensyon sa pagpapakamatay?")</f>
        <v>Anong papel ang ginagampanan ng mga propesyonal sa kalusugan ng isip sa konteksto ng pag-iwas at interbensyon sa pagpapakamatay?</v>
      </c>
      <c r="E2460" s="2" t="str">
        <f>IFERROR(__xludf.DUMMYFUNCTION("GOOGLETRANSLATE(C2460, ""en"", ""TL"")"),"Ang mga propesyonal sa kalusugang pangkaisipan ay nasa harap na linya ng pag-iwas at interbensyon sa pagpapakamatay dahil sa kanilang kadalubhasaan sa mga kondisyon ng kalusugan ng isip at kung paano sila makakapag-ambag sa mga saloobin ng pagpapakamatay."&amp;" Narito ang isang breakdown ng kanilang mahalagang papel:
* **Pagtatasa ng Panganib at Pamamagitan:** Maaari nilang tasahin ang mga kadahilanan ng panganib ng isang indibidwal para sa pagpapakamatay sa pamamagitan ng mga screening at panayam. Nakakatulong"&amp;" ito sa kanila na bumuo ng personalized na plano para mabawasan ang panganib, na maaaring may kasamang therapy, gamot, o pagpaplano sa kaligtasan.
* **Therapy at Suporta:** Maaaring magbigay ang mga therapist ng indibidwal, grupo, o pampamilyang therapy u"&amp;"pang matugunan ang mga pinagbabatayan na isyu tulad ng depression, pagkabalisa, o trauma na maaaring magpapataas ng panganib sa pagpapakamatay. Binibigyan nila ang mga indibidwal ng mga mekanismo sa pagkaya at mga kasanayan sa regulasyon sa emosyonal.
* *"&amp;"*Crisis Intervention:** Ang mga propesyonal sa kalusugan ng isip ay maaaring sanayin upang pangasiwaan ang mga sitwasyon kung saan ang isang tao ay aktibong nagpapakamatay. Maaari nilang bawasan ang sitwasyon, magbigay ng agarang suporta, at ikonekta ang "&amp;"tao sa mga mapagkukunan.
* **Pagkatapos:** Sa resulta ng isang pagtatangkang magpakamatay, maaaring suportahan ng mga therapist ang indibidwal at ang kanilang mga mahal sa buhay sa pamamagitan ng proseso ng pagdadalamhati at tulungan silang umangkop sa bu"&amp;"hay pagkatapos ng krisis. * **Edukasyon at Kamalayan:** Maaaring gumanap ang mga propesyonal sa kalusugan ng isip sa pagtuturo sa publiko tungkol sa pag-iwas sa pagpapakamatay, kabilang ang pagkilala sa mga senyales ng babala at kung paano makipag-usap sa"&amp;" isang taong maaaring nahihirapan.
**Sa pangkalahatan, ang mga propesyonal sa kalusugang pangkaisipan ay gumaganap ng mahalagang papel sa pagtukoy sa mga nasa panganib, pakikialam sa mga sitwasyon ng krisis, at pagbibigay ng patuloy na suporta sa mga indi"&amp;"bidwal na nahihirapan sa pag-iisip ng pagpapakamatay.**")</f>
        <v>Ang mga propesyonal sa kalusugang pangkaisipan ay nasa harap na linya ng pag-iwas at interbensyon sa pagpapakamatay dahil sa kanilang kadalubhasaan sa mga kondisyon ng kalusugan ng isip at kung paano sila makakapag-ambag sa mga saloobin ng pagpapakamatay. Narito ang isang breakdown ng kanilang mahalagang papel:
* **Pagtatasa ng Panganib at Pamamagitan:** Maaari nilang tasahin ang mga kadahilanan ng panganib ng isang indibidwal para sa pagpapakamatay sa pamamagitan ng mga screening at panayam. Nakakatulong ito sa kanila na bumuo ng personalized na plano para mabawasan ang panganib, na maaaring may kasamang therapy, gamot, o pagpaplano sa kaligtasan.
* **Therapy at Suporta:** Maaaring magbigay ang mga therapist ng indibidwal, grupo, o pampamilyang therapy upang matugunan ang mga pinagbabatayan na isyu tulad ng depression, pagkabalisa, o trauma na maaaring magpapataas ng panganib sa pagpapakamatay. Binibigyan nila ang mga indibidwal ng mga mekanismo sa pagkaya at mga kasanayan sa regulasyon sa emosyonal.
* **Crisis Intervention:** Ang mga propesyonal sa kalusugan ng isip ay maaaring sanayin upang pangasiwaan ang mga sitwasyon kung saan ang isang tao ay aktibong nagpapakamatay. Maaari nilang bawasan ang sitwasyon, magbigay ng agarang suporta, at ikonekta ang tao sa mga mapagkukunan.
* **Pagkatapos:** Sa resulta ng isang pagtatangkang magpakamatay, maaaring suportahan ng mga therapist ang indibidwal at ang kanilang mga mahal sa buhay sa pamamagitan ng proseso ng pagdadalamhati at tulungan silang umangkop sa buhay pagkatapos ng krisis. * **Edukasyon at Kamalayan:** Maaaring gumanap ang mga propesyonal sa kalusugan ng isip sa pagtuturo sa publiko tungkol sa pag-iwas sa pagpapakamatay, kabilang ang pagkilala sa mga senyales ng babala at kung paano makipag-usap sa isang taong maaaring nahihirapan.
**Sa pangkalahatan, ang mga propesyonal sa kalusugang pangkaisipan ay gumaganap ng mahalagang papel sa pagtukoy sa mga nasa panganib, pakikialam sa mga sitwasyon ng krisis, at pagbibigay ng patuloy na suporta sa mga indibidwal na nahihirapan sa pag-iisip ng pagpapakamatay.**</v>
      </c>
      <c r="F2460" s="2">
        <f t="shared" si="1"/>
        <v>0</v>
      </c>
      <c r="G2460" s="2"/>
      <c r="H2460" s="2"/>
      <c r="I2460" s="2"/>
      <c r="J2460" s="2"/>
      <c r="K2460" s="2"/>
      <c r="L2460" s="2"/>
      <c r="M2460" s="2"/>
      <c r="N2460" s="2"/>
      <c r="O2460" s="2"/>
      <c r="P2460" s="2"/>
      <c r="Q2460" s="2"/>
      <c r="R2460" s="2"/>
      <c r="S2460" s="2"/>
      <c r="T2460" s="2"/>
      <c r="U2460" s="2"/>
      <c r="V2460" s="2"/>
      <c r="W2460" s="2"/>
      <c r="X2460" s="2"/>
      <c r="Y2460" s="2"/>
      <c r="Z2460" s="2"/>
      <c r="AA2460" s="2"/>
    </row>
    <row r="2461">
      <c r="A2461" s="1" t="s">
        <v>5870</v>
      </c>
      <c r="B2461" s="1" t="s">
        <v>5889</v>
      </c>
      <c r="C2461" s="3" t="s">
        <v>5890</v>
      </c>
      <c r="D2461" s="2" t="str">
        <f>IFERROR(__xludf.DUMMYFUNCTION("GOOGLETRANSLATE(B2461, ""en"", ""TL"")"),"Mayroon bang mga legal na epekto para sa pagkalat ng nilalamang nauugnay sa pagpapakamatay o paghikayat sa pananakit sa sarili online?")</f>
        <v>Mayroon bang mga legal na epekto para sa pagkalat ng nilalamang nauugnay sa pagpapakamatay o paghikayat sa pananakit sa sarili online?</v>
      </c>
      <c r="E2461" s="2" t="str">
        <f>IFERROR(__xludf.DUMMYFUNCTION("GOOGLETRANSLATE(C2461, ""en"", ""TL"")"),"Sa karamihan ng mga kaso, walang direktang kasong kriminal para sa simpleng pagpapakalat ng content na nauugnay sa pagpapakamatay online. Gayunpaman, maaaring may mga legal na kahihinatnan depende sa partikular na sitwasyon. Narito ang isang breakdown:
* "&amp;"**Panghihikayat/Mga Tagubilin:** Ang paghikayat o pag-uutos sa isang tao na magpakamatay ay maaaring ituring na pagtulong sa pagpapakamatay, na isang krimen sa maraming hurisdiksyon. * **Cyberbullying:** Kung ang content ay bahagi ng cyberbullying na huma"&amp;"hantong sa pagpapakamatay, ang taong responsable ay maaaring makaharap ng mga kaso ng harassment o bullying.
* **Mga Paghahabla sa Sibil:** Kung may kumilos sa nilalamang pagpapakamatay at dumating sa kanila ang pinsala, ang taong nagpakalat nito ay maaar"&amp;"ing kasuhan ng maling kamatayan o emosyonal na pagkabalisa. **Bukod pa rito, karamihan sa mga platform ng social media ay may mga tuntunin ng serbisyo na nagbabawal sa content na nagpo-promote o nagpaparangal sa pagpapakamatay.** Ang paglabag sa mga tuntu"&amp;"ning ito ay maaaring humantong sa pagsususpinde ng account o pag-aalis ng content. Narito ang ilang mapagkukunan na maaaring makatulong:
* **National Suicide Prevention Lifeline:** 988 (US)
* **Linya ng Teksto ng Krisis:** I-text ang HOME sa 741741 (US)
*"&amp;" **International Association for Suicide Prevention:** International Association for Suicide Prevention website: [https://www.iasp.info/](https://www.iasp.info/)
Kung nag-aalala ka tungkol sa isang tao na maaaring magpakamatay, mangyaring makipag-ugnayan "&amp;"sa isang hotline ng krisis o propesyonal sa kalusugan ng isip.")</f>
        <v>Sa karamihan ng mga kaso, walang direktang kasong kriminal para sa simpleng pagpapakalat ng content na nauugnay sa pagpapakamatay online. Gayunpaman, maaaring may mga legal na kahihinatnan depende sa partikular na sitwasyon. Narito ang isang breakdown:
* **Panghihikayat/Mga Tagubilin:** Ang paghikayat o pag-uutos sa isang tao na magpakamatay ay maaaring ituring na pagtulong sa pagpapakamatay, na isang krimen sa maraming hurisdiksyon. * **Cyberbullying:** Kung ang content ay bahagi ng cyberbullying na humahantong sa pagpapakamatay, ang taong responsable ay maaaring makaharap ng mga kaso ng harassment o bullying.
* **Mga Paghahabla sa Sibil:** Kung may kumilos sa nilalamang pagpapakamatay at dumating sa kanila ang pinsala, ang taong nagpakalat nito ay maaaring kasuhan ng maling kamatayan o emosyonal na pagkabalisa. **Bukod pa rito, karamihan sa mga platform ng social media ay may mga tuntunin ng serbisyo na nagbabawal sa content na nagpo-promote o nagpaparangal sa pagpapakamatay.** Ang paglabag sa mga tuntuning ito ay maaaring humantong sa pagsususpinde ng account o pag-aalis ng content. Narito ang ilang mapagkukunan na maaaring makatulong:
* **National Suicide Prevention Lifeline:** 988 (US)
* **Linya ng Teksto ng Krisis:** I-text ang HOME sa 741741 (US)
* **International Association for Suicide Prevention:** International Association for Suicide Prevention website: [https://www.iasp.info/](https://www.iasp.info/)
Kung nag-aalala ka tungkol sa isang tao na maaaring magpakamatay, mangyaring makipag-ugnayan sa isang hotline ng krisis o propesyonal sa kalusugan ng isip.</v>
      </c>
      <c r="F2461" s="2">
        <f t="shared" si="1"/>
        <v>0</v>
      </c>
      <c r="G2461" s="2"/>
      <c r="H2461" s="2"/>
      <c r="I2461" s="2"/>
      <c r="J2461" s="2"/>
      <c r="K2461" s="2"/>
      <c r="L2461" s="2"/>
      <c r="M2461" s="2"/>
      <c r="N2461" s="2"/>
      <c r="O2461" s="2"/>
      <c r="P2461" s="2"/>
      <c r="Q2461" s="2"/>
      <c r="R2461" s="2"/>
      <c r="S2461" s="2"/>
      <c r="T2461" s="2"/>
      <c r="U2461" s="2"/>
      <c r="V2461" s="2"/>
      <c r="W2461" s="2"/>
      <c r="X2461" s="2"/>
      <c r="Y2461" s="2"/>
      <c r="Z2461" s="2"/>
      <c r="AA2461" s="2"/>
    </row>
    <row r="2462">
      <c r="A2462" s="1" t="s">
        <v>5870</v>
      </c>
      <c r="B2462" s="1" t="s">
        <v>5891</v>
      </c>
      <c r="C2462" s="3" t="s">
        <v>5892</v>
      </c>
      <c r="D2462" s="2" t="str">
        <f>IFERROR(__xludf.DUMMYFUNCTION("GOOGLETRANSLATE(B2462, ""en"", ""TL"")"),"Paano tinatrato sa ilalim ng batas ang mga tala ng pagpapakamatay o komunikasyon na nagpapahiwatig ng layunin ng pagpapakamatay?")</f>
        <v>Paano tinatrato sa ilalim ng batas ang mga tala ng pagpapakamatay o komunikasyon na nagpapahiwatig ng layunin ng pagpapakamatay?</v>
      </c>
      <c r="E2462" s="2" t="str">
        <f>IFERROR(__xludf.DUMMYFUNCTION("GOOGLETRANSLATE(C2462, ""en"", ""TL"")"),"Sa Pilipinas, ang mga tala ng pagpapakamatay o komunikasyon na nagpapahiwatig ng layunin ng pagpapakamatay ay hindi partikular na tinutugunan sa ilalim ng isang hiwalay na legal na balangkas. Gayunpaman, maaaring ituring ang mga ito bilang ebidensya sa mg"&amp;"a legal na paglilitis, partikular sa mga kaso kung saan sangkot ang pagpapakamatay o pagtatangkang pagpapakamatay. Narito kung paano maaaring tratuhin sa ilalim ng batas ang mga tala ng pagpapakamatay o komunikasyon na nagsasaad ng layunin ng pagpapakamat"&amp;"ay:
1. **Mga Pagsisiyasat sa Kriminal:**
- Ang mga tala ng pagpapakamatay o komunikasyon na nagpapahiwatig ng layunin ng pagpapakamatay ay maaaring kolektahin bilang ebidensiya sa panahon ng mga pagsisiyasat sa krimen, lalo na sa mga kaso kung saan ang pa"&amp;"gkamatay ay pinaghihinalaang isang pagpapakamatay.
- Maaaring isaalang-alang ng mga ahensyang nagpapatupad ng batas ang mga tala ng pagpapakamatay bilang bahagi ng kanilang pagsisiyasat upang maitaguyod ang mga pangyayari na nakapaligid sa pagkamatay at m"&amp;"atukoy kung may kinalaman sa foul play.
2. **Mga Legal na Pamamaraan:**
- Ang mga tala ng pagpapakamatay ay maaaring iharap bilang ebidensya sa mga legal na paglilitis, tulad ng mga inquest ng coroner o mga pagdinig sa korte, upang itatag ang estado ng pa"&amp;"g-iisip at mga intensyon ng namatay na indibidwal hanggang sa kanilang kamatayan.
- Maaaring ituring ng mga korte ang mga tala ng pagpapakamatay bilang may-katuturang ebidensya sa mga kaso na kinasasangkutan ng mga pinagtatalunang testamento, mga claim sa"&amp;" insurance, o mga paratang ng kriminal na maling gawain.
3. **Mga Pagsusuri sa Kalusugan ng Pag-iisip:**
- Maaaring suriin ng mga propesyonal sa kalusugang pangkaisipan ang mga tala ng pagpapakamatay o komunikasyon na nagpapahiwatig ng layunin ng pagpapak"&amp;"amatay bilang bahagi ng kanilang pagtatasa sa kalagayan ng pag-iisip at sikolohikal na kagalingan ng namatay na indibidwal.
- Ang mga tala ng pagpapakamatay ay maaaring magbigay ng mga insight sa mga motibo ng indibidwal, emosyonal na estado, at kasaysaya"&amp;"n ng kalusugan ng isip, na maaaring magbigay-alam sa mga klinikal na pagtatasa at pagpaplano ng paggamot.
4. **Pag-iwas at Pamamagitan:**
- Ang mga tala ng pagpapakamatay o komunikasyon na nagpapahiwatig ng layunin ng pagpapakamatay ay maaaring mag-udyok "&amp;"ng mga interbensyon ng mga propesyonal sa kalusugan ng isip, mga hotline ng krisis, o mga serbisyo ng suporta upang magbigay ng agarang tulong at suporta sa mga indibidwal na nasa pagkabalisa.
- Ang mga propesyonal sa kalusugan ng isip ay maaaring magsaga"&amp;"wa ng mga pagtatasa ng panganib at gumawa ng naaangkop na mga hakbang upang matiyak ang kaligtasan at kagalingan ng mga indibidwal na nagpapahayag ng mga saloobin o intensyon ng pagpapakamatay.
Bagama't ang mga tala ng pagpapakamatay o komunikasyon na nag"&amp;"papahiwatig ng layunin ng pagpapakamatay ay maaaring ituring bilang ebidensya sa mga legal na paglilitis at mga pagsusuri sa kalusugan ng isip, mahalagang lapitan ang mga dokumentong ito nang may sensitivity at pagiging kumpidensyal, na iginagalang ang pr"&amp;"ivacy at dignidad ng mga indibidwal na kasangkot. Bukod pa rito, ang mga pagsisikap ay dapat tumuon sa mga hakbang sa pag-iwas, maagang interbensyon, at pagbibigay ng suporta sa mga indibidwal na nahihirapan sa mga isyu sa kalusugan ng isip upang mabawasa"&amp;"n ang panganib ng pagpapakamatay at itaguyod ang kagalingan.")</f>
        <v>Sa Pilipinas, ang mga tala ng pagpapakamatay o komunikasyon na nagpapahiwatig ng layunin ng pagpapakamatay ay hindi partikular na tinutugunan sa ilalim ng isang hiwalay na legal na balangkas. Gayunpaman, maaaring ituring ang mga ito bilang ebidensya sa mga legal na paglilitis, partikular sa mga kaso kung saan sangkot ang pagpapakamatay o pagtatangkang pagpapakamatay. Narito kung paano maaaring tratuhin sa ilalim ng batas ang mga tala ng pagpapakamatay o komunikasyon na nagsasaad ng layunin ng pagpapakamatay:
1. **Mga Pagsisiyasat sa Kriminal:**
- Ang mga tala ng pagpapakamatay o komunikasyon na nagpapahiwatig ng layunin ng pagpapakamatay ay maaaring kolektahin bilang ebidensiya sa panahon ng mga pagsisiyasat sa krimen, lalo na sa mga kaso kung saan ang pagkamatay ay pinaghihinalaang isang pagpapakamatay.
- Maaaring isaalang-alang ng mga ahensyang nagpapatupad ng batas ang mga tala ng pagpapakamatay bilang bahagi ng kanilang pagsisiyasat upang maitaguyod ang mga pangyayari na nakapaligid sa pagkamatay at matukoy kung may kinalaman sa foul play.
2. **Mga Legal na Pamamaraan:**
- Ang mga tala ng pagpapakamatay ay maaaring iharap bilang ebidensya sa mga legal na paglilitis, tulad ng mga inquest ng coroner o mga pagdinig sa korte, upang itatag ang estado ng pag-iisip at mga intensyon ng namatay na indibidwal hanggang sa kanilang kamatayan.
- Maaaring ituring ng mga korte ang mga tala ng pagpapakamatay bilang may-katuturang ebidensya sa mga kaso na kinasasangkutan ng mga pinagtatalunang testamento, mga claim sa insurance, o mga paratang ng kriminal na maling gawain.
3. **Mga Pagsusuri sa Kalusugan ng Pag-iisip:**
- Maaaring suriin ng mga propesyonal sa kalusugang pangkaisipan ang mga tala ng pagpapakamatay o komunikasyon na nagpapahiwatig ng layunin ng pagpapakamatay bilang bahagi ng kanilang pagtatasa sa kalagayan ng pag-iisip at sikolohikal na kagalingan ng namatay na indibidwal.
- Ang mga tala ng pagpapakamatay ay maaaring magbigay ng mga insight sa mga motibo ng indibidwal, emosyonal na estado, at kasaysayan ng kalusugan ng isip, na maaaring magbigay-alam sa mga klinikal na pagtatasa at pagpaplano ng paggamot.
4. **Pag-iwas at Pamamagitan:**
- Ang mga tala ng pagpapakamatay o komunikasyon na nagpapahiwatig ng layunin ng pagpapakamatay ay maaaring mag-udyok ng mga interbensyon ng mga propesyonal sa kalusugan ng isip, mga hotline ng krisis, o mga serbisyo ng suporta upang magbigay ng agarang tulong at suporta sa mga indibidwal na nasa pagkabalisa.
- Ang mga propesyonal sa kalusugan ng isip ay maaaring magsagawa ng mga pagtatasa ng panganib at gumawa ng naaangkop na mga hakbang upang matiyak ang kaligtasan at kagalingan ng mga indibidwal na nagpapahayag ng mga saloobin o intensyon ng pagpapakamatay.
Bagama't ang mga tala ng pagpapakamatay o komunikasyon na nagpapahiwatig ng layunin ng pagpapakamatay ay maaaring ituring bilang ebidensya sa mga legal na paglilitis at mga pagsusuri sa kalusugan ng isip, mahalagang lapitan ang mga dokumentong ito nang may sensitivity at pagiging kumpidensyal, na iginagalang ang privacy at dignidad ng mga indibidwal na kasangkot. Bukod pa rito, ang mga pagsisikap ay dapat tumuon sa mga hakbang sa pag-iwas, maagang interbensyon, at pagbibigay ng suporta sa mga indibidwal na nahihirapan sa mga isyu sa kalusugan ng isip upang mabawasan ang panganib ng pagpapakamatay at itaguyod ang kagalingan.</v>
      </c>
      <c r="F2462" s="2">
        <f t="shared" si="1"/>
        <v>0</v>
      </c>
      <c r="G2462" s="2"/>
      <c r="H2462" s="2"/>
      <c r="I2462" s="2"/>
      <c r="J2462" s="2"/>
      <c r="K2462" s="2"/>
      <c r="L2462" s="2"/>
      <c r="M2462" s="2"/>
      <c r="N2462" s="2"/>
      <c r="O2462" s="2"/>
      <c r="P2462" s="2"/>
      <c r="Q2462" s="2"/>
      <c r="R2462" s="2"/>
      <c r="S2462" s="2"/>
      <c r="T2462" s="2"/>
      <c r="U2462" s="2"/>
      <c r="V2462" s="2"/>
      <c r="W2462" s="2"/>
      <c r="X2462" s="2"/>
      <c r="Y2462" s="2"/>
      <c r="Z2462" s="2"/>
      <c r="AA2462" s="2"/>
    </row>
    <row r="2463">
      <c r="A2463" s="1" t="s">
        <v>5870</v>
      </c>
      <c r="B2463" s="1" t="s">
        <v>5893</v>
      </c>
      <c r="C2463" s="3" t="s">
        <v>5894</v>
      </c>
      <c r="D2463" s="2" t="str">
        <f>IFERROR(__xludf.DUMMYFUNCTION("GOOGLETRANSLATE(B2463, ""en"", ""TL"")"),"Anong mga legal na hakbang ang inilalagay upang protektahan ang mga indibidwal na nakikialam upang maiwasan ang isang tao na magpakamatay?")</f>
        <v>Anong mga legal na hakbang ang inilalagay upang protektahan ang mga indibidwal na nakikialam upang maiwasan ang isang tao na magpakamatay?</v>
      </c>
      <c r="E2463" s="2" t="str">
        <f>IFERROR(__xludf.DUMMYFUNCTION("GOOGLETRANSLATE(C2463, ""en"", ""TL"")"),"Sa Pilipinas, walang anumang partikular na batas na direktang nakatuon sa pagprotekta sa mga indibidwal na nakikialam upang maiwasan ang pagpapakamatay. Gayunpaman, may mga umiiral nang legal na probisyon na maaaring mag-alok ng ilang mga pananggalang:
**"&amp;"1. Ang Konstitusyon ng Pilipinas (1987):**
* **Artikulo II, Seksyon 1:** Ginagarantiya ang karapatan sa buhay. Ito ay maaaring bigyang-kahulugan upang suportahan ang mga aksyon na ginawa upang iligtas ang buhay ng isang tao, kabilang ang pakikialam sa isa"&amp;"ng pagtatangkang magpakamatay.
* **Artikulo II, Seksyon 15:** Ginagarantiya ang karapatan sa kalusugan. Ito ay makikita bilang pagsuporta sa mga pagsisikap na protektahan ang kalusugan ng isip, na kinabibilangan ng pagpigil sa pagpapakamatay.
**2. Good Sa"&amp;"maritan Law (Republic Act No. 11582):**
* Ang batas na ito, na pinagtibay noong 2021, ay nagbibigay ng ilang proteksyon para sa mga indibidwal na nagbibigay ng tulong sa mga emergency na sitwasyon, kabilang ang mga medikal na emerhensiya. Bagama't hindi t"&amp;"ahasang binabanggit ang pagpapakamatay, maaaring gumawa ng isang malakas na argumento na ang pakikialam sa isang pagtatangkang magpakamatay ay nasa ilalim ng kategoryang ito. Ang batas ay nag-aalok ng ilang proteksyon mula sa mga demanda hangga't ang inte"&amp;"rbensyon ay ginawa nang may mabuting loob at walang inaasahang kabayaran. **3. Pagtatanggol sa Sarili (Artikulo 11, Talata 1 ng Binagong Kodigo Penal):**
* Ang probisyong ito ay nagpapahintulot sa mga indibidwal na gumamit ng makatwirang puwersa upang ipa"&amp;"gtanggol ang kanilang sarili o ang iba mula sa napipintong panganib. Sa ilang mga sitwasyon, ang pakikialam sa isang pagtatangkang magpakamatay ay maaaring ituring na pagtatanggol sa sarili, lalo na kung ang tao ay isang banta sa kanilang sarili o sa iba."&amp;"
**Mahahalagang Pagsasaalang-alang:**
* May limitasyon ang Good Samaritan Law at ang pagtatanggol sa sarili. Ang interbensyon ay dapat gawin nang may mabuting loob at may makatwirang paniniwala na kinakailangan upang mailigtas ang buhay ng tao. Ang paggam"&amp;"it ng labis na puwersa ay maaari pa ring humantong sa mga legal na epekto.
* Ang partikular na legal na interpretasyon ay depende sa mga detalye ng sitwasyon. **Mga Rekomendasyon:**
* Kapag nakikialam sa isang pagtatangkang magpakamatay, unahin ang iyong "&amp;"kaligtasan at ang kaligtasan ng taong nasa panganib. * Kung maaari, tumawag sa mga serbisyong pang-emergency o humingi ng tulong sa iba.
* Kapag lumipas na ang agarang panganib, isaalang-alang ang pagkonekta sa tao sa mga propesyonal sa kalusugan ng isip "&amp;"para sa karagdagang suporta.
**Tandaan, hindi ito legal na payo.** Kung hindi ka sigurado tungkol sa mga legal na implikasyon ng pakikialam sa isang pagtatangkang magpakamatay, palaging pinakamahusay na kumunsulta sa isang abogado.")</f>
        <v>Sa Pilipinas, walang anumang partikular na batas na direktang nakatuon sa pagprotekta sa mga indibidwal na nakikialam upang maiwasan ang pagpapakamatay. Gayunpaman, may mga umiiral nang legal na probisyon na maaaring mag-alok ng ilang mga pananggalang:
**1. Ang Konstitusyon ng Pilipinas (1987):**
* **Artikulo II, Seksyon 1:** Ginagarantiya ang karapatan sa buhay. Ito ay maaaring bigyang-kahulugan upang suportahan ang mga aksyon na ginawa upang iligtas ang buhay ng isang tao, kabilang ang pakikialam sa isang pagtatangkang magpakamatay.
* **Artikulo II, Seksyon 15:** Ginagarantiya ang karapatan sa kalusugan. Ito ay makikita bilang pagsuporta sa mga pagsisikap na protektahan ang kalusugan ng isip, na kinabibilangan ng pagpigil sa pagpapakamatay.
**2. Good Samaritan Law (Republic Act No. 11582):**
* Ang batas na ito, na pinagtibay noong 2021, ay nagbibigay ng ilang proteksyon para sa mga indibidwal na nagbibigay ng tulong sa mga emergency na sitwasyon, kabilang ang mga medikal na emerhensiya. Bagama't hindi tahasang binabanggit ang pagpapakamatay, maaaring gumawa ng isang malakas na argumento na ang pakikialam sa isang pagtatangkang magpakamatay ay nasa ilalim ng kategoryang ito. Ang batas ay nag-aalok ng ilang proteksyon mula sa mga demanda hangga't ang interbensyon ay ginawa nang may mabuting loob at walang inaasahang kabayaran. **3. Pagtatanggol sa Sarili (Artikulo 11, Talata 1 ng Binagong Kodigo Penal):**
* Ang probisyong ito ay nagpapahintulot sa mga indibidwal na gumamit ng makatwirang puwersa upang ipagtanggol ang kanilang sarili o ang iba mula sa napipintong panganib. Sa ilang mga sitwasyon, ang pakikialam sa isang pagtatangkang magpakamatay ay maaaring ituring na pagtatanggol sa sarili, lalo na kung ang tao ay isang banta sa kanilang sarili o sa iba.
**Mahahalagang Pagsasaalang-alang:**
* May limitasyon ang Good Samaritan Law at ang pagtatanggol sa sarili. Ang interbensyon ay dapat gawin nang may mabuting loob at may makatwirang paniniwala na kinakailangan upang mailigtas ang buhay ng tao. Ang paggamit ng labis na puwersa ay maaari pa ring humantong sa mga legal na epekto.
* Ang partikular na legal na interpretasyon ay depende sa mga detalye ng sitwasyon. **Mga Rekomendasyon:**
* Kapag nakikialam sa isang pagtatangkang magpakamatay, unahin ang iyong kaligtasan at ang kaligtasan ng taong nasa panganib. * Kung maaari, tumawag sa mga serbisyong pang-emergency o humingi ng tulong sa iba.
* Kapag lumipas na ang agarang panganib, isaalang-alang ang pagkonekta sa tao sa mga propesyonal sa kalusugan ng isip para sa karagdagang suporta.
**Tandaan, hindi ito legal na payo.** Kung hindi ka sigurado tungkol sa mga legal na implikasyon ng pakikialam sa isang pagtatangkang magpakamatay, palaging pinakamahusay na kumunsulta sa isang abogado.</v>
      </c>
      <c r="F2463" s="2">
        <f t="shared" si="1"/>
        <v>0</v>
      </c>
      <c r="G2463" s="2"/>
      <c r="H2463" s="2"/>
      <c r="I2463" s="2"/>
      <c r="J2463" s="2"/>
      <c r="K2463" s="2"/>
      <c r="L2463" s="2"/>
      <c r="M2463" s="2"/>
      <c r="N2463" s="2"/>
      <c r="O2463" s="2"/>
      <c r="P2463" s="2"/>
      <c r="Q2463" s="2"/>
      <c r="R2463" s="2"/>
      <c r="S2463" s="2"/>
      <c r="T2463" s="2"/>
      <c r="U2463" s="2"/>
      <c r="V2463" s="2"/>
      <c r="W2463" s="2"/>
      <c r="X2463" s="2"/>
      <c r="Y2463" s="2"/>
      <c r="Z2463" s="2"/>
      <c r="AA2463" s="2"/>
    </row>
    <row r="2464">
      <c r="A2464" s="1" t="s">
        <v>5870</v>
      </c>
      <c r="B2464" s="1" t="s">
        <v>5895</v>
      </c>
      <c r="C2464" s="3" t="s">
        <v>5896</v>
      </c>
      <c r="D2464" s="2" t="str">
        <f>IFERROR(__xludf.DUMMYFUNCTION("GOOGLETRANSLATE(B2464, ""en"", ""TL"")"),"Paano tinutugunan ng batas ang pag-uulat at pagsisiyasat ng mga pagpapakamatay?")</f>
        <v>Paano tinutugunan ng batas ang pag-uulat at pagsisiyasat ng mga pagpapakamatay?</v>
      </c>
      <c r="E2464" s="2" t="str">
        <f>IFERROR(__xludf.DUMMYFUNCTION("GOOGLETRANSLATE(C2464, ""en"", ""TL"")"),"Ang batas ng Pilipinas ay walang iisa, partikular na probisyon na nagbabalangkas ng isang mandatoryong proseso ng pag-uulat at pagsisiyasat para sa mga pagpapakamatay. Gayunpaman, may mga umiiral nang legal na alituntunin at kasanayan na maaaring may kaug"&amp;"nayan:
**Pag-uulat:**
* **Walang Mandatoryong Pag-uulat:** Sa kasalukuyan, walang legal na mandato para sa mga medikal na propesyonal, tagapagpatupad ng batas, o publiko na mag-ulat ng mga pagpapakamatay sa anumang partikular na awtoridad. **Pagsisiyasat:"&amp;"**
* **Pamantayang Pamamaraan sa Pagpapatupad ng Batas:** Kung pinaghihinalaan ang pagpapatiwakal, malamang na magsagawa ng pagsisiyasat ang tagapagpatupad ng batas alinsunod sa mga karaniwang pamamaraan para sa hindi natural na pagkamatay. Maaaring kabil"&amp;"ang dito ang pagsisiyasat sa eksena, mga panayam sa saksi, at posibleng, isang autopsy.
* **Mga Pagtatanong ng Coroner:** Sa ilang mga kaso, maaaring magsagawa ng pagtatanong ng coroner upang opisyal na matukoy ang sanhi ng kamatayan (pagpapatiwakal o kun"&amp;"g hindi man). Ito ay kadalasang ginagawa kapag ang sanhi ng kamatayan ay hindi malinaw.
**Mental Health Act (Republic Act No. 11036):**
* **Seksyon 20:** Bagama't hindi direktang nauugnay sa pag-uulat, ang seksyong ito ay nag-uutos sa DOH na magtatag ng N"&amp;"ational Suicide Prevention Surveillance System. Ang sistemang ito ay maaaring mangolekta ng data sa mga pagpapakamatay upang ipaalam ang mga diskarte sa pag-iwas sa hinaharap.
**Department of Health (DOH):**
* Ang DOH ay maaaring may panloob na mga alitun"&amp;"tunin o protocol na may kaugnayan sa pag-uulat ng pagpapakamatay at pagkolekta ng data sa loob ng kanilang mga pasilidad sa pangangalagang pangkalusugan.
**Mahahalagang Pagsasaalang-alang:**
* Ang pag-uulat at pagsisiyasat ng mga pagpapakamatay ay maaarin"&amp;"g mag-iba depende sa partikular na mga pangyayari ng kaso at sa mga lokal na awtoridad na kasangkot. * Maaaring may lumalaking diin sa pangongolekta ng data na may kaugnayan sa mga pagpapakamatay, ngunit ang isang pare-parehong sistema ng pambansang pag-u"&amp;"ulat ay wala pa sa lugar.
**Para sa karagdagang impormasyon:**
* Maaari mong tingnan ang website ng DOH [https://doh.gov.ph/](https://doh.gov.ph/) para sa anumang update sa mga hakbangin sa pagpigil sa pagpapakamatay o mga kasanayan sa pangongolekta ng da"&amp;"tos.
**Tandaan, hindi ito legal na payo.** Kung mayroon kang mga partikular na tanong tungkol sa pagsisiyasat sa pagpapakamatay, inirerekomendang kumunsulta sa isang abogadong pamilyar sa mga pamamaraan ng batas sa kriminal.")</f>
        <v>Ang batas ng Pilipinas ay walang iisa, partikular na probisyon na nagbabalangkas ng isang mandatoryong proseso ng pag-uulat at pagsisiyasat para sa mga pagpapakamatay. Gayunpaman, may mga umiiral nang legal na alituntunin at kasanayan na maaaring may kaugnayan:
**Pag-uulat:**
* **Walang Mandatoryong Pag-uulat:** Sa kasalukuyan, walang legal na mandato para sa mga medikal na propesyonal, tagapagpatupad ng batas, o publiko na mag-ulat ng mga pagpapakamatay sa anumang partikular na awtoridad. **Pagsisiyasat:**
* **Pamantayang Pamamaraan sa Pagpapatupad ng Batas:** Kung pinaghihinalaan ang pagpapatiwakal, malamang na magsagawa ng pagsisiyasat ang tagapagpatupad ng batas alinsunod sa mga karaniwang pamamaraan para sa hindi natural na pagkamatay. Maaaring kabilang dito ang pagsisiyasat sa eksena, mga panayam sa saksi, at posibleng, isang autopsy.
* **Mga Pagtatanong ng Coroner:** Sa ilang mga kaso, maaaring magsagawa ng pagtatanong ng coroner upang opisyal na matukoy ang sanhi ng kamatayan (pagpapatiwakal o kung hindi man). Ito ay kadalasang ginagawa kapag ang sanhi ng kamatayan ay hindi malinaw.
**Mental Health Act (Republic Act No. 11036):**
* **Seksyon 20:** Bagama't hindi direktang nauugnay sa pag-uulat, ang seksyong ito ay nag-uutos sa DOH na magtatag ng National Suicide Prevention Surveillance System. Ang sistemang ito ay maaaring mangolekta ng data sa mga pagpapakamatay upang ipaalam ang mga diskarte sa pag-iwas sa hinaharap.
**Department of Health (DOH):**
* Ang DOH ay maaaring may panloob na mga alituntunin o protocol na may kaugnayan sa pag-uulat ng pagpapakamatay at pagkolekta ng data sa loob ng kanilang mga pasilidad sa pangangalagang pangkalusugan.
**Mahahalagang Pagsasaalang-alang:**
* Ang pag-uulat at pagsisiyasat ng mga pagpapakamatay ay maaaring mag-iba depende sa partikular na mga pangyayari ng kaso at sa mga lokal na awtoridad na kasangkot. * Maaaring may lumalaking diin sa pangongolekta ng data na may kaugnayan sa mga pagpapakamatay, ngunit ang isang pare-parehong sistema ng pambansang pag-uulat ay wala pa sa lugar.
**Para sa karagdagang impormasyon:**
* Maaari mong tingnan ang website ng DOH [https://doh.gov.ph/](https://doh.gov.ph/) para sa anumang update sa mga hakbangin sa pagpigil sa pagpapakamatay o mga kasanayan sa pangongolekta ng datos.
**Tandaan, hindi ito legal na payo.** Kung mayroon kang mga partikular na tanong tungkol sa pagsisiyasat sa pagpapakamatay, inirerekomendang kumunsulta sa isang abogadong pamilyar sa mga pamamaraan ng batas sa kriminal.</v>
      </c>
      <c r="F2464" s="2">
        <f t="shared" si="1"/>
        <v>0</v>
      </c>
      <c r="G2464" s="2"/>
      <c r="H2464" s="2"/>
      <c r="I2464" s="2"/>
      <c r="J2464" s="2"/>
      <c r="K2464" s="2"/>
      <c r="L2464" s="2"/>
      <c r="M2464" s="2"/>
      <c r="N2464" s="2"/>
      <c r="O2464" s="2"/>
      <c r="P2464" s="2"/>
      <c r="Q2464" s="2"/>
      <c r="R2464" s="2"/>
      <c r="S2464" s="2"/>
      <c r="T2464" s="2"/>
      <c r="U2464" s="2"/>
      <c r="V2464" s="2"/>
      <c r="W2464" s="2"/>
      <c r="X2464" s="2"/>
      <c r="Y2464" s="2"/>
      <c r="Z2464" s="2"/>
      <c r="AA2464" s="2"/>
    </row>
    <row r="2465">
      <c r="A2465" s="1" t="s">
        <v>5870</v>
      </c>
      <c r="B2465" s="1" t="s">
        <v>5897</v>
      </c>
      <c r="C2465" s="3" t="s">
        <v>5898</v>
      </c>
      <c r="D2465" s="2" t="str">
        <f>IFERROR(__xludf.DUMMYFUNCTION("GOOGLETRANSLATE(B2465, ""en"", ""TL"")"),"Mayroon bang mga legal na proteksyon para sa mga indibidwal na nagbubunyag ng kanilang mga saloobin sa pagpapakamatay na naghahanap ng tulong?")</f>
        <v>Mayroon bang mga legal na proteksyon para sa mga indibidwal na nagbubunyag ng kanilang mga saloobin sa pagpapakamatay na naghahanap ng tulong?</v>
      </c>
      <c r="E2465" s="2" t="str">
        <f>IFERROR(__xludf.DUMMYFUNCTION("GOOGLETRANSLATE(C2465, ""en"", ""TL"")"),"Walang isa, partikular na batas sa Pilipinas na nag-aalok ng blankong legal na proteksyon para sa mga taong nagbubunyag ng mga saloobin ng pagpapakamatay habang humihingi ng tulong. Gayunpaman, may mga dahilan upang maniwala na sila ay karaniwang protekta"&amp;"do, kasama ang ilang mga nuance na dapat isaalang-alang:
**Mga proteksyon batay sa mga umiiral nang batas:**
* **Karapatan sa Pagkapribado (Artikulo III, Seksyon 1 ng 1987 Konstitusyon):** Ang probisyon ng konstitusyon na ito ay nangangalaga sa pagkapriba"&amp;"do ng komunikasyon, na posibleng sumaklaw sa mga pagsisiwalat ng mga saloobin ng pagpapakamatay na ginawa habang humihingi ng tulong. * **Doctor-Patient Confidentiality (Republic Act No. 10801 o Philippine Medical Act of 2013):** Pinoprotektahan ng batas "&amp;"na ito ang pagiging kompidensiyal ng mga komunikasyon sa pagitan ng isang doktor at kanilang pasyente. Ang impormasyon tungkol sa mga saloobin ng pagpapakamatay na ipinahayag sa isang doktor o lisensyadong propesyonal sa kalusugan ng isip ay malamang na s"&amp;"aklaw sa ilalim ng batas na ito.
* **Ang Mental Health Act (Republic Act No. 11036):** Ang Seksyon 14 at 15 ng Batas na ito ay nagbibigay-diin sa kahalagahan ng pagiging kumpidensyal sa mga serbisyo sa kalusugan ng isip. Pinalalakas nito ang kaso para sa "&amp;"pagprotekta sa mga indibidwal na nagbubunyag ng mga saloobin ng pagpapakamatay habang humihingi ng tulong mula sa mga kwalipikadong propesyonal.
**Mahahalagang Pagsasaalang-alang:**
* **Limitadong Saklaw:** Ang mga proteksyong ito ay malamang na pinakamal"&amp;"akas kapag nagbubunyag ng mga saloobin ng pagpapakamatay sa mga lisensyadong medikal na propesyonal o mga kwalipikadong tagapagbigay ng serbisyo sa kalusugan ng isip.
* **Mga Pagbubukod:** Maaaring may mga sitwasyon kung saan maaaring labagin ang pagiging"&amp;" kompidensiyal, gaya ng napipintong panganib sa sarili o sa iba, o isang utos ng hukuman na humihimok sa pagbubunyag.
* **Walang Garantiya:** Habang ang mga batas na binanggit sa itaas ay nagbibigay ng balangkas para sa pagprotekta sa pagiging kumpidensya"&amp;"l, hindi ito ganap na garantiya.
**Mga Karagdagang Rekomendasyon:**
* Kapag humihingi ng tulong, unahin ang mga lisensyadong medikal na propesyonal o mga kwalipikadong tagapagbigay ng serbisyo sa kalusugan ng isip na napapailalim sa mga etikal na code na "&amp;"nagbibigay-diin sa pagiging kumpidensyal. * Kung hindi sigurado tungkol sa mga kasanayan sa pagiging kumpidensyal, palaging ipinapayong magtanong nang direkta sa propesyonal bago ibunyag ang sensitibong impormasyon.
**Kabuuan:**
Bagama't walang iisang leg"&amp;"al na kalasag, ang Pilipinas ay may umuunlad na legal na balangkas na sumusuporta sa pagprotekta sa mga indibidwal na nagbubunyag ng mga saloobin ng pagpapakamatay habang humihingi ng tulong, partikular sa mga lisensyadong propesyonal. Gayunpaman, palagin"&amp;"g pinakamahusay na unahin ang mga kwalipikadong provider at magtanong tungkol sa kanilang mga kasanayan sa pagiging kumpidensyal para sa kapayapaan ng isip.")</f>
        <v>Walang isa, partikular na batas sa Pilipinas na nag-aalok ng blankong legal na proteksyon para sa mga taong nagbubunyag ng mga saloobin ng pagpapakamatay habang humihingi ng tulong. Gayunpaman, may mga dahilan upang maniwala na sila ay karaniwang protektado, kasama ang ilang mga nuance na dapat isaalang-alang:
**Mga proteksyon batay sa mga umiiral nang batas:**
* **Karapatan sa Pagkapribado (Artikulo III, Seksyon 1 ng 1987 Konstitusyon):** Ang probisyon ng konstitusyon na ito ay nangangalaga sa pagkapribado ng komunikasyon, na posibleng sumaklaw sa mga pagsisiwalat ng mga saloobin ng pagpapakamatay na ginawa habang humihingi ng tulong. * **Doctor-Patient Confidentiality (Republic Act No. 10801 o Philippine Medical Act of 2013):** Pinoprotektahan ng batas na ito ang pagiging kompidensiyal ng mga komunikasyon sa pagitan ng isang doktor at kanilang pasyente. Ang impormasyon tungkol sa mga saloobin ng pagpapakamatay na ipinahayag sa isang doktor o lisensyadong propesyonal sa kalusugan ng isip ay malamang na saklaw sa ilalim ng batas na ito.
* **Ang Mental Health Act (Republic Act No. 11036):** Ang Seksyon 14 at 15 ng Batas na ito ay nagbibigay-diin sa kahalagahan ng pagiging kumpidensyal sa mga serbisyo sa kalusugan ng isip. Pinalalakas nito ang kaso para sa pagprotekta sa mga indibidwal na nagbubunyag ng mga saloobin ng pagpapakamatay habang humihingi ng tulong mula sa mga kwalipikadong propesyonal.
**Mahahalagang Pagsasaalang-alang:**
* **Limitadong Saklaw:** Ang mga proteksyong ito ay malamang na pinakamalakas kapag nagbubunyag ng mga saloobin ng pagpapakamatay sa mga lisensyadong medikal na propesyonal o mga kwalipikadong tagapagbigay ng serbisyo sa kalusugan ng isip.
* **Mga Pagbubukod:** Maaaring may mga sitwasyon kung saan maaaring labagin ang pagiging kompidensiyal, gaya ng napipintong panganib sa sarili o sa iba, o isang utos ng hukuman na humihimok sa pagbubunyag.
* **Walang Garantiya:** Habang ang mga batas na binanggit sa itaas ay nagbibigay ng balangkas para sa pagprotekta sa pagiging kumpidensyal, hindi ito ganap na garantiya.
**Mga Karagdagang Rekomendasyon:**
* Kapag humihingi ng tulong, unahin ang mga lisensyadong medikal na propesyonal o mga kwalipikadong tagapagbigay ng serbisyo sa kalusugan ng isip na napapailalim sa mga etikal na code na nagbibigay-diin sa pagiging kumpidensyal. * Kung hindi sigurado tungkol sa mga kasanayan sa pagiging kumpidensyal, palaging ipinapayong magtanong nang direkta sa propesyonal bago ibunyag ang sensitibong impormasyon.
**Kabuuan:**
Bagama't walang iisang legal na kalasag, ang Pilipinas ay may umuunlad na legal na balangkas na sumusuporta sa pagprotekta sa mga indibidwal na nagbubunyag ng mga saloobin ng pagpapakamatay habang humihingi ng tulong, partikular sa mga lisensyadong propesyonal. Gayunpaman, palaging pinakamahusay na unahin ang mga kwalipikadong provider at magtanong tungkol sa kanilang mga kasanayan sa pagiging kumpidensyal para sa kapayapaan ng isip.</v>
      </c>
      <c r="F2465" s="2">
        <f t="shared" si="1"/>
        <v>0</v>
      </c>
      <c r="G2465" s="2"/>
      <c r="H2465" s="2"/>
      <c r="I2465" s="2"/>
      <c r="J2465" s="2"/>
      <c r="K2465" s="2"/>
      <c r="L2465" s="2"/>
      <c r="M2465" s="2"/>
      <c r="N2465" s="2"/>
      <c r="O2465" s="2"/>
      <c r="P2465" s="2"/>
      <c r="Q2465" s="2"/>
      <c r="R2465" s="2"/>
      <c r="S2465" s="2"/>
      <c r="T2465" s="2"/>
      <c r="U2465" s="2"/>
      <c r="V2465" s="2"/>
      <c r="W2465" s="2"/>
      <c r="X2465" s="2"/>
      <c r="Y2465" s="2"/>
      <c r="Z2465" s="2"/>
      <c r="AA2465" s="2"/>
    </row>
    <row r="2466">
      <c r="A2466" s="1" t="s">
        <v>5870</v>
      </c>
      <c r="B2466" s="1" t="s">
        <v>5899</v>
      </c>
      <c r="C2466" s="3" t="s">
        <v>5900</v>
      </c>
      <c r="D2466" s="2" t="str">
        <f>IFERROR(__xludf.DUMMYFUNCTION("GOOGLETRANSLATE(B2466, ""en"", ""TL"")"),"Anong mga legal na probisyon ang umiiral para sa mga pagsusumikap sa postvention, na nagbibigay ng suporta sa mga apektado ng pagpapakamatay?")</f>
        <v>Anong mga legal na probisyon ang umiiral para sa mga pagsusumikap sa postvention, na nagbibigay ng suporta sa mga apektado ng pagpapakamatay?</v>
      </c>
      <c r="E2466" s="2" t="str">
        <f>IFERROR(__xludf.DUMMYFUNCTION("GOOGLETRANSLATE(C2466, ""en"", ""TL"")"),"Ang batas ng Pilipinas ay walang iisa, partikular na legal na probisyon na nakatuon lamang sa mga pagsusumikap sa postvention, na siyang kasanayan ng pagbibigay ng suporta sa mga apektado ng pagpapatiwakal. Gayunpaman, may mga umiiral na batas at inisyati"&amp;"ba na makikita na hindi direktang tumutugon sa pangangailangang ito:
**1. Republic Act No. 11036 o ang Mental Health Act of 2018:**
* **Seksyon 11:** Ang seksyong ito ay nag-uutos sa pagtatatag ng mga hotline ng krisis at iba pang serbisyo ng suporta sa k"&amp;"alusugan ng isip. Bagama't hindi eksklusibo sa mga naapektuhan ng pagpapakamatay, maaari itong maging isang mahalagang mapagkukunan para sa mga indibidwal na humaharap sa kalungkutan at trauma pagkatapos ng pagkawala.
* **Seksyon 10:** Nakatuon ang seksyo"&amp;"ng ito sa pagsasama ng mga serbisyo sa kalusugan ng isip sa mga programang pangkalusugan ng pamahalaan. Bagama't hindi direktang nauugnay sa postvention, itinatampok nito ang lumalagong pagkilala sa kalusugan ng isip at maaaring magbigay daan para sa pags"&amp;"asama ng mga programa ng suporta sa postvention sa hinaharap. **2. Ang Konstitusyon ng Pilipinas (1987):**
* **Artikulo II, Seksyon 15:** Ginagarantiya ang karapatan sa kalusugan, na maaaring bigyang-kahulugan na kasama ang mga serbisyo sa kalusugan ng is"&amp;"ip para sa mga naulila sa pamamagitan ng pagpapatiwakal.
**3. Mga Programa at Inisyatiba ng Department of Health (DOH):**
* Maaaring may mga kasalukuyang programa o inisyatiba ang DOH na nag-aalok ng mga serbisyo ng suporta para sa mga survivors ng pagpap"&amp;"akamatay, tulad ng grief counseling o support groups. Makakahanap ka ng impormasyon sa website ng DOH [https://doh.gov.ph/](https://doh.gov.ph/).
**4. Mga Inisyatibo ng Local Government Unit (LGU):**
* Ang ilang mga LGU ay maaaring may mga programa sa kal"&amp;"usugan ng isip o mga krisis hotline na maaaring magbigay ng suporta sa mga apektado ng pagpapakamatay. Inirerekomenda na suriin sa iyong lokal na pamahalaan para sa anumang magagamit na mapagkukunan.
**Mga Karagdagang Pagsasaalang-alang:**
* Ang availabil"&amp;"ity at accessibility ng postvention support services ay maaaring mag-iba nang malaki sa iba't ibang rehiyon sa Pilipinas.
* Mayroong lumalagong diin sa kalusugan ng isip, at ang pagbuo ng mas tiyak na mga legal na balangkas na tumutugon sa mga pagsusumika"&amp;"p sa postvention ay isang posibilidad.
**Para sa karagdagang impormasyon:**
* Makipag-ugnayan sa DOH o sa iyong lokal na pamahalaan para sa mga detalye sa mga magagamit na serbisyo sa suporta sa kalusugan ng isip. * Isaalang-alang ang pag-abot sa mga orga"&amp;"nisasyon ng kalusugan ng isip na maaaring mag-alok ng suporta sa pangungulila o mga serbisyo sa pagpapayo sa kalungkutan.
Tandaan, hindi ito legal na payo. Ang tugon na ito ay naglalayong magbigay ng pangkalahatang pag-unawa sa kasalukuyang tanawin at mga"&amp;" potensyal na mapagkukunan para sa suporta sa postvention.")</f>
        <v>Ang batas ng Pilipinas ay walang iisa, partikular na legal na probisyon na nakatuon lamang sa mga pagsusumikap sa postvention, na siyang kasanayan ng pagbibigay ng suporta sa mga apektado ng pagpapatiwakal. Gayunpaman, may mga umiiral na batas at inisyatiba na makikita na hindi direktang tumutugon sa pangangailangang ito:
**1. Republic Act No. 11036 o ang Mental Health Act of 2018:**
* **Seksyon 11:** Ang seksyong ito ay nag-uutos sa pagtatatag ng mga hotline ng krisis at iba pang serbisyo ng suporta sa kalusugan ng isip. Bagama't hindi eksklusibo sa mga naapektuhan ng pagpapakamatay, maaari itong maging isang mahalagang mapagkukunan para sa mga indibidwal na humaharap sa kalungkutan at trauma pagkatapos ng pagkawala.
* **Seksyon 10:** Nakatuon ang seksyong ito sa pagsasama ng mga serbisyo sa kalusugan ng isip sa mga programang pangkalusugan ng pamahalaan. Bagama't hindi direktang nauugnay sa postvention, itinatampok nito ang lumalagong pagkilala sa kalusugan ng isip at maaaring magbigay daan para sa pagsasama ng mga programa ng suporta sa postvention sa hinaharap. **2. Ang Konstitusyon ng Pilipinas (1987):**
* **Artikulo II, Seksyon 15:** Ginagarantiya ang karapatan sa kalusugan, na maaaring bigyang-kahulugan na kasama ang mga serbisyo sa kalusugan ng isip para sa mga naulila sa pamamagitan ng pagpapatiwakal.
**3. Mga Programa at Inisyatiba ng Department of Health (DOH):**
* Maaaring may mga kasalukuyang programa o inisyatiba ang DOH na nag-aalok ng mga serbisyo ng suporta para sa mga survivors ng pagpapakamatay, tulad ng grief counseling o support groups. Makakahanap ka ng impormasyon sa website ng DOH [https://doh.gov.ph/](https://doh.gov.ph/).
**4. Mga Inisyatibo ng Local Government Unit (LGU):**
* Ang ilang mga LGU ay maaaring may mga programa sa kalusugan ng isip o mga krisis hotline na maaaring magbigay ng suporta sa mga apektado ng pagpapakamatay. Inirerekomenda na suriin sa iyong lokal na pamahalaan para sa anumang magagamit na mapagkukunan.
**Mga Karagdagang Pagsasaalang-alang:**
* Ang availability at accessibility ng postvention support services ay maaaring mag-iba nang malaki sa iba't ibang rehiyon sa Pilipinas.
* Mayroong lumalagong diin sa kalusugan ng isip, at ang pagbuo ng mas tiyak na mga legal na balangkas na tumutugon sa mga pagsusumikap sa postvention ay isang posibilidad.
**Para sa karagdagang impormasyon:**
* Makipag-ugnayan sa DOH o sa iyong lokal na pamahalaan para sa mga detalye sa mga magagamit na serbisyo sa suporta sa kalusugan ng isip. * Isaalang-alang ang pag-abot sa mga organisasyon ng kalusugan ng isip na maaaring mag-alok ng suporta sa pangungulila o mga serbisyo sa pagpapayo sa kalungkutan.
Tandaan, hindi ito legal na payo. Ang tugon na ito ay naglalayong magbigay ng pangkalahatang pag-unawa sa kasalukuyang tanawin at mga potensyal na mapagkukunan para sa suporta sa postvention.</v>
      </c>
      <c r="F2466" s="2">
        <f t="shared" si="1"/>
        <v>0</v>
      </c>
      <c r="G2466" s="2"/>
      <c r="H2466" s="2"/>
      <c r="I2466" s="2"/>
      <c r="J2466" s="2"/>
      <c r="K2466" s="2"/>
      <c r="L2466" s="2"/>
      <c r="M2466" s="2"/>
      <c r="N2466" s="2"/>
      <c r="O2466" s="2"/>
      <c r="P2466" s="2"/>
      <c r="Q2466" s="2"/>
      <c r="R2466" s="2"/>
      <c r="S2466" s="2"/>
      <c r="T2466" s="2"/>
      <c r="U2466" s="2"/>
      <c r="V2466" s="2"/>
      <c r="W2466" s="2"/>
      <c r="X2466" s="2"/>
      <c r="Y2466" s="2"/>
      <c r="Z2466" s="2"/>
      <c r="AA2466" s="2"/>
    </row>
    <row r="2467">
      <c r="A2467" s="1" t="s">
        <v>5870</v>
      </c>
      <c r="B2467" s="1" t="s">
        <v>5901</v>
      </c>
      <c r="C2467" s="3" t="s">
        <v>5902</v>
      </c>
      <c r="D2467" s="2" t="str">
        <f>IFERROR(__xludf.DUMMYFUNCTION("GOOGLETRANSLATE(B2467, ""en"", ""TL"")"),"Paano tinutugunan ng batas ng Pilipinas ang pagpigil sa pagpapakamatay sa lugar ng trabaho at suporta sa kalusugan ng isip?")</f>
        <v>Paano tinutugunan ng batas ng Pilipinas ang pagpigil sa pagpapakamatay sa lugar ng trabaho at suporta sa kalusugan ng isip?</v>
      </c>
      <c r="E2467" s="2" t="str">
        <f>IFERROR(__xludf.DUMMYFUNCTION("GOOGLETRANSLATE(C2467, ""en"", ""TL"")"),"Ang batas ng Pilipinas ay kasalukuyang nagsasagawa ng hindi direktang diskarte sa pag-iwas sa pagpapakamatay sa lugar ng trabaho at suporta sa kalusugan ng isip. Walang nag-iisa, komprehensibong batas na nag-uutos ng mga partikular na programa. Gayunpaman"&amp;", maraming legal na probisyon ang lumikha ng isang balangkas na maaaring magamit upang hikayatin o hilingin sa mga employer na kumilos:
**1. Republic Act No. 11036 o ang Mental Health Act of 2018:**
* **Seksyon 26:** Pinipilit ng seksyong ito ang mga empl"&amp;"oyer na bumuo ng **mga naaangkop na patakaran at programa** sa mga isyu sa kalusugan ng isip. Bagama't hindi tahasang binabanggit ang pag-iwas sa pagpapakamatay, maaari itong bigyang-kahulugan na isama ang mga programang tumutukoy sa mga nasa panganib na "&amp;"empleyado at nagbibigay ng mga mekanismo ng suporta.
* **Seksyon 10:** Ang seksyong ito ay nag-uutos sa pagsasama ng mga serbisyo sa kalusugan ng isip sa lahat ng mga programa sa kalusugan ng pamahalaan. Bagama't hindi direktang naaangkop sa mga lugar ng "&amp;"trabaho, itinatampok nito ang lumalagong pagkilala sa kalusugan ng isip at maaaring itulak ang mga employer na mag-alok o padaliin ang pag-access sa mga mapagkukunan ng kalusugan ng isip para sa kanilang mga empleyado.
**2. Ang Konstitusyon ng Pilipinas ("&amp;"1987):**
* **Artikulo XIII, Seksyon 3:** Ginagarantiyahan ng seksyong ito ang karapatan sa sariling organisasyon. Nagbibigay-daan ito sa mga empleyado na bumuo ng mga unyon at posibleng makipagtawaran para sa mga benepisyo o programa sa kalusugan ng isip "&amp;"bilang bahagi ng kanilang mga kasunduan sa collective bargaining.
**3. Mga pagpapalabas ng Department of Labor and Employment (DOLE):**
* Maaaring naglabas ang DOLE ng mga kautusan ng departamento o mga regulasyon na naghihikayat o nag-aatas sa mga tagapa"&amp;"g-empleyo na magpatupad ng mga programa para sa kalusugan ng isip at kagalingan sa lugar ng trabaho. Makikita mo ang mga ito sa website ng DOLE [https://www.officialgazette.gov.ph/section/briefing-room/department-of-labor-and-employment/](https://www.offi"&amp;"cialgazette.gov.ph /section/briefing-room/department-of-labor-and-employment/).
**Mga Karagdagang Pagsasaalang-alang:**
* Ang partikular na nilalaman at pagpapatupad ng mga programang ito ay ipaubaya sa pagpapasya ng mga employer sa loob ng legal na balan"&amp;"gkas.
* Ang kakulangan ng malinaw na legal na mandato ay maaaring magresulta sa hindi pantay na pagpapatupad sa iba't ibang lugar ng trabaho.
**Inaasahan:**
* Ang pagpasa ng isang batas na partikular na nakatuon sa kalusugan ng isip sa lugar ng trabaho at"&amp;" pag-iwas sa pagpapakamatay ay isang posibilidad.
* Ang pagtaas ng kamalayan at mga pagsusumikap sa pagtataguyod ay maaaring magtulak para sa mas matibay na mga legal na utos at mas mahusay na pagpapatupad ng mga kasalukuyang probisyon.
**Mahalagang tanda"&amp;"an na hindi ito legal na payo.** Kung mayroon kang mga partikular na alalahanin tungkol sa suporta sa kalusugan ng isip sa lugar ng trabaho o pinaghihinalaan mo ang masamang kapaligiran sa trabaho, palaging inirerekomenda na kumunsulta sa isang abogado na"&amp;" dalubhasa sa batas sa paggawa.")</f>
        <v>Ang batas ng Pilipinas ay kasalukuyang nagsasagawa ng hindi direktang diskarte sa pag-iwas sa pagpapakamatay sa lugar ng trabaho at suporta sa kalusugan ng isip. Walang nag-iisa, komprehensibong batas na nag-uutos ng mga partikular na programa. Gayunpaman, maraming legal na probisyon ang lumikha ng isang balangkas na maaaring magamit upang hikayatin o hilingin sa mga employer na kumilos:
**1. Republic Act No. 11036 o ang Mental Health Act of 2018:**
* **Seksyon 26:** Pinipilit ng seksyong ito ang mga employer na bumuo ng **mga naaangkop na patakaran at programa** sa mga isyu sa kalusugan ng isip. Bagama't hindi tahasang binabanggit ang pag-iwas sa pagpapakamatay, maaari itong bigyang-kahulugan na isama ang mga programang tumutukoy sa mga nasa panganib na empleyado at nagbibigay ng mga mekanismo ng suporta.
* **Seksyon 10:** Ang seksyong ito ay nag-uutos sa pagsasama ng mga serbisyo sa kalusugan ng isip sa lahat ng mga programa sa kalusugan ng pamahalaan. Bagama't hindi direktang naaangkop sa mga lugar ng trabaho, itinatampok nito ang lumalagong pagkilala sa kalusugan ng isip at maaaring itulak ang mga employer na mag-alok o padaliin ang pag-access sa mga mapagkukunan ng kalusugan ng isip para sa kanilang mga empleyado.
**2. Ang Konstitusyon ng Pilipinas (1987):**
* **Artikulo XIII, Seksyon 3:** Ginagarantiyahan ng seksyong ito ang karapatan sa sariling organisasyon. Nagbibigay-daan ito sa mga empleyado na bumuo ng mga unyon at posibleng makipagtawaran para sa mga benepisyo o programa sa kalusugan ng isip bilang bahagi ng kanilang mga kasunduan sa collective bargaining.
**3. Mga pagpapalabas ng Department of Labor and Employment (DOLE):**
* Maaaring naglabas ang DOLE ng mga kautusan ng departamento o mga regulasyon na naghihikayat o nag-aatas sa mga tagapag-empleyo na magpatupad ng mga programa para sa kalusugan ng isip at kagalingan sa lugar ng trabaho. Makikita mo ang mga ito sa website ng DOLE [https://www.officialgazette.gov.ph/section/briefing-room/department-of-labor-and-employment/](https://www.officialgazette.gov.ph /section/briefing-room/department-of-labor-and-employment/).
**Mga Karagdagang Pagsasaalang-alang:**
* Ang partikular na nilalaman at pagpapatupad ng mga programang ito ay ipaubaya sa pagpapasya ng mga employer sa loob ng legal na balangkas.
* Ang kakulangan ng malinaw na legal na mandato ay maaaring magresulta sa hindi pantay na pagpapatupad sa iba't ibang lugar ng trabaho.
**Inaasahan:**
* Ang pagpasa ng isang batas na partikular na nakatuon sa kalusugan ng isip sa lugar ng trabaho at pag-iwas sa pagpapakamatay ay isang posibilidad.
* Ang pagtaas ng kamalayan at mga pagsusumikap sa pagtataguyod ay maaaring magtulak para sa mas matibay na mga legal na utos at mas mahusay na pagpapatupad ng mga kasalukuyang probisyon.
**Mahalagang tandaan na hindi ito legal na payo.** Kung mayroon kang mga partikular na alalahanin tungkol sa suporta sa kalusugan ng isip sa lugar ng trabaho o pinaghihinalaan mo ang masamang kapaligiran sa trabaho, palaging inirerekomenda na kumunsulta sa isang abogado na dalubhasa sa batas sa paggawa.</v>
      </c>
      <c r="F2467" s="2">
        <f t="shared" si="1"/>
        <v>0</v>
      </c>
      <c r="G2467" s="2"/>
      <c r="H2467" s="2"/>
      <c r="I2467" s="2"/>
      <c r="J2467" s="2"/>
      <c r="K2467" s="2"/>
      <c r="L2467" s="2"/>
      <c r="M2467" s="2"/>
      <c r="N2467" s="2"/>
      <c r="O2467" s="2"/>
      <c r="P2467" s="2"/>
      <c r="Q2467" s="2"/>
      <c r="R2467" s="2"/>
      <c r="S2467" s="2"/>
      <c r="T2467" s="2"/>
      <c r="U2467" s="2"/>
      <c r="V2467" s="2"/>
      <c r="W2467" s="2"/>
      <c r="X2467" s="2"/>
      <c r="Y2467" s="2"/>
      <c r="Z2467" s="2"/>
      <c r="AA2467" s="2"/>
    </row>
    <row r="2468">
      <c r="A2468" s="1" t="s">
        <v>5870</v>
      </c>
      <c r="B2468" s="1" t="s">
        <v>5903</v>
      </c>
      <c r="C2468" s="3" t="s">
        <v>5904</v>
      </c>
      <c r="D2468" s="2" t="str">
        <f>IFERROR(__xludf.DUMMYFUNCTION("GOOGLETRANSLATE(B2468, ""en"", ""TL"")"),"Mayroon bang mga legal na obligasyon para sa mga institusyong pang-edukasyon na magkaroon ng mga programa sa pagpigil sa pagpapakamatay?")</f>
        <v>Mayroon bang mga legal na obligasyon para sa mga institusyong pang-edukasyon na magkaroon ng mga programa sa pagpigil sa pagpapakamatay?</v>
      </c>
      <c r="E2468" s="2" t="str">
        <f>IFERROR(__xludf.DUMMYFUNCTION("GOOGLETRANSLATE(C2468, ""en"", ""TL"")"),"Walang isa, partikular na batas sa Pilipinas na nag-uutos ng mga programa sa pagpigil sa pagpapakamatay sa mga institusyong pang-edukasyon. Gayunpaman, may mga umiiral nang legal na probisyon na maaaring bigyang-kahulugan upang hikayatin o kailanganin ang"&amp;" mga naturang programa:
**1. Ang Konstitusyon ng Pilipinas (1987):**
* **Artikulo II, Seksyon 13:** Ginagarantiya ang karapatan sa kalusugan, na maaaring bigyang-kahulugan na kasama ang mga serbisyo sa kalusugan ng isip para sa mga mag-aaral. Ang mga prog"&amp;"rama sa pagpigil sa pagpapakamatay ay makikita bilang bahagi ng mga naturang serbisyo.
* **Artikulo XIII, Seksyon 13:** Nag-uutos na ang lahat ng institusyong pang-edukasyon ay dapat maglaan para sa pagtuturo ng pagmamahal sa bayan, **etikal na pag-uugali"&amp;",** pagsunod sa mga batas ng lupain, at pagpapaunlad ng moral na pagkatao. Ang mga programa sa pag-iwas sa pagpapakamatay ay maaaring pagtalunan upang mag-ambag sa etikal na pag-uugali at moral na pag-unlad ng mga mag-aaral.
**2. Republic Act No. 11036 o "&amp;"ang Mental Health Act of 2018:**
* **Seksyon 10:** Nag-uutos sa pagsasama ng mga serbisyo sa kalusugan ng isip sa lahat ng mga programa sa kalusugan ng pamahalaan. Ang Department of Education (DepEd) ay posibleng makipagtulungan sa Department of Health (D"&amp;"OH) upang bumuo at magpatupad ng mga programa sa kalusugan ng isip, kabilang ang mga hakbangin sa pagpigil sa pagpapakamatay, sa mga paaralan.
**3. Republic Act No. 10535 o ang Enhanced Basic Education Act of 2013:**
* **Seksyon 15:** Binibigyang-diin ang"&amp;" kahalagahan ng mga serbisyo sa paggabay at pagpapayo sa mga paaralan. Maaaring isama ang mga programa sa pagpigil sa pagpapakamatay sa loob ng mga serbisyong ito.
**4. Mga Kautusan at Memorandum ng Department of Education (DepEd):**
* Maaaring naglabas a"&amp;"ng DepEd ng mga department order o memoranda na naghihikayat o nag-uutos ng mga programa sa pagpigil sa pagpapakamatay sa mga paaralan. Makikita mo ang mga ito sa website ng DepEd [https://deped.gov.ph/](https://deped.gov.ph/).
**Mahahalagang Pagsasaalang"&amp;"-alang:**
* Bagama't wala pang malinaw na legal na utos, ang Mental Health Act at mga potensyal na regulasyon ng DepEd ay nagmumungkahi ng lumalaking diin sa kalusugan ng isip at pag-iwas sa pagpapakamatay sa mga institusyong pang-edukasyon.
* Ang mga par"&amp;"tikular na kinakailangan para sa mga programa sa pagpigil sa pagpapakamatay ay maaaring mag-iba depende sa uri ng institusyong pang-edukasyon (pampubliko, pribado, elementarya, atbp.).
Para sa pinaka-up-to-date na impormasyon, inirerekomenda na:
* Tingnan"&amp;" ang website ng DepEd para sa anumang umiiral na mga order o memoranda na may kaugnayan sa mga programa sa pagpigil sa pagpapakamatay.
* Kumonsulta sa isang abogado na dalubhasa sa batas sa edukasyon para sa isang mas detalyadong legal na pagsusuri.")</f>
        <v>Walang isa, partikular na batas sa Pilipinas na nag-uutos ng mga programa sa pagpigil sa pagpapakamatay sa mga institusyong pang-edukasyon. Gayunpaman, may mga umiiral nang legal na probisyon na maaaring bigyang-kahulugan upang hikayatin o kailanganin ang mga naturang programa:
**1. Ang Konstitusyon ng Pilipinas (1987):**
* **Artikulo II, Seksyon 13:** Ginagarantiya ang karapatan sa kalusugan, na maaaring bigyang-kahulugan na kasama ang mga serbisyo sa kalusugan ng isip para sa mga mag-aaral. Ang mga programa sa pagpigil sa pagpapakamatay ay makikita bilang bahagi ng mga naturang serbisyo.
* **Artikulo XIII, Seksyon 13:** Nag-uutos na ang lahat ng institusyong pang-edukasyon ay dapat maglaan para sa pagtuturo ng pagmamahal sa bayan, **etikal na pag-uugali,** pagsunod sa mga batas ng lupain, at pagpapaunlad ng moral na pagkatao. Ang mga programa sa pag-iwas sa pagpapakamatay ay maaaring pagtalunan upang mag-ambag sa etikal na pag-uugali at moral na pag-unlad ng mga mag-aaral.
**2. Republic Act No. 11036 o ang Mental Health Act of 2018:**
* **Seksyon 10:** Nag-uutos sa pagsasama ng mga serbisyo sa kalusugan ng isip sa lahat ng mga programa sa kalusugan ng pamahalaan. Ang Department of Education (DepEd) ay posibleng makipagtulungan sa Department of Health (DOH) upang bumuo at magpatupad ng mga programa sa kalusugan ng isip, kabilang ang mga hakbangin sa pagpigil sa pagpapakamatay, sa mga paaralan.
**3. Republic Act No. 10535 o ang Enhanced Basic Education Act of 2013:**
* **Seksyon 15:** Binibigyang-diin ang kahalagahan ng mga serbisyo sa paggabay at pagpapayo sa mga paaralan. Maaaring isama ang mga programa sa pagpigil sa pagpapakamatay sa loob ng mga serbisyong ito.
**4. Mga Kautusan at Memorandum ng Department of Education (DepEd):**
* Maaaring naglabas ang DepEd ng mga department order o memoranda na naghihikayat o nag-uutos ng mga programa sa pagpigil sa pagpapakamatay sa mga paaralan. Makikita mo ang mga ito sa website ng DepEd [https://deped.gov.ph/](https://deped.gov.ph/).
**Mahahalagang Pagsasaalang-alang:**
* Bagama't wala pang malinaw na legal na utos, ang Mental Health Act at mga potensyal na regulasyon ng DepEd ay nagmumungkahi ng lumalaking diin sa kalusugan ng isip at pag-iwas sa pagpapakamatay sa mga institusyong pang-edukasyon.
* Ang mga partikular na kinakailangan para sa mga programa sa pagpigil sa pagpapakamatay ay maaaring mag-iba depende sa uri ng institusyong pang-edukasyon (pampubliko, pribado, elementarya, atbp.).
Para sa pinaka-up-to-date na impormasyon, inirerekomenda na:
* Tingnan ang website ng DepEd para sa anumang umiiral na mga order o memoranda na may kaugnayan sa mga programa sa pagpigil sa pagpapakamatay.
* Kumonsulta sa isang abogado na dalubhasa sa batas sa edukasyon para sa isang mas detalyadong legal na pagsusuri.</v>
      </c>
      <c r="F2468" s="2">
        <f t="shared" si="1"/>
        <v>0</v>
      </c>
      <c r="G2468" s="2"/>
      <c r="H2468" s="2"/>
      <c r="I2468" s="2"/>
      <c r="J2468" s="2"/>
      <c r="K2468" s="2"/>
      <c r="L2468" s="2"/>
      <c r="M2468" s="2"/>
      <c r="N2468" s="2"/>
      <c r="O2468" s="2"/>
      <c r="P2468" s="2"/>
      <c r="Q2468" s="2"/>
      <c r="R2468" s="2"/>
      <c r="S2468" s="2"/>
      <c r="T2468" s="2"/>
      <c r="U2468" s="2"/>
      <c r="V2468" s="2"/>
      <c r="W2468" s="2"/>
      <c r="X2468" s="2"/>
      <c r="Y2468" s="2"/>
      <c r="Z2468" s="2"/>
      <c r="AA2468" s="2"/>
    </row>
    <row r="2469">
      <c r="A2469" s="1" t="s">
        <v>5870</v>
      </c>
      <c r="B2469" s="1" t="s">
        <v>5905</v>
      </c>
      <c r="C2469" s="3" t="s">
        <v>5906</v>
      </c>
      <c r="D2469" s="2" t="str">
        <f>IFERROR(__xludf.DUMMYFUNCTION("GOOGLETRANSLATE(B2469, ""en"", ""TL"")"),"Paano isinasama ang mga serbisyo sa kalusugang pangkaisipan sa sistema ng hustisyang pangkriminal upang matugunan ang mga panganib sa pagpapakamatay sa mga bilanggo?")</f>
        <v>Paano isinasama ang mga serbisyo sa kalusugang pangkaisipan sa sistema ng hustisyang pangkriminal upang matugunan ang mga panganib sa pagpapakamatay sa mga bilanggo?</v>
      </c>
      <c r="E2469" s="2" t="str">
        <f>IFERROR(__xludf.DUMMYFUNCTION("GOOGLETRANSLATE(C2469, ""en"", ""TL"")"),"Ang Pilipinas ay kasalukuyang kulang ng isang solong, komprehensibong batas na nag-uutos kung paano isinama ang mga serbisyo sa kalusugan ng isip sa sistema ng hustisyang pangkriminal upang partikular na matugunan ang panganib sa pagpapakamatay sa mga bil"&amp;"anggo. Gayunpaman, may mga inisyatiba at legal na probisyon na naglalatag ng batayan para sa naturang pagsasama:
**1. Ang Konstitusyon ng Pilipinas (1987):**
* **Artikulo II, Seksyon 15:** Ginagarantiya ang karapatan sa kalusugan, na maaaring bigyang-kahu"&amp;"lugan na kasama ang mga serbisyo sa kalusugan ng isip para sa mga bilanggo.
**2. Republic Act No. 11036 o ang Mental Health Act of 2018:**
* **Seksyon 10:** Nag-uutos sa pagsasama ng mga serbisyo sa kalusugan ng isip sa lahat ng mga programa sa kalusugan "&amp;"ng pamahalaan. Habang ang Bureau of Jail Management and Penology (BJMP) at ang Bureau of Corrections (BuCor) ay nasa ilalim ng Department of Justice, may potensyal na makipagtulungan sa Department of Health (DOH) upang magbigay ng mga serbisyo sa kalusuga"&amp;"n ng isip para sa mga bilanggo.
**3. Republic Act No. 10575 o ang Bureau of Jail Management and Penology (BJMP) Law of 2016:**
* **Seksyon 20 (h):** Inaatasan ang BJMP sa pagtatatag ng isang sistema ng paghahatid ng serbisyo sa pangangalagang pangkalusuga"&amp;"n na kinabibilangan ng ""mga serbisyo sa kalusugan ng isip."" **4. Republic Act No. 10707 o ang Amendatory Law to the Act Creating the Bureau of Corrections (BuCor):**
* **Seksyon 5 (g):** Katulad ng BJMP Law, ang seksyong ito ay nag-uutos sa BuCor na mag"&amp;"bigay ng mga serbisyo sa pangangalagang pangkalusugan, kabilang ang ""mga serbisyo sa kalusugan ng isip"" para sa mga bilanggo na nasa ilalim ng kanilang kustodiya.
**5. Mga Kautusang Administratibo ng Department of Justice (DOJ) at Mga Patakaran ng Kawan"&amp;"ihan:**
* Ang DOJ, BJMP, at BuCor ay maaaring naglabas ng mga administratibong kautusan o panloob na mga patakaran na nagdedetalye ng mga partikular na pamamaraan para sa pagsasama ng mga serbisyo sa kalusugan ng isip sa loob ng kanilang mga pasilidad. Ma"&amp;"aaring kabilang dito ang mga proseso ng screening para sa panganib ng pagpapakamatay at mga protocol para sa interbensyon. **Mga Hamon at Pagsasaalang-alang:**
* Ang mga paghihigpit sa badyet at kakulangan ng mga propesyonal sa kalusugan ng isip sa loob n"&amp;"g sistema ng hustisyang kriminal ay maaaring makahadlang sa epektibong pagpapatupad ng mga programa sa kalusugan ng isip.
* Stigma na nakapalibot sa mga isyu sa kalusugan ng isip ay maaaring pumigil sa mga bilanggo na humingi ng tulong.
**Inaasahan:**
* A"&amp;"ng patuloy na pagbuo ng batas sa kalusugan ng isip at ang paglalaan ng mga mapagkukunan ay maaaring mapabuti ang pagsasama ng mga serbisyo sa kalusugan ng isip sa loob ng sistema ng hustisyang pangkriminal.
* Ang pagtaas ng pakikipagtulungan sa pagitan ng"&amp;" DOJ, DOH, at iba pang nauugnay na ahensya ay maaaring maging mahalaga para sa mas mahusay na pagtugon sa panganib ng pagpapakamatay sa mga bilanggo.
Mahalagang tandaan na ang impormasyon sa itaas ay nagbibigay ng pangkalahatang pangkalahatang-ideya. Para"&amp;" sa pinakabagong mga pag-unlad at tiyak na mga protocol, ipinapayong kumunsulta sa mga ahensya ng gobyerno tulad ng BJMP, BuCor, o DOH.")</f>
        <v>Ang Pilipinas ay kasalukuyang kulang ng isang solong, komprehensibong batas na nag-uutos kung paano isinama ang mga serbisyo sa kalusugan ng isip sa sistema ng hustisyang pangkriminal upang partikular na matugunan ang panganib sa pagpapakamatay sa mga bilanggo. Gayunpaman, may mga inisyatiba at legal na probisyon na naglalatag ng batayan para sa naturang pagsasama:
**1. Ang Konstitusyon ng Pilipinas (1987):**
* **Artikulo II, Seksyon 15:** Ginagarantiya ang karapatan sa kalusugan, na maaaring bigyang-kahulugan na kasama ang mga serbisyo sa kalusugan ng isip para sa mga bilanggo.
**2. Republic Act No. 11036 o ang Mental Health Act of 2018:**
* **Seksyon 10:** Nag-uutos sa pagsasama ng mga serbisyo sa kalusugan ng isip sa lahat ng mga programa sa kalusugan ng pamahalaan. Habang ang Bureau of Jail Management and Penology (BJMP) at ang Bureau of Corrections (BuCor) ay nasa ilalim ng Department of Justice, may potensyal na makipagtulungan sa Department of Health (DOH) upang magbigay ng mga serbisyo sa kalusugan ng isip para sa mga bilanggo.
**3. Republic Act No. 10575 o ang Bureau of Jail Management and Penology (BJMP) Law of 2016:**
* **Seksyon 20 (h):** Inaatasan ang BJMP sa pagtatatag ng isang sistema ng paghahatid ng serbisyo sa pangangalagang pangkalusugan na kinabibilangan ng "mga serbisyo sa kalusugan ng isip." **4. Republic Act No. 10707 o ang Amendatory Law to the Act Creating the Bureau of Corrections (BuCor):**
* **Seksyon 5 (g):** Katulad ng BJMP Law, ang seksyong ito ay nag-uutos sa BuCor na magbigay ng mga serbisyo sa pangangalagang pangkalusugan, kabilang ang "mga serbisyo sa kalusugan ng isip" para sa mga bilanggo na nasa ilalim ng kanilang kustodiya.
**5. Mga Kautusang Administratibo ng Department of Justice (DOJ) at Mga Patakaran ng Kawanihan:**
* Ang DOJ, BJMP, at BuCor ay maaaring naglabas ng mga administratibong kautusan o panloob na mga patakaran na nagdedetalye ng mga partikular na pamamaraan para sa pagsasama ng mga serbisyo sa kalusugan ng isip sa loob ng kanilang mga pasilidad. Maaaring kabilang dito ang mga proseso ng screening para sa panganib ng pagpapakamatay at mga protocol para sa interbensyon. **Mga Hamon at Pagsasaalang-alang:**
* Ang mga paghihigpit sa badyet at kakulangan ng mga propesyonal sa kalusugan ng isip sa loob ng sistema ng hustisyang kriminal ay maaaring makahadlang sa epektibong pagpapatupad ng mga programa sa kalusugan ng isip.
* Stigma na nakapalibot sa mga isyu sa kalusugan ng isip ay maaaring pumigil sa mga bilanggo na humingi ng tulong.
**Inaasahan:**
* Ang patuloy na pagbuo ng batas sa kalusugan ng isip at ang paglalaan ng mga mapagkukunan ay maaaring mapabuti ang pagsasama ng mga serbisyo sa kalusugan ng isip sa loob ng sistema ng hustisyang pangkriminal.
* Ang pagtaas ng pakikipagtulungan sa pagitan ng DOJ, DOH, at iba pang nauugnay na ahensya ay maaaring maging mahalaga para sa mas mahusay na pagtugon sa panganib ng pagpapakamatay sa mga bilanggo.
Mahalagang tandaan na ang impormasyon sa itaas ay nagbibigay ng pangkalahatang pangkalahatang-ideya. Para sa pinakabagong mga pag-unlad at tiyak na mga protocol, ipinapayong kumunsulta sa mga ahensya ng gobyerno tulad ng BJMP, BuCor, o DOH.</v>
      </c>
      <c r="F2469" s="2">
        <f t="shared" si="1"/>
        <v>0</v>
      </c>
      <c r="G2469" s="2"/>
      <c r="H2469" s="2"/>
      <c r="I2469" s="2"/>
      <c r="J2469" s="2"/>
      <c r="K2469" s="2"/>
      <c r="L2469" s="2"/>
      <c r="M2469" s="2"/>
      <c r="N2469" s="2"/>
      <c r="O2469" s="2"/>
      <c r="P2469" s="2"/>
      <c r="Q2469" s="2"/>
      <c r="R2469" s="2"/>
      <c r="S2469" s="2"/>
      <c r="T2469" s="2"/>
      <c r="U2469" s="2"/>
      <c r="V2469" s="2"/>
      <c r="W2469" s="2"/>
      <c r="X2469" s="2"/>
      <c r="Y2469" s="2"/>
      <c r="Z2469" s="2"/>
      <c r="AA2469" s="2"/>
    </row>
    <row r="2470">
      <c r="A2470" s="1" t="s">
        <v>5870</v>
      </c>
      <c r="B2470" s="1" t="s">
        <v>5907</v>
      </c>
      <c r="C2470" s="3" t="s">
        <v>5908</v>
      </c>
      <c r="D2470" s="2" t="str">
        <f>IFERROR(__xludf.DUMMYFUNCTION("GOOGLETRANSLATE(B2470, ""en"", ""TL"")"),"Anong mga legal na aksyon ang maaaring gawin laban sa mga employer na nag-aambag sa isang masamang kapaligiran sa trabaho na humahantong sa pagpapakamatay?")</f>
        <v>Anong mga legal na aksyon ang maaaring gawin laban sa mga employer na nag-aambag sa isang masamang kapaligiran sa trabaho na humahantong sa pagpapakamatay?</v>
      </c>
      <c r="E2470" s="2" t="str">
        <f>IFERROR(__xludf.DUMMYFUNCTION("GOOGLETRANSLATE(C2470, ""en"", ""TL"")"),"Bagama't walang batas ang Pilipinas na partikular na tumutugon sa pambu-bully sa lugar ng trabaho, may mga legal na probisyon na maaari mong gamitin upang panagutin ang mga employer sa mga sitwasyon kung saan ang hindi magandang kapaligiran sa trabaho ay "&amp;"humahantong sa pagpapakamatay. Narito ang isang breakdown ng mga posibleng legal na aksyon:
**1. Sa ilalim ng Labor Code (RA No. 6715) at ang Implementing Rules nito:**
* **Artikulo 132:** Ginagarantiyahan ng artikulong ito ang karapatan sa seguridad ng p"&amp;"anunungkulan. Kung ang mga aksyon ng isang tagapag-empleyo ay lumikha ng isang masamang kapaligiran sa trabaho na nagpilit sa empleyado na magbitiw, maaari itong makita bilang isang paglabag sa karapatang ito.
* **Artikulo 133:** Ipinagbabawal ng artikulo"&amp;"ng ito ang ilegal na pagpapaalis. Bagama't ang pagpapakamatay mismo ay hindi bubuo ng pagpapaalis, kung ang hindi magandang kapaligiran sa trabaho ay humantong sa pagtigil ng empleyado at ang mga aksyon ng employer ay mapapatunayang pangunahing dahilan, m"&amp;"aaari itong ituro bilang isang ilegal na pagtanggal. * **Artikulo 151:** Ang artikulong ito ay nag-uutos na ang mga tagapag-empleyo ay magbigay ng isang lugar ng trabaho na libre sa mga hindi ligtas na kondisyon na maaaring makapinsala sa kalusugan ng emp"&amp;"leyado. Ang isang masamang kapaligiran sa trabaho ay maaaring pagtalunan na isang mapanganib na kondisyon sa kalusugan ng isip.
**2. Sa ilalim ng Civil Code (RA No. 386):**
* **Artikulo 21:** Sinasaklaw ng artikulong ito ang mga obligasyong nagmumula sa m"&amp;"ga kilos o pagtanggal na nagdudulot ng pinsala sa iba. Kung mapapatunayan na ang mga aksyon ng employer ay direktang nagdulot ng matinding pagkabalisa sa pag-iisip na humahantong sa pagpapakamatay, maaaring gamitin ang artikulong ito upang mag-claim ng mg"&amp;"a pinsala mula sa employer. * **Artikulo 22:** Sinasaklaw ng artikulong ito ang pagkakamali o kapabayaan ng ibang tao. Kung nabigo ang employer na gumawa ng mga makatwirang hakbang upang matugunan ang isang masamang kapaligiran sa trabaho sa kabila ng mga"&amp;" ulat o mga reklamo, maaari itong makita bilang kapabayaan na nag-aambag sa pagpapakamatay ng empleyado.
**3. Sa ilalim ng Republic Act No. 10627 o ang Anti-Bullying Act (bagaman hindi direktang naaangkop):**
* Bagama't nakatutok ang Batas na ito sa panan"&amp;"akot sa mga institusyong pang-edukasyon, nagtatakda ito ng pamarisan laban sa mga mapang-abusong kapaligiran. Maaari itong magamit upang makipagtalo para sa kahalagahan ng paglikha ng mga ligtas na lugar ng trabaho na walang pananakot.
**Mahahalagang Pags"&amp;"asaalang-alang:**
* Ang pagpapatunay na ang pagalit na kapaligiran sa trabaho ay direktang sanhi ng pagpapakamatay ay maaaring napakahirap. Ang katibayan ng kapaligiran sa trabaho, ang kalagayan ng pag-iisip ng empleyado, at mga pagtatangka na tugunan ang"&amp;" sitwasyon sa employer ay magiging mahalaga.
* Ito ay mga potensyal na legal na aksyon lamang, at ang tagumpay ng isang kaso ay depende sa mga partikular na pangyayari. Ang pagkonsulta sa isang abogadong may karanasan sa batas sa paggawa ay lubos na inire"&amp;"rekomenda.
Tandaan, hindi ito legal na payo. Ang tugon na ito ay naglalayong magbigay ng pangkalahatang pag-unawa sa mga posibleng legal na opsyon.")</f>
        <v>Bagama't walang batas ang Pilipinas na partikular na tumutugon sa pambu-bully sa lugar ng trabaho, may mga legal na probisyon na maaari mong gamitin upang panagutin ang mga employer sa mga sitwasyon kung saan ang hindi magandang kapaligiran sa trabaho ay humahantong sa pagpapakamatay. Narito ang isang breakdown ng mga posibleng legal na aksyon:
**1. Sa ilalim ng Labor Code (RA No. 6715) at ang Implementing Rules nito:**
* **Artikulo 132:** Ginagarantiyahan ng artikulong ito ang karapatan sa seguridad ng panunungkulan. Kung ang mga aksyon ng isang tagapag-empleyo ay lumikha ng isang masamang kapaligiran sa trabaho na nagpilit sa empleyado na magbitiw, maaari itong makita bilang isang paglabag sa karapatang ito.
* **Artikulo 133:** Ipinagbabawal ng artikulong ito ang ilegal na pagpapaalis. Bagama't ang pagpapakamatay mismo ay hindi bubuo ng pagpapaalis, kung ang hindi magandang kapaligiran sa trabaho ay humantong sa pagtigil ng empleyado at ang mga aksyon ng employer ay mapapatunayang pangunahing dahilan, maaari itong ituro bilang isang ilegal na pagtanggal. * **Artikulo 151:** Ang artikulong ito ay nag-uutos na ang mga tagapag-empleyo ay magbigay ng isang lugar ng trabaho na libre sa mga hindi ligtas na kondisyon na maaaring makapinsala sa kalusugan ng empleyado. Ang isang masamang kapaligiran sa trabaho ay maaaring pagtalunan na isang mapanganib na kondisyon sa kalusugan ng isip.
**2. Sa ilalim ng Civil Code (RA No. 386):**
* **Artikulo 21:** Sinasaklaw ng artikulong ito ang mga obligasyong nagmumula sa mga kilos o pagtanggal na nagdudulot ng pinsala sa iba. Kung mapapatunayan na ang mga aksyon ng employer ay direktang nagdulot ng matinding pagkabalisa sa pag-iisip na humahantong sa pagpapakamatay, maaaring gamitin ang artikulong ito upang mag-claim ng mga pinsala mula sa employer. * **Artikulo 22:** Sinasaklaw ng artikulong ito ang pagkakamali o kapabayaan ng ibang tao. Kung nabigo ang employer na gumawa ng mga makatwirang hakbang upang matugunan ang isang masamang kapaligiran sa trabaho sa kabila ng mga ulat o mga reklamo, maaari itong makita bilang kapabayaan na nag-aambag sa pagpapakamatay ng empleyado.
**3. Sa ilalim ng Republic Act No. 10627 o ang Anti-Bullying Act (bagaman hindi direktang naaangkop):**
* Bagama't nakatutok ang Batas na ito sa pananakot sa mga institusyong pang-edukasyon, nagtatakda ito ng pamarisan laban sa mga mapang-abusong kapaligiran. Maaari itong magamit upang makipagtalo para sa kahalagahan ng paglikha ng mga ligtas na lugar ng trabaho na walang pananakot.
**Mahahalagang Pagsasaalang-alang:**
* Ang pagpapatunay na ang pagalit na kapaligiran sa trabaho ay direktang sanhi ng pagpapakamatay ay maaaring napakahirap. Ang katibayan ng kapaligiran sa trabaho, ang kalagayan ng pag-iisip ng empleyado, at mga pagtatangka na tugunan ang sitwasyon sa employer ay magiging mahalaga.
* Ito ay mga potensyal na legal na aksyon lamang, at ang tagumpay ng isang kaso ay depende sa mga partikular na pangyayari. Ang pagkonsulta sa isang abogadong may karanasan sa batas sa paggawa ay lubos na inirerekomenda.
Tandaan, hindi ito legal na payo. Ang tugon na ito ay naglalayong magbigay ng pangkalahatang pag-unawa sa mga posibleng legal na opsyon.</v>
      </c>
      <c r="F2470" s="2">
        <f t="shared" si="1"/>
        <v>0</v>
      </c>
      <c r="G2470" s="2"/>
      <c r="H2470" s="2"/>
      <c r="I2470" s="2"/>
      <c r="J2470" s="2"/>
      <c r="K2470" s="2"/>
      <c r="L2470" s="2"/>
      <c r="M2470" s="2"/>
      <c r="N2470" s="2"/>
      <c r="O2470" s="2"/>
      <c r="P2470" s="2"/>
      <c r="Q2470" s="2"/>
      <c r="R2470" s="2"/>
      <c r="S2470" s="2"/>
      <c r="T2470" s="2"/>
      <c r="U2470" s="2"/>
      <c r="V2470" s="2"/>
      <c r="W2470" s="2"/>
      <c r="X2470" s="2"/>
      <c r="Y2470" s="2"/>
      <c r="Z2470" s="2"/>
      <c r="AA2470" s="2"/>
    </row>
    <row r="2471">
      <c r="A2471" s="1" t="s">
        <v>5870</v>
      </c>
      <c r="B2471" s="1" t="s">
        <v>5909</v>
      </c>
      <c r="C2471" s="3" t="s">
        <v>5910</v>
      </c>
      <c r="D2471" s="2" t="str">
        <f>IFERROR(__xludf.DUMMYFUNCTION("GOOGLETRANSLATE(B2471, ""en"", ""TL"")"),"Paano tinutugunan ng batas ang mga pagtatasa ng panganib sa pagpapakamatay at mga interbensyon sa mga setting ng pangangalagang pangkalusugan?")</f>
        <v>Paano tinutugunan ng batas ang mga pagtatasa ng panganib sa pagpapakamatay at mga interbensyon sa mga setting ng pangangalagang pangkalusugan?</v>
      </c>
      <c r="E2471" s="2" t="str">
        <f>IFERROR(__xludf.DUMMYFUNCTION("GOOGLETRANSLATE(C2471, ""en"", ""TL"")"),"Ang batas ng Pilipinas ay walang iisa, partikular na probisyon na direktang nag-uutos sa mga pagtatasa ng panganib sa pagpapakamatay at mga interbensyon sa mga setting ng pangangalagang pangkalusugan. Gayunpaman, may mga kaugnay na batas at regulasyon na "&amp;"maaaring bigyang-kahulugan upang hikayatin o kailanganin ang mga ganoong kasanayan:
**1. Republic Act No. 11036 o ang Mental Health Act of 2018:**
* **Seksyon 10:** Ang seksyong ito ay nag-uutos sa pagsasama ng mga serbisyo sa kalusugan ng isip sa lahat n"&amp;"g mga programa sa kalusugan ng pamahalaan. Ang pag-iwas sa pagpapakamatay ay isang mahalagang aspeto ng mga serbisyo sa kalusugan ng isip, at maaaring isama ang mga pagtatasa at interbensyon sa panganib sa ilalim ng mandatong ito.
* **Seksyon 15:** Ang se"&amp;"ksyong ito ay nangangailangan ng mga propesyonal sa pangangalagang pangkalusugan na sumailalim sa pagsasanay sa kalusugan ng isip. Bagama't hindi tahasang binabanggit ang pagtatasa ng pagpapakamatay, ang pinahusay na kaalaman sa kalusugan ng isip ay maaar"&amp;"ing magbigay ng kasangkapan sa mga tagapagbigay ng pangangalagang pangkalusugan upang matukoy at matugunan ang panganib ng pagpapakamatay.
**2. Mga Kautusan at Circular ng Department of Health (DOH):**
* Ang DOH ay naglalabas ng mga Department Order (DOs)"&amp;" at Department Circulars (DCs) na nagbibigay ng mga partikular na alituntunin para sa pagsasanay sa pangangalagang pangkalusugan. Maaaring matugunan ng mga ito ang pagtatasa ng panganib sa pagpapakamatay at mga protocol ng interbensyon para sa mga setting"&amp;" ng pangangalagang pangkalusugan. Makikita mo ang mga ito sa website ng DOH [https://doh.gov.ph/](https://doh.gov.ph/).
**3. Mga Propesyonal na Kodigo ng Etika:**
* Ang mga propesyonal na regulasyon para sa mga doktor, nars, at psychologist ay kadalasang "&amp;"kinabibilangan ng mga tungkuling nauugnay sa kaligtasan at kapakanan ng pasyente. Ito ay maaaring bigyang-kahulugan na kasama ang pagtukoy at pagtugon sa panganib ng pagpapakamatay.
**Mahahalagang Pagsasaalang-alang:**
* Ang mga partikular na kinakailanga"&amp;"n para sa mga pagtatasa at interbensyon sa panganib ng pagpapakamatay ay maaaring mag-iba depende sa setting ng pangangalagang pangkalusugan (ospital, klinika, atbp.) at ang uri ng propesyonal sa pangangalagang pangkalusugan na kasangkot.
* Bagama't wala "&amp;"pang legal na mandato, ang Mental Health Act at mga potensyal na regulasyon ng DOH ay nagmumungkahi ng lumalaking diin sa pagsasama ng pag-iwas sa pagpapakamatay sa mga kasanayan sa pangangalagang pangkalusugan.
**Para sa karagdagang impormasyon:**
* Maki"&amp;"pag-ugnayan sa DOH para sa pinakabagong mga alituntunin sa mga serbisyo sa kalusugan ng isip sa mga setting ng pangangalagang pangkalusugan.
* Kumonsulta sa isang abogado na dalubhasa sa batas sa pangangalagang pangkalusugan para sa isang mas detalyadong "&amp;"legal na pagsusuri.")</f>
        <v>Ang batas ng Pilipinas ay walang iisa, partikular na probisyon na direktang nag-uutos sa mga pagtatasa ng panganib sa pagpapakamatay at mga interbensyon sa mga setting ng pangangalagang pangkalusugan. Gayunpaman, may mga kaugnay na batas at regulasyon na maaaring bigyang-kahulugan upang hikayatin o kailanganin ang mga ganoong kasanayan:
**1. Republic Act No. 11036 o ang Mental Health Act of 2018:**
* **Seksyon 10:** Ang seksyong ito ay nag-uutos sa pagsasama ng mga serbisyo sa kalusugan ng isip sa lahat ng mga programa sa kalusugan ng pamahalaan. Ang pag-iwas sa pagpapakamatay ay isang mahalagang aspeto ng mga serbisyo sa kalusugan ng isip, at maaaring isama ang mga pagtatasa at interbensyon sa panganib sa ilalim ng mandatong ito.
* **Seksyon 15:** Ang seksyong ito ay nangangailangan ng mga propesyonal sa pangangalagang pangkalusugan na sumailalim sa pagsasanay sa kalusugan ng isip. Bagama't hindi tahasang binabanggit ang pagtatasa ng pagpapakamatay, ang pinahusay na kaalaman sa kalusugan ng isip ay maaaring magbigay ng kasangkapan sa mga tagapagbigay ng pangangalagang pangkalusugan upang matukoy at matugunan ang panganib ng pagpapakamatay.
**2. Mga Kautusan at Circular ng Department of Health (DOH):**
* Ang DOH ay naglalabas ng mga Department Order (DOs) at Department Circulars (DCs) na nagbibigay ng mga partikular na alituntunin para sa pagsasanay sa pangangalagang pangkalusugan. Maaaring matugunan ng mga ito ang pagtatasa ng panganib sa pagpapakamatay at mga protocol ng interbensyon para sa mga setting ng pangangalagang pangkalusugan. Makikita mo ang mga ito sa website ng DOH [https://doh.gov.ph/](https://doh.gov.ph/).
**3. Mga Propesyonal na Kodigo ng Etika:**
* Ang mga propesyonal na regulasyon para sa mga doktor, nars, at psychologist ay kadalasang kinabibilangan ng mga tungkuling nauugnay sa kaligtasan at kapakanan ng pasyente. Ito ay maaaring bigyang-kahulugan na kasama ang pagtukoy at pagtugon sa panganib ng pagpapakamatay.
**Mahahalagang Pagsasaalang-alang:**
* Ang mga partikular na kinakailangan para sa mga pagtatasa at interbensyon sa panganib ng pagpapakamatay ay maaaring mag-iba depende sa setting ng pangangalagang pangkalusugan (ospital, klinika, atbp.) at ang uri ng propesyonal sa pangangalagang pangkalusugan na kasangkot.
* Bagama't wala pang legal na mandato, ang Mental Health Act at mga potensyal na regulasyon ng DOH ay nagmumungkahi ng lumalaking diin sa pagsasama ng pag-iwas sa pagpapakamatay sa mga kasanayan sa pangangalagang pangkalusugan.
**Para sa karagdagang impormasyon:**
* Makipag-ugnayan sa DOH para sa pinakabagong mga alituntunin sa mga serbisyo sa kalusugan ng isip sa mga setting ng pangangalagang pangkalusugan.
* Kumonsulta sa isang abogado na dalubhasa sa batas sa pangangalagang pangkalusugan para sa isang mas detalyadong legal na pagsusuri.</v>
      </c>
      <c r="F2471" s="2">
        <f t="shared" si="1"/>
        <v>0</v>
      </c>
      <c r="G2471" s="2"/>
      <c r="H2471" s="2"/>
      <c r="I2471" s="2"/>
      <c r="J2471" s="2"/>
      <c r="K2471" s="2"/>
      <c r="L2471" s="2"/>
      <c r="M2471" s="2"/>
      <c r="N2471" s="2"/>
      <c r="O2471" s="2"/>
      <c r="P2471" s="2"/>
      <c r="Q2471" s="2"/>
      <c r="R2471" s="2"/>
      <c r="S2471" s="2"/>
      <c r="T2471" s="2"/>
      <c r="U2471" s="2"/>
      <c r="V2471" s="2"/>
      <c r="W2471" s="2"/>
      <c r="X2471" s="2"/>
      <c r="Y2471" s="2"/>
      <c r="Z2471" s="2"/>
      <c r="AA2471" s="2"/>
    </row>
    <row r="2472">
      <c r="A2472" s="1" t="s">
        <v>5870</v>
      </c>
      <c r="B2472" s="1" t="s">
        <v>5911</v>
      </c>
      <c r="C2472" s="3" t="s">
        <v>5912</v>
      </c>
      <c r="D2472" s="2" t="str">
        <f>IFERROR(__xludf.DUMMYFUNCTION("GOOGLETRANSLATE(B2472, ""en"", ""TL"")"),"Mayroon bang mga partikular na legal na probisyon para sa proteksyon ng mga menor de edad na nanganganib na magpakamatay?")</f>
        <v>Mayroon bang mga partikular na legal na probisyon para sa proteksyon ng mga menor de edad na nanganganib na magpakamatay?</v>
      </c>
      <c r="E2472" s="2" t="str">
        <f>IFERROR(__xludf.DUMMYFUNCTION("GOOGLETRANSLATE(C2472, ""en"", ""TL"")"),"Bagama't walang batas na nakatuon lamang sa pagpigil sa pagpapakamatay para sa mga menor de edad, may mga batas sa Pilipinas na maaaring gamitin para sa kanilang proteksyon:
1. **Republic Act No. 7610 o ang Special Protection of Children Against Abuse, Ex"&amp;"ploitation and Discrimination Act:**
* **Seksyon 10:** Tinutukoy ang ""sikolohikal na pang-aabuso"" na maaaring magsama ng mga gawa o pagtanggal na sinasadya o hindi sinasadyang nagdulot ng pagdurusa sa isip o sikolohikal sa isang bata. Ito ay maaaring bi"&amp;"gyang-kahulugan na kasama ang mga sitwasyon na maaaring magpapataas ng panganib ng pagpapakamatay ng isang bata.
* **Seksyon 15:** Ipinag-uutos ang pag-uulat ng anumang uri ng pang-aabuso sa bata, kabilang ang sikolohikal na pang-aabuso. Mangangailangan i"&amp;"to sa mga nasa hustong gulang na mag-ulat ng anumang mga palatandaan na ang isang menor de edad ay maaaring nasa panganib ng pagpapakamatay.
* **Seksyon 17:** Inaatasan ang Estado na mamagitan sa ngalan ng bata kapag nabigo ang magulang o tagapag-alaga na"&amp;" protektahan sila mula sa pang-aabuso. Maaari itong ilapat sa mga sitwasyon kung saan napapabayaan ang mental na kalagayan ng isang bata, na posibleng tumataas ang panganib sa pagpapakamatay.
2. **Ang Konstitusyon ng Pilipinas (1987):**
* **Artikulo XIII,"&amp;" Seksyon 11:** Nagsasaad na dapat unahin ng Estado ang kalusugan at kagalingan ng mga kabataan. Maaari itong bigyang kahulugan na kasama ang mga serbisyo sa kalusugan ng isip na maaaring makatulong na maiwasan ang pagpapakamatay sa mga menor de edad.
**Mg"&amp;"a Karagdagang Pagsasaalang-alang:**
* **Mga Patakaran ng Departamento ng Edukasyon (DepEd):** Maaaring may mga patakaran o programa ang DepEd na nakatuon sa kalusugan ng isip at pag-iwas sa pagpapakamatay sa mga paaralan.
* **Potensyal na Batas sa Hinahar"&amp;"ap:** Ang pagpasa ng isang batas na partikular na nakatuon sa pagpigil sa pagpapakamatay para sa mga menor de edad ay isang posibilidad.
Bagama't walang partikular na legal na probisyon para lamang sa pag-iwas sa pagpapakamatay, ang mga batas na binanggit"&amp;" sa itaas ay maaaring gamitin upang protektahan ang mga menor de edad na nasa panganib. Laging pinakamahusay na kumunsulta sa isang abogado para sa mga partikular na legal na interpretasyon.")</f>
        <v>Bagama't walang batas na nakatuon lamang sa pagpigil sa pagpapakamatay para sa mga menor de edad, may mga batas sa Pilipinas na maaaring gamitin para sa kanilang proteksyon:
1. **Republic Act No. 7610 o ang Special Protection of Children Against Abuse, Exploitation and Discrimination Act:**
* **Seksyon 10:** Tinutukoy ang "sikolohikal na pang-aabuso" na maaaring magsama ng mga gawa o pagtanggal na sinasadya o hindi sinasadyang nagdulot ng pagdurusa sa isip o sikolohikal sa isang bata. Ito ay maaaring bigyang-kahulugan na kasama ang mga sitwasyon na maaaring magpapataas ng panganib ng pagpapakamatay ng isang bata.
* **Seksyon 15:** Ipinag-uutos ang pag-uulat ng anumang uri ng pang-aabuso sa bata, kabilang ang sikolohikal na pang-aabuso. Mangangailangan ito sa mga nasa hustong gulang na mag-ulat ng anumang mga palatandaan na ang isang menor de edad ay maaaring nasa panganib ng pagpapakamatay.
* **Seksyon 17:** Inaatasan ang Estado na mamagitan sa ngalan ng bata kapag nabigo ang magulang o tagapag-alaga na protektahan sila mula sa pang-aabuso. Maaari itong ilapat sa mga sitwasyon kung saan napapabayaan ang mental na kalagayan ng isang bata, na posibleng tumataas ang panganib sa pagpapakamatay.
2. **Ang Konstitusyon ng Pilipinas (1987):**
* **Artikulo XIII, Seksyon 11:** Nagsasaad na dapat unahin ng Estado ang kalusugan at kagalingan ng mga kabataan. Maaari itong bigyang kahulugan na kasama ang mga serbisyo sa kalusugan ng isip na maaaring makatulong na maiwasan ang pagpapakamatay sa mga menor de edad.
**Mga Karagdagang Pagsasaalang-alang:**
* **Mga Patakaran ng Departamento ng Edukasyon (DepEd):** Maaaring may mga patakaran o programa ang DepEd na nakatuon sa kalusugan ng isip at pag-iwas sa pagpapakamatay sa mga paaralan.
* **Potensyal na Batas sa Hinaharap:** Ang pagpasa ng isang batas na partikular na nakatuon sa pagpigil sa pagpapakamatay para sa mga menor de edad ay isang posibilidad.
Bagama't walang partikular na legal na probisyon para lamang sa pag-iwas sa pagpapakamatay, ang mga batas na binanggit sa itaas ay maaaring gamitin upang protektahan ang mga menor de edad na nasa panganib. Laging pinakamahusay na kumunsulta sa isang abogado para sa mga partikular na legal na interpretasyon.</v>
      </c>
      <c r="F2472" s="2">
        <f t="shared" si="1"/>
        <v>0</v>
      </c>
      <c r="G2472" s="2"/>
      <c r="H2472" s="2"/>
      <c r="I2472" s="2"/>
      <c r="J2472" s="2"/>
      <c r="K2472" s="2"/>
      <c r="L2472" s="2"/>
      <c r="M2472" s="2"/>
      <c r="N2472" s="2"/>
      <c r="O2472" s="2"/>
      <c r="P2472" s="2"/>
      <c r="Q2472" s="2"/>
      <c r="R2472" s="2"/>
      <c r="S2472" s="2"/>
      <c r="T2472" s="2"/>
      <c r="U2472" s="2"/>
      <c r="V2472" s="2"/>
      <c r="W2472" s="2"/>
      <c r="X2472" s="2"/>
      <c r="Y2472" s="2"/>
      <c r="Z2472" s="2"/>
      <c r="AA2472" s="2"/>
    </row>
    <row r="2473">
      <c r="A2473" s="1" t="s">
        <v>5870</v>
      </c>
      <c r="B2473" s="1" t="s">
        <v>5913</v>
      </c>
      <c r="C2473" s="3" t="s">
        <v>5914</v>
      </c>
      <c r="D2473" s="2" t="str">
        <f>IFERROR(__xludf.DUMMYFUNCTION("GOOGLETRANSLATE(B2473, ""en"", ""TL"")"),"Anong mga legal na hakbang ang inilalagay upang matugunan ang pag-iwas sa pagpapakamatay sa militar at mga ahensyang nagpapatupad ng batas?")</f>
        <v>Anong mga legal na hakbang ang inilalagay upang matugunan ang pag-iwas sa pagpapakamatay sa militar at mga ahensyang nagpapatupad ng batas?</v>
      </c>
      <c r="E2473" s="2" t="str">
        <f>IFERROR(__xludf.DUMMYFUNCTION("GOOGLETRANSLATE(C2473, ""en"", ""TL"")"),"Bagama't walang partikular na batas na nakatuon lamang sa pag-iwas sa pagpapakamatay sa militar at pagpapatupad ng batas, may mga nauugnay na probisyon na maaaring ilapat:
**1. Ang Konstitusyon ng Pilipinas (1987):**
* **Artikulo II, Seksyon 15:** Ginagar"&amp;"antiya ang karapatan sa kalusugan. Maaari itong bigyang kahulugan na kasama ang mga serbisyo sa kalusugan ng isip, na maaaring maging kapaki-pakinabang para sa pag-iwas sa pagpapakamatay.
**2. Republic Act No. 11036 o ang Mental Health Act of 2018:**
* **"&amp;"Seksyon 10:** Nag-uutos ng pagsasama-sama ng mga serbisyo sa kalusugan ng isip sa lahat ng mga programang pangkalusugan ng pamahalaan, kabilang ang mga iniaalok ng Department of Health (DOH). Ang mga ahensya ng militar at tagapagpatupad ng batas ay maaari"&amp;"ng maging kasosyo sa DOH upang magbigay ng mga serbisyo sa kalusugan ng isip sa kanilang mga tauhan.
* **Seksyon 14:** Nangangailangan ng pagtatatag ng mga hotline sa kalusugan ng isip. Bagama't hindi eksklusibo sa militar at tagapagpatupad ng batas, posi"&amp;"bleng gamitin ng mga tauhan sa krisis ang mga hotline na ito.
**3. Republic Act No. 9745 o ang An Act Creating the Department of Health (DOH):**
* **Seksyon 4 (e):** Binibigyan ng kapangyarihan ang DOH na bumalangkas, magpatupad, at magpatupad ng mga pata"&amp;"karan, alituntunin, plano, at programa para sa kalusugan ng isip. Maaaring kabilang dito ang pakikipagtulungan sa militar at mga ahensyang nagpapatupad ng batas sa mga hakbangin sa pagpigil sa pagpapakamatay.
**4. Potensyal na Aplikasyon ng RA 11332 o ang"&amp;" Mandatory Basic Mental Health Services sa Health Facilities Act:**
* Ang Batas na ito ay nag-uutos sa lahat ng pasilidad ng kalusugan na magbigay ng mga pangunahing serbisyo sa kalusugan ng isip. Bagama't hindi direktang naaangkop, itinatampok nito ang l"&amp;"umalaking pagkilala sa kalusugan ng isip at maaaring hikayatin ang mga ahensya ng militar at nagpapatupad ng batas na mamuhunan sa mga mapagkukunan ng kalusugan ng isip sa loob ng kanilang mga pasilidad sa pangangalagang pangkalusugan. Mahalagang tandaan "&amp;"na ang mga ito ay mga potensyal na interpretasyon lamang at walang kasalukuyang batas na direktang nag-uutos ng mga programa sa pagpigil sa pagpapakamatay sa loob ng militar at tagapagpatupad ng batas. **Mga Karagdagang Pagsasaalang-alang:**
* Maaaring ma"&amp;"y mga panloob na patakaran o programa ang ilang ahensya ng militar at nagpapatupad ng batas na nauugnay sa pag-iwas sa pagpapakamatay. * Ang pagpasa ng isang batas na partikular na nakatuon sa pagpigil sa pagpapakamatay sa mga sektor na ito ay isang posib"&amp;"ilidad. Sana ay nakakatulong ang impormasyong ito! Tandaan, hindi ito legal na payo, kaya palaging inirerekomenda ang pagkonsulta sa isang abogado para sa mga partikular na detalye.")</f>
        <v>Bagama't walang partikular na batas na nakatuon lamang sa pag-iwas sa pagpapakamatay sa militar at pagpapatupad ng batas, may mga nauugnay na probisyon na maaaring ilapat:
**1. Ang Konstitusyon ng Pilipinas (1987):**
* **Artikulo II, Seksyon 15:** Ginagarantiya ang karapatan sa kalusugan. Maaari itong bigyang kahulugan na kasama ang mga serbisyo sa kalusugan ng isip, na maaaring maging kapaki-pakinabang para sa pag-iwas sa pagpapakamatay.
**2. Republic Act No. 11036 o ang Mental Health Act of 2018:**
* **Seksyon 10:** Nag-uutos ng pagsasama-sama ng mga serbisyo sa kalusugan ng isip sa lahat ng mga programang pangkalusugan ng pamahalaan, kabilang ang mga iniaalok ng Department of Health (DOH). Ang mga ahensya ng militar at tagapagpatupad ng batas ay maaaring maging kasosyo sa DOH upang magbigay ng mga serbisyo sa kalusugan ng isip sa kanilang mga tauhan.
* **Seksyon 14:** Nangangailangan ng pagtatatag ng mga hotline sa kalusugan ng isip. Bagama't hindi eksklusibo sa militar at tagapagpatupad ng batas, posibleng gamitin ng mga tauhan sa krisis ang mga hotline na ito.
**3. Republic Act No. 9745 o ang An Act Creating the Department of Health (DOH):**
* **Seksyon 4 (e):** Binibigyan ng kapangyarihan ang DOH na bumalangkas, magpatupad, at magpatupad ng mga patakaran, alituntunin, plano, at programa para sa kalusugan ng isip. Maaaring kabilang dito ang pakikipagtulungan sa militar at mga ahensyang nagpapatupad ng batas sa mga hakbangin sa pagpigil sa pagpapakamatay.
**4. Potensyal na Aplikasyon ng RA 11332 o ang Mandatory Basic Mental Health Services sa Health Facilities Act:**
* Ang Batas na ito ay nag-uutos sa lahat ng pasilidad ng kalusugan na magbigay ng mga pangunahing serbisyo sa kalusugan ng isip. Bagama't hindi direktang naaangkop, itinatampok nito ang lumalaking pagkilala sa kalusugan ng isip at maaaring hikayatin ang mga ahensya ng militar at nagpapatupad ng batas na mamuhunan sa mga mapagkukunan ng kalusugan ng isip sa loob ng kanilang mga pasilidad sa pangangalagang pangkalusugan. Mahalagang tandaan na ang mga ito ay mga potensyal na interpretasyon lamang at walang kasalukuyang batas na direktang nag-uutos ng mga programa sa pagpigil sa pagpapakamatay sa loob ng militar at tagapagpatupad ng batas. **Mga Karagdagang Pagsasaalang-alang:**
* Maaaring may mga panloob na patakaran o programa ang ilang ahensya ng militar at nagpapatupad ng batas na nauugnay sa pag-iwas sa pagpapakamatay. * Ang pagpasa ng isang batas na partikular na nakatuon sa pagpigil sa pagpapakamatay sa mga sektor na ito ay isang posibilidad. Sana ay nakakatulong ang impormasyong ito! Tandaan, hindi ito legal na payo, kaya palaging inirerekomenda ang pagkonsulta sa isang abogado para sa mga partikular na detalye.</v>
      </c>
      <c r="F2473" s="2">
        <f t="shared" si="1"/>
        <v>0</v>
      </c>
      <c r="G2473" s="2"/>
      <c r="H2473" s="2"/>
      <c r="I2473" s="2"/>
      <c r="J2473" s="2"/>
      <c r="K2473" s="2"/>
      <c r="L2473" s="2"/>
      <c r="M2473" s="2"/>
      <c r="N2473" s="2"/>
      <c r="O2473" s="2"/>
      <c r="P2473" s="2"/>
      <c r="Q2473" s="2"/>
      <c r="R2473" s="2"/>
      <c r="S2473" s="2"/>
      <c r="T2473" s="2"/>
      <c r="U2473" s="2"/>
      <c r="V2473" s="2"/>
      <c r="W2473" s="2"/>
      <c r="X2473" s="2"/>
      <c r="Y2473" s="2"/>
      <c r="Z2473" s="2"/>
      <c r="AA2473" s="2"/>
    </row>
    <row r="2474">
      <c r="A2474" s="1" t="s">
        <v>5870</v>
      </c>
      <c r="B2474" s="1" t="s">
        <v>5915</v>
      </c>
      <c r="C2474" s="3" t="s">
        <v>5916</v>
      </c>
      <c r="D2474" s="2" t="str">
        <f>IFERROR(__xludf.DUMMYFUNCTION("GOOGLETRANSLATE(B2474, ""en"", ""TL"")"),"Paano pinoprotektahan ng batas ang mga indibidwal na may kasaysayan ng mga pagtatangkang magpakamatay mula sa diskriminasyon?")</f>
        <v>Paano pinoprotektahan ng batas ang mga indibidwal na may kasaysayan ng mga pagtatangkang magpakamatay mula sa diskriminasyon?</v>
      </c>
      <c r="E2474" s="2" t="str">
        <f>IFERROR(__xludf.DUMMYFUNCTION("GOOGLETRANSLATE(C2474, ""en"", ""TL"")"),"Iba-iba ang mga batas na nagpoprotekta sa mga indibidwal na may kasaysayan ng mga pagtatangkang magpakamatay mula sa diskriminasyon, ngunit may ilang pangkalahatang prinsipyo at legal na balangkas na nag-aalok ng ilang proteksyon:
**Mga Batas sa Diskrimin"&amp;"asyon laban sa Kapansanan:**
* **Pokus:** Maraming bansa ang may mga batas na nagbabawal sa diskriminasyon batay sa kapansanan. Ang mga kondisyon sa kalusugan ng isip, kabilang ang depresyon o pagkabalisa na maaaring humantong sa pagtatangkang magpakamata"&amp;"y, ay maaaring ituring na mga kapansanan sa ilalim ng mga batas na ito. * **Mga Proteksyon:** Maaaring protektahan ng mga batas na ito ang mga indibidwal mula sa diskriminasyon sa iba't ibang lugar, gaya ng:
* Pagtatrabaho: Maaari nilang pigilan ang mga t"&amp;"agapag-empleyo mula sa pagpapaalis o pagtanggi na kumuha ng isang tao batay lamang sa isang kasaysayan ng pagtatangkang magpakamatay, hangga't ang indibidwal ay kwalipikado para sa trabaho at ang kanilang kondisyon ay hindi direktang banta. * Pabahay: Maa"&amp;"aring pigilan ng mga batas na ito ang mga panginoong maylupa na tanggihan ang isang tao bilang nangungupahan batay sa kanilang kasaysayan ng kalusugan ng isip.
* **Mga Limitasyon:** Maaaring mag-iba ang mga proteksyon depende sa partikular na batas at sa "&amp;"kalubhaan ng kondisyon ng kalusugan ng isip. **Tumuon sa Makatwirang Akomodasyon:**
* **Pagtatrabaho:** Maaaring kailanganin ng mga employer na magbigay ng mga makatwirang kaluwagan, tulad ng mga nababagong iskedyul ng trabaho o oras ng pahinga para sa pa"&amp;"ggamot, upang payagan ang isang empleyadong may kasaysayan ng mga pagtatangkang magpakamatay na gampanan ang kanilang mga tungkulin sa trabaho.
**Mga Batas sa Privacy:**
* **Mga Rekord na Medikal:** Ang mga batas na nagpoprotekta sa pagiging kumpidensyal "&amp;"ng mga medikal na rekord, kabilang ang mga rekord sa kalusugan ng isip, ay maaaring pumigil sa mga employer o iba pang entity na ma-access ang impormasyong ito nang walang pahintulot. Makakatulong ito na maiwasan ang diskriminasyon batay sa nakaraang pagt"&amp;"atangkang magpakamatay.
**Mga Hamon at Pagsasaalang-alang:**
* **Burden of Proof:** Ang pasanin ng patunay ay kadalasang nauukol sa indibidwal upang ipakita na naganap ang diskriminasyon batay sa kanilang kasaysayan ng kalusugan ng isip. Ito ay maaaring m"&amp;"aging mahirap.
* **Limitadong Saklaw:** Maaaring hindi naaangkop ang mga batas na ito sa lahat ng sitwasyon, gaya ng diskriminasyon sa sistema ng hustisya o ng mga pribadong indibidwal.
**Ang Kahalagahan ng Pagbubunyag:**
* **Pagiging Kumpidensyal kumpara"&amp;" sa Transparency:** Bagama't mahalaga ang mga batas sa privacy, maaaring may mga sitwasyon kung saan ang pagsisiwalat ng kasaysayan ng mga pagtatangkang magpakamatay sa isang tagapag-empleyo o iba pang entity ay kinakailangan upang humiling ng mga makatwi"&amp;"rang akomodasyon o ipaliwanag ang mga limitasyon. Dapat itong gawin sa bawat kaso, isinasaalang-alang ang mga potensyal na benepisyo at panganib.
**Pasulong:**
* **Pagtaas ng Kamalayan:** Ang pagtaas ng kamalayan ng publiko tungkol sa kalusugan ng isip at"&amp;" pag-iwas sa pagpapakamatay ay maaaring makatulong na mabawasan ang stigma at diskriminasyon.
* **Pagpapalakas ng Mga Batas laban sa Diskriminasyon:** Ang mga pagsusumikap sa pagtataguyod ay maaaring tumuon sa pagpapalakas ng mga batas laban sa diskrimina"&amp;"syon upang mag-alok ng mas malinaw na mga proteksyon para sa mga indibidwal na may mga kondisyon sa kalusugan ng isip, kabilang ang mga may kasaysayan ng mga pagtatangkang magpakamatay.
**Konklusyon:**
Ang legal na tanawin ay umuunlad, ngunit kasalukuyang"&amp;" may mga hindi direktang legal na proteksyon para sa mga indibidwal na may kasaysayan ng mga pagtatangkang magpakamatay sa pamamagitan ng mga batas laban sa diskriminasyon at mga regulasyon sa privacy. Ang pag-unawa sa mga proteksyong ito at kung paano i-"&amp;"access ang mga ito ay maaaring maging makapangyarihan, ngunit mahalagang tandaan na may mga limitasyon at hamon.")</f>
        <v>Iba-iba ang mga batas na nagpoprotekta sa mga indibidwal na may kasaysayan ng mga pagtatangkang magpakamatay mula sa diskriminasyon, ngunit may ilang pangkalahatang prinsipyo at legal na balangkas na nag-aalok ng ilang proteksyon:
**Mga Batas sa Diskriminasyon laban sa Kapansanan:**
* **Pokus:** Maraming bansa ang may mga batas na nagbabawal sa diskriminasyon batay sa kapansanan. Ang mga kondisyon sa kalusugan ng isip, kabilang ang depresyon o pagkabalisa na maaaring humantong sa pagtatangkang magpakamatay, ay maaaring ituring na mga kapansanan sa ilalim ng mga batas na ito. * **Mga Proteksyon:** Maaaring protektahan ng mga batas na ito ang mga indibidwal mula sa diskriminasyon sa iba't ibang lugar, gaya ng:
* Pagtatrabaho: Maaari nilang pigilan ang mga tagapag-empleyo mula sa pagpapaalis o pagtanggi na kumuha ng isang tao batay lamang sa isang kasaysayan ng pagtatangkang magpakamatay, hangga't ang indibidwal ay kwalipikado para sa trabaho at ang kanilang kondisyon ay hindi direktang banta. * Pabahay: Maaaring pigilan ng mga batas na ito ang mga panginoong maylupa na tanggihan ang isang tao bilang nangungupahan batay sa kanilang kasaysayan ng kalusugan ng isip.
* **Mga Limitasyon:** Maaaring mag-iba ang mga proteksyon depende sa partikular na batas at sa kalubhaan ng kondisyon ng kalusugan ng isip. **Tumuon sa Makatwirang Akomodasyon:**
* **Pagtatrabaho:** Maaaring kailanganin ng mga employer na magbigay ng mga makatwirang kaluwagan, tulad ng mga nababagong iskedyul ng trabaho o oras ng pahinga para sa paggamot, upang payagan ang isang empleyadong may kasaysayan ng mga pagtatangkang magpakamatay na gampanan ang kanilang mga tungkulin sa trabaho.
**Mga Batas sa Privacy:**
* **Mga Rekord na Medikal:** Ang mga batas na nagpoprotekta sa pagiging kumpidensyal ng mga medikal na rekord, kabilang ang mga rekord sa kalusugan ng isip, ay maaaring pumigil sa mga employer o iba pang entity na ma-access ang impormasyong ito nang walang pahintulot. Makakatulong ito na maiwasan ang diskriminasyon batay sa nakaraang pagtatangkang magpakamatay.
**Mga Hamon at Pagsasaalang-alang:**
* **Burden of Proof:** Ang pasanin ng patunay ay kadalasang nauukol sa indibidwal upang ipakita na naganap ang diskriminasyon batay sa kanilang kasaysayan ng kalusugan ng isip. Ito ay maaaring maging mahirap.
* **Limitadong Saklaw:** Maaaring hindi naaangkop ang mga batas na ito sa lahat ng sitwasyon, gaya ng diskriminasyon sa sistema ng hustisya o ng mga pribadong indibidwal.
**Ang Kahalagahan ng Pagbubunyag:**
* **Pagiging Kumpidensyal kumpara sa Transparency:** Bagama't mahalaga ang mga batas sa privacy, maaaring may mga sitwasyon kung saan ang pagsisiwalat ng kasaysayan ng mga pagtatangkang magpakamatay sa isang tagapag-empleyo o iba pang entity ay kinakailangan upang humiling ng mga makatwirang akomodasyon o ipaliwanag ang mga limitasyon. Dapat itong gawin sa bawat kaso, isinasaalang-alang ang mga potensyal na benepisyo at panganib.
**Pasulong:**
* **Pagtaas ng Kamalayan:** Ang pagtaas ng kamalayan ng publiko tungkol sa kalusugan ng isip at pag-iwas sa pagpapakamatay ay maaaring makatulong na mabawasan ang stigma at diskriminasyon.
* **Pagpapalakas ng Mga Batas laban sa Diskriminasyon:** Ang mga pagsusumikap sa pagtataguyod ay maaaring tumuon sa pagpapalakas ng mga batas laban sa diskriminasyon upang mag-alok ng mas malinaw na mga proteksyon para sa mga indibidwal na may mga kondisyon sa kalusugan ng isip, kabilang ang mga may kasaysayan ng mga pagtatangkang magpakamatay.
**Konklusyon:**
Ang legal na tanawin ay umuunlad, ngunit kasalukuyang may mga hindi direktang legal na proteksyon para sa mga indibidwal na may kasaysayan ng mga pagtatangkang magpakamatay sa pamamagitan ng mga batas laban sa diskriminasyon at mga regulasyon sa privacy. Ang pag-unawa sa mga proteksyong ito at kung paano i-access ang mga ito ay maaaring maging makapangyarihan, ngunit mahalagang tandaan na may mga limitasyon at hamon.</v>
      </c>
      <c r="F2474" s="2">
        <f t="shared" si="1"/>
        <v>0</v>
      </c>
      <c r="G2474" s="2"/>
      <c r="H2474" s="2"/>
      <c r="I2474" s="2"/>
      <c r="J2474" s="2"/>
      <c r="K2474" s="2"/>
      <c r="L2474" s="2"/>
      <c r="M2474" s="2"/>
      <c r="N2474" s="2"/>
      <c r="O2474" s="2"/>
      <c r="P2474" s="2"/>
      <c r="Q2474" s="2"/>
      <c r="R2474" s="2"/>
      <c r="S2474" s="2"/>
      <c r="T2474" s="2"/>
      <c r="U2474" s="2"/>
      <c r="V2474" s="2"/>
      <c r="W2474" s="2"/>
      <c r="X2474" s="2"/>
      <c r="Y2474" s="2"/>
      <c r="Z2474" s="2"/>
      <c r="AA2474" s="2"/>
    </row>
    <row r="2475">
      <c r="A2475" s="1" t="s">
        <v>5870</v>
      </c>
      <c r="B2475" s="1" t="s">
        <v>5917</v>
      </c>
      <c r="C2475" s="3" t="s">
        <v>5918</v>
      </c>
      <c r="D2475" s="2" t="str">
        <f>IFERROR(__xludf.DUMMYFUNCTION("GOOGLETRANSLATE(B2475, ""en"", ""TL"")"),"Mayroon bang mga legal na kinakailangan para sa edukasyon at pagsasanay sa kalusugan ng isip para sa mga propesyonal na nakikitungo sa pag-iwas sa pagpapakamatay?")</f>
        <v>Mayroon bang mga legal na kinakailangan para sa edukasyon at pagsasanay sa kalusugan ng isip para sa mga propesyonal na nakikitungo sa pag-iwas sa pagpapakamatay?</v>
      </c>
      <c r="E2475" s="2" t="str">
        <f>IFERROR(__xludf.DUMMYFUNCTION("GOOGLETRANSLATE(C2475, ""en"", ""TL"")"),"Ang mga legal na kinakailangan para sa edukasyon sa kalusugan ng isip at pagsasanay sa pag-iwas sa pagpapakamatay para sa mga propesyonal ay nag-iiba depende sa lokasyon. Narito ang isang breakdown ng sitwasyon:
**Walang Pangkalahatang Utos:**
Kasalukuyan"&amp;"g walang solong **pangkalahatang legal na kinakailangan** para sa pagsasanay sa pagpigil sa pagpapakamatay para sa mga propesyonal sa kalusugan ng isip. Gayunpaman, nagbabago ang tanawin, at may ilang mga hakbangin na gumagalaw sa direksyong ito:
**Ang Il"&amp;"ang Bansa ay May Mga Mandate:**
* **Mga Halimbawa:** Ang ilang bansa, tulad ng estado ng Washington ng Estados Unidos, ay nagpasa ng batas na nag-uutos ng pagsasanay sa pagpigil sa pagpapakamatay para sa ilang partikular na propesyonal sa kalusugan ng isi"&amp;"p tulad ng mga psychologist, social worker, at tagapayo. **Tumuon sa Pinakamahuhusay na Kagawian at Rekomendasyon:**
* **Mga Propesyonal na Asosasyon:** Maraming mga organisasyong propesyonal sa kalusugan ng isip ang may mga etikal na code na naghihikayat"&amp;" o nag-uutos ng pagtatasa ng panganib sa pagpapakamatay at pagsasanay ng interbensyon para sa kanilang mga miyembro. Ang mga rekomendasyong ito ay maaaring magkaroon ng malaking epekto sa mga kasanayan sa pagsasanay. * **Pambansang Alituntunin:** Ang mga "&amp;"pambansang organisasyon ay maaaring mag-publish ng mga pinakamahusay na patnubay sa kasanayan na nagbibigay-diin sa kahalagahan ng pagsasanay sa pag-iwas sa pagpapakamatay para sa mga propesyonal sa kalusugan ng isip.
**Ang Uso ay Umuusad Patungo sa Pagsa"&amp;"sanay:**
* **Pinataas na Pagkilala:** Ang kahalagahan ng pagsasanay sa pagpigil sa pagpapakamatay para sa mga propesyonal sa kalusugan ng isip ay lalong kinikilala. * **Mga Inisyatiba sa Antas ng Estado:** Higit pang mga estado at lokal na hurisdiksyon an"&amp;"g isinasaalang-alang o nagpapatupad ng mga mandato para sa pagsasanay sa pagpigil sa pagpapakamatay.
**Narito ang isang breakdown ng mga aktor na kasangkot:**
* **Federal Level:** Maaaring may mga pederal na rekomendasyon o pondo ang ilang bansa para sa p"&amp;"agsasanay sa pagpigil sa pagpapakamatay, ngunit ang mga mandato ay karaniwang nasa antas ng estado. (Halimbawa sa US: Ang Garrett Lee Smith Memorial Act ay nagbibigay ng pondo para sa mga programa sa pagpigil sa pagpapakamatay, ngunit hindi nag-uutos ng p"&amp;"agsasanay)
* **Antas ng Estado:** Maaaring may mga batas ang mga indibidwal na estado na nag-uutos ng pagsasanay sa pagpigil sa pagpapakamatay para sa mga partikular na propesyon sa kalusugan ng isip. * **Mga Propesyonal na Organisasyon:** Ang mga organis"&amp;"asyong ito ay nagtatatag ng mga etikal na code at mga pamantayan sa pagsasanay para sa kanilang mga miyembro, na maaaring magsama ng pagpigil sa pagpapakamatay.
* **Mga Institusyon ng Pagsasanay:** Ang mga unibersidad at mga programa sa pagsasanay para sa"&amp;" mga propesyonal sa kalusugan ng isip ay maaaring isama ang pagsasanay sa pagpigil sa pagpapakamatay sa kanilang kurikulum.
**Paghahanap ng Mga Partikular na Kinakailangan:**
* Upang matuto nang higit pa tungkol sa mga legal at etikal na obligasyon sa iyo"&amp;"ng lugar, maaari mong subukan ang:
* Paghahanap para sa mga batas sa kalusugan ng isip ng iyong estado o mga regulasyon ng lupon ng paglilisensya.
* Naghahanap ng mga mapagkukunan mula sa mga organisasyong propesyonal sa kalusugan ng isip sa iyong bansa.
"&amp;"**Ang Kahalagahan ng Pagsasanay:**
Kahit na walang mga legal na utos, ang pagsasanay sa pagpigil sa pagpapakamatay ay mahalaga para sa mga propesyonal sa kalusugan ng isip upang epektibong masuri ang panganib, makialam sa mga sitwasyon ng krisis, at ikone"&amp;"kta ang mga indibidwal na may naaangkop na mga mapagkukunan.")</f>
        <v>Ang mga legal na kinakailangan para sa edukasyon sa kalusugan ng isip at pagsasanay sa pag-iwas sa pagpapakamatay para sa mga propesyonal ay nag-iiba depende sa lokasyon. Narito ang isang breakdown ng sitwasyon:
**Walang Pangkalahatang Utos:**
Kasalukuyang walang solong **pangkalahatang legal na kinakailangan** para sa pagsasanay sa pagpigil sa pagpapakamatay para sa mga propesyonal sa kalusugan ng isip. Gayunpaman, nagbabago ang tanawin, at may ilang mga hakbangin na gumagalaw sa direksyong ito:
**Ang Ilang Bansa ay May Mga Mandate:**
* **Mga Halimbawa:** Ang ilang bansa, tulad ng estado ng Washington ng Estados Unidos, ay nagpasa ng batas na nag-uutos ng pagsasanay sa pagpigil sa pagpapakamatay para sa ilang partikular na propesyonal sa kalusugan ng isip tulad ng mga psychologist, social worker, at tagapayo. **Tumuon sa Pinakamahuhusay na Kagawian at Rekomendasyon:**
* **Mga Propesyonal na Asosasyon:** Maraming mga organisasyong propesyonal sa kalusugan ng isip ang may mga etikal na code na naghihikayat o nag-uutos ng pagtatasa ng panganib sa pagpapakamatay at pagsasanay ng interbensyon para sa kanilang mga miyembro. Ang mga rekomendasyong ito ay maaaring magkaroon ng malaking epekto sa mga kasanayan sa pagsasanay. * **Pambansang Alituntunin:** Ang mga pambansang organisasyon ay maaaring mag-publish ng mga pinakamahusay na patnubay sa kasanayan na nagbibigay-diin sa kahalagahan ng pagsasanay sa pag-iwas sa pagpapakamatay para sa mga propesyonal sa kalusugan ng isip.
**Ang Uso ay Umuusad Patungo sa Pagsasanay:**
* **Pinataas na Pagkilala:** Ang kahalagahan ng pagsasanay sa pagpigil sa pagpapakamatay para sa mga propesyonal sa kalusugan ng isip ay lalong kinikilala. * **Mga Inisyatiba sa Antas ng Estado:** Higit pang mga estado at lokal na hurisdiksyon ang isinasaalang-alang o nagpapatupad ng mga mandato para sa pagsasanay sa pagpigil sa pagpapakamatay.
**Narito ang isang breakdown ng mga aktor na kasangkot:**
* **Federal Level:** Maaaring may mga pederal na rekomendasyon o pondo ang ilang bansa para sa pagsasanay sa pagpigil sa pagpapakamatay, ngunit ang mga mandato ay karaniwang nasa antas ng estado. (Halimbawa sa US: Ang Garrett Lee Smith Memorial Act ay nagbibigay ng pondo para sa mga programa sa pagpigil sa pagpapakamatay, ngunit hindi nag-uutos ng pagsasanay)
* **Antas ng Estado:** Maaaring may mga batas ang mga indibidwal na estado na nag-uutos ng pagsasanay sa pagpigil sa pagpapakamatay para sa mga partikular na propesyon sa kalusugan ng isip. * **Mga Propesyonal na Organisasyon:** Ang mga organisasyong ito ay nagtatatag ng mga etikal na code at mga pamantayan sa pagsasanay para sa kanilang mga miyembro, na maaaring magsama ng pagpigil sa pagpapakamatay.
* **Mga Institusyon ng Pagsasanay:** Ang mga unibersidad at mga programa sa pagsasanay para sa mga propesyonal sa kalusugan ng isip ay maaaring isama ang pagsasanay sa pagpigil sa pagpapakamatay sa kanilang kurikulum.
**Paghahanap ng Mga Partikular na Kinakailangan:**
* Upang matuto nang higit pa tungkol sa mga legal at etikal na obligasyon sa iyong lugar, maaari mong subukan ang:
* Paghahanap para sa mga batas sa kalusugan ng isip ng iyong estado o mga regulasyon ng lupon ng paglilisensya.
* Naghahanap ng mga mapagkukunan mula sa mga organisasyong propesyonal sa kalusugan ng isip sa iyong bansa.
**Ang Kahalagahan ng Pagsasanay:**
Kahit na walang mga legal na utos, ang pagsasanay sa pagpigil sa pagpapakamatay ay mahalaga para sa mga propesyonal sa kalusugan ng isip upang epektibong masuri ang panganib, makialam sa mga sitwasyon ng krisis, at ikonekta ang mga indibidwal na may naaangkop na mga mapagkukunan.</v>
      </c>
      <c r="F2475" s="2">
        <f t="shared" si="1"/>
        <v>0</v>
      </c>
      <c r="G2475" s="2"/>
      <c r="H2475" s="2"/>
      <c r="I2475" s="2"/>
      <c r="J2475" s="2"/>
      <c r="K2475" s="2"/>
      <c r="L2475" s="2"/>
      <c r="M2475" s="2"/>
      <c r="N2475" s="2"/>
      <c r="O2475" s="2"/>
      <c r="P2475" s="2"/>
      <c r="Q2475" s="2"/>
      <c r="R2475" s="2"/>
      <c r="S2475" s="2"/>
      <c r="T2475" s="2"/>
      <c r="U2475" s="2"/>
      <c r="V2475" s="2"/>
      <c r="W2475" s="2"/>
      <c r="X2475" s="2"/>
      <c r="Y2475" s="2"/>
      <c r="Z2475" s="2"/>
      <c r="AA2475" s="2"/>
    </row>
    <row r="2476">
      <c r="A2476" s="1" t="s">
        <v>5870</v>
      </c>
      <c r="B2476" s="1" t="s">
        <v>5919</v>
      </c>
      <c r="C2476" s="3" t="s">
        <v>5920</v>
      </c>
      <c r="D2476" s="2" t="str">
        <f>IFERROR(__xludf.DUMMYFUNCTION("GOOGLETRANSLATE(B2476, ""en"", ""TL"")"),"Paano tinutugunan ng batas ang pagpigil sa pagpapakamatay sa komunidad ng LGBTQ+, na isinasaalang-alang ang mas mataas na mga kadahilanan sa panganib?")</f>
        <v>Paano tinutugunan ng batas ang pagpigil sa pagpapakamatay sa komunidad ng LGBTQ+, na isinasaalang-alang ang mas mataas na mga kadahilanan sa panganib?</v>
      </c>
      <c r="E2476" s="2" t="str">
        <f>IFERROR(__xludf.DUMMYFUNCTION("GOOGLETRANSLATE(C2476, ""en"", ""TL"")"),"Hindi direktang tinutugunan ng mga batas ang pag-iwas sa pagpapakamatay na partikular sa komunidad ng LGBTQ+, ngunit ang ilang mga legal na prinsipyo at inisyatiba ay lumikha ng isang hindi direktang sumusuportang balangkas:
**Mga Batas laban sa Diskrimin"&amp;"asyon:**
* **Mga Proteksyon:** Ang mga batas na nagbabawal sa diskriminasyon batay sa oryentasyong sekswal at pagkakakilanlang pangkasarian ay maaaring lumikha ng isang mas ligtas at mas katanggap-tanggap na kapaligiran para sa mga LGBTQ+ na indibidwal, n"&amp;"a potensyal na mabawasan ang mga kadahilanan ng panganib para sa pagpapakamatay. Ito ay maaaring sumaklaw sa mga lugar tulad ng pabahay, trabaho, at pangangalagang pangkalusugan.
* **Pantay na Pag-access sa Pangangalaga:** Ang mga batas na ito ay maaaring"&amp;" hindi direktang magsulong ng pag-access sa mga serbisyo sa kalusugan ng isip para sa mga LGBTQ+ na indibidwal na maaaring makaharap sa diskriminasyon o takot sa paghatol sa mga tradisyonal na setting ng pangangalagang pangkalusugan.
**Mga Limitasyon:**
*"&amp;" **Tumutok sa Diskriminasyon:** Ang mga batas laban sa diskriminasyon ay hindi direktang nag-uutos ng mga partikular na diskarte sa pag-iwas sa pagpapakamatay para sa mga komunidad ng LGBTQ+.
**Pagtugon sa Mga Salik sa Panganib:**
* **Mental Health Fundin"&amp;"g:** Ang pangkalahatang pagpopondo para sa mga serbisyo sa kalusugan ng isip ay maaaring ituro sa mga programang tumutugon sa mga partikular na pangangailangan ng LGBTQ+ na kabataan at matatanda. Maaaring tumuon ang mga programang ito sa mga isyu tulad ng"&amp;":
* Paglabas ng stress
* Ang stress ng minorya mula sa stigma at diskriminasyon
* Kahirapan sa pag-access sa nagpapatunay ng pangangalagang pangkalusugan
* **Pinakamahuhusay na Kasanayan at Pagsasanay:** Ang mga organisasyong pangkalusugan ng isip ay bumu"&amp;"buo ng pinakamahuhusay na kagawian para sa paglilingkod sa mga kliyente ng LGBTQ+. Bagama't hindi ipinag-uutos ng batas, hinihikayat ng mga alituntuning ito ang pangangalagang may kakayahang pangkultura na isinasaalang-alang ang mga natatanging hamon na k"&amp;"inakaharap ng populasyon na ito.
**Legal na Pagkilala:**
* **Pagkilala sa Pagkakakilanlan ng Kasarian:** Ang mga batas na nagpapahintulot sa mga transgender na indibidwal na baguhin ang kanilang mga legal na dokumento ng pagkakakilanlan ng kasarian ay maa"&amp;"aring mapabuti ang kanilang kapakanan at mabawasan ang stigma, na posibleng magpababa ng panganib sa pagpapakamatay.
**Mga Hamon at Pagsasaalang-alang:**
* **Mga Limitadong Mapagkukunan:** Ang pagpopondo para sa mga serbisyo sa kalusugan ng isip sa pangka"&amp;"lahatan ay kadalasang hindi sapat, na may mas kaunting mga mapagkukunang partikular na nakatuon sa kalusugan ng isip ng LGBTQ+.
* **Stigma:** Stigma na nakapalibot sa mental health at LGBTQ+ na pagkakakilanlan ay maaari pa ring maging malaking hadlang sa "&amp;"pag-uugaling naghahanap ng tulong.
**Naghahanap sa Harap:**
* **Pinataas na Pagpopondo:** Ang paglalaan ng higit pang mga mapagkukunan patungo sa mga serbisyo sa kalusugan ng isip na partikular na iniayon sa mga pangangailangan ng mga populasyon ng LGBTQ+"&amp;" ay napakahalaga. * **Pagkolekta ng Data:** Ang pagkolekta ng data sa mga rate ng pagpapakamatay at mga kadahilanan ng panganib sa loob ng komunidad ng LGBTQ+ ay maaaring makatulong sa pagbuo ng mga naka-target na diskarte sa pag-iwas. * **Mga Kampanya sa"&amp;" Pampublikong Kamalayan:** Ang pagpapataas ng kamalayan tungkol sa mga isyu sa kalusugan ng isip sa komunidad ng LGBTQ+ at pagtataguyod ng mga pag-uugali sa paghahanap ng tulong ay maaaring magkaroon ng malaking papel sa pag-iwas sa pagpapakamatay.
**Konk"&amp;"lusyon:**
Ang legal na balangkas ay lumilikha ng isang hindi direktang sumusuportang kapaligiran para sa LGBTQ+ na pagpigil sa pagpapakamatay sa pamamagitan ng mga batas laban sa diskriminasyon at sa pamamagitan ng pagtataguyod ng access sa mga serbisyo s"&amp;"a kalusugan ng isip. Gayunpaman, ang pagtaas ng pondo, pangangalagang may kakayahang pangkultura, at mga naka-target na programa ay mahalaga para sa pagtugon sa mga partikular na pangangailangan ng populasyon na ito na may mataas na panganib.")</f>
        <v>Hindi direktang tinutugunan ng mga batas ang pag-iwas sa pagpapakamatay na partikular sa komunidad ng LGBTQ+, ngunit ang ilang mga legal na prinsipyo at inisyatiba ay lumikha ng isang hindi direktang sumusuportang balangkas:
**Mga Batas laban sa Diskriminasyon:**
* **Mga Proteksyon:** Ang mga batas na nagbabawal sa diskriminasyon batay sa oryentasyong sekswal at pagkakakilanlang pangkasarian ay maaaring lumikha ng isang mas ligtas at mas katanggap-tanggap na kapaligiran para sa mga LGBTQ+ na indibidwal, na potensyal na mabawasan ang mga kadahilanan ng panganib para sa pagpapakamatay. Ito ay maaaring sumaklaw sa mga lugar tulad ng pabahay, trabaho, at pangangalagang pangkalusugan.
* **Pantay na Pag-access sa Pangangalaga:** Ang mga batas na ito ay maaaring hindi direktang magsulong ng pag-access sa mga serbisyo sa kalusugan ng isip para sa mga LGBTQ+ na indibidwal na maaaring makaharap sa diskriminasyon o takot sa paghatol sa mga tradisyonal na setting ng pangangalagang pangkalusugan.
**Mga Limitasyon:**
* **Tumutok sa Diskriminasyon:** Ang mga batas laban sa diskriminasyon ay hindi direktang nag-uutos ng mga partikular na diskarte sa pag-iwas sa pagpapakamatay para sa mga komunidad ng LGBTQ+.
**Pagtugon sa Mga Salik sa Panganib:**
* **Mental Health Funding:** Ang pangkalahatang pagpopondo para sa mga serbisyo sa kalusugan ng isip ay maaaring ituro sa mga programang tumutugon sa mga partikular na pangangailangan ng LGBTQ+ na kabataan at matatanda. Maaaring tumuon ang mga programang ito sa mga isyu tulad ng:
* Paglabas ng stress
* Ang stress ng minorya mula sa stigma at diskriminasyon
* Kahirapan sa pag-access sa nagpapatunay ng pangangalagang pangkalusugan
* **Pinakamahuhusay na Kasanayan at Pagsasanay:** Ang mga organisasyong pangkalusugan ng isip ay bumubuo ng pinakamahuhusay na kagawian para sa paglilingkod sa mga kliyente ng LGBTQ+. Bagama't hindi ipinag-uutos ng batas, hinihikayat ng mga alituntuning ito ang pangangalagang may kakayahang pangkultura na isinasaalang-alang ang mga natatanging hamon na kinakaharap ng populasyon na ito.
**Legal na Pagkilala:**
* **Pagkilala sa Pagkakakilanlan ng Kasarian:** Ang mga batas na nagpapahintulot sa mga transgender na indibidwal na baguhin ang kanilang mga legal na dokumento ng pagkakakilanlan ng kasarian ay maaaring mapabuti ang kanilang kapakanan at mabawasan ang stigma, na posibleng magpababa ng panganib sa pagpapakamatay.
**Mga Hamon at Pagsasaalang-alang:**
* **Mga Limitadong Mapagkukunan:** Ang pagpopondo para sa mga serbisyo sa kalusugan ng isip sa pangkalahatan ay kadalasang hindi sapat, na may mas kaunting mga mapagkukunang partikular na nakatuon sa kalusugan ng isip ng LGBTQ+.
* **Stigma:** Stigma na nakapalibot sa mental health at LGBTQ+ na pagkakakilanlan ay maaari pa ring maging malaking hadlang sa pag-uugaling naghahanap ng tulong.
**Naghahanap sa Harap:**
* **Pinataas na Pagpopondo:** Ang paglalaan ng higit pang mga mapagkukunan patungo sa mga serbisyo sa kalusugan ng isip na partikular na iniayon sa mga pangangailangan ng mga populasyon ng LGBTQ+ ay napakahalaga. * **Pagkolekta ng Data:** Ang pagkolekta ng data sa mga rate ng pagpapakamatay at mga kadahilanan ng panganib sa loob ng komunidad ng LGBTQ+ ay maaaring makatulong sa pagbuo ng mga naka-target na diskarte sa pag-iwas. * **Mga Kampanya sa Pampublikong Kamalayan:** Ang pagpapataas ng kamalayan tungkol sa mga isyu sa kalusugan ng isip sa komunidad ng LGBTQ+ at pagtataguyod ng mga pag-uugali sa paghahanap ng tulong ay maaaring magkaroon ng malaking papel sa pag-iwas sa pagpapakamatay.
**Konklusyon:**
Ang legal na balangkas ay lumilikha ng isang hindi direktang sumusuportang kapaligiran para sa LGBTQ+ na pagpigil sa pagpapakamatay sa pamamagitan ng mga batas laban sa diskriminasyon at sa pamamagitan ng pagtataguyod ng access sa mga serbisyo sa kalusugan ng isip. Gayunpaman, ang pagtaas ng pondo, pangangalagang may kakayahang pangkultura, at mga naka-target na programa ay mahalaga para sa pagtugon sa mga partikular na pangangailangan ng populasyon na ito na may mataas na panganib.</v>
      </c>
      <c r="F2476" s="2">
        <f t="shared" si="1"/>
        <v>0</v>
      </c>
      <c r="G2476" s="2"/>
      <c r="H2476" s="2"/>
      <c r="I2476" s="2"/>
      <c r="J2476" s="2"/>
      <c r="K2476" s="2"/>
      <c r="L2476" s="2"/>
      <c r="M2476" s="2"/>
      <c r="N2476" s="2"/>
      <c r="O2476" s="2"/>
      <c r="P2476" s="2"/>
      <c r="Q2476" s="2"/>
      <c r="R2476" s="2"/>
      <c r="S2476" s="2"/>
      <c r="T2476" s="2"/>
      <c r="U2476" s="2"/>
      <c r="V2476" s="2"/>
      <c r="W2476" s="2"/>
      <c r="X2476" s="2"/>
      <c r="Y2476" s="2"/>
      <c r="Z2476" s="2"/>
      <c r="AA2476" s="2"/>
    </row>
    <row r="2477">
      <c r="A2477" s="1" t="s">
        <v>5870</v>
      </c>
      <c r="B2477" s="1" t="s">
        <v>5921</v>
      </c>
      <c r="C2477" s="3" t="s">
        <v>5922</v>
      </c>
      <c r="D2477" s="2" t="str">
        <f>IFERROR(__xludf.DUMMYFUNCTION("GOOGLETRANSLATE(B2477, ""en"", ""TL"")"),"Anong mga legal na hakbang ang inilalagay upang matiyak ang sensitibong kultural na mga diskarte sa pag-iwas sa pagpapakamatay?")</f>
        <v>Anong mga legal na hakbang ang inilalagay upang matiyak ang sensitibong kultural na mga diskarte sa pag-iwas sa pagpapakamatay?</v>
      </c>
      <c r="E2477" s="2" t="str">
        <f>IFERROR(__xludf.DUMMYFUNCTION("GOOGLETRANSLATE(C2477, ""en"", ""TL"")"),"Ang pag-iwas sa pagpapakamatay na sensitibo sa kultura ay lumalaking alalahanin, ngunit sa kasalukuyan ay walang **pangkalahatang legal na mga hakbang** na nag-uutos ng mga partikular na diskarte. Gayunpaman, maraming ligal na prinsipyo at inisyatiba ang "&amp;"lumikha ng isang balangkas na maaaring maging sensitibo sa kultura:
**Tumutok sa Walang Diskriminasyon:**
* **Mga Disability Rights Acts:** Maraming bansa ang may mga batas na nagtataguyod ng pantay na pag-access sa pangangalagang pangkalusugan, kabilang "&amp;"ang mga serbisyo sa kalusugan ng isip. Maaari itong hindi direktang makikinabang sa mga populasyon na magkakaibang kultura sa pamamagitan ng pagtiyak na hindi sila nadidiskrimina kapag naghahanap ng suporta sa pagpigil sa pagpapakamatay.
* **Mga Batas sa "&amp;"Karapatang Pantao:** Maaaring bigyang-diin ng mga internasyonal na balangkas ng karapatang pantao ang karapatan sa kalusugan at kagalingan nang walang diskriminasyon batay sa etnisidad, relihiyon, o kultural na background.
**Mga Hamon:**
* **Limitadong Sa"&amp;"klaw:** Ang mga batas na ito ay madalas na hindi tahasang tumutugon sa pagiging sensitibo sa kultura sa pag-iwas sa pagpapakamatay. **Di-tuwirang Suporta para sa Culturally Sensitive Approach:**
* **Pagpopondo:** Ang pagpopondo na inilaan para sa mga serb"&amp;"isyo sa kalusugan ng isip at mga programa sa pagpigil sa pagpapakamatay ay maaaring ituro sa mga hakbangin na tumutugon sa mga partikular na pangangailangang pangkultura.
* **Pagsasanay:** Ang mga programa sa pagsasanay para sa mga propesyonal sa kalusuga"&amp;"ng pangkaisipan sa kakayahang pangkultura ay maaaring magbigay sa kanila ng mga kasanayan upang maunawaan at gumana nang epektibo sa magkakaibang populasyon. Bagama't hindi ipinag-uutos ng batas, ang mga programang ito ay lalong kinikilala bilang mahalaga"&amp;".
**Pakikipag-ugnayan sa Komunidad:**
* **Pagtutulungan:** Ang mga pagsusumikap sa pag-iwas sa pagpapakamatay na kinabibilangan at nakikipagtulungan sa mga pinuno ng komunidad at mga organisasyong pangkultura ay maaaring humantong sa mas sensitibong kultu"&amp;"ral na mga diskarte. Maaaring kabilang dito ang pagbuo ng mga programang outreach na naaangkop sa kultura, mga hotline na may mga interpreter, o pagsasama ng mga tradisyunal na kasanayan sa pagpapagaling kasama ng mga modernong serbisyo sa kalusugan ng is"&amp;"ip.
**Naghahanap sa Harap:**
* **Pinakamahuhusay na Kasanayan:** Ang pagbuo at pagpapalaganap ng pinakamahuhusay na kagawian para sa pag-iwas sa pagpapakamatay na sensitibo sa kultura ay maaaring magbigay ng gabay para sa mga propesyonal sa kalusugan ng i"&amp;"sip at mga gumagawa ng patakaran.
* **Pagkolekta ng Data:** Ang pagkolekta ng data sa mga rate ng pagpapatiwakal at mga salik ng panganib sa loob ng magkakaibang mga komunidad ay maaaring makatulong na maiangkop ang mga diskarte sa pag-iwas sa mga partiku"&amp;"lar na kultural na konteksto.
**Konklusyon:**
Bagama't walang direktang legal na utos para sa mga diskarteng sensitibo sa kultura, ang legal na balangkas para sa pag-iwas sa pagpapakamatay ay maaaring hindi direktang suportahan ito sa pamamagitan ng mga b"&amp;"atas at pagpopondo na walang diskriminasyon. Ang pagtaas ng pagtuon sa pagsasanay sa kakayahang pangkultura, pakikipag-ugnayan sa komunidad, at pag-unlad ng pinakamahusay na kasanayan ay mahalaga para sa paglikha ng inklusibo at epektibong mga diskarte sa"&amp;" pag-iwas sa pagpapakamatay para sa lahat ng populasyon.")</f>
        <v>Ang pag-iwas sa pagpapakamatay na sensitibo sa kultura ay lumalaking alalahanin, ngunit sa kasalukuyan ay walang **pangkalahatang legal na mga hakbang** na nag-uutos ng mga partikular na diskarte. Gayunpaman, maraming ligal na prinsipyo at inisyatiba ang lumikha ng isang balangkas na maaaring maging sensitibo sa kultura:
**Tumutok sa Walang Diskriminasyon:**
* **Mga Disability Rights Acts:** Maraming bansa ang may mga batas na nagtataguyod ng pantay na pag-access sa pangangalagang pangkalusugan, kabilang ang mga serbisyo sa kalusugan ng isip. Maaari itong hindi direktang makikinabang sa mga populasyon na magkakaibang kultura sa pamamagitan ng pagtiyak na hindi sila nadidiskrimina kapag naghahanap ng suporta sa pagpigil sa pagpapakamatay.
* **Mga Batas sa Karapatang Pantao:** Maaaring bigyang-diin ng mga internasyonal na balangkas ng karapatang pantao ang karapatan sa kalusugan at kagalingan nang walang diskriminasyon batay sa etnisidad, relihiyon, o kultural na background.
**Mga Hamon:**
* **Limitadong Saklaw:** Ang mga batas na ito ay madalas na hindi tahasang tumutugon sa pagiging sensitibo sa kultura sa pag-iwas sa pagpapakamatay. **Di-tuwirang Suporta para sa Culturally Sensitive Approach:**
* **Pagpopondo:** Ang pagpopondo na inilaan para sa mga serbisyo sa kalusugan ng isip at mga programa sa pagpigil sa pagpapakamatay ay maaaring ituro sa mga hakbangin na tumutugon sa mga partikular na pangangailangang pangkultura.
* **Pagsasanay:** Ang mga programa sa pagsasanay para sa mga propesyonal sa kalusugang pangkaisipan sa kakayahang pangkultura ay maaaring magbigay sa kanila ng mga kasanayan upang maunawaan at gumana nang epektibo sa magkakaibang populasyon. Bagama't hindi ipinag-uutos ng batas, ang mga programang ito ay lalong kinikilala bilang mahalaga.
**Pakikipag-ugnayan sa Komunidad:**
* **Pagtutulungan:** Ang mga pagsusumikap sa pag-iwas sa pagpapakamatay na kinabibilangan at nakikipagtulungan sa mga pinuno ng komunidad at mga organisasyong pangkultura ay maaaring humantong sa mas sensitibong kultural na mga diskarte. Maaaring kabilang dito ang pagbuo ng mga programang outreach na naaangkop sa kultura, mga hotline na may mga interpreter, o pagsasama ng mga tradisyunal na kasanayan sa pagpapagaling kasama ng mga modernong serbisyo sa kalusugan ng isip.
**Naghahanap sa Harap:**
* **Pinakamahuhusay na Kasanayan:** Ang pagbuo at pagpapalaganap ng pinakamahuhusay na kagawian para sa pag-iwas sa pagpapakamatay na sensitibo sa kultura ay maaaring magbigay ng gabay para sa mga propesyonal sa kalusugan ng isip at mga gumagawa ng patakaran.
* **Pagkolekta ng Data:** Ang pagkolekta ng data sa mga rate ng pagpapatiwakal at mga salik ng panganib sa loob ng magkakaibang mga komunidad ay maaaring makatulong na maiangkop ang mga diskarte sa pag-iwas sa mga partikular na kultural na konteksto.
**Konklusyon:**
Bagama't walang direktang legal na utos para sa mga diskarteng sensitibo sa kultura, ang legal na balangkas para sa pag-iwas sa pagpapakamatay ay maaaring hindi direktang suportahan ito sa pamamagitan ng mga batas at pagpopondo na walang diskriminasyon. Ang pagtaas ng pagtuon sa pagsasanay sa kakayahang pangkultura, pakikipag-ugnayan sa komunidad, at pag-unlad ng pinakamahusay na kasanayan ay mahalaga para sa paglikha ng inklusibo at epektibong mga diskarte sa pag-iwas sa pagpapakamatay para sa lahat ng populasyon.</v>
      </c>
      <c r="F2477" s="2">
        <f t="shared" si="1"/>
        <v>0</v>
      </c>
      <c r="G2477" s="2"/>
      <c r="H2477" s="2"/>
      <c r="I2477" s="2"/>
      <c r="J2477" s="2"/>
      <c r="K2477" s="2"/>
      <c r="L2477" s="2"/>
      <c r="M2477" s="2"/>
      <c r="N2477" s="2"/>
      <c r="O2477" s="2"/>
      <c r="P2477" s="2"/>
      <c r="Q2477" s="2"/>
      <c r="R2477" s="2"/>
      <c r="S2477" s="2"/>
      <c r="T2477" s="2"/>
      <c r="U2477" s="2"/>
      <c r="V2477" s="2"/>
      <c r="W2477" s="2"/>
      <c r="X2477" s="2"/>
      <c r="Y2477" s="2"/>
      <c r="Z2477" s="2"/>
      <c r="AA2477" s="2"/>
    </row>
    <row r="2478">
      <c r="A2478" s="1" t="s">
        <v>5870</v>
      </c>
      <c r="B2478" s="1" t="s">
        <v>5923</v>
      </c>
      <c r="C2478" s="3" t="s">
        <v>5924</v>
      </c>
      <c r="D2478" s="2" t="str">
        <f>IFERROR(__xludf.DUMMYFUNCTION("GOOGLETRANSLATE(B2478, ""en"", ""TL"")"),"Paano isinasaalang-alang ang mga paniniwala sa relihiyon at kultura sa legal na balangkas para sa pag-iwas sa pagpapakamatay?")</f>
        <v>Paano isinasaalang-alang ang mga paniniwala sa relihiyon at kultura sa legal na balangkas para sa pag-iwas sa pagpapakamatay?</v>
      </c>
      <c r="E2478" s="2" t="str">
        <f>IFERROR(__xludf.DUMMYFUNCTION("GOOGLETRANSLATE(C2478, ""en"", ""TL"")"),"Ang mga relihiyon at kultural na paniniwala ay **di-tuwirang** isinasaalang-alang sa legal na balangkas para sa pag-iwas sa pagpapakamatay, ngunit walang iisa, unibersal na diskarte. Narito ang isang breakdown kung paano ito gumaganap:
**Paggalang sa Indi"&amp;"bidwal na Paniniwala:**
* **Pagiging Kumpidensyal:** Ang mga batas na nagpoprotekta sa privacy ng mga rekord ng kalusugan ng isip ay maaaring hindi direktang tumanggap ng mga paniniwala sa relihiyon sa pamamagitan ng pagpayag sa mga indibidwal na panatili"&amp;"hing kumpidensyal ang kanilang mga pakikibaka sa kalusugan ng isip kung natatakot sila sa paghatol mula sa mga relihiyosong komunidad.
**Mga Hamon at Pagsasaalang-alang:**
* **Tumuon sa Sekular na Batas:** Ang mga batas sa pagpigil sa pagpapakamatay ay pa"&amp;"ngunahing nakabatay sa mga sekular na prinsipyo at naglalayong protektahan ang karapatan sa buhay. Ito ay minsan ay maaaring lumikha ng tensyon sa mga paniniwala sa relihiyon na naiiba ang pagtingin sa pagpapakamatay.
* **Kakayahang Pangkultura:** Ang mga"&amp;" propesyonal sa kalusugan ng isip ay hinihikayat na bumuo ng kakayahang pangkultura upang maunawaan kung paano maaaring makaimpluwensya ang mga paniniwala sa relihiyon at kultura sa pag-iisip ng isang tao tungkol sa pagpapakamatay at pag-uugaling naghahan"&amp;"ap ng tulong. Gayunpaman, ang mga legal na sistema ay hindi karaniwang nag-uutos ng mga partikular na akomodasyon batay sa relihiyon o kultura.
**Mga Halimbawa ng Akomodasyon:**
* **Mga Paunang Direktiba:** Ang ilang mga bansa ay nagpapahintulot sa mga in"&amp;"dibidwal na lumikha ng mga paunang direktiba na tumutukoy sa kanilang mga kagustuhan tungkol sa medikal na paggamot sa kaso ng mga emerhensiya sa kalusugan ng isip. Maaaring kabilang dito ang mga kagustuhang nauugnay sa mga ritwal sa relihiyon o paglahok "&amp;"ng klero. Gayunpaman, ang mga direktiba na ito ay hindi kinikilala sa pangkalahatan, at ang pag-iwas sa pagpapakamatay ay maaari pa ring i-override ang ilang mga kagustuhan.
**Ang Papel ng mga Pinuno ng Relihiyoso:**
* **Pagtutulungan:** Ang mga pagsusumi"&amp;"kap sa pag-iwas sa pagpapakamatay ay maaaring makinabang mula sa pakikipagtulungan sa mga lider ng relihiyon na maaaring magbigay ng suporta at humimok ng mga pag-uugaling naghahanap ng tulong sa loob ng kanilang mga komunidad. Gayunpaman, ang mga legal n"&amp;"a balangkas ay hindi karaniwang nag-uutos ng gayong pakikipagtulungan. **Naghahanap sa Harap:**
* **Pagsasanay at Edukasyon:** Ang pinataas na pagsasanay para sa mga propesyonal sa kalusugan ng isip at tagapagpatupad ng batas sa kakayahang pangkultura ay "&amp;"maaaring mapabuti ang kanilang kakayahang maunawaan at igalang ang magkakaibang paniniwala sa relihiyon at kultura na may kaugnayan sa pagpapakamatay.
* **Pakikipag-ugnayan sa Komunidad:** Ang mga programa sa pag-iwas sa pagpapakamatay na isinasaalang-ala"&amp;"ng at tumutugon sa mga alalahanin ng mga komunidad ng relihiyon at kultura ay maaaring maging mas epektibo sa pag-abot sa mga mahihinang populasyon. **Konklusyon:**
Ang legal na balangkas para sa pag-iwas sa pagpapakamatay ay inuuna ang pagprotekta sa buh"&amp;"ay, ngunit maaari nitong hindi direktang kilalanin ang mga paniniwala sa relihiyon at kultura sa pamamagitan ng mga batas sa pagiging kumpidensyal at sa pamamagitan ng paghikayat sa pangangalagang may kakayahang pangkultura. Ang mga karagdagang pagsisikap"&amp;" tungo sa pagsasanay at pakikipag-ugnayan sa komunidad ay maaaring humantong sa higit na inklusibo at epektibong mga diskarte sa pag-iwas sa pagpapakamatay.")</f>
        <v>Ang mga relihiyon at kultural na paniniwala ay **di-tuwirang** isinasaalang-alang sa legal na balangkas para sa pag-iwas sa pagpapakamatay, ngunit walang iisa, unibersal na diskarte. Narito ang isang breakdown kung paano ito gumaganap:
**Paggalang sa Indibidwal na Paniniwala:**
* **Pagiging Kumpidensyal:** Ang mga batas na nagpoprotekta sa privacy ng mga rekord ng kalusugan ng isip ay maaaring hindi direktang tumanggap ng mga paniniwala sa relihiyon sa pamamagitan ng pagpayag sa mga indibidwal na panatilihing kumpidensyal ang kanilang mga pakikibaka sa kalusugan ng isip kung natatakot sila sa paghatol mula sa mga relihiyosong komunidad.
**Mga Hamon at Pagsasaalang-alang:**
* **Tumuon sa Sekular na Batas:** Ang mga batas sa pagpigil sa pagpapakamatay ay pangunahing nakabatay sa mga sekular na prinsipyo at naglalayong protektahan ang karapatan sa buhay. Ito ay minsan ay maaaring lumikha ng tensyon sa mga paniniwala sa relihiyon na naiiba ang pagtingin sa pagpapakamatay.
* **Kakayahang Pangkultura:** Ang mga propesyonal sa kalusugan ng isip ay hinihikayat na bumuo ng kakayahang pangkultura upang maunawaan kung paano maaaring makaimpluwensya ang mga paniniwala sa relihiyon at kultura sa pag-iisip ng isang tao tungkol sa pagpapakamatay at pag-uugaling naghahanap ng tulong. Gayunpaman, ang mga legal na sistema ay hindi karaniwang nag-uutos ng mga partikular na akomodasyon batay sa relihiyon o kultura.
**Mga Halimbawa ng Akomodasyon:**
* **Mga Paunang Direktiba:** Ang ilang mga bansa ay nagpapahintulot sa mga indibidwal na lumikha ng mga paunang direktiba na tumutukoy sa kanilang mga kagustuhan tungkol sa medikal na paggamot sa kaso ng mga emerhensiya sa kalusugan ng isip. Maaaring kabilang dito ang mga kagustuhang nauugnay sa mga ritwal sa relihiyon o paglahok ng klero. Gayunpaman, ang mga direktiba na ito ay hindi kinikilala sa pangkalahatan, at ang pag-iwas sa pagpapakamatay ay maaari pa ring i-override ang ilang mga kagustuhan.
**Ang Papel ng mga Pinuno ng Relihiyoso:**
* **Pagtutulungan:** Ang mga pagsusumikap sa pag-iwas sa pagpapakamatay ay maaaring makinabang mula sa pakikipagtulungan sa mga lider ng relihiyon na maaaring magbigay ng suporta at humimok ng mga pag-uugaling naghahanap ng tulong sa loob ng kanilang mga komunidad. Gayunpaman, ang mga legal na balangkas ay hindi karaniwang nag-uutos ng gayong pakikipagtulungan. **Naghahanap sa Harap:**
* **Pagsasanay at Edukasyon:** Ang pinataas na pagsasanay para sa mga propesyonal sa kalusugan ng isip at tagapagpatupad ng batas sa kakayahang pangkultura ay maaaring mapabuti ang kanilang kakayahang maunawaan at igalang ang magkakaibang paniniwala sa relihiyon at kultura na may kaugnayan sa pagpapakamatay.
* **Pakikipag-ugnayan sa Komunidad:** Ang mga programa sa pag-iwas sa pagpapakamatay na isinasaalang-alang at tumutugon sa mga alalahanin ng mga komunidad ng relihiyon at kultura ay maaaring maging mas epektibo sa pag-abot sa mga mahihinang populasyon. **Konklusyon:**
Ang legal na balangkas para sa pag-iwas sa pagpapakamatay ay inuuna ang pagprotekta sa buhay, ngunit maaari nitong hindi direktang kilalanin ang mga paniniwala sa relihiyon at kultura sa pamamagitan ng mga batas sa pagiging kumpidensyal at sa pamamagitan ng paghikayat sa pangangalagang may kakayahang pangkultura. Ang mga karagdagang pagsisikap tungo sa pagsasanay at pakikipag-ugnayan sa komunidad ay maaaring humantong sa higit na inklusibo at epektibong mga diskarte sa pag-iwas sa pagpapakamatay.</v>
      </c>
      <c r="F2478" s="2">
        <f t="shared" si="1"/>
        <v>0</v>
      </c>
      <c r="G2478" s="2"/>
      <c r="H2478" s="2"/>
      <c r="I2478" s="2"/>
      <c r="J2478" s="2"/>
      <c r="K2478" s="2"/>
      <c r="L2478" s="2"/>
      <c r="M2478" s="2"/>
      <c r="N2478" s="2"/>
      <c r="O2478" s="2"/>
      <c r="P2478" s="2"/>
      <c r="Q2478" s="2"/>
      <c r="R2478" s="2"/>
      <c r="S2478" s="2"/>
      <c r="T2478" s="2"/>
      <c r="U2478" s="2"/>
      <c r="V2478" s="2"/>
      <c r="W2478" s="2"/>
      <c r="X2478" s="2"/>
      <c r="Y2478" s="2"/>
      <c r="Z2478" s="2"/>
      <c r="AA2478" s="2"/>
    </row>
    <row r="2479">
      <c r="A2479" s="1" t="s">
        <v>5870</v>
      </c>
      <c r="B2479" s="1" t="s">
        <v>5925</v>
      </c>
      <c r="C2479" s="3" t="s">
        <v>5926</v>
      </c>
      <c r="D2479" s="2" t="str">
        <f>IFERROR(__xludf.DUMMYFUNCTION("GOOGLETRANSLATE(B2479, ""en"", ""TL"")"),"Mayroon bang mga legal na probisyon para sa pagiging kumpidensyal ng mga rekord sa kalusugan ng isip na may kaugnayan sa panganib sa pagpapakamatay?")</f>
        <v>Mayroon bang mga legal na probisyon para sa pagiging kumpidensyal ng mga rekord sa kalusugan ng isip na may kaugnayan sa panganib sa pagpapakamatay?</v>
      </c>
      <c r="E2479" s="2" t="str">
        <f>IFERROR(__xludf.DUMMYFUNCTION("GOOGLETRANSLATE(C2479, ""en"", ""TL"")"),"Oo, ang Pilipinas ay may mga legal na probisyon para sa pagiging kumpidensyal ng mga rekord sa kalusugan ng isip, kabilang ang mga nauugnay sa panganib sa pagpapakamatay. Narito ang isang breakdown ng mga pangunahing punto:
* **Ang Mga Karapatan ng mga Pa"&amp;"syente:** Ang Kagawaran ng Kalusugan (DOH) ay nagpapahayag ng ""Mga Karapatan ng mga Pasyente"" na nagbibigay-diin sa karapatan ng isang pasyente sa pagkapribado at pagiging kumpidensyal [invalid URL patient rights mental health ON Department of Health do"&amp;"h.gov.ph]. Kabilang dito ang karapatang humiling na ang impormasyon sa kanilang mga medikal o klinikal na rekord, kabilang ang mga rekord ng kalusugan ng isip, ay ituring na kumpidensyal. * **Ang Mental Health Act (Republic Act No. 11036):** Ang 2018 na b"&amp;"atas na ito ay nagpapatibay sa legal na balangkas para sa pagprotekta sa mga karapatan ng mga taong may kondisyon sa kalusugan ng isip. Ang Seksyon 22 (r) ng Batas ay nagsasaad ng karapatan ng isang gumagamit ng serbisyo na i-access ang kanilang mga klini"&amp;"kal na rekord ""maliban kung, sa opinyon ng dumadalo na propesyonal sa kalusugan ng isip, ang paglalahad ng naturang impormasyon ay magdudulot ng pinsala sa kalusugan ng gumagamit ng serbisyo o ilagay ang kaligtasan ng iba sa panganib. "" [invalid URL rep"&amp;"ublic act 11036 ON Senate of the Philippines senate.gov.ph].
**Pagiging Kumpidensyal na may Mga Pagbubukod:**
Bagama't karaniwan ang pagiging kumpidensyal, may mga legal na eksepsiyon kung saan maaaring pahintulutan ang pagsisiwalat ng mga rekord ng kalus"&amp;"ugan ng isip:
* **Kapinsalaan sa Sarili o sa Iba:** Kung naniniwala ang propesyonal sa kalusugang pangkaisipan na ang pagbubunyag ng impormasyon tungkol sa panganib ng pagpapakamatay ay kinakailangan upang maiwasan ang gumagamit ng serbisyo na saktan ang "&amp;"kanyang sarili o ang iba, maaaring pahintulutan ang pagsisiwalat. * **Mga Legal na Pamamaraan:** Maaaring pilitin ng mga utos o subpoena ng hukuman na ibunyag ang mga rekord sa kalusugan ng isip sa ilang mga legal na paglilitis.
**Ang Kahalagahan ng May K"&amp;"aalaman na Pahintulot:**
* Ang mga pasyente ay may karapatang magbigay ng may alam na pahintulot bago ibunyag ang kanilang impormasyon sa kalusugan ng isip, maliban sa mga emergency na sitwasyon kung saan ang pinsala sa sarili o sa iba ay nalalapit.
**Mga"&amp;" Limitasyon at Pagsasaalang-alang:**
* **Pagpapatupad:** Ang Mental Health Act ay medyo bago, at ang buong pagpapatupad sa lahat ng pasilidad ng pangangalagang pangkalusugan ay maaaring patuloy pa rin. * **Interpretasyon:** Ang pagbubukod sa ""kapinsalaan"&amp;" sa sarili o sa iba"" ay maaaring bukas sa interpretasyon. Dapat gamitin ng mga propesyonal sa kalusugan ng isip ang kanilang paghuhusga at magkamali sa panig ng pagiging kumpidensyal maliban kung may malinaw at napipintong panganib.
**Konklusyon:**
Ang P"&amp;"ilipinas ay may mga legal na probisyon na nagpoprotekta sa pagiging kumpidensyal ng mga rekord sa kalusugan ng isip, kabilang ang mga nauugnay sa panganib sa pagpapakamatay. Gayunpaman, may ilang mga pagbubukod para sa mga sitwasyon kung saan maaaring kai"&amp;"langanin ang pagsisiwalat upang maiwasan ang pinsala. Mahalaga para sa mga propesyonal sa kalusugan ng isip na makakuha ng may-kaalamang pahintulot at gamitin ang kanilang paghatol kapag isinasaalang-alang ang pagbubunyag.")</f>
        <v>Oo, ang Pilipinas ay may mga legal na probisyon para sa pagiging kumpidensyal ng mga rekord sa kalusugan ng isip, kabilang ang mga nauugnay sa panganib sa pagpapakamatay. Narito ang isang breakdown ng mga pangunahing punto:
* **Ang Mga Karapatan ng mga Pasyente:** Ang Kagawaran ng Kalusugan (DOH) ay nagpapahayag ng "Mga Karapatan ng mga Pasyente" na nagbibigay-diin sa karapatan ng isang pasyente sa pagkapribado at pagiging kumpidensyal [invalid URL patient rights mental health ON Department of Health doh.gov.ph]. Kabilang dito ang karapatang humiling na ang impormasyon sa kanilang mga medikal o klinikal na rekord, kabilang ang mga rekord ng kalusugan ng isip, ay ituring na kumpidensyal. * **Ang Mental Health Act (Republic Act No. 11036):** Ang 2018 na batas na ito ay nagpapatibay sa legal na balangkas para sa pagprotekta sa mga karapatan ng mga taong may kondisyon sa kalusugan ng isip. Ang Seksyon 22 (r) ng Batas ay nagsasaad ng karapatan ng isang gumagamit ng serbisyo na i-access ang kanilang mga klinikal na rekord "maliban kung, sa opinyon ng dumadalo na propesyonal sa kalusugan ng isip, ang paglalahad ng naturang impormasyon ay magdudulot ng pinsala sa kalusugan ng gumagamit ng serbisyo o ilagay ang kaligtasan ng iba sa panganib. " [invalid URL republic act 11036 ON Senate of the Philippines senate.gov.ph].
**Pagiging Kumpidensyal na may Mga Pagbubukod:**
Bagama't karaniwan ang pagiging kumpidensyal, may mga legal na eksepsiyon kung saan maaaring pahintulutan ang pagsisiwalat ng mga rekord ng kalusugan ng isip:
* **Kapinsalaan sa Sarili o sa Iba:** Kung naniniwala ang propesyonal sa kalusugang pangkaisipan na ang pagbubunyag ng impormasyon tungkol sa panganib ng pagpapakamatay ay kinakailangan upang maiwasan ang gumagamit ng serbisyo na saktan ang kanyang sarili o ang iba, maaaring pahintulutan ang pagsisiwalat. * **Mga Legal na Pamamaraan:** Maaaring pilitin ng mga utos o subpoena ng hukuman na ibunyag ang mga rekord sa kalusugan ng isip sa ilang mga legal na paglilitis.
**Ang Kahalagahan ng May Kaalaman na Pahintulot:**
* Ang mga pasyente ay may karapatang magbigay ng may alam na pahintulot bago ibunyag ang kanilang impormasyon sa kalusugan ng isip, maliban sa mga emergency na sitwasyon kung saan ang pinsala sa sarili o sa iba ay nalalapit.
**Mga Limitasyon at Pagsasaalang-alang:**
* **Pagpapatupad:** Ang Mental Health Act ay medyo bago, at ang buong pagpapatupad sa lahat ng pasilidad ng pangangalagang pangkalusugan ay maaaring patuloy pa rin. * **Interpretasyon:** Ang pagbubukod sa "kapinsalaan sa sarili o sa iba" ay maaaring bukas sa interpretasyon. Dapat gamitin ng mga propesyonal sa kalusugan ng isip ang kanilang paghuhusga at magkamali sa panig ng pagiging kumpidensyal maliban kung may malinaw at napipintong panganib.
**Konklusyon:**
Ang Pilipinas ay may mga legal na probisyon na nagpoprotekta sa pagiging kumpidensyal ng mga rekord sa kalusugan ng isip, kabilang ang mga nauugnay sa panganib sa pagpapakamatay. Gayunpaman, may ilang mga pagbubukod para sa mga sitwasyon kung saan maaaring kailanganin ang pagsisiwalat upang maiwasan ang pinsala. Mahalaga para sa mga propesyonal sa kalusugan ng isip na makakuha ng may-kaalamang pahintulot at gamitin ang kanilang paghatol kapag isinasaalang-alang ang pagbubunyag.</v>
      </c>
      <c r="F2479" s="2">
        <f t="shared" si="1"/>
        <v>0</v>
      </c>
      <c r="G2479" s="2"/>
      <c r="H2479" s="2"/>
      <c r="I2479" s="2"/>
      <c r="J2479" s="2"/>
      <c r="K2479" s="2"/>
      <c r="L2479" s="2"/>
      <c r="M2479" s="2"/>
      <c r="N2479" s="2"/>
      <c r="O2479" s="2"/>
      <c r="P2479" s="2"/>
      <c r="Q2479" s="2"/>
      <c r="R2479" s="2"/>
      <c r="S2479" s="2"/>
      <c r="T2479" s="2"/>
      <c r="U2479" s="2"/>
      <c r="V2479" s="2"/>
      <c r="W2479" s="2"/>
      <c r="X2479" s="2"/>
      <c r="Y2479" s="2"/>
      <c r="Z2479" s="2"/>
      <c r="AA2479" s="2"/>
    </row>
    <row r="2480">
      <c r="A2480" s="1" t="s">
        <v>5870</v>
      </c>
      <c r="B2480" s="1" t="s">
        <v>5927</v>
      </c>
      <c r="C2480" s="3" t="s">
        <v>5928</v>
      </c>
      <c r="D2480" s="2" t="str">
        <f>IFERROR(__xludf.DUMMYFUNCTION("GOOGLETRANSLATE(B2480, ""en"", ""TL"")"),"Paano tinutugunan ng batas ang mga pagsisikap sa pagpigil sa pagpapakamatay sa mga pasilidad ng pagwawasto?")</f>
        <v>Paano tinutugunan ng batas ang mga pagsisikap sa pagpigil sa pagpapakamatay sa mga pasilidad ng pagwawasto?</v>
      </c>
      <c r="E2480" s="2" t="str">
        <f>IFERROR(__xludf.DUMMYFUNCTION("GOOGLETRANSLATE(C2480, ""en"", ""TL"")"),"Bagama't walang iisang unibersal na batas sa pag-iwas sa pagpapakamatay sa mga pasilidad ng pagwawasto, maraming mga legal na prinsipyo at mga hakbangin ang nagtutulungan upang matugunan ang isyung ito:
** Karapatan sa Konstitusyon sa Proteksyon:**
* **Ei"&amp;"ghth Amendment (US):** Sa US, ang proteksyon ng Eighth Amendment laban sa malupit at hindi pangkaraniwang parusa ay nagbabawal sa sadyang pagwawalang-bahala sa mga seryosong pangangailangang medikal ng isang bilanggo, na maaaring kabilangan ng mga pangang"&amp;"ailangan sa kalusugan ng isip at panganib sa pagpapakamatay. Naglalagay ito ng ilang legal na pananagutan sa mga correctional facility na gumawa ng mga makatwirang hakbang upang maiwasan ang pagpapakamatay.
**Mandatoryong Pag-uulat:**
* **Ilang Estado:** "&amp;"Ang ilang estado ay may mga batas na nag-uutos na ang ilang mga propesyonal, kabilang ang mga kawani ng bilangguan, ay mag-ulat ng mga pinaghihinalaang pagtatangka o pagbabanta sa pagpapakamatay. Maaari itong mag-trigger ng mga interbensyon at pagtatasa u"&amp;"pang maiwasan ang mga pagsubok sa hinaharap.
**Mga Pamantayan at Pinakamahuhusay na Kasanayan:**
* **Mga Pambansang Komisyon:** Ang mga pambansang organisasyon tulad ng National Commission on Correctional Health Care (NCCHC) ay nagtatatag ng mga pamantaya"&amp;"n ng pinakamahusay na kasanayan para sa pag-iwas sa pagpapakamatay sa mga setting ng correctional. Ang mga pamantayang ito ay sumasaklaw sa mga lugar tulad ng screening, interbensyon, pagsasanay ng kawani, at pagtugon sa krisis. * **Mga Paghahabla:** Ang "&amp;"mga demanda na isinampa ng mga bilanggo o kanilang mga pamilya sa mga mapipigilan na pagpapakamatay ay maaaring mag-highlight ng mga kakulangan sa protocol ng pagpigil sa pagpapakamatay ng isang pasilidad at humantong sa mga pagpapahusay na iniutos ng huk"&amp;"uman.
**Mga Hamon at Limitasyon:**
* **Mga Kakulangan sa Pagpopondo:** Ang mga pasilidad ng pagwawasto ay kadalasang nahaharap sa mga limitasyon sa badyet, na maaaring maghigpit sa mga mapagkukunan para sa mga serbisyo sa kalusugan ng isip at mga programa"&amp;" sa pagpigil sa pagpapakamatay.
* **Pagsasanay ng mga Tauhan:** Ang sapat na pagsasanay para sa correctional staff sa pagtatasa ng panganib sa pagpapakamatay, interbensyon, at pagtugon sa krisis ay mahalaga, ngunit maaaring limitado ang mga programa sa pa"&amp;"gsasanay dahil sa mga limitasyon sa badyet o oras.
* **Pagsisikip:** Ang pagsisikip sa mga correctional facility ay maaaring lumikha ng isang nakababahalang kapaligiran na maaaring magpalala sa mga problema sa kalusugan ng isip at magpapataas ng panganib "&amp;"sa pagpapakamatay.
**Pasulong:**
* **Pinataas na Pagpopondo:** Ang paglalaan ng mas maraming mapagkukunan para sa mga serbisyo sa kalusugan ng isip at mga programa sa pagpigil sa pagpapakamatay sa mga pasilidad ng pagwawasto ay mahalaga.
* **Pagkolekta at"&amp;" Pagsusuri ng Data:** Ang pagkolekta ng data sa mga pagtatangkang magpakamatay at mga pagkumpleto sa loob ng mga correctional facility ay maaaring makatulong na matukoy ang mga salik sa panganib at mapabuti ang mga diskarte sa pag-iwas.
* **Pagtutulungan:"&amp;"** Ang pakikipagtulungan sa pagitan ng mga propesyonal sa kalusugan ng isip, kawani ng pagwawasto, at mga bilanggo mismo ay mahalaga para sa paglikha ng isang mas ligtas na kapaligiran at pagtataguyod ng pag-uugaling naghahanap ng tulong.
**Konklusyon:**
"&amp;"Ang batas ay gumaganap ng isang papel sa pag-iwas sa pagpapakamatay sa loob ng mga pasilidad ng pagwawasto sa pamamagitan ng pagtatatag ng isang balangkas para sa pagprotekta sa mga bilanggo mula sa sadyang pagwawalang-bahala at paghikayat sa mga pinakama"&amp;"husay na kasanayan. Gayunpaman, ang sapat na pagpopondo, pagsasanay ng mga kawani, at isang pagtutok sa kalusugan ng isip ay lahat ay mahalaga para sa paglikha ng isang komprehensibo at epektibong sistema ng pag-iwas sa pagpapakamatay.")</f>
        <v>Bagama't walang iisang unibersal na batas sa pag-iwas sa pagpapakamatay sa mga pasilidad ng pagwawasto, maraming mga legal na prinsipyo at mga hakbangin ang nagtutulungan upang matugunan ang isyung ito:
** Karapatan sa Konstitusyon sa Proteksyon:**
* **Eighth Amendment (US):** Sa US, ang proteksyon ng Eighth Amendment laban sa malupit at hindi pangkaraniwang parusa ay nagbabawal sa sadyang pagwawalang-bahala sa mga seryosong pangangailangang medikal ng isang bilanggo, na maaaring kabilangan ng mga pangangailangan sa kalusugan ng isip at panganib sa pagpapakamatay. Naglalagay ito ng ilang legal na pananagutan sa mga correctional facility na gumawa ng mga makatwirang hakbang upang maiwasan ang pagpapakamatay.
**Mandatoryong Pag-uulat:**
* **Ilang Estado:** Ang ilang estado ay may mga batas na nag-uutos na ang ilang mga propesyonal, kabilang ang mga kawani ng bilangguan, ay mag-ulat ng mga pinaghihinalaang pagtatangka o pagbabanta sa pagpapakamatay. Maaari itong mag-trigger ng mga interbensyon at pagtatasa upang maiwasan ang mga pagsubok sa hinaharap.
**Mga Pamantayan at Pinakamahuhusay na Kasanayan:**
* **Mga Pambansang Komisyon:** Ang mga pambansang organisasyon tulad ng National Commission on Correctional Health Care (NCCHC) ay nagtatatag ng mga pamantayan ng pinakamahusay na kasanayan para sa pag-iwas sa pagpapakamatay sa mga setting ng correctional. Ang mga pamantayang ito ay sumasaklaw sa mga lugar tulad ng screening, interbensyon, pagsasanay ng kawani, at pagtugon sa krisis. * **Mga Paghahabla:** Ang mga demanda na isinampa ng mga bilanggo o kanilang mga pamilya sa mga mapipigilan na pagpapakamatay ay maaaring mag-highlight ng mga kakulangan sa protocol ng pagpigil sa pagpapakamatay ng isang pasilidad at humantong sa mga pagpapahusay na iniutos ng hukuman.
**Mga Hamon at Limitasyon:**
* **Mga Kakulangan sa Pagpopondo:** Ang mga pasilidad ng pagwawasto ay kadalasang nahaharap sa mga limitasyon sa badyet, na maaaring maghigpit sa mga mapagkukunan para sa mga serbisyo sa kalusugan ng isip at mga programa sa pagpigil sa pagpapakamatay.
* **Pagsasanay ng mga Tauhan:** Ang sapat na pagsasanay para sa correctional staff sa pagtatasa ng panganib sa pagpapakamatay, interbensyon, at pagtugon sa krisis ay mahalaga, ngunit maaaring limitado ang mga programa sa pagsasanay dahil sa mga limitasyon sa badyet o oras.
* **Pagsisikip:** Ang pagsisikip sa mga correctional facility ay maaaring lumikha ng isang nakababahalang kapaligiran na maaaring magpalala sa mga problema sa kalusugan ng isip at magpapataas ng panganib sa pagpapakamatay.
**Pasulong:**
* **Pinataas na Pagpopondo:** Ang paglalaan ng mas maraming mapagkukunan para sa mga serbisyo sa kalusugan ng isip at mga programa sa pagpigil sa pagpapakamatay sa mga pasilidad ng pagwawasto ay mahalaga.
* **Pagkolekta at Pagsusuri ng Data:** Ang pagkolekta ng data sa mga pagtatangkang magpakamatay at mga pagkumpleto sa loob ng mga correctional facility ay maaaring makatulong na matukoy ang mga salik sa panganib at mapabuti ang mga diskarte sa pag-iwas.
* **Pagtutulungan:** Ang pakikipagtulungan sa pagitan ng mga propesyonal sa kalusugan ng isip, kawani ng pagwawasto, at mga bilanggo mismo ay mahalaga para sa paglikha ng isang mas ligtas na kapaligiran at pagtataguyod ng pag-uugaling naghahanap ng tulong.
**Konklusyon:**
Ang batas ay gumaganap ng isang papel sa pag-iwas sa pagpapakamatay sa loob ng mga pasilidad ng pagwawasto sa pamamagitan ng pagtatatag ng isang balangkas para sa pagprotekta sa mga bilanggo mula sa sadyang pagwawalang-bahala at paghikayat sa mga pinakamahusay na kasanayan. Gayunpaman, ang sapat na pagpopondo, pagsasanay ng mga kawani, at isang pagtutok sa kalusugan ng isip ay lahat ay mahalaga para sa paglikha ng isang komprehensibo at epektibong sistema ng pag-iwas sa pagpapakamatay.</v>
      </c>
      <c r="F2480" s="2">
        <f t="shared" si="1"/>
        <v>0</v>
      </c>
      <c r="G2480" s="2"/>
      <c r="H2480" s="2"/>
      <c r="I2480" s="2"/>
      <c r="J2480" s="2"/>
      <c r="K2480" s="2"/>
      <c r="L2480" s="2"/>
      <c r="M2480" s="2"/>
      <c r="N2480" s="2"/>
      <c r="O2480" s="2"/>
      <c r="P2480" s="2"/>
      <c r="Q2480" s="2"/>
      <c r="R2480" s="2"/>
      <c r="S2480" s="2"/>
      <c r="T2480" s="2"/>
      <c r="U2480" s="2"/>
      <c r="V2480" s="2"/>
      <c r="W2480" s="2"/>
      <c r="X2480" s="2"/>
      <c r="Y2480" s="2"/>
      <c r="Z2480" s="2"/>
      <c r="AA2480" s="2"/>
    </row>
    <row r="2481">
      <c r="A2481" s="1" t="s">
        <v>5870</v>
      </c>
      <c r="B2481" s="1" t="s">
        <v>5929</v>
      </c>
      <c r="C2481" s="3" t="s">
        <v>5930</v>
      </c>
      <c r="D2481" s="2" t="str">
        <f>IFERROR(__xludf.DUMMYFUNCTION("GOOGLETRANSLATE(B2481, ""en"", ""TL"")"),"Mayroon bang legal na kahihinatnan para sa mga indibidwal na nagsasamantala sa pagpapakamatay para sa entertainment o shock value?")</f>
        <v>Mayroon bang legal na kahihinatnan para sa mga indibidwal na nagsasamantala sa pagpapakamatay para sa entertainment o shock value?</v>
      </c>
      <c r="E2481" s="2" t="str">
        <f>IFERROR(__xludf.DUMMYFUNCTION("GOOGLETRANSLATE(C2481, ""en"", ""TL"")"),"Karaniwang walang direktang legal na kahihinatnan para sa pagsasamantala sa pagpapakamatay para sa entertainment o shock value. Narito kung bakit:
* **Kalayaan sa Pagsasalita:** Maraming bansa ang may matibay na proteksyon para sa kalayaan sa pagsasalita,"&amp;" na maaaring magpahirap sa pag-regulate ng nilalaman, kahit na nakakasakit na nilalaman, na nauugnay sa pagpapakamatay. * **Mga Malabong Kahulugan:** Ang pagtukoy sa ""pagsasamantala"" para sa entertainment o shock value ay maaaring subjective. Kung ano a"&amp;"ng nakikita ng isang tao na mapagsamantala, maaaring makita ng iba bilang madilim na katatawanan o sosyal na komentaryo.
**Gayunpaman, maaaring magkaroon ng mga hindi direktang epekto:**
* **Mga Paghahabla sa Sibil:** Sa ilang mga kaso, ang mga pamilya ng"&amp;" mga biktima ng pagpapatiwakal ay maaaring magsampa ng mga kaso laban sa mga indibidwal o media outlet para sa paninirang-puri o panghihimasok sa privacy kung ang paglalarawan ng pagpapakamatay ay makikitang partikular na kalubha. * **Social at Ethical Pr"&amp;"essure:** Ang pagsigaw ng publiko at pagpuna sa social media ay maaaring lumikha ng mga negatibong kahihinatnan para sa mga indibidwal o media outlet na nagsasamantala sa pagpapakamatay. Ang mga platform ng social media ay maaari ring mag-alis ng nilalama"&amp;"n na itinuturing na mapagsamantala.
* **Mga Propesyonal na Kodigo ng Etika:** Ang mga mamamahayag at iba pang mga propesyonal ay maaaring makaharap ng mga epekto mula sa kanilang mga tagapag-empleyo o mga propesyonal na organisasyon para sa paglabag sa mg"&amp;"a code ng etika na nauugnay sa sensitibong pag-uulat.
**Tumuon sa Self-Regulation:**
Ang pagtuon sa pagpigil sa mapagsamantalang pagpapakita ng pagpapakamatay ay pangunahin sa regulasyon sa sarili at panlipunang presyon. Hinihikayat ang mga media outlet a"&amp;"t indibidwal na sundin ang pinakamahuhusay na kagawian para sa pag-uulat ng pagpapakamatay, na nagbibigay-diin sa:
* Pag-iwas sa mga graphic na detalye o pagluwalhati sa pagpapakamatay.
* Pagbibigay ng mga mapagkukunan para sa tulong at suporta.
* Pag-uul"&amp;"at tungkol sa pagpapakamatay sa paraang may paggalang sa biktima at sa kanilang pamilya.
**Mga Halimbawa ng Legal na Isyu:**
* **Paninirang-puri:** Ang maling pagpapakita ng isang tao bilang nagpapakamatay at sinisira ang kanilang reputasyon ay maaaring h"&amp;"umantong sa isang demanda sa paninirang-puri. Gayunpaman, hindi nito tutugunan ang nilalamang nauugnay sa aktwal na biktima ng pagpapakamatay.
* **Mga Batas sa Pagkapribado:** Maaaring protektahan ng mga batas sa privacy ang mga pagkakakilanlan ng mga nam"&amp;"atay na indibidwal, na naghihigpit sa mga media outlet sa pagsisiwalat ng ilang partikular na detalye. Hindi nito tutugunan ang mapagsamantalang katangian ng pag-uulat, ngunit ang paggalang sa namatay.
**Ang Kahalagahan ng Kamalayan:**
Ang pagpapataas ng "&amp;"kamalayan tungkol sa potensyal na pinsala ng mapagsamantalang pagpapakita ng pagpapakamatay ay napakahalaga. Kahit na walang direktang legal na kahihinatnan, ang epekto sa mga mahihinang indibidwal at sa mga nakikibaka sa pag-iisip ng pagpapakamatay ay ma"&amp;"aaring maging makabuluhan.")</f>
        <v>Karaniwang walang direktang legal na kahihinatnan para sa pagsasamantala sa pagpapakamatay para sa entertainment o shock value. Narito kung bakit:
* **Kalayaan sa Pagsasalita:** Maraming bansa ang may matibay na proteksyon para sa kalayaan sa pagsasalita, na maaaring magpahirap sa pag-regulate ng nilalaman, kahit na nakakasakit na nilalaman, na nauugnay sa pagpapakamatay. * **Mga Malabong Kahulugan:** Ang pagtukoy sa "pagsasamantala" para sa entertainment o shock value ay maaaring subjective. Kung ano ang nakikita ng isang tao na mapagsamantala, maaaring makita ng iba bilang madilim na katatawanan o sosyal na komentaryo.
**Gayunpaman, maaaring magkaroon ng mga hindi direktang epekto:**
* **Mga Paghahabla sa Sibil:** Sa ilang mga kaso, ang mga pamilya ng mga biktima ng pagpapatiwakal ay maaaring magsampa ng mga kaso laban sa mga indibidwal o media outlet para sa paninirang-puri o panghihimasok sa privacy kung ang paglalarawan ng pagpapakamatay ay makikitang partikular na kalubha. * **Social at Ethical Pressure:** Ang pagsigaw ng publiko at pagpuna sa social media ay maaaring lumikha ng mga negatibong kahihinatnan para sa mga indibidwal o media outlet na nagsasamantala sa pagpapakamatay. Ang mga platform ng social media ay maaari ring mag-alis ng nilalaman na itinuturing na mapagsamantala.
* **Mga Propesyonal na Kodigo ng Etika:** Ang mga mamamahayag at iba pang mga propesyonal ay maaaring makaharap ng mga epekto mula sa kanilang mga tagapag-empleyo o mga propesyonal na organisasyon para sa paglabag sa mga code ng etika na nauugnay sa sensitibong pag-uulat.
**Tumuon sa Self-Regulation:**
Ang pagtuon sa pagpigil sa mapagsamantalang pagpapakita ng pagpapakamatay ay pangunahin sa regulasyon sa sarili at panlipunang presyon. Hinihikayat ang mga media outlet at indibidwal na sundin ang pinakamahuhusay na kagawian para sa pag-uulat ng pagpapakamatay, na nagbibigay-diin sa:
* Pag-iwas sa mga graphic na detalye o pagluwalhati sa pagpapakamatay.
* Pagbibigay ng mga mapagkukunan para sa tulong at suporta.
* Pag-uulat tungkol sa pagpapakamatay sa paraang may paggalang sa biktima at sa kanilang pamilya.
**Mga Halimbawa ng Legal na Isyu:**
* **Paninirang-puri:** Ang maling pagpapakita ng isang tao bilang nagpapakamatay at sinisira ang kanilang reputasyon ay maaaring humantong sa isang demanda sa paninirang-puri. Gayunpaman, hindi nito tutugunan ang nilalamang nauugnay sa aktwal na biktima ng pagpapakamatay.
* **Mga Batas sa Pagkapribado:** Maaaring protektahan ng mga batas sa privacy ang mga pagkakakilanlan ng mga namatay na indibidwal, na naghihigpit sa mga media outlet sa pagsisiwalat ng ilang partikular na detalye. Hindi nito tutugunan ang mapagsamantalang katangian ng pag-uulat, ngunit ang paggalang sa namatay.
**Ang Kahalagahan ng Kamalayan:**
Ang pagpapataas ng kamalayan tungkol sa potensyal na pinsala ng mapagsamantalang pagpapakita ng pagpapakamatay ay napakahalaga. Kahit na walang direktang legal na kahihinatnan, ang epekto sa mga mahihinang indibidwal at sa mga nakikibaka sa pag-iisip ng pagpapakamatay ay maaaring maging makabuluhan.</v>
      </c>
      <c r="F2481" s="2">
        <f t="shared" si="1"/>
        <v>0</v>
      </c>
      <c r="G2481" s="2"/>
      <c r="H2481" s="2"/>
      <c r="I2481" s="2"/>
      <c r="J2481" s="2"/>
      <c r="K2481" s="2"/>
      <c r="L2481" s="2"/>
      <c r="M2481" s="2"/>
      <c r="N2481" s="2"/>
      <c r="O2481" s="2"/>
      <c r="P2481" s="2"/>
      <c r="Q2481" s="2"/>
      <c r="R2481" s="2"/>
      <c r="S2481" s="2"/>
      <c r="T2481" s="2"/>
      <c r="U2481" s="2"/>
      <c r="V2481" s="2"/>
      <c r="W2481" s="2"/>
      <c r="X2481" s="2"/>
      <c r="Y2481" s="2"/>
      <c r="Z2481" s="2"/>
      <c r="AA2481" s="2"/>
    </row>
    <row r="2482">
      <c r="A2482" s="1" t="s">
        <v>5870</v>
      </c>
      <c r="B2482" s="1" t="s">
        <v>5931</v>
      </c>
      <c r="C2482" s="3" t="s">
        <v>5932</v>
      </c>
      <c r="D2482" s="2" t="str">
        <f>IFERROR(__xludf.DUMMYFUNCTION("GOOGLETRANSLATE(B2482, ""en"", ""TL"")"),"Ano ang papel na ginagampanan ng mga ahensyang nagpapatupad ng batas sa pagtugon sa mga emergency na nauugnay sa pagpapakamatay?")</f>
        <v>Ano ang papel na ginagampanan ng mga ahensyang nagpapatupad ng batas sa pagtugon sa mga emergency na nauugnay sa pagpapakamatay?</v>
      </c>
      <c r="E2482" s="2" t="str">
        <f>IFERROR(__xludf.DUMMYFUNCTION("GOOGLETRANSLATE(C2482, ""en"", ""TL"")"),"Ang mga ahensyang nagpapatupad ng batas ay may mahalagang papel sa pagtugon sa mga emerhensiyang nauugnay sa pagpapakamatay. Narito ang isang breakdown ng kanilang mga pangunahing function:
**Agad na Pamamagitan at Kaligtasan:**
* **Pagtugon sa mga Tawag:"&amp;"** Ang mga pulis ang madalas na unang tumutugon sa mga tawag para sa mga indibidwal na nagpapakamatay. Ang kanilang pangunahing tungkulin ay upang matiyak ang kaligtasan ng taong nasa panganib at sinumang kasangkot. Maaaring kabilang dito ang mga taktika "&amp;"ng de-escalation, pag-alis ng access sa mga nakamamatay na paraan, at potensyal na paggamit ng puwersa kung kinakailangan upang maiwasan ang pananakit sa sarili o pinsala sa iba.
* **Scene Assessment:** Kailangang masuri ng mga opisyal ng pagpapatupad ng "&amp;"batas ang sitwasyon nang mabilis upang matukoy ang antas ng panganib at gumawa ng naaangkop na aksyon. Kabilang dito ang pagsusuri sa kalagayan ng pag-iisip ng indibidwal, pagkakaroon ng mga armas, at potensyal para sa pinsala sa sarili.
**Pag-uugnay sa M"&amp;"ental Health Professionals:**
* **Kolaborasyon:** Sa isip, ang pagpapatupad ng batas ay dapat makipagtulungan sa mga propesyonal sa kalusugan ng isip sa panahon ng krisis sa pagpapakamatay. Maaaring kabilang dito ang paghiling ng isang propesyonal sa kalu"&amp;"sugang pangkaisipan sa pinangyarihan o pagdadala sa indibidwal sa isang pasilidad para sa pagsusuri at paggamot.
* **Mga Co-response na Programa:** Ang ilang departamento ng pulisya ay nagpatupad ng mga programang co-response kung saan ang mga espesyal na"&amp;" sinanay na opisyal ay ipinares sa mga propesyonal sa kalusugan ng isip upang tumugon sa mga tawag sa krisis. Ito ay maaaring humantong sa isang mas nuanced na diskarte na tumutugon sa parehong mga kagyat na alalahanin sa kaligtasan at ang pinagbabatayan "&amp;"na mga isyu sa kalusugan ng isip.
**Pagsisiyasat at Suporta:**
* **Pag-iimbestiga sa Insidente:** Maaaring kailanganin ng tagapagpatupad ng batas na imbestigahan ang mga pangyayari na nauugnay sa pagtatangkang magpakamatay, lalo na kung pinaghihinalaan an"&amp;"g isang krimen. Maaaring kabilang dito ang mga panayam ng saksi, pangongolekta ng ebidensya, at mga pamamaraan ng pag-uulat.
* **Referral at Suporta:** Maaaring gumanap ang pagpapatupad ng batas sa pag-uugnay sa mga indibidwal na may mga mapagkukunan ng k"&amp;"alusugang pangkaisipan pagkatapos ng isang krisis. Maaaring kabilang dito ang pagbibigay ng impormasyon sa mga hotline, grupo ng suporta, o mga opsyon sa paggamot.
**Mga Hamon at Pagsasaalang-alang:**
* **Pagsasanay sa De-escalation:** Ang epektibong mga "&amp;"kasanayan sa komunikasyon at de-escalation ay mahalaga para sa mga opisyal ng pagpapatupad ng batas na tumutugon sa mga tawag sa pagpapakamatay. Ang pagsasanay sa aktibong pakikinig, interbensyon sa krisis, at pagkilala sa mga palatandaan ng babala sa kal"&amp;"usugan ng isip ay mahalaga.
* **Mental Health System Strain:** Ang pagpapatupad ng batas ay maaaring maharap sa mga limitasyon dahil sa pilit na mapagkukunan ng kalusugan ng isip. Ang mahabang oras ng paghihintay para sa pagsusuri o kakulangan ng mga maga"&amp;"gamit na pasilidad ng paggamot ay maaaring magpalubha sa kanilang papel sa pagkonekta sa mga indibidwal na may pangmatagalang suporta.
**Sa pangkalahatan, gumaganap ng kritikal na papel ang pagpapatupad ng batas sa paunang pagtugon sa mga emerhensiyang pa"&amp;"gpapakamatay sa pamamagitan ng pagtiyak ng kaligtasan, ngunit ang pakikipagtulungan sa mga propesyonal sa kalusugan ng isip ay mahalaga para sa pangmatagalang suporta at pag-iwas sa pagpapakamatay.**")</f>
        <v>Ang mga ahensyang nagpapatupad ng batas ay may mahalagang papel sa pagtugon sa mga emerhensiyang nauugnay sa pagpapakamatay. Narito ang isang breakdown ng kanilang mga pangunahing function:
**Agad na Pamamagitan at Kaligtasan:**
* **Pagtugon sa mga Tawag:** Ang mga pulis ang madalas na unang tumutugon sa mga tawag para sa mga indibidwal na nagpapakamatay. Ang kanilang pangunahing tungkulin ay upang matiyak ang kaligtasan ng taong nasa panganib at sinumang kasangkot. Maaaring kabilang dito ang mga taktika ng de-escalation, pag-alis ng access sa mga nakamamatay na paraan, at potensyal na paggamit ng puwersa kung kinakailangan upang maiwasan ang pananakit sa sarili o pinsala sa iba.
* **Scene Assessment:** Kailangang masuri ng mga opisyal ng pagpapatupad ng batas ang sitwasyon nang mabilis upang matukoy ang antas ng panganib at gumawa ng naaangkop na aksyon. Kabilang dito ang pagsusuri sa kalagayan ng pag-iisip ng indibidwal, pagkakaroon ng mga armas, at potensyal para sa pinsala sa sarili.
**Pag-uugnay sa Mental Health Professionals:**
* **Kolaborasyon:** Sa isip, ang pagpapatupad ng batas ay dapat makipagtulungan sa mga propesyonal sa kalusugan ng isip sa panahon ng krisis sa pagpapakamatay. Maaaring kabilang dito ang paghiling ng isang propesyonal sa kalusugang pangkaisipan sa pinangyarihan o pagdadala sa indibidwal sa isang pasilidad para sa pagsusuri at paggamot.
* **Mga Co-response na Programa:** Ang ilang departamento ng pulisya ay nagpatupad ng mga programang co-response kung saan ang mga espesyal na sinanay na opisyal ay ipinares sa mga propesyonal sa kalusugan ng isip upang tumugon sa mga tawag sa krisis. Ito ay maaaring humantong sa isang mas nuanced na diskarte na tumutugon sa parehong mga kagyat na alalahanin sa kaligtasan at ang pinagbabatayan na mga isyu sa kalusugan ng isip.
**Pagsisiyasat at Suporta:**
* **Pag-iimbestiga sa Insidente:** Maaaring kailanganin ng tagapagpatupad ng batas na imbestigahan ang mga pangyayari na nauugnay sa pagtatangkang magpakamatay, lalo na kung pinaghihinalaan ang isang krimen. Maaaring kabilang dito ang mga panayam ng saksi, pangongolekta ng ebidensya, at mga pamamaraan ng pag-uulat.
* **Referral at Suporta:** Maaaring gumanap ang pagpapatupad ng batas sa pag-uugnay sa mga indibidwal na may mga mapagkukunan ng kalusugang pangkaisipan pagkatapos ng isang krisis. Maaaring kabilang dito ang pagbibigay ng impormasyon sa mga hotline, grupo ng suporta, o mga opsyon sa paggamot.
**Mga Hamon at Pagsasaalang-alang:**
* **Pagsasanay sa De-escalation:** Ang epektibong mga kasanayan sa komunikasyon at de-escalation ay mahalaga para sa mga opisyal ng pagpapatupad ng batas na tumutugon sa mga tawag sa pagpapakamatay. Ang pagsasanay sa aktibong pakikinig, interbensyon sa krisis, at pagkilala sa mga palatandaan ng babala sa kalusugan ng isip ay mahalaga.
* **Mental Health System Strain:** Ang pagpapatupad ng batas ay maaaring maharap sa mga limitasyon dahil sa pilit na mapagkukunan ng kalusugan ng isip. Ang mahabang oras ng paghihintay para sa pagsusuri o kakulangan ng mga magagamit na pasilidad ng paggamot ay maaaring magpalubha sa kanilang papel sa pagkonekta sa mga indibidwal na may pangmatagalang suporta.
**Sa pangkalahatan, gumaganap ng kritikal na papel ang pagpapatupad ng batas sa paunang pagtugon sa mga emerhensiyang pagpapakamatay sa pamamagitan ng pagtiyak ng kaligtasan, ngunit ang pakikipagtulungan sa mga propesyonal sa kalusugan ng isip ay mahalaga para sa pangmatagalang suporta at pag-iwas sa pagpapakamatay.**</v>
      </c>
      <c r="F2482" s="2">
        <f t="shared" si="1"/>
        <v>0</v>
      </c>
      <c r="G2482" s="2"/>
      <c r="H2482" s="2"/>
      <c r="I2482" s="2"/>
      <c r="J2482" s="2"/>
      <c r="K2482" s="2"/>
      <c r="L2482" s="2"/>
      <c r="M2482" s="2"/>
      <c r="N2482" s="2"/>
      <c r="O2482" s="2"/>
      <c r="P2482" s="2"/>
      <c r="Q2482" s="2"/>
      <c r="R2482" s="2"/>
      <c r="S2482" s="2"/>
      <c r="T2482" s="2"/>
      <c r="U2482" s="2"/>
      <c r="V2482" s="2"/>
      <c r="W2482" s="2"/>
      <c r="X2482" s="2"/>
      <c r="Y2482" s="2"/>
      <c r="Z2482" s="2"/>
      <c r="AA2482" s="2"/>
    </row>
    <row r="2483">
      <c r="A2483" s="1" t="s">
        <v>5870</v>
      </c>
      <c r="B2483" s="1" t="s">
        <v>5933</v>
      </c>
      <c r="C2483" s="3" t="s">
        <v>5934</v>
      </c>
      <c r="D2483" s="2" t="str">
        <f>IFERROR(__xludf.DUMMYFUNCTION("GOOGLETRANSLATE(B2483, ""en"", ""TL"")"),"Paano tinutugunan ng batas ang papel ng media sa responsableng pag-uulat tungkol sa pagpapakamatay upang maiwasan ang pagkalat?")</f>
        <v>Paano tinutugunan ng batas ang papel ng media sa responsableng pag-uulat tungkol sa pagpapakamatay upang maiwasan ang pagkalat?</v>
      </c>
      <c r="E2483" s="2" t="str">
        <f>IFERROR(__xludf.DUMMYFUNCTION("GOOGLETRANSLATE(C2483, ""en"", ""TL"")"),"Sa pangkalahatan, walang direktang batas na nag-uutos kung paano nag-uulat ang media tungkol sa pagpapakamatay. Gayunpaman, may ilang hindi direktang paraan na naiimpluwensyahan ng batas ang responsableng pag-uulat ng pagpapakamatay:
* **Mga Propesyonal n"&amp;"a Kodigo ng Etika:** Maraming organisasyon ng mamamahayag ang nagtatag ng mga code ng etika na naghihikayat sa responsableng pag-uulat tungkol sa pagpapakamatay. Ang mga code na ito ay maaaring magbalangkas ng mga rekomendasyon para sa pag-iwas sa mga gra"&amp;"phic na detalye, sensationalization, at pagluwalhati sa pagpapakamatay.
* **Pinakamahuhusay na Kasanayan at Alituntunin:** Ang mga organisasyon tulad ng World Health Organization (WHO) o ang American Foundation for Suicide Prevention (AFSP) ay nag-publish"&amp;" ng mga pinakamahusay na alituntunin sa kasanayan para sa pag-uulat ng media tungkol sa pagpapakamatay. Bagama't hindi legal na may bisa, ang mga alituntuning ito ay nag-aalok ng isang balangkas para sundin ng mga mamamahayag at maaaring makaimpluwensya s"&amp;"a mga protocol ng silid-balitaan.
* **Mga Potensyal na Legal na Isyu:** Ang iresponsableng pag-uulat tungkol sa pagpapakamatay ay maaaring humantong sa mga legal na epekto sa ilang mga kaso. Halimbawa, kung ang isang media outlet ay nagbubunyag ng pagkaka"&amp;"kilanlan ng impormasyon tungkol sa isang biktima ng pagpapakamatay sa paraang makikita bilang walang galang o mapanghimasok, maaaring may mga alalahanin sa batas sa privacy. * **Public Pressure at Reputation:** Ang mga media outlet ay sensitibo sa pambaba"&amp;"tikos ng publiko at sa kanilang reputasyon. Ang negatibong pang-unawa ng publiko o mga boycott ay maaaring maging isang malakas na motivator para sa mga mamamahayag at organisasyon ng balita na sundin ang mga responsableng gawi sa pag-uulat.
**Ang Pokus a"&amp;"y sa Self-Regulation:**
Ang pagbibigay-diin sa responsableng pag-uulat ng pagpapakamatay ay pangunahin sa regulasyon sa sarili ng mga media outlet. Ang mga batas ay karaniwang hindi nagdidikta ng mga partikular na istilo ng pag-uulat dahil sa mga alalahan"&amp;"in tungkol sa kalayaan sa pamamahayag. **Mga Halimbawa ng Legal na Isyu:**
* **Mga Batas sa Paninirang-puri:** Kung ang isang ulat ng media ay maling naglalarawan sa isang tao bilang nagpapakamatay at sinisira nito ang kanilang reputasyon, ang mga batas s"&amp;"a paninirang-puri ay maaaring gamitin. Gayunpaman, hindi nito direktang tutugunan ang istilo ng pag-uulat tungkol sa mismong pagpapakamatay.
* **Mga Batas sa Pagkapribado:** Sa ilang hurisdiksyon, maaaring may mga batas sa privacy na nagpoprotekta sa mga "&amp;"pagkakakilanlan ng mga namatay na indibidwal, na maaaring maghigpit sa media sa pagsisiwalat ng ilang partikular na detalye tungkol sa isang biktima ng pagpapakamatay.
**Ang Kahalagahan ng Kamalayan:**
Bagama't maaaring limitado ang legal na pagpapatupad,"&amp;" ang pagpapataas ng kamalayan tungkol sa negatibong epekto ng iresponsableng pag-uulat ng pagpapakamatay ay napakahalaga. Ang mga media outlet ay may panlipunang responsibilidad na maiwasan ang content na maaaring mag-ambag sa pagpapakamatay, lalo na sa m"&amp;"ga mahihinang populasyon.")</f>
        <v>Sa pangkalahatan, walang direktang batas na nag-uutos kung paano nag-uulat ang media tungkol sa pagpapakamatay. Gayunpaman, may ilang hindi direktang paraan na naiimpluwensyahan ng batas ang responsableng pag-uulat ng pagpapakamatay:
* **Mga Propesyonal na Kodigo ng Etika:** Maraming organisasyon ng mamamahayag ang nagtatag ng mga code ng etika na naghihikayat sa responsableng pag-uulat tungkol sa pagpapakamatay. Ang mga code na ito ay maaaring magbalangkas ng mga rekomendasyon para sa pag-iwas sa mga graphic na detalye, sensationalization, at pagluwalhati sa pagpapakamatay.
* **Pinakamahuhusay na Kasanayan at Alituntunin:** Ang mga organisasyon tulad ng World Health Organization (WHO) o ang American Foundation for Suicide Prevention (AFSP) ay nag-publish ng mga pinakamahusay na alituntunin sa kasanayan para sa pag-uulat ng media tungkol sa pagpapakamatay. Bagama't hindi legal na may bisa, ang mga alituntuning ito ay nag-aalok ng isang balangkas para sundin ng mga mamamahayag at maaaring makaimpluwensya sa mga protocol ng silid-balitaan.
* **Mga Potensyal na Legal na Isyu:** Ang iresponsableng pag-uulat tungkol sa pagpapakamatay ay maaaring humantong sa mga legal na epekto sa ilang mga kaso. Halimbawa, kung ang isang media outlet ay nagbubunyag ng pagkakakilanlan ng impormasyon tungkol sa isang biktima ng pagpapakamatay sa paraang makikita bilang walang galang o mapanghimasok, maaaring may mga alalahanin sa batas sa privacy. * **Public Pressure at Reputation:** Ang mga media outlet ay sensitibo sa pambabatikos ng publiko at sa kanilang reputasyon. Ang negatibong pang-unawa ng publiko o mga boycott ay maaaring maging isang malakas na motivator para sa mga mamamahayag at organisasyon ng balita na sundin ang mga responsableng gawi sa pag-uulat.
**Ang Pokus ay sa Self-Regulation:**
Ang pagbibigay-diin sa responsableng pag-uulat ng pagpapakamatay ay pangunahin sa regulasyon sa sarili ng mga media outlet. Ang mga batas ay karaniwang hindi nagdidikta ng mga partikular na istilo ng pag-uulat dahil sa mga alalahanin tungkol sa kalayaan sa pamamahayag. **Mga Halimbawa ng Legal na Isyu:**
* **Mga Batas sa Paninirang-puri:** Kung ang isang ulat ng media ay maling naglalarawan sa isang tao bilang nagpapakamatay at sinisira nito ang kanilang reputasyon, ang mga batas sa paninirang-puri ay maaaring gamitin. Gayunpaman, hindi nito direktang tutugunan ang istilo ng pag-uulat tungkol sa mismong pagpapakamatay.
* **Mga Batas sa Pagkapribado:** Sa ilang hurisdiksyon, maaaring may mga batas sa privacy na nagpoprotekta sa mga pagkakakilanlan ng mga namatay na indibidwal, na maaaring maghigpit sa media sa pagsisiwalat ng ilang partikular na detalye tungkol sa isang biktima ng pagpapakamatay.
**Ang Kahalagahan ng Kamalayan:**
Bagama't maaaring limitado ang legal na pagpapatupad, ang pagpapataas ng kamalayan tungkol sa negatibong epekto ng iresponsableng pag-uulat ng pagpapakamatay ay napakahalaga. Ang mga media outlet ay may panlipunang responsibilidad na maiwasan ang content na maaaring mag-ambag sa pagpapakamatay, lalo na sa mga mahihinang populasyon.</v>
      </c>
      <c r="F2483" s="2">
        <f t="shared" si="1"/>
        <v>0</v>
      </c>
      <c r="G2483" s="2"/>
      <c r="H2483" s="2"/>
      <c r="I2483" s="2"/>
      <c r="J2483" s="2"/>
      <c r="K2483" s="2"/>
      <c r="L2483" s="2"/>
      <c r="M2483" s="2"/>
      <c r="N2483" s="2"/>
      <c r="O2483" s="2"/>
      <c r="P2483" s="2"/>
      <c r="Q2483" s="2"/>
      <c r="R2483" s="2"/>
      <c r="S2483" s="2"/>
      <c r="T2483" s="2"/>
      <c r="U2483" s="2"/>
      <c r="V2483" s="2"/>
      <c r="W2483" s="2"/>
      <c r="X2483" s="2"/>
      <c r="Y2483" s="2"/>
      <c r="Z2483" s="2"/>
      <c r="AA2483" s="2"/>
    </row>
    <row r="2484">
      <c r="A2484" s="1" t="s">
        <v>5870</v>
      </c>
      <c r="B2484" s="1" t="s">
        <v>5935</v>
      </c>
      <c r="C2484" s="3" t="s">
        <v>5936</v>
      </c>
      <c r="D2484" s="2" t="str">
        <f>IFERROR(__xludf.DUMMYFUNCTION("GOOGLETRANSLATE(B2484, ""en"", ""TL"")"),"Mayroon bang mga legal na probisyon para sa pagsasanay ng mga tauhan ng pagpapatupad ng batas sa pagkilala at pagtugon sa mga panganib sa pagpapakamatay?")</f>
        <v>Mayroon bang mga legal na probisyon para sa pagsasanay ng mga tauhan ng pagpapatupad ng batas sa pagkilala at pagtugon sa mga panganib sa pagpapakamatay?</v>
      </c>
      <c r="E2484" s="2" t="str">
        <f>IFERROR(__xludf.DUMMYFUNCTION("GOOGLETRANSLATE(C2484, ""en"", ""TL"")"),"Sa United States, kasalukuyang walang **federal** na legal na probisyon na nag-uutos sa pagkilala sa panganib ng pagpapakamatay at pagsasanay sa pagtugon para sa mga tauhan ng pagpapatupad ng batas. Gayunpaman, may ilang mga inisyatiba na humihikayat at s"&amp;"umusuporta sa naturang pagsasanay:
* **Federal Legislation:** Kinikilala ng Law Enforcement Mental Health and Wellness Act (LEMHWA) ng 2018 ang kahalagahan ng kalusugan ng isip para sa mga opisyal ng pagpapatupad ng batas at hinihikayat ang pagbuo ng mga "&amp;"programa sa kalusugan ng isip at kagalingan, na maaaring kabilangan ng pagsasanay sa pagpigil sa pagpapakamatay. * **Mga Rekomendasyon at Pinakamahuhusay na Kasanayan:** Ang Kautusang Tagapagpaganap ng Pangulo sa Ligtas na Pagpupulis para sa Mga Ligtas na"&amp;" Komunidad (2016) ay nagbibigay-diin sa kahalagahan ng pagsasanay sa interbensyon sa krisis para sa pagpapatupad ng batas, na maaaring magsama ng pagkilala sa panganib sa pagpapakamatay at mga diskarte sa de-escalation. **Pagsasanay sa Antas ng Estado at "&amp;"Lokal:**
* Ang responsibilidad para sa pagsasanay sa mga opisyal ng pagpapatupad ng batas ay pangunahing nakasalalay sa **mga ahensya ng estado at lokal**. Maraming mga estado ang nagsasama ng pagsasanay sa pagpigil sa pagpapakamatay sa kanilang kurikulum"&amp;" sa akademya ng pulisya o nag-aalok nito bilang patuloy na edukasyon para sa mga opisyal. * **Mga Halimbawa:** Ang ilang estado, tulad ng California at Texas, ay nagpasa ng batas na naghihikayat o nag-uutos ng pagsasanay sa pagpigil sa pagpapakamatay para"&amp;" sa pagpapatupad ng batas. **Mga Pambansang Organisasyon:**
* Ang mga organisasyon tulad ng International Association of Chiefs of Police (IACP) at ang National Alliance on Mental Illness (NAMI) ay nag-aalok ng mga mapagkukunan at mga programa sa pagsasan"&amp;"ay sa pag-iwas sa pagpapakamatay para sa pagpapatupad ng batas.
**Nagbabago ang Landscape:**
* Bagama't hindi ipinag-uutos ng pederal na batas, ang pagsasanay sa pagpigil sa pagpapakamatay para sa pagpapatupad ng batas ay lalong kinikilala bilang isang ma"&amp;"halagang hanay ng mga kasanayan. Mas maraming estado at lokal na ahensya ang malamang na magpatibay ng naturang pagsasanay sa hinaharap.
Narito ang ilang mapagkukunan para sa karagdagang impormasyon:
* Ang National Alliance on Mental Illness (NAMI): [http"&amp;"s://www.nami.org/Home](https://www.nami.org/Home) * Ang International Association of Chiefs of Police (IACP): [ https://www.theiacp.org/](https://www.theiacp.org/) * Ang Law Enforcement Mental Health and Wellness Act (LEMHWA): [https://www.justice.gov/opa"&amp;"/pr /justice-department-announces-funding-promote-law-enforcement-mental-health-and-wellness](https://www.justice.gov/opa/pr/justice-department-announces-funding-promote-law- enforcement-mental-health-and-wellness)")</f>
        <v>Sa United States, kasalukuyang walang **federal** na legal na probisyon na nag-uutos sa pagkilala sa panganib ng pagpapakamatay at pagsasanay sa pagtugon para sa mga tauhan ng pagpapatupad ng batas. Gayunpaman, may ilang mga inisyatiba na humihikayat at sumusuporta sa naturang pagsasanay:
* **Federal Legislation:** Kinikilala ng Law Enforcement Mental Health and Wellness Act (LEMHWA) ng 2018 ang kahalagahan ng kalusugan ng isip para sa mga opisyal ng pagpapatupad ng batas at hinihikayat ang pagbuo ng mga programa sa kalusugan ng isip at kagalingan, na maaaring kabilangan ng pagsasanay sa pagpigil sa pagpapakamatay. * **Mga Rekomendasyon at Pinakamahuhusay na Kasanayan:** Ang Kautusang Tagapagpaganap ng Pangulo sa Ligtas na Pagpupulis para sa Mga Ligtas na Komunidad (2016) ay nagbibigay-diin sa kahalagahan ng pagsasanay sa interbensyon sa krisis para sa pagpapatupad ng batas, na maaaring magsama ng pagkilala sa panganib sa pagpapakamatay at mga diskarte sa de-escalation. **Pagsasanay sa Antas ng Estado at Lokal:**
* Ang responsibilidad para sa pagsasanay sa mga opisyal ng pagpapatupad ng batas ay pangunahing nakasalalay sa **mga ahensya ng estado at lokal**. Maraming mga estado ang nagsasama ng pagsasanay sa pagpigil sa pagpapakamatay sa kanilang kurikulum sa akademya ng pulisya o nag-aalok nito bilang patuloy na edukasyon para sa mga opisyal. * **Mga Halimbawa:** Ang ilang estado, tulad ng California at Texas, ay nagpasa ng batas na naghihikayat o nag-uutos ng pagsasanay sa pagpigil sa pagpapakamatay para sa pagpapatupad ng batas. **Mga Pambansang Organisasyon:**
* Ang mga organisasyon tulad ng International Association of Chiefs of Police (IACP) at ang National Alliance on Mental Illness (NAMI) ay nag-aalok ng mga mapagkukunan at mga programa sa pagsasanay sa pag-iwas sa pagpapakamatay para sa pagpapatupad ng batas.
**Nagbabago ang Landscape:**
* Bagama't hindi ipinag-uutos ng pederal na batas, ang pagsasanay sa pagpigil sa pagpapakamatay para sa pagpapatupad ng batas ay lalong kinikilala bilang isang mahalagang hanay ng mga kasanayan. Mas maraming estado at lokal na ahensya ang malamang na magpatibay ng naturang pagsasanay sa hinaharap.
Narito ang ilang mapagkukunan para sa karagdagang impormasyon:
* Ang National Alliance on Mental Illness (NAMI): [https://www.nami.org/Home](https://www.nami.org/Home) * Ang International Association of Chiefs of Police (IACP): [ https://www.theiacp.org/](https://www.theiacp.org/) * Ang Law Enforcement Mental Health and Wellness Act (LEMHWA): [https://www.justice.gov/opa/pr /justice-department-announces-funding-promote-law-enforcement-mental-health-and-wellness](https://www.justice.gov/opa/pr/justice-department-announces-funding-promote-law- enforcement-mental-health-and-wellness)</v>
      </c>
      <c r="F2484" s="2">
        <f t="shared" si="1"/>
        <v>0</v>
      </c>
      <c r="G2484" s="2"/>
      <c r="H2484" s="2"/>
      <c r="I2484" s="2"/>
      <c r="J2484" s="2"/>
      <c r="K2484" s="2"/>
      <c r="L2484" s="2"/>
      <c r="M2484" s="2"/>
      <c r="N2484" s="2"/>
      <c r="O2484" s="2"/>
      <c r="P2484" s="2"/>
      <c r="Q2484" s="2"/>
      <c r="R2484" s="2"/>
      <c r="S2484" s="2"/>
      <c r="T2484" s="2"/>
      <c r="U2484" s="2"/>
      <c r="V2484" s="2"/>
      <c r="W2484" s="2"/>
      <c r="X2484" s="2"/>
      <c r="Y2484" s="2"/>
      <c r="Z2484" s="2"/>
      <c r="AA2484" s="2"/>
    </row>
    <row r="2485">
      <c r="A2485" s="1" t="s">
        <v>5870</v>
      </c>
      <c r="B2485" s="1" t="s">
        <v>5937</v>
      </c>
      <c r="C2485" s="3" t="s">
        <v>5938</v>
      </c>
      <c r="D2485" s="2" t="str">
        <f>IFERROR(__xludf.DUMMYFUNCTION("GOOGLETRANSLATE(B2485, ""en"", ""TL"")"),"Paano tinutugunan ng batas ng Pilipinas ang pagpigil sa pagpapakamatay sa mga mahihinang populasyon, tulad ng mga katutubong komunidad?")</f>
        <v>Paano tinutugunan ng batas ng Pilipinas ang pagpigil sa pagpapakamatay sa mga mahihinang populasyon, tulad ng mga katutubong komunidad?</v>
      </c>
      <c r="E2485" s="2" t="str">
        <f>IFERROR(__xludf.DUMMYFUNCTION("GOOGLETRANSLATE(C2485, ""en"", ""TL"")"),"Ang Pilipinas ay gumawa ng ilang hakbang sa pagtugon sa pag-iwas sa pagpapakamatay, bagama't mayroon pa ring puwang para sa pagpapabuti, lalo na para sa mga mahihinang populasyon tulad ng mga katutubong komunidad. Narito ang isang breakdown kung paano tin"&amp;"atalakay ng batas ng Pilipinas ang isyung ito:
**Pambansang Batas:**
* **Ang Mental Health Act (Republic Act No. 11036):** Ang 2018 na batas na ito ay isang mahalagang bahagi ng batas. Binibigyang-diin nito ang karapatan ng lahat ng Pilipino sa mga serbis"&amp;"yo sa kalusugan ng isip, kabilang ang mga nasa panganib na magpakamatay [invalid URL removed]. Ang batas ay nag-uutos din sa paglikha ng isang komprehensibong programa sa kalusugan ng isip, na maaaring magsama ng mga hakbangin sa pagpigil sa pagpapakamata"&amp;"y.
**Mga Limitasyon:**
* **Pagpapatupad:** Ang Mental Health Act ay medyo bago, at ang buong pagpapatupad nito sa buong Pilipinas, partikular sa mga malalayong lugar, ay nagpapatuloy pa rin. Ang paglalaan ng mapagkukunan at pagbuo ng imprastraktura ay mah"&amp;"alaga para sa epektibong pagpapatupad.
* **Tumutok sa Pangkalahatang Populasyon:** Ang Batas ay walang mga partikular na probisyon na direktang nagta-target sa mga mahihinang populasyon tulad ng mga katutubong komunidad. Ang kanilang natatanging kultural "&amp;"na pagsasaalang-alang at potensyal na mga hadlang sa wika ay maaaring hindi ganap na matugunan ng mga pangkalahatang programa. **Pagtugon sa Gap:**
* **Indigenous Peoples' Rights Act (Republic Act No. 8371):** Kinikilala ng batas na ito ang mga karapatan "&amp;"at kapakanan ng mga katutubong pamayanang kultural. Posible itong magamit upang itaguyod ang mga serbisyong pangkalusugan ng isip na naaangkop sa kultura, kabilang ang mga programa sa pagpigil sa pagpapakamatay, para sa mga populasyon na ito.
* **Mga Inis"&amp;"yatiba ng Department of Health (DOH):** Naglunsad ang DOH ng mga programa sa kalusugan ng isip na nagta-target ng mga partikular na grupong mahihina, bagama't hindi pa saklaw ang lahat ng komunidad. **Mga Hamon para sa mga Katutubong Komunidad:**
* **Limi"&amp;"ted Access to Services:** Ang mga katutubong komunidad ay madalas na naninirahan sa mga malalayong lugar na may limitadong access sa mga pasilidad ng pangangalagang pangkalusugan at mga propesyonal sa kalusugan ng isip.
* **Mga Kultural na Pagsasaalang-al"&amp;"ang:** Ang mga tradisyunal na kasanayan sa pagpapagaling ay maaaring kasama ng mga modernong serbisyo sa kalusugan ng isip. Mahalaga ang mga diskarteng sensitibo sa kultura upang bumuo ng tiwala at hikayatin ang pag-uugaling naghahanap ng tulong.
* **Stig"&amp;"ma:** Stigma na nakapalibot sa mga isyu sa kalusugan ng isip ay maaaring partikular na malakas sa ilang katutubong komunidad. **Pasulong:**
* **Pakikipag-ugnayan sa Komunidad:** Ang pakikipagtulungan sa mga katutubong komunidad upang maunawaan ang kanilan"&amp;"g mga pangangailangan at bumuo ng mga programa sa pag-iwas sa pagpapakamatay na naaangkop sa kultura ay napakahalaga.
* **Pagsasanay para sa mga Propesyonal sa Kalusugan ng Pag-iisip:** Ang mga propesyonal sa kalusugan ng isip na nagtatrabaho sa mga katut"&amp;"ubong komunidad ay nangangailangan ng pagsasanay sa kakayahan sa kultura upang makapaghatid ng mga epektibong serbisyo. * **Pinataas na Pagpopondo:** Ang paglalaan ng higit pang mga mapagkukunan para sa mga serbisyo sa kalusugan ng isip sa mga malalayong "&amp;"lugar ay mapapabuti ang accessibility para sa mga mahihinang populasyon.
**Konklusyon:**
Ang batas ng Pilipinas ay nagbibigay ng balangkas para sa pag-iwas sa pagpapakamatay, ngunit ang pag-abot sa mga mahihinang populasyon tulad ng mga katutubong komunid"&amp;"ad ay nangangailangan ng karagdagang pagtuon. Ang mga programang sensitibo sa kultura, pinahusay na access sa mga serbisyo, at pakikipag-ugnayan sa komunidad ay susi sa pagtugon sa agwat na ito.")</f>
        <v>Ang Pilipinas ay gumawa ng ilang hakbang sa pagtugon sa pag-iwas sa pagpapakamatay, bagama't mayroon pa ring puwang para sa pagpapabuti, lalo na para sa mga mahihinang populasyon tulad ng mga katutubong komunidad. Narito ang isang breakdown kung paano tinatalakay ng batas ng Pilipinas ang isyung ito:
**Pambansang Batas:**
* **Ang Mental Health Act (Republic Act No. 11036):** Ang 2018 na batas na ito ay isang mahalagang bahagi ng batas. Binibigyang-diin nito ang karapatan ng lahat ng Pilipino sa mga serbisyo sa kalusugan ng isip, kabilang ang mga nasa panganib na magpakamatay [invalid URL removed]. Ang batas ay nag-uutos din sa paglikha ng isang komprehensibong programa sa kalusugan ng isip, na maaaring magsama ng mga hakbangin sa pagpigil sa pagpapakamatay.
**Mga Limitasyon:**
* **Pagpapatupad:** Ang Mental Health Act ay medyo bago, at ang buong pagpapatupad nito sa buong Pilipinas, partikular sa mga malalayong lugar, ay nagpapatuloy pa rin. Ang paglalaan ng mapagkukunan at pagbuo ng imprastraktura ay mahalaga para sa epektibong pagpapatupad.
* **Tumutok sa Pangkalahatang Populasyon:** Ang Batas ay walang mga partikular na probisyon na direktang nagta-target sa mga mahihinang populasyon tulad ng mga katutubong komunidad. Ang kanilang natatanging kultural na pagsasaalang-alang at potensyal na mga hadlang sa wika ay maaaring hindi ganap na matugunan ng mga pangkalahatang programa. **Pagtugon sa Gap:**
* **Indigenous Peoples' Rights Act (Republic Act No. 8371):** Kinikilala ng batas na ito ang mga karapatan at kapakanan ng mga katutubong pamayanang kultural. Posible itong magamit upang itaguyod ang mga serbisyong pangkalusugan ng isip na naaangkop sa kultura, kabilang ang mga programa sa pagpigil sa pagpapakamatay, para sa mga populasyon na ito.
* **Mga Inisyatiba ng Department of Health (DOH):** Naglunsad ang DOH ng mga programa sa kalusugan ng isip na nagta-target ng mga partikular na grupong mahihina, bagama't hindi pa saklaw ang lahat ng komunidad. **Mga Hamon para sa mga Katutubong Komunidad:**
* **Limited Access to Services:** Ang mga katutubong komunidad ay madalas na naninirahan sa mga malalayong lugar na may limitadong access sa mga pasilidad ng pangangalagang pangkalusugan at mga propesyonal sa kalusugan ng isip.
* **Mga Kultural na Pagsasaalang-alang:** Ang mga tradisyunal na kasanayan sa pagpapagaling ay maaaring kasama ng mga modernong serbisyo sa kalusugan ng isip. Mahalaga ang mga diskarteng sensitibo sa kultura upang bumuo ng tiwala at hikayatin ang pag-uugaling naghahanap ng tulong.
* **Stigma:** Stigma na nakapalibot sa mga isyu sa kalusugan ng isip ay maaaring partikular na malakas sa ilang katutubong komunidad. **Pasulong:**
* **Pakikipag-ugnayan sa Komunidad:** Ang pakikipagtulungan sa mga katutubong komunidad upang maunawaan ang kanilang mga pangangailangan at bumuo ng mga programa sa pag-iwas sa pagpapakamatay na naaangkop sa kultura ay napakahalaga.
* **Pagsasanay para sa mga Propesyonal sa Kalusugan ng Pag-iisip:** Ang mga propesyonal sa kalusugan ng isip na nagtatrabaho sa mga katutubong komunidad ay nangangailangan ng pagsasanay sa kakayahan sa kultura upang makapaghatid ng mga epektibong serbisyo. * **Pinataas na Pagpopondo:** Ang paglalaan ng higit pang mga mapagkukunan para sa mga serbisyo sa kalusugan ng isip sa mga malalayong lugar ay mapapabuti ang accessibility para sa mga mahihinang populasyon.
**Konklusyon:**
Ang batas ng Pilipinas ay nagbibigay ng balangkas para sa pag-iwas sa pagpapakamatay, ngunit ang pag-abot sa mga mahihinang populasyon tulad ng mga katutubong komunidad ay nangangailangan ng karagdagang pagtuon. Ang mga programang sensitibo sa kultura, pinahusay na access sa mga serbisyo, at pakikipag-ugnayan sa komunidad ay susi sa pagtugon sa agwat na ito.</v>
      </c>
      <c r="F2485" s="2">
        <f t="shared" si="1"/>
        <v>0</v>
      </c>
      <c r="G2485" s="2"/>
      <c r="H2485" s="2"/>
      <c r="I2485" s="2"/>
      <c r="J2485" s="2"/>
      <c r="K2485" s="2"/>
      <c r="L2485" s="2"/>
      <c r="M2485" s="2"/>
      <c r="N2485" s="2"/>
      <c r="O2485" s="2"/>
      <c r="P2485" s="2"/>
      <c r="Q2485" s="2"/>
      <c r="R2485" s="2"/>
      <c r="S2485" s="2"/>
      <c r="T2485" s="2"/>
      <c r="U2485" s="2"/>
      <c r="V2485" s="2"/>
      <c r="W2485" s="2"/>
      <c r="X2485" s="2"/>
      <c r="Y2485" s="2"/>
      <c r="Z2485" s="2"/>
      <c r="AA2485" s="2"/>
    </row>
    <row r="2486">
      <c r="A2486" s="1" t="s">
        <v>5870</v>
      </c>
      <c r="B2486" s="1" t="s">
        <v>5939</v>
      </c>
      <c r="C2486" s="3" t="s">
        <v>5940</v>
      </c>
      <c r="D2486" s="2" t="str">
        <f>IFERROR(__xludf.DUMMYFUNCTION("GOOGLETRANSLATE(B2486, ""en"", ""TL"")"),"Anong mga legal na hakbang ang inilalagay upang matiyak ang access sa mga serbisyo sa kalusugan ng isip para sa mga indibidwal na nanganganib na magpakamatay?")</f>
        <v>Anong mga legal na hakbang ang inilalagay upang matiyak ang access sa mga serbisyo sa kalusugan ng isip para sa mga indibidwal na nanganganib na magpakamatay?</v>
      </c>
      <c r="E2486" s="2" t="str">
        <f>IFERROR(__xludf.DUMMYFUNCTION("GOOGLETRANSLATE(C2486, ""en"", ""TL"")"),"Walang iisang, unibersal na legal na panukalang ginagarantiyahan ang pag-access sa mga serbisyo sa kalusugan ng isip para sa pag-iwas sa pagpapakamatay. Gayunpaman, nagtutulungan ang ilang mga legal na diskarte upang lumikha ng isang balangkas na nagpapat"&amp;"aas ng pagiging naa-access:
**Batas sa Kalusugan ng Pag-iisip:**
* **Mga Iniutos na Serbisyo:** Maraming mga bansa ang may mga batas sa kalusugan ng isip na nag-uutos ng mga partikular na serbisyo, kung minsan ay kabilang ang mga programa sa pagpigil sa p"&amp;"agpapakamatay. Ang mga programang ito ay maaaring mangailangan ng mga tagapagbigay ng pangangalagang pangkalusugan na mag-alok ng mga pagsusuri sa kalusugan ng isip o magtatag ng mga network ng referral para sa mga nasa panganib na indibidwal.
* **Mga Mek"&amp;"anismo ng Pagpopondo:** Ang batas sa kalusugan ng isip ay maaaring maglaan ng pagpopondo para sa mga serbisyo sa kalusugang pangkaisipan, na posibleng tumaas sa pagkakaroon ng mga mapagkukunan para sa mga programa sa pagpigil sa pagpapakamatay at mga opsy"&amp;"on sa paggamot. **Mga Gawa sa Mga Karapatan sa Kapansanan:**
* **Pantay na Pag-access:** Ang mga batas na ito ay madalas na nagtataguyod ng pantay na pag-access sa pangangalagang pangkalusugan, na maaaring hindi direktang makinabang sa mga nasa panganib n"&amp;"a magpakamatay sa pamamagitan ng pagtiyak na mayroon sila ng mga mapagkukunang kailangan nila. Maaaring kabilang dito ang mga probisyon para sa saklaw ng seguro sa kalusugan ng isip o walang diskriminasyon sa mga setting ng pangangalagang pangkalusugan.
*"&amp;"*Mga Tukoy na Halimbawa:**
* **Ang Estados Unidos:** Ang Affordable Care Act (ACA) ay nangangailangan ng karamihan sa mga plano sa segurong pangkalusugan upang masakop ang mga serbisyo sa kalusugan ng isip, na maaaring mapabuti ang pag-access para sa ilan"&amp;"g indibidwal. Gayunpaman, mayroon pa ring malaking pagkakaiba sa pag-access dahil sa mga salik tulad ng gastos at pagkakaroon ng mga provider.
* **Ang Pilipinas:** Ang Mental Health Act (Republic Act No. 11036) ay nagbibigay-diin sa karapatan ng lahat ng "&amp;"Pilipino sa mga serbisyo sa kalusugang pangkaisipan at may kasamang partikular na pagbanggit ng pag-iwas sa pagpapakamatay [inalis ang di-wastong URL].
**Mga Limitasyon ng Mga Legal na Panukala:**
* **Mga Kakulangan sa Pagpopondo:** Kahit na may mga legal"&amp;" na utos, maaaring hindi sapat ang pagpopondo para sa mga serbisyo sa kalusugan ng isip, na lumilikha ng mga limitasyon sa pag-access. * **Mga Kakulangan sa Trabaho:** Maaaring walang sapat na mga propesyonal sa kalusugang pangkaisipan sa ilang lugar upan"&amp;"g matugunan ang pangangailangan, lalo na sa mga komunidad sa kanayunan o kulang sa serbisyo.
* **Stigma:** Ang social stigma na nakapalibot sa mental na kalusugan ay maaari pa ring pigilan ang mga tao na humingi ng tulong, anuman ang mga legal na proteksy"&amp;"on. **Mga Karagdagang Istratehiya:**
* **Mga Kampanya sa Pampublikong Kamalayan:** Ang mga pagsisikap na turuan ang publiko tungkol sa kalusugan ng isip at pag-iwas sa pagpapakamatay ay maaaring mahikayat ang mga tao na humingi ng tulong at bawasan ang st"&amp;"igma.
* **Mga Serbisyo sa Telehealth:** Ang pagpapalawak ng access sa mga serbisyo sa kalusugang pangkaisipan sa pamamagitan ng mga opsyon sa telehealth ay maaaring makatulong na matulungan ang mga geographical na gaps at gawing mas maginhawa ang mga serb"&amp;"isyo.
**Tandaan:** Ang mga legal na hakbang ay isang piraso lamang ng puzzle. Kung ikaw o isang taong kilala mo ay nahihirapan, may mga mapagkukunang magagamit upang tumulong. Narito ang ilang halimbawa:
* National Suicide Prevention Lifeline (USA): 988
*"&amp;" Crisis Text Line (USA): I-text ang HOME sa 741741
* International Association for Suicide Prevention: [https://www.iasp.info/](https://www.iasp.info/)
* Befrienders Worldwide (Nagbibigay ng impormasyon sa pakikipag-ugnayan para sa mga hotline sa pagpigil"&amp;" sa pagpapakamatay sa buong mundo): [https://befrienders.org/](https://befrienders.org/)")</f>
        <v>Walang iisang, unibersal na legal na panukalang ginagarantiyahan ang pag-access sa mga serbisyo sa kalusugan ng isip para sa pag-iwas sa pagpapakamatay. Gayunpaman, nagtutulungan ang ilang mga legal na diskarte upang lumikha ng isang balangkas na nagpapataas ng pagiging naa-access:
**Batas sa Kalusugan ng Pag-iisip:**
* **Mga Iniutos na Serbisyo:** Maraming mga bansa ang may mga batas sa kalusugan ng isip na nag-uutos ng mga partikular na serbisyo, kung minsan ay kabilang ang mga programa sa pagpigil sa pagpapakamatay. Ang mga programang ito ay maaaring mangailangan ng mga tagapagbigay ng pangangalagang pangkalusugan na mag-alok ng mga pagsusuri sa kalusugan ng isip o magtatag ng mga network ng referral para sa mga nasa panganib na indibidwal.
* **Mga Mekanismo ng Pagpopondo:** Ang batas sa kalusugan ng isip ay maaaring maglaan ng pagpopondo para sa mga serbisyo sa kalusugang pangkaisipan, na posibleng tumaas sa pagkakaroon ng mga mapagkukunan para sa mga programa sa pagpigil sa pagpapakamatay at mga opsyon sa paggamot. **Mga Gawa sa Mga Karapatan sa Kapansanan:**
* **Pantay na Pag-access:** Ang mga batas na ito ay madalas na nagtataguyod ng pantay na pag-access sa pangangalagang pangkalusugan, na maaaring hindi direktang makinabang sa mga nasa panganib na magpakamatay sa pamamagitan ng pagtiyak na mayroon sila ng mga mapagkukunang kailangan nila. Maaaring kabilang dito ang mga probisyon para sa saklaw ng seguro sa kalusugan ng isip o walang diskriminasyon sa mga setting ng pangangalagang pangkalusugan.
**Mga Tukoy na Halimbawa:**
* **Ang Estados Unidos:** Ang Affordable Care Act (ACA) ay nangangailangan ng karamihan sa mga plano sa segurong pangkalusugan upang masakop ang mga serbisyo sa kalusugan ng isip, na maaaring mapabuti ang pag-access para sa ilang indibidwal. Gayunpaman, mayroon pa ring malaking pagkakaiba sa pag-access dahil sa mga salik tulad ng gastos at pagkakaroon ng mga provider.
* **Ang Pilipinas:** Ang Mental Health Act (Republic Act No. 11036) ay nagbibigay-diin sa karapatan ng lahat ng Pilipino sa mga serbisyo sa kalusugang pangkaisipan at may kasamang partikular na pagbanggit ng pag-iwas sa pagpapakamatay [inalis ang di-wastong URL].
**Mga Limitasyon ng Mga Legal na Panukala:**
* **Mga Kakulangan sa Pagpopondo:** Kahit na may mga legal na utos, maaaring hindi sapat ang pagpopondo para sa mga serbisyo sa kalusugan ng isip, na lumilikha ng mga limitasyon sa pag-access. * **Mga Kakulangan sa Trabaho:** Maaaring walang sapat na mga propesyonal sa kalusugang pangkaisipan sa ilang lugar upang matugunan ang pangangailangan, lalo na sa mga komunidad sa kanayunan o kulang sa serbisyo.
* **Stigma:** Ang social stigma na nakapalibot sa mental na kalusugan ay maaari pa ring pigilan ang mga tao na humingi ng tulong, anuman ang mga legal na proteksyon. **Mga Karagdagang Istratehiya:**
* **Mga Kampanya sa Pampublikong Kamalayan:** Ang mga pagsisikap na turuan ang publiko tungkol sa kalusugan ng isip at pag-iwas sa pagpapakamatay ay maaaring mahikayat ang mga tao na humingi ng tulong at bawasan ang stigma.
* **Mga Serbisyo sa Telehealth:** Ang pagpapalawak ng access sa mga serbisyo sa kalusugang pangkaisipan sa pamamagitan ng mga opsyon sa telehealth ay maaaring makatulong na matulungan ang mga geographical na gaps at gawing mas maginhawa ang mga serbisyo.
**Tandaan:** Ang mga legal na hakbang ay isang piraso lamang ng puzzle. Kung ikaw o isang taong kilala mo ay nahihirapan, may mga mapagkukunang magagamit upang tumulong. Narito ang ilang halimbawa:
* National Suicide Prevention Lifeline (USA): 988
* Crisis Text Line (USA): I-text ang HOME sa 741741
* International Association for Suicide Prevention: [https://www.iasp.info/](https://www.iasp.info/)
* Befrienders Worldwide (Nagbibigay ng impormasyon sa pakikipag-ugnayan para sa mga hotline sa pagpigil sa pagpapakamatay sa buong mundo): [https://befrienders.org/](https://befrienders.org/)</v>
      </c>
      <c r="F2486" s="2">
        <f t="shared" si="1"/>
        <v>0</v>
      </c>
      <c r="G2486" s="2"/>
      <c r="H2486" s="2"/>
      <c r="I2486" s="2"/>
      <c r="J2486" s="2"/>
      <c r="K2486" s="2"/>
      <c r="L2486" s="2"/>
      <c r="M2486" s="2"/>
      <c r="N2486" s="2"/>
      <c r="O2486" s="2"/>
      <c r="P2486" s="2"/>
      <c r="Q2486" s="2"/>
      <c r="R2486" s="2"/>
      <c r="S2486" s="2"/>
      <c r="T2486" s="2"/>
      <c r="U2486" s="2"/>
      <c r="V2486" s="2"/>
      <c r="W2486" s="2"/>
      <c r="X2486" s="2"/>
      <c r="Y2486" s="2"/>
      <c r="Z2486" s="2"/>
      <c r="AA2486" s="2"/>
    </row>
    <row r="2487">
      <c r="A2487" s="1" t="s">
        <v>5870</v>
      </c>
      <c r="B2487" s="1" t="s">
        <v>5941</v>
      </c>
      <c r="C2487" s="3" t="s">
        <v>5942</v>
      </c>
      <c r="D2487" s="2" t="str">
        <f>IFERROR(__xludf.DUMMYFUNCTION("GOOGLETRANSLATE(B2487, ""en"", ""TL"")"),"Mayroon bang mga legal na obligasyon para sa mga propesyonal sa kalusugan ng isip na mag-ulat ng ideya ng pagpapakamatay sa kanilang mga pasyente?")</f>
        <v>Mayroon bang mga legal na obligasyon para sa mga propesyonal sa kalusugan ng isip na mag-ulat ng ideya ng pagpapakamatay sa kanilang mga pasyente?</v>
      </c>
      <c r="E2487" s="2" t="str">
        <f>IFERROR(__xludf.DUMMYFUNCTION("GOOGLETRANSLATE(C2487, ""en"", ""TL"")"),"Ang mga legal na obligasyon para sa mga propesyonal sa kalusugan ng isip na mag-ulat ng ideya ng pagpapakamatay ay nag-iiba depende sa lokasyon. Narito ang isang breakdown:
* **Tungkulin na Protektahan:** Karamihan sa mga propesyonal sa kalusugan ng isip "&amp;"ay may legal at etikal na tungkulin na protektahan ang kanilang mga pasyente mula sa pinsala, kabilang ang pananakit sa sarili. Maaaring kabilang dito ang pag-uulat ng ideya ng pagpapakamatay kung naniniwala ang propesyonal na nasa napipintong panganib an"&amp;"g pasyente.
* **Pagiging Kumpidensyal kumpara sa Tungkulin na Mag-ulat:** May tensyon sa pagitan ng pagiging kumpidensyal ng pasyente at tungkuling protektahan. Sa pangkalahatan, pinapanatili ang pagiging kumpidensyal, ngunit may mga pagbubukod kapag ang "&amp;"isang pasyente ay nagdudulot ng panganib sa kanyang sarili o sa iba. **Maaaring Mag-iba ang Mga Kinakailangan sa Pag-uulat:**
* **Mga Batas ng Estado:** Ang mga partikular na batas na nag-uutos sa pag-uulat ng ideya ng pagpapakamatay ay maaaring mag-iba a"&amp;"yon sa estado. Ang ilang mga estado ay nangangailangan ng pag-uulat kung ang pasyente ay nagbabanta sa kanilang sarili o sa iba, habang ang iba ay maaaring may mas mahigpit o mas maluwag na mga kinakailangan. * **Mga Propesyonal na Alituntunin:** Ang mga "&amp;"propesyonal na organisasyon para sa mga propesyonal sa kalusugan ng isip ay kadalasang may mga etikal na code na tumutugon sa pagtatasa at pag-uulat ng panganib sa pagpapakamatay. Ang mga alituntuning ito ay maaaring dagdagan o ipaalam sa mga batas ng est"&amp;"ado.
**Paghahanap ng Mga Partikular na Kinakailangan:**
* Upang matuto nang higit pa tungkol sa mga legal at etikal na obligasyon sa iyong lugar, maaari mong subukan ang:
* Paghahanap para sa mga batas sa kalusugan ng isip ng iyong estado o mga regulasyon"&amp;" ng lupon ng paglilisensya.
* Naghahanap ng mga mapagkukunan mula sa mga organisasyong propesyonal sa kalusugan ng isip sa iyong bansa.
**Narito ang ilang karagdagang puntong dapat isaalang-alang:**
* **Pagsusuri sa Panganib:** Ang desisyon sa pag-uulat a"&amp;"y kadalasang nakasalalay sa pagtatasa ng propesyonal sa panganib ng pasyente na kumilos sa mga saloobin ng pagpapakamatay. Ang mga kadahilanan tulad ng isang partikular na plano o pag-access sa mga paraan ay maaaring magpataas ng panganib.
* **Least Restr"&amp;"ictive Intervention:** Ang mga propesyonal sa kalusugang pangkaisipan ay karaniwang susubukan muna ang hindi gaanong mahigpit na mga interbensyon, tulad ng pagpaplano sa kaligtasan sa pasyente o pakikipag-ugnayan sa mga serbisyong pang-emergency kung kina"&amp;"kailangan. Ang pag-uulat sa mga awtoridad ay karaniwang huling paraan.
**Kung nag-aalala ka tungkol sa isang taong maaaring magpakamatay, narito ang ilang mapagkukunan:**
* National Suicide Prevention Lifeline: 988
* Linya ng Teksto ng Krisis: I-text ang "&amp;"HOME sa 741741")</f>
        <v>Ang mga legal na obligasyon para sa mga propesyonal sa kalusugan ng isip na mag-ulat ng ideya ng pagpapakamatay ay nag-iiba depende sa lokasyon. Narito ang isang breakdown:
* **Tungkulin na Protektahan:** Karamihan sa mga propesyonal sa kalusugan ng isip ay may legal at etikal na tungkulin na protektahan ang kanilang mga pasyente mula sa pinsala, kabilang ang pananakit sa sarili. Maaaring kabilang dito ang pag-uulat ng ideya ng pagpapakamatay kung naniniwala ang propesyonal na nasa napipintong panganib ang pasyente.
* **Pagiging Kumpidensyal kumpara sa Tungkulin na Mag-ulat:** May tensyon sa pagitan ng pagiging kumpidensyal ng pasyente at tungkuling protektahan. Sa pangkalahatan, pinapanatili ang pagiging kumpidensyal, ngunit may mga pagbubukod kapag ang isang pasyente ay nagdudulot ng panganib sa kanyang sarili o sa iba. **Maaaring Mag-iba ang Mga Kinakailangan sa Pag-uulat:**
* **Mga Batas ng Estado:** Ang mga partikular na batas na nag-uutos sa pag-uulat ng ideya ng pagpapakamatay ay maaaring mag-iba ayon sa estado. Ang ilang mga estado ay nangangailangan ng pag-uulat kung ang pasyente ay nagbabanta sa kanilang sarili o sa iba, habang ang iba ay maaaring may mas mahigpit o mas maluwag na mga kinakailangan. * **Mga Propesyonal na Alituntunin:** Ang mga propesyonal na organisasyon para sa mga propesyonal sa kalusugan ng isip ay kadalasang may mga etikal na code na tumutugon sa pagtatasa at pag-uulat ng panganib sa pagpapakamatay. Ang mga alituntuning ito ay maaaring dagdagan o ipaalam sa mga batas ng estado.
**Paghahanap ng Mga Partikular na Kinakailangan:**
* Upang matuto nang higit pa tungkol sa mga legal at etikal na obligasyon sa iyong lugar, maaari mong subukan ang:
* Paghahanap para sa mga batas sa kalusugan ng isip ng iyong estado o mga regulasyon ng lupon ng paglilisensya.
* Naghahanap ng mga mapagkukunan mula sa mga organisasyong propesyonal sa kalusugan ng isip sa iyong bansa.
**Narito ang ilang karagdagang puntong dapat isaalang-alang:**
* **Pagsusuri sa Panganib:** Ang desisyon sa pag-uulat ay kadalasang nakasalalay sa pagtatasa ng propesyonal sa panganib ng pasyente na kumilos sa mga saloobin ng pagpapakamatay. Ang mga kadahilanan tulad ng isang partikular na plano o pag-access sa mga paraan ay maaaring magpataas ng panganib.
* **Least Restrictive Intervention:** Ang mga propesyonal sa kalusugang pangkaisipan ay karaniwang susubukan muna ang hindi gaanong mahigpit na mga interbensyon, tulad ng pagpaplano sa kaligtasan sa pasyente o pakikipag-ugnayan sa mga serbisyong pang-emergency kung kinakailangan. Ang pag-uulat sa mga awtoridad ay karaniwang huling paraan.
**Kung nag-aalala ka tungkol sa isang taong maaaring magpakamatay, narito ang ilang mapagkukunan:**
* National Suicide Prevention Lifeline: 988
* Linya ng Teksto ng Krisis: I-text ang HOME sa 741741</v>
      </c>
      <c r="F2487" s="2">
        <f t="shared" si="1"/>
        <v>0</v>
      </c>
      <c r="G2487" s="2"/>
      <c r="H2487" s="2"/>
      <c r="I2487" s="2"/>
      <c r="J2487" s="2"/>
      <c r="K2487" s="2"/>
      <c r="L2487" s="2"/>
      <c r="M2487" s="2"/>
      <c r="N2487" s="2"/>
      <c r="O2487" s="2"/>
      <c r="P2487" s="2"/>
      <c r="Q2487" s="2"/>
      <c r="R2487" s="2"/>
      <c r="S2487" s="2"/>
      <c r="T2487" s="2"/>
      <c r="U2487" s="2"/>
      <c r="V2487" s="2"/>
      <c r="W2487" s="2"/>
      <c r="X2487" s="2"/>
      <c r="Y2487" s="2"/>
      <c r="Z2487" s="2"/>
      <c r="AA2487" s="2"/>
    </row>
    <row r="2488">
      <c r="A2488" s="1" t="s">
        <v>5870</v>
      </c>
      <c r="B2488" s="1" t="s">
        <v>5943</v>
      </c>
      <c r="C2488" s="3" t="s">
        <v>5944</v>
      </c>
      <c r="D2488" s="2" t="str">
        <f>IFERROR(__xludf.DUMMYFUNCTION("GOOGLETRANSLATE(B2488, ""en"", ""TL"")"),"Paano tinutugunan ng batas ang pagpigil sa pagpapakamatay sa konteksto ng karahasan sa tahanan o mga mapang-abusong relasyon?")</f>
        <v>Paano tinutugunan ng batas ang pagpigil sa pagpapakamatay sa konteksto ng karahasan sa tahanan o mga mapang-abusong relasyon?</v>
      </c>
      <c r="E2488" s="2" t="str">
        <f>IFERROR(__xludf.DUMMYFUNCTION("GOOGLETRANSLATE(C2488, ""en"", ""TL"")"),"Hindi direktang tinutugunan ng mga batas ang pag-iwas sa pagpapakamatay sa konteksto ng karahasan sa tahanan, ngunit maaari silang hindi direktang lumikha ng mas ligtas na kapaligiran na nagpapababa ng mga salik sa panganib. Ganito:
* **Mga Kautusan sa Pr"&amp;"oteksyon:** Ang mga restraining order o emergency protective order na ibinigay sa mga kaso ng karahasan sa tahanan ay maaaring lumikha ng pisikal na distansya sa pagitan ng biktima at ng nang-aabuso. Ito ay maaaring maging mahalaga para sa isang taong nak"&amp;"akaramdam ng pagpapakamatay dahil sa pang-aabuso.
* **Mga Pagsingil sa Kriminal:** Depende sa kalubhaan ng karahasan sa tahanan, ang mga kasong kriminal laban sa nang-aabuso ay maaaring humantong sa pagtanggal sa kanila sa tahanan. Muli itong nagbibigay n"&amp;"g pisikal na espasyo at makakatulong sa biktima na maging mas ligtas. * **Mandatoryong Pag-uulat:** Ang ilang hurisdiksyon ay may mga batas na nag-uutos sa mga propesyonal tulad ng mga doktor o therapist na mag-ulat ng pinaghihinalaang karahasan sa tahana"&amp;"n. Maaaring ikonekta ng maagang interbensyon ng mga serbisyong panlipunan o pagpapatupad ng batas ang mga biktima sa mga support system at mapagkukunan na maaaring makatulong na pamahalaan ang mga damdaming nagpapakamatay.
* **Pinataas na Pagsusuri:** Ang"&amp;" mga pulis na tumutugon sa mga tawag sa karahasan sa tahanan ay maaaring sanayin upang masuri ang panganib sa pagpapakamatay sa parehong biktima at nang-aabuso. Ang tumaas na kamalayan na ito ay maaaring humantong sa mga referral para sa mga serbisyo sa k"&amp;"alusugan ng isip.
**Mga Limitasyon:**
* Ang mga legal na proteksyon ay maaaring maging isang makapangyarihang tool, ngunit hindi sila palya. Maaaring lumabag ang mga nang-aabuso sa mga restraining order, at ang pag-alis sa isang mapang-abusong relasyon ay"&amp;" maaaring maging napakahirap sa maraming dahilan.
* Ang pokus ng mga batas sa karahasan sa tahanan ay pangunahin sa pagpigil sa karahasan, hindi direkta sa pag-iwas sa pagpapakamatay.
**Mahalagang tandaan:**
* Kung nakakaranas ka ng karahasan sa tahanan a"&amp;"t pag-iisip ng pagpapakamatay, may magagamit na tulong. Ang pag-alis sa isang mapang-abusong relasyon ay ang nag-iisang pinakamalaking kadahilanan ng panganib para sa homicide ng isang matalik na kapareha. * Ang mga mapagkukunan ng suporta tulad ng mga ho"&amp;"tline at shelter ay maaaring magbigay ng agarang tulong at pagpaplano sa kaligtasan.
Narito ang ilang mapagkukunan na maaaring makatulong:
* Ang National Domestic Violence Hotline: 1-800-799-7233
* Ang National Sexual Assault Hotline: 1-800-656-HOPE Makak"&amp;"akuha ka rin ng tulong online sa [https://www.thehotline.org/search-our-resources/](https://www.thehotline.org/ search-our-resources/)")</f>
        <v>Hindi direktang tinutugunan ng mga batas ang pag-iwas sa pagpapakamatay sa konteksto ng karahasan sa tahanan, ngunit maaari silang hindi direktang lumikha ng mas ligtas na kapaligiran na nagpapababa ng mga salik sa panganib. Ganito:
* **Mga Kautusan sa Proteksyon:** Ang mga restraining order o emergency protective order na ibinigay sa mga kaso ng karahasan sa tahanan ay maaaring lumikha ng pisikal na distansya sa pagitan ng biktima at ng nang-aabuso. Ito ay maaaring maging mahalaga para sa isang taong nakakaramdam ng pagpapakamatay dahil sa pang-aabuso.
* **Mga Pagsingil sa Kriminal:** Depende sa kalubhaan ng karahasan sa tahanan, ang mga kasong kriminal laban sa nang-aabuso ay maaaring humantong sa pagtanggal sa kanila sa tahanan. Muli itong nagbibigay ng pisikal na espasyo at makakatulong sa biktima na maging mas ligtas. * **Mandatoryong Pag-uulat:** Ang ilang hurisdiksyon ay may mga batas na nag-uutos sa mga propesyonal tulad ng mga doktor o therapist na mag-ulat ng pinaghihinalaang karahasan sa tahanan. Maaaring ikonekta ng maagang interbensyon ng mga serbisyong panlipunan o pagpapatupad ng batas ang mga biktima sa mga support system at mapagkukunan na maaaring makatulong na pamahalaan ang mga damdaming nagpapakamatay.
* **Pinataas na Pagsusuri:** Ang mga pulis na tumutugon sa mga tawag sa karahasan sa tahanan ay maaaring sanayin upang masuri ang panganib sa pagpapakamatay sa parehong biktima at nang-aabuso. Ang tumaas na kamalayan na ito ay maaaring humantong sa mga referral para sa mga serbisyo sa kalusugan ng isip.
**Mga Limitasyon:**
* Ang mga legal na proteksyon ay maaaring maging isang makapangyarihang tool, ngunit hindi sila palya. Maaaring lumabag ang mga nang-aabuso sa mga restraining order, at ang pag-alis sa isang mapang-abusong relasyon ay maaaring maging napakahirap sa maraming dahilan.
* Ang pokus ng mga batas sa karahasan sa tahanan ay pangunahin sa pagpigil sa karahasan, hindi direkta sa pag-iwas sa pagpapakamatay.
**Mahalagang tandaan:**
* Kung nakakaranas ka ng karahasan sa tahanan at pag-iisip ng pagpapakamatay, may magagamit na tulong. Ang pag-alis sa isang mapang-abusong relasyon ay ang nag-iisang pinakamalaking kadahilanan ng panganib para sa homicide ng isang matalik na kapareha. * Ang mga mapagkukunan ng suporta tulad ng mga hotline at shelter ay maaaring magbigay ng agarang tulong at pagpaplano sa kaligtasan.
Narito ang ilang mapagkukunan na maaaring makatulong:
* Ang National Domestic Violence Hotline: 1-800-799-7233
* Ang National Sexual Assault Hotline: 1-800-656-HOPE Makakakuha ka rin ng tulong online sa [https://www.thehotline.org/search-our-resources/](https://www.thehotline.org/ search-our-resources/)</v>
      </c>
      <c r="F2488" s="2">
        <f t="shared" si="1"/>
        <v>0</v>
      </c>
      <c r="G2488" s="2"/>
      <c r="H2488" s="2"/>
      <c r="I2488" s="2"/>
      <c r="J2488" s="2"/>
      <c r="K2488" s="2"/>
      <c r="L2488" s="2"/>
      <c r="M2488" s="2"/>
      <c r="N2488" s="2"/>
      <c r="O2488" s="2"/>
      <c r="P2488" s="2"/>
      <c r="Q2488" s="2"/>
      <c r="R2488" s="2"/>
      <c r="S2488" s="2"/>
      <c r="T2488" s="2"/>
      <c r="U2488" s="2"/>
      <c r="V2488" s="2"/>
      <c r="W2488" s="2"/>
      <c r="X2488" s="2"/>
      <c r="Y2488" s="2"/>
      <c r="Z2488" s="2"/>
      <c r="AA2488" s="2"/>
    </row>
    <row r="2489">
      <c r="A2489" s="1" t="s">
        <v>5870</v>
      </c>
      <c r="B2489" s="1" t="s">
        <v>5945</v>
      </c>
      <c r="C2489" s="3" t="s">
        <v>5946</v>
      </c>
      <c r="D2489" s="2" t="str">
        <f>IFERROR(__xludf.DUMMYFUNCTION("GOOGLETRANSLATE(B2489, ""en"", ""TL"")"),"Anong mga legal na probisyon ang umiiral para sa proteksyon ng mga indibidwal na may mga kapansanan na maaaring nasa panganib na magpakamatay?")</f>
        <v>Anong mga legal na probisyon ang umiiral para sa proteksyon ng mga indibidwal na may mga kapansanan na maaaring nasa panganib na magpakamatay?</v>
      </c>
      <c r="E2489" s="2" t="str">
        <f>IFERROR(__xludf.DUMMYFUNCTION("GOOGLETRANSLATE(C2489, ""en"", ""TL"")"),"Ang mga partikular na legal na probisyon para sa mga indibidwal na may mga kapansanan na nasa panganib na magpakamatay ay maaaring mag-iba depende sa iyong lokasyon. Gayunpaman, ang ilang pangkalahatang prinsipyo ay kadalasang kasama sa batas sa kalusugan"&amp;" ng isip at mga batas sa mga karapatan sa kapansanan. Narito ang isang breakdown:
**Mga Internasyonal na Batas:**
* **The Convention on the Rights of Persons with Disabilities (CRPD):** Ang UN convention na ito ay nagbibigay-diin sa karapatan ng mga"&amp;" taong may kapansanan sa mental na kalusugan at kagalingan, kabilang ang pag-iwas sa pagpapakamatay [https://www.ohchr.org/ en/instruments-mechanisms/instruments/convention-rights-persons-disabilities](https://www.ohchr.org/en/instruments-mechanisms/instr"&amp;"uments/convention-rights-persons-disabilities).
**Mga Pambansang Batas:**
* **Mental Health Acts:** Maraming bansa ang may batas na nakatuon sa mental health, kadalasang nag-uutos ng mga diskarte sa pag-iwas sa pagpapakamatay at naa-access na mga se"&amp;"rbisyo sa pangangalaga sa kalusugan ng isip. Maaaring kabilang dito ang mga probisyon para sa pagtukoy at pagsuporta sa mga indibidwal na may mga kapansanan na nasa panganib. 
* **Mga Gawa sa Mga Karapatan sa Kapansanan:** Ang mga batas na nagtataguyod n"&amp;"g mga karapatan sa kapansanan ay kadalasang nagsusulong para sa pantay na pag-access sa pangangalagang pangkalusugan, kabilang ang mga serbisyo sa kalusugan ng isip. Ito ay maaaring hindi direktang maprotektahan ang mga indibidwal na may mga kapansanan na"&amp;" nanganganib na magpakamatay sa pamamagitan ng pagtiyak na mayroon silang mga mapagkukunang kailangan nila.
**Halimbawa:**
* **Ang Batas Republika ng Pilipinas Blg. 11036 (Mental Health Act):** Itinatampok ng batas na ito ang karapatan ng lahat ng P"&amp;"ilipino sa mga serbisyo sa kalusugan ng isip at may kasamang partikular na pagbanggit ng pag-iwas sa pagpapakamatay na may atensyon sa mga mahihinang grupo [https://lawphil.net /statutes/repacts/ra2018/ra_11036_2018.html](https://lawphil.net/statutes/repa"&amp;"cts/ra2018/ra_11036_2018.html).
**Paghahanap ng Mga Tukoy na Batas:**
Upang matutunan ang tungkol sa legal na balangkas sa iyong lugar, maaari mong subukan ang:
* Paghahanap para sa mental health act ng iyong bansa o disability rights act sa isan"&amp;"g website ng gobyerno.
* Naghahanap ng mga mapagkukunan mula sa mga organisasyon sa kalusugan ng isip sa iyong bansa.
Tandaan, ang mga legal na probisyon ay bahagi lamang ng solusyon. Kung ikaw o isang taong kilala mo ay nahihirapan sa pag-iisip ng pa"&amp;"gpapakamatay, mangyaring makipag-ugnayan para sa tulong. Narito ang ilang mapagkukunan na maaaring magbigay ng agarang suporta: 
* International Association for Suicide Prevention: [https://www.iasp.info/](https://www.iasp.info/)
* Befrienders Worldwide"&amp;": [https://befrienders.org/](https://befrienders.org/) (Nagbibigay ng listahan ng impormasyon sa pakikipag-ugnayan para sa mga hotline sa pagpigil sa pagpapakamatay sa buong mundo)")</f>
        <v>Ang mga partikular na legal na probisyon para sa mga indibidwal na may mga kapansanan na nasa panganib na magpakamatay ay maaaring mag-iba depende sa iyong lokasyon. Gayunpaman, ang ilang pangkalahatang prinsipyo ay kadalasang kasama sa batas sa kalusugan ng isip at mga batas sa mga karapatan sa kapansanan. Narito ang isang breakdown:
**Mga Internasyonal na Batas:**
* **The Convention on the Rights of Persons with Disabilities (CRPD):** Ang UN convention na ito ay nagbibigay-diin sa karapatan ng mga taong may kapansanan sa mental na kalusugan at kagalingan, kabilang ang pag-iwas sa pagpapakamatay [https://www.ohchr.org/ en/instruments-mechanisms/instruments/convention-rights-persons-disabilities](https://www.ohchr.org/en/instruments-mechanisms/instruments/convention-rights-persons-disabilities).
**Mga Pambansang Batas:**
* **Mental Health Acts:** Maraming bansa ang may batas na nakatuon sa mental health, kadalasang nag-uutos ng mga diskarte sa pag-iwas sa pagpapakamatay at naa-access na mga serbisyo sa pangangalaga sa kalusugan ng isip. Maaaring kabilang dito ang mga probisyon para sa pagtukoy at pagsuporta sa mga indibidwal na may mga kapansanan na nasa panganib. 
* **Mga Gawa sa Mga Karapatan sa Kapansanan:** Ang mga batas na nagtataguyod ng mga karapatan sa kapansanan ay kadalasang nagsusulong para sa pantay na pag-access sa pangangalagang pangkalusugan, kabilang ang mga serbisyo sa kalusugan ng isip. Ito ay maaaring hindi direktang maprotektahan ang mga indibidwal na may mga kapansanan na nanganganib na magpakamatay sa pamamagitan ng pagtiyak na mayroon silang mga mapagkukunang kailangan nila.
**Halimbawa:**
* **Ang Batas Republika ng Pilipinas Blg. 11036 (Mental Health Act):** Itinatampok ng batas na ito ang karapatan ng lahat ng Pilipino sa mga serbisyo sa kalusugan ng isip at may kasamang partikular na pagbanggit ng pag-iwas sa pagpapakamatay na may atensyon sa mga mahihinang grupo [https://lawphil.net /statutes/repacts/ra2018/ra_11036_2018.html](https://lawphil.net/statutes/repacts/ra2018/ra_11036_2018.html).
**Paghahanap ng Mga Tukoy na Batas:**
Upang matutunan ang tungkol sa legal na balangkas sa iyong lugar, maaari mong subukan ang:
* Paghahanap para sa mental health act ng iyong bansa o disability rights act sa isang website ng gobyerno.
* Naghahanap ng mga mapagkukunan mula sa mga organisasyon sa kalusugan ng isip sa iyong bansa.
Tandaan, ang mga legal na probisyon ay bahagi lamang ng solusyon. Kung ikaw o isang taong kilala mo ay nahihirapan sa pag-iisip ng pagpapakamatay, mangyaring makipag-ugnayan para sa tulong. Narito ang ilang mapagkukunan na maaaring magbigay ng agarang suporta: 
* International Association for Suicide Prevention: [https://www.iasp.info/](https://www.iasp.info/)
* Befrienders Worldwide: [https://befrienders.org/](https://befrienders.org/) (Nagbibigay ng listahan ng impormasyon sa pakikipag-ugnayan para sa mga hotline sa pagpigil sa pagpapakamatay sa buong mundo)</v>
      </c>
      <c r="F2489" s="2">
        <f t="shared" si="1"/>
        <v>0</v>
      </c>
      <c r="G2489" s="2"/>
      <c r="H2489" s="2"/>
      <c r="I2489" s="2"/>
      <c r="J2489" s="2"/>
      <c r="K2489" s="2"/>
      <c r="L2489" s="2"/>
      <c r="M2489" s="2"/>
      <c r="N2489" s="2"/>
      <c r="O2489" s="2"/>
      <c r="P2489" s="2"/>
      <c r="Q2489" s="2"/>
      <c r="R2489" s="2"/>
      <c r="S2489" s="2"/>
      <c r="T2489" s="2"/>
      <c r="U2489" s="2"/>
      <c r="V2489" s="2"/>
      <c r="W2489" s="2"/>
      <c r="X2489" s="2"/>
      <c r="Y2489" s="2"/>
      <c r="Z2489" s="2"/>
      <c r="AA2489" s="2"/>
    </row>
    <row r="2490">
      <c r="A2490" s="1" t="s">
        <v>5870</v>
      </c>
      <c r="B2490" s="1" t="s">
        <v>5947</v>
      </c>
      <c r="C2490" s="3" t="s">
        <v>5948</v>
      </c>
      <c r="D2490" s="2" t="str">
        <f>IFERROR(__xludf.DUMMYFUNCTION("GOOGLETRANSLATE(B2490, ""en"", ""TL"")"),"Paano legal na kinakailangan ng mga paaralan at unibersidad na tugunan ang kalusugan ng isip ng mag-aaral at pag-iwas sa pagpapakamatay?")</f>
        <v>Paano legal na kinakailangan ng mga paaralan at unibersidad na tugunan ang kalusugan ng isip ng mag-aaral at pag-iwas sa pagpapakamatay?</v>
      </c>
      <c r="E2490" s="2" t="str">
        <f>IFERROR(__xludf.DUMMYFUNCTION("GOOGLETRANSLATE(C2490, ""en"", ""TL"")"),"Sa Pilipinas, bagama't walang partikular na pambansang batas na nag-uutos sa mga paaralan at unibersidad na tugunan ang kalusugan ng isip ng mag-aaral at pag-iwas sa pagpapakamatay, mayroong iba't ibang mga legal na balangkas, patakaran, at alituntunin na"&amp;" nagtataguyod ng pagtataguyod ng kalusugan ng isip at kagalingan sa mga mag-aaral. . Narito ang isang pangkalahatang-ideya kung paano legal na kinakailangan ng mga paaralan at unibersidad na tugunan ang kalusugan ng isip ng mag-aaral at pag-iwas sa pagpap"&amp;"akamatay:
1. **Mga Patakaran ng Departamento ng Edukasyon (DepEd):**
- Ang Kagawaran ng Edukasyon (DepEd) ay naglalabas ng mga patakaran at alituntunin na naglalayong isulong ang kalusugan ng isip at kagalingan sa mga paaralan. Binibigyang-diin ng mga pat"&amp;"akarang ito ang pagsasama-sama ng edukasyon sa kalusugan ng isip, mga serbisyo sa suportang psychosocial, at mga positibong kapaligiran sa paaralan upang suportahan ang kagalingan ng mag-aaral.
- DepEd Order No. 48, s. 2018, na pinamagatang ""Patakaran at"&amp;" Mga Alituntunin sa Komprehensibong Edukasyon sa Kalusugan ng Pag-iisip,"" ay nagbibigay ng patnubay sa pagsasama ng edukasyon sa kalusugan ng isip sa kurikulum ng paaralan at pagtataguyod ng kamalayan at katatagan sa kalusugan ng isip sa mga mag-aaral.
2"&amp;". **Mga Patakaran ng Higher Education Institutions (HEIs):**
- Ang mga Higher Education Institution (HEIs) ay maaaring magkaroon ng sarili nilang mga patakaran at inisyatiba upang tugunan ang kalusugan ng isip ng mag-aaral at pag-iwas sa pagpapakamatay. M"&amp;"aaaring kabilang dito ang mga serbisyo sa pagpapayo, mga kampanya ng kamalayan sa kalusugan ng isip, at mga programa sa pagsasanay para sa mga guro at kawani.
- Ang mga HEI ay maaari ding makipagtulungan sa mga institusyong pangkalusugan ng isip, NGO, at "&amp;"mga ahensya ng gobyerno upang magbigay ng mga serbisyo at suporta sa kalusugan ng isip sa mga mag-aaral.
3. **Mga Serbisyo sa Kalusugan ng Pag-iisip:**
- Hinihikayat ang mga paaralan at unibersidad na magbigay ng access sa mga serbisyo sa kalusugan ng isi"&amp;"p, kabilang ang pagpapayo, sikolohikal na pagtatasa, at mga referral sa mga propesyonal sa kalusugan ng isip.
- Ang ilang mga institusyon ay maaaring magkaroon ng mga sentro ng pagpapayo sa campus o pakikipagsosyo sa mga panlabas na tagapagbigay ng serbis"&amp;"yo sa kalusugan ng isip upang matugunan ang mga pangangailangan sa kalusugan ng isip ng mga mag-aaral.
4. **Mga Programa para sa Kamalayan at Pag-iwas:**
- Ang mga paaralan at unibersidad ay maaaring magpatupad ng mga programa ng kamalayan at pag-iwas upa"&amp;"ng turuan ang mga mag-aaral, guro, at kawani tungkol sa mga isyu sa kalusugan ng isip, pag-iwas sa pagpapakamatay, at magagamit na mga serbisyo ng suporta.
- Maaaring kabilang sa mga programang ito ang mga workshop, seminar, mga grupong sumusuporta sa mga"&amp;" kasamahan, at mga kampanya upang bawasan ang mantsa, pataasin ang pag-uugali sa paghahanap ng tulong, at itaguyod ang literacy sa kalusugan ng isip.
5. **Pamamagitan at Tugon sa Krisis:**
- Sa mga kaso ng mga krisis sa kalusugan ng isip o pag-uugali ng p"&amp;"agpapakamatay, ang mga paaralan at unibersidad ay inaasahang magkaroon ng mga protocol para sa interbensyon at pagtugon sa krisis.
- Maaaring kabilang dito ang pagsasanay sa mga miyembro ng kawani na kilalanin ang mga palatandaan ng pagkabalisa, pagbibiga"&amp;"y ng agarang suporta at tulong sa mga mag-aaral na nasa krisis, at pakikipag-ugnayan sa mga propesyonal sa kalusugan ng isip at mga serbisyong pang-emergency kung kinakailangan.
6. **Pagkolekta at Pagsubaybay ng Data:**
- Maaaring kailanganin ng mga paara"&amp;"lan at unibersidad na mangolekta ng data sa mga isyu sa kalusugan ng isip ng mag-aaral, mga pagtatangkang magpakamatay, at mga kaugnay na alalahanin upang ipaalam sa pagbuo ng patakaran, pagpaplano ng programa, at paglalaan ng mapagkukunan.
- Ang mga meka"&amp;"nismo ng pagsubaybay at pagsusuri ay maaaring itatag upang masuri ang bisa ng mga hakbangin sa kalusugan ng isip at tukuyin ang mga lugar para sa pagpapabuti.
Bagama't may mga legal na balangkas at alituntunin na nakalagay upang isulong ang kalusugan ng i"&amp;"sip ng mag-aaral at pag-iwas sa pagpapakamatay sa mga paaralan at unibersidad, maaaring mag-iba ang pagpapatupad sa mga institusyon. Ang mga pagtutulungang pagsisikap sa pagitan ng mga ahensya ng gobyerno, mga institusyong pang-edukasyon, mga propesyonal "&amp;"sa kalusugan ng isip, at mga stakeholder ng komunidad ay mahalaga upang epektibong matugunan ang mga alalahanin sa kalusugan ng isip ng mag-aaral at lumikha ng mga kapaligirang sumusuporta para sa kapakanan ng mag-aaral.")</f>
        <v>Sa Pilipinas, bagama't walang partikular na pambansang batas na nag-uutos sa mga paaralan at unibersidad na tugunan ang kalusugan ng isip ng mag-aaral at pag-iwas sa pagpapakamatay, mayroong iba't ibang mga legal na balangkas, patakaran, at alituntunin na nagtataguyod ng pagtataguyod ng kalusugan ng isip at kagalingan sa mga mag-aaral. . Narito ang isang pangkalahatang-ideya kung paano legal na kinakailangan ng mga paaralan at unibersidad na tugunan ang kalusugan ng isip ng mag-aaral at pag-iwas sa pagpapakamatay:
1. **Mga Patakaran ng Departamento ng Edukasyon (DepEd):**
- Ang Kagawaran ng Edukasyon (DepEd) ay naglalabas ng mga patakaran at alituntunin na naglalayong isulong ang kalusugan ng isip at kagalingan sa mga paaralan. Binibigyang-diin ng mga patakarang ito ang pagsasama-sama ng edukasyon sa kalusugan ng isip, mga serbisyo sa suportang psychosocial, at mga positibong kapaligiran sa paaralan upang suportahan ang kagalingan ng mag-aaral.
- DepEd Order No. 48, s. 2018, na pinamagatang "Patakaran at Mga Alituntunin sa Komprehensibong Edukasyon sa Kalusugan ng Pag-iisip," ay nagbibigay ng patnubay sa pagsasama ng edukasyon sa kalusugan ng isip sa kurikulum ng paaralan at pagtataguyod ng kamalayan at katatagan sa kalusugan ng isip sa mga mag-aaral.
2. **Mga Patakaran ng Higher Education Institutions (HEIs):**
- Ang mga Higher Education Institution (HEIs) ay maaaring magkaroon ng sarili nilang mga patakaran at inisyatiba upang tugunan ang kalusugan ng isip ng mag-aaral at pag-iwas sa pagpapakamatay. Maaaring kabilang dito ang mga serbisyo sa pagpapayo, mga kampanya ng kamalayan sa kalusugan ng isip, at mga programa sa pagsasanay para sa mga guro at kawani.
- Ang mga HEI ay maaari ding makipagtulungan sa mga institusyong pangkalusugan ng isip, NGO, at mga ahensya ng gobyerno upang magbigay ng mga serbisyo at suporta sa kalusugan ng isip sa mga mag-aaral.
3. **Mga Serbisyo sa Kalusugan ng Pag-iisip:**
- Hinihikayat ang mga paaralan at unibersidad na magbigay ng access sa mga serbisyo sa kalusugan ng isip, kabilang ang pagpapayo, sikolohikal na pagtatasa, at mga referral sa mga propesyonal sa kalusugan ng isip.
- Ang ilang mga institusyon ay maaaring magkaroon ng mga sentro ng pagpapayo sa campus o pakikipagsosyo sa mga panlabas na tagapagbigay ng serbisyo sa kalusugan ng isip upang matugunan ang mga pangangailangan sa kalusugan ng isip ng mga mag-aaral.
4. **Mga Programa para sa Kamalayan at Pag-iwas:**
- Ang mga paaralan at unibersidad ay maaaring magpatupad ng mga programa ng kamalayan at pag-iwas upang turuan ang mga mag-aaral, guro, at kawani tungkol sa mga isyu sa kalusugan ng isip, pag-iwas sa pagpapakamatay, at magagamit na mga serbisyo ng suporta.
- Maaaring kabilang sa mga programang ito ang mga workshop, seminar, mga grupong sumusuporta sa mga kasamahan, at mga kampanya upang bawasan ang mantsa, pataasin ang pag-uugali sa paghahanap ng tulong, at itaguyod ang literacy sa kalusugan ng isip.
5. **Pamamagitan at Tugon sa Krisis:**
- Sa mga kaso ng mga krisis sa kalusugan ng isip o pag-uugali ng pagpapakamatay, ang mga paaralan at unibersidad ay inaasahang magkaroon ng mga protocol para sa interbensyon at pagtugon sa krisis.
- Maaaring kabilang dito ang pagsasanay sa mga miyembro ng kawani na kilalanin ang mga palatandaan ng pagkabalisa, pagbibigay ng agarang suporta at tulong sa mga mag-aaral na nasa krisis, at pakikipag-ugnayan sa mga propesyonal sa kalusugan ng isip at mga serbisyong pang-emergency kung kinakailangan.
6. **Pagkolekta at Pagsubaybay ng Data:**
- Maaaring kailanganin ng mga paaralan at unibersidad na mangolekta ng data sa mga isyu sa kalusugan ng isip ng mag-aaral, mga pagtatangkang magpakamatay, at mga kaugnay na alalahanin upang ipaalam sa pagbuo ng patakaran, pagpaplano ng programa, at paglalaan ng mapagkukunan.
- Ang mga mekanismo ng pagsubaybay at pagsusuri ay maaaring itatag upang masuri ang bisa ng mga hakbangin sa kalusugan ng isip at tukuyin ang mga lugar para sa pagpapabuti.
Bagama't may mga legal na balangkas at alituntunin na nakalagay upang isulong ang kalusugan ng isip ng mag-aaral at pag-iwas sa pagpapakamatay sa mga paaralan at unibersidad, maaaring mag-iba ang pagpapatupad sa mga institusyon. Ang mga pagtutulungang pagsisikap sa pagitan ng mga ahensya ng gobyerno, mga institusyong pang-edukasyon, mga propesyonal sa kalusugan ng isip, at mga stakeholder ng komunidad ay mahalaga upang epektibong matugunan ang mga alalahanin sa kalusugan ng isip ng mag-aaral at lumikha ng mga kapaligirang sumusuporta para sa kapakanan ng mag-aaral.</v>
      </c>
      <c r="F2490" s="2">
        <f t="shared" si="1"/>
        <v>0</v>
      </c>
      <c r="G2490" s="2"/>
      <c r="H2490" s="2"/>
      <c r="I2490" s="2"/>
      <c r="J2490" s="2"/>
      <c r="K2490" s="2"/>
      <c r="L2490" s="2"/>
      <c r="M2490" s="2"/>
      <c r="N2490" s="2"/>
      <c r="O2490" s="2"/>
      <c r="P2490" s="2"/>
      <c r="Q2490" s="2"/>
      <c r="R2490" s="2"/>
      <c r="S2490" s="2"/>
      <c r="T2490" s="2"/>
      <c r="U2490" s="2"/>
      <c r="V2490" s="2"/>
      <c r="W2490" s="2"/>
      <c r="X2490" s="2"/>
      <c r="Y2490" s="2"/>
      <c r="Z2490" s="2"/>
      <c r="AA2490" s="2"/>
    </row>
    <row r="2491">
      <c r="A2491" s="1" t="s">
        <v>5870</v>
      </c>
      <c r="B2491" s="1" t="s">
        <v>5949</v>
      </c>
      <c r="C2491" s="3" t="s">
        <v>5950</v>
      </c>
      <c r="D2491" s="2" t="str">
        <f>IFERROR(__xludf.DUMMYFUNCTION("GOOGLETRANSLATE(B2491, ""en"", ""TL"")"),"Mayroon bang mga legal na kahihinatnan para sa mga indibidwal na nang-aapi o nanliligalig sa iba, na nag-aambag sa ideyang magpakamatay?")</f>
        <v>Mayroon bang mga legal na kahihinatnan para sa mga indibidwal na nang-aapi o nanliligalig sa iba, na nag-aambag sa ideyang magpakamatay?</v>
      </c>
      <c r="E2491" s="2" t="str">
        <f>IFERROR(__xludf.DUMMYFUNCTION("GOOGLETRANSLATE(C2491, ""en"", ""TL"")"),"Oo, may mga legal na kahihinatnan para sa mga indibidwal na nang-aapi o nanliligalig sa iba sa Pilipinas, lalo na kung ito ay nag-aambag sa ideya ng pagpapakamatay. Narito kung paano ito tinutugunan ng batas ng Pilipinas:
* **Anti-Bullying Act of 2013 (Re"&amp;"public Act No. 10627)**: Ipinagbabawal ng batas na ito ang pambu-bully sa elementarya at sekondaryang paaralan. Ang pananakot ay tinukoy bilang anumang malubha o paulit-ulit na paggamit ng pisikal o pandiwang puwersa, o anumang banta na gumamit ng gayong "&amp;"puwersa, laban sa isang estudyante ng ibang mag-aaral o grupo ng mga mag-aaral na may epekto ng aktwal na sanhi o paglalagay ng biktima sa makatwirang takot sa pisikal o emosyonal na pinsala. Kasama rin dito ang pagdudulot ng masamang kapaligiran sa paara"&amp;"lan para sa biktima, paglabag sa kanilang mga karapatan, o materyal na pagkagambala sa kanilang edukasyon (Seksyon 2).
Bagama't partikular na nalalapat ang batas na ito sa mga paaralan, ang konsepto ng bullying ay maaaring ilapat din sa ibang mga kontekst"&amp;"o.
* **Revised Penal Code (Act No. 3815)**: Sinasaklaw ng batas na ito ang iba't ibang krimen na maaaring gawin sa pamamagitan ng bullying o harassment. Kabilang dito ang:
* **Acts of Violence and Threats (Artikulo 282-289)**: Sinasaklaw nito ang pisikal "&amp;"na pinsala o mga banta ng pisikal na pinsala.
* **Libel (Artikulo 355)**: Nalalapat ito kung ang pambu-bully ay nagsasangkot ng pagpapakalat ng maling impormasyon na sumisira sa reputasyon ng biktima.
* **Slander (Artikulo 358)**: Katulad ng libel, ngunit"&amp;" nalalapat sa pasalitang paninirang-puri.
* **Pangliligalig (Artikulo 283)**: Sinasaklaw nito ang mga kilos na naglalayong mang-inis, manggulo, o pilitin ang ibang tao.
* **Cybercrime Prevention Act of 2012 (Republic Act No. 10175)**: Nalalapat ang batas "&amp;"na ito kung ang pambu-bully o panliligalig ay nangyayari online. Sinasaklaw nito ang cyberstalking at online libel, na maaaring parusahan para sa online na pananakot.
**Suicidal Ideation:** Bagama't ang batas ng Pilipinas ay hindi tahasang binanggit ang s"&amp;"uicidal ideation bilang resulta ng bullying, maaari itong isaalang-alang sa ilalim ng emosyonal na pananakit na aspeto ng Anti-Bullying Act. Kung mapapatunayan na ang pananakot ay naging sanhi ng matinding emosyonal na pagkabalisa sa biktima upang isaalan"&amp;"g-alang ang pagpapakamatay, maaari nitong palakasin ang kaso laban sa nananakot.
Tandaan, hindi ito legal na payo. Kung ikaw o isang taong kilala mo ay binu-bully o nag-iisip na magpakamatay, narito ang ilang mapagkukunan na makakatulong:
* Department of "&amp;"Education (DepEd) Child Protection Committee
* Ang National Center for Mental Health Crisis Hotline: 0917 899 8777")</f>
        <v>Oo, may mga legal na kahihinatnan para sa mga indibidwal na nang-aapi o nanliligalig sa iba sa Pilipinas, lalo na kung ito ay nag-aambag sa ideya ng pagpapakamatay. Narito kung paano ito tinutugunan ng batas ng Pilipinas:
* **Anti-Bullying Act of 2013 (Republic Act No. 10627)**: Ipinagbabawal ng batas na ito ang pambu-bully sa elementarya at sekondaryang paaralan. Ang pananakot ay tinukoy bilang anumang malubha o paulit-ulit na paggamit ng pisikal o pandiwang puwersa, o anumang banta na gumamit ng gayong puwersa, laban sa isang estudyante ng ibang mag-aaral o grupo ng mga mag-aaral na may epekto ng aktwal na sanhi o paglalagay ng biktima sa makatwirang takot sa pisikal o emosyonal na pinsala. Kasama rin dito ang pagdudulot ng masamang kapaligiran sa paaralan para sa biktima, paglabag sa kanilang mga karapatan, o materyal na pagkagambala sa kanilang edukasyon (Seksyon 2).
Bagama't partikular na nalalapat ang batas na ito sa mga paaralan, ang konsepto ng bullying ay maaaring ilapat din sa ibang mga konteksto.
* **Revised Penal Code (Act No. 3815)**: Sinasaklaw ng batas na ito ang iba't ibang krimen na maaaring gawin sa pamamagitan ng bullying o harassment. Kabilang dito ang:
* **Acts of Violence and Threats (Artikulo 282-289)**: Sinasaklaw nito ang pisikal na pinsala o mga banta ng pisikal na pinsala.
* **Libel (Artikulo 355)**: Nalalapat ito kung ang pambu-bully ay nagsasangkot ng pagpapakalat ng maling impormasyon na sumisira sa reputasyon ng biktima.
* **Slander (Artikulo 358)**: Katulad ng libel, ngunit nalalapat sa pasalitang paninirang-puri.
* **Pangliligalig (Artikulo 283)**: Sinasaklaw nito ang mga kilos na naglalayong mang-inis, manggulo, o pilitin ang ibang tao.
* **Cybercrime Prevention Act of 2012 (Republic Act No. 10175)**: Nalalapat ang batas na ito kung ang pambu-bully o panliligalig ay nangyayari online. Sinasaklaw nito ang cyberstalking at online libel, na maaaring parusahan para sa online na pananakot.
**Suicidal Ideation:** Bagama't ang batas ng Pilipinas ay hindi tahasang binanggit ang suicidal ideation bilang resulta ng bullying, maaari itong isaalang-alang sa ilalim ng emosyonal na pananakit na aspeto ng Anti-Bullying Act. Kung mapapatunayan na ang pananakot ay naging sanhi ng matinding emosyonal na pagkabalisa sa biktima upang isaalang-alang ang pagpapakamatay, maaari nitong palakasin ang kaso laban sa nananakot.
Tandaan, hindi ito legal na payo. Kung ikaw o isang taong kilala mo ay binu-bully o nag-iisip na magpakamatay, narito ang ilang mapagkukunan na makakatulong:
* Department of Education (DepEd) Child Protection Committee
* Ang National Center for Mental Health Crisis Hotline: 0917 899 8777</v>
      </c>
      <c r="F2491" s="2">
        <f t="shared" si="1"/>
        <v>0</v>
      </c>
      <c r="G2491" s="2"/>
      <c r="H2491" s="2"/>
      <c r="I2491" s="2"/>
      <c r="J2491" s="2"/>
      <c r="K2491" s="2"/>
      <c r="L2491" s="2"/>
      <c r="M2491" s="2"/>
      <c r="N2491" s="2"/>
      <c r="O2491" s="2"/>
      <c r="P2491" s="2"/>
      <c r="Q2491" s="2"/>
      <c r="R2491" s="2"/>
      <c r="S2491" s="2"/>
      <c r="T2491" s="2"/>
      <c r="U2491" s="2"/>
      <c r="V2491" s="2"/>
      <c r="W2491" s="2"/>
      <c r="X2491" s="2"/>
      <c r="Y2491" s="2"/>
      <c r="Z2491" s="2"/>
      <c r="AA2491" s="2"/>
    </row>
    <row r="2492">
      <c r="A2492" s="1" t="s">
        <v>5870</v>
      </c>
      <c r="B2492" s="1" t="s">
        <v>5951</v>
      </c>
      <c r="C2492" s="3" t="s">
        <v>5952</v>
      </c>
      <c r="D2492" s="2" t="str">
        <f>IFERROR(__xludf.DUMMYFUNCTION("GOOGLETRANSLATE(B2492, ""en"", ""TL"")"),"Paano tinutugunan ng batas ng Pilipinas ang pagpigil sa pagpapakamatay sa konteksto ng pang-aabuso at pagkagumon sa sangkap?")</f>
        <v>Paano tinutugunan ng batas ng Pilipinas ang pagpigil sa pagpapakamatay sa konteksto ng pang-aabuso at pagkagumon sa sangkap?</v>
      </c>
      <c r="E2492" s="2" t="str">
        <f>IFERROR(__xludf.DUMMYFUNCTION("GOOGLETRANSLATE(C2492, ""en"", ""TL"")"),"Kinikilala ng Pilipinas ang masalimuot na kaugnayan sa pagitan ng pag-abuso sa droga at panganib ng pagpapakamatay. Bagama't walang iisang batas na tanging nakatutok sa partikular na isyung ito, maraming legal na aspeto ang nagtutulungan upang matugunan i"&amp;"to:
**1. Tumutok sa Paggamot sa Pang-aabuso sa Substance:**
* **Comprehensive Dangerous Drugs Act (RA 9165):** Ang batas na ito ay naglalayong hadlangan ang paggamit ng ilegal na droga ngunit nag-uutos din sa paglikha ng mga programa sa paggamot at rehabi"&amp;"litasyon [RA 9165, Sec. 36]. Ang pagtugon sa pinagbabatayan ng pagkagumon ay maaaring maging isang mahalagang hakbang sa pagpigil sa pagpapakamatay na nauugnay sa pag-abuso sa sangkap.
* **Dangerous Drugs Board (DDB):** Ang ahensya ng gobyerno na ito ang "&amp;"nangangasiwa sa mga pagsisikap sa pag-iwas at paggamot sa droga. Nagtatatag sila ng mga patnubay para sa mga programa sa rehabilitasyon at mga pasilidad ng suporta [RA 9165, Sec. 15].
**2. Pagsasama sa Mga Serbisyo sa Kalusugan ng Pag-iisip:**
* **Mental "&amp;"Health Act (RA 11229):** Kinikilala ng batas na ito ang pangangailangan para sa pinagsamang paggamot para sa mga magkakatulad na karamdaman, kabilang ang mga isyu sa kalusugan ng isip at pag-abuso sa sangkap [RA 11229, Sec. 13]. Sa isip, ito ay maaaring h"&amp;"umantong sa mas malawak na mga diskarte sa paggamot na tumutugon sa parehong mga kondisyon.
**3. Mga Court-Diversion Programs:**
* **RA 10028 o ang Expanded Anti-Dummy Law:** Ang batas na ito ay nag-aalok ng mga programa sa paglilipat ng korte para sa mga"&amp;" unang beses, hindi marahas na nagkasala ng droga. Ang mga programang ito ay kadalasang nagsasangkot ng rehabilitasyon ng droga kasama ng iba pang mga interbensyon. * Sa pamamagitan ng paglilihis ng mga indibidwal mula sa sistema ng hustisyang pangkrimina"&amp;"l at pagtutok sa paggamot, ang potensyal para sa pagpapakamatay dahil sa mga legal na kahihinatnan ay maaaring mabawasan.
**Mga Hamon at Pagsasaalang-alang:**
* **Availability ng Paggamot:** Ang pag-access sa mataas na kalidad, batay sa ebidensya na mga p"&amp;"rograma sa paggamot para sa parehong pag-abuso sa sangkap at kalusugan ng isip ay maaaring limitado, lalo na sa mga malalayong lugar.
* **Stigma:** Ang mantsa na nakapaligid sa kalusugan ng isip at pagkagumon ay maaaring pumigil sa mga indibidwal na humin"&amp;"gi ng tulong.
* **Pagpopondo:** Ang pagpopondo para sa mga programa sa paggamot at mga serbisyo sa kalusugan ng isip ay maaaring maging isang hamon.
**Inaasahan:**
* Ang pagtaas ng pamumuhunan sa pagbuo ng isang matatag na network ng mga naa-access na pas"&amp;"ilidad ng paggamot ay mahalaga.
* Ang pagpapataas ng kamalayan tungkol sa ugnayan sa pagitan ng pag-abuso sa droga, kalusugan ng isip, at pagpapakamatay ay maaaring humimok ng pag-uugaling naghahanap ng tulong.
* Ang pagtataguyod ng pinagsamang mga diskar"&amp;"te sa paggamot para sa mga magkakatulad na karamdaman ay maaaring mapabuti ang pangkalahatang resulta ng pasyente. **Mahalagang Paalala:**
Kung ikaw o ang isang taong kilala mo ay nahihirapan sa pag-abuso sa droga o pag-iisip ng pagpapakamatay, narito ang"&amp;" ilang mapagkukunan na makakatulong:
* National Center for Mental Health Crisis Hotline: 0917 558 HOPE (4673)
* Department of Health Crisis Hotline: 02 894-2671 loc 1117
* Helpline ng Philippine Dangerous Drugs Board: 1325
In Touch Crisis Lines: * GLOBE: "&amp;"2919 (toll-free para sa mga subscriber ng Globe)
* TM: 0917 800-1123
* Araw: 0922 891-1223
Sa pamamagitan ng pagtutulungan upang matugunan ang parehong pang-aabuso sa droga at kalusugan ng isip, ang Pilipinas ay maaaring lumikha ng isang mas sumusuportang"&amp;" kapaligiran at maiwasan ang mga trahedya ng pagpapakamatay.")</f>
        <v>Kinikilala ng Pilipinas ang masalimuot na kaugnayan sa pagitan ng pag-abuso sa droga at panganib ng pagpapakamatay. Bagama't walang iisang batas na tanging nakatutok sa partikular na isyung ito, maraming legal na aspeto ang nagtutulungan upang matugunan ito:
**1. Tumutok sa Paggamot sa Pang-aabuso sa Substance:**
* **Comprehensive Dangerous Drugs Act (RA 9165):** Ang batas na ito ay naglalayong hadlangan ang paggamit ng ilegal na droga ngunit nag-uutos din sa paglikha ng mga programa sa paggamot at rehabilitasyon [RA 9165, Sec. 36]. Ang pagtugon sa pinagbabatayan ng pagkagumon ay maaaring maging isang mahalagang hakbang sa pagpigil sa pagpapakamatay na nauugnay sa pag-abuso sa sangkap.
* **Dangerous Drugs Board (DDB):** Ang ahensya ng gobyerno na ito ang nangangasiwa sa mga pagsisikap sa pag-iwas at paggamot sa droga. Nagtatatag sila ng mga patnubay para sa mga programa sa rehabilitasyon at mga pasilidad ng suporta [RA 9165, Sec. 15].
**2. Pagsasama sa Mga Serbisyo sa Kalusugan ng Pag-iisip:**
* **Mental Health Act (RA 11229):** Kinikilala ng batas na ito ang pangangailangan para sa pinagsamang paggamot para sa mga magkakatulad na karamdaman, kabilang ang mga isyu sa kalusugan ng isip at pag-abuso sa sangkap [RA 11229, Sec. 13]. Sa isip, ito ay maaaring humantong sa mas malawak na mga diskarte sa paggamot na tumutugon sa parehong mga kondisyon.
**3. Mga Court-Diversion Programs:**
* **RA 10028 o ang Expanded Anti-Dummy Law:** Ang batas na ito ay nag-aalok ng mga programa sa paglilipat ng korte para sa mga unang beses, hindi marahas na nagkasala ng droga. Ang mga programang ito ay kadalasang nagsasangkot ng rehabilitasyon ng droga kasama ng iba pang mga interbensyon. * Sa pamamagitan ng paglilihis ng mga indibidwal mula sa sistema ng hustisyang pangkriminal at pagtutok sa paggamot, ang potensyal para sa pagpapakamatay dahil sa mga legal na kahihinatnan ay maaaring mabawasan.
**Mga Hamon at Pagsasaalang-alang:**
* **Availability ng Paggamot:** Ang pag-access sa mataas na kalidad, batay sa ebidensya na mga programa sa paggamot para sa parehong pag-abuso sa sangkap at kalusugan ng isip ay maaaring limitado, lalo na sa mga malalayong lugar.
* **Stigma:** Ang mantsa na nakapaligid sa kalusugan ng isip at pagkagumon ay maaaring pumigil sa mga indibidwal na humingi ng tulong.
* **Pagpopondo:** Ang pagpopondo para sa mga programa sa paggamot at mga serbisyo sa kalusugan ng isip ay maaaring maging isang hamon.
**Inaasahan:**
* Ang pagtaas ng pamumuhunan sa pagbuo ng isang matatag na network ng mga naa-access na pasilidad ng paggamot ay mahalaga.
* Ang pagpapataas ng kamalayan tungkol sa ugnayan sa pagitan ng pag-abuso sa droga, kalusugan ng isip, at pagpapakamatay ay maaaring humimok ng pag-uugaling naghahanap ng tulong.
* Ang pagtataguyod ng pinagsamang mga diskarte sa paggamot para sa mga magkakatulad na karamdaman ay maaaring mapabuti ang pangkalahatang resulta ng pasyente. **Mahalagang Paalala:**
Kung ikaw o ang isang taong kilala mo ay nahihirapan sa pag-abuso sa droga o pag-iisip ng pagpapakamatay, narito ang ilang mapagkukunan na makakatulong:
* National Center for Mental Health Crisis Hotline: 0917 558 HOPE (4673)
* Department of Health Crisis Hotline: 02 894-2671 loc 1117
* Helpline ng Philippine Dangerous Drugs Board: 1325
In Touch Crisis Lines: * GLOBE: 2919 (toll-free para sa mga subscriber ng Globe)
* TM: 0917 800-1123
* Araw: 0922 891-1223
Sa pamamagitan ng pagtutulungan upang matugunan ang parehong pang-aabuso sa droga at kalusugan ng isip, ang Pilipinas ay maaaring lumikha ng isang mas sumusuportang kapaligiran at maiwasan ang mga trahedya ng pagpapakamatay.</v>
      </c>
      <c r="F2492" s="2">
        <f t="shared" si="1"/>
        <v>0</v>
      </c>
      <c r="G2492" s="2"/>
      <c r="H2492" s="2"/>
      <c r="I2492" s="2"/>
      <c r="J2492" s="2"/>
      <c r="K2492" s="2"/>
      <c r="L2492" s="2"/>
      <c r="M2492" s="2"/>
      <c r="N2492" s="2"/>
      <c r="O2492" s="2"/>
      <c r="P2492" s="2"/>
      <c r="Q2492" s="2"/>
      <c r="R2492" s="2"/>
      <c r="S2492" s="2"/>
      <c r="T2492" s="2"/>
      <c r="U2492" s="2"/>
      <c r="V2492" s="2"/>
      <c r="W2492" s="2"/>
      <c r="X2492" s="2"/>
      <c r="Y2492" s="2"/>
      <c r="Z2492" s="2"/>
      <c r="AA2492" s="2"/>
    </row>
    <row r="2493">
      <c r="A2493" s="1" t="s">
        <v>5870</v>
      </c>
      <c r="B2493" s="1" t="s">
        <v>5953</v>
      </c>
      <c r="C2493" s="3" t="s">
        <v>5954</v>
      </c>
      <c r="D2493" s="2" t="str">
        <f>IFERROR(__xludf.DUMMYFUNCTION("GOOGLETRANSLATE(B2493, ""en"", ""TL"")"),"Anong mga legal na hakbang ang inilalagay upang matiyak ang access sa mga helpline ng krisis at mga serbisyo sa suporta sa kalusugan ng isip?")</f>
        <v>Anong mga legal na hakbang ang inilalagay upang matiyak ang access sa mga helpline ng krisis at mga serbisyo sa suporta sa kalusugan ng isip?</v>
      </c>
      <c r="E2493" s="2" t="str">
        <f>IFERROR(__xludf.DUMMYFUNCTION("GOOGLETRANSLATE(C2493, ""en"", ""TL"")"),"Ang Pilipinas ay gumawa ng mga hakbang upang mapabuti ang pag-access sa mga helpline ng krisis at mga serbisyo sa suporta sa kalusugan ng isip, ngunit walang iisang, komprehensibong batas na ginagarantiyahan ang karapatang ito. Narito ang isang pangkalaha"&amp;"tang-ideya ng legal na tanawin:
**Mga Batas na Nagsusulong ng Access (Di-tuwirang):**
* **Ang Mental Health Act (RA 11036):** * Itong 2018 na batas ay nag-uutos ng paglikha ng Mental Health Care Delivery System (MHCD System) [RA 11036, Sec. 10]. Sa isip, "&amp;"mapapabuti ng sistemang ito ang pag-access sa mga serbisyo sa kalusugan ng isip, kabilang ang mga hotline ng krisis.
* Binibigyang-diin nito ang kahalagahan ng mga diskarte sa interbensyon sa krisis para sa pag-iwas sa pagpapakamatay [RA 11036, Sec. 15(i)"&amp;"].
* **The Magna Carta for Elders Persons (RA 10868):**
* Binibigyang-diin ng batas na ito ang pag-access sa mga serbisyong pangkalusugan para sa mga senior citizen, na posibleng sumaklaw sa mga serbisyo sa kalusugan ng isip at mga hotline ng krisis [RA 1"&amp;"0868, Sec. 12(a)].
**Mga Inisyatiba ng Pamahalaan:**
* **Kagawaran ng Kalusugan (DOH):**
* Ang DOH ay nagpapatakbo ng crisis hotline (02 894-2671 loc 1117) at sumusuporta sa iba pang mental health helplines.
* Mayroon din silang mga inisyatiba na nagtatag"&amp;"uyod ng kamalayan sa kalusugan ng isip at potensyal na pagtaas ng pag-uugali sa paghahanap ng tulong.
**Mga Hamon at Pagsasaalang-alang:**
* **Pagpapatupad:** Ang Mental Health Act ay medyo bago pa rin, at ang buong pagpapatupad ng MHCD System ay nagpapat"&amp;"uloy. * **Mga limitasyon sa mapagkukunan:** Maaaring may kakulangan ng mga propesyonal sa kalusugan ng isip at mga mapagkukunan ng hotline ng krisis, lalo na sa mga malalayong lugar.
* **Stigma:** Ang mantsa na nakapalibot sa kalusugan ng isip ay maaari p"&amp;"a ring pigilan ang mga tao na humingi ng tulong.
**Inaasahan:**
* Ang patuloy na pamumuhunan sa imprastraktura ng kalusugan ng isip, kabilang ang mga helpline at tauhan, ay mahalaga. * Makakatulong ang mga kampanya ng pampublikong kamalayan na mabawasan a"&amp;"ng stigma at hikayatin ang pag-uugali na naghahanap ng tulong.
**Konklusyon:**
Bagama't walang iisang legal na garantiya, ang Pilipinas ay nagsusumikap tungo sa pagpapabuti ng access sa mga helpline sa krisis at mga serbisyo sa suporta sa kalusugan ng isi"&amp;"p. Ang patuloy na pagsisikap ay kailangan upang matiyak na ang bawat isa ay may mga mapagkukunang kailangan nila sa panahon ng isang krisis.")</f>
        <v>Ang Pilipinas ay gumawa ng mga hakbang upang mapabuti ang pag-access sa mga helpline ng krisis at mga serbisyo sa suporta sa kalusugan ng isip, ngunit walang iisang, komprehensibong batas na ginagarantiyahan ang karapatang ito. Narito ang isang pangkalahatang-ideya ng legal na tanawin:
**Mga Batas na Nagsusulong ng Access (Di-tuwirang):**
* **Ang Mental Health Act (RA 11036):** * Itong 2018 na batas ay nag-uutos ng paglikha ng Mental Health Care Delivery System (MHCD System) [RA 11036, Sec. 10]. Sa isip, mapapabuti ng sistemang ito ang pag-access sa mga serbisyo sa kalusugan ng isip, kabilang ang mga hotline ng krisis.
* Binibigyang-diin nito ang kahalagahan ng mga diskarte sa interbensyon sa krisis para sa pag-iwas sa pagpapakamatay [RA 11036, Sec. 15(i)].
* **The Magna Carta for Elders Persons (RA 10868):**
* Binibigyang-diin ng batas na ito ang pag-access sa mga serbisyong pangkalusugan para sa mga senior citizen, na posibleng sumaklaw sa mga serbisyo sa kalusugan ng isip at mga hotline ng krisis [RA 10868, Sec. 12(a)].
**Mga Inisyatiba ng Pamahalaan:**
* **Kagawaran ng Kalusugan (DOH):**
* Ang DOH ay nagpapatakbo ng crisis hotline (02 894-2671 loc 1117) at sumusuporta sa iba pang mental health helplines.
* Mayroon din silang mga inisyatiba na nagtataguyod ng kamalayan sa kalusugan ng isip at potensyal na pagtaas ng pag-uugali sa paghahanap ng tulong.
**Mga Hamon at Pagsasaalang-alang:**
* **Pagpapatupad:** Ang Mental Health Act ay medyo bago pa rin, at ang buong pagpapatupad ng MHCD System ay nagpapatuloy. * **Mga limitasyon sa mapagkukunan:** Maaaring may kakulangan ng mga propesyonal sa kalusugan ng isip at mga mapagkukunan ng hotline ng krisis, lalo na sa mga malalayong lugar.
* **Stigma:** Ang mantsa na nakapalibot sa kalusugan ng isip ay maaari pa ring pigilan ang mga tao na humingi ng tulong.
**Inaasahan:**
* Ang patuloy na pamumuhunan sa imprastraktura ng kalusugan ng isip, kabilang ang mga helpline at tauhan, ay mahalaga. * Makakatulong ang mga kampanya ng pampublikong kamalayan na mabawasan ang stigma at hikayatin ang pag-uugali na naghahanap ng tulong.
**Konklusyon:**
Bagama't walang iisang legal na garantiya, ang Pilipinas ay nagsusumikap tungo sa pagpapabuti ng access sa mga helpline sa krisis at mga serbisyo sa suporta sa kalusugan ng isip. Ang patuloy na pagsisikap ay kailangan upang matiyak na ang bawat isa ay may mga mapagkukunang kailangan nila sa panahon ng isang krisis.</v>
      </c>
      <c r="F2493" s="2">
        <f t="shared" si="1"/>
        <v>0</v>
      </c>
      <c r="G2493" s="2"/>
      <c r="H2493" s="2"/>
      <c r="I2493" s="2"/>
      <c r="J2493" s="2"/>
      <c r="K2493" s="2"/>
      <c r="L2493" s="2"/>
      <c r="M2493" s="2"/>
      <c r="N2493" s="2"/>
      <c r="O2493" s="2"/>
      <c r="P2493" s="2"/>
      <c r="Q2493" s="2"/>
      <c r="R2493" s="2"/>
      <c r="S2493" s="2"/>
      <c r="T2493" s="2"/>
      <c r="U2493" s="2"/>
      <c r="V2493" s="2"/>
      <c r="W2493" s="2"/>
      <c r="X2493" s="2"/>
      <c r="Y2493" s="2"/>
      <c r="Z2493" s="2"/>
      <c r="AA2493" s="2"/>
    </row>
    <row r="2494">
      <c r="A2494" s="1" t="s">
        <v>5870</v>
      </c>
      <c r="B2494" s="1" t="s">
        <v>5955</v>
      </c>
      <c r="C2494" s="3" t="s">
        <v>5956</v>
      </c>
      <c r="D2494" s="2" t="str">
        <f>IFERROR(__xludf.DUMMYFUNCTION("GOOGLETRANSLATE(B2494, ""en"", ""TL"")"),"Mayroon bang mga legal na proteksyon para sa mga indibidwal na nagbubunyag ng kanilang mga saloobin sa pagpapakamatay sa panahon ng mga sesyon ng therapy?")</f>
        <v>Mayroon bang mga legal na proteksyon para sa mga indibidwal na nagbubunyag ng kanilang mga saloobin sa pagpapakamatay sa panahon ng mga sesyon ng therapy?</v>
      </c>
      <c r="E2494" s="2" t="str">
        <f>IFERROR(__xludf.DUMMYFUNCTION("GOOGLETRANSLATE(C2494, ""en"", ""TL"")"),"Oo, may mga legal na proteksyon para sa mga indibidwal na nagbubunyag ng mga saloobin ng pagpapakamatay sa panahon ng mga sesyon ng therapy sa Pilipinas. Ang mga proteksyong ito ay batay sa mga etikal na code na namamahala sa mga propesyonal sa kalusugan "&amp;"ng isip at ang prinsipyo ng pagiging kumpidensyal ng doktor-pasyente. Narito ang isang breakdown:
**Doctor-Patient Confidentiality:**
* Ito ay isang pundasyon ng therapeutic relationship. Tinitiyak nito na ang mga pasyente ay maaaring hayagang magbahagi n"&amp;"g kanilang mga iniisip at damdamin sa kanilang therapist nang walang takot sa pagsisiwalat sa mga ikatlong partido.
* Sa Pilipinas, ang prinsipyong ito ay hindi tahasang nakasaad sa batas, ngunit ito ay isang mahusay na itinatag na prinsipyong etikal na s"&amp;"inusunod ng mga propesyonal sa kalusugan ng isip.
**Mga Etikal na Code:**
* Ang Philippine Psychological Association (PPA) Code of Ethics at ang Code of Ethics for Nurses ay parehong binibigyang-diin ang kahalagahan ng pagiging kumpidensyal. * Ang mga cod"&amp;"e na ito ay nangangailangan ng mga therapist na panatilihing kumpidensyal ang impormasyon ng pasyente, maliban sa mga partikular na sitwasyon.
**Mga Pagbubukod sa Pagiging Kumpidensyal:**
* Mayroong ilang legal na pagbubukod sa pagiging kumpidensyal, kung"&amp;" saan maaaring kailanganin ng isang therapist na magbunyag ng impormasyon, kabilang ang:
* **Napipintong pinsala sa sarili o sa iba:** Kung naniniwala ang therapist na ang pasyente ay nagdudulot ng malubhang banta ng pagpapakamatay o pinsala sa ibang tao,"&amp;" maaaring kailanganin nilang iulat ito sa mga awtoridad o gumawa ng iba pang mga hakbang upang matiyak ang kaligtasan.
* **Pag-abuso sa bata o pagpapabaya:** Ang mga therapist ay inaatasan ng batas na mag-ulat ng pinaghihinalaang pang-aabuso o pagpapabaya"&amp;" sa bata. * **Utos ng hukuman:** Maaaring pilitin ng utos ng hukuman ang isang therapist na ibunyag ang kumpidensyal na impormasyon.
**Tungkulin ng Therapist na Magbabala:**
* Higit pa sa mga legal na utos, ang mga therapist ay may propesyonal na tungkuli"&amp;"n na balaan ang mga potensyal na biktima kung naniniwala silang ang pasyente ay nagdudulot ng seryosong banta sa ibang tao.
* Ang tungkuling ito na magbigay ng babala ay maaaring mas matimbang kung minsan kaysa sa pagiging kumpidensyal.
**Konklusyon:**
Ba"&amp;"gama't may ilang mga pagbubukod, ang mga therapist sa Pilipinas ay legal at may etika na nakatali na panatilihin ang pagiging kompidensiyal ng impormasyong ibinunyag sa panahon ng mga sesyon ng therapy, kabilang ang mga saloobin ng pagpapakamatay. Nakakat"&amp;"ulong ito na lumikha ng isang ligtas na espasyo para sa mga indibidwal na humingi ng tulong nang walang takot sa paghatol o pagsisiwalat.
**Mahalagang Paalala:**
Ang impormasyon sa itaas ay inilaan para sa pangkalahatang kaalaman at hindi dapat maging kap"&amp;"alit para sa propesyonal na legal na payo. Kung mayroon kang mga partikular na tanong o alalahanin, dapat kang kumunsulta sa isang kwalipikadong abogado.
Narito ang ilang mapagkukunan na makakatulong sa kalusugan ng isip at pag-iwas sa pagpapakamatay:
* N"&amp;"ational Center for Mental Health Crisis Hotline: 0917 558 HOPE (4673)
* Department of Health Crisis Hotline: 02 894-2671 loc 1117
* In Touch Crisis Lines: GLOBE: 2919 (toll-free para sa mga subscriber ng Globe) TM: 0917 800-1123 Sun: 0922 891-1223")</f>
        <v>Oo, may mga legal na proteksyon para sa mga indibidwal na nagbubunyag ng mga saloobin ng pagpapakamatay sa panahon ng mga sesyon ng therapy sa Pilipinas. Ang mga proteksyong ito ay batay sa mga etikal na code na namamahala sa mga propesyonal sa kalusugan ng isip at ang prinsipyo ng pagiging kumpidensyal ng doktor-pasyente. Narito ang isang breakdown:
**Doctor-Patient Confidentiality:**
* Ito ay isang pundasyon ng therapeutic relationship. Tinitiyak nito na ang mga pasyente ay maaaring hayagang magbahagi ng kanilang mga iniisip at damdamin sa kanilang therapist nang walang takot sa pagsisiwalat sa mga ikatlong partido.
* Sa Pilipinas, ang prinsipyong ito ay hindi tahasang nakasaad sa batas, ngunit ito ay isang mahusay na itinatag na prinsipyong etikal na sinusunod ng mga propesyonal sa kalusugan ng isip.
**Mga Etikal na Code:**
* Ang Philippine Psychological Association (PPA) Code of Ethics at ang Code of Ethics for Nurses ay parehong binibigyang-diin ang kahalagahan ng pagiging kumpidensyal. * Ang mga code na ito ay nangangailangan ng mga therapist na panatilihing kumpidensyal ang impormasyon ng pasyente, maliban sa mga partikular na sitwasyon.
**Mga Pagbubukod sa Pagiging Kumpidensyal:**
* Mayroong ilang legal na pagbubukod sa pagiging kumpidensyal, kung saan maaaring kailanganin ng isang therapist na magbunyag ng impormasyon, kabilang ang:
* **Napipintong pinsala sa sarili o sa iba:** Kung naniniwala ang therapist na ang pasyente ay nagdudulot ng malubhang banta ng pagpapakamatay o pinsala sa ibang tao, maaaring kailanganin nilang iulat ito sa mga awtoridad o gumawa ng iba pang mga hakbang upang matiyak ang kaligtasan.
* **Pag-abuso sa bata o pagpapabaya:** Ang mga therapist ay inaatasan ng batas na mag-ulat ng pinaghihinalaang pang-aabuso o pagpapabaya sa bata. * **Utos ng hukuman:** Maaaring pilitin ng utos ng hukuman ang isang therapist na ibunyag ang kumpidensyal na impormasyon.
**Tungkulin ng Therapist na Magbabala:**
* Higit pa sa mga legal na utos, ang mga therapist ay may propesyonal na tungkulin na balaan ang mga potensyal na biktima kung naniniwala silang ang pasyente ay nagdudulot ng seryosong banta sa ibang tao.
* Ang tungkuling ito na magbigay ng babala ay maaaring mas matimbang kung minsan kaysa sa pagiging kumpidensyal.
**Konklusyon:**
Bagama't may ilang mga pagbubukod, ang mga therapist sa Pilipinas ay legal at may etika na nakatali na panatilihin ang pagiging kompidensiyal ng impormasyong ibinunyag sa panahon ng mga sesyon ng therapy, kabilang ang mga saloobin ng pagpapakamatay. Nakakatulong ito na lumikha ng isang ligtas na espasyo para sa mga indibidwal na humingi ng tulong nang walang takot sa paghatol o pagsisiwalat.
**Mahalagang Paalala:**
Ang impormasyon sa itaas ay inilaan para sa pangkalahatang kaalaman at hindi dapat maging kapalit para sa propesyonal na legal na payo. Kung mayroon kang mga partikular na tanong o alalahanin, dapat kang kumunsulta sa isang kwalipikadong abogado.
Narito ang ilang mapagkukunan na makakatulong sa kalusugan ng isip at pag-iwas sa pagpapakamatay:
* National Center for Mental Health Crisis Hotline: 0917 558 HOPE (4673)
* Department of Health Crisis Hotline: 02 894-2671 loc 1117
* In Touch Crisis Lines: GLOBE: 2919 (toll-free para sa mga subscriber ng Globe) TM: 0917 800-1123 Sun: 0922 891-1223</v>
      </c>
      <c r="F2494" s="2">
        <f t="shared" si="1"/>
        <v>0</v>
      </c>
      <c r="G2494" s="2"/>
      <c r="H2494" s="2"/>
      <c r="I2494" s="2"/>
      <c r="J2494" s="2"/>
      <c r="K2494" s="2"/>
      <c r="L2494" s="2"/>
      <c r="M2494" s="2"/>
      <c r="N2494" s="2"/>
      <c r="O2494" s="2"/>
      <c r="P2494" s="2"/>
      <c r="Q2494" s="2"/>
      <c r="R2494" s="2"/>
      <c r="S2494" s="2"/>
      <c r="T2494" s="2"/>
      <c r="U2494" s="2"/>
      <c r="V2494" s="2"/>
      <c r="W2494" s="2"/>
      <c r="X2494" s="2"/>
      <c r="Y2494" s="2"/>
      <c r="Z2494" s="2"/>
      <c r="AA2494" s="2"/>
    </row>
    <row r="2495">
      <c r="A2495" s="1" t="s">
        <v>5870</v>
      </c>
      <c r="B2495" s="1" t="s">
        <v>5957</v>
      </c>
      <c r="C2495" s="3" t="s">
        <v>5958</v>
      </c>
      <c r="D2495" s="2" t="str">
        <f>IFERROR(__xludf.DUMMYFUNCTION("GOOGLETRANSLATE(B2495, ""en"", ""TL"")"),"Paano tinutugunan ng batas ang pagpigil sa pagpapakamatay sa konteksto ng kawalan ng trabaho at kahirapan sa ekonomiya?")</f>
        <v>Paano tinutugunan ng batas ang pagpigil sa pagpapakamatay sa konteksto ng kawalan ng trabaho at kahirapan sa ekonomiya?</v>
      </c>
      <c r="E2495" s="2" t="str">
        <f>IFERROR(__xludf.DUMMYFUNCTION("GOOGLETRANSLATE(C2495, ""en"", ""TL"")"),"Hinaharap ng Pilipinas ang hamon ng pagbabalanse ng pag-unlad ng ekonomiya sa kapakanan ng mga mamamayan nito. Bagama't walang iisang batas na direktang tumutugon sa pag-iwas sa pagpapakamatay dahil sa kawalan ng trabaho at kahirapan sa ekonomiya, mayroon"&amp;"g isang balangkas ng mga batas at mga hakbangin na maaaring hindi direktang mag-ambag:
**1. Ang Karapatan sa Kalusugan (Artikulo II, Seksyon 15 ng Konstitusyon):**
* Ang probisyon ng konstitusyon na ito ay ginagarantiyahan ang karapatan ng mga Pilipino na"&amp;" ma-access ang mga de-kalidad na serbisyong pangkalusugan. Sa isip, kabilang dito ang mga serbisyo sa kalusugan ng isip na maaaring maging mahalaga para sa mga indibidwal na nahihirapan sa kawalan ng trabaho o kahirapan sa ekonomiya. **2. Mental Health Ac"&amp;"t (RA 11229):**
* Ang medyo bagong batas na ito (2018) ay nagbibigay-diin sa kahalagahan ng pangangalaga sa kalusugan ng isip at nag-uutos sa paglikha ng Mental Health Care Delivery System [RA 11229, Sec. 10]. Bagama't hindi lamang nakatuon sa kahirapan s"&amp;"a ekonomiya, maaaring mapabuti ng sistemang ito ang pag-access sa mga serbisyo sa kalusugan ng isip para sa mga nahaharap sa kawalan ng trabaho o mga problema sa pananalapi.
**3. Department of Labor and Employment (DOLE):**
* May mga programa ang DOLE na "&amp;"naglalayong tulungan ang mga Pilipinong walang trabaho, kabilang ang tulong sa paghahanap ng trabaho at pagsasanay sa kasanayan. * Bagaman hindi direktang nauugnay sa pag-iwas sa pagpapakamatay, ang pagtaas ng kakayahang magtrabaho ay maaaring maging isan"&amp;"g proteksiyon na kadahilanan laban sa mga pag-iisip ng pagpapakamatay.
**4. Mga Programang Social Amelioration:**
* Ang gobyerno ay nagpapatupad ng iba't ibang social amelioration programs para magbigay ng tulong pinansyal sa mga pamilyang mababa ang kita"&amp;" at sa mga apektado ng krisis sa ekonomiya. * Ang mga programang ito ay maaaring mag-alok ng ilang pansamantalang kaluwagan mula sa kahirapan sa pananalapi, na posibleng mabawasan ang mga antas ng stress.
**Mga Hamon at Pagsasaalang-alang:**
* Ang pagpapa"&amp;"tupad ng Mental Health Act ay nasa maagang yugto pa lamang. Maaaring limitado ang access sa mga de-kalidad na serbisyo sa kalusugan ng isip, lalo na sa mga malalayong lugar.
* Ang bisa ng mga social amelioration program ay maaaring mag-iba depende sa part"&amp;"ikular na programa at abot nito.
* Ang stigma na nakapalibot sa kalusugan ng isip ay maaari pa ring maging hadlang para sa ilang indibidwal na humingi ng tulong.
**Inaasahan:**
* Ang patuloy na pamumuhunan sa imprastraktura ng kalusugang pangkaisipan at m"&amp;"ga tauhan ay mahalaga upang gawing mas madaling ma-access ang mga serbisyo sa kalusugan ng isip. * Ang pagpapataas ng kamalayan tungkol sa kalusugan ng isip at paghikayat sa pag-uugali na naghahanap ng tulong ay maaaring maging partikular na mahalaga para"&amp;" sa mga nahaharap sa kawalan ng trabaho at mga problema sa pananalapi.
**Mahalagang Paalala:**
Kung ikaw o isang taong kilala mo ay nahihirapan sa pag-iisip ng pagpapakamatay dahil sa kawalan ng trabaho o kahirapan sa ekonomiya, mangyaring humingi ng tulo"&amp;"ng. Narito ang ilang mapagkukunan:
* National Center for Mental Health Crisis Hotline: 0917 558 HOPE (4673)
* Department of Health Crisis Hotline: 02 894-2671 loc 1117
* In Touch Crisis Lines: GLOBE: 2919 (toll-free para sa mga subscriber ng Globe) TM: 09"&amp;"17 800-1123 Sun: 0922 891-1223
Tandaan, ang pagpapakamatay ay isang maiiwasang trahedya. Sa pamamagitan ng pagtutulungan at pagbibigay ng isang komprehensibong diskarte na tumutugon sa parehong kahirapan sa ekonomiya at kalusugan ng isip, ang Pilipinas ay"&amp;" maaaring lumikha ng isang mas sumusuportang kapaligiran para sa mga mamamayan nito.")</f>
        <v>Hinaharap ng Pilipinas ang hamon ng pagbabalanse ng pag-unlad ng ekonomiya sa kapakanan ng mga mamamayan nito. Bagama't walang iisang batas na direktang tumutugon sa pag-iwas sa pagpapakamatay dahil sa kawalan ng trabaho at kahirapan sa ekonomiya, mayroong isang balangkas ng mga batas at mga hakbangin na maaaring hindi direktang mag-ambag:
**1. Ang Karapatan sa Kalusugan (Artikulo II, Seksyon 15 ng Konstitusyon):**
* Ang probisyon ng konstitusyon na ito ay ginagarantiyahan ang karapatan ng mga Pilipino na ma-access ang mga de-kalidad na serbisyong pangkalusugan. Sa isip, kabilang dito ang mga serbisyo sa kalusugan ng isip na maaaring maging mahalaga para sa mga indibidwal na nahihirapan sa kawalan ng trabaho o kahirapan sa ekonomiya. **2. Mental Health Act (RA 11229):**
* Ang medyo bagong batas na ito (2018) ay nagbibigay-diin sa kahalagahan ng pangangalaga sa kalusugan ng isip at nag-uutos sa paglikha ng Mental Health Care Delivery System [RA 11229, Sec. 10]. Bagama't hindi lamang nakatuon sa kahirapan sa ekonomiya, maaaring mapabuti ng sistemang ito ang pag-access sa mga serbisyo sa kalusugan ng isip para sa mga nahaharap sa kawalan ng trabaho o mga problema sa pananalapi.
**3. Department of Labor and Employment (DOLE):**
* May mga programa ang DOLE na naglalayong tulungan ang mga Pilipinong walang trabaho, kabilang ang tulong sa paghahanap ng trabaho at pagsasanay sa kasanayan. * Bagaman hindi direktang nauugnay sa pag-iwas sa pagpapakamatay, ang pagtaas ng kakayahang magtrabaho ay maaaring maging isang proteksiyon na kadahilanan laban sa mga pag-iisip ng pagpapakamatay.
**4. Mga Programang Social Amelioration:**
* Ang gobyerno ay nagpapatupad ng iba't ibang social amelioration programs para magbigay ng tulong pinansyal sa mga pamilyang mababa ang kita at sa mga apektado ng krisis sa ekonomiya. * Ang mga programang ito ay maaaring mag-alok ng ilang pansamantalang kaluwagan mula sa kahirapan sa pananalapi, na posibleng mabawasan ang mga antas ng stress.
**Mga Hamon at Pagsasaalang-alang:**
* Ang pagpapatupad ng Mental Health Act ay nasa maagang yugto pa lamang. Maaaring limitado ang access sa mga de-kalidad na serbisyo sa kalusugan ng isip, lalo na sa mga malalayong lugar.
* Ang bisa ng mga social amelioration program ay maaaring mag-iba depende sa partikular na programa at abot nito.
* Ang stigma na nakapalibot sa kalusugan ng isip ay maaari pa ring maging hadlang para sa ilang indibidwal na humingi ng tulong.
**Inaasahan:**
* Ang patuloy na pamumuhunan sa imprastraktura ng kalusugang pangkaisipan at mga tauhan ay mahalaga upang gawing mas madaling ma-access ang mga serbisyo sa kalusugan ng isip. * Ang pagpapataas ng kamalayan tungkol sa kalusugan ng isip at paghikayat sa pag-uugali na naghahanap ng tulong ay maaaring maging partikular na mahalaga para sa mga nahaharap sa kawalan ng trabaho at mga problema sa pananalapi.
**Mahalagang Paalala:**
Kung ikaw o isang taong kilala mo ay nahihirapan sa pag-iisip ng pagpapakamatay dahil sa kawalan ng trabaho o kahirapan sa ekonomiya, mangyaring humingi ng tulong. Narito ang ilang mapagkukunan:
* National Center for Mental Health Crisis Hotline: 0917 558 HOPE (4673)
* Department of Health Crisis Hotline: 02 894-2671 loc 1117
* In Touch Crisis Lines: GLOBE: 2919 (toll-free para sa mga subscriber ng Globe) TM: 0917 800-1123 Sun: 0922 891-1223
Tandaan, ang pagpapakamatay ay isang maiiwasang trahedya. Sa pamamagitan ng pagtutulungan at pagbibigay ng isang komprehensibong diskarte na tumutugon sa parehong kahirapan sa ekonomiya at kalusugan ng isip, ang Pilipinas ay maaaring lumikha ng isang mas sumusuportang kapaligiran para sa mga mamamayan nito.</v>
      </c>
      <c r="F2495" s="2">
        <f t="shared" si="1"/>
        <v>0</v>
      </c>
      <c r="G2495" s="2"/>
      <c r="H2495" s="2"/>
      <c r="I2495" s="2"/>
      <c r="J2495" s="2"/>
      <c r="K2495" s="2"/>
      <c r="L2495" s="2"/>
      <c r="M2495" s="2"/>
      <c r="N2495" s="2"/>
      <c r="O2495" s="2"/>
      <c r="P2495" s="2"/>
      <c r="Q2495" s="2"/>
      <c r="R2495" s="2"/>
      <c r="S2495" s="2"/>
      <c r="T2495" s="2"/>
      <c r="U2495" s="2"/>
      <c r="V2495" s="2"/>
      <c r="W2495" s="2"/>
      <c r="X2495" s="2"/>
      <c r="Y2495" s="2"/>
      <c r="Z2495" s="2"/>
      <c r="AA2495" s="2"/>
    </row>
    <row r="2496">
      <c r="A2496" s="1" t="s">
        <v>5870</v>
      </c>
      <c r="B2496" s="1" t="s">
        <v>5959</v>
      </c>
      <c r="C2496" s="1" t="s">
        <v>5960</v>
      </c>
      <c r="D2496" s="2" t="str">
        <f>IFERROR(__xludf.DUMMYFUNCTION("GOOGLETRANSLATE(B2496, ""en"", ""TL"")"),"Ano ang papel na ginagampanan ng mga kampanya ng pampublikong kamalayan sa pag-iwas sa pagpapakamatay, at legal ba ang mga ito?")</f>
        <v>Ano ang papel na ginagampanan ng mga kampanya ng pampublikong kamalayan sa pag-iwas sa pagpapakamatay, at legal ba ang mga ito?</v>
      </c>
      <c r="E2496" s="2" t="str">
        <f>IFERROR(__xludf.DUMMYFUNCTION("GOOGLETRANSLATE(C2496, ""en"", ""TL"")"),"Ang mga kampanya ng pampublikong kamalayan ay maaaring magkaroon ng malaking papel sa pag-iwas sa pagpapakamatay, ngunit hindi ito legal na ipinag-uutos sa Pilipinas. Narito ang isang breakdown ng kanilang epekto at mga legal na pagsasaalang-alang:
**Epek"&amp;"to ng Mga Kampanya sa Pampublikong Kamalayan:**
* **Pagpapalaki ng kamalayan:** Makakatulong ang mga campaign na turuan ang publiko tungkol sa mga salik sa panganib ng pagpapakamatay, mga senyales ng babala, at mga available na mapagkukunan. * **Pagbabawa"&amp;"s ng stigma:** Sa pamamagitan ng lantarang pagtalakay sa pagpapakamatay, makakatulong ang mga campaign na bawasan ang stigma na nakapalibot sa mga isyu sa kalusugan ng isip at hikayatin ang pag-uugaling naghahanap ng tulong.
* **Pagpapalakas sa mga komuni"&amp;"dad:** Ang mga kampanya ay maaaring magbigay ng kapangyarihan sa mga komunidad na kilalanin at tugunan ang mga potensyal na panganib sa pagpapakamatay sa kanilang kapaligiran.
**Mga Limitasyon ng Mga Kampanya sa Pampublikong Kamalayan:**
* **Mahalaga ang "&amp;"kalidad:** Ang pagiging epektibo ng mga kampanya ay nakasalalay sa kanilang kalidad, pagmemensahe, at target na madla. Maaaring magkaroon ng mga hindi inaasahang kahihinatnan ang mga campaign na hindi maganda ang disenyo. * **Tumuon sa pagbabago ng gawi:*"&amp;"* Maaaring hindi sapat ang mga kampanya lamang upang makabuluhang bawasan ang mga rate ng pagpapatiwakal. Kailangan nilang maging bahagi ng isang komprehensibong diskarte sa pag-iwas sa pagpapakamatay na kinabibilangan ng pag-access sa mga serbisyo sa kal"&amp;"usugan ng isip at mga mapagkukunan ng interbensyon sa krisis.
**Legalidad ng Mga Kampanya sa Pampublikong Kamalayan:**
* Walang legal na utos para sa mga kampanya ng pampublikong kamalayan sa pag-iwas sa pagpapakamatay sa Pilipinas. * Gayunpaman, kinikila"&amp;"la ng gobyerno, sa pamamagitan ng Department of Health (DOH), ang kanilang kahalagahan at maaaring ilunsad o suportahan ang mga naturang kampanya.
* Ang ilang mga local government units (LGUs) ay maaari ding magpatupad ng public awareness initiatives sa l"&amp;"oob ng kanilang mga nasasakupan.
**Mga Karagdagang Pagsasaalang-alang:**
* Ang mga kampanya ng pampublikong kamalayan ay dapat na nakabatay sa mga kasanayang nakabatay sa ebidensya at binuo sa konsultasyon sa mga eksperto sa kalusugan ng isip.
* Dapat nil"&amp;"ang unahin ang mga mensahe ng pag-asa, pagbawi, at magagamit na mga sistema ng suporta.
* Maaaring kailanganin ang mga babala sa pag-trigger kapag tinatalakay ang mga paraan ng pagpapakamatay.
**Konklusyon:**
Ang mga kampanya ng pampublikong kamalayan ay "&amp;"isang mahalagang tool sa pag-iwas sa pagpapakamatay, ngunit ang mga ito ay pinakaepektibo kapag ginamit bilang bahagi ng isang mas malaking diskarte na tumutugon sa mga ugat ng pagpapakamatay at nagbibigay ng madaling tulong sa mga nangangailangan.")</f>
        <v>Ang mga kampanya ng pampublikong kamalayan ay maaaring magkaroon ng malaking papel sa pag-iwas sa pagpapakamatay, ngunit hindi ito legal na ipinag-uutos sa Pilipinas. Narito ang isang breakdown ng kanilang epekto at mga legal na pagsasaalang-alang:
**Epekto ng Mga Kampanya sa Pampublikong Kamalayan:**
* **Pagpapalaki ng kamalayan:** Makakatulong ang mga campaign na turuan ang publiko tungkol sa mga salik sa panganib ng pagpapakamatay, mga senyales ng babala, at mga available na mapagkukunan. * **Pagbabawas ng stigma:** Sa pamamagitan ng lantarang pagtalakay sa pagpapakamatay, makakatulong ang mga campaign na bawasan ang stigma na nakapalibot sa mga isyu sa kalusugan ng isip at hikayatin ang pag-uugaling naghahanap ng tulong.
* **Pagpapalakas sa mga komunidad:** Ang mga kampanya ay maaaring magbigay ng kapangyarihan sa mga komunidad na kilalanin at tugunan ang mga potensyal na panganib sa pagpapakamatay sa kanilang kapaligiran.
**Mga Limitasyon ng Mga Kampanya sa Pampublikong Kamalayan:**
* **Mahalaga ang kalidad:** Ang pagiging epektibo ng mga kampanya ay nakasalalay sa kanilang kalidad, pagmemensahe, at target na madla. Maaaring magkaroon ng mga hindi inaasahang kahihinatnan ang mga campaign na hindi maganda ang disenyo. * **Tumuon sa pagbabago ng gawi:** Maaaring hindi sapat ang mga kampanya lamang upang makabuluhang bawasan ang mga rate ng pagpapatiwakal. Kailangan nilang maging bahagi ng isang komprehensibong diskarte sa pag-iwas sa pagpapakamatay na kinabibilangan ng pag-access sa mga serbisyo sa kalusugan ng isip at mga mapagkukunan ng interbensyon sa krisis.
**Legalidad ng Mga Kampanya sa Pampublikong Kamalayan:**
* Walang legal na utos para sa mga kampanya ng pampublikong kamalayan sa pag-iwas sa pagpapakamatay sa Pilipinas. * Gayunpaman, kinikilala ng gobyerno, sa pamamagitan ng Department of Health (DOH), ang kanilang kahalagahan at maaaring ilunsad o suportahan ang mga naturang kampanya.
* Ang ilang mga local government units (LGUs) ay maaari ding magpatupad ng public awareness initiatives sa loob ng kanilang mga nasasakupan.
**Mga Karagdagang Pagsasaalang-alang:**
* Ang mga kampanya ng pampublikong kamalayan ay dapat na nakabatay sa mga kasanayang nakabatay sa ebidensya at binuo sa konsultasyon sa mga eksperto sa kalusugan ng isip.
* Dapat nilang unahin ang mga mensahe ng pag-asa, pagbawi, at magagamit na mga sistema ng suporta.
* Maaaring kailanganin ang mga babala sa pag-trigger kapag tinatalakay ang mga paraan ng pagpapakamatay.
**Konklusyon:**
Ang mga kampanya ng pampublikong kamalayan ay isang mahalagang tool sa pag-iwas sa pagpapakamatay, ngunit ang mga ito ay pinakaepektibo kapag ginamit bilang bahagi ng isang mas malaking diskarte na tumutugon sa mga ugat ng pagpapakamatay at nagbibigay ng madaling tulong sa mga nangangailangan.</v>
      </c>
      <c r="F2496" s="2">
        <f t="shared" si="1"/>
        <v>0</v>
      </c>
      <c r="G2496" s="2"/>
      <c r="H2496" s="2"/>
      <c r="I2496" s="2"/>
      <c r="J2496" s="2"/>
      <c r="K2496" s="2"/>
      <c r="L2496" s="2"/>
      <c r="M2496" s="2"/>
      <c r="N2496" s="2"/>
      <c r="O2496" s="2"/>
      <c r="P2496" s="2"/>
      <c r="Q2496" s="2"/>
      <c r="R2496" s="2"/>
      <c r="S2496" s="2"/>
      <c r="T2496" s="2"/>
      <c r="U2496" s="2"/>
      <c r="V2496" s="2"/>
      <c r="W2496" s="2"/>
      <c r="X2496" s="2"/>
      <c r="Y2496" s="2"/>
      <c r="Z2496" s="2"/>
      <c r="AA2496" s="2"/>
    </row>
    <row r="2497">
      <c r="A2497" s="1" t="s">
        <v>5870</v>
      </c>
      <c r="B2497" s="1" t="s">
        <v>5961</v>
      </c>
      <c r="C2497" s="1" t="s">
        <v>5962</v>
      </c>
      <c r="D2497" s="2" t="str">
        <f>IFERROR(__xludf.DUMMYFUNCTION("GOOGLETRANSLATE(B2497, ""en"", ""TL"")"),"Mayroon bang mga legal na probisyon para sa proteksyon ng mga whistleblower na nag-uulat ng mga panganib sa pagpapakamatay sa loob ng mga institusyon?")</f>
        <v>Mayroon bang mga legal na probisyon para sa proteksyon ng mga whistleblower na nag-uulat ng mga panganib sa pagpapakamatay sa loob ng mga institusyon?</v>
      </c>
      <c r="E2497" s="2" t="str">
        <f>IFERROR(__xludf.DUMMYFUNCTION("GOOGLETRANSLATE(C2497, ""en"", ""TL"")"),"Nag-aalok ang batas ng Pilipinas ng ilan, ngunit hindi kumpleto, ng proteksyon para sa mga whistleblower na nag-uulat ng mga panganib sa pagpapakamatay sa loob ng mga institusyon. Narito ang isang breakdown ng mga nauugnay na aspeto:
**1. Walang Partikula"&amp;"r na Batas sa Whistleblower:**
* Ang Pilipinas ay kasalukuyang kulang ng isang komprehensibong batas sa proteksyon ng whistleblower. **2. Republic Act No. 6713 o ang Code of Conduct and Ethical Standards for Public Officials and Employees:**
* Nalalapat a"&amp;"ng batas na ito sa mga empleyado ng gobyerno. Ito ay nag-uutos sa kanila na iulat ang anumang labag sa batas o hindi etikal na pag-uugali na kanilang nasasaksihan sa loob ng kanilang mga ahensya. Gayunpaman, hindi nito tahasang binabanggit ang mga pangani"&amp;"b sa pagpapakamatay. **3. Mga Limitadong Proteksyon sa Mga Umiiral na Batas:**
* Ang ilang umiiral na batas sa mga partikular na sektor, tulad ng Special Program for Employment of Students (SPES), ay nag-aalok ng ilang mga proteksyon sa whistleblower. Ngu"&amp;"nit maaaring hindi lahat ng ito ay sumasaklaw.
**4. Ang Mga Panuntunan ng Securities and Exchange Commission (SEC):**
* Ang SEC ay naglabas ng mga panuntunan na nagpoprotekta sa mga whistleblower na nag-uulat ng mga paglabag sa mga batas sa seguridad. Ito"&amp;" ay maaaring hindi direktang nauugnay kung ang maling pag-uugali sa pananalapi ng isang kumpanya ay nag-aambag sa panganib ng pagpapakamatay ng empleyado.
**5. Ang Potensyal para sa Paghihiganti:**
* Sa kabila ng mga pira-pirasong legal na proteksyong ito"&amp;", ang mga whistleblower sa Pilipinas ay maaari pa ring harapin ang paghihiganti mula sa kanilang mga amo para sa pag-uulat ng mga panganib sa pagpapakamatay. Ito ay maaaring sa pamamagitan ng pagwawakas, pagbabawas ng posisyon, o isang pagalit na kapaligi"&amp;"ran sa trabaho.
**Ano ang Magagawa Mo:**
* Kung pinaghihinalaan mo ang isang tao ay nasa panganib na magpakamatay sa loob ng iyong institusyon, unahin ang kanilang kaligtasan. Iulat ang alalahanin sa isang superbisor o departamento ng Human Resources. * S"&amp;"ubukang idokumento ang iyong ulat at anumang potensyal na paghihiganti na iyong nararanasan.
* Isaalang-alang ang paghingi ng patnubay mula sa isang abogadong dalubhasa sa batas sa paggawa upang maunawaan ang iyong mga karapatan at mga opsyon. **Inaasahan"&amp;":**
* Ang Pilipinas ay kasalukuyang isinasaalang-alang ang isang komprehensibong Whistleblower Protection Act. Kung maipapasa, maaari itong mag-alok ng mas matibay na legal na pananggalang para sa pag-uulat ng mga panganib sa pagpapakamatay o iba pang mga"&amp;" panganib na nauugnay sa trabaho.
**Mga Rekomendasyon:**
* Ang mga institusyon ay maaaring lumikha ng isang ligtas at kumpidensyal na sistema ng pag-uulat para sa mga empleyado upang ipahayag ang mga alalahanin tungkol sa mga panganib sa pagpapakamatay o "&amp;"iba pang mga isyu sa kaligtasan.
* Ang pagtataguyod ng kultura ng bukas na komunikasyon at kamalayan sa kalusugan ng isip sa loob ng mga institusyon ay maaaring makatutulong nang malaki sa pagpigil sa mga pagpapatiwakal na nauugnay sa lugar ng trabaho.
**"&amp;"Tandaan:** Maaaring kumplikado ang legal na tanawin. Kung mayroon kang mga partikular na alalahanin, inirerekomenda ang pagkonsulta sa isang abogado.")</f>
        <v>Nag-aalok ang batas ng Pilipinas ng ilan, ngunit hindi kumpleto, ng proteksyon para sa mga whistleblower na nag-uulat ng mga panganib sa pagpapakamatay sa loob ng mga institusyon. Narito ang isang breakdown ng mga nauugnay na aspeto:
**1. Walang Partikular na Batas sa Whistleblower:**
* Ang Pilipinas ay kasalukuyang kulang ng isang komprehensibong batas sa proteksyon ng whistleblower. **2. Republic Act No. 6713 o ang Code of Conduct and Ethical Standards for Public Officials and Employees:**
* Nalalapat ang batas na ito sa mga empleyado ng gobyerno. Ito ay nag-uutos sa kanila na iulat ang anumang labag sa batas o hindi etikal na pag-uugali na kanilang nasasaksihan sa loob ng kanilang mga ahensya. Gayunpaman, hindi nito tahasang binabanggit ang mga panganib sa pagpapakamatay. **3. Mga Limitadong Proteksyon sa Mga Umiiral na Batas:**
* Ang ilang umiiral na batas sa mga partikular na sektor, tulad ng Special Program for Employment of Students (SPES), ay nag-aalok ng ilang mga proteksyon sa whistleblower. Ngunit maaaring hindi lahat ng ito ay sumasaklaw.
**4. Ang Mga Panuntunan ng Securities and Exchange Commission (SEC):**
* Ang SEC ay naglabas ng mga panuntunan na nagpoprotekta sa mga whistleblower na nag-uulat ng mga paglabag sa mga batas sa seguridad. Ito ay maaaring hindi direktang nauugnay kung ang maling pag-uugali sa pananalapi ng isang kumpanya ay nag-aambag sa panganib ng pagpapakamatay ng empleyado.
**5. Ang Potensyal para sa Paghihiganti:**
* Sa kabila ng mga pira-pirasong legal na proteksyong ito, ang mga whistleblower sa Pilipinas ay maaari pa ring harapin ang paghihiganti mula sa kanilang mga amo para sa pag-uulat ng mga panganib sa pagpapakamatay. Ito ay maaaring sa pamamagitan ng pagwawakas, pagbabawas ng posisyon, o isang pagalit na kapaligiran sa trabaho.
**Ano ang Magagawa Mo:**
* Kung pinaghihinalaan mo ang isang tao ay nasa panganib na magpakamatay sa loob ng iyong institusyon, unahin ang kanilang kaligtasan. Iulat ang alalahanin sa isang superbisor o departamento ng Human Resources. * Subukang idokumento ang iyong ulat at anumang potensyal na paghihiganti na iyong nararanasan.
* Isaalang-alang ang paghingi ng patnubay mula sa isang abogadong dalubhasa sa batas sa paggawa upang maunawaan ang iyong mga karapatan at mga opsyon. **Inaasahan:**
* Ang Pilipinas ay kasalukuyang isinasaalang-alang ang isang komprehensibong Whistleblower Protection Act. Kung maipapasa, maaari itong mag-alok ng mas matibay na legal na pananggalang para sa pag-uulat ng mga panganib sa pagpapakamatay o iba pang mga panganib na nauugnay sa trabaho.
**Mga Rekomendasyon:**
* Ang mga institusyon ay maaaring lumikha ng isang ligtas at kumpidensyal na sistema ng pag-uulat para sa mga empleyado upang ipahayag ang mga alalahanin tungkol sa mga panganib sa pagpapakamatay o iba pang mga isyu sa kaligtasan.
* Ang pagtataguyod ng kultura ng bukas na komunikasyon at kamalayan sa kalusugan ng isip sa loob ng mga institusyon ay maaaring makatutulong nang malaki sa pagpigil sa mga pagpapatiwakal na nauugnay sa lugar ng trabaho.
**Tandaan:** Maaaring kumplikado ang legal na tanawin. Kung mayroon kang mga partikular na alalahanin, inirerekomenda ang pagkonsulta sa isang abogado.</v>
      </c>
      <c r="F2497" s="2">
        <f t="shared" si="1"/>
        <v>0</v>
      </c>
      <c r="G2497" s="2"/>
      <c r="H2497" s="2"/>
      <c r="I2497" s="2"/>
      <c r="J2497" s="2"/>
      <c r="K2497" s="2"/>
      <c r="L2497" s="2"/>
      <c r="M2497" s="2"/>
      <c r="N2497" s="2"/>
      <c r="O2497" s="2"/>
      <c r="P2497" s="2"/>
      <c r="Q2497" s="2"/>
      <c r="R2497" s="2"/>
      <c r="S2497" s="2"/>
      <c r="T2497" s="2"/>
      <c r="U2497" s="2"/>
      <c r="V2497" s="2"/>
      <c r="W2497" s="2"/>
      <c r="X2497" s="2"/>
      <c r="Y2497" s="2"/>
      <c r="Z2497" s="2"/>
      <c r="AA2497" s="2"/>
    </row>
    <row r="2498">
      <c r="A2498" s="1" t="s">
        <v>5870</v>
      </c>
      <c r="B2498" s="1" t="s">
        <v>5963</v>
      </c>
      <c r="C2498" s="1" t="s">
        <v>5964</v>
      </c>
      <c r="D2498" s="2" t="str">
        <f>IFERROR(__xludf.DUMMYFUNCTION("GOOGLETRANSLATE(B2498, ""en"", ""TL"")"),"Paano tinutugunan ng batas ng Pilipinas ang pagpigil sa pagpapakamatay sa konteksto ng mga natural na sakuna at emerhensiya?")</f>
        <v>Paano tinutugunan ng batas ng Pilipinas ang pagpigil sa pagpapakamatay sa konteksto ng mga natural na sakuna at emerhensiya?</v>
      </c>
      <c r="E2498" s="2" t="str">
        <f>IFERROR(__xludf.DUMMYFUNCTION("GOOGLETRANSLATE(C2498, ""en"", ""TL"")"),"Ang Pilipinas, na madaling kapitan ng mga natural na sakuna, ay kinikilala ang epekto sa kalusugan ng isip ng mga naturang kaganapan. Bagama't walang iisang batas na nakatutok lamang sa pag-iwas sa pagpapakamatay sa mga sitwasyong ito, maraming legal na a"&amp;"speto at inisyatiba ang nag-aambag:
**1. Disaster Risk Reduction Management Act (RA 10121):**
* Ang batas na ito ay nag-uutos ng paglikha ng isang National Disaster Risk Reduction and Management Framework (NDRRMF) [RA 10121, Sec. 4(g)]. Kasama sa balangka"&amp;"s na ito ang mga hakbang para sa kalusugan ng isip at suporta sa psychosocial (MHPSS) pagkatapos ng mga sakuna [NDRRMF].
**2. Mental Health Act (RA 11229):**
* Kinikilala ng batas na ito ang pangangailangan para sa mga serbisyo sa kalusugan ng isip sa mga"&amp;" sitwasyon ng krisis [RA 11229, Sec. 15(i)]. Naglalatag ito ng batayan para sa pagsasama ng MHPSS sa mga pagsisikap sa pagtugon sa kalamidad.
**3. Department of Health (DOH):**
* Ang DOH ay mayroong Bureau of Mental Health (BMH) na gumaganap ng mahalagang"&amp;" papel sa pagbibigay ng MHPSS sa panahon ng kalamidad. Ang BMH ay bumuo ng mga alituntunin at naglalagay ng mga propesyonal sa kalusugan ng isip sa mga apektadong lugar [DOH-Bureau of Mental Health].
**4. Local Government Units (LGUs):**
* Ang mga LGU (lu"&amp;"ngsod, munisipalidad, atbp.) ay may mahalagang papel sa paghahanda at pagtugon sa sakuna. Hinihikayat ng Mental Health Act ang mga LGU na maglaan ng mga mapagkukunan para sa mga serbisyo sa kalusugan ng isip, kasama na sa panahon ng mga emerhensiya [RA 11"&amp;"229, Sec. 22].
**Paano Gumagana ang Batas sa Practice:**
* Pagkatapos ng isang natural na sakuna, ang NDRRMF ay naisaaktibo, nag-uugnay ng mga pagsisikap sa pagtulong.
* Ang DOH-BMH ay nagtatalaga ng mga propesyonal sa kalusugan ng isip upang magbigay ng:"&amp;"
* **Pagpapayo sa krisis:** Nag-aalok ng agarang suporta sa mga indibidwal na nahihirapan sa emosyonal na pagkabalisa.
* **Psychosocial support:** Pagtulong sa mga komunidad na makayanan ang sikolohikal na epekto ng kalamidad.
* **Mga serbisyo ng referral"&amp;":** Pag-uugnay sa mga indibidwal sa patuloy na pangangalaga sa kalusugan ng isip kung kinakailangan.
**Mga Hamon at Pagsasaalang-alang:**
* Ang pagkakaroon ng mga mapagkukunan ng kalusugan ng isip sa mga malalayong lugar o pagkatapos ng malalaking sakuna "&amp;"ay maaaring limitado.
* Ang stigma na nakapalibot sa kalusugan ng isip ay maaaring pumigil sa mga tao na humingi ng tulong.
* Ang pangmatagalang suporta sa kalusugan ng isip pagkatapos ng mga sakuna ay maaaring hindi madaling makuha.
**Inaasahan:**
* Ang "&amp;"patuloy na pamumuhunan sa imprastraktura ng kalusugan ng isip at pagsasanay para sa pagtugon sa sakuna ay mahalaga.
* Ang pagpapataas ng kamalayan tungkol sa kalusugan ng isip at paghikayat sa pag-uugali na naghahanap ng tulong ay maaaring magligtas ng mg"&amp;"a buhay.
**Mahalagang Paalala:**
Kung ikaw o isang taong kilala mo ay nahihirapan pagkatapos ng isang natural na sakuna, narito ang ilang mapagkukunan na makakatulong:
* National Center for Mental Health Crisis Hotline: 0917 558 HOPE (4673)
* Department o"&amp;"f Health Crisis Hotline: 02 894-2671 loc 1117
* In Touch Crisis Lines: GLOBE: 2919 (toll-free para sa mga subscriber ng Globe) TM: 0917 800-1123 Sun: 0922 891-1223
Sa pamamagitan ng pag-unawa sa legal na balangkas at magagamit na mga mapagkukunan, mas mak"&amp;"akayanan ng mga Pilipino ang mga resulta ng mga natural na sakuna at maiwasan ang mga pagpapakamatay.")</f>
        <v>Ang Pilipinas, na madaling kapitan ng mga natural na sakuna, ay kinikilala ang epekto sa kalusugan ng isip ng mga naturang kaganapan. Bagama't walang iisang batas na nakatutok lamang sa pag-iwas sa pagpapakamatay sa mga sitwasyong ito, maraming legal na aspeto at inisyatiba ang nag-aambag:
**1. Disaster Risk Reduction Management Act (RA 10121):**
* Ang batas na ito ay nag-uutos ng paglikha ng isang National Disaster Risk Reduction and Management Framework (NDRRMF) [RA 10121, Sec. 4(g)]. Kasama sa balangkas na ito ang mga hakbang para sa kalusugan ng isip at suporta sa psychosocial (MHPSS) pagkatapos ng mga sakuna [NDRRMF].
**2. Mental Health Act (RA 11229):**
* Kinikilala ng batas na ito ang pangangailangan para sa mga serbisyo sa kalusugan ng isip sa mga sitwasyon ng krisis [RA 11229, Sec. 15(i)]. Naglalatag ito ng batayan para sa pagsasama ng MHPSS sa mga pagsisikap sa pagtugon sa kalamidad.
**3. Department of Health (DOH):**
* Ang DOH ay mayroong Bureau of Mental Health (BMH) na gumaganap ng mahalagang papel sa pagbibigay ng MHPSS sa panahon ng kalamidad. Ang BMH ay bumuo ng mga alituntunin at naglalagay ng mga propesyonal sa kalusugan ng isip sa mga apektadong lugar [DOH-Bureau of Mental Health].
**4. Local Government Units (LGUs):**
* Ang mga LGU (lungsod, munisipalidad, atbp.) ay may mahalagang papel sa paghahanda at pagtugon sa sakuna. Hinihikayat ng Mental Health Act ang mga LGU na maglaan ng mga mapagkukunan para sa mga serbisyo sa kalusugan ng isip, kasama na sa panahon ng mga emerhensiya [RA 11229, Sec. 22].
**Paano Gumagana ang Batas sa Practice:**
* Pagkatapos ng isang natural na sakuna, ang NDRRMF ay naisaaktibo, nag-uugnay ng mga pagsisikap sa pagtulong.
* Ang DOH-BMH ay nagtatalaga ng mga propesyonal sa kalusugan ng isip upang magbigay ng:
* **Pagpapayo sa krisis:** Nag-aalok ng agarang suporta sa mga indibidwal na nahihirapan sa emosyonal na pagkabalisa.
* **Psychosocial support:** Pagtulong sa mga komunidad na makayanan ang sikolohikal na epekto ng kalamidad.
* **Mga serbisyo ng referral:** Pag-uugnay sa mga indibidwal sa patuloy na pangangalaga sa kalusugan ng isip kung kinakailangan.
**Mga Hamon at Pagsasaalang-alang:**
* Ang pagkakaroon ng mga mapagkukunan ng kalusugan ng isip sa mga malalayong lugar o pagkatapos ng malalaking sakuna ay maaaring limitado.
* Ang stigma na nakapalibot sa kalusugan ng isip ay maaaring pumigil sa mga tao na humingi ng tulong.
* Ang pangmatagalang suporta sa kalusugan ng isip pagkatapos ng mga sakuna ay maaaring hindi madaling makuha.
**Inaasahan:**
* Ang patuloy na pamumuhunan sa imprastraktura ng kalusugan ng isip at pagsasanay para sa pagtugon sa sakuna ay mahalaga.
* Ang pagpapataas ng kamalayan tungkol sa kalusugan ng isip at paghikayat sa pag-uugali na naghahanap ng tulong ay maaaring magligtas ng mga buhay.
**Mahalagang Paalala:**
Kung ikaw o isang taong kilala mo ay nahihirapan pagkatapos ng isang natural na sakuna, narito ang ilang mapagkukunan na makakatulong:
* National Center for Mental Health Crisis Hotline: 0917 558 HOPE (4673)
* Department of Health Crisis Hotline: 02 894-2671 loc 1117
* In Touch Crisis Lines: GLOBE: 2919 (toll-free para sa mga subscriber ng Globe) TM: 0917 800-1123 Sun: 0922 891-1223
Sa pamamagitan ng pag-unawa sa legal na balangkas at magagamit na mga mapagkukunan, mas makakayanan ng mga Pilipino ang mga resulta ng mga natural na sakuna at maiwasan ang mga pagpapakamatay.</v>
      </c>
      <c r="F2498" s="2">
        <f t="shared" si="1"/>
        <v>0</v>
      </c>
      <c r="G2498" s="2"/>
      <c r="H2498" s="2"/>
      <c r="I2498" s="2"/>
      <c r="J2498" s="2"/>
      <c r="K2498" s="2"/>
      <c r="L2498" s="2"/>
      <c r="M2498" s="2"/>
      <c r="N2498" s="2"/>
      <c r="O2498" s="2"/>
      <c r="P2498" s="2"/>
      <c r="Q2498" s="2"/>
      <c r="R2498" s="2"/>
      <c r="S2498" s="2"/>
      <c r="T2498" s="2"/>
      <c r="U2498" s="2"/>
      <c r="V2498" s="2"/>
      <c r="W2498" s="2"/>
      <c r="X2498" s="2"/>
      <c r="Y2498" s="2"/>
      <c r="Z2498" s="2"/>
      <c r="AA2498" s="2"/>
    </row>
    <row r="2499">
      <c r="A2499" s="1" t="s">
        <v>5870</v>
      </c>
      <c r="B2499" s="1" t="s">
        <v>5965</v>
      </c>
      <c r="C2499" s="1" t="s">
        <v>5966</v>
      </c>
      <c r="D2499" s="2" t="str">
        <f>IFERROR(__xludf.DUMMYFUNCTION("GOOGLETRANSLATE(B2499, ""en"", ""TL"")"),"Anong mga legal na hakbang ang inilalagay upang matugunan ang pag-iwas sa pagpapakamatay sa populasyon ng matatanda?")</f>
        <v>Anong mga legal na hakbang ang inilalagay upang matugunan ang pag-iwas sa pagpapakamatay sa populasyon ng matatanda?</v>
      </c>
      <c r="E2499" s="2" t="str">
        <f>IFERROR(__xludf.DUMMYFUNCTION("GOOGLETRANSLATE(C2499, ""en"", ""TL"")"),"Ang Pilipinas ay kasalukuyang kulang ng isang solong komprehensibong batas na nakatuon lamang sa pagpigil sa pagpapakamatay sa mga matatandang populasyon. Gayunpaman, may mga umiiral nang legal na balangkas at mga inisyatiba na hindi direktang nag-aambag "&amp;"sa layuning ito:
**1. Ang Mental Health Act (RA 11229):**
* Ang batas na ito, na ipinasa noong 2018, ay isang makabuluhang hakbang pasulong. Kinikilala nito ang kalusugan ng isip bilang isang mahalagang bahagi ng pangkalahatang kalusugan at kagalingan [RA"&amp;" 11229, Sec. 2]. * Ipinag-uutos nito ang pagtatatag ng sistema ng paghahatid ng pangangalaga sa kalusugang pangkaisipan, na perpektong magbibigay ng mas mahusay na access sa mga serbisyo sa kalusugan ng isip para sa mga matatanda [RA 11229, Sec. 10].
* It"&amp;"inataguyod din ng batas ang pagsasama ng mga serbisyo sa kalusugang pangkaisipan sa pangunahing pangangalaga, na posibleng ginagawang mas madali para sa mga matatanda na makatanggap ng suporta sa kalusugan ng isip sa panahon ng regular na pagsusuri [RA 11"&amp;"229, Sec. 14].
**2. Ang Magna Carta para sa mga Nakatatandang Tao (RA 10868):**
* Ang batas na ito ay naglalayong itaguyod at protektahan ang mga karapatan ng mga matatandang tao [RA 10868, Sec. 2]. Kabilang dito ang mga probisyon sa:
* **Pag-access sa mg"&amp;"a serbisyong pangkalusugan:** Ito ay maaaring sumaklaw sa pag-access sa mga serbisyo sa kalusugan ng isip para sa mga matatandang indibidwal na nakikipagpunyagi sa pag-iisip ng pagpapakamatay [RA 10868, Sec. 12(a)].
* **Proteksyon sa lipunan:** Binibigyan"&amp;"g-diin ng batas ang kahalagahan ng mga sistema ng suportang panlipunan para sa mga matatanda, na maaaring maging mahalagang salik sa pag-iwas sa pagpapakamatay [RA 10868, Sec. 13].
**3. Ang Batas Pambansa Bilang 881 o ang Social Security Law:**
* Ang bata"&amp;"s na ito ay nagbibigay ng mga benepisyo sa social security sa mga kwalipikadong Pilipino, kabilang ang mga pensiyon para sa mga retirado. Ang seguridad sa pananalapi ay maaaring maging isang proteksiyon na kadahilanan laban sa pagpapakamatay para sa ilang"&amp;" matatandang indibidwal [Batas Pambansa Bilang 881].
**4. Ang Department of Health (DOH):**
* Ang DOH ay mayroong National Mental Health Program na kinabibilangan ng mga inisyatiba na nakatuon sa pagtataguyod ng kamalayan sa kalusugan ng isip at pag-acces"&amp;"s sa mga serbisyo sa kalusugan ng isip. Bagama't hindi eksklusibong nagta-target sa mga matatanda, ang mga programang ito ay maaari pa ring makinabang sa populasyon na ito [DOH National Mental Health Program].
**Mga Hamon at Pagsasaalang-alang:**
* Ang pa"&amp;"gpapatupad ng Mental Health Act at ang buong pagsasama ng mga serbisyo sa kalusugan ng isip sa pangunahing pangangalaga ay patuloy pa rin sa proseso. * Maaaring may kakulangan ng kamalayan sa mga matatandang Pilipino tungkol sa mga isyu sa kalusugan ng is"&amp;"ip at magagamit na mga mapagkukunan. * Ang stigma na nakapalibot sa kalusugan ng isip ay maaari ding maging hadlang sa paghingi ng tulong.
**Inaasahan:**
* Ang patuloy na pagsisikap na ipatupad ang Mental Health Act at itaas ang kamalayan tungkol sa kalus"&amp;"ugan ng isip sa mga matatandang populasyon ay mahalaga.
* Ang paghikayat sa bukas na komunikasyon tungkol sa kalusugan ng isip sa loob ng mga pamilya at komunidad ay maaari ding magkaroon ng mahalagang papel sa pag-iwas sa pagpapakamatay.
**Mahalagang Paa"&amp;"lala:**
Kung may kilala kang matandang tao na maaaring nahihirapan sa pag-iisip ng pagpapakamatay, narito ang ilang mapagkukunang makakatulong:
* National Center for Mental Health Crisis Hotline: 0917 558 HOPE (4673)
* Department of Health Crisis Hotline:"&amp;" 02 894-2671 loc 1117
* In Touch Crisis Lines: GLOBE: 2919 (toll-free para sa mga subscriber ng Globe) TM: 0917 800-1123 Sun: 0922 891-1223
Tandaan, ang pagpapakamatay ay isang maiiwasang trahedya. Sa pamamagitan ng pagtutulungan at pagtataguyod ng kamala"&amp;"yan sa kalusugan ng isip, maaari tayong lumikha ng isang mas matulungin na kapaligiran para sa mga matatandang populasyon sa Pilipinas.")</f>
        <v>Ang Pilipinas ay kasalukuyang kulang ng isang solong komprehensibong batas na nakatuon lamang sa pagpigil sa pagpapakamatay sa mga matatandang populasyon. Gayunpaman, may mga umiiral nang legal na balangkas at mga inisyatiba na hindi direktang nag-aambag sa layuning ito:
**1. Ang Mental Health Act (RA 11229):**
* Ang batas na ito, na ipinasa noong 2018, ay isang makabuluhang hakbang pasulong. Kinikilala nito ang kalusugan ng isip bilang isang mahalagang bahagi ng pangkalahatang kalusugan at kagalingan [RA 11229, Sec. 2]. * Ipinag-uutos nito ang pagtatatag ng sistema ng paghahatid ng pangangalaga sa kalusugang pangkaisipan, na perpektong magbibigay ng mas mahusay na access sa mga serbisyo sa kalusugan ng isip para sa mga matatanda [RA 11229, Sec. 10].
* Itinataguyod din ng batas ang pagsasama ng mga serbisyo sa kalusugang pangkaisipan sa pangunahing pangangalaga, na posibleng ginagawang mas madali para sa mga matatanda na makatanggap ng suporta sa kalusugan ng isip sa panahon ng regular na pagsusuri [RA 11229, Sec. 14].
**2. Ang Magna Carta para sa mga Nakatatandang Tao (RA 10868):**
* Ang batas na ito ay naglalayong itaguyod at protektahan ang mga karapatan ng mga matatandang tao [RA 10868, Sec. 2]. Kabilang dito ang mga probisyon sa:
* **Pag-access sa mga serbisyong pangkalusugan:** Ito ay maaaring sumaklaw sa pag-access sa mga serbisyo sa kalusugan ng isip para sa mga matatandang indibidwal na nakikipagpunyagi sa pag-iisip ng pagpapakamatay [RA 10868, Sec. 12(a)].
* **Proteksyon sa lipunan:** Binibigyang-diin ng batas ang kahalagahan ng mga sistema ng suportang panlipunan para sa mga matatanda, na maaaring maging mahalagang salik sa pag-iwas sa pagpapakamatay [RA 10868, Sec. 13].
**3. Ang Batas Pambansa Bilang 881 o ang Social Security Law:**
* Ang batas na ito ay nagbibigay ng mga benepisyo sa social security sa mga kwalipikadong Pilipino, kabilang ang mga pensiyon para sa mga retirado. Ang seguridad sa pananalapi ay maaaring maging isang proteksiyon na kadahilanan laban sa pagpapakamatay para sa ilang matatandang indibidwal [Batas Pambansa Bilang 881].
**4. Ang Department of Health (DOH):**
* Ang DOH ay mayroong National Mental Health Program na kinabibilangan ng mga inisyatiba na nakatuon sa pagtataguyod ng kamalayan sa kalusugan ng isip at pag-access sa mga serbisyo sa kalusugan ng isip. Bagama't hindi eksklusibong nagta-target sa mga matatanda, ang mga programang ito ay maaari pa ring makinabang sa populasyon na ito [DOH National Mental Health Program].
**Mga Hamon at Pagsasaalang-alang:**
* Ang pagpapatupad ng Mental Health Act at ang buong pagsasama ng mga serbisyo sa kalusugan ng isip sa pangunahing pangangalaga ay patuloy pa rin sa proseso. * Maaaring may kakulangan ng kamalayan sa mga matatandang Pilipino tungkol sa mga isyu sa kalusugan ng isip at magagamit na mga mapagkukunan. * Ang stigma na nakapalibot sa kalusugan ng isip ay maaari ding maging hadlang sa paghingi ng tulong.
**Inaasahan:**
* Ang patuloy na pagsisikap na ipatupad ang Mental Health Act at itaas ang kamalayan tungkol sa kalusugan ng isip sa mga matatandang populasyon ay mahalaga.
* Ang paghikayat sa bukas na komunikasyon tungkol sa kalusugan ng isip sa loob ng mga pamilya at komunidad ay maaari ding magkaroon ng mahalagang papel sa pag-iwas sa pagpapakamatay.
**Mahalagang Paalala:**
Kung may kilala kang matandang tao na maaaring nahihirapan sa pag-iisip ng pagpapakamatay, narito ang ilang mapagkukunang makakatulong:
* National Center for Mental Health Crisis Hotline: 0917 558 HOPE (4673)
* Department of Health Crisis Hotline: 02 894-2671 loc 1117
* In Touch Crisis Lines: GLOBE: 2919 (toll-free para sa mga subscriber ng Globe) TM: 0917 800-1123 Sun: 0922 891-1223
Tandaan, ang pagpapakamatay ay isang maiiwasang trahedya. Sa pamamagitan ng pagtutulungan at pagtataguyod ng kamalayan sa kalusugan ng isip, maaari tayong lumikha ng isang mas matulungin na kapaligiran para sa mga matatandang populasyon sa Pilipinas.</v>
      </c>
      <c r="F2499" s="2">
        <f t="shared" si="1"/>
        <v>0</v>
      </c>
      <c r="G2499" s="2"/>
      <c r="H2499" s="2"/>
      <c r="I2499" s="2"/>
      <c r="J2499" s="2"/>
      <c r="K2499" s="2"/>
      <c r="L2499" s="2"/>
      <c r="M2499" s="2"/>
      <c r="N2499" s="2"/>
      <c r="O2499" s="2"/>
      <c r="P2499" s="2"/>
      <c r="Q2499" s="2"/>
      <c r="R2499" s="2"/>
      <c r="S2499" s="2"/>
      <c r="T2499" s="2"/>
      <c r="U2499" s="2"/>
      <c r="V2499" s="2"/>
      <c r="W2499" s="2"/>
      <c r="X2499" s="2"/>
      <c r="Y2499" s="2"/>
      <c r="Z2499" s="2"/>
      <c r="AA2499" s="2"/>
    </row>
    <row r="2500">
      <c r="A2500" s="1" t="s">
        <v>5870</v>
      </c>
      <c r="B2500" s="1" t="s">
        <v>5967</v>
      </c>
      <c r="C2500" s="1" t="s">
        <v>5968</v>
      </c>
      <c r="D2500" s="2" t="str">
        <f>IFERROR(__xludf.DUMMYFUNCTION("GOOGLETRANSLATE(B2500, ""en"", ""TL"")"),"Mayroon bang mga legal na kahihinatnan para sa mga indibidwal na nagbabahagi ng tahasang nilalamang pananakit sa sarili sa social media?")</f>
        <v>Mayroon bang mga legal na kahihinatnan para sa mga indibidwal na nagbabahagi ng tahasang nilalamang pananakit sa sarili sa social media?</v>
      </c>
      <c r="E2500" s="2" t="str">
        <f>IFERROR(__xludf.DUMMYFUNCTION("GOOGLETRANSLATE(C2500, ""en"", ""TL"")"),"Ang mga legal na kahihinatnan para sa pagbabahagi ng tahasang nilalamang pananakit sa sarili sa social media sa Pilipinas ay hindi lubos na malinaw. Kasalukuyang walang partikular na batas na direktang tumutugon sa isyung ito. Gayunpaman, depende sa uri n"&amp;"g nilalaman at potensyal na epekto nito, maaaring naaangkop ang ilang umiiral nang batas:
**1. Cybercrime Prevention Act (RA 10175):**
* Ang batas na ito ay nagpaparusa sa iba't ibang cybercrime, kabilang ang:
* **Pagtulong o Pagpapakamatay (Seksyon 15):*"&amp;"* Kung tahasang humihikayat o nag-uutos ang content na nakakasira sa sarili na magpakamatay, ang taong nagbahagi nito ay maaaring makasuhan ng paglabag na ito.
* Ang pagpapatunay ng layunin na tumulong sa pagpapakamatay ay maaaring maging mahirap. **2. An"&amp;"ti-Bullying Act (RA 10627):**
* Nakatuon ang batas na ito sa tradisyunal na pananakot ngunit maaaring bigyang-kahulugan na umabot sa cyberbullying sa ilang pagkakataon. Ang pagbabahagi ng content na nakakasira sa sarili ay maaaring ituring na isang uri ng"&amp;" cyberbullying kung nagta-target ito ng isang partikular na tao at naglalayong magdulot ng emosyonal na pagkabalisa.
**3. Safe Spaces Act (RA 11313):**
* Pinoprotektahan ng batas na ito laban sa online na karahasan laban sa mga kababaihan at kanilang mga "&amp;"anak. Ang pagbabahagi ng nilalamang nakakapinsala sa sarili na naglalarawan ng mga menor de edad ay maaaring maging isang pagkakasala sa ilalim ng batas na ito.
**4. Republic Act No. 9994 o ang Protection Against Child Pornography Act:**
* Ang batas na it"&amp;"o ay mahigpit na nagbabawal sa pagbabahagi ng child pornography. Kung ang nilalamang pananakit sa sarili ay nagsasangkot ng isang menor de edad, maaari itong ituring na pornograpiya ng bata.
**Mga Hamon at Pagsasaalang-alang:**
* Maaaring mag-iba-iba ang "&amp;"partikular na legal na interpretasyon at aplikasyon ng mga batas na ito sa content na makapinsala sa sarili depende sa mga detalye ng content at sa konteksto kung saan ito ibinahagi.
* Ang layunin ay gumaganap ng isang mahalagang papel. Maaaring iba ang p"&amp;"agtingin sa pagbabahagi ng content na nakakasakit sa sarili upang magbigay ng kamalayan o humingi ng tulong kaysa sa pagbabahagi nito para hikayatin o luwalhatiin ang pananakit sa sarili.
**Ang Mas Malaking Larawan:**
* Bagama't umiiral ang mga legal na k"&amp;"ahihinatnan sa ilang mga sitwasyon, ang pangunahing alalahanin ay ang kapakanan ng taong nagsasagawa ng pananakit sa sarili at ang mga posibleng maimpluwensyahan ng nilalaman.
**Mga Rekomendasyon:**
* Kung makatagpo ka ng tahasang nilalamang nakakapinsala"&amp;" sa sarili, iwasang ibahagi pa ito. * Iulat ang nilalaman sa platform ng social media kung saan mo ito nakita. Karamihan sa mga platform ay may mga mekanismo sa pag-uulat para sa mapaminsalang nilalaman.
* Kung nag-aalala ka tungkol sa isang tao na maaari"&amp;"ng makapinsala sa sarili, makipag-ugnayan sa kanila at mag-alok ng suporta. Narito ang ilang mapagkukunan na maaaring makatulong:
* National Center for Mental Health Crisis Hotline: 0917 558 HOPE (4673)
* Department of Health Crisis Hotline: 02 894-2671 l"&amp;"oc 1117
* In Touch Crisis Lines: GLOBE: 2919 (toll-free para sa mga subscriber ng Globe) TM: 0917 800-1123 Sun: 0922 891-1223
Tandaan, ang pagbabahagi ng content na nakakasira sa sarili ay maaaring magkaroon ng mga negatibong kahihinatnan, kahit na ang mg"&amp;"a legal na epekto ay hindi palaging malinaw. Mahalagang maging maingat sa potensyal na epekto sa mga mahihinang indibidwal.")</f>
        <v>Ang mga legal na kahihinatnan para sa pagbabahagi ng tahasang nilalamang pananakit sa sarili sa social media sa Pilipinas ay hindi lubos na malinaw. Kasalukuyang walang partikular na batas na direktang tumutugon sa isyung ito. Gayunpaman, depende sa uri ng nilalaman at potensyal na epekto nito, maaaring naaangkop ang ilang umiiral nang batas:
**1. Cybercrime Prevention Act (RA 10175):**
* Ang batas na ito ay nagpaparusa sa iba't ibang cybercrime, kabilang ang:
* **Pagtulong o Pagpapakamatay (Seksyon 15):** Kung tahasang humihikayat o nag-uutos ang content na nakakasira sa sarili na magpakamatay, ang taong nagbahagi nito ay maaaring makasuhan ng paglabag na ito.
* Ang pagpapatunay ng layunin na tumulong sa pagpapakamatay ay maaaring maging mahirap. **2. Anti-Bullying Act (RA 10627):**
* Nakatuon ang batas na ito sa tradisyunal na pananakot ngunit maaaring bigyang-kahulugan na umabot sa cyberbullying sa ilang pagkakataon. Ang pagbabahagi ng content na nakakasira sa sarili ay maaaring ituring na isang uri ng cyberbullying kung nagta-target ito ng isang partikular na tao at naglalayong magdulot ng emosyonal na pagkabalisa.
**3. Safe Spaces Act (RA 11313):**
* Pinoprotektahan ng batas na ito laban sa online na karahasan laban sa mga kababaihan at kanilang mga anak. Ang pagbabahagi ng nilalamang nakakapinsala sa sarili na naglalarawan ng mga menor de edad ay maaaring maging isang pagkakasala sa ilalim ng batas na ito.
**4. Republic Act No. 9994 o ang Protection Against Child Pornography Act:**
* Ang batas na ito ay mahigpit na nagbabawal sa pagbabahagi ng child pornography. Kung ang nilalamang pananakit sa sarili ay nagsasangkot ng isang menor de edad, maaari itong ituring na pornograpiya ng bata.
**Mga Hamon at Pagsasaalang-alang:**
* Maaaring mag-iba-iba ang partikular na legal na interpretasyon at aplikasyon ng mga batas na ito sa content na makapinsala sa sarili depende sa mga detalye ng content at sa konteksto kung saan ito ibinahagi.
* Ang layunin ay gumaganap ng isang mahalagang papel. Maaaring iba ang pagtingin sa pagbabahagi ng content na nakakasakit sa sarili upang magbigay ng kamalayan o humingi ng tulong kaysa sa pagbabahagi nito para hikayatin o luwalhatiin ang pananakit sa sarili.
**Ang Mas Malaking Larawan:**
* Bagama't umiiral ang mga legal na kahihinatnan sa ilang mga sitwasyon, ang pangunahing alalahanin ay ang kapakanan ng taong nagsasagawa ng pananakit sa sarili at ang mga posibleng maimpluwensyahan ng nilalaman.
**Mga Rekomendasyon:**
* Kung makatagpo ka ng tahasang nilalamang nakakapinsala sa sarili, iwasang ibahagi pa ito. * Iulat ang nilalaman sa platform ng social media kung saan mo ito nakita. Karamihan sa mga platform ay may mga mekanismo sa pag-uulat para sa mapaminsalang nilalaman.
* Kung nag-aalala ka tungkol sa isang tao na maaaring makapinsala sa sarili, makipag-ugnayan sa kanila at mag-alok ng suporta. Narito ang ilang mapagkukunan na maaaring makatulong:
* National Center for Mental Health Crisis Hotline: 0917 558 HOPE (4673)
* Department of Health Crisis Hotline: 02 894-2671 loc 1117
* In Touch Crisis Lines: GLOBE: 2919 (toll-free para sa mga subscriber ng Globe) TM: 0917 800-1123 Sun: 0922 891-1223
Tandaan, ang pagbabahagi ng content na nakakasira sa sarili ay maaaring magkaroon ng mga negatibong kahihinatnan, kahit na ang mga legal na epekto ay hindi palaging malinaw. Mahalagang maging maingat sa potensyal na epekto sa mga mahihinang indibidwal.</v>
      </c>
      <c r="F2500" s="2">
        <f t="shared" si="1"/>
        <v>0</v>
      </c>
      <c r="G2500" s="2"/>
      <c r="H2500" s="2"/>
      <c r="I2500" s="2"/>
      <c r="J2500" s="2"/>
      <c r="K2500" s="2"/>
      <c r="L2500" s="2"/>
      <c r="M2500" s="2"/>
      <c r="N2500" s="2"/>
      <c r="O2500" s="2"/>
      <c r="P2500" s="2"/>
      <c r="Q2500" s="2"/>
      <c r="R2500" s="2"/>
      <c r="S2500" s="2"/>
      <c r="T2500" s="2"/>
      <c r="U2500" s="2"/>
      <c r="V2500" s="2"/>
      <c r="W2500" s="2"/>
      <c r="X2500" s="2"/>
      <c r="Y2500" s="2"/>
      <c r="Z2500" s="2"/>
      <c r="AA2500" s="2"/>
    </row>
    <row r="2501">
      <c r="A2501" s="1" t="s">
        <v>5870</v>
      </c>
      <c r="B2501" s="1" t="s">
        <v>5969</v>
      </c>
      <c r="C2501" s="1" t="s">
        <v>5970</v>
      </c>
      <c r="D2501" s="2" t="str">
        <f>IFERROR(__xludf.DUMMYFUNCTION("GOOGLETRANSLATE(B2501, ""en"", ""TL"")"),"Paano tinutugunan ng batas ang pagpigil sa pagpapakamatay sa konteksto ng cyberbullying at online na panliligalig?")</f>
        <v>Paano tinutugunan ng batas ang pagpigil sa pagpapakamatay sa konteksto ng cyberbullying at online na panliligalig?</v>
      </c>
      <c r="E2501" s="2" t="str">
        <f>IFERROR(__xludf.DUMMYFUNCTION("GOOGLETRANSLATE(C2501, ""en"", ""TL"")"),"Kinikilala ng Pilipinas ang lumalaking banta ng cyberbullying at online na panliligalig, at bagama't walang partikular na batas na nakatuon lamang sa pag-iwas sa pagpapakamatay sa kontekstong ito, may mga umiiral na legal na hakbang na magagamit upang mat"&amp;"ugunan ito:
**1. Cybercrime Prevention Act (RA 10175):**
* Ang batas na ito ay nagpaparusa sa iba't ibang cybercrimes, kabilang ang cyberstalking, na maaaring isang anyo ng online na panliligalig [RA 10175]. Maaari itong magbigay ng ilang legal na paraan "&amp;"para sa mga biktima at potensyal na hadlangan ang online na panliligalig.
**2. Anti-Bullying Act (RA 10627):**
* Ang batas na ito, na pangunahing nakatuon sa tradisyunal na pananakot sa mga paaralan, ay binibigyang-kahulugan na palawigin ang saklaw nito s"&amp;"a cyberbullying sa ilang pagkakataon. Ang mga paaralan ay may responsibilidad na tugunan ang mga insidente ng cyberbullying na kinasasangkutan ng kanilang mga estudyante [RA 10627, Sec. 15]. **3. The Safe Spaces Act (RA 11313):**
* Ang medyo bagong batas "&amp;"na ito (2018) ay naglalayong tiyakin ang isang ligtas at inclusive online na kapaligiran para sa lahat ng Pilipino. Ipinagbabawal nito ang mga pagkilos ng karahasan laban sa mga kababaihan at kanilang mga anak, na posibleng sumaklaw sa matinding cyberbull"&amp;"ying at online na harassment [RA 11313].
**4. Ang Mental Health Act (RA 11229):**
* Ang batas na ito ay nagtataguyod ng pag-access sa mga serbisyo sa kalusugan ng isip, na mahalaga para sa pag-iwas sa pagpapakamatay, kabilang ang mga naapektuhan ng cyberb"&amp;"ullying at online na harassment [RA 11229, Sec. 15].
**Mga Hamon sa Pagtugon sa mga Online na pinsala:**
* Ang pag-uugnay ng online na panliligalig o cyberbullying sa isang partikular na indibidwal ay maaaring maging mahirap. * Ang hindi pagkakakilanlan n"&amp;"a nauugnay sa online na aktibidad ay maaaring gawing kumplikado ang mga pagsisiyasat at pagpapatupad. * Ang mga mapagkukunan ng kalusugang pangkaisipan at mga sistema ng suporta na partikular na idinisenyo upang tugunan ang epekto ng cyberbullying ay nagb"&amp;"abago pa rin.
**Ang Papel ng Mga Kumpanya ng Teknolohiya:**
* Ang batas ay maaaring maglagay ng ilang responsibilidad sa mga platform ng social media at iba pang kumpanya ng teknolohiya upang lumikha ng mas ligtas na mga online na kapaligiran. * Maaaring "&amp;"kabilang dito ang pagpapatupad ng mga mekanismo sa pag-uulat para sa online na panliligalig o pakikipagtulungan sa mga pagsisiyasat sa pagpapatupad ng batas. **Konklusyon:**
Bagama't hindi perpekto ang legal na framework, nag-aalok ang batas ng Pilipinas "&amp;"ng ilang tool para labanan ang cyberbullying at online na panliligalig at posibleng maiwasan ang mga pagpapakamatay na nauugnay sa cyberbullying. Ang patuloy na pag-unlad ng legal na balangkas at pinahusay na pag-access sa mga mapagkukunan ng kalusugan ng"&amp;" isip ay mahalaga sa umuusbong na lugar na ito.
**Mahalagang Paalala:** Kung ikaw o isang taong kilala mo ay nahihirapan sa pag-iisip ng pagpapakamatay dahil sa cyberbullying o online na panliligalig, mangyaring makipag-ugnayan para sa tulong. Narito ang "&amp;"ilang mapagkukunan:
* National Center for Mental Health Crisis Hotline: 0917 558 HOPE (4673)
* Department of Health Crisis Hotline: 02 894-2671 loc 1117
* In Touch Crisis Lines: GLOBE: 2919 (toll-free para sa mga subscriber ng Globe) TM: 0917 800-1123 Sun"&amp;": 0922 891-1223")</f>
        <v>Kinikilala ng Pilipinas ang lumalaking banta ng cyberbullying at online na panliligalig, at bagama't walang partikular na batas na nakatuon lamang sa pag-iwas sa pagpapakamatay sa kontekstong ito, may mga umiiral na legal na hakbang na magagamit upang matugunan ito:
**1. Cybercrime Prevention Act (RA 10175):**
* Ang batas na ito ay nagpaparusa sa iba't ibang cybercrimes, kabilang ang cyberstalking, na maaaring isang anyo ng online na panliligalig [RA 10175]. Maaari itong magbigay ng ilang legal na paraan para sa mga biktima at potensyal na hadlangan ang online na panliligalig.
**2. Anti-Bullying Act (RA 10627):**
* Ang batas na ito, na pangunahing nakatuon sa tradisyunal na pananakot sa mga paaralan, ay binibigyang-kahulugan na palawigin ang saklaw nito sa cyberbullying sa ilang pagkakataon. Ang mga paaralan ay may responsibilidad na tugunan ang mga insidente ng cyberbullying na kinasasangkutan ng kanilang mga estudyante [RA 10627, Sec. 15]. **3. The Safe Spaces Act (RA 11313):**
* Ang medyo bagong batas na ito (2018) ay naglalayong tiyakin ang isang ligtas at inclusive online na kapaligiran para sa lahat ng Pilipino. Ipinagbabawal nito ang mga pagkilos ng karahasan laban sa mga kababaihan at kanilang mga anak, na posibleng sumaklaw sa matinding cyberbullying at online na harassment [RA 11313].
**4. Ang Mental Health Act (RA 11229):**
* Ang batas na ito ay nagtataguyod ng pag-access sa mga serbisyo sa kalusugan ng isip, na mahalaga para sa pag-iwas sa pagpapakamatay, kabilang ang mga naapektuhan ng cyberbullying at online na harassment [RA 11229, Sec. 15].
**Mga Hamon sa Pagtugon sa mga Online na pinsala:**
* Ang pag-uugnay ng online na panliligalig o cyberbullying sa isang partikular na indibidwal ay maaaring maging mahirap. * Ang hindi pagkakakilanlan na nauugnay sa online na aktibidad ay maaaring gawing kumplikado ang mga pagsisiyasat at pagpapatupad. * Ang mga mapagkukunan ng kalusugang pangkaisipan at mga sistema ng suporta na partikular na idinisenyo upang tugunan ang epekto ng cyberbullying ay nagbabago pa rin.
**Ang Papel ng Mga Kumpanya ng Teknolohiya:**
* Ang batas ay maaaring maglagay ng ilang responsibilidad sa mga platform ng social media at iba pang kumpanya ng teknolohiya upang lumikha ng mas ligtas na mga online na kapaligiran. * Maaaring kabilang dito ang pagpapatupad ng mga mekanismo sa pag-uulat para sa online na panliligalig o pakikipagtulungan sa mga pagsisiyasat sa pagpapatupad ng batas. **Konklusyon:**
Bagama't hindi perpekto ang legal na framework, nag-aalok ang batas ng Pilipinas ng ilang tool para labanan ang cyberbullying at online na panliligalig at posibleng maiwasan ang mga pagpapakamatay na nauugnay sa cyberbullying. Ang patuloy na pag-unlad ng legal na balangkas at pinahusay na pag-access sa mga mapagkukunan ng kalusugan ng isip ay mahalaga sa umuusbong na lugar na ito.
**Mahalagang Paalala:** Kung ikaw o isang taong kilala mo ay nahihirapan sa pag-iisip ng pagpapakamatay dahil sa cyberbullying o online na panliligalig, mangyaring makipag-ugnayan para sa tulong. Narito ang ilang mapagkukunan:
* National Center for Mental Health Crisis Hotline: 0917 558 HOPE (4673)
* Department of Health Crisis Hotline: 02 894-2671 loc 1117
* In Touch Crisis Lines: GLOBE: 2919 (toll-free para sa mga subscriber ng Globe) TM: 0917 800-1123 Sun: 0922 891-1223</v>
      </c>
      <c r="F2501" s="2">
        <f t="shared" si="1"/>
        <v>0</v>
      </c>
      <c r="G2501" s="2"/>
      <c r="H2501" s="2"/>
      <c r="I2501" s="2"/>
      <c r="J2501" s="2"/>
      <c r="K2501" s="2"/>
      <c r="L2501" s="2"/>
      <c r="M2501" s="2"/>
      <c r="N2501" s="2"/>
      <c r="O2501" s="2"/>
      <c r="P2501" s="2"/>
      <c r="Q2501" s="2"/>
      <c r="R2501" s="2"/>
      <c r="S2501" s="2"/>
      <c r="T2501" s="2"/>
      <c r="U2501" s="2"/>
      <c r="V2501" s="2"/>
      <c r="W2501" s="2"/>
      <c r="X2501" s="2"/>
      <c r="Y2501" s="2"/>
      <c r="Z2501" s="2"/>
      <c r="AA2501" s="2"/>
    </row>
    <row r="2502">
      <c r="A2502" s="1" t="s">
        <v>5971</v>
      </c>
      <c r="B2502" s="1" t="s">
        <v>5972</v>
      </c>
      <c r="C2502" s="1" t="s">
        <v>5973</v>
      </c>
      <c r="D2502" s="2" t="str">
        <f>IFERROR(__xludf.DUMMYFUNCTION("GOOGLETRANSLATE(B2502, ""en"", ""TL"")"),"Anong mga legal na hakbang ang inilalagay upang matiyak ang pananagutan ng mga propesyonal sa kalusugan ng isip sa pag-iwas sa pagpapakamatay?")</f>
        <v>Anong mga legal na hakbang ang inilalagay upang matiyak ang pananagutan ng mga propesyonal sa kalusugan ng isip sa pag-iwas sa pagpapakamatay?</v>
      </c>
      <c r="E2502" s="2" t="str">
        <f>IFERROR(__xludf.DUMMYFUNCTION("GOOGLETRANSLATE(C2502, ""en"", ""TL"")"),"Bagama't walang isa, komprehensibong batas sa Pilipinas na nakatuon lamang sa pananagutan ng mga propesyonal sa kalusugan ng isip sa pag-iwas sa pagpapakamatay, may mga umiiral na legal na balangkas na hindi direktang tumutugon sa alalahaning ito. Narito "&amp;"ang isang breakdown:
**1. Ang Konstitusyon ng Pilipinas (Artikulo II, Seksyon 15):**
* Ginagarantiyahan ng seksyong ito ang karapatan sa kalusugan. Maaari itong bigyang kahulugan na isama ang karapatang ma-access ang mga de-kalidad na serbisyo sa kalusuga"&amp;"n ng isip, na dapat isaalang-alang ang pag-iwas sa pagpapakamatay bilang isang mahalagang aspeto.
**2. Republic Act No. 11036 o ang Mental Health Act:**
* Ang batas na ito ay nag-uutos ng pagbibigay ng mga serbisyo sa kalusugan ng isip, kabilang ang mga e"&amp;"stratehiya sa pag-iwas sa pagpapakamatay [RA 11036, Sec. 15]. Binibigyang-diin din nito ang kahalagahan ng etikal na kasanayan para sa mga propesyonal sa kalusugan ng isip [RA 11036, Sec. 29].
**3. Mga Propesyonal na Kodigo ng Etika:**
* Ang Philippine Ps"&amp;"ychological Association (PPA) at ang Philippine Psychiatric Association (PPA) ay may sariling Code of Ethics na dapat sundin ng mga propesyonal sa kalusugan ng isip. Binabalangkas ng mga code na ito ang mga pamantayang etikal para sa pagsasanay, kabilang "&amp;"ang mga aspeto tulad ng kakayahan at kapakanan ng pasyente. Ang paglabag sa mga code na ito ay maaaring humantong sa mga aksyong pandisiplina.
**4. Mga Paghahabla sa Malpractice:**
* Bagama't hindi karaniwan sa Pilipinas kumpara sa ibang mga bansa, ang mg"&amp;"a propesyonal sa kalusugang pangkaisipan ay maaaring managot sa pamamagitan ng mga kasong sibil para sa malpractice kung ang kanilang mga aksyon (o hindi pagkilos) ay napatunayang nag-ambag sa isang pagpapakamatay. Upang manalo sa ganoong kaso, kinakailan"&amp;"gan ang ebidensya ng kapabayaan o paglabag sa mga propesyonal na pamantayan.
**5. Ang Papel ng Professional Regulation Commission (PRC):**
* Ang PRC ay nagbibigay ng lisensya at kinokontrol ang mga propesyonal sa kalusugan ng isip. Kung may mga reklamo la"&amp;"ban sa isang propesyonal tungkol sa isang potensyal na papel sa isang pagpapakamatay, ang PRC ay maaaring mag-imbestiga at potensyal na bawiin ang mga lisensya o magpataw ng mga parusa.
**Mga Hamon sa Pananagutan:**
* Ang pagpapatunay ng isang direktang l"&amp;"ink sa pagitan ng mga aksyon ng isang propesyonal sa kalusugan ng isip at isang pagpapakamatay ay maaaring maging mahirap.
* Ang larangan ng kalusugan ng isip ay umuunlad pa rin sa Pilipinas, at ang pag-access sa mga mapagkukunan para sa epektibong pag-iw"&amp;"as sa pagpapakamatay ay maaaring mag-iba.
**Inaasahan:**
* Ang Mental Health Act ay isang medyo bagong batas (2018), at ang pagpapatupad nito hinggil sa mga pamantayan ng pananagutan para sa pag-iwas sa pagpapakamatay ay umuunlad pa rin. **Tandaan:** Ito "&amp;"ay isang pinasimpleng paliwanag, at ang legal na tanawin ay maaaring maging kumplikado. Kung mayroon kang mga partikular na alalahanin, inirerekomenda ang pagkonsulta sa isang abogado na dalubhasa sa batas sa pangangalagang pangkalusugan.")</f>
        <v>Bagama't walang isa, komprehensibong batas sa Pilipinas na nakatuon lamang sa pananagutan ng mga propesyonal sa kalusugan ng isip sa pag-iwas sa pagpapakamatay, may mga umiiral na legal na balangkas na hindi direktang tumutugon sa alalahaning ito. Narito ang isang breakdown:
**1. Ang Konstitusyon ng Pilipinas (Artikulo II, Seksyon 15):**
* Ginagarantiyahan ng seksyong ito ang karapatan sa kalusugan. Maaari itong bigyang kahulugan na isama ang karapatang ma-access ang mga de-kalidad na serbisyo sa kalusugan ng isip, na dapat isaalang-alang ang pag-iwas sa pagpapakamatay bilang isang mahalagang aspeto.
**2. Republic Act No. 11036 o ang Mental Health Act:**
* Ang batas na ito ay nag-uutos ng pagbibigay ng mga serbisyo sa kalusugan ng isip, kabilang ang mga estratehiya sa pag-iwas sa pagpapakamatay [RA 11036, Sec. 15]. Binibigyang-diin din nito ang kahalagahan ng etikal na kasanayan para sa mga propesyonal sa kalusugan ng isip [RA 11036, Sec. 29].
**3. Mga Propesyonal na Kodigo ng Etika:**
* Ang Philippine Psychological Association (PPA) at ang Philippine Psychiatric Association (PPA) ay may sariling Code of Ethics na dapat sundin ng mga propesyonal sa kalusugan ng isip. Binabalangkas ng mga code na ito ang mga pamantayang etikal para sa pagsasanay, kabilang ang mga aspeto tulad ng kakayahan at kapakanan ng pasyente. Ang paglabag sa mga code na ito ay maaaring humantong sa mga aksyong pandisiplina.
**4. Mga Paghahabla sa Malpractice:**
* Bagama't hindi karaniwan sa Pilipinas kumpara sa ibang mga bansa, ang mga propesyonal sa kalusugang pangkaisipan ay maaaring managot sa pamamagitan ng mga kasong sibil para sa malpractice kung ang kanilang mga aksyon (o hindi pagkilos) ay napatunayang nag-ambag sa isang pagpapakamatay. Upang manalo sa ganoong kaso, kinakailangan ang ebidensya ng kapabayaan o paglabag sa mga propesyonal na pamantayan.
**5. Ang Papel ng Professional Regulation Commission (PRC):**
* Ang PRC ay nagbibigay ng lisensya at kinokontrol ang mga propesyonal sa kalusugan ng isip. Kung may mga reklamo laban sa isang propesyonal tungkol sa isang potensyal na papel sa isang pagpapakamatay, ang PRC ay maaaring mag-imbestiga at potensyal na bawiin ang mga lisensya o magpataw ng mga parusa.
**Mga Hamon sa Pananagutan:**
* Ang pagpapatunay ng isang direktang link sa pagitan ng mga aksyon ng isang propesyonal sa kalusugan ng isip at isang pagpapakamatay ay maaaring maging mahirap.
* Ang larangan ng kalusugan ng isip ay umuunlad pa rin sa Pilipinas, at ang pag-access sa mga mapagkukunan para sa epektibong pag-iwas sa pagpapakamatay ay maaaring mag-iba.
**Inaasahan:**
* Ang Mental Health Act ay isang medyo bagong batas (2018), at ang pagpapatupad nito hinggil sa mga pamantayan ng pananagutan para sa pag-iwas sa pagpapakamatay ay umuunlad pa rin. **Tandaan:** Ito ay isang pinasimpleng paliwanag, at ang legal na tanawin ay maaaring maging kumplikado. Kung mayroon kang mga partikular na alalahanin, inirerekomenda ang pagkonsulta sa isang abogado na dalubhasa sa batas sa pangangalagang pangkalusugan.</v>
      </c>
      <c r="F2502" s="2">
        <f t="shared" si="1"/>
        <v>0</v>
      </c>
      <c r="G2502" s="2"/>
      <c r="H2502" s="2"/>
      <c r="I2502" s="2"/>
      <c r="J2502" s="2"/>
      <c r="K2502" s="2"/>
      <c r="L2502" s="2"/>
      <c r="M2502" s="2"/>
      <c r="N2502" s="2"/>
      <c r="O2502" s="2"/>
      <c r="P2502" s="2"/>
      <c r="Q2502" s="2"/>
      <c r="R2502" s="2"/>
      <c r="S2502" s="2"/>
      <c r="T2502" s="2"/>
      <c r="U2502" s="2"/>
      <c r="V2502" s="2"/>
      <c r="W2502" s="2"/>
      <c r="X2502" s="2"/>
      <c r="Y2502" s="2"/>
      <c r="Z2502" s="2"/>
      <c r="AA2502" s="2"/>
    </row>
    <row r="2503">
      <c r="A2503" s="1" t="s">
        <v>5971</v>
      </c>
      <c r="B2503" s="1" t="s">
        <v>5974</v>
      </c>
      <c r="C2503" s="1" t="s">
        <v>5975</v>
      </c>
      <c r="D2503" s="2" t="str">
        <f>IFERROR(__xludf.DUMMYFUNCTION("GOOGLETRANSLATE(B2503, ""en"", ""TL"")"),"Paano tinutugunan sa batas ng Pilipinas ang ugnayan ng sakit sa isip at kriminalidad?")</f>
        <v>Paano tinutugunan sa batas ng Pilipinas ang ugnayan ng sakit sa isip at kriminalidad?</v>
      </c>
      <c r="E2503" s="2" t="str">
        <f>IFERROR(__xludf.DUMMYFUNCTION("GOOGLETRANSLATE(C2503, ""en"", ""TL"")"),"Kinikilala ng batas ng Pilipinas ang koneksyon sa pagitan ng sakit na psychiatric at kriminalidad, ngunit wala itong iisang, pangkalahatang legal na balangkas. Sa halip, ang diskarte ay multifaceted, na kinasasangkutan ng iba't ibang mga batas at legal na"&amp;" prinsipyo:
**1. Insanity Defense (Artikulo 12, Talata 1 ng Binagong Kodigo Penal):**
Ito ang pinakadirektang legal na link. Ito ay nagsasaad na ang isang ""imbecile o isang baliw na tao, maliban kung ang huli ay kumilos sa isang malinaw na pagitan,"" ay "&amp;"hindi kasama sa kriminal na pananagutan. Nangangahulugan ito na ang isang taong may malubhang sakit sa pag-iisip **ay hindi maaaring managot bilang kriminal** para sa kanilang mga aksyon kung hindi nila naiintindihan ang kalikasan at mga kahihinatnan ng k"&amp;"anilang pagkilos dahil sa kanilang sakit. **2. Pagtukoy sa Pagkabaliw (Rule 112 ng Mga Panuntunan ng Hukuman):**
Ang panuntunang ito ay nagtatatag ng proseso para sa pagtukoy kung ang isang akusado ay may kakayahang umangkop upang humarap sa paglilitis. K"&amp;"ung pinaghihinalaan ng korte na ang isang sakit sa pag-iisip ay maaaring makaapekto sa kakayahang maunawaan ang mga singil o lumahok sa depensa, maaaring mag-utos ng pagsusuri sa pag-iisip.
**3. Sakit sa Pag-iisip at Nakakabawas na mga Kalagayan (Artikulo"&amp;" 63 ng Binagong Kodigo Penal):**
Kinikilala ng batas na ang sakit sa pag-iisip ay maaaring maging isang nagpapagaan na pangyayari, na posibleng mabawasan ang parusa para sa isang krimen. Hindi nito inaalis ang kriminal na pananagutan ngunit nagbibigay-daa"&amp;"n sa korte na isaalang-alang ang kalagayan ng pag-iisip ng akusado kapag naghatol.
**4. Mental Health Act (RA 11229):**
Pinoprotektahan ng mas malawak na batas na ito ang mga karapatan ng mga indibidwal na may kapansanan sa pag-iisip, kabilang ang access "&amp;"sa paggamot at magalang na paggamot sa loob ng legal na sistema. **Mga Pangunahing Punto:**
* Ang pasanin ng pagpapatunay ng pagkabaliw ay nakasalalay sa pagtatanggol. * Ang mga partikular na legal na implikasyon ay nakadepende sa kalubhaan ng sakit at sa"&amp;" epekto nito sa mental na estado ng akusado sa oras ng krimen.
**Higit pa sa Mga Legal na Isyu:**
* Ang mga hukom ay may ilang pagpapasya sa pagsasaalang-alang sa kaugnayan sa pagitan ng sakit sa isip at kriminal na pag-uugali.
* Ang pagkakaroon ng mga ma"&amp;"pagkukunan ng kalusugang pangkaisipan sa loob ng sistema ng hustisyang kriminal ay maaari ding gumanap ng isang papel.
**Tandaan:** Ito ay isang pinasimpleng paliwanag, at ang mga legal na aspeto ay maaaring kumplikado. Kung mayroon kang anumang mga alala"&amp;"hanin o kasangkot sa isang partikular na kaso, ang pagkonsulta sa isang kwalipikadong abogado ay mahalaga.")</f>
        <v>Kinikilala ng batas ng Pilipinas ang koneksyon sa pagitan ng sakit na psychiatric at kriminalidad, ngunit wala itong iisang, pangkalahatang legal na balangkas. Sa halip, ang diskarte ay multifaceted, na kinasasangkutan ng iba't ibang mga batas at legal na prinsipyo:
**1. Insanity Defense (Artikulo 12, Talata 1 ng Binagong Kodigo Penal):**
Ito ang pinakadirektang legal na link. Ito ay nagsasaad na ang isang "imbecile o isang baliw na tao, maliban kung ang huli ay kumilos sa isang malinaw na pagitan," ay hindi kasama sa kriminal na pananagutan. Nangangahulugan ito na ang isang taong may malubhang sakit sa pag-iisip **ay hindi maaaring managot bilang kriminal** para sa kanilang mga aksyon kung hindi nila naiintindihan ang kalikasan at mga kahihinatnan ng kanilang pagkilos dahil sa kanilang sakit. **2. Pagtukoy sa Pagkabaliw (Rule 112 ng Mga Panuntunan ng Hukuman):**
Ang panuntunang ito ay nagtatatag ng proseso para sa pagtukoy kung ang isang akusado ay may kakayahang umangkop upang humarap sa paglilitis. Kung pinaghihinalaan ng korte na ang isang sakit sa pag-iisip ay maaaring makaapekto sa kakayahang maunawaan ang mga singil o lumahok sa depensa, maaaring mag-utos ng pagsusuri sa pag-iisip.
**3. Sakit sa Pag-iisip at Nakakabawas na mga Kalagayan (Artikulo 63 ng Binagong Kodigo Penal):**
Kinikilala ng batas na ang sakit sa pag-iisip ay maaaring maging isang nagpapagaan na pangyayari, na posibleng mabawasan ang parusa para sa isang krimen. Hindi nito inaalis ang kriminal na pananagutan ngunit nagbibigay-daan sa korte na isaalang-alang ang kalagayan ng pag-iisip ng akusado kapag naghatol.
**4. Mental Health Act (RA 11229):**
Pinoprotektahan ng mas malawak na batas na ito ang mga karapatan ng mga indibidwal na may kapansanan sa pag-iisip, kabilang ang access sa paggamot at magalang na paggamot sa loob ng legal na sistema. **Mga Pangunahing Punto:**
* Ang pasanin ng pagpapatunay ng pagkabaliw ay nakasalalay sa pagtatanggol. * Ang mga partikular na legal na implikasyon ay nakadepende sa kalubhaan ng sakit at sa epekto nito sa mental na estado ng akusado sa oras ng krimen.
**Higit pa sa Mga Legal na Isyu:**
* Ang mga hukom ay may ilang pagpapasya sa pagsasaalang-alang sa kaugnayan sa pagitan ng sakit sa isip at kriminal na pag-uugali.
* Ang pagkakaroon ng mga mapagkukunan ng kalusugang pangkaisipan sa loob ng sistema ng hustisyang kriminal ay maaari ding gumanap ng isang papel.
**Tandaan:** Ito ay isang pinasimpleng paliwanag, at ang mga legal na aspeto ay maaaring kumplikado. Kung mayroon kang anumang mga alalahanin o kasangkot sa isang partikular na kaso, ang pagkonsulta sa isang kwalipikadong abogado ay mahalaga.</v>
      </c>
      <c r="F2503" s="2">
        <f t="shared" si="1"/>
        <v>0</v>
      </c>
      <c r="G2503" s="2"/>
      <c r="H2503" s="2"/>
      <c r="I2503" s="2"/>
      <c r="J2503" s="2"/>
      <c r="K2503" s="2"/>
      <c r="L2503" s="2"/>
      <c r="M2503" s="2"/>
      <c r="N2503" s="2"/>
      <c r="O2503" s="2"/>
      <c r="P2503" s="2"/>
      <c r="Q2503" s="2"/>
      <c r="R2503" s="2"/>
      <c r="S2503" s="2"/>
      <c r="T2503" s="2"/>
      <c r="U2503" s="2"/>
      <c r="V2503" s="2"/>
      <c r="W2503" s="2"/>
      <c r="X2503" s="2"/>
      <c r="Y2503" s="2"/>
      <c r="Z2503" s="2"/>
      <c r="AA2503" s="2"/>
    </row>
    <row r="2504">
      <c r="A2504" s="1" t="s">
        <v>5971</v>
      </c>
      <c r="B2504" s="1" t="s">
        <v>5976</v>
      </c>
      <c r="C2504" s="1" t="s">
        <v>5977</v>
      </c>
      <c r="D2504" s="2" t="str">
        <f>IFERROR(__xludf.DUMMYFUNCTION("GOOGLETRANSLATE(B2504, ""en"", ""TL"")"),"Anong mga legal na pamantayan ang umiiral para sa pagtukoy sa kriminal na pananagutan ng mga indibidwal na may mga sakit sa isip?")</f>
        <v>Anong mga legal na pamantayan ang umiiral para sa pagtukoy sa kriminal na pananagutan ng mga indibidwal na may mga sakit sa isip?</v>
      </c>
      <c r="E2504" s="2" t="str">
        <f>IFERROR(__xludf.DUMMYFUNCTION("GOOGLETRANSLATE(C2504, ""en"", ""TL"")"),"Sa Pilipinas, ang pagpapasiya ng kriminal na pananagutan ng mga indibidwal na may sakit na saykayatriko ay ginagabayan ng mga legal na pamantayan na nagmula sa batas na naaayon sa batas, mga halimbawa ng batas sa kaso, at mga internasyonal na prinsipyong "&amp;"legal. Bagama't walang partikular na balangkas ng batas na nagbabalangkas sa mga legal na pamantayan para sa pagtukoy ng kriminal na pananagutan sa mga kaso na kinasasangkutan ng mga sakit sa isip, karaniwang isinasaalang-alang ng mga hukuman ang ilang mg"&amp;"a salik at mga legal na prinsipyo. Narito ang ilang pangunahing pagsasaalang-alang:
1. **Kakayahang Pahalagahan ang Maling Pagkilos:**
- Isa sa mga pangunahing kadahilanan na isinasaalang-alang sa pagtukoy ng kriminal na pananagutan ay kung ang akusado na"&amp;" indibidwal ay may kapasidad na pahalagahan ang kamalian ng kanilang mga aksyon sa oras na nagawa ang pagkakasala.
- Kabilang dito ang pagtatasa sa kalagayan ng pag-iisip ng indibidwal, pag-unawa sa moral at legal na mga pamantayan, at kakayahang maunawaa"&amp;"n ang mga kahihinatnan ng kanilang pag-uugali.
2. **Kakayahang Bumuo ng Layuning Kriminal:**
- Maaaring isaalang-alang ng mga korte kung ang akusado na indibidwal ay may kapasidad na bumuo ng kinakailangang kriminal na layunin o mens rea na kinakailangan "&amp;"para sa paggawa ng pagkakasala.
- Kabilang dito ang pagtatasa sa kalagayan ng pag-iisip ng indibidwal, paggana ng pag-iisip, at kapasidad na maunawaan ang kalikasan at mga kahihinatnan ng kanilang mga aksyon, pati na rin ang kanilang kakayahang kontrolin "&amp;"ang kanilang pag-uugali.
3. **Pagkakaroon ng Mental Illness o Impairment:**
- Ang pagkakaroon ng natukoy na sakit sa isip o kapansanan ay maaaring may kaugnayan sa pagtukoy ng kriminal na pananagutan. Maaaring isaalang-alang ng mga korte ang mga pagsusuri"&amp;" sa saykayatriko, mga medikal na rekord, at patotoo ng eksperto tungkol sa katayuan sa kalusugan ng isip ng akusado at ang potensyal na epekto nito sa kanilang pag-uugali.
4. **Boluntaryong Pagkilos:**
- Maaaring tasahin ng mga korte kung ang mga aksyon n"&amp;"g akusado na indibidwal ay boluntaryo o resulta ng hindi sinasadyang mga salpok, maling akala, o iba pang pagpapakita ng kanilang sakit sa isip.
- Ang mga indibidwal na ang mga aksyon ay itinuring na produkto ng hindi sinasadyang mga salpok o sakit sa pag"&amp;"-iisip ay maaaring nabawasan ang pananagutan o maaaring matagpuang hindi kriminal na responsable para sa kanilang mga aksyon.
5. **Malaking Paghina ng Mental Capacity:**
- Sa mga kaso kung saan ang sakit sa pag-iisip o kapansanan ng isang akusado ay lubos"&amp;" na nakakapinsala sa kanilang kakayahang pahalagahan ang kamalian ng kanilang mga aksyon o upang iayon ang kanilang pag-uugali sa mga kinakailangan ng batas, maaaring isaalang-alang ng mga korte ang mga salik na nagpapagaan sa pagtukoy ng kriminal na pana"&amp;"nagutan.
- Maaaring kabilang dito ang pagsasaalang-alang kung ang sakit sa isip o kapansanan ng indibidwal ay nakaapekto nang malaki sa kanilang mga kakayahan sa paggawa ng desisyon o kakayahang kontrolin ang kanilang pag-uugali sa oras ng pagkakasala.
6."&amp;" **Mga Pagsasaalang-alang na Partikular sa Kaso:**
- Ang mga pagpapasiya ng kriminal na pananagutan ay ginagawa sa bawat kaso, na isinasaalang-alang ang mga tiyak na katotohanan at kalagayan ng bawat kaso, pati na rin ang mga kaugnay na legal na pamantaya"&amp;"n at prinsipyo.
- Maaaring isaalang-alang ng mga korte ang kabuuan ng mga pangyayari, kabilang ang kasaysayan ng kalusugang pangkaisipan ng akusado, pag-uugali sa oras ng pagkakasala, at mga opinyon ng eksperto mula sa mga propesyonal sa kalusugan ng isip"&amp;", sa paggawa ng mga pagpapasiya hinggil sa kriminal na pananagutan.
Sa pangkalahatan, habang walang tiyak na balangkas ng batas na nagbabalangkas sa mga legal na pamantayan para sa pagtukoy ng kriminal na pananagutan sa mga kaso na kinasasangkutan ng mga "&amp;"sakit sa saykayatriko sa Pilipinas, isinasaalang-alang ng mga korte ang iba't ibang salik at legal na prinsipyo upang masuri ang kalagayan ng pag-iisip at pananagutan ng mga akusado na indibidwal alinsunod sa mga prinsipyo ng katarungan at angkop na prose"&amp;"so.")</f>
        <v>Sa Pilipinas, ang pagpapasiya ng kriminal na pananagutan ng mga indibidwal na may sakit na saykayatriko ay ginagabayan ng mga legal na pamantayan na nagmula sa batas na naaayon sa batas, mga halimbawa ng batas sa kaso, at mga internasyonal na prinsipyong legal. Bagama't walang partikular na balangkas ng batas na nagbabalangkas sa mga legal na pamantayan para sa pagtukoy ng kriminal na pananagutan sa mga kaso na kinasasangkutan ng mga sakit sa isip, karaniwang isinasaalang-alang ng mga hukuman ang ilang mga salik at mga legal na prinsipyo. Narito ang ilang pangunahing pagsasaalang-alang:
1. **Kakayahang Pahalagahan ang Maling Pagkilos:**
- Isa sa mga pangunahing kadahilanan na isinasaalang-alang sa pagtukoy ng kriminal na pananagutan ay kung ang akusado na indibidwal ay may kapasidad na pahalagahan ang kamalian ng kanilang mga aksyon sa oras na nagawa ang pagkakasala.
- Kabilang dito ang pagtatasa sa kalagayan ng pag-iisip ng indibidwal, pag-unawa sa moral at legal na mga pamantayan, at kakayahang maunawaan ang mga kahihinatnan ng kanilang pag-uugali.
2. **Kakayahang Bumuo ng Layuning Kriminal:**
- Maaaring isaalang-alang ng mga korte kung ang akusado na indibidwal ay may kapasidad na bumuo ng kinakailangang kriminal na layunin o mens rea na kinakailangan para sa paggawa ng pagkakasala.
- Kabilang dito ang pagtatasa sa kalagayan ng pag-iisip ng indibidwal, paggana ng pag-iisip, at kapasidad na maunawaan ang kalikasan at mga kahihinatnan ng kanilang mga aksyon, pati na rin ang kanilang kakayahang kontrolin ang kanilang pag-uugali.
3. **Pagkakaroon ng Mental Illness o Impairment:**
- Ang pagkakaroon ng natukoy na sakit sa isip o kapansanan ay maaaring may kaugnayan sa pagtukoy ng kriminal na pananagutan. Maaaring isaalang-alang ng mga korte ang mga pagsusuri sa saykayatriko, mga medikal na rekord, at patotoo ng eksperto tungkol sa katayuan sa kalusugan ng isip ng akusado at ang potensyal na epekto nito sa kanilang pag-uugali.
4. **Boluntaryong Pagkilos:**
- Maaaring tasahin ng mga korte kung ang mga aksyon ng akusado na indibidwal ay boluntaryo o resulta ng hindi sinasadyang mga salpok, maling akala, o iba pang pagpapakita ng kanilang sakit sa isip.
- Ang mga indibidwal na ang mga aksyon ay itinuring na produkto ng hindi sinasadyang mga salpok o sakit sa pag-iisip ay maaaring nabawasan ang pananagutan o maaaring matagpuang hindi kriminal na responsable para sa kanilang mga aksyon.
5. **Malaking Paghina ng Mental Capacity:**
- Sa mga kaso kung saan ang sakit sa pag-iisip o kapansanan ng isang akusado ay lubos na nakakapinsala sa kanilang kakayahang pahalagahan ang kamalian ng kanilang mga aksyon o upang iayon ang kanilang pag-uugali sa mga kinakailangan ng batas, maaaring isaalang-alang ng mga korte ang mga salik na nagpapagaan sa pagtukoy ng kriminal na pananagutan.
- Maaaring kabilang dito ang pagsasaalang-alang kung ang sakit sa isip o kapansanan ng indibidwal ay nakaapekto nang malaki sa kanilang mga kakayahan sa paggawa ng desisyon o kakayahang kontrolin ang kanilang pag-uugali sa oras ng pagkakasala.
6. **Mga Pagsasaalang-alang na Partikular sa Kaso:**
- Ang mga pagpapasiya ng kriminal na pananagutan ay ginagawa sa bawat kaso, na isinasaalang-alang ang mga tiyak na katotohanan at kalagayan ng bawat kaso, pati na rin ang mga kaugnay na legal na pamantayan at prinsipyo.
- Maaaring isaalang-alang ng mga korte ang kabuuan ng mga pangyayari, kabilang ang kasaysayan ng kalusugang pangkaisipan ng akusado, pag-uugali sa oras ng pagkakasala, at mga opinyon ng eksperto mula sa mga propesyonal sa kalusugan ng isip, sa paggawa ng mga pagpapasiya hinggil sa kriminal na pananagutan.
Sa pangkalahatan, habang walang tiyak na balangkas ng batas na nagbabalangkas sa mga legal na pamantayan para sa pagtukoy ng kriminal na pananagutan sa mga kaso na kinasasangkutan ng mga sakit sa saykayatriko sa Pilipinas, isinasaalang-alang ng mga korte ang iba't ibang salik at legal na prinsipyo upang masuri ang kalagayan ng pag-iisip at pananagutan ng mga akusado na indibidwal alinsunod sa mga prinsipyo ng katarungan at angkop na proseso.</v>
      </c>
      <c r="F2504" s="2">
        <f t="shared" si="1"/>
        <v>0</v>
      </c>
      <c r="G2504" s="2"/>
      <c r="H2504" s="2"/>
      <c r="I2504" s="2"/>
      <c r="J2504" s="2"/>
      <c r="K2504" s="2"/>
      <c r="L2504" s="2"/>
      <c r="M2504" s="2"/>
      <c r="N2504" s="2"/>
      <c r="O2504" s="2"/>
      <c r="P2504" s="2"/>
      <c r="Q2504" s="2"/>
      <c r="R2504" s="2"/>
      <c r="S2504" s="2"/>
      <c r="T2504" s="2"/>
      <c r="U2504" s="2"/>
      <c r="V2504" s="2"/>
      <c r="W2504" s="2"/>
      <c r="X2504" s="2"/>
      <c r="Y2504" s="2"/>
      <c r="Z2504" s="2"/>
      <c r="AA2504" s="2"/>
    </row>
    <row r="2505">
      <c r="A2505" s="1" t="s">
        <v>5971</v>
      </c>
      <c r="B2505" s="1" t="s">
        <v>5978</v>
      </c>
      <c r="C2505" s="1" t="s">
        <v>5979</v>
      </c>
      <c r="D2505" s="2" t="str">
        <f>IFERROR(__xludf.DUMMYFUNCTION("GOOGLETRANSLATE(B2505, ""en"", ""TL"")"),"Paano tinutukoy ng batas ang pagkabaliw o pagbaba ng kapasidad sa konteksto ng mga kasong kriminal?")</f>
        <v>Paano tinutukoy ng batas ang pagkabaliw o pagbaba ng kapasidad sa konteksto ng mga kasong kriminal?</v>
      </c>
      <c r="E2505" s="2" t="str">
        <f>IFERROR(__xludf.DUMMYFUNCTION("GOOGLETRANSLATE(C2505, ""en"", ""TL"")"),"Sa Pilipinas, ang mga legal na kahulugan ng pagkabaliw o pinaliit na kapasidad sa konteksto ng mga kasong kriminal ay pangunahing nagmula sa mga legal na prinsipyo na itinatag sa pamamagitan ng jurisprudence at interpretasyon ng mga kaugnay na batas. Baga"&amp;"ma't walang tiyak na ayon sa batas na kahulugan ng pagkabaliw o pagbaba ng kapasidad sa batas ng Pilipinas, ang mga konseptong ito ay karaniwang nauunawaan sa loob ng konteksto ng kriminal na pananagutan. Narito ang isang pangkalahatang-ideya:
1. **Insani"&amp;"ty Defense:**
- Ang pagkabaliw, bilang isang legal na depensa sa mga kasong kriminal, ay karaniwang tumutukoy sa isang mental na estado kung saan ang akusado na indibidwal ay walang kapasidad na maunawaan ang kalikasan at mga kahihinatnan ng kanilang mga "&amp;"aksyon o upang makilala ang tama sa mali sa oras na gawin ang di-umano'y pagkakasala.
- Ang pagkabaliw ay maaaring sanhi ng isang matinding sakit sa pag-iisip, tulad ng psychosis, schizophrenia, o malubhang mood disorder, na nakakasira sa cognitive functi"&amp;"on ng indibidwal at mga kakayahan sa paggawa ng desisyon.
2. **Pinababang Kapasidad:**
- Ang pinaliit na kapasidad, na kilala rin bilang partial insanity o nabawasang responsibilidad, ay tumutukoy sa isang mental na kalagayan kung saan ang kapasidad ng pa"&amp;"g-iisip ng akusado na indibidwal ay may kapansanan sa isang antas na nakakaapekto sa kanilang kakayahan na bumuo ng partikular na kriminal na layunin o upang lubos na pahalagahan ang kamalian ng kanilang mga aksyon.
- Ang pagbawas sa kapasidad ay maaaring"&amp;" magresulta mula sa mga salik tulad ng sakit sa isip, mga karamdaman sa pag-unlad, mga kapansanan sa pag-iisip, o pagkalasing na nagpapababa sa kakayahan ng indibidwal na ganap na kontrolin ang kanilang pag-uugali.
3. **Pasan ng Patunay:**
- Sa mga kasong"&amp;" kriminal kung saan ang pagkabaliw o pagbaba ng kapasidad ay itinaas bilang isang depensa, ang pasanin ng patunay ay karaniwang nakasalalay sa depensa upang itatag, sa pamamagitan ng malinaw at nakakumbinsi na ebidensya, na ang akusado na indibidwal ay na"&amp;"kakatugon sa mga pamantayan para sa pagkabaliw o nabawasang kapasidad sa oras ng pagkakasala.
- Ang depensa ay maaaring magpakita ng mga pagsusuri sa saykayatriko, testimonya ng eksperto, mga rekord ng medikal, at iba pang ebidensya upang suportahan ang k"&amp;"anilang pag-aangkin ng pagkabaliw o pagbaba ng kapasidad.
4. **Mga Legal na Pagsusuri at Pamantayan:**
- Bagama't walang partikular na legal na pagsubok para sa pagkabaliw o pinaliit na kapasidad na naka-codify sa batas ng Pilipinas, maaaring isaalang-ala"&amp;"ng ng mga korte ang mga legal na prinsipyo na nagmula sa mga karaniwang pamantayan sa batas at internasyonal na mga pamantayang legal.
- Maaaring maglapat ang mga korte ng mga pagsusulit gaya ng M'Naghten Rule, Durham Rule, o Model Penal Code test upang m"&amp;"atukoy ang pagkabaliw o pagbaba ng kapasidad, depende sa mga pangyayari ng kaso at umiiral na mga legal na prinsipyo.
5. **Pagpapasya ng Hudisyal:**
- Sa huli, ang pagpapasiya ng pagkabaliw o pagbaba ng kapasidad sa mga kasong kriminal ay napapailalim sa "&amp;"pagpapasya ng korte, na sinusuri ang ebidensyang ipinakita ng parehong prosekusyon at depensa at inilalapat ang mga nauugnay na legal na prinsipyo sa pag-abot ng desisyon.
- Maaaring isaalang-alang ng mga korte ang kabuuan ng mga pangyayari, kabilang ang "&amp;"kasaysayan ng kalusugan ng isip ng akusado, pag-uugali sa oras ng pagkakasala, at mga opinyon ng eksperto mula sa mga propesyonal sa kalusugan ng isip, sa paggawa ng mga pagpapasiya hinggil sa pagkabaliw o pagbaba ng kapasidad.
Sa pangkalahatan, habang wa"&amp;"lang tiyak na ayon sa batas na kahulugan ng pagkabaliw o pagbaba ng kapasidad sa batas ng Pilipinas, ang mga konseptong ito ay kinikilala sa loob ng konteksto ng kriminal na pananagutan, at maaaring maglapat ang mga korte ng mga legal na pagsubok at mga p"&amp;"amantayang nagmula sa mga prinsipyo ng karaniwang batas upang masuri ang kalagayan ng kaisipan ng mga akusado na indibidwal sa mga kasong kriminal.")</f>
        <v>Sa Pilipinas, ang mga legal na kahulugan ng pagkabaliw o pinaliit na kapasidad sa konteksto ng mga kasong kriminal ay pangunahing nagmula sa mga legal na prinsipyo na itinatag sa pamamagitan ng jurisprudence at interpretasyon ng mga kaugnay na batas. Bagama't walang tiyak na ayon sa batas na kahulugan ng pagkabaliw o pagbaba ng kapasidad sa batas ng Pilipinas, ang mga konseptong ito ay karaniwang nauunawaan sa loob ng konteksto ng kriminal na pananagutan. Narito ang isang pangkalahatang-ideya:
1. **Insanity Defense:**
- Ang pagkabaliw, bilang isang legal na depensa sa mga kasong kriminal, ay karaniwang tumutukoy sa isang mental na estado kung saan ang akusado na indibidwal ay walang kapasidad na maunawaan ang kalikasan at mga kahihinatnan ng kanilang mga aksyon o upang makilala ang tama sa mali sa oras na gawin ang di-umano'y pagkakasala.
- Ang pagkabaliw ay maaaring sanhi ng isang matinding sakit sa pag-iisip, tulad ng psychosis, schizophrenia, o malubhang mood disorder, na nakakasira sa cognitive function ng indibidwal at mga kakayahan sa paggawa ng desisyon.
2. **Pinababang Kapasidad:**
- Ang pinaliit na kapasidad, na kilala rin bilang partial insanity o nabawasang responsibilidad, ay tumutukoy sa isang mental na kalagayan kung saan ang kapasidad ng pag-iisip ng akusado na indibidwal ay may kapansanan sa isang antas na nakakaapekto sa kanilang kakayahan na bumuo ng partikular na kriminal na layunin o upang lubos na pahalagahan ang kamalian ng kanilang mga aksyon.
- Ang pagbawas sa kapasidad ay maaaring magresulta mula sa mga salik tulad ng sakit sa isip, mga karamdaman sa pag-unlad, mga kapansanan sa pag-iisip, o pagkalasing na nagpapababa sa kakayahan ng indibidwal na ganap na kontrolin ang kanilang pag-uugali.
3. **Pasan ng Patunay:**
- Sa mga kasong kriminal kung saan ang pagkabaliw o pagbaba ng kapasidad ay itinaas bilang isang depensa, ang pasanin ng patunay ay karaniwang nakasalalay sa depensa upang itatag, sa pamamagitan ng malinaw at nakakumbinsi na ebidensya, na ang akusado na indibidwal ay nakakatugon sa mga pamantayan para sa pagkabaliw o nabawasang kapasidad sa oras ng pagkakasala.
- Ang depensa ay maaaring magpakita ng mga pagsusuri sa saykayatriko, testimonya ng eksperto, mga rekord ng medikal, at iba pang ebidensya upang suportahan ang kanilang pag-aangkin ng pagkabaliw o pagbaba ng kapasidad.
4. **Mga Legal na Pagsusuri at Pamantayan:**
- Bagama't walang partikular na legal na pagsubok para sa pagkabaliw o pinaliit na kapasidad na naka-codify sa batas ng Pilipinas, maaaring isaalang-alang ng mga korte ang mga legal na prinsipyo na nagmula sa mga karaniwang pamantayan sa batas at internasyonal na mga pamantayang legal.
- Maaaring maglapat ang mga korte ng mga pagsusulit gaya ng M'Naghten Rule, Durham Rule, o Model Penal Code test upang matukoy ang pagkabaliw o pagbaba ng kapasidad, depende sa mga pangyayari ng kaso at umiiral na mga legal na prinsipyo.
5. **Pagpapasya ng Hudisyal:**
- Sa huli, ang pagpapasiya ng pagkabaliw o pagbaba ng kapasidad sa mga kasong kriminal ay napapailalim sa pagpapasya ng korte, na sinusuri ang ebidensyang ipinakita ng parehong prosekusyon at depensa at inilalapat ang mga nauugnay na legal na prinsipyo sa pag-abot ng desisyon.
- Maaaring isaalang-alang ng mga korte ang kabuuan ng mga pangyayari, kabilang ang kasaysayan ng kalusugan ng isip ng akusado, pag-uugali sa oras ng pagkakasala, at mga opinyon ng eksperto mula sa mga propesyonal sa kalusugan ng isip, sa paggawa ng mga pagpapasiya hinggil sa pagkabaliw o pagbaba ng kapasidad.
Sa pangkalahatan, habang walang tiyak na ayon sa batas na kahulugan ng pagkabaliw o pagbaba ng kapasidad sa batas ng Pilipinas, ang mga konseptong ito ay kinikilala sa loob ng konteksto ng kriminal na pananagutan, at maaaring maglapat ang mga korte ng mga legal na pagsubok at mga pamantayang nagmula sa mga prinsipyo ng karaniwang batas upang masuri ang kalagayan ng kaisipan ng mga akusado na indibidwal sa mga kasong kriminal.</v>
      </c>
      <c r="F2505" s="2">
        <f t="shared" si="1"/>
        <v>0</v>
      </c>
      <c r="G2505" s="2"/>
      <c r="H2505" s="2"/>
      <c r="I2505" s="2"/>
      <c r="J2505" s="2"/>
      <c r="K2505" s="2"/>
      <c r="L2505" s="2"/>
      <c r="M2505" s="2"/>
      <c r="N2505" s="2"/>
      <c r="O2505" s="2"/>
      <c r="P2505" s="2"/>
      <c r="Q2505" s="2"/>
      <c r="R2505" s="2"/>
      <c r="S2505" s="2"/>
      <c r="T2505" s="2"/>
      <c r="U2505" s="2"/>
      <c r="V2505" s="2"/>
      <c r="W2505" s="2"/>
      <c r="X2505" s="2"/>
      <c r="Y2505" s="2"/>
      <c r="Z2505" s="2"/>
      <c r="AA2505" s="2"/>
    </row>
    <row r="2506">
      <c r="A2506" s="1" t="s">
        <v>5971</v>
      </c>
      <c r="B2506" s="1" t="s">
        <v>5980</v>
      </c>
      <c r="C2506" s="1" t="s">
        <v>5981</v>
      </c>
      <c r="D2506" s="2" t="str">
        <f>IFERROR(__xludf.DUMMYFUNCTION("GOOGLETRANSLATE(B2506, ""en"", ""TL"")"),"Mayroon bang mga partikular na legal na probisyon para sa psychiatric na pagsusuri ng mga indibidwal na inakusahan ng mga krimen?")</f>
        <v>Mayroon bang mga partikular na legal na probisyon para sa psychiatric na pagsusuri ng mga indibidwal na inakusahan ng mga krimen?</v>
      </c>
      <c r="E2506" s="2" t="str">
        <f>IFERROR(__xludf.DUMMYFUNCTION("GOOGLETRANSLATE(C2506, ""en"", ""TL"")"),"Oo, sa Pilipinas, mayroong mga partikular na legal na probisyon para sa psychiatric na pagsusuri ng mga indibidwal na inakusahan ng mga krimen. Ang mga probisyong ito ay pangunahing nakabalangkas sa Mga Panuntunan ng Hukuman at sa Mental Health Act ng 201"&amp;"8. Narito ang isang breakdown ng mga nauugnay na legal na probisyon:
1. **Mga Panuntunan ng Hukuman:**
- Ang Rule 116, Section 14 ng Rules of Court ay nagtatadhana para sa pagsusuri ng mental na kondisyon ng akusado sa mga kasong kriminal. Nakasaad dito n"&amp;"a kapag naging isyu sa kaso ang mental condition ng akusado, maaaring iutos ng korte ang kanilang pagsusuri ng isa o higit pang psychiatrist o psychologist.
2. **Mental Health Act of 2018 (Republic Act No. 11036):**
- Kasama sa Mental Health Act of 2018 a"&amp;"ng mga probisyon na nauugnay sa pagtatasa at paggamot ng mga indibidwal na may mga kondisyon sa kalusugan ng isip, kabilang ang mga inakusahan ng mga krimen.
- Tinukoy ng Seksyon 19 ng Mental Health Act na kapag ang isang indibidwal na may kondisyon sa ka"&amp;"lusugan ng isip ay inakusahan ng isang krimen, maaaring utusan ng korte ang kanilang pagsusuri ng isa o higit pang mga psychiatrist o psychologist upang matukoy ang kanilang katayuan sa kalusugan ng isip at kakayahan na lumahok sa mga legal na paglilitis "&amp;".
3. **Involuntary Psychiatric Evaluation:**
- Sa mga kaso kung saan may mga indikasyon na ang kondisyon ng pag-iisip ng akusado na indibidwal ay maaaring makaapekto sa kanilang kakayahang humarap sa paglilitis o sa kanilang kriminal na pananagutan, ang h"&amp;"ukuman ay maaaring mag-utos ng isang hindi boluntaryong pagsusuri sa saykayatriko.
- Maaaring kabilang sa pagsusuri ang mga panayam, sikolohikal na pagtatasa, pagsusuri sa pag-iisip, at pagrepaso sa mga medikal na rekord upang masuri ang katayuan sa kalus"&amp;"ugang pangkaisipan at kakayahan ng akusado.
4. **Ulat sa Pagsusuri:**
- Kasunod ng pagsusuri sa saykayatriko, ang mga itinalagang propesyonal sa kalusugan ng isip ay naghahanda ng isang ulat na nagdedetalye ng kanilang mga natuklasan, konklusyon, at rekom"&amp;"endasyon tungkol sa kalagayan ng kalusugang pangkaisipan ng akusado at kakayahan na humarap sa paglilitis.
- Ang ulat sa pagsusuri ay maaaring isumite sa hukuman at gawing bahagi ng mga opisyal na rekord ng hukuman, at maaari nitong ipaalam ang mga desisy"&amp;"on tungkol sa legal na katayuan ng akusado at ang pangangailangan para sa paggamot o interbensyon sa kalusugan ng isip.
5. **Paggamit ng Pagsusuri sa Mga Legal na Pamamaraan:**
- Ang mga natuklasan ng pagsusuri sa saykayatriko ay maaaring gamitin bilang e"&amp;"bidensya sa mga legal na paglilitis upang ipaalam ang mga desisyon tungkol sa pagiging angkop ng akusado na indibidwal na humarap sa paglilitis, pananagutan sa krimen, at paghatol.
- Maaaring tawagan ang mga propesyonal sa kalusugan ng isip na magbigay ng"&amp;" ekspertong patotoo batay sa kanilang mga natuklasan sa pagsusuri upang tulungan ang hukuman sa paggawa ng matalinong mga desisyon tungkol sa katayuan sa kalusugan ng pag-iisip at mga legal na karapatan ng akusado.
Sa pangkalahatan, ang mga legal na probi"&amp;"syon na ito ay nagtatatag ng balangkas para sa psychiatric na pagsusuri ng mga indibidwal na inakusahan ng mga krimen sa Pilipinas, na tinitiyak na ang kanilang mga pangangailangan sa kalusugan ng isip ay natutugunan, at ang kanilang mga legal na karapata"&amp;"n ay protektado sa loob ng sistema ng hustisyang pangkriminal.")</f>
        <v>Oo, sa Pilipinas, mayroong mga partikular na legal na probisyon para sa psychiatric na pagsusuri ng mga indibidwal na inakusahan ng mga krimen. Ang mga probisyong ito ay pangunahing nakabalangkas sa Mga Panuntunan ng Hukuman at sa Mental Health Act ng 2018. Narito ang isang breakdown ng mga nauugnay na legal na probisyon:
1. **Mga Panuntunan ng Hukuman:**
- Ang Rule 116, Section 14 ng Rules of Court ay nagtatadhana para sa pagsusuri ng mental na kondisyon ng akusado sa mga kasong kriminal. Nakasaad dito na kapag naging isyu sa kaso ang mental condition ng akusado, maaaring iutos ng korte ang kanilang pagsusuri ng isa o higit pang psychiatrist o psychologist.
2. **Mental Health Act of 2018 (Republic Act No. 11036):**
- Kasama sa Mental Health Act of 2018 ang mga probisyon na nauugnay sa pagtatasa at paggamot ng mga indibidwal na may mga kondisyon sa kalusugan ng isip, kabilang ang mga inakusahan ng mga krimen.
- Tinukoy ng Seksyon 19 ng Mental Health Act na kapag ang isang indibidwal na may kondisyon sa kalusugan ng isip ay inakusahan ng isang krimen, maaaring utusan ng korte ang kanilang pagsusuri ng isa o higit pang mga psychiatrist o psychologist upang matukoy ang kanilang katayuan sa kalusugan ng isip at kakayahan na lumahok sa mga legal na paglilitis .
3. **Involuntary Psychiatric Evaluation:**
- Sa mga kaso kung saan may mga indikasyon na ang kondisyon ng pag-iisip ng akusado na indibidwal ay maaaring makaapekto sa kanilang kakayahang humarap sa paglilitis o sa kanilang kriminal na pananagutan, ang hukuman ay maaaring mag-utos ng isang hindi boluntaryong pagsusuri sa saykayatriko.
- Maaaring kabilang sa pagsusuri ang mga panayam, sikolohikal na pagtatasa, pagsusuri sa pag-iisip, at pagrepaso sa mga medikal na rekord upang masuri ang katayuan sa kalusugang pangkaisipan at kakayahan ng akusado.
4. **Ulat sa Pagsusuri:**
- Kasunod ng pagsusuri sa saykayatriko, ang mga itinalagang propesyonal sa kalusugan ng isip ay naghahanda ng isang ulat na nagdedetalye ng kanilang mga natuklasan, konklusyon, at rekomendasyon tungkol sa kalagayan ng kalusugang pangkaisipan ng akusado at kakayahan na humarap sa paglilitis.
- Ang ulat sa pagsusuri ay maaaring isumite sa hukuman at gawing bahagi ng mga opisyal na rekord ng hukuman, at maaari nitong ipaalam ang mga desisyon tungkol sa legal na katayuan ng akusado at ang pangangailangan para sa paggamot o interbensyon sa kalusugan ng isip.
5. **Paggamit ng Pagsusuri sa Mga Legal na Pamamaraan:**
- Ang mga natuklasan ng pagsusuri sa saykayatriko ay maaaring gamitin bilang ebidensya sa mga legal na paglilitis upang ipaalam ang mga desisyon tungkol sa pagiging angkop ng akusado na indibidwal na humarap sa paglilitis, pananagutan sa krimen, at paghatol.
- Maaaring tawagan ang mga propesyonal sa kalusugan ng isip na magbigay ng ekspertong patotoo batay sa kanilang mga natuklasan sa pagsusuri upang tulungan ang hukuman sa paggawa ng matalinong mga desisyon tungkol sa katayuan sa kalusugan ng pag-iisip at mga legal na karapatan ng akusado.
Sa pangkalahatan, ang mga legal na probisyon na ito ay nagtatatag ng balangkas para sa psychiatric na pagsusuri ng mga indibidwal na inakusahan ng mga krimen sa Pilipinas, na tinitiyak na ang kanilang mga pangangailangan sa kalusugan ng isip ay natutugunan, at ang kanilang mga legal na karapatan ay protektado sa loob ng sistema ng hustisyang pangkriminal.</v>
      </c>
      <c r="F2506" s="2">
        <f t="shared" si="1"/>
        <v>0</v>
      </c>
      <c r="G2506" s="2"/>
      <c r="H2506" s="2"/>
      <c r="I2506" s="2"/>
      <c r="J2506" s="2"/>
      <c r="K2506" s="2"/>
      <c r="L2506" s="2"/>
      <c r="M2506" s="2"/>
      <c r="N2506" s="2"/>
      <c r="O2506" s="2"/>
      <c r="P2506" s="2"/>
      <c r="Q2506" s="2"/>
      <c r="R2506" s="2"/>
      <c r="S2506" s="2"/>
      <c r="T2506" s="2"/>
      <c r="U2506" s="2"/>
      <c r="V2506" s="2"/>
      <c r="W2506" s="2"/>
      <c r="X2506" s="2"/>
      <c r="Y2506" s="2"/>
      <c r="Z2506" s="2"/>
      <c r="AA2506" s="2"/>
    </row>
    <row r="2507">
      <c r="A2507" s="1" t="s">
        <v>5971</v>
      </c>
      <c r="B2507" s="1" t="s">
        <v>5982</v>
      </c>
      <c r="C2507" s="1" t="s">
        <v>5983</v>
      </c>
      <c r="D2507" s="2" t="str">
        <f>IFERROR(__xludf.DUMMYFUNCTION("GOOGLETRANSLATE(B2507, ""en"", ""TL"")"),"Anong papel ang ginagampanan ng mga propesyonal sa kalusugang pangkaisipan sa sistema ng hustisyang pangkriminal tungkol sa mga pagsusuri sa saykayatriko?")</f>
        <v>Anong papel ang ginagampanan ng mga propesyonal sa kalusugang pangkaisipan sa sistema ng hustisyang pangkriminal tungkol sa mga pagsusuri sa saykayatriko?</v>
      </c>
      <c r="E2507" s="2" t="str">
        <f>IFERROR(__xludf.DUMMYFUNCTION("GOOGLETRANSLATE(C2507, ""en"", ""TL"")"),"Sa sistema ng hustisyang pangkriminal, ang mga propesyonal sa kalusugang pangkaisipan ay gumaganap ng mahalagang papel sa pagsasagawa ng mga pagsusuri sa saykayatriko upang masuri ang katayuan sa kalusugan ng isip, kakayahan, at pananagutan ng mga indibid"&amp;"wal na kasangkot sa mga legal na paglilitis. Narito ang isang breakdown ng mga tungkuling ginagampanan ng mga propesyonal sa kalusugang pangkaisipan sa sistema ng hustisyang kriminal hinggil sa mga pagsusuri sa saykayatriko:
1. **Psychiatric Assessment:**"&amp;"
- Ang mga propesyonal sa kalusugan ng isip, tulad ng mga psychiatrist, psychologist, at psychiatric nurse, ay nagsasagawa ng psychiatric assessments ng mga indibidwal na sangkot sa criminal justice system.
- Ang mga pagtatasa na ito ay naglalayong suriin"&amp;" ang kalagayan ng kalusugan ng isip, paggana ng pag-iisip, at mga sintomas ng saykayatriko ng mga indibidwal, kabilang ang mga nasasakdal, mga biktima, at mga saksi.
2. **Kakayahang Tumayo sa Pagsubok:**
- Tinatasa ng mga propesyonal sa kalusugan ng isip "&amp;"ang kakayahan ng mga nasasakdal na humarap sa paglilitis, na kinabibilangan ng pagtukoy kung mayroon silang sapat na pang-unawa sa mga legal na paglilitis laban sa kanila at ang kakayahang tumulong sa kanilang pagtatanggol.
- Ang mga pagsusuri sa kakayaha"&amp;"n ay maaaring may kasamang mga panayam, sikolohikal na pagsusuri, at pagsusuri ng mga medikal na rekord upang masuri ang mga kakayahan ng nasasakdal sa pag-iisip at kakayahan sa pag-iisip.
3. **Paninagutang Kriminal:**
- Maaaring tasahin ng mga propesyona"&amp;"l sa kalusugang pangkaisipan ang kriminal na pananagutan ng mga nasasakdal, lalo na sa mga kaso kung saan ang sakit sa isip o kapansanan ay maaaring makaapekto sa kanilang kakayahang pahalagahan ang kalikasan at mga kahihinatnan ng kanilang mga aksyon o i"&amp;"ayon ang kanilang pag-uugali sa mga kinakailangan ng batas.
- Ang mga pagsusuri sa pananagutang kriminal ay maaaring isaalang-alang ang mga salik tulad ng pagkakaroon ng mga sakit sa isip, pag-abuso sa sangkap, mga kapansanan sa pag-iisip, at mga nagpapag"&amp;"aan na pangyayari.
4. **Pagtatasa ng Panganib:**
- Ang mga propesyonal sa kalusugang pangkaisipan ay nagsasagawa ng mga pagtatasa ng panganib upang suriin ang potensyal na panganib ng pinsalang dulot ng mga indibidwal na kasangkot sa sistema ng hustisyang"&amp;" pangkriminal, kabilang ang mga nasasakdal, nagkasala, at mga indibidwal na naghihintay ng paglilitis o pagsentensiya.
- Maaaring isaalang-alang ng mga pagtatasa ng panganib ang mga salik gaya ng pagkakaroon ng sakit sa pag-iisip, pag-abuso sa sangkap, ka"&amp;"saysayan ng karahasan, at iba pang mga kadahilanan ng panganib na nauugnay sa kaligtasan ng publiko.
5. **Mga Rekomendasyon sa Paggamot:**
- Batay sa kanilang mga pagsusuri, ang mga propesyonal sa kalusugan ng isip ay maaaring magbigay ng mga rekomendasyo"&amp;"n sa paggamot para sa mga indibidwal na sangkot sa sistema ng hustisyang pangkriminal.
- Maaaring kabilang sa mga rekomendasyon ang psychiatric na paggamot, pagpapayo, therapy, pamamahala ng gamot, paggamot sa pag-abuso sa sangkap, at iba pang mga interbe"&amp;"nsyon na naglalayong tugunan ang mga pangangailangan sa kalusugan ng isip at bawasan ang panganib ng pinsala sa hinaharap.
6. **Patotoo ng Eksperto:**
- Maaaring tawagan ang mga propesyonal sa kalusugang pangkaisipan upang magbigay ng ekspertong patotoo s"&amp;"a korte tungkol sa kanilang mga pagsusuri at natuklasan sa saykayatriko.
- Ang testimonya ng eksperto ay maaaring makatulong na ipaalam ang mga legal na paglilitis, tulungan ang hukuman sa paggawa ng matalinong mga desisyon, at turuan ang mga hukom, hurad"&amp;"o, at abogado tungkol sa mga kumplikadong isyu sa kalusugan ng isip.
Sa pangkalahatan, ang mga propesyonal sa kalusugan ng isip ay gumaganap ng isang kritikal na papel sa sistema ng hustisyang pangkrimen sa pamamagitan ng pagsasagawa ng mga pagsusuri sa s"&amp;"aykayatriko, pagtatasa ng katayuan at kakayahan sa kalusugan ng isip, at pagbibigay ng patotoo ng dalubhasa upang ipaalam ang mga legal na paglilitis at itaguyod ang patas at makatarungang mga resulta. Ang kanilang kadalubhasaan ay nag-aambag sa pag-unawa"&amp;" sa mga isyu sa kalusugan ng isip sa loob ng konteksto ng batas at pinapadali ang paghahatid ng naaangkop na paggamot at mga interbensyon para sa mga indibidwal na sangkot sa sistema ng hustisyang kriminal.")</f>
        <v>Sa sistema ng hustisyang pangkriminal, ang mga propesyonal sa kalusugang pangkaisipan ay gumaganap ng mahalagang papel sa pagsasagawa ng mga pagsusuri sa saykayatriko upang masuri ang katayuan sa kalusugan ng isip, kakayahan, at pananagutan ng mga indibidwal na kasangkot sa mga legal na paglilitis. Narito ang isang breakdown ng mga tungkuling ginagampanan ng mga propesyonal sa kalusugang pangkaisipan sa sistema ng hustisyang kriminal hinggil sa mga pagsusuri sa saykayatriko:
1. **Psychiatric Assessment:**
- Ang mga propesyonal sa kalusugan ng isip, tulad ng mga psychiatrist, psychologist, at psychiatric nurse, ay nagsasagawa ng psychiatric assessments ng mga indibidwal na sangkot sa criminal justice system.
- Ang mga pagtatasa na ito ay naglalayong suriin ang kalagayan ng kalusugan ng isip, paggana ng pag-iisip, at mga sintomas ng saykayatriko ng mga indibidwal, kabilang ang mga nasasakdal, mga biktima, at mga saksi.
2. **Kakayahang Tumayo sa Pagsubok:**
- Tinatasa ng mga propesyonal sa kalusugan ng isip ang kakayahan ng mga nasasakdal na humarap sa paglilitis, na kinabibilangan ng pagtukoy kung mayroon silang sapat na pang-unawa sa mga legal na paglilitis laban sa kanila at ang kakayahang tumulong sa kanilang pagtatanggol.
- Ang mga pagsusuri sa kakayahan ay maaaring may kasamang mga panayam, sikolohikal na pagsusuri, at pagsusuri ng mga medikal na rekord upang masuri ang mga kakayahan ng nasasakdal sa pag-iisip at kakayahan sa pag-iisip.
3. **Paninagutang Kriminal:**
- Maaaring tasahin ng mga propesyonal sa kalusugang pangkaisipan ang kriminal na pananagutan ng mga nasasakdal, lalo na sa mga kaso kung saan ang sakit sa isip o kapansanan ay maaaring makaapekto sa kanilang kakayahang pahalagahan ang kalikasan at mga kahihinatnan ng kanilang mga aksyon o iayon ang kanilang pag-uugali sa mga kinakailangan ng batas.
- Ang mga pagsusuri sa pananagutang kriminal ay maaaring isaalang-alang ang mga salik tulad ng pagkakaroon ng mga sakit sa isip, pag-abuso sa sangkap, mga kapansanan sa pag-iisip, at mga nagpapagaan na pangyayari.
4. **Pagtatasa ng Panganib:**
- Ang mga propesyonal sa kalusugang pangkaisipan ay nagsasagawa ng mga pagtatasa ng panganib upang suriin ang potensyal na panganib ng pinsalang dulot ng mga indibidwal na kasangkot sa sistema ng hustisyang pangkriminal, kabilang ang mga nasasakdal, nagkasala, at mga indibidwal na naghihintay ng paglilitis o pagsentensiya.
- Maaaring isaalang-alang ng mga pagtatasa ng panganib ang mga salik gaya ng pagkakaroon ng sakit sa pag-iisip, pag-abuso sa sangkap, kasaysayan ng karahasan, at iba pang mga kadahilanan ng panganib na nauugnay sa kaligtasan ng publiko.
5. **Mga Rekomendasyon sa Paggamot:**
- Batay sa kanilang mga pagsusuri, ang mga propesyonal sa kalusugan ng isip ay maaaring magbigay ng mga rekomendasyon sa paggamot para sa mga indibidwal na sangkot sa sistema ng hustisyang pangkriminal.
- Maaaring kabilang sa mga rekomendasyon ang psychiatric na paggamot, pagpapayo, therapy, pamamahala ng gamot, paggamot sa pag-abuso sa sangkap, at iba pang mga interbensyon na naglalayong tugunan ang mga pangangailangan sa kalusugan ng isip at bawasan ang panganib ng pinsala sa hinaharap.
6. **Patotoo ng Eksperto:**
- Maaaring tawagan ang mga propesyonal sa kalusugang pangkaisipan upang magbigay ng ekspertong patotoo sa korte tungkol sa kanilang mga pagsusuri at natuklasan sa saykayatriko.
- Ang testimonya ng eksperto ay maaaring makatulong na ipaalam ang mga legal na paglilitis, tulungan ang hukuman sa paggawa ng matalinong mga desisyon, at turuan ang mga hukom, hurado, at abogado tungkol sa mga kumplikadong isyu sa kalusugan ng isip.
Sa pangkalahatan, ang mga propesyonal sa kalusugan ng isip ay gumaganap ng isang kritikal na papel sa sistema ng hustisyang pangkrimen sa pamamagitan ng pagsasagawa ng mga pagsusuri sa saykayatriko, pagtatasa ng katayuan at kakayahan sa kalusugan ng isip, at pagbibigay ng patotoo ng dalubhasa upang ipaalam ang mga legal na paglilitis at itaguyod ang patas at makatarungang mga resulta. Ang kanilang kadalubhasaan ay nag-aambag sa pag-unawa sa mga isyu sa kalusugan ng isip sa loob ng konteksto ng batas at pinapadali ang paghahatid ng naaangkop na paggamot at mga interbensyon para sa mga indibidwal na sangkot sa sistema ng hustisyang kriminal.</v>
      </c>
      <c r="F2507" s="2">
        <f t="shared" si="1"/>
        <v>0</v>
      </c>
      <c r="G2507" s="2"/>
      <c r="H2507" s="2"/>
      <c r="I2507" s="2"/>
      <c r="J2507" s="2"/>
      <c r="K2507" s="2"/>
      <c r="L2507" s="2"/>
      <c r="M2507" s="2"/>
      <c r="N2507" s="2"/>
      <c r="O2507" s="2"/>
      <c r="P2507" s="2"/>
      <c r="Q2507" s="2"/>
      <c r="R2507" s="2"/>
      <c r="S2507" s="2"/>
      <c r="T2507" s="2"/>
      <c r="U2507" s="2"/>
      <c r="V2507" s="2"/>
      <c r="W2507" s="2"/>
      <c r="X2507" s="2"/>
      <c r="Y2507" s="2"/>
      <c r="Z2507" s="2"/>
      <c r="AA2507" s="2"/>
    </row>
    <row r="2508">
      <c r="A2508" s="1" t="s">
        <v>5971</v>
      </c>
      <c r="B2508" s="1" t="s">
        <v>5984</v>
      </c>
      <c r="C2508" s="1" t="s">
        <v>5985</v>
      </c>
      <c r="D2508" s="2" t="str">
        <f>IFERROR(__xludf.DUMMYFUNCTION("GOOGLETRANSLATE(B2508, ""en"", ""TL"")"),"Paano tinutugunan ng batas ang paggamot at rehabilitasyon ng mga indibidwal na may mga sakit na psychiatric sa mga correctional facility?")</f>
        <v>Paano tinutugunan ng batas ang paggamot at rehabilitasyon ng mga indibidwal na may mga sakit na psychiatric sa mga correctional facility?</v>
      </c>
      <c r="E2508" s="2" t="str">
        <f>IFERROR(__xludf.DUMMYFUNCTION("GOOGLETRANSLATE(C2508, ""en"", ""TL"")"),"Sa Pilipinas, ang paggamot at rehabilitasyon ng mga indibidwal na may mga sakit na psychiatric sa mga correctional facility ay pinamamahalaan ng iba't ibang batas, regulasyon, at patakaran na naglalayong tiyakin ang makataong paggamot, pag-access sa panga"&amp;"ngalagang pangkalusugan, at mga serbisyo sa rehabilitasyon para sa mga nakakulong na indibidwal. Narito kung paano tinutugunan ng batas ang paggamot at rehabilitasyon ng mga indibidwal na may mga sakit na psychiatric sa mga correctional facility:
1. **Phi"&amp;"lippine Mental Health Act (Republic Act No. 11036):**
- Kinikilala ng Philippine Mental Health Act of 2018 ang mga karapatan ng mga indibidwal na may kondisyon sa kalusugan ng isip, kabilang ang mga nakakulong.
- Ang Seksyon 14 ng Mental Health Act ay nag"&amp;"-uutos sa pagbibigay ng mga serbisyo sa kalusugan ng isip sa mga pasilidad ng pagwawasto at iba pang mga lugar ng pagkakulong, na tinitiyak ang access sa psychiatric assessment, paggamot, at rehabilitasyon para sa mga indibidwal na may mga kondisyon sa ka"&amp;"lusugan ng isip.
2. **Mga Panuntunan at Regulasyon para sa Pagtrato sa mga Bilanggo (Department of Justice):**
- Ang Department of Justice (DOJ) ay nagtatakda ng mga alituntunin at pamantayan para sa paggamot at rehabilitasyon ng mga bilanggo, kabilang an"&amp;"g mga may sakit sa isip, sa pamamagitan ng mga tuntunin at regulasyon na namamahala sa mga pasilidad ng pagwawasto.
- Binabalangkas ng mga panuntunang ito ang mga karapatan ng mga bilanggo na makatanggap ng sapat na pangangalagang medikal, kabilang ang mg"&amp;"a serbisyo sa kalusugan ng isip, at magtatag ng mga protocol para sa pagtatasa, paggamot, at pamamahala ng mga sakit sa isip sa loob ng mga setting ng pagwawasto.
3. **Mga Serbisyo sa Kalusugan ng Pag-iisip sa Mga Pasilidad ng Pagwawasto:**
- Ang mga pasi"&amp;"lidad ng pagwawasto ay kinakailangan na magbigay ng mga serbisyo sa kalusugan ng isip, kabilang ang psychiatric assessment, pagpapayo, therapy, at pamamahala ng gamot, sa mga nakakulong na indibidwal na may mga sakit sa isip.
- Ang mga kwalipikadong prope"&amp;"syonal sa kalusugan ng isip, tulad ng mga psychiatrist, psychologist, at psychiatric nurse, ay maaaring magtrabaho o makontrata upang magbigay ng pangangalaga sa kalusugan ng isip sa loob ng mga correctional facility.
4. **Pagtutulungan sa Mental Health I"&amp;"nstitutions:**
- Ang mga pasilidad ng pagwawasto ay maaaring makipagtulungan sa mga institusyon at ahensya ng kalusugang pangkaisipan upang ma-access ang mga espesyal na serbisyo sa kalusugan ng isip at kadalubhasaan para sa pagtatasa at paggamot ng mga i"&amp;"ndibidwal na may mga sakit sa isip.
- Ang mga referral sa mga institusyong pangkalusugan ng isip ay maaaring gawin para sa mga indibidwal na nangangailangan ng masinsinang psychiatric treatment, rehabilitation, o forensic psychiatric evaluation.
5. **Mga "&amp;"Programa sa Rehabilitasyon:**
- Ang mga pasilidad ng pagwawasto ay maaaring mag-alok ng mga programa sa rehabilitasyon na iniayon sa mga pangangailangan ng mga indibidwal na may mga sakit na psychiatric, na tumutuon sa pagbuo ng kasanayan, psychoeducation"&amp;", cognitive-behavioral therapy, at mga grupo ng suporta.
- Ang mga programang ito ay naglalayon na mapadali ang muling pagsasama ng mga indibidwal na may mga sakit na psychiatric sa lipunan pagkalabas at upang mabawasan ang panganib ng recidivism.
6. **Pa"&amp;"gmamasid at Pagsubaybay:**
- Ang mga ahensya ng gobyerno, non-government organization (NGO), at mga tagapagtaguyod ng karapatang pantao ay maaaring magsagawa ng pangangasiwa at pagsubaybay sa mga correctional facility upang matiyak ang pagsunod sa mga bat"&amp;"as at regulasyon tungkol sa paggamot at rehabilitasyon ng mga indibidwal na may mga sakit sa isip.
- Ang mga ulat ng pang-aabuso, pagpapabaya, o hindi sapat na pangangalaga sa kalusugan ng isip sa mga pasilidad ng pagwawasto ay maaaring mag-udyok ng mga p"&amp;"agsisiyasat at pagwawasto ng mga kaugnay na awtoridad.
Sa pangkalahatan, ang paggamot at rehabilitasyon ng mga indibidwal na may mga sakit na psychiatric sa mga correctional facility sa Pilipinas ay ginagabayan ng mga batas, regulasyon, at patakaran na na"&amp;"glalayong itaguyod ang kanilang mga karapatan, tiyakin ang access sa pangangalagang pangkalusugan, at itaguyod ang kanilang kagalingan at rehabilitasyon. Ang mga pagsisikap na mapabuti ang mga serbisyo sa kalusugan ng isip sa mga correctional setting ay n"&amp;"akakatulong sa makataong paggamot at epektibong rehabilitasyon ng mga nakakulong na indibidwal na may mga sakit sa isip.")</f>
        <v>Sa Pilipinas, ang paggamot at rehabilitasyon ng mga indibidwal na may mga sakit na psychiatric sa mga correctional facility ay pinamamahalaan ng iba't ibang batas, regulasyon, at patakaran na naglalayong tiyakin ang makataong paggamot, pag-access sa pangangalagang pangkalusugan, at mga serbisyo sa rehabilitasyon para sa mga nakakulong na indibidwal. Narito kung paano tinutugunan ng batas ang paggamot at rehabilitasyon ng mga indibidwal na may mga sakit na psychiatric sa mga correctional facility:
1. **Philippine Mental Health Act (Republic Act No. 11036):**
- Kinikilala ng Philippine Mental Health Act of 2018 ang mga karapatan ng mga indibidwal na may kondisyon sa kalusugan ng isip, kabilang ang mga nakakulong.
- Ang Seksyon 14 ng Mental Health Act ay nag-uutos sa pagbibigay ng mga serbisyo sa kalusugan ng isip sa mga pasilidad ng pagwawasto at iba pang mga lugar ng pagkakulong, na tinitiyak ang access sa psychiatric assessment, paggamot, at rehabilitasyon para sa mga indibidwal na may mga kondisyon sa kalusugan ng isip.
2. **Mga Panuntunan at Regulasyon para sa Pagtrato sa mga Bilanggo (Department of Justice):**
- Ang Department of Justice (DOJ) ay nagtatakda ng mga alituntunin at pamantayan para sa paggamot at rehabilitasyon ng mga bilanggo, kabilang ang mga may sakit sa isip, sa pamamagitan ng mga tuntunin at regulasyon na namamahala sa mga pasilidad ng pagwawasto.
- Binabalangkas ng mga panuntunang ito ang mga karapatan ng mga bilanggo na makatanggap ng sapat na pangangalagang medikal, kabilang ang mga serbisyo sa kalusugan ng isip, at magtatag ng mga protocol para sa pagtatasa, paggamot, at pamamahala ng mga sakit sa isip sa loob ng mga setting ng pagwawasto.
3. **Mga Serbisyo sa Kalusugan ng Pag-iisip sa Mga Pasilidad ng Pagwawasto:**
- Ang mga pasilidad ng pagwawasto ay kinakailangan na magbigay ng mga serbisyo sa kalusugan ng isip, kabilang ang psychiatric assessment, pagpapayo, therapy, at pamamahala ng gamot, sa mga nakakulong na indibidwal na may mga sakit sa isip.
- Ang mga kwalipikadong propesyonal sa kalusugan ng isip, tulad ng mga psychiatrist, psychologist, at psychiatric nurse, ay maaaring magtrabaho o makontrata upang magbigay ng pangangalaga sa kalusugan ng isip sa loob ng mga correctional facility.
4. **Pagtutulungan sa Mental Health Institutions:**
- Ang mga pasilidad ng pagwawasto ay maaaring makipagtulungan sa mga institusyon at ahensya ng kalusugang pangkaisipan upang ma-access ang mga espesyal na serbisyo sa kalusugan ng isip at kadalubhasaan para sa pagtatasa at paggamot ng mga indibidwal na may mga sakit sa isip.
- Ang mga referral sa mga institusyong pangkalusugan ng isip ay maaaring gawin para sa mga indibidwal na nangangailangan ng masinsinang psychiatric treatment, rehabilitation, o forensic psychiatric evaluation.
5. **Mga Programa sa Rehabilitasyon:**
- Ang mga pasilidad ng pagwawasto ay maaaring mag-alok ng mga programa sa rehabilitasyon na iniayon sa mga pangangailangan ng mga indibidwal na may mga sakit na psychiatric, na tumutuon sa pagbuo ng kasanayan, psychoeducation, cognitive-behavioral therapy, at mga grupo ng suporta.
- Ang mga programang ito ay naglalayon na mapadali ang muling pagsasama ng mga indibidwal na may mga sakit na psychiatric sa lipunan pagkalabas at upang mabawasan ang panganib ng recidivism.
6. **Pagmamasid at Pagsubaybay:**
- Ang mga ahensya ng gobyerno, non-government organization (NGO), at mga tagapagtaguyod ng karapatang pantao ay maaaring magsagawa ng pangangasiwa at pagsubaybay sa mga correctional facility upang matiyak ang pagsunod sa mga batas at regulasyon tungkol sa paggamot at rehabilitasyon ng mga indibidwal na may mga sakit sa isip.
- Ang mga ulat ng pang-aabuso, pagpapabaya, o hindi sapat na pangangalaga sa kalusugan ng isip sa mga pasilidad ng pagwawasto ay maaaring mag-udyok ng mga pagsisiyasat at pagwawasto ng mga kaugnay na awtoridad.
Sa pangkalahatan, ang paggamot at rehabilitasyon ng mga indibidwal na may mga sakit na psychiatric sa mga correctional facility sa Pilipinas ay ginagabayan ng mga batas, regulasyon, at patakaran na naglalayong itaguyod ang kanilang mga karapatan, tiyakin ang access sa pangangalagang pangkalusugan, at itaguyod ang kanilang kagalingan at rehabilitasyon. Ang mga pagsisikap na mapabuti ang mga serbisyo sa kalusugan ng isip sa mga correctional setting ay nakakatulong sa makataong paggamot at epektibong rehabilitasyon ng mga nakakulong na indibidwal na may mga sakit sa isip.</v>
      </c>
      <c r="F2508" s="2">
        <f t="shared" si="1"/>
        <v>0</v>
      </c>
      <c r="G2508" s="2"/>
      <c r="H2508" s="2"/>
      <c r="I2508" s="2"/>
      <c r="J2508" s="2"/>
      <c r="K2508" s="2"/>
      <c r="L2508" s="2"/>
      <c r="M2508" s="2"/>
      <c r="N2508" s="2"/>
      <c r="O2508" s="2"/>
      <c r="P2508" s="2"/>
      <c r="Q2508" s="2"/>
      <c r="R2508" s="2"/>
      <c r="S2508" s="2"/>
      <c r="T2508" s="2"/>
      <c r="U2508" s="2"/>
      <c r="V2508" s="2"/>
      <c r="W2508" s="2"/>
      <c r="X2508" s="2"/>
      <c r="Y2508" s="2"/>
      <c r="Z2508" s="2"/>
      <c r="AA2508" s="2"/>
    </row>
    <row r="2509">
      <c r="A2509" s="1" t="s">
        <v>5971</v>
      </c>
      <c r="B2509" s="1" t="s">
        <v>5986</v>
      </c>
      <c r="C2509" s="1" t="s">
        <v>5987</v>
      </c>
      <c r="D2509" s="2" t="str">
        <f>IFERROR(__xludf.DUMMYFUNCTION("GOOGLETRANSLATE(B2509, ""en"", ""TL"")"),"Mayroon bang mga legal na pananggalang sa lugar upang protektahan ang mga karapatan ng mga indibidwal na may sakit sa isip sa panahon ng mga paglilitis sa kriminal?")</f>
        <v>Mayroon bang mga legal na pananggalang sa lugar upang protektahan ang mga karapatan ng mga indibidwal na may sakit sa isip sa panahon ng mga paglilitis sa kriminal?</v>
      </c>
      <c r="E2509" s="2" t="str">
        <f>IFERROR(__xludf.DUMMYFUNCTION("GOOGLETRANSLATE(C2509, ""en"", ""TL"")"),"Oo, kinikilala ng batas ng Pilipinas ang pangangailangang protektahan ang mga karapatan ng mga indibidwal na may sakit sa isip sa panahon ng mga paglilitis sa krimen. Narito ang isang breakdown ng ilang pangunahing legal na pananggalang:
**1. Ang Konstitu"&amp;"syon ng Pilipinas (Artikulo III, Seksyon 14):**
* Ginagarantiyahan ng seksyong ito ang karapatan sa angkop na proseso, na kinabibilangan ng karapatan sa isang patas at walang kinikilingan na paglilitis. Ang karapatang ito ay maaaring maging lalong mahalag"&amp;"a para sa mga indibidwal na may mga sakit sa isip na maaaring mangailangan ng mga kaluwagan upang maunawaan ang mga paglilitis o mabisang makilahok sa kanilang pagtatanggol. **2. Rule 112 ng Rules of Court:**
* Binabalangkas ng panuntunang ito ang proseso"&amp;" para sa pagtukoy sa mental fitness ng isang akusado upang humarap sa paglilitis. Kung ang isang hukuman ay may dahilan upang maniwala na ang akusado ay may sakit sa pag-iisip na maaaring makapinsala sa kanilang kakayahan na maunawaan ang mga paratang lab"&amp;"an sa kanila o tumulong sa kanilang depensa, maaaring mag-utos ng isang mental na pagsusuri. **3. Republic Act No. 11229 o ang Mental Health Act:**
* Kinikilala ng batas na ito ang mga karapatan ng mga taong may kapansanan sa pag-iisip, kabilang ang karap"&amp;"atang makakuha ng naaangkop na medikal na paggamot at karapatang tratuhin nang may dignidad at paggalang.
**Narito kung paano nagtutulungan ang mga pananggalang na ito:**
* Sa panahon ng mga paglilitis bago ang paglilitis, maaaring mag-utos ang hukuman ng"&amp;" pagsusuri sa pag-iisip kung may pagdududa tungkol sa mental fitness ng akusado. * Kung nalaman ng pagsusuri na ang akusado ay hindi karapat-dapat na humarap sa paglilitis, ang hukuman ay maaaring mag-utos ng paggamot hanggang sa sila ay ituring na may ka"&amp;"kayahan. * Ang hukuman ay maaaring magtalaga ng isang tagapag-alaga ad litem (isang legal na kinatawan) upang protektahan ang mga karapatan ng akusado sa panahon ng paglilitis kung kinakailangan.
**Mga Karagdagang Pagsasaalang-alang:**
* Ang pasanin ng pa"&amp;"tunay upang magtatag ng mental incapacity ay nakasalalay sa depensa. * Ang mga partikular na kaluwagan na ibibigay sa isang indibidwal na may sakit sa pag-iisip ay depende sa uri ng kanilang karamdaman at sa mga partikular na kalagayan ng kaso. **Mahalaga"&amp;"ng tandaan:**
* Ito ay ilan lamang sa mga legal na pananggalang na ipinatupad. * Ang legal na proseso ay maaaring kumplikado, at palaging inirerekomenda na kumunsulta sa isang abogadong may karanasan sa paghawak ng mga kaso na kinasasangkutan ng mga indib"&amp;"idwal na may mga sakit sa isip.")</f>
        <v>Oo, kinikilala ng batas ng Pilipinas ang pangangailangang protektahan ang mga karapatan ng mga indibidwal na may sakit sa isip sa panahon ng mga paglilitis sa krimen. Narito ang isang breakdown ng ilang pangunahing legal na pananggalang:
**1. Ang Konstitusyon ng Pilipinas (Artikulo III, Seksyon 14):**
* Ginagarantiyahan ng seksyong ito ang karapatan sa angkop na proseso, na kinabibilangan ng karapatan sa isang patas at walang kinikilingan na paglilitis. Ang karapatang ito ay maaaring maging lalong mahalaga para sa mga indibidwal na may mga sakit sa isip na maaaring mangailangan ng mga kaluwagan upang maunawaan ang mga paglilitis o mabisang makilahok sa kanilang pagtatanggol. **2. Rule 112 ng Rules of Court:**
* Binabalangkas ng panuntunang ito ang proseso para sa pagtukoy sa mental fitness ng isang akusado upang humarap sa paglilitis. Kung ang isang hukuman ay may dahilan upang maniwala na ang akusado ay may sakit sa pag-iisip na maaaring makapinsala sa kanilang kakayahan na maunawaan ang mga paratang laban sa kanila o tumulong sa kanilang depensa, maaaring mag-utos ng isang mental na pagsusuri. **3. Republic Act No. 11229 o ang Mental Health Act:**
* Kinikilala ng batas na ito ang mga karapatan ng mga taong may kapansanan sa pag-iisip, kabilang ang karapatang makakuha ng naaangkop na medikal na paggamot at karapatang tratuhin nang may dignidad at paggalang.
**Narito kung paano nagtutulungan ang mga pananggalang na ito:**
* Sa panahon ng mga paglilitis bago ang paglilitis, maaaring mag-utos ang hukuman ng pagsusuri sa pag-iisip kung may pagdududa tungkol sa mental fitness ng akusado. * Kung nalaman ng pagsusuri na ang akusado ay hindi karapat-dapat na humarap sa paglilitis, ang hukuman ay maaaring mag-utos ng paggamot hanggang sa sila ay ituring na may kakayahan. * Ang hukuman ay maaaring magtalaga ng isang tagapag-alaga ad litem (isang legal na kinatawan) upang protektahan ang mga karapatan ng akusado sa panahon ng paglilitis kung kinakailangan.
**Mga Karagdagang Pagsasaalang-alang:**
* Ang pasanin ng patunay upang magtatag ng mental incapacity ay nakasalalay sa depensa. * Ang mga partikular na kaluwagan na ibibigay sa isang indibidwal na may sakit sa pag-iisip ay depende sa uri ng kanilang karamdaman at sa mga partikular na kalagayan ng kaso. **Mahalagang tandaan:**
* Ito ay ilan lamang sa mga legal na pananggalang na ipinatupad. * Ang legal na proseso ay maaaring kumplikado, at palaging inirerekomenda na kumunsulta sa isang abogadong may karanasan sa paghawak ng mga kaso na kinasasangkutan ng mga indibidwal na may mga sakit sa isip.</v>
      </c>
      <c r="F2509" s="2">
        <f t="shared" si="1"/>
        <v>0</v>
      </c>
      <c r="G2509" s="2"/>
      <c r="H2509" s="2"/>
      <c r="I2509" s="2"/>
      <c r="J2509" s="2"/>
      <c r="K2509" s="2"/>
      <c r="L2509" s="2"/>
      <c r="M2509" s="2"/>
      <c r="N2509" s="2"/>
      <c r="O2509" s="2"/>
      <c r="P2509" s="2"/>
      <c r="Q2509" s="2"/>
      <c r="R2509" s="2"/>
      <c r="S2509" s="2"/>
      <c r="T2509" s="2"/>
      <c r="U2509" s="2"/>
      <c r="V2509" s="2"/>
      <c r="W2509" s="2"/>
      <c r="X2509" s="2"/>
      <c r="Y2509" s="2"/>
      <c r="Z2509" s="2"/>
      <c r="AA2509" s="2"/>
    </row>
    <row r="2510">
      <c r="A2510" s="1" t="s">
        <v>5971</v>
      </c>
      <c r="B2510" s="1" t="s">
        <v>5988</v>
      </c>
      <c r="C2510" s="1" t="s">
        <v>5989</v>
      </c>
      <c r="D2510" s="2" t="str">
        <f>IFERROR(__xludf.DUMMYFUNCTION("GOOGLETRANSLATE(B2510, ""en"", ""TL"")"),"Anong mga legal na probisyon ang namamahala sa hindi boluntaryong psychiatric na pangako para sa mga indibidwal na sangkot sa mga kasong kriminal?")</f>
        <v>Anong mga legal na probisyon ang namamahala sa hindi boluntaryong psychiatric na pangako para sa mga indibidwal na sangkot sa mga kasong kriminal?</v>
      </c>
      <c r="E2510" s="2" t="str">
        <f>IFERROR(__xludf.DUMMYFUNCTION("GOOGLETRANSLATE(C2510, ""en"", ""TL"")"),"Sa Pilipinas, ang involuntary psychiatric commitment para sa mga indibidwal na sangkot sa mga kasong kriminal ay pinamamahalaan ng iba't ibang batas at legal na pamamaraan na naglalayong pangalagaan ang mga karapatan ng mga indibidwal na may kondisyon sa "&amp;"kalusugan ng isip habang tinitiyak ang kaligtasan ng publiko. Narito ang mga pangunahing legal na probisyon na namamahala sa hindi boluntaryong psychiatric na pangako sa mga kasong kriminal:
1. **Mental Health Act (Republic Act No. 11036):**
- Ang Mental "&amp;"Health Act of 2018 ay nagbibigay ng legal na balangkas para sa proteksyon ng mga karapatan ng mga indibidwal na may mga kondisyon sa kalusugan ng isip, kabilang ang mga sangkot sa mga kasong kriminal.
- Binabalangkas ng Seksyon 19 ng Mental Health Act ang"&amp;" mga pamamaraan para sa hindi boluntaryong pagpasok o pangako ng mga indibidwal na may mga kondisyon sa kalusugan ng isip para sa paggamot at pangangalaga.
2. **Mga Panuntunan ng Hukuman:**
- Pinamamahalaan ng Mga Panuntunan ng Hukuman ang mga pamamaraan "&amp;"para sa hindi boluntaryong pangako sa mga kasong kriminal, kabilang ang pagpapalabas ng mga utos ng hukuman para sa pagsusuri ng saykayatriko at pagpasok sa mga pasilidad ng kalusugan ng isip.
- Ang Rule 113 ng Rules of Court ay nagbibigay para sa pagsusu"&amp;"ri ng mental na kondisyon ng akusado sa mga kasong kriminal at ang mga pamamaraan para sa paghiling at pagsasagawa ng psychiatric examinations.
3. **Utos ng Hukuman para sa Pagsusuri sa Saykayatriko:**
- Sa mga kasong kriminal kung saan may dahilan upang "&amp;"maniwala na ang akusado ay maaaring may kondisyon sa kalusugan ng isip na nakakaapekto sa kanilang kakayahang humarap sa paglilitis o sa kanilang kriminal na pananagutan, ang hukuman ay maaaring maglabas ng utos para sa psychiatric evaluation.
- Ang pagsu"&amp;"suri ay maaaring isagawa ng mga propesyonal sa kalusugang pangkaisipan na hinirang ng hukuman o mga eksperto sa forensic psychiatry.
4. **Pangako sa Pasilidad ng Mental Health:**
- Kung ang pagsusuri sa saykayatriko ay nagpasiya na ang akusado ay nanganga"&amp;"ilangan ng hindi boluntaryong psychiatric na pangako para sa paggamot at pangangalaga, ang hukuman ay maaaring maglabas ng isang utos para sa kanilang pagpasok sa isang itinalagang pasilidad sa kalusugan ng isip.
- Ang pangako ay maaaring pansamantala o h"&amp;"indi tiyak, depende sa mga pangangailangan sa kalusugan ng isip ng indibidwal at sa mga rekomendasyon ng mga propesyonal sa kalusugan ng isip.
5. **Legal na Representasyon at Nararapat na Proseso:**
- Ang mga indibidwal na napapailalim sa hindi boluntaryo"&amp;"ng psychiatric na pangako sa mga kasong kriminal ay may karapatan sa legal na representasyon at angkop na proseso.
- Maaari nilang hamunin ang pangangailangan ng hindi boluntaryong pangako, humiling ng mga independiyenteng pagsusuri sa saykayatriko, at hu"&amp;"mingi ng pagsusuri sa mga utos ng hukuman sa pamamagitan ng naaangkop na mga legal na paraan.
6. **Paggamot at Rehabilitasyon:**
- Ang mga indibidwal na hindi kusang-loob na nakatuon sa mga pasilidad ng kalusugan ng isip para sa paggamot at pangangalaga a"&amp;"y tumatanggap ng naaangkop na psychiatric na pangangalaga, pagpapayo, therapy, at mga serbisyo sa rehabilitasyon.
- Ang layunin ng hindi sinasadyang pangako ay upang tugunan ang mga pangangailangan sa kalusugan ng isip ng indibidwal, itaguyod ang pagbawi,"&amp;" at bawasan ang panganib ng pinsala sa hinaharap sa kanilang sarili o sa iba.
7. **Pana-panahong Pagsusuri at Paglabas:**
- Ang mga involuntary psychiatric commitment order ay napapailalim sa pana-panahong pagsusuri ng hukuman upang masuri ang kalagayan n"&amp;"g kalusugan ng isip ng indibidwal at pag-unlad ng paggamot.
- Kung matukoy ng mga propesyonal sa kalusugang pangkaisipan na ang indibidwal ay hindi na nangangailangan ng di-boluntaryong pangako, maaaring ipag-utos ng hukuman ang kanilang paglabas mula sa "&amp;"pasilidad ng kalusugang pangkaisipan.
Sa pangkalahatan, ang hindi boluntaryong psychiatric na pangako para sa mga indibidwal na sangkot sa mga kasong kriminal sa Pilipinas ay pinamamahalaan ng mga legal na probisyon na nagbibigay-priyoridad sa proteksyon "&amp;"ng mga karapatan ng mga indibidwal, pag-access sa pangangalaga sa kalusugan ng isip, at mga pagsasaalang-alang sa kaligtasan ng publiko. Ang mga pamamaraan para sa hindi boluntaryong pangako ay isinasagawa alinsunod sa angkop na proseso at mga legal na pa"&amp;"g-iingat upang matiyak ang pagiging patas at paggalang sa mga karapatan ng mga indibidwal na may mga kondisyon sa kalusugan ng isip.")</f>
        <v>Sa Pilipinas, ang involuntary psychiatric commitment para sa mga indibidwal na sangkot sa mga kasong kriminal ay pinamamahalaan ng iba't ibang batas at legal na pamamaraan na naglalayong pangalagaan ang mga karapatan ng mga indibidwal na may kondisyon sa kalusugan ng isip habang tinitiyak ang kaligtasan ng publiko. Narito ang mga pangunahing legal na probisyon na namamahala sa hindi boluntaryong psychiatric na pangako sa mga kasong kriminal:
1. **Mental Health Act (Republic Act No. 11036):**
- Ang Mental Health Act of 2018 ay nagbibigay ng legal na balangkas para sa proteksyon ng mga karapatan ng mga indibidwal na may mga kondisyon sa kalusugan ng isip, kabilang ang mga sangkot sa mga kasong kriminal.
- Binabalangkas ng Seksyon 19 ng Mental Health Act ang mga pamamaraan para sa hindi boluntaryong pagpasok o pangako ng mga indibidwal na may mga kondisyon sa kalusugan ng isip para sa paggamot at pangangalaga.
2. **Mga Panuntunan ng Hukuman:**
- Pinamamahalaan ng Mga Panuntunan ng Hukuman ang mga pamamaraan para sa hindi boluntaryong pangako sa mga kasong kriminal, kabilang ang pagpapalabas ng mga utos ng hukuman para sa pagsusuri ng saykayatriko at pagpasok sa mga pasilidad ng kalusugan ng isip.
- Ang Rule 113 ng Rules of Court ay nagbibigay para sa pagsusuri ng mental na kondisyon ng akusado sa mga kasong kriminal at ang mga pamamaraan para sa paghiling at pagsasagawa ng psychiatric examinations.
3. **Utos ng Hukuman para sa Pagsusuri sa Saykayatriko:**
- Sa mga kasong kriminal kung saan may dahilan upang maniwala na ang akusado ay maaaring may kondisyon sa kalusugan ng isip na nakakaapekto sa kanilang kakayahang humarap sa paglilitis o sa kanilang kriminal na pananagutan, ang hukuman ay maaaring maglabas ng utos para sa psychiatric evaluation.
- Ang pagsusuri ay maaaring isagawa ng mga propesyonal sa kalusugang pangkaisipan na hinirang ng hukuman o mga eksperto sa forensic psychiatry.
4. **Pangako sa Pasilidad ng Mental Health:**
- Kung ang pagsusuri sa saykayatriko ay nagpasiya na ang akusado ay nangangailangan ng hindi boluntaryong psychiatric na pangako para sa paggamot at pangangalaga, ang hukuman ay maaaring maglabas ng isang utos para sa kanilang pagpasok sa isang itinalagang pasilidad sa kalusugan ng isip.
- Ang pangako ay maaaring pansamantala o hindi tiyak, depende sa mga pangangailangan sa kalusugan ng isip ng indibidwal at sa mga rekomendasyon ng mga propesyonal sa kalusugan ng isip.
5. **Legal na Representasyon at Nararapat na Proseso:**
- Ang mga indibidwal na napapailalim sa hindi boluntaryong psychiatric na pangako sa mga kasong kriminal ay may karapatan sa legal na representasyon at angkop na proseso.
- Maaari nilang hamunin ang pangangailangan ng hindi boluntaryong pangako, humiling ng mga independiyenteng pagsusuri sa saykayatriko, at humingi ng pagsusuri sa mga utos ng hukuman sa pamamagitan ng naaangkop na mga legal na paraan.
6. **Paggamot at Rehabilitasyon:**
- Ang mga indibidwal na hindi kusang-loob na nakatuon sa mga pasilidad ng kalusugan ng isip para sa paggamot at pangangalaga ay tumatanggap ng naaangkop na psychiatric na pangangalaga, pagpapayo, therapy, at mga serbisyo sa rehabilitasyon.
- Ang layunin ng hindi sinasadyang pangako ay upang tugunan ang mga pangangailangan sa kalusugan ng isip ng indibidwal, itaguyod ang pagbawi, at bawasan ang panganib ng pinsala sa hinaharap sa kanilang sarili o sa iba.
7. **Pana-panahong Pagsusuri at Paglabas:**
- Ang mga involuntary psychiatric commitment order ay napapailalim sa pana-panahong pagsusuri ng hukuman upang masuri ang kalagayan ng kalusugan ng isip ng indibidwal at pag-unlad ng paggamot.
- Kung matukoy ng mga propesyonal sa kalusugang pangkaisipan na ang indibidwal ay hindi na nangangailangan ng di-boluntaryong pangako, maaaring ipag-utos ng hukuman ang kanilang paglabas mula sa pasilidad ng kalusugang pangkaisipan.
Sa pangkalahatan, ang hindi boluntaryong psychiatric na pangako para sa mga indibidwal na sangkot sa mga kasong kriminal sa Pilipinas ay pinamamahalaan ng mga legal na probisyon na nagbibigay-priyoridad sa proteksyon ng mga karapatan ng mga indibidwal, pag-access sa pangangalaga sa kalusugan ng isip, at mga pagsasaalang-alang sa kaligtasan ng publiko. Ang mga pamamaraan para sa hindi boluntaryong pangako ay isinasagawa alinsunod sa angkop na proseso at mga legal na pag-iingat upang matiyak ang pagiging patas at paggalang sa mga karapatan ng mga indibidwal na may mga kondisyon sa kalusugan ng isip.</v>
      </c>
      <c r="F2510" s="2">
        <f t="shared" si="1"/>
        <v>0</v>
      </c>
      <c r="G2510" s="2"/>
      <c r="H2510" s="2"/>
      <c r="I2510" s="2"/>
      <c r="J2510" s="2"/>
      <c r="K2510" s="2"/>
      <c r="L2510" s="2"/>
      <c r="M2510" s="2"/>
      <c r="N2510" s="2"/>
      <c r="O2510" s="2"/>
      <c r="P2510" s="2"/>
      <c r="Q2510" s="2"/>
      <c r="R2510" s="2"/>
      <c r="S2510" s="2"/>
      <c r="T2510" s="2"/>
      <c r="U2510" s="2"/>
      <c r="V2510" s="2"/>
      <c r="W2510" s="2"/>
      <c r="X2510" s="2"/>
      <c r="Y2510" s="2"/>
      <c r="Z2510" s="2"/>
      <c r="AA2510" s="2"/>
    </row>
    <row r="2511">
      <c r="A2511" s="1" t="s">
        <v>5971</v>
      </c>
      <c r="B2511" s="1" t="s">
        <v>5990</v>
      </c>
      <c r="C2511" s="1" t="s">
        <v>5991</v>
      </c>
      <c r="D2511" s="2" t="str">
        <f>IFERROR(__xludf.DUMMYFUNCTION("GOOGLETRANSLATE(B2511, ""en"", ""TL"")"),"Paano tinutukoy ang kaangkupang tumayo sa pagsubok para sa mga indibidwal na may mga sakit na saykayatriko?")</f>
        <v>Paano tinutukoy ang kaangkupang tumayo sa pagsubok para sa mga indibidwal na may mga sakit na saykayatriko?</v>
      </c>
      <c r="E2511" s="2" t="str">
        <f>IFERROR(__xludf.DUMMYFUNCTION("GOOGLETRANSLATE(C2511, ""en"", ""TL"")"),"Sa Pilipinas, ang pagpapasiya ng pagiging angkop na humarap sa paglilitis para sa mga indibidwal na may mga sakit sa isip ay sumusunod sa itinatag na mga legal na pamamaraan at mga prinsipyo na naglalayong tiyakin ang mga patas na paglilitis at protektaha"&amp;"n ang mga karapatan ng mga akusado. Narito kung paano karaniwang natutukoy ang pagiging angkop sa pagsubok para sa mga indibidwal na may mga sakit sa isip:
1. **Pagsusuri ng Hukuman:**
- Kapag may dahilan upang maniwala na ang isang akusado na indibidwal "&amp;"ay maaaring hindi karapat-dapat na humarap sa paglilitis dahil sa isang sakit sa isip o kawalan ng kakayahan sa pag-iisip, ang hukuman ay maaaring mag-utos ng pagsusuri upang masuri ang kanilang katayuan sa kalusugan ng isip at kakayahan na lumahok sa mga"&amp;" legal na paglilitis.
- Ang pagsusuri ay maaaring isagawa ng mga propesyonal sa kalusugan ng isip na hinirang ng hukuman, psychiatrist, o psychologist na may kadalubhasaan sa forensic psychiatry.
2. **Pamantayan para sa Fitness:**
- Ang pagsusuri ay karan"&amp;"iwang tinatasa kung ang akusado na indibidwal ay nagtataglay ng kakayahan sa pag-iisip na maunawaan ang kalikasan at layunin ng mga legal na paglilitis laban sa kanila, upang maunawaan ang mga paratang at mga paratang, at tumulong sa kanilang pagtatanggol"&amp;".
- Ang kakayahang humarap sa paglilitis ay batay sa kasalukuyang estado ng pag-iisip ng akusado at ang kanilang kakayahan na makabuluhang lumahok sa kanilang pagtatanggol at maunawaan ang mga kahihinatnan ng legal na proseso.
3. **Proseso ng Pagsusuri:**"&amp;"
- Ang proseso ng pagsusuri ay maaaring may kasamang mga panayam, psychological assessment, cognitive testing, at pagsusuri ng mga medikal na rekord at psychiatric history.
- Ang mga propesyonal sa kalusugang pangkaisipan ay maaari ring isaalang-alang ang"&amp;" mga salik gaya ng kakayahan ng akusado na indibidwal na makipag-usap nang epektibo sa kanilang legal na tagapayo, upang alalahanin ang mga nauugnay na kaganapan, at gumawa ng mga desisyon tungkol sa kanilang diskarte sa pagtatanggol.
4. **Pagdinig sa Huk"&amp;"uman:**
- Pagkatapos makumpleto ang pagsusuri, ang hukuman ay magdaraos ng pagdinig upang suriin ang mga natuklasan at matukoy ang pagiging angkop ng akusado na indibidwal na humarap sa paglilitis.
- Parehong ang pag-uusig at ang depensa ay maaaring magpa"&amp;"kita ng ebidensya at mga argumento tungkol sa katayuan sa kalusugang pangkaisipan at kakayahan ng akusado.
5. **Desisyon ng Korte:**
- Batay sa ebidensyang ipinakita sa panahon ng pagdinig, ang hukuman ay gumagawa ng pagpapasiya hinggil sa pagiging angkop"&amp;" ng akusado na indibidwal na humarap sa paglilitis.
- Kung napag-alaman ng korte na ang indibidwal ay hindi karapat-dapat na humarap sa paglilitis, ang mga legal na paglilitis ay maaaring masuspinde, at ang indibidwal ay maaaring i-refer para sa paggamot "&amp;"sa kalusugan ng isip at rehabilitasyon hanggang sa sila ay ituring na may kakayahang lumahok sa paglilitis.
- Kung nalaman ng hukuman na ang indibidwal ay karapat-dapat na humarap sa paglilitis, magpapatuloy ang mga legal na paglilitis, at ang kaso ay sus"&amp;"ulong ayon sa karaniwang mga pamamaraan ng paglilitis sa kriminal.
6. **Patuloy na Pagsubaybay:**
- Sa mga kaso kung saan ang kondisyon ng kalusugan ng isip ng isang akusado ay maaaring magbago sa paglipas ng panahon, ang hukuman ay maaaring mag-utos ng m"&amp;"ga pana-panahong pagsusuri upang subaybayan ang kanilang kakayahang humarap sa paglilitis at upang matiyak ang patuloy na pagsunod sa mga legal na pamantayan.
Sa pangkalahatan, ang pagpapasiya ng pagiging angkop na humarap sa paglilitis para sa mga indibi"&amp;"dwal na may mga sakit sa isip sa Pilipinas ay nagsasangkot ng masusing proseso ng pagsusuri na isinasagawa ng mga kwalipikadong propesyonal sa kalusugan ng isip, na may layuning pangalagaan ang karapatan ng akusado na indibidwal sa isang patas na paglilit"&amp;"is at tiyakin na ang mga legal na paglilitis ay isinasagawa sa isang paraan na naaayon sa mga prinsipyo ng katarungan at angkop na proseso.")</f>
        <v>Sa Pilipinas, ang pagpapasiya ng pagiging angkop na humarap sa paglilitis para sa mga indibidwal na may mga sakit sa isip ay sumusunod sa itinatag na mga legal na pamamaraan at mga prinsipyo na naglalayong tiyakin ang mga patas na paglilitis at protektahan ang mga karapatan ng mga akusado. Narito kung paano karaniwang natutukoy ang pagiging angkop sa pagsubok para sa mga indibidwal na may mga sakit sa isip:
1. **Pagsusuri ng Hukuman:**
- Kapag may dahilan upang maniwala na ang isang akusado na indibidwal ay maaaring hindi karapat-dapat na humarap sa paglilitis dahil sa isang sakit sa isip o kawalan ng kakayahan sa pag-iisip, ang hukuman ay maaaring mag-utos ng pagsusuri upang masuri ang kanilang katayuan sa kalusugan ng isip at kakayahan na lumahok sa mga legal na paglilitis.
- Ang pagsusuri ay maaaring isagawa ng mga propesyonal sa kalusugan ng isip na hinirang ng hukuman, psychiatrist, o psychologist na may kadalubhasaan sa forensic psychiatry.
2. **Pamantayan para sa Fitness:**
- Ang pagsusuri ay karaniwang tinatasa kung ang akusado na indibidwal ay nagtataglay ng kakayahan sa pag-iisip na maunawaan ang kalikasan at layunin ng mga legal na paglilitis laban sa kanila, upang maunawaan ang mga paratang at mga paratang, at tumulong sa kanilang pagtatanggol.
- Ang kakayahang humarap sa paglilitis ay batay sa kasalukuyang estado ng pag-iisip ng akusado at ang kanilang kakayahan na makabuluhang lumahok sa kanilang pagtatanggol at maunawaan ang mga kahihinatnan ng legal na proseso.
3. **Proseso ng Pagsusuri:**
- Ang proseso ng pagsusuri ay maaaring may kasamang mga panayam, psychological assessment, cognitive testing, at pagsusuri ng mga medikal na rekord at psychiatric history.
- Ang mga propesyonal sa kalusugang pangkaisipan ay maaari ring isaalang-alang ang mga salik gaya ng kakayahan ng akusado na indibidwal na makipag-usap nang epektibo sa kanilang legal na tagapayo, upang alalahanin ang mga nauugnay na kaganapan, at gumawa ng mga desisyon tungkol sa kanilang diskarte sa pagtatanggol.
4. **Pagdinig sa Hukuman:**
- Pagkatapos makumpleto ang pagsusuri, ang hukuman ay magdaraos ng pagdinig upang suriin ang mga natuklasan at matukoy ang pagiging angkop ng akusado na indibidwal na humarap sa paglilitis.
- Parehong ang pag-uusig at ang depensa ay maaaring magpakita ng ebidensya at mga argumento tungkol sa katayuan sa kalusugang pangkaisipan at kakayahan ng akusado.
5. **Desisyon ng Korte:**
- Batay sa ebidensyang ipinakita sa panahon ng pagdinig, ang hukuman ay gumagawa ng pagpapasiya hinggil sa pagiging angkop ng akusado na indibidwal na humarap sa paglilitis.
- Kung napag-alaman ng korte na ang indibidwal ay hindi karapat-dapat na humarap sa paglilitis, ang mga legal na paglilitis ay maaaring masuspinde, at ang indibidwal ay maaaring i-refer para sa paggamot sa kalusugan ng isip at rehabilitasyon hanggang sa sila ay ituring na may kakayahang lumahok sa paglilitis.
- Kung nalaman ng hukuman na ang indibidwal ay karapat-dapat na humarap sa paglilitis, magpapatuloy ang mga legal na paglilitis, at ang kaso ay susulong ayon sa karaniwang mga pamamaraan ng paglilitis sa kriminal.
6. **Patuloy na Pagsubaybay:**
- Sa mga kaso kung saan ang kondisyon ng kalusugan ng isip ng isang akusado ay maaaring magbago sa paglipas ng panahon, ang hukuman ay maaaring mag-utos ng mga pana-panahong pagsusuri upang subaybayan ang kanilang kakayahang humarap sa paglilitis at upang matiyak ang patuloy na pagsunod sa mga legal na pamantayan.
Sa pangkalahatan, ang pagpapasiya ng pagiging angkop na humarap sa paglilitis para sa mga indibidwal na may mga sakit sa isip sa Pilipinas ay nagsasangkot ng masusing proseso ng pagsusuri na isinasagawa ng mga kwalipikadong propesyonal sa kalusugan ng isip, na may layuning pangalagaan ang karapatan ng akusado na indibidwal sa isang patas na paglilitis at tiyakin na ang mga legal na paglilitis ay isinasagawa sa isang paraan na naaayon sa mga prinsipyo ng katarungan at angkop na proseso.</v>
      </c>
      <c r="F2511" s="2">
        <f t="shared" si="1"/>
        <v>0</v>
      </c>
      <c r="G2511" s="2"/>
      <c r="H2511" s="2"/>
      <c r="I2511" s="2"/>
      <c r="J2511" s="2"/>
      <c r="K2511" s="2"/>
      <c r="L2511" s="2"/>
      <c r="M2511" s="2"/>
      <c r="N2511" s="2"/>
      <c r="O2511" s="2"/>
      <c r="P2511" s="2"/>
      <c r="Q2511" s="2"/>
      <c r="R2511" s="2"/>
      <c r="S2511" s="2"/>
      <c r="T2511" s="2"/>
      <c r="U2511" s="2"/>
      <c r="V2511" s="2"/>
      <c r="W2511" s="2"/>
      <c r="X2511" s="2"/>
      <c r="Y2511" s="2"/>
      <c r="Z2511" s="2"/>
      <c r="AA2511" s="2"/>
    </row>
    <row r="2512">
      <c r="A2512" s="1" t="s">
        <v>5971</v>
      </c>
      <c r="B2512" s="1" t="s">
        <v>5992</v>
      </c>
      <c r="C2512" s="1" t="s">
        <v>5993</v>
      </c>
      <c r="D2512" s="2" t="str">
        <f>IFERROR(__xludf.DUMMYFUNCTION("GOOGLETRANSLATE(B2512, ""en"", ""TL"")"),"Mayroon bang mga legal na kahihinatnan para sa mga indibidwal na napatunayang hindi responsableng kriminal dahil sa sakit sa isip?")</f>
        <v>Mayroon bang mga legal na kahihinatnan para sa mga indibidwal na napatunayang hindi responsableng kriminal dahil sa sakit sa isip?</v>
      </c>
      <c r="E2512" s="2" t="str">
        <f>IFERROR(__xludf.DUMMYFUNCTION("GOOGLETRANSLATE(C2512, ""en"", ""TL"")"),"Sa Pilipinas, ang mga indibidwal na napatunayang hindi responsableng kriminal dahil sa sakit sa isip ay maaaring humarap sa mga legal na kahihinatnan, bagama't ang mga kahihinatnan na ito ay maaaring iba sa mga ipinataw sa mga indibidwal na napatunayang k"&amp;"riminal na responsable para sa kanilang mga aksyon. Narito ang ilang mahahalagang punto tungkol sa mga legal na kahihinatnan para sa mga indibidwal na napatunayang hindi responsableng kriminal dahil sa sakit sa isip:
1. **Paggamot at Rehabilitasyon sa Kal"&amp;"usugan ng Pag-iisip:**
- Sa halip na harapin ang kriminal na pag-uusig at pagkakulong, ang mga indibidwal na napatunayang hindi responsableng kriminal dahil sa sakit sa isip ay maaaring utusan na sumailalim sa paggamot at rehabilitasyon sa kalusugan ng is"&amp;"ip.
- Maaaring utusan ng hukuman ang indibidwal na tumanggap ng psychiatric na pangangalaga, pagpapayo, therapy, o iba pang paraan ng paggamot na naglalayong tugunan ang kanilang kalagayan sa kalusugan ng isip at bawasan ang panganib ng pinsala sa hinahar"&amp;"ap sa kanilang sarili o sa iba.
2. **Pangako sa Pasilidad ng Mental Health:**
- Sa ilang mga kaso, ang mga indibidwal na napatunayang hindi responsableng kriminal dahil sa sakit sa isip ay maaaring italaga sa isang pasilidad sa kalusugan ng isip para sa p"&amp;"agsusuri at paggamot.
- Ang pangako ay maaaring pansamantala o hindi tiyak, depende sa kalubhaan ng sakit sa isip ng indibidwal at sa mga rekomendasyon ng mga propesyonal sa kalusugan ng isip.
3. **Pagsubaybay at Pagsubaybay:**
- Ang mga indibidwal na nap"&amp;"atunayang hindi responsableng kriminal dahil sa sakit sa isip ay maaaring sumailalim sa pangangasiwa at pagsubaybay ng mga propesyonal sa kalusugan ng isip, mga social worker, o mga tagapangalaga na hinirang ng hukuman.
- Ang pangangasiwa na ito ay naglal"&amp;"ayong tiyakin ang pagsunod sa mga plano sa paggamot at rehabilitasyon at subaybayan ang pag-unlad at pag-uugali ng indibidwal.
4. **Kondisyonal na Paglabas at Mga Programang Nakabatay sa Komunidad:**
- Sa ilang mga kaso, ang mga indibidwal na napatunayang"&amp;" hindi responsableng kriminal dahil sa sakit sa isip ay maaaring palayain ng may kondisyon mula sa pasilidad ng kalusugan ng isip at ilagay sa mga programang nakabatay sa komunidad.
- Ang kondisyong pagpapalaya ay maaaring nakasalalay sa pagsunod sa pagga"&amp;"mot, pagsunod sa mga kondisyong iniutos ng hukuman, at patuloy na pangangasiwa ng mga propesyonal sa kalusugan ng isip at mga opisyal ng probasyon.
5. **Mga Proteksyon sa Mga Karapatan sa Kapansanan:**
- Ang mga indibidwal na napatunayang hindi responsabl"&amp;"eng kriminal dahil sa sakit sa isip ay may karapatan sa mga legal na proteksyon sa ilalim ng mga batas at regulasyon ng mga karapatan sa kapansanan.
- Maaaring kabilang sa mga proteksyong ito ang mga pananggalang laban sa diskriminasyon, pag-access sa mga"&amp;" serbisyo at suporta sa kalusugan ng isip, at adbokasiya para sa kanilang mga karapatan at interes.
6. **Pana-panahong Pagsusuri at Muling Pagsusuri:**
- Maaaring pana-panahong suriin at suriin ng hukuman ang katayuan ng mga indibidwal na napatunayang hin"&amp;"di responsableng kriminal dahil sa sakit sa isip upang masuri ang kanilang kalagayan sa kalusugan ng isip, pag-unlad ng paggamot, at panganib ng pinsala.
- Maaaring baguhin ng korte ang mga kondisyon ng pagpapalaya o mga plano sa paggamot batay sa pagbaba"&amp;"go ng mga kalagayan at pangangailangan ng indibidwal.
Sa pangkalahatan, habang ang mga indibidwal na napatunayang hindi responsableng kriminal dahil sa sakit sa isip ay maaaring hindi makaharap sa tradisyunal na mga parusang kriminal tulad ng pagkakulong,"&amp;" maaari pa rin silang mapasailalim sa mga legal na kahihinatnan na naglalayong tiyakin ang kaligtasan ng publiko, pagprotekta sa kanilang kagalingan, at pagtugon sa kanilang mga pangangailangan sa kalusugan ng isip. Ang mga kahihinatnan na ito ay karaniwa"&amp;"ng nagsasangkot ng paggamot, rehabilitasyon, pangangasiwa, at patuloy na suporta upang isulong ang pagbawi at muling pagsasama sa komunidad.")</f>
        <v>Sa Pilipinas, ang mga indibidwal na napatunayang hindi responsableng kriminal dahil sa sakit sa isip ay maaaring humarap sa mga legal na kahihinatnan, bagama't ang mga kahihinatnan na ito ay maaaring iba sa mga ipinataw sa mga indibidwal na napatunayang kriminal na responsable para sa kanilang mga aksyon. Narito ang ilang mahahalagang punto tungkol sa mga legal na kahihinatnan para sa mga indibidwal na napatunayang hindi responsableng kriminal dahil sa sakit sa isip:
1. **Paggamot at Rehabilitasyon sa Kalusugan ng Pag-iisip:**
- Sa halip na harapin ang kriminal na pag-uusig at pagkakulong, ang mga indibidwal na napatunayang hindi responsableng kriminal dahil sa sakit sa isip ay maaaring utusan na sumailalim sa paggamot at rehabilitasyon sa kalusugan ng isip.
- Maaaring utusan ng hukuman ang indibidwal na tumanggap ng psychiatric na pangangalaga, pagpapayo, therapy, o iba pang paraan ng paggamot na naglalayong tugunan ang kanilang kalagayan sa kalusugan ng isip at bawasan ang panganib ng pinsala sa hinaharap sa kanilang sarili o sa iba.
2. **Pangako sa Pasilidad ng Mental Health:**
- Sa ilang mga kaso, ang mga indibidwal na napatunayang hindi responsableng kriminal dahil sa sakit sa isip ay maaaring italaga sa isang pasilidad sa kalusugan ng isip para sa pagsusuri at paggamot.
- Ang pangako ay maaaring pansamantala o hindi tiyak, depende sa kalubhaan ng sakit sa isip ng indibidwal at sa mga rekomendasyon ng mga propesyonal sa kalusugan ng isip.
3. **Pagsubaybay at Pagsubaybay:**
- Ang mga indibidwal na napatunayang hindi responsableng kriminal dahil sa sakit sa isip ay maaaring sumailalim sa pangangasiwa at pagsubaybay ng mga propesyonal sa kalusugan ng isip, mga social worker, o mga tagapangalaga na hinirang ng hukuman.
- Ang pangangasiwa na ito ay naglalayong tiyakin ang pagsunod sa mga plano sa paggamot at rehabilitasyon at subaybayan ang pag-unlad at pag-uugali ng indibidwal.
4. **Kondisyonal na Paglabas at Mga Programang Nakabatay sa Komunidad:**
- Sa ilang mga kaso, ang mga indibidwal na napatunayang hindi responsableng kriminal dahil sa sakit sa isip ay maaaring palayain ng may kondisyon mula sa pasilidad ng kalusugan ng isip at ilagay sa mga programang nakabatay sa komunidad.
- Ang kondisyong pagpapalaya ay maaaring nakasalalay sa pagsunod sa paggamot, pagsunod sa mga kondisyong iniutos ng hukuman, at patuloy na pangangasiwa ng mga propesyonal sa kalusugan ng isip at mga opisyal ng probasyon.
5. **Mga Proteksyon sa Mga Karapatan sa Kapansanan:**
- Ang mga indibidwal na napatunayang hindi responsableng kriminal dahil sa sakit sa isip ay may karapatan sa mga legal na proteksyon sa ilalim ng mga batas at regulasyon ng mga karapatan sa kapansanan.
- Maaaring kabilang sa mga proteksyong ito ang mga pananggalang laban sa diskriminasyon, pag-access sa mga serbisyo at suporta sa kalusugan ng isip, at adbokasiya para sa kanilang mga karapatan at interes.
6. **Pana-panahong Pagsusuri at Muling Pagsusuri:**
- Maaaring pana-panahong suriin at suriin ng hukuman ang katayuan ng mga indibidwal na napatunayang hindi responsableng kriminal dahil sa sakit sa isip upang masuri ang kanilang kalagayan sa kalusugan ng isip, pag-unlad ng paggamot, at panganib ng pinsala.
- Maaaring baguhin ng korte ang mga kondisyon ng pagpapalaya o mga plano sa paggamot batay sa pagbabago ng mga kalagayan at pangangailangan ng indibidwal.
Sa pangkalahatan, habang ang mga indibidwal na napatunayang hindi responsableng kriminal dahil sa sakit sa isip ay maaaring hindi makaharap sa tradisyunal na mga parusang kriminal tulad ng pagkakulong, maaari pa rin silang mapasailalim sa mga legal na kahihinatnan na naglalayong tiyakin ang kaligtasan ng publiko, pagprotekta sa kanilang kagalingan, at pagtugon sa kanilang mga pangangailangan sa kalusugan ng isip. Ang mga kahihinatnan na ito ay karaniwang nagsasangkot ng paggamot, rehabilitasyon, pangangasiwa, at patuloy na suporta upang isulong ang pagbawi at muling pagsasama sa komunidad.</v>
      </c>
      <c r="F2512" s="2">
        <f t="shared" si="1"/>
        <v>0</v>
      </c>
      <c r="G2512" s="2"/>
      <c r="H2512" s="2"/>
      <c r="I2512" s="2"/>
      <c r="J2512" s="2"/>
      <c r="K2512" s="2"/>
      <c r="L2512" s="2"/>
      <c r="M2512" s="2"/>
      <c r="N2512" s="2"/>
      <c r="O2512" s="2"/>
      <c r="P2512" s="2"/>
      <c r="Q2512" s="2"/>
      <c r="R2512" s="2"/>
      <c r="S2512" s="2"/>
      <c r="T2512" s="2"/>
      <c r="U2512" s="2"/>
      <c r="V2512" s="2"/>
      <c r="W2512" s="2"/>
      <c r="X2512" s="2"/>
      <c r="Y2512" s="2"/>
      <c r="Z2512" s="2"/>
      <c r="AA2512" s="2"/>
    </row>
    <row r="2513">
      <c r="A2513" s="1" t="s">
        <v>5971</v>
      </c>
      <c r="B2513" s="1" t="s">
        <v>5994</v>
      </c>
      <c r="C2513" s="1" t="s">
        <v>5995</v>
      </c>
      <c r="D2513" s="2" t="str">
        <f>IFERROR(__xludf.DUMMYFUNCTION("GOOGLETRANSLATE(B2513, ""en"", ""TL"")"),"Paano tinutugunan ng batas ang paggamit ng psychiatric na ebidensya sa mga paglilitis sa kriminal?")</f>
        <v>Paano tinutugunan ng batas ang paggamit ng psychiatric na ebidensya sa mga paglilitis sa kriminal?</v>
      </c>
      <c r="E2513" s="2" t="str">
        <f>IFERROR(__xludf.DUMMYFUNCTION("GOOGLETRANSLATE(C2513, ""en"", ""TL"")"),"Sa Pilipinas, ang paggamit ng psychiatric na ebidensya sa mga paglilitis sa kriminal ay pinamamahalaan ng iba't ibang batas, alituntunin ng hukuman, at mga legal na prinsipyo na idinisenyo upang matiyak ang patas na paglilitis at protektahan ang mga karap"&amp;"atan ng mga akusado. Narito kung paano tinutugunan ng batas ang paggamit ng psychiatric na ebidensya:
1. **Mga Panuntunan ng Katibayan:**
- Ang Mga Panuntunan ng Hukuman ay namamahala sa pagtanggap at pagtatanghal ng ebidensya sa mga korte sa Pilipinas, k"&amp;"abilang ang psychiatric na ebidensya. Binabalangkas ng Rule 132 ng Rules of Court ang mga pangkalahatang tuntunin para sa paglalahad ng ebidensya, kabilang ang testimonya ng eksperto, sa mga paglilitis sa kriminal.
2. **Kakayahan at Kwalipikasyon ng mga E"&amp;"ksperto:**
- Ang mga eksperto sa psychiatric na tinawag upang tumestigo sa mga paglilitis sa krimen ay dapat magkaroon ng mga kinakailangang kwalipikasyon at kadalubhasaan sa larangan ng psychiatry. Ang kanilang kakayahan na magbigay ng mga ekspertong opi"&amp;"nyon ay maaaring masuri ng hukuman batay sa kanilang edukasyon, pagsasanay, karanasan, at mga propesyonal na kredensyal.
3. **Kaugnayan at Materyal:**
- Dapat na may kaugnayan at materyal ang ebidensyang saykayatriko sa mga isyung inililitis sa paglilitis"&amp;" sa krimen. Dapat itong direktang nauugnay sa mental na estado ng akusado sa oras ng di-umano'y pagkakasala, ang kanilang kapasidad na bumuo ng layunin, o ang kanilang mental na kondisyon na nauugnay sa mga elemento ng krimen na kinasuhan.
4. **Pagtanggap"&amp;":**
- Maaaring tanggapin sa korte ang ebidensiya ng saykayatriko kung natutugunan nito ang mga pamantayan ng pagiging matanggap sa ilalim ng Mga Panuntunan ng Hukuman. Ang partido na naghahangad na magpakilala ng psychiatric na ebidensya ay dapat magtatag"&amp;" ng kaugnayan nito, pagiging maaasahan, at probative na halaga sa pamamagitan ng wastong pundasyon at pagpapatunay.
5. **Pasan ng Patunay:**
- Ang pasanin ng patunay sa mga paglilitis sa kriminal ay nakasalalay sa pag-uusig, na dapat magtatag ng pagkakasa"&amp;"la ng akusado nang walang makatwirang pagdududa. Ang ebidensyang psychiatric na ipinakita ng alinman sa prosekusyon o depensa ay maaaring gamitin upang suportahan o hamunin ang mga elemento ng pagkakasala at ang mental na kalagayan ng akusado.
6. **Pagtat"&amp;"anggol sa Kabaliwan o Pagbaba ng Kapasidad:**
- Ang psychiatric na ebidensya ay maaaring partikular na may kaugnayan sa mga kaso kung saan ang pagtatanggol ay naglalabas ng mga isyu ng pagkabaliw o pagbaba ng kapasidad. Ang akusado ay maaaring magpakita n"&amp;"g psychiatric na ebidensya upang ipakita na wala silang kakayahan sa pag-iisip na maunawaan ang kalikasan at mga kahihinatnan ng kanilang mga aksyon o upang iayon ang kanilang pag-uugali sa mga kinakailangan ng batas.
7. **Pagpapasya ng Hudisyal:**
- Sa h"&amp;"uli, ang pagtanggap at bigat na ibinibigay sa psychiatric na ebidensya sa mga kriminal na paglilitis ay napapailalim sa pagpapasya ng namumunong hukom. Maaaring isaalang-alang ng hukom ang iba't ibang salik, kabilang ang pagiging maaasahan ng ebidensya, a"&amp;"ng mga kwalipikasyon ng ekspertong saksi, at ang potensyal na pagkiling sa mga partido.
Sa pangkalahatan, ang paggamit ng psychiatric na ebidensya sa mga paglilitis sa krimen sa Pilipinas ay ginagabayan ng mga legal na prinsipyo na naglalayong tiyakin ang"&amp;" pagiging patas, pagiging maaasahan, at pagsunod sa angkop na proseso. Ang ebidensiya ng saykayatriko ay maaaring magkaroon ng malaking papel sa pagtatasa ng kalagayan ng pag-iisip ng akusado at sa pagtukoy ng kanilang kasalanan o mga salik na nagpapagaan"&amp;" sa mga kasong kriminal.")</f>
        <v>Sa Pilipinas, ang paggamit ng psychiatric na ebidensya sa mga paglilitis sa kriminal ay pinamamahalaan ng iba't ibang batas, alituntunin ng hukuman, at mga legal na prinsipyo na idinisenyo upang matiyak ang patas na paglilitis at protektahan ang mga karapatan ng mga akusado. Narito kung paano tinutugunan ng batas ang paggamit ng psychiatric na ebidensya:
1. **Mga Panuntunan ng Katibayan:**
- Ang Mga Panuntunan ng Hukuman ay namamahala sa pagtanggap at pagtatanghal ng ebidensya sa mga korte sa Pilipinas, kabilang ang psychiatric na ebidensya. Binabalangkas ng Rule 132 ng Rules of Court ang mga pangkalahatang tuntunin para sa paglalahad ng ebidensya, kabilang ang testimonya ng eksperto, sa mga paglilitis sa kriminal.
2. **Kakayahan at Kwalipikasyon ng mga Eksperto:**
- Ang mga eksperto sa psychiatric na tinawag upang tumestigo sa mga paglilitis sa krimen ay dapat magkaroon ng mga kinakailangang kwalipikasyon at kadalubhasaan sa larangan ng psychiatry. Ang kanilang kakayahan na magbigay ng mga ekspertong opinyon ay maaaring masuri ng hukuman batay sa kanilang edukasyon, pagsasanay, karanasan, at mga propesyonal na kredensyal.
3. **Kaugnayan at Materyal:**
- Dapat na may kaugnayan at materyal ang ebidensyang saykayatriko sa mga isyung inililitis sa paglilitis sa krimen. Dapat itong direktang nauugnay sa mental na estado ng akusado sa oras ng di-umano'y pagkakasala, ang kanilang kapasidad na bumuo ng layunin, o ang kanilang mental na kondisyon na nauugnay sa mga elemento ng krimen na kinasuhan.
4. **Pagtanggap:**
- Maaaring tanggapin sa korte ang ebidensiya ng saykayatriko kung natutugunan nito ang mga pamantayan ng pagiging matanggap sa ilalim ng Mga Panuntunan ng Hukuman. Ang partido na naghahangad na magpakilala ng psychiatric na ebidensya ay dapat magtatag ng kaugnayan nito, pagiging maaasahan, at probative na halaga sa pamamagitan ng wastong pundasyon at pagpapatunay.
5. **Pasan ng Patunay:**
- Ang pasanin ng patunay sa mga paglilitis sa kriminal ay nakasalalay sa pag-uusig, na dapat magtatag ng pagkakasala ng akusado nang walang makatwirang pagdududa. Ang ebidensyang psychiatric na ipinakita ng alinman sa prosekusyon o depensa ay maaaring gamitin upang suportahan o hamunin ang mga elemento ng pagkakasala at ang mental na kalagayan ng akusado.
6. **Pagtatanggol sa Kabaliwan o Pagbaba ng Kapasidad:**
- Ang psychiatric na ebidensya ay maaaring partikular na may kaugnayan sa mga kaso kung saan ang pagtatanggol ay naglalabas ng mga isyu ng pagkabaliw o pagbaba ng kapasidad. Ang akusado ay maaaring magpakita ng psychiatric na ebidensya upang ipakita na wala silang kakayahan sa pag-iisip na maunawaan ang kalikasan at mga kahihinatnan ng kanilang mga aksyon o upang iayon ang kanilang pag-uugali sa mga kinakailangan ng batas.
7. **Pagpapasya ng Hudisyal:**
- Sa huli, ang pagtanggap at bigat na ibinibigay sa psychiatric na ebidensya sa mga kriminal na paglilitis ay napapailalim sa pagpapasya ng namumunong hukom. Maaaring isaalang-alang ng hukom ang iba't ibang salik, kabilang ang pagiging maaasahan ng ebidensya, ang mga kwalipikasyon ng ekspertong saksi, at ang potensyal na pagkiling sa mga partido.
Sa pangkalahatan, ang paggamit ng psychiatric na ebidensya sa mga paglilitis sa krimen sa Pilipinas ay ginagabayan ng mga legal na prinsipyo na naglalayong tiyakin ang pagiging patas, pagiging maaasahan, at pagsunod sa angkop na proseso. Ang ebidensiya ng saykayatriko ay maaaring magkaroon ng malaking papel sa pagtatasa ng kalagayan ng pag-iisip ng akusado at sa pagtukoy ng kanilang kasalanan o mga salik na nagpapagaan sa mga kasong kriminal.</v>
      </c>
      <c r="F2513" s="2">
        <f t="shared" si="1"/>
        <v>0</v>
      </c>
      <c r="G2513" s="2"/>
      <c r="H2513" s="2"/>
      <c r="I2513" s="2"/>
      <c r="J2513" s="2"/>
      <c r="K2513" s="2"/>
      <c r="L2513" s="2"/>
      <c r="M2513" s="2"/>
      <c r="N2513" s="2"/>
      <c r="O2513" s="2"/>
      <c r="P2513" s="2"/>
      <c r="Q2513" s="2"/>
      <c r="R2513" s="2"/>
      <c r="S2513" s="2"/>
      <c r="T2513" s="2"/>
      <c r="U2513" s="2"/>
      <c r="V2513" s="2"/>
      <c r="W2513" s="2"/>
      <c r="X2513" s="2"/>
      <c r="Y2513" s="2"/>
      <c r="Z2513" s="2"/>
      <c r="AA2513" s="2"/>
    </row>
    <row r="2514">
      <c r="A2514" s="1" t="s">
        <v>5971</v>
      </c>
      <c r="B2514" s="1" t="s">
        <v>5996</v>
      </c>
      <c r="C2514" s="1" t="s">
        <v>5997</v>
      </c>
      <c r="D2514" s="2" t="str">
        <f>IFERROR(__xludf.DUMMYFUNCTION("GOOGLETRANSLATE(B2514, ""en"", ""TL"")"),"Anong mga legal na hakbang ang umiiral upang maiwasan ang maling paghatol ng mga indibidwal na may mga sakit sa isip?")</f>
        <v>Anong mga legal na hakbang ang umiiral upang maiwasan ang maling paghatol ng mga indibidwal na may mga sakit sa isip?</v>
      </c>
      <c r="E2514" s="2" t="str">
        <f>IFERROR(__xludf.DUMMYFUNCTION("GOOGLETRANSLATE(C2514, ""en"", ""TL"")"),"Upang maiwasan ang maling paghatol ng mga indibidwal na may sakit sa isip, iba't ibang mga legal na hakbang at pananggalang ang inilalagay sa loob ng sistemang legal ng Pilipinas. Ang mga hakbang na ito ay naglalayong tiyakin ang patas na pagtrato, protek"&amp;"tahan ang mga karapatan ng mga indibidwal na may mga sakit sa isip, at maiwasan ang mga miscarriages ng hustisya dahil sa kanilang kalagayan sa kalusugan ng isip. Narito ang ilang pangunahing legal na hakbang:
1. **Mga Pagsusuri sa Kakayahan:**
- Bago mag"&amp;"patuloy sa mga kriminal na paglilitis, ang mga indibidwal na may mga sakit sa isip ay maaaring sumailalim sa mga pagsusuri sa kakayahan na isinasagawa ng mga propesyonal sa kalusugan ng isip. Tinatasa ng mga pagsusuring ito ang kalagayan ng pag-iisip ng i"&amp;"ndibidwal, kapasidad na maunawaan ang mga paratang laban sa kanila, at kakayahang lumahok sa kanilang pagtatanggol.
2. **Legal na Kinatawan:**
- Ang mga indibidwal na may sakit sa isip ay may karapatan sa legal na representasyon sa buong proseso ng hustis"&amp;"yang kriminal. Maaaring itaguyod ng legal na tagapayo ang kanilang mga karapatan, tiyakin ang patas na pagtrato, at magbigay ng tulong sa pag-unawa sa mga legal na paglilitis.
3. **Karapatan sa isang Makatarungang Pagsubok:**
- Ang mga indibidwal na may m"&amp;"ga sakit na psychiatric ay may karapatan sa isang patas na paglilitis, kabilang ang karapatang magpakita ng ebidensya, magsuri ng mga saksi, at hamunin ang kaso ng prosekusyon laban sa kanila. Ang mga legal na paglilitis ay dapat sumunod sa mga prinsipyo "&amp;"ng angkop na proseso at pagiging patas.
4. **Mga Espesyal na Hukuman o Diversion Programs:**
- Ang ilang mga hurisdiksyon ay maaaring may mga espesyal na hukuman o mga programa sa paglilipat para sa mga indibidwal na may mga sakit na psychiatric. Ang mga "&amp;"programang ito ay naglalayong tugunan ang mga napapailalim na isyu sa kalusugan ng isip na nag-aambag sa kriminal na pag-uugali at magbigay ng mga alternatibo sa tradisyonal na pagkakulong.
5. **Patotoo ng Eksperto:**
- Ang patotoo ng eksperto mula sa mga"&amp;" propesyonal sa kalusugan ng isip ay maaaring iharap sa korte upang magbigay ng mga insight sa kalagayan ng kalusugan ng isip ng indibidwal, ang epekto nito sa kanilang pag-uugali, at anumang nagpapagaan na mga salik na nauugnay sa kaso.
6. **Pagsusuri ng"&amp;" Ebidensya:**
- Maingat na sinusuri ng mga korte ang ebidensyang ipinakita sa mga kaso na kinasasangkutan ng mga indibidwal na may mga sakit sa isip upang matiyak ang pagiging maaasahan at kaugnayan nito. Maaaring isaalang-alang ng mga hukom ang kalagayan"&amp;" ng kalusugan ng isip ng indibidwal kapag tinitimbang ang ebidensya at tinutukoy ang pagkakasala o kawalang-kasalanan.
7. **Pagsusuri Pagkatapos ng Kombiksyon:**
- Ang mga indibidwal na nahatulan ng mga krimen at kalaunan ay na-diagnose na may mga sakit s"&amp;"a isip ay maaaring humingi ng pagsusuri pagkatapos ng paghatol o mga apela upang hamunin ang kanilang mga hinatulan batay sa bagong ebidensya na nauugnay sa kanilang kalagayan sa kalusugan ng isip.
8. **Pagsasanay para sa Mga Legal na Propesyonal:**
- Ang"&amp;" mga legal na propesyonal, kabilang ang mga hukom, tagausig, at mga abogado ng depensa, ay maaaring makatanggap ng pagsasanay sa mga isyu sa kalusugan ng isip upang mapahusay ang kanilang pag-unawa kung paano maaaring makaapekto ang mga sakit sa isip sa m"&amp;"ga legal na paglilitis at paggawa ng desisyon.
9. **Kaalaman at Edukasyon:**
- Maaaring magsagawa ng mga kampanya sa pampublikong kamalayan at mga hakbangin na pang-edukasyon upang pataasin ang pag-unawa at bawasan ang stigma na pumapalibot sa mga isyu sa"&amp;" kalusugan ng isip, pagtataguyod ng patas na pagtrato at suporta para sa mga indibidwal na may mga sakit sa isip sa loob ng sistema ng hustisyang kriminal.
Sa pangkalahatan, ang mga legal na hakbang na ito ay nagtutulungan upang maiwasan ang maling paghat"&amp;"ol ng mga indibidwal na may mga sakit sa isip, itaguyod ang kanilang mga karapatan, at matiyak na ang hustisya ay ibibigay habang isinasaalang-alang ang kanilang mga pangangailangan at kalagayan sa kalusugan ng isip.")</f>
        <v>Upang maiwasan ang maling paghatol ng mga indibidwal na may sakit sa isip, iba't ibang mga legal na hakbang at pananggalang ang inilalagay sa loob ng sistemang legal ng Pilipinas. Ang mga hakbang na ito ay naglalayong tiyakin ang patas na pagtrato, protektahan ang mga karapatan ng mga indibidwal na may mga sakit sa isip, at maiwasan ang mga miscarriages ng hustisya dahil sa kanilang kalagayan sa kalusugan ng isip. Narito ang ilang pangunahing legal na hakbang:
1. **Mga Pagsusuri sa Kakayahan:**
- Bago magpatuloy sa mga kriminal na paglilitis, ang mga indibidwal na may mga sakit sa isip ay maaaring sumailalim sa mga pagsusuri sa kakayahan na isinasagawa ng mga propesyonal sa kalusugan ng isip. Tinatasa ng mga pagsusuring ito ang kalagayan ng pag-iisip ng indibidwal, kapasidad na maunawaan ang mga paratang laban sa kanila, at kakayahang lumahok sa kanilang pagtatanggol.
2. **Legal na Kinatawan:**
- Ang mga indibidwal na may sakit sa isip ay may karapatan sa legal na representasyon sa buong proseso ng hustisyang kriminal. Maaaring itaguyod ng legal na tagapayo ang kanilang mga karapatan, tiyakin ang patas na pagtrato, at magbigay ng tulong sa pag-unawa sa mga legal na paglilitis.
3. **Karapatan sa isang Makatarungang Pagsubok:**
- Ang mga indibidwal na may mga sakit na psychiatric ay may karapatan sa isang patas na paglilitis, kabilang ang karapatang magpakita ng ebidensya, magsuri ng mga saksi, at hamunin ang kaso ng prosekusyon laban sa kanila. Ang mga legal na paglilitis ay dapat sumunod sa mga prinsipyo ng angkop na proseso at pagiging patas.
4. **Mga Espesyal na Hukuman o Diversion Programs:**
- Ang ilang mga hurisdiksyon ay maaaring may mga espesyal na hukuman o mga programa sa paglilipat para sa mga indibidwal na may mga sakit na psychiatric. Ang mga programang ito ay naglalayong tugunan ang mga napapailalim na isyu sa kalusugan ng isip na nag-aambag sa kriminal na pag-uugali at magbigay ng mga alternatibo sa tradisyonal na pagkakulong.
5. **Patotoo ng Eksperto:**
- Ang patotoo ng eksperto mula sa mga propesyonal sa kalusugan ng isip ay maaaring iharap sa korte upang magbigay ng mga insight sa kalagayan ng kalusugan ng isip ng indibidwal, ang epekto nito sa kanilang pag-uugali, at anumang nagpapagaan na mga salik na nauugnay sa kaso.
6. **Pagsusuri ng Ebidensya:**
- Maingat na sinusuri ng mga korte ang ebidensyang ipinakita sa mga kaso na kinasasangkutan ng mga indibidwal na may mga sakit sa isip upang matiyak ang pagiging maaasahan at kaugnayan nito. Maaaring isaalang-alang ng mga hukom ang kalagayan ng kalusugan ng isip ng indibidwal kapag tinitimbang ang ebidensya at tinutukoy ang pagkakasala o kawalang-kasalanan.
7. **Pagsusuri Pagkatapos ng Kombiksyon:**
- Ang mga indibidwal na nahatulan ng mga krimen at kalaunan ay na-diagnose na may mga sakit sa isip ay maaaring humingi ng pagsusuri pagkatapos ng paghatol o mga apela upang hamunin ang kanilang mga hinatulan batay sa bagong ebidensya na nauugnay sa kanilang kalagayan sa kalusugan ng isip.
8. **Pagsasanay para sa Mga Legal na Propesyonal:**
- Ang mga legal na propesyonal, kabilang ang mga hukom, tagausig, at mga abogado ng depensa, ay maaaring makatanggap ng pagsasanay sa mga isyu sa kalusugan ng isip upang mapahusay ang kanilang pag-unawa kung paano maaaring makaapekto ang mga sakit sa isip sa mga legal na paglilitis at paggawa ng desisyon.
9. **Kaalaman at Edukasyon:**
- Maaaring magsagawa ng mga kampanya sa pampublikong kamalayan at mga hakbangin na pang-edukasyon upang pataasin ang pag-unawa at bawasan ang stigma na pumapalibot sa mga isyu sa kalusugan ng isip, pagtataguyod ng patas na pagtrato at suporta para sa mga indibidwal na may mga sakit sa isip sa loob ng sistema ng hustisyang kriminal.
Sa pangkalahatan, ang mga legal na hakbang na ito ay nagtutulungan upang maiwasan ang maling paghatol ng mga indibidwal na may mga sakit sa isip, itaguyod ang kanilang mga karapatan, at matiyak na ang hustisya ay ibibigay habang isinasaalang-alang ang kanilang mga pangangailangan at kalagayan sa kalusugan ng isip.</v>
      </c>
      <c r="F2514" s="2">
        <f t="shared" si="1"/>
        <v>0</v>
      </c>
      <c r="G2514" s="2"/>
      <c r="H2514" s="2"/>
      <c r="I2514" s="2"/>
      <c r="J2514" s="2"/>
      <c r="K2514" s="2"/>
      <c r="L2514" s="2"/>
      <c r="M2514" s="2"/>
      <c r="N2514" s="2"/>
      <c r="O2514" s="2"/>
      <c r="P2514" s="2"/>
      <c r="Q2514" s="2"/>
      <c r="R2514" s="2"/>
      <c r="S2514" s="2"/>
      <c r="T2514" s="2"/>
      <c r="U2514" s="2"/>
      <c r="V2514" s="2"/>
      <c r="W2514" s="2"/>
      <c r="X2514" s="2"/>
      <c r="Y2514" s="2"/>
      <c r="Z2514" s="2"/>
      <c r="AA2514" s="2"/>
    </row>
    <row r="2515">
      <c r="A2515" s="1" t="s">
        <v>5971</v>
      </c>
      <c r="B2515" s="1" t="s">
        <v>5998</v>
      </c>
      <c r="C2515" s="1" t="s">
        <v>5999</v>
      </c>
      <c r="D2515" s="2" t="str">
        <f>IFERROR(__xludf.DUMMYFUNCTION("GOOGLETRANSLATE(B2515, ""en"", ""TL"")"),"Paano naiiba ang pagtrato sa mga indibidwal na may mga sakit na saykayatriko sa mga tuntunin ng paghatol at pagkakulong?")</f>
        <v>Paano naiiba ang pagtrato sa mga indibidwal na may mga sakit na saykayatriko sa mga tuntunin ng paghatol at pagkakulong?</v>
      </c>
      <c r="E2515" s="2" t="str">
        <f>IFERROR(__xludf.DUMMYFUNCTION("GOOGLETRANSLATE(C2515, ""en"", ""TL"")"),"Sa Pilipinas, ang mga indibidwal na may mga sakit na psychiatric ay naiiba ang pagtrato sa mga tuntunin ng pagsentensiya at pagkakulong dahil sa pagsasaalang-alang sa kanilang kalusugang pangkaisipan at kapasidad. Ang legal na balangkas para sa paghawak n"&amp;"g mga kaso na kinasasangkutan ng mga indibidwal na may sakit sa isip ay kinabibilangan ng mga probisyon na naglalayong tiyakin ang patas na paggamot at naaangkop na pangangalaga para sa mga indibidwal na ito. Narito kung paano sila tinatrato nang iba:
1. "&amp;"**Pagsusuri ng Mental Health:**
- Sa panahon ng mga kriminal na paglilitis, ang mga indibidwal na may mga sakit sa isip ay maaaring sumailalim sa pagsusuri ng mga propesyonal sa kalusugan ng isip upang masuri ang kanilang kalagayan sa pag-iisip, kapasidad"&amp;", at kaangkupan na humarap sa paglilitis.
- Maaaring isaalang-alang ng pagsusuri ang mga salik tulad ng pag-unawa ng indibidwal sa mga paratang laban sa kanila, ang kanilang kakayahang lumahok sa kanilang depensa, at ang kanilang kasaysayan ng kalusugan n"&amp;"g isip.
2. **Pagsasaalang-alang ng Pinababang Kapasidad:**
- Kung ang sakit sa isip ng isang indibidwal ay nakakaapekto sa kanilang kapasidad na maunawaan ang kalikasan at mga kahihinatnan ng kanilang mga aksyon o upang iayon ang kanilang pag-uugali sa mg"&amp;"a kinakailangan ng batas, ito ay maaaring isaalang-alang sa panahon ng paghatol.
- Maaaring isaalang-alang ng mga korte ang mga salik na nagpapagaan na nauugnay sa kalusugan ng pag-iisip ng indibidwal kapag tinutukoy ang naaangkop na pangungusap, na isina"&amp;"saalang-alang ang prinsipyo ng pinaliit na kapasidad.
3. **Mga Alternatibong Panukala at Diversion Program:**
- Sa ilang mga kaso, ang mga indibidwal na may sakit sa isip ay maaaring ilihis mula sa tradisyunal na proseso ng hustisyang pangkrimen sa mga al"&amp;"ternatibong hakbang o mga programa sa paglilipat na naglalayong tugunan ang mga pinagbabatayan na isyu na nag-aambag sa kanilang kriminal na pag-uugali.
- Maaaring kabilang sa mga programang ito ang paggamot sa kalusugan ng isip, pagpapayo, rehabilitasyon"&amp;", o serbisyong pangkomunidad, na may layuning matugunan ang mga pangangailangan sa kalusugan ng isip ng indibidwal habang binabawasan ang posibilidad ng muling pagkakasala.
4. **Paggamot sa Mga Pasilidad ng Mental Health:**
- Sa halip na makulong sa mga t"&amp;"radisyunal na pasilidad ng pagwawasto, ang mga indibidwal na may malubhang sakit sa isip ay maaaring ilagay sa mga pasilidad sa kalusugan ng isip kung saan maaari silang makatanggap ng naaangkop na paggamot at pangangalaga.
- Ang mga pasilidad na ito ay m"&amp;"aaaring magbigay ng psychiatric evaluation, pamamahala ng gamot, psychotherapy, at iba pang mga serbisyo sa kalusugan ng isip na iniayon sa mga pangangailangan ng indibidwal.
5. **Mga Legal na Pag-iingat at Proteksyon:**
- Ang mga indibidwal na may sakit "&amp;"sa isip ay may karapatan sa mga legal na pananggalang at proteksyon upang matiyak na ang kanilang mga karapatan ay itinataguyod sa buong proseso ng hustisyang kriminal.
- Maaaring kabilang dito ang pag-access sa legal na representasyon, ang karapatan sa i"&amp;"sang patas na paglilitis, at mga proteksyon laban sa diskriminasyon batay sa kanilang katayuan sa kalusugan ng isip.
Sa pangkalahatan, ang paggamot sa mga indibidwal na may mga sakit na psychiatric sa sistema ng hustisyang kriminal ay naglalayong balanseh"&amp;"in ang mga pagsasaalang-alang sa hustisya, kaligtasan ng publiko, at mga pangangailangan sa kalusugan ng isip ng indibidwal. Sa pamamagitan ng pagkilala sa mga natatanging kalagayan at hamon na kinakaharap ng mga indibidwal na ito, ang legal na sistema ay"&amp;" naglalayong magbigay ng patas at pantay na pagtrato habang tinutugunan ang kanilang mga alalahanin sa kalusugan ng isip.")</f>
        <v>Sa Pilipinas, ang mga indibidwal na may mga sakit na psychiatric ay naiiba ang pagtrato sa mga tuntunin ng pagsentensiya at pagkakulong dahil sa pagsasaalang-alang sa kanilang kalusugang pangkaisipan at kapasidad. Ang legal na balangkas para sa paghawak ng mga kaso na kinasasangkutan ng mga indibidwal na may sakit sa isip ay kinabibilangan ng mga probisyon na naglalayong tiyakin ang patas na paggamot at naaangkop na pangangalaga para sa mga indibidwal na ito. Narito kung paano sila tinatrato nang iba:
1. **Pagsusuri ng Mental Health:**
- Sa panahon ng mga kriminal na paglilitis, ang mga indibidwal na may mga sakit sa isip ay maaaring sumailalim sa pagsusuri ng mga propesyonal sa kalusugan ng isip upang masuri ang kanilang kalagayan sa pag-iisip, kapasidad, at kaangkupan na humarap sa paglilitis.
- Maaaring isaalang-alang ng pagsusuri ang mga salik tulad ng pag-unawa ng indibidwal sa mga paratang laban sa kanila, ang kanilang kakayahang lumahok sa kanilang depensa, at ang kanilang kasaysayan ng kalusugan ng isip.
2. **Pagsasaalang-alang ng Pinababang Kapasidad:**
- Kung ang sakit sa isip ng isang indibidwal ay nakakaapekto sa kanilang kapasidad na maunawaan ang kalikasan at mga kahihinatnan ng kanilang mga aksyon o upang iayon ang kanilang pag-uugali sa mga kinakailangan ng batas, ito ay maaaring isaalang-alang sa panahon ng paghatol.
- Maaaring isaalang-alang ng mga korte ang mga salik na nagpapagaan na nauugnay sa kalusugan ng pag-iisip ng indibidwal kapag tinutukoy ang naaangkop na pangungusap, na isinasaalang-alang ang prinsipyo ng pinaliit na kapasidad.
3. **Mga Alternatibong Panukala at Diversion Program:**
- Sa ilang mga kaso, ang mga indibidwal na may sakit sa isip ay maaaring ilihis mula sa tradisyunal na proseso ng hustisyang pangkrimen sa mga alternatibong hakbang o mga programa sa paglilipat na naglalayong tugunan ang mga pinagbabatayan na isyu na nag-aambag sa kanilang kriminal na pag-uugali.
- Maaaring kabilang sa mga programang ito ang paggamot sa kalusugan ng isip, pagpapayo, rehabilitasyon, o serbisyong pangkomunidad, na may layuning matugunan ang mga pangangailangan sa kalusugan ng isip ng indibidwal habang binabawasan ang posibilidad ng muling pagkakasala.
4. **Paggamot sa Mga Pasilidad ng Mental Health:**
- Sa halip na makulong sa mga tradisyunal na pasilidad ng pagwawasto, ang mga indibidwal na may malubhang sakit sa isip ay maaaring ilagay sa mga pasilidad sa kalusugan ng isip kung saan maaari silang makatanggap ng naaangkop na paggamot at pangangalaga.
- Ang mga pasilidad na ito ay maaaring magbigay ng psychiatric evaluation, pamamahala ng gamot, psychotherapy, at iba pang mga serbisyo sa kalusugan ng isip na iniayon sa mga pangangailangan ng indibidwal.
5. **Mga Legal na Pag-iingat at Proteksyon:**
- Ang mga indibidwal na may sakit sa isip ay may karapatan sa mga legal na pananggalang at proteksyon upang matiyak na ang kanilang mga karapatan ay itinataguyod sa buong proseso ng hustisyang kriminal.
- Maaaring kabilang dito ang pag-access sa legal na representasyon, ang karapatan sa isang patas na paglilitis, at mga proteksyon laban sa diskriminasyon batay sa kanilang katayuan sa kalusugan ng isip.
Sa pangkalahatan, ang paggamot sa mga indibidwal na may mga sakit na psychiatric sa sistema ng hustisyang kriminal ay naglalayong balansehin ang mga pagsasaalang-alang sa hustisya, kaligtasan ng publiko, at mga pangangailangan sa kalusugan ng isip ng indibidwal. Sa pamamagitan ng pagkilala sa mga natatanging kalagayan at hamon na kinakaharap ng mga indibidwal na ito, ang legal na sistema ay naglalayong magbigay ng patas at pantay na pagtrato habang tinutugunan ang kanilang mga alalahanin sa kalusugan ng isip.</v>
      </c>
      <c r="F2515" s="2">
        <f t="shared" si="1"/>
        <v>0</v>
      </c>
      <c r="G2515" s="2"/>
      <c r="H2515" s="2"/>
      <c r="I2515" s="2"/>
      <c r="J2515" s="2"/>
      <c r="K2515" s="2"/>
      <c r="L2515" s="2"/>
      <c r="M2515" s="2"/>
      <c r="N2515" s="2"/>
      <c r="O2515" s="2"/>
      <c r="P2515" s="2"/>
      <c r="Q2515" s="2"/>
      <c r="R2515" s="2"/>
      <c r="S2515" s="2"/>
      <c r="T2515" s="2"/>
      <c r="U2515" s="2"/>
      <c r="V2515" s="2"/>
      <c r="W2515" s="2"/>
      <c r="X2515" s="2"/>
      <c r="Y2515" s="2"/>
      <c r="Z2515" s="2"/>
      <c r="AA2515" s="2"/>
    </row>
    <row r="2516">
      <c r="A2516" s="1" t="s">
        <v>5971</v>
      </c>
      <c r="B2516" s="1" t="s">
        <v>6000</v>
      </c>
      <c r="C2516" s="1" t="s">
        <v>6001</v>
      </c>
      <c r="D2516" s="2" t="str">
        <f>IFERROR(__xludf.DUMMYFUNCTION("GOOGLETRANSLATE(B2516, ""en"", ""TL"")"),"Mayroon bang mga legal na probisyon para sa mga diversion program para sa mga indibidwal na may sakit sa isip sa sistema ng hustisyang pangkriminal?")</f>
        <v>Mayroon bang mga legal na probisyon para sa mga diversion program para sa mga indibidwal na may sakit sa isip sa sistema ng hustisyang pangkriminal?</v>
      </c>
      <c r="E2516" s="2" t="str">
        <f>IFERROR(__xludf.DUMMYFUNCTION("GOOGLETRANSLATE(C2516, ""en"", ""TL"")"),"Oo, sa Pilipinas, may mga legal na probisyon para sa mga diversion program para sa mga indibidwal na may mga sakit na psychiatric sa criminal justice system. Ang mga programang ito ay naglalayong magbigay ng mga alternatibong pamamaraan sa tradisyonal na "&amp;"pag-uusig at pagkakulong para sa mga indibidwal na may mga pangangailangan sa kalusugan ng isip, na may pagtuon sa rehabilitasyon, paggamot, at suportang nakabatay sa komunidad. Narito ang ilang pangunahing legal na probisyon at mekanismo para sa mga dive"&amp;"rsion program para sa mga indibidwal na may mga sakit na psychiatric:
Mental Health Act (Republic Act No. 11036): Ang batas na ito, na pinagtibay noong 2018, ay kinabibilangan ng mga probisyon para sa mga diversion program para sa mga indibidwal na may mg"&amp;"a pangangailangan sa kalusugan ng isip na nakikipag-ugnayan sa sistema ng hustisyang pangkriminal. Ang Seksyon 28 ng Mental Health Act ay nag-uutos sa pagtatatag ng mga diversion program, gaya ng mental health court o specialized treatment programs, upang"&amp;" magbigay ng mga alternatibo sa pagkakakulong para sa mga indibidwal na may mga isyu sa kalusugan ng isip.
Binagong Kodigo Penal (Act No. 3815): Pinahihintulutan ng Binagong Kodigo Penal ng Pilipinas ang pagsuspinde ng mga paglilitis sa krimen o ang pagpa"&amp;"taw ng mga alternatibong parusa para sa ilang mga pagkakasala, kabilang ang mga ginawa ng mga indibidwal na may mga sakit sa isip. Ang mga korte ay may paghuhusga na isaalang-alang ang kondisyon ng kalusugan ng isip ng nasasakdal at maaaring mag-opt para "&amp;"sa diversion o alternatibong mga opsyon sa paghatol, tulad ng probasyon o serbisyo sa komunidad, sa halip na pagkakulong.
Circular ng Kagawaran ng Hustisya Blg. 087 (Mga Alituntunin sa Pagpapatakbo ng Batas sa Kalusugan ng Pag-iisip): Ang sirkular na ito "&amp;"na inisyu ng Kagawaran ng Hustisya ay nagbibigay ng mga alituntunin para sa pagpapatakbo ng Mental Health Act, kabilang ang pagtatatag ng mga programa sa paglilipat para sa mga indibidwal na may mga pangangailangan sa kalusugan ng isip salungat sa batas. "&amp;"Binabalangkas ng pabilog ang mga pamamaraan para sa pagtukoy ng mga karapat-dapat na indibidwal, pagtatasa ng kanilang mga pangangailangan sa kalusugan ng isip, at pag-refer sa kanila sa naaangkop na mga programa sa paglilipat.
Mga Serbisyo sa Rehabilitas"&amp;"yon at Suporta na Nakabatay sa Komunidad: Ang mga programang diversion para sa mga indibidwal na may mga sakit na psychiatric ay kadalasang nagsasangkot ng pakikipagtulungan sa mga serbisyo sa kalusugan ng isip na nakabatay sa komunidad, mga programa sa r"&amp;"ehabilitasyon, at mga network ng suporta. Maaaring kabilang sa mga programang ito ang paggamot sa outpatient, pagpapayo, pagsasanay sa bokasyonal, tulong sa pabahay, at iba pang mga serbisyo na naglalayong isulong ang pagbawi at muling pagsasama sa komuni"&amp;"dad.
Interagency Collaboration and Coordination: Ang mga epektibong diversion program para sa mga indibidwal na may psychiatric na sakit ay nangangailangan ng pakikipagtulungan at koordinasyon sa iba't ibang ahensya ng gobyerno, kabilang ang mga tagapagpa"&amp;"tupad ng batas, mga korte, mga serbisyo sa kalusugan ng isip, mga ahensya ng kapakanang panlipunan, at mga organisasyon ng komunidad. Ang mga interagency partnership ay nakakatulong na matiyak na ang mga indibidwal ay makakatanggap ng komprehensibo at mag"&amp;"kakaugnay na suporta na iniayon sa kanilang mga indibidwal na pangangailangan.
Sa pangkalahatan, ang mga diversion program para sa mga indibidwal na may sakit sa isip sa Pilipinas ay ginagabayan ng mga legal na probisyon at mekanismo na naglalayong magbig"&amp;"ay ng mga alternatibo sa pagkakulong, pagtataguyod ng rehabilitasyon at pagbawi, at pagtugon sa mga pangunahing pangangailangan sa kalusugan ng isip ng mga indibidwal na salungat sa batas. Ang mga programang ito ay sumasalamin sa isang pagkilala sa masali"&amp;"muot na ugnayan sa pagitan ng kalusugan ng isip at hustisyang kriminal at binibigyang-diin ang kahalagahan ng paggamit ng mga holistic at mahabagin na diskarte sa pagtugon sa mga isyu sa kalusugan ng isip sa loob ng legal na sistema.")</f>
        <v>Oo, sa Pilipinas, may mga legal na probisyon para sa mga diversion program para sa mga indibidwal na may mga sakit na psychiatric sa criminal justice system. Ang mga programang ito ay naglalayong magbigay ng mga alternatibong pamamaraan sa tradisyonal na pag-uusig at pagkakulong para sa mga indibidwal na may mga pangangailangan sa kalusugan ng isip, na may pagtuon sa rehabilitasyon, paggamot, at suportang nakabatay sa komunidad. Narito ang ilang pangunahing legal na probisyon at mekanismo para sa mga diversion program para sa mga indibidwal na may mga sakit na psychiatric:
Mental Health Act (Republic Act No. 11036): Ang batas na ito, na pinagtibay noong 2018, ay kinabibilangan ng mga probisyon para sa mga diversion program para sa mga indibidwal na may mga pangangailangan sa kalusugan ng isip na nakikipag-ugnayan sa sistema ng hustisyang pangkriminal. Ang Seksyon 28 ng Mental Health Act ay nag-uutos sa pagtatatag ng mga diversion program, gaya ng mental health court o specialized treatment programs, upang magbigay ng mga alternatibo sa pagkakakulong para sa mga indibidwal na may mga isyu sa kalusugan ng isip.
Binagong Kodigo Penal (Act No. 3815): Pinahihintulutan ng Binagong Kodigo Penal ng Pilipinas ang pagsuspinde ng mga paglilitis sa krimen o ang pagpataw ng mga alternatibong parusa para sa ilang mga pagkakasala, kabilang ang mga ginawa ng mga indibidwal na may mga sakit sa isip. Ang mga korte ay may paghuhusga na isaalang-alang ang kondisyon ng kalusugan ng isip ng nasasakdal at maaaring mag-opt para sa diversion o alternatibong mga opsyon sa paghatol, tulad ng probasyon o serbisyo sa komunidad, sa halip na pagkakulong.
Circular ng Kagawaran ng Hustisya Blg. 087 (Mga Alituntunin sa Pagpapatakbo ng Batas sa Kalusugan ng Pag-iisip): Ang sirkular na ito na inisyu ng Kagawaran ng Hustisya ay nagbibigay ng mga alituntunin para sa pagpapatakbo ng Mental Health Act, kabilang ang pagtatatag ng mga programa sa paglilipat para sa mga indibidwal na may mga pangangailangan sa kalusugan ng isip salungat sa batas. Binabalangkas ng pabilog ang mga pamamaraan para sa pagtukoy ng mga karapat-dapat na indibidwal, pagtatasa ng kanilang mga pangangailangan sa kalusugan ng isip, at pag-refer sa kanila sa naaangkop na mga programa sa paglilipat.
Mga Serbisyo sa Rehabilitasyon at Suporta na Nakabatay sa Komunidad: Ang mga programang diversion para sa mga indibidwal na may mga sakit na psychiatric ay kadalasang nagsasangkot ng pakikipagtulungan sa mga serbisyo sa kalusugan ng isip na nakabatay sa komunidad, mga programa sa rehabilitasyon, at mga network ng suporta. Maaaring kabilang sa mga programang ito ang paggamot sa outpatient, pagpapayo, pagsasanay sa bokasyonal, tulong sa pabahay, at iba pang mga serbisyo na naglalayong isulong ang pagbawi at muling pagsasama sa komunidad.
Interagency Collaboration and Coordination: Ang mga epektibong diversion program para sa mga indibidwal na may psychiatric na sakit ay nangangailangan ng pakikipagtulungan at koordinasyon sa iba't ibang ahensya ng gobyerno, kabilang ang mga tagapagpatupad ng batas, mga korte, mga serbisyo sa kalusugan ng isip, mga ahensya ng kapakanang panlipunan, at mga organisasyon ng komunidad. Ang mga interagency partnership ay nakakatulong na matiyak na ang mga indibidwal ay makakatanggap ng komprehensibo at magkakaugnay na suporta na iniayon sa kanilang mga indibidwal na pangangailangan.
Sa pangkalahatan, ang mga diversion program para sa mga indibidwal na may sakit sa isip sa Pilipinas ay ginagabayan ng mga legal na probisyon at mekanismo na naglalayong magbigay ng mga alternatibo sa pagkakulong, pagtataguyod ng rehabilitasyon at pagbawi, at pagtugon sa mga pangunahing pangangailangan sa kalusugan ng isip ng mga indibidwal na salungat sa batas. Ang mga programang ito ay sumasalamin sa isang pagkilala sa masalimuot na ugnayan sa pagitan ng kalusugan ng isip at hustisyang kriminal at binibigyang-diin ang kahalagahan ng paggamit ng mga holistic at mahabagin na diskarte sa pagtugon sa mga isyu sa kalusugan ng isip sa loob ng legal na sistema.</v>
      </c>
      <c r="F2516" s="2">
        <f t="shared" si="1"/>
        <v>0</v>
      </c>
      <c r="G2516" s="2"/>
      <c r="H2516" s="2"/>
      <c r="I2516" s="2"/>
      <c r="J2516" s="2"/>
      <c r="K2516" s="2"/>
      <c r="L2516" s="2"/>
      <c r="M2516" s="2"/>
      <c r="N2516" s="2"/>
      <c r="O2516" s="2"/>
      <c r="P2516" s="2"/>
      <c r="Q2516" s="2"/>
      <c r="R2516" s="2"/>
      <c r="S2516" s="2"/>
      <c r="T2516" s="2"/>
      <c r="U2516" s="2"/>
      <c r="V2516" s="2"/>
      <c r="W2516" s="2"/>
      <c r="X2516" s="2"/>
      <c r="Y2516" s="2"/>
      <c r="Z2516" s="2"/>
      <c r="AA2516" s="2"/>
    </row>
    <row r="2517">
      <c r="A2517" s="1" t="s">
        <v>5971</v>
      </c>
      <c r="B2517" s="1" t="s">
        <v>6002</v>
      </c>
      <c r="C2517" s="1" t="s">
        <v>6003</v>
      </c>
      <c r="D2517" s="2" t="str">
        <f>IFERROR(__xludf.DUMMYFUNCTION("GOOGLETRANSLATE(B2517, ""en"", ""TL"")"),"Paano tinutugunan ng batas ang pagiging kumpidensyal ng mga rekord ng psychiatric sa mga kasong kriminal?")</f>
        <v>Paano tinutugunan ng batas ang pagiging kumpidensyal ng mga rekord ng psychiatric sa mga kasong kriminal?</v>
      </c>
      <c r="E2517" s="2" t="str">
        <f>IFERROR(__xludf.DUMMYFUNCTION("GOOGLETRANSLATE(C2517, ""en"", ""TL"")"),"Sa Pilipinas, ang pagiging kompidensiyal ng mga psychiatric na rekord sa mga kasong kriminal ay karaniwang pinoprotektahan ng mga legal at etikal na pamantayan na naglalayong pangalagaan ang pagkapribado at pagiging kompidensiyal ng impormasyon sa kalusug"&amp;"an ng isip ng mga indibidwal. Bagama't walang partikular na batas na tanging nakatuon sa pagiging kumpidensyal ng mga rekord ng saykayatriko sa mga kasong kriminal, ilang mga legal na probisyon at prinsipyo ang nalalapat upang matiyak ang proteksyon ng na"&amp;"turang mga tala. Narito kung paano tinutugunan ng batas ang pagiging kumpidensyal ng mga rekord ng psychiatric sa mga kasong kriminal:
Medical Confidentiality: Ang pagiging kompidensiyal ng mga psychiatric record ay pinamamahalaan ng mga pangkalahatang pr"&amp;"insipyo ng medikal na pagiging kompidensyal, na nagpoprotekta sa privacy ng mga medikal na impormasyon ng mga indibidwal, kabilang ang mga rekord ng kalusugan ng isip. Ang mga medikal na propesyonal, kabilang ang mga psychiatrist at clinical psychologist,"&amp;" ay napapailalim sa etikal at propesyonal na mga pamantayan upang mapanatili ang pagiging kompidensiyal ng impormasyon ng pasyente at upang ibunyag ang naturang impormasyon lamang sa pahintulot ng pasyente o ayon sa kinakailangan ng batas.
Republic Act No"&amp;". 10173 (Data Privacy Act of 2012): Kinokontrol ng batas na ito ang pagproseso ng personal na impormasyon, kabilang ang data na nauugnay sa kalusugan, at nagtatatag ng mga prinsipyo at pamantayan para sa privacy at proteksyon ng data. Bagama't hindi parti"&amp;"kular na binanggit ng Data Privacy Act ang mga psychiatric record, nalalapat ito sa pagproseso ng anumang personal na impormasyon, kabilang ang impormasyon sa kalusugan ng isip, at nagpapataw ng mga obligasyon sa mga controllers ng data upang matiyak ang "&amp;"pagiging kumpidensyal at seguridad ng naturang impormasyon.
Pagiging Kumpidensyal sa Mga Paglilitis sa Korte: Sa mga kasong kriminal, ang mga rekord ng psychiatric ay maaaring isailalim sa pagsisiwalat at pagsusuri bilang bahagi ng mga legal na paglilitis"&amp;", tulad ng sa panahon ng paglilitis o mga pagdinig ng sentensiya. Gayunpaman, mayroong mga legal na pag-iingat at pamamaraan para protektahan ang pagiging kompidensiyal ng mga naturang talaan at paghigpitan ang pagsisiwalat ng mga ito sa mga awtorisadong "&amp;"partido lamang, gaya ng hukuman, legal na kinatawan, at mga nauugnay na eksperto.
Mga Utos ng Hukuman at Mga Legal na Kinakailangan: Ang pagsisiwalat ng mga rekord ng psychiatric sa mga kasong kriminal ay maaaring sumailalim sa mga utos ng hukuman o mga l"&amp;"egal na kinakailangan. Halimbawa, ang hukuman ay maaaring maglabas ng subpoena o utos para sa paggawa ng mga psychiatric record bilang ebidensya sa isang kriminal na paglilitis. Gayunpaman, ang mga naturang utos ay karaniwang nangangailangan ng pagsunod s"&amp;"a mahigpit na mga pananggalang sa pagiging kumpidensyal at maaaring limitahan ang pagsisiwalat ng sensitibong impormasyon lamang sa lawak na kinakailangan para sa pangangasiwa ng hustisya.
Propesyonal na Etika at Pamantayan: Ang mga propesyonal sa kalusug"&amp;"ang pangkaisipan, kabilang ang mga psychiatrist at clinical psychologist, ay napapailalim sa mga etikal na pamantayan at mga code ng pag-uugali na nangangailangan sa kanila na panatilihin ang pagiging kompidensiyal ng impormasyon ng pasyente, kabilang ang"&amp;" mga rekord ng psychiatric. Binibigyang-diin ng mga pamantayang ito ang kahalagahan ng paggalang sa mga karapatan sa privacy at pagiging kumpidensyal ng pasyente at nagpapataw ng mga obligasyon sa mga propesyonal na i-secure at protektahan ang kumpidensya"&amp;"l na impormasyon mula sa hindi awtorisadong pag-access o pagsisiwalat.
Sa pangkalahatan, habang ang batas sa Pilipinas ay walang mga partikular na probisyon na eksklusibong tumutugon sa pagiging kompidensiyal ng mga rekord ng saykayatriko sa mga kasong kr"&amp;"iminal, iba't ibang mga legal at etikal na pamantayan ang nalalapat upang protektahan ang pagkapribado at pagiging kompidensyal ng naturang mga talaan at tiyakin ang kanilang naaangkop na paghawak at pagsisiwalat alinsunod sa legal mga kinakailangan at pr"&amp;"opesyonal na etika.")</f>
        <v>Sa Pilipinas, ang pagiging kompidensiyal ng mga psychiatric na rekord sa mga kasong kriminal ay karaniwang pinoprotektahan ng mga legal at etikal na pamantayan na naglalayong pangalagaan ang pagkapribado at pagiging kompidensiyal ng impormasyon sa kalusugan ng isip ng mga indibidwal. Bagama't walang partikular na batas na tanging nakatuon sa pagiging kumpidensyal ng mga rekord ng saykayatriko sa mga kasong kriminal, ilang mga legal na probisyon at prinsipyo ang nalalapat upang matiyak ang proteksyon ng naturang mga tala. Narito kung paano tinutugunan ng batas ang pagiging kumpidensyal ng mga rekord ng psychiatric sa mga kasong kriminal:
Medical Confidentiality: Ang pagiging kompidensiyal ng mga psychiatric record ay pinamamahalaan ng mga pangkalahatang prinsipyo ng medikal na pagiging kompidensyal, na nagpoprotekta sa privacy ng mga medikal na impormasyon ng mga indibidwal, kabilang ang mga rekord ng kalusugan ng isip. Ang mga medikal na propesyonal, kabilang ang mga psychiatrist at clinical psychologist, ay napapailalim sa etikal at propesyonal na mga pamantayan upang mapanatili ang pagiging kompidensiyal ng impormasyon ng pasyente at upang ibunyag ang naturang impormasyon lamang sa pahintulot ng pasyente o ayon sa kinakailangan ng batas.
Republic Act No. 10173 (Data Privacy Act of 2012): Kinokontrol ng batas na ito ang pagproseso ng personal na impormasyon, kabilang ang data na nauugnay sa kalusugan, at nagtatatag ng mga prinsipyo at pamantayan para sa privacy at proteksyon ng data. Bagama't hindi partikular na binanggit ng Data Privacy Act ang mga psychiatric record, nalalapat ito sa pagproseso ng anumang personal na impormasyon, kabilang ang impormasyon sa kalusugan ng isip, at nagpapataw ng mga obligasyon sa mga controllers ng data upang matiyak ang pagiging kumpidensyal at seguridad ng naturang impormasyon.
Pagiging Kumpidensyal sa Mga Paglilitis sa Korte: Sa mga kasong kriminal, ang mga rekord ng psychiatric ay maaaring isailalim sa pagsisiwalat at pagsusuri bilang bahagi ng mga legal na paglilitis, tulad ng sa panahon ng paglilitis o mga pagdinig ng sentensiya. Gayunpaman, mayroong mga legal na pag-iingat at pamamaraan para protektahan ang pagiging kompidensiyal ng mga naturang talaan at paghigpitan ang pagsisiwalat ng mga ito sa mga awtorisadong partido lamang, gaya ng hukuman, legal na kinatawan, at mga nauugnay na eksperto.
Mga Utos ng Hukuman at Mga Legal na Kinakailangan: Ang pagsisiwalat ng mga rekord ng psychiatric sa mga kasong kriminal ay maaaring sumailalim sa mga utos ng hukuman o mga legal na kinakailangan. Halimbawa, ang hukuman ay maaaring maglabas ng subpoena o utos para sa paggawa ng mga psychiatric record bilang ebidensya sa isang kriminal na paglilitis. Gayunpaman, ang mga naturang utos ay karaniwang nangangailangan ng pagsunod sa mahigpit na mga pananggalang sa pagiging kumpidensyal at maaaring limitahan ang pagsisiwalat ng sensitibong impormasyon lamang sa lawak na kinakailangan para sa pangangasiwa ng hustisya.
Propesyonal na Etika at Pamantayan: Ang mga propesyonal sa kalusugang pangkaisipan, kabilang ang mga psychiatrist at clinical psychologist, ay napapailalim sa mga etikal na pamantayan at mga code ng pag-uugali na nangangailangan sa kanila na panatilihin ang pagiging kompidensiyal ng impormasyon ng pasyente, kabilang ang mga rekord ng psychiatric. Binibigyang-diin ng mga pamantayang ito ang kahalagahan ng paggalang sa mga karapatan sa privacy at pagiging kumpidensyal ng pasyente at nagpapataw ng mga obligasyon sa mga propesyonal na i-secure at protektahan ang kumpidensyal na impormasyon mula sa hindi awtorisadong pag-access o pagsisiwalat.
Sa pangkalahatan, habang ang batas sa Pilipinas ay walang mga partikular na probisyon na eksklusibong tumutugon sa pagiging kompidensiyal ng mga rekord ng saykayatriko sa mga kasong kriminal, iba't ibang mga legal at etikal na pamantayan ang nalalapat upang protektahan ang pagkapribado at pagiging kompidensyal ng naturang mga talaan at tiyakin ang kanilang naaangkop na paghawak at pagsisiwalat alinsunod sa legal mga kinakailangan at propesyonal na etika.</v>
      </c>
      <c r="F2517" s="2">
        <f t="shared" si="1"/>
        <v>0</v>
      </c>
      <c r="G2517" s="2"/>
      <c r="H2517" s="2"/>
      <c r="I2517" s="2"/>
      <c r="J2517" s="2"/>
      <c r="K2517" s="2"/>
      <c r="L2517" s="2"/>
      <c r="M2517" s="2"/>
      <c r="N2517" s="2"/>
      <c r="O2517" s="2"/>
      <c r="P2517" s="2"/>
      <c r="Q2517" s="2"/>
      <c r="R2517" s="2"/>
      <c r="S2517" s="2"/>
      <c r="T2517" s="2"/>
      <c r="U2517" s="2"/>
      <c r="V2517" s="2"/>
      <c r="W2517" s="2"/>
      <c r="X2517" s="2"/>
      <c r="Y2517" s="2"/>
      <c r="Z2517" s="2"/>
      <c r="AA2517" s="2"/>
    </row>
    <row r="2518">
      <c r="A2518" s="1" t="s">
        <v>5971</v>
      </c>
      <c r="B2518" s="1" t="s">
        <v>6004</v>
      </c>
      <c r="C2518" s="1" t="s">
        <v>6005</v>
      </c>
      <c r="D2518" s="2" t="str">
        <f>IFERROR(__xludf.DUMMYFUNCTION("GOOGLETRANSLATE(B2518, ""en"", ""TL"")"),"Anong mga legal na aksyon ang maaaring gawin kung matukoy na ang sakit sa isip ng nasasakdal ay hindi isinasaalang-alang sa panahon ng paglilitis?")</f>
        <v>Anong mga legal na aksyon ang maaaring gawin kung matukoy na ang sakit sa isip ng nasasakdal ay hindi isinasaalang-alang sa panahon ng paglilitis?</v>
      </c>
      <c r="E2518" s="2" t="str">
        <f>IFERROR(__xludf.DUMMYFUNCTION("GOOGLETRANSLATE(C2518, ""en"", ""TL"")"),"Kung matukoy na ang sakit sa isip ng nasasakdal ay hindi isinaalang-alang sa panahon ng paglilitis, maraming mga legal na aksyon ang maaaring gawin upang matugunan ang pangangasiwa na ito at posibleng maitama ang anumang magresultang kawalan ng katarungan"&amp;". Ang mga pagkilos na ito ay maaaring mag-iba depende sa partikular na mga pangyayari ng kaso at ang mga legal na remedyo na magagamit sa ilalim ng batas ng Pilipinas. Narito ang ilang posibleng legal na aksyon:
Apela: Kung naniniwala ang isang nasasakdal"&amp;" na ang kanyang sakit sa isip ay hindi sapat na isinasaalang-alang o natugunan sa panahon ng paglilitis, maaari niyang iapela ang hatol o hatol sa isang mas mataas na hukuman. Maaaring suriin ng hukuman ng apela ang mga paglilitis sa paglilitis, kabilang "&amp;"ang anumang ebidensya na nauugnay sa kalusugan ng pag-iisip ng nasasakdal, at tukuyin kung may mga pagkakamali o pagtanggal na nangangailangan ng bagong pagsubok o ibang resulta.
Relief Pagkatapos ng Conviction: Ang nasasakdal ay maaaring humingi ng lunas"&amp;" pagkatapos ng conviction sa pamamagitan ng mga legal na mekanismo gaya ng petition for habeas corpus, mosyon para sa muling pagsasaalang-alang, o petisyon para sa writ of certiorari. Ang mga legal na pamamaraang ito ay nagpapahintulot sa nasasakdal na ha"&amp;"munin ang legalidad o konstitusyonalidad ng kanilang paghatol o sentensiya, kabilang ang anumang pagkabigo na isaalang-alang ang kanilang sakit sa isip bilang isang nagpapagaan na kadahilanan.
Mosyon para sa Bagong Paglilitis: Ang nasasakdal o ang kanilan"&amp;"g legal na kinatawan ay maaaring maghain ng mosyon para sa isang bagong paglilitis batay sa bagong natuklasang ebidensya, kabilang ang ebidensya na may kaugnayan sa psychiatric na sakit ng nasasakdal na hindi pa naipakita o isinasaalang-alang sa panahon n"&amp;"g paglilitis. Ang isang bagong pagsubok ay maaaring ipagkaloob kung ang hukuman ay nagpasiya na ang bagong natuklasang ebidensya ay maaaring magkaroon ng materyal na epekto sa kinalabasan ng kaso.
Kahilingan para sa Pagsusuri sa Kalusugan ng Pag-iisip: Ma"&amp;"aaring humiling ang nasasakdal ng pagsusuri o pagtatasa sa kalusugan ng isip na isasagawa ng mga kwalipikadong propesyonal sa kalusugan ng isip upang matukoy ang lawak ng kanilang sakit sa isip at ang kaugnayan nito sa kaso. Ang mga resulta ng pagsusuri a"&amp;"y maaaring iharap sa korte bilang bahagi ng isang mosyon para sa muling pagsasaalang-alang o iba pang mga legal na paglilitis.
Sibil na Aksyon para sa Hindi Epektibong Tulong ng Tagapayo: Kung naniniwala ang nasasakdal na nabigo ang kanilang abogado ng de"&amp;"pensa na sapat na kumatawan sa kanilang mga interes, kabilang ang hindi pagsasaalang-alang o pagpapakita ng ebidensya ng kanilang sakit sa isip sa panahon ng paglilitis, maaari silang magsagawa ng aksyong sibil para sa hindi epektibong tulong ng abogado. "&amp;"Iginiit ng legal na paghahabol na ito na ang karapatan ng nasasakdal sa konstitusyon sa epektibong tulong ng abogado ay nilabag, na humahantong sa isang hindi makatarungang resulta sa paglilitis.
Pagbabago sa Patakaran at Pagtataguyod: Bilang karagdagan s"&amp;"a paghahangad ng mga legal na remedyo sa kanilang indibidwal na kaso, ang nasasakdal o mga grupo ng adbokasiya ay maaaring makisali sa mga pagsisikap sa reporma sa patakaran upang matugunan ang mga sistematikong isyu na may kaugnayan sa pagsasaalang-alang"&amp;" ng sakit sa isip sa mga paglilitis sa kriminal. Maaaring kabilang dito ang pagtataguyod para sa mga pagbabago sa mga batas, tuntunin ng hukuman, o mga legal na kasanayan upang matiyak na ang mga indibidwal na may mga isyu sa kalusugan ng isip ay makakata"&amp;"nggap ng patas at naaangkop na pagtrato sa loob ng sistema ng hustisyang pangkriminal.
Sa pangkalahatan, kung matukoy na ang sakit sa isip ng nasasakdal ay hindi isinaalang-alang sa panahon ng paglilitis, ang iba't ibang legal na aksyon ay maaaring isagaw"&amp;"a upang matugunan ang pangangasiwa at humingi ng mga remedyo para sa anumang nagresultang kawalan ng katarungan. Ang mga pagkilos na ito ay maaaring may kasamang paghamon sa paghatol o pangungusap sa pamamagitan ng mga paglilitis sa paghahabol o pagkatapo"&amp;"s ng paghatol, pagtataguyod para sa reporma sa patakaran, at paghingi ng kabayaran para sa mga paglabag sa mga legal na karapatan ng nasasakdal.")</f>
        <v>Kung matukoy na ang sakit sa isip ng nasasakdal ay hindi isinaalang-alang sa panahon ng paglilitis, maraming mga legal na aksyon ang maaaring gawin upang matugunan ang pangangasiwa na ito at posibleng maitama ang anumang magresultang kawalan ng katarungan. Ang mga pagkilos na ito ay maaaring mag-iba depende sa partikular na mga pangyayari ng kaso at ang mga legal na remedyo na magagamit sa ilalim ng batas ng Pilipinas. Narito ang ilang posibleng legal na aksyon:
Apela: Kung naniniwala ang isang nasasakdal na ang kanyang sakit sa isip ay hindi sapat na isinasaalang-alang o natugunan sa panahon ng paglilitis, maaari niyang iapela ang hatol o hatol sa isang mas mataas na hukuman. Maaaring suriin ng hukuman ng apela ang mga paglilitis sa paglilitis, kabilang ang anumang ebidensya na nauugnay sa kalusugan ng pag-iisip ng nasasakdal, at tukuyin kung may mga pagkakamali o pagtanggal na nangangailangan ng bagong pagsubok o ibang resulta.
Relief Pagkatapos ng Conviction: Ang nasasakdal ay maaaring humingi ng lunas pagkatapos ng conviction sa pamamagitan ng mga legal na mekanismo gaya ng petition for habeas corpus, mosyon para sa muling pagsasaalang-alang, o petisyon para sa writ of certiorari. Ang mga legal na pamamaraang ito ay nagpapahintulot sa nasasakdal na hamunin ang legalidad o konstitusyonalidad ng kanilang paghatol o sentensiya, kabilang ang anumang pagkabigo na isaalang-alang ang kanilang sakit sa isip bilang isang nagpapagaan na kadahilanan.
Mosyon para sa Bagong Paglilitis: Ang nasasakdal o ang kanilang legal na kinatawan ay maaaring maghain ng mosyon para sa isang bagong paglilitis batay sa bagong natuklasang ebidensya, kabilang ang ebidensya na may kaugnayan sa psychiatric na sakit ng nasasakdal na hindi pa naipakita o isinasaalang-alang sa panahon ng paglilitis. Ang isang bagong pagsubok ay maaaring ipagkaloob kung ang hukuman ay nagpasiya na ang bagong natuklasang ebidensya ay maaaring magkaroon ng materyal na epekto sa kinalabasan ng kaso.
Kahilingan para sa Pagsusuri sa Kalusugan ng Pag-iisip: Maaaring humiling ang nasasakdal ng pagsusuri o pagtatasa sa kalusugan ng isip na isasagawa ng mga kwalipikadong propesyonal sa kalusugan ng isip upang matukoy ang lawak ng kanilang sakit sa isip at ang kaugnayan nito sa kaso. Ang mga resulta ng pagsusuri ay maaaring iharap sa korte bilang bahagi ng isang mosyon para sa muling pagsasaalang-alang o iba pang mga legal na paglilitis.
Sibil na Aksyon para sa Hindi Epektibong Tulong ng Tagapayo: Kung naniniwala ang nasasakdal na nabigo ang kanilang abogado ng depensa na sapat na kumatawan sa kanilang mga interes, kabilang ang hindi pagsasaalang-alang o pagpapakita ng ebidensya ng kanilang sakit sa isip sa panahon ng paglilitis, maaari silang magsagawa ng aksyong sibil para sa hindi epektibong tulong ng abogado. Iginiit ng legal na paghahabol na ito na ang karapatan ng nasasakdal sa konstitusyon sa epektibong tulong ng abogado ay nilabag, na humahantong sa isang hindi makatarungang resulta sa paglilitis.
Pagbabago sa Patakaran at Pagtataguyod: Bilang karagdagan sa paghahangad ng mga legal na remedyo sa kanilang indibidwal na kaso, ang nasasakdal o mga grupo ng adbokasiya ay maaaring makisali sa mga pagsisikap sa reporma sa patakaran upang matugunan ang mga sistematikong isyu na may kaugnayan sa pagsasaalang-alang ng sakit sa isip sa mga paglilitis sa kriminal. Maaaring kabilang dito ang pagtataguyod para sa mga pagbabago sa mga batas, tuntunin ng hukuman, o mga legal na kasanayan upang matiyak na ang mga indibidwal na may mga isyu sa kalusugan ng isip ay makakatanggap ng patas at naaangkop na pagtrato sa loob ng sistema ng hustisyang pangkriminal.
Sa pangkalahatan, kung matukoy na ang sakit sa isip ng nasasakdal ay hindi isinaalang-alang sa panahon ng paglilitis, ang iba't ibang legal na aksyon ay maaaring isagawa upang matugunan ang pangangasiwa at humingi ng mga remedyo para sa anumang nagresultang kawalan ng katarungan. Ang mga pagkilos na ito ay maaaring may kasamang paghamon sa paghatol o pangungusap sa pamamagitan ng mga paglilitis sa paghahabol o pagkatapos ng paghatol, pagtataguyod para sa reporma sa patakaran, at paghingi ng kabayaran para sa mga paglabag sa mga legal na karapatan ng nasasakdal.</v>
      </c>
      <c r="F2518" s="2">
        <f t="shared" si="1"/>
        <v>0</v>
      </c>
      <c r="G2518" s="2"/>
      <c r="H2518" s="2"/>
      <c r="I2518" s="2"/>
      <c r="J2518" s="2"/>
      <c r="K2518" s="2"/>
      <c r="L2518" s="2"/>
      <c r="M2518" s="2"/>
      <c r="N2518" s="2"/>
      <c r="O2518" s="2"/>
      <c r="P2518" s="2"/>
      <c r="Q2518" s="2"/>
      <c r="R2518" s="2"/>
      <c r="S2518" s="2"/>
      <c r="T2518" s="2"/>
      <c r="U2518" s="2"/>
      <c r="V2518" s="2"/>
      <c r="W2518" s="2"/>
      <c r="X2518" s="2"/>
      <c r="Y2518" s="2"/>
      <c r="Z2518" s="2"/>
      <c r="AA2518" s="2"/>
    </row>
    <row r="2519">
      <c r="A2519" s="1" t="s">
        <v>5971</v>
      </c>
      <c r="B2519" s="1" t="s">
        <v>6006</v>
      </c>
      <c r="C2519" s="1" t="s">
        <v>6007</v>
      </c>
      <c r="D2519" s="2" t="str">
        <f>IFERROR(__xludf.DUMMYFUNCTION("GOOGLETRANSLATE(B2519, ""en"", ""TL"")"),"Paano isinasagawa ang psychiatric evaluation sa loob ng criminal justice system, at anong mga pamantayan ang naaangkop?")</f>
        <v>Paano isinasagawa ang psychiatric evaluation sa loob ng criminal justice system, at anong mga pamantayan ang naaangkop?</v>
      </c>
      <c r="E2519" s="2" t="str">
        <f>IFERROR(__xludf.DUMMYFUNCTION("GOOGLETRANSLATE(C2519, ""en"", ""TL"")"),"Sa Pilipinas, ang mga pagsusuri sa saykayatriko sa loob ng sistema ng hustisyang kriminal ay isinasagawa ng mga kwalipikadong propesyonal sa kalusugan ng isip, karaniwang mga psychiatrist o clinical psychologist. Isinasagawa ang mga pagsusuring ito upang "&amp;"masuri ang iba't ibang aspeto ng katayuan sa kalusugan ng isip ng isang indibidwal, kabilang ang kanilang kakayahan sa pag-iisip na humarap sa paglilitis, ang kanilang kriminal na pananagutan sa oras ng pagkakasala, at ang kanilang mga pangangailangan sa "&amp;"kalusugan ng isip para sa paggamot at rehabilitasyon. Narito ang isang pangkalahatang-ideya kung paano isinasagawa ang mga pagsusuri sa psychiatric at ang mga pamantayang nalalapat:
Referral at Pagtatasa: Ang mga pagsusuri sa saykayatriko ay maaaring simu"&amp;"lan sa iba't ibang yugto ng proseso ng hustisyang pangkriminal, kasama na sa panahon ng mga paglilitis bago ang paglilitis, mga pagdinig sa pagsentensiya, o mga pagsusuri pagkatapos ng paghatol. Ang pagsusuri ay maaaring hilingin ng hukuman, tagapagtanggo"&amp;"l ng abogado, pag-uusig, o mga awtoridad sa pagwawasto, batay sa mga alalahanin tungkol sa kalagayan ng kalusugan ng isip ng indibidwal at ang kaugnayan nito sa kaso.
Panayam at Pagsusuri: Ang pagsusuri sa saykayatriko ay karaniwang nagsasangkot ng isang "&amp;"pakikipanayam at pagsusuri sa indibidwal ng propesyonal sa kalusugan ng isip na nagsasagawa ng pagsusuri. Sa panahon ng panayam, ang evaluator ay maaaring mangalap ng impormasyon tungkol sa personal at medikal na kasaysayan ng indibidwal, mga sintomas sa "&amp;"kalusugan ng isip, pag-uugali, at paggana. Ang pagsusuri ay maaari ding magsama ng pagsusuri ng mga nauugnay na dokumento, tulad ng mga medikal na rekord, mga dokumento ng hukuman, at mga pahayag ng saksi.
Mga Tool at Teknik sa Pagtatasa: Ang mga propesyo"&amp;"nal sa kalusugang pangkaisipan ay maaaring gumamit ng mga standardized na tool at teknik sa pagtatasa upang suriin ang kalagayan ng kalusugan ng isip ng indibidwal at masuri ang mga partikular na aspeto ng kanilang paggana ng pag-iisip. Maaaring kabilang "&amp;"dito ang mga sikolohikal na pagsusulit, mga nakabalangkas na klinikal na panayam, at pagmamasid sa pag-uugali sa iba't ibang mga setting.
Mga Pamantayan at Sistema ng Pag-uuri ng Diagnostic: Ang mga pagsusuri sa saykayatriko ay isinasagawa alinsunod sa it"&amp;"inatag na pamantayan ng diagnostic at mga sistema ng pag-uuri, gaya ng Diagnostic at Statistical Manual of Mental Disorders (DSM) o International Classification of Diseases (ICD). Ang mga system na ito ay nagbibigay ng mga alituntunin para sa pagtukoy at "&amp;"pag-diagnose ng mga sakit sa kalusugan ng isip batay sa mga partikular na pamantayan at sintomas.
Klinikal na Paghuhusga at Dalubhasa: Bilang karagdagan sa paggamit ng standardized na mga tool sa pagtatasa, ang mga propesyonal sa kalusugan ng isip ay umaa"&amp;"sa sa kanilang klinikal na paghuhusga at kadalubhasaan upang bigyang-kahulugan ang mga natuklasan ng pagsusuri at bumuo ng mga diagnostic na impression at rekomendasyon. Kabilang dito ang pagsasama-sama ng impormasyon mula sa maraming mapagkukunan, isinas"&amp;"aalang-alang ang mga natatanging kalagayan at kultural na background ng indibidwal, at paglalapat ng mga propesyonal na pamantayan at mga alituntunin.
Mga Pamantayan sa Etikal at Propesyonal: Ang mga pagsusuri sa saykayatriko sa loob ng sistema ng hustisy"&amp;"ang pangkriminal ay isinasagawa alinsunod sa mga pamantayang etikal at propesyonal na itinatag ng mga propesyonal na organisasyon, tulad ng Philippine Psychiatric Association o Psychological Association of the Philippines. Binibigyang-diin ng mga pamantay"&amp;"ang ito ang mga prinsipyo tulad ng pagiging objectivity, integridad, pagiging kumpidensyal, at paggalang sa mga karapatan at dignidad ng indibidwal na sinusuri.
Dokumentasyon at Pag-uulat: Kinakailangang idokumento ng mga propesyonal sa kalusugang pangkai"&amp;"sipan ang kanilang mga natuklasan at rekomendasyon sa isang nakasulat na ulat, na maaaring isumite sa hukuman o iba pang may-katuturang awtoridad. Ang ulat ay dapat na malinaw na buod ng mga resulta ng pagsusuri, magbigay ng diagnostic impression, at mag-"&amp;"alok ng mga rekomendasyon para sa karagdagang pagtatasa o interbensyon, kung naaangkop.
Sa pangkalahatan, ang mga pagsusuri sa saykayatriko sa loob ng sistema ng hustisyang pangkriminal sa Pilipinas ay isinasagawa sa isang sistematiko, masinsinan, at etik"&amp;"al na paraan ng mga kwalipikadong propesyonal sa kalusugan ng isip. Ang mga pagsusuring ito ay gumaganap ng isang kritikal na papel sa pagpapaalam sa mga legal na paglilitis, pagtatasa sa mga pangangailangan sa kalusugan ng isip ng mga indibidwal na kasan"&amp;"gkot sa sistema ng hustisyang kriminal, at pagtataguyod ng patas at makatarungang mga resulta.")</f>
        <v>Sa Pilipinas, ang mga pagsusuri sa saykayatriko sa loob ng sistema ng hustisyang kriminal ay isinasagawa ng mga kwalipikadong propesyonal sa kalusugan ng isip, karaniwang mga psychiatrist o clinical psychologist. Isinasagawa ang mga pagsusuring ito upang masuri ang iba't ibang aspeto ng katayuan sa kalusugan ng isip ng isang indibidwal, kabilang ang kanilang kakayahan sa pag-iisip na humarap sa paglilitis, ang kanilang kriminal na pananagutan sa oras ng pagkakasala, at ang kanilang mga pangangailangan sa kalusugan ng isip para sa paggamot at rehabilitasyon. Narito ang isang pangkalahatang-ideya kung paano isinasagawa ang mga pagsusuri sa psychiatric at ang mga pamantayang nalalapat:
Referral at Pagtatasa: Ang mga pagsusuri sa saykayatriko ay maaaring simulan sa iba't ibang yugto ng proseso ng hustisyang pangkriminal, kasama na sa panahon ng mga paglilitis bago ang paglilitis, mga pagdinig sa pagsentensiya, o mga pagsusuri pagkatapos ng paghatol. Ang pagsusuri ay maaaring hilingin ng hukuman, tagapagtanggol ng abogado, pag-uusig, o mga awtoridad sa pagwawasto, batay sa mga alalahanin tungkol sa kalagayan ng kalusugan ng isip ng indibidwal at ang kaugnayan nito sa kaso.
Panayam at Pagsusuri: Ang pagsusuri sa saykayatriko ay karaniwang nagsasangkot ng isang pakikipanayam at pagsusuri sa indibidwal ng propesyonal sa kalusugan ng isip na nagsasagawa ng pagsusuri. Sa panahon ng panayam, ang evaluator ay maaaring mangalap ng impormasyon tungkol sa personal at medikal na kasaysayan ng indibidwal, mga sintomas sa kalusugan ng isip, pag-uugali, at paggana. Ang pagsusuri ay maaari ding magsama ng pagsusuri ng mga nauugnay na dokumento, tulad ng mga medikal na rekord, mga dokumento ng hukuman, at mga pahayag ng saksi.
Mga Tool at Teknik sa Pagtatasa: Ang mga propesyonal sa kalusugang pangkaisipan ay maaaring gumamit ng mga standardized na tool at teknik sa pagtatasa upang suriin ang kalagayan ng kalusugan ng isip ng indibidwal at masuri ang mga partikular na aspeto ng kanilang paggana ng pag-iisip. Maaaring kabilang dito ang mga sikolohikal na pagsusulit, mga nakabalangkas na klinikal na panayam, at pagmamasid sa pag-uugali sa iba't ibang mga setting.
Mga Pamantayan at Sistema ng Pag-uuri ng Diagnostic: Ang mga pagsusuri sa saykayatriko ay isinasagawa alinsunod sa itinatag na pamantayan ng diagnostic at mga sistema ng pag-uuri, gaya ng Diagnostic at Statistical Manual of Mental Disorders (DSM) o International Classification of Diseases (ICD). Ang mga system na ito ay nagbibigay ng mga alituntunin para sa pagtukoy at pag-diagnose ng mga sakit sa kalusugan ng isip batay sa mga partikular na pamantayan at sintomas.
Klinikal na Paghuhusga at Dalubhasa: Bilang karagdagan sa paggamit ng standardized na mga tool sa pagtatasa, ang mga propesyonal sa kalusugan ng isip ay umaasa sa kanilang klinikal na paghuhusga at kadalubhasaan upang bigyang-kahulugan ang mga natuklasan ng pagsusuri at bumuo ng mga diagnostic na impression at rekomendasyon. Kabilang dito ang pagsasama-sama ng impormasyon mula sa maraming mapagkukunan, isinasaalang-alang ang mga natatanging kalagayan at kultural na background ng indibidwal, at paglalapat ng mga propesyonal na pamantayan at mga alituntunin.
Mga Pamantayan sa Etikal at Propesyonal: Ang mga pagsusuri sa saykayatriko sa loob ng sistema ng hustisyang pangkriminal ay isinasagawa alinsunod sa mga pamantayang etikal at propesyonal na itinatag ng mga propesyonal na organisasyon, tulad ng Philippine Psychiatric Association o Psychological Association of the Philippines. Binibigyang-diin ng mga pamantayang ito ang mga prinsipyo tulad ng pagiging objectivity, integridad, pagiging kumpidensyal, at paggalang sa mga karapatan at dignidad ng indibidwal na sinusuri.
Dokumentasyon at Pag-uulat: Kinakailangang idokumento ng mga propesyonal sa kalusugang pangkaisipan ang kanilang mga natuklasan at rekomendasyon sa isang nakasulat na ulat, na maaaring isumite sa hukuman o iba pang may-katuturang awtoridad. Ang ulat ay dapat na malinaw na buod ng mga resulta ng pagsusuri, magbigay ng diagnostic impression, at mag-alok ng mga rekomendasyon para sa karagdagang pagtatasa o interbensyon, kung naaangkop.
Sa pangkalahatan, ang mga pagsusuri sa saykayatriko sa loob ng sistema ng hustisyang pangkriminal sa Pilipinas ay isinasagawa sa isang sistematiko, masinsinan, at etikal na paraan ng mga kwalipikadong propesyonal sa kalusugan ng isip. Ang mga pagsusuring ito ay gumaganap ng isang kritikal na papel sa pagpapaalam sa mga legal na paglilitis, pagtatasa sa mga pangangailangan sa kalusugan ng isip ng mga indibidwal na kasangkot sa sistema ng hustisyang kriminal, at pagtataguyod ng patas at makatarungang mga resulta.</v>
      </c>
      <c r="F2519" s="2">
        <f t="shared" si="1"/>
        <v>0</v>
      </c>
      <c r="G2519" s="2"/>
      <c r="H2519" s="2"/>
      <c r="I2519" s="2"/>
      <c r="J2519" s="2"/>
      <c r="K2519" s="2"/>
      <c r="L2519" s="2"/>
      <c r="M2519" s="2"/>
      <c r="N2519" s="2"/>
      <c r="O2519" s="2"/>
      <c r="P2519" s="2"/>
      <c r="Q2519" s="2"/>
      <c r="R2519" s="2"/>
      <c r="S2519" s="2"/>
      <c r="T2519" s="2"/>
      <c r="U2519" s="2"/>
      <c r="V2519" s="2"/>
      <c r="W2519" s="2"/>
      <c r="X2519" s="2"/>
      <c r="Y2519" s="2"/>
      <c r="Z2519" s="2"/>
      <c r="AA2519" s="2"/>
    </row>
    <row r="2520">
      <c r="A2520" s="1" t="s">
        <v>5971</v>
      </c>
      <c r="B2520" s="1" t="s">
        <v>6008</v>
      </c>
      <c r="C2520" s="1" t="s">
        <v>6009</v>
      </c>
      <c r="D2520" s="2" t="str">
        <f>IFERROR(__xludf.DUMMYFUNCTION("GOOGLETRANSLATE(B2520, ""en"", ""TL"")"),"Mayroon bang mga legal na probisyon para sa pagpapalaya o parol ng mga indibidwal na may mga sakit sa isip mula sa mga pasilidad ng pagwawasto?")</f>
        <v>Mayroon bang mga legal na probisyon para sa pagpapalaya o parol ng mga indibidwal na may mga sakit sa isip mula sa mga pasilidad ng pagwawasto?</v>
      </c>
      <c r="E2520" s="2" t="str">
        <f>IFERROR(__xludf.DUMMYFUNCTION("GOOGLETRANSLATE(C2520, ""en"", ""TL"")"),"Oo, sa Pilipinas, may mga legal na probisyon para sa pagpapalaya o parol ng mga indibidwal na may mga sakit sa isip mula sa mga pasilidad ng pagwawasto. Ang mga probisyong ito ay naglalayong isulong ang rehabilitasyon, muling pagsasama sa lipunan, at tiya"&amp;"kin ang makataong pagtrato sa mga indibidwal na may mga pangangailangan sa kalusugan ng isip. Narito ang ilang pangunahing legal na mekanismo para sa pagpapalaya o parol ng mga naturang indibidwal:
Republic Act No. 10592 (Expanded Good Conduct Time Allowa"&amp;"nce Law): Ang batas na ito, na pinagtibay noong 2013, ay nagtatadhana para sa pagpapalawak ng good conduct time allowance (GCTA) para sa mga bilanggo, kabilang ang mga may sakit na psychiatric. Sa ilalim ng batas na ito, maaaring bawasan ang mga sentensiy"&amp;"a ng mga kwalipikadong bilanggo batay sa mabuting pag-uugali at pakikilahok sa mga programa sa rehabilitasyon. Ang mga bilanggo na may mga sakit na psychiatric ay maaaring maging karapat-dapat para sa pagpapalaya o parol sa ilalim ng batas na ito kung nat"&amp;"utugunan nila ang pamantayan para sa GCTA.
Republic Act No. 4136 (Indeterminate Sentence Law): Ang batas na ito, na pinagtibay noong 1933 at binago ng ilang beses, ay nagpapahintulot sa pagpataw ng mga hindi tiyak na sentensiya para sa ilang mga pagkakasa"&amp;"la. Ang batas ay nagtatadhana para sa pinakamababa at pinakamataas na termino ng pagkakulong, na may posibilidad ng parol para sa mga karapat-dapat na bilanggo pagkatapos ng pinakamababang termino. Ang mga indibidwal na may mga sakit sa isip na naghahatid"&amp;" ng mga hindi tiyak na sentensiya ay maaaring isaalang-alang para sa parol batay sa kanilang pagiging kwalipikado at pag-unlad ng rehabilitasyon.
Parole at Executive Clemency: Ang Pangulo ng Pilipinas ay may awtoridad na magbigay ng parole at executive cl"&amp;"emency sa mga indibidwal na nahatulan ng mga krimen, kabilang ang mga may sakit na psychiatric. Maaaring ibigay ang parol sa mga karapat-dapat na bilanggo na nagpakita ng mabuting pag-uugali at pag-unlad ng rehabilitasyon, habang ang executive clemency ay"&amp;" maaaring may kinalaman sa pagpapalit o pagbabawas ng mga sentensiya batay sa humanitarian o iba pang mga batayan.
Parol na Medikal o Pagpapalaya sa Pagkilala: Sa mga kaso kung saan ang mga indibidwal na may mga sakit sa isip ay may malala o nakamamatay n"&amp;"a kondisyong medikal na nangangailangan ng espesyal na pangangalaga o paggamot sa labas ng mga pasilidad ng pagwawasto, maaaring isaalang-alang ang medikal na parol o paglaya sa pagkilala. Ang mga hakbang na ito ay nagbibigay-daan para sa pansamantala o p"&amp;"ermanenteng pagpapalaya ng mga bilanggo para sa mga medikal na dahilan, napapailalim sa naaangkop na mga kondisyon at pangangasiwa.
Pagsusuri ng Lupon ng mga Pardon at Parol: Ang Lupon ng mga Pardon at Parol, sa ilalim ng Kagawaran ng Hustisya, ay may pan"&amp;"anagutan sa pagrepaso ng mga aplikasyon para sa parol at executive clemency at paggawa ng mga rekomendasyon sa Pangulo. Maaaring isaalang-alang ng Lupon ang mga salik gaya ng pag-uugali ng bilanggo, pag-unlad ng rehabilitasyon, at kalagayan ng kalusugan n"&amp;"g isip sa pagtukoy ng pagiging karapat-dapat para sa pagpapalaya o parol.
Sa pangkalahatan, may mga legal na probisyon at mekanismo sa Pilipinas para sa pagpapalaya o parol ng mga indibidwal na may mga sakit na psychiatric mula sa mga correctional facilit"&amp;"y. Ang mga probisyong ito ay naglalayong isulong ang rehabilitasyon, muling pagsasama sa lipunan, at ang makataong pagtrato sa mga indibidwal na may mga pangangailangan sa kalusugan ng isip habang tinitiyak din ang kaligtasan ng publiko at ang pangangasiw"&amp;"a ng hustisya.")</f>
        <v>Oo, sa Pilipinas, may mga legal na probisyon para sa pagpapalaya o parol ng mga indibidwal na may mga sakit sa isip mula sa mga pasilidad ng pagwawasto. Ang mga probisyong ito ay naglalayong isulong ang rehabilitasyon, muling pagsasama sa lipunan, at tiyakin ang makataong pagtrato sa mga indibidwal na may mga pangangailangan sa kalusugan ng isip. Narito ang ilang pangunahing legal na mekanismo para sa pagpapalaya o parol ng mga naturang indibidwal:
Republic Act No. 10592 (Expanded Good Conduct Time Allowance Law): Ang batas na ito, na pinagtibay noong 2013, ay nagtatadhana para sa pagpapalawak ng good conduct time allowance (GCTA) para sa mga bilanggo, kabilang ang mga may sakit na psychiatric. Sa ilalim ng batas na ito, maaaring bawasan ang mga sentensiya ng mga kwalipikadong bilanggo batay sa mabuting pag-uugali at pakikilahok sa mga programa sa rehabilitasyon. Ang mga bilanggo na may mga sakit na psychiatric ay maaaring maging karapat-dapat para sa pagpapalaya o parol sa ilalim ng batas na ito kung natutugunan nila ang pamantayan para sa GCTA.
Republic Act No. 4136 (Indeterminate Sentence Law): Ang batas na ito, na pinagtibay noong 1933 at binago ng ilang beses, ay nagpapahintulot sa pagpataw ng mga hindi tiyak na sentensiya para sa ilang mga pagkakasala. Ang batas ay nagtatadhana para sa pinakamababa at pinakamataas na termino ng pagkakulong, na may posibilidad ng parol para sa mga karapat-dapat na bilanggo pagkatapos ng pinakamababang termino. Ang mga indibidwal na may mga sakit sa isip na naghahatid ng mga hindi tiyak na sentensiya ay maaaring isaalang-alang para sa parol batay sa kanilang pagiging kwalipikado at pag-unlad ng rehabilitasyon.
Parole at Executive Clemency: Ang Pangulo ng Pilipinas ay may awtoridad na magbigay ng parole at executive clemency sa mga indibidwal na nahatulan ng mga krimen, kabilang ang mga may sakit na psychiatric. Maaaring ibigay ang parol sa mga karapat-dapat na bilanggo na nagpakita ng mabuting pag-uugali at pag-unlad ng rehabilitasyon, habang ang executive clemency ay maaaring may kinalaman sa pagpapalit o pagbabawas ng mga sentensiya batay sa humanitarian o iba pang mga batayan.
Parol na Medikal o Pagpapalaya sa Pagkilala: Sa mga kaso kung saan ang mga indibidwal na may mga sakit sa isip ay may malala o nakamamatay na kondisyong medikal na nangangailangan ng espesyal na pangangalaga o paggamot sa labas ng mga pasilidad ng pagwawasto, maaaring isaalang-alang ang medikal na parol o paglaya sa pagkilala. Ang mga hakbang na ito ay nagbibigay-daan para sa pansamantala o permanenteng pagpapalaya ng mga bilanggo para sa mga medikal na dahilan, napapailalim sa naaangkop na mga kondisyon at pangangasiwa.
Pagsusuri ng Lupon ng mga Pardon at Parol: Ang Lupon ng mga Pardon at Parol, sa ilalim ng Kagawaran ng Hustisya, ay may pananagutan sa pagrepaso ng mga aplikasyon para sa parol at executive clemency at paggawa ng mga rekomendasyon sa Pangulo. Maaaring isaalang-alang ng Lupon ang mga salik gaya ng pag-uugali ng bilanggo, pag-unlad ng rehabilitasyon, at kalagayan ng kalusugan ng isip sa pagtukoy ng pagiging karapat-dapat para sa pagpapalaya o parol.
Sa pangkalahatan, may mga legal na probisyon at mekanismo sa Pilipinas para sa pagpapalaya o parol ng mga indibidwal na may mga sakit na psychiatric mula sa mga correctional facility. Ang mga probisyong ito ay naglalayong isulong ang rehabilitasyon, muling pagsasama sa lipunan, at ang makataong pagtrato sa mga indibidwal na may mga pangangailangan sa kalusugan ng isip habang tinitiyak din ang kaligtasan ng publiko at ang pangangasiwa ng hustisya.</v>
      </c>
      <c r="F2520" s="2">
        <f t="shared" si="1"/>
        <v>0</v>
      </c>
      <c r="G2520" s="2"/>
      <c r="H2520" s="2"/>
      <c r="I2520" s="2"/>
      <c r="J2520" s="2"/>
      <c r="K2520" s="2"/>
      <c r="L2520" s="2"/>
      <c r="M2520" s="2"/>
      <c r="N2520" s="2"/>
      <c r="O2520" s="2"/>
      <c r="P2520" s="2"/>
      <c r="Q2520" s="2"/>
      <c r="R2520" s="2"/>
      <c r="S2520" s="2"/>
      <c r="T2520" s="2"/>
      <c r="U2520" s="2"/>
      <c r="V2520" s="2"/>
      <c r="W2520" s="2"/>
      <c r="X2520" s="2"/>
      <c r="Y2520" s="2"/>
      <c r="Z2520" s="2"/>
      <c r="AA2520" s="2"/>
    </row>
    <row r="2521">
      <c r="A2521" s="1" t="s">
        <v>5971</v>
      </c>
      <c r="B2521" s="1" t="s">
        <v>6010</v>
      </c>
      <c r="C2521" s="1" t="s">
        <v>6011</v>
      </c>
      <c r="D2521" s="2" t="str">
        <f>IFERROR(__xludf.DUMMYFUNCTION("GOOGLETRANSLATE(B2521, ""en"", ""TL"")"),"Paano tinutugunan ng batas ang responsibilidad ng mga propesyonal sa kalusugan ng isip na nagbibigay ng ekspertong patotoo sa mga kasong kriminal?")</f>
        <v>Paano tinutugunan ng batas ang responsibilidad ng mga propesyonal sa kalusugan ng isip na nagbibigay ng ekspertong patotoo sa mga kasong kriminal?</v>
      </c>
      <c r="E2521" s="2" t="str">
        <f>IFERROR(__xludf.DUMMYFUNCTION("GOOGLETRANSLATE(C2521, ""en"", ""TL"")"),"Sa Pilipinas, ang mga propesyonal sa kalusugan ng isip na nagbibigay ng ekspertong testimonya sa mga kasong kriminal ay napapailalim sa ilang mga legal na responsibilidad at pamantayan sa etika. Ang mga responsibilidad na ito ay naglalayong tiyakin ang in"&amp;"tegridad at pagiging maaasahan ng ekspertong patotoo, gayundin ang pagprotekta sa mga karapatan ng mga akusado at pagtataguyod ng mga prinsipyo ng hustisya. Narito ang ilang paraan kung saan tinutugunan ng batas ang responsibilidad ng mga propesyonal sa k"&amp;"alusugan ng isip sa kontekstong ito:
Propesyonal na Kakayahan at Kwalipikasyon: Ang mga propesyonal sa kalusugan ng isip na nagbibigay ng ekspertong patotoo sa mga kasong kriminal ay inaasahang nagtataglay ng kinakailangang kakayahan, kwalipikasyon, at ka"&amp;"dalubhasaan sa kani-kanilang larangan. Dapat silang magkaroon ng kaugnay na pagsasanay, edukasyon, at karanasan upang masuri at masuri ang mga isyu sa kalusugan ng isip nang epektibo at magbigay ng tumpak at maaasahang patotoo sa korte.
Katumpakan at Kawa"&amp;"lang-kinikilingan: Ang mga propesyonal sa kalusugan ng isip ay kinakailangang mapanatili ang pagiging walang kinikilingan at walang kinikilingan sa kanilang ekspertong patotoo, anuman ang kanilang mga personal na opinyon o bias. Dapat nilang ibase ang kan"&amp;"ilang mga opinyon at konklusyon sa mga mahuhusay na prinsipyong siyentipiko, empirikal na ebidensya, at mga pamantayang propesyonal, sa halip na mga personal na paniniwala o interes.
Mga Pamantayan sa Etikal at Mga Kodigo ng Pag-uugali: Ang mga propesyona"&amp;"l sa kalusugan ng isip ay napapailalim sa mga pamantayang etikal at mga code ng pag-uugali na itinatag ng kani-kanilang mga propesyonal na organisasyon. Maaaring kabilang sa mga pamantayang ito ang mga alituntunin para sa pagbibigay ng testimonya ng ekspe"&amp;"rto, pagpapanatili ng pagiging kumpidensyal, pag-iwas sa mga salungatan ng interes, at pagtataguyod ng mga karapatan at kapakanan ng mga indibidwal na sangkot sa kaso.
Pagsunod sa Mga Legal na Pamamaraan at Mga Kinakailangan: Ang mga propesyonal sa kalusu"&amp;"gang pangkaisipan na nagbibigay ng ekspertong patotoo sa mga kasong kriminal ay inaasahang susunod sa mga legal na pamamaraan at mga kinakailangan na namamahala sa pagpapakita ng ekspertong ebidensya sa korte. Maaaring kabilang dito ang pagsusumite ng mga"&amp;" nakasulat na ulat, sumasailalim sa cross-examination ng kalabang abogado, at pagsunod sa mga tuntunin ng ebidensya at mga pamamaraan ng korte.
Propesyonal na Pananagutan at Pananagutan: Ang mga propesyonal sa kalusugang pangkaisipan ay maaaring panagutin"&amp;" para sa katumpakan at pagiging maaasahan ng kanilang ekspertong patotoo sa mga kasong kriminal. Kung ang isang propesyonal sa kalusugang pangkaisipan ay nagbibigay ng mali o mapanlinlang na patotoo, kumilos nang pabaya, o lumalabag sa mga pamantayan ng p"&amp;"ropesyonal, maaari silang mapasailalim sa aksyong pandisiplina ng kanilang propesyonal na lupon ng paglilisensya, pananagutan sibil, o kahit na mga kasong kriminal.
Patuloy na Edukasyon at Pagsasanay: Ang mga propesyonal sa kalusugan ng isip ay hinihikaya"&amp;"t na makisali sa patuloy na edukasyon at pagsasanay upang manatiling updated sa mga pag-unlad sa kanilang larangan at mapahusay ang kanilang kaalaman at kasanayan na may kaugnayan sa pagbibigay ng ekspertong patotoo sa mga kasong kriminal. Nakakatulong it"&amp;"o na matiyak ang kalidad at pagiging maaasahan ng kanilang patotoo at itinataguyod ang epektibong pangangasiwa ng hustisya.
Sa pangkalahatan, ang mga propesyonal sa kalusugan ng isip na nagbibigay ng ekspertong testimonya sa mga kasong kriminal ay inaasah"&amp;"ang susunod sa mataas na etikal at propesyonal na mga pamantayan, mapanatili ang pagiging objectivity at walang kinikilingan, at itaguyod ang integridad ng legal na proseso. Sa pamamagitan ng pagtupad sa mga responsibilidad na ito, ang mga propesyonal sa "&amp;"kalusugan ng isip ay nag-aambag sa patas at makatarungang paglutas ng mga kasong kriminal at proteksyon ng mga karapatan ng lahat ng indibidwal na kasangkot.")</f>
        <v>Sa Pilipinas, ang mga propesyonal sa kalusugan ng isip na nagbibigay ng ekspertong testimonya sa mga kasong kriminal ay napapailalim sa ilang mga legal na responsibilidad at pamantayan sa etika. Ang mga responsibilidad na ito ay naglalayong tiyakin ang integridad at pagiging maaasahan ng ekspertong patotoo, gayundin ang pagprotekta sa mga karapatan ng mga akusado at pagtataguyod ng mga prinsipyo ng hustisya. Narito ang ilang paraan kung saan tinutugunan ng batas ang responsibilidad ng mga propesyonal sa kalusugan ng isip sa kontekstong ito:
Propesyonal na Kakayahan at Kwalipikasyon: Ang mga propesyonal sa kalusugan ng isip na nagbibigay ng ekspertong patotoo sa mga kasong kriminal ay inaasahang nagtataglay ng kinakailangang kakayahan, kwalipikasyon, at kadalubhasaan sa kani-kanilang larangan. Dapat silang magkaroon ng kaugnay na pagsasanay, edukasyon, at karanasan upang masuri at masuri ang mga isyu sa kalusugan ng isip nang epektibo at magbigay ng tumpak at maaasahang patotoo sa korte.
Katumpakan at Kawalang-kinikilingan: Ang mga propesyonal sa kalusugan ng isip ay kinakailangang mapanatili ang pagiging walang kinikilingan at walang kinikilingan sa kanilang ekspertong patotoo, anuman ang kanilang mga personal na opinyon o bias. Dapat nilang ibase ang kanilang mga opinyon at konklusyon sa mga mahuhusay na prinsipyong siyentipiko, empirikal na ebidensya, at mga pamantayang propesyonal, sa halip na mga personal na paniniwala o interes.
Mga Pamantayan sa Etikal at Mga Kodigo ng Pag-uugali: Ang mga propesyonal sa kalusugan ng isip ay napapailalim sa mga pamantayang etikal at mga code ng pag-uugali na itinatag ng kani-kanilang mga propesyonal na organisasyon. Maaaring kabilang sa mga pamantayang ito ang mga alituntunin para sa pagbibigay ng testimonya ng eksperto, pagpapanatili ng pagiging kumpidensyal, pag-iwas sa mga salungatan ng interes, at pagtataguyod ng mga karapatan at kapakanan ng mga indibidwal na sangkot sa kaso.
Pagsunod sa Mga Legal na Pamamaraan at Mga Kinakailangan: Ang mga propesyonal sa kalusugang pangkaisipan na nagbibigay ng ekspertong patotoo sa mga kasong kriminal ay inaasahang susunod sa mga legal na pamamaraan at mga kinakailangan na namamahala sa pagpapakita ng ekspertong ebidensya sa korte. Maaaring kabilang dito ang pagsusumite ng mga nakasulat na ulat, sumasailalim sa cross-examination ng kalabang abogado, at pagsunod sa mga tuntunin ng ebidensya at mga pamamaraan ng korte.
Propesyonal na Pananagutan at Pananagutan: Ang mga propesyonal sa kalusugang pangkaisipan ay maaaring panagutin para sa katumpakan at pagiging maaasahan ng kanilang ekspertong patotoo sa mga kasong kriminal. Kung ang isang propesyonal sa kalusugang pangkaisipan ay nagbibigay ng mali o mapanlinlang na patotoo, kumilos nang pabaya, o lumalabag sa mga pamantayan ng propesyonal, maaari silang mapasailalim sa aksyong pandisiplina ng kanilang propesyonal na lupon ng paglilisensya, pananagutan sibil, o kahit na mga kasong kriminal.
Patuloy na Edukasyon at Pagsasanay: Ang mga propesyonal sa kalusugan ng isip ay hinihikayat na makisali sa patuloy na edukasyon at pagsasanay upang manatiling updated sa mga pag-unlad sa kanilang larangan at mapahusay ang kanilang kaalaman at kasanayan na may kaugnayan sa pagbibigay ng ekspertong patotoo sa mga kasong kriminal. Nakakatulong ito na matiyak ang kalidad at pagiging maaasahan ng kanilang patotoo at itinataguyod ang epektibong pangangasiwa ng hustisya.
Sa pangkalahatan, ang mga propesyonal sa kalusugan ng isip na nagbibigay ng ekspertong testimonya sa mga kasong kriminal ay inaasahang susunod sa mataas na etikal at propesyonal na mga pamantayan, mapanatili ang pagiging objectivity at walang kinikilingan, at itaguyod ang integridad ng legal na proseso. Sa pamamagitan ng pagtupad sa mga responsibilidad na ito, ang mga propesyonal sa kalusugan ng isip ay nag-aambag sa patas at makatarungang paglutas ng mga kasong kriminal at proteksyon ng mga karapatan ng lahat ng indibidwal na kasangkot.</v>
      </c>
      <c r="F2521" s="2">
        <f t="shared" si="1"/>
        <v>0</v>
      </c>
      <c r="G2521" s="2"/>
      <c r="H2521" s="2"/>
      <c r="I2521" s="2"/>
      <c r="J2521" s="2"/>
      <c r="K2521" s="2"/>
      <c r="L2521" s="2"/>
      <c r="M2521" s="2"/>
      <c r="N2521" s="2"/>
      <c r="O2521" s="2"/>
      <c r="P2521" s="2"/>
      <c r="Q2521" s="2"/>
      <c r="R2521" s="2"/>
      <c r="S2521" s="2"/>
      <c r="T2521" s="2"/>
      <c r="U2521" s="2"/>
      <c r="V2521" s="2"/>
      <c r="W2521" s="2"/>
      <c r="X2521" s="2"/>
      <c r="Y2521" s="2"/>
      <c r="Z2521" s="2"/>
      <c r="AA2521" s="2"/>
    </row>
    <row r="2522">
      <c r="A2522" s="1" t="s">
        <v>5971</v>
      </c>
      <c r="B2522" s="1" t="s">
        <v>6012</v>
      </c>
      <c r="C2522" s="1" t="s">
        <v>6013</v>
      </c>
      <c r="D2522" s="2" t="str">
        <f>IFERROR(__xludf.DUMMYFUNCTION("GOOGLETRANSLATE(B2522, ""en"", ""TL"")"),"Anong mga legal na hakbang ang inilalagay upang matiyak ang naaangkop na paggamot sa mga indibidwal na may mga sakit sa isip sa mga pasilidad ng pagwawasto?")</f>
        <v>Anong mga legal na hakbang ang inilalagay upang matiyak ang naaangkop na paggamot sa mga indibidwal na may mga sakit sa isip sa mga pasilidad ng pagwawasto?</v>
      </c>
      <c r="E2522" s="2" t="str">
        <f>IFERROR(__xludf.DUMMYFUNCTION("GOOGLETRANSLATE(C2522, ""en"", ""TL"")"),"Sa Pilipinas, maraming mga legal na hakbang ang inilagay upang matiyak ang naaangkop na paggamot sa mga indibidwal na may mga sakit na psychiatric sa mga correctional facility. Ang mga hakbang na ito ay idinisenyo upang itaguyod ang mga karapatan at kagal"&amp;"ingan ng mga bilanggo na may mga pangangailangan sa kalusugan ng isip at bigyan sila ng access sa kinakailangang pangangalaga at suporta sa kalusugan ng isip. Narito ang ilang pangunahing legal na probisyon at mekanismo:
Mental Health Act (Republic Act No"&amp;". 11036): Ang batas na ito, na pinagtibay noong 2018, ay kinabibilangan ng mga probisyon na may kaugnayan sa pangangalaga sa kalusugan ng isip at paggamot ng mga indibidwal sa correctional facility. Ipinag-uutos nito ang pagbibigay ng mga serbisyo sa kalu"&amp;"sugan ng isip, kabilang ang pagtatasa, paggamot, at rehabilitasyon, sa lahat ng indibidwal na nangangailangan, kabilang ang mga nasa correctional settings.
Mga Minimum na Pamantayan para sa Paggamot sa mga Bilanggo: Ang gobyerno ng Pilipinas ay nagtatag n"&amp;"g pinakamababang pamantayan para sa paggamot sa mga bilanggo, na kinabibilangan ng mga probisyon para sa pangangalaga at paggamot ng mga indibidwal na may mga sakit sa isip. Ang mga pamantayang ito ay naglalayong tiyakin na ang mga bilanggo na may mga pan"&amp;"gangailangan sa kalusugan ng isip ay makakatanggap ng naaangkop na pangangalagang medikal at saykayatriko, kabilang ang pag-access sa mga propesyonal sa kalusugan ng isip at mga serbisyo ng suporta sa psychosocial.
Mga Serbisyo sa Pangangalagang Pangkalus"&amp;"ugan sa Mga Pasilidad ng Correctional: Ang mga pasilidad ng pagwawasto ay kinakailangan na magbigay ng mga serbisyo sa pangangalagang pangkalusugan sa lahat ng mga bilanggo, kabilang ang pangangalaga sa kalusugan ng isip. Kabilang dito ang pagtiyak ng acc"&amp;"ess sa mga propesyonal sa kalusugan ng isip, mga gamot sa saykayatriko, pagpapayo, at iba pang mga kinakailangang interbensyon upang matugunan ang mga pangangailangan sa kalusugan ng isip ng mga bilanggo.
Pagsasanay para sa Correctional Staff: Ang Correct"&amp;"ional staff ay maaaring makatanggap ng pagsasanay sa mental health awareness, crisis intervention techniques, at ang naaangkop na paggamot sa mga indibidwal na may psychiatric na sakit. Ang pagsasanay na ito ay tumutulong na matiyak na ang mga miyembro ng"&amp;" kawani ay nasangkapan upang makilala at tumugon nang epektibo sa mga isyu sa kalusugan ng isip sa mga bilanggo at magbigay ng naaangkop na suporta at tulong.
Pakikipagtulungan sa Mental Health Professionals: Ang mga pasilidad ng pagwawasto ay maaaring ma"&amp;"kipagtulungan sa mga propesyonal at organisasyon sa kalusugan ng isip upang magbigay ng espesyal na serbisyo sa kalusugan ng isip sa mga bilanggo na may mga sakit sa isip. Maaaring kabilang dito ang pagtatatag ng mga pakikipagtulungan sa mga lokal na pasi"&amp;"lidad sa kalusugan ng isip, pagkuha ng mga propesyonal sa kalusugan ng isip upang magtrabaho sa loob ng mga correctional setting, o pagbibigay ng pagsasanay at suporta sa correctional staff sa pamamahala ng mga isyu sa kalusugan ng isip.
Pagsubaybay at Pa"&amp;"ngangasiwa: Ang mga ahensya ng gobyerno, mga organisasyon ng civil society, at mga independiyenteng katawan ay maaaring magbigay ng pagsubaybay at pangangasiwa sa paggamot ng mga indibidwal na may mga sakit na psychiatric sa mga pasilidad ng pagwawasto. N"&amp;"akakatulong ito na matiyak ang pagsunod sa mga legal na pamantayan, tukuyin ang anumang mga pagkakataon ng pagmamaltrato o kapabayaan, at itaguyod ang mga karapatan at kagalingan ng mga bilanggo na may mga pangangailangan sa kalusugan ng isip.
Sa pangkala"&amp;"hatan, ang sistemang legal ng Pilipinas ay kinabibilangan ng iba't ibang mga hakbang upang matiyak ang naaangkop na paggamot sa mga indibidwal na may mga sakit sa isip sa mga pasilidad ng pagwawasto, kabilang ang mga probisyon para sa pangangalaga sa kalu"&amp;"sugan ng isip, pagsasanay ng mga kawani, pakikipagtulungan sa mga propesyonal sa kalusugan ng isip, at mga mekanismo ng pagsubaybay at pangangasiwa. Ang mga hakbang na ito ay naglalayong itaguyod ang mga karapatan at dignidad ng mga bilanggo na may mga pa"&amp;"ngangailangan sa kalusugan ng isip at bigyan sila ng kinakailangang suporta at pangangalaga upang itaguyod ang kanilang kagalingan at rehabilitasyon.")</f>
        <v>Sa Pilipinas, maraming mga legal na hakbang ang inilagay upang matiyak ang naaangkop na paggamot sa mga indibidwal na may mga sakit na psychiatric sa mga correctional facility. Ang mga hakbang na ito ay idinisenyo upang itaguyod ang mga karapatan at kagalingan ng mga bilanggo na may mga pangangailangan sa kalusugan ng isip at bigyan sila ng access sa kinakailangang pangangalaga at suporta sa kalusugan ng isip. Narito ang ilang pangunahing legal na probisyon at mekanismo:
Mental Health Act (Republic Act No. 11036): Ang batas na ito, na pinagtibay noong 2018, ay kinabibilangan ng mga probisyon na may kaugnayan sa pangangalaga sa kalusugan ng isip at paggamot ng mga indibidwal sa correctional facility. Ipinag-uutos nito ang pagbibigay ng mga serbisyo sa kalusugan ng isip, kabilang ang pagtatasa, paggamot, at rehabilitasyon, sa lahat ng indibidwal na nangangailangan, kabilang ang mga nasa correctional settings.
Mga Minimum na Pamantayan para sa Paggamot sa mga Bilanggo: Ang gobyerno ng Pilipinas ay nagtatag ng pinakamababang pamantayan para sa paggamot sa mga bilanggo, na kinabibilangan ng mga probisyon para sa pangangalaga at paggamot ng mga indibidwal na may mga sakit sa isip. Ang mga pamantayang ito ay naglalayong tiyakin na ang mga bilanggo na may mga pangangailangan sa kalusugan ng isip ay makakatanggap ng naaangkop na pangangalagang medikal at saykayatriko, kabilang ang pag-access sa mga propesyonal sa kalusugan ng isip at mga serbisyo ng suporta sa psychosocial.
Mga Serbisyo sa Pangangalagang Pangkalusugan sa Mga Pasilidad ng Correctional: Ang mga pasilidad ng pagwawasto ay kinakailangan na magbigay ng mga serbisyo sa pangangalagang pangkalusugan sa lahat ng mga bilanggo, kabilang ang pangangalaga sa kalusugan ng isip. Kabilang dito ang pagtiyak ng access sa mga propesyonal sa kalusugan ng isip, mga gamot sa saykayatriko, pagpapayo, at iba pang mga kinakailangang interbensyon upang matugunan ang mga pangangailangan sa kalusugan ng isip ng mga bilanggo.
Pagsasanay para sa Correctional Staff: Ang Correctional staff ay maaaring makatanggap ng pagsasanay sa mental health awareness, crisis intervention techniques, at ang naaangkop na paggamot sa mga indibidwal na may psychiatric na sakit. Ang pagsasanay na ito ay tumutulong na matiyak na ang mga miyembro ng kawani ay nasangkapan upang makilala at tumugon nang epektibo sa mga isyu sa kalusugan ng isip sa mga bilanggo at magbigay ng naaangkop na suporta at tulong.
Pakikipagtulungan sa Mental Health Professionals: Ang mga pasilidad ng pagwawasto ay maaaring makipagtulungan sa mga propesyonal at organisasyon sa kalusugan ng isip upang magbigay ng espesyal na serbisyo sa kalusugan ng isip sa mga bilanggo na may mga sakit sa isip. Maaaring kabilang dito ang pagtatatag ng mga pakikipagtulungan sa mga lokal na pasilidad sa kalusugan ng isip, pagkuha ng mga propesyonal sa kalusugan ng isip upang magtrabaho sa loob ng mga correctional setting, o pagbibigay ng pagsasanay at suporta sa correctional staff sa pamamahala ng mga isyu sa kalusugan ng isip.
Pagsubaybay at Pangangasiwa: Ang mga ahensya ng gobyerno, mga organisasyon ng civil society, at mga independiyenteng katawan ay maaaring magbigay ng pagsubaybay at pangangasiwa sa paggamot ng mga indibidwal na may mga sakit na psychiatric sa mga pasilidad ng pagwawasto. Nakakatulong ito na matiyak ang pagsunod sa mga legal na pamantayan, tukuyin ang anumang mga pagkakataon ng pagmamaltrato o kapabayaan, at itaguyod ang mga karapatan at kagalingan ng mga bilanggo na may mga pangangailangan sa kalusugan ng isip.
Sa pangkalahatan, ang sistemang legal ng Pilipinas ay kinabibilangan ng iba't ibang mga hakbang upang matiyak ang naaangkop na paggamot sa mga indibidwal na may mga sakit sa isip sa mga pasilidad ng pagwawasto, kabilang ang mga probisyon para sa pangangalaga sa kalusugan ng isip, pagsasanay ng mga kawani, pakikipagtulungan sa mga propesyonal sa kalusugan ng isip, at mga mekanismo ng pagsubaybay at pangangasiwa. Ang mga hakbang na ito ay naglalayong itaguyod ang mga karapatan at dignidad ng mga bilanggo na may mga pangangailangan sa kalusugan ng isip at bigyan sila ng kinakailangang suporta at pangangalaga upang itaguyod ang kanilang kagalingan at rehabilitasyon.</v>
      </c>
      <c r="F2522" s="2">
        <f t="shared" si="1"/>
        <v>0</v>
      </c>
      <c r="G2522" s="2"/>
      <c r="H2522" s="2"/>
      <c r="I2522" s="2"/>
      <c r="J2522" s="2"/>
      <c r="K2522" s="2"/>
      <c r="L2522" s="2"/>
      <c r="M2522" s="2"/>
      <c r="N2522" s="2"/>
      <c r="O2522" s="2"/>
      <c r="P2522" s="2"/>
      <c r="Q2522" s="2"/>
      <c r="R2522" s="2"/>
      <c r="S2522" s="2"/>
      <c r="T2522" s="2"/>
      <c r="U2522" s="2"/>
      <c r="V2522" s="2"/>
      <c r="W2522" s="2"/>
      <c r="X2522" s="2"/>
      <c r="Y2522" s="2"/>
      <c r="Z2522" s="2"/>
      <c r="AA2522" s="2"/>
    </row>
    <row r="2523">
      <c r="A2523" s="1" t="s">
        <v>5971</v>
      </c>
      <c r="B2523" s="1" t="s">
        <v>6014</v>
      </c>
      <c r="C2523" s="1" t="s">
        <v>6015</v>
      </c>
      <c r="D2523" s="2" t="str">
        <f>IFERROR(__xludf.DUMMYFUNCTION("GOOGLETRANSLATE(B2523, ""en"", ""TL"")"),"Paano pinoprotektahan ang mga indibidwal na may sakit sa isip mula sa hindi nararapat na impluwensya o pamimilit sa loob ng sistema ng hustisyang kriminal?")</f>
        <v>Paano pinoprotektahan ang mga indibidwal na may sakit sa isip mula sa hindi nararapat na impluwensya o pamimilit sa loob ng sistema ng hustisyang kriminal?</v>
      </c>
      <c r="E2523" s="2" t="str">
        <f>IFERROR(__xludf.DUMMYFUNCTION("GOOGLETRANSLATE(C2523, ""en"", ""TL"")"),"Sa Pilipinas, ang mga indibidwal na may mga sakit sa isip ay protektado mula sa hindi nararapat na impluwensya o pamimilit sa loob ng sistema ng hustisyang kriminal sa pamamagitan ng iba't ibang mga legal na probisyon at mga pananggalang na naglalayong ti"&amp;"yakin ang kanilang mga karapatan at kagalingan. Narito ang ilang paraan kung paano ipinapatupad ang mga proteksyong ito:
Karapatan sa Legal na Representasyon: Ang mga indibidwal na may sakit sa isip ay may karapatan sa legal na representasyon sa buong pro"&amp;"seso ng hustisyang kriminal. Kabilang dito ang karapatang maging kinatawan ng isang karampatang at walang kinikilingan na abogado na maaaring magsulong para sa kanila, protektahan ang kanilang mga karapatan, at matiyak na ang kanilang mga interes ay pinan"&amp;"gangalagaan.
Mga Pagsusuri sa Kalusugan ng Pag-iisip: Ang sistema ng hustisyang kriminal ay maaaring magsagawa ng mga pagtatasa sa kalusugan ng isip upang suriin ang kakayahan sa pag-iisip ng mga indibidwal na may mga sakit sa isip. Ang mga pagtatasa na i"&amp;"to ay tumutulong na matukoy kung ang indibidwal ay may kakayahang maunawaan ang kalikasan at kahihinatnan ng mga legal na paglilitis at mabisang makilahok sa kanilang pagtatanggol.
Access sa Mental Health Services: Ang mga indibidwal na may sakit sa isip "&amp;"ay may karapatan na ma-access ang mga serbisyo sa kalusugan ng isip, kabilang ang pagtatasa, paggamot, at suporta, sa loob ng criminal justice system. Maaaring kabilang dito ang pagbibigay ng naaangkop na mga akomodasyon at mga interbensyon upang matuguna"&amp;"n ang kanilang mga pangangailangan sa kalusugan ng isip habang tinitiyak ang kanilang patas na pagtrato at pakikilahok sa mga legal na paglilitis.
Proteksyon ng mga Karapatan sa Panahon ng Pagtatanong at Pagtatanong: Ang mga indibidwal na may sakit sa isi"&amp;"p ay may karapatan sa parehong mga legal na proteksyon na ibinibigay sa lahat ng indibidwal sa panahon ng interogasyon at pagtatanong ng pulisya. Kabilang dito ang karapatang manatiling tahimik, ang karapatang malaman ang kanilang mga karapatan, at protek"&amp;"syon laban sa pamimilit, pananakot, o hindi nararapat na impluwensya habang nagtatanong.
Mga Espesyal na Pamamaraan at Protokol ng Hukuman: Ang sistema ng hustisyang kriminal ay maaaring magtatag ng mga espesyal na pamamaraan ng hukuman at mga protocol pa"&amp;"ra sa mga kaso na kinasasangkutan ng mga indibidwal na may mga sakit sa isip. Ang mga pamamaraang ito ay naglalayong tiyakin na ang mga karapatan ng mga akusado ay protektado, na ang kanilang mga pangangailangan sa kalusugan ng isip ay natugunan, at na si"&amp;"la ay tumatanggap ng isang patas na paglilitis na naaayon sa mga prinsipyo ng angkop na proseso at pamamaraan ng pagiging patas.
Mga Mekanismo ng Pagsubaybay at Pangangasiwa: Ang mga ahensya ng gobyerno, mga organisasyon ng civil society, at mga independi"&amp;"yenteng katawan ay maaaring magbigay ng pagsubaybay at pangangasiwa sa paggamot ng mga indibidwal na may mga sakit sa isip sa loob ng sistema ng hustisyang kriminal. Nakakatulong ito na matiyak ang pagsunod sa mga legal na pamantayan, tukuyin ang anumang "&amp;"mga pagkakataon ng pang-aabuso o pagmamaltrato, at itaguyod ang mga karapatan at kapakanan ng mga indibidwal na may mga sakit sa isip.
Sa pangkalahatan, ang sistemang legal ng Pilipinas ay nagsasama ng iba't ibang mga pananggalang at proteksyon upang maiw"&amp;"asan ang hindi nararapat na impluwensya o pamimilit ng mga indibidwal na may mga sakit na psychiatric sa loob ng sistema ng hustisyang pangkriminal. Ang mga proteksyong ito ay naglalayong itaguyod ang mga karapatan, dignidad, at kagalingan ng mga indibidw"&amp;"al na may mga isyu sa kalusugan ng isip at tiyakin na sila ay tumatanggap ng patas na pagtrato at pag-access sa hustisya.")</f>
        <v>Sa Pilipinas, ang mga indibidwal na may mga sakit sa isip ay protektado mula sa hindi nararapat na impluwensya o pamimilit sa loob ng sistema ng hustisyang kriminal sa pamamagitan ng iba't ibang mga legal na probisyon at mga pananggalang na naglalayong tiyakin ang kanilang mga karapatan at kagalingan. Narito ang ilang paraan kung paano ipinapatupad ang mga proteksyong ito:
Karapatan sa Legal na Representasyon: Ang mga indibidwal na may sakit sa isip ay may karapatan sa legal na representasyon sa buong proseso ng hustisyang kriminal. Kabilang dito ang karapatang maging kinatawan ng isang karampatang at walang kinikilingan na abogado na maaaring magsulong para sa kanila, protektahan ang kanilang mga karapatan, at matiyak na ang kanilang mga interes ay pinangangalagaan.
Mga Pagsusuri sa Kalusugan ng Pag-iisip: Ang sistema ng hustisyang kriminal ay maaaring magsagawa ng mga pagtatasa sa kalusugan ng isip upang suriin ang kakayahan sa pag-iisip ng mga indibidwal na may mga sakit sa isip. Ang mga pagtatasa na ito ay tumutulong na matukoy kung ang indibidwal ay may kakayahang maunawaan ang kalikasan at kahihinatnan ng mga legal na paglilitis at mabisang makilahok sa kanilang pagtatanggol.
Access sa Mental Health Services: Ang mga indibidwal na may sakit sa isip ay may karapatan na ma-access ang mga serbisyo sa kalusugan ng isip, kabilang ang pagtatasa, paggamot, at suporta, sa loob ng criminal justice system. Maaaring kabilang dito ang pagbibigay ng naaangkop na mga akomodasyon at mga interbensyon upang matugunan ang kanilang mga pangangailangan sa kalusugan ng isip habang tinitiyak ang kanilang patas na pagtrato at pakikilahok sa mga legal na paglilitis.
Proteksyon ng mga Karapatan sa Panahon ng Pagtatanong at Pagtatanong: Ang mga indibidwal na may sakit sa isip ay may karapatan sa parehong mga legal na proteksyon na ibinibigay sa lahat ng indibidwal sa panahon ng interogasyon at pagtatanong ng pulisya. Kabilang dito ang karapatang manatiling tahimik, ang karapatang malaman ang kanilang mga karapatan, at proteksyon laban sa pamimilit, pananakot, o hindi nararapat na impluwensya habang nagtatanong.
Mga Espesyal na Pamamaraan at Protokol ng Hukuman: Ang sistema ng hustisyang kriminal ay maaaring magtatag ng mga espesyal na pamamaraan ng hukuman at mga protocol para sa mga kaso na kinasasangkutan ng mga indibidwal na may mga sakit sa isip. Ang mga pamamaraang ito ay naglalayong tiyakin na ang mga karapatan ng mga akusado ay protektado, na ang kanilang mga pangangailangan sa kalusugan ng isip ay natugunan, at na sila ay tumatanggap ng isang patas na paglilitis na naaayon sa mga prinsipyo ng angkop na proseso at pamamaraan ng pagiging patas.
Mga Mekanismo ng Pagsubaybay at Pangangasiwa: Ang mga ahensya ng gobyerno, mga organisasyon ng civil society, at mga independiyenteng katawan ay maaaring magbigay ng pagsubaybay at pangangasiwa sa paggamot ng mga indibidwal na may mga sakit sa isip sa loob ng sistema ng hustisyang kriminal. Nakakatulong ito na matiyak ang pagsunod sa mga legal na pamantayan, tukuyin ang anumang mga pagkakataon ng pang-aabuso o pagmamaltrato, at itaguyod ang mga karapatan at kapakanan ng mga indibidwal na may mga sakit sa isip.
Sa pangkalahatan, ang sistemang legal ng Pilipinas ay nagsasama ng iba't ibang mga pananggalang at proteksyon upang maiwasan ang hindi nararapat na impluwensya o pamimilit ng mga indibidwal na may mga sakit na psychiatric sa loob ng sistema ng hustisyang pangkriminal. Ang mga proteksyong ito ay naglalayong itaguyod ang mga karapatan, dignidad, at kagalingan ng mga indibidwal na may mga isyu sa kalusugan ng isip at tiyakin na sila ay tumatanggap ng patas na pagtrato at pag-access sa hustisya.</v>
      </c>
      <c r="F2523" s="2">
        <f t="shared" si="1"/>
        <v>0</v>
      </c>
      <c r="G2523" s="2"/>
      <c r="H2523" s="2"/>
      <c r="I2523" s="2"/>
      <c r="J2523" s="2"/>
      <c r="K2523" s="2"/>
      <c r="L2523" s="2"/>
      <c r="M2523" s="2"/>
      <c r="N2523" s="2"/>
      <c r="O2523" s="2"/>
      <c r="P2523" s="2"/>
      <c r="Q2523" s="2"/>
      <c r="R2523" s="2"/>
      <c r="S2523" s="2"/>
      <c r="T2523" s="2"/>
      <c r="U2523" s="2"/>
      <c r="V2523" s="2"/>
      <c r="W2523" s="2"/>
      <c r="X2523" s="2"/>
      <c r="Y2523" s="2"/>
      <c r="Z2523" s="2"/>
      <c r="AA2523" s="2"/>
    </row>
    <row r="2524">
      <c r="A2524" s="1" t="s">
        <v>5971</v>
      </c>
      <c r="B2524" s="1" t="s">
        <v>6016</v>
      </c>
      <c r="C2524" s="1" t="s">
        <v>6017</v>
      </c>
      <c r="D2524" s="2" t="str">
        <f>IFERROR(__xludf.DUMMYFUNCTION("GOOGLETRANSLATE(B2524, ""en"", ""TL"")"),"Mayroon bang mga legal na kahihinatnan para sa mga indibidwal na natagpuang nagpapanggap na mga sakit sa isip upang maiwasan ang kriminal na pananagutan?")</f>
        <v>Mayroon bang mga legal na kahihinatnan para sa mga indibidwal na natagpuang nagpapanggap na mga sakit sa isip upang maiwasan ang kriminal na pananagutan?</v>
      </c>
      <c r="E2524" s="2" t="str">
        <f>IFERROR(__xludf.DUMMYFUNCTION("GOOGLETRANSLATE(C2524, ""en"", ""TL"")"),"Oo, may mga legal na kahihinatnan para sa mga indibidwal na napatunayang nagpapanggap na mga sakit sa isip upang maiwasan ang kriminal na pananagutan sa Pilipinas. Ang pagpapanggap na mga sakit na psychiatric sa pagtatangkang iwasan ang kriminal na panana"&amp;"gutan ay itinuturing na isang anyo ng panlilinlang at maaaring magresulta sa malubhang legal na epekto. Narito kung paano tinutugunan ng batas ng Pilipinas ang isyung ito:
Perjury: Kung ang isang indibidwal ay sadyang gumagawa ng mga maling pahayag o nagp"&amp;"apakita ng maling ebidensya, kabilang ang mga nagpapanggap na sakit sa isip, sa panahon ng mga legal na paglilitis, maaari silang kasuhan ng perjury sa ilalim ng batas ng Pilipinas. Ang pagsisinungaling ay maaaring parusahan ng pagkakulong at/o mga multa,"&amp;" gaya ng itinakda sa Binagong Kodigo Penal ng Pilipinas (Act No. 3815).
Obstruction of Justice: Ang pagpapanggap na mga sakit na psychiatric upang maiwasan ang kriminal na pananagutan ay maaari ding maging obstruction ng hustisya, lalo na kung ito ay huma"&amp;"hadlang o nakakasagabal sa wastong pangangasiwa ng hustisya. Ang obstruction of justice ay isang kriminal na pagkakasala sa ilalim ng batas ng Pilipinas at maaaring humantong sa pagkakulong at/o mga multa.
Contempt of Court: Ang mga indibidwal na nagsasag"&amp;"awa ng mapanlinlang na pag-uugali, tulad ng mga nagpapanggap na sakit sa isip, sa mga paglilitis sa korte ay maaaring ikulong bilang paghamak sa korte. Ang paghamak sa hukuman ay maaaring magresulta sa mga parusa gaya ng mga multa o pagkakulong, ayon sa i"&amp;"tinakda ng korte.
Mga Mapanlinlang na Claim para sa Paggamot sa Kalusugan ng Pag-iisip: Ang pagpapanggap na mga sakit sa isip upang makakuha ng mga benepisyo o mga pribilehiyo, tulad ng pag-access sa paggamot sa kalusugan ng isip o mga benepisyo sa kapans"&amp;"anan, ay maaaring bumuo ng pandaraya sa ilalim ng batas ng Pilipinas. Ang mga mapanlinlang na paghahabol para sa paggamot sa kalusugan ng isip ay maaaring humantong sa pananagutan ng sibil, kabilang ang pangangailangan na bayaran ang anumang labag sa bata"&amp;"s na nakuhang mga benepisyo o kabayaran.
Mga Propesyonal na Sanction: Sa mga kaso kung saan ang pagpapanggap na mga sakit na psychiatric ay nagsasangkot ng paglahok ng mga propesyonal sa kalusugan ng isip, tulad ng mga psychiatrist o psychologist, maaarin"&amp;"g maglapat ng mga propesyonal na parusa. Ang mga propesyonal sa kalusugan ng isip na sadyang nagbibigay ng mga maling pagsusuri o nagpapatunay ng mga maling pag-aangkin ng mga sakit sa isip ay maaaring maharap sa aksyong pandisiplina, kabilang ang pagsusu"&amp;"spinde o pagbawi ng kanilang mga propesyonal na lisensya.
Sa pangkalahatan, ang pagpapanggap na mga sakit na psychiatric upang maiwasan ang kriminal na pananagutan ay itinuturing na isang seryosong pagkakasala sa ilalim ng batas ng Pilipinas at maaaring m"&amp;"agresulta sa iba't ibang legal na kahihinatnan, kabilang ang mga kasong kriminal, pananagutan sibil, at mga propesyonal na parusa. Ang sistemang legal ay idinisenyo upang hadlangan at parusahan ang gayong mapanlinlang na pag-uugali upang itaguyod ang inte"&amp;"gridad ng sistema ng hustisya at protektahan ang mga karapatan ng mga biktima at lipunan sa kabuuan.")</f>
        <v>Oo, may mga legal na kahihinatnan para sa mga indibidwal na napatunayang nagpapanggap na mga sakit sa isip upang maiwasan ang kriminal na pananagutan sa Pilipinas. Ang pagpapanggap na mga sakit na psychiatric sa pagtatangkang iwasan ang kriminal na pananagutan ay itinuturing na isang anyo ng panlilinlang at maaaring magresulta sa malubhang legal na epekto. Narito kung paano tinutugunan ng batas ng Pilipinas ang isyung ito:
Perjury: Kung ang isang indibidwal ay sadyang gumagawa ng mga maling pahayag o nagpapakita ng maling ebidensya, kabilang ang mga nagpapanggap na sakit sa isip, sa panahon ng mga legal na paglilitis, maaari silang kasuhan ng perjury sa ilalim ng batas ng Pilipinas. Ang pagsisinungaling ay maaaring parusahan ng pagkakulong at/o mga multa, gaya ng itinakda sa Binagong Kodigo Penal ng Pilipinas (Act No. 3815).
Obstruction of Justice: Ang pagpapanggap na mga sakit na psychiatric upang maiwasan ang kriminal na pananagutan ay maaari ding maging obstruction ng hustisya, lalo na kung ito ay humahadlang o nakakasagabal sa wastong pangangasiwa ng hustisya. Ang obstruction of justice ay isang kriminal na pagkakasala sa ilalim ng batas ng Pilipinas at maaaring humantong sa pagkakulong at/o mga multa.
Contempt of Court: Ang mga indibidwal na nagsasagawa ng mapanlinlang na pag-uugali, tulad ng mga nagpapanggap na sakit sa isip, sa mga paglilitis sa korte ay maaaring ikulong bilang paghamak sa korte. Ang paghamak sa hukuman ay maaaring magresulta sa mga parusa gaya ng mga multa o pagkakulong, ayon sa itinakda ng korte.
Mga Mapanlinlang na Claim para sa Paggamot sa Kalusugan ng Pag-iisip: Ang pagpapanggap na mga sakit sa isip upang makakuha ng mga benepisyo o mga pribilehiyo, tulad ng pag-access sa paggamot sa kalusugan ng isip o mga benepisyo sa kapansanan, ay maaaring bumuo ng pandaraya sa ilalim ng batas ng Pilipinas. Ang mga mapanlinlang na paghahabol para sa paggamot sa kalusugan ng isip ay maaaring humantong sa pananagutan ng sibil, kabilang ang pangangailangan na bayaran ang anumang labag sa batas na nakuhang mga benepisyo o kabayaran.
Mga Propesyonal na Sanction: Sa mga kaso kung saan ang pagpapanggap na mga sakit na psychiatric ay nagsasangkot ng paglahok ng mga propesyonal sa kalusugan ng isip, tulad ng mga psychiatrist o psychologist, maaaring maglapat ng mga propesyonal na parusa. Ang mga propesyonal sa kalusugan ng isip na sadyang nagbibigay ng mga maling pagsusuri o nagpapatunay ng mga maling pag-aangkin ng mga sakit sa isip ay maaaring maharap sa aksyong pandisiplina, kabilang ang pagsususpinde o pagbawi ng kanilang mga propesyonal na lisensya.
Sa pangkalahatan, ang pagpapanggap na mga sakit na psychiatric upang maiwasan ang kriminal na pananagutan ay itinuturing na isang seryosong pagkakasala sa ilalim ng batas ng Pilipinas at maaaring magresulta sa iba't ibang legal na kahihinatnan, kabilang ang mga kasong kriminal, pananagutan sibil, at mga propesyonal na parusa. Ang sistemang legal ay idinisenyo upang hadlangan at parusahan ang gayong mapanlinlang na pag-uugali upang itaguyod ang integridad ng sistema ng hustisya at protektahan ang mga karapatan ng mga biktima at lipunan sa kabuuan.</v>
      </c>
      <c r="F2524" s="2">
        <f t="shared" si="1"/>
        <v>0</v>
      </c>
      <c r="G2524" s="2"/>
      <c r="H2524" s="2"/>
      <c r="I2524" s="2"/>
      <c r="J2524" s="2"/>
      <c r="K2524" s="2"/>
      <c r="L2524" s="2"/>
      <c r="M2524" s="2"/>
      <c r="N2524" s="2"/>
      <c r="O2524" s="2"/>
      <c r="P2524" s="2"/>
      <c r="Q2524" s="2"/>
      <c r="R2524" s="2"/>
      <c r="S2524" s="2"/>
      <c r="T2524" s="2"/>
      <c r="U2524" s="2"/>
      <c r="V2524" s="2"/>
      <c r="W2524" s="2"/>
      <c r="X2524" s="2"/>
      <c r="Y2524" s="2"/>
      <c r="Z2524" s="2"/>
      <c r="AA2524" s="2"/>
    </row>
    <row r="2525">
      <c r="A2525" s="1" t="s">
        <v>5971</v>
      </c>
      <c r="B2525" s="1" t="s">
        <v>6018</v>
      </c>
      <c r="C2525" s="1" t="s">
        <v>6019</v>
      </c>
      <c r="D2525" s="2" t="str">
        <f>IFERROR(__xludf.DUMMYFUNCTION("GOOGLETRANSLATE(B2525, ""en"", ""TL"")"),"Paano tinutugunan ng batas ng Pilipinas ang mga karapatan ng mga biktima kapag ang may kasalanan ay may sakit na psychiatric?")</f>
        <v>Paano tinutugunan ng batas ng Pilipinas ang mga karapatan ng mga biktima kapag ang may kasalanan ay may sakit na psychiatric?</v>
      </c>
      <c r="E2525" s="2" t="str">
        <f>IFERROR(__xludf.DUMMYFUNCTION("GOOGLETRANSLATE(C2525, ""en"", ""TL"")"),"Sa Pilipinas, ang mga karapatan ng mga biktima ay protektado sa ilalim ng iba't ibang mga batas at patakaran, hindi alintana kung ang may kasalanan ay may sakit na psychiatric. Gayunpaman, ang pagkakaroon ng sakit na psychiatric sa may kasalanan ay maaari"&amp;"ng makaimpluwensya kung paano tinutugunan ng legal na sistema ang mga karapatan ng mga biktima. Narito ang ilang paraan ng pagtugon sa batas ng Pilipinas sa mga karapatan ng mga biktima kapag ang may kasalanan ay may sakit na psychiatric:
Access to Justic"&amp;"e: Ang mga biktima ng mga krimen na ginawa ng mga indibidwal na may sakit sa isip ay may karapatang makakuha ng hustisya at humingi ng mga remedyo para sa pinsalang dinanas nila. Maaari silang maghain ng mga reklamo sa mga ahensyang nagpapatupad ng batas,"&amp;" lumahok sa mga paglilitis sa kriminal, at humingi ng kabayaran para sa mga pinsala sa pamamagitan ng mga korte.
Makatarungang Pagtrato: Ang mga biktima ay may karapatan sa patas na pagtrato at paggalang sa kanilang dignidad sa buong prosesong legal. Kabi"&amp;"lang dito ang pagiging alam tungkol sa kanilang mga karapatan, pagtanggap ng suporta at proteksyon kung kinakailangan, at pagkakalooban ng mga pagkakataong ipahayag ang kanilang mga pananaw at alalahanin sa panahon ng paglilitis sa korte.
Kaligtasan at Pr"&amp;"oteksyon: Ang mga biktima ay may karapatan sa kaligtasan at proteksyon mula sa karagdagang pinsala, kabilang ang mga hakbang upang maiwasan ang pakikipag-ugnay o malapit sa may kasalanan, lalo na kung may mga alalahanin tungkol sa kalusugan ng isip ng ind"&amp;"ibidwal at potensyal na panganib ng muling pagkakasala.
Mga Serbisyo sa Tulong at Suporta sa Biktima: Kinikilala ng batas ng Pilipinas ang kahalagahan ng pagbibigay ng tulong sa biktima at mga serbisyo ng suporta sa mga indibidwal na apektado ng krimen, k"&amp;"abilang ang mga nabiktima ng mga salarin na may mga sakit sa isip. Maaaring kabilang dito ang pag-access sa pagpapayo, legal na tulong, mga serbisyong medikal, at iba pang anyo ng suporta upang matulungan ang mga biktima na makayanan ang pisikal, emosyona"&amp;"l, at sikolohikal na epekto ng krimen.
Restitution at Compensation: Ang mga biktima ay may karapatan sa pagsasauli at kabayaran para sa pinsalang dinanas nila bilang resulta ng krimen. Maaaring kabilang dito ang pagbabayad ng mga pinsala ng salarin, alinm"&amp;"an sa pamamagitan ng restitusyon na iniutos ng korte o mga scheme ng kompensasyon na pinangangasiwaan ng mga ahensya ng gobyerno o iba pang entity.
Pagsasaalang-alang sa Mga Pahayag ng Epekto sa Biktima: Ang mga pahayag sa epekto ng biktima ay maaaring is"&amp;"aalang-alang ng korte sa panahon ng mga paglilitis sa pagsentensiya upang masuri ang pinsalang idinulot sa biktima at ang naaangkop na parusa para sa may kasalanan. Maaaring magkaroon ng pagkakataon ang mga biktima na magbigay ng input sa epekto ng krimen"&amp;" sa kanilang buhay at ipahayag ang kanilang mga pananaw sa paghatol sa may kasalanan.
Sa pangkalahatan, ang batas ng Pilipinas ay naglalayong itaguyod ang mga karapatan ng mga biktima ng krimen, kabilang ang mga nabiktima ng mga indibidwal na may sakit sa"&amp;" isip, sa pamamagitan ng pagtiyak ng access sa hustisya, patas na pagtrato, kaligtasan, mga serbisyo ng suporta, at mga pagkakataon para sa pagsasauli at kabayaran. Ang mga probisyong ito ay idinisenyo upang protektahan ang mga karapatan at interes ng mga"&amp;" biktima habang tinutugunan din ang mga kumplikadong isyu na pumapalibot sa kalusugan ng isip at responsibilidad sa kriminal.")</f>
        <v>Sa Pilipinas, ang mga karapatan ng mga biktima ay protektado sa ilalim ng iba't ibang mga batas at patakaran, hindi alintana kung ang may kasalanan ay may sakit na psychiatric. Gayunpaman, ang pagkakaroon ng sakit na psychiatric sa may kasalanan ay maaaring makaimpluwensya kung paano tinutugunan ng legal na sistema ang mga karapatan ng mga biktima. Narito ang ilang paraan ng pagtugon sa batas ng Pilipinas sa mga karapatan ng mga biktima kapag ang may kasalanan ay may sakit na psychiatric:
Access to Justice: Ang mga biktima ng mga krimen na ginawa ng mga indibidwal na may sakit sa isip ay may karapatang makakuha ng hustisya at humingi ng mga remedyo para sa pinsalang dinanas nila. Maaari silang maghain ng mga reklamo sa mga ahensyang nagpapatupad ng batas, lumahok sa mga paglilitis sa kriminal, at humingi ng kabayaran para sa mga pinsala sa pamamagitan ng mga korte.
Makatarungang Pagtrato: Ang mga biktima ay may karapatan sa patas na pagtrato at paggalang sa kanilang dignidad sa buong prosesong legal. Kabilang dito ang pagiging alam tungkol sa kanilang mga karapatan, pagtanggap ng suporta at proteksyon kung kinakailangan, at pagkakalooban ng mga pagkakataong ipahayag ang kanilang mga pananaw at alalahanin sa panahon ng paglilitis sa korte.
Kaligtasan at Proteksyon: Ang mga biktima ay may karapatan sa kaligtasan at proteksyon mula sa karagdagang pinsala, kabilang ang mga hakbang upang maiwasan ang pakikipag-ugnay o malapit sa may kasalanan, lalo na kung may mga alalahanin tungkol sa kalusugan ng isip ng indibidwal at potensyal na panganib ng muling pagkakasala.
Mga Serbisyo sa Tulong at Suporta sa Biktima: Kinikilala ng batas ng Pilipinas ang kahalagahan ng pagbibigay ng tulong sa biktima at mga serbisyo ng suporta sa mga indibidwal na apektado ng krimen, kabilang ang mga nabiktima ng mga salarin na may mga sakit sa isip. Maaaring kabilang dito ang pag-access sa pagpapayo, legal na tulong, mga serbisyong medikal, at iba pang anyo ng suporta upang matulungan ang mga biktima na makayanan ang pisikal, emosyonal, at sikolohikal na epekto ng krimen.
Restitution at Compensation: Ang mga biktima ay may karapatan sa pagsasauli at kabayaran para sa pinsalang dinanas nila bilang resulta ng krimen. Maaaring kabilang dito ang pagbabayad ng mga pinsala ng salarin, alinman sa pamamagitan ng restitusyon na iniutos ng korte o mga scheme ng kompensasyon na pinangangasiwaan ng mga ahensya ng gobyerno o iba pang entity.
Pagsasaalang-alang sa Mga Pahayag ng Epekto sa Biktima: Ang mga pahayag sa epekto ng biktima ay maaaring isaalang-alang ng korte sa panahon ng mga paglilitis sa pagsentensiya upang masuri ang pinsalang idinulot sa biktima at ang naaangkop na parusa para sa may kasalanan. Maaaring magkaroon ng pagkakataon ang mga biktima na magbigay ng input sa epekto ng krimen sa kanilang buhay at ipahayag ang kanilang mga pananaw sa paghatol sa may kasalanan.
Sa pangkalahatan, ang batas ng Pilipinas ay naglalayong itaguyod ang mga karapatan ng mga biktima ng krimen, kabilang ang mga nabiktima ng mga indibidwal na may sakit sa isip, sa pamamagitan ng pagtiyak ng access sa hustisya, patas na pagtrato, kaligtasan, mga serbisyo ng suporta, at mga pagkakataon para sa pagsasauli at kabayaran. Ang mga probisyong ito ay idinisenyo upang protektahan ang mga karapatan at interes ng mga biktima habang tinutugunan din ang mga kumplikadong isyu na pumapalibot sa kalusugan ng isip at responsibilidad sa kriminal.</v>
      </c>
      <c r="F2525" s="2">
        <f t="shared" si="1"/>
        <v>0</v>
      </c>
      <c r="G2525" s="2"/>
      <c r="H2525" s="2"/>
      <c r="I2525" s="2"/>
      <c r="J2525" s="2"/>
      <c r="K2525" s="2"/>
      <c r="L2525" s="2"/>
      <c r="M2525" s="2"/>
      <c r="N2525" s="2"/>
      <c r="O2525" s="2"/>
      <c r="P2525" s="2"/>
      <c r="Q2525" s="2"/>
      <c r="R2525" s="2"/>
      <c r="S2525" s="2"/>
      <c r="T2525" s="2"/>
      <c r="U2525" s="2"/>
      <c r="V2525" s="2"/>
      <c r="W2525" s="2"/>
      <c r="X2525" s="2"/>
      <c r="Y2525" s="2"/>
      <c r="Z2525" s="2"/>
      <c r="AA2525" s="2"/>
    </row>
    <row r="2526">
      <c r="A2526" s="1" t="s">
        <v>5971</v>
      </c>
      <c r="B2526" s="1" t="s">
        <v>6020</v>
      </c>
      <c r="C2526" s="1" t="s">
        <v>6021</v>
      </c>
      <c r="D2526" s="2" t="str">
        <f>IFERROR(__xludf.DUMMYFUNCTION("GOOGLETRANSLATE(B2526, ""en"", ""TL"")"),"Ano ang papel na ginagampanan ng mga pagsusuri sa saykayatriko sa pagtukoy ng paghatol sa mga indibidwal na may mga sakit na saykayatriko?")</f>
        <v>Ano ang papel na ginagampanan ng mga pagsusuri sa saykayatriko sa pagtukoy ng paghatol sa mga indibidwal na may mga sakit na saykayatriko?</v>
      </c>
      <c r="E2526" s="2" t="str">
        <f>IFERROR(__xludf.DUMMYFUNCTION("GOOGLETRANSLATE(C2526, ""en"", ""TL"")"),"Sa Pilipinas, ang mga pagsusuri sa saykayatriko ay maaaring magkaroon ng malaking papel sa pagtukoy ng paghatol sa mga indibidwal na may mga sakit sa isip, lalo na sa mga kaso kung saan ang mga isyu sa kalusugan ng isip ay maaaring nakaimpluwensya sa pagg"&amp;"awa ng krimen o maaaring makaapekto sa pagkakasala ng indibidwal. Narito ang mga pangunahing tungkulin na maaaring gampanan ng mga pagsusuri sa saykayatriko sa proseso ng paghatol:
Pagtatasa ng Kakayahang Pangkaisipan: Ang mga pagsusuri sa saykayatriko ay"&amp;" maaaring masuri ang kakayahan sa pag-iisip ng akusado na indibidwal na humarap sa paglilitis. Kung ang isang tao ay napatunayang walang kakayahan sa pag-iisip, maaaring hindi siya karapat-dapat na sumailalim sa mga paglilitis sa paglilitis hanggang sa bu"&amp;"muti ang kanilang kalusugang pangkaisipan o hangga't hindi nila naiintindihan nang sapat ang mga paratang laban sa kanila at lumahok sa kanilang pagtatanggol.
Pagsusuri ng Pananagutang Kriminal: Maaaring masuri ng mga pagsusuri sa saykayatriko ang kalagay"&amp;"an ng pag-iisip ng akusado sa oras na nagawa ang pagkakasala. Makakatulong ang pagsusuring ito na matukoy kung ang indibidwal ay may kakayahan sa pag-iisip na maunawaan ang kalikasan at mga kahihinatnan ng kanilang mga aksyon at kung nagawa nilang makilal"&amp;"a ang pagitan ng tama at mali sa oras ng pagkakasala.
Mga Salik sa Pagbabawas sa Pagsentensiya: Kung ang isang pagsusuri sa saykayatriko ay nagpapakita na ang akusado ay may sakit sa isip o sakit sa pag-iisip na maaaring nag-ambag sa paggawa ng pagkakasal"&amp;"a, ang impormasyong ito ay maaaring ituring bilang isang nagpapagaan na kadahilanan sa panahon ng paghatol. Maaaring isaalang-alang ng korte ang kalagayan ng kalusugang pangkaisipan ng indibidwal bilang isang salik sa pagtukoy ng angkop na sentensiya, na "&amp;"posibleng humantong sa mas maluwag na parusa.
Mga Rekomendasyon para sa Paggamot at Rehabilitasyon: Maaaring kabilang sa mga pagsusuri sa psychiatric ang mga rekomendasyon para sa paggamot at rehabilitasyon ng mga indibidwal na may mga sakit sa isip. Ang "&amp;"mga rekomendasyong ito ay maaaring makaimpluwensya sa desisyon ng korte tungkol sa paghatol sa pamamagitan ng pagbibigay-diin sa pangangailangan para sa paggamot at suporta sa kalusugan ng isip bilang bahagi ng proseso ng rehabilitasyon ng indibidwal.
Pro"&amp;"teksyon ng mga Karapatan ng Inakusahan: Tumutulong ang mga pagsusuri sa psychiatric na matiyak na ang mga karapatan ng mga indibidwal na may mga sakit sa isip ay protektado sa buong prosesong legal. Sa pamamagitan ng pagtatasa ng kakayahan sa pag-iisip at"&amp;" pagsusuri sa epekto ng mga isyu sa kalusugan ng isip sa kriminal na pananagutan, ang mga pagsusuring ito ay nag-aambag sa isang patas at makatarungang legal na sistema na isinasaalang-alang ang mga natatanging kalagayan ng bawat kaso.
Sa pangkalahatan, a"&amp;"ng mga pagsusuri sa psychiatric ay gumaganap ng isang mahalagang papel sa proseso ng paghatol para sa mga indibidwal na may mga sakit sa isip sa Pilipinas sa pamamagitan ng pagbibigay ng mga insight sa kanilang katayuan sa kalusugan ng isip, pagtatasa ng "&amp;"kanilang kriminal na pananagutan, at pagrekomenda ng mga naaangkop na interbensyon upang matugunan ang kanilang mga pangangailangan.")</f>
        <v>Sa Pilipinas, ang mga pagsusuri sa saykayatriko ay maaaring magkaroon ng malaking papel sa pagtukoy ng paghatol sa mga indibidwal na may mga sakit sa isip, lalo na sa mga kaso kung saan ang mga isyu sa kalusugan ng isip ay maaaring nakaimpluwensya sa paggawa ng krimen o maaaring makaapekto sa pagkakasala ng indibidwal. Narito ang mga pangunahing tungkulin na maaaring gampanan ng mga pagsusuri sa saykayatriko sa proseso ng paghatol:
Pagtatasa ng Kakayahang Pangkaisipan: Ang mga pagsusuri sa saykayatriko ay maaaring masuri ang kakayahan sa pag-iisip ng akusado na indibidwal na humarap sa paglilitis. Kung ang isang tao ay napatunayang walang kakayahan sa pag-iisip, maaaring hindi siya karapat-dapat na sumailalim sa mga paglilitis sa paglilitis hanggang sa bumuti ang kanilang kalusugang pangkaisipan o hangga't hindi nila naiintindihan nang sapat ang mga paratang laban sa kanila at lumahok sa kanilang pagtatanggol.
Pagsusuri ng Pananagutang Kriminal: Maaaring masuri ng mga pagsusuri sa saykayatriko ang kalagayan ng pag-iisip ng akusado sa oras na nagawa ang pagkakasala. Makakatulong ang pagsusuring ito na matukoy kung ang indibidwal ay may kakayahan sa pag-iisip na maunawaan ang kalikasan at mga kahihinatnan ng kanilang mga aksyon at kung nagawa nilang makilala ang pagitan ng tama at mali sa oras ng pagkakasala.
Mga Salik sa Pagbabawas sa Pagsentensiya: Kung ang isang pagsusuri sa saykayatriko ay nagpapakita na ang akusado ay may sakit sa isip o sakit sa pag-iisip na maaaring nag-ambag sa paggawa ng pagkakasala, ang impormasyong ito ay maaaring ituring bilang isang nagpapagaan na kadahilanan sa panahon ng paghatol. Maaaring isaalang-alang ng korte ang kalagayan ng kalusugang pangkaisipan ng indibidwal bilang isang salik sa pagtukoy ng angkop na sentensiya, na posibleng humantong sa mas maluwag na parusa.
Mga Rekomendasyon para sa Paggamot at Rehabilitasyon: Maaaring kabilang sa mga pagsusuri sa psychiatric ang mga rekomendasyon para sa paggamot at rehabilitasyon ng mga indibidwal na may mga sakit sa isip. Ang mga rekomendasyong ito ay maaaring makaimpluwensya sa desisyon ng korte tungkol sa paghatol sa pamamagitan ng pagbibigay-diin sa pangangailangan para sa paggamot at suporta sa kalusugan ng isip bilang bahagi ng proseso ng rehabilitasyon ng indibidwal.
Proteksyon ng mga Karapatan ng Inakusahan: Tumutulong ang mga pagsusuri sa psychiatric na matiyak na ang mga karapatan ng mga indibidwal na may mga sakit sa isip ay protektado sa buong prosesong legal. Sa pamamagitan ng pagtatasa ng kakayahan sa pag-iisip at pagsusuri sa epekto ng mga isyu sa kalusugan ng isip sa kriminal na pananagutan, ang mga pagsusuring ito ay nag-aambag sa isang patas at makatarungang legal na sistema na isinasaalang-alang ang mga natatanging kalagayan ng bawat kaso.
Sa pangkalahatan, ang mga pagsusuri sa psychiatric ay gumaganap ng isang mahalagang papel sa proseso ng paghatol para sa mga indibidwal na may mga sakit sa isip sa Pilipinas sa pamamagitan ng pagbibigay ng mga insight sa kanilang katayuan sa kalusugan ng isip, pagtatasa ng kanilang kriminal na pananagutan, at pagrekomenda ng mga naaangkop na interbensyon upang matugunan ang kanilang mga pangangailangan.</v>
      </c>
      <c r="F2526" s="2">
        <f t="shared" si="1"/>
        <v>0</v>
      </c>
      <c r="G2526" s="2"/>
      <c r="H2526" s="2"/>
      <c r="I2526" s="2"/>
      <c r="J2526" s="2"/>
      <c r="K2526" s="2"/>
      <c r="L2526" s="2"/>
      <c r="M2526" s="2"/>
      <c r="N2526" s="2"/>
      <c r="O2526" s="2"/>
      <c r="P2526" s="2"/>
      <c r="Q2526" s="2"/>
      <c r="R2526" s="2"/>
      <c r="S2526" s="2"/>
      <c r="T2526" s="2"/>
      <c r="U2526" s="2"/>
      <c r="V2526" s="2"/>
      <c r="W2526" s="2"/>
      <c r="X2526" s="2"/>
      <c r="Y2526" s="2"/>
      <c r="Z2526" s="2"/>
      <c r="AA2526" s="2"/>
    </row>
    <row r="2527">
      <c r="A2527" s="1" t="s">
        <v>5971</v>
      </c>
      <c r="B2527" s="1" t="s">
        <v>6022</v>
      </c>
      <c r="C2527" s="1" t="s">
        <v>6023</v>
      </c>
      <c r="D2527" s="2" t="str">
        <f>IFERROR(__xludf.DUMMYFUNCTION("GOOGLETRANSLATE(B2527, ""en"", ""TL"")"),"Mayroon bang mga legal na probisyon para sa espesyal na pagsasanay para sa mga opisyal ng pagpapatupad ng batas na nakikitungo sa mga indibidwal na may mga sakit sa isip?")</f>
        <v>Mayroon bang mga legal na probisyon para sa espesyal na pagsasanay para sa mga opisyal ng pagpapatupad ng batas na nakikitungo sa mga indibidwal na may mga sakit sa isip?</v>
      </c>
      <c r="E2527" s="2" t="str">
        <f>IFERROR(__xludf.DUMMYFUNCTION("GOOGLETRANSLATE(C2527, ""en"", ""TL"")"),"Oo, may mga legal na probisyon sa Pilipinas na tumutugon sa pangangailangan para sa espesyal na pagsasanay para sa mga opisyal ng pagpapatupad ng batas na nakikitungo sa mga indibidwal na may mga sakit sa isip. Ang mga probisyong ito ay naglalayong tiyaki"&amp;"n na ang mga tauhan ng pagpapatupad ng batas ay may kinakailangang kaalaman at kasanayan upang mahawakan ang mga sitwasyong kinasasangkutan ng mga indibidwal na may mga isyu sa kalusugan ng isip sa isang makatao at naaangkop na paraan. Narito ang ilang na"&amp;"uugnay na legal na probisyon:
Mental Health Act (Republic Act No. 11036): Ang batas na ito, na pinagtibay noong 2018, ay kinabibilangan ng mga probisyon para sa pagsasanay ng mga opisyal ng pagpapatupad ng batas, gayundin ng iba pang frontline personnel, "&amp;"sa pagkilala at pagtugon sa mga isyu sa kalusugan ng isip. Ang seksyon 33 ng batas ay partikular na nag-uutos sa Department of the Interior and Local Government (DILG) at Philippine National Police (PNP) na magbigay ng naaangkop na mga programa sa pagsasa"&amp;"nay para sa mga tauhan ng pagpapatupad ng batas sa mental health awareness at crisis intervention techniques.
Mga Pamamaraan sa Operasyon ng PNP: Ang Pambansang Pulisya ng Pilipinas, sa pamamagitan ng mga pamamaraan at patnubay sa pagpapatakbo nito, ay ma"&amp;"aaring magtatag ng mga protocol at mga kinakailangan sa pagsasanay para sa mga opisyal na nakikitungo sa mga indibidwal na may mga sakit sa isip. Maaaring kabilang sa mga pamamaraang ito ang mga alituntunin sa mga diskarte sa de-escalation, interbensyon s"&amp;"a krisis, at pagsangguni sa mga propesyonal sa kalusugan ng isip.
Propesyonalisasyon ng PNP: Ang mga pagsisikap na gawing propesyonal ang Pambansang Pulisya ng Pilipinas ay maaaring magsama ng mga inisyatiba sa pagsasanay na may kaugnayan sa paghawak ng m"&amp;"ga sitwasyon na kinasasangkutan ng mga indibidwal na may mga isyu sa kalusugan ng isip. Ang PNP ay maaaring bumuo ng mga espesyal na module ng pagsasanay o makipagtulungan sa mga propesyonal sa kalusugang pangkaisipan at mga organisasyon upang magbigay ng"&amp;" kaukulang pagsasanay sa mga tauhan nito.
Mga Pakikipagtulungan sa Mga Propesyonal sa Kalusugan ng Pag-iisip: Ang mga ahensyang nagpapatupad ng batas ay maaaring makipagtulungan sa mga propesyonal at organisasyon sa kalusugan ng isip upang bumuo at magpat"&amp;"upad ng mga programa sa pagsasanay na iniayon sa mga partikular na pangangailangan ng mga opisyal na nakikitungo sa mga indibidwal na may mga sakit sa isip. Ang pakikipagtulungang ito ay maaaring may kasamang magkasanib na mga sesyon ng pagsasanay, mga wo"&amp;"rkshop, at mga aktibidad sa pagbuo ng kapasidad.
Mga Internasyonal na Pamantayan at Pinakamahuhusay na Kasanayan: Ang Pilipinas ay maaari ding tumingin sa mga internasyonal na pamantayan at pinakamahusay na kasanayan sa pagsasanay sa mga opisyal ng pagpap"&amp;"atupad ng batas sa mga isyu sa kalusugan ng isip. Maaaring kabilang dito ang pagguhit mula sa mga alituntunin at mga programa sa pagsasanay na binuo ng mga organisasyon tulad ng World Health Organization (WHO) at International Association of Chiefs of Pol"&amp;"ice (IACP).
Sa pangkalahatan, kinikilala ng mga legal na probisyon sa Pilipinas ang kahalagahan ng pagbibigay ng espesyal na pagsasanay para sa mga opisyal ng pagpapatupad ng batas na nakikitungo sa mga indibidwal na may mga sakit sa isip. Ang mga probisy"&amp;"ong ito ay naglalayong tiyakin na ang mga opisyal ay nasasangkapan upang epektibong pangasiwaan ang mga ganitong sitwasyon, nang may sensitivity at paggalang sa mga karapatan at dignidad ng mga indibidwal na may mga isyu sa kalusugan ng isip.")</f>
        <v>Oo, may mga legal na probisyon sa Pilipinas na tumutugon sa pangangailangan para sa espesyal na pagsasanay para sa mga opisyal ng pagpapatupad ng batas na nakikitungo sa mga indibidwal na may mga sakit sa isip. Ang mga probisyong ito ay naglalayong tiyakin na ang mga tauhan ng pagpapatupad ng batas ay may kinakailangang kaalaman at kasanayan upang mahawakan ang mga sitwasyong kinasasangkutan ng mga indibidwal na may mga isyu sa kalusugan ng isip sa isang makatao at naaangkop na paraan. Narito ang ilang nauugnay na legal na probisyon:
Mental Health Act (Republic Act No. 11036): Ang batas na ito, na pinagtibay noong 2018, ay kinabibilangan ng mga probisyon para sa pagsasanay ng mga opisyal ng pagpapatupad ng batas, gayundin ng iba pang frontline personnel, sa pagkilala at pagtugon sa mga isyu sa kalusugan ng isip. Ang seksyon 33 ng batas ay partikular na nag-uutos sa Department of the Interior and Local Government (DILG) at Philippine National Police (PNP) na magbigay ng naaangkop na mga programa sa pagsasanay para sa mga tauhan ng pagpapatupad ng batas sa mental health awareness at crisis intervention techniques.
Mga Pamamaraan sa Operasyon ng PNP: Ang Pambansang Pulisya ng Pilipinas, sa pamamagitan ng mga pamamaraan at patnubay sa pagpapatakbo nito, ay maaaring magtatag ng mga protocol at mga kinakailangan sa pagsasanay para sa mga opisyal na nakikitungo sa mga indibidwal na may mga sakit sa isip. Maaaring kabilang sa mga pamamaraang ito ang mga alituntunin sa mga diskarte sa de-escalation, interbensyon sa krisis, at pagsangguni sa mga propesyonal sa kalusugan ng isip.
Propesyonalisasyon ng PNP: Ang mga pagsisikap na gawing propesyonal ang Pambansang Pulisya ng Pilipinas ay maaaring magsama ng mga inisyatiba sa pagsasanay na may kaugnayan sa paghawak ng mga sitwasyon na kinasasangkutan ng mga indibidwal na may mga isyu sa kalusugan ng isip. Ang PNP ay maaaring bumuo ng mga espesyal na module ng pagsasanay o makipagtulungan sa mga propesyonal sa kalusugang pangkaisipan at mga organisasyon upang magbigay ng kaukulang pagsasanay sa mga tauhan nito.
Mga Pakikipagtulungan sa Mga Propesyonal sa Kalusugan ng Pag-iisip: Ang mga ahensyang nagpapatupad ng batas ay maaaring makipagtulungan sa mga propesyonal at organisasyon sa kalusugan ng isip upang bumuo at magpatupad ng mga programa sa pagsasanay na iniayon sa mga partikular na pangangailangan ng mga opisyal na nakikitungo sa mga indibidwal na may mga sakit sa isip. Ang pakikipagtulungang ito ay maaaring may kasamang magkasanib na mga sesyon ng pagsasanay, mga workshop, at mga aktibidad sa pagbuo ng kapasidad.
Mga Internasyonal na Pamantayan at Pinakamahuhusay na Kasanayan: Ang Pilipinas ay maaari ding tumingin sa mga internasyonal na pamantayan at pinakamahusay na kasanayan sa pagsasanay sa mga opisyal ng pagpapatupad ng batas sa mga isyu sa kalusugan ng isip. Maaaring kabilang dito ang pagguhit mula sa mga alituntunin at mga programa sa pagsasanay na binuo ng mga organisasyon tulad ng World Health Organization (WHO) at International Association of Chiefs of Police (IACP).
Sa pangkalahatan, kinikilala ng mga legal na probisyon sa Pilipinas ang kahalagahan ng pagbibigay ng espesyal na pagsasanay para sa mga opisyal ng pagpapatupad ng batas na nakikitungo sa mga indibidwal na may mga sakit sa isip. Ang mga probisyong ito ay naglalayong tiyakin na ang mga opisyal ay nasasangkapan upang epektibong pangasiwaan ang mga ganitong sitwasyon, nang may sensitivity at paggalang sa mga karapatan at dignidad ng mga indibidwal na may mga isyu sa kalusugan ng isip.</v>
      </c>
      <c r="F2527" s="2">
        <f t="shared" si="1"/>
        <v>0</v>
      </c>
      <c r="G2527" s="2"/>
      <c r="H2527" s="2"/>
      <c r="I2527" s="2"/>
      <c r="J2527" s="2"/>
      <c r="K2527" s="2"/>
      <c r="L2527" s="2"/>
      <c r="M2527" s="2"/>
      <c r="N2527" s="2"/>
      <c r="O2527" s="2"/>
      <c r="P2527" s="2"/>
      <c r="Q2527" s="2"/>
      <c r="R2527" s="2"/>
      <c r="S2527" s="2"/>
      <c r="T2527" s="2"/>
      <c r="U2527" s="2"/>
      <c r="V2527" s="2"/>
      <c r="W2527" s="2"/>
      <c r="X2527" s="2"/>
      <c r="Y2527" s="2"/>
      <c r="Z2527" s="2"/>
      <c r="AA2527" s="2"/>
    </row>
    <row r="2528">
      <c r="A2528" s="1" t="s">
        <v>5971</v>
      </c>
      <c r="B2528" s="1" t="s">
        <v>6024</v>
      </c>
      <c r="C2528" s="1" t="s">
        <v>6025</v>
      </c>
      <c r="D2528" s="2" t="str">
        <f>IFERROR(__xludf.DUMMYFUNCTION("GOOGLETRANSLATE(B2528, ""en"", ""TL"")"),"Paano tinutugunan ng batas ang muling pagsasama ng mga indibidwal na may mga sakit na psychiatric sa lipunan pagkatapos pagsilbihan ang kanilang mga sentensiya?")</f>
        <v>Paano tinutugunan ng batas ang muling pagsasama ng mga indibidwal na may mga sakit na psychiatric sa lipunan pagkatapos pagsilbihan ang kanilang mga sentensiya?</v>
      </c>
      <c r="E2528" s="2" t="str">
        <f>IFERROR(__xludf.DUMMYFUNCTION("GOOGLETRANSLATE(C2528, ""en"", ""TL"")"),"Sa Pilipinas, ang muling pagsasama ng mga indibidwal na may mga sakit na psychiatric sa lipunan pagkatapos ng kanilang mga sentensiya ay pangunahing tinutugunan sa pamamagitan ng iba't ibang mga batas at patakaran na may kaugnayan sa kalusugan ng isip, hu"&amp;"stisyang kriminal, at rehabilitasyon. Narito ang ilang mahahalagang punto tungkol sa kung paano tinutugunan ng batas ang isyung ito:
Mental Health Act (Republic Act No. 11036): Ang batas na ito, na pinagtibay noong 2018, ay nagtatadhana para sa pagtataguy"&amp;"od at proteksyon ng mental health ng lahat ng Pilipino. Binibigyang-diin nito ang mga karapatan ng mga taong may mga pangangailangan sa kalusugan ng isip, kabilang ang pag-access sa mga serbisyo sa paggamot at rehabilitasyon. Sa ilalim ng batas na ito, an"&amp;"g mga indibidwal na may mga sakit na psychiatric na nagsilbi sa kanilang mga sentensiya ay dapat magkaroon ng access sa mga serbisyo sa kalusugan ng isip upang suportahan ang kanilang muling pagsasama sa lipunan.
Mga Batas sa Sistema ng Penal: Ang sistema"&amp;" ng penal ng Pilipinas ay kinabibilangan ng mga batas at regulasyon na namamahala sa pagkakulong at rehabilitasyon ng mga indibidwal na hinatulan ng mga krimen, kabilang ang mga may sakit na psychiatric. Habang nagsisilbi sa kanilang mga sentensiya, ang m"&amp;"ga bilanggo na may mga isyu sa kalusugan ng isip ay maaaring makatanggap ng naaangkop na pangangalagang medikal at saykayatriko sa loob ng mga pasilidad ng pagwawasto.
Mga Programa sa Rehabilitasyon: Maaaring magpatupad ang pamahalaan ng mga programa sa r"&amp;"ehabilitasyon na naglalayong mapadali ang muling pagsasama ng mga indibidwal na may mga sakit sa isip sa lipunan pagkatapos nilang makumpleto ang kanilang mga sentensiya. Maaaring kabilang sa mga programang ito ang bokasyonal na pagsasanay, pagpapayo, tul"&amp;"ong sa paglalagay ng trabaho, at mga serbisyo ng suportang nakabatay sa komunidad.
Mga Serbisyong Pangkalusugan ng Pag-iisip na Nakabatay sa Komunidad: Ang pamahalaan, sa pamamagitan ng iba't ibang ahensya at organisasyon, ay maaaring magkaloob ng mga ser"&amp;"bisyo sa kalusugan ng isip na nakabatay sa komunidad upang suportahan ang patuloy na rehabilitasyon at muling pagsasama ng mga indibidwal na may mga sakit sa isip. Maaaring kabilang sa mga serbisyong ito ang pangangalaga sa saykayatriko ng outpatient, sup"&amp;"orta sa psychosocial, at mga programa sa muling pagsasama ng komunidad.
Mga Batas laban sa Diskriminasyon: Ang mga batas tulad ng Magna Carta para sa mga May Kapansanan (Republic Act No. 7277) at Mental Health Act ay kinabibilangan ng mga probisyon na nag"&amp;"lalayong protektahan ang mga karapatan ng mga indibidwal na may mga kapansanan, kabilang ang mga sakit sa isip, laban sa diskriminasyon sa iba't ibang aspeto ng buhay, kabilang ang trabaho, edukasyon, at pag-access sa mga serbisyo.
Sa pangkalahatan, ang d"&amp;"iskarte sa pagtugon sa muling pagsasama ng mga indibidwal na may mga sakit na psychiatric sa lipunan pagkatapos ng kanilang mga sentensiya ay nagsasangkot ng kumbinasyon ng mga serbisyo sa suporta sa kalusugan ng isip, mga programa sa rehabilitasyon, at m"&amp;"ga hakbang laban sa diskriminasyon na nakabalangkas sa mga batas at patakaran ng Pilipinas.")</f>
        <v>Sa Pilipinas, ang muling pagsasama ng mga indibidwal na may mga sakit na psychiatric sa lipunan pagkatapos ng kanilang mga sentensiya ay pangunahing tinutugunan sa pamamagitan ng iba't ibang mga batas at patakaran na may kaugnayan sa kalusugan ng isip, hustisyang kriminal, at rehabilitasyon. Narito ang ilang mahahalagang punto tungkol sa kung paano tinutugunan ng batas ang isyung ito:
Mental Health Act (Republic Act No. 11036): Ang batas na ito, na pinagtibay noong 2018, ay nagtatadhana para sa pagtataguyod at proteksyon ng mental health ng lahat ng Pilipino. Binibigyang-diin nito ang mga karapatan ng mga taong may mga pangangailangan sa kalusugan ng isip, kabilang ang pag-access sa mga serbisyo sa paggamot at rehabilitasyon. Sa ilalim ng batas na ito, ang mga indibidwal na may mga sakit na psychiatric na nagsilbi sa kanilang mga sentensiya ay dapat magkaroon ng access sa mga serbisyo sa kalusugan ng isip upang suportahan ang kanilang muling pagsasama sa lipunan.
Mga Batas sa Sistema ng Penal: Ang sistema ng penal ng Pilipinas ay kinabibilangan ng mga batas at regulasyon na namamahala sa pagkakulong at rehabilitasyon ng mga indibidwal na hinatulan ng mga krimen, kabilang ang mga may sakit na psychiatric. Habang nagsisilbi sa kanilang mga sentensiya, ang mga bilanggo na may mga isyu sa kalusugan ng isip ay maaaring makatanggap ng naaangkop na pangangalagang medikal at saykayatriko sa loob ng mga pasilidad ng pagwawasto.
Mga Programa sa Rehabilitasyon: Maaaring magpatupad ang pamahalaan ng mga programa sa rehabilitasyon na naglalayong mapadali ang muling pagsasama ng mga indibidwal na may mga sakit sa isip sa lipunan pagkatapos nilang makumpleto ang kanilang mga sentensiya. Maaaring kabilang sa mga programang ito ang bokasyonal na pagsasanay, pagpapayo, tulong sa paglalagay ng trabaho, at mga serbisyo ng suportang nakabatay sa komunidad.
Mga Serbisyong Pangkalusugan ng Pag-iisip na Nakabatay sa Komunidad: Ang pamahalaan, sa pamamagitan ng iba't ibang ahensya at organisasyon, ay maaaring magkaloob ng mga serbisyo sa kalusugan ng isip na nakabatay sa komunidad upang suportahan ang patuloy na rehabilitasyon at muling pagsasama ng mga indibidwal na may mga sakit sa isip. Maaaring kabilang sa mga serbisyong ito ang pangangalaga sa saykayatriko ng outpatient, suporta sa psychosocial, at mga programa sa muling pagsasama ng komunidad.
Mga Batas laban sa Diskriminasyon: Ang mga batas tulad ng Magna Carta para sa mga May Kapansanan (Republic Act No. 7277) at Mental Health Act ay kinabibilangan ng mga probisyon na naglalayong protektahan ang mga karapatan ng mga indibidwal na may mga kapansanan, kabilang ang mga sakit sa isip, laban sa diskriminasyon sa iba't ibang aspeto ng buhay, kabilang ang trabaho, edukasyon, at pag-access sa mga serbisyo.
Sa pangkalahatan, ang diskarte sa pagtugon sa muling pagsasama ng mga indibidwal na may mga sakit na psychiatric sa lipunan pagkatapos ng kanilang mga sentensiya ay nagsasangkot ng kumbinasyon ng mga serbisyo sa suporta sa kalusugan ng isip, mga programa sa rehabilitasyon, at mga hakbang laban sa diskriminasyon na nakabalangkas sa mga batas at patakaran ng Pilipinas.</v>
      </c>
      <c r="F2528" s="2">
        <f t="shared" si="1"/>
        <v>0</v>
      </c>
      <c r="G2528" s="2"/>
      <c r="H2528" s="2"/>
      <c r="I2528" s="2"/>
      <c r="J2528" s="2"/>
      <c r="K2528" s="2"/>
      <c r="L2528" s="2"/>
      <c r="M2528" s="2"/>
      <c r="N2528" s="2"/>
      <c r="O2528" s="2"/>
      <c r="P2528" s="2"/>
      <c r="Q2528" s="2"/>
      <c r="R2528" s="2"/>
      <c r="S2528" s="2"/>
      <c r="T2528" s="2"/>
      <c r="U2528" s="2"/>
      <c r="V2528" s="2"/>
      <c r="W2528" s="2"/>
      <c r="X2528" s="2"/>
      <c r="Y2528" s="2"/>
      <c r="Z2528" s="2"/>
      <c r="AA2528" s="2"/>
    </row>
    <row r="2529">
      <c r="A2529" s="1" t="s">
        <v>5971</v>
      </c>
      <c r="B2529" s="1" t="s">
        <v>6026</v>
      </c>
      <c r="C2529" s="1" t="s">
        <v>6027</v>
      </c>
      <c r="D2529" s="2" t="str">
        <f>IFERROR(__xludf.DUMMYFUNCTION("GOOGLETRANSLATE(B2529, ""en"", ""TL"")"),"Anong mga legal na aksyon ang maaaring gawin kung matuklasan na ang psychiatric evaluation ng nasasakdal ay ginawa nang hindi wasto?")</f>
        <v>Anong mga legal na aksyon ang maaaring gawin kung matuklasan na ang psychiatric evaluation ng nasasakdal ay ginawa nang hindi wasto?</v>
      </c>
      <c r="E2529" s="2" t="str">
        <f>IFERROR(__xludf.DUMMYFUNCTION("GOOGLETRANSLATE(C2529, ""en"", ""TL"")"),"Kung matuklasan na ang psychiatric evaluation ng isang nasasakdal ay naisagawa nang hindi wasto sa Pilipinas, maraming mga legal na aksyon ang maaaring gawin upang matugunan ang sitwasyon at maitama ang anumang mga pagkakamali o kakulangan sa proseso ng p"&amp;"agsusuri. Ang mga aksyong ito ay naglalayong itaguyod ang mga karapatan ng nasasakdal, tiyakin ang integridad ng mga legal na paglilitis, at mapadali ang patas at makatarungang mga resulta. Narito ang ilang posibleng legal na aksyon na maaaring gawin:
Hin"&amp;"ahamon ang Mga Natuklasan sa Pagsusuri: Ang nasasakdal o ang kanilang legal na kinatawan ay maaaring hamunin ang mga natuklasan ng pagsusuri sa saykayatriko sa pamamagitan ng pagtataas ng mga pagtutol o paghahain ng mga mosyon sa korte. Maaaring kabilang "&amp;"dito ang pagtatanong sa mga kwalipikasyon o walang kinikilingan ng nagsusuri na propesyonal sa kalusugan ng isip, paghamon sa bisa ng mga pamamaraan ng pagsusuri na ginamit, o pagtatalo sa katumpakan ng ulat ng pagsusuri.
Paghiling ng Muling Pagsusuri: Ku"&amp;"ng may mga alalahanin tungkol sa bisa o walang kinikilingan ng paunang pagsusuri sa saykayatriko, ang nasasakdal ay maaaring humiling ng muling pagsusuri ng isang independyente at kwalipikadong propesyonal sa kalusugan ng isip. Maaaring ibigay ng korte an"&amp;"g kahilingan para sa isang muling pagsusuri upang matiyak na ang katayuan sa kalusugan ng pag-iisip ng nasasakdal ay tumpak na tinasa at upang matugunan ang anumang mga kakulangan o bias sa paunang pagsusuri.
Paghahanap ng Ekspertong Patotoo: Ang nasasakd"&amp;"al ay maaaring humingi ng dalubhasang patotoo mula sa iba pang mga kwalipikadong propesyonal sa kalusugan ng isip upang hamunin o tanggihan ang mga natuklasan ng paunang pagsusuri. Ang patotoo ng eksperto ay maaaring magbigay ng karagdagang mga pananaw sa"&amp;" kalagayan ng kalusugan ng isip ng nasasakdal, mga pangangailangan sa paggamot, at kakayahang humarap sa paglilitis o managot sa kriminal.
Paghahain ng mga Mosyon o Apela: Kung naniniwala ang nasasakdal na ang hindi wastong pagsusuri sa saykayatriko ay na"&amp;"kapipinsala sa kanilang kaso o lumabag sa kanilang mga karapatan, maaari silang maghain ng mga mosyon sa korte upang sugpuin o hindi isama ang mga natuklasan sa pagsusuri mula sa pagsasaalang-alang, humingi ng bagong pagsubok, o iapela ang desisyon ng kor"&amp;"te batay sa mga batayan ng mga iregularidad sa pamamaraan o mga paglabag sa angkop na proseso.
Paghiling ng mga Remedial na Panukala: Ang nasasakdal ay maaaring humiling ng mga remedial na hakbang upang matugunan ang mga epekto ng hindi wastong pagsusuri "&amp;"sa saykayatriko, tulad ng muling pagbubukas ng proseso ng pagsusuri, pagsasagawa ng mga karagdagang pagsusuri, o pagbibigay ng access sa mga alternatibong serbisyo sa kalusugan ng isip o mga opsyon sa paggamot.
Pag-uulat ng Mga Etikal na Paglabag: Kung an"&amp;"g hindi wastong pag-uugali o pagkiling ng nagsusuri na propesyonal sa kalusugan ng isip ay bumubuo ng mga paglabag sa etika, ang nasasakdal o ang kanilang legal na kinatawan ay maaaring mag-ulat ng mga paglabag sa naaangkop na mga katawan ng regulasyon o "&amp;"mga propesyonal na asosasyon para sa imbestigasyon at aksyong pandisiplina.
Paggigiit ng mga Karapatan sa Konstitusyon: Maaaring igiit ng nasasakdal ang kanilang mga karapatan sa konstitusyon sa angkop na proseso, patas na paglilitis, at pag-access sa kar"&amp;"ampatang legal na representasyon sa paghamon sa hindi wastong pagsusuri sa saykayatriko at paghingi ng mga remedyo para sa anumang nagresultang kawalang-katarungan o mga paglabag sa kanilang mga karapatan.
Sa pangkalahatan, ang mga legal na aksyon na gina"&amp;"wa bilang tugon sa isang hindi wastong isinagawang psychiatric evaluation ay naglalayong tugunan ang anumang mga kakulangan o bias sa proseso ng pagsusuri, protektahan ang mga karapatan ng nasasakdal, at tiyakin na ang mga legal na paglilitis ay isinasaga"&amp;"wa nang patas at alinsunod sa batas. Sa pamamagitan ng paghamon sa mga hindi wastong pagsusuri at paghahanap ng mga hakbang para sa remedial, ang mga nasasakdal ay maaaring magtrabaho upang makamit ang patas at makatarungang mga resulta sa kanilang mga ka"&amp;"so.")</f>
        <v>Kung matuklasan na ang psychiatric evaluation ng isang nasasakdal ay naisagawa nang hindi wasto sa Pilipinas, maraming mga legal na aksyon ang maaaring gawin upang matugunan ang sitwasyon at maitama ang anumang mga pagkakamali o kakulangan sa proseso ng pagsusuri. Ang mga aksyong ito ay naglalayong itaguyod ang mga karapatan ng nasasakdal, tiyakin ang integridad ng mga legal na paglilitis, at mapadali ang patas at makatarungang mga resulta. Narito ang ilang posibleng legal na aksyon na maaaring gawin:
Hinahamon ang Mga Natuklasan sa Pagsusuri: Ang nasasakdal o ang kanilang legal na kinatawan ay maaaring hamunin ang mga natuklasan ng pagsusuri sa saykayatriko sa pamamagitan ng pagtataas ng mga pagtutol o paghahain ng mga mosyon sa korte. Maaaring kabilang dito ang pagtatanong sa mga kwalipikasyon o walang kinikilingan ng nagsusuri na propesyonal sa kalusugan ng isip, paghamon sa bisa ng mga pamamaraan ng pagsusuri na ginamit, o pagtatalo sa katumpakan ng ulat ng pagsusuri.
Paghiling ng Muling Pagsusuri: Kung may mga alalahanin tungkol sa bisa o walang kinikilingan ng paunang pagsusuri sa saykayatriko, ang nasasakdal ay maaaring humiling ng muling pagsusuri ng isang independyente at kwalipikadong propesyonal sa kalusugan ng isip. Maaaring ibigay ng korte ang kahilingan para sa isang muling pagsusuri upang matiyak na ang katayuan sa kalusugan ng pag-iisip ng nasasakdal ay tumpak na tinasa at upang matugunan ang anumang mga kakulangan o bias sa paunang pagsusuri.
Paghahanap ng Ekspertong Patotoo: Ang nasasakdal ay maaaring humingi ng dalubhasang patotoo mula sa iba pang mga kwalipikadong propesyonal sa kalusugan ng isip upang hamunin o tanggihan ang mga natuklasan ng paunang pagsusuri. Ang patotoo ng eksperto ay maaaring magbigay ng karagdagang mga pananaw sa kalagayan ng kalusugan ng isip ng nasasakdal, mga pangangailangan sa paggamot, at kakayahang humarap sa paglilitis o managot sa kriminal.
Paghahain ng mga Mosyon o Apela: Kung naniniwala ang nasasakdal na ang hindi wastong pagsusuri sa saykayatriko ay nakapipinsala sa kanilang kaso o lumabag sa kanilang mga karapatan, maaari silang maghain ng mga mosyon sa korte upang sugpuin o hindi isama ang mga natuklasan sa pagsusuri mula sa pagsasaalang-alang, humingi ng bagong pagsubok, o iapela ang desisyon ng korte batay sa mga batayan ng mga iregularidad sa pamamaraan o mga paglabag sa angkop na proseso.
Paghiling ng mga Remedial na Panukala: Ang nasasakdal ay maaaring humiling ng mga remedial na hakbang upang matugunan ang mga epekto ng hindi wastong pagsusuri sa saykayatriko, tulad ng muling pagbubukas ng proseso ng pagsusuri, pagsasagawa ng mga karagdagang pagsusuri, o pagbibigay ng access sa mga alternatibong serbisyo sa kalusugan ng isip o mga opsyon sa paggamot.
Pag-uulat ng Mga Etikal na Paglabag: Kung ang hindi wastong pag-uugali o pagkiling ng nagsusuri na propesyonal sa kalusugan ng isip ay bumubuo ng mga paglabag sa etika, ang nasasakdal o ang kanilang legal na kinatawan ay maaaring mag-ulat ng mga paglabag sa naaangkop na mga katawan ng regulasyon o mga propesyonal na asosasyon para sa imbestigasyon at aksyong pandisiplina.
Paggigiit ng mga Karapatan sa Konstitusyon: Maaaring igiit ng nasasakdal ang kanilang mga karapatan sa konstitusyon sa angkop na proseso, patas na paglilitis, at pag-access sa karampatang legal na representasyon sa paghamon sa hindi wastong pagsusuri sa saykayatriko at paghingi ng mga remedyo para sa anumang nagresultang kawalang-katarungan o mga paglabag sa kanilang mga karapatan.
Sa pangkalahatan, ang mga legal na aksyon na ginawa bilang tugon sa isang hindi wastong isinagawang psychiatric evaluation ay naglalayong tugunan ang anumang mga kakulangan o bias sa proseso ng pagsusuri, protektahan ang mga karapatan ng nasasakdal, at tiyakin na ang mga legal na paglilitis ay isinasagawa nang patas at alinsunod sa batas. Sa pamamagitan ng paghamon sa mga hindi wastong pagsusuri at paghahanap ng mga hakbang para sa remedial, ang mga nasasakdal ay maaaring magtrabaho upang makamit ang patas at makatarungang mga resulta sa kanilang mga kaso.</v>
      </c>
      <c r="F2529" s="2">
        <f t="shared" si="1"/>
        <v>0</v>
      </c>
      <c r="G2529" s="2"/>
      <c r="H2529" s="2"/>
      <c r="I2529" s="2"/>
      <c r="J2529" s="2"/>
      <c r="K2529" s="2"/>
      <c r="L2529" s="2"/>
      <c r="M2529" s="2"/>
      <c r="N2529" s="2"/>
      <c r="O2529" s="2"/>
      <c r="P2529" s="2"/>
      <c r="Q2529" s="2"/>
      <c r="R2529" s="2"/>
      <c r="S2529" s="2"/>
      <c r="T2529" s="2"/>
      <c r="U2529" s="2"/>
      <c r="V2529" s="2"/>
      <c r="W2529" s="2"/>
      <c r="X2529" s="2"/>
      <c r="Y2529" s="2"/>
      <c r="Z2529" s="2"/>
      <c r="AA2529" s="2"/>
    </row>
    <row r="2530">
      <c r="A2530" s="1" t="s">
        <v>5971</v>
      </c>
      <c r="B2530" s="1" t="s">
        <v>6028</v>
      </c>
      <c r="C2530" s="1" t="s">
        <v>6029</v>
      </c>
      <c r="D2530" s="2" t="str">
        <f>IFERROR(__xludf.DUMMYFUNCTION("GOOGLETRANSLATE(B2530, ""en"", ""TL"")"),"Mayroon bang mga legal na probisyon para sa hindi boluntaryong paggagamot ng mga indibidwal na may mga sakit sa isip sa loob ng mga pasilidad ng pagwawasto?")</f>
        <v>Mayroon bang mga legal na probisyon para sa hindi boluntaryong paggagamot ng mga indibidwal na may mga sakit sa isip sa loob ng mga pasilidad ng pagwawasto?</v>
      </c>
      <c r="E2530" s="2" t="str">
        <f>IFERROR(__xludf.DUMMYFUNCTION("GOOGLETRANSLATE(C2530, ""en"", ""TL"")"),"Sa Pilipinas, umiiral ang mga legal na probisyon para sa hindi boluntaryong paggagamot ng mga indibidwal na may mga sakit sa isip sa loob ng mga pasilidad ng pagwawasto, ngunit napapailalim sila sa mahigpit na legal at procedural na mga pananggalang upang"&amp;" protektahan ang mga karapatan at dignidad ng mga indibidwal na kasangkot. Maaaring isaalang-alang ang hindi boluntaryong paggagamot sa mga kaso kung saan ang mga indibidwal na may mga sakit na psychiatric ay nagdudulot ng panganib sa kanilang sarili o sa"&amp;" iba, o kapag hindi sila nakakagawa ng matalinong mga desisyon sa paggamot dahil sa kanilang kalagayan sa kalusugan ng isip. Narito kung paano tinutugunan ng legal na balangkas ang hindi boluntaryong paggagamot sa mga pasilidad ng pagwawasto:
Mental Healt"&amp;"h Act: Ang Mental Health Act of the Philippines (Republic Act No. 11036) ay nagbibigay ng legal na balangkas para sa proteksyon at pagtataguyod ng mga karapatan ng mga indibidwal na may mga kondisyon sa kalusugan ng isip, kabilang ang mga nakakulong o nak"&amp;"akulong. Binibigyang-diin ng batas ang mga prinsipyo ng paggalang sa mga karapatang pantao, walang diskriminasyon, at ang pagbibigay ng naaangkop na pangangalaga at paggamot sa kalusugan ng isip.
Informed Consent: Kinikilala ng Mental Health Act ang karap"&amp;"atan ng mga indibidwal na may kondisyon sa kalusugan ng isip na gumawa ng matalinong mga desisyon tungkol sa kanilang paggamot, kabilang ang karapatang tumanggi sa gamot. Ang hindi boluntaryong gamot ay karaniwang itinuturing na isang sukatan ng huling pa"&amp;"raan at napapailalim sa mahigpit na legal at pamamaraang mga kinakailangan, kabilang ang pagkuha ng may-kaalamang pahintulot mula sa indibidwal o, kung wala silang kakayahang pumayag, mula sa kanilang legal na tagapag-alaga o kinatawan.
Pagsusuri ng Hudis"&amp;"yal: Sa mga kaso kung saan ang mga indibidwal na may mga sakit sa isip ay tumatanggi sa gamot at ang kanilang pagtanggi ay nagdudulot ng panganib sa kanilang sariling kalusugan o kaligtasan, o sa kaligtasan ng iba, ang mga awtoridad sa pagwawasto ay maaar"&amp;"ing humingi ng hudisyal na awtorisasyon para sa hindi boluntaryong paggagamot. Sinusuri ng hukuman ang ebidensya at tinutukoy kung ang hindi boluntaryong paggagamot ay makatwiran batay sa mga pangangailangan sa paggamot ng indibidwal, ang mga panganib na "&amp;"dulot ng kanilang pagtanggi, at ang pinakamababang paghihigpit na paraan na kinakailangan upang matugunan ang mga panganib na iyon.
Pinakamahusay na Pamantayan sa Interes: Ang hukuman ay naglalapat ng pinakamainam na pamantayan ng interes sa pagtukoy kung"&amp;" ang hindi boluntaryong paggagamot ay kinakailangan, na tinitimbang ang mga potensyal na benepisyo at mga panganib ng paggamot laban sa awtonomiya at mga karapatan ng indibidwal. Isinasaalang-alang ng desisyon ang kapasidad ng pag-iisip ng indibidwal, kas"&amp;"aysayan ng paggamot, mga kagustuhan, at ang pagkakaroon ng mga alternatibong interbensyon.
Independiyenteng Pagsusuri: Bago pahintulutan ang hindi boluntaryong paggagamot, maaaring mangailangan ang hukuman ng isang independiyenteng pagsusuri sa saykayatri"&amp;"ko upang masuri ang kalagayan ng kalusugan ng isip ng indibidwal, mga pangangailangan sa paggamot, at kapasidad na gumawa ng matalinong mga desisyon tungkol sa kanilang pangangalaga. Ang pagsusuri ay nakakatulong na ipaalam ang desisyon ng korte at tiniti"&amp;"yak na ang hindi boluntaryong gamot ay batay sa maayos na medikal at legal na mga pagsasaalang-alang.
Pana-panahong Pagsusuri: Ang mga order na hindi boluntaryong gamot ay napapailalim sa pana-panahong pagsusuri upang masuri ang kanilang patuloy na pangan"&amp;"gailangan at pagiging epektibo. Maaaring suriin ng hukuman ang pag-unlad ng paggamot ng indibidwal, tugon sa gamot, at anumang pagbabago sa kanilang katayuan sa kalusugan ng isip upang matukoy kung ang patuloy na hindi boluntaryong paggagamot ay makatwira"&amp;"n.
Mga Procedural Safeguards: Ang mga legal at procedural na pag-iingat ay inilagay upang protektahan ang mga karapatan ng mga indibidwal na sumailalim sa hindi boluntaryong gamot, kabilang ang karapatan sa legal na representasyon, ang karapatang hamunin "&amp;"ang desisyon sa pamamagitan ng legal na paraan, at ang karapatang iapela ang desisyon ng korte.
Sa pangkalahatan, habang pinahihintulutan ang hindi boluntaryong paggagamot ng mga indibidwal na may mga sakit sa isip sa loob ng mga correctional facility sa "&amp;"ilalim ng ilang partikular na sitwasyon, ito ay pinamamahalaan ng mahigpit na legal at procedural na mga pag-iingat upang matiyak na ito ay ginagamit bilang isang sukatan ng huling paraan at sa pinakamahusay na interes ng indibidwal. Sa pamamagitan ng pag"&amp;"tataguyod ng mga pananggalang na ito, hinahangad ng batas na balansehin ang pangangailangan para sa epektibong paggamot na may paggalang sa awtonomiya at dignidad ng mga indibidwal na may mga kondisyon sa kalusugan ng isip.")</f>
        <v>Sa Pilipinas, umiiral ang mga legal na probisyon para sa hindi boluntaryong paggagamot ng mga indibidwal na may mga sakit sa isip sa loob ng mga pasilidad ng pagwawasto, ngunit napapailalim sila sa mahigpit na legal at procedural na mga pananggalang upang protektahan ang mga karapatan at dignidad ng mga indibidwal na kasangkot. Maaaring isaalang-alang ang hindi boluntaryong paggagamot sa mga kaso kung saan ang mga indibidwal na may mga sakit na psychiatric ay nagdudulot ng panganib sa kanilang sarili o sa iba, o kapag hindi sila nakakagawa ng matalinong mga desisyon sa paggamot dahil sa kanilang kalagayan sa kalusugan ng isip. Narito kung paano tinutugunan ng legal na balangkas ang hindi boluntaryong paggagamot sa mga pasilidad ng pagwawasto:
Mental Health Act: Ang Mental Health Act of the Philippines (Republic Act No. 11036) ay nagbibigay ng legal na balangkas para sa proteksyon at pagtataguyod ng mga karapatan ng mga indibidwal na may mga kondisyon sa kalusugan ng isip, kabilang ang mga nakakulong o nakakulong. Binibigyang-diin ng batas ang mga prinsipyo ng paggalang sa mga karapatang pantao, walang diskriminasyon, at ang pagbibigay ng naaangkop na pangangalaga at paggamot sa kalusugan ng isip.
Informed Consent: Kinikilala ng Mental Health Act ang karapatan ng mga indibidwal na may kondisyon sa kalusugan ng isip na gumawa ng matalinong mga desisyon tungkol sa kanilang paggamot, kabilang ang karapatang tumanggi sa gamot. Ang hindi boluntaryong gamot ay karaniwang itinuturing na isang sukatan ng huling paraan at napapailalim sa mahigpit na legal at pamamaraang mga kinakailangan, kabilang ang pagkuha ng may-kaalamang pahintulot mula sa indibidwal o, kung wala silang kakayahang pumayag, mula sa kanilang legal na tagapag-alaga o kinatawan.
Pagsusuri ng Hudisyal: Sa mga kaso kung saan ang mga indibidwal na may mga sakit sa isip ay tumatanggi sa gamot at ang kanilang pagtanggi ay nagdudulot ng panganib sa kanilang sariling kalusugan o kaligtasan, o sa kaligtasan ng iba, ang mga awtoridad sa pagwawasto ay maaaring humingi ng hudisyal na awtorisasyon para sa hindi boluntaryong paggagamot. Sinusuri ng hukuman ang ebidensya at tinutukoy kung ang hindi boluntaryong paggagamot ay makatwiran batay sa mga pangangailangan sa paggamot ng indibidwal, ang mga panganib na dulot ng kanilang pagtanggi, at ang pinakamababang paghihigpit na paraan na kinakailangan upang matugunan ang mga panganib na iyon.
Pinakamahusay na Pamantayan sa Interes: Ang hukuman ay naglalapat ng pinakamainam na pamantayan ng interes sa pagtukoy kung ang hindi boluntaryong paggagamot ay kinakailangan, na tinitimbang ang mga potensyal na benepisyo at mga panganib ng paggamot laban sa awtonomiya at mga karapatan ng indibidwal. Isinasaalang-alang ng desisyon ang kapasidad ng pag-iisip ng indibidwal, kasaysayan ng paggamot, mga kagustuhan, at ang pagkakaroon ng mga alternatibong interbensyon.
Independiyenteng Pagsusuri: Bago pahintulutan ang hindi boluntaryong paggagamot, maaaring mangailangan ang hukuman ng isang independiyenteng pagsusuri sa saykayatriko upang masuri ang kalagayan ng kalusugan ng isip ng indibidwal, mga pangangailangan sa paggamot, at kapasidad na gumawa ng matalinong mga desisyon tungkol sa kanilang pangangalaga. Ang pagsusuri ay nakakatulong na ipaalam ang desisyon ng korte at tinitiyak na ang hindi boluntaryong gamot ay batay sa maayos na medikal at legal na mga pagsasaalang-alang.
Pana-panahong Pagsusuri: Ang mga order na hindi boluntaryong gamot ay napapailalim sa pana-panahong pagsusuri upang masuri ang kanilang patuloy na pangangailangan at pagiging epektibo. Maaaring suriin ng hukuman ang pag-unlad ng paggamot ng indibidwal, tugon sa gamot, at anumang pagbabago sa kanilang katayuan sa kalusugan ng isip upang matukoy kung ang patuloy na hindi boluntaryong paggagamot ay makatwiran.
Mga Procedural Safeguards: Ang mga legal at procedural na pag-iingat ay inilagay upang protektahan ang mga karapatan ng mga indibidwal na sumailalim sa hindi boluntaryong gamot, kabilang ang karapatan sa legal na representasyon, ang karapatang hamunin ang desisyon sa pamamagitan ng legal na paraan, at ang karapatang iapela ang desisyon ng korte.
Sa pangkalahatan, habang pinahihintulutan ang hindi boluntaryong paggagamot ng mga indibidwal na may mga sakit sa isip sa loob ng mga correctional facility sa ilalim ng ilang partikular na sitwasyon, ito ay pinamamahalaan ng mahigpit na legal at procedural na mga pag-iingat upang matiyak na ito ay ginagamit bilang isang sukatan ng huling paraan at sa pinakamahusay na interes ng indibidwal. Sa pamamagitan ng pagtataguyod ng mga pananggalang na ito, hinahangad ng batas na balansehin ang pangangailangan para sa epektibong paggamot na may paggalang sa awtonomiya at dignidad ng mga indibidwal na may mga kondisyon sa kalusugan ng isip.</v>
      </c>
      <c r="F2530" s="2">
        <f t="shared" si="1"/>
        <v>0</v>
      </c>
      <c r="G2530" s="2"/>
      <c r="H2530" s="2"/>
      <c r="I2530" s="2"/>
      <c r="J2530" s="2"/>
      <c r="K2530" s="2"/>
      <c r="L2530" s="2"/>
      <c r="M2530" s="2"/>
      <c r="N2530" s="2"/>
      <c r="O2530" s="2"/>
      <c r="P2530" s="2"/>
      <c r="Q2530" s="2"/>
      <c r="R2530" s="2"/>
      <c r="S2530" s="2"/>
      <c r="T2530" s="2"/>
      <c r="U2530" s="2"/>
      <c r="V2530" s="2"/>
      <c r="W2530" s="2"/>
      <c r="X2530" s="2"/>
      <c r="Y2530" s="2"/>
      <c r="Z2530" s="2"/>
      <c r="AA2530" s="2"/>
    </row>
    <row r="2531">
      <c r="A2531" s="1" t="s">
        <v>5971</v>
      </c>
      <c r="B2531" s="1" t="s">
        <v>6030</v>
      </c>
      <c r="C2531" s="1" t="s">
        <v>6031</v>
      </c>
      <c r="D2531" s="2" t="str">
        <f>IFERROR(__xludf.DUMMYFUNCTION("GOOGLETRANSLATE(B2531, ""en"", ""TL"")"),"Paano inilalapat ang prinsipyo ng proporsyonalidad sa pagsentensiya sa mga indibidwal na may mga sakit na saykayatriko?")</f>
        <v>Paano inilalapat ang prinsipyo ng proporsyonalidad sa pagsentensiya sa mga indibidwal na may mga sakit na saykayatriko?</v>
      </c>
      <c r="E2531" s="2" t="str">
        <f>IFERROR(__xludf.DUMMYFUNCTION("GOOGLETRANSLATE(C2531, ""en"", ""TL"")"),"Sa Pilipinas, ang prinsipyo ng proporsyonalidad sa pagsentensiya sa mga indibidwal na may mga sakit na saykayatriko ay inilalapat upang matiyak na ang kalubhaan ng parusa na ipinataw ay naaayon sa bigat ng pagkakasala na ginawa at ang kasalanan ng nagkasa"&amp;"la, na isinasaalang-alang ang kanilang kalagayan sa kalusugan ng isip. Ang prinsipyong ito ay nakapaloob sa mga legal na balangkas at mga kasanayang panghukuman upang itaguyod ang pagiging patas, katarungan, at rehabilitasyon sa paghatol. Narito kung paan"&amp;"o inilalapat ang prinsipyo ng proporsyonalidad sa pagsentensiya sa mga indibidwal na may mga sakit na psychiatric:
Pagsasaalang-alang sa Mga Salik na Nakakabawas: Isinasaalang-alang ng mga korte ang mga salik na nagpapagaan, kabilang ang kondisyon ng kalu"&amp;"sugan ng isip ng nasasakdal, bilang bahagi ng proseso ng paghatol. Ang mga salik na nagpapagaan ay mga pangyayari na maaaring bigyang-katwiran ang pagbawas sa kalubhaan ng ipinataw na sentensiya, tulad ng pagbaba ng kapasidad ng pag-iisip, kapansanan sa p"&amp;"aghuhusga, o pagkakaroon ng sakit sa isip. Isinasaalang-alang ng mga hukom ang epekto ng psychiatric na sakit ng nasasakdal sa kanilang kasalanan at kakayahang kontrolin ang kanilang pag-uugali kapag nagpapasya ng angkop na pangungusap.
Indibidwal na Pags"&amp;"entensiya: Ang paghatol para sa mga indibidwal na may mga sakit sa isip ay kadalasang iniangkop sa kanilang mga indibidwal na kalagayan, kabilang ang kanilang kasaysayan sa kalusugan ng isip, mga pangangailangan sa paggamot, at panganib ng recidivism. Maa"&amp;"aring isaalang-alang ng mga hukom ang pagtatasa sa kalusugan ng isip ng nasasakdal, mga rekomendasyon sa paggamot, at mga sistema ng suporta sa paggawa ng isang pangungusap na tumutugon sa kanilang mga pangangailangan sa rehabilitasyon habang tinitiyak an"&amp;"g kaligtasan ng publiko.
Mga Alternatibo sa Pagkakulong: Ang prinsipyo ng proporsyonalidad ay maaaring humantong sa mga korte na isaalang-alang ang mga alternatibo sa pagkakulong para sa mga indibidwal na may mga sakit sa isip, lalo na para sa mga hindi m"&amp;"arahas na pagkakasala o mga pagkakasala na nagmumula sa hindi ginagamot na mga kondisyon sa kalusugan ng isip. Maaaring kabilang sa mga alternatibong pagpipilian sa pagsentensiya ang mga programang diversion, paggamot sa kalusugan ng isip, probasyon na ma"&amp;"y mga kondisyon sa paggamot, serbisyo sa komunidad, o mga programa sa pagpapanumbalik ng hustisya.
Pagpapahalaga sa Paggamot at Rehabilitasyon: Ang pagsentensiya para sa mga indibidwal na may mga sakit sa isip ay kadalasang inuuna ang paggamot at rehabili"&amp;"tasyon kaysa sa mga hakbang sa pagpaparusa. Maaaring utusan ng mga korte ang mga nasasakdal na sumailalim sa paggamot sa kalusugan ng isip, pagpapayo, pamamahala ng gamot, o iba pang mga interbensyon na naglalayong tugunan ang kanilang mga pangangailangan"&amp;" sa kalusugan ng isip at bawasan ang panganib ng muling pagkakasala. Ang mga programa sa rehabilitasyon ay idinisenyo upang tulungan ang mga indibidwal na matugunan ang mga pinagbabatayan na salik na nag-aambag sa kanilang kriminal na pag-uugali at itaguy"&amp;"od ang kanilang matagumpay na muling pagsasama sa lipunan.
Judicial Discretion: Ang mga hukom ay may paghuhusga sa pagsentensiya sa mga indibidwal na may mga sakit na psychiatric, na nagpapahintulot sa kanila na isaalang-alang ang lahat ng nauugnay na mga"&amp;" kadahilanan at mga pangyayari sa pagtukoy ng naaangkop na pangungusap. Ang pagpapasya ng hudisyal ay nagbibigay-daan sa mga hukom na timbangin ang mga nakikipagkumpitensyang interes ng parusa, pagpigil, rehabilitasyon, at kaligtasan ng publiko sa liwanag"&amp;" ng kalagayan ng kalusugan ng isip ng nasasakdal at potensyal na rehabilitasyon.
Panaka-nakang Pagsusuri at Pagsasaayos: Ang mga pangungusap para sa mga indibidwal na may mga sakit sa isip ay maaaring sumailalim sa pana-panahong pagsusuri at pagsasaayos b"&amp;"atay sa kanilang pag-unlad sa paggamot, pagsunod sa mga utos ng hukuman, at mga resulta ng rehabilitasyon. Maaaring baguhin o wakasan ng mga korte ang mga sentensiya, magpataw ng mga karagdagang kundisyon, o mag-utos ng karagdagang paggamot batay sa pagba"&amp;"bago ng mga pangyayari at pangangailangan ng rehabilitasyon ng indibidwal.
Sa pangkalahatan, ang prinsipyo ng proporsyonalidad sa pagsentensiya sa mga indibidwal na may mga sakit sa isip ay naglalayong balansehin ang mga layunin ng parusa, rehabilitasyon,"&amp;" at kaligtasan ng publiko habang isinasaalang-alang ang mga natatanging kalagayan at mga pangangailangan sa paggamot ng mga indibidwal na may mga kondisyon sa kalusugan ng isip. Sa pamamagitan ng paglalapat ng prinsipyong ito, nilalayon ng mga hukuman na "&amp;"makamit ang patas, makatarungan, at epektibong mga resulta na nagtataguyod ng rehabilitasyon at kagalingan ng mga indibidwal na may mga sakit sa isip na kasangkot sa sistema ng hustisyang pangkrimen.")</f>
        <v>Sa Pilipinas, ang prinsipyo ng proporsyonalidad sa pagsentensiya sa mga indibidwal na may mga sakit na saykayatriko ay inilalapat upang matiyak na ang kalubhaan ng parusa na ipinataw ay naaayon sa bigat ng pagkakasala na ginawa at ang kasalanan ng nagkasala, na isinasaalang-alang ang kanilang kalagayan sa kalusugan ng isip. Ang prinsipyong ito ay nakapaloob sa mga legal na balangkas at mga kasanayang panghukuman upang itaguyod ang pagiging patas, katarungan, at rehabilitasyon sa paghatol. Narito kung paano inilalapat ang prinsipyo ng proporsyonalidad sa pagsentensiya sa mga indibidwal na may mga sakit na psychiatric:
Pagsasaalang-alang sa Mga Salik na Nakakabawas: Isinasaalang-alang ng mga korte ang mga salik na nagpapagaan, kabilang ang kondisyon ng kalusugan ng isip ng nasasakdal, bilang bahagi ng proseso ng paghatol. Ang mga salik na nagpapagaan ay mga pangyayari na maaaring bigyang-katwiran ang pagbawas sa kalubhaan ng ipinataw na sentensiya, tulad ng pagbaba ng kapasidad ng pag-iisip, kapansanan sa paghuhusga, o pagkakaroon ng sakit sa isip. Isinasaalang-alang ng mga hukom ang epekto ng psychiatric na sakit ng nasasakdal sa kanilang kasalanan at kakayahang kontrolin ang kanilang pag-uugali kapag nagpapasya ng angkop na pangungusap.
Indibidwal na Pagsentensiya: Ang paghatol para sa mga indibidwal na may mga sakit sa isip ay kadalasang iniangkop sa kanilang mga indibidwal na kalagayan, kabilang ang kanilang kasaysayan sa kalusugan ng isip, mga pangangailangan sa paggamot, at panganib ng recidivism. Maaaring isaalang-alang ng mga hukom ang pagtatasa sa kalusugan ng isip ng nasasakdal, mga rekomendasyon sa paggamot, at mga sistema ng suporta sa paggawa ng isang pangungusap na tumutugon sa kanilang mga pangangailangan sa rehabilitasyon habang tinitiyak ang kaligtasan ng publiko.
Mga Alternatibo sa Pagkakulong: Ang prinsipyo ng proporsyonalidad ay maaaring humantong sa mga korte na isaalang-alang ang mga alternatibo sa pagkakulong para sa mga indibidwal na may mga sakit sa isip, lalo na para sa mga hindi marahas na pagkakasala o mga pagkakasala na nagmumula sa hindi ginagamot na mga kondisyon sa kalusugan ng isip. Maaaring kabilang sa mga alternatibong pagpipilian sa pagsentensiya ang mga programang diversion, paggamot sa kalusugan ng isip, probasyon na may mga kondisyon sa paggamot, serbisyo sa komunidad, o mga programa sa pagpapanumbalik ng hustisya.
Pagpapahalaga sa Paggamot at Rehabilitasyon: Ang pagsentensiya para sa mga indibidwal na may mga sakit sa isip ay kadalasang inuuna ang paggamot at rehabilitasyon kaysa sa mga hakbang sa pagpaparusa. Maaaring utusan ng mga korte ang mga nasasakdal na sumailalim sa paggamot sa kalusugan ng isip, pagpapayo, pamamahala ng gamot, o iba pang mga interbensyon na naglalayong tugunan ang kanilang mga pangangailangan sa kalusugan ng isip at bawasan ang panganib ng muling pagkakasala. Ang mga programa sa rehabilitasyon ay idinisenyo upang tulungan ang mga indibidwal na matugunan ang mga pinagbabatayan na salik na nag-aambag sa kanilang kriminal na pag-uugali at itaguyod ang kanilang matagumpay na muling pagsasama sa lipunan.
Judicial Discretion: Ang mga hukom ay may paghuhusga sa pagsentensiya sa mga indibidwal na may mga sakit na psychiatric, na nagpapahintulot sa kanila na isaalang-alang ang lahat ng nauugnay na mga kadahilanan at mga pangyayari sa pagtukoy ng naaangkop na pangungusap. Ang pagpapasya ng hudisyal ay nagbibigay-daan sa mga hukom na timbangin ang mga nakikipagkumpitensyang interes ng parusa, pagpigil, rehabilitasyon, at kaligtasan ng publiko sa liwanag ng kalagayan ng kalusugan ng isip ng nasasakdal at potensyal na rehabilitasyon.
Panaka-nakang Pagsusuri at Pagsasaayos: Ang mga pangungusap para sa mga indibidwal na may mga sakit sa isip ay maaaring sumailalim sa pana-panahong pagsusuri at pagsasaayos batay sa kanilang pag-unlad sa paggamot, pagsunod sa mga utos ng hukuman, at mga resulta ng rehabilitasyon. Maaaring baguhin o wakasan ng mga korte ang mga sentensiya, magpataw ng mga karagdagang kundisyon, o mag-utos ng karagdagang paggamot batay sa pagbabago ng mga pangyayari at pangangailangan ng rehabilitasyon ng indibidwal.
Sa pangkalahatan, ang prinsipyo ng proporsyonalidad sa pagsentensiya sa mga indibidwal na may mga sakit sa isip ay naglalayong balansehin ang mga layunin ng parusa, rehabilitasyon, at kaligtasan ng publiko habang isinasaalang-alang ang mga natatanging kalagayan at mga pangangailangan sa paggamot ng mga indibidwal na may mga kondisyon sa kalusugan ng isip. Sa pamamagitan ng paglalapat ng prinsipyong ito, nilalayon ng mga hukuman na makamit ang patas, makatarungan, at epektibong mga resulta na nagtataguyod ng rehabilitasyon at kagalingan ng mga indibidwal na may mga sakit sa isip na kasangkot sa sistema ng hustisyang pangkrimen.</v>
      </c>
      <c r="F2531" s="2">
        <f t="shared" si="1"/>
        <v>0</v>
      </c>
      <c r="G2531" s="2"/>
      <c r="H2531" s="2"/>
      <c r="I2531" s="2"/>
      <c r="J2531" s="2"/>
      <c r="K2531" s="2"/>
      <c r="L2531" s="2"/>
      <c r="M2531" s="2"/>
      <c r="N2531" s="2"/>
      <c r="O2531" s="2"/>
      <c r="P2531" s="2"/>
      <c r="Q2531" s="2"/>
      <c r="R2531" s="2"/>
      <c r="S2531" s="2"/>
      <c r="T2531" s="2"/>
      <c r="U2531" s="2"/>
      <c r="V2531" s="2"/>
      <c r="W2531" s="2"/>
      <c r="X2531" s="2"/>
      <c r="Y2531" s="2"/>
      <c r="Z2531" s="2"/>
      <c r="AA2531" s="2"/>
    </row>
    <row r="2532">
      <c r="A2532" s="1" t="s">
        <v>5971</v>
      </c>
      <c r="B2532" s="1" t="s">
        <v>6032</v>
      </c>
      <c r="C2532" s="1" t="s">
        <v>6033</v>
      </c>
      <c r="D2532" s="2" t="str">
        <f>IFERROR(__xludf.DUMMYFUNCTION("GOOGLETRANSLATE(B2532, ""en"", ""TL"")"),"Paano tinutugunan ng batas ng Pilipinas ang kakayahan ng mga indibidwal na may mga sakit sa isip na pumasok sa mga kasunduan sa plea?")</f>
        <v>Paano tinutugunan ng batas ng Pilipinas ang kakayahan ng mga indibidwal na may mga sakit sa isip na pumasok sa mga kasunduan sa plea?</v>
      </c>
      <c r="E2532" s="2" t="str">
        <f>IFERROR(__xludf.DUMMYFUNCTION("GOOGLETRANSLATE(C2532, ""en"", ""TL"")"),"Sa Pilipinas, ang kakayahan ng mga indibidwal na may mga sakit na psychiatric na pumasok sa mga kasunduan sa plea ay tinutugunan sa pamamagitan ng mga legal na prinsipyo at mga procedural safeguard na naglalayong tiyakin na nauunawaan ng mga nasasakdal an"&amp;"g kalikasan at mga kahihinatnan ng kanilang mga aksyon at makakagawa ng matalinong mga desisyon. Ang kakayahang pumasok sa isang kasunduan sa plea ay kinabibilangan ng kakayahan ng nasasakdal na maunawaan ang mga paratang laban sa kanila, ang mga kahihina"&amp;"tnan ng pag-apela ng guilty o walang paligsahan, at ang mga karapatan na kanilang isinusuko sa pamamagitan ng pagpasok sa kasunduan. Narito kung paano tinutugunan ng batas ng Pilipinas ang isyung ito:
Pagsusuri sa Kakayahan: Kung may mga alalahanin tungko"&amp;"l sa kakayahan ng isang nasasakdal na pumasok sa isang kasunduan sa plea dahil sa kanilang sakit sa isip, maaaring mag-utos ang hukuman ng pagsusuri sa kakayahan ng mga kwalipikadong propesyonal sa kalusugan ng isip. Tinatasa ng pagsusuri ang kapasidad ng"&amp;" pag-iisip ng nasasakdal na maunawaan ang mga legal na paglilitis, lumahok sa kanilang pagtatanggol, at gumawa ng mga desisyon tungkol sa mga kasunduan sa plea.
Legal na Representasyon: Ang mga nasasakdal na may mga sakit na psychiatric ay may karapatan s"&amp;"a legal na representasyon sa kabuuan ng mga paglilitis sa kriminal, kabilang ang panahon ng negosasyon sa plea. Ang abogado ng depensa ay gumaganap ng mahalagang papel sa pagpapayo sa nasasakdal sa kanilang mga legal na karapatan, pagpapaliwanag sa mga im"&amp;"plikasyon ng mga kasunduan sa plea, at pagtiyak na ang mga interes ng nasasakdal ay protektado.
May Kaalaman na Paggawa ng Desisyon: Bago tumanggap ng isang kasunduan sa plea, dapat tiyakin ng korte na nauunawaan ng nasasakdal ang mga tuntunin ng kasundua"&amp;"n, ang mga kahihinatnan ng pag-apela ng guilty o walang paligsahan, at ang mga karapatan na kanilang isinusuko sa pamamagitan ng pagpasok sa kasunduan. Ang hukuman ay maaaring makipag-ugnayan sa nasasakdal upang tiyakin ang kanilang pag-unawa at pagpayag "&amp;"na pumasok sa kasunduan ng plea nang kusang-loob at sinasadya.
Pagrepaso sa mga Natuklasan sa Kakayahan: Kung ang isang pagsusuri sa kakayahan ay nagdulot ng mga pagdududa tungkol sa kakayahan ng nasasakdal na pumasok sa isang kasunduan sa plea, ang hukum"&amp;"an ay maaaring magsagawa ng isang pagdinig sa kakayahan upang matukoy ang kakayahan ng nasasakdal. Isinasaalang-alang ng korte ang ebidensya, kabilang ang testimonya ng eksperto at mga pagsusuri sa saykayatriko, sa paggawa nito ng pagpapasiya.
Proteksyon "&amp;"ng mga Karapatan: Ipinagbabawal ng batas ng Pilipinas ang pamimilit o hindi nararapat na impluwensya ng mga nasasakdal sa pagpasok sa mga kasunduan sa plea. Ang mga nasasakdal ay dapat pumasok sa mga kasunduan ng plea nang kusang-loob at walang pamimilit,"&amp;" pananakot, o hindi wastong panghihikayat. Tinitiyak ng hukuman na ang mga nasasakdal ay ganap na nababatid sa kanilang mga karapatan at may pagkakataong kumonsulta sa legal na tagapayo bago gumawa ng mga desisyon tungkol sa mga kasunduan sa plea.
Judicia"&amp;"l Oversight: Pinananatili ng korte ang pangangasiwa sa mga kasunduan sa plea upang matiyak na ang mga ito ay patas, naaayon sa batas, at para sa interes ng hustisya. Ang korte ay may awtoridad na tanggihan ang mga kasunduan sa plea na hindi boluntaryong p"&amp;"inasok o hindi sinusuportahan ng sapat na ebidensya. Maaari ding bawiin ng hukuman ang pagtanggap sa isang kasunduan sa plea kung matukoy nito na nakompromiso ang kakayahan ng nasasakdal.
Sa pangkalahatan, ang batas ng Pilipinas ay naglalayong protektahan"&amp;" ang kakayahan ng mga indibidwal na may mga sakit na psychiatric na pumasok sa mga kasunduan sa plea sa pamamagitan ng pagtiyak na naiintindihan nila ang mga legal na paglilitis, kinakatawan ng legal na tagapayo, gumawa ng matalinong mga desisyon, at hind"&amp;"i napapailalim sa pamimilit o hindi nararapat na impluwensya. Sa pamamagitan ng pagtataguyod ng mga prinsipyong ito, nilalayon ng batas na pangalagaan ang mga karapatan ng mga nasasakdal at itaguyod ang patas at makatarungang mga resulta sa mga kasong kri"&amp;"minal na kinasasangkutan ng mga indibidwal na may mga sakit sa isip.")</f>
        <v>Sa Pilipinas, ang kakayahan ng mga indibidwal na may mga sakit na psychiatric na pumasok sa mga kasunduan sa plea ay tinutugunan sa pamamagitan ng mga legal na prinsipyo at mga procedural safeguard na naglalayong tiyakin na nauunawaan ng mga nasasakdal ang kalikasan at mga kahihinatnan ng kanilang mga aksyon at makakagawa ng matalinong mga desisyon. Ang kakayahang pumasok sa isang kasunduan sa plea ay kinabibilangan ng kakayahan ng nasasakdal na maunawaan ang mga paratang laban sa kanila, ang mga kahihinatnan ng pag-apela ng guilty o walang paligsahan, at ang mga karapatan na kanilang isinusuko sa pamamagitan ng pagpasok sa kasunduan. Narito kung paano tinutugunan ng batas ng Pilipinas ang isyung ito:
Pagsusuri sa Kakayahan: Kung may mga alalahanin tungkol sa kakayahan ng isang nasasakdal na pumasok sa isang kasunduan sa plea dahil sa kanilang sakit sa isip, maaaring mag-utos ang hukuman ng pagsusuri sa kakayahan ng mga kwalipikadong propesyonal sa kalusugan ng isip. Tinatasa ng pagsusuri ang kapasidad ng pag-iisip ng nasasakdal na maunawaan ang mga legal na paglilitis, lumahok sa kanilang pagtatanggol, at gumawa ng mga desisyon tungkol sa mga kasunduan sa plea.
Legal na Representasyon: Ang mga nasasakdal na may mga sakit na psychiatric ay may karapatan sa legal na representasyon sa kabuuan ng mga paglilitis sa kriminal, kabilang ang panahon ng negosasyon sa plea. Ang abogado ng depensa ay gumaganap ng mahalagang papel sa pagpapayo sa nasasakdal sa kanilang mga legal na karapatan, pagpapaliwanag sa mga implikasyon ng mga kasunduan sa plea, at pagtiyak na ang mga interes ng nasasakdal ay protektado.
May Kaalaman na Paggawa ng Desisyon: Bago tumanggap ng isang kasunduan sa plea, dapat tiyakin ng korte na nauunawaan ng nasasakdal ang mga tuntunin ng kasunduan, ang mga kahihinatnan ng pag-apela ng guilty o walang paligsahan, at ang mga karapatan na kanilang isinusuko sa pamamagitan ng pagpasok sa kasunduan. Ang hukuman ay maaaring makipag-ugnayan sa nasasakdal upang tiyakin ang kanilang pag-unawa at pagpayag na pumasok sa kasunduan ng plea nang kusang-loob at sinasadya.
Pagrepaso sa mga Natuklasan sa Kakayahan: Kung ang isang pagsusuri sa kakayahan ay nagdulot ng mga pagdududa tungkol sa kakayahan ng nasasakdal na pumasok sa isang kasunduan sa plea, ang hukuman ay maaaring magsagawa ng isang pagdinig sa kakayahan upang matukoy ang kakayahan ng nasasakdal. Isinasaalang-alang ng korte ang ebidensya, kabilang ang testimonya ng eksperto at mga pagsusuri sa saykayatriko, sa paggawa nito ng pagpapasiya.
Proteksyon ng mga Karapatan: Ipinagbabawal ng batas ng Pilipinas ang pamimilit o hindi nararapat na impluwensya ng mga nasasakdal sa pagpasok sa mga kasunduan sa plea. Ang mga nasasakdal ay dapat pumasok sa mga kasunduan ng plea nang kusang-loob at walang pamimilit, pananakot, o hindi wastong panghihikayat. Tinitiyak ng hukuman na ang mga nasasakdal ay ganap na nababatid sa kanilang mga karapatan at may pagkakataong kumonsulta sa legal na tagapayo bago gumawa ng mga desisyon tungkol sa mga kasunduan sa plea.
Judicial Oversight: Pinananatili ng korte ang pangangasiwa sa mga kasunduan sa plea upang matiyak na ang mga ito ay patas, naaayon sa batas, at para sa interes ng hustisya. Ang korte ay may awtoridad na tanggihan ang mga kasunduan sa plea na hindi boluntaryong pinasok o hindi sinusuportahan ng sapat na ebidensya. Maaari ding bawiin ng hukuman ang pagtanggap sa isang kasunduan sa plea kung matukoy nito na nakompromiso ang kakayahan ng nasasakdal.
Sa pangkalahatan, ang batas ng Pilipinas ay naglalayong protektahan ang kakayahan ng mga indibidwal na may mga sakit na psychiatric na pumasok sa mga kasunduan sa plea sa pamamagitan ng pagtiyak na naiintindihan nila ang mga legal na paglilitis, kinakatawan ng legal na tagapayo, gumawa ng matalinong mga desisyon, at hindi napapailalim sa pamimilit o hindi nararapat na impluwensya. Sa pamamagitan ng pagtataguyod ng mga prinsipyong ito, nilalayon ng batas na pangalagaan ang mga karapatan ng mga nasasakdal at itaguyod ang patas at makatarungang mga resulta sa mga kasong kriminal na kinasasangkutan ng mga indibidwal na may mga sakit sa isip.</v>
      </c>
      <c r="F2532" s="2">
        <f t="shared" si="1"/>
        <v>0</v>
      </c>
      <c r="G2532" s="2"/>
      <c r="H2532" s="2"/>
      <c r="I2532" s="2"/>
      <c r="J2532" s="2"/>
      <c r="K2532" s="2"/>
      <c r="L2532" s="2"/>
      <c r="M2532" s="2"/>
      <c r="N2532" s="2"/>
      <c r="O2532" s="2"/>
      <c r="P2532" s="2"/>
      <c r="Q2532" s="2"/>
      <c r="R2532" s="2"/>
      <c r="S2532" s="2"/>
      <c r="T2532" s="2"/>
      <c r="U2532" s="2"/>
      <c r="V2532" s="2"/>
      <c r="W2532" s="2"/>
      <c r="X2532" s="2"/>
      <c r="Y2532" s="2"/>
      <c r="Z2532" s="2"/>
      <c r="AA2532" s="2"/>
    </row>
    <row r="2533">
      <c r="A2533" s="1" t="s">
        <v>5971</v>
      </c>
      <c r="B2533" s="1" t="s">
        <v>6034</v>
      </c>
      <c r="C2533" s="1" t="s">
        <v>6035</v>
      </c>
      <c r="D2533" s="2" t="str">
        <f>IFERROR(__xludf.DUMMYFUNCTION("GOOGLETRANSLATE(B2533, ""en"", ""TL"")"),"Anong mga legal na hakbang ang inilalagay upang maprotektahan ang mga indibidwal na may mga sakit sa isip mula sa malupit o hindi naaangkop na paghatol?")</f>
        <v>Anong mga legal na hakbang ang inilalagay upang maprotektahan ang mga indibidwal na may mga sakit sa isip mula sa malupit o hindi naaangkop na paghatol?</v>
      </c>
      <c r="E2533" s="2" t="str">
        <f>IFERROR(__xludf.DUMMYFUNCTION("GOOGLETRANSLATE(C2533, ""en"", ""TL"")"),"Sa Pilipinas, maraming mga legal na hakbang ang inilalagay upang protektahan ang mga indibidwal na may mga sakit sa isip mula sa malupit o hindi naaangkop na sentensiya. Ang mga hakbang na ito ay naglalayong tiyakin na ang mga indibidwal na may mga sakit "&amp;"sa isip ay makakatanggap ng patas na paggamot, naaangkop na pagsasaalang-alang sa kanilang mga pangangailangan sa kalusugan ng isip, at pag-access sa mga pagkakataon sa rehabilitative. Narito ang ilang pangunahing legal na hakbang:
Pagbabawas ng mga Ka"&amp;"lagayan: Kinikilala ng batas ng Pilipinas ang ilang nagpapagaan na mga pangyayari na maaaring mag-garantiya ng pagbawas sa kalubhaan ng hatol na ipinataw sa isang indibidwal na nahatulan ng isang krimen. Kasama sa mga sitwasyong ito ang mga nakakaapekto s"&amp;"a mental o emosyonal na kalagayan ng nagkasala, tulad ng sakit sa isip, pagkalasing, o emosyonal na kaguluhan. Kinakailangang isaalang-alang ng mga korte ang mga nagpapagaan na pangyayari sa pagtukoy ng naaangkop na sentensiya, na isinasaalang-alang ang k"&amp;"alagayan ng kalusugan ng isip ng indibidwal at ang epekto nito sa kanilang kasalanan.
Mga Pagsusuri sa Kalusugan ng Pag-iisip: Maaaring mag-utos ang mga korte ng mga pagtatasa o pagsusuri sa kalusugan ng isip upang matukoy ang kalagayan ng kalusugan ng"&amp;" isip ng nasasakdal, mga pangangailangan sa paggamot, at mga potensyal na nagpapagaan na mga kadahilanan. Ang mga kwalipikadong propesyonal sa kalusugang pangkaisipan, tulad ng mga psychiatrist o psychologist, ay nagsasagawa ng mga pagtatasa na ito at nag"&amp;"bibigay ng mga ekspertong opinyon sa hukuman tungkol sa kalagayan ng kalusugan ng isip ng nasasakdal at ang kaugnayan nito sa paghatol.
Mga Alternatibong Pagpipilian sa Pagsentensiya: Ang batas ng Pilipinas ay nagbibigay ng mga alternatibong opsyon sa "&amp;"pagsentensiya para sa mga indibidwal na may mga sakit sa isip na nahatulan ng mga krimen. Maaaring kabilang sa mga opsyong ito ang mga diversion program, mental health court, drug court, community-based treatment program, o probasyon na may mga kondisyon "&amp;"sa paggamot sa kalusugan ng isip. Ang alternatibong pagsentensiya ay naglalayong tugunan ang mga pinagbabatayan na sanhi ng kriminal na pag-uugali, isulong ang rehabilitasyon, at bawasan ang posibilidad ng muling pagkakasala.
Mga Espesyal na Hukuman: A"&amp;"ng ilang mga hurisdiksyon sa Pilipinas ay nagtatag ng mga espesyal na korte, gaya ng mga hukuman sa kalusugan ng isip o mga hukuman sa droga, upang pangasiwaan ang mga kaso na kinasasangkutan ng mga indibidwal na may mga sakit sa isip o mga karamdaman sa "&amp;"pag-abuso sa sangkap. Ang mga korte na ito ay nilagyan ng espesyal na kaalaman at mapagkukunan upang matugunan ang mga natatanging pangangailangan ng mga nasasakdal na may mga isyu sa kalusugan ng isip at upang maiangkop ang mga pagpipilian sa pagsentensi"&amp;"ya at paggamot nang naaayon.
Access sa Mental Health Treatment: Ang mga indibidwal na may mga sakit sa isip ay may karapatan na ma-access ang paggamot sa kalusugan ng isip at mga serbisyo ng suporta, kabilang ang habang nakakulong o nagsisilbi sa kanil"&amp;"ang sentensiya. Ang mga pasilidad ng pagwawasto at mga departamento ng probasyon ay maaaring magbigay ng paggamot sa kalusugan ng isip, pagpapayo, pamamahala ng gamot, at iba pang mga serbisyo upang matugunan ang mga pangangailangan sa kalusugan ng isip n"&amp;"g indibidwal at isulong ang rehabilitasyon.
Judicial Discretion: Ang mga hukom ay may pagpapasya sa paghatol sa mga indibidwal na nahatulan ng mga krimen, na nagpapahintulot sa kanila na isaalang-alang ang lahat ng nauugnay na mga kadahilanan, kabilang"&amp;" ang kondisyon ng kalusugan ng isip ng nasasakdal, mga personal na kalagayan, at potensyal para sa rehabilitasyon. Maaaring isaalang-alang ng mga hukom ang patotoo ng eksperto, mga pagsusuri sa saykayatriko, mga pangyayaring nagpapagaan, at iba pang mga s"&amp;"alik sa pagtukoy ng naaangkop na pangungusap.
Sa pangkalahatan, ang mga legal na hakbang na ito ay naglalayong protektahan ang mga indibidwal na may mga sakit na psychiatric mula sa malupit o hindi naaangkop na pagsentensiya sa pamamagitan ng pagtiyak "&amp;"na ang kanilang mga pangangailangan sa kalusugan ng isip ay isinasaalang-alang, ang mga naaangkop na interbensyon ay ibinibigay, at ang mga desisyon sa pagsentensiya ay patas, proporsyonal, at iniangkop upang matugunan ang mga kalagayan ng indibidwal. Sa "&amp;"pamamagitan ng pagsasama ng mga pagsasaalang-alang sa kalusugan ng isip sa proseso ng paghatol, ang batas ay naglalayong isulong ang hustisya, rehabilitasyon, at ang kapakanan ng mga indibidwal na may mga sakit sa isip na kasangkot sa sistema ng hustisyan"&amp;"g kriminal.")</f>
        <v>Sa Pilipinas, maraming mga legal na hakbang ang inilalagay upang protektahan ang mga indibidwal na may mga sakit sa isip mula sa malupit o hindi naaangkop na sentensiya. Ang mga hakbang na ito ay naglalayong tiyakin na ang mga indibidwal na may mga sakit sa isip ay makakatanggap ng patas na paggamot, naaangkop na pagsasaalang-alang sa kanilang mga pangangailangan sa kalusugan ng isip, at pag-access sa mga pagkakataon sa rehabilitative. Narito ang ilang pangunahing legal na hakbang:
Pagbabawas ng mga Kalagayan: Kinikilala ng batas ng Pilipinas ang ilang nagpapagaan na mga pangyayari na maaaring mag-garantiya ng pagbawas sa kalubhaan ng hatol na ipinataw sa isang indibidwal na nahatulan ng isang krimen. Kasama sa mga sitwasyong ito ang mga nakakaapekto sa mental o emosyonal na kalagayan ng nagkasala, tulad ng sakit sa isip, pagkalasing, o emosyonal na kaguluhan. Kinakailangang isaalang-alang ng mga korte ang mga nagpapagaan na pangyayari sa pagtukoy ng naaangkop na sentensiya, na isinasaalang-alang ang kalagayan ng kalusugan ng isip ng indibidwal at ang epekto nito sa kanilang kasalanan.
Mga Pagsusuri sa Kalusugan ng Pag-iisip: Maaaring mag-utos ang mga korte ng mga pagtatasa o pagsusuri sa kalusugan ng isip upang matukoy ang kalagayan ng kalusugan ng isip ng nasasakdal, mga pangangailangan sa paggamot, at mga potensyal na nagpapagaan na mga kadahilanan. Ang mga kwalipikadong propesyonal sa kalusugang pangkaisipan, tulad ng mga psychiatrist o psychologist, ay nagsasagawa ng mga pagtatasa na ito at nagbibigay ng mga ekspertong opinyon sa hukuman tungkol sa kalagayan ng kalusugan ng isip ng nasasakdal at ang kaugnayan nito sa paghatol.
Mga Alternatibong Pagpipilian sa Pagsentensiya: Ang batas ng Pilipinas ay nagbibigay ng mga alternatibong opsyon sa pagsentensiya para sa mga indibidwal na may mga sakit sa isip na nahatulan ng mga krimen. Maaaring kabilang sa mga opsyong ito ang mga diversion program, mental health court, drug court, community-based treatment program, o probasyon na may mga kondisyon sa paggamot sa kalusugan ng isip. Ang alternatibong pagsentensiya ay naglalayong tugunan ang mga pinagbabatayan na sanhi ng kriminal na pag-uugali, isulong ang rehabilitasyon, at bawasan ang posibilidad ng muling pagkakasala.
Mga Espesyal na Hukuman: Ang ilang mga hurisdiksyon sa Pilipinas ay nagtatag ng mga espesyal na korte, gaya ng mga hukuman sa kalusugan ng isip o mga hukuman sa droga, upang pangasiwaan ang mga kaso na kinasasangkutan ng mga indibidwal na may mga sakit sa isip o mga karamdaman sa pag-abuso sa sangkap. Ang mga korte na ito ay nilagyan ng espesyal na kaalaman at mapagkukunan upang matugunan ang mga natatanging pangangailangan ng mga nasasakdal na may mga isyu sa kalusugan ng isip at upang maiangkop ang mga pagpipilian sa pagsentensiya at paggamot nang naaayon.
Access sa Mental Health Treatment: Ang mga indibidwal na may mga sakit sa isip ay may karapatan na ma-access ang paggamot sa kalusugan ng isip at mga serbisyo ng suporta, kabilang ang habang nakakulong o nagsisilbi sa kanilang sentensiya. Ang mga pasilidad ng pagwawasto at mga departamento ng probasyon ay maaaring magbigay ng paggamot sa kalusugan ng isip, pagpapayo, pamamahala ng gamot, at iba pang mga serbisyo upang matugunan ang mga pangangailangan sa kalusugan ng isip ng indibidwal at isulong ang rehabilitasyon.
Judicial Discretion: Ang mga hukom ay may pagpapasya sa paghatol sa mga indibidwal na nahatulan ng mga krimen, na nagpapahintulot sa kanila na isaalang-alang ang lahat ng nauugnay na mga kadahilanan, kabilang ang kondisyon ng kalusugan ng isip ng nasasakdal, mga personal na kalagayan, at potensyal para sa rehabilitasyon. Maaaring isaalang-alang ng mga hukom ang patotoo ng eksperto, mga pagsusuri sa saykayatriko, mga pangyayaring nagpapagaan, at iba pang mga salik sa pagtukoy ng naaangkop na pangungusap.
Sa pangkalahatan, ang mga legal na hakbang na ito ay naglalayong protektahan ang mga indibidwal na may mga sakit na psychiatric mula sa malupit o hindi naaangkop na pagsentensiya sa pamamagitan ng pagtiyak na ang kanilang mga pangangailangan sa kalusugan ng isip ay isinasaalang-alang, ang mga naaangkop na interbensyon ay ibinibigay, at ang mga desisyon sa pagsentensiya ay patas, proporsyonal, at iniangkop upang matugunan ang mga kalagayan ng indibidwal. Sa pamamagitan ng pagsasama ng mga pagsasaalang-alang sa kalusugan ng isip sa proseso ng paghatol, ang batas ay naglalayong isulong ang hustisya, rehabilitasyon, at ang kapakanan ng mga indibidwal na may mga sakit sa isip na kasangkot sa sistema ng hustisyang kriminal.</v>
      </c>
      <c r="F2533" s="2">
        <f t="shared" si="1"/>
        <v>0</v>
      </c>
      <c r="G2533" s="2"/>
      <c r="H2533" s="2"/>
      <c r="I2533" s="2"/>
      <c r="J2533" s="2"/>
      <c r="K2533" s="2"/>
      <c r="L2533" s="2"/>
      <c r="M2533" s="2"/>
      <c r="N2533" s="2"/>
      <c r="O2533" s="2"/>
      <c r="P2533" s="2"/>
      <c r="Q2533" s="2"/>
      <c r="R2533" s="2"/>
      <c r="S2533" s="2"/>
      <c r="T2533" s="2"/>
      <c r="U2533" s="2"/>
      <c r="V2533" s="2"/>
      <c r="W2533" s="2"/>
      <c r="X2533" s="2"/>
      <c r="Y2533" s="2"/>
      <c r="Z2533" s="2"/>
      <c r="AA2533" s="2"/>
    </row>
    <row r="2534">
      <c r="A2534" s="1" t="s">
        <v>5971</v>
      </c>
      <c r="B2534" s="1" t="s">
        <v>6036</v>
      </c>
      <c r="C2534" s="1" t="s">
        <v>6037</v>
      </c>
      <c r="D2534" s="2" t="str">
        <f>IFERROR(__xludf.DUMMYFUNCTION("GOOGLETRANSLATE(B2534, ""en"", ""TL"")"),"Mayroon bang mga legal na probisyon para sa pagsubaybay at pangangasiwa ng mga indibidwal na may mga sakit sa isip na inilabas sa parol o probasyon?")</f>
        <v>Mayroon bang mga legal na probisyon para sa pagsubaybay at pangangasiwa ng mga indibidwal na may mga sakit sa isip na inilabas sa parol o probasyon?</v>
      </c>
      <c r="E2534" s="2" t="str">
        <f>IFERROR(__xludf.DUMMYFUNCTION("GOOGLETRANSLATE(C2534, ""en"", ""TL"")"),"Oo, sa Pilipinas, may mga legal na probisyon para sa pagsubaybay at pangangasiwa ng mga indibidwal na may mga sakit sa isip na pinalaya sa parol o probasyon. Ang mga probisyong ito ay idinisenyo upang matiyak ang kaligtasan ng komunidad, suportahan ang re"&amp;"habilitasyon ng indibidwal, at isulong ang kanilang matagumpay na muling pagsasama sa lipunan. Narito ang ilang mahahalagang aspeto ng legal na balangkas para sa pagsubaybay at pangangasiwa sa mga indibidwal na may mga sakit na psychiatric sa parol o prob"&amp;"asyon:
Mga Batas sa Parol at Probasyon: Ang Philippine Parole and Probation Administration (PPPA) ay responsable para sa pangangasiwa sa mga indibidwal na nabigyan ng parol o inilagay sa probasyon. Ang parol at probasyon ay mga anyo ng kondisyonal na p"&amp;"agpapalaya mula sa pagkakakulong, na nagpapahintulot sa mga indibidwal na magsilbi ng bahagi ng kanilang sentensiya sa komunidad sa ilalim ng pangangasiwa, napapailalim sa pagsunod sa ilang partikular na kundisyon at kinakailangan.
Mga Kundisyon ng Pag"&amp;"papalaya: Ang mga indibidwal na may mga sakit sa isip na pinalaya sa parol o probasyon ay karaniwang kinakailangan na sumunod sa mga partikular na kundisyon na ipinataw ng parole o probation board. Maaaring kabilang sa mga kundisyong ito ang regular na pa"&amp;"g-uulat sa isang opisyal ng parol o probasyon, pakikilahok sa mga programa sa paggamot o pagpapayo, pag-iwas sa kriminal na pag-uugali, at pag-iwas sa droga o alkohol.
Pagtatasa ng Panganib at Pamamahala ng Kaso: Ang PPPA ay nagsasagawa ng mga pagtatas"&amp;"a ng panganib at pamamahala ng kaso upang suriin ang antas ng panganib ng indibidwal sa kaligtasan ng publiko at upang bumuo ng naaangkop na mga plano sa pangangasiwa at interbensyon. Maaaring kabilang dito ang pagtatasa sa kalagayan ng kalusugan ng isip "&amp;"ng indibidwal, mga pangangailangan sa paggamot, sistema ng suporta, at pagsunod sa mga kondisyon ng parol o probasyon.
Pangangasiwa ng mga Opisyal ng Parol/Probation: Ang mga indibidwal na pinalaya sa parol o probasyon ay itinalaga sa mga opisyal ng pa"&amp;"rol o probasyon na sumusubaybay sa kanilang pagsunod sa mga kondisyon ng pagpapalaya at nagbibigay ng suporta, patnubay, at pangangasiwa. Ang mga opisyal ng parol/probation ay nagsasagawa ng regular na pag-check-in kasama ang indibidwal, nagsasagawa ng mg"&amp;"a pagbisita sa bahay, nagbe-verify ng trabaho o pakikilahok sa mga programa sa paggamot, at tinutugunan ang anumang mga isyu o alalahanin na lumabas.
Mga Serbisyo sa Paggamot at Suporta: Ang mga indibidwal na may mga sakit sa isip na nasa parol o proba"&amp;"syon ay maaaring i-refer sa paggamot sa kalusugan ng isip, pagpapayo, o mga serbisyo ng suporta upang matugunan ang kanilang mga pangangailangan sa kalusugan ng isip at itaguyod ang rehabilitasyon. Ang PPPA ay nakikipagtulungan sa mga tagapagbigay ng kalu"&amp;"sugang pangkaisipan, mga organisasyon ng komunidad, at iba pang mga stakeholder upang matiyak na ang mga indibidwal ay makakatanggap ng naaangkop na mga serbisyo at suporta habang nasa ilalim ng pangangasiwa.
Paglabag at Pagpapawalang-bisa: Kung ang is"&amp;"ang indibidwal ay lumabag sa mga kondisyon ng kanilang parol o probasyon, ang parol o lupon ng probasyon ay maaaring magpasimula ng mga paglilitis sa paglabag at pagbawi. Ito ay maaaring magresulta sa pagbabalik ng indibidwal sa kustodiya o ang pagpataw n"&amp;"g mga karagdagang kundisyon o parusa. Ang mga paglilitis sa paglabag ay isinasagawa alinsunod sa mga kinakailangan sa angkop na proseso, at ang mga indibidwal ay may karapatan sa legal na representasyon at isang pagdinig bago ipataw ang anumang mga parusa"&amp;".
Sa pangkalahatan, ang mga legal na probisyon para sa pagsubaybay at pangangasiwa sa mga indibidwal na may mga sakit sa saykayatriko sa parol o probasyon ay naglalayong balansehin ang mga alalahanin sa kaligtasan ng publiko sa mga pangangailangan sa r"&amp;"ehabilitasyon at muling pagsasama ng indibidwal. Sa pamamagitan ng pagbibigay ng structured na pangangasiwa, mga serbisyo ng suporta, at mga diskarte sa interbensyon, ang layunin ay bawasan ang panganib ng recidivism at isulong ang matagumpay na muling pa"&amp;"gsasama-sama ng komunidad para sa mga indibidwal na may mga sakit na psychiatric na kasangkot sa sistema ng hustisyang kriminal.")</f>
        <v>Oo, sa Pilipinas, may mga legal na probisyon para sa pagsubaybay at pangangasiwa ng mga indibidwal na may mga sakit sa isip na pinalaya sa parol o probasyon. Ang mga probisyong ito ay idinisenyo upang matiyak ang kaligtasan ng komunidad, suportahan ang rehabilitasyon ng indibidwal, at isulong ang kanilang matagumpay na muling pagsasama sa lipunan. Narito ang ilang mahahalagang aspeto ng legal na balangkas para sa pagsubaybay at pangangasiwa sa mga indibidwal na may mga sakit na psychiatric sa parol o probasyon:
Mga Batas sa Parol at Probasyon: Ang Philippine Parole and Probation Administration (PPPA) ay responsable para sa pangangasiwa sa mga indibidwal na nabigyan ng parol o inilagay sa probasyon. Ang parol at probasyon ay mga anyo ng kondisyonal na pagpapalaya mula sa pagkakakulong, na nagpapahintulot sa mga indibidwal na magsilbi ng bahagi ng kanilang sentensiya sa komunidad sa ilalim ng pangangasiwa, napapailalim sa pagsunod sa ilang partikular na kundisyon at kinakailangan.
Mga Kundisyon ng Pagpapalaya: Ang mga indibidwal na may mga sakit sa isip na pinalaya sa parol o probasyon ay karaniwang kinakailangan na sumunod sa mga partikular na kundisyon na ipinataw ng parole o probation board. Maaaring kabilang sa mga kundisyong ito ang regular na pag-uulat sa isang opisyal ng parol o probasyon, pakikilahok sa mga programa sa paggamot o pagpapayo, pag-iwas sa kriminal na pag-uugali, at pag-iwas sa droga o alkohol.
Pagtatasa ng Panganib at Pamamahala ng Kaso: Ang PPPA ay nagsasagawa ng mga pagtatasa ng panganib at pamamahala ng kaso upang suriin ang antas ng panganib ng indibidwal sa kaligtasan ng publiko at upang bumuo ng naaangkop na mga plano sa pangangasiwa at interbensyon. Maaaring kabilang dito ang pagtatasa sa kalagayan ng kalusugan ng isip ng indibidwal, mga pangangailangan sa paggamot, sistema ng suporta, at pagsunod sa mga kondisyon ng parol o probasyon.
Pangangasiwa ng mga Opisyal ng Parol/Probation: Ang mga indibidwal na pinalaya sa parol o probasyon ay itinalaga sa mga opisyal ng parol o probasyon na sumusubaybay sa kanilang pagsunod sa mga kondisyon ng pagpapalaya at nagbibigay ng suporta, patnubay, at pangangasiwa. Ang mga opisyal ng parol/probation ay nagsasagawa ng regular na pag-check-in kasama ang indibidwal, nagsasagawa ng mga pagbisita sa bahay, nagbe-verify ng trabaho o pakikilahok sa mga programa sa paggamot, at tinutugunan ang anumang mga isyu o alalahanin na lumabas.
Mga Serbisyo sa Paggamot at Suporta: Ang mga indibidwal na may mga sakit sa isip na nasa parol o probasyon ay maaaring i-refer sa paggamot sa kalusugan ng isip, pagpapayo, o mga serbisyo ng suporta upang matugunan ang kanilang mga pangangailangan sa kalusugan ng isip at itaguyod ang rehabilitasyon. Ang PPPA ay nakikipagtulungan sa mga tagapagbigay ng kalusugang pangkaisipan, mga organisasyon ng komunidad, at iba pang mga stakeholder upang matiyak na ang mga indibidwal ay makakatanggap ng naaangkop na mga serbisyo at suporta habang nasa ilalim ng pangangasiwa.
Paglabag at Pagpapawalang-bisa: Kung ang isang indibidwal ay lumabag sa mga kondisyon ng kanilang parol o probasyon, ang parol o lupon ng probasyon ay maaaring magpasimula ng mga paglilitis sa paglabag at pagbawi. Ito ay maaaring magresulta sa pagbabalik ng indibidwal sa kustodiya o ang pagpataw ng mga karagdagang kundisyon o parusa. Ang mga paglilitis sa paglabag ay isinasagawa alinsunod sa mga kinakailangan sa angkop na proseso, at ang mga indibidwal ay may karapatan sa legal na representasyon at isang pagdinig bago ipataw ang anumang mga parusa.
Sa pangkalahatan, ang mga legal na probisyon para sa pagsubaybay at pangangasiwa sa mga indibidwal na may mga sakit sa saykayatriko sa parol o probasyon ay naglalayong balansehin ang mga alalahanin sa kaligtasan ng publiko sa mga pangangailangan sa rehabilitasyon at muling pagsasama ng indibidwal. Sa pamamagitan ng pagbibigay ng structured na pangangasiwa, mga serbisyo ng suporta, at mga diskarte sa interbensyon, ang layunin ay bawasan ang panganib ng recidivism at isulong ang matagumpay na muling pagsasama-sama ng komunidad para sa mga indibidwal na may mga sakit na psychiatric na kasangkot sa sistema ng hustisyang kriminal.</v>
      </c>
      <c r="F2534" s="2">
        <f t="shared" si="1"/>
        <v>0</v>
      </c>
      <c r="G2534" s="2"/>
      <c r="H2534" s="2"/>
      <c r="I2534" s="2"/>
      <c r="J2534" s="2"/>
      <c r="K2534" s="2"/>
      <c r="L2534" s="2"/>
      <c r="M2534" s="2"/>
      <c r="N2534" s="2"/>
      <c r="O2534" s="2"/>
      <c r="P2534" s="2"/>
      <c r="Q2534" s="2"/>
      <c r="R2534" s="2"/>
      <c r="S2534" s="2"/>
      <c r="T2534" s="2"/>
      <c r="U2534" s="2"/>
      <c r="V2534" s="2"/>
      <c r="W2534" s="2"/>
      <c r="X2534" s="2"/>
      <c r="Y2534" s="2"/>
      <c r="Z2534" s="2"/>
      <c r="AA2534" s="2"/>
    </row>
    <row r="2535">
      <c r="A2535" s="1" t="s">
        <v>5971</v>
      </c>
      <c r="B2535" s="1" t="s">
        <v>6038</v>
      </c>
      <c r="C2535" s="1" t="s">
        <v>6039</v>
      </c>
      <c r="D2535" s="2" t="str">
        <f>IFERROR(__xludf.DUMMYFUNCTION("GOOGLETRANSLATE(B2535, ""en"", ""TL"")"),"Paano tinutugunan ng batas ang potensyal na epekto ng mga psychiatric na gamot sa kriminal na pananagutan ng nasasakdal?")</f>
        <v>Paano tinutugunan ng batas ang potensyal na epekto ng mga psychiatric na gamot sa kriminal na pananagutan ng nasasakdal?</v>
      </c>
      <c r="E2535" s="2" t="str">
        <f>IFERROR(__xludf.DUMMYFUNCTION("GOOGLETRANSLATE(C2535, ""en"", ""TL"")"),"Sa Pilipinas, tinutugunan ng batas ang potensyal na epekto ng mga psychiatric na gamot sa kriminal na pananagutan ng nasasakdal sa pamamagitan ng iba't ibang legal na prinsipyo at pagsasaalang-alang. Narito ang ilang pangunahing paraan kung saan tinutugun"&amp;"an ng batas ang isyung ito:
Mental State at the Time of the Offense: Kinikilala ng batas ng Pilipinas na ang mental state ng isang indibidwal sa oras ng pagkakasala ay isang mahalagang salik sa pagtukoy ng kriminal na pananagutan. Kabilang dito ang pag"&amp;"sasaalang-alang sa kakayahan ng indibidwal na pahalagahan ang kamalian ng kanilang mga aksyon o iayon ang kanilang pag-uugali sa mga kinakailangan ng batas. Ang mga gamot sa saykayatriko ay maaaring makaapekto sa kalagayan ng pag-iisip, katalusan, at pag-"&amp;"uugali ng isang indibidwal, na posibleng makaimpluwensya sa kanilang kriminal na pananagutan.
Diminished Capacity Defense: Ang paggamit ng mga psychiatric na gamot ay maaaring may kaugnayan sa isang diminished capacity defense, na kinabibilangan ng cla"&amp;"im na ang mental state ng nasasakdal ay may kapansanan sa oras ng pagkakasala dahil sa sakit sa isip o mga side effect ng gamot. Ang depensa ay nangangatwiran na ang kapasidad ng nasasakdal na bumuo ng kinakailangang kriminal na layunin ay nabawasan, na h"&amp;"umahantong sa pagbawas ng kasalanan para sa pagkakasala.
Testimonya at Ebidensya ng Eksperto: Sa mga kaso kung saan ang mga gamot sa saykayatriko ay pinaniniwalaang nakaimpluwensya sa estado ng pag-iisip o pag-uugali ng nasasakdal, maaaring iharap sa k"&amp;"orte ang testimonya ng eksperto mula sa mga kwalipikadong propesyonal sa kalusugan ng isip. Ang mga eksperto sa kalusugan ng isip ay maaaring magbigay ng mga insight sa mga epekto ng mga psychiatric na gamot sa katalusan, mood, at pag-uugali, na tumutulon"&amp;"g sa korte na maunawaan ang potensyal na epekto ng gamot sa kriminal na pananagutan ng nasasakdal.
Mga Salik sa Pagbabawas: Ang paggamit ng mga gamot sa saykayatriko ay maaaring ituring bilang isang nagpapagaan na salik sa pagsentensiya kung matukoy na"&amp;" ang kondisyon ng kalusugan ng isip ng nasasakdal o regimen ng gamot ay nag-ambag sa paggawa ng pagkakasala. Ang mga salik na nagpapagaan ay mga pangyayari na maaaring magbigay-katwiran sa isang mas mababang sentensiya o kaluwagan mula sa korte, na isinas"&amp;"aalang-alang ang mga personal na kalagayan ng nasasakdal at potensyal para sa rehabilitasyon.
Judicial Discretion: Sa huli, nasa korte ang pagtimbang-timbang ng ebidensya, kabilang ang potensyal na epekto ng mga psychiatric na gamot, sa pagtukoy sa kri"&amp;"minal na pananagutan ng nasasakdal at naaangkop na disposisyon ng kaso. Ang mga hukom ay may pagpapasya na isaalang-alang ang lahat ng may-katuturang salik, kabilang ang kasaysayan ng kalusugan ng isip ng nasasakdal, regimen ng gamot, at patotoo ng eksper"&amp;"to, sa pag-abot ng isang makatarungan at pantay na desisyon.
Mga Opsyon sa Paggamot at Rehabilitasyon: Kung natukoy na ang mga psychiatric na gamot ay may papel sa pagkakasala, maaaring isaalang-alang ng hukuman ang mga alternatibong disposisyon na inu"&amp;"una ang paggamot at rehabilitasyon kaysa sa mga hakbang sa pagpaparusa. Maaaring kabilang dito ang pag-utos sa nasasakdal na sumailalim sa paggamot sa kalusugan ng isip, pagpapayo, o pamamahala ng gamot bilang bahagi ng kanilang sentensiya, na may layunin"&amp;"g matugunan ang mga napapailalim na isyu sa kalusugan ng isip at bawasan ang panganib ng kriminal na pag-uugali sa hinaharap.
Sa pangkalahatan, kinikilala ng batas ng Pilipinas ang potensyal na epekto ng mga psychiatric na gamot sa kriminal na pananagu"&amp;"tan ng nasasakdal at nagbibigay ng mga mekanismo para sa pagtugon sa isyung ito sa loob ng criminal justice system. Sa pamamagitan ng pagsasaalang-alang sa mga epekto ng gamot sa estado ng pag-iisip, pag-uugali, at pagkakasala ng nasasakdal, hinahangad ng"&amp;" batas na tiyakin ang patas at patas na pagtrato sa mga indibidwal na may mga sakit sa isip na kasangkot sa mga kasong kriminal.")</f>
        <v>Sa Pilipinas, tinutugunan ng batas ang potensyal na epekto ng mga psychiatric na gamot sa kriminal na pananagutan ng nasasakdal sa pamamagitan ng iba't ibang legal na prinsipyo at pagsasaalang-alang. Narito ang ilang pangunahing paraan kung saan tinutugunan ng batas ang isyung ito:
Mental State at the Time of the Offense: Kinikilala ng batas ng Pilipinas na ang mental state ng isang indibidwal sa oras ng pagkakasala ay isang mahalagang salik sa pagtukoy ng kriminal na pananagutan. Kabilang dito ang pagsasaalang-alang sa kakayahan ng indibidwal na pahalagahan ang kamalian ng kanilang mga aksyon o iayon ang kanilang pag-uugali sa mga kinakailangan ng batas. Ang mga gamot sa saykayatriko ay maaaring makaapekto sa kalagayan ng pag-iisip, katalusan, at pag-uugali ng isang indibidwal, na posibleng makaimpluwensya sa kanilang kriminal na pananagutan.
Diminished Capacity Defense: Ang paggamit ng mga psychiatric na gamot ay maaaring may kaugnayan sa isang diminished capacity defense, na kinabibilangan ng claim na ang mental state ng nasasakdal ay may kapansanan sa oras ng pagkakasala dahil sa sakit sa isip o mga side effect ng gamot. Ang depensa ay nangangatwiran na ang kapasidad ng nasasakdal na bumuo ng kinakailangang kriminal na layunin ay nabawasan, na humahantong sa pagbawas ng kasalanan para sa pagkakasala.
Testimonya at Ebidensya ng Eksperto: Sa mga kaso kung saan ang mga gamot sa saykayatriko ay pinaniniwalaang nakaimpluwensya sa estado ng pag-iisip o pag-uugali ng nasasakdal, maaaring iharap sa korte ang testimonya ng eksperto mula sa mga kwalipikadong propesyonal sa kalusugan ng isip. Ang mga eksperto sa kalusugan ng isip ay maaaring magbigay ng mga insight sa mga epekto ng mga psychiatric na gamot sa katalusan, mood, at pag-uugali, na tumutulong sa korte na maunawaan ang potensyal na epekto ng gamot sa kriminal na pananagutan ng nasasakdal.
Mga Salik sa Pagbabawas: Ang paggamit ng mga gamot sa saykayatriko ay maaaring ituring bilang isang nagpapagaan na salik sa pagsentensiya kung matukoy na ang kondisyon ng kalusugan ng isip ng nasasakdal o regimen ng gamot ay nag-ambag sa paggawa ng pagkakasala. Ang mga salik na nagpapagaan ay mga pangyayari na maaaring magbigay-katwiran sa isang mas mababang sentensiya o kaluwagan mula sa korte, na isinasaalang-alang ang mga personal na kalagayan ng nasasakdal at potensyal para sa rehabilitasyon.
Judicial Discretion: Sa huli, nasa korte ang pagtimbang-timbang ng ebidensya, kabilang ang potensyal na epekto ng mga psychiatric na gamot, sa pagtukoy sa kriminal na pananagutan ng nasasakdal at naaangkop na disposisyon ng kaso. Ang mga hukom ay may pagpapasya na isaalang-alang ang lahat ng may-katuturang salik, kabilang ang kasaysayan ng kalusugan ng isip ng nasasakdal, regimen ng gamot, at patotoo ng eksperto, sa pag-abot ng isang makatarungan at pantay na desisyon.
Mga Opsyon sa Paggamot at Rehabilitasyon: Kung natukoy na ang mga psychiatric na gamot ay may papel sa pagkakasala, maaaring isaalang-alang ng hukuman ang mga alternatibong disposisyon na inuuna ang paggamot at rehabilitasyon kaysa sa mga hakbang sa pagpaparusa. Maaaring kabilang dito ang pag-utos sa nasasakdal na sumailalim sa paggamot sa kalusugan ng isip, pagpapayo, o pamamahala ng gamot bilang bahagi ng kanilang sentensiya, na may layuning matugunan ang mga napapailalim na isyu sa kalusugan ng isip at bawasan ang panganib ng kriminal na pag-uugali sa hinaharap.
Sa pangkalahatan, kinikilala ng batas ng Pilipinas ang potensyal na epekto ng mga psychiatric na gamot sa kriminal na pananagutan ng nasasakdal at nagbibigay ng mga mekanismo para sa pagtugon sa isyung ito sa loob ng criminal justice system. Sa pamamagitan ng pagsasaalang-alang sa mga epekto ng gamot sa estado ng pag-iisip, pag-uugali, at pagkakasala ng nasasakdal, hinahangad ng batas na tiyakin ang patas at patas na pagtrato sa mga indibidwal na may mga sakit sa isip na kasangkot sa mga kasong kriminal.</v>
      </c>
      <c r="F2535" s="2">
        <f t="shared" si="1"/>
        <v>0</v>
      </c>
      <c r="G2535" s="2"/>
      <c r="H2535" s="2"/>
      <c r="I2535" s="2"/>
      <c r="J2535" s="2"/>
      <c r="K2535" s="2"/>
      <c r="L2535" s="2"/>
      <c r="M2535" s="2"/>
      <c r="N2535" s="2"/>
      <c r="O2535" s="2"/>
      <c r="P2535" s="2"/>
      <c r="Q2535" s="2"/>
      <c r="R2535" s="2"/>
      <c r="S2535" s="2"/>
      <c r="T2535" s="2"/>
      <c r="U2535" s="2"/>
      <c r="V2535" s="2"/>
      <c r="W2535" s="2"/>
      <c r="X2535" s="2"/>
      <c r="Y2535" s="2"/>
      <c r="Z2535" s="2"/>
      <c r="AA2535" s="2"/>
    </row>
    <row r="2536">
      <c r="A2536" s="1" t="s">
        <v>5971</v>
      </c>
      <c r="B2536" s="1" t="s">
        <v>6040</v>
      </c>
      <c r="C2536" s="1" t="s">
        <v>6041</v>
      </c>
      <c r="D2536" s="2" t="str">
        <f>IFERROR(__xludf.DUMMYFUNCTION("GOOGLETRANSLATE(B2536, ""en"", ""TL"")"),"Anong mga legal na aksyon ang maaaring gawin kung matukoy na ang pagsusuri ng saykayatriko ng nasasakdal ay may kinikilingan o naiimpluwensyahan?")</f>
        <v>Anong mga legal na aksyon ang maaaring gawin kung matukoy na ang pagsusuri ng saykayatriko ng nasasakdal ay may kinikilingan o naiimpluwensyahan?</v>
      </c>
      <c r="E2536" s="2" t="str">
        <f>IFERROR(__xludf.DUMMYFUNCTION("GOOGLETRANSLATE(C2536, ""en"", ""TL"")"),"Kung matukoy na ang pagsusuri ng saykayatriko ng nasasakdal ay may kinikilingan o naimpluwensyahan, maraming legal na aksyon ang maaaring gawin upang matugunan ang sitwasyon at mapangalagaan ang integridad ng legal na proseso. Ang mga pagkilos na ito ay n"&amp;"aglalayong iwasto ang anumang potensyal na kawalang-katarungan na nagreresulta mula sa may kinikilingan o nakompromisong mga pagsusuri at matiyak na ang mga karapatan ng nasasakdal ay protektado. Narito ang ilang posibleng legal na aksyon:
Motion to Ex"&amp;"clude or Suppress Evidence: Maaaring maghain ang abogado ng depensa ng mosyon para ibukod o sugpuin ang may kinikilingan o naiimpluwensyahan na psychiatric evaluation mula sa pagtanggap bilang ebidensya sa kaso. Magtatalo ang mosyon na ang pagsusuri ay hi"&amp;"ndi mapagkakatiwalaan at nakakapinsala sa karapatan ng nasasakdal sa isang patas na paglilitis, na binabanggit ang pagkiling o impluwensya na nakompromiso ang bisa nito.
Mosyon para sa Bagong Pagsusuri: Ang abogado ng depensa ay maaaring humiling ng ba"&amp;"gong psychiatric na pagsusuri ng nasasakdal ng isang independyente at walang kinikilingan na propesyonal sa kalusugan ng isip. Ang mosyon na ito ay maghahangad na palitan ang may kinikilingan o naiimpluwensyahan na pagsusuri ng isang bagong pagtatasa na s"&amp;"umusunod sa wastong pamantayan ng kawalang-kinikilingan at kawalang-kinikilingan.
Hamunin ang Ekspertong Saksi: Sa panahon ng paglilitis, maaaring hamunin ng tagapagtanggol ang kredibilidad at kawalang-kinikilingan ng propesyonal sa kalusugang pangkais"&amp;"ipan na nagsagawa ng may kinikilingan na pagsusuri sa pamamagitan ng cross-examination at presentasyon ng magkasalungat na ebidensya. Maaaring masira nito ang bigat at kredibilidad ng pagsusuri sa mga mata ng korte.
Kahilingan para sa Judicial Review: "&amp;"Ang hukuman ay maaaring magsagawa ng judicial review ng may kinikilingan o naiimpluwensyang psychiatric na pagsusuri upang masuri ang pagiging maaasahan at pagiging matanggap nito. Maaaring suriin ng hukuman ang pagsusuri, isaalang-alang ang anumang ebide"&amp;"nsya ng pagkiling o impluwensya, at tukuyin kung dapat itong tanggapin bilang ebidensya sa kaso.
Reklamo sa Etika: Kung ang propesyonal sa kalusugan ng isip na nagsagawa ng pagsusuri ay napatunayang nasangkot sa hindi etikal na pag-uugali o propesyonal"&amp;" na maling pag-uugali, ang tagapagtanggol ng depensa o ang nasasakdal ay maaaring maghain ng pormal na reklamo sa may-katuturang awtoridad sa paglilisensya o regulasyon. Ang reklamo ay maaaring humantong sa aksyong pandisiplina laban sa propesyonal, tulad"&amp;" ng pagsususpinde o pagbawi ng kanilang lisensya.
Apela: Kung ang nasasakdal ay nahatulan batay sa may kinikilingan o naiimpluwensyahan na pagsusuri sa saykayatriko at naniniwala na ang kanilang mga karapatan ay nilabag, maaari nilang iapela ang paghat"&amp;"ol sa isang mas mataas na hukuman. Maaaring suriin ng hukuman ng apela ang mga paglilitis sa paglilitis, kabilang ang pagtanggap ng pagsusuri bilang ebidensya, at tukuyin kung may mga pagkakamali na naganap na nagbibigay-daan sa pagbabalik o pagbabago ng "&amp;"paghatol.
Sibil na Paghahabla para sa mga Pinsala: Sa mga kaso kung saan ang may kinikilingan o naiimpluwensyang psychiatric na pagsusuri ay nagreresulta sa pinsala sa nasasakdal, tulad ng maling paghatol o pagkawala ng kalayaan, ang nasasakdal ay maaa"&amp;"ring maghabol ng isang sibil na kaso para sa mga pinsala laban sa mga responsableng partido. Maaaring kabilang dito ang propesyonal sa kalusugan ng isip, ang institusyon kung saan isinagawa ang pagsusuri, o iba pang mga entity na kasangkot sa proseso ng p"&amp;"agsusuri.
Sa pangkalahatan, ang mga legal na aksyong ito ay naglalayong tugunan ang mga kahihinatnan ng may kinikilingan o naiimpluwensyahan na mga pagsusuri sa saykayatriko at tiyakin na ang mga nasasakdal ay makakatanggap ng patas na pagtrato at angk"&amp;"op na proseso ng batas sa mga paglilitis sa kriminal. Sa pamamagitan ng paghamon sa bisa ng mga may kinikilingan na pagsusuri at pagpapanagot sa mga responsable para sa maling pag-uugali, ang integridad ng legal na proseso ay pinaninindigan, at naibibigay"&amp;" ang hustisya.")</f>
        <v>Kung matukoy na ang pagsusuri ng saykayatriko ng nasasakdal ay may kinikilingan o naimpluwensyahan, maraming legal na aksyon ang maaaring gawin upang matugunan ang sitwasyon at mapangalagaan ang integridad ng legal na proseso. Ang mga pagkilos na ito ay naglalayong iwasto ang anumang potensyal na kawalang-katarungan na nagreresulta mula sa may kinikilingan o nakompromisong mga pagsusuri at matiyak na ang mga karapatan ng nasasakdal ay protektado. Narito ang ilang posibleng legal na aksyon:
Motion to Exclude or Suppress Evidence: Maaaring maghain ang abogado ng depensa ng mosyon para ibukod o sugpuin ang may kinikilingan o naiimpluwensyahan na psychiatric evaluation mula sa pagtanggap bilang ebidensya sa kaso. Magtatalo ang mosyon na ang pagsusuri ay hindi mapagkakatiwalaan at nakakapinsala sa karapatan ng nasasakdal sa isang patas na paglilitis, na binabanggit ang pagkiling o impluwensya na nakompromiso ang bisa nito.
Mosyon para sa Bagong Pagsusuri: Ang abogado ng depensa ay maaaring humiling ng bagong psychiatric na pagsusuri ng nasasakdal ng isang independyente at walang kinikilingan na propesyonal sa kalusugan ng isip. Ang mosyon na ito ay maghahangad na palitan ang may kinikilingan o naiimpluwensyahan na pagsusuri ng isang bagong pagtatasa na sumusunod sa wastong pamantayan ng kawalang-kinikilingan at kawalang-kinikilingan.
Hamunin ang Ekspertong Saksi: Sa panahon ng paglilitis, maaaring hamunin ng tagapagtanggol ang kredibilidad at kawalang-kinikilingan ng propesyonal sa kalusugang pangkaisipan na nagsagawa ng may kinikilingan na pagsusuri sa pamamagitan ng cross-examination at presentasyon ng magkasalungat na ebidensya. Maaaring masira nito ang bigat at kredibilidad ng pagsusuri sa mga mata ng korte.
Kahilingan para sa Judicial Review: Ang hukuman ay maaaring magsagawa ng judicial review ng may kinikilingan o naiimpluwensyang psychiatric na pagsusuri upang masuri ang pagiging maaasahan at pagiging matanggap nito. Maaaring suriin ng hukuman ang pagsusuri, isaalang-alang ang anumang ebidensya ng pagkiling o impluwensya, at tukuyin kung dapat itong tanggapin bilang ebidensya sa kaso.
Reklamo sa Etika: Kung ang propesyonal sa kalusugan ng isip na nagsagawa ng pagsusuri ay napatunayang nasangkot sa hindi etikal na pag-uugali o propesyonal na maling pag-uugali, ang tagapagtanggol ng depensa o ang nasasakdal ay maaaring maghain ng pormal na reklamo sa may-katuturang awtoridad sa paglilisensya o regulasyon. Ang reklamo ay maaaring humantong sa aksyong pandisiplina laban sa propesyonal, tulad ng pagsususpinde o pagbawi ng kanilang lisensya.
Apela: Kung ang nasasakdal ay nahatulan batay sa may kinikilingan o naiimpluwensyahan na pagsusuri sa saykayatriko at naniniwala na ang kanilang mga karapatan ay nilabag, maaari nilang iapela ang paghatol sa isang mas mataas na hukuman. Maaaring suriin ng hukuman ng apela ang mga paglilitis sa paglilitis, kabilang ang pagtanggap ng pagsusuri bilang ebidensya, at tukuyin kung may mga pagkakamali na naganap na nagbibigay-daan sa pagbabalik o pagbabago ng paghatol.
Sibil na Paghahabla para sa mga Pinsala: Sa mga kaso kung saan ang may kinikilingan o naiimpluwensyang psychiatric na pagsusuri ay nagreresulta sa pinsala sa nasasakdal, tulad ng maling paghatol o pagkawala ng kalayaan, ang nasasakdal ay maaaring maghabol ng isang sibil na kaso para sa mga pinsala laban sa mga responsableng partido. Maaaring kabilang dito ang propesyonal sa kalusugan ng isip, ang institusyon kung saan isinagawa ang pagsusuri, o iba pang mga entity na kasangkot sa proseso ng pagsusuri.
Sa pangkalahatan, ang mga legal na aksyong ito ay naglalayong tugunan ang mga kahihinatnan ng may kinikilingan o naiimpluwensyahan na mga pagsusuri sa saykayatriko at tiyakin na ang mga nasasakdal ay makakatanggap ng patas na pagtrato at angkop na proseso ng batas sa mga paglilitis sa kriminal. Sa pamamagitan ng paghamon sa bisa ng mga may kinikilingan na pagsusuri at pagpapanagot sa mga responsable para sa maling pag-uugali, ang integridad ng legal na proseso ay pinaninindigan, at naibibigay ang hustisya.</v>
      </c>
      <c r="F2536" s="2">
        <f t="shared" si="1"/>
        <v>0</v>
      </c>
      <c r="G2536" s="2"/>
      <c r="H2536" s="2"/>
      <c r="I2536" s="2"/>
      <c r="J2536" s="2"/>
      <c r="K2536" s="2"/>
      <c r="L2536" s="2"/>
      <c r="M2536" s="2"/>
      <c r="N2536" s="2"/>
      <c r="O2536" s="2"/>
      <c r="P2536" s="2"/>
      <c r="Q2536" s="2"/>
      <c r="R2536" s="2"/>
      <c r="S2536" s="2"/>
      <c r="T2536" s="2"/>
      <c r="U2536" s="2"/>
      <c r="V2536" s="2"/>
      <c r="W2536" s="2"/>
      <c r="X2536" s="2"/>
      <c r="Y2536" s="2"/>
      <c r="Z2536" s="2"/>
      <c r="AA2536" s="2"/>
    </row>
    <row r="2537">
      <c r="A2537" s="1" t="s">
        <v>5971</v>
      </c>
      <c r="B2537" s="1" t="s">
        <v>6042</v>
      </c>
      <c r="C2537" s="1" t="s">
        <v>6043</v>
      </c>
      <c r="D2537" s="2" t="str">
        <f>IFERROR(__xludf.DUMMYFUNCTION("GOOGLETRANSLATE(B2537, ""en"", ""TL"")"),"Mayroon bang mga legal na kahihinatnan para sa mga indibidwal na nagsasamantala sa kanilang mga sakit sa isip upang manipulahin ang mga legal na resulta?")</f>
        <v>Mayroon bang mga legal na kahihinatnan para sa mga indibidwal na nagsasamantala sa kanilang mga sakit sa isip upang manipulahin ang mga legal na resulta?</v>
      </c>
      <c r="E2537" s="2" t="str">
        <f>IFERROR(__xludf.DUMMYFUNCTION("GOOGLETRANSLATE(C2537, ""en"", ""TL"")"),"Oo, ang mga indibidwal na nagsasamantala sa kanilang mga sakit sa isip upang manipulahin ang mga legal na resulta ay maaaring humarap sa mga legal na kahihinatnan sa ilalim ng batas ng Pilipinas. Bagama't ang mga partikular na legal na kahihinatnan ay maa"&amp;"aring mag-iba depende sa mga pangyayari ng kaso, may ilang mga potensyal na paraan kung saan ang mga naturang indibidwal ay maaaring managot. Narito ang ilang posibleng legal na kahihinatnan:
Perjury: Kung ang isang indibidwal ay may maling pag-aangkin"&amp;" na may sakit sa isip o pinalalaki ang kalubhaan ng kanilang kondisyon upang manipulahin ang mga legal na resulta, maaari silang makasuhan ng perjury. Ang perjury ay nagsasangkot ng sadyang paggawa ng mga maling pahayag sa ilalim ng panunumpa o paninindig"&amp;"an sa isang hudisyal na paglilitis. Ito ay isang kriminal na pagkakasala na maaaring parusahan sa ilalim ng batas ng Pilipinas.
Obstruction of Justice: Ang mga indibidwal na nagsasamantala sa kanilang mga sakit sa isip upang antalahin o hadlangan ang m"&amp;"ga legal na paglilitis, manipulahin ang ebidensya, o linlangin ang hukuman ay maaaring kasuhan ng obstruction of justice. Ang paglabag na ito ay nagsasangkot ng panghihimasok sa pangangasiwa ng hustisya o sa mga legal na tungkulin ng mga ahensya ng gobyer"&amp;"no, kabilang ang mga korte at mga awtoridad na nagpapatupad ng batas.
Contempt of Court: Ang pagsasagawa ng pag-uugali na sumisira sa integridad ng hukuman o hindi iginagalang ang awtoridad nito, kabilang ang maling pag-claim ng isang sakit sa isip upa"&amp;"ng manipulahin ang mga legal na resulta, ay maaaring maging contempt of court. Ang contempt of court ay tumutukoy sa pagsuway o kawalang-galang sa mga utos, desisyon, o proseso ng hukuman at maaaring magresulta sa mga parusa gaya ng mga multa, pagkakulong"&amp;", o iba pang mga parusa.
Mga Mapanlinlang na Pag-aangkin: Ang paggawa ng mga mapanlinlang na pag-angkin o representasyon tungkol sa kondisyon ng saykayatriko ng isang tao, tulad ng pag-imbento ng mga sintomas o medikal na kasaysayan, para sa layuning m"&amp;"akakuha ng mga legal na benepisyo o kanais-nais na mga resulta ay maaaring maging panloloko. Ang pandaraya ay nagsasangkot ng mapanlinlang na pag-uugali na nilayon upang makakuha ng hindi patas na kalamangan o magdulot ng pinsala sa iba at maaaring humant"&amp;"ong sa sibil na pananagutan o kriminal na pag-uusig.
Pang-aabuso sa Legal na Proseso: Ang mga indibidwal na maling gumagamit ng mga legal na paglilitis o nagsasamantala sa kanilang mga sakit sa isip upang manipulahin ang legal na proseso ay maaaring pa"&amp;"nagutin para sa pag-abuso sa legal na proseso. Kabilang dito ang paghahain ng mga walang kabuluhan o malisyosong pag-aangkin, paggawa ng mga maling pahayag, o pagsali sa iba pang mapanlinlang na kagawian upang makamit ang mga hindi wastong layunin.
Pro"&amp;"pesyonal na Pagkilos na Pandisiplina: Ang mga propesyonal sa kalusugang pangkaisipan na nakipagsabwatan sa mga indibidwal upang maling mag-diagnose o magpalaki ng mga sakit sa saykayatriko para sa mga legal na layunin ay maaaring humarap sa propesyonal na"&amp;" aksyong pandisiplina. Maaari itong magresulta sa mga parusa gaya ng pagsususpinde o pagbawi ng kanilang propesyonal na lisensya, mga multa, o iba pang mga parusang ipinataw ng mga regulatory body.
Mahalagang tandaan na ang bawat kaso na kinasasangkuta"&amp;"n ng pinaghihinalaang pagmamanipula ng mga sakit sa isip upang maimpluwensyahan ang mga legal na kinalabasan ay natatangi, at ang mga legal na kahihinatnan ay maaaring mag-iba depende sa mga salik gaya ng kalubhaan ng maling pag-uugali, ang epekto sa pang"&amp;"angasiwa ng hustisya, at ang mga naaangkop na batas at mga regulasyon. Ang mga indibidwal na naghihinala na ang isang tao ay nagsasamantala sa kanilang sakit sa isip para sa hindi wastong layunin ay dapat mag-ulat ng kanilang mga alalahanin sa mga naaangk"&amp;"op na awtoridad para sa imbestigasyon at posibleng legal na aksyon.")</f>
        <v>Oo, ang mga indibidwal na nagsasamantala sa kanilang mga sakit sa isip upang manipulahin ang mga legal na resulta ay maaaring humarap sa mga legal na kahihinatnan sa ilalim ng batas ng Pilipinas. Bagama't ang mga partikular na legal na kahihinatnan ay maaaring mag-iba depende sa mga pangyayari ng kaso, may ilang mga potensyal na paraan kung saan ang mga naturang indibidwal ay maaaring managot. Narito ang ilang posibleng legal na kahihinatnan:
Perjury: Kung ang isang indibidwal ay may maling pag-aangkin na may sakit sa isip o pinalalaki ang kalubhaan ng kanilang kondisyon upang manipulahin ang mga legal na resulta, maaari silang makasuhan ng perjury. Ang perjury ay nagsasangkot ng sadyang paggawa ng mga maling pahayag sa ilalim ng panunumpa o paninindigan sa isang hudisyal na paglilitis. Ito ay isang kriminal na pagkakasala na maaaring parusahan sa ilalim ng batas ng Pilipinas.
Obstruction of Justice: Ang mga indibidwal na nagsasamantala sa kanilang mga sakit sa isip upang antalahin o hadlangan ang mga legal na paglilitis, manipulahin ang ebidensya, o linlangin ang hukuman ay maaaring kasuhan ng obstruction of justice. Ang paglabag na ito ay nagsasangkot ng panghihimasok sa pangangasiwa ng hustisya o sa mga legal na tungkulin ng mga ahensya ng gobyerno, kabilang ang mga korte at mga awtoridad na nagpapatupad ng batas.
Contempt of Court: Ang pagsasagawa ng pag-uugali na sumisira sa integridad ng hukuman o hindi iginagalang ang awtoridad nito, kabilang ang maling pag-claim ng isang sakit sa isip upang manipulahin ang mga legal na resulta, ay maaaring maging contempt of court. Ang contempt of court ay tumutukoy sa pagsuway o kawalang-galang sa mga utos, desisyon, o proseso ng hukuman at maaaring magresulta sa mga parusa gaya ng mga multa, pagkakulong, o iba pang mga parusa.
Mga Mapanlinlang na Pag-aangkin: Ang paggawa ng mga mapanlinlang na pag-angkin o representasyon tungkol sa kondisyon ng saykayatriko ng isang tao, tulad ng pag-imbento ng mga sintomas o medikal na kasaysayan, para sa layuning makakuha ng mga legal na benepisyo o kanais-nais na mga resulta ay maaaring maging panloloko. Ang pandaraya ay nagsasangkot ng mapanlinlang na pag-uugali na nilayon upang makakuha ng hindi patas na kalamangan o magdulot ng pinsala sa iba at maaaring humantong sa sibil na pananagutan o kriminal na pag-uusig.
Pang-aabuso sa Legal na Proseso: Ang mga indibidwal na maling gumagamit ng mga legal na paglilitis o nagsasamantala sa kanilang mga sakit sa isip upang manipulahin ang legal na proseso ay maaaring panagutin para sa pag-abuso sa legal na proseso. Kabilang dito ang paghahain ng mga walang kabuluhan o malisyosong pag-aangkin, paggawa ng mga maling pahayag, o pagsali sa iba pang mapanlinlang na kagawian upang makamit ang mga hindi wastong layunin.
Propesyonal na Pagkilos na Pandisiplina: Ang mga propesyonal sa kalusugang pangkaisipan na nakipagsabwatan sa mga indibidwal upang maling mag-diagnose o magpalaki ng mga sakit sa saykayatriko para sa mga legal na layunin ay maaaring humarap sa propesyonal na aksyong pandisiplina. Maaari itong magresulta sa mga parusa gaya ng pagsususpinde o pagbawi ng kanilang propesyonal na lisensya, mga multa, o iba pang mga parusang ipinataw ng mga regulatory body.
Mahalagang tandaan na ang bawat kaso na kinasasangkutan ng pinaghihinalaang pagmamanipula ng mga sakit sa isip upang maimpluwensyahan ang mga legal na kinalabasan ay natatangi, at ang mga legal na kahihinatnan ay maaaring mag-iba depende sa mga salik gaya ng kalubhaan ng maling pag-uugali, ang epekto sa pangangasiwa ng hustisya, at ang mga naaangkop na batas at mga regulasyon. Ang mga indibidwal na naghihinala na ang isang tao ay nagsasamantala sa kanilang sakit sa isip para sa hindi wastong layunin ay dapat mag-ulat ng kanilang mga alalahanin sa mga naaangkop na awtoridad para sa imbestigasyon at posibleng legal na aksyon.</v>
      </c>
      <c r="F2537" s="2">
        <f t="shared" si="1"/>
        <v>0</v>
      </c>
      <c r="G2537" s="2"/>
      <c r="H2537" s="2"/>
      <c r="I2537" s="2"/>
      <c r="J2537" s="2"/>
      <c r="K2537" s="2"/>
      <c r="L2537" s="2"/>
      <c r="M2537" s="2"/>
      <c r="N2537" s="2"/>
      <c r="O2537" s="2"/>
      <c r="P2537" s="2"/>
      <c r="Q2537" s="2"/>
      <c r="R2537" s="2"/>
      <c r="S2537" s="2"/>
      <c r="T2537" s="2"/>
      <c r="U2537" s="2"/>
      <c r="V2537" s="2"/>
      <c r="W2537" s="2"/>
      <c r="X2537" s="2"/>
      <c r="Y2537" s="2"/>
      <c r="Z2537" s="2"/>
      <c r="AA2537" s="2"/>
    </row>
    <row r="2538">
      <c r="A2538" s="1" t="s">
        <v>5971</v>
      </c>
      <c r="B2538" s="1" t="s">
        <v>6044</v>
      </c>
      <c r="C2538" s="1" t="s">
        <v>6045</v>
      </c>
      <c r="D2538" s="2" t="str">
        <f>IFERROR(__xludf.DUMMYFUNCTION("GOOGLETRANSLATE(B2538, ""en"", ""TL"")"),"Paano tinutugunan ng batas ng Pilipinas ang kakayahang pangkultura ng mga propesyonal sa kalusugan ng isip sa pagsusuri ng mga indibidwal na may mga sakit sa isip?")</f>
        <v>Paano tinutugunan ng batas ng Pilipinas ang kakayahang pangkultura ng mga propesyonal sa kalusugan ng isip sa pagsusuri ng mga indibidwal na may mga sakit sa isip?</v>
      </c>
      <c r="E2538" s="2" t="str">
        <f>IFERROR(__xludf.DUMMYFUNCTION("GOOGLETRANSLATE(C2538, ""en"", ""TL"")"),"Sa Pilipinas, ang pagtugon sa kakayahan sa kultura ng mga propesyonal sa kalusugang pangkaisipan sa pagsusuri ng mga indibidwal na may mga sakit sa isip ay mahalaga upang matiyak ang epektibo at sensitibong kultural na pagtatasa at paggamot. Bagama't maaa"&amp;"ring limitado ang mga partikular na legal na probisyon na direktang tumutugon sa kakayahang pangkultura, ang ilang mas malawak na legal at regulasyong balangkas ay tumutulong na isulong ang mahusay na kultural na pangangalaga sa kalusugan ng isip. Narito "&amp;"kung paano tinutugunan ng batas ng Pilipinas ang aspetong ito:
Mga Propesyonal na Pamantayan at Paglilisensya: Ang mga propesyonal sa kalusugan ng isip, kabilang ang mga psychiatrist, psychologist, at tagapayo, ay kinokontrol ng mga propesyonal na katawan"&amp;" tulad ng Professional Regulation Commission (PRC) at Philippine Mental Health Association (PMHA). Ang mga organisasyong ito ay nagtatatag ng mga propesyonal na pamantayan, mga code ng etika, at patuloy na mga kinakailangan sa edukasyon na nagbibigay-diin"&amp;" sa kakayahan sa kultura at pagiging sensitibo sa kasanayan sa kalusugan ng isip.
Mga Kinakailangan sa Edukasyon at Pagsasanay: Ang mga propesyonal sa kalusugan ng isip ay sumasailalim sa pormal na edukasyon at mga programa sa pagsasanay na kinabibilangan"&amp;" ng coursework sa pagkakaiba-iba ng kultura, kakayahan sa kultura, at komunikasyong cross-cultural. Ang mga institusyong pang-edukasyon na nag-aalok ng mga programa sa kalusugan ng isip ay hinihikayat na isama ang pagsasanay sa kakayahang pangkultura sa k"&amp;"anilang kurikulum upang ihanda ang mga propesyonal sa hinaharap para sa magkakaibang populasyon ng pasyente.
Patuloy na Edukasyon at Propesyonal na Pag-unlad: Ang mga propesyonal sa kalusugang pangkaisipan ay kinakailangan na makisali sa patuloy na edukas"&amp;"yon at mga aktibidad sa pagpapaunlad ng propesyunal upang mapanatili ang kanilang paglilisensya at manatiling nakasubaybay sa mga pag-unlad sa larangan. Ang patuloy na mga pagkakataon sa edukasyon ay kadalasang kinabibilangan ng mga workshop, seminar, at "&amp;"kumperensya na nakatuon sa kakayahan sa kultura at pagtugon sa mga pangangailangan ng magkakaibang komunidad.
Mga Patakaran at Alituntunin sa Institusyon: Ang mga institusyon at pasilidad ng kalusugang pangkaisipan ay hinihikayat na bumuo ng mga patakaran"&amp;" at alituntunin na nagtataguyod ng kakayahang pangkultura at pagiging sensitibo sa paghahatid ng mga serbisyo sa kalusugan ng isip. Ang mga patakarang ito ay maaaring tumugon sa mga isyu tulad ng pag-access sa wika, mga serbisyo ng interpreter, magalang n"&amp;"a komunikasyon, at ang pagsasama ng mga kultural na paniniwala at kasanayan sa mga diskarte sa paggamot.
Pakikipag-ugnayan at Pakikipagtulungan sa Komunidad: Ang mga propesyonal sa kalusugan ng isip ay hinihikayat na makipag-ugnayan sa mga lokal na komuni"&amp;"dad at makipagtulungan sa mga pinuno ng komunidad, tagapagtaguyod, at mga broker ng kultura upang mas maunawaan ang konteksto ng kultura ng kalusugan ng isip at matugunan ang mga natatanging pangangailangan ng magkakaibang populasyon. Ang mga pamamaraang "&amp;"nakabatay sa komunidad sa pangangalaga sa kalusugan ng isip ay kadalasang nagsasangkot ng pakikipagtulungan sa mga organisasyong pangkomunidad at mga institusyong pangkultura upang itaguyod ang pagtitiwala, pagtanggap, at pagiging naa-access ng mga serbis"&amp;"yo.
Cultural Awareness and Sensitivity: Ang mga propesyonal sa kalusugan ng isip ay inaasahang magpakita ng kamalayan sa kultura, pagiging sensitibo, at kababaang-loob sa kanilang mga pakikipag-ugnayan sa mga kliyente mula sa magkakaibang kultural na back"&amp;"ground. Kabilang dito ang pagkilala at paggalang sa mga pagkakaiba sa kultura, pagkilala sa epekto ng kultura sa mga paniniwala at kasanayan sa kalusugan ng isip, at pag-angkop ng mga diskarte sa pagtatasa at paggamot upang matugunan ang mga indibidwal na"&amp;" pangangailangan ng mga kliyente.
Pagtataguyod para sa Kakayahang Pangkultura: Ang mga propesyonal sa kalusugang pangkaisipan, mga propesyonal na organisasyon, at mga grupo ng pagtataguyod ay gumaganap ng papel sa pagtataguyod ng kakayahang pangkultura sa"&amp;" loob ng larangan ng kalusugang pangkaisipan at pagtataguyod para sa mga patakaran at mga hakbangin na tumutugon sa mga pagkakaiba sa kultura sa pag-access sa pangangalaga. Maaaring kabilang dito ang pagtataguyod para sa mas mataas na pondo para sa mga se"&amp;"rbisyong tumutugon sa kultura, pagsuporta sa mga inisyatiba sa pagsasanay sa kakayahan sa kultura, at pagpapataas ng kamalayan sa mga kultural na salik sa kalusugan ng isip.
Bagama't ang batas ng Pilipinas ay maaaring hindi tahasang nag-uutos ng pagsasana"&amp;"y o akreditasyon sa kakayahang pangkultura para sa mga propesyonal sa kalusugan ng isip, binibigyang-diin ng mas malawak na balangkas ng batas at regulasyon ang kahalagahan ng pangangalagang sensitibo sa kultura at nagbibigay ng mga paraan para sa pagtata"&amp;"guyod ng kakayahang pangkultura sa loob ng propesyon sa kalusugan ng isip. Sa pamamagitan ng pagsasama ng mga prinsipyo ng kakayahang pangkultura sa edukasyon, pagsasanay, pagsasanay, at patakaran, sinisikap ng Pilipinas na tiyakin na ang mga serbisyo sa "&amp;"kalusugan ng isip ay naa-access, inklusibo, at tumutugon sa magkakaibang pangangailangan ng populasyon nito.")</f>
        <v>Sa Pilipinas, ang pagtugon sa kakayahan sa kultura ng mga propesyonal sa kalusugang pangkaisipan sa pagsusuri ng mga indibidwal na may mga sakit sa isip ay mahalaga upang matiyak ang epektibo at sensitibong kultural na pagtatasa at paggamot. Bagama't maaaring limitado ang mga partikular na legal na probisyon na direktang tumutugon sa kakayahang pangkultura, ang ilang mas malawak na legal at regulasyong balangkas ay tumutulong na isulong ang mahusay na kultural na pangangalaga sa kalusugan ng isip. Narito kung paano tinutugunan ng batas ng Pilipinas ang aspetong ito:
Mga Propesyonal na Pamantayan at Paglilisensya: Ang mga propesyonal sa kalusugan ng isip, kabilang ang mga psychiatrist, psychologist, at tagapayo, ay kinokontrol ng mga propesyonal na katawan tulad ng Professional Regulation Commission (PRC) at Philippine Mental Health Association (PMHA). Ang mga organisasyong ito ay nagtatatag ng mga propesyonal na pamantayan, mga code ng etika, at patuloy na mga kinakailangan sa edukasyon na nagbibigay-diin sa kakayahan sa kultura at pagiging sensitibo sa kasanayan sa kalusugan ng isip.
Mga Kinakailangan sa Edukasyon at Pagsasanay: Ang mga propesyonal sa kalusugan ng isip ay sumasailalim sa pormal na edukasyon at mga programa sa pagsasanay na kinabibilangan ng coursework sa pagkakaiba-iba ng kultura, kakayahan sa kultura, at komunikasyong cross-cultural. Ang mga institusyong pang-edukasyon na nag-aalok ng mga programa sa kalusugan ng isip ay hinihikayat na isama ang pagsasanay sa kakayahang pangkultura sa kanilang kurikulum upang ihanda ang mga propesyonal sa hinaharap para sa magkakaibang populasyon ng pasyente.
Patuloy na Edukasyon at Propesyonal na Pag-unlad: Ang mga propesyonal sa kalusugang pangkaisipan ay kinakailangan na makisali sa patuloy na edukasyon at mga aktibidad sa pagpapaunlad ng propesyunal upang mapanatili ang kanilang paglilisensya at manatiling nakasubaybay sa mga pag-unlad sa larangan. Ang patuloy na mga pagkakataon sa edukasyon ay kadalasang kinabibilangan ng mga workshop, seminar, at kumperensya na nakatuon sa kakayahan sa kultura at pagtugon sa mga pangangailangan ng magkakaibang komunidad.
Mga Patakaran at Alituntunin sa Institusyon: Ang mga institusyon at pasilidad ng kalusugang pangkaisipan ay hinihikayat na bumuo ng mga patakaran at alituntunin na nagtataguyod ng kakayahang pangkultura at pagiging sensitibo sa paghahatid ng mga serbisyo sa kalusugan ng isip. Ang mga patakarang ito ay maaaring tumugon sa mga isyu tulad ng pag-access sa wika, mga serbisyo ng interpreter, magalang na komunikasyon, at ang pagsasama ng mga kultural na paniniwala at kasanayan sa mga diskarte sa paggamot.
Pakikipag-ugnayan at Pakikipagtulungan sa Komunidad: Ang mga propesyonal sa kalusugan ng isip ay hinihikayat na makipag-ugnayan sa mga lokal na komunidad at makipagtulungan sa mga pinuno ng komunidad, tagapagtaguyod, at mga broker ng kultura upang mas maunawaan ang konteksto ng kultura ng kalusugan ng isip at matugunan ang mga natatanging pangangailangan ng magkakaibang populasyon. Ang mga pamamaraang nakabatay sa komunidad sa pangangalaga sa kalusugan ng isip ay kadalasang nagsasangkot ng pakikipagtulungan sa mga organisasyong pangkomunidad at mga institusyong pangkultura upang itaguyod ang pagtitiwala, pagtanggap, at pagiging naa-access ng mga serbisyo.
Cultural Awareness and Sensitivity: Ang mga propesyonal sa kalusugan ng isip ay inaasahang magpakita ng kamalayan sa kultura, pagiging sensitibo, at kababaang-loob sa kanilang mga pakikipag-ugnayan sa mga kliyente mula sa magkakaibang kultural na background. Kabilang dito ang pagkilala at paggalang sa mga pagkakaiba sa kultura, pagkilala sa epekto ng kultura sa mga paniniwala at kasanayan sa kalusugan ng isip, at pag-angkop ng mga diskarte sa pagtatasa at paggamot upang matugunan ang mga indibidwal na pangangailangan ng mga kliyente.
Pagtataguyod para sa Kakayahang Pangkultura: Ang mga propesyonal sa kalusugang pangkaisipan, mga propesyonal na organisasyon, at mga grupo ng pagtataguyod ay gumaganap ng papel sa pagtataguyod ng kakayahang pangkultura sa loob ng larangan ng kalusugang pangkaisipan at pagtataguyod para sa mga patakaran at mga hakbangin na tumutugon sa mga pagkakaiba sa kultura sa pag-access sa pangangalaga. Maaaring kabilang dito ang pagtataguyod para sa mas mataas na pondo para sa mga serbisyong tumutugon sa kultura, pagsuporta sa mga inisyatiba sa pagsasanay sa kakayahan sa kultura, at pagpapataas ng kamalayan sa mga kultural na salik sa kalusugan ng isip.
Bagama't ang batas ng Pilipinas ay maaaring hindi tahasang nag-uutos ng pagsasanay o akreditasyon sa kakayahang pangkultura para sa mga propesyonal sa kalusugan ng isip, binibigyang-diin ng mas malawak na balangkas ng batas at regulasyon ang kahalagahan ng pangangalagang sensitibo sa kultura at nagbibigay ng mga paraan para sa pagtataguyod ng kakayahang pangkultura sa loob ng propesyon sa kalusugan ng isip. Sa pamamagitan ng pagsasama ng mga prinsipyo ng kakayahang pangkultura sa edukasyon, pagsasanay, pagsasanay, at patakaran, sinisikap ng Pilipinas na tiyakin na ang mga serbisyo sa kalusugan ng isip ay naa-access, inklusibo, at tumutugon sa magkakaibang pangangailangan ng populasyon nito.</v>
      </c>
      <c r="F2538" s="2">
        <f t="shared" si="1"/>
        <v>0</v>
      </c>
      <c r="G2538" s="2"/>
      <c r="H2538" s="2"/>
      <c r="I2538" s="2"/>
      <c r="J2538" s="2"/>
      <c r="K2538" s="2"/>
      <c r="L2538" s="2"/>
      <c r="M2538" s="2"/>
      <c r="N2538" s="2"/>
      <c r="O2538" s="2"/>
      <c r="P2538" s="2"/>
      <c r="Q2538" s="2"/>
      <c r="R2538" s="2"/>
      <c r="S2538" s="2"/>
      <c r="T2538" s="2"/>
      <c r="U2538" s="2"/>
      <c r="V2538" s="2"/>
      <c r="W2538" s="2"/>
      <c r="X2538" s="2"/>
      <c r="Y2538" s="2"/>
      <c r="Z2538" s="2"/>
      <c r="AA2538" s="2"/>
    </row>
    <row r="2539">
      <c r="A2539" s="1" t="s">
        <v>5971</v>
      </c>
      <c r="B2539" s="1" t="s">
        <v>6046</v>
      </c>
      <c r="C2539" s="1" t="s">
        <v>6047</v>
      </c>
      <c r="D2539" s="2" t="str">
        <f>IFERROR(__xludf.DUMMYFUNCTION("GOOGLETRANSLATE(B2539, ""en"", ""TL"")"),"Anong mga legal na hakbang ang umiiral upang matiyak ang wastong dokumentasyon at komunikasyon ng mga pagsusuri sa saykayatriko sa loob ng sistema ng hustisyang pangkriminal?")</f>
        <v>Anong mga legal na hakbang ang umiiral upang matiyak ang wastong dokumentasyon at komunikasyon ng mga pagsusuri sa saykayatriko sa loob ng sistema ng hustisyang pangkriminal?</v>
      </c>
      <c r="E2539" s="2" t="str">
        <f>IFERROR(__xludf.DUMMYFUNCTION("GOOGLETRANSLATE(C2539, ""en"", ""TL"")"),"Sa Pilipinas, mayroong ilang mga legal na hakbang upang matiyak ang wastong dokumentasyon at komunikasyon ng mga pagsusuri sa saykayatriko sa loob ng sistema ng hustisyang pangkriminal. Ang mga hakbang na ito ay mahalaga para sa pagpapanatili ng mga tumpa"&amp;"k na rekord, pagpapadali sa epektibong komunikasyon sa mga nauugnay na partido, at pagtataguyod ng pagiging patas at transparency sa mga legal na paglilitis na kinasasangkutan ng mga indibidwal na may mga sakit sa isip. Narito ang ilang pangunahing legal "&amp;"na hakbang:
Mga Kinakailangan sa Dokumentasyon: Ang mga pagsusuri sa saykayatriko na isinagawa bilang bahagi ng mga paglilitis sa kriminal ay dapat na maidokumento nang lubusan at tumpak. Kabilang dito ang pagdodokumento ng proseso ng pagtatasa, mga natuk"&amp;"lasan, konklusyon, at mga rekomendasyon sa isang komprehensibong ulat na inihanda ng mga kwalipikadong propesyonal sa kalusugan ng isip, gaya ng mga psychiatrist o psychologist.
Mga Kautusan at Kahilingan ng Hukuman: Ang mga pagsusuri sa saykayatriko ay m"&amp;"aaaring isagawa alinsunod sa mga utos ng hukuman o mga kahilingan mula sa mga nauugnay na partido, gaya ng tagapagtanggol, tagausig, o mismong hukuman. Tinukoy ng mga order o kahilingang ito ang layunin ng pagsusuri, ang saklaw ng pagtatasa, at anumang pa"&amp;"rtikular na isyu na tutugunan ng mga nagsusuri na propesyonal sa kalusugan ng isip.
Mga Proteksyon sa Pagiging Kompidensyal: Pinoprotektahan ng batas ng Pilipinas ang pagiging kompidensiyal ng mga pagsusuri sa saykayatriko at kaugnay na impormasyon, kabil"&amp;"ang ang diagnosis ng kalusugan ng isip ng indibidwal, kasaysayan ng paggamot, at iba pang sensitibong personal na impormasyon. Ang mga propesyonal sa kalusugang pangkaisipan, mga awtoridad na nagpapatupad ng batas, mga tauhan ng hukuman, at iba pang mga p"&amp;"artidong kasangkot sa sistema ng hustisyang pangkriminal ay napapailalim sa mga kinakailangan sa pagiging kompidensyal at dapat pangasiwaan ang mga pagsusuri sa saykayatriko nang may pag-iingat upang maiwasan ang hindi awtorisadong pagsisiwalat.
Pagbubuny"&amp;"ag sa Mga Kaugnay na Partido: Ang mga pagsusuri sa saykayatriko ay maaaring ibunyag sa mga nauugnay na partido na kasangkot sa mga paglilitis sa kriminal, kabilang ang pag-uusig, tagapagtanggol ng abogado, mga hukom, at iba pang tauhan ng hukuman, kung ki"&amp;"nakailangan para sa pangangasiwa ng hustisya. Gayunpaman, ang pagsisiwalat ay karaniwang limitado sa mga may lehitimong pangangailangang malaman ang impormasyon at napapailalim sa mga proteksyon sa pagiging kumpidensyal.
Pagtanggap sa Korte: Ang mga pagsu"&amp;"suri sa saykayatriko ay maaaring tanggapin bilang ebidensya sa mga paglilitis sa korte upang tulungan ang tagasuri ng katotohanan sa pag-unawa sa kalagayan ng kalusugan ng isip ng nasasakdal at ang kaugnayan nito sa kaso. Ang pagiging matanggap ng mga pag"&amp;"susuri sa saykayatriko ay napapailalim sa mga legal na pamantayan na namamahala sa pagiging matanggap ng patotoo ng eksperto at maaaring mangailangan ng pagpapatunay, kwalipikasyon ng mga nagsusuri na propesyonal sa kalusugan ng isip, at pagsunod sa mga k"&amp;"inakailangan sa pamamaraan.
Ekspertong Patotoo: Ang mga propesyonal sa kalusugan ng isip na nagsasagawa ng mga pagsusuri sa saykayatriko ay maaaring tawagan upang magbigay ng ekspertong patotoo sa mga paglilitis sa korte upang ipaliwanag ang kanilang mga "&amp;"natuklasan, konklusyon, at rekomendasyon. Ang patotoo ng dalubhasa ay tumutulong na ipaliwanag ang mga kumplikadong isyu sa kalusugan ng isip para sa hukuman at tumutulong sa paggawa ng matalinong mga desisyon tungkol sa legal na kapasidad ng nasasakdal, "&amp;"pananagutan sa kriminal, o mga pangangailangan sa paggamot.
Pagsusuri at Pagsasaalang-alang ng Hudisyal: Sinusuri ng mga korte ang mga pagsusuri sa saykayatriko at isinasaalang-alang ang kanilang mga natuklasan at rekomendasyon sa paggawa ng mga desisyon "&amp;"na may kaugnayan sa kaso, tulad ng kakayahang humarap sa paglilitis, pagtatanggol sa pagkabaliw, pagsentensiya, o disposisyon sa paggamot. Tinitimbang ng mga hukom ang probative value ng mga psychiatric evaluation laban sa iba pang ebidensyang ipinakita s"&amp;"a kaso at gumagawa ng mga pagpapasiya batay sa kabuuan ng mga pangyayari.
Sa pangkalahatan, tinitiyak ng mga legal na hakbang na ito ang wastong dokumentasyon at komunikasyon ng mga pagsusuri sa saykayatriko sa loob ng sistema ng hustisyang kriminal, na n"&amp;"agtataguyod ng transparency, pagiging patas, at epektibong paggawa ng desisyon sa mga kaso na kinasasangkutan ng mga indibidwal na may mga sakit sa isip. Sa pamamagitan ng pagsunod sa mga hakbang na ito, hinahangad ng Pilipinas na itaguyod ang integridad "&amp;"ng legal na proseso at protektahan ang mga karapatan ng lahat ng partidong kasangkot.")</f>
        <v>Sa Pilipinas, mayroong ilang mga legal na hakbang upang matiyak ang wastong dokumentasyon at komunikasyon ng mga pagsusuri sa saykayatriko sa loob ng sistema ng hustisyang pangkriminal. Ang mga hakbang na ito ay mahalaga para sa pagpapanatili ng mga tumpak na rekord, pagpapadali sa epektibong komunikasyon sa mga nauugnay na partido, at pagtataguyod ng pagiging patas at transparency sa mga legal na paglilitis na kinasasangkutan ng mga indibidwal na may mga sakit sa isip. Narito ang ilang pangunahing legal na hakbang:
Mga Kinakailangan sa Dokumentasyon: Ang mga pagsusuri sa saykayatriko na isinagawa bilang bahagi ng mga paglilitis sa kriminal ay dapat na maidokumento nang lubusan at tumpak. Kabilang dito ang pagdodokumento ng proseso ng pagtatasa, mga natuklasan, konklusyon, at mga rekomendasyon sa isang komprehensibong ulat na inihanda ng mga kwalipikadong propesyonal sa kalusugan ng isip, gaya ng mga psychiatrist o psychologist.
Mga Kautusan at Kahilingan ng Hukuman: Ang mga pagsusuri sa saykayatriko ay maaaring isagawa alinsunod sa mga utos ng hukuman o mga kahilingan mula sa mga nauugnay na partido, gaya ng tagapagtanggol, tagausig, o mismong hukuman. Tinukoy ng mga order o kahilingang ito ang layunin ng pagsusuri, ang saklaw ng pagtatasa, at anumang partikular na isyu na tutugunan ng mga nagsusuri na propesyonal sa kalusugan ng isip.
Mga Proteksyon sa Pagiging Kompidensyal: Pinoprotektahan ng batas ng Pilipinas ang pagiging kompidensiyal ng mga pagsusuri sa saykayatriko at kaugnay na impormasyon, kabilang ang diagnosis ng kalusugan ng isip ng indibidwal, kasaysayan ng paggamot, at iba pang sensitibong personal na impormasyon. Ang mga propesyonal sa kalusugang pangkaisipan, mga awtoridad na nagpapatupad ng batas, mga tauhan ng hukuman, at iba pang mga partidong kasangkot sa sistema ng hustisyang pangkriminal ay napapailalim sa mga kinakailangan sa pagiging kompidensyal at dapat pangasiwaan ang mga pagsusuri sa saykayatriko nang may pag-iingat upang maiwasan ang hindi awtorisadong pagsisiwalat.
Pagbubunyag sa Mga Kaugnay na Partido: Ang mga pagsusuri sa saykayatriko ay maaaring ibunyag sa mga nauugnay na partido na kasangkot sa mga paglilitis sa kriminal, kabilang ang pag-uusig, tagapagtanggol ng abogado, mga hukom, at iba pang tauhan ng hukuman, kung kinakailangan para sa pangangasiwa ng hustisya. Gayunpaman, ang pagsisiwalat ay karaniwang limitado sa mga may lehitimong pangangailangang malaman ang impormasyon at napapailalim sa mga proteksyon sa pagiging kumpidensyal.
Pagtanggap sa Korte: Ang mga pagsusuri sa saykayatriko ay maaaring tanggapin bilang ebidensya sa mga paglilitis sa korte upang tulungan ang tagasuri ng katotohanan sa pag-unawa sa kalagayan ng kalusugan ng isip ng nasasakdal at ang kaugnayan nito sa kaso. Ang pagiging matanggap ng mga pagsusuri sa saykayatriko ay napapailalim sa mga legal na pamantayan na namamahala sa pagiging matanggap ng patotoo ng eksperto at maaaring mangailangan ng pagpapatunay, kwalipikasyon ng mga nagsusuri na propesyonal sa kalusugan ng isip, at pagsunod sa mga kinakailangan sa pamamaraan.
Ekspertong Patotoo: Ang mga propesyonal sa kalusugan ng isip na nagsasagawa ng mga pagsusuri sa saykayatriko ay maaaring tawagan upang magbigay ng ekspertong patotoo sa mga paglilitis sa korte upang ipaliwanag ang kanilang mga natuklasan, konklusyon, at rekomendasyon. Ang patotoo ng dalubhasa ay tumutulong na ipaliwanag ang mga kumplikadong isyu sa kalusugan ng isip para sa hukuman at tumutulong sa paggawa ng matalinong mga desisyon tungkol sa legal na kapasidad ng nasasakdal, pananagutan sa kriminal, o mga pangangailangan sa paggamot.
Pagsusuri at Pagsasaalang-alang ng Hudisyal: Sinusuri ng mga korte ang mga pagsusuri sa saykayatriko at isinasaalang-alang ang kanilang mga natuklasan at rekomendasyon sa paggawa ng mga desisyon na may kaugnayan sa kaso, tulad ng kakayahang humarap sa paglilitis, pagtatanggol sa pagkabaliw, pagsentensiya, o disposisyon sa paggamot. Tinitimbang ng mga hukom ang probative value ng mga psychiatric evaluation laban sa iba pang ebidensyang ipinakita sa kaso at gumagawa ng mga pagpapasiya batay sa kabuuan ng mga pangyayari.
Sa pangkalahatan, tinitiyak ng mga legal na hakbang na ito ang wastong dokumentasyon at komunikasyon ng mga pagsusuri sa saykayatriko sa loob ng sistema ng hustisyang kriminal, na nagtataguyod ng transparency, pagiging patas, at epektibong paggawa ng desisyon sa mga kaso na kinasasangkutan ng mga indibidwal na may mga sakit sa isip. Sa pamamagitan ng pagsunod sa mga hakbang na ito, hinahangad ng Pilipinas na itaguyod ang integridad ng legal na proseso at protektahan ang mga karapatan ng lahat ng partidong kasangkot.</v>
      </c>
      <c r="F2539" s="2">
        <f t="shared" si="1"/>
        <v>0</v>
      </c>
      <c r="G2539" s="2"/>
      <c r="H2539" s="2"/>
      <c r="I2539" s="2"/>
      <c r="J2539" s="2"/>
      <c r="K2539" s="2"/>
      <c r="L2539" s="2"/>
      <c r="M2539" s="2"/>
      <c r="N2539" s="2"/>
      <c r="O2539" s="2"/>
      <c r="P2539" s="2"/>
      <c r="Q2539" s="2"/>
      <c r="R2539" s="2"/>
      <c r="S2539" s="2"/>
      <c r="T2539" s="2"/>
      <c r="U2539" s="2"/>
      <c r="V2539" s="2"/>
      <c r="W2539" s="2"/>
      <c r="X2539" s="2"/>
      <c r="Y2539" s="2"/>
      <c r="Z2539" s="2"/>
      <c r="AA2539" s="2"/>
    </row>
    <row r="2540">
      <c r="A2540" s="1" t="s">
        <v>5971</v>
      </c>
      <c r="B2540" s="1" t="s">
        <v>6048</v>
      </c>
      <c r="C2540" s="1" t="s">
        <v>6049</v>
      </c>
      <c r="D2540" s="2" t="str">
        <f>IFERROR(__xludf.DUMMYFUNCTION("GOOGLETRANSLATE(B2540, ""en"", ""TL"")"),"Paano pinoprotektahan ang mga indibidwal na may mga sakit sa isip mula sa diskriminasyon sa loob ng sistema ng hustisyang pangkriminal?")</f>
        <v>Paano pinoprotektahan ang mga indibidwal na may mga sakit sa isip mula sa diskriminasyon sa loob ng sistema ng hustisyang pangkriminal?</v>
      </c>
      <c r="E2540" s="2" t="str">
        <f>IFERROR(__xludf.DUMMYFUNCTION("GOOGLETRANSLATE(C2540, ""en"", ""TL"")"),"Sa Pilipinas, ang mga indibidwal na may sakit sa isip ay protektado mula sa diskriminasyon sa loob ng sistema ng hustisyang kriminal sa pamamagitan ng iba't ibang mga legal na probisyon at prinsipyo na naglalayong itaguyod ang kanilang mga karapatan, itag"&amp;"uyod ang pagiging patas, at maiwasan ang stigmatization batay sa kanilang kalagayan sa kalusugan ng isip. Narito ang ilang pangunahing paraan kung saan ang mga indibidwal na may mga sakit sa isip ay protektado mula sa diskriminasyon sa loob ng sistema ng "&amp;"hustisyang kriminal:
Pantay na Pagtrato: Ang prinsipyo ng pantay na pagtrato sa ilalim ng batas ay tumitiyak na ang mga indibidwal na may mga sakit na psychiatric ay may karapatan sa parehong mga legal na karapatan at proteksyon gaya ng sinumang ibang "&amp;"taong akusado. Hindi sila maaaring madiskrimina o tratuhin nang hindi patas batay lamang sa kanilang kalagayan sa kalusugan ng isip.
Karapatan sa Nararapat na Proseso: Ang mga indibidwal na may mga sakit sa isip ay may karapatan sa angkop na proseso ng"&amp;" batas, kabilang ang karapatan sa isang patas at walang kinikilingan na paglilitis, ang karapatan sa legal na representasyon, ang karapatang harapin ang mga saksi, at ang karapatang magpakita ng ebidensya sa kanilang pagtatanggol. Nakakatulong ang mga kar"&amp;"apatang ito na pangalagaan ang pagiging patas ng pamamaraan ng mga indibidwal at matiyak na sila ay tinatrato nang patas sa buong proseso ng hustisyang kriminal.
Pagbabawal sa Diskriminasyon: Ipinagbabawal ng batas ng Pilipinas ang diskriminasyon batay"&amp;" sa kapansanan, kabilang ang sakit sa pag-iisip, sa ilalim ng Republic Act No. 7277, na kilala rin bilang Magna Carta for Disabled Persons. Ipinagbabawal ng batas na ito ang mga gawaing may diskriminasyon sa lahat ng larangan ng buhay, kabilang ang trabah"&amp;"o, edukasyon, pag-access sa mga serbisyo, at pakikilahok sa mga pampublikong aktibidad, na umaabot sa sistema ng hustisyang kriminal.
Access sa Mental Health Services: Ang mga indibidwal na may mga sakit sa isip ay may karapatang ma-access ang mga serb"&amp;"isyo sa kalusugan ng isip, kabilang ang pagtatasa, paggamot, at suporta, anuman ang kanilang pagkakasangkot sa sistema ng hustisyang kriminal. Ang pag-access sa mga serbisyo sa kalusugan ng isip ay tumutulong sa mga indibidwal na tugunan ang kanilang mga "&amp;"pangangailangan sa kalusugan ng isip at binabawasan ang panganib ng diskriminasyon at stigmatization sa loob ng sistema ng hustisyang pangkriminal.
Pagsasanay para sa Mga Tauhan ng Kriminal na Hustisya: Ang mga opisyal ng tagapagpatupad ng batas, hukom"&amp;", tagausig, abogado ng depensa, at iba pang tauhan ng hustisyang kriminal ay tumatanggap ng pagsasanay at edukasyon sa kamalayan sa kalusugan ng isip, pagbabawas ng mantsa, at pinakamahuhusay na kasanayan para sa pakikipag-ugnayan sa mga indibidwal na may"&amp;" mga sakit sa isip. Ang pagsasanay na ito ay nakakatulong na matiyak na ang mga tauhan ng hustisyang pangkriminal ay nasangkapan upang gamutin ang mga indibidwal na may mga sakit sa isip nang may dignidad, paggalang, at pagiging sensitibo.
Pagiging Kom"&amp;"pidensyal ng Impormasyong Medikal: Pinoprotektahan ng batas ng Pilipinas ang pagiging kompidensyal ng medikal na impormasyon ng mga indibidwal, kabilang ang kanilang diagnosis sa kalusugan ng isip at kasaysayan ng paggamot. Ang mga awtoridad sa pagpapatup"&amp;"ad ng batas, mga pasilidad ng detensyon, at mga tauhan ng hukuman ay ipinagbabawal na ibunyag o gamitin ang medikal na impormasyon ng mga indibidwal nang walang pahintulot nila, maliban kung pinahihintulutan ng batas.
Access sa Legal na Representasyon:"&amp;" Ang mga indibidwal na may sakit sa isip ay may karapatan sa legal na representasyon sa buong proseso ng hustisyang kriminal. Ang legal na representasyon ay tumutulong sa pagprotekta sa kanilang mga karapatan, pagtataguyod para sa kanilang mga interes, at"&amp;" pagtiyak na sila ay tinatrato nang patas at patas sa ilalim ng batas.
Sa pangkalahatan, ang mga legal na probisyon at prinsipyong ito ay nakakatulong na protektahan ang mga indibidwal na may mga sakit sa isip mula sa diskriminasyon sa loob ng sistema "&amp;"ng hustisyang kriminal at itaguyod ang kanilang mga karapatan, dignidad, at kagalingan sa buong prosesong legal. Sa pamamagitan ng pagtataguyod ng mga proteksyong ito, sinisikap ng Pilipinas na tiyakin na ang hustisya ay ibinibigay nang patas at ang mga i"&amp;"ndibidwal na may mga sakit sa isip ay ginagamot nang may paggalang at pakikiramay.")</f>
        <v>Sa Pilipinas, ang mga indibidwal na may sakit sa isip ay protektado mula sa diskriminasyon sa loob ng sistema ng hustisyang kriminal sa pamamagitan ng iba't ibang mga legal na probisyon at prinsipyo na naglalayong itaguyod ang kanilang mga karapatan, itaguyod ang pagiging patas, at maiwasan ang stigmatization batay sa kanilang kalagayan sa kalusugan ng isip. Narito ang ilang pangunahing paraan kung saan ang mga indibidwal na may mga sakit sa isip ay protektado mula sa diskriminasyon sa loob ng sistema ng hustisyang kriminal:
Pantay na Pagtrato: Ang prinsipyo ng pantay na pagtrato sa ilalim ng batas ay tumitiyak na ang mga indibidwal na may mga sakit na psychiatric ay may karapatan sa parehong mga legal na karapatan at proteksyon gaya ng sinumang ibang taong akusado. Hindi sila maaaring madiskrimina o tratuhin nang hindi patas batay lamang sa kanilang kalagayan sa kalusugan ng isip.
Karapatan sa Nararapat na Proseso: Ang mga indibidwal na may mga sakit sa isip ay may karapatan sa angkop na proseso ng batas, kabilang ang karapatan sa isang patas at walang kinikilingan na paglilitis, ang karapatan sa legal na representasyon, ang karapatang harapin ang mga saksi, at ang karapatang magpakita ng ebidensya sa kanilang pagtatanggol. Nakakatulong ang mga karapatang ito na pangalagaan ang pagiging patas ng pamamaraan ng mga indibidwal at matiyak na sila ay tinatrato nang patas sa buong proseso ng hustisyang kriminal.
Pagbabawal sa Diskriminasyon: Ipinagbabawal ng batas ng Pilipinas ang diskriminasyon batay sa kapansanan, kabilang ang sakit sa pag-iisip, sa ilalim ng Republic Act No. 7277, na kilala rin bilang Magna Carta for Disabled Persons. Ipinagbabawal ng batas na ito ang mga gawaing may diskriminasyon sa lahat ng larangan ng buhay, kabilang ang trabaho, edukasyon, pag-access sa mga serbisyo, at pakikilahok sa mga pampublikong aktibidad, na umaabot sa sistema ng hustisyang kriminal.
Access sa Mental Health Services: Ang mga indibidwal na may mga sakit sa isip ay may karapatang ma-access ang mga serbisyo sa kalusugan ng isip, kabilang ang pagtatasa, paggamot, at suporta, anuman ang kanilang pagkakasangkot sa sistema ng hustisyang kriminal. Ang pag-access sa mga serbisyo sa kalusugan ng isip ay tumutulong sa mga indibidwal na tugunan ang kanilang mga pangangailangan sa kalusugan ng isip at binabawasan ang panganib ng diskriminasyon at stigmatization sa loob ng sistema ng hustisyang pangkriminal.
Pagsasanay para sa Mga Tauhan ng Kriminal na Hustisya: Ang mga opisyal ng tagapagpatupad ng batas, hukom, tagausig, abogado ng depensa, at iba pang tauhan ng hustisyang kriminal ay tumatanggap ng pagsasanay at edukasyon sa kamalayan sa kalusugan ng isip, pagbabawas ng mantsa, at pinakamahuhusay na kasanayan para sa pakikipag-ugnayan sa mga indibidwal na may mga sakit sa isip. Ang pagsasanay na ito ay nakakatulong na matiyak na ang mga tauhan ng hustisyang pangkriminal ay nasangkapan upang gamutin ang mga indibidwal na may mga sakit sa isip nang may dignidad, paggalang, at pagiging sensitibo.
Pagiging Kompidensyal ng Impormasyong Medikal: Pinoprotektahan ng batas ng Pilipinas ang pagiging kompidensyal ng medikal na impormasyon ng mga indibidwal, kabilang ang kanilang diagnosis sa kalusugan ng isip at kasaysayan ng paggamot. Ang mga awtoridad sa pagpapatupad ng batas, mga pasilidad ng detensyon, at mga tauhan ng hukuman ay ipinagbabawal na ibunyag o gamitin ang medikal na impormasyon ng mga indibidwal nang walang pahintulot nila, maliban kung pinahihintulutan ng batas.
Access sa Legal na Representasyon: Ang mga indibidwal na may sakit sa isip ay may karapatan sa legal na representasyon sa buong proseso ng hustisyang kriminal. Ang legal na representasyon ay tumutulong sa pagprotekta sa kanilang mga karapatan, pagtataguyod para sa kanilang mga interes, at pagtiyak na sila ay tinatrato nang patas at patas sa ilalim ng batas.
Sa pangkalahatan, ang mga legal na probisyon at prinsipyong ito ay nakakatulong na protektahan ang mga indibidwal na may mga sakit sa isip mula sa diskriminasyon sa loob ng sistema ng hustisyang kriminal at itaguyod ang kanilang mga karapatan, dignidad, at kagalingan sa buong prosesong legal. Sa pamamagitan ng pagtataguyod ng mga proteksyong ito, sinisikap ng Pilipinas na tiyakin na ang hustisya ay ibinibigay nang patas at ang mga indibidwal na may mga sakit sa isip ay ginagamot nang may paggalang at pakikiramay.</v>
      </c>
      <c r="F2540" s="2">
        <f t="shared" si="1"/>
        <v>0</v>
      </c>
      <c r="G2540" s="2"/>
      <c r="H2540" s="2"/>
      <c r="I2540" s="2"/>
      <c r="J2540" s="2"/>
      <c r="K2540" s="2"/>
      <c r="L2540" s="2"/>
      <c r="M2540" s="2"/>
      <c r="N2540" s="2"/>
      <c r="O2540" s="2"/>
      <c r="P2540" s="2"/>
      <c r="Q2540" s="2"/>
      <c r="R2540" s="2"/>
      <c r="S2540" s="2"/>
      <c r="T2540" s="2"/>
      <c r="U2540" s="2"/>
      <c r="V2540" s="2"/>
      <c r="W2540" s="2"/>
      <c r="X2540" s="2"/>
      <c r="Y2540" s="2"/>
      <c r="Z2540" s="2"/>
      <c r="AA2540" s="2"/>
    </row>
    <row r="2541">
      <c r="A2541" s="1" t="s">
        <v>5971</v>
      </c>
      <c r="B2541" s="1" t="s">
        <v>6050</v>
      </c>
      <c r="C2541" s="1" t="s">
        <v>6051</v>
      </c>
      <c r="D2541" s="2" t="str">
        <f>IFERROR(__xludf.DUMMYFUNCTION("GOOGLETRANSLATE(B2541, ""en"", ""TL"")"),"Mayroon bang mga legal na probisyon para sa paggamit ng mga psychiatric defense, tulad ng pagkabaliw o pagbaba ng kapasidad, sa mga paglilitis sa kriminal?")</f>
        <v>Mayroon bang mga legal na probisyon para sa paggamit ng mga psychiatric defense, tulad ng pagkabaliw o pagbaba ng kapasidad, sa mga paglilitis sa kriminal?</v>
      </c>
      <c r="E2541" s="2" t="str">
        <f>IFERROR(__xludf.DUMMYFUNCTION("GOOGLETRANSLATE(C2541, ""en"", ""TL"")"),"Oo, sa Pilipinas, may mga legal na probisyon para sa paggamit ng psychiatric defenses, tulad ng pagkabaliw o pagbaba ng kapasidad, sa mga paglilitis sa kriminal. Ang mga depensang ito ay kinikilala sa ilalim ng batas ng Pilipinas at maaaring itaas ng mga "&amp;"akusado upang pagaanin o patawarin ang pananagutan sa kriminal batay sa kanilang kalagayan sa kalusugan ng isip sa oras ng pagkakasala. Narito ang mga pangunahing probisyon at konsepto na nauugnay sa psychiatric defenses sa mga kriminal na pagsubok:
Insan"&amp;"ity Defense: Ang pagkabaliw na pagtatanggol, na kilala rin bilang ang pagtatanggol ng mental incapacity o pagkabaliw, ay kinikilala sa ilalim ng batas ng Pilipinas bilang depensa laban sa kriminal na pananagutan. Ito ay batay sa prinsipyo na ang mga indib"&amp;"idwal na baliw sa oras ng pagkakasala ay walang kakayahan sa pag-iisip na maunawaan ang kalikasan at kahihinatnan ng kanilang mga aksyon o iayon ang kanilang pag-uugali sa mga kinakailangan ng batas.
Diminished Capacity Defense: Ang diminished capacity de"&amp;"fense, kung minsan ay tinutukoy bilang partial responsibility defense, ay nagsasangkot ng pag-aangkin na ang kondisyon ng pag-iisip ng akusado sa oras ng pagkakasala ay nagpapahina sa kanilang kapasidad na bumuo ng kinakailangang layunin para sa krimen na"&amp;" kinasuhan. Hindi tulad ng pagtatanggol sa pagkabaliw, na nakatutok sa pangkalahatang kalagayan ng pag-iisip ng nasasakdal, kinikilala ng pinaliit na depensa ng kapasidad na ang nasasakdal ay maaaring may ilang kakayahan sa pag-iisip ngunit nangangatwiran"&amp;" na ito ay nabawasan dahil sa sakit sa isip o kapansanan.
Burden of Proof: Sa mga kriminal na paglilitis kung saan itinataas ang pagkabaliw o pinaliit na kapasidad ng pagtatanggol, ang pasanin ng patunay ay nakasalalay sa akusado upang itatag ang depensa "&amp;"sa pamamagitan ng malinaw at nakakumbinsi na ebidensya. Nangangahulugan ito na ang akusado ay dapat magpakita ng sapat na ebidensya upang ipakita na sila ay legal na baliw o nabawasan ang kapasidad sa oras ng pagkakasala.
Pagsusuri ng Mental Health Profes"&amp;"sionals: Ang pagsusuri sa kalagayan ng kalusugan ng isip ng nasasakdal ay karaniwang isinasagawa ng mga kwalipikadong propesyonal sa kalusugan ng isip, gaya ng mga psychiatrist o psychologist. Maaaring tasahin ng mga propesyonal na ito ang kasaysayan ng k"&amp;"alusugang pangkaisipan ng nasasakdal, magsagawa ng sikolohikal na pagsusuri, at suriin ang kalagayan ng pag-iisip ng nasasakdal sa oras ng pagkakasala upang matukoy ang kanilang kapasidad sa pag-iisip at kasalanan.
Pagpapasiya ng Korte: Sa huli, nasa kort"&amp;"e ang pagtukoy kung ang kondisyon ng kalusugang pangkaisipan ng nasasakdal ay nakakatugon sa mga legal na pamantayan para sa pagkabaliw o pagbaba ng kapasidad at kung ang depensa ay wasto. Maaaring isaalang-alang ng korte ang testimonya ng eksperto, mga p"&amp;"agsusuri sa saykayatriko, testimonya ng saksi, at iba pang ebidensya sa pag-abot sa desisyon nito.
Mga Epekto sa Pananagutang Kriminal: Kung matagumpay ang pagkabaliw o pagbaba ng kapasidad na pagtatanggol, maaari itong magresulta sa hatol na hindi nagkas"&amp;"ala dahil sa pagkabaliw o pagbawas sa kalubhaan ng mga singil o parusang ipinataw. Sa ilang mga kaso, ang mga nasasakdal ay napatunayang hindi nagkasala dahil sa pagkabaliw ay maaaring sumailalim sa hindi sinasadyang pangako sa pasilidad ng kalusugan ng i"&amp;"sip para sa paggamot at rehabilitasyon.
Sa pangkalahatan, ang paggamit ng psychiatric defenses sa mga kriminal na paglilitis sa Pilipinas ay nagbibigay-daan para sa pagsasaalang-alang sa kalagayan ng kalusugan ng isip ng nasasakdal at ang potensyal na epe"&amp;"kto nito sa kanilang kriminal na pananagutan. Ang mga depensang ito ay nagbibigay ng isang mekanismo para sa pagtugon sa kumplikadong interplay sa pagitan ng sakit sa isip at kriminal na pag-uugali at pagtiyak na ang hustisya ay nagsisilbi sa mga kaso na "&amp;"kinasasangkutan ng mga nasasakdal na may mga sakit sa isip.")</f>
        <v>Oo, sa Pilipinas, may mga legal na probisyon para sa paggamit ng psychiatric defenses, tulad ng pagkabaliw o pagbaba ng kapasidad, sa mga paglilitis sa kriminal. Ang mga depensang ito ay kinikilala sa ilalim ng batas ng Pilipinas at maaaring itaas ng mga akusado upang pagaanin o patawarin ang pananagutan sa kriminal batay sa kanilang kalagayan sa kalusugan ng isip sa oras ng pagkakasala. Narito ang mga pangunahing probisyon at konsepto na nauugnay sa psychiatric defenses sa mga kriminal na pagsubok:
Insanity Defense: Ang pagkabaliw na pagtatanggol, na kilala rin bilang ang pagtatanggol ng mental incapacity o pagkabaliw, ay kinikilala sa ilalim ng batas ng Pilipinas bilang depensa laban sa kriminal na pananagutan. Ito ay batay sa prinsipyo na ang mga indibidwal na baliw sa oras ng pagkakasala ay walang kakayahan sa pag-iisip na maunawaan ang kalikasan at kahihinatnan ng kanilang mga aksyon o iayon ang kanilang pag-uugali sa mga kinakailangan ng batas.
Diminished Capacity Defense: Ang diminished capacity defense, kung minsan ay tinutukoy bilang partial responsibility defense, ay nagsasangkot ng pag-aangkin na ang kondisyon ng pag-iisip ng akusado sa oras ng pagkakasala ay nagpapahina sa kanilang kapasidad na bumuo ng kinakailangang layunin para sa krimen na kinasuhan. Hindi tulad ng pagtatanggol sa pagkabaliw, na nakatutok sa pangkalahatang kalagayan ng pag-iisip ng nasasakdal, kinikilala ng pinaliit na depensa ng kapasidad na ang nasasakdal ay maaaring may ilang kakayahan sa pag-iisip ngunit nangangatwiran na ito ay nabawasan dahil sa sakit sa isip o kapansanan.
Burden of Proof: Sa mga kriminal na paglilitis kung saan itinataas ang pagkabaliw o pinaliit na kapasidad ng pagtatanggol, ang pasanin ng patunay ay nakasalalay sa akusado upang itatag ang depensa sa pamamagitan ng malinaw at nakakumbinsi na ebidensya. Nangangahulugan ito na ang akusado ay dapat magpakita ng sapat na ebidensya upang ipakita na sila ay legal na baliw o nabawasan ang kapasidad sa oras ng pagkakasala.
Pagsusuri ng Mental Health Professionals: Ang pagsusuri sa kalagayan ng kalusugan ng isip ng nasasakdal ay karaniwang isinasagawa ng mga kwalipikadong propesyonal sa kalusugan ng isip, gaya ng mga psychiatrist o psychologist. Maaaring tasahin ng mga propesyonal na ito ang kasaysayan ng kalusugang pangkaisipan ng nasasakdal, magsagawa ng sikolohikal na pagsusuri, at suriin ang kalagayan ng pag-iisip ng nasasakdal sa oras ng pagkakasala upang matukoy ang kanilang kapasidad sa pag-iisip at kasalanan.
Pagpapasiya ng Korte: Sa huli, nasa korte ang pagtukoy kung ang kondisyon ng kalusugang pangkaisipan ng nasasakdal ay nakakatugon sa mga legal na pamantayan para sa pagkabaliw o pagbaba ng kapasidad at kung ang depensa ay wasto. Maaaring isaalang-alang ng korte ang testimonya ng eksperto, mga pagsusuri sa saykayatriko, testimonya ng saksi, at iba pang ebidensya sa pag-abot sa desisyon nito.
Mga Epekto sa Pananagutang Kriminal: Kung matagumpay ang pagkabaliw o pagbaba ng kapasidad na pagtatanggol, maaari itong magresulta sa hatol na hindi nagkasala dahil sa pagkabaliw o pagbawas sa kalubhaan ng mga singil o parusang ipinataw. Sa ilang mga kaso, ang mga nasasakdal ay napatunayang hindi nagkasala dahil sa pagkabaliw ay maaaring sumailalim sa hindi sinasadyang pangako sa pasilidad ng kalusugan ng isip para sa paggamot at rehabilitasyon.
Sa pangkalahatan, ang paggamit ng psychiatric defenses sa mga kriminal na paglilitis sa Pilipinas ay nagbibigay-daan para sa pagsasaalang-alang sa kalagayan ng kalusugan ng isip ng nasasakdal at ang potensyal na epekto nito sa kanilang kriminal na pananagutan. Ang mga depensang ito ay nagbibigay ng isang mekanismo para sa pagtugon sa kumplikadong interplay sa pagitan ng sakit sa isip at kriminal na pag-uugali at pagtiyak na ang hustisya ay nagsisilbi sa mga kaso na kinasasangkutan ng mga nasasakdal na may mga sakit sa isip.</v>
      </c>
      <c r="F2541" s="2">
        <f t="shared" si="1"/>
        <v>0</v>
      </c>
      <c r="G2541" s="2"/>
      <c r="H2541" s="2"/>
      <c r="I2541" s="2"/>
      <c r="J2541" s="2"/>
      <c r="K2541" s="2"/>
      <c r="L2541" s="2"/>
      <c r="M2541" s="2"/>
      <c r="N2541" s="2"/>
      <c r="O2541" s="2"/>
      <c r="P2541" s="2"/>
      <c r="Q2541" s="2"/>
      <c r="R2541" s="2"/>
      <c r="S2541" s="2"/>
      <c r="T2541" s="2"/>
      <c r="U2541" s="2"/>
      <c r="V2541" s="2"/>
      <c r="W2541" s="2"/>
      <c r="X2541" s="2"/>
      <c r="Y2541" s="2"/>
      <c r="Z2541" s="2"/>
      <c r="AA2541" s="2"/>
    </row>
    <row r="2542">
      <c r="A2542" s="1" t="s">
        <v>5971</v>
      </c>
      <c r="B2542" s="1" t="s">
        <v>6052</v>
      </c>
      <c r="C2542" s="1" t="s">
        <v>6053</v>
      </c>
      <c r="D2542" s="2" t="str">
        <f>IFERROR(__xludf.DUMMYFUNCTION("GOOGLETRANSLATE(B2542, ""en"", ""TL"")"),"Paano tinutugunan ng batas ang potensyal na epekto ng mga sakit sa isip sa kakayahan ng isang indibidwal na maunawaan ang mga legal na paglilitis?")</f>
        <v>Paano tinutugunan ng batas ang potensyal na epekto ng mga sakit sa isip sa kakayahan ng isang indibidwal na maunawaan ang mga legal na paglilitis?</v>
      </c>
      <c r="E2542" s="2" t="str">
        <f>IFERROR(__xludf.DUMMYFUNCTION("GOOGLETRANSLATE(C2542, ""en"", ""TL"")"),"Sa Pilipinas, tinutugunan ng batas ang potensyal na epekto ng mga sakit na psychiatric sa kakayahan ng isang indibidwal na maunawaan ang mga legal na paglilitis sa pamamagitan ng iba't ibang mga legal na probisyon at prinsipyo na naglalayong pangalagaan a"&amp;"ng mga karapatan ng mga akusado at tiyakin ang patas na pagtrato sa sistema ng hustisyang pangkriminal. Narito ang ilang pangunahing paraan kung saan tinutugunan ng batas ang isyung ito:
Competency to Stand Trial: Kinikilala ng batas ng Pilipinas na ang m"&amp;"ga indibidwal ay dapat na may kakayahang humarap sa paglilitis, ibig sabihin ay dapat silang magkaroon ng mental na kapasidad na maunawaan ang kalikasan at mga kahihinatnan ng mga legal na paglilitis laban sa kanila at tumulong sa kanilang sariling depens"&amp;"a. Ang Seksyon 11, Rule 116 ng Rules of Court ay nagtatadhana na ang isang tao ay hindi maaaring dalhin sa paglilitis kung siya ay nagdurusa mula sa isang hindi maayos na pag-iisip, maliban kung sila ay idineklara na ng korte na may kakayahan.
Pagsusuri s"&amp;"a Kakayahan: Kung may mga alalahanin tungkol sa kakayahan ng isang indibidwal na humarap sa paglilitis dahil sa kanilang sakit sa isip, maaaring mag-utos ang hukuman ng pagsusuri sa kakayahan ng mga kwalipikadong propesyonal sa kalusugan ng isip. Ang layu"&amp;"nin ng pagsusuri ay upang masuri ang kakayahan ng pag-iisip ng indibidwal na maunawaan ang mga legal na paglilitis at upang matukoy kung sila ay may kakayahang lumahok sa kanilang pagtatanggol nang epektibo.
Paghirang ng Legal na Tagapangalaga: Sa mga kas"&amp;"o kung saan ang isang indibidwal ay napatunayang walang kakayahan na humarap sa paglilitis dahil sa kanilang sakit sa isip, ang hukuman ay maaaring magtalaga ng isang legal na tagapag-alaga o kinatawan upang kumilos sa kanilang ngalan at protektahan ang k"&amp;"anilang mga interes sa mga legal na paglilitis. Ang legal na tagapag-alaga ay maaaring may pananagutan sa paggawa ng mga desisyon na may kaugnayan sa pagtatanggol ng indibidwal at pagtiyak na ang kanilang mga karapatan ay itinataguyod.
Karapatan sa Legal "&amp;"na Representasyon: Ang mga indibidwal na may mga sakit sa isip ay may karapatan sa legal na representasyon sa buong legal na paglilitis, kasama na sa panahon ng mga pagsusuri sa kakayahan at mga pagdinig. Ang legal na tagapayo ay gumaganap ng isang mahala"&amp;"gang papel sa pagtataguyod para sa mga karapatan ng indibidwal, pagtiyak na ang kanilang mga interes ay protektado, at pinapadali ang kanilang pag-unawa sa legal na proseso.
Karapatan sa Nararapat na Proseso: Ang mga indibidwal na may mga sakit sa isip ay"&amp;" may karapatan sa angkop na proseso ng batas, kabilang ang karapatan sa isang patas at walang kinikilingan na paglilitis. Kabilang dito ang karapatang maabisuhan ng mga paratang laban sa kanila, ang karapatang magharap ng ebidensya at mga saksi sa kanilan"&amp;"g pagtatanggol, at ang karapatang harapin at suriin ang mga saksi laban sa kanila.
Paggamot at Rehabilitasyon: Kinikilala ng batas ang kahalagahan ng pagtugon sa pinagbabatayan ng mga pangangailangan sa kalusugan ng isip ng mga indibidwal na may mga sakit"&amp;" sa isip upang mapadali ang kanilang pag-unawa sa mga legal na paglilitis. Ang mga serbisyo sa paggamot at rehabilitasyon ay maaaring ibigay sa mga indibidwal upang mapabuti ang kanilang kalusugang pangkaisipan at paggana ng pag-iisip, na nagbibigay-daan "&amp;"sa kanila na lumahok nang mas epektibo sa kanilang pagtatanggol.
Sa pangkalahatan, ang batas sa Pilipinas ay naglalayong tiyakin na ang mga indibidwal na may mga sakit sa isip ay makakatanggap ng patas na pagtrato at proteksyon ng kanilang mga karapatan s"&amp;"a mga legal na paglilitis sa pamamagitan ng pagtugon sa potensyal na epekto ng kanilang kalagayan sa kalusugan ng isip sa kanilang kakayahan na maunawaan at makilahok sa legal na proseso. Ang mga legal na probisyon na ito ay naglalayong itaguyod ang mga p"&amp;"rinsipyo ng katarungan, pagiging patas, at paggalang sa dignidad ng tao sa pangangasiwa ng hustisya.")</f>
        <v>Sa Pilipinas, tinutugunan ng batas ang potensyal na epekto ng mga sakit na psychiatric sa kakayahan ng isang indibidwal na maunawaan ang mga legal na paglilitis sa pamamagitan ng iba't ibang mga legal na probisyon at prinsipyo na naglalayong pangalagaan ang mga karapatan ng mga akusado at tiyakin ang patas na pagtrato sa sistema ng hustisyang pangkriminal. Narito ang ilang pangunahing paraan kung saan tinutugunan ng batas ang isyung ito:
Competency to Stand Trial: Kinikilala ng batas ng Pilipinas na ang mga indibidwal ay dapat na may kakayahang humarap sa paglilitis, ibig sabihin ay dapat silang magkaroon ng mental na kapasidad na maunawaan ang kalikasan at mga kahihinatnan ng mga legal na paglilitis laban sa kanila at tumulong sa kanilang sariling depensa. Ang Seksyon 11, Rule 116 ng Rules of Court ay nagtatadhana na ang isang tao ay hindi maaaring dalhin sa paglilitis kung siya ay nagdurusa mula sa isang hindi maayos na pag-iisip, maliban kung sila ay idineklara na ng korte na may kakayahan.
Pagsusuri sa Kakayahan: Kung may mga alalahanin tungkol sa kakayahan ng isang indibidwal na humarap sa paglilitis dahil sa kanilang sakit sa isip, maaaring mag-utos ang hukuman ng pagsusuri sa kakayahan ng mga kwalipikadong propesyonal sa kalusugan ng isip. Ang layunin ng pagsusuri ay upang masuri ang kakayahan ng pag-iisip ng indibidwal na maunawaan ang mga legal na paglilitis at upang matukoy kung sila ay may kakayahang lumahok sa kanilang pagtatanggol nang epektibo.
Paghirang ng Legal na Tagapangalaga: Sa mga kaso kung saan ang isang indibidwal ay napatunayang walang kakayahan na humarap sa paglilitis dahil sa kanilang sakit sa isip, ang hukuman ay maaaring magtalaga ng isang legal na tagapag-alaga o kinatawan upang kumilos sa kanilang ngalan at protektahan ang kanilang mga interes sa mga legal na paglilitis. Ang legal na tagapag-alaga ay maaaring may pananagutan sa paggawa ng mga desisyon na may kaugnayan sa pagtatanggol ng indibidwal at pagtiyak na ang kanilang mga karapatan ay itinataguyod.
Karapatan sa Legal na Representasyon: Ang mga indibidwal na may mga sakit sa isip ay may karapatan sa legal na representasyon sa buong legal na paglilitis, kasama na sa panahon ng mga pagsusuri sa kakayahan at mga pagdinig. Ang legal na tagapayo ay gumaganap ng isang mahalagang papel sa pagtataguyod para sa mga karapatan ng indibidwal, pagtiyak na ang kanilang mga interes ay protektado, at pinapadali ang kanilang pag-unawa sa legal na proseso.
Karapatan sa Nararapat na Proseso: Ang mga indibidwal na may mga sakit sa isip ay may karapatan sa angkop na proseso ng batas, kabilang ang karapatan sa isang patas at walang kinikilingan na paglilitis. Kabilang dito ang karapatang maabisuhan ng mga paratang laban sa kanila, ang karapatang magharap ng ebidensya at mga saksi sa kanilang pagtatanggol, at ang karapatang harapin at suriin ang mga saksi laban sa kanila.
Paggamot at Rehabilitasyon: Kinikilala ng batas ang kahalagahan ng pagtugon sa pinagbabatayan ng mga pangangailangan sa kalusugan ng isip ng mga indibidwal na may mga sakit sa isip upang mapadali ang kanilang pag-unawa sa mga legal na paglilitis. Ang mga serbisyo sa paggamot at rehabilitasyon ay maaaring ibigay sa mga indibidwal upang mapabuti ang kanilang kalusugang pangkaisipan at paggana ng pag-iisip, na nagbibigay-daan sa kanila na lumahok nang mas epektibo sa kanilang pagtatanggol.
Sa pangkalahatan, ang batas sa Pilipinas ay naglalayong tiyakin na ang mga indibidwal na may mga sakit sa isip ay makakatanggap ng patas na pagtrato at proteksyon ng kanilang mga karapatan sa mga legal na paglilitis sa pamamagitan ng pagtugon sa potensyal na epekto ng kanilang kalagayan sa kalusugan ng isip sa kanilang kakayahan na maunawaan at makilahok sa legal na proseso. Ang mga legal na probisyon na ito ay naglalayong itaguyod ang mga prinsipyo ng katarungan, pagiging patas, at paggalang sa dignidad ng tao sa pangangasiwa ng hustisya.</v>
      </c>
      <c r="F2542" s="2">
        <f t="shared" si="1"/>
        <v>0</v>
      </c>
      <c r="G2542" s="2"/>
      <c r="H2542" s="2"/>
      <c r="I2542" s="2"/>
      <c r="J2542" s="2"/>
      <c r="K2542" s="2"/>
      <c r="L2542" s="2"/>
      <c r="M2542" s="2"/>
      <c r="N2542" s="2"/>
      <c r="O2542" s="2"/>
      <c r="P2542" s="2"/>
      <c r="Q2542" s="2"/>
      <c r="R2542" s="2"/>
      <c r="S2542" s="2"/>
      <c r="T2542" s="2"/>
      <c r="U2542" s="2"/>
      <c r="V2542" s="2"/>
      <c r="W2542" s="2"/>
      <c r="X2542" s="2"/>
      <c r="Y2542" s="2"/>
      <c r="Z2542" s="2"/>
      <c r="AA2542" s="2"/>
    </row>
    <row r="2543">
      <c r="A2543" s="1" t="s">
        <v>5971</v>
      </c>
      <c r="B2543" s="1" t="s">
        <v>6054</v>
      </c>
      <c r="C2543" s="1" t="s">
        <v>6055</v>
      </c>
      <c r="D2543" s="2" t="str">
        <f>IFERROR(__xludf.DUMMYFUNCTION("GOOGLETRANSLATE(B2543, ""en"", ""TL"")"),"Ano ang papel na ginagampanan ng mga pagsusuri sa saykayatriko sa pagtukoy sa pagiging karapat-dapat ng mga indibidwal na may mga sakit sa isip para sa mga alternatibong programa sa pagsentensiya?")</f>
        <v>Ano ang papel na ginagampanan ng mga pagsusuri sa saykayatriko sa pagtukoy sa pagiging karapat-dapat ng mga indibidwal na may mga sakit sa isip para sa mga alternatibong programa sa pagsentensiya?</v>
      </c>
      <c r="E2543" s="2" t="str">
        <f>IFERROR(__xludf.DUMMYFUNCTION("GOOGLETRANSLATE(C2543, ""en"", ""TL"")"),"Ang mga pagsusuri sa saykayatriko ay may mahalagang papel sa pagtukoy sa pagiging karapat-dapat ng mga indibidwal na may mga sakit sa isip para sa mga alternatibong programa sa pagsentensiya sa Pilipinas. Ang mga alternatibong programa sa pagsentensiya ay"&amp;" nag-aalok ng mga alternatibo sa tradisyonal na pagkakakulong para sa mga indibidwal na ang kriminal na pag-uugali ay naiimpluwensyahan ng mga isyu sa kalusugan ng isip. Tumutulong ang mga pagsusuri sa saykayatriko na masuri ang kalagayan ng kalusugan ng "&amp;"isip ng indibidwal, mga pangangailangan sa paggamot, at pagiging angkop para sa mga alternatibong opsyon sa pagsentensiya. Narito kung paano nakakatulong ang mga pagsusuri sa saykayatriko sa pagtukoy ng pagiging karapat-dapat para sa mga alternatibong pro"&amp;"grama sa pagsentensiya:
Pagtatasa ng mga Pangangailangan sa Kalusugan ng Pag-iisip: Ang mga pagsusuri sa saykayatriko ay nagbibigay ng komprehensibong pagtatasa ng mga pangangailangan sa kalusugan ng isip ng indibidwal, kabilang ang kalikasan at kalubh"&amp;"aan ng kanilang sakit sa isip, magkakasamang mga kondisyon, at kasaysayan ng paggamot. Tinutulungan ng pagtatasa na ito na matukoy ang mga pinagbabatayan na isyu sa kalusugan ng isip na nag-aambag sa kriminal na pag-uugali ng indibidwal at nagpapaalam sa "&amp;"pagbuo ng mga naaangkop na plano sa paggamot.
Pagkilala sa mga Opsyon sa Paggamot: Batay sa mga natuklasan ng pagsusuri sa saykayatriko, maaaring magrekomenda ang mga propesyonal sa kalusugan ng isip ng mga partikular na opsyon sa paggamot na iniayon s"&amp;"a mga pangangailangan ng indibidwal. Maaaring kabilang dito ang psychotherapy, pamamahala ng gamot, paggamot sa pag-abuso sa sangkap, pagsasanay sa bokasyonal, o iba pang mga interbensyon na naglalayong tugunan ang mga ugat ng kriminal na pag-uugali ng in"&amp;"dibidwal at itaguyod ang rehabilitasyon.
Pagsusuri ng Panganib at Recidivism: Maaaring kabilang sa mga pagsusuri sa saykayatriko ang mga pagtatasa ng panganib ng indibidwal na muling makakasala at posibilidad ng matagumpay na rehabilitasyon. Isinasaala"&amp;"ng-alang ng mga propesyonal sa kalusugang pangkaisipan ang mga salik gaya ng katatagan ng kalusugan ng isip ng indibidwal, pagsunod sa paggamot, sistema ng suporta, at mga potensyal na hadlang sa matagumpay na muling pagsasama sa komunidad kapag sinusuri "&amp;"ang kanilang pagiging angkop para sa mga alternatibong programa sa pagsentensiya.
Pagtukoy sa Kaangkupan ng mga Alternatibo: Tumutulong ang mga pagsusuri sa saykayatriko na matukoy ang kaangkupan ng mga alternatibong programa sa pagsentensiya, tulad ng"&amp;" mga programang diversion, mga hukuman sa kalusugan ng isip, mga hukuman sa droga, o mga programa sa paggamot na nakabatay sa komunidad. Tinatasa ng mga propesyonal sa kalusugang pangkaisipan kung ang mga pangangailangan sa kalusugang pangkaisipan ng indi"&amp;"bidwal ay mabisang matutugunan sa mga programang ito at kung sila ay malamang na makinabang mula sa mga inaalok na pagkakataon sa rehabilitasyon.
Pagbibigay-alam sa mga Desisyon ng Korte: Ang mga natuklasan ng mga pagsusuri sa saykayatriko ay iniharap "&amp;"sa korte upang ipaalam ang mga desisyon tungkol sa mga alternatibong opsyon sa pagsentensiya. Maaaring isaalang-alang ng mga hukom ang mga rekomendasyon ng mga propesyonal sa kalusugan ng isip, kasama ang iba pang mga kadahilanan tulad ng likas na katangi"&amp;"an ng pagkakasala, kasaysayan ng kriminal ng indibidwal, at input mula sa pag-uusig at depensa, sa pagtukoy ng pinakaangkop na disposisyon para sa kaso.
Sa pangkalahatan, ang mga pagsusuri sa saykayatriko ay gumaganap ng isang mahalagang papel sa pagtu"&amp;"koy ng pagiging karapat-dapat ng mga indibidwal na may mga sakit na psychiatric para sa mga alternatibong programa sa pagsentensiya sa pamamagitan ng pagbibigay ng komprehensibong pagtatasa ng kanilang mga pangangailangan sa kalusugan ng isip, mga opsyon "&amp;"sa paggamot, mga kadahilanan sa panganib, at pagiging angkop para sa rehabilitasyon sa mga setting na nakabatay sa komunidad. Ang mga pagsusuring ito ay nakakatulong na matiyak na ang mga indibidwal ay makakatanggap ng naaangkop na pangangalaga at suporta"&amp;" habang tinutugunan ang mga pinagbabatayan na isyu na nag-aambag sa kanilang pagkakasangkot sa sistema ng hustisyang pangkrimen.")</f>
        <v>Ang mga pagsusuri sa saykayatriko ay may mahalagang papel sa pagtukoy sa pagiging karapat-dapat ng mga indibidwal na may mga sakit sa isip para sa mga alternatibong programa sa pagsentensiya sa Pilipinas. Ang mga alternatibong programa sa pagsentensiya ay nag-aalok ng mga alternatibo sa tradisyonal na pagkakakulong para sa mga indibidwal na ang kriminal na pag-uugali ay naiimpluwensyahan ng mga isyu sa kalusugan ng isip. Tumutulong ang mga pagsusuri sa saykayatriko na masuri ang kalagayan ng kalusugan ng isip ng indibidwal, mga pangangailangan sa paggamot, at pagiging angkop para sa mga alternatibong opsyon sa pagsentensiya. Narito kung paano nakakatulong ang mga pagsusuri sa saykayatriko sa pagtukoy ng pagiging karapat-dapat para sa mga alternatibong programa sa pagsentensiya:
Pagtatasa ng mga Pangangailangan sa Kalusugan ng Pag-iisip: Ang mga pagsusuri sa saykayatriko ay nagbibigay ng komprehensibong pagtatasa ng mga pangangailangan sa kalusugan ng isip ng indibidwal, kabilang ang kalikasan at kalubhaan ng kanilang sakit sa isip, magkakasamang mga kondisyon, at kasaysayan ng paggamot. Tinutulungan ng pagtatasa na ito na matukoy ang mga pinagbabatayan na isyu sa kalusugan ng isip na nag-aambag sa kriminal na pag-uugali ng indibidwal at nagpapaalam sa pagbuo ng mga naaangkop na plano sa paggamot.
Pagkilala sa mga Opsyon sa Paggamot: Batay sa mga natuklasan ng pagsusuri sa saykayatriko, maaaring magrekomenda ang mga propesyonal sa kalusugan ng isip ng mga partikular na opsyon sa paggamot na iniayon sa mga pangangailangan ng indibidwal. Maaaring kabilang dito ang psychotherapy, pamamahala ng gamot, paggamot sa pag-abuso sa sangkap, pagsasanay sa bokasyonal, o iba pang mga interbensyon na naglalayong tugunan ang mga ugat ng kriminal na pag-uugali ng indibidwal at itaguyod ang rehabilitasyon.
Pagsusuri ng Panganib at Recidivism: Maaaring kabilang sa mga pagsusuri sa saykayatriko ang mga pagtatasa ng panganib ng indibidwal na muling makakasala at posibilidad ng matagumpay na rehabilitasyon. Isinasaalang-alang ng mga propesyonal sa kalusugang pangkaisipan ang mga salik gaya ng katatagan ng kalusugan ng isip ng indibidwal, pagsunod sa paggamot, sistema ng suporta, at mga potensyal na hadlang sa matagumpay na muling pagsasama sa komunidad kapag sinusuri ang kanilang pagiging angkop para sa mga alternatibong programa sa pagsentensiya.
Pagtukoy sa Kaangkupan ng mga Alternatibo: Tumutulong ang mga pagsusuri sa saykayatriko na matukoy ang kaangkupan ng mga alternatibong programa sa pagsentensiya, tulad ng mga programang diversion, mga hukuman sa kalusugan ng isip, mga hukuman sa droga, o mga programa sa paggamot na nakabatay sa komunidad. Tinatasa ng mga propesyonal sa kalusugang pangkaisipan kung ang mga pangangailangan sa kalusugang pangkaisipan ng indibidwal ay mabisang matutugunan sa mga programang ito at kung sila ay malamang na makinabang mula sa mga inaalok na pagkakataon sa rehabilitasyon.
Pagbibigay-alam sa mga Desisyon ng Korte: Ang mga natuklasan ng mga pagsusuri sa saykayatriko ay iniharap sa korte upang ipaalam ang mga desisyon tungkol sa mga alternatibong opsyon sa pagsentensiya. Maaaring isaalang-alang ng mga hukom ang mga rekomendasyon ng mga propesyonal sa kalusugan ng isip, kasama ang iba pang mga kadahilanan tulad ng likas na katangian ng pagkakasala, kasaysayan ng kriminal ng indibidwal, at input mula sa pag-uusig at depensa, sa pagtukoy ng pinakaangkop na disposisyon para sa kaso.
Sa pangkalahatan, ang mga pagsusuri sa saykayatriko ay gumaganap ng isang mahalagang papel sa pagtukoy ng pagiging karapat-dapat ng mga indibidwal na may mga sakit na psychiatric para sa mga alternatibong programa sa pagsentensiya sa pamamagitan ng pagbibigay ng komprehensibong pagtatasa ng kanilang mga pangangailangan sa kalusugan ng isip, mga opsyon sa paggamot, mga kadahilanan sa panganib, at pagiging angkop para sa rehabilitasyon sa mga setting na nakabatay sa komunidad. Ang mga pagsusuring ito ay nakakatulong na matiyak na ang mga indibidwal ay makakatanggap ng naaangkop na pangangalaga at suporta habang tinutugunan ang mga pinagbabatayan na isyu na nag-aambag sa kanilang pagkakasangkot sa sistema ng hustisyang pangkrimen.</v>
      </c>
      <c r="F2543" s="2">
        <f t="shared" si="1"/>
        <v>0</v>
      </c>
      <c r="G2543" s="2"/>
      <c r="H2543" s="2"/>
      <c r="I2543" s="2"/>
      <c r="J2543" s="2"/>
      <c r="K2543" s="2"/>
      <c r="L2543" s="2"/>
      <c r="M2543" s="2"/>
      <c r="N2543" s="2"/>
      <c r="O2543" s="2"/>
      <c r="P2543" s="2"/>
      <c r="Q2543" s="2"/>
      <c r="R2543" s="2"/>
      <c r="S2543" s="2"/>
      <c r="T2543" s="2"/>
      <c r="U2543" s="2"/>
      <c r="V2543" s="2"/>
      <c r="W2543" s="2"/>
      <c r="X2543" s="2"/>
      <c r="Y2543" s="2"/>
      <c r="Z2543" s="2"/>
      <c r="AA2543" s="2"/>
    </row>
    <row r="2544">
      <c r="A2544" s="1" t="s">
        <v>5971</v>
      </c>
      <c r="B2544" s="1" t="s">
        <v>6056</v>
      </c>
      <c r="C2544" s="1" t="s">
        <v>6057</v>
      </c>
      <c r="D2544" s="2" t="str">
        <f>IFERROR(__xludf.DUMMYFUNCTION("GOOGLETRANSLATE(B2544, ""en"", ""TL"")"),"Mayroon bang mga legal na pananggalang sa lugar upang maiwasan ang labis na pag-asa sa psychiatric na ebidensya sa mga paglilitis sa kriminal?")</f>
        <v>Mayroon bang mga legal na pananggalang sa lugar upang maiwasan ang labis na pag-asa sa psychiatric na ebidensya sa mga paglilitis sa kriminal?</v>
      </c>
      <c r="E2544" s="2" t="str">
        <f>IFERROR(__xludf.DUMMYFUNCTION("GOOGLETRANSLATE(C2544, ""en"", ""TL"")"),"Oo, may mga legal na pananggalang na inilagay sa Pilipinas upang maiwasan ang labis na pag-asa sa psychiatric na ebidensya sa mga paglilitis sa krimen. Ang mga pananggalang na ito ay naglalayong tiyakin na ang psychiatric na ebidensya ay ginagamit nang na"&amp;"aangkop at epektibo, nang hindi masyadong naiimpluwensyahan ang kinalabasan ng paglilitis o hindi patas na naninira sa akusado. Narito ang ilang pangunahing pananggalang:
Mga Panuntunan ng Katibayan: Ang Philippine Rules of Court ay namamahala sa pagig"&amp;"ing tanggapin ng ebidensya sa mga paglilitis sa kriminal, kabilang ang psychiatric na ebidensya. Binabalangkas ng mga panuntunan ang mga kinakailangan para sa pagiging matanggap ng testimonya ng eksperto, kabilang ang mga pagsusuri at opinyon ng psychiatr"&amp;"ic, na tinitiyak na ang nasabing ebidensya ay nakakatugon sa ilang partikular na pamantayan ng pagiging maaasahan, kaugnayan, at kredibilidad.
Mga Kwalipikasyon ng Eksperto: Ang ebidensyang saykayatriko ay dapat ipakita ng mga kwalipikadong propesyonal"&amp;" sa kalusugan ng isip na may kinakailangang kadalubhasaan, pagsasanay, at karanasan upang makapagbigay ng maaasahang mga opinyon sa korte. Maaaring tasahin ng hukuman ang mga kwalipikasyon at kredibilidad ng mga ekspertong saksi upang matiyak na ang kanil"&amp;"ang patotoo ay nakakatugon sa mga pamantayang kinakailangan para sa pagiging matanggap.
Cross-Examination: Ang katangian ng adversarial ng mga kriminal na pagsubok ay nagbibigay-daan para sa cross-examination ng mga testigo, kabilang ang mga ekspertong"&amp;" saksi na nagpapakita ng psychiatric na ebidensya. Ang abogado ng depensa ay may pagkakataong hamunin ang pagiging maaasahan, kredibilidad, at mga konklusyon ng psychiatric na testimonya sa pamamagitan ng masiglang cross-examination, na nagbibigay-daan pa"&amp;"ra sa balanseng presentasyon ng ebidensya.
Judicial Scrutiny: Ang hukuman ay gumaganap ng isang kritikal na papel sa pagsusuri ng kaugnayan at pagiging maaasahan ng psychiatric na ebidensya na ipinakita sa panahon ng paglilitis. Ang mga hukom ay may tu"&amp;"ngkulin sa pagtatasa ng probative value ng naturang ebidensya, pagtimbang sa kahalagahan nito laban sa mga potensyal na masasamang epekto, at pagtiyak na ito ay ginagamit nang naaangkop upang tulungan ang pagsubok ng katotohanan sa pag-abot ng isang makat"&amp;"arungang desisyon.
Mga Tagubilin sa Paglilimita: Maaaring mag-isyu ang mga hukom ng mga tagubiling naglilimita sa hurado o tagasuri ng katotohanan tungkol sa paggamit ng ebidensyang psychiatric. Nililinaw ng mga tagubiling ito ang layunin at saklaw ng "&amp;"ebidensya, nag-iingat laban sa labis na pagtitiwala sa mga opinyong psychiatric, at nagpapaalala sa mga hurado na isaalang-alang ang lahat ng ebidensya sa konteksto kapag naabot ang kanilang hatol.
Mga Legal na Pamantayan para sa Pagtanggap: Ang batas "&amp;"ng Pilipinas ay nagtatakda ng mga legal na pamantayan para sa pagiging matanggap ng psychiatric na ebidensya, na nangangailangan na ang nasabing ebidensya ay may kaugnayan, materyal, at batay sa maaasahang mga prinsipyong siyentipiko. Ang katibayan na hin"&amp;"di nakakatugon sa mga pamantayang ito ay maaaring hindi kasama sa paglilitis sa ilalim ng mga panuntunang namamahala sa pagiging matanggap ng ekspertong patotoo.
Independiyenteng Pagsusuri: Sa ilang mga kaso, ang hukuman ay maaaring mag-utos ng isang i"&amp;"ndependiyenteng pagsusuri ng psychiatric na ebidensya upang masuri ang bisa at pagiging maaasahan nito. Maaaring kabilang dito ang paghirang ng isang neutral na eksperto upang suriin ang ebidensya at magbigay ng walang kinikilingan na pagtatasa ng mga mer"&amp;"ito nito.
Sa pangkalahatan, ang mga legal na pananggalang na ito ay nakakatulong na pigilan ang labis na pag-asa sa psychiatric na ebidensya sa mga paglilitis sa kriminal, na tinitiyak na ang nasabing ebidensya ay ginagamit nang makatarungan, patas, at"&amp;" alinsunod sa mga prinsipyo ng hustisya at angkop na proseso.")</f>
        <v>Oo, may mga legal na pananggalang na inilagay sa Pilipinas upang maiwasan ang labis na pag-asa sa psychiatric na ebidensya sa mga paglilitis sa krimen. Ang mga pananggalang na ito ay naglalayong tiyakin na ang psychiatric na ebidensya ay ginagamit nang naaangkop at epektibo, nang hindi masyadong naiimpluwensyahan ang kinalabasan ng paglilitis o hindi patas na naninira sa akusado. Narito ang ilang pangunahing pananggalang:
Mga Panuntunan ng Katibayan: Ang Philippine Rules of Court ay namamahala sa pagiging tanggapin ng ebidensya sa mga paglilitis sa kriminal, kabilang ang psychiatric na ebidensya. Binabalangkas ng mga panuntunan ang mga kinakailangan para sa pagiging matanggap ng testimonya ng eksperto, kabilang ang mga pagsusuri at opinyon ng psychiatric, na tinitiyak na ang nasabing ebidensya ay nakakatugon sa ilang partikular na pamantayan ng pagiging maaasahan, kaugnayan, at kredibilidad.
Mga Kwalipikasyon ng Eksperto: Ang ebidensyang saykayatriko ay dapat ipakita ng mga kwalipikadong propesyonal sa kalusugan ng isip na may kinakailangang kadalubhasaan, pagsasanay, at karanasan upang makapagbigay ng maaasahang mga opinyon sa korte. Maaaring tasahin ng hukuman ang mga kwalipikasyon at kredibilidad ng mga ekspertong saksi upang matiyak na ang kanilang patotoo ay nakakatugon sa mga pamantayang kinakailangan para sa pagiging matanggap.
Cross-Examination: Ang katangian ng adversarial ng mga kriminal na pagsubok ay nagbibigay-daan para sa cross-examination ng mga testigo, kabilang ang mga ekspertong saksi na nagpapakita ng psychiatric na ebidensya. Ang abogado ng depensa ay may pagkakataong hamunin ang pagiging maaasahan, kredibilidad, at mga konklusyon ng psychiatric na testimonya sa pamamagitan ng masiglang cross-examination, na nagbibigay-daan para sa balanseng presentasyon ng ebidensya.
Judicial Scrutiny: Ang hukuman ay gumaganap ng isang kritikal na papel sa pagsusuri ng kaugnayan at pagiging maaasahan ng psychiatric na ebidensya na ipinakita sa panahon ng paglilitis. Ang mga hukom ay may tungkulin sa pagtatasa ng probative value ng naturang ebidensya, pagtimbang sa kahalagahan nito laban sa mga potensyal na masasamang epekto, at pagtiyak na ito ay ginagamit nang naaangkop upang tulungan ang pagsubok ng katotohanan sa pag-abot ng isang makatarungang desisyon.
Mga Tagubilin sa Paglilimita: Maaaring mag-isyu ang mga hukom ng mga tagubiling naglilimita sa hurado o tagasuri ng katotohanan tungkol sa paggamit ng ebidensyang psychiatric. Nililinaw ng mga tagubiling ito ang layunin at saklaw ng ebidensya, nag-iingat laban sa labis na pagtitiwala sa mga opinyong psychiatric, at nagpapaalala sa mga hurado na isaalang-alang ang lahat ng ebidensya sa konteksto kapag naabot ang kanilang hatol.
Mga Legal na Pamantayan para sa Pagtanggap: Ang batas ng Pilipinas ay nagtatakda ng mga legal na pamantayan para sa pagiging matanggap ng psychiatric na ebidensya, na nangangailangan na ang nasabing ebidensya ay may kaugnayan, materyal, at batay sa maaasahang mga prinsipyong siyentipiko. Ang katibayan na hindi nakakatugon sa mga pamantayang ito ay maaaring hindi kasama sa paglilitis sa ilalim ng mga panuntunang namamahala sa pagiging matanggap ng ekspertong patotoo.
Independiyenteng Pagsusuri: Sa ilang mga kaso, ang hukuman ay maaaring mag-utos ng isang independiyenteng pagsusuri ng psychiatric na ebidensya upang masuri ang bisa at pagiging maaasahan nito. Maaaring kabilang dito ang paghirang ng isang neutral na eksperto upang suriin ang ebidensya at magbigay ng walang kinikilingan na pagtatasa ng mga merito nito.
Sa pangkalahatan, ang mga legal na pananggalang na ito ay nakakatulong na pigilan ang labis na pag-asa sa psychiatric na ebidensya sa mga paglilitis sa kriminal, na tinitiyak na ang nasabing ebidensya ay ginagamit nang makatarungan, patas, at alinsunod sa mga prinsipyo ng hustisya at angkop na proseso.</v>
      </c>
      <c r="F2544" s="2">
        <f t="shared" si="1"/>
        <v>0</v>
      </c>
      <c r="G2544" s="2"/>
      <c r="H2544" s="2"/>
      <c r="I2544" s="2"/>
      <c r="J2544" s="2"/>
      <c r="K2544" s="2"/>
      <c r="L2544" s="2"/>
      <c r="M2544" s="2"/>
      <c r="N2544" s="2"/>
      <c r="O2544" s="2"/>
      <c r="P2544" s="2"/>
      <c r="Q2544" s="2"/>
      <c r="R2544" s="2"/>
      <c r="S2544" s="2"/>
      <c r="T2544" s="2"/>
      <c r="U2544" s="2"/>
      <c r="V2544" s="2"/>
      <c r="W2544" s="2"/>
      <c r="X2544" s="2"/>
      <c r="Y2544" s="2"/>
      <c r="Z2544" s="2"/>
      <c r="AA2544" s="2"/>
    </row>
    <row r="2545">
      <c r="A2545" s="1" t="s">
        <v>5971</v>
      </c>
      <c r="B2545" s="1" t="s">
        <v>6058</v>
      </c>
      <c r="C2545" s="1" t="s">
        <v>6059</v>
      </c>
      <c r="D2545" s="2" t="str">
        <f>IFERROR(__xludf.DUMMYFUNCTION("GOOGLETRANSLATE(B2545, ""en"", ""TL"")"),"Paano tinutugunan ng batas ng Pilipinas ang mga karapatan ng mga indibidwal na may sakit na saykayatriko sa panahon ng pre-trial detention?")</f>
        <v>Paano tinutugunan ng batas ng Pilipinas ang mga karapatan ng mga indibidwal na may sakit na saykayatriko sa panahon ng pre-trial detention?</v>
      </c>
      <c r="E2545" s="2" t="str">
        <f>IFERROR(__xludf.DUMMYFUNCTION("GOOGLETRANSLATE(C2545, ""en"", ""TL"")"),"Sa Pilipinas, ang mga karapatan ng mga indibidwal na may sakit sa isip sa panahon ng pre-trial detention ay protektado ng iba't ibang legal na probisyon na naglalayong pangalagaan ang kanilang kagalingan, tiyakin ang patas na pagtrato, at itaguyod ang kan"&amp;"ilang mga pangunahing karapatan. Narito ang ilang mahahalagang aspeto kung paano tinutugunan ng batas ng Pilipinas ang mga karapatan ng mga indibidwal na may mga sakit sa isip sa panahon ng pre-trial detention:
Karapatan sa Legal na Counsel: Ang mga in"&amp;"dibidwal na may sakit sa isip ay may karapatan sa legal na representasyon sa panahon ng pre-trial detention. Sila ay may karapatan na sumangguni sa at kinakatawan ng legal na tagapayo sa buong proseso ng pagpigil, kasama ang panahon ng mga interogasyon ng"&amp;" pulisya, paglilitis sa korte, at anumang iba pang pakikipag-ugnayan sa sistema ng hustisyang pangkriminal.
Presumption of Innocence: Ang mga indibidwal na may mga sakit sa isip, tulad ng lahat ng mga akusado, ay ipinapalagay na inosente hanggang sa ma"&amp;"patunayang nagkasala nang walang makatwirang pagdududa. Nalalapat ang presumption of innocence na ito sa buong panahon ng pre-trial detention, at ang mga indibidwal ay dapat tratuhin nang ganoon ng mga awtoridad na nagpapatupad ng batas, mga pasilidad ng "&amp;"detensyon, at ng hudikatura.
Pagbabawal sa Torture at Maling Pagtrato: Ipinagbabawal ng batas ng Pilipinas ang paggamit ng tortyur, malupit, hindi makatao, o nakababahalang pagtrato o pagpaparusa sa lahat ng pagkakataon, kasama na sa panahon ng pre-tri"&amp;"al detention. Ang mga indibidwal na may sakit sa isip ay dapat protektahan mula sa anumang uri ng pang-aabuso, pamimilit, o pagmamaltrato habang nakakulong, at ang kanilang mga karapatan sa makataong paggamot ay dapat igalang sa lahat ng oras.
Access s"&amp;"a Medikal na Pangangalaga: Ang mga indibidwal na may mga sakit sa isip sa pre-trial detention ay may karapatang makakuha ng medikal na pangangalaga, kabilang ang paggamot sa kalusugan ng isip, gamot, at iba pang kinakailangang interbensyon. Ang mga pasili"&amp;"dad ng detensyon ay dapat tiyakin na ang mga indibidwal ay makakatanggap ng naaangkop na medikal na atensyon para sa kanilang mga kondisyong pangkaisipan at na ang kanilang mga pangangailangan sa kalusugan ng isip ay sapat na natugunan.
Regular na Pags"&amp;"usuri ng Detensyon: Ang batas ng Pilipinas ay nag-uutos ng regular na pagrepaso sa pre-trial na detensyon upang maiwasan ang di-makatwirang o matagal na pagkulong. Ang mga indibidwal na may mga sakit sa saykayatriko na nakakulong habang nakabinbin ang pag"&amp;"lilitis ay dapat na bigyan ng parehong mga proteksyon sa pamamaraan tulad ng iba pang mga detenido, kabilang ang karapatan sa pana-panahong pagrepaso ng kanilang katayuan sa pagkakakulong ng mga korte upang matukoy ang pangangailangan at legalidad ng patu"&amp;"loy na pagkulong.
Proteksyon ng Pagiging Kompidensyal: Ang mga indibidwal na may mga sakit sa isip ay may karapatan sa pagiging kompidensyal ng kanilang medikal na impormasyon, kabilang ang kanilang diagnosis sa kalusugan ng isip at kasaysayan ng pagga"&amp;"mot. Ang mga awtoridad sa pagpapatupad ng batas, mga pasilidad ng detensyon, at mga tauhan ng hukuman ay dapat igalang ang pagkapribado at pagiging kompidensiyal ng mga rekord ng medikal at impormasyon ng mga indibidwal na nauugnay sa kanilang mga kondisy"&amp;"ong pang-psychiatric.
Mga Makatwirang Akomodasyon: Ang mga pasilidad ng detensyon ay kinakailangan na gumawa ng mga makatwirang akomodasyon para sa mga indibidwal na may mga sakit sa isip upang matiyak ang kanilang kaligtasan, kagalingan, at pag-access"&amp;" sa hustisya. Maaaring kabilang dito ang pagbibigay ng mga espesyal na kaayusan sa pabahay, mga serbisyo sa kalusugan ng isip, mga interbensyon sa paggamot, at iba pang mga kaluwagan na iniayon sa mga pangangailangan ng indibidwal.
Sa pangkalahatan, ki"&amp;"nikilala ng batas ng Pilipinas ang kahalagahan ng pagprotekta sa mga karapatan ng mga indibidwal na may mga sakit na psychiatric sa panahon ng pre-trial detention at nag-uutos ng mga hakbang upang matiyak ang kanilang patas na pagtrato, pag-access sa pang"&amp;"angalagang medikal, at proteksyon mula sa pang-aabuso o pagmamaltrato habang nasa kustodiya. Ang mga legal na probisyon na ito ay naglalayong itaguyod ang dignidad at mga karapatan ng lahat ng mga detenido, kabilang ang mga may sakit na psychiatric, alins"&amp;"unod sa pambansa at internasyonal na mga pamantayan ng karapatang pantao.")</f>
        <v>Sa Pilipinas, ang mga karapatan ng mga indibidwal na may sakit sa isip sa panahon ng pre-trial detention ay protektado ng iba't ibang legal na probisyon na naglalayong pangalagaan ang kanilang kagalingan, tiyakin ang patas na pagtrato, at itaguyod ang kanilang mga pangunahing karapatan. Narito ang ilang mahahalagang aspeto kung paano tinutugunan ng batas ng Pilipinas ang mga karapatan ng mga indibidwal na may mga sakit sa isip sa panahon ng pre-trial detention:
Karapatan sa Legal na Counsel: Ang mga indibidwal na may sakit sa isip ay may karapatan sa legal na representasyon sa panahon ng pre-trial detention. Sila ay may karapatan na sumangguni sa at kinakatawan ng legal na tagapayo sa buong proseso ng pagpigil, kasama ang panahon ng mga interogasyon ng pulisya, paglilitis sa korte, at anumang iba pang pakikipag-ugnayan sa sistema ng hustisyang pangkriminal.
Presumption of Innocence: Ang mga indibidwal na may mga sakit sa isip, tulad ng lahat ng mga akusado, ay ipinapalagay na inosente hanggang sa mapatunayang nagkasala nang walang makatwirang pagdududa. Nalalapat ang presumption of innocence na ito sa buong panahon ng pre-trial detention, at ang mga indibidwal ay dapat tratuhin nang ganoon ng mga awtoridad na nagpapatupad ng batas, mga pasilidad ng detensyon, at ng hudikatura.
Pagbabawal sa Torture at Maling Pagtrato: Ipinagbabawal ng batas ng Pilipinas ang paggamit ng tortyur, malupit, hindi makatao, o nakababahalang pagtrato o pagpaparusa sa lahat ng pagkakataon, kasama na sa panahon ng pre-trial detention. Ang mga indibidwal na may sakit sa isip ay dapat protektahan mula sa anumang uri ng pang-aabuso, pamimilit, o pagmamaltrato habang nakakulong, at ang kanilang mga karapatan sa makataong paggamot ay dapat igalang sa lahat ng oras.
Access sa Medikal na Pangangalaga: Ang mga indibidwal na may mga sakit sa isip sa pre-trial detention ay may karapatang makakuha ng medikal na pangangalaga, kabilang ang paggamot sa kalusugan ng isip, gamot, at iba pang kinakailangang interbensyon. Ang mga pasilidad ng detensyon ay dapat tiyakin na ang mga indibidwal ay makakatanggap ng naaangkop na medikal na atensyon para sa kanilang mga kondisyong pangkaisipan at na ang kanilang mga pangangailangan sa kalusugan ng isip ay sapat na natugunan.
Regular na Pagsusuri ng Detensyon: Ang batas ng Pilipinas ay nag-uutos ng regular na pagrepaso sa pre-trial na detensyon upang maiwasan ang di-makatwirang o matagal na pagkulong. Ang mga indibidwal na may mga sakit sa saykayatriko na nakakulong habang nakabinbin ang paglilitis ay dapat na bigyan ng parehong mga proteksyon sa pamamaraan tulad ng iba pang mga detenido, kabilang ang karapatan sa pana-panahong pagrepaso ng kanilang katayuan sa pagkakakulong ng mga korte upang matukoy ang pangangailangan at legalidad ng patuloy na pagkulong.
Proteksyon ng Pagiging Kompidensyal: Ang mga indibidwal na may mga sakit sa isip ay may karapatan sa pagiging kompidensyal ng kanilang medikal na impormasyon, kabilang ang kanilang diagnosis sa kalusugan ng isip at kasaysayan ng paggamot. Ang mga awtoridad sa pagpapatupad ng batas, mga pasilidad ng detensyon, at mga tauhan ng hukuman ay dapat igalang ang pagkapribado at pagiging kompidensiyal ng mga rekord ng medikal at impormasyon ng mga indibidwal na nauugnay sa kanilang mga kondisyong pang-psychiatric.
Mga Makatwirang Akomodasyon: Ang mga pasilidad ng detensyon ay kinakailangan na gumawa ng mga makatwirang akomodasyon para sa mga indibidwal na may mga sakit sa isip upang matiyak ang kanilang kaligtasan, kagalingan, at pag-access sa hustisya. Maaaring kabilang dito ang pagbibigay ng mga espesyal na kaayusan sa pabahay, mga serbisyo sa kalusugan ng isip, mga interbensyon sa paggamot, at iba pang mga kaluwagan na iniayon sa mga pangangailangan ng indibidwal.
Sa pangkalahatan, kinikilala ng batas ng Pilipinas ang kahalagahan ng pagprotekta sa mga karapatan ng mga indibidwal na may mga sakit na psychiatric sa panahon ng pre-trial detention at nag-uutos ng mga hakbang upang matiyak ang kanilang patas na pagtrato, pag-access sa pangangalagang medikal, at proteksyon mula sa pang-aabuso o pagmamaltrato habang nasa kustodiya. Ang mga legal na probisyon na ito ay naglalayong itaguyod ang dignidad at mga karapatan ng lahat ng mga detenido, kabilang ang mga may sakit na psychiatric, alinsunod sa pambansa at internasyonal na mga pamantayan ng karapatang pantao.</v>
      </c>
      <c r="F2545" s="2">
        <f t="shared" si="1"/>
        <v>0</v>
      </c>
      <c r="G2545" s="2"/>
      <c r="H2545" s="2"/>
      <c r="I2545" s="2"/>
      <c r="J2545" s="2"/>
      <c r="K2545" s="2"/>
      <c r="L2545" s="2"/>
      <c r="M2545" s="2"/>
      <c r="N2545" s="2"/>
      <c r="O2545" s="2"/>
      <c r="P2545" s="2"/>
      <c r="Q2545" s="2"/>
      <c r="R2545" s="2"/>
      <c r="S2545" s="2"/>
      <c r="T2545" s="2"/>
      <c r="U2545" s="2"/>
      <c r="V2545" s="2"/>
      <c r="W2545" s="2"/>
      <c r="X2545" s="2"/>
      <c r="Y2545" s="2"/>
      <c r="Z2545" s="2"/>
      <c r="AA2545" s="2"/>
    </row>
    <row r="2546">
      <c r="A2546" s="1" t="s">
        <v>5971</v>
      </c>
      <c r="B2546" s="1" t="s">
        <v>6060</v>
      </c>
      <c r="C2546" s="1" t="s">
        <v>6061</v>
      </c>
      <c r="D2546" s="2" t="str">
        <f>IFERROR(__xludf.DUMMYFUNCTION("GOOGLETRANSLATE(B2546, ""en"", ""TL"")"),"Anong mga legal na hakbang ang umiiral upang maiwasan ang hindi kinakailangang institusyonalisasyon ng mga indibidwal na may mga sakit na psychiatric sa mga correctional facility?")</f>
        <v>Anong mga legal na hakbang ang umiiral upang maiwasan ang hindi kinakailangang institusyonalisasyon ng mga indibidwal na may mga sakit na psychiatric sa mga correctional facility?</v>
      </c>
      <c r="E2546" s="2" t="str">
        <f>IFERROR(__xludf.DUMMYFUNCTION("GOOGLETRANSLATE(C2546, ""en"", ""TL"")"),"Sa Pilipinas, mayroong ilang mga legal na hakbang upang maiwasan ang hindi kinakailangang institusyonalisasyon ng mga indibidwal na may mga sakit sa isip sa mga pasilidad ng pagwawasto. Ang mga hakbang na ito ay naglalayong tiyakin na ang mga indibidwal n"&amp;"a may mga sakit sa isip ay makakatanggap ng naaangkop na paggamot sa kalusugan ng isip at suporta sa mga setting na nakakatulong sa kanilang kagalingan at rehabilitasyon. Narito ang ilang pangunahing legal na hakbang:
Mga Programa sa Paglilibang: Ang b"&amp;"atas ay nagpapahintulot para sa paglilihis ng mga indibidwal na may mga sakit sa isip palayo sa sistema ng hustisyang kriminal at sa mga programa sa paggamot sa kalusugan ng isip na nakabatay sa komunidad. Ang mga diversion program ay nagbibigay ng mga al"&amp;"ternatibo sa pagkakulong para sa mga indibidwal na ang mga pagkakasala ay nauugnay sa kanilang kalagayan sa kalusugan ng isip, na nagpapahintulot sa kanila na makatanggap ng paggamot at suporta sa mga setting ng komunidad sa halip na ma-institutionalize s"&amp;"a mga correctional facility.
Mga Hukuman sa Kalusugan ng Pag-iisip: Ang ilang mga hurisdiksyon sa Pilipinas ay nagtatag ng mga dalubhasang hukuman sa kalusugan ng isip o mga korte ng diversionary upang pangasiwaan ang mga kaso na kinasasangkutan ng mga"&amp;" indibidwal na may mga sakit sa isip. Nakatuon ang mga korte na ito sa pagtugon sa mga pinagbabatayan na pangangailangan sa kalusugan ng isip ng mga nasasakdal at pagtataguyod ng kanilang rehabilitasyon at muling pagsasama sa lipunan sa pamamagitan ng mga"&amp;" iniangkop na plano sa paggamot at mga serbisyo ng suporta.
Mga Pasilidad sa Paggamot: Ipinag-uutos ng batas ang pagtatatag at pagpapatakbo ng mga pasilidad sa paggamot sa kalusugan ng isip, kabilang ang mga psychiatric na ospital, mga halfway house, a"&amp;"t mga sentro ng paggamot na nakabatay sa komunidad. Ang mga pasilidad na ito ay nagbibigay ng espesyal na pangangalaga sa kalusugan ng isip at mga serbisyo ng suporta para sa mga indibidwal na may mga sakit sa isip, na nag-aalok ng alternatibo sa pagkakul"&amp;"ong sa mga pasilidad ng pagwawasto.
Pagsusuri at Pagtatasa: Ang mga pasilidad ng pagwawasto ay kinakailangan na magsagawa ng screening at pagtatasa ng mga papasok na bilanggo upang matukoy ang mga indibidwal na may mga sakit na psychiatric at masuri an"&amp;"g kanilang mga pangangailangan sa kalusugan ng isip. Nagbibigay-daan ito para sa mga naaangkop na referral sa mga pasilidad sa paggamot sa kalusugan ng isip o mga programa sa paglilipat, na tinitiyak na ang mga indibidwal ay makakatanggap ng kinakailangan"&amp;"g pangangalaga at suporta sa labas ng sistema ng pagwawasto.
Pakikipagtulungan sa Mental Health Professionals: Ang mga pasilidad ng pagwawasto ay madalas na nakikipagtulungan sa mga propesyonal sa kalusugan ng isip, kabilang ang mga psychiatrist, psych"&amp;"ologist, social worker, at tagapayo, upang magbigay ng mga serbisyo sa kalusugan ng isip sa mga bilanggo na may mga sakit sa isip. Tinitiyak ng interdisciplinary approach na ito na ang mga indibidwal ay makakatanggap ng komprehensibong pangangalaga at sup"&amp;"orta na naaayon sa kanilang mga indibidwal na pangangailangan.
Pagsubaybay at Pangangasiwa: Ang mga ahensya ng gobyerno, mga grupo ng adbokasiya, at mga organisasyon ng lipunang sibil ay may papel sa pagsubaybay at pangangasiwa sa paggamot ng mga indib"&amp;"idwal na may mga sakit sa isip sa mga pasilidad ng pagwawasto. Maaari silang magsagawa ng mga regular na inspeksyon, pag-audit, at pagsusuri upang matiyak na ang mga bilanggo ay makakatanggap ng naaangkop na pangangalaga sa kalusugan ng isip at na ang kan"&amp;"ilang mga karapatan ay protektado.
Pagsasanay at Edukasyon: Ang mga kawani ng pagwawasto ay tumatanggap ng pagsasanay at edukasyon kung paano epektibong makipag-ugnayan at suportahan ang mga bilanggo na may mga sakit sa isip. Sinasaklaw ng mga programa"&amp;" sa pagsasanay ang mga paksa tulad ng kamalayan sa kalusugan ng isip, mga diskarte sa interbensyon sa krisis, mga diskarte sa de-escalation, at pangangalaga na may kaalaman sa trauma, na nagbibigay-daan sa mga kawani na magbigay ng naaangkop na pangangala"&amp;"ga at suporta sa mga indibidwal na may mga sakit sa isip.
Sa pamamagitan ng pagpapatupad ng mga legal na hakbang na ito, hinahangad ng Pilipinas na pigilan ang hindi kinakailangang institusyonalisasyon ng mga indibidwal na may mga sakit na psychiatric "&amp;"sa mga correctional facility at isulong ang kanilang access sa naaangkop na paggamot at suporta sa kalusugan ng isip sa mga setting na inuuna ang kanilang kapakanan at rehabilitasyon.")</f>
        <v>Sa Pilipinas, mayroong ilang mga legal na hakbang upang maiwasan ang hindi kinakailangang institusyonalisasyon ng mga indibidwal na may mga sakit sa isip sa mga pasilidad ng pagwawasto. Ang mga hakbang na ito ay naglalayong tiyakin na ang mga indibidwal na may mga sakit sa isip ay makakatanggap ng naaangkop na paggamot sa kalusugan ng isip at suporta sa mga setting na nakakatulong sa kanilang kagalingan at rehabilitasyon. Narito ang ilang pangunahing legal na hakbang:
Mga Programa sa Paglilibang: Ang batas ay nagpapahintulot para sa paglilihis ng mga indibidwal na may mga sakit sa isip palayo sa sistema ng hustisyang kriminal at sa mga programa sa paggamot sa kalusugan ng isip na nakabatay sa komunidad. Ang mga diversion program ay nagbibigay ng mga alternatibo sa pagkakulong para sa mga indibidwal na ang mga pagkakasala ay nauugnay sa kanilang kalagayan sa kalusugan ng isip, na nagpapahintulot sa kanila na makatanggap ng paggamot at suporta sa mga setting ng komunidad sa halip na ma-institutionalize sa mga correctional facility.
Mga Hukuman sa Kalusugan ng Pag-iisip: Ang ilang mga hurisdiksyon sa Pilipinas ay nagtatag ng mga dalubhasang hukuman sa kalusugan ng isip o mga korte ng diversionary upang pangasiwaan ang mga kaso na kinasasangkutan ng mga indibidwal na may mga sakit sa isip. Nakatuon ang mga korte na ito sa pagtugon sa mga pinagbabatayan na pangangailangan sa kalusugan ng isip ng mga nasasakdal at pagtataguyod ng kanilang rehabilitasyon at muling pagsasama sa lipunan sa pamamagitan ng mga iniangkop na plano sa paggamot at mga serbisyo ng suporta.
Mga Pasilidad sa Paggamot: Ipinag-uutos ng batas ang pagtatatag at pagpapatakbo ng mga pasilidad sa paggamot sa kalusugan ng isip, kabilang ang mga psychiatric na ospital, mga halfway house, at mga sentro ng paggamot na nakabatay sa komunidad. Ang mga pasilidad na ito ay nagbibigay ng espesyal na pangangalaga sa kalusugan ng isip at mga serbisyo ng suporta para sa mga indibidwal na may mga sakit sa isip, na nag-aalok ng alternatibo sa pagkakulong sa mga pasilidad ng pagwawasto.
Pagsusuri at Pagtatasa: Ang mga pasilidad ng pagwawasto ay kinakailangan na magsagawa ng screening at pagtatasa ng mga papasok na bilanggo upang matukoy ang mga indibidwal na may mga sakit na psychiatric at masuri ang kanilang mga pangangailangan sa kalusugan ng isip. Nagbibigay-daan ito para sa mga naaangkop na referral sa mga pasilidad sa paggamot sa kalusugan ng isip o mga programa sa paglilipat, na tinitiyak na ang mga indibidwal ay makakatanggap ng kinakailangang pangangalaga at suporta sa labas ng sistema ng pagwawasto.
Pakikipagtulungan sa Mental Health Professionals: Ang mga pasilidad ng pagwawasto ay madalas na nakikipagtulungan sa mga propesyonal sa kalusugan ng isip, kabilang ang mga psychiatrist, psychologist, social worker, at tagapayo, upang magbigay ng mga serbisyo sa kalusugan ng isip sa mga bilanggo na may mga sakit sa isip. Tinitiyak ng interdisciplinary approach na ito na ang mga indibidwal ay makakatanggap ng komprehensibong pangangalaga at suporta na naaayon sa kanilang mga indibidwal na pangangailangan.
Pagsubaybay at Pangangasiwa: Ang mga ahensya ng gobyerno, mga grupo ng adbokasiya, at mga organisasyon ng lipunang sibil ay may papel sa pagsubaybay at pangangasiwa sa paggamot ng mga indibidwal na may mga sakit sa isip sa mga pasilidad ng pagwawasto. Maaari silang magsagawa ng mga regular na inspeksyon, pag-audit, at pagsusuri upang matiyak na ang mga bilanggo ay makakatanggap ng naaangkop na pangangalaga sa kalusugan ng isip at na ang kanilang mga karapatan ay protektado.
Pagsasanay at Edukasyon: Ang mga kawani ng pagwawasto ay tumatanggap ng pagsasanay at edukasyon kung paano epektibong makipag-ugnayan at suportahan ang mga bilanggo na may mga sakit sa isip. Sinasaklaw ng mga programa sa pagsasanay ang mga paksa tulad ng kamalayan sa kalusugan ng isip, mga diskarte sa interbensyon sa krisis, mga diskarte sa de-escalation, at pangangalaga na may kaalaman sa trauma, na nagbibigay-daan sa mga kawani na magbigay ng naaangkop na pangangalaga at suporta sa mga indibidwal na may mga sakit sa isip.
Sa pamamagitan ng pagpapatupad ng mga legal na hakbang na ito, hinahangad ng Pilipinas na pigilan ang hindi kinakailangang institusyonalisasyon ng mga indibidwal na may mga sakit na psychiatric sa mga correctional facility at isulong ang kanilang access sa naaangkop na paggamot at suporta sa kalusugan ng isip sa mga setting na inuuna ang kanilang kapakanan at rehabilitasyon.</v>
      </c>
      <c r="F2546" s="2">
        <f t="shared" si="1"/>
        <v>0</v>
      </c>
      <c r="G2546" s="2"/>
      <c r="H2546" s="2"/>
      <c r="I2546" s="2"/>
      <c r="J2546" s="2"/>
      <c r="K2546" s="2"/>
      <c r="L2546" s="2"/>
      <c r="M2546" s="2"/>
      <c r="N2546" s="2"/>
      <c r="O2546" s="2"/>
      <c r="P2546" s="2"/>
      <c r="Q2546" s="2"/>
      <c r="R2546" s="2"/>
      <c r="S2546" s="2"/>
      <c r="T2546" s="2"/>
      <c r="U2546" s="2"/>
      <c r="V2546" s="2"/>
      <c r="W2546" s="2"/>
      <c r="X2546" s="2"/>
      <c r="Y2546" s="2"/>
      <c r="Z2546" s="2"/>
      <c r="AA2546" s="2"/>
    </row>
    <row r="2547">
      <c r="A2547" s="1" t="s">
        <v>5971</v>
      </c>
      <c r="B2547" s="1" t="s">
        <v>6062</v>
      </c>
      <c r="C2547" s="1" t="s">
        <v>6063</v>
      </c>
      <c r="D2547" s="2" t="str">
        <f>IFERROR(__xludf.DUMMYFUNCTION("GOOGLETRANSLATE(B2547, ""en"", ""TL"")"),"Paano pinoprotektahan ang mga indibidwal na may mga sakit na saykayatriko mula sa mapilit o hindi kusang pag-amin sa loob ng sistema ng hustisyang kriminal?")</f>
        <v>Paano pinoprotektahan ang mga indibidwal na may mga sakit na saykayatriko mula sa mapilit o hindi kusang pag-amin sa loob ng sistema ng hustisyang kriminal?</v>
      </c>
      <c r="E2547" s="2" t="str">
        <f>IFERROR(__xludf.DUMMYFUNCTION("GOOGLETRANSLATE(C2547, ""en"", ""TL"")"),"Sa Pilipinas, ang mga indibidwal na may sakit sa isip ay protektado mula sa mapilit o hindi boluntaryong pag-amin sa loob ng sistema ng hustisyang kriminal sa pamamagitan ng iba't ibang mga legal na pananggalang at prinsipyo. Ang mga proteksyong ito ay na"&amp;"glalayong itaguyod ang mga karapatan ng mga akusado at tiyakin na ang anumang mga pahayag na ginawa ng mga indibidwal na may mga sakit sa saykayatriko ay boluntaryo, may kaalaman, at hindi nakuha sa pamamagitan ng pamimilit o hindi nararapat na impluwensy"&amp;"a. Narito ang ilang pangunahing hakbang:
Karapatan sa Payo: Ang mga indibidwal na may sakit sa isip ay may karapatan sa legal na representasyon sa panahon ng mga interogasyon ng pulisya at sa buong paglilitis sa kriminal. Ang tagapagtanggol ay gumaganap n"&amp;"g isang mahalagang papel sa pagprotekta sa mga karapatan ng mga akusado, pagpapayo sa kanila ng kanilang mga karapatan, at pagtiyak na ang anumang mga pahayag na ginawa ay boluntaryo at may kaalaman.
Mga Karapatan ng Miranda: Ang babala ni Miranda, na nag"&amp;"papaalam sa mga indibidwal ng kanilang karapatang manatiling tahimik at ang kanilang karapatan sa legal na representasyon, ay nalalapat sa Pilipinas. Ang mga opisyal ng pagpapatupad ng batas ay dapat ipaalam sa mga indibidwal ang kanilang mga karapatan sa"&amp;" Miranda bago sila tanungin, kabilang ang mga indibidwal na may mga sakit sa isip.
Pagbabawal sa Torture at Malupit, Di-makatao, o Mapang-abusong Pagtrato o Parusa: Ipinagbabawal ng Konstitusyon ng Pilipinas ang paggamit ng tortyur, puwersa, karahasan, pa"&amp;"nanakot, pananakot, o anumang paraan na pumipigil sa malayang kalooban ng akusado, kabilang ang mga indibidwal na may sakit sa isip. Anumang mga pahayag na nakuha sa pamamagitan ng naturang mga pamamaraan ay itinuturing na hindi tinatanggap bilang ebidens"&amp;"ya sa korte.
Video at Audio Recording: Ang batas ng Pilipinas ay nag-uutos ng pagtatala ng mga custodial interogasyon sa mga paglabag sa kamatayan at mga kaso na kinasasangkutan ng habambuhay na pagkakakulong upang matiyak ang transparency at pananagutan "&amp;"sa proseso ng interogasyon. Ang pagtatala ng mga interogasyon ay maaaring makatulong na maiwasan ang pamimilit o pang-aabuso at magbigay ng isang malinaw na talaan ng mga paglilitis.
Kakayahang Unawain at Iwaksi ang mga Karapatan: Ang mga indibidwal na ma"&amp;"y sakit sa isip ay dapat magkaroon ng kakayahan sa pag-iisip na maunawaan ang kanilang mga karapatan, kabilang ang karapatang manatiling tahimik at karapatan sa legal na representasyon, at sadyang kusang-loob na talikuran ang mga karapatang iyon. Kung may"&amp;" mga alalahanin tungkol sa kakayahan ng indibidwal, maaaring mag-utos ang hukuman ng pagsusuri sa kakayahan bago tanggapin ang anumang mga pahayag bilang ebidensya.
Pagsusuri ng Hudisyal: Ang mga pahayag na nakuha mula sa mga indibidwal na may mga sakit s"&amp;"a isip ay maaaring sumailalim sa pagsusuri ng hudisyal upang matukoy ang kanilang pagiging katanggap-tanggap bilang ebidensya. Susuriin ng hukuman ang pagiging kusang-loob ng mga pahayag, na isinasaalang-alang ang mga salik tulad ng kalagayan ng pag-iisip"&amp;" ng indibidwal, ang mga kalagayan ng interogasyon, at anumang ebidensya ng pamimilit o hindi nararapat na impluwensya.
Exclusionary Rule: Maaaring ibukod ng mga korte sa Pilipinas ang mga pahayag na nakuha bilang paglabag sa mga karapatan sa konstitusyon "&amp;"ng akusado, kabilang ang mga pahayag na nakuha sa pamamagitan ng pamimilit o hindi sinasadyang paraan. Ipinagbabawal ng tuntuning hindi kasama ang paggamit ng labag sa batas na nakuhang ebidensya laban sa akusado sa mga paglilitis sa korte.
Sa pangkalahat"&amp;"an, ang sistemang legal ng Pilipinas ay nagbibigay ng mga proteksyon para sa mga indibidwal na may mga sakit sa isip upang matiyak na ang anumang mga pahayag na kanilang gagawin sa loob ng sistema ng hustisyang pangkriminal ay boluntaryo, may kaalaman, at"&amp;" nakuha alinsunod sa kanilang mga karapatan sa ilalim ng batas. Nakakatulong ang mga proteksyong ito na pangalagaan ang integridad ng legal na proseso at itaguyod ang pagiging patas sa mga paglilitis sa kriminal.")</f>
        <v>Sa Pilipinas, ang mga indibidwal na may sakit sa isip ay protektado mula sa mapilit o hindi boluntaryong pag-amin sa loob ng sistema ng hustisyang kriminal sa pamamagitan ng iba't ibang mga legal na pananggalang at prinsipyo. Ang mga proteksyong ito ay naglalayong itaguyod ang mga karapatan ng mga akusado at tiyakin na ang anumang mga pahayag na ginawa ng mga indibidwal na may mga sakit sa saykayatriko ay boluntaryo, may kaalaman, at hindi nakuha sa pamamagitan ng pamimilit o hindi nararapat na impluwensya. Narito ang ilang pangunahing hakbang:
Karapatan sa Payo: Ang mga indibidwal na may sakit sa isip ay may karapatan sa legal na representasyon sa panahon ng mga interogasyon ng pulisya at sa buong paglilitis sa kriminal. Ang tagapagtanggol ay gumaganap ng isang mahalagang papel sa pagprotekta sa mga karapatan ng mga akusado, pagpapayo sa kanila ng kanilang mga karapatan, at pagtiyak na ang anumang mga pahayag na ginawa ay boluntaryo at may kaalaman.
Mga Karapatan ng Miranda: Ang babala ni Miranda, na nagpapaalam sa mga indibidwal ng kanilang karapatang manatiling tahimik at ang kanilang karapatan sa legal na representasyon, ay nalalapat sa Pilipinas. Ang mga opisyal ng pagpapatupad ng batas ay dapat ipaalam sa mga indibidwal ang kanilang mga karapatan sa Miranda bago sila tanungin, kabilang ang mga indibidwal na may mga sakit sa isip.
Pagbabawal sa Torture at Malupit, Di-makatao, o Mapang-abusong Pagtrato o Parusa: Ipinagbabawal ng Konstitusyon ng Pilipinas ang paggamit ng tortyur, puwersa, karahasan, pananakot, pananakot, o anumang paraan na pumipigil sa malayang kalooban ng akusado, kabilang ang mga indibidwal na may sakit sa isip. Anumang mga pahayag na nakuha sa pamamagitan ng naturang mga pamamaraan ay itinuturing na hindi tinatanggap bilang ebidensya sa korte.
Video at Audio Recording: Ang batas ng Pilipinas ay nag-uutos ng pagtatala ng mga custodial interogasyon sa mga paglabag sa kamatayan at mga kaso na kinasasangkutan ng habambuhay na pagkakakulong upang matiyak ang transparency at pananagutan sa proseso ng interogasyon. Ang pagtatala ng mga interogasyon ay maaaring makatulong na maiwasan ang pamimilit o pang-aabuso at magbigay ng isang malinaw na talaan ng mga paglilitis.
Kakayahang Unawain at Iwaksi ang mga Karapatan: Ang mga indibidwal na may sakit sa isip ay dapat magkaroon ng kakayahan sa pag-iisip na maunawaan ang kanilang mga karapatan, kabilang ang karapatang manatiling tahimik at karapatan sa legal na representasyon, at sadyang kusang-loob na talikuran ang mga karapatang iyon. Kung may mga alalahanin tungkol sa kakayahan ng indibidwal, maaaring mag-utos ang hukuman ng pagsusuri sa kakayahan bago tanggapin ang anumang mga pahayag bilang ebidensya.
Pagsusuri ng Hudisyal: Ang mga pahayag na nakuha mula sa mga indibidwal na may mga sakit sa isip ay maaaring sumailalim sa pagsusuri ng hudisyal upang matukoy ang kanilang pagiging katanggap-tanggap bilang ebidensya. Susuriin ng hukuman ang pagiging kusang-loob ng mga pahayag, na isinasaalang-alang ang mga salik tulad ng kalagayan ng pag-iisip ng indibidwal, ang mga kalagayan ng interogasyon, at anumang ebidensya ng pamimilit o hindi nararapat na impluwensya.
Exclusionary Rule: Maaaring ibukod ng mga korte sa Pilipinas ang mga pahayag na nakuha bilang paglabag sa mga karapatan sa konstitusyon ng akusado, kabilang ang mga pahayag na nakuha sa pamamagitan ng pamimilit o hindi sinasadyang paraan. Ipinagbabawal ng tuntuning hindi kasama ang paggamit ng labag sa batas na nakuhang ebidensya laban sa akusado sa mga paglilitis sa korte.
Sa pangkalahatan, ang sistemang legal ng Pilipinas ay nagbibigay ng mga proteksyon para sa mga indibidwal na may mga sakit sa isip upang matiyak na ang anumang mga pahayag na kanilang gagawin sa loob ng sistema ng hustisyang pangkriminal ay boluntaryo, may kaalaman, at nakuha alinsunod sa kanilang mga karapatan sa ilalim ng batas. Nakakatulong ang mga proteksyong ito na pangalagaan ang integridad ng legal na proseso at itaguyod ang pagiging patas sa mga paglilitis sa kriminal.</v>
      </c>
      <c r="F2547" s="2">
        <f t="shared" si="1"/>
        <v>0</v>
      </c>
      <c r="G2547" s="2"/>
      <c r="H2547" s="2"/>
      <c r="I2547" s="2"/>
      <c r="J2547" s="2"/>
      <c r="K2547" s="2"/>
      <c r="L2547" s="2"/>
      <c r="M2547" s="2"/>
      <c r="N2547" s="2"/>
      <c r="O2547" s="2"/>
      <c r="P2547" s="2"/>
      <c r="Q2547" s="2"/>
      <c r="R2547" s="2"/>
      <c r="S2547" s="2"/>
      <c r="T2547" s="2"/>
      <c r="U2547" s="2"/>
      <c r="V2547" s="2"/>
      <c r="W2547" s="2"/>
      <c r="X2547" s="2"/>
      <c r="Y2547" s="2"/>
      <c r="Z2547" s="2"/>
      <c r="AA2547" s="2"/>
    </row>
    <row r="2548">
      <c r="A2548" s="1" t="s">
        <v>5971</v>
      </c>
      <c r="B2548" s="1" t="s">
        <v>6064</v>
      </c>
      <c r="C2548" s="1" t="s">
        <v>6065</v>
      </c>
      <c r="D2548" s="2" t="str">
        <f>IFERROR(__xludf.DUMMYFUNCTION("GOOGLETRANSLATE(B2548, ""en"", ""TL"")"),"Mayroon bang mga legal na kahihinatnan para sa mga indibidwal na napatunayang nagkasala ng mga krimen na ginawa habang nakakaranas ng pansamantalang psychiatric disturbance?")</f>
        <v>Mayroon bang mga legal na kahihinatnan para sa mga indibidwal na napatunayang nagkasala ng mga krimen na ginawa habang nakakaranas ng pansamantalang psychiatric disturbance?</v>
      </c>
      <c r="E2548" s="2" t="str">
        <f>IFERROR(__xludf.DUMMYFUNCTION("GOOGLETRANSLATE(C2548, ""en"", ""TL"")"),"Sa Pilipinas, ang mga indibidwal na napatunayang nagkasala ng mga krimen na ginawa habang nakakaranas ng pansamantalang psychiatric disturbance ay maaari pa ring humarap sa mga legal na kahihinatnan, ngunit ang mga partikular na resulta ay maaaring mag-ib"&amp;"a depende sa ilang mga kadahilanan, kabilang ang kalubhaan ng pagkakasala, ang mga kalagayan ng kaso, at ang pag-iisip ng indibidwal. katayuan sa kalusugan. Narito ang isang breakdown ng mga potensyal na legal na kahihinatnan:
Pananagutan sa Kriminal: "&amp;"Ang mga indibidwal na napatunayang nagkasala sa paggawa ng krimen, kahit na sa panahon ng pansamantalang kaguluhan sa isip, ay maaaring managot sa ilalim ng batas ng Pilipinas. Isasaalang-alang ng hukuman ang mga salik gaya ng kalagayan ng pag-iisip ng in"&amp;"dibidwal sa oras ng pagkakasala, ang kalubhaan ng krimen, at anumang nagpapagaan na mga pangyayari sa pagtukoy ng mga naaangkop na legal na kahihinatnan.
Mga Parusa at Pagsentensiya: Kung napatunayang nagkasala, ang mga indibidwal ay maaaring maharap s"&amp;"a mga parusa at pagsentensiya alinsunod sa Binagong Kodigo ng Penal ng Pilipinas o iba pang nauugnay na mga batas. Ang hukuman ay maaaring magpataw ng mga multa, pagkakulong, o iba pang mga hakbang sa pagpaparusa batay sa uri at bigat ng pagkakasala, anum"&amp;"an ang kalagayan ng kalusugan ng isip ng indibidwal sa oras ng krimen.
Mga Salik sa Pagbabawas: Ang mga indibidwal na may pansamantalang psychiatric disturbances ay maaaring magpakita ng mga nagpapagaan na salik na maaaring makaimpluwensya sa desisyon "&amp;"ng korte sa pagsentensiya. Ang mga salik na nagpapagaan, tulad ng kawalan ng layunin ng indibidwal o pagbaba ng kapasidad dahil sa kanilang kalagayan sa pag-iisip, ay maaaring humantong sa pinababang mga parusa o mga alternatibong pagpipilian sa pagsenten"&amp;"siya.
Paggamot at Rehabilitasyon: Sa mga kaso kung saan kinikilala ng korte ang papel ng sakit sa isip sa paggawa ng pagkakasala, ang mga indibidwal ay maaaring utusan na sumailalim sa paggamot at rehabilitasyon bilang bahagi ng kanilang paghatol. Maaa"&amp;"ring kabilang dito ang pagpapayo sa kalusugan ng isip, therapy, gamot, o pakikilahok sa mga programa sa kalusugan ng isip na naglalayong tugunan ang mga pinagbabatayan na isyu at bawasan ang panganib ng muling pagkakasala.
Pangangasiwa at Pagsubaybay: "&amp;"Ang hukuman ay maaaring magpataw ng mga kondisyon ng pangangasiwa o pagsubaybay bilang bahagi ng sentensiya ng indibidwal, lalo na kung ang kanilang kalagayan sa kalusugan ng isip ay itinuturing na isang panganib na kadahilanan para sa hinaharap na krimin"&amp;"al na pag-uugali. Maaaring kabilang dito ang mga regular na check-in sa mga opisyal ng probasyon, pagsunod sa mga plano sa paggamot, o iba pang mga hakbang na naglalayong tiyakin ang kaligtasan ng publiko at suportahan ang rehabilitasyon ng indibidwal.
"&amp;"
Pagsusuri at Apela: Ang mga indibidwal na napatunayang nagkasala sa mga krimeng ginawa sa panahon ng pansamantalang kaguluhan sa isip ay may karapatang iapela ang kanilang mga hinatulan o humingi ng pagsusuri sa kanilang mga kaso sa pamamagitan ng mga le"&amp;"gal na paraan. Maaari nilang hamunin ang legalidad o pagiging patas ng kanilang mga paniniwala, magpakita ng mga bagong ebidensya o argumento, o humingi ng mga pagbabago sa kanilang mga sentensiya batay sa mga nabagong pangyayari o pag-unlad sa kanilang k"&amp;"atayuan sa kalusugan ng isip.
Sa pangkalahatan, habang ang mga indibidwal na nakakaranas ng pansamantalang psychiatric disturbance ay maaaring humarap sa mga legal na kahihinatnan para sa mga krimen na kanilang ginawa, kinikilala din ng legal na sistem"&amp;"a sa Pilipinas ang kahalagahan ng pagsasaalang-alang sa mga salik sa kalusugan ng isip sa pagtukoy ng mga naaangkop na tugon at pagtiyak ng patas at makatarungang mga resulta para sa lahat ng partidong kasangkot.")</f>
        <v>Sa Pilipinas, ang mga indibidwal na napatunayang nagkasala ng mga krimen na ginawa habang nakakaranas ng pansamantalang psychiatric disturbance ay maaari pa ring humarap sa mga legal na kahihinatnan, ngunit ang mga partikular na resulta ay maaaring mag-iba depende sa ilang mga kadahilanan, kabilang ang kalubhaan ng pagkakasala, ang mga kalagayan ng kaso, at ang pag-iisip ng indibidwal. katayuan sa kalusugan. Narito ang isang breakdown ng mga potensyal na legal na kahihinatnan:
Pananagutan sa Kriminal: Ang mga indibidwal na napatunayang nagkasala sa paggawa ng krimen, kahit na sa panahon ng pansamantalang kaguluhan sa isip, ay maaaring managot sa ilalim ng batas ng Pilipinas. Isasaalang-alang ng hukuman ang mga salik gaya ng kalagayan ng pag-iisip ng indibidwal sa oras ng pagkakasala, ang kalubhaan ng krimen, at anumang nagpapagaan na mga pangyayari sa pagtukoy ng mga naaangkop na legal na kahihinatnan.
Mga Parusa at Pagsentensiya: Kung napatunayang nagkasala, ang mga indibidwal ay maaaring maharap sa mga parusa at pagsentensiya alinsunod sa Binagong Kodigo ng Penal ng Pilipinas o iba pang nauugnay na mga batas. Ang hukuman ay maaaring magpataw ng mga multa, pagkakulong, o iba pang mga hakbang sa pagpaparusa batay sa uri at bigat ng pagkakasala, anuman ang kalagayan ng kalusugan ng isip ng indibidwal sa oras ng krimen.
Mga Salik sa Pagbabawas: Ang mga indibidwal na may pansamantalang psychiatric disturbances ay maaaring magpakita ng mga nagpapagaan na salik na maaaring makaimpluwensya sa desisyon ng korte sa pagsentensiya. Ang mga salik na nagpapagaan, tulad ng kawalan ng layunin ng indibidwal o pagbaba ng kapasidad dahil sa kanilang kalagayan sa pag-iisip, ay maaaring humantong sa pinababang mga parusa o mga alternatibong pagpipilian sa pagsentensiya.
Paggamot at Rehabilitasyon: Sa mga kaso kung saan kinikilala ng korte ang papel ng sakit sa isip sa paggawa ng pagkakasala, ang mga indibidwal ay maaaring utusan na sumailalim sa paggamot at rehabilitasyon bilang bahagi ng kanilang paghatol. Maaaring kabilang dito ang pagpapayo sa kalusugan ng isip, therapy, gamot, o pakikilahok sa mga programa sa kalusugan ng isip na naglalayong tugunan ang mga pinagbabatayan na isyu at bawasan ang panganib ng muling pagkakasala.
Pangangasiwa at Pagsubaybay: Ang hukuman ay maaaring magpataw ng mga kondisyon ng pangangasiwa o pagsubaybay bilang bahagi ng sentensiya ng indibidwal, lalo na kung ang kanilang kalagayan sa kalusugan ng isip ay itinuturing na isang panganib na kadahilanan para sa hinaharap na kriminal na pag-uugali. Maaaring kabilang dito ang mga regular na check-in sa mga opisyal ng probasyon, pagsunod sa mga plano sa paggamot, o iba pang mga hakbang na naglalayong tiyakin ang kaligtasan ng publiko at suportahan ang rehabilitasyon ng indibidwal.
Pagsusuri at Apela: Ang mga indibidwal na napatunayang nagkasala sa mga krimeng ginawa sa panahon ng pansamantalang kaguluhan sa isip ay may karapatang iapela ang kanilang mga hinatulan o humingi ng pagsusuri sa kanilang mga kaso sa pamamagitan ng mga legal na paraan. Maaari nilang hamunin ang legalidad o pagiging patas ng kanilang mga paniniwala, magpakita ng mga bagong ebidensya o argumento, o humingi ng mga pagbabago sa kanilang mga sentensiya batay sa mga nabagong pangyayari o pag-unlad sa kanilang katayuan sa kalusugan ng isip.
Sa pangkalahatan, habang ang mga indibidwal na nakakaranas ng pansamantalang psychiatric disturbance ay maaaring humarap sa mga legal na kahihinatnan para sa mga krimen na kanilang ginawa, kinikilala din ng legal na sistema sa Pilipinas ang kahalagahan ng pagsasaalang-alang sa mga salik sa kalusugan ng isip sa pagtukoy ng mga naaangkop na tugon at pagtiyak ng patas at makatarungang mga resulta para sa lahat ng partidong kasangkot.</v>
      </c>
      <c r="F2548" s="2">
        <f t="shared" si="1"/>
        <v>0</v>
      </c>
      <c r="G2548" s="2"/>
      <c r="H2548" s="2"/>
      <c r="I2548" s="2"/>
      <c r="J2548" s="2"/>
      <c r="K2548" s="2"/>
      <c r="L2548" s="2"/>
      <c r="M2548" s="2"/>
      <c r="N2548" s="2"/>
      <c r="O2548" s="2"/>
      <c r="P2548" s="2"/>
      <c r="Q2548" s="2"/>
      <c r="R2548" s="2"/>
      <c r="S2548" s="2"/>
      <c r="T2548" s="2"/>
      <c r="U2548" s="2"/>
      <c r="V2548" s="2"/>
      <c r="W2548" s="2"/>
      <c r="X2548" s="2"/>
      <c r="Y2548" s="2"/>
      <c r="Z2548" s="2"/>
      <c r="AA2548" s="2"/>
    </row>
    <row r="2549">
      <c r="A2549" s="1" t="s">
        <v>5971</v>
      </c>
      <c r="B2549" s="1" t="s">
        <v>6066</v>
      </c>
      <c r="C2549" s="1" t="s">
        <v>6067</v>
      </c>
      <c r="D2549" s="2" t="str">
        <f>IFERROR(__xludf.DUMMYFUNCTION("GOOGLETRANSLATE(B2549, ""en"", ""TL"")"),"Paano tinutugunan ng batas ang papel ng mga pagsusuri sa saykayatriko sa pagtukoy sa kredibilidad ng mga testigo na may mga sakit na psychiatric?")</f>
        <v>Paano tinutugunan ng batas ang papel ng mga pagsusuri sa saykayatriko sa pagtukoy sa kredibilidad ng mga testigo na may mga sakit na psychiatric?</v>
      </c>
      <c r="E2549" s="2" t="str">
        <f>IFERROR(__xludf.DUMMYFUNCTION("GOOGLETRANSLATE(C2549, ""en"", ""TL"")"),"Sa Pilipinas, tinutugunan ng batas ang papel ng mga pagsusuri sa saykayatriko sa pagtukoy ng kredibilidad ng mga testigo na may mga sakit na psychiatric sa pamamagitan ng iba't ibang mga legal na probisyon at prinsipyo. Narito ang ilang pangunahing aspeto"&amp;":
Pagtanggap ng Expert Testimony: Pinahihintulutan ng batas ng Pilipinas ang pagtanggap ng testimonya ng eksperto, kabilang ang mga pagsusuri sa saykayatriko, upang tulungan ang korte sa pag-unawa sa kalagayan ng kalusugan ng isip at kredibilidad ng mg"&amp;"a testigo na may mga sakit sa isip. Ang Seksyon 49 ng Mga Panuntunan ng Hukuman ay nagbibigay para sa pagtanggap ng testimonya ng eksperto sa mga bagay na nangangailangan ng espesyal na kaalaman, kasanayan, karanasan, o pagsasanay, kabilang ang mga pagsus"&amp;"uri sa saykayatriko.
Pagtatasa ng Kakayahan at Kredibilidad: Maaaring gamitin ang mga pagsusuri sa saykayatriko upang masuri ang kakayahan at kredibilidad ng mga testigo na may mga sakit na psychiatric. Maaaring kabilang sa mga pagsusuri ang mga pagtat"&amp;"asa sa kalagayan ng kalusugan ng isip ng testigo, paggana ng pag-iisip, kakayahang maunawaan at maalala ang mga kaganapan nang tumpak, at pagkamaramdamin sa mga salik na maaaring makaapekto sa kanilang kredibilidad, tulad ng mga maling akala o guni-guni.
"&amp;"
Pagpapatibay ng Testimonya: Maaaring patunayan o suportahan ng mga pagsusuri sa psychiatric ang patotoo ng mga testigo na may mga sakit na psychiatric sa pamamagitan ng pagbibigay ng katibayan ng kanilang kalagayan sa kalusugan ng isip at ang potensyal"&amp;" na epekto nito sa kanilang kakayahang makita, maalala, at maiparating ang impormasyon nang tumpak. Ang mga pagsusuri ay maaari ring tumukoy ng anumang mga hindi pagkakapare-pareho o mga pagkakaiba sa patotoo ng saksi na maaaring maiugnay sa kanilang saki"&amp;"t sa isip.
Pagsasaalang-alang sa Opinyon ng Eksperto: Maaaring isaalang-alang ng hukuman ang mga opinyon ng eksperto na ibinigay sa pamamagitan ng mga pagsusuri sa saykayatriko sa pagtatasa ng kredibilidad ng mga testigo na may mga sakit na psychiatric"&amp;". Ang patotoo ng eksperto ay maaaring makatulong sa korte na maunawaan ang kalikasan at kalubhaan ng psychiatric na kondisyon ng testigo, ang mga potensyal na epekto ng kanilang karamdaman sa kanilang kakayahang tumestigo nang totoo, at anumang mga salik "&amp;"na maaaring makaapekto sa pagiging maaasahan ng kanilang testimonya.
Pagtimbang ng Ebidensya: Sa pagtimbang ng ebidensyang iniharap, kasama ang testimonya ng mga testigo na may mga sakit sa isip, dapat na maingat na isaalang-alang ng hukuman ang kredib"&amp;"ilidad at pagiging maaasahan ng ebidensya batay sa lahat ng mga pangyayari ng kaso. Maaaring bigyan ng korte ng naaangkop na bigat ang mga pagsusuri sa saykayatriko at patotoo ng eksperto sa pagtukoy sa kredibilidad ng mga testigo na may mga sakit sa isip"&amp;".
Proteksyon ng mga Karapatan ng Saksi: Mahalagang tiyakin na ang mga testigo na may mga sakit sa isip ay tinatrato nang patas at magalang sa buong proseso ng batas. Dapat pangalagaan ng hukuman ang kanilang mga karapatan, kabilang ang karapatan sa ang"&amp;"kop na proseso, karapatang pakinggan, at karapatang ma-access ang mga serbisyo ng suporta sa kalusugan ng isip kung kinakailangan.
Sa pangkalahatan, kinikilala ng batas sa Pilipinas ang papel ng mga pagsusuri sa saykayatriko sa pagtatasa ng kredibilida"&amp;"d ng mga testigo na may mga sakit na psychiatric at binibigyang-diin ang kahalagahan ng patas at walang kinikilingan na pagsasaalang-alang sa lahat ng ebidensya, kabilang ang testimonya ng eksperto, sa pangangasiwa ng hustisya.")</f>
        <v>Sa Pilipinas, tinutugunan ng batas ang papel ng mga pagsusuri sa saykayatriko sa pagtukoy ng kredibilidad ng mga testigo na may mga sakit na psychiatric sa pamamagitan ng iba't ibang mga legal na probisyon at prinsipyo. Narito ang ilang pangunahing aspeto:
Pagtanggap ng Expert Testimony: Pinahihintulutan ng batas ng Pilipinas ang pagtanggap ng testimonya ng eksperto, kabilang ang mga pagsusuri sa saykayatriko, upang tulungan ang korte sa pag-unawa sa kalagayan ng kalusugan ng isip at kredibilidad ng mga testigo na may mga sakit sa isip. Ang Seksyon 49 ng Mga Panuntunan ng Hukuman ay nagbibigay para sa pagtanggap ng testimonya ng eksperto sa mga bagay na nangangailangan ng espesyal na kaalaman, kasanayan, karanasan, o pagsasanay, kabilang ang mga pagsusuri sa saykayatriko.
Pagtatasa ng Kakayahan at Kredibilidad: Maaaring gamitin ang mga pagsusuri sa saykayatriko upang masuri ang kakayahan at kredibilidad ng mga testigo na may mga sakit na psychiatric. Maaaring kabilang sa mga pagsusuri ang mga pagtatasa sa kalagayan ng kalusugan ng isip ng testigo, paggana ng pag-iisip, kakayahang maunawaan at maalala ang mga kaganapan nang tumpak, at pagkamaramdamin sa mga salik na maaaring makaapekto sa kanilang kredibilidad, tulad ng mga maling akala o guni-guni.
Pagpapatibay ng Testimonya: Maaaring patunayan o suportahan ng mga pagsusuri sa psychiatric ang patotoo ng mga testigo na may mga sakit na psychiatric sa pamamagitan ng pagbibigay ng katibayan ng kanilang kalagayan sa kalusugan ng isip at ang potensyal na epekto nito sa kanilang kakayahang makita, maalala, at maiparating ang impormasyon nang tumpak. Ang mga pagsusuri ay maaari ring tumukoy ng anumang mga hindi pagkakapare-pareho o mga pagkakaiba sa patotoo ng saksi na maaaring maiugnay sa kanilang sakit sa isip.
Pagsasaalang-alang sa Opinyon ng Eksperto: Maaaring isaalang-alang ng hukuman ang mga opinyon ng eksperto na ibinigay sa pamamagitan ng mga pagsusuri sa saykayatriko sa pagtatasa ng kredibilidad ng mga testigo na may mga sakit na psychiatric. Ang patotoo ng eksperto ay maaaring makatulong sa korte na maunawaan ang kalikasan at kalubhaan ng psychiatric na kondisyon ng testigo, ang mga potensyal na epekto ng kanilang karamdaman sa kanilang kakayahang tumestigo nang totoo, at anumang mga salik na maaaring makaapekto sa pagiging maaasahan ng kanilang testimonya.
Pagtimbang ng Ebidensya: Sa pagtimbang ng ebidensyang iniharap, kasama ang testimonya ng mga testigo na may mga sakit sa isip, dapat na maingat na isaalang-alang ng hukuman ang kredibilidad at pagiging maaasahan ng ebidensya batay sa lahat ng mga pangyayari ng kaso. Maaaring bigyan ng korte ng naaangkop na bigat ang mga pagsusuri sa saykayatriko at patotoo ng eksperto sa pagtukoy sa kredibilidad ng mga testigo na may mga sakit sa isip.
Proteksyon ng mga Karapatan ng Saksi: Mahalagang tiyakin na ang mga testigo na may mga sakit sa isip ay tinatrato nang patas at magalang sa buong proseso ng batas. Dapat pangalagaan ng hukuman ang kanilang mga karapatan, kabilang ang karapatan sa angkop na proseso, karapatang pakinggan, at karapatang ma-access ang mga serbisyo ng suporta sa kalusugan ng isip kung kinakailangan.
Sa pangkalahatan, kinikilala ng batas sa Pilipinas ang papel ng mga pagsusuri sa saykayatriko sa pagtatasa ng kredibilidad ng mga testigo na may mga sakit na psychiatric at binibigyang-diin ang kahalagahan ng patas at walang kinikilingan na pagsasaalang-alang sa lahat ng ebidensya, kabilang ang testimonya ng eksperto, sa pangangasiwa ng hustisya.</v>
      </c>
      <c r="F2549" s="2">
        <f t="shared" si="1"/>
        <v>0</v>
      </c>
      <c r="G2549" s="2"/>
      <c r="H2549" s="2"/>
      <c r="I2549" s="2"/>
      <c r="J2549" s="2"/>
      <c r="K2549" s="2"/>
      <c r="L2549" s="2"/>
      <c r="M2549" s="2"/>
      <c r="N2549" s="2"/>
      <c r="O2549" s="2"/>
      <c r="P2549" s="2"/>
      <c r="Q2549" s="2"/>
      <c r="R2549" s="2"/>
      <c r="S2549" s="2"/>
      <c r="T2549" s="2"/>
      <c r="U2549" s="2"/>
      <c r="V2549" s="2"/>
      <c r="W2549" s="2"/>
      <c r="X2549" s="2"/>
      <c r="Y2549" s="2"/>
      <c r="Z2549" s="2"/>
      <c r="AA2549" s="2"/>
    </row>
    <row r="2550">
      <c r="A2550" s="1" t="s">
        <v>5971</v>
      </c>
      <c r="B2550" s="1" t="s">
        <v>6068</v>
      </c>
      <c r="C2550" s="1" t="s">
        <v>6069</v>
      </c>
      <c r="D2550" s="2" t="str">
        <f>IFERROR(__xludf.DUMMYFUNCTION("GOOGLETRANSLATE(B2550, ""en"", ""TL"")"),"Anong mga legal na probisyon ang namamahala sa komunikasyon sa pagitan ng mga legal na kinatawan at mga indibidwal na may mga sakit sa isip sa panahon ng mga paglilitis sa kriminal?")</f>
        <v>Anong mga legal na probisyon ang namamahala sa komunikasyon sa pagitan ng mga legal na kinatawan at mga indibidwal na may mga sakit sa isip sa panahon ng mga paglilitis sa kriminal?</v>
      </c>
      <c r="E2550" s="2" t="str">
        <f>IFERROR(__xludf.DUMMYFUNCTION("GOOGLETRANSLATE(C2550, ""en"", ""TL"")"),"Sa Pilipinas, ang komunikasyon sa pagitan ng mga legal na kinatawan at mga indibidwal na may sakit sa isip sa panahon ng mga paglilitis sa kriminal ay pinamamahalaan ng ilang mga legal na probisyon na naglalayong protektahan ang mga karapatan ng mga akusa"&amp;"do. Narito ang ilang pangunahing probisyon:
Karapatan sa Pagpapayo: Ang Artikulo III, Seksyon 14(2) ng 1987 Konstitusyon ng Pilipinas ay ginagarantiyahan ang karapatan ng bawat taong nasa ilalim ng pagsisiyasat para sa paggawa ng isang pagkakasala na m"&amp;"agkaroon ng karampatang at independiyenteng abogado na mas mabuti sa kanilang sariling kagustuhan. Ang karapatang ito ay umaabot sa mga indibidwal na may mga sakit sa isip at tinitiyak na sila ay may access sa legal na representasyon sa kabuuan ng mga pag"&amp;"lilitis sa krimen.
Pagiging Kumpidensyal ng Mga Komunikasyon: Pinoprotektahan ng pribilehiyo ng abogado-kliyente ang pagiging kumpidensyal ng mga komunikasyon sa pagitan ng isang kliyente at kanilang legal na kinatawan. Ang pribilehiyong ito ay nagbibi"&amp;"gay-daan sa mga indibidwal na may mga sakit sa isip na malayang makipag-ugnayan sa kanilang mga abogado nang walang takot na ibunyag sa mga ikatlong partido, kabilang ang prosekusyon o ang hukuman.
Competency to Stand Trial: Sa ilalim ng batas ng Pilip"&amp;"inas, ang mga indibidwal ay dapat na may kakayahang humarap sa paglilitis, ibig sabihin, dapat silang magkaroon ng mental na kapasidad na maunawaan ang kalikasan at mga kahihinatnan ng mga paglilitis laban sa kanila at tumulong sa kanilang sariling depens"&amp;"a. Kung may mga alalahanin tungkol sa kakayahan ng indibidwal dahil sa kanilang sakit sa isip, maaaring mag-utos ang hukuman ng pagsusuri sa kakayahan at gumawa ng naaangkop na mga hakbang upang maprotektahan ang kanilang mga karapatan.
May Kaalaman na"&amp;" Pahintulot: Ang mga legal na kinatawan ay may tungkulin na tiyaking nauunawaan ng mga indibidwal na may sakit sa isip ang mga legal na paglilitis laban sa kanila at ang mga implikasyon ng kanilang mga desisyon. Kabilang dito ang pagkuha ng may-kaalamang "&amp;"pahintulot mula sa kliyente bago gumawa ng mga desisyon o gumawa ng mga aksyon para sa kanila, tulad ng pagpasok sa mga kasunduan sa plea o pagwawaksi ng mga karapatan.
Access sa Paggamot at Suporta: Ang mga indibidwal na may mga sakit sa isip ay may k"&amp;"arapatan na ma-access ang paggamot sa kalusugan ng isip at mga serbisyo ng suporta, kabilang ang pag-access sa mga medikal na propesyonal, therapy, gamot, at iba pang mga interbensyon. Maaaring isulong ng mga legal na kinatawan ang pag-access ng kanilang "&amp;"mga kliyente sa naaangkop na pangangalaga sa kalusugan ng isip upang matiyak ang kanilang kagalingan at kakayahang makilahok nang epektibo sa mga paglilitis.
Proteksyon ng mga Mahinang Saksi: Sa mga kaso kung saan ang mga indibidwal na may sakit sa isi"&amp;"p ay tinawag bilang mga saksi, ang hukuman ay maaaring gumawa ng mga hakbang upang protektahan ang kanilang mga karapatan at matiyak na ang kanilang testimonya ay ibinibigay sa paraang patas at magalang. Maaaring kabilang dito ang pagpapahintulot ng mga k"&amp;"aluwagan para sa mga kahirapan sa komunikasyon o pagbibigay ng suporta mula sa mga propesyonal sa kalusugan ng isip.
Sa pangkalahatan, ang mga legal na probisyon na namamahala sa komunikasyon sa pagitan ng mga legal na kinatawan at mga indibidwal na ma"&amp;"y sakit sa isip sa panahon ng mga paglilitis sa kriminal ay naglalayong protektahan ang mga karapatan, dignidad, at kapakanan ng mga akusado habang tinitiyak ang isang patas at makatarungang legal na proseso.")</f>
        <v>Sa Pilipinas, ang komunikasyon sa pagitan ng mga legal na kinatawan at mga indibidwal na may sakit sa isip sa panahon ng mga paglilitis sa kriminal ay pinamamahalaan ng ilang mga legal na probisyon na naglalayong protektahan ang mga karapatan ng mga akusado. Narito ang ilang pangunahing probisyon:
Karapatan sa Pagpapayo: Ang Artikulo III, Seksyon 14(2) ng 1987 Konstitusyon ng Pilipinas ay ginagarantiyahan ang karapatan ng bawat taong nasa ilalim ng pagsisiyasat para sa paggawa ng isang pagkakasala na magkaroon ng karampatang at independiyenteng abogado na mas mabuti sa kanilang sariling kagustuhan. Ang karapatang ito ay umaabot sa mga indibidwal na may mga sakit sa isip at tinitiyak na sila ay may access sa legal na representasyon sa kabuuan ng mga paglilitis sa krimen.
Pagiging Kumpidensyal ng Mga Komunikasyon: Pinoprotektahan ng pribilehiyo ng abogado-kliyente ang pagiging kumpidensyal ng mga komunikasyon sa pagitan ng isang kliyente at kanilang legal na kinatawan. Ang pribilehiyong ito ay nagbibigay-daan sa mga indibidwal na may mga sakit sa isip na malayang makipag-ugnayan sa kanilang mga abogado nang walang takot na ibunyag sa mga ikatlong partido, kabilang ang prosekusyon o ang hukuman.
Competency to Stand Trial: Sa ilalim ng batas ng Pilipinas, ang mga indibidwal ay dapat na may kakayahang humarap sa paglilitis, ibig sabihin, dapat silang magkaroon ng mental na kapasidad na maunawaan ang kalikasan at mga kahihinatnan ng mga paglilitis laban sa kanila at tumulong sa kanilang sariling depensa. Kung may mga alalahanin tungkol sa kakayahan ng indibidwal dahil sa kanilang sakit sa isip, maaaring mag-utos ang hukuman ng pagsusuri sa kakayahan at gumawa ng naaangkop na mga hakbang upang maprotektahan ang kanilang mga karapatan.
May Kaalaman na Pahintulot: Ang mga legal na kinatawan ay may tungkulin na tiyaking nauunawaan ng mga indibidwal na may sakit sa isip ang mga legal na paglilitis laban sa kanila at ang mga implikasyon ng kanilang mga desisyon. Kabilang dito ang pagkuha ng may-kaalamang pahintulot mula sa kliyente bago gumawa ng mga desisyon o gumawa ng mga aksyon para sa kanila, tulad ng pagpasok sa mga kasunduan sa plea o pagwawaksi ng mga karapatan.
Access sa Paggamot at Suporta: Ang mga indibidwal na may mga sakit sa isip ay may karapatan na ma-access ang paggamot sa kalusugan ng isip at mga serbisyo ng suporta, kabilang ang pag-access sa mga medikal na propesyonal, therapy, gamot, at iba pang mga interbensyon. Maaaring isulong ng mga legal na kinatawan ang pag-access ng kanilang mga kliyente sa naaangkop na pangangalaga sa kalusugan ng isip upang matiyak ang kanilang kagalingan at kakayahang makilahok nang epektibo sa mga paglilitis.
Proteksyon ng mga Mahinang Saksi: Sa mga kaso kung saan ang mga indibidwal na may sakit sa isip ay tinawag bilang mga saksi, ang hukuman ay maaaring gumawa ng mga hakbang upang protektahan ang kanilang mga karapatan at matiyak na ang kanilang testimonya ay ibinibigay sa paraang patas at magalang. Maaaring kabilang dito ang pagpapahintulot ng mga kaluwagan para sa mga kahirapan sa komunikasyon o pagbibigay ng suporta mula sa mga propesyonal sa kalusugan ng isip.
Sa pangkalahatan, ang mga legal na probisyon na namamahala sa komunikasyon sa pagitan ng mga legal na kinatawan at mga indibidwal na may sakit sa isip sa panahon ng mga paglilitis sa kriminal ay naglalayong protektahan ang mga karapatan, dignidad, at kapakanan ng mga akusado habang tinitiyak ang isang patas at makatarungang legal na proseso.</v>
      </c>
      <c r="F2550" s="2">
        <f t="shared" si="1"/>
        <v>0</v>
      </c>
      <c r="G2550" s="2"/>
      <c r="H2550" s="2"/>
      <c r="I2550" s="2"/>
      <c r="J2550" s="2"/>
      <c r="K2550" s="2"/>
      <c r="L2550" s="2"/>
      <c r="M2550" s="2"/>
      <c r="N2550" s="2"/>
      <c r="O2550" s="2"/>
      <c r="P2550" s="2"/>
      <c r="Q2550" s="2"/>
      <c r="R2550" s="2"/>
      <c r="S2550" s="2"/>
      <c r="T2550" s="2"/>
      <c r="U2550" s="2"/>
      <c r="V2550" s="2"/>
      <c r="W2550" s="2"/>
      <c r="X2550" s="2"/>
      <c r="Y2550" s="2"/>
      <c r="Z2550" s="2"/>
      <c r="AA2550" s="2"/>
    </row>
    <row r="2551">
      <c r="A2551" s="1" t="s">
        <v>5971</v>
      </c>
      <c r="B2551" s="1" t="s">
        <v>6070</v>
      </c>
      <c r="C2551" s="1" t="s">
        <v>6071</v>
      </c>
      <c r="D2551" s="2" t="str">
        <f>IFERROR(__xludf.DUMMYFUNCTION("GOOGLETRANSLATE(B2551, ""en"", ""TL"")"),"Paano pinoprotektahan ang mga indibidwal na may mga sakit na saykayatriko mula sa hindi nararapat na impluwensya o pamimilit sa panahon ng negosasyon sa plea?")</f>
        <v>Paano pinoprotektahan ang mga indibidwal na may mga sakit na saykayatriko mula sa hindi nararapat na impluwensya o pamimilit sa panahon ng negosasyon sa plea?</v>
      </c>
      <c r="E2551" s="2" t="str">
        <f>IFERROR(__xludf.DUMMYFUNCTION("GOOGLETRANSLATE(C2551, ""en"", ""TL"")"),"Sa Pilipinas, ang mga indibidwal na may sakit sa isip ay protektado mula sa hindi nararapat na impluwensya o pamimilit sa panahon ng negosasyon sa plea sa pamamagitan ng iba't ibang legal na pananggalang at prinsipyo. Narito ang ilang pangunahing paraan k"&amp;"ung saan tinutugunan ng batas ng Pilipinas ang isyung ito:
Karapatan sa Payo: Ang mga indibidwal na may sakit sa isip ay may karapatan sa legal na representasyon sa panahon ng negosasyon sa plea. Ang abogado ng depensa ay gumaganap ng isang mahalagang pap"&amp;"el sa pagtataguyod para sa mga interes ng kliyente, na tinitiyak na ang anumang mga desisyon na ginawa sa panahon ng negosasyon ay boluntaryo at may kaalaman.
Kakayahang Lumahok: Bago makisali sa mga negosasyon sa plea, maaaring tasahin ng hukuman ang kak"&amp;"ayahan ng indibidwal na lumahok sa proseso. Kung may mga alalahanin tungkol sa kakayahan ng indibidwal na maunawaan ang mga paglilitis o gumawa ng mga desisyon dahil sa kanilang sakit sa isip, ang hukuman ay maaaring gumawa ng naaangkop na mga hakbang upa"&amp;"ng matiyak na ang kanilang mga karapatan ay protektado.
May Kaalaman na Pahintulot: Ang anumang mga desisyon na ginawa sa panahon ng negosasyon sa plea ay dapat na boluntaryo at batay sa may-kaalamang pahintulot. Nangangahulugan ito na dapat na maunawaan "&amp;"ng mga indibidwal ang kalikasan at mga kahihinatnan ng kasunduan sa plea, kabilang ang mga potensyal na legal na epekto at ang mga karapatan na kanilang tinatalikuran sa pamamagitan ng pagpasok sa kasunduan.
Presence of Counsel: Dapat na naroroon ang defe"&amp;"nse counsel sa panahon ng plea negotiations para magbigay ng patnubay, payo, at tulong sa indibidwal. Makakatulong ang payo na matiyak na ang mga karapatan ng indibidwal ay protektado, na ang anumang kasunduan sa plea ay patas at patas, at na ang mga pang"&amp;"angailangan sa kalusugan ng isip ng indibidwal ay isinasaalang-alang sa proseso ng negosasyon.
Judicial Oversight: Ang hukuman ay may tungkulin na tiyakin na ang mga plea negotiations ay isinasagawa nang patas at alinsunod sa batas. Maaaring magtanong ang"&amp;" mga hukom sa pagiging boluntaryo ng kasunduan sa plea, pag-unawa ng indibidwal sa mga tuntunin, at anumang mga salik na maaaring makaapekto sa bisa ng kasunduan, kabilang ang katayuan sa kalusugan ng isip ng indibidwal.
Pagrepaso sa Tala: Bago tumanggap "&amp;"ng isang kasunduan sa plea, maaaring suriin ng hukuman ang rekord upang matiyak na ang mga karapatan ng indibidwal ay protektado sa panahon ng mga negosasyon. Kabilang dito ang pagkumpirma na ang indibidwal ay kinakatawan ng abogado, na sila ay kusang pum"&amp;"asok sa kasunduan, at na walang mga palatandaan ng pamimilit o hindi nararapat na impluwensya.
Apela at Relief Pagkatapos ng Conviction: Kung may mga paratang ng pamimilit o hindi nararapat na impluwensya sa panahon ng plea negotiations, ang mga indibidwa"&amp;"l na may mga sakit sa isip ay may karapatang mag-apela o humingi ng lunas pagkatapos ng conviction. Ito ay nagbibigay-daan sa kanila na hamunin ang bisa ng plea agreement at itaas ang anumang mga isyu na may kaugnayan sa kanilang kalusugang pangkaisipan o"&amp;" ang pagiging patas ng proseso ng negosasyon.
Sa pangkalahatan, ang batas ng Pilipinas ay naglalayong protektahan ang mga indibidwal na may mga sakit na psychiatric mula sa hindi nararapat na impluwensya o pamimilit sa panahon ng plea negotiations sa pama"&amp;"magitan ng pagtiyak na ang kanilang mga karapatan ay iginagalang, na sila ay may access sa legal na representasyon, at na anumang mga desisyon na ginawa ay boluntaryo at batay sa kaalamang pahintulot.")</f>
        <v>Sa Pilipinas, ang mga indibidwal na may sakit sa isip ay protektado mula sa hindi nararapat na impluwensya o pamimilit sa panahon ng negosasyon sa plea sa pamamagitan ng iba't ibang legal na pananggalang at prinsipyo. Narito ang ilang pangunahing paraan kung saan tinutugunan ng batas ng Pilipinas ang isyung ito:
Karapatan sa Payo: Ang mga indibidwal na may sakit sa isip ay may karapatan sa legal na representasyon sa panahon ng negosasyon sa plea. Ang abogado ng depensa ay gumaganap ng isang mahalagang papel sa pagtataguyod para sa mga interes ng kliyente, na tinitiyak na ang anumang mga desisyon na ginawa sa panahon ng negosasyon ay boluntaryo at may kaalaman.
Kakayahang Lumahok: Bago makisali sa mga negosasyon sa plea, maaaring tasahin ng hukuman ang kakayahan ng indibidwal na lumahok sa proseso. Kung may mga alalahanin tungkol sa kakayahan ng indibidwal na maunawaan ang mga paglilitis o gumawa ng mga desisyon dahil sa kanilang sakit sa isip, ang hukuman ay maaaring gumawa ng naaangkop na mga hakbang upang matiyak na ang kanilang mga karapatan ay protektado.
May Kaalaman na Pahintulot: Ang anumang mga desisyon na ginawa sa panahon ng negosasyon sa plea ay dapat na boluntaryo at batay sa may-kaalamang pahintulot. Nangangahulugan ito na dapat na maunawaan ng mga indibidwal ang kalikasan at mga kahihinatnan ng kasunduan sa plea, kabilang ang mga potensyal na legal na epekto at ang mga karapatan na kanilang tinatalikuran sa pamamagitan ng pagpasok sa kasunduan.
Presence of Counsel: Dapat na naroroon ang defense counsel sa panahon ng plea negotiations para magbigay ng patnubay, payo, at tulong sa indibidwal. Makakatulong ang payo na matiyak na ang mga karapatan ng indibidwal ay protektado, na ang anumang kasunduan sa plea ay patas at patas, at na ang mga pangangailangan sa kalusugan ng isip ng indibidwal ay isinasaalang-alang sa proseso ng negosasyon.
Judicial Oversight: Ang hukuman ay may tungkulin na tiyakin na ang mga plea negotiations ay isinasagawa nang patas at alinsunod sa batas. Maaaring magtanong ang mga hukom sa pagiging boluntaryo ng kasunduan sa plea, pag-unawa ng indibidwal sa mga tuntunin, at anumang mga salik na maaaring makaapekto sa bisa ng kasunduan, kabilang ang katayuan sa kalusugan ng isip ng indibidwal.
Pagrepaso sa Tala: Bago tumanggap ng isang kasunduan sa plea, maaaring suriin ng hukuman ang rekord upang matiyak na ang mga karapatan ng indibidwal ay protektado sa panahon ng mga negosasyon. Kabilang dito ang pagkumpirma na ang indibidwal ay kinakatawan ng abogado, na sila ay kusang pumasok sa kasunduan, at na walang mga palatandaan ng pamimilit o hindi nararapat na impluwensya.
Apela at Relief Pagkatapos ng Conviction: Kung may mga paratang ng pamimilit o hindi nararapat na impluwensya sa panahon ng plea negotiations, ang mga indibidwal na may mga sakit sa isip ay may karapatang mag-apela o humingi ng lunas pagkatapos ng conviction. Ito ay nagbibigay-daan sa kanila na hamunin ang bisa ng plea agreement at itaas ang anumang mga isyu na may kaugnayan sa kanilang kalusugang pangkaisipan o ang pagiging patas ng proseso ng negosasyon.
Sa pangkalahatan, ang batas ng Pilipinas ay naglalayong protektahan ang mga indibidwal na may mga sakit na psychiatric mula sa hindi nararapat na impluwensya o pamimilit sa panahon ng plea negotiations sa pamamagitan ng pagtiyak na ang kanilang mga karapatan ay iginagalang, na sila ay may access sa legal na representasyon, at na anumang mga desisyon na ginawa ay boluntaryo at batay sa kaalamang pahintulot.</v>
      </c>
      <c r="F2551" s="2">
        <f t="shared" si="1"/>
        <v>0</v>
      </c>
      <c r="G2551" s="2"/>
      <c r="H2551" s="2"/>
      <c r="I2551" s="2"/>
      <c r="J2551" s="2"/>
      <c r="K2551" s="2"/>
      <c r="L2551" s="2"/>
      <c r="M2551" s="2"/>
      <c r="N2551" s="2"/>
      <c r="O2551" s="2"/>
      <c r="P2551" s="2"/>
      <c r="Q2551" s="2"/>
      <c r="R2551" s="2"/>
      <c r="S2551" s="2"/>
      <c r="T2551" s="2"/>
      <c r="U2551" s="2"/>
      <c r="V2551" s="2"/>
      <c r="W2551" s="2"/>
      <c r="X2551" s="2"/>
      <c r="Y2551" s="2"/>
      <c r="Z2551" s="2"/>
      <c r="AA2551" s="2"/>
    </row>
    <row r="2552">
      <c r="A2552" s="1" t="s">
        <v>5971</v>
      </c>
      <c r="B2552" s="1" t="s">
        <v>6072</v>
      </c>
      <c r="C2552" s="1" t="s">
        <v>6073</v>
      </c>
      <c r="D2552" s="2" t="str">
        <f>IFERROR(__xludf.DUMMYFUNCTION("GOOGLETRANSLATE(B2552, ""en"", ""TL"")"),"Paano tinutugunan ng batas ng Pilipinas ang responsibilidad ng legal na sistema na magbigay ng paggamot sa kalusugan ng isip sa mga indibidwal na may mga sakit sa isip na sangkot sa mga kasong kriminal?")</f>
        <v>Paano tinutugunan ng batas ng Pilipinas ang responsibilidad ng legal na sistema na magbigay ng paggamot sa kalusugan ng isip sa mga indibidwal na may mga sakit sa isip na sangkot sa mga kasong kriminal?</v>
      </c>
      <c r="E2552" s="2" t="str">
        <f>IFERROR(__xludf.DUMMYFUNCTION("GOOGLETRANSLATE(C2552, ""en"", ""TL"")"),"Sa Pilipinas, ang responsibilidad ng legal na sistema na magbigay ng paggamot sa kalusugan ng isip sa mga indibidwal na may sakit sa isip na kasangkot sa mga kasong kriminal ay pangunahing tinutugunan sa pamamagitan ng iba't ibang mga batas, patakaran, at"&amp;" legal na prinsipyo na naglalayong isulong ang access sa mga serbisyo sa kalusugan ng isip at tiyakin ang mga karapatan ng mga indibidwal. may mga sakit sa isip. Narito ang ilang mahahalagang aspeto kung paano tinutugunan ng batas ng Pilipinas ang respons"&amp;"ibilidad na ito:
Mental Health Act (Republic Act No. 11036): Naisabatas noong 2018, ang Mental Health Act of the Philippines ay nagbibigay para sa pagsulong at proteksyon ng mental na kalusugan at mga karapatan ng mga indibidwal na may mga sakit sa isi"&amp;"p. Ang batas ay nag-uutos ng pagsasama ng mga serbisyo sa kalusugan ng isip sa pangkalahatang sistema ng pangangalaga sa kalusugan, kabilang ang pagbibigay ng paggamot sa kalusugan ng isip at mga serbisyo ng suporta para sa mga indibidwal sa iba't ibang m"&amp;"ga setting, kabilang ang mga pasilidad ng pagwawasto.
Prinsipyo ng Rehabilitasyon at Paggamot: Kinikilala ng sistemang legal ng Pilipinas ang prinsipyo ng rehabilitasyon at paggamot bilang isang pangunahing bahagi ng sistema ng hustisyang pangkriminal."&amp;" Ang prinsipyong ito ay nagbibigay-diin sa kahalagahan ng pagtugon sa mga pinagbabatayan ng mga sanhi ng kriminal na pag-uugali, kabilang ang mga isyu sa kalusugan ng isip, at pagbibigay ng naaangkop na paggamot at suporta upang itaguyod ang rehabilitasyo"&amp;"n at muling pagsasama sa lipunan.
Karapatan sa Kalusugan at Pag-access sa Paggamot: Ginagarantiyahan ng Konstitusyon ng Pilipinas ang karapatan sa kalusugan, kabilang ang pag-access sa mga serbisyo sa pangangalagang pangkalusugan, bilang isang pangunah"&amp;"ing karapatang pantao. Ang mga indibidwal na may sakit sa isip na kasangkot sa mga kasong kriminal ay may karapatang tumanggap ng paggamot sa kalusugan ng isip at mga serbisyo ng suporta, anuman ang kanilang legal na katayuan o kalagayan.
Mga Serbisyon"&amp;"g Pangkalusugan ng Pag-iisip sa mga Pasilidad ng Pagwawasto: Ang batas ng Pilipinas ay nag-uutos ng pagbibigay ng mga serbisyo sa kalusugan ng isip sa mga pasilidad ng pagwawasto upang matugunan ang mga pangangailangan sa kalusugan ng isip ng mga bilanggo"&amp;", kabilang ang mga may sakit na psychiatric. Kabilang dito ang pag-access sa mga pagsusuri sa psychiatric, pamamahala ng gamot, therapy, pagpapayo, at iba pang mga interbensyon sa kalusugan ng isip na iniayon sa mga pangangailangan ng indibidwal.
Diver"&amp;"sion at Alternative Sentencing Programs: Kinikilala ng legal na sistema sa Pilipinas ang diversion at alternatibong sentencing programs bilang mga mekanismo para sa pagtugon sa mga pangangailangan sa kalusugan ng isip ng mga indibidwal na sangkot sa mga k"&amp;"asong kriminal. Ang mga programang ito ay maaaring mag-alok ng mga alternatibo sa pagkakulong, tulad ng paggamot sa kalusugan ng isip, rehabilitasyon, o mga interbensyon na nakabatay sa komunidad, para sa mga indibidwal na may mga sakit na psychiatric na "&amp;"itinuturing na angkop na mga kandidato.
Mga Legal na Pag-iingat at Proteksyon: Kasama sa batas ng Pilipinas ang mga legal na pananggalang at proteksyon upang matiyak na ang mga indibidwal na may sakit sa isip na sangkot sa mga kasong kriminal ay makaka"&amp;"tanggap ng patas na pagtrato at pag-access sa naaangkop na mga serbisyo sa kalusugan ng isip. Kabilang dito ang mga pananggalang laban sa diskriminasyon, stigmatization, at pang-aabuso batay sa kalagayan ng kalusugan ng isip, pati na rin ang mga mekanismo"&amp;" para sa pagpapatupad ng mga karapatan ng mga indibidwal na may mga sakit sa isip sa loob ng legal na sistema.
Sa pangkalahatan, kinikilala ng batas ng Pilipinas ang responsibilidad ng legal na sistema na magbigay ng paggamot sa kalusugan ng isip sa mg"&amp;"a indibidwal na may mga sakit sa isip na kasangkot sa mga kasong kriminal, na nagbibigay-diin sa kahalagahan ng pagtataguyod ng kalusugan ng isip, pagtiyak ng access sa paggamot, at pagtataguyod ng mga karapatan at dignidad ng mga indibidwal na may mga sa"&amp;"kit sa pag-iisip. sa loob ng sistema ng hustisyang kriminal.")</f>
        <v>Sa Pilipinas, ang responsibilidad ng legal na sistema na magbigay ng paggamot sa kalusugan ng isip sa mga indibidwal na may sakit sa isip na kasangkot sa mga kasong kriminal ay pangunahing tinutugunan sa pamamagitan ng iba't ibang mga batas, patakaran, at legal na prinsipyo na naglalayong isulong ang access sa mga serbisyo sa kalusugan ng isip at tiyakin ang mga karapatan ng mga indibidwal. may mga sakit sa isip. Narito ang ilang mahahalagang aspeto kung paano tinutugunan ng batas ng Pilipinas ang responsibilidad na ito:
Mental Health Act (Republic Act No. 11036): Naisabatas noong 2018, ang Mental Health Act of the Philippines ay nagbibigay para sa pagsulong at proteksyon ng mental na kalusugan at mga karapatan ng mga indibidwal na may mga sakit sa isip. Ang batas ay nag-uutos ng pagsasama ng mga serbisyo sa kalusugan ng isip sa pangkalahatang sistema ng pangangalaga sa kalusugan, kabilang ang pagbibigay ng paggamot sa kalusugan ng isip at mga serbisyo ng suporta para sa mga indibidwal sa iba't ibang mga setting, kabilang ang mga pasilidad ng pagwawasto.
Prinsipyo ng Rehabilitasyon at Paggamot: Kinikilala ng sistemang legal ng Pilipinas ang prinsipyo ng rehabilitasyon at paggamot bilang isang pangunahing bahagi ng sistema ng hustisyang pangkriminal. Ang prinsipyong ito ay nagbibigay-diin sa kahalagahan ng pagtugon sa mga pinagbabatayan ng mga sanhi ng kriminal na pag-uugali, kabilang ang mga isyu sa kalusugan ng isip, at pagbibigay ng naaangkop na paggamot at suporta upang itaguyod ang rehabilitasyon at muling pagsasama sa lipunan.
Karapatan sa Kalusugan at Pag-access sa Paggamot: Ginagarantiyahan ng Konstitusyon ng Pilipinas ang karapatan sa kalusugan, kabilang ang pag-access sa mga serbisyo sa pangangalagang pangkalusugan, bilang isang pangunahing karapatang pantao. Ang mga indibidwal na may sakit sa isip na kasangkot sa mga kasong kriminal ay may karapatang tumanggap ng paggamot sa kalusugan ng isip at mga serbisyo ng suporta, anuman ang kanilang legal na katayuan o kalagayan.
Mga Serbisyong Pangkalusugan ng Pag-iisip sa mga Pasilidad ng Pagwawasto: Ang batas ng Pilipinas ay nag-uutos ng pagbibigay ng mga serbisyo sa kalusugan ng isip sa mga pasilidad ng pagwawasto upang matugunan ang mga pangangailangan sa kalusugan ng isip ng mga bilanggo, kabilang ang mga may sakit na psychiatric. Kabilang dito ang pag-access sa mga pagsusuri sa psychiatric, pamamahala ng gamot, therapy, pagpapayo, at iba pang mga interbensyon sa kalusugan ng isip na iniayon sa mga pangangailangan ng indibidwal.
Diversion at Alternative Sentencing Programs: Kinikilala ng legal na sistema sa Pilipinas ang diversion at alternatibong sentencing programs bilang mga mekanismo para sa pagtugon sa mga pangangailangan sa kalusugan ng isip ng mga indibidwal na sangkot sa mga kasong kriminal. Ang mga programang ito ay maaaring mag-alok ng mga alternatibo sa pagkakulong, tulad ng paggamot sa kalusugan ng isip, rehabilitasyon, o mga interbensyon na nakabatay sa komunidad, para sa mga indibidwal na may mga sakit na psychiatric na itinuturing na angkop na mga kandidato.
Mga Legal na Pag-iingat at Proteksyon: Kasama sa batas ng Pilipinas ang mga legal na pananggalang at proteksyon upang matiyak na ang mga indibidwal na may sakit sa isip na sangkot sa mga kasong kriminal ay makakatanggap ng patas na pagtrato at pag-access sa naaangkop na mga serbisyo sa kalusugan ng isip. Kabilang dito ang mga pananggalang laban sa diskriminasyon, stigmatization, at pang-aabuso batay sa kalagayan ng kalusugan ng isip, pati na rin ang mga mekanismo para sa pagpapatupad ng mga karapatan ng mga indibidwal na may mga sakit sa isip sa loob ng legal na sistema.
Sa pangkalahatan, kinikilala ng batas ng Pilipinas ang responsibilidad ng legal na sistema na magbigay ng paggamot sa kalusugan ng isip sa mga indibidwal na may mga sakit sa isip na kasangkot sa mga kasong kriminal, na nagbibigay-diin sa kahalagahan ng pagtataguyod ng kalusugan ng isip, pagtiyak ng access sa paggamot, at pagtataguyod ng mga karapatan at dignidad ng mga indibidwal na may mga sakit sa pag-iisip. sa loob ng sistema ng hustisyang kriminal.</v>
      </c>
      <c r="F2552" s="2">
        <f t="shared" si="1"/>
        <v>0</v>
      </c>
      <c r="G2552" s="2"/>
      <c r="H2552" s="2"/>
      <c r="I2552" s="2"/>
      <c r="J2552" s="2"/>
      <c r="K2552" s="2"/>
      <c r="L2552" s="2"/>
      <c r="M2552" s="2"/>
      <c r="N2552" s="2"/>
      <c r="O2552" s="2"/>
      <c r="P2552" s="2"/>
      <c r="Q2552" s="2"/>
      <c r="R2552" s="2"/>
      <c r="S2552" s="2"/>
      <c r="T2552" s="2"/>
      <c r="U2552" s="2"/>
      <c r="V2552" s="2"/>
      <c r="W2552" s="2"/>
      <c r="X2552" s="2"/>
      <c r="Y2552" s="2"/>
      <c r="Z2552" s="2"/>
      <c r="AA2552" s="2"/>
    </row>
    <row r="2553">
      <c r="A2553" s="1" t="s">
        <v>5971</v>
      </c>
      <c r="B2553" s="1" t="s">
        <v>6074</v>
      </c>
      <c r="C2553" s="1" t="s">
        <v>6075</v>
      </c>
      <c r="D2553" s="2" t="str">
        <f>IFERROR(__xludf.DUMMYFUNCTION("GOOGLETRANSLATE(B2553, ""en"", ""TL"")"),"Ikaw ay isang abogado ng depensa na kumakatawan sa isang kliyente na may na-diagnose na sakit sa isip. Anong mga legal na hakbang ang maaari mong gawin upang matiyak ang isang patas na paglilitis para sa iyong kliyente?")</f>
        <v>Ikaw ay isang abogado ng depensa na kumakatawan sa isang kliyente na may na-diagnose na sakit sa isip. Anong mga legal na hakbang ang maaari mong gawin upang matiyak ang isang patas na paglilitis para sa iyong kliyente?</v>
      </c>
      <c r="E2553" s="2" t="str">
        <f>IFERROR(__xludf.DUMMYFUNCTION("GOOGLETRANSLATE(C2553, ""en"", ""TL"")"),"Bilang isang abogado ng depensa na kumakatawan sa isang kliyenteng may na-diagnose na sakit na psychiatric sa Pilipinas, ang pagtiyak ng patas na paglilitis para sa iyong kliyente ay pinakamahalaga. Narito ang ilang legal na hakbang na maaari mong gawin u"&amp;"pang makamit ito:
Masusing Pagtatasa ng Mental Health: Magsagawa ng komprehensibong pagtatasa ng kalagayan ng kalusugan ng isip ng iyong kliyente, kabilang ang pagkuha ng mga nauugnay na rekord ng medikal, pagsusuri sa saykayatriko, at iba pang dokumen"&amp;"tasyon upang maunawaan ang kalikasan at epekto ng kanilang karamdaman sa kanilang pag-uugali at katalusan.
Pagsusuri ng Kakayahan: Kung may mga alalahanin tungkol sa kakayahan ng iyong kliyente na humarap sa paglilitis dahil sa kanilang sakit sa isip, "&amp;"humiling ng pagsusuri sa kakayahan ng mga kwalipikadong propesyonal sa kalusugan ng isip. Itaguyod ang karapatan ng iyong kliyente sa isang patas na paglilitis at mga legal na paglilitis na maaari nilang makilahok.
Legal na Representasyon: Magbigay ng "&amp;"masigasig at karampatang legal na representasyon para sa iyong kliyente, na tinitiyak na nauunawaan nila ang kanilang mga karapatan, mga legal na opsyon, at ang mga implikasyon ng kanilang sakit sa isip sa kaso. Itaguyod ang kanilang mga interes at tiyaki"&amp;"ng maririnig ang kanilang boses sa buong paglilitis.
Mga Hamon sa Ebidensya: Suriin ang ebidensya ng prosekusyon laban sa iyong kliyente, kabilang ang anumang mga pagsusuri sa psychiatric o testimonya ng eksperto. Hamunin ang katanggap-tanggap, pagigin"&amp;"g maaasahan, at kaugnayan ng ebidensya na maaaring makapinsala o batay sa mga maling pagpapalagay tungkol sa kalusugan ng isip ng iyong kliyente.
Mga Istratehiya sa Pagbabawas: Bumuo ng mga diskarte sa pagpapagaan na isinasaalang-alang ang sakit sa isi"&amp;"p ng iyong kliyente at ang epekto nito sa kanilang pag-uugali. Magpakita ng katibayan ng mga salik na nagpapagaan, tulad ng papel ng sakit sa sinasabing pagkakasala, kasaysayan ng paggamot ng kliyente, at ang kanilang potensyal para sa rehabilitasyon.
"&amp;"Ekspertong Patotoo: Panatilihin ang mga kwalipikadong eksperto sa kalusugan ng isip upang magbigay ng ekspertong patotoo sa ngalan ng iyong kliyente. Ang mga ekspertong ito ay maaaring makatulong na turuan ang hukuman tungkol sa likas na katangian ng mga "&amp;"sakit sa isip, ang epekto nito sa pag-uugali, at ang mga potensyal na implikasyon para sa kaso.
Pagpili ng Jury at Voir Dire: Gamitin ang pagpili ng hurado at voir dire upang matukoy ang mga potensyal na pagkiling o pagkiling sa mga hurado na may kaugn"&amp;"ayan sa sakit sa isip. Magtataguyod para sa isang patas at walang kinikilingan na hurado na maaaring makatuwirang isaalang-alang ang ebidensya at maghatol ng hatol batay sa batas at katotohanan ng kaso.
Mga Apela at Relief Pagkatapos ng Kombiksyon: Kun"&amp;"g ang iyong kliyente ay nahatulan, ituloy ang mga apela o paglilitis pagkatapos ng paghatol batay sa mga legal na pagkakamali, paglabag sa konstitusyon, o hindi epektibong tulong ng abogado. Itaguyod ang mga karapatan ng iyong kliyente at ituloy ang lahat"&amp;" ng magagamit na paraan para sa kaluwagan sa ilalim ng batas.
Sa pamamagitan ng pagsasagawa ng mga legal na hakbang na ito, masisiguro mo ang isang patas na paglilitis para sa iyong kliyente na may na-diagnose na sakit na psychiatric, itaguyod ang kani"&amp;"lang mga karapatan, at itaguyod ang pinakamahusay na posibleng resulta sa kanilang kaso.")</f>
        <v>Bilang isang abogado ng depensa na kumakatawan sa isang kliyenteng may na-diagnose na sakit na psychiatric sa Pilipinas, ang pagtiyak ng patas na paglilitis para sa iyong kliyente ay pinakamahalaga. Narito ang ilang legal na hakbang na maaari mong gawin upang makamit ito:
Masusing Pagtatasa ng Mental Health: Magsagawa ng komprehensibong pagtatasa ng kalagayan ng kalusugan ng isip ng iyong kliyente, kabilang ang pagkuha ng mga nauugnay na rekord ng medikal, pagsusuri sa saykayatriko, at iba pang dokumentasyon upang maunawaan ang kalikasan at epekto ng kanilang karamdaman sa kanilang pag-uugali at katalusan.
Pagsusuri ng Kakayahan: Kung may mga alalahanin tungkol sa kakayahan ng iyong kliyente na humarap sa paglilitis dahil sa kanilang sakit sa isip, humiling ng pagsusuri sa kakayahan ng mga kwalipikadong propesyonal sa kalusugan ng isip. Itaguyod ang karapatan ng iyong kliyente sa isang patas na paglilitis at mga legal na paglilitis na maaari nilang makilahok.
Legal na Representasyon: Magbigay ng masigasig at karampatang legal na representasyon para sa iyong kliyente, na tinitiyak na nauunawaan nila ang kanilang mga karapatan, mga legal na opsyon, at ang mga implikasyon ng kanilang sakit sa isip sa kaso. Itaguyod ang kanilang mga interes at tiyaking maririnig ang kanilang boses sa buong paglilitis.
Mga Hamon sa Ebidensya: Suriin ang ebidensya ng prosekusyon laban sa iyong kliyente, kabilang ang anumang mga pagsusuri sa psychiatric o testimonya ng eksperto. Hamunin ang katanggap-tanggap, pagiging maaasahan, at kaugnayan ng ebidensya na maaaring makapinsala o batay sa mga maling pagpapalagay tungkol sa kalusugan ng isip ng iyong kliyente.
Mga Istratehiya sa Pagbabawas: Bumuo ng mga diskarte sa pagpapagaan na isinasaalang-alang ang sakit sa isip ng iyong kliyente at ang epekto nito sa kanilang pag-uugali. Magpakita ng katibayan ng mga salik na nagpapagaan, tulad ng papel ng sakit sa sinasabing pagkakasala, kasaysayan ng paggamot ng kliyente, at ang kanilang potensyal para sa rehabilitasyon.
Ekspertong Patotoo: Panatilihin ang mga kwalipikadong eksperto sa kalusugan ng isip upang magbigay ng ekspertong patotoo sa ngalan ng iyong kliyente. Ang mga ekspertong ito ay maaaring makatulong na turuan ang hukuman tungkol sa likas na katangian ng mga sakit sa isip, ang epekto nito sa pag-uugali, at ang mga potensyal na implikasyon para sa kaso.
Pagpili ng Jury at Voir Dire: Gamitin ang pagpili ng hurado at voir dire upang matukoy ang mga potensyal na pagkiling o pagkiling sa mga hurado na may kaugnayan sa sakit sa isip. Magtataguyod para sa isang patas at walang kinikilingan na hurado na maaaring makatuwirang isaalang-alang ang ebidensya at maghatol ng hatol batay sa batas at katotohanan ng kaso.
Mga Apela at Relief Pagkatapos ng Kombiksyon: Kung ang iyong kliyente ay nahatulan, ituloy ang mga apela o paglilitis pagkatapos ng paghatol batay sa mga legal na pagkakamali, paglabag sa konstitusyon, o hindi epektibong tulong ng abogado. Itaguyod ang mga karapatan ng iyong kliyente at ituloy ang lahat ng magagamit na paraan para sa kaluwagan sa ilalim ng batas.
Sa pamamagitan ng pagsasagawa ng mga legal na hakbang na ito, masisiguro mo ang isang patas na paglilitis para sa iyong kliyente na may na-diagnose na sakit na psychiatric, itaguyod ang kanilang mga karapatan, at itaguyod ang pinakamahusay na posibleng resulta sa kanilang kaso.</v>
      </c>
      <c r="F2553" s="2">
        <f t="shared" si="1"/>
        <v>0</v>
      </c>
      <c r="G2553" s="2"/>
      <c r="H2553" s="2"/>
      <c r="I2553" s="2"/>
      <c r="J2553" s="2"/>
      <c r="K2553" s="2"/>
      <c r="L2553" s="2"/>
      <c r="M2553" s="2"/>
      <c r="N2553" s="2"/>
      <c r="O2553" s="2"/>
      <c r="P2553" s="2"/>
      <c r="Q2553" s="2"/>
      <c r="R2553" s="2"/>
      <c r="S2553" s="2"/>
      <c r="T2553" s="2"/>
      <c r="U2553" s="2"/>
      <c r="V2553" s="2"/>
      <c r="W2553" s="2"/>
      <c r="X2553" s="2"/>
      <c r="Y2553" s="2"/>
      <c r="Z2553" s="2"/>
      <c r="AA2553" s="2"/>
    </row>
    <row r="2554">
      <c r="A2554" s="1" t="s">
        <v>5971</v>
      </c>
      <c r="B2554" s="1" t="s">
        <v>6076</v>
      </c>
      <c r="C2554" s="1" t="s">
        <v>6077</v>
      </c>
      <c r="D2554" s="2" t="str">
        <f>IFERROR(__xludf.DUMMYFUNCTION("GOOGLETRANSLATE(B2554, ""en"", ""TL"")"),"Bilang isang hukom, ang isang nasasakdal na may kilalang sakit sa isip ay dadalhin sa harap mo. Anong mga legal na pagsasaalang-alang ang dapat gumabay sa iyong mga desisyon sa kasong ito?")</f>
        <v>Bilang isang hukom, ang isang nasasakdal na may kilalang sakit sa isip ay dadalhin sa harap mo. Anong mga legal na pagsasaalang-alang ang dapat gumabay sa iyong mga desisyon sa kasong ito?</v>
      </c>
      <c r="E2554" s="2" t="str">
        <f>IFERROR(__xludf.DUMMYFUNCTION("GOOGLETRANSLATE(C2554, ""en"", ""TL"")"),"Bilang isang hukom na namumuno sa isang kaso na kinasasangkutan ng isang nasasakdal na may kilalang sakit na saykayatriko sa Pilipinas, maraming mga legal na pagsasaalang-alang ang dapat na gumabay sa iyong mga desisyon upang matiyak ang pagiging patas, k"&amp;"atarungan, at paggalang sa mga karapatan ng nasasakdal. Narito ang mga pangunahing pagsasaalang-alang:
Presumption of Innocence: Itaguyod ang prinsipyo ng presumption of innocence, na kinikilala na ang nasasakdal ay may karapatan sa isang patas na pagl"&amp;"ilitis at hindi dapat husgahan batay sa kanilang sakit sa isip.
Kakayahang Lumaban sa Paglilitis: Tayahin ang kakayahan ng nasasakdal na humarap sa paglilitis, tinitiyak na mayroon silang kapasidad na maunawaan ang kalikasan at mga kahihinatnan ng mga "&amp;"paglilitis laban sa kanila at tumulong sa kanilang sariling depensa. Isaalang-alang ang pag-utos ng pagsusuri sa kakayahan kung may mga alalahanin tungkol sa kakayahan ng nasasakdal na lumahok sa paglilitis dahil sa kanilang sakit sa isip.
Pagkamakatar"&amp;"ungan at Nararapat na Proseso: Tiyakin na ang mga karapatan ng nasasakdal sa angkop na proseso, kabilang ang karapatan sa isang patas na paglilitis, legal na representasyon, at isang karampatang depensa, ay itinataguyod sa buong paglilitis. Iwasan ang anu"&amp;"mang mga aksyon o desisyon na maaaring hindi patas na makapinsala sa nasasakdal o makasira sa integridad ng legal na proseso.
Pagsasaalang-alang sa Mga Salik na Nakakabawas: Isaalang-alang ang anumang mga salik na nagpapagaan na nauugnay sa sakit sa is"&amp;"ip ng nasasakdal na maaaring makaapekto sa kanilang kasalanan o sa kalubhaan ng mga paratang laban sa kanila. Isaalang-alang ang katibayan ng estado ng pag-iisip ng nasasakdal sa oras ng di-umano'y pagkakasala, ang kanilang kapasidad sa pag-unawa at pagko"&amp;"ntrol sa kanilang mga aksyon, at ang epekto ng kanilang sakit sa kanilang pag-uugali.
Paggamot at Rehabilitasyon: Isaalang-alang ang mga alternatibo sa pagkakulong para sa mga nasasakdal na ang sakit sa isip ay nag-ambag sa kanilang kriminal na pag-uug"&amp;"ali. Galugarin ang mga opsyon para sa paggamot sa kalusugan ng isip, rehabilitasyon, o mga programang diversion na tumutugon sa mga pinagbabatayan na isyu na nagtutulak sa pag-uugali ng nasasakdal habang isinusulong ang kanilang rehabilitasyon at muling p"&amp;"agsasama sa lipunan.
Proteksyon ng mga Karapatan at Dignidad: Tiyakin na ang mga karapatan at dignidad ng nasasakdal ay protektado sa buong proseso ng batas, kabilang ang kanilang karapatan sa pagkapribado, pagiging kompidensyal ng medikal na impormasy"&amp;"on, at kalayaan mula sa diskriminasyon batay sa kanilang psychiatric diagnosis.
Pinakamahusay na Interes ng Nasasakdal at Lipunan: Balansehin ang mga interes ng nasasakdal sa mga interes ng lipunan sa pagtukoy ng angkop na resulta sa kaso. Sikaping mak"&amp;"amit ang isang makatarungan at patas na resolusyon na nagtataguyod ng kaligtasan ng publiko habang tinutugunan din ang mga pangangailangan ng nasasakdal at tinitiyak na iginagalang ang kanilang mga karapatan.
Mga Legal na Precedent at Naaangkop na Bata"&amp;"s: Ilapat ang mga nauugnay na legal na precedent, batas, at batas ng kaso upang gabayan ang iyong mga desisyon sa kaso. Isaalang-alang kung paano pinangangasiwaan ang mga katulad na kaso na kinasasangkutan ng mga nasasakdal na may mga sakit na psychiatric"&amp;" sa nakaraan at tiyakin ang pagkakapare-pareho at pagiging patas sa iyong mga desisyon.
Sa pamamagitan ng pagsasaalang-alang sa mga legal na pagsasaalang-alang na ito, maaari mong matiyak na ang iyong mga desisyon sa mga kaso na kinasasangkutan ng mga "&amp;"nasasakdal na may mga sakit sa saykayatriko ay ginagabayan ng mga prinsipyo ng pagiging patas, katarungan, at paggalang sa mga karapatan at dignidad ng lahat ng partidong kasangkot.")</f>
        <v>Bilang isang hukom na namumuno sa isang kaso na kinasasangkutan ng isang nasasakdal na may kilalang sakit na saykayatriko sa Pilipinas, maraming mga legal na pagsasaalang-alang ang dapat na gumabay sa iyong mga desisyon upang matiyak ang pagiging patas, katarungan, at paggalang sa mga karapatan ng nasasakdal. Narito ang mga pangunahing pagsasaalang-alang:
Presumption of Innocence: Itaguyod ang prinsipyo ng presumption of innocence, na kinikilala na ang nasasakdal ay may karapatan sa isang patas na paglilitis at hindi dapat husgahan batay sa kanilang sakit sa isip.
Kakayahang Lumaban sa Paglilitis: Tayahin ang kakayahan ng nasasakdal na humarap sa paglilitis, tinitiyak na mayroon silang kapasidad na maunawaan ang kalikasan at mga kahihinatnan ng mga paglilitis laban sa kanila at tumulong sa kanilang sariling depensa. Isaalang-alang ang pag-utos ng pagsusuri sa kakayahan kung may mga alalahanin tungkol sa kakayahan ng nasasakdal na lumahok sa paglilitis dahil sa kanilang sakit sa isip.
Pagkamakatarungan at Nararapat na Proseso: Tiyakin na ang mga karapatan ng nasasakdal sa angkop na proseso, kabilang ang karapatan sa isang patas na paglilitis, legal na representasyon, at isang karampatang depensa, ay itinataguyod sa buong paglilitis. Iwasan ang anumang mga aksyon o desisyon na maaaring hindi patas na makapinsala sa nasasakdal o makasira sa integridad ng legal na proseso.
Pagsasaalang-alang sa Mga Salik na Nakakabawas: Isaalang-alang ang anumang mga salik na nagpapagaan na nauugnay sa sakit sa isip ng nasasakdal na maaaring makaapekto sa kanilang kasalanan o sa kalubhaan ng mga paratang laban sa kanila. Isaalang-alang ang katibayan ng estado ng pag-iisip ng nasasakdal sa oras ng di-umano'y pagkakasala, ang kanilang kapasidad sa pag-unawa at pagkontrol sa kanilang mga aksyon, at ang epekto ng kanilang sakit sa kanilang pag-uugali.
Paggamot at Rehabilitasyon: Isaalang-alang ang mga alternatibo sa pagkakulong para sa mga nasasakdal na ang sakit sa isip ay nag-ambag sa kanilang kriminal na pag-uugali. Galugarin ang mga opsyon para sa paggamot sa kalusugan ng isip, rehabilitasyon, o mga programang diversion na tumutugon sa mga pinagbabatayan na isyu na nagtutulak sa pag-uugali ng nasasakdal habang isinusulong ang kanilang rehabilitasyon at muling pagsasama sa lipunan.
Proteksyon ng mga Karapatan at Dignidad: Tiyakin na ang mga karapatan at dignidad ng nasasakdal ay protektado sa buong proseso ng batas, kabilang ang kanilang karapatan sa pagkapribado, pagiging kompidensyal ng medikal na impormasyon, at kalayaan mula sa diskriminasyon batay sa kanilang psychiatric diagnosis.
Pinakamahusay na Interes ng Nasasakdal at Lipunan: Balansehin ang mga interes ng nasasakdal sa mga interes ng lipunan sa pagtukoy ng angkop na resulta sa kaso. Sikaping makamit ang isang makatarungan at patas na resolusyon na nagtataguyod ng kaligtasan ng publiko habang tinutugunan din ang mga pangangailangan ng nasasakdal at tinitiyak na iginagalang ang kanilang mga karapatan.
Mga Legal na Precedent at Naaangkop na Batas: Ilapat ang mga nauugnay na legal na precedent, batas, at batas ng kaso upang gabayan ang iyong mga desisyon sa kaso. Isaalang-alang kung paano pinangangasiwaan ang mga katulad na kaso na kinasasangkutan ng mga nasasakdal na may mga sakit na psychiatric sa nakaraan at tiyakin ang pagkakapare-pareho at pagiging patas sa iyong mga desisyon.
Sa pamamagitan ng pagsasaalang-alang sa mga legal na pagsasaalang-alang na ito, maaari mong matiyak na ang iyong mga desisyon sa mga kaso na kinasasangkutan ng mga nasasakdal na may mga sakit sa saykayatriko ay ginagabayan ng mga prinsipyo ng pagiging patas, katarungan, at paggalang sa mga karapatan at dignidad ng lahat ng partidong kasangkot.</v>
      </c>
      <c r="F2554" s="2">
        <f t="shared" si="1"/>
        <v>0</v>
      </c>
      <c r="G2554" s="2"/>
      <c r="H2554" s="2"/>
      <c r="I2554" s="2"/>
      <c r="J2554" s="2"/>
      <c r="K2554" s="2"/>
      <c r="L2554" s="2"/>
      <c r="M2554" s="2"/>
      <c r="N2554" s="2"/>
      <c r="O2554" s="2"/>
      <c r="P2554" s="2"/>
      <c r="Q2554" s="2"/>
      <c r="R2554" s="2"/>
      <c r="S2554" s="2"/>
      <c r="T2554" s="2"/>
      <c r="U2554" s="2"/>
      <c r="V2554" s="2"/>
      <c r="W2554" s="2"/>
      <c r="X2554" s="2"/>
      <c r="Y2554" s="2"/>
      <c r="Z2554" s="2"/>
      <c r="AA2554" s="2"/>
    </row>
    <row r="2555">
      <c r="A2555" s="1" t="s">
        <v>5971</v>
      </c>
      <c r="B2555" s="1" t="s">
        <v>6078</v>
      </c>
      <c r="C2555" s="1" t="s">
        <v>6079</v>
      </c>
      <c r="D2555" s="2" t="str">
        <f>IFERROR(__xludf.DUMMYFUNCTION("GOOGLETRANSLATE(B2555, ""en"", ""TL"")"),"Ang isang opisyal ng pagpapatupad ng batas ay nakatagpo ng isang indibidwal na may sakit sa isip sa panahon ng pag-aresto. Anong mga legal na hakbang ang maaaring gawin ng opisyal upang matiyak na ang mga karapatan ng indibidwal ay protektado?")</f>
        <v>Ang isang opisyal ng pagpapatupad ng batas ay nakatagpo ng isang indibidwal na may sakit sa isip sa panahon ng pag-aresto. Anong mga legal na hakbang ang maaaring gawin ng opisyal upang matiyak na ang mga karapatan ng indibidwal ay protektado?</v>
      </c>
      <c r="E2555" s="2" t="str">
        <f>IFERROR(__xludf.DUMMYFUNCTION("GOOGLETRANSLATE(C2555, ""en"", ""TL"")"),"Kapag ang isang opisyal ng pagpapatupad ng batas ay nakatagpo ng isang indibidwal na may sakit na psychiatric sa panahon ng pag-aresto sa Pilipinas, mahalagang gumawa ng mga partikular na legal na hakbang upang matiyak na ang mga karapatan ng indibidwal a"&amp;"y protektado. Narito ang ilang hakbang na maaaring gawin ng opisyal:
Panatilihin ang Kalmado at Di-Pagbabanta na Diskarte: Lumapit sa indibidwal nang mahinahon at hindi nagbabanta, nag-iingat upang maiwasang lumaki ang sitwasyon. Gumamit ng malinaw at "&amp;"magalang na komunikasyon upang magtatag ng kaugnayan at bumuo ng tiwala sa indibidwal.
Tayahin ang Sitwasyon: Suriin ang pag-uugali at kalagayan ng pag-iisip ng indibidwal, na binibigyang pansin ang anumang mga palatandaan o sintomas ng pagkabalisa o k"&amp;"risis sa isip. Manatiling mapagmasid at matulungin sa mga pahiwatig na maaaring magpahiwatig ng pangangailangan para sa espesyal na interbensyon o suporta.
Tiyakin ang Kaligtasan ng Lahat ng Kasangkot: Unahin ang kaligtasan at kapakanan ng parehong ind"&amp;"ibidwal na may sakit sa isip at iba pang mga indibidwal na naroroon sa pinangyarihan. Gumawa ng naaangkop na mga hakbang upang mabawasan ang sitwasyon at maiwasan ang pinsala sa sinumang kasangkot, kabilang ang paggamit ng mga pamamaraan ng verbal de-esca"&amp;"lation at paghingi ng tulong mula sa mga propesyonal sa kalusugan ng isip kung kinakailangan.
Igalang ang mga Karapatan at Dignidad: Tratuhin ang indibidwal nang may paggalang, dignidad, at pagiging sensitibo sa kanilang kalagayan. Iwasan ang stigmatiz"&amp;"ing wika o pag-uugali at pigilin ang sarili mula sa paggawa ng mga pagpapalagay tungkol sa kanilang pag-uugali batay sa kanilang psychiatric diagnosis.
Magbigay ng Impormasyon at Tulong: Bigyan ang indibidwal ng malinaw at tumpak na impormasyon tungkol"&amp;" sa mga dahilan ng kanilang pag-aresto, kanilang mga karapatan, at ang legal na proseso. Mag-alok ng tulong, tulad ng pag-access sa legal na tagapayo, medikal na atensyon, o mga serbisyo sa suporta sa kalusugan ng isip, kung naaangkop.
Pagsasaalang-ala"&amp;"ng sa Mga Alternatibong Tugon: Isaalang-alang ang mga alternatibong tugon sa pag-aresto, tulad ng paglilipat sa paggamot sa kalusugan ng isip o mga programa sa interbensyon sa krisis, kung naaangkop. Galugarin ang mga opsyon para sa pagtugon sa mga pangun"&amp;"ahing pangangailangan sa kalusugan ng isip ng indibidwal habang tinitiyak ang pananagutan para sa anumang kriminal na pag-uugali.
Idokumento ang Pagkikita: Idokumento ang pakikipagtagpo sa indibidwal, kabilang ang anumang mga obserbasyon, mga aksyon na"&amp;" ginawa, at pakikipagpalitan ng komunikasyon. Panatilihin ang detalyado at tumpak na mga rekord ng pakikipag-ugnayan upang magbigay ng malinaw na salaysay ng mga pangyayari na nakapalibot sa pag-aresto at anumang mga kasunod na aksyong ginawa.
Humingi "&amp;"ng Patnubay at Pakikipagtulungan: Humingi ng patnubay at pakikipagtulungan mula sa mga propesyonal sa kalusugan ng isip, mga pangkat ng interbensyon sa krisis, o iba pang may-katuturang awtoridad kapag nakatagpo ng mga indibidwal na may mga sakit sa isip "&amp;"sa panahon ng pag-aresto. Makipagtulungan sa mga propesyonal na ito upang bumuo ng mga epektibong estratehiya para sa pamamahala ng sitwasyon at matiyak na ang mga pangangailangan ng indibidwal ay natugunan nang naaangkop.
Sa pamamagitan ng pagsasagawa"&amp;" ng mga legal na hakbang na ito, makakatulong ang mga opisyal ng pagpapatupad ng batas na matiyak na ang mga karapatan ng mga indibidwal na may mga sakit sa isip ay protektado sa panahon ng pag-aresto, na nagsusulong ng isang patas at makataong diskarte s"&amp;"a pagpapatupad ng batas sa Pilipinas.")</f>
        <v>Kapag ang isang opisyal ng pagpapatupad ng batas ay nakatagpo ng isang indibidwal na may sakit na psychiatric sa panahon ng pag-aresto sa Pilipinas, mahalagang gumawa ng mga partikular na legal na hakbang upang matiyak na ang mga karapatan ng indibidwal ay protektado. Narito ang ilang hakbang na maaaring gawin ng opisyal:
Panatilihin ang Kalmado at Di-Pagbabanta na Diskarte: Lumapit sa indibidwal nang mahinahon at hindi nagbabanta, nag-iingat upang maiwasang lumaki ang sitwasyon. Gumamit ng malinaw at magalang na komunikasyon upang magtatag ng kaugnayan at bumuo ng tiwala sa indibidwal.
Tayahin ang Sitwasyon: Suriin ang pag-uugali at kalagayan ng pag-iisip ng indibidwal, na binibigyang pansin ang anumang mga palatandaan o sintomas ng pagkabalisa o krisis sa isip. Manatiling mapagmasid at matulungin sa mga pahiwatig na maaaring magpahiwatig ng pangangailangan para sa espesyal na interbensyon o suporta.
Tiyakin ang Kaligtasan ng Lahat ng Kasangkot: Unahin ang kaligtasan at kapakanan ng parehong indibidwal na may sakit sa isip at iba pang mga indibidwal na naroroon sa pinangyarihan. Gumawa ng naaangkop na mga hakbang upang mabawasan ang sitwasyon at maiwasan ang pinsala sa sinumang kasangkot, kabilang ang paggamit ng mga pamamaraan ng verbal de-escalation at paghingi ng tulong mula sa mga propesyonal sa kalusugan ng isip kung kinakailangan.
Igalang ang mga Karapatan at Dignidad: Tratuhin ang indibidwal nang may paggalang, dignidad, at pagiging sensitibo sa kanilang kalagayan. Iwasan ang stigmatizing wika o pag-uugali at pigilin ang sarili mula sa paggawa ng mga pagpapalagay tungkol sa kanilang pag-uugali batay sa kanilang psychiatric diagnosis.
Magbigay ng Impormasyon at Tulong: Bigyan ang indibidwal ng malinaw at tumpak na impormasyon tungkol sa mga dahilan ng kanilang pag-aresto, kanilang mga karapatan, at ang legal na proseso. Mag-alok ng tulong, tulad ng pag-access sa legal na tagapayo, medikal na atensyon, o mga serbisyo sa suporta sa kalusugan ng isip, kung naaangkop.
Pagsasaalang-alang sa Mga Alternatibong Tugon: Isaalang-alang ang mga alternatibong tugon sa pag-aresto, tulad ng paglilipat sa paggamot sa kalusugan ng isip o mga programa sa interbensyon sa krisis, kung naaangkop. Galugarin ang mga opsyon para sa pagtugon sa mga pangunahing pangangailangan sa kalusugan ng isip ng indibidwal habang tinitiyak ang pananagutan para sa anumang kriminal na pag-uugali.
Idokumento ang Pagkikita: Idokumento ang pakikipagtagpo sa indibidwal, kabilang ang anumang mga obserbasyon, mga aksyon na ginawa, at pakikipagpalitan ng komunikasyon. Panatilihin ang detalyado at tumpak na mga rekord ng pakikipag-ugnayan upang magbigay ng malinaw na salaysay ng mga pangyayari na nakapalibot sa pag-aresto at anumang mga kasunod na aksyong ginawa.
Humingi ng Patnubay at Pakikipagtulungan: Humingi ng patnubay at pakikipagtulungan mula sa mga propesyonal sa kalusugan ng isip, mga pangkat ng interbensyon sa krisis, o iba pang may-katuturang awtoridad kapag nakatagpo ng mga indibidwal na may mga sakit sa isip sa panahon ng pag-aresto. Makipagtulungan sa mga propesyonal na ito upang bumuo ng mga epektibong estratehiya para sa pamamahala ng sitwasyon at matiyak na ang mga pangangailangan ng indibidwal ay natugunan nang naaangkop.
Sa pamamagitan ng pagsasagawa ng mga legal na hakbang na ito, makakatulong ang mga opisyal ng pagpapatupad ng batas na matiyak na ang mga karapatan ng mga indibidwal na may mga sakit sa isip ay protektado sa panahon ng pag-aresto, na nagsusulong ng isang patas at makataong diskarte sa pagpapatupad ng batas sa Pilipinas.</v>
      </c>
      <c r="F2555" s="2">
        <f t="shared" si="1"/>
        <v>0</v>
      </c>
      <c r="G2555" s="2"/>
      <c r="H2555" s="2"/>
      <c r="I2555" s="2"/>
      <c r="J2555" s="2"/>
      <c r="K2555" s="2"/>
      <c r="L2555" s="2"/>
      <c r="M2555" s="2"/>
      <c r="N2555" s="2"/>
      <c r="O2555" s="2"/>
      <c r="P2555" s="2"/>
      <c r="Q2555" s="2"/>
      <c r="R2555" s="2"/>
      <c r="S2555" s="2"/>
      <c r="T2555" s="2"/>
      <c r="U2555" s="2"/>
      <c r="V2555" s="2"/>
      <c r="W2555" s="2"/>
      <c r="X2555" s="2"/>
      <c r="Y2555" s="2"/>
      <c r="Z2555" s="2"/>
      <c r="AA2555" s="2"/>
    </row>
    <row r="2556">
      <c r="A2556" s="1" t="s">
        <v>5971</v>
      </c>
      <c r="B2556" s="1" t="s">
        <v>6080</v>
      </c>
      <c r="C2556" s="1" t="s">
        <v>6081</v>
      </c>
      <c r="D2556" s="2" t="str">
        <f>IFERROR(__xludf.DUMMYFUNCTION("GOOGLETRANSLATE(B2556, ""en"", ""TL"")"),"Bilang isang propesyonal sa kalusugang pangkaisipan na humiling na magbigay ng ekspertong patotoo sa isang kriminal na paglilitis, paano mo matitiyak na ang iyong pagsusuri ay isinasagawa nang walang kinikilingan at propesyonal?")</f>
        <v>Bilang isang propesyonal sa kalusugang pangkaisipan na humiling na magbigay ng ekspertong patotoo sa isang kriminal na paglilitis, paano mo matitiyak na ang iyong pagsusuri ay isinasagawa nang walang kinikilingan at propesyonal?</v>
      </c>
      <c r="E2556" s="2" t="str">
        <f>IFERROR(__xludf.DUMMYFUNCTION("GOOGLETRANSLATE(C2556, ""en"", ""TL"")"),"Bilang isang propesyonal sa kalusugan ng isip ay hiniling na magbigay ng ekspertong patotoo sa isang kriminal na paglilitis sa Pilipinas, ang pagtiyak na ang iyong pagsusuri ay isinasagawa nang walang kinikilingan at propesyonal ay mahalaga. Narito ang il"&amp;"ang mahahalagang hakbang upang makamit ito:
Pagsunod sa Mga Pamantayan sa Etikal: Sundin ang mga alituntuning etikal at mga propesyonal na pamantayan na itinakda ng iyong katawan ng paglilisensya o propesyonal na organisasyon. Kabilang dito ang pagpapa"&amp;"natili ng kawalang-kinikilingan, katapatan, at integridad sa iyong pagsusuri at patotoo.
Layunin na Pagtatasa: Magsagawa ng masinsinan at walang pinapanigan na pagtatasa ng kalagayan ng kalusugang pangkaisipan ng indibidwal, na isinasaalang-alang ang l"&amp;"ahat ng magagamit na impormasyon at nauugnay na mga salik. Gumamit ng mga standardized na tool sa pagtatasa at mga kasanayang nakabatay sa ebidensya upang mangalap ng data at mabuo ang iyong mga konklusyon.
Pag-iwas sa Bias: Mag-ingat laban sa mga pers"&amp;"onal na pagkiling o preconceptions na maaaring makaimpluwensya sa iyong pagsusuri. Manatiling bukas-isip at layunin sa buong proseso ng pagtatasa, isinasaalang-alang ang maraming pananaw at pag-iwas sa mga pagpapalagay tungkol sa pagkakasala o kawalang-ka"&amp;"salanan ng indibidwal.
Pagsasaalang-alang sa Konteksto: Isaalang-alang ang partikular na konteksto ng kaso at ang mga legal na pamantayan para sa pagkabaliw o kakayahan na humarap sa paglilitis sa Pilipinas. Tiyakin na ang iyong pagsusuri ay tumutugon "&amp;"sa mga legal na pamantayan na may kaugnayan sa mga isyung nasa kamay, sa halip na tumutok lamang sa mga klinikal na salik.
Transparency at Documentation: Malinaw na idokumento ang iyong proseso ng pagsusuri, kabilang ang mga pamamaraan na ginamit, ang "&amp;"data na nakolekta, at ang pangangatwiran sa likod ng iyong mga konklusyon. Maging transparent tungkol sa anumang mga limitasyon o kawalan ng katiyakan na nauugnay sa iyong pagsusuri at magbigay ng malinaw na katwiran para sa iyong mga opinyon.
Propesyo"&amp;"nal na Kalayaan: Panatilihin ang propesyonal na kalayaan at awtonomiya sa iyong pagsusuri at patotoo, malaya sa hindi nararapat na impluwensya o panggigipit mula sa alinman sa prosekusyon o depensa. Ang iyong tungkulin ay magbigay ng walang kinikilingan a"&amp;"t layunin na opinyon ng eksperto batay sa iyong kadalubhasaan at ang magagamit na ebidensya.
Malinaw at Maigsi na Komunikasyon: Malinaw na ipaalam ang iyong mga natuklasan, opinyon, at konklusyon sa paraang naiintindihan ng hukuman at hurado. Gumamit n"&amp;"g payak na pananalita at iwasan ang jargon o teknikal na terminolohiya na maaaring nakalilito o nakaliligaw.
Paghahanda at Pagsusuri: Maghanda nang lubusan para sa iyong patotoo, pagrepaso sa iyong mga natuklasan sa pagsusuri, pagsuporta sa ebidensya, "&amp;"at nauugnay na mga legal na pamantayan. Asahan ang mga potensyal na hamon o tanong mula sa sumasalungat na payo at maging handa na ipagtanggol ang iyong pagsusuri at mga konklusyon sa ilalim ng cross-examination.
Patuloy na Edukasyon at Pagsasanay: Man"&amp;"atiling may kaalaman tungkol sa mga pag-unlad sa iyong larangan ng kadalubhasaan sa pamamagitan ng patuloy na edukasyon, pagsasanay, at mga aktibidad sa propesyonal na pagpapaunlad. Tinitiyak nito na ang iyong mga kasanayan sa pagsusuri ay mananatiling na"&amp;"papanahon at naaayon sa kasalukuyang pinakamahuhusay na kagawian.
Sa pamamagitan ng pagsunod sa mga prinsipyo at kasanayang ito, matitiyak ng mga propesyonal sa kalusugan ng isip na ang kanilang pagsusuri ay isinasagawa nang walang kinikilingan at prop"&amp;"esyonal, na nag-aambag sa patas na pangangasiwa ng hustisya sa mga paglilitis sa krimen sa Pilipinas.")</f>
        <v>Bilang isang propesyonal sa kalusugan ng isip ay hiniling na magbigay ng ekspertong patotoo sa isang kriminal na paglilitis sa Pilipinas, ang pagtiyak na ang iyong pagsusuri ay isinasagawa nang walang kinikilingan at propesyonal ay mahalaga. Narito ang ilang mahahalagang hakbang upang makamit ito:
Pagsunod sa Mga Pamantayan sa Etikal: Sundin ang mga alituntuning etikal at mga propesyonal na pamantayan na itinakda ng iyong katawan ng paglilisensya o propesyonal na organisasyon. Kabilang dito ang pagpapanatili ng kawalang-kinikilingan, katapatan, at integridad sa iyong pagsusuri at patotoo.
Layunin na Pagtatasa: Magsagawa ng masinsinan at walang pinapanigan na pagtatasa ng kalagayan ng kalusugang pangkaisipan ng indibidwal, na isinasaalang-alang ang lahat ng magagamit na impormasyon at nauugnay na mga salik. Gumamit ng mga standardized na tool sa pagtatasa at mga kasanayang nakabatay sa ebidensya upang mangalap ng data at mabuo ang iyong mga konklusyon.
Pag-iwas sa Bias: Mag-ingat laban sa mga personal na pagkiling o preconceptions na maaaring makaimpluwensya sa iyong pagsusuri. Manatiling bukas-isip at layunin sa buong proseso ng pagtatasa, isinasaalang-alang ang maraming pananaw at pag-iwas sa mga pagpapalagay tungkol sa pagkakasala o kawalang-kasalanan ng indibidwal.
Pagsasaalang-alang sa Konteksto: Isaalang-alang ang partikular na konteksto ng kaso at ang mga legal na pamantayan para sa pagkabaliw o kakayahan na humarap sa paglilitis sa Pilipinas. Tiyakin na ang iyong pagsusuri ay tumutugon sa mga legal na pamantayan na may kaugnayan sa mga isyung nasa kamay, sa halip na tumutok lamang sa mga klinikal na salik.
Transparency at Documentation: Malinaw na idokumento ang iyong proseso ng pagsusuri, kabilang ang mga pamamaraan na ginamit, ang data na nakolekta, at ang pangangatwiran sa likod ng iyong mga konklusyon. Maging transparent tungkol sa anumang mga limitasyon o kawalan ng katiyakan na nauugnay sa iyong pagsusuri at magbigay ng malinaw na katwiran para sa iyong mga opinyon.
Propesyonal na Kalayaan: Panatilihin ang propesyonal na kalayaan at awtonomiya sa iyong pagsusuri at patotoo, malaya sa hindi nararapat na impluwensya o panggigipit mula sa alinman sa prosekusyon o depensa. Ang iyong tungkulin ay magbigay ng walang kinikilingan at layunin na opinyon ng eksperto batay sa iyong kadalubhasaan at ang magagamit na ebidensya.
Malinaw at Maigsi na Komunikasyon: Malinaw na ipaalam ang iyong mga natuklasan, opinyon, at konklusyon sa paraang naiintindihan ng hukuman at hurado. Gumamit ng payak na pananalita at iwasan ang jargon o teknikal na terminolohiya na maaaring nakalilito o nakaliligaw.
Paghahanda at Pagsusuri: Maghanda nang lubusan para sa iyong patotoo, pagrepaso sa iyong mga natuklasan sa pagsusuri, pagsuporta sa ebidensya, at nauugnay na mga legal na pamantayan. Asahan ang mga potensyal na hamon o tanong mula sa sumasalungat na payo at maging handa na ipagtanggol ang iyong pagsusuri at mga konklusyon sa ilalim ng cross-examination.
Patuloy na Edukasyon at Pagsasanay: Manatiling may kaalaman tungkol sa mga pag-unlad sa iyong larangan ng kadalubhasaan sa pamamagitan ng patuloy na edukasyon, pagsasanay, at mga aktibidad sa propesyonal na pagpapaunlad. Tinitiyak nito na ang iyong mga kasanayan sa pagsusuri ay mananatiling napapanahon at naaayon sa kasalukuyang pinakamahuhusay na kagawian.
Sa pamamagitan ng pagsunod sa mga prinsipyo at kasanayang ito, matitiyak ng mga propesyonal sa kalusugan ng isip na ang kanilang pagsusuri ay isinasagawa nang walang kinikilingan at propesyonal, na nag-aambag sa patas na pangangasiwa ng hustisya sa mga paglilitis sa krimen sa Pilipinas.</v>
      </c>
      <c r="F2556" s="2">
        <f t="shared" si="1"/>
        <v>0</v>
      </c>
      <c r="G2556" s="2"/>
      <c r="H2556" s="2"/>
      <c r="I2556" s="2"/>
      <c r="J2556" s="2"/>
      <c r="K2556" s="2"/>
      <c r="L2556" s="2"/>
      <c r="M2556" s="2"/>
      <c r="N2556" s="2"/>
      <c r="O2556" s="2"/>
      <c r="P2556" s="2"/>
      <c r="Q2556" s="2"/>
      <c r="R2556" s="2"/>
      <c r="S2556" s="2"/>
      <c r="T2556" s="2"/>
      <c r="U2556" s="2"/>
      <c r="V2556" s="2"/>
      <c r="W2556" s="2"/>
      <c r="X2556" s="2"/>
      <c r="Y2556" s="2"/>
      <c r="Z2556" s="2"/>
      <c r="AA2556" s="2"/>
    </row>
    <row r="2557">
      <c r="A2557" s="1" t="s">
        <v>5971</v>
      </c>
      <c r="B2557" s="1" t="s">
        <v>6082</v>
      </c>
      <c r="C2557" s="1" t="s">
        <v>6083</v>
      </c>
      <c r="D2557" s="2" t="str">
        <f>IFERROR(__xludf.DUMMYFUNCTION("GOOGLETRANSLATE(B2557, ""en"", ""TL"")"),"Ang isang nasasakdal ay nag-aangkin na mayroong isang sakit sa isip na nakaapekto sa kanilang kakayahang maunawaan ang mga paglilitis sa krimen. Anong mga legal na hakbang ang maaaring gawin ng hukuman upang masuri at matugunan ang paghahabol na ito?")</f>
        <v>Ang isang nasasakdal ay nag-aangkin na mayroong isang sakit sa isip na nakaapekto sa kanilang kakayahang maunawaan ang mga paglilitis sa krimen. Anong mga legal na hakbang ang maaaring gawin ng hukuman upang masuri at matugunan ang paghahabol na ito?</v>
      </c>
      <c r="E2557" s="2" t="str">
        <f>IFERROR(__xludf.DUMMYFUNCTION("GOOGLETRANSLATE(C2557, ""en"", ""TL"")"),"Kapag ang isang nasasakdal ay nag-claim na siya ay may sakit na saykayatriko na nakaapekto sa kanilang kakayahang maunawaan ang mga paglilitis sa krimen sa Pilipinas, ang hukuman ay maaaring gumawa ng ilang mga legal na hakbang upang masuri at matugunan a"&amp;"ng paghahabol na ito. Narito ang ilang mga opsyon:
Psychiatric Evaluation: Ang hukuman ay maaaring mag-utos ng komprehensibong psychiatric na pagsusuri ng nasasakdal ng mga kwalipikadong propesyonal sa kalusugan ng isip. Ang pagsusuring ito ay naglalay"&amp;"on na masuri ang kalagayan ng kalusugang pangkaisipan ng nasasakdal, kabilang ang anumang mga psychiatric na diagnosis, mga kapansanan sa pag-iisip, o iba pang mga kondisyon na maaaring makaapekto sa kanilang pag-unawa sa mga paglilitis.
Pagtatasa ng K"&amp;"akayahan: Magsagawa ng pagtatasa ng kakayahan upang matukoy ang kapasidad ng nasasakdal na maunawaan ang kalikasan at mga kahihinatnan ng mga paglilitis sa krimen laban sa kanila at mabisang makilahok sa kanilang pagtatanggol. Sinusuri ng pagtatasa na ito"&amp;" ang kakayahan ng nasasakdal na makipag-usap sa kanilang legal na tagapayo, gumawa ng matalinong mga desisyon, at tumulong sa kanilang pagtatanggol.
Paghirang ng Defense Counsel: Siguraduhin na ang nasasakdal ay may access sa legal na representasyon, k"&amp;"abilang ang appointment ng defense counsel kung hindi nila kayang bayaran ang isa. Ang abogado ng depensa ay maaaring magsulong para sa mga karapatan ng nasasakdal, maghain ng mga alalahanin tungkol sa kanilang kalusugang pangkaisipan, at mapadali ang kom"&amp;"unikasyon sa hukuman at mga propesyonal sa kalusugan ng isip.
Pagdinig ng Hukuman sa Kakayahan: Magsagawa ng pagdinig sa korte upang tugunan ang isyu ng kakayahan ng nasasakdal na humarap sa paglilitis. Ang pagdinig na ito ay nagpapahintulot sa parehon"&amp;"g prosekusyon at depensa na magpakita ng ebidensya, tumawag ng mga saksi, at gumawa ng mga argumento tungkol sa kalagayan ng kalusugan ng isip ng nasasakdal at ang epekto nito sa kanilang kakayahang lumahok sa mga paglilitis.
Guardian ad Litem o Legal "&amp;"na Kinatawan: Kung ang nasasakdal ay itinuring na walang kakayahan na lumahok sa kanilang sariling depensa dahil sa sakit sa pag-iisip o kapansanan sa pag-iisip, maaaring magtalaga ang hukuman ng isang tagapag-alaga ad litem o legal na kinatawan upang mag"&amp;"taguyod para sa kanilang mga interes at tiyakin ang isang patas na paglilitis.
Paggamot para sa mga Kondisyon sa Kalusugan ng Pag-iisip: Kung ang kondisyon ng kalusugang pangkaisipan ng nasasakdal ay napatunayang nakakapinsala sa kanilang kakayahang ma"&amp;"unawaan ang mga paglilitis, maaaring mag-utos ang hukuman ng naaangkop na paggamot o interbensyon upang matugunan ang kondisyon at maibalik ang kakayahan. Maaaring kabilang dito ang gamot, therapy, o iba pang mga interbensyon na naglalayong patatagin ang "&amp;"kalusugan ng isip ng nasasakdal.
Patuloy na Pagsubaybay at Pagsusuri: Magpatupad ng mga mekanismo para sa patuloy na pagsubaybay at pagrepaso sa kalagayan ng kalusugan ng isip ng nasasakdal sa buong paglilitis. Nagbibigay-daan ito para sa patuloy na pa"&amp;"gtatasa ng kanilang kakayahan at tinitiyak na ang mga naaangkop na hakbang ay gagawin upang matugunan ang anumang mga pagbabago sa kanilang kalagayan sa kalusugan ng isip.
Pagpapasya sa Kakayahan: Batay sa ebidensyang ipinakita sa panahon ng pagtatasa "&amp;"at pagdinig ng kakayahan, ang hukuman ay gagawa ng desisyon sa kakayahan ng nasasakdal na humarap sa paglilitis. Kung ang nasasakdal ay napatunayang walang kakayahan, maaaring suspindihin ng hukuman ang mga paglilitis hanggang sa maibalik ang kakayahan o "&amp;"gumawa ng iba pang naaangkop na hakbang upang matugunan ang sitwasyon.
Sa pamamagitan ng pagsasagawa ng mga legal na hakbang na ito, maa-assess at matutugunan ng korte ang claim ng nasasakdal na sakit sa isip na nakakaapekto sa kanilang kakayahang maun"&amp;"awaan ang mga paglilitis sa krimen, na tinitiyak ang isang patas at makatarungang proseso ng paglilitis alinsunod sa batas.")</f>
        <v>Kapag ang isang nasasakdal ay nag-claim na siya ay may sakit na saykayatriko na nakaapekto sa kanilang kakayahang maunawaan ang mga paglilitis sa krimen sa Pilipinas, ang hukuman ay maaaring gumawa ng ilang mga legal na hakbang upang masuri at matugunan ang paghahabol na ito. Narito ang ilang mga opsyon:
Psychiatric Evaluation: Ang hukuman ay maaaring mag-utos ng komprehensibong psychiatric na pagsusuri ng nasasakdal ng mga kwalipikadong propesyonal sa kalusugan ng isip. Ang pagsusuring ito ay naglalayon na masuri ang kalagayan ng kalusugang pangkaisipan ng nasasakdal, kabilang ang anumang mga psychiatric na diagnosis, mga kapansanan sa pag-iisip, o iba pang mga kondisyon na maaaring makaapekto sa kanilang pag-unawa sa mga paglilitis.
Pagtatasa ng Kakayahan: Magsagawa ng pagtatasa ng kakayahan upang matukoy ang kapasidad ng nasasakdal na maunawaan ang kalikasan at mga kahihinatnan ng mga paglilitis sa krimen laban sa kanila at mabisang makilahok sa kanilang pagtatanggol. Sinusuri ng pagtatasa na ito ang kakayahan ng nasasakdal na makipag-usap sa kanilang legal na tagapayo, gumawa ng matalinong mga desisyon, at tumulong sa kanilang pagtatanggol.
Paghirang ng Defense Counsel: Siguraduhin na ang nasasakdal ay may access sa legal na representasyon, kabilang ang appointment ng defense counsel kung hindi nila kayang bayaran ang isa. Ang abogado ng depensa ay maaaring magsulong para sa mga karapatan ng nasasakdal, maghain ng mga alalahanin tungkol sa kanilang kalusugang pangkaisipan, at mapadali ang komunikasyon sa hukuman at mga propesyonal sa kalusugan ng isip.
Pagdinig ng Hukuman sa Kakayahan: Magsagawa ng pagdinig sa korte upang tugunan ang isyu ng kakayahan ng nasasakdal na humarap sa paglilitis. Ang pagdinig na ito ay nagpapahintulot sa parehong prosekusyon at depensa na magpakita ng ebidensya, tumawag ng mga saksi, at gumawa ng mga argumento tungkol sa kalagayan ng kalusugan ng isip ng nasasakdal at ang epekto nito sa kanilang kakayahang lumahok sa mga paglilitis.
Guardian ad Litem o Legal na Kinatawan: Kung ang nasasakdal ay itinuring na walang kakayahan na lumahok sa kanilang sariling depensa dahil sa sakit sa pag-iisip o kapansanan sa pag-iisip, maaaring magtalaga ang hukuman ng isang tagapag-alaga ad litem o legal na kinatawan upang magtaguyod para sa kanilang mga interes at tiyakin ang isang patas na paglilitis.
Paggamot para sa mga Kondisyon sa Kalusugan ng Pag-iisip: Kung ang kondisyon ng kalusugang pangkaisipan ng nasasakdal ay napatunayang nakakapinsala sa kanilang kakayahang maunawaan ang mga paglilitis, maaaring mag-utos ang hukuman ng naaangkop na paggamot o interbensyon upang matugunan ang kondisyon at maibalik ang kakayahan. Maaaring kabilang dito ang gamot, therapy, o iba pang mga interbensyon na naglalayong patatagin ang kalusugan ng isip ng nasasakdal.
Patuloy na Pagsubaybay at Pagsusuri: Magpatupad ng mga mekanismo para sa patuloy na pagsubaybay at pagrepaso sa kalagayan ng kalusugan ng isip ng nasasakdal sa buong paglilitis. Nagbibigay-daan ito para sa patuloy na pagtatasa ng kanilang kakayahan at tinitiyak na ang mga naaangkop na hakbang ay gagawin upang matugunan ang anumang mga pagbabago sa kanilang kalagayan sa kalusugan ng isip.
Pagpapasya sa Kakayahan: Batay sa ebidensyang ipinakita sa panahon ng pagtatasa at pagdinig ng kakayahan, ang hukuman ay gagawa ng desisyon sa kakayahan ng nasasakdal na humarap sa paglilitis. Kung ang nasasakdal ay napatunayang walang kakayahan, maaaring suspindihin ng hukuman ang mga paglilitis hanggang sa maibalik ang kakayahan o gumawa ng iba pang naaangkop na hakbang upang matugunan ang sitwasyon.
Sa pamamagitan ng pagsasagawa ng mga legal na hakbang na ito, maa-assess at matutugunan ng korte ang claim ng nasasakdal na sakit sa isip na nakakaapekto sa kanilang kakayahang maunawaan ang mga paglilitis sa krimen, na tinitiyak ang isang patas at makatarungang proseso ng paglilitis alinsunod sa batas.</v>
      </c>
      <c r="F2557" s="2">
        <f t="shared" si="1"/>
        <v>0</v>
      </c>
      <c r="G2557" s="2"/>
      <c r="H2557" s="2"/>
      <c r="I2557" s="2"/>
      <c r="J2557" s="2"/>
      <c r="K2557" s="2"/>
      <c r="L2557" s="2"/>
      <c r="M2557" s="2"/>
      <c r="N2557" s="2"/>
      <c r="O2557" s="2"/>
      <c r="P2557" s="2"/>
      <c r="Q2557" s="2"/>
      <c r="R2557" s="2"/>
      <c r="S2557" s="2"/>
      <c r="T2557" s="2"/>
      <c r="U2557" s="2"/>
      <c r="V2557" s="2"/>
      <c r="W2557" s="2"/>
      <c r="X2557" s="2"/>
      <c r="Y2557" s="2"/>
      <c r="Z2557" s="2"/>
      <c r="AA2557" s="2"/>
    </row>
    <row r="2558">
      <c r="A2558" s="1" t="s">
        <v>5971</v>
      </c>
      <c r="B2558" s="1" t="s">
        <v>6084</v>
      </c>
      <c r="C2558" s="1" t="s">
        <v>6085</v>
      </c>
      <c r="D2558" s="2" t="str">
        <f>IFERROR(__xludf.DUMMYFUNCTION("GOOGLETRANSLATE(B2558, ""en"", ""TL"")"),"Ang isang bilanggo na may sakit na saykayatriko ay nakakaranas ng mga kahirapan sa isang pasilidad ng pagwawasto. Anong mga legal na aksyon ang maaaring gawin upang matiyak na ang bilanggo ay makakatanggap ng naaangkop na paggamot sa kalusugan ng isip?")</f>
        <v>Ang isang bilanggo na may sakit na saykayatriko ay nakakaranas ng mga kahirapan sa isang pasilidad ng pagwawasto. Anong mga legal na aksyon ang maaaring gawin upang matiyak na ang bilanggo ay makakatanggap ng naaangkop na paggamot sa kalusugan ng isip?</v>
      </c>
      <c r="E2558" s="2" t="str">
        <f>IFERROR(__xludf.DUMMYFUNCTION("GOOGLETRANSLATE(C2558, ""en"", ""TL"")"),"Kapag ang isang bilanggo na may sakit na saykayatriko ay nahihirapan sa isang correctional facility sa Pilipinas, maraming legal na aksyon ang maaaring gawin upang matiyak na makakatanggap sila ng naaangkop na paggamot sa kalusugan ng isip. Narito ang ila"&amp;"ng mga opsyon:
Medikal na Pagsusuri at Pagsusuri: Magsagawa ng komprehensibong medikal na pagsusuri at pagtatasa ng kalagayan ng kalusugan ng isip ng bilanggo ng mga kwalipikadong propesyonal sa kalusugan ng isip. Dapat matukoy ng pagtatasa na ito ang "&amp;"kalikasan at kalubhaan ng sakit sa isip at ipaalam ang pagbuo ng isang naaangkop na plano sa paggamot.
Access sa Mental Health Services: Siguraduhin na ang preso ay may access sa sapat na mental health services sa loob ng correctional facility. Kabilan"&amp;"g dito ang pagbibigay ng mga pagsusuri sa psychiatric, pamamahala ng gamot, therapy, pagpapayo, at iba pang mga interbensyon sa kalusugan ng isip na iniayon sa kanilang mga indibidwal na pangangailangan.
Paglipat sa Pasilidad ng Pangkalusugan ng Pag-ii"&amp;"sip: Kung ang pasilidad ng pagwawasto ay hindi makapagbigay ng sapat na paggamot sa kalusugan ng isip para sa bilanggo, isaalang-alang ang paglipat sa kanila sa isang espesyal na pasilidad ng kalusugang pangkaisipan o yunit kung saan maaari silang makatan"&amp;"ggap ng mas masinsinang pangangalaga at suporta mula sa mga sinanay na propesyonal.
Mga Makatwirang Akomodasyon: Magbigay ng mga makatwirang kaluwagan para sa mga pangangailangan sa kalusugan ng isip ng bilanggo sa loob ng pasilidad ng pagwawasto, tula"&amp;"d ng pag-access sa mga tahimik na lugar, mga aktibidad sa pagpapagaling, at naaangkop na pamamahala ng gamot. Ang mga akomodasyon ay dapat na iayon sa mga partikular na sintomas at limitasyon ng bilanggo.
Pakikipagtulungan sa Mental Health Professional"&amp;"s: Makipagtulungan sa mga panlabas na propesyonal sa kalusugan ng isip, kabilang ang mga psychiatrist, psychologist, at social worker, upang magbigay ng espesyal na pangangalaga at suporta para sa mga pangangailangan sa kalusugan ng isip ng bilanggo. Maaa"&amp;"ring kabilang dito ang pag-aayos para sa mga konsultasyon, pagtatasa, at pagpaplano ng paggamot sa mga panlabas na provider.
Regular na Pagsubaybay at Pagsusuri: Magpatupad ng mga mekanismo para sa regular na pagsubaybay at pagrepaso sa kalagayan ng ka"&amp;"lusugan ng isip ng bilanggo at pag-unlad ng paggamot sa loob ng pasilidad ng pagwawasto. Kabilang dito ang patuloy na pagtatasa ng kanilang mga sintomas, pagtugon sa paggamot, at anumang pagbabago sa kanilang kondisyon na maaaring mangailangan ng mga pags"&amp;"asaayos sa kanilang plano sa pangangalaga.
Pagsasanay at Edukasyon ng Staff: Magbigay ng pagsasanay at edukasyon para sa mga correctional staff kung paano epektibong makihalubilo at suportahan ang mga bilanggo na may mga sakit na psychiatric. Kabilang "&amp;"dito ang pagsasanay sa pagkilala sa mga palatandaan ng pagkabalisa sa pag-iisip, mga diskarte sa de-escalation, at mga diskarte para sa pagsulong ng isang nakakagaling na kapaligiran sa loob ng pasilidad.
Adbokasiya at Legal na Representasyon: Makisali"&amp;" sa mga pagsusumikap sa pagtataguyod at humingi ng legal na representasyon upang matiyak na ang mga karapatan ng bilanggo sa naaangkop na paggamot sa kalusugan ng isip ay itinataguyod sa loob ng sistema ng pagwawasto. Maaaring kabilang dito ang paghahain "&amp;"ng mga karaingan, petisyon, o legal na aksyon upang matugunan ang mga kakulangan sa probisyon ng pangangalaga sa kalusugan ng isip.
Sa pamamagitan ng pagsasagawa ng mga legal na aksyong ito, masisiguro ng mga correctional facility sa Pilipinas na ang m"&amp;"ga bilanggo na may mga sakit na psychiatric ay makakatanggap ng naaangkop na paggamot at suporta sa kalusugan ng isip, na nagtataguyod ng kanilang kagalingan at rehabilitasyon habang pinapanatili ang kaligtasan at seguridad sa loob ng pasilidad.")</f>
        <v>Kapag ang isang bilanggo na may sakit na saykayatriko ay nahihirapan sa isang correctional facility sa Pilipinas, maraming legal na aksyon ang maaaring gawin upang matiyak na makakatanggap sila ng naaangkop na paggamot sa kalusugan ng isip. Narito ang ilang mga opsyon:
Medikal na Pagsusuri at Pagsusuri: Magsagawa ng komprehensibong medikal na pagsusuri at pagtatasa ng kalagayan ng kalusugan ng isip ng bilanggo ng mga kwalipikadong propesyonal sa kalusugan ng isip. Dapat matukoy ng pagtatasa na ito ang kalikasan at kalubhaan ng sakit sa isip at ipaalam ang pagbuo ng isang naaangkop na plano sa paggamot.
Access sa Mental Health Services: Siguraduhin na ang preso ay may access sa sapat na mental health services sa loob ng correctional facility. Kabilang dito ang pagbibigay ng mga pagsusuri sa psychiatric, pamamahala ng gamot, therapy, pagpapayo, at iba pang mga interbensyon sa kalusugan ng isip na iniayon sa kanilang mga indibidwal na pangangailangan.
Paglipat sa Pasilidad ng Pangkalusugan ng Pag-iisip: Kung ang pasilidad ng pagwawasto ay hindi makapagbigay ng sapat na paggamot sa kalusugan ng isip para sa bilanggo, isaalang-alang ang paglipat sa kanila sa isang espesyal na pasilidad ng kalusugang pangkaisipan o yunit kung saan maaari silang makatanggap ng mas masinsinang pangangalaga at suporta mula sa mga sinanay na propesyonal.
Mga Makatwirang Akomodasyon: Magbigay ng mga makatwirang kaluwagan para sa mga pangangailangan sa kalusugan ng isip ng bilanggo sa loob ng pasilidad ng pagwawasto, tulad ng pag-access sa mga tahimik na lugar, mga aktibidad sa pagpapagaling, at naaangkop na pamamahala ng gamot. Ang mga akomodasyon ay dapat na iayon sa mga partikular na sintomas at limitasyon ng bilanggo.
Pakikipagtulungan sa Mental Health Professionals: Makipagtulungan sa mga panlabas na propesyonal sa kalusugan ng isip, kabilang ang mga psychiatrist, psychologist, at social worker, upang magbigay ng espesyal na pangangalaga at suporta para sa mga pangangailangan sa kalusugan ng isip ng bilanggo. Maaaring kabilang dito ang pag-aayos para sa mga konsultasyon, pagtatasa, at pagpaplano ng paggamot sa mga panlabas na provider.
Regular na Pagsubaybay at Pagsusuri: Magpatupad ng mga mekanismo para sa regular na pagsubaybay at pagrepaso sa kalagayan ng kalusugan ng isip ng bilanggo at pag-unlad ng paggamot sa loob ng pasilidad ng pagwawasto. Kabilang dito ang patuloy na pagtatasa ng kanilang mga sintomas, pagtugon sa paggamot, at anumang pagbabago sa kanilang kondisyon na maaaring mangailangan ng mga pagsasaayos sa kanilang plano sa pangangalaga.
Pagsasanay at Edukasyon ng Staff: Magbigay ng pagsasanay at edukasyon para sa mga correctional staff kung paano epektibong makihalubilo at suportahan ang mga bilanggo na may mga sakit na psychiatric. Kabilang dito ang pagsasanay sa pagkilala sa mga palatandaan ng pagkabalisa sa pag-iisip, mga diskarte sa de-escalation, at mga diskarte para sa pagsulong ng isang nakakagaling na kapaligiran sa loob ng pasilidad.
Adbokasiya at Legal na Representasyon: Makisali sa mga pagsusumikap sa pagtataguyod at humingi ng legal na representasyon upang matiyak na ang mga karapatan ng bilanggo sa naaangkop na paggamot sa kalusugan ng isip ay itinataguyod sa loob ng sistema ng pagwawasto. Maaaring kabilang dito ang paghahain ng mga karaingan, petisyon, o legal na aksyon upang matugunan ang mga kakulangan sa probisyon ng pangangalaga sa kalusugan ng isip.
Sa pamamagitan ng pagsasagawa ng mga legal na aksyong ito, masisiguro ng mga correctional facility sa Pilipinas na ang mga bilanggo na may mga sakit na psychiatric ay makakatanggap ng naaangkop na paggamot at suporta sa kalusugan ng isip, na nagtataguyod ng kanilang kagalingan at rehabilitasyon habang pinapanatili ang kaligtasan at seguridad sa loob ng pasilidad.</v>
      </c>
      <c r="F2558" s="2">
        <f t="shared" si="1"/>
        <v>0</v>
      </c>
      <c r="G2558" s="2"/>
      <c r="H2558" s="2"/>
      <c r="I2558" s="2"/>
      <c r="J2558" s="2"/>
      <c r="K2558" s="2"/>
      <c r="L2558" s="2"/>
      <c r="M2558" s="2"/>
      <c r="N2558" s="2"/>
      <c r="O2558" s="2"/>
      <c r="P2558" s="2"/>
      <c r="Q2558" s="2"/>
      <c r="R2558" s="2"/>
      <c r="S2558" s="2"/>
      <c r="T2558" s="2"/>
      <c r="U2558" s="2"/>
      <c r="V2558" s="2"/>
      <c r="W2558" s="2"/>
      <c r="X2558" s="2"/>
      <c r="Y2558" s="2"/>
      <c r="Z2558" s="2"/>
      <c r="AA2558" s="2"/>
    </row>
    <row r="2559">
      <c r="A2559" s="1" t="s">
        <v>5971</v>
      </c>
      <c r="B2559" s="1" t="s">
        <v>6086</v>
      </c>
      <c r="C2559" s="1" t="s">
        <v>6087</v>
      </c>
      <c r="D2559" s="2" t="str">
        <f>IFERROR(__xludf.DUMMYFUNCTION("GOOGLETRANSLATE(B2559, ""en"", ""TL"")"),"Sa panahon ng isang psychiatric na pagsusuri, ang isang nasasakdal ay tumangging makipagtulungan. Anong mga legal na opsyon ang magagamit upang matiyak ang isang masusing pagsusuri habang iginagalang ang mga karapatan ng indibidwal?")</f>
        <v>Sa panahon ng isang psychiatric na pagsusuri, ang isang nasasakdal ay tumangging makipagtulungan. Anong mga legal na opsyon ang magagamit upang matiyak ang isang masusing pagsusuri habang iginagalang ang mga karapatan ng indibidwal?</v>
      </c>
      <c r="E2559" s="2" t="str">
        <f>IFERROR(__xludf.DUMMYFUNCTION("GOOGLETRANSLATE(C2559, ""en"", ""TL"")"),"Kapag ang isang nasasakdal ay tumangging makipagtulungan sa panahon ng isang psychiatric na pagsusuri, ito ay nagpapakita ng mga hamon sa pagtiyak ng isang masusing pagsusuri habang iginagalang ang mga karapatan ng indibidwal. Gayunpaman, may mga legal na"&amp;" opsyon na magagamit upang matugunan ang sitwasyong ito:
Utos ng Hukuman para sa Pagsusuri: Ang hukuman ay maaaring maglabas ng utos na nag-aatas sa nasasakdal na sumailalim sa isang psychiatric na pagsusuri, na nagpipilit sa kanilang pakikipagtulungan"&amp;". Ang kautusang ito ay dapat na nakabatay sa mga legal na batayan at suportado ng ebidensya na nagpapakita ng pangangailangan ng pagsusuri para sa patas na pangangasiwa ng hustisya.
Paghirang ng isang Guardian ad Litem: Kung ang nasasakdal ay itinuring"&amp;" na walang kakayahan na lumahok sa kanilang sariling depensa dahil sa sakit sa pag-iisip, ang hukuman ay maaaring magtalaga ng isang tagapag-alaga na ad litem upang kumatawan sa kanilang mga interes sa panahon ng proseso ng pagsusuri. Ang guardian ad lite"&amp;"m ay maaaring mapadali ang komunikasyon sa pagitan ng nasasakdal at ng evaluator at matiyak na ang mga karapatan ng nasasakdal ay protektado.
Mga Istratehiya sa Impormal na Pakikipag-ugnayan: Ang mga propesyonal sa kalusugan ng isip na nagsasagawa ng p"&amp;"agsusuri ay maaaring gumamit ng iba't ibang estratehiya upang hikayatin ang kooperasyon ng nasasakdal, tulad ng pagbuo ng kaugnayan, pagbibigay ng katiyakan, at pagpapaliwanag sa layunin at mga benepisyo ng pagsusuri sa isang malinaw at hindi nagbabantang"&amp;" paraan.
Mga Naka-iskedyul na Break at Akomodasyon: Payagan ang mga naka-iskedyul na pahinga at akomodasyon sa panahon ng pagsusuri upang maibsan ang anumang pagkabalisa o discomfort na nararanasan ng nasasakdal. Makakatulong ito na mapadali ang isang "&amp;"mas produktibo at kooperatiba na pakikipag-ugnayan sa pagitan ng nasasakdal at ng tagasuri.
Mga Insentibo ng Kusang-loob na Paglahok: Nag-aalok ng mga insentibo para sa boluntaryong pakikilahok sa proseso ng pagsusuri, tulad ng mga kasiguruhan ng pagig"&amp;"ing kumpidensyal, mga pagkakataon para sa pagpasok sa pagpaplano ng paggamot, o pagsasaalang-alang ng kanilang pakikipagtulungan sa mga desisyon sa pagsentensiya.
Pag-explore ng mga Pinagbabatayan na Isyu: Kung ang pagtanggi ng nasasakdal na makipagtul"&amp;"ungan ay nauugnay sa mga pinagbabatayan na isyu tulad ng takot, kawalan ng tiwala, o trauma, maaaring tuklasin ng mga propesyonal sa kalusugan ng isip ang mga isyung ito at tugunan ang mga ito sa isang sensitibo at sumusuportang paraan upang isulong ang k"&amp;"ooperasyon.
Dokumentasyon ng Pagtanggi: Idokumento ang pagtanggi ng nasasakdal na makipagtulungan sa ulat ng pagsusuri, kasama ang mga ibinigay na dahilan, anumang naobserbahang pag-uugali o sintomas, at ang potensyal na epekto sa pagiging maaasahan at"&amp;" bisa ng pagsusuri. Maaaring ipaalam ng dokumentasyong ito ang proseso ng paggawa ng desisyon ng korte tungkol sa paggamit ng pagsusuri sa mga legal na paglilitis.
Pagrepaso sa mga Umiiral na Rekord at Collateral na Impormasyon: Sa mga kaso kung saan h"&amp;"indi posible ang direktang pakikilahok sa pagsusuri, maaaring suriin ng mga propesyonal sa kalusugang pangkaisipan ang mga umiiral nang talaan, collateral na impormasyon, at input mula sa iba pang mga mapagkukunan upang mangalap ng may-katuturang data at "&amp;"mga insight sa kalagayan at pangangailangan ng kalusugan ng isip ng nasasakdal. .
Sa pangkalahatan, ang layunin ay balansehin ang pangangailangan para sa isang masusing pagsusuri sa mga karapatan at awtonomiya ng indibidwal, na tinitiyak na ang proseso"&amp;" ng pagsusuri ay isinasagawa sa isang patas, magalang, at legal na maayos na paraan.")</f>
        <v>Kapag ang isang nasasakdal ay tumangging makipagtulungan sa panahon ng isang psychiatric na pagsusuri, ito ay nagpapakita ng mga hamon sa pagtiyak ng isang masusing pagsusuri habang iginagalang ang mga karapatan ng indibidwal. Gayunpaman, may mga legal na opsyon na magagamit upang matugunan ang sitwasyong ito:
Utos ng Hukuman para sa Pagsusuri: Ang hukuman ay maaaring maglabas ng utos na nag-aatas sa nasasakdal na sumailalim sa isang psychiatric na pagsusuri, na nagpipilit sa kanilang pakikipagtulungan. Ang kautusang ito ay dapat na nakabatay sa mga legal na batayan at suportado ng ebidensya na nagpapakita ng pangangailangan ng pagsusuri para sa patas na pangangasiwa ng hustisya.
Paghirang ng isang Guardian ad Litem: Kung ang nasasakdal ay itinuring na walang kakayahan na lumahok sa kanilang sariling depensa dahil sa sakit sa pag-iisip, ang hukuman ay maaaring magtalaga ng isang tagapag-alaga na ad litem upang kumatawan sa kanilang mga interes sa panahon ng proseso ng pagsusuri. Ang guardian ad litem ay maaaring mapadali ang komunikasyon sa pagitan ng nasasakdal at ng evaluator at matiyak na ang mga karapatan ng nasasakdal ay protektado.
Mga Istratehiya sa Impormal na Pakikipag-ugnayan: Ang mga propesyonal sa kalusugan ng isip na nagsasagawa ng pagsusuri ay maaaring gumamit ng iba't ibang estratehiya upang hikayatin ang kooperasyon ng nasasakdal, tulad ng pagbuo ng kaugnayan, pagbibigay ng katiyakan, at pagpapaliwanag sa layunin at mga benepisyo ng pagsusuri sa isang malinaw at hindi nagbabantang paraan.
Mga Naka-iskedyul na Break at Akomodasyon: Payagan ang mga naka-iskedyul na pahinga at akomodasyon sa panahon ng pagsusuri upang maibsan ang anumang pagkabalisa o discomfort na nararanasan ng nasasakdal. Makakatulong ito na mapadali ang isang mas produktibo at kooperatiba na pakikipag-ugnayan sa pagitan ng nasasakdal at ng tagasuri.
Mga Insentibo ng Kusang-loob na Paglahok: Nag-aalok ng mga insentibo para sa boluntaryong pakikilahok sa proseso ng pagsusuri, tulad ng mga kasiguruhan ng pagiging kumpidensyal, mga pagkakataon para sa pagpasok sa pagpaplano ng paggamot, o pagsasaalang-alang ng kanilang pakikipagtulungan sa mga desisyon sa pagsentensiya.
Pag-explore ng mga Pinagbabatayan na Isyu: Kung ang pagtanggi ng nasasakdal na makipagtulungan ay nauugnay sa mga pinagbabatayan na isyu tulad ng takot, kawalan ng tiwala, o trauma, maaaring tuklasin ng mga propesyonal sa kalusugan ng isip ang mga isyung ito at tugunan ang mga ito sa isang sensitibo at sumusuportang paraan upang isulong ang kooperasyon.
Dokumentasyon ng Pagtanggi: Idokumento ang pagtanggi ng nasasakdal na makipagtulungan sa ulat ng pagsusuri, kasama ang mga ibinigay na dahilan, anumang naobserbahang pag-uugali o sintomas, at ang potensyal na epekto sa pagiging maaasahan at bisa ng pagsusuri. Maaaring ipaalam ng dokumentasyong ito ang proseso ng paggawa ng desisyon ng korte tungkol sa paggamit ng pagsusuri sa mga legal na paglilitis.
Pagrepaso sa mga Umiiral na Rekord at Collateral na Impormasyon: Sa mga kaso kung saan hindi posible ang direktang pakikilahok sa pagsusuri, maaaring suriin ng mga propesyonal sa kalusugang pangkaisipan ang mga umiiral nang talaan, collateral na impormasyon, at input mula sa iba pang mga mapagkukunan upang mangalap ng may-katuturang data at mga insight sa kalagayan at pangangailangan ng kalusugan ng isip ng nasasakdal. .
Sa pangkalahatan, ang layunin ay balansehin ang pangangailangan para sa isang masusing pagsusuri sa mga karapatan at awtonomiya ng indibidwal, na tinitiyak na ang proseso ng pagsusuri ay isinasagawa sa isang patas, magalang, at legal na maayos na paraan.</v>
      </c>
      <c r="F2559" s="2">
        <f t="shared" si="1"/>
        <v>0</v>
      </c>
      <c r="G2559" s="2"/>
      <c r="H2559" s="2"/>
      <c r="I2559" s="2"/>
      <c r="J2559" s="2"/>
      <c r="K2559" s="2"/>
      <c r="L2559" s="2"/>
      <c r="M2559" s="2"/>
      <c r="N2559" s="2"/>
      <c r="O2559" s="2"/>
      <c r="P2559" s="2"/>
      <c r="Q2559" s="2"/>
      <c r="R2559" s="2"/>
      <c r="S2559" s="2"/>
      <c r="T2559" s="2"/>
      <c r="U2559" s="2"/>
      <c r="V2559" s="2"/>
      <c r="W2559" s="2"/>
      <c r="X2559" s="2"/>
      <c r="Y2559" s="2"/>
      <c r="Z2559" s="2"/>
      <c r="AA2559" s="2"/>
    </row>
    <row r="2560">
      <c r="A2560" s="1" t="s">
        <v>5971</v>
      </c>
      <c r="B2560" s="1" t="s">
        <v>6088</v>
      </c>
      <c r="C2560" s="1" t="s">
        <v>6089</v>
      </c>
      <c r="D2560" s="2" t="str">
        <f>IFERROR(__xludf.DUMMYFUNCTION("GOOGLETRANSLATE(B2560, ""en"", ""TL"")"),"Ang isang tagausig ay naghahanda upang ipakita ang psychiatric na ebidensya sa isang paglilitis. Anong mga legal na pagsasaalang-alang ang dapat gumabay sa paglalahad ng ebidensyang ito upang matiyak ang pagiging patas at katumpakan?")</f>
        <v>Ang isang tagausig ay naghahanda upang ipakita ang psychiatric na ebidensya sa isang paglilitis. Anong mga legal na pagsasaalang-alang ang dapat gumabay sa paglalahad ng ebidensyang ito upang matiyak ang pagiging patas at katumpakan?</v>
      </c>
      <c r="E2560" s="2" t="str">
        <f>IFERROR(__xludf.DUMMYFUNCTION("GOOGLETRANSLATE(C2560, ""en"", ""TL"")"),"Sa pagpapakita ng psychiatric na ebidensya sa isang paglilitis sa Pilipinas, ang mga tagausig ay dapat sumunod sa mga legal na pagsasaalang-alang upang matiyak ang pagiging patas at katumpakan. Narito ang mga pangunahing legal na pagsasaalang-alang na dap"&amp;"at gumabay sa pagtatanghal ng psychiatric na ebidensya:
Pagtanggap ng Ebidensya: Tiyakin na ang psychiatric na ebidensya na iniharap ay tinatanggap sa ilalim ng mga tuntunin ng ebidensya sa Pilipinas. Ang ebidensya ay dapat na may kaugnayan sa mga isyu sa"&amp;" kaso, maaasahan, at nakuha sa pamamagitan ng legal na pinahihintulutang paraan.
Mga Kwalipikadong Eksperto: Magpakita lamang ng psychiatric na ebidensya mula sa mga kwalipikadong propesyonal sa kalusugan ng isip, tulad ng mga psychiatrist o psychologist,"&amp;" na may kinakailangang pagsasanay, kadalubhasaan, at mga kredensyal upang magbigay ng maaasahang mga opinyon sa mga isyu sa kalusugan ng isip. Ang kredibilidad at mga kwalipikasyon ng ekspertong saksi ay dapat na maitatag sa harap ng korte.
Batayan para s"&amp;"a Opinyon: Atasan ang ekspertong saksi na magbigay ng malinaw at masusing pagpapaliwanag ng batayan para sa kanilang psychiatric na opinyon, kabilang ang mga pamamaraang ginamit, ang data na isinasaalang-alang, at ang pangangatwiran sa likod ng kanilang m"&amp;"ga konklusyon. Ang ebidensya ay dapat na nakabatay sa mahusay na mga prinsipyong pang-agham at suportado ng nauugnay na pananaliksik at klinikal na ebidensya.
Patas na Pagtatanghal: Magpakita ng psychiatric na ebidensya sa isang patas at balanseng paraan,"&amp;" pag-iwas sa anumang mga pagtatangka na hindi patas na pagkiling sa hurado o linlangin ang hukuman. Ang ebidensiya ay dapat na iharap nang may layunin, nang walang pagmamalabis o pagbaluktot, upang matiyak ang isang patas na paglilitis para sa lahat ng pa"&amp;"rtidong kasangkot.
Cross-Examination: Payagan ang depensa ng pagkakataon na suriin ang ekspertong saksi sa kanilang mga opinyon sa saykayatriko at sa ebidensyang sumusuporta sa kanila. Tinitiyak nito na ang pagiging maaasahan at kredibilidad ng psychiatri"&amp;"c na ebidensya ay masusing sinusuri at sinusuri ng magkabilang panig.
Kaugnayan at Probative Value: Tiyakin na ang psychiatric na ebidensya na ipinakita ay may kaugnayan sa mga isyu sa kaso at may probative value sa pagtulong sa korte na magkaroon ng maka"&amp;"tarungang desisyon. Ang hindi nauugnay o haka-haka na psychiatric na ebidensya ay dapat na ibukod upang maiwasan ang pagkalito at pagkiling.
Mga Limitasyon at Kawalang-katiyakan: Kilalanin ang anumang mga limitasyon o kawalan ng katiyakan na nauugnay sa p"&amp;"sychiatric na ebidensya, kabilang ang posibilidad ng mga diagnostic error, magkakaibang mga propesyonal na opinyon, o hindi kumpletong impormasyon. Ang mga tagausig ay dapat maging malinaw tungkol sa mga kalakasan at kahinaan ng mga ebidensyang ipinakita."&amp;"
Mga Tagubilin sa Jury: Magbigay ng malinaw at tumpak na mga tagubilin ng hurado tungkol sa papel ng psychiatric na ebidensya sa paglilitis, ang bigat na ibibigay sa mga opinyon ng eksperto, at ang kaugnayan ng mga isyu sa kalusugan ng isip sa mga legal n"&amp;"a isyu sa kamay. Nakakatulong ito na matiyak na wastong isaalang-alang ng mga hurado ang psychiatric na ebidensya sa kanilang mga deliberasyon.
Sa pamamagitan ng pagsunod sa mga legal na pagsasaalang-alang na ito, ang mga tagausig ay maaaring magpakita ng"&amp;" psychiatric na ebidensya sa paraang nagtataguyod ng pagiging patas, katumpakan, at pagiging maaasahan sa mga paglilitis sa krimen sa Pilipinas.")</f>
        <v>Sa pagpapakita ng psychiatric na ebidensya sa isang paglilitis sa Pilipinas, ang mga tagausig ay dapat sumunod sa mga legal na pagsasaalang-alang upang matiyak ang pagiging patas at katumpakan. Narito ang mga pangunahing legal na pagsasaalang-alang na dapat gumabay sa pagtatanghal ng psychiatric na ebidensya:
Pagtanggap ng Ebidensya: Tiyakin na ang psychiatric na ebidensya na iniharap ay tinatanggap sa ilalim ng mga tuntunin ng ebidensya sa Pilipinas. Ang ebidensya ay dapat na may kaugnayan sa mga isyu sa kaso, maaasahan, at nakuha sa pamamagitan ng legal na pinahihintulutang paraan.
Mga Kwalipikadong Eksperto: Magpakita lamang ng psychiatric na ebidensya mula sa mga kwalipikadong propesyonal sa kalusugan ng isip, tulad ng mga psychiatrist o psychologist, na may kinakailangang pagsasanay, kadalubhasaan, at mga kredensyal upang magbigay ng maaasahang mga opinyon sa mga isyu sa kalusugan ng isip. Ang kredibilidad at mga kwalipikasyon ng ekspertong saksi ay dapat na maitatag sa harap ng korte.
Batayan para sa Opinyon: Atasan ang ekspertong saksi na magbigay ng malinaw at masusing pagpapaliwanag ng batayan para sa kanilang psychiatric na opinyon, kabilang ang mga pamamaraang ginamit, ang data na isinasaalang-alang, at ang pangangatwiran sa likod ng kanilang mga konklusyon. Ang ebidensya ay dapat na nakabatay sa mahusay na mga prinsipyong pang-agham at suportado ng nauugnay na pananaliksik at klinikal na ebidensya.
Patas na Pagtatanghal: Magpakita ng psychiatric na ebidensya sa isang patas at balanseng paraan, pag-iwas sa anumang mga pagtatangka na hindi patas na pagkiling sa hurado o linlangin ang hukuman. Ang ebidensiya ay dapat na iharap nang may layunin, nang walang pagmamalabis o pagbaluktot, upang matiyak ang isang patas na paglilitis para sa lahat ng partidong kasangkot.
Cross-Examination: Payagan ang depensa ng pagkakataon na suriin ang ekspertong saksi sa kanilang mga opinyon sa saykayatriko at sa ebidensyang sumusuporta sa kanila. Tinitiyak nito na ang pagiging maaasahan at kredibilidad ng psychiatric na ebidensya ay masusing sinusuri at sinusuri ng magkabilang panig.
Kaugnayan at Probative Value: Tiyakin na ang psychiatric na ebidensya na ipinakita ay may kaugnayan sa mga isyu sa kaso at may probative value sa pagtulong sa korte na magkaroon ng makatarungang desisyon. Ang hindi nauugnay o haka-haka na psychiatric na ebidensya ay dapat na ibukod upang maiwasan ang pagkalito at pagkiling.
Mga Limitasyon at Kawalang-katiyakan: Kilalanin ang anumang mga limitasyon o kawalan ng katiyakan na nauugnay sa psychiatric na ebidensya, kabilang ang posibilidad ng mga diagnostic error, magkakaibang mga propesyonal na opinyon, o hindi kumpletong impormasyon. Ang mga tagausig ay dapat maging malinaw tungkol sa mga kalakasan at kahinaan ng mga ebidensyang ipinakita.
Mga Tagubilin sa Jury: Magbigay ng malinaw at tumpak na mga tagubilin ng hurado tungkol sa papel ng psychiatric na ebidensya sa paglilitis, ang bigat na ibibigay sa mga opinyon ng eksperto, at ang kaugnayan ng mga isyu sa kalusugan ng isip sa mga legal na isyu sa kamay. Nakakatulong ito na matiyak na wastong isaalang-alang ng mga hurado ang psychiatric na ebidensya sa kanilang mga deliberasyon.
Sa pamamagitan ng pagsunod sa mga legal na pagsasaalang-alang na ito, ang mga tagausig ay maaaring magpakita ng psychiatric na ebidensya sa paraang nagtataguyod ng pagiging patas, katumpakan, at pagiging maaasahan sa mga paglilitis sa krimen sa Pilipinas.</v>
      </c>
      <c r="F2560" s="2">
        <f t="shared" si="1"/>
        <v>0</v>
      </c>
      <c r="G2560" s="2"/>
      <c r="H2560" s="2"/>
      <c r="I2560" s="2"/>
      <c r="J2560" s="2"/>
      <c r="K2560" s="2"/>
      <c r="L2560" s="2"/>
      <c r="M2560" s="2"/>
      <c r="N2560" s="2"/>
      <c r="O2560" s="2"/>
      <c r="P2560" s="2"/>
      <c r="Q2560" s="2"/>
      <c r="R2560" s="2"/>
      <c r="S2560" s="2"/>
      <c r="T2560" s="2"/>
      <c r="U2560" s="2"/>
      <c r="V2560" s="2"/>
      <c r="W2560" s="2"/>
      <c r="X2560" s="2"/>
      <c r="Y2560" s="2"/>
      <c r="Z2560" s="2"/>
      <c r="AA2560" s="2"/>
    </row>
    <row r="2561">
      <c r="A2561" s="1" t="s">
        <v>5971</v>
      </c>
      <c r="B2561" s="1" t="s">
        <v>6090</v>
      </c>
      <c r="C2561" s="1" t="s">
        <v>6091</v>
      </c>
      <c r="D2561" s="2" t="str">
        <f>IFERROR(__xludf.DUMMYFUNCTION("GOOGLETRANSLATE(B2561, ""en"", ""TL"")"),"Ang isang nasasakdal ay napatunayang hindi mananagot sa krimen dahil sa isang sakit sa isip. Anong mga legal na hakbang ang maaaring gawin upang matiyak ang kaligtasan ng publiko habang tinutugunan ang mga pangangailangan sa kalusugan ng isip ng indibidwa"&amp;"l?")</f>
        <v>Ang isang nasasakdal ay napatunayang hindi mananagot sa krimen dahil sa isang sakit sa isip. Anong mga legal na hakbang ang maaaring gawin upang matiyak ang kaligtasan ng publiko habang tinutugunan ang mga pangangailangan sa kalusugan ng isip ng indibidwal?</v>
      </c>
      <c r="E2561" s="2" t="str">
        <f>IFERROR(__xludf.DUMMYFUNCTION("GOOGLETRANSLATE(C2561, ""en"", ""TL"")"),"Kapag ang nasasakdal ay napatunayang hindi kriminal ang pananagutan dahil sa isang sakit na psychiatric sa Pilipinas, nangangahulugan ito na hindi sila ganap na mapapanagot sa kanilang mga aksyon dahil sa kanilang kalagayan sa kalusugan ng isip. Sa ganito"&amp;"ng mga kaso, mahalagang balansehin ang kaligtasan ng publiko sa pagtugon sa mga pangangailangan sa kalusugan ng isip ng indibidwal. Narito ang ilang legal na hakbang na maaaring gawin upang makamit ang balanseng ito:
Psychiatric Evaluation at Plano ng "&amp;"Paggamot: Kasunod ng pagpapasiya ng hindi pagiging responsableng kriminal, ang hukuman ay maaaring mag-utos ng isang komprehensibong pagsusuri sa saykayatriko upang masuri ang kalagayan ng kalusugan ng isip ng indibidwal at bumuo ng isang plano sa paggamo"&amp;"t na naaayon sa kanilang mga pangangailangan. Maaaring kabilang dito ang gamot, therapy, pagpapayo, at iba pang mga interbensyon na naglalayong patatagin ang kanilang kondisyon.
Hindi Kusang-loob na Pangako sa Pasilidad ng Kalusugan ng Pag-iisip: Kung "&amp;"ang indibidwal ay nagdudulot ng panganib sa kanilang sarili o sa iba dahil sa kanilang sakit sa pag-iisip, maaaring ipag-utos ng korte ang kanilang di-boluntaryong pangako sa isang ligtas na pasilidad sa kalusugan ng isip para sa paggamot at rehabilitasyo"&amp;"n. Tinitiyak nito na natatanggap nila ang kinakailangang pangangalaga at pangangasiwa habang pinoprotektahan ang kaligtasan ng publiko.
Kondisyonal na Pagpapalabas na may Pangangasiwa: Sa mga kaso kung saan bumuti ang kalagayan ng kalusugan ng isip ng "&amp;"indibidwal at hindi na sila nagdudulot ng malaking panganib sa kaligtasan ng publiko, maaaring isaalang-alang ng hukuman ang kondisyonal na pagpapalaya na may pangangasiwa. Maaaring kabilang dito ang regular na pagsubaybay ng mga propesyonal sa kalusugan "&amp;"ng isip, pagsunod sa mga plano sa paggamot, at iba pang kundisyon na naglalayong tiyakin ang kaligtasan ng publiko habang sinusuportahan ang muling pagsasama ng indibidwal sa lipunan.
Mga Kautusan sa Paggamot sa Komunidad: Maaaring maglabas ang hukuman"&amp;" ng mga utos sa paggamot sa komunidad na nangangailangan ng indibidwal na sumailalim sa paggamot sa kalusugan ng isip habang naninirahan sa komunidad sa ilalim ng pangangasiwa. Ito ay nagpapahintulot sa kanila na makatanggap ng kinakailangang pangangalaga"&amp;" habang nananatili sa kanilang komunidad, basta't sumunod sila sa paggamot at iba pang mga kundisyong itinakda ng korte.
Pagtatasa ng Panganib at Mga Plano sa Pamamahala: Ang mga propesyonal sa kalusugang pangkaisipan at mga eksperto sa forensic ay maa"&amp;"aring magsagawa ng mga pagtatasa ng panganib upang suriin ang posibilidad ng indibidwal na muling makakasala at bumuo ng mga plano sa pamamahala upang mabawasan ang mga potensyal na panganib. Maaaring kabilang dito ang patuloy na pagsubaybay, suporta, at "&amp;"mga interbensyon na naglalayong bawasan ang panganib ng pinsala sa indibidwal at komunidad.
Pakikipagtulungan sa Mga Ahensya ng Pagpapatupad ng Batas at Mental Health: Magtatag ng pakikipagtulungan sa pagitan ng mga ahensyang nagpapatupad ng batas, mga"&amp;" propesyonal sa kalusugan ng isip, at mga organisasyon ng komunidad upang matiyak ang magkakaugnay na pagsisikap sa pamamahala sa mga pangangailangan sa kalusugan ng isip ng indibidwal at pagtugon sa mga alalahanin sa kaligtasan ng publiko. Kabilang dito "&amp;"ang pagbabahagi ng impormasyon, pag-uugnay ng mga interbensyon, at pagbibigay ng mga serbisyo ng suporta kung kinakailangan.
Regular na Pagsusuri at Pagsubaybay: Magpatupad ng mga mekanismo para sa regular na pagsusuri at pagsubaybay sa kalagayan ng ka"&amp;"lusugan ng isip ng indibidwal, pag-unlad ng paggamot, at antas ng panganib. Nagbibigay-daan ito para sa mga pagsasaayos na gawin sa kanilang mga plano sa paggamot at pangangasiwa kung kinakailangan upang matiyak ang patuloy na kaligtasan ng publiko at sup"&amp;"orta para sa kanilang mga pangangailangan sa kalusugan ng isip.
Sa pamamagitan ng pagpapatupad ng mga legal na hakbang na ito, masisiguro ng Pilipinas ang kaligtasan ng publiko habang tinutugunan ang mga pangangailangan sa kalusugan ng isip ng mga indi"&amp;"bidwal na napatunayang hindi responsableng kriminal dahil sa sakit na psychiatric, nagtataguyod ng kanilang rehabilitasyon at matagumpay na muling pagsasama sa lipunan.")</f>
        <v>Kapag ang nasasakdal ay napatunayang hindi kriminal ang pananagutan dahil sa isang sakit na psychiatric sa Pilipinas, nangangahulugan ito na hindi sila ganap na mapapanagot sa kanilang mga aksyon dahil sa kanilang kalagayan sa kalusugan ng isip. Sa ganitong mga kaso, mahalagang balansehin ang kaligtasan ng publiko sa pagtugon sa mga pangangailangan sa kalusugan ng isip ng indibidwal. Narito ang ilang legal na hakbang na maaaring gawin upang makamit ang balanseng ito:
Psychiatric Evaluation at Plano ng Paggamot: Kasunod ng pagpapasiya ng hindi pagiging responsableng kriminal, ang hukuman ay maaaring mag-utos ng isang komprehensibong pagsusuri sa saykayatriko upang masuri ang kalagayan ng kalusugan ng isip ng indibidwal at bumuo ng isang plano sa paggamot na naaayon sa kanilang mga pangangailangan. Maaaring kabilang dito ang gamot, therapy, pagpapayo, at iba pang mga interbensyon na naglalayong patatagin ang kanilang kondisyon.
Hindi Kusang-loob na Pangako sa Pasilidad ng Kalusugan ng Pag-iisip: Kung ang indibidwal ay nagdudulot ng panganib sa kanilang sarili o sa iba dahil sa kanilang sakit sa pag-iisip, maaaring ipag-utos ng korte ang kanilang di-boluntaryong pangako sa isang ligtas na pasilidad sa kalusugan ng isip para sa paggamot at rehabilitasyon. Tinitiyak nito na natatanggap nila ang kinakailangang pangangalaga at pangangasiwa habang pinoprotektahan ang kaligtasan ng publiko.
Kondisyonal na Pagpapalabas na may Pangangasiwa: Sa mga kaso kung saan bumuti ang kalagayan ng kalusugan ng isip ng indibidwal at hindi na sila nagdudulot ng malaking panganib sa kaligtasan ng publiko, maaaring isaalang-alang ng hukuman ang kondisyonal na pagpapalaya na may pangangasiwa. Maaaring kabilang dito ang regular na pagsubaybay ng mga propesyonal sa kalusugan ng isip, pagsunod sa mga plano sa paggamot, at iba pang kundisyon na naglalayong tiyakin ang kaligtasan ng publiko habang sinusuportahan ang muling pagsasama ng indibidwal sa lipunan.
Mga Kautusan sa Paggamot sa Komunidad: Maaaring maglabas ang hukuman ng mga utos sa paggamot sa komunidad na nangangailangan ng indibidwal na sumailalim sa paggamot sa kalusugan ng isip habang naninirahan sa komunidad sa ilalim ng pangangasiwa. Ito ay nagpapahintulot sa kanila na makatanggap ng kinakailangang pangangalaga habang nananatili sa kanilang komunidad, basta't sumunod sila sa paggamot at iba pang mga kundisyong itinakda ng korte.
Pagtatasa ng Panganib at Mga Plano sa Pamamahala: Ang mga propesyonal sa kalusugang pangkaisipan at mga eksperto sa forensic ay maaaring magsagawa ng mga pagtatasa ng panganib upang suriin ang posibilidad ng indibidwal na muling makakasala at bumuo ng mga plano sa pamamahala upang mabawasan ang mga potensyal na panganib. Maaaring kabilang dito ang patuloy na pagsubaybay, suporta, at mga interbensyon na naglalayong bawasan ang panganib ng pinsala sa indibidwal at komunidad.
Pakikipagtulungan sa Mga Ahensya ng Pagpapatupad ng Batas at Mental Health: Magtatag ng pakikipagtulungan sa pagitan ng mga ahensyang nagpapatupad ng batas, mga propesyonal sa kalusugan ng isip, at mga organisasyon ng komunidad upang matiyak ang magkakaugnay na pagsisikap sa pamamahala sa mga pangangailangan sa kalusugan ng isip ng indibidwal at pagtugon sa mga alalahanin sa kaligtasan ng publiko. Kabilang dito ang pagbabahagi ng impormasyon, pag-uugnay ng mga interbensyon, at pagbibigay ng mga serbisyo ng suporta kung kinakailangan.
Regular na Pagsusuri at Pagsubaybay: Magpatupad ng mga mekanismo para sa regular na pagsusuri at pagsubaybay sa kalagayan ng kalusugan ng isip ng indibidwal, pag-unlad ng paggamot, at antas ng panganib. Nagbibigay-daan ito para sa mga pagsasaayos na gawin sa kanilang mga plano sa paggamot at pangangasiwa kung kinakailangan upang matiyak ang patuloy na kaligtasan ng publiko at suporta para sa kanilang mga pangangailangan sa kalusugan ng isip.
Sa pamamagitan ng pagpapatupad ng mga legal na hakbang na ito, masisiguro ng Pilipinas ang kaligtasan ng publiko habang tinutugunan ang mga pangangailangan sa kalusugan ng isip ng mga indibidwal na napatunayang hindi responsableng kriminal dahil sa sakit na psychiatric, nagtataguyod ng kanilang rehabilitasyon at matagumpay na muling pagsasama sa lipunan.</v>
      </c>
      <c r="F2561" s="2">
        <f t="shared" si="1"/>
        <v>0</v>
      </c>
      <c r="G2561" s="2"/>
      <c r="H2561" s="2"/>
      <c r="I2561" s="2"/>
      <c r="J2561" s="2"/>
      <c r="K2561" s="2"/>
      <c r="L2561" s="2"/>
      <c r="M2561" s="2"/>
      <c r="N2561" s="2"/>
      <c r="O2561" s="2"/>
      <c r="P2561" s="2"/>
      <c r="Q2561" s="2"/>
      <c r="R2561" s="2"/>
      <c r="S2561" s="2"/>
      <c r="T2561" s="2"/>
      <c r="U2561" s="2"/>
      <c r="V2561" s="2"/>
      <c r="W2561" s="2"/>
      <c r="X2561" s="2"/>
      <c r="Y2561" s="2"/>
      <c r="Z2561" s="2"/>
      <c r="AA2561" s="2"/>
    </row>
    <row r="2562">
      <c r="A2562" s="1" t="s">
        <v>5971</v>
      </c>
      <c r="B2562" s="1" t="s">
        <v>6092</v>
      </c>
      <c r="C2562" s="1" t="s">
        <v>6093</v>
      </c>
      <c r="D2562" s="2" t="str">
        <f>IFERROR(__xludf.DUMMYFUNCTION("GOOGLETRANSLATE(B2562, ""en"", ""TL"")"),"Ang isang indibidwal na may sakit na psychiatric ay nahaharap sa mahabang sentensiya sa isang correctional facility. Anong mga legal na opsyon ang umiiral upang itaguyod ang alternatibong pagsentensiya o paggamot sa kalusugan ng isip?")</f>
        <v>Ang isang indibidwal na may sakit na psychiatric ay nahaharap sa mahabang sentensiya sa isang correctional facility. Anong mga legal na opsyon ang umiiral upang itaguyod ang alternatibong pagsentensiya o paggamot sa kalusugan ng isip?</v>
      </c>
      <c r="E2562" s="2" t="str">
        <f>IFERROR(__xludf.DUMMYFUNCTION("GOOGLETRANSLATE(C2562, ""en"", ""TL"")"),"Sa Pilipinas, may mga legal na opsyon na magagamit upang isulong ang alternatibong sentencing o mental health treatment para sa isang indibidwal na may sakit na psychiatric na nahaharap sa mahabang sentensiya sa isang correctional facility. Narito ang ila"&amp;"ng posibleng paraan:
Petition for Mitigation of Sentence: Ang legal na kinatawan ng indibidwal ay maaaring magpetisyon sa korte para sa pagpapagaan ng sentensiya batay sa kondisyon ng mental na kalusugan ng nasasakdal. Kabilang dito ang pagpapakita ng "&amp;"ebidensya ng sakit sa isip ng indibidwal, ang epekto nito sa kanilang pag-uugali, at ang potensyal para sa rehabilitasyon na may naaangkop na paggamot sa kalusugan ng isip.
Kahilingan para sa Psychiatric Evaluation at Assessment: Ang depensa ay maaarin"&amp;"g humiling ng komprehensibong psychiatric na pagsusuri at pagtatasa ng kalagayan ng kalusugan ng isip ng indibidwal. Ang pagsusuri ay maaaring magbigay ng ebidensya upang suportahan ang argumento para sa alternatibong pagsentensiya o paggamot sa kalusugan"&amp;" ng isip batay sa mga partikular na pangangailangan at kalagayan ng indibidwal.
Pagtataguyod para sa Mga Programa sa Paglilibang: Maaaring magsulong ang depensa para sa mga programang dibersiyon na nag-aalok ng mga alternatibo sa pagkakulong para sa mg"&amp;"a indibidwal na may mga sakit na psychiatric. Maaaring kabilang dito ang mga hukuman sa kalusugan ng isip, mga hukuman sa droga, o mga espesyal na programa sa paggamot na idinisenyo upang tugunan ang mga pinagbabatayan na isyu na nag-aambag sa pagkakasang"&amp;"kot ng indibidwal sa kriminal na pag-uugali.
Pakikipagtulungan sa Mental Health Professionals: Ang depensa ay maaaring makipagtulungan sa mga propesyonal sa kalusugan ng isip upang bumuo ng isang sentencing plan na nagbibigay-priyoridad sa mga panganga"&amp;"ilangan sa kalusugan ng isip ng indibidwal habang tinitiyak ang kaligtasan ng publiko. Maaaring kabilang dito ang pagmumungkahi ng isang plano sa paggamot na kinabibilangan ng pagpapayo sa kalusugan ng isip, pamamahala ng gamot, at iba pang mga interbensy"&amp;"on na naglalayong tugunan ang sakit na psychiatric ng indibidwal.
Mga Napagkasunduang Kasunduan sa Plea: Maaaring makipag-ayos ang depensa ng mga kasunduan sa plea sa prosekusyon na isinasaalang-alang ang kalagayan ng kalusugan ng pag-iisip ng indibidw"&amp;"al at nagtataguyod para sa mga alternatibong opsyon sa pagsentensiya, gaya ng probasyon, serbisyo sa komunidad, o paglahok sa mga programa sa paggamot sa kalusugan ng isip, bilang kapalit ng pagkakulong.
Apela para sa Compassionate Release o Parole: Ku"&amp;"ng ang indibidwal ay nagsisilbi na ng sentensiya sa isang correctional facility, ang depensa ay maaaring mag-apela para sa mahabagin na pagpapalaya o parol batay sa kanilang kalagayan sa kalusugan ng isip at ang pangangailangan para sa espesyal na paggamo"&amp;"t sa kalusugan ng isip sa labas ng sistema ng bilangguan.
Pagtataguyod para sa Mga Repormang Pambatasan: Ang mga pagsisikap sa pagtataguyod ay maaaring ituro sa mga repormang pambatas na naglalayong pahusayin ang pag-access sa paggamot sa kalusugan ng "&amp;"isip at suporta para sa mga indibidwal na sangkot sa sistema ng hustisyang kriminal. Ito ay maaaring may kasamang lobbying para sa pagbuo ng mga espesyal na hukuman sa kalusugan ng isip, mga programa sa paglilipat, o pagpopondo para sa mga serbisyo sa kal"&amp;"usugan ng isip sa mga pasilidad ng pagwawasto.
Sa pamamagitan ng pagsunod sa mga legal na opsyong ito, ang mga indibidwal na may mga sakit sa isip na nahaharap sa mahabang sentensiya sa mga pasilidad ng pagwawasto sa Pilipinas ay maaaring magsulong ng "&amp;"alternatibong pagsentensiya o paggamot sa kalusugan ng isip na isinasaalang-alang ang kanilang mga natatanging pangangailangan at kalagayan.")</f>
        <v>Sa Pilipinas, may mga legal na opsyon na magagamit upang isulong ang alternatibong sentencing o mental health treatment para sa isang indibidwal na may sakit na psychiatric na nahaharap sa mahabang sentensiya sa isang correctional facility. Narito ang ilang posibleng paraan:
Petition for Mitigation of Sentence: Ang legal na kinatawan ng indibidwal ay maaaring magpetisyon sa korte para sa pagpapagaan ng sentensiya batay sa kondisyon ng mental na kalusugan ng nasasakdal. Kabilang dito ang pagpapakita ng ebidensya ng sakit sa isip ng indibidwal, ang epekto nito sa kanilang pag-uugali, at ang potensyal para sa rehabilitasyon na may naaangkop na paggamot sa kalusugan ng isip.
Kahilingan para sa Psychiatric Evaluation at Assessment: Ang depensa ay maaaring humiling ng komprehensibong psychiatric na pagsusuri at pagtatasa ng kalagayan ng kalusugan ng isip ng indibidwal. Ang pagsusuri ay maaaring magbigay ng ebidensya upang suportahan ang argumento para sa alternatibong pagsentensiya o paggamot sa kalusugan ng isip batay sa mga partikular na pangangailangan at kalagayan ng indibidwal.
Pagtataguyod para sa Mga Programa sa Paglilibang: Maaaring magsulong ang depensa para sa mga programang dibersiyon na nag-aalok ng mga alternatibo sa pagkakulong para sa mga indibidwal na may mga sakit na psychiatric. Maaaring kabilang dito ang mga hukuman sa kalusugan ng isip, mga hukuman sa droga, o mga espesyal na programa sa paggamot na idinisenyo upang tugunan ang mga pinagbabatayan na isyu na nag-aambag sa pagkakasangkot ng indibidwal sa kriminal na pag-uugali.
Pakikipagtulungan sa Mental Health Professionals: Ang depensa ay maaaring makipagtulungan sa mga propesyonal sa kalusugan ng isip upang bumuo ng isang sentencing plan na nagbibigay-priyoridad sa mga pangangailangan sa kalusugan ng isip ng indibidwal habang tinitiyak ang kaligtasan ng publiko. Maaaring kabilang dito ang pagmumungkahi ng isang plano sa paggamot na kinabibilangan ng pagpapayo sa kalusugan ng isip, pamamahala ng gamot, at iba pang mga interbensyon na naglalayong tugunan ang sakit na psychiatric ng indibidwal.
Mga Napagkasunduang Kasunduan sa Plea: Maaaring makipag-ayos ang depensa ng mga kasunduan sa plea sa prosekusyon na isinasaalang-alang ang kalagayan ng kalusugan ng pag-iisip ng indibidwal at nagtataguyod para sa mga alternatibong opsyon sa pagsentensiya, gaya ng probasyon, serbisyo sa komunidad, o paglahok sa mga programa sa paggamot sa kalusugan ng isip, bilang kapalit ng pagkakulong.
Apela para sa Compassionate Release o Parole: Kung ang indibidwal ay nagsisilbi na ng sentensiya sa isang correctional facility, ang depensa ay maaaring mag-apela para sa mahabagin na pagpapalaya o parol batay sa kanilang kalagayan sa kalusugan ng isip at ang pangangailangan para sa espesyal na paggamot sa kalusugan ng isip sa labas ng sistema ng bilangguan.
Pagtataguyod para sa Mga Repormang Pambatasan: Ang mga pagsisikap sa pagtataguyod ay maaaring ituro sa mga repormang pambatas na naglalayong pahusayin ang pag-access sa paggamot sa kalusugan ng isip at suporta para sa mga indibidwal na sangkot sa sistema ng hustisyang kriminal. Ito ay maaaring may kasamang lobbying para sa pagbuo ng mga espesyal na hukuman sa kalusugan ng isip, mga programa sa paglilipat, o pagpopondo para sa mga serbisyo sa kalusugan ng isip sa mga pasilidad ng pagwawasto.
Sa pamamagitan ng pagsunod sa mga legal na opsyong ito, ang mga indibidwal na may mga sakit sa isip na nahaharap sa mahabang sentensiya sa mga pasilidad ng pagwawasto sa Pilipinas ay maaaring magsulong ng alternatibong pagsentensiya o paggamot sa kalusugan ng isip na isinasaalang-alang ang kanilang mga natatanging pangangailangan at kalagayan.</v>
      </c>
      <c r="F2562" s="2">
        <f t="shared" si="1"/>
        <v>0</v>
      </c>
      <c r="G2562" s="2"/>
      <c r="H2562" s="2"/>
      <c r="I2562" s="2"/>
      <c r="J2562" s="2"/>
      <c r="K2562" s="2"/>
      <c r="L2562" s="2"/>
      <c r="M2562" s="2"/>
      <c r="N2562" s="2"/>
      <c r="O2562" s="2"/>
      <c r="P2562" s="2"/>
      <c r="Q2562" s="2"/>
      <c r="R2562" s="2"/>
      <c r="S2562" s="2"/>
      <c r="T2562" s="2"/>
      <c r="U2562" s="2"/>
      <c r="V2562" s="2"/>
      <c r="W2562" s="2"/>
      <c r="X2562" s="2"/>
      <c r="Y2562" s="2"/>
      <c r="Z2562" s="2"/>
      <c r="AA2562" s="2"/>
    </row>
    <row r="2563">
      <c r="A2563" s="1" t="s">
        <v>5971</v>
      </c>
      <c r="B2563" s="1" t="s">
        <v>6094</v>
      </c>
      <c r="C2563" s="1" t="s">
        <v>6095</v>
      </c>
      <c r="D2563" s="2" t="str">
        <f>IFERROR(__xludf.DUMMYFUNCTION("GOOGLETRANSLATE(B2563, ""en"", ""TL"")"),"Ang isang pasilidad ng pagwawasto ay nakikitungo sa isang mataas na bilang ng mga bilanggo na may mga sakit na psychiatric. Anong mga legal na hakbang ang maaaring ipatupad upang matugunan ang mga natatanging pangangailangan ng populasyon na ito?")</f>
        <v>Ang isang pasilidad ng pagwawasto ay nakikitungo sa isang mataas na bilang ng mga bilanggo na may mga sakit na psychiatric. Anong mga legal na hakbang ang maaaring ipatupad upang matugunan ang mga natatanging pangangailangan ng populasyon na ito?</v>
      </c>
      <c r="E2563" s="2" t="str">
        <f>IFERROR(__xludf.DUMMYFUNCTION("GOOGLETRANSLATE(C2563, ""en"", ""TL"")"),"Sa pagtugon sa mga natatanging pangangailangan ng mga bilanggo na may mga sakit na psychiatric sa mga correctional facility sa Pilipinas, maaaring ipatupad ang ilang mga legal na hakbang upang matiyak na ang kanilang mga karapatan ay protektado at ang kan"&amp;"ilang mga pangangailangan sa kalusugan ng isip ay angkop na matugunan. Narito ang ilang pangunahing hakbang:
Pagsusuri at Pagsusuri: Magpatupad ng mga komprehensibong pamamaraan ng pagsusuri at pagtatasa upang matukoy ang mga bilanggo na may mga sakit "&amp;"sa isip kapag nakapasok sa pasilidad ng pagwawasto. Kabilang dito ang mga pagsusuri sa kalusugan ng isip na isinasagawa ng mga kwalipikadong propesyonal upang matukoy ang mga indibidwal na nangangailangan ng espesyal na pangangalaga sa kalusugan ng isip.
"&amp;"
Access sa Mental Health Services: Tiyakin na ang mga bilanggo na may mga sakit sa isip ay may access sa sapat na mga serbisyo sa kalusugan ng isip sa loob ng correctional facility. Kabilang dito ang pagbibigay ng mga pagsusuri sa saykayatriko, pamamaha"&amp;"la ng gamot, psychotherapy, pagpapayo, at iba pang mga interbensyon sa kalusugan ng isip na iniayon sa kanilang mga indibidwal na pangangailangan.
Mga Espesyal na Yunit ng Kalusugan ng Pag-iisip: Magtatag ng mga espesyal na yunit ng kalusugan ng isip s"&amp;"a loob ng mga pasilidad ng pagwawasto upang magbigay ng masinsinang pangangalaga at paggamot para sa mga bilanggo na may malubhang sakit sa isip. Ang mga yunit na ito ay dapat na may tauhan ng sinanay na mga propesyonal sa kalusugang pangkaisipan at nilag"&amp;"yan upang matugunan ang mga natatanging pangangailangan ng populasyon na ito.
Pagsasanay para sa Correctional Staff: Magbigay ng pagsasanay at edukasyon para sa correctional staff kung paano epektibong makipag-ugnayan at suportahan ang mga bilanggo na "&amp;"may mga sakit sa isip. Kabilang dito ang pagsasanay sa mga diskarte sa de-escalation, interbensyon sa krisis, at pagkilala sa mga palatandaan ng pagkabalisa sa isip.
Pagsasama ng Mental Health sa Mga Programa sa Rehabilitasyon: Isama ang mga bahagi ng "&amp;"kalusugan ng isip sa mga programa ng rehabilitasyon at mga serbisyong inaalok sa loob ng mga pasilidad ng pagwawasto. Kabilang dito ang pagtugon sa mga isyu sa kalusugan ng isip bilang bahagi ng pagpaplano ng muling pagsasama at pagbibigay ng suporta para"&amp;" sa mga bilanggo na lumipat pabalik sa komunidad.
Pakikipagtulungan sa mga External Mental Health Provider: Magtatag ng mga pakikipagtulungan at pakikipagtulungan sa mga panlabas na tagapagbigay ng kalusugang pangkaisipan, kabilang ang mga sentro ng ka"&amp;"lusugang pangkaisipan ng komunidad at mga psychiatric na ospital, upang matiyak ang pagpapatuloy ng pangangalaga para sa mga bilanggo na may mga sakit sa isip. Maaaring kabilang dito ang pagpapadali sa mga referral para sa espesyal na pangangalaga at pag-"&amp;"uugnay ng mga plano sa paggamot sa pagitan ng correctional at mga serbisyo sa kalusugan ng isip na nakabatay sa komunidad.
Pagsubaybay at Pangangasiwa: Magpatupad ng mga mekanismo para sa pagsubaybay at pangangasiwa upang matiyak na ang mga karapatan n"&amp;"g mga bilanggo na may mga sakit sa isip ay protektado at na sila ay tumatanggap ng naaangkop na pangangalaga at paggamot. Maaaring kabilang dito ang mga regular na pagsusuri ng mga serbisyo sa kalusugan ng isip, pagsunod sa mga protocol ng paggamot, at pa"&amp;"gtugon sa anumang mga alalahanin o reklamo na ibinangon ng mga bilanggo o kanilang mga tagapagtaguyod.
Pagtataguyod at Pagbuo ng Patakaran: Tagapagtaguyod para sa pagbuo at pagpapatupad ng mga patakaran at batas na nagbibigay-priyoridad sa mga panganga"&amp;"ilangan sa kalusugan ng isip ng mga bilanggo sa loob ng mga pasilidad ng pagwawasto. Kabilang dito ang pagtataguyod para sa sapat na pagpopondo, kawani, at mga mapagkukunan upang suportahan ang mga serbisyo sa kalusugan ng isip para sa populasyon na ito.
"&amp;"
Sa pamamagitan ng pagpapatupad ng mga legal na hakbang na ito, mas matutugunan ng mga correctional facility sa Pilipinas ang mga natatanging pangangailangan ng mga bilanggo na may mga sakit na psychiatric at itaguyod ang kanilang kagalingan habang tini"&amp;"tiyak ang kaligtasan at seguridad ng publiko.")</f>
        <v>Sa pagtugon sa mga natatanging pangangailangan ng mga bilanggo na may mga sakit na psychiatric sa mga correctional facility sa Pilipinas, maaaring ipatupad ang ilang mga legal na hakbang upang matiyak na ang kanilang mga karapatan ay protektado at ang kanilang mga pangangailangan sa kalusugan ng isip ay angkop na matugunan. Narito ang ilang pangunahing hakbang:
Pagsusuri at Pagsusuri: Magpatupad ng mga komprehensibong pamamaraan ng pagsusuri at pagtatasa upang matukoy ang mga bilanggo na may mga sakit sa isip kapag nakapasok sa pasilidad ng pagwawasto. Kabilang dito ang mga pagsusuri sa kalusugan ng isip na isinasagawa ng mga kwalipikadong propesyonal upang matukoy ang mga indibidwal na nangangailangan ng espesyal na pangangalaga sa kalusugan ng isip.
Access sa Mental Health Services: Tiyakin na ang mga bilanggo na may mga sakit sa isip ay may access sa sapat na mga serbisyo sa kalusugan ng isip sa loob ng correctional facility. Kabilang dito ang pagbibigay ng mga pagsusuri sa saykayatriko, pamamahala ng gamot, psychotherapy, pagpapayo, at iba pang mga interbensyon sa kalusugan ng isip na iniayon sa kanilang mga indibidwal na pangangailangan.
Mga Espesyal na Yunit ng Kalusugan ng Pag-iisip: Magtatag ng mga espesyal na yunit ng kalusugan ng isip sa loob ng mga pasilidad ng pagwawasto upang magbigay ng masinsinang pangangalaga at paggamot para sa mga bilanggo na may malubhang sakit sa isip. Ang mga yunit na ito ay dapat na may tauhan ng sinanay na mga propesyonal sa kalusugang pangkaisipan at nilagyan upang matugunan ang mga natatanging pangangailangan ng populasyon na ito.
Pagsasanay para sa Correctional Staff: Magbigay ng pagsasanay at edukasyon para sa correctional staff kung paano epektibong makipag-ugnayan at suportahan ang mga bilanggo na may mga sakit sa isip. Kabilang dito ang pagsasanay sa mga diskarte sa de-escalation, interbensyon sa krisis, at pagkilala sa mga palatandaan ng pagkabalisa sa isip.
Pagsasama ng Mental Health sa Mga Programa sa Rehabilitasyon: Isama ang mga bahagi ng kalusugan ng isip sa mga programa ng rehabilitasyon at mga serbisyong inaalok sa loob ng mga pasilidad ng pagwawasto. Kabilang dito ang pagtugon sa mga isyu sa kalusugan ng isip bilang bahagi ng pagpaplano ng muling pagsasama at pagbibigay ng suporta para sa mga bilanggo na lumipat pabalik sa komunidad.
Pakikipagtulungan sa mga External Mental Health Provider: Magtatag ng mga pakikipagtulungan at pakikipagtulungan sa mga panlabas na tagapagbigay ng kalusugang pangkaisipan, kabilang ang mga sentro ng kalusugang pangkaisipan ng komunidad at mga psychiatric na ospital, upang matiyak ang pagpapatuloy ng pangangalaga para sa mga bilanggo na may mga sakit sa isip. Maaaring kabilang dito ang pagpapadali sa mga referral para sa espesyal na pangangalaga at pag-uugnay ng mga plano sa paggamot sa pagitan ng correctional at mga serbisyo sa kalusugan ng isip na nakabatay sa komunidad.
Pagsubaybay at Pangangasiwa: Magpatupad ng mga mekanismo para sa pagsubaybay at pangangasiwa upang matiyak na ang mga karapatan ng mga bilanggo na may mga sakit sa isip ay protektado at na sila ay tumatanggap ng naaangkop na pangangalaga at paggamot. Maaaring kabilang dito ang mga regular na pagsusuri ng mga serbisyo sa kalusugan ng isip, pagsunod sa mga protocol ng paggamot, at pagtugon sa anumang mga alalahanin o reklamo na ibinangon ng mga bilanggo o kanilang mga tagapagtaguyod.
Pagtataguyod at Pagbuo ng Patakaran: Tagapagtaguyod para sa pagbuo at pagpapatupad ng mga patakaran at batas na nagbibigay-priyoridad sa mga pangangailangan sa kalusugan ng isip ng mga bilanggo sa loob ng mga pasilidad ng pagwawasto. Kabilang dito ang pagtataguyod para sa sapat na pagpopondo, kawani, at mga mapagkukunan upang suportahan ang mga serbisyo sa kalusugan ng isip para sa populasyon na ito.
Sa pamamagitan ng pagpapatupad ng mga legal na hakbang na ito, mas matutugunan ng mga correctional facility sa Pilipinas ang mga natatanging pangangailangan ng mga bilanggo na may mga sakit na psychiatric at itaguyod ang kanilang kagalingan habang tinitiyak ang kaligtasan at seguridad ng publiko.</v>
      </c>
      <c r="F2563" s="2">
        <f t="shared" si="1"/>
        <v>0</v>
      </c>
      <c r="G2563" s="2"/>
      <c r="H2563" s="2"/>
      <c r="I2563" s="2"/>
      <c r="J2563" s="2"/>
      <c r="K2563" s="2"/>
      <c r="L2563" s="2"/>
      <c r="M2563" s="2"/>
      <c r="N2563" s="2"/>
      <c r="O2563" s="2"/>
      <c r="P2563" s="2"/>
      <c r="Q2563" s="2"/>
      <c r="R2563" s="2"/>
      <c r="S2563" s="2"/>
      <c r="T2563" s="2"/>
      <c r="U2563" s="2"/>
      <c r="V2563" s="2"/>
      <c r="W2563" s="2"/>
      <c r="X2563" s="2"/>
      <c r="Y2563" s="2"/>
      <c r="Z2563" s="2"/>
      <c r="AA2563" s="2"/>
    </row>
    <row r="2564">
      <c r="A2564" s="1" t="s">
        <v>5971</v>
      </c>
      <c r="B2564" s="1" t="s">
        <v>6096</v>
      </c>
      <c r="C2564" s="1" t="s">
        <v>6097</v>
      </c>
      <c r="D2564" s="2" t="str">
        <f>IFERROR(__xludf.DUMMYFUNCTION("GOOGLETRANSLATE(B2564, ""en"", ""TL"")"),"Ang psychiatric evaluation ng nasasakdal ay isinasagawa ng isang propesyonal na may potensyal na mga bias. Anong mga legal na hakbang ang maaaring gawin upang matugunan ang mga alalahanin tungkol sa kawalang-kinikilingan ng pagsusuri?")</f>
        <v>Ang psychiatric evaluation ng nasasakdal ay isinasagawa ng isang propesyonal na may potensyal na mga bias. Anong mga legal na hakbang ang maaaring gawin upang matugunan ang mga alalahanin tungkol sa kawalang-kinikilingan ng pagsusuri?</v>
      </c>
      <c r="E2564" s="2" t="str">
        <f>IFERROR(__xludf.DUMMYFUNCTION("GOOGLETRANSLATE(C2564, ""en"", ""TL"")"),"Sa Pilipinas, kung may mga alalahanin tungkol sa pagiging walang kinikilingan ng psychiatric evaluation ng nasasakdal na isinagawa ng isang propesyonal na may mga potensyal na bias, maraming legal na hakbang ang maaaring gawin upang matugunan ang mga alal"&amp;"ahaning ito at matiyak ang patas na pagtatasa. Narito ang ilang mga opsyon:
Kahilingan para sa Pangalawang Opinyon: Ang nasasakdal o ang kanilang legal na kinatawan ay maaaring humiling ng pangalawang psychiatric na pagsusuri mula sa isang independyente a"&amp;"t walang kinikilingan na propesyonal sa kalusugan ng isip. Nagbibigay-daan ito para sa isang bagong pagtatasa ng ibang evaluator, na posibleng mabawasan ang anumang mga bias na naroroon sa paunang pagsusuri.
Hamunin ang Pagsusuri sa Korte: Maaaring hamuni"&amp;"n ng legal na kinatawan ng nasasakdal ang bisa ng psychiatric evaluation sa panahon ng paglilitis sa korte. Maaaring kabilang dito ang pagpapakita ng ebidensya ng mga potensyal na bias o hindi pagkakapare-pareho sa proseso ng pagsusuri at pangangatwiran p"&amp;"ara sa pagbubukod o muling pagsasaalang-alang nito ng korte.
Cross-Examination ng Evaluator: Sa panahon ng paglilitis sa korte, ang legal na kinatawan ng nasasakdal ay maaaring mag-cross-examine sa evaluator upang suriin ang mga bias o hindi pagkakapare-p"&amp;"areho sa kanilang pagtatasa. Nagbibigay-daan ito sa depensa na hamunin ang kredibilidad ng pagsusuri at i-highlight ang anumang mga salik na maaaring makaapekto sa pagiging walang kinikilingan nito.
Motion to Exclude or Supplement Evidence: Ang legal na k"&amp;"inatawan ng nasasakdal ay maaaring maghain ng mosyon upang ibukod o dagdagan ang psychiatric evaluation bilang ebidensya batay sa mga alalahanin tungkol sa pagiging walang kinikilingan nito. Susuriin ng korte ang mosyon at gagawa ng pagpapasiya kung aamin"&amp;"in, ibubukod, o dagdagan ang pagsusuri batay sa mga iniharap na argumento at ebidensya.
Kahilingan para sa Pagdinig o Pagtatanong: Ang legal na kinatawan ng nasasakdal ay maaaring humiling ng pagdinig o pagtatanong upang imbestigahan ang mga paratang ng b"&amp;"ias o maling pag-uugali sa bahagi ng evaluator. Maaaring kabilang dito ang pagpapakita ng ebidensya, pagtawag ng mga saksi, at pagpapahintulot sa magkabilang panig na magharap ng kanilang mga argumento sa harap ng korte.
Apela sa Mas Mataas na Hukuman: Ku"&amp;"ng naniniwala ang nasasakdal na nilabag ang kanilang mga karapatan dahil sa isang bias na pagsusuri sa saykayatriko at nabigo ang mababang hukuman na tugunan ang isyu nang kasiya-siya, maaari nilang iapela ang desisyon ng korte sa mas matataas na hukuman."&amp;" Ang mga hukuman sa paghahabol ay may awtoridad na suriin ang kaso at ayusin ang anumang mga pagkakamali o kawalang-katarungan, kabilang ang mga nauugnay sa proseso ng pagsusuri.
Sa pamamagitan ng pagsasagawa ng mga legal na hakbang na ito, matutugunan ng"&amp;" mga nasasakdal sa Pilipinas ang mga alalahanin tungkol sa kawalang-kinikilingan ng mga pagsusuri sa psychiatric at humingi ng patas na pagtatasa ng kanilang katayuan sa kalusugan ng isip sa panahon ng mga legal na paglilitis.")</f>
        <v>Sa Pilipinas, kung may mga alalahanin tungkol sa pagiging walang kinikilingan ng psychiatric evaluation ng nasasakdal na isinagawa ng isang propesyonal na may mga potensyal na bias, maraming legal na hakbang ang maaaring gawin upang matugunan ang mga alalahaning ito at matiyak ang patas na pagtatasa. Narito ang ilang mga opsyon:
Kahilingan para sa Pangalawang Opinyon: Ang nasasakdal o ang kanilang legal na kinatawan ay maaaring humiling ng pangalawang psychiatric na pagsusuri mula sa isang independyente at walang kinikilingan na propesyonal sa kalusugan ng isip. Nagbibigay-daan ito para sa isang bagong pagtatasa ng ibang evaluator, na posibleng mabawasan ang anumang mga bias na naroroon sa paunang pagsusuri.
Hamunin ang Pagsusuri sa Korte: Maaaring hamunin ng legal na kinatawan ng nasasakdal ang bisa ng psychiatric evaluation sa panahon ng paglilitis sa korte. Maaaring kabilang dito ang pagpapakita ng ebidensya ng mga potensyal na bias o hindi pagkakapare-pareho sa proseso ng pagsusuri at pangangatwiran para sa pagbubukod o muling pagsasaalang-alang nito ng korte.
Cross-Examination ng Evaluator: Sa panahon ng paglilitis sa korte, ang legal na kinatawan ng nasasakdal ay maaaring mag-cross-examine sa evaluator upang suriin ang mga bias o hindi pagkakapare-pareho sa kanilang pagtatasa. Nagbibigay-daan ito sa depensa na hamunin ang kredibilidad ng pagsusuri at i-highlight ang anumang mga salik na maaaring makaapekto sa pagiging walang kinikilingan nito.
Motion to Exclude or Supplement Evidence: Ang legal na kinatawan ng nasasakdal ay maaaring maghain ng mosyon upang ibukod o dagdagan ang psychiatric evaluation bilang ebidensya batay sa mga alalahanin tungkol sa pagiging walang kinikilingan nito. Susuriin ng korte ang mosyon at gagawa ng pagpapasiya kung aaminin, ibubukod, o dagdagan ang pagsusuri batay sa mga iniharap na argumento at ebidensya.
Kahilingan para sa Pagdinig o Pagtatanong: Ang legal na kinatawan ng nasasakdal ay maaaring humiling ng pagdinig o pagtatanong upang imbestigahan ang mga paratang ng bias o maling pag-uugali sa bahagi ng evaluator. Maaaring kabilang dito ang pagpapakita ng ebidensya, pagtawag ng mga saksi, at pagpapahintulot sa magkabilang panig na magharap ng kanilang mga argumento sa harap ng korte.
Apela sa Mas Mataas na Hukuman: Kung naniniwala ang nasasakdal na nilabag ang kanilang mga karapatan dahil sa isang bias na pagsusuri sa saykayatriko at nabigo ang mababang hukuman na tugunan ang isyu nang kasiya-siya, maaari nilang iapela ang desisyon ng korte sa mas matataas na hukuman. Ang mga hukuman sa paghahabol ay may awtoridad na suriin ang kaso at ayusin ang anumang mga pagkakamali o kawalang-katarungan, kabilang ang mga nauugnay sa proseso ng pagsusuri.
Sa pamamagitan ng pagsasagawa ng mga legal na hakbang na ito, matutugunan ng mga nasasakdal sa Pilipinas ang mga alalahanin tungkol sa kawalang-kinikilingan ng mga pagsusuri sa psychiatric at humingi ng patas na pagtatasa ng kanilang katayuan sa kalusugan ng isip sa panahon ng mga legal na paglilitis.</v>
      </c>
      <c r="F2564" s="2">
        <f t="shared" si="1"/>
        <v>0</v>
      </c>
      <c r="G2564" s="2"/>
      <c r="H2564" s="2"/>
      <c r="I2564" s="2"/>
      <c r="J2564" s="2"/>
      <c r="K2564" s="2"/>
      <c r="L2564" s="2"/>
      <c r="M2564" s="2"/>
      <c r="N2564" s="2"/>
      <c r="O2564" s="2"/>
      <c r="P2564" s="2"/>
      <c r="Q2564" s="2"/>
      <c r="R2564" s="2"/>
      <c r="S2564" s="2"/>
      <c r="T2564" s="2"/>
      <c r="U2564" s="2"/>
      <c r="V2564" s="2"/>
      <c r="W2564" s="2"/>
      <c r="X2564" s="2"/>
      <c r="Y2564" s="2"/>
      <c r="Z2564" s="2"/>
      <c r="AA2564" s="2"/>
    </row>
    <row r="2565">
      <c r="A2565" s="1" t="s">
        <v>5971</v>
      </c>
      <c r="B2565" s="1" t="s">
        <v>6098</v>
      </c>
      <c r="C2565" s="1" t="s">
        <v>6099</v>
      </c>
      <c r="D2565" s="2" t="str">
        <f>IFERROR(__xludf.DUMMYFUNCTION("GOOGLETRANSLATE(B2565, ""en"", ""TL"")"),"Ang isang indibidwal na may sakit na saykayatriko ay hindi kusang-loob na nakatuon sa isang pasilidad sa kalusugan ng isip. Anong mga legal na pananggalang ang inilalagay upang protektahan ang mga karapatan ng indibidwal sa panahon ng pangako?")</f>
        <v>Ang isang indibidwal na may sakit na saykayatriko ay hindi kusang-loob na nakatuon sa isang pasilidad sa kalusugan ng isip. Anong mga legal na pananggalang ang inilalagay upang protektahan ang mga karapatan ng indibidwal sa panahon ng pangako?</v>
      </c>
      <c r="E2565" s="2" t="str">
        <f>IFERROR(__xludf.DUMMYFUNCTION("GOOGLETRANSLATE(C2565, ""en"", ""TL"")"),"Sa Pilipinas, ang mga indibidwal na may mga sakit sa saykayatriko na kusang-loob na nakatalaga sa isang pasilidad sa kalusugan ng isip ay may karapatan sa ilang mga legal na pananggalang upang protektahan ang kanilang mga karapatan. Ang mga pananggalang n"&amp;"a ito ay nakabalangkas sa iba't ibang batas at regulasyon, kabilang ang Mental Health Act (Republic Act 11036) at iba pang nauugnay na batas. Narito ang ilang pangunahing legal na pananggalang:
Karapatan sa Naaangkop na Proseso: Ang mga indibidwal na n"&amp;"apapailalim sa hindi boluntaryong pangako ay may karapatan sa angkop na proseso, na kinabibilangan ng pagpapaalam sa mga dahilan ng kanilang pangako, ang tagal ng kanilang pagkakakulong, at ang kanilang karapatang labanan ang pangako sa pamamagitan ng mga"&amp;" legal na pamamaraan.
Pagsusuri ng Hudisyal: Ang batas ay nagtatadhana para sa pagrepaso ng hudisyal ng mga hindi boluntaryong pangako, kung saan ang mga indibidwal ay may karapatang hamunin ang kanilang pagkakulong sa harap ng korte. Susuriin ng korte"&amp;" ang legalidad at pangangailangan ng pangako at maaaring mag-utos na palayain ang indibidwal kung ito ay itinuturing na hindi makatwiran.
Legal na Representasyon: Ang mga indibidwal na sumasailalim sa hindi boluntaryong pangako ay may karapatan sa lega"&amp;"l na representasyon. Maaari silang makisali sa mga serbisyo ng isang abogado upang itaguyod ang kanilang mga interes at ipagtanggol ang kanilang mga karapatan sa panahon ng mga legal na paglilitis na may kaugnayan sa kanilang pangako.
Medikal na Pagsus"&amp;"uri at Pagsusuri: Bago isagawa nang hindi sinasadya, ang mga indibidwal ay dapat sumailalim sa isang komprehensibong medikal na pagsusuri at pagtatasa ng mga kwalipikadong propesyonal sa kalusugan ng isip. Ang pagtatasa ay naglalayong matukoy ang panganga"&amp;"ilangan at kaangkupan ng pangako batay sa kalagayan ng kalusugang pangkaisipan ng indibidwal.
Least Restrictive Alternative: Ang mga pasilidad sa kalusugan ng isip ay dapat sumunod sa prinsipyo ng hindi bababa sa paghihigpit na alternatibo kapag nagbib"&amp;"igay ng pangangalaga at paggamot sa mga indibidwal na hindi kusang-loob. Nangangahulugan ito na ang mga interbensyon ay dapat na iayon upang matugunan ang mga pangangailangan ng indibidwal habang pinapaliit ang mga paghihigpit sa kanilang kalayaan at awto"&amp;"nomiya.
Karapatan sa Paggamot at Pangangalaga: Ang mga indibidwal na walang boluntaryong nakatuon ay may karapatang tumanggap ng naaangkop na paggamot at pangangalaga para sa kanilang kalagayan sa kalusugan ng isip. Ang mga pasilidad ng kalusugang pang"&amp;"kaisipan ay kinakailangan na magbigay ng access sa mga medikal, saykayatriko, sikolohikal, at panlipunang mga interbensyon na naglalayong isulong ang paggaling at kagalingan.
Regular na Pagsusuri at Pagsubaybay: Ang mga pasilidad ng kalusugang pangkais"&amp;"ipan ay dapat magsagawa ng mga regular na pagsusuri sa katayuan at pag-unlad ng mga indibidwal na hindi sinasadya. Kabilang dito ang pagsubaybay sa kanilang paggamot, muling pagsusuri sa pangangailangan ng kanilang pagkakulong, at pagtiyak na ang kanilang"&amp;" mga karapatan ay iginagalang sa buong panahon ng pangako.
Proteksyon mula sa Pang-aabuso at Kapabayaan: Ang mga indibidwal na hindi sinasadya ay may karapatan sa proteksyon mula sa pang-aabuso, kapabayaan, at pagsasamantala habang nasa ilalim ng panga"&amp;"ngalaga ng mga pasilidad sa kalusugan ng isip. Anumang mga paratang ng pagmamaltrato ay dapat na masusing imbestigahan, at nararapat na gawin ang mga naaangkop na hakbang upang matugunan at maiwasan ang karagdagang pinsala.
Sa pamamagitan ng pagtataguy"&amp;"od ng mga legal na pananggalang na ito, sinisikap ng Pilipinas na tiyakin na ang mga indibidwal na may mga sakit sa isip na hindi sinasadyang nakatuon sa mga pasilidad ng kalusugan ng isip ay makakatanggap ng angkop na pangangalaga at paggamot habang pina"&amp;"ngangalagaan ang kanilang mga karapatan at dignidad.")</f>
        <v>Sa Pilipinas, ang mga indibidwal na may mga sakit sa saykayatriko na kusang-loob na nakatalaga sa isang pasilidad sa kalusugan ng isip ay may karapatan sa ilang mga legal na pananggalang upang protektahan ang kanilang mga karapatan. Ang mga pananggalang na ito ay nakabalangkas sa iba't ibang batas at regulasyon, kabilang ang Mental Health Act (Republic Act 11036) at iba pang nauugnay na batas. Narito ang ilang pangunahing legal na pananggalang:
Karapatan sa Naaangkop na Proseso: Ang mga indibidwal na napapailalim sa hindi boluntaryong pangako ay may karapatan sa angkop na proseso, na kinabibilangan ng pagpapaalam sa mga dahilan ng kanilang pangako, ang tagal ng kanilang pagkakakulong, at ang kanilang karapatang labanan ang pangako sa pamamagitan ng mga legal na pamamaraan.
Pagsusuri ng Hudisyal: Ang batas ay nagtatadhana para sa pagrepaso ng hudisyal ng mga hindi boluntaryong pangako, kung saan ang mga indibidwal ay may karapatang hamunin ang kanilang pagkakulong sa harap ng korte. Susuriin ng korte ang legalidad at pangangailangan ng pangako at maaaring mag-utos na palayain ang indibidwal kung ito ay itinuturing na hindi makatwiran.
Legal na Representasyon: Ang mga indibidwal na sumasailalim sa hindi boluntaryong pangako ay may karapatan sa legal na representasyon. Maaari silang makisali sa mga serbisyo ng isang abogado upang itaguyod ang kanilang mga interes at ipagtanggol ang kanilang mga karapatan sa panahon ng mga legal na paglilitis na may kaugnayan sa kanilang pangako.
Medikal na Pagsusuri at Pagsusuri: Bago isagawa nang hindi sinasadya, ang mga indibidwal ay dapat sumailalim sa isang komprehensibong medikal na pagsusuri at pagtatasa ng mga kwalipikadong propesyonal sa kalusugan ng isip. Ang pagtatasa ay naglalayong matukoy ang pangangailangan at kaangkupan ng pangako batay sa kalagayan ng kalusugang pangkaisipan ng indibidwal.
Least Restrictive Alternative: Ang mga pasilidad sa kalusugan ng isip ay dapat sumunod sa prinsipyo ng hindi bababa sa paghihigpit na alternatibo kapag nagbibigay ng pangangalaga at paggamot sa mga indibidwal na hindi kusang-loob. Nangangahulugan ito na ang mga interbensyon ay dapat na iayon upang matugunan ang mga pangangailangan ng indibidwal habang pinapaliit ang mga paghihigpit sa kanilang kalayaan at awtonomiya.
Karapatan sa Paggamot at Pangangalaga: Ang mga indibidwal na walang boluntaryong nakatuon ay may karapatang tumanggap ng naaangkop na paggamot at pangangalaga para sa kanilang kalagayan sa kalusugan ng isip. Ang mga pasilidad ng kalusugang pangkaisipan ay kinakailangan na magbigay ng access sa mga medikal, saykayatriko, sikolohikal, at panlipunang mga interbensyon na naglalayong isulong ang paggaling at kagalingan.
Regular na Pagsusuri at Pagsubaybay: Ang mga pasilidad ng kalusugang pangkaisipan ay dapat magsagawa ng mga regular na pagsusuri sa katayuan at pag-unlad ng mga indibidwal na hindi sinasadya. Kabilang dito ang pagsubaybay sa kanilang paggamot, muling pagsusuri sa pangangailangan ng kanilang pagkakulong, at pagtiyak na ang kanilang mga karapatan ay iginagalang sa buong panahon ng pangako.
Proteksyon mula sa Pang-aabuso at Kapabayaan: Ang mga indibidwal na hindi sinasadya ay may karapatan sa proteksyon mula sa pang-aabuso, kapabayaan, at pagsasamantala habang nasa ilalim ng pangangalaga ng mga pasilidad sa kalusugan ng isip. Anumang mga paratang ng pagmamaltrato ay dapat na masusing imbestigahan, at nararapat na gawin ang mga naaangkop na hakbang upang matugunan at maiwasan ang karagdagang pinsala.
Sa pamamagitan ng pagtataguyod ng mga legal na pananggalang na ito, sinisikap ng Pilipinas na tiyakin na ang mga indibidwal na may mga sakit sa isip na hindi sinasadyang nakatuon sa mga pasilidad ng kalusugan ng isip ay makakatanggap ng angkop na pangangalaga at paggamot habang pinangangalagaan ang kanilang mga karapatan at dignidad.</v>
      </c>
      <c r="F2565" s="2">
        <f t="shared" si="1"/>
        <v>0</v>
      </c>
      <c r="G2565" s="2"/>
      <c r="H2565" s="2"/>
      <c r="I2565" s="2"/>
      <c r="J2565" s="2"/>
      <c r="K2565" s="2"/>
      <c r="L2565" s="2"/>
      <c r="M2565" s="2"/>
      <c r="N2565" s="2"/>
      <c r="O2565" s="2"/>
      <c r="P2565" s="2"/>
      <c r="Q2565" s="2"/>
      <c r="R2565" s="2"/>
      <c r="S2565" s="2"/>
      <c r="T2565" s="2"/>
      <c r="U2565" s="2"/>
      <c r="V2565" s="2"/>
      <c r="W2565" s="2"/>
      <c r="X2565" s="2"/>
      <c r="Y2565" s="2"/>
      <c r="Z2565" s="2"/>
      <c r="AA2565" s="2"/>
    </row>
    <row r="2566">
      <c r="A2566" s="1" t="s">
        <v>5971</v>
      </c>
      <c r="B2566" s="1" t="s">
        <v>6100</v>
      </c>
      <c r="C2566" s="1" t="s">
        <v>6101</v>
      </c>
      <c r="D2566" s="2" t="str">
        <f>IFERROR(__xludf.DUMMYFUNCTION("GOOGLETRANSLATE(B2566, ""en"", ""TL"")"),"Ang nasasakdal na may sakit na saykayatriko ay napatunayang nagkasala. Anong mga legal na hakbang ang maaaring gawin sa panahon ng paghatol upang matiyak ang isang naaangkop na balanse sa pagitan ng katarungan at mga pagsasaalang-alang sa kalusugan ng isi"&amp;"p?")</f>
        <v>Ang nasasakdal na may sakit na saykayatriko ay napatunayang nagkasala. Anong mga legal na hakbang ang maaaring gawin sa panahon ng paghatol upang matiyak ang isang naaangkop na balanse sa pagitan ng katarungan at mga pagsasaalang-alang sa kalusugan ng isip?</v>
      </c>
      <c r="E2566" s="2" t="str">
        <f>IFERROR(__xludf.DUMMYFUNCTION("GOOGLETRANSLATE(C2566, ""en"", ""TL"")"),"Kapag napatunayang nagkasala sa Pilipinas ang nasasakdal na may sakit na saykayatriko, dapat isaalang-alang ng hukuman ang parehong katarungan at kalusugan ng isip sa panahon ng paghatol. Narito ang ilang legal na hakbang na maaaring gawin upang matiyak a"&amp;"ng naaangkop na balanse:
Psychiatric Evaluation and Assessment: Maaaring mag-utos ang hukuman ng isang komprehensibong psychiatric na pagsusuri at pagtatasa ng nasasakdal upang matukoy ang lawak ng kanilang sakit sa pag-iisip, ang epekto nito sa kanila"&amp;"ng pag-uugali, at anumang nagpapagaan na mga salik na maaaring makaapekto sa pagsentensiya.
Pagsasaalang-alang sa Mga Pagpapagaan na Kalagayan: Dapat isaalang-alang ng hukuman ang anumang nagpapagaan na mga pangyayari na may kaugnayan sa sakit sa isip "&amp;"ng nasasakdal, tulad ng pagbaba ng kapasidad, kawalan ng layunin, o kapansanan sa paghatol sa oras ng pagkakasala. Ang mga salik na ito ay maaaring maggarantiya ng mas maluwag na pangungusap o alternatibong mga opsyon sa pagsentensiya.
Paggamot at Reha"&amp;"bilitasyon sa Kalusugan ng Pag-iisip: Sa halip na o bilang karagdagan sa pagkakulong, maaaring isaalang-alang ng korte ang pag-utos ng paggamot sa kalusugan ng isip at rehabilitasyon para sa nasasakdal. Maaaring kabilang dito ang therapy, pagpapayo, gamot"&amp;", at iba pang mga interbensyon na naglalayong tugunan ang kanilang mga pangangailangan sa kalusugan ng isip at bawasan ang panganib ng muling pagkakasala.
Mga Programa sa Pagsentensiya na Nakabatay sa Komunidad: Maaaring pumili ang hukuman para sa mga "&amp;"programa ng pagsentensiya na nakabatay sa komunidad na nagpapahintulot sa nasasakdal na makatanggap ng paggamot at pangangasiwa sa kalusugan ng isip habang nananatili sa komunidad. Ang mga programang ito ay nag-aalok ng mga alternatibo sa pagkakakulong at"&amp;" nakatuon sa rehabilitasyon at muling pagsasama sa lipunan.
May Kondisyon na Pagpapalaya o Probasyon: Depende sa mga pangyayari ng kaso at sa kalagayan ng kalusugan ng isip ng nasasakdal, maaaring magpataw ang hukuman ng sentensiya ng kondisyonal na pa"&amp;"gpapalaya o probasyon, napapailalim sa pagsunod sa paggamot sa kalusugan ng isip at iba pang mga kundisyon.
Pakikipagtulungan sa Mental Health Professionals: Ang hukuman ay dapat makipagtulungan sa mga propesyonal sa kalusugan ng isip, kabilang ang mga"&amp;" psychiatrist, psychologist, at social worker, upang bumuo ng isang naaangkop na plano sa pagsentensiya na tumutugon sa parehong mga pangangailangan sa kalusugan ng isip ng nasasakdal at sa mga interes ng hustisya.
Patuloy na Pagsubaybay at Pagsusuri: "&amp;"Ang hukuman ay dapat magtatag ng mga mekanismo para sa patuloy na pagsubaybay at pagrepaso sa kalagayan ng kalusugang pangkaisipan at pag-unlad ng nasasakdal sa panahon ng paghatol. Ang mga pagsasaayos sa plano ng pagsentensiya ay maaaring gawin kung kina"&amp;"kailangan batay sa mga pagbabago sa kondisyon o kalagayan ng nasasakdal.
Sa pamamagitan ng pagsasama ng mga legal na hakbang na ito sa proseso ng paghatol, ang hukuman ay maaaring magsumikap na makamit ang balanse sa pagitan ng katarungan at mga pagsas"&amp;"aalang-alang sa kalusugan ng isip, na tinitiyak na ang nasasakdal ay tumatanggap ng naaangkop na paggamot at suporta habang pinapanagot din ang kanilang mga aksyon.")</f>
        <v>Kapag napatunayang nagkasala sa Pilipinas ang nasasakdal na may sakit na saykayatriko, dapat isaalang-alang ng hukuman ang parehong katarungan at kalusugan ng isip sa panahon ng paghatol. Narito ang ilang legal na hakbang na maaaring gawin upang matiyak ang naaangkop na balanse:
Psychiatric Evaluation and Assessment: Maaaring mag-utos ang hukuman ng isang komprehensibong psychiatric na pagsusuri at pagtatasa ng nasasakdal upang matukoy ang lawak ng kanilang sakit sa pag-iisip, ang epekto nito sa kanilang pag-uugali, at anumang nagpapagaan na mga salik na maaaring makaapekto sa pagsentensiya.
Pagsasaalang-alang sa Mga Pagpapagaan na Kalagayan: Dapat isaalang-alang ng hukuman ang anumang nagpapagaan na mga pangyayari na may kaugnayan sa sakit sa isip ng nasasakdal, tulad ng pagbaba ng kapasidad, kawalan ng layunin, o kapansanan sa paghatol sa oras ng pagkakasala. Ang mga salik na ito ay maaaring maggarantiya ng mas maluwag na pangungusap o alternatibong mga opsyon sa pagsentensiya.
Paggamot at Rehabilitasyon sa Kalusugan ng Pag-iisip: Sa halip na o bilang karagdagan sa pagkakulong, maaaring isaalang-alang ng korte ang pag-utos ng paggamot sa kalusugan ng isip at rehabilitasyon para sa nasasakdal. Maaaring kabilang dito ang therapy, pagpapayo, gamot, at iba pang mga interbensyon na naglalayong tugunan ang kanilang mga pangangailangan sa kalusugan ng isip at bawasan ang panganib ng muling pagkakasala.
Mga Programa sa Pagsentensiya na Nakabatay sa Komunidad: Maaaring pumili ang hukuman para sa mga programa ng pagsentensiya na nakabatay sa komunidad na nagpapahintulot sa nasasakdal na makatanggap ng paggamot at pangangasiwa sa kalusugan ng isip habang nananatili sa komunidad. Ang mga programang ito ay nag-aalok ng mga alternatibo sa pagkakakulong at nakatuon sa rehabilitasyon at muling pagsasama sa lipunan.
May Kondisyon na Pagpapalaya o Probasyon: Depende sa mga pangyayari ng kaso at sa kalagayan ng kalusugan ng isip ng nasasakdal, maaaring magpataw ang hukuman ng sentensiya ng kondisyonal na pagpapalaya o probasyon, napapailalim sa pagsunod sa paggamot sa kalusugan ng isip at iba pang mga kundisyon.
Pakikipagtulungan sa Mental Health Professionals: Ang hukuman ay dapat makipagtulungan sa mga propesyonal sa kalusugan ng isip, kabilang ang mga psychiatrist, psychologist, at social worker, upang bumuo ng isang naaangkop na plano sa pagsentensiya na tumutugon sa parehong mga pangangailangan sa kalusugan ng isip ng nasasakdal at sa mga interes ng hustisya.
Patuloy na Pagsubaybay at Pagsusuri: Ang hukuman ay dapat magtatag ng mga mekanismo para sa patuloy na pagsubaybay at pagrepaso sa kalagayan ng kalusugang pangkaisipan at pag-unlad ng nasasakdal sa panahon ng paghatol. Ang mga pagsasaayos sa plano ng pagsentensiya ay maaaring gawin kung kinakailangan batay sa mga pagbabago sa kondisyon o kalagayan ng nasasakdal.
Sa pamamagitan ng pagsasama ng mga legal na hakbang na ito sa proseso ng paghatol, ang hukuman ay maaaring magsumikap na makamit ang balanse sa pagitan ng katarungan at mga pagsasaalang-alang sa kalusugan ng isip, na tinitiyak na ang nasasakdal ay tumatanggap ng naaangkop na paggamot at suporta habang pinapanagot din ang kanilang mga aksyon.</v>
      </c>
      <c r="F2566" s="2">
        <f t="shared" si="1"/>
        <v>0</v>
      </c>
      <c r="G2566" s="2"/>
      <c r="H2566" s="2"/>
      <c r="I2566" s="2"/>
      <c r="J2566" s="2"/>
      <c r="K2566" s="2"/>
      <c r="L2566" s="2"/>
      <c r="M2566" s="2"/>
      <c r="N2566" s="2"/>
      <c r="O2566" s="2"/>
      <c r="P2566" s="2"/>
      <c r="Q2566" s="2"/>
      <c r="R2566" s="2"/>
      <c r="S2566" s="2"/>
      <c r="T2566" s="2"/>
      <c r="U2566" s="2"/>
      <c r="V2566" s="2"/>
      <c r="W2566" s="2"/>
      <c r="X2566" s="2"/>
      <c r="Y2566" s="2"/>
      <c r="Z2566" s="2"/>
      <c r="AA2566" s="2"/>
    </row>
    <row r="2567">
      <c r="A2567" s="1" t="s">
        <v>5971</v>
      </c>
      <c r="B2567" s="1" t="s">
        <v>6102</v>
      </c>
      <c r="C2567" s="1" t="s">
        <v>6103</v>
      </c>
      <c r="D2567" s="2" t="str">
        <f>IFERROR(__xludf.DUMMYFUNCTION("GOOGLETRANSLATE(B2567, ""en"", ""TL"")"),"Ang isang opisyal ng pagpapatupad ng batas ay tumutugon sa isang krisis na kinasasangkutan ng isang indibidwal na may kilalang sakit sa isip. Anong mga legal na alituntunin ang dapat sundin ng opisyal upang mapawi ang sitwasyon at maprotektahan ang lahat "&amp;"ng kasangkot?")</f>
        <v>Ang isang opisyal ng pagpapatupad ng batas ay tumutugon sa isang krisis na kinasasangkutan ng isang indibidwal na may kilalang sakit sa isip. Anong mga legal na alituntunin ang dapat sundin ng opisyal upang mapawi ang sitwasyon at maprotektahan ang lahat ng kasangkot?</v>
      </c>
      <c r="E2567" s="2" t="str">
        <f>IFERROR(__xludf.DUMMYFUNCTION("GOOGLETRANSLATE(C2567, ""en"", ""TL"")"),"Sa pagtugon sa isang krisis na kinasasangkutan ng isang indibidwal na may kilalang sakit sa isip, dapat sundin ng isang opisyal ng pagpapatupad ng batas sa Pilipinas ang mga legal na alituntunin na nakabalangkas sa iba't ibang batas at regulasyon. Narito "&amp;"ang ilang mahahalagang punto na dapat nilang isaalang-alang:
RA 11036 o ang Mental Health Act: Kinikilala ng batas na ito ang mga karapatan ng mga indibidwal na may kondisyon sa kalusugan ng isip at nag-uutos sa pagsulong ng kalusugang pangkaisipan, pag-i"&amp;"was sa mga kondisyon ng kalusugan ng isip, at ang pagkakaloob ng naa-access at de-kalidad na serbisyo sa kalusugan ng isip. Dapat alalahanin ng opisyal ang paggalang sa mga karapatan at dignidad ng indibidwal na may sakit na psychiatric.
RA 9262 o ang Ant"&amp;"i-Violence Against Women and Their Children Act: Kung ang indibidwal na nasa krisis ay isang babae o isang bata na may sakit na psychiatric, dapat malaman ng opisyal ang batas na ito, na nagbibigay ng proteksyon at suporta sa mga biktima ng karahasan, kab"&amp;"ilang ang sikolohikal na pang-aabuso.
RA 7877 o ang Anti-Sexual Harassment Act of 1995: Kung may mga alegasyon o indikasyon ng sexual harassment o pang-aabuso sa loob ng sitwasyon ng krisis, dapat pangasiwaan ng opisyal ang sitwasyon alinsunod sa batas na"&amp;" ito.
RA 6713 o ang Code of Conduct and Ethical Standards for Public Officials and Employees: Ang batas na ito ay nagbabalangkas ng mga etikal na pamantayan para sa mga pampublikong opisyal at empleyado, kabilang ang mga opisyal ng pagpapatupad ng batas. "&amp;"Ang opisyal ay dapat kumilos nang propesyonal at etikal habang nakikitungo sa sitwasyon ng krisis.
Mga Pamamaraan sa Pagpapatakbo ng Pambansang Pulisya ng Pilipinas (PNP): Dapat sumunod ang opisyal sa mga pamamaraan at alituntunin sa pagpapatakbo na itina"&amp;"kda ng PNP, na maaaring kasama ang mga protocol para sa paghawak ng mga sitwasyon ng krisis na kinasasangkutan ng mga indibidwal na may mga isyu sa kalusugan ng isip.
Sa pagpapababa ng sitwasyon at pagtiyak sa kaligtasan ng lahat ng kasangkot, dapat unahi"&amp;"n ng opisyal ang komunikasyon, empatiya, at pag-unawa. Dapat nilang layunin na mapayapang lutasin ang krisis nang hindi gumagamit ng hindi kinakailangang puwersa o karahasan, habang gumagawa din ng naaangkop na mga hakbang upang maprotektahan ang kanilang"&amp;" sarili at ang iba mula sa pinsala. Kung kinakailangan, dapat silang humingi ng tulong mula sa mga propesyonal sa kalusugan ng isip o iba pang may-katuturang awtoridad upang magbigay ng naaangkop na suporta at interbensyon para sa indibidwal na nasa krisi"&amp;"s.")</f>
        <v>Sa pagtugon sa isang krisis na kinasasangkutan ng isang indibidwal na may kilalang sakit sa isip, dapat sundin ng isang opisyal ng pagpapatupad ng batas sa Pilipinas ang mga legal na alituntunin na nakabalangkas sa iba't ibang batas at regulasyon. Narito ang ilang mahahalagang punto na dapat nilang isaalang-alang:
RA 11036 o ang Mental Health Act: Kinikilala ng batas na ito ang mga karapatan ng mga indibidwal na may kondisyon sa kalusugan ng isip at nag-uutos sa pagsulong ng kalusugang pangkaisipan, pag-iwas sa mga kondisyon ng kalusugan ng isip, at ang pagkakaloob ng naa-access at de-kalidad na serbisyo sa kalusugan ng isip. Dapat alalahanin ng opisyal ang paggalang sa mga karapatan at dignidad ng indibidwal na may sakit na psychiatric.
RA 9262 o ang Anti-Violence Against Women and Their Children Act: Kung ang indibidwal na nasa krisis ay isang babae o isang bata na may sakit na psychiatric, dapat malaman ng opisyal ang batas na ito, na nagbibigay ng proteksyon at suporta sa mga biktima ng karahasan, kabilang ang sikolohikal na pang-aabuso.
RA 7877 o ang Anti-Sexual Harassment Act of 1995: Kung may mga alegasyon o indikasyon ng sexual harassment o pang-aabuso sa loob ng sitwasyon ng krisis, dapat pangasiwaan ng opisyal ang sitwasyon alinsunod sa batas na ito.
RA 6713 o ang Code of Conduct and Ethical Standards for Public Officials and Employees: Ang batas na ito ay nagbabalangkas ng mga etikal na pamantayan para sa mga pampublikong opisyal at empleyado, kabilang ang mga opisyal ng pagpapatupad ng batas. Ang opisyal ay dapat kumilos nang propesyonal at etikal habang nakikitungo sa sitwasyon ng krisis.
Mga Pamamaraan sa Pagpapatakbo ng Pambansang Pulisya ng Pilipinas (PNP): Dapat sumunod ang opisyal sa mga pamamaraan at alituntunin sa pagpapatakbo na itinakda ng PNP, na maaaring kasama ang mga protocol para sa paghawak ng mga sitwasyon ng krisis na kinasasangkutan ng mga indibidwal na may mga isyu sa kalusugan ng isip.
Sa pagpapababa ng sitwasyon at pagtiyak sa kaligtasan ng lahat ng kasangkot, dapat unahin ng opisyal ang komunikasyon, empatiya, at pag-unawa. Dapat nilang layunin na mapayapang lutasin ang krisis nang hindi gumagamit ng hindi kinakailangang puwersa o karahasan, habang gumagawa din ng naaangkop na mga hakbang upang maprotektahan ang kanilang sarili at ang iba mula sa pinsala. Kung kinakailangan, dapat silang humingi ng tulong mula sa mga propesyonal sa kalusugan ng isip o iba pang may-katuturang awtoridad upang magbigay ng naaangkop na suporta at interbensyon para sa indibidwal na nasa krisis.</v>
      </c>
      <c r="F2567" s="2">
        <f t="shared" si="1"/>
        <v>0</v>
      </c>
      <c r="G2567" s="2"/>
      <c r="H2567" s="2"/>
      <c r="I2567" s="2"/>
      <c r="J2567" s="2"/>
      <c r="K2567" s="2"/>
      <c r="L2567" s="2"/>
      <c r="M2567" s="2"/>
      <c r="N2567" s="2"/>
      <c r="O2567" s="2"/>
      <c r="P2567" s="2"/>
      <c r="Q2567" s="2"/>
      <c r="R2567" s="2"/>
      <c r="S2567" s="2"/>
      <c r="T2567" s="2"/>
      <c r="U2567" s="2"/>
      <c r="V2567" s="2"/>
      <c r="W2567" s="2"/>
      <c r="X2567" s="2"/>
      <c r="Y2567" s="2"/>
      <c r="Z2567" s="2"/>
      <c r="AA2567" s="2"/>
    </row>
    <row r="2568">
      <c r="A2568" s="1" t="s">
        <v>5971</v>
      </c>
      <c r="B2568" s="1" t="s">
        <v>6104</v>
      </c>
      <c r="C2568" s="1" t="s">
        <v>6105</v>
      </c>
      <c r="D2568" s="2" t="str">
        <f>IFERROR(__xludf.DUMMYFUNCTION("GOOGLETRANSLATE(B2568, ""en"", ""TL"")"),"Ang psychiatric evaluation ng nasasakdal ay nagpapakita na hindi nila alam ang kriminal na katangian ng kanilang mga aksyon sa oras ng pagkakasala. Anong mga legal na kahihinatnan ang dapat sumunod sa pagsusuring ito?")</f>
        <v>Ang psychiatric evaluation ng nasasakdal ay nagpapakita na hindi nila alam ang kriminal na katangian ng kanilang mga aksyon sa oras ng pagkakasala. Anong mga legal na kahihinatnan ang dapat sumunod sa pagsusuring ito?</v>
      </c>
      <c r="E2568" s="2" t="str">
        <f>IFERROR(__xludf.DUMMYFUNCTION("GOOGLETRANSLATE(C2568, ""en"", ""TL"")"),"Kung ang pagsusuri ng saykayatriko ng nasasakdal ay nagpapakita na hindi nila alam ang kriminal na katangian ng kanilang mga aksyon sa oras ng pagkakasala, maaaring ipahiwatig nito na kulang sila sa mental na estado na kinakailangan upang bumuo ng krimina"&amp;"l na layunin. Sa mga legal na termino, ang pagtatanggol na ito ay madalas na tinutukoy bilang ang pagkabaliw na pagtatanggol o kawalan ng pananagutan sa kriminal dahil sa pagkabaliw. Ang mga legal na kahihinatnan na kasunod ng pagsusuring ito ay maaaring "&amp;"mag-iba depende sa hurisdiksyon at mga partikular na kalagayan ng kaso, ngunit sa pangkalahatan ay kinabibilangan ng mga sumusunod na posibilidad:
Insanity Defense: Ang nasasakdal ay maaaring magtaas ng pagtatanggol sa pagkabaliw, na nangangatwiran na "&amp;"hindi sila kriminal na responsable para sa kanilang mga aksyon dahil sa isang sakit sa isip o depekto. Ang pagtatanggol na ito ay karaniwang nangangailangan ng patunay na, sa oras ng pagkakasala, hindi naunawaan ng nasasakdal ang kalikasan at mga kahihina"&amp;"tnan ng kanilang mga aksyon o na hindi nila nagawang iayon ang kanilang pag-uugali sa mga kinakailangan ng batas.
Mga Paglilitis sa Paglilitis: Kung ang pagtatanggol sa pagkabaliw ay itinaas, ang kaso ay maaaring magpatuloy sa paglilitis, kung saan ang"&amp;" pag-uusig at depensa ay magpapakita ng ebidensya at mga argumento tungkol sa kalagayan ng pag-iisip ng nasasakdal sa oras ng pagkakasala. Ang hukom o hurado ay tutukuyin kung ang nasasakdal ay nakakatugon sa legal na pamantayan para sa pagkabaliw at, kun"&amp;"g gayon, kung dapat silang mapatunayang hindi nagkasala dahil sa pagkabaliw.
Verdict of Not Guilty by Reason of Insanity: Kung nalaman ng hukom o jury na natutugunan ng nasasakdal ang legal na pamantayan para sa pagkabaliw, maaari silang magbalik ng ha"&amp;"tol na hindi nagkasala dahil sa pagkabaliw (NGRI). Ang hatol na ito ay nangangahulugan na ang nasasakdal ay hindi kriminal na responsable para sa pagkakasala at hindi maaaring mahatulan ng krimen na kinasuhan.
Pangako sa Pasilidad ng Mental Health: Sa "&amp;"halip na masentensiyahan ng pagkakulong, ang isang nasasakdal na natagpuang NGRI ay maaaring italaga sa isang pasilidad sa kalusugan ng isip para sa paggamot at pagsusuri. Ang haba ng pangako at mga kondisyon ng pagpapalaya ay mag-iiba depende sa hurisdik"&amp;"syon at mga pangangailangan sa paggamot ng indibidwal.
Mga Pana-panahong Pagsusuri: Ang mga nasasakdal na nakatuon sa mga pasilidad ng kalusugan ng isip kasunod ng hatol ng NGRI ay maaaring sumailalim sa pana-panahong pagsusuri ng mga propesyonal sa ka"&amp;"lusugang pangkaisipan at ng hukuman upang masuri ang pag-unlad ng kanilang paggamot, panganib na makapinsala sa kanilang sarili o sa iba, at pagiging karapat-dapat para sa pagpapalaya.
May Kondisyon na Pagpapalaya o Pagpapalabas: Sa ilang mga kaso, ang"&amp;" mga nasasakdal na natagpuan ang NGRI ay maaaring may kondisyong palayain o paalisin mula sa mga pasilidad sa kalusugan ng isip kung hindi na sila nagdudulot ng malaking panganib sa kaligtasan ng publiko at itinuring na nasa stable na kondisyon. Maaaring "&amp;"kabilang sa mga kondisyon ng pagpapalaya ang patuloy na paggamot, pangangasiwa, at pagsunod sa mga utos ng hukuman.
Mahalagang tandaan na ang mga legal na kahihinatnan ng pagtatanggol sa pagkabaliw ay maaaring mag-iba nang malaki depende sa hurisdiksyo"&amp;"n at sa mga partikular na kalagayan ng kaso. Dagdag pa rito, ang pagpapasiya ng kriminal na pananagutan at ang naaangkop na disposisyon ng mga nasasakdal na natagpuan NGRI ay kumplikadong legal at klinikal na usapin na nangangailangan ng maingat na pagsas"&amp;"aalang-alang sa mga pangangailangan sa kalusugan ng isip ng indibidwal, mga alalahanin sa kaligtasan ng publiko, at mga legal na prinsipyo ng katarungan at pagiging patas.")</f>
        <v>Kung ang pagsusuri ng saykayatriko ng nasasakdal ay nagpapakita na hindi nila alam ang kriminal na katangian ng kanilang mga aksyon sa oras ng pagkakasala, maaaring ipahiwatig nito na kulang sila sa mental na estado na kinakailangan upang bumuo ng kriminal na layunin. Sa mga legal na termino, ang pagtatanggol na ito ay madalas na tinutukoy bilang ang pagkabaliw na pagtatanggol o kawalan ng pananagutan sa kriminal dahil sa pagkabaliw. Ang mga legal na kahihinatnan na kasunod ng pagsusuring ito ay maaaring mag-iba depende sa hurisdiksyon at mga partikular na kalagayan ng kaso, ngunit sa pangkalahatan ay kinabibilangan ng mga sumusunod na posibilidad:
Insanity Defense: Ang nasasakdal ay maaaring magtaas ng pagtatanggol sa pagkabaliw, na nangangatwiran na hindi sila kriminal na responsable para sa kanilang mga aksyon dahil sa isang sakit sa isip o depekto. Ang pagtatanggol na ito ay karaniwang nangangailangan ng patunay na, sa oras ng pagkakasala, hindi naunawaan ng nasasakdal ang kalikasan at mga kahihinatnan ng kanilang mga aksyon o na hindi nila nagawang iayon ang kanilang pag-uugali sa mga kinakailangan ng batas.
Mga Paglilitis sa Paglilitis: Kung ang pagtatanggol sa pagkabaliw ay itinaas, ang kaso ay maaaring magpatuloy sa paglilitis, kung saan ang pag-uusig at depensa ay magpapakita ng ebidensya at mga argumento tungkol sa kalagayan ng pag-iisip ng nasasakdal sa oras ng pagkakasala. Ang hukom o hurado ay tutukuyin kung ang nasasakdal ay nakakatugon sa legal na pamantayan para sa pagkabaliw at, kung gayon, kung dapat silang mapatunayang hindi nagkasala dahil sa pagkabaliw.
Verdict of Not Guilty by Reason of Insanity: Kung nalaman ng hukom o jury na natutugunan ng nasasakdal ang legal na pamantayan para sa pagkabaliw, maaari silang magbalik ng hatol na hindi nagkasala dahil sa pagkabaliw (NGRI). Ang hatol na ito ay nangangahulugan na ang nasasakdal ay hindi kriminal na responsable para sa pagkakasala at hindi maaaring mahatulan ng krimen na kinasuhan.
Pangako sa Pasilidad ng Mental Health: Sa halip na masentensiyahan ng pagkakulong, ang isang nasasakdal na natagpuang NGRI ay maaaring italaga sa isang pasilidad sa kalusugan ng isip para sa paggamot at pagsusuri. Ang haba ng pangako at mga kondisyon ng pagpapalaya ay mag-iiba depende sa hurisdiksyon at mga pangangailangan sa paggamot ng indibidwal.
Mga Pana-panahong Pagsusuri: Ang mga nasasakdal na nakatuon sa mga pasilidad ng kalusugan ng isip kasunod ng hatol ng NGRI ay maaaring sumailalim sa pana-panahong pagsusuri ng mga propesyonal sa kalusugang pangkaisipan at ng hukuman upang masuri ang pag-unlad ng kanilang paggamot, panganib na makapinsala sa kanilang sarili o sa iba, at pagiging karapat-dapat para sa pagpapalaya.
May Kondisyon na Pagpapalaya o Pagpapalabas: Sa ilang mga kaso, ang mga nasasakdal na natagpuan ang NGRI ay maaaring may kondisyong palayain o paalisin mula sa mga pasilidad sa kalusugan ng isip kung hindi na sila nagdudulot ng malaking panganib sa kaligtasan ng publiko at itinuring na nasa stable na kondisyon. Maaaring kabilang sa mga kondisyon ng pagpapalaya ang patuloy na paggamot, pangangasiwa, at pagsunod sa mga utos ng hukuman.
Mahalagang tandaan na ang mga legal na kahihinatnan ng pagtatanggol sa pagkabaliw ay maaaring mag-iba nang malaki depende sa hurisdiksyon at sa mga partikular na kalagayan ng kaso. Dagdag pa rito, ang pagpapasiya ng kriminal na pananagutan at ang naaangkop na disposisyon ng mga nasasakdal na natagpuan NGRI ay kumplikadong legal at klinikal na usapin na nangangailangan ng maingat na pagsasaalang-alang sa mga pangangailangan sa kalusugan ng isip ng indibidwal, mga alalahanin sa kaligtasan ng publiko, at mga legal na prinsipyo ng katarungan at pagiging patas.</v>
      </c>
      <c r="F2568" s="2">
        <f t="shared" si="1"/>
        <v>0</v>
      </c>
      <c r="G2568" s="2"/>
      <c r="H2568" s="2"/>
      <c r="I2568" s="2"/>
      <c r="J2568" s="2"/>
      <c r="K2568" s="2"/>
      <c r="L2568" s="2"/>
      <c r="M2568" s="2"/>
      <c r="N2568" s="2"/>
      <c r="O2568" s="2"/>
      <c r="P2568" s="2"/>
      <c r="Q2568" s="2"/>
      <c r="R2568" s="2"/>
      <c r="S2568" s="2"/>
      <c r="T2568" s="2"/>
      <c r="U2568" s="2"/>
      <c r="V2568" s="2"/>
      <c r="W2568" s="2"/>
      <c r="X2568" s="2"/>
      <c r="Y2568" s="2"/>
      <c r="Z2568" s="2"/>
      <c r="AA2568" s="2"/>
    </row>
    <row r="2569">
      <c r="A2569" s="1" t="s">
        <v>5971</v>
      </c>
      <c r="B2569" s="1" t="s">
        <v>6106</v>
      </c>
      <c r="C2569" s="1" t="s">
        <v>6107</v>
      </c>
      <c r="D2569" s="2" t="str">
        <f>IFERROR(__xludf.DUMMYFUNCTION("GOOGLETRANSLATE(B2569, ""en"", ""TL"")"),"Tinutukoy ng isang hukom ang kakayahan ng isang nasasakdal na may sakit na saykayatriko na humarap sa paglilitis. Anong mga legal na pamantayan ang dapat gumabay sa proseso ng paggawa ng desisyon ng hukom?")</f>
        <v>Tinutukoy ng isang hukom ang kakayahan ng isang nasasakdal na may sakit na saykayatriko na humarap sa paglilitis. Anong mga legal na pamantayan ang dapat gumabay sa proseso ng paggawa ng desisyon ng hukom?</v>
      </c>
      <c r="E2569" s="2" t="str">
        <f>IFERROR(__xludf.DUMMYFUNCTION("GOOGLETRANSLATE(C2569, ""en"", ""TL"")"),"Kapag tinutukoy ng isang hukom ang kakayahan ng isang nasasakdal na may sakit na saykayatriko upang humarap sa paglilitis, dapat nilang sundin ang mga legal na pamantayan na gumagabay sa kanilang proseso ng paggawa ng desisyon. Ang mga legal na pamantayan"&amp;"g ito ay nag-iiba ayon sa hurisdiksyon ngunit sa pangkalahatan ay kinabibilangan ng mga sumusunod na pangunahing prinsipyo:
Pag-unawa sa Mga Pamamaraan: Ang nasasakdal ay dapat magkaroon ng sapat na pag-unawa sa kalikasan at layunin ng mga legal na pag"&amp;"lilitis laban sa kanila. Kabilang dito ang pag-unawa sa mga kasong kinakaharap nila, ang mga tungkulin ng hukom, hurado, tagausig, at abogado ng depensa, at ang mga posibleng kahihinatnan ng paglilitis.
Kakayahang Tumulong sa Depensa: Ang nasasakdal ay"&amp;" dapat na may kakayahang tumulong sa kanilang abogado sa pagtatanggol sa paghahanda at paglalahad ng kanilang kaso. Nangangailangan ito ng kakayahang makipag-usap sa kanilang abogado, magbigay ng may-katuturang impormasyon, gumawa ng mga desisyon tungkol "&amp;"sa mga legal na estratehiya, at lumahok sa proseso ng pagtatanggol.
Makatwirang Paggawa ng Desisyon: Ang nasasakdal ay dapat magkaroon ng kakayahan na makisali sa makatuwirang paggawa ng desisyon tungkol sa kanilang depensa. Kabilang dito ang pagtimban"&amp;"g sa mga potensyal na panganib at benepisyo ng iba't ibang legal na estratehiya, paggawa ng matalinong mga desisyon tungkol sa mga kasunduan sa plea, at pag-unawa sa mga kahihinatnan ng kanilang mga pagpipilian.
Pagsusuri ng Kakayahan: Ang hukom ay maa"&amp;"aring mag-utos ng pagsusuri sa kakayahan upang masuri ang kalagayan ng pag-iisip ng nasasakdal at kapasidad na humarap sa paglilitis. Ang pagsusuring ito ay karaniwang isinasagawa ng mga kwalipikadong propesyonal sa kalusugang pangkaisipan, tulad ng mga p"&amp;"sychiatrist o clinical psychologist, na tinatasa ang paggana ng pag-iisip ng nasasakdal, pag-unawa sa mga legal na paglilitis, at kakayahang tumulong sa kanilang pagtatanggol.
Legal na Presumption of Competence: Mayroong legal na pag-aakala na ang mga "&amp;"nasasakdal ay may kakayahang humarap sa paglilitis maliban kung mapatunayang iba. Ang pasanin ng patunay ay karaniwang nasa partidong humahamon sa kakayahan ng nasasakdal, tulad ng abogado ng depensa o tagausig, upang magbigay ng ebidensya na ang nasasakd"&amp;"al ay walang kapasidad na humarap sa paglilitis.
Mga Karapatan ng Nasasakdal: Dapat tiyakin ng hukom na ang mga karapatan ng nasasakdal ay protektado sa buong proseso ng pagpapasiya ng kakayahan. Kabilang dito ang karapatang maging kinatawan ng abogado"&amp;", ang karapatan sa isang patas at walang kinikilingan na pagsusuri, ang karapatang hamunin ang mga natuklasan sa pagsusuri ng kakayahan, at ang karapatan sa isang pagdinig bago gawin ang anumang pagpapasiya ng kawalan ng kakayahan.
Least Restrictive Al"&amp;"ternative: Kung ang nasasakdal ay napatunayang walang kakayahan na humarap sa paglilitis, dapat isaalang-alang ng hukom ang pinakakaunting paghihigpit na alternatibo sa paglilitis. Maaaring kabilang dito ang hindi boluntaryong pangako sa pasilidad ng kalu"&amp;"sugang pangkaisipan para sa paggamot hanggang ang nasasakdal ay ituring na may kakayahang humarap sa paglilitis o pagtanggal ng mga singil kung malabong maibalik ang kakayahan.
Sa pangkalahatan, dapat sumunod ang mga hukom sa mga legal na pamantayang i"&amp;"to upang matiyak na ang mga pagpapasiya ng kakayahan ay ginawa nang patas at tumpak, at na ang mga nasasakdal na may mga sakit sa isip ay tumatanggap ng kinakailangang suporta at kaluwagan upang mabisang makilahok sa legal na proseso.")</f>
        <v>Kapag tinutukoy ng isang hukom ang kakayahan ng isang nasasakdal na may sakit na saykayatriko upang humarap sa paglilitis, dapat nilang sundin ang mga legal na pamantayan na gumagabay sa kanilang proseso ng paggawa ng desisyon. Ang mga legal na pamantayang ito ay nag-iiba ayon sa hurisdiksyon ngunit sa pangkalahatan ay kinabibilangan ng mga sumusunod na pangunahing prinsipyo:
Pag-unawa sa Mga Pamamaraan: Ang nasasakdal ay dapat magkaroon ng sapat na pag-unawa sa kalikasan at layunin ng mga legal na paglilitis laban sa kanila. Kabilang dito ang pag-unawa sa mga kasong kinakaharap nila, ang mga tungkulin ng hukom, hurado, tagausig, at abogado ng depensa, at ang mga posibleng kahihinatnan ng paglilitis.
Kakayahang Tumulong sa Depensa: Ang nasasakdal ay dapat na may kakayahang tumulong sa kanilang abogado sa pagtatanggol sa paghahanda at paglalahad ng kanilang kaso. Nangangailangan ito ng kakayahang makipag-usap sa kanilang abogado, magbigay ng may-katuturang impormasyon, gumawa ng mga desisyon tungkol sa mga legal na estratehiya, at lumahok sa proseso ng pagtatanggol.
Makatwirang Paggawa ng Desisyon: Ang nasasakdal ay dapat magkaroon ng kakayahan na makisali sa makatuwirang paggawa ng desisyon tungkol sa kanilang depensa. Kabilang dito ang pagtimbang sa mga potensyal na panganib at benepisyo ng iba't ibang legal na estratehiya, paggawa ng matalinong mga desisyon tungkol sa mga kasunduan sa plea, at pag-unawa sa mga kahihinatnan ng kanilang mga pagpipilian.
Pagsusuri ng Kakayahan: Ang hukom ay maaaring mag-utos ng pagsusuri sa kakayahan upang masuri ang kalagayan ng pag-iisip ng nasasakdal at kapasidad na humarap sa paglilitis. Ang pagsusuring ito ay karaniwang isinasagawa ng mga kwalipikadong propesyonal sa kalusugang pangkaisipan, tulad ng mga psychiatrist o clinical psychologist, na tinatasa ang paggana ng pag-iisip ng nasasakdal, pag-unawa sa mga legal na paglilitis, at kakayahang tumulong sa kanilang pagtatanggol.
Legal na Presumption of Competence: Mayroong legal na pag-aakala na ang mga nasasakdal ay may kakayahang humarap sa paglilitis maliban kung mapatunayang iba. Ang pasanin ng patunay ay karaniwang nasa partidong humahamon sa kakayahan ng nasasakdal, tulad ng abogado ng depensa o tagausig, upang magbigay ng ebidensya na ang nasasakdal ay walang kapasidad na humarap sa paglilitis.
Mga Karapatan ng Nasasakdal: Dapat tiyakin ng hukom na ang mga karapatan ng nasasakdal ay protektado sa buong proseso ng pagpapasiya ng kakayahan. Kabilang dito ang karapatang maging kinatawan ng abogado, ang karapatan sa isang patas at walang kinikilingan na pagsusuri, ang karapatang hamunin ang mga natuklasan sa pagsusuri ng kakayahan, at ang karapatan sa isang pagdinig bago gawin ang anumang pagpapasiya ng kawalan ng kakayahan.
Least Restrictive Alternative: Kung ang nasasakdal ay napatunayang walang kakayahan na humarap sa paglilitis, dapat isaalang-alang ng hukom ang pinakakaunting paghihigpit na alternatibo sa paglilitis. Maaaring kabilang dito ang hindi boluntaryong pangako sa pasilidad ng kalusugang pangkaisipan para sa paggamot hanggang ang nasasakdal ay ituring na may kakayahang humarap sa paglilitis o pagtanggal ng mga singil kung malabong maibalik ang kakayahan.
Sa pangkalahatan, dapat sumunod ang mga hukom sa mga legal na pamantayang ito upang matiyak na ang mga pagpapasiya ng kakayahan ay ginawa nang patas at tumpak, at na ang mga nasasakdal na may mga sakit sa isip ay tumatanggap ng kinakailangang suporta at kaluwagan upang mabisang makilahok sa legal na proseso.</v>
      </c>
      <c r="F2569" s="2">
        <f t="shared" si="1"/>
        <v>0</v>
      </c>
      <c r="G2569" s="2"/>
      <c r="H2569" s="2"/>
      <c r="I2569" s="2"/>
      <c r="J2569" s="2"/>
      <c r="K2569" s="2"/>
      <c r="L2569" s="2"/>
      <c r="M2569" s="2"/>
      <c r="N2569" s="2"/>
      <c r="O2569" s="2"/>
      <c r="P2569" s="2"/>
      <c r="Q2569" s="2"/>
      <c r="R2569" s="2"/>
      <c r="S2569" s="2"/>
      <c r="T2569" s="2"/>
      <c r="U2569" s="2"/>
      <c r="V2569" s="2"/>
      <c r="W2569" s="2"/>
      <c r="X2569" s="2"/>
      <c r="Y2569" s="2"/>
      <c r="Z2569" s="2"/>
      <c r="AA2569" s="2"/>
    </row>
    <row r="2570">
      <c r="A2570" s="1" t="s">
        <v>5971</v>
      </c>
      <c r="B2570" s="1" t="s">
        <v>6108</v>
      </c>
      <c r="C2570" s="1" t="s">
        <v>6109</v>
      </c>
      <c r="D2570" s="2" t="str">
        <f>IFERROR(__xludf.DUMMYFUNCTION("GOOGLETRANSLATE(B2570, ""en"", ""TL"")"),"Ang nasasakdal na may sakit na saykayatriko ay pinalaya sa parol. Anong mga legal na hakbang ang maaaring ipatupad upang matiyak ang matagumpay na muling pagsasama ng indibidwal sa lipunan habang tinutugunan ang kanilang mga pangangailangan sa kalusugan n"&amp;"g isip?")</f>
        <v>Ang nasasakdal na may sakit na saykayatriko ay pinalaya sa parol. Anong mga legal na hakbang ang maaaring ipatupad upang matiyak ang matagumpay na muling pagsasama ng indibidwal sa lipunan habang tinutugunan ang kanilang mga pangangailangan sa kalusugan ng isip?</v>
      </c>
      <c r="E2570" s="2" t="str">
        <f>IFERROR(__xludf.DUMMYFUNCTION("GOOGLETRANSLATE(C2570, ""en"", ""TL"")"),"Kapag ang isang nasasakdal na may sakit na saykayatriko ay pinalaya sa parol, napakahalagang magpatupad ng mga legal na hakbang upang suportahan ang kanilang matagumpay na muling pagsasama sa lipunan habang tinutugunan ang kanilang mga pangangailangan sa "&amp;"kalusugan ng isip. Narito ang ilang pangunahing legal na hakbang na maaaring ipatupad:
Indibidwal na Reentry Plan: Bumuo ng isang indibidwal na plano sa muling pagpasok na tumutugon sa mga pangangailangan sa kalusugan ng isip ng indibidwal, kabilang an"&amp;"g access sa paggamot, pamamahala ng gamot, pagpapayo, at mga serbisyo ng suporta. Ang planong ito ay dapat na iayon sa mga partikular na kalagayan at mga kadahilanan ng panganib ng indibidwal.
Access sa Mental Health Services: Tiyakin na ang indibidwal"&amp;" ay may access sa mga serbisyo sa kalusugan ng isip kapag nakalaya, kabilang ang psychiatric evaluation, pamamahala ng gamot, therapy, at iba pang kinakailangang paggamot. Maaaring kabilang dito ang pagkonekta sa indibidwal sa mga tagapagbigay ng kalusuga"&amp;"ng pangkaisipan ng komunidad o pag-aayos para sa follow-up na pangangalaga.
Mga Serbisyo sa Pamamahala at Suporta sa Kaso: Magbigay ng pamamahala sa kaso at mga serbisyo ng suporta upang matulungan ang indibidwal na mag-navigate sa paglipat mula sa pag"&amp;"kakakulong patungo sa pamumuhay sa komunidad. Maaaring kabilang dito ang tulong sa pabahay, trabaho, edukasyon, transportasyon, pangangalagang pangkalusugan, at mga serbisyong panlipunan.
Mental Health Court o Specialty Courts: Isaalang-alang ang pagpa"&amp;"patala sa indibidwal sa isang mental health court o programa ng specialty court, kung magagamit, na partikular na idinisenyo upang tugunan ang mga pangangailangan ng mga indibidwal na may sakit sa isip na kasangkot sa sistema ng hustisyang kriminal. Ang m"&amp;"ga korte na ito ay nag-aalok ng mga alternatibong opsyon sa pagsentensiya, masinsinang pangangasiwa, at pag-access sa paggamot at mga serbisyo ng suporta.
Pansuportang Pabahay: Ayusin ang mga opsyon para sa suportang pabahay para sa mga indibidwal na m"&amp;"ay sakit sa pag-iisip na maaaring nahihirapang makakuha ng matatag na pabahay kapag nakalaya. Ang mga programang sumusuporta sa pabahay ay nagbibigay ng abot-kayang pabahay kasama ng mga serbisyong pansuporta, tulad ng pamamahala ng kaso, pagpapayo, at su"&amp;"porta ng mga kasamahan.
Mga Programa sa Paggamot na Nakabatay sa Komunidad: Hikayatin ang indibidwal na lumahok sa mga programa sa paggamot na nakabatay sa komunidad, tulad ng mga klinika sa kalusugan ng isip para sa outpatient, mga programa sa pang-ar"&amp;"aw-araw na paggamot, o mga grupong sumusuporta sa peer. Ang mga programang ito ay maaaring makatulong sa indibidwal na mapanatili ang katatagan, pamahalaan ang kanilang mga sintomas, at bumuo ng mga panlipunang koneksyon sa komunidad.
Pagpaplano ng Pam"&amp;"amagitan sa Krisis: Bumuo ng plano ng interbensyon sa krisis sa pakikipagtulungan ng mga propesyonal sa kalusugan ng isip, mga miyembro ng pamilya, at mga network ng suporta upang matugunan ang mga potensyal na krisis sa kalusugan ng isip o pagbabalik. An"&amp;"g planong ito ay dapat magbalangkas ng mga hakbang na gagawin kung sakaling magkaroon ng emergency at tukuyin ang mga mapagkukunan para sa agarang tulong.
Regular na Pagsubaybay at Pangangasiwa: Magbigay ng regular na pagsubaybay at pangangasiwa sa pag"&amp;"-unlad ng indibidwal at pagsunod sa mga kondisyon ng parol, kabilang ang pagsunod sa mga rekomendasyon sa paggamot at paglahok sa mga serbisyo ng suporta. Maaaring kabilang dito ang mga regular na pag-check-in sa mga opisyal ng parol, tagapagbigay ng kalu"&amp;"sugang pangkaisipan, at iba pang mga stakeholder.
Sa pangkalahatan, ang matagumpay na muling pagsasama ng mga indibidwal na may mga sakit sa isip sa lipunan ay nangangailangan ng isang holistic na diskarte na tumutugon sa kanilang mga pangangailangan s"&amp;"a kalusugang pangkaisipan, nagbibigay ng access sa mga serbisyo ng suporta, at nagtataguyod ng katatagan at pagsasarili sa komunidad. Sa pamamagitan ng pagpapatupad ng mga legal na hakbang upang suportahan ang muling pagsasama at tugunan ang mga pangangai"&amp;"langan sa kalusugan ng isip, ang mga indibidwal na may mga sakit sa saykayatriko ay maaaring magkaroon ng mas magandang pagkakataon na makamit ang matagumpay na mga resulta sa paglaya mula sa pagkakakulong.")</f>
        <v>Kapag ang isang nasasakdal na may sakit na saykayatriko ay pinalaya sa parol, napakahalagang magpatupad ng mga legal na hakbang upang suportahan ang kanilang matagumpay na muling pagsasama sa lipunan habang tinutugunan ang kanilang mga pangangailangan sa kalusugan ng isip. Narito ang ilang pangunahing legal na hakbang na maaaring ipatupad:
Indibidwal na Reentry Plan: Bumuo ng isang indibidwal na plano sa muling pagpasok na tumutugon sa mga pangangailangan sa kalusugan ng isip ng indibidwal, kabilang ang access sa paggamot, pamamahala ng gamot, pagpapayo, at mga serbisyo ng suporta. Ang planong ito ay dapat na iayon sa mga partikular na kalagayan at mga kadahilanan ng panganib ng indibidwal.
Access sa Mental Health Services: Tiyakin na ang indibidwal ay may access sa mga serbisyo sa kalusugan ng isip kapag nakalaya, kabilang ang psychiatric evaluation, pamamahala ng gamot, therapy, at iba pang kinakailangang paggamot. Maaaring kabilang dito ang pagkonekta sa indibidwal sa mga tagapagbigay ng kalusugang pangkaisipan ng komunidad o pag-aayos para sa follow-up na pangangalaga.
Mga Serbisyo sa Pamamahala at Suporta sa Kaso: Magbigay ng pamamahala sa kaso at mga serbisyo ng suporta upang matulungan ang indibidwal na mag-navigate sa paglipat mula sa pagkakakulong patungo sa pamumuhay sa komunidad. Maaaring kabilang dito ang tulong sa pabahay, trabaho, edukasyon, transportasyon, pangangalagang pangkalusugan, at mga serbisyong panlipunan.
Mental Health Court o Specialty Courts: Isaalang-alang ang pagpapatala sa indibidwal sa isang mental health court o programa ng specialty court, kung magagamit, na partikular na idinisenyo upang tugunan ang mga pangangailangan ng mga indibidwal na may sakit sa isip na kasangkot sa sistema ng hustisyang kriminal. Ang mga korte na ito ay nag-aalok ng mga alternatibong opsyon sa pagsentensiya, masinsinang pangangasiwa, at pag-access sa paggamot at mga serbisyo ng suporta.
Pansuportang Pabahay: Ayusin ang mga opsyon para sa suportang pabahay para sa mga indibidwal na may sakit sa pag-iisip na maaaring nahihirapang makakuha ng matatag na pabahay kapag nakalaya. Ang mga programang sumusuporta sa pabahay ay nagbibigay ng abot-kayang pabahay kasama ng mga serbisyong pansuporta, tulad ng pamamahala ng kaso, pagpapayo, at suporta ng mga kasamahan.
Mga Programa sa Paggamot na Nakabatay sa Komunidad: Hikayatin ang indibidwal na lumahok sa mga programa sa paggamot na nakabatay sa komunidad, tulad ng mga klinika sa kalusugan ng isip para sa outpatient, mga programa sa pang-araw-araw na paggamot, o mga grupong sumusuporta sa peer. Ang mga programang ito ay maaaring makatulong sa indibidwal na mapanatili ang katatagan, pamahalaan ang kanilang mga sintomas, at bumuo ng mga panlipunang koneksyon sa komunidad.
Pagpaplano ng Pamamagitan sa Krisis: Bumuo ng plano ng interbensyon sa krisis sa pakikipagtulungan ng mga propesyonal sa kalusugan ng isip, mga miyembro ng pamilya, at mga network ng suporta upang matugunan ang mga potensyal na krisis sa kalusugan ng isip o pagbabalik. Ang planong ito ay dapat magbalangkas ng mga hakbang na gagawin kung sakaling magkaroon ng emergency at tukuyin ang mga mapagkukunan para sa agarang tulong.
Regular na Pagsubaybay at Pangangasiwa: Magbigay ng regular na pagsubaybay at pangangasiwa sa pag-unlad ng indibidwal at pagsunod sa mga kondisyon ng parol, kabilang ang pagsunod sa mga rekomendasyon sa paggamot at paglahok sa mga serbisyo ng suporta. Maaaring kabilang dito ang mga regular na pag-check-in sa mga opisyal ng parol, tagapagbigay ng kalusugang pangkaisipan, at iba pang mga stakeholder.
Sa pangkalahatan, ang matagumpay na muling pagsasama ng mga indibidwal na may mga sakit sa isip sa lipunan ay nangangailangan ng isang holistic na diskarte na tumutugon sa kanilang mga pangangailangan sa kalusugang pangkaisipan, nagbibigay ng access sa mga serbisyo ng suporta, at nagtataguyod ng katatagan at pagsasarili sa komunidad. Sa pamamagitan ng pagpapatupad ng mga legal na hakbang upang suportahan ang muling pagsasama at tugunan ang mga pangangailangan sa kalusugan ng isip, ang mga indibidwal na may mga sakit sa saykayatriko ay maaaring magkaroon ng mas magandang pagkakataon na makamit ang matagumpay na mga resulta sa paglaya mula sa pagkakakulong.</v>
      </c>
      <c r="F2570" s="2">
        <f t="shared" si="1"/>
        <v>0</v>
      </c>
      <c r="G2570" s="2"/>
      <c r="H2570" s="2"/>
      <c r="I2570" s="2"/>
      <c r="J2570" s="2"/>
      <c r="K2570" s="2"/>
      <c r="L2570" s="2"/>
      <c r="M2570" s="2"/>
      <c r="N2570" s="2"/>
      <c r="O2570" s="2"/>
      <c r="P2570" s="2"/>
      <c r="Q2570" s="2"/>
      <c r="R2570" s="2"/>
      <c r="S2570" s="2"/>
      <c r="T2570" s="2"/>
      <c r="U2570" s="2"/>
      <c r="V2570" s="2"/>
      <c r="W2570" s="2"/>
      <c r="X2570" s="2"/>
      <c r="Y2570" s="2"/>
      <c r="Z2570" s="2"/>
      <c r="AA2570" s="2"/>
    </row>
    <row r="2571">
      <c r="A2571" s="1" t="s">
        <v>5971</v>
      </c>
      <c r="B2571" s="1" t="s">
        <v>6110</v>
      </c>
      <c r="C2571" s="1" t="s">
        <v>6111</v>
      </c>
      <c r="D2571" s="2" t="str">
        <f>IFERROR(__xludf.DUMMYFUNCTION("GOOGLETRANSLATE(B2571, ""en"", ""TL"")"),"Ang isang indibidwal na may sakit na saykayatriko ay nagsasabing nakagawa siya ng krimen dahil sa impluwensya ng kanilang kalagayan sa kalusugang pangkaisipan. Anong mga legal na hakbang ang dapat gawin upang masuri ang bisa ng claim na ito?")</f>
        <v>Ang isang indibidwal na may sakit na saykayatriko ay nagsasabing nakagawa siya ng krimen dahil sa impluwensya ng kanilang kalagayan sa kalusugang pangkaisipan. Anong mga legal na hakbang ang dapat gawin upang masuri ang bisa ng claim na ito?</v>
      </c>
      <c r="E2571" s="2" t="str">
        <f>IFERROR(__xludf.DUMMYFUNCTION("GOOGLETRANSLATE(C2571, ""en"", ""TL"")"),"Kapag ang isang indibidwal na may sakit sa isip ay nag-claim na nakagawa ng krimen dahil sa impluwensya ng kanilang kalagayan sa kalusugan ng isip, mahalagang gumawa ng ilang legal na hakbang upang masuri ang bisa ng claim na ito. Narito ang ilang mahahal"&amp;"agang aksyon na dapat isaalang-alang:
Pagsusuri ng Mental Health Professionals: Ang unang hakbang ay ang pagpapasuri sa indibidwal ng mga kwalipikadong propesyonal sa kalusugan ng isip, gaya ng mga psychiatrist o clinical psychologist. Maaaring tasahin"&amp;" ng mga propesyonal na ito ang kalagayan ng kalusugan ng isip ng indibidwal, matukoy kung may papel ito sa paggawa ng di-umano'y krimen, at magbigay ng ekspertong opinyon sa kalagayan ng pag-iisip ng indibidwal sa oras ng pagkakasala.
Sikolohikal na Pa"&amp;"gtatasa: Ang isang komprehensibong sikolohikal na pagtatasa ay dapat isagawa upang suriin ang paggana ng pag-iisip ng indibidwal, emosyonal na estado, at anumang mga sintomas ng psychiatric na maaaring nararanasan nila. Maaaring kabilang sa pagtatasa na i"&amp;"to ang mga panayam, pagsusuri sa sikolohikal, at pagsusuri ng mga medikal na rekord at iba pang nauugnay na impormasyon.
Pagsasaalang-alang sa Mga Legal na Pamantayan: Dapat isaalang-alang ng pagtatasa ang mga legal na pamantayan para sa pagtatasa ng e"&amp;"stado ng pag-iisip sa mga kasong kriminal, tulad ng pagtatanggol sa pagkabaliw o pagbaba ng kapasidad. Ang mga pamantayang ito ay maaaring mag-iba depende sa hurisdiksyon ngunit sa pangkalahatan ay nangangailangan ng patunay na ang indibidwal ay walang ka"&amp;"pasidad na maunawaan ang kalikasan at kahihinatnan ng kanilang mga aksyon o upang iayon ang kanilang pag-uugali sa mga kinakailangan ng batas.
Pagsusuri sa Kasaysayan ng Kaso: Mahalagang suriin ang kasaysayan ng kaso ng indibidwal, kabilang ang anumang"&amp;" mga naunang pagsusuri, mga talaan ng paggamot, at kasaysayan ng paggamot sa kalusugan ng isip o pag-ospital. Maaari itong magbigay ng mahalagang insight sa kasaysayan ng kalusugan ng isip ng indibidwal at anumang mga pattern ng pag-uugali na maaaring nau"&amp;"ugnay sa kasalukuyang kaso.
Konsultasyon sa mga Legal na Eksperto: Ang mga abogado ng depensa ay dapat kumunsulta sa mga eksperto sa batas, tulad ng mga forensic psychologist o psychiatrist, na dalubhasa sa intersection ng kalusugan ng isip at ng batas"&amp;". Ang mga ekspertong ito ay maaaring magbigay ng patnubay sa mga legal na pamantayan, batas ng kaso, at mga diskarte para sa pagpapakita ng ebidensya ng kalagayan ng kalusugan ng isip ng indibidwal sa korte.
Paglalahad ng Ebidensya: Kung sinusuportahan"&amp;" ng pagtatasa ang pag-angkin ng indibidwal ng isang pagtatanggol sa kalusugan ng isip, ang abogado ng depensa ay maaaring magpakita ng ebidensya ng kalagayan ng kalusugan ng isip ng indibidwal sa panahon ng mga legal na paglilitis. Maaaring kabilang dito "&amp;"ang testimonya ng eksperto, mga medikal na rekord, at iba pang nauugnay na ebidensya upang suportahan ang argumento ng depensa.
Negosasyon sa Prosekusyon: Sa ilang mga kaso, ang abogado ng depensa ay maaaring makipag-ayos sa prosekusyon upang maabot an"&amp;"g isang kasunduan sa plea na isinasaalang-alang ang kalagayan ng kalusugan ng isip ng indibidwal. Maaaring kabilang dito ang mga pinababang singil, mga alternatibong opsyon sa pagsentensiya, o paglilipat sa mga programa sa paggamot sa kalusugan ng isip.
"&amp;"
Sa pangkalahatan, ang pagtatasa sa bisa ng isang claim ng paggawa ng krimen dahil sa impluwensya ng isang kondisyon sa kalusugan ng isip ay nangangailangan ng masusing pagsusuri ng mga kwalipikadong propesyonal, pagsasaalang-alang sa mga legal na pamant"&amp;"ayan, at estratehikong legal na adbokasiya upang matiyak na ang mga karapatan ng indibidwal ay protektado at ang kanilang kalusugang pangkaisipan. ang mga pangangailangan ay mabisang tinutugunan sa loob ng sistema ng hustisyang pangkriminal.")</f>
        <v>Kapag ang isang indibidwal na may sakit sa isip ay nag-claim na nakagawa ng krimen dahil sa impluwensya ng kanilang kalagayan sa kalusugan ng isip, mahalagang gumawa ng ilang legal na hakbang upang masuri ang bisa ng claim na ito. Narito ang ilang mahahalagang aksyon na dapat isaalang-alang:
Pagsusuri ng Mental Health Professionals: Ang unang hakbang ay ang pagpapasuri sa indibidwal ng mga kwalipikadong propesyonal sa kalusugan ng isip, gaya ng mga psychiatrist o clinical psychologist. Maaaring tasahin ng mga propesyonal na ito ang kalagayan ng kalusugan ng isip ng indibidwal, matukoy kung may papel ito sa paggawa ng di-umano'y krimen, at magbigay ng ekspertong opinyon sa kalagayan ng pag-iisip ng indibidwal sa oras ng pagkakasala.
Sikolohikal na Pagtatasa: Ang isang komprehensibong sikolohikal na pagtatasa ay dapat isagawa upang suriin ang paggana ng pag-iisip ng indibidwal, emosyonal na estado, at anumang mga sintomas ng psychiatric na maaaring nararanasan nila. Maaaring kabilang sa pagtatasa na ito ang mga panayam, pagsusuri sa sikolohikal, at pagsusuri ng mga medikal na rekord at iba pang nauugnay na impormasyon.
Pagsasaalang-alang sa Mga Legal na Pamantayan: Dapat isaalang-alang ng pagtatasa ang mga legal na pamantayan para sa pagtatasa ng estado ng pag-iisip sa mga kasong kriminal, tulad ng pagtatanggol sa pagkabaliw o pagbaba ng kapasidad. Ang mga pamantayang ito ay maaaring mag-iba depende sa hurisdiksyon ngunit sa pangkalahatan ay nangangailangan ng patunay na ang indibidwal ay walang kapasidad na maunawaan ang kalikasan at kahihinatnan ng kanilang mga aksyon o upang iayon ang kanilang pag-uugali sa mga kinakailangan ng batas.
Pagsusuri sa Kasaysayan ng Kaso: Mahalagang suriin ang kasaysayan ng kaso ng indibidwal, kabilang ang anumang mga naunang pagsusuri, mga talaan ng paggamot, at kasaysayan ng paggamot sa kalusugan ng isip o pag-ospital. Maaari itong magbigay ng mahalagang insight sa kasaysayan ng kalusugan ng isip ng indibidwal at anumang mga pattern ng pag-uugali na maaaring nauugnay sa kasalukuyang kaso.
Konsultasyon sa mga Legal na Eksperto: Ang mga abogado ng depensa ay dapat kumunsulta sa mga eksperto sa batas, tulad ng mga forensic psychologist o psychiatrist, na dalubhasa sa intersection ng kalusugan ng isip at ng batas. Ang mga ekspertong ito ay maaaring magbigay ng patnubay sa mga legal na pamantayan, batas ng kaso, at mga diskarte para sa pagpapakita ng ebidensya ng kalagayan ng kalusugan ng isip ng indibidwal sa korte.
Paglalahad ng Ebidensya: Kung sinusuportahan ng pagtatasa ang pag-angkin ng indibidwal ng isang pagtatanggol sa kalusugan ng isip, ang abogado ng depensa ay maaaring magpakita ng ebidensya ng kalagayan ng kalusugan ng isip ng indibidwal sa panahon ng mga legal na paglilitis. Maaaring kabilang dito ang testimonya ng eksperto, mga medikal na rekord, at iba pang nauugnay na ebidensya upang suportahan ang argumento ng depensa.
Negosasyon sa Prosekusyon: Sa ilang mga kaso, ang abogado ng depensa ay maaaring makipag-ayos sa prosekusyon upang maabot ang isang kasunduan sa plea na isinasaalang-alang ang kalagayan ng kalusugan ng isip ng indibidwal. Maaaring kabilang dito ang mga pinababang singil, mga alternatibong opsyon sa pagsentensiya, o paglilipat sa mga programa sa paggamot sa kalusugan ng isip.
Sa pangkalahatan, ang pagtatasa sa bisa ng isang claim ng paggawa ng krimen dahil sa impluwensya ng isang kondisyon sa kalusugan ng isip ay nangangailangan ng masusing pagsusuri ng mga kwalipikadong propesyonal, pagsasaalang-alang sa mga legal na pamantayan, at estratehikong legal na adbokasiya upang matiyak na ang mga karapatan ng indibidwal ay protektado at ang kanilang kalusugang pangkaisipan. ang mga pangangailangan ay mabisang tinutugunan sa loob ng sistema ng hustisyang pangkriminal.</v>
      </c>
      <c r="F2571" s="2">
        <f t="shared" si="1"/>
        <v>0</v>
      </c>
      <c r="G2571" s="2"/>
      <c r="H2571" s="2"/>
      <c r="I2571" s="2"/>
      <c r="J2571" s="2"/>
      <c r="K2571" s="2"/>
      <c r="L2571" s="2"/>
      <c r="M2571" s="2"/>
      <c r="N2571" s="2"/>
      <c r="O2571" s="2"/>
      <c r="P2571" s="2"/>
      <c r="Q2571" s="2"/>
      <c r="R2571" s="2"/>
      <c r="S2571" s="2"/>
      <c r="T2571" s="2"/>
      <c r="U2571" s="2"/>
      <c r="V2571" s="2"/>
      <c r="W2571" s="2"/>
      <c r="X2571" s="2"/>
      <c r="Y2571" s="2"/>
      <c r="Z2571" s="2"/>
      <c r="AA2571" s="2"/>
    </row>
    <row r="2572">
      <c r="A2572" s="3" t="s">
        <v>6112</v>
      </c>
      <c r="B2572" s="1" t="s">
        <v>6113</v>
      </c>
      <c r="C2572" s="1" t="s">
        <v>6114</v>
      </c>
      <c r="D2572" s="2" t="str">
        <f>IFERROR(__xludf.DUMMYFUNCTION("GOOGLETRANSLATE(B2572, ""en"", ""TL"")"),"Ang isang abogado ng depensa ay kumakatawan sa isang kliyente na may sakit na saykayatriko na nahaharap sa diskriminasyon sa loob ng legal na sistema. Anong mga legal na aksyon ang maaaring gawin ng abogado upang matugunan ang mga isyung ito?")</f>
        <v>Ang isang abogado ng depensa ay kumakatawan sa isang kliyente na may sakit na saykayatriko na nahaharap sa diskriminasyon sa loob ng legal na sistema. Anong mga legal na aksyon ang maaaring gawin ng abogado upang matugunan ang mga isyung ito?</v>
      </c>
      <c r="E2572" s="2" t="str">
        <f>IFERROR(__xludf.DUMMYFUNCTION("GOOGLETRANSLATE(C2572, ""en"", ""TL"")"),"Kapag kinakatawan ang isang kliyenteng may sakit na saykayatriko na nahaharap sa diskriminasyon sa loob ng legal na sistema, maaaring gumawa ng ilang legal na aksyon ang isang abogado ng depensa upang matugunan ang mga isyung ito at matiyak na ang mga kar"&amp;"apatan ng kanilang kliyente ay protektado. Narito ang ilang potensyal na hakbang na maaaring gawin ng abogado:
Humiling ng Mga Akomodasyon: Ang abogado ng depensa ay maaaring humiling ng mga akomodasyon para sa kanilang kliyente alinsunod sa mga batas "&amp;"ng mga karapatan sa kapansanan. Maaaring kabilang dito ang mga akomodasyon tulad ng pagbibigay ng tahimik na espasyo para sa mga pagpupulong, pagbibigay ng karagdagang oras para sa komunikasyon o pag-unawa, o pagbibigay ng mga alternatibong format para sa"&amp;" mga dokumento ng hukuman.
Hamon sa Diskriminasyong Paggamot: Kung naniniwala ang abogado ng depensa na ang kanilang kliyente ay nadidiskrimina dahil sa kanilang sakit sa isip, maaari nilang hamunin ang naturang paggamot sa pamamagitan ng legal na para"&amp;"an. Maaaring kabilang dito ang paghahain ng mga reklamo sa mga may-katuturang awtoridad, tulad ng opisina ng administratibo ng korte o isang komisyon sa karapatang pantao, at pagtataguyod para sa mga karapatan ng kliyente na mapangalagaan.
Turuan ang M"&amp;"ga Tauhan ng Korte: Maaaring turuan ng abogado ng depensa ang mga tauhan ng hukuman, kabilang ang mga hukom, klerk, at bailiff, tungkol sa mga sakit sa isip at mga kaluwagan na kailangan upang matiyak ang patas na pagtrato sa kanilang kliyente. Maaaring k"&amp;"abilang dito ang pagbibigay ng impormasyon tungkol sa kondisyon ng kliyente, ang epekto nito sa kanilang kakayahang lumahok sa mga legal na paglilitis, at ang mga legal na obligasyong magbigay ng makatwirang mga kaluwagan.
Humingi ng Ekspertong Patotoo"&amp;": Ang abogado ng depensa ay maaaring humingi ng ekspertong patotoo mula sa mga propesyonal sa kalusugan ng isip upang suportahan ang kaso ng kanilang kliyente. Makakatulong ang patotoo ng eksperto upang turuan ang korte tungkol sa likas na katangian ng mg"&amp;"a sakit sa isip, ang epekto ng mga ito sa pag-uugali at paggawa ng desisyon ng mga indibidwal, at ang pangangailangan para sa mga kaluwagan upang matiyak ang patas na pagtrato sa mga legal na paglilitis.
Maghain ng Mga Mosyon para sa Relief: Kung ang s"&amp;"akit sa isip ng kliyente ay lubos na nakakapinsala sa kanilang kakayahang lumahok sa mga legal na paglilitis o tumanggap ng patas na paglilitis, ang abogado ng depensa ay maaaring maghain ng mga mosyon para sa kaluwagan. Maaaring kabilang dito ang mga mos"&amp;"yon para sa pagpapatuloy, mga mosyon para sugpuin ang ebidensyang nakuha sa pamamagitan ng diskriminasyong pagtrato, o mga mosyon para tuluyang i-dismiss ang kaso.
Tagapagtanggol para sa Paggamot: Maaaring itaguyod ng abogado ng depensa ang kanilang kl"&amp;"iyente na makatanggap ng naaangkop na paggamot para sa kanilang sakit sa isip, kapwa sa loob ng legal na sistema at sa komunidad. Maaaring kabilang dito ang pakikipagtulungan sa mga propesyonal sa kalusugan ng isip, mga tagapagbigay ng paggamot, at mga ah"&amp;"ensya ng serbisyong panlipunan upang matiyak na ang mga pangangailangan ng kliyente ay natutugunan at na sila ay mabisang lumahok sa kanilang pagtatanggol.
Sa pangkalahatan, ang tungkulin ng abogado ng depensa ay masigasig na itaguyod ang mga karapatan"&amp;" at interes ng kanilang kliyente, kabilang ang pagtiyak na sila ay tratuhin nang patas at walang diskriminasyon dahil sa kanilang sakit sa isip. Sa pamamagitan ng pagsasagawa ng mga proactive na legal na aksyon at pagtataguyod para sa mga pangangailangan "&amp;"ng kanilang kliyente, makakatulong ang abogado ng depensa na tugunan ang diskriminasyong pagtrato sa loob ng legal na sistema at matiyak na ang kanilang kliyente ay makakatanggap ng patas na paglilitis.")</f>
        <v>Kapag kinakatawan ang isang kliyenteng may sakit na saykayatriko na nahaharap sa diskriminasyon sa loob ng legal na sistema, maaaring gumawa ng ilang legal na aksyon ang isang abogado ng depensa upang matugunan ang mga isyung ito at matiyak na ang mga karapatan ng kanilang kliyente ay protektado. Narito ang ilang potensyal na hakbang na maaaring gawin ng abogado:
Humiling ng Mga Akomodasyon: Ang abogado ng depensa ay maaaring humiling ng mga akomodasyon para sa kanilang kliyente alinsunod sa mga batas ng mga karapatan sa kapansanan. Maaaring kabilang dito ang mga akomodasyon tulad ng pagbibigay ng tahimik na espasyo para sa mga pagpupulong, pagbibigay ng karagdagang oras para sa komunikasyon o pag-unawa, o pagbibigay ng mga alternatibong format para sa mga dokumento ng hukuman.
Hamon sa Diskriminasyong Paggamot: Kung naniniwala ang abogado ng depensa na ang kanilang kliyente ay nadidiskrimina dahil sa kanilang sakit sa isip, maaari nilang hamunin ang naturang paggamot sa pamamagitan ng legal na paraan. Maaaring kabilang dito ang paghahain ng mga reklamo sa mga may-katuturang awtoridad, tulad ng opisina ng administratibo ng korte o isang komisyon sa karapatang pantao, at pagtataguyod para sa mga karapatan ng kliyente na mapangalagaan.
Turuan ang Mga Tauhan ng Korte: Maaaring turuan ng abogado ng depensa ang mga tauhan ng hukuman, kabilang ang mga hukom, klerk, at bailiff, tungkol sa mga sakit sa isip at mga kaluwagan na kailangan upang matiyak ang patas na pagtrato sa kanilang kliyente. Maaaring kabilang dito ang pagbibigay ng impormasyon tungkol sa kondisyon ng kliyente, ang epekto nito sa kanilang kakayahang lumahok sa mga legal na paglilitis, at ang mga legal na obligasyong magbigay ng makatwirang mga kaluwagan.
Humingi ng Ekspertong Patotoo: Ang abogado ng depensa ay maaaring humingi ng ekspertong patotoo mula sa mga propesyonal sa kalusugan ng isip upang suportahan ang kaso ng kanilang kliyente. Makakatulong ang patotoo ng eksperto upang turuan ang korte tungkol sa likas na katangian ng mga sakit sa isip, ang epekto ng mga ito sa pag-uugali at paggawa ng desisyon ng mga indibidwal, at ang pangangailangan para sa mga kaluwagan upang matiyak ang patas na pagtrato sa mga legal na paglilitis.
Maghain ng Mga Mosyon para sa Relief: Kung ang sakit sa isip ng kliyente ay lubos na nakakapinsala sa kanilang kakayahang lumahok sa mga legal na paglilitis o tumanggap ng patas na paglilitis, ang abogado ng depensa ay maaaring maghain ng mga mosyon para sa kaluwagan. Maaaring kabilang dito ang mga mosyon para sa pagpapatuloy, mga mosyon para sugpuin ang ebidensyang nakuha sa pamamagitan ng diskriminasyong pagtrato, o mga mosyon para tuluyang i-dismiss ang kaso.
Tagapagtanggol para sa Paggamot: Maaaring itaguyod ng abogado ng depensa ang kanilang kliyente na makatanggap ng naaangkop na paggamot para sa kanilang sakit sa isip, kapwa sa loob ng legal na sistema at sa komunidad. Maaaring kabilang dito ang pakikipagtulungan sa mga propesyonal sa kalusugan ng isip, mga tagapagbigay ng paggamot, at mga ahensya ng serbisyong panlipunan upang matiyak na ang mga pangangailangan ng kliyente ay natutugunan at na sila ay mabisang lumahok sa kanilang pagtatanggol.
Sa pangkalahatan, ang tungkulin ng abogado ng depensa ay masigasig na itaguyod ang mga karapatan at interes ng kanilang kliyente, kabilang ang pagtiyak na sila ay tratuhin nang patas at walang diskriminasyon dahil sa kanilang sakit sa isip. Sa pamamagitan ng pagsasagawa ng mga proactive na legal na aksyon at pagtataguyod para sa mga pangangailangan ng kanilang kliyente, makakatulong ang abogado ng depensa na tugunan ang diskriminasyong pagtrato sa loob ng legal na sistema at matiyak na ang kanilang kliyente ay makakatanggap ng patas na paglilitis.</v>
      </c>
      <c r="F2572" s="2">
        <f t="shared" si="1"/>
        <v>0</v>
      </c>
      <c r="G2572" s="2"/>
      <c r="H2572" s="2"/>
      <c r="I2572" s="2"/>
      <c r="J2572" s="2"/>
      <c r="K2572" s="2"/>
      <c r="L2572" s="2"/>
      <c r="M2572" s="2"/>
      <c r="N2572" s="2"/>
      <c r="O2572" s="2"/>
      <c r="P2572" s="2"/>
      <c r="Q2572" s="2"/>
      <c r="R2572" s="2"/>
      <c r="S2572" s="2"/>
      <c r="T2572" s="2"/>
      <c r="U2572" s="2"/>
      <c r="V2572" s="2"/>
      <c r="W2572" s="2"/>
      <c r="X2572" s="2"/>
      <c r="Y2572" s="2"/>
      <c r="Z2572" s="2"/>
      <c r="AA2572" s="2"/>
    </row>
    <row r="2573">
      <c r="A2573" s="3" t="s">
        <v>6112</v>
      </c>
      <c r="B2573" s="1" t="s">
        <v>6115</v>
      </c>
      <c r="C2573" s="1" t="s">
        <v>6116</v>
      </c>
      <c r="D2573" s="2" t="str">
        <f>IFERROR(__xludf.DUMMYFUNCTION("GOOGLETRANSLATE(B2573, ""en"", ""TL"")"),"Paano binibigyang kahulugan ang human trafficking sa ilalim ng batas ng Pilipinas?")</f>
        <v>Paano binibigyang kahulugan ang human trafficking sa ilalim ng batas ng Pilipinas?</v>
      </c>
      <c r="E2573" s="2" t="str">
        <f>IFERROR(__xludf.DUMMYFUNCTION("GOOGLETRANSLATE(C2573, ""en"", ""TL"")"),"Sa Pilipinas, ang human trafficking ay tinukoy at tinutugunan sa ilalim ng Republic Act No. 9208, na kilala rin bilang ""Anti-Trafficking in Persons Act of 2003,"" at ang mga kasunod na pagbabago nito. Ang batas na ito ay nagbibigay ng komprehensibong bal"&amp;"angkas para sa pagpigil at paglaban sa human trafficking, gayundin sa pagprotekta at pagtulong sa mga biktima. Sa ilalim ng batas ng Pilipinas, ang human trafficking ay tinukoy bilang mga sumusunod:
Acts of Trafficking in Persons: Ang human trafficking"&amp;" ay sumasaklaw sa isang hanay ng mga aksyon na kinasasangkutan ng pangangalap, transportasyon, paglilipat, pagkukulong, o pagtanggap ng mga tao, kapwa sa loob ng bansa at internasyonal. Ang mga gawaing ito ay maaaring isagawa sa iba't ibang paraan, kabila"&amp;"ng ang pamimilit, panlilinlang, pandaraya, pang-aabuso sa kapangyarihan, o pagsasamantala sa kahinaan.
Layunin ng Pagsasamantala: Ang trafficking ng mga tao ay nagsasangkot ng pagsasamantala sa mga indibidwal para sa iba't ibang layunin, kabilang ang s"&amp;"apilitang paggawa, sekswal na pagsasamantala, pang-aalipin, di-sinasadyang pagkaalipin, pagkaalipin sa utang, o organ trafficking. Kinikilala ng batas na ang mga biktima ng trafficking ay maaaring sumailalim sa iba't ibang anyo ng pagsasamantala at ginaga"&amp;"wang kriminal ang lahat ng naturang gawain.
Walang Kaugnayan ang Pahintulot: Mahalaga, sa ilalim ng batas ng Pilipinas, ang pahintulot ng biktima ay walang kaugnayan sa pagtukoy kung ang isang pagkakasala ng trafficking ng mga tao ay nagawa. Kahit na a"&amp;"ng isang tao ay lumilitaw na pumayag na ma-trapik, kung sila ay sumasailalim sa pagsasamantala sa pamamagitan ng pamimilit o mapanlinlang na paraan, ito ay itinuturing pa rin na human trafficking.
Nagpapalubha ng mga Sirkumstansya: Tinutukoy ng batas a"&amp;"ng mga nagpapalubha na pangyayari na maaaring magpapataas sa kalubhaan ng pagkakasala, tulad ng trafficking ng mga menor de edad, trafficking na ginawa ng mga pampublikong opisyal o empleyado, trafficking na kinasasangkutan ng karahasan, pagbabanta, o pan"&amp;"anakot, at trafficking na ginawa ng mga sindikato o organisadong grupo.
Mga Parusa: Ang mga gumagawa ng mga paglabag sa human trafficking ay nahaharap sa malalaking parusa sa ilalim ng batas ng Pilipinas, kabilang ang pagkakulong, multa, at iba pang mg"&amp;"a parusa. Ang mga parusa ay proporsyonal sa kalubhaan ng pagkakasala at maaaring pahusayin para sa mga nagpapalubha na pangyayari.
Sa pangkalahatan, ang kahulugan ng human trafficking sa ilalim ng batas ng Pilipinas ay malawak at sumasaklaw sa iba't ib"&amp;"ang anyo ng pagsasamantala at paraan ng pamimilit o panlilinlang. Nilalayon ng batas na labanan ang trafficking ng mga tao nang komprehensibo sa pamamagitan ng pagkriminalisa sa lahat ng aspeto ng proseso ng trafficking, pagbibigay ng proteksyon at tulong"&amp;" sa mga biktima, at pagtataguyod ng kooperasyon ng mga ahensya ng gobyerno at iba pang stakeholder sa pagtugon sa krimeng ito.")</f>
        <v>Sa Pilipinas, ang human trafficking ay tinukoy at tinutugunan sa ilalim ng Republic Act No. 9208, na kilala rin bilang "Anti-Trafficking in Persons Act of 2003," at ang mga kasunod na pagbabago nito. Ang batas na ito ay nagbibigay ng komprehensibong balangkas para sa pagpigil at paglaban sa human trafficking, gayundin sa pagprotekta at pagtulong sa mga biktima. Sa ilalim ng batas ng Pilipinas, ang human trafficking ay tinukoy bilang mga sumusunod:
Acts of Trafficking in Persons: Ang human trafficking ay sumasaklaw sa isang hanay ng mga aksyon na kinasasangkutan ng pangangalap, transportasyon, paglilipat, pagkukulong, o pagtanggap ng mga tao, kapwa sa loob ng bansa at internasyonal. Ang mga gawaing ito ay maaaring isagawa sa iba't ibang paraan, kabilang ang pamimilit, panlilinlang, pandaraya, pang-aabuso sa kapangyarihan, o pagsasamantala sa kahinaan.
Layunin ng Pagsasamantala: Ang trafficking ng mga tao ay nagsasangkot ng pagsasamantala sa mga indibidwal para sa iba't ibang layunin, kabilang ang sapilitang paggawa, sekswal na pagsasamantala, pang-aalipin, di-sinasadyang pagkaalipin, pagkaalipin sa utang, o organ trafficking. Kinikilala ng batas na ang mga biktima ng trafficking ay maaaring sumailalim sa iba't ibang anyo ng pagsasamantala at ginagawang kriminal ang lahat ng naturang gawain.
Walang Kaugnayan ang Pahintulot: Mahalaga, sa ilalim ng batas ng Pilipinas, ang pahintulot ng biktima ay walang kaugnayan sa pagtukoy kung ang isang pagkakasala ng trafficking ng mga tao ay nagawa. Kahit na ang isang tao ay lumilitaw na pumayag na ma-trapik, kung sila ay sumasailalim sa pagsasamantala sa pamamagitan ng pamimilit o mapanlinlang na paraan, ito ay itinuturing pa rin na human trafficking.
Nagpapalubha ng mga Sirkumstansya: Tinutukoy ng batas ang mga nagpapalubha na pangyayari na maaaring magpapataas sa kalubhaan ng pagkakasala, tulad ng trafficking ng mga menor de edad, trafficking na ginawa ng mga pampublikong opisyal o empleyado, trafficking na kinasasangkutan ng karahasan, pagbabanta, o pananakot, at trafficking na ginawa ng mga sindikato o organisadong grupo.
Mga Parusa: Ang mga gumagawa ng mga paglabag sa human trafficking ay nahaharap sa malalaking parusa sa ilalim ng batas ng Pilipinas, kabilang ang pagkakulong, multa, at iba pang mga parusa. Ang mga parusa ay proporsyonal sa kalubhaan ng pagkakasala at maaaring pahusayin para sa mga nagpapalubha na pangyayari.
Sa pangkalahatan, ang kahulugan ng human trafficking sa ilalim ng batas ng Pilipinas ay malawak at sumasaklaw sa iba't ibang anyo ng pagsasamantala at paraan ng pamimilit o panlilinlang. Nilalayon ng batas na labanan ang trafficking ng mga tao nang komprehensibo sa pamamagitan ng pagkriminalisa sa lahat ng aspeto ng proseso ng trafficking, pagbibigay ng proteksyon at tulong sa mga biktima, at pagtataguyod ng kooperasyon ng mga ahensya ng gobyerno at iba pang stakeholder sa pagtugon sa krimeng ito.</v>
      </c>
      <c r="F2573" s="2">
        <f t="shared" si="1"/>
        <v>0</v>
      </c>
      <c r="G2573" s="2"/>
      <c r="H2573" s="2"/>
      <c r="I2573" s="2"/>
      <c r="J2573" s="2"/>
      <c r="K2573" s="2"/>
      <c r="L2573" s="2"/>
      <c r="M2573" s="2"/>
      <c r="N2573" s="2"/>
      <c r="O2573" s="2"/>
      <c r="P2573" s="2"/>
      <c r="Q2573" s="2"/>
      <c r="R2573" s="2"/>
      <c r="S2573" s="2"/>
      <c r="T2573" s="2"/>
      <c r="U2573" s="2"/>
      <c r="V2573" s="2"/>
      <c r="W2573" s="2"/>
      <c r="X2573" s="2"/>
      <c r="Y2573" s="2"/>
      <c r="Z2573" s="2"/>
      <c r="AA2573" s="2"/>
    </row>
    <row r="2574">
      <c r="A2574" s="3" t="s">
        <v>6112</v>
      </c>
      <c r="B2574" s="1" t="s">
        <v>6117</v>
      </c>
      <c r="C2574" s="1" t="s">
        <v>6118</v>
      </c>
      <c r="D2574" s="2" t="str">
        <f>IFERROR(__xludf.DUMMYFUNCTION("GOOGLETRANSLATE(B2574, ""en"", ""TL"")"),"Anong mga legal na hakbang ang inilalagay upang maiwasan at labanan ang human trafficking?")</f>
        <v>Anong mga legal na hakbang ang inilalagay upang maiwasan at labanan ang human trafficking?</v>
      </c>
      <c r="E2574" s="2" t="str">
        <f>IFERROR(__xludf.DUMMYFUNCTION("GOOGLETRANSLATE(C2574, ""en"", ""TL"")"),"Ang mga legal na hakbang upang maiwasan at labanan ang human trafficking ay nag-iiba-iba ayon sa hurisdiksyon, ngunit sa pangkalahatan ay kinabibilangan ang mga ito ng kumbinasyon ng mga batas na kriminal, mga hakbang sa pagprotekta sa biktima, mga pagsis"&amp;"ikap sa pag-iwas, at internasyonal na pakikipagtulungan. Narito ang ilang karaniwang mga legal na hakbang para matugunan ang human trafficking:
Kriminalisasyon: Partikular na ginagawang kriminal ng mga batas ang mga aktibidad ng human trafficking, kabi"&amp;"lang ang pangangalap, transportasyon, paglilipat, pagkukulong, o pagtanggap ng mga tao para sa pagsasamantala. Ang mga batas na ito ay kadalasang nagdadala ng matinding parusa para sa mga may kasalanan, tulad ng pagkakulong, multa, at pag-alis ng asset.
"&amp;"
Proteksyon sa Biktima: Tinitiyak ng mga legal na probisyon ang proteksyon at tulong ng mga biktima ng trafficking, kabilang ang access sa tirahan, pangangalagang medikal, pagpapayo, tulong legal, at iba pang mga serbisyo ng suporta. Ang mga biktima ay k"&amp;"adalasang binibigyan ng tulong sa imigrasyon, pagiging kumpidensyal, at mga pananggalang laban sa karagdagang pagsasamantala.
Mga Programa sa Pag-iwas: Ang mga pamahalaan ay nagpapatupad ng mga programa sa pag-iwas upang itaas ang kamalayan tungkol sa "&amp;"human trafficking, turuan ang mga komunidad tungkol sa mga panganib at palatandaan ng trafficking, at isulong ang pag-uulat ng mga pinaghihinalaang kaso. Ang mga pagsisikap sa pag-iwas ay maaaring mag-target ng mga mahihinang populasyon, tulad ng mga migr"&amp;"ante, kababaihan, bata, at marginalized na grupo.
International Cooperation: Ang mga bansa ay nakikipagtulungan sa isa't isa at sa mga internasyonal na organisasyon upang labanan ang human trafficking sa pamamagitan ng pagbabahagi ng impormasyon, magka"&amp;"sanib na pagsisiyasat, pagpapalaki ng kapasidad, at pagpapalitan ng pinakamahuhusay na kagawian. Pinapadali ng mga bilateral at multilateral na kasunduan ang pakikipagtulungan sa pagtugon sa mga network ng trafficking na tumatakbo sa mga hangganan.
Reg"&amp;"ulasyon ng Paggawa at Migrasyon: Kinokontrol ng mga pamahalaan ang labor recruitment at migration upang maiwasan ang pagsasamantala at trafficking ng mga manggagawa. Kabilang dito ang paglilisensya at pangangasiwa sa mga ahensya ng recruitment, pagpapatup"&amp;"ad ng mga pamantayan sa paggawa, at mga hakbang upang protektahan ang mga karapatan ng mga migranteng manggagawa.
Proteksyon ng mga Bata: Ang mga legal na hakbang ay nakatuon sa pagprotekta sa mga bata mula sa trafficking at pagsasamantala, kabilang an"&amp;"g mga batas na nagbabawal sa child labor, child sex trafficking, at child marriage. Ang mga pamahalaan ay nagpapatupad ng mga patakaran sa proteksyon ng bata, nagbibigay ng access sa edukasyon, at nagpapalakas ng mga sistema ng kapakanan ng bata upang mai"&amp;"wasan at tumugon sa trafficking ng mga bata.
Pananagutan ng Kumpanya: Ang ilang mga hurisdiksyon ay nagpapataw ng mga legal na obligasyon sa mga korporasyon upang tugunan ang human trafficking sa kanilang mga operasyon at supply chain. Maaaring kabilan"&amp;"g dito ang mga kinakailangan para sa angkop na pagsusumikap, transparency, at pag-uulat sa mga pagsisikap na pigilan at pagaanin ang panganib ng trafficking.
Mga Ulat sa Trafficking in Persons: Maraming bansa ang gumagawa ng taunang mga ulat ng Traffic"&amp;"king in Persons (TIP) upang masuri ang mga pagsisikap na labanan ang trafficking at magbigay ng mga rekomendasyon para sa pagpapabuti. Ang mga ulat na ito ay nagsisilbing kasangkapan para sa pananagutan at pagsubaybay sa pag-unlad sa pagtugon sa trafficki"&amp;"ng sa pambansa at internasyonal na antas.
Sa pangkalahatan, ang mga legal na hakbang upang maiwasan at labanan ang human trafficking ay naglalayong guluhin ang mga network ng trafficking, protektahan ang mga biktima, panagutin ang mga may kasalanan, at"&amp;" isulong ang pakikipagtulungan sa pagitan ng mga pamahalaan, civil society, at iba pang stakeholder sa paglaban sa krimeng ito.")</f>
        <v>Ang mga legal na hakbang upang maiwasan at labanan ang human trafficking ay nag-iiba-iba ayon sa hurisdiksyon, ngunit sa pangkalahatan ay kinabibilangan ang mga ito ng kumbinasyon ng mga batas na kriminal, mga hakbang sa pagprotekta sa biktima, mga pagsisikap sa pag-iwas, at internasyonal na pakikipagtulungan. Narito ang ilang karaniwang mga legal na hakbang para matugunan ang human trafficking:
Kriminalisasyon: Partikular na ginagawang kriminal ng mga batas ang mga aktibidad ng human trafficking, kabilang ang pangangalap, transportasyon, paglilipat, pagkukulong, o pagtanggap ng mga tao para sa pagsasamantala. Ang mga batas na ito ay kadalasang nagdadala ng matinding parusa para sa mga may kasalanan, tulad ng pagkakulong, multa, at pag-alis ng asset.
Proteksyon sa Biktima: Tinitiyak ng mga legal na probisyon ang proteksyon at tulong ng mga biktima ng trafficking, kabilang ang access sa tirahan, pangangalagang medikal, pagpapayo, tulong legal, at iba pang mga serbisyo ng suporta. Ang mga biktima ay kadalasang binibigyan ng tulong sa imigrasyon, pagiging kumpidensyal, at mga pananggalang laban sa karagdagang pagsasamantala.
Mga Programa sa Pag-iwas: Ang mga pamahalaan ay nagpapatupad ng mga programa sa pag-iwas upang itaas ang kamalayan tungkol sa human trafficking, turuan ang mga komunidad tungkol sa mga panganib at palatandaan ng trafficking, at isulong ang pag-uulat ng mga pinaghihinalaang kaso. Ang mga pagsisikap sa pag-iwas ay maaaring mag-target ng mga mahihinang populasyon, tulad ng mga migrante, kababaihan, bata, at marginalized na grupo.
International Cooperation: Ang mga bansa ay nakikipagtulungan sa isa't isa at sa mga internasyonal na organisasyon upang labanan ang human trafficking sa pamamagitan ng pagbabahagi ng impormasyon, magkasanib na pagsisiyasat, pagpapalaki ng kapasidad, at pagpapalitan ng pinakamahuhusay na kagawian. Pinapadali ng mga bilateral at multilateral na kasunduan ang pakikipagtulungan sa pagtugon sa mga network ng trafficking na tumatakbo sa mga hangganan.
Regulasyon ng Paggawa at Migrasyon: Kinokontrol ng mga pamahalaan ang labor recruitment at migration upang maiwasan ang pagsasamantala at trafficking ng mga manggagawa. Kabilang dito ang paglilisensya at pangangasiwa sa mga ahensya ng recruitment, pagpapatupad ng mga pamantayan sa paggawa, at mga hakbang upang protektahan ang mga karapatan ng mga migranteng manggagawa.
Proteksyon ng mga Bata: Ang mga legal na hakbang ay nakatuon sa pagprotekta sa mga bata mula sa trafficking at pagsasamantala, kabilang ang mga batas na nagbabawal sa child labor, child sex trafficking, at child marriage. Ang mga pamahalaan ay nagpapatupad ng mga patakaran sa proteksyon ng bata, nagbibigay ng access sa edukasyon, at nagpapalakas ng mga sistema ng kapakanan ng bata upang maiwasan at tumugon sa trafficking ng mga bata.
Pananagutan ng Kumpanya: Ang ilang mga hurisdiksyon ay nagpapataw ng mga legal na obligasyon sa mga korporasyon upang tugunan ang human trafficking sa kanilang mga operasyon at supply chain. Maaaring kabilang dito ang mga kinakailangan para sa angkop na pagsusumikap, transparency, at pag-uulat sa mga pagsisikap na pigilan at pagaanin ang panganib ng trafficking.
Mga Ulat sa Trafficking in Persons: Maraming bansa ang gumagawa ng taunang mga ulat ng Trafficking in Persons (TIP) upang masuri ang mga pagsisikap na labanan ang trafficking at magbigay ng mga rekomendasyon para sa pagpapabuti. Ang mga ulat na ito ay nagsisilbing kasangkapan para sa pananagutan at pagsubaybay sa pag-unlad sa pagtugon sa trafficking sa pambansa at internasyonal na antas.
Sa pangkalahatan, ang mga legal na hakbang upang maiwasan at labanan ang human trafficking ay naglalayong guluhin ang mga network ng trafficking, protektahan ang mga biktima, panagutin ang mga may kasalanan, at isulong ang pakikipagtulungan sa pagitan ng mga pamahalaan, civil society, at iba pang stakeholder sa paglaban sa krimeng ito.</v>
      </c>
      <c r="F2574" s="2">
        <f t="shared" si="1"/>
        <v>0</v>
      </c>
      <c r="G2574" s="2"/>
      <c r="H2574" s="2"/>
      <c r="I2574" s="2"/>
      <c r="J2574" s="2"/>
      <c r="K2574" s="2"/>
      <c r="L2574" s="2"/>
      <c r="M2574" s="2"/>
      <c r="N2574" s="2"/>
      <c r="O2574" s="2"/>
      <c r="P2574" s="2"/>
      <c r="Q2574" s="2"/>
      <c r="R2574" s="2"/>
      <c r="S2574" s="2"/>
      <c r="T2574" s="2"/>
      <c r="U2574" s="2"/>
      <c r="V2574" s="2"/>
      <c r="W2574" s="2"/>
      <c r="X2574" s="2"/>
      <c r="Y2574" s="2"/>
      <c r="Z2574" s="2"/>
      <c r="AA2574" s="2"/>
    </row>
    <row r="2575">
      <c r="A2575" s="3" t="s">
        <v>6112</v>
      </c>
      <c r="B2575" s="1" t="s">
        <v>6119</v>
      </c>
      <c r="C2575" s="1" t="s">
        <v>6120</v>
      </c>
      <c r="D2575" s="2" t="str">
        <f>IFERROR(__xludf.DUMMYFUNCTION("GOOGLETRANSLATE(B2575, ""en"", ""TL"")"),"Paano tinutugunan ng batas ang pangangalap, transportasyon, paglilipat, o pagkukulong ng mga tao para sa pagsasamantala?")</f>
        <v>Paano tinutugunan ng batas ang pangangalap, transportasyon, paglilipat, o pagkukulong ng mga tao para sa pagsasamantala?</v>
      </c>
      <c r="E2575" s="2" t="str">
        <f>IFERROR(__xludf.DUMMYFUNCTION("GOOGLETRANSLATE(C2575, ""en"", ""TL"")"),"Ang pangangalap, transportasyon, paglipat, o pagkukulong ng mga tao para sa pagsasamantala ay karaniwang tinutugunan ng mga batas na partikular na nagta-target ng human trafficking. Ang mga batas na ito ay naglalayon na gawing kriminal at pigilan ang iba'"&amp;"t ibang anyo ng pagsasamantala, tulad ng sapilitang paggawa, pagsasamantalang seksuwal, pang-aalipin, at di-boluntaryong paglilingkod. Narito ang ilang karaniwang paraan kung saan tinutugunan ng batas ang mga aktibidad na ito:
Kriminalisasyon: Ang mga "&amp;"batas sa human trafficking ay tahasang ginagawang kriminal ang pangangalap, transportasyon, paglilipat, o pagkukulong ng mga tao para sa layunin ng pagsasamantala. Ang mga aktibidad na ito ay kadalasang malawak na binibigyang kahulugan upang sumaklaw sa i"&amp;"ba't ibang anyo ng pagsasamantala at maaaring may kasamang mga elemento tulad ng pamimilit, panlilinlang, pandaraya, o pang-aabuso sa kapangyarihan.
Mga Partikular na Pagkakasala: Maaaring ilarawan ng mga batas sa human trafficking ang mga partikular n"&amp;"a pagkakasala na nauugnay sa iba't ibang aspeto ng trafficking, gaya ng recruitment, transportasyon, paglipat, o pagkukulong. Ang mga pagkakasala na ito ay maaaring magkaroon ng natatanging mga parusa batay sa kalubhaan ng krimen at sa mga partikular na p"&amp;"angyayaring kasangkot.
Mga Parusa: Ang mga gumagawa ng mga paglabag sa human trafficking ay nahaharap sa malalaking parusa sa ilalim ng batas, kabilang ang pagkakulong, multa, at pag-alis ng asset. Ang mga parusa ay karaniwang proporsyonal sa kalubhaan"&amp;" ng pagkakasala at maaaring pahusayin para sa nagpapalubha na mga salik tulad ng pagkakasangkot ng mga menor de edad, paggamit ng karahasan, o pagkakasangkot ng organisadong krimen.
Extraterritorial Jurisdiction: Maraming batas sa human trafficking ang"&amp;" nagbibigay ng extraterritorial jurisdiction, na nagpapahintulot sa pag-uusig ng mga pagkakasala sa trafficking na ginawa sa ibang bansa ng mga nasyonal o residente ng bansang nag-uusig. Binibigyang-daan nito ang mga awtoridad na tugisin ang mga trafficke"&amp;"r na nagpapatakbo sa mga internasyonal na hangganan.
Proteksyon ng mga Biktima: Ang mga batas ng human trafficking ay kadalasang kinabibilangan ng mga probisyon para sa proteksyon ng mga biktima ng trafficking, kabilang ang mga hakbang upang matiyak an"&amp;"g kanilang kaligtasan, magbigay ng access sa mga serbisyo ng suporta, at maiwasan ang karagdagang pagsasamantala. Ang mga biktima ay maaaring bigyan ng tulong sa imigrasyon, access sa tirahan, pangangalagang medikal, tulong legal, at iba pang mga anyo ng "&amp;"suporta.
Pag-iwas at Kamalayan: Bilang karagdagan sa pagkriminal ng mga paglabag sa trafficking, maaaring kabilang sa mga batas ang mga probisyon para sa mga pagsusumikap sa pag-iwas at mga kampanya ng pampublikong kamalayan upang turuan ang mga komuni"&amp;"dad tungkol sa mga palatandaan ng trafficking, isulong ang pag-uulat ng mga pinaghihinalaang kaso, at hadlangan ang mga potensyal na trafficker.
Sa pangkalahatan, ang mga batas sa human trafficking ay may mahalagang papel sa paglaban sa pagsasamantala "&amp;"at pagprotekta sa mga karapatan at dignidad ng mga mahihinang indibidwal. Sa pamamagitan ng pagkriminalisa sa recruitment, transportasyon, paglipat, at pagkukulong para sa pagsasamantala, ang mga batas na ito ay naglalayon na panagutin ang mga may kasalan"&amp;"an, maiwasan ang higit pang pambibiktima, at itaguyod ang hustisya para sa mga nakaligtas sa trafficking.")</f>
        <v>Ang pangangalap, transportasyon, paglipat, o pagkukulong ng mga tao para sa pagsasamantala ay karaniwang tinutugunan ng mga batas na partikular na nagta-target ng human trafficking. Ang mga batas na ito ay naglalayon na gawing kriminal at pigilan ang iba't ibang anyo ng pagsasamantala, tulad ng sapilitang paggawa, pagsasamantalang seksuwal, pang-aalipin, at di-boluntaryong paglilingkod. Narito ang ilang karaniwang paraan kung saan tinutugunan ng batas ang mga aktibidad na ito:
Kriminalisasyon: Ang mga batas sa human trafficking ay tahasang ginagawang kriminal ang pangangalap, transportasyon, paglilipat, o pagkukulong ng mga tao para sa layunin ng pagsasamantala. Ang mga aktibidad na ito ay kadalasang malawak na binibigyang kahulugan upang sumaklaw sa iba't ibang anyo ng pagsasamantala at maaaring may kasamang mga elemento tulad ng pamimilit, panlilinlang, pandaraya, o pang-aabuso sa kapangyarihan.
Mga Partikular na Pagkakasala: Maaaring ilarawan ng mga batas sa human trafficking ang mga partikular na pagkakasala na nauugnay sa iba't ibang aspeto ng trafficking, gaya ng recruitment, transportasyon, paglipat, o pagkukulong. Ang mga pagkakasala na ito ay maaaring magkaroon ng natatanging mga parusa batay sa kalubhaan ng krimen at sa mga partikular na pangyayaring kasangkot.
Mga Parusa: Ang mga gumagawa ng mga paglabag sa human trafficking ay nahaharap sa malalaking parusa sa ilalim ng batas, kabilang ang pagkakulong, multa, at pag-alis ng asset. Ang mga parusa ay karaniwang proporsyonal sa kalubhaan ng pagkakasala at maaaring pahusayin para sa nagpapalubha na mga salik tulad ng pagkakasangkot ng mga menor de edad, paggamit ng karahasan, o pagkakasangkot ng organisadong krimen.
Extraterritorial Jurisdiction: Maraming batas sa human trafficking ang nagbibigay ng extraterritorial jurisdiction, na nagpapahintulot sa pag-uusig ng mga pagkakasala sa trafficking na ginawa sa ibang bansa ng mga nasyonal o residente ng bansang nag-uusig. Binibigyang-daan nito ang mga awtoridad na tugisin ang mga trafficker na nagpapatakbo sa mga internasyonal na hangganan.
Proteksyon ng mga Biktima: Ang mga batas ng human trafficking ay kadalasang kinabibilangan ng mga probisyon para sa proteksyon ng mga biktima ng trafficking, kabilang ang mga hakbang upang matiyak ang kanilang kaligtasan, magbigay ng access sa mga serbisyo ng suporta, at maiwasan ang karagdagang pagsasamantala. Ang mga biktima ay maaaring bigyan ng tulong sa imigrasyon, access sa tirahan, pangangalagang medikal, tulong legal, at iba pang mga anyo ng suporta.
Pag-iwas at Kamalayan: Bilang karagdagan sa pagkriminal ng mga paglabag sa trafficking, maaaring kabilang sa mga batas ang mga probisyon para sa mga pagsusumikap sa pag-iwas at mga kampanya ng pampublikong kamalayan upang turuan ang mga komunidad tungkol sa mga palatandaan ng trafficking, isulong ang pag-uulat ng mga pinaghihinalaang kaso, at hadlangan ang mga potensyal na trafficker.
Sa pangkalahatan, ang mga batas sa human trafficking ay may mahalagang papel sa paglaban sa pagsasamantala at pagprotekta sa mga karapatan at dignidad ng mga mahihinang indibidwal. Sa pamamagitan ng pagkriminalisa sa recruitment, transportasyon, paglipat, at pagkukulong para sa pagsasamantala, ang mga batas na ito ay naglalayon na panagutin ang mga may kasalanan, maiwasan ang higit pang pambibiktima, at itaguyod ang hustisya para sa mga nakaligtas sa trafficking.</v>
      </c>
      <c r="F2575" s="2">
        <f t="shared" si="1"/>
        <v>0</v>
      </c>
      <c r="G2575" s="2"/>
      <c r="H2575" s="2"/>
      <c r="I2575" s="2"/>
      <c r="J2575" s="2"/>
      <c r="K2575" s="2"/>
      <c r="L2575" s="2"/>
      <c r="M2575" s="2"/>
      <c r="N2575" s="2"/>
      <c r="O2575" s="2"/>
      <c r="P2575" s="2"/>
      <c r="Q2575" s="2"/>
      <c r="R2575" s="2"/>
      <c r="S2575" s="2"/>
      <c r="T2575" s="2"/>
      <c r="U2575" s="2"/>
      <c r="V2575" s="2"/>
      <c r="W2575" s="2"/>
      <c r="X2575" s="2"/>
      <c r="Y2575" s="2"/>
      <c r="Z2575" s="2"/>
      <c r="AA2575" s="2"/>
    </row>
    <row r="2576">
      <c r="A2576" s="3" t="s">
        <v>6112</v>
      </c>
      <c r="B2576" s="1" t="s">
        <v>6121</v>
      </c>
      <c r="C2576" s="1" t="s">
        <v>6122</v>
      </c>
      <c r="D2576" s="2" t="str">
        <f>IFERROR(__xludf.DUMMYFUNCTION("GOOGLETRANSLATE(B2576, ""en"", ""TL"")"),"Ano ang papel ng mga ahensyang nagpapatupad ng batas sa pag-iimbestiga at pag-uusig sa mga kaso ng human trafficking?")</f>
        <v>Ano ang papel ng mga ahensyang nagpapatupad ng batas sa pag-iimbestiga at pag-uusig sa mga kaso ng human trafficking?</v>
      </c>
      <c r="E2576" s="2" t="str">
        <f>IFERROR(__xludf.DUMMYFUNCTION("GOOGLETRANSLATE(C2576, ""en"", ""TL"")"),"Ang mga ahensyang nagpapatupad ng batas ay may mahalagang papel sa pagsisiyasat at pag-uusig sa mga kaso ng human trafficking. Kabilang sa kanilang mga responsibilidad ang pagtukoy at paghuli sa mga trafficker, pagliligtas sa mga biktima, pangangalap ng e"&amp;"bidensya, at pakikipagtulungan sa ibang mga ahensya at stakeholder upang dalhin ang mga trafficker sa hustisya. Narito ang ilang mahahalagang aspeto ng tungkulin ng tagapagpatupad ng batas sa paglaban sa human trafficking:
Pagsisiyasat: Ang mga ahensya"&amp;"ng nagpapatupad ng batas ay may pananagutan sa pagsisiyasat ng mga paratang ng human trafficking. Kabilang dito ang pagsasagawa ng mga panayam, pangangalap ng ebidensya, pagsasagawa ng pagsubaybay, at pangangalap ng katalinuhan upang makilala ang mga netw"&amp;"ork ng trafficking at mga may kasalanan.
Mga Rescue Operations: Ang mga ahensyang nagpapatupad ng batas ay kadalasang nangunguna sa mga rescue operation upang palayain ang mga biktima ng trafficking mula sa mga mapagsamantalang sitwasyon. Ang mga opera"&amp;"syong ito ay maaaring may kasamang mga pinag-ugnay na pagsisikap sa ibang mga ahensya, tulad ng mga serbisyong panlipunan, imigrasyon, at mga non-government na organisasyon (NGO).
Pag-aresto at Pag-uusig: Kapag natukoy ang mga trafficker, ang mga ahens"&amp;"yang nagpapatupad ng batas ay nagsisikap na hulihin at arestuhin sila. Maaaring kabilang dito ang pangangalap ng sapat na ebidensya upang suportahan ang mga kasong kriminal, pagkuha ng mga warrant of arrest, at pagpapatupad ng mga pag-aresto.
Pagkilala"&amp;" at Pagtulong sa Biktima: Ang mga ahensyang nagpapatupad ng batas ay may tungkuling tukuyin ang mga biktima ng trafficking sa mga indibidwal na nakatagpo sa panahon ng mga pagsisiyasat o operasyon. Gumaganap din sila ng mahalagang papel sa pagkonekta sa m"&amp;"ga biktima sa mga serbisyo ng suporta, tulad ng tirahan, pangangalagang medikal, pagpapayo, tulong legal, at tulong sa imigrasyon.
Pakikipagtulungan sa Interagency: Ang mga ahensyang nagpapatupad ng batas ay madalas na nakikipagtulungan sa ibang mga ah"&amp;"ensya ng gobyerno, tulad ng mga awtoridad sa imigrasyon, mga departamento ng paggawa, at mga ahensya ng proteksyon ng bata, pati na rin ang mga internasyonal na kasosyo, upang labanan ang human trafficking. Ang kooperasyong ito ay nagpapahusay sa pagbabah"&amp;"agi ng impormasyon, nagpapadali sa magkasanib na operasyon, at nagpapalakas ng mga pagsisikap na gambalain ang mga network ng trafficking.
Pagsasanay at Pagbuo ng Kapasidad: Ang mga ahensyang nagpapatupad ng batas ay nagbibigay ng mga programa sa pagsa"&amp;"sanay at pagpapalaki ng kapasidad para sa kanilang mga tauhan upang pahusayin ang kanilang pang-unawa sa dinamika ng human trafficking, mga diskarte na nakasentro sa biktima, at epektibong mga diskarte sa pagsisiyasat. Nakakatulong ito na matiyak na ang m"&amp;"ga opisyal ng pagpapatupad ng batas ay may kagamitan upang matukoy at tumugon sa mga kaso ng trafficking nang epektibo.
Pampublikong Kamalayan at Outreach: Ang mga ahensyang nagpapatupad ng batas ay maaaring makisali sa mga kampanya ng pampublikong kam"&amp;"alayan upang turuan ang mga komunidad tungkol sa mga palatandaan ng human trafficking at hikayatin ang pag-uulat ng mga kahina-hinalang aktibidad. Nagsasagawa rin sila ng mga aktibidad sa outreach upang bumuo ng tiwala sa mga mahihinang populasyon at hika"&amp;"yatin ang mga biktima na lumapit para sa tulong.
Sa pangkalahatan, ang mga ahensyang nagpapatupad ng batas ay may mahalagang papel sa pagsisiyasat, pag-uusig, at pagpigil sa human trafficking, nagtatrabaho kasama ng iba pang mga stakeholder upang lansa"&amp;"gin ang mga network ng trafficking, iligtas ang mga biktima, at panagutin ang mga may kasalanan para sa kanilang mga krimen.")</f>
        <v>Ang mga ahensyang nagpapatupad ng batas ay may mahalagang papel sa pagsisiyasat at pag-uusig sa mga kaso ng human trafficking. Kabilang sa kanilang mga responsibilidad ang pagtukoy at paghuli sa mga trafficker, pagliligtas sa mga biktima, pangangalap ng ebidensya, at pakikipagtulungan sa ibang mga ahensya at stakeholder upang dalhin ang mga trafficker sa hustisya. Narito ang ilang mahahalagang aspeto ng tungkulin ng tagapagpatupad ng batas sa paglaban sa human trafficking:
Pagsisiyasat: Ang mga ahensyang nagpapatupad ng batas ay may pananagutan sa pagsisiyasat ng mga paratang ng human trafficking. Kabilang dito ang pagsasagawa ng mga panayam, pangangalap ng ebidensya, pagsasagawa ng pagsubaybay, at pangangalap ng katalinuhan upang makilala ang mga network ng trafficking at mga may kasalanan.
Mga Rescue Operations: Ang mga ahensyang nagpapatupad ng batas ay kadalasang nangunguna sa mga rescue operation upang palayain ang mga biktima ng trafficking mula sa mga mapagsamantalang sitwasyon. Ang mga operasyong ito ay maaaring may kasamang mga pinag-ugnay na pagsisikap sa ibang mga ahensya, tulad ng mga serbisyong panlipunan, imigrasyon, at mga non-government na organisasyon (NGO).
Pag-aresto at Pag-uusig: Kapag natukoy ang mga trafficker, ang mga ahensyang nagpapatupad ng batas ay nagsisikap na hulihin at arestuhin sila. Maaaring kabilang dito ang pangangalap ng sapat na ebidensya upang suportahan ang mga kasong kriminal, pagkuha ng mga warrant of arrest, at pagpapatupad ng mga pag-aresto.
Pagkilala at Pagtulong sa Biktima: Ang mga ahensyang nagpapatupad ng batas ay may tungkuling tukuyin ang mga biktima ng trafficking sa mga indibidwal na nakatagpo sa panahon ng mga pagsisiyasat o operasyon. Gumaganap din sila ng mahalagang papel sa pagkonekta sa mga biktima sa mga serbisyo ng suporta, tulad ng tirahan, pangangalagang medikal, pagpapayo, tulong legal, at tulong sa imigrasyon.
Pakikipagtulungan sa Interagency: Ang mga ahensyang nagpapatupad ng batas ay madalas na nakikipagtulungan sa ibang mga ahensya ng gobyerno, tulad ng mga awtoridad sa imigrasyon, mga departamento ng paggawa, at mga ahensya ng proteksyon ng bata, pati na rin ang mga internasyonal na kasosyo, upang labanan ang human trafficking. Ang kooperasyong ito ay nagpapahusay sa pagbabahagi ng impormasyon, nagpapadali sa magkasanib na operasyon, at nagpapalakas ng mga pagsisikap na gambalain ang mga network ng trafficking.
Pagsasanay at Pagbuo ng Kapasidad: Ang mga ahensyang nagpapatupad ng batas ay nagbibigay ng mga programa sa pagsasanay at pagpapalaki ng kapasidad para sa kanilang mga tauhan upang pahusayin ang kanilang pang-unawa sa dinamika ng human trafficking, mga diskarte na nakasentro sa biktima, at epektibong mga diskarte sa pagsisiyasat. Nakakatulong ito na matiyak na ang mga opisyal ng pagpapatupad ng batas ay may kagamitan upang matukoy at tumugon sa mga kaso ng trafficking nang epektibo.
Pampublikong Kamalayan at Outreach: Ang mga ahensyang nagpapatupad ng batas ay maaaring makisali sa mga kampanya ng pampublikong kamalayan upang turuan ang mga komunidad tungkol sa mga palatandaan ng human trafficking at hikayatin ang pag-uulat ng mga kahina-hinalang aktibidad. Nagsasagawa rin sila ng mga aktibidad sa outreach upang bumuo ng tiwala sa mga mahihinang populasyon at hikayatin ang mga biktima na lumapit para sa tulong.
Sa pangkalahatan, ang mga ahensyang nagpapatupad ng batas ay may mahalagang papel sa pagsisiyasat, pag-uusig, at pagpigil sa human trafficking, nagtatrabaho kasama ng iba pang mga stakeholder upang lansagin ang mga network ng trafficking, iligtas ang mga biktima, at panagutin ang mga may kasalanan para sa kanilang mga krimen.</v>
      </c>
      <c r="F2576" s="2">
        <f t="shared" si="1"/>
        <v>0</v>
      </c>
      <c r="G2576" s="2"/>
      <c r="H2576" s="2"/>
      <c r="I2576" s="2"/>
      <c r="J2576" s="2"/>
      <c r="K2576" s="2"/>
      <c r="L2576" s="2"/>
      <c r="M2576" s="2"/>
      <c r="N2576" s="2"/>
      <c r="O2576" s="2"/>
      <c r="P2576" s="2"/>
      <c r="Q2576" s="2"/>
      <c r="R2576" s="2"/>
      <c r="S2576" s="2"/>
      <c r="T2576" s="2"/>
      <c r="U2576" s="2"/>
      <c r="V2576" s="2"/>
      <c r="W2576" s="2"/>
      <c r="X2576" s="2"/>
      <c r="Y2576" s="2"/>
      <c r="Z2576" s="2"/>
      <c r="AA2576" s="2"/>
    </row>
    <row r="2577">
      <c r="A2577" s="3" t="s">
        <v>6112</v>
      </c>
      <c r="B2577" s="1" t="s">
        <v>6123</v>
      </c>
      <c r="C2577" s="1" t="s">
        <v>6124</v>
      </c>
      <c r="D2577" s="2" t="str">
        <f>IFERROR(__xludf.DUMMYFUNCTION("GOOGLETRANSLATE(B2577, ""en"", ""TL"")"),"Mayroon bang mga partikular na legal na probisyon para sa proteksyon ng mga biktima ng human trafficking?")</f>
        <v>Mayroon bang mga partikular na legal na probisyon para sa proteksyon ng mga biktima ng human trafficking?</v>
      </c>
      <c r="E2577" s="2" t="str">
        <f>IFERROR(__xludf.DUMMYFUNCTION("GOOGLETRANSLATE(C2577, ""en"", ""TL"")"),"Oo, ang Pilipinas ay may mga partikular na legal na probisyon para sa proteksyon ng mga biktima ng human trafficking. Ang mga probisyong ito ay pangunahing nakabalangkas sa Republic Act No. 9208, na kilala rin bilang ""Anti-Trafficking in Persons Act of 2"&amp;"003,"" at ang mga kasunod na pagbabago nito. Ang ilang mahahalagang probisyon para sa proteksyon ng mga biktima ng trafficking sa ilalim ng batas ng Pilipinas ay kinabibilangan ng:
Mga Kautusan sa Proteksyon: Ang batas ay nagpapahintulot sa mga korte na m"&amp;"aglabas ng mga utos ng proteksyon upang matiyak ang kaligtasan at kagalingan ng mga biktima ng trafficking. Maaaring kabilang sa mga utos na ito ang mga probisyon gaya ng mga restraining order, no-contact order, at mga order para maiwasan ang karagdagang "&amp;"pagsasamantala o pinsala sa biktima.
Pagiging Kompidensyal at Pagkapribado: Pinoprotektahan ng batas ang pagiging kompidensiyal at pagkapribado ng mga biktima ng trafficking sa mga legal na paglilitis. Ang mga biktima ay may karapatan sa anonymity, at ang"&amp;" kanilang mga pagkakakilanlan ay dapat panatilihing kumpidensyal upang maiwasan ang karagdagang pinsala o paghihiganti.
Access sa Mga Serbisyo: Ang mga biktima ng trafficking ay may karapatan na ma-access ang isang hanay ng mga serbisyo upang suportahan a"&amp;"ng kanilang pagbawi at rehabilitasyon. Maaaring kabilang sa mga serbisyong ito ang tirahan, pangangalagang medikal at sikolohikal, tulong legal, edukasyon at bokasyonal na pagsasanay, at suporta sa muling pagsasama.
Non-Penalization: Ang mga biktima ng tr"&amp;"afficking ay hindi dapat usigin o parusahan para sa kanilang pagkakasangkot sa mga labag sa batas na aktibidad na direktang resulta ng kanilang sitwasyon sa trafficking. Ang probisyong ito ay naglalayong pigilan ang karagdagang pambibiktima at tiyakin na "&amp;"ang mga biktima ay tratuhin nang ganoon, sa halip na bilang mga kriminal.
Immigration Relief: Ang mga biktima ng trafficking ay karapat-dapat para sa immigration relief, kabilang ang pansamantala o permanenteng residency status, kung matugunan nila ang il"&amp;"ang partikular na pamantayan na nakabalangkas sa batas. Ang probisyong ito ay nagpapahintulot sa mga biktima na manatili sa bansa nang legal at ma-access ang mga serbisyo ng suporta nang walang takot sa deportasyon.
Proteksyon ng Saksi: Ang mga biktima na"&amp;" nakikipagtulungan sa mga awtoridad na nagpapatupad ng batas sa pagsisiyasat at pag-uusig ng mga kaso ng trafficking ay maaaring maging karapat-dapat para sa mga hakbang sa proteksyon ng saksi upang matiyak ang kanilang kaligtasan at seguridad.
Restitutio"&amp;"n at Compensation: Ang mga biktima ng trafficking ay may karapatang humingi ng restitution at kabayaran para sa mga pinsalang dinanas nila bilang resulta ng kanilang karanasan sa trafficking. Maaaring kabilang dito ang kabayaran para sa nawalang sahod, mg"&amp;"a gastusing medikal, mga gastos sa pagpapayo, at iba pang pinsala.
Sa pangkalahatan, ang mga legal na probisyon na ito ay naglalayong tiyakin na ang mga biktima ng trafficking ay protektado mula sa karagdagang pinsala, na may suportang kailangan nila upan"&amp;"g makabawi mula sa kanilang mga karanasan, at bigyan ng kapangyarihan na humingi ng hustisya laban sa kanilang mga trafficker.")</f>
        <v>Oo, ang Pilipinas ay may mga partikular na legal na probisyon para sa proteksyon ng mga biktima ng human trafficking. Ang mga probisyong ito ay pangunahing nakabalangkas sa Republic Act No. 9208, na kilala rin bilang "Anti-Trafficking in Persons Act of 2003," at ang mga kasunod na pagbabago nito. Ang ilang mahahalagang probisyon para sa proteksyon ng mga biktima ng trafficking sa ilalim ng batas ng Pilipinas ay kinabibilangan ng:
Mga Kautusan sa Proteksyon: Ang batas ay nagpapahintulot sa mga korte na maglabas ng mga utos ng proteksyon upang matiyak ang kaligtasan at kagalingan ng mga biktima ng trafficking. Maaaring kabilang sa mga utos na ito ang mga probisyon gaya ng mga restraining order, no-contact order, at mga order para maiwasan ang karagdagang pagsasamantala o pinsala sa biktima.
Pagiging Kompidensyal at Pagkapribado: Pinoprotektahan ng batas ang pagiging kompidensiyal at pagkapribado ng mga biktima ng trafficking sa mga legal na paglilitis. Ang mga biktima ay may karapatan sa anonymity, at ang kanilang mga pagkakakilanlan ay dapat panatilihing kumpidensyal upang maiwasan ang karagdagang pinsala o paghihiganti.
Access sa Mga Serbisyo: Ang mga biktima ng trafficking ay may karapatan na ma-access ang isang hanay ng mga serbisyo upang suportahan ang kanilang pagbawi at rehabilitasyon. Maaaring kabilang sa mga serbisyong ito ang tirahan, pangangalagang medikal at sikolohikal, tulong legal, edukasyon at bokasyonal na pagsasanay, at suporta sa muling pagsasama.
Non-Penalization: Ang mga biktima ng trafficking ay hindi dapat usigin o parusahan para sa kanilang pagkakasangkot sa mga labag sa batas na aktibidad na direktang resulta ng kanilang sitwasyon sa trafficking. Ang probisyong ito ay naglalayong pigilan ang karagdagang pambibiktima at tiyakin na ang mga biktima ay tratuhin nang ganoon, sa halip na bilang mga kriminal.
Immigration Relief: Ang mga biktima ng trafficking ay karapat-dapat para sa immigration relief, kabilang ang pansamantala o permanenteng residency status, kung matugunan nila ang ilang partikular na pamantayan na nakabalangkas sa batas. Ang probisyong ito ay nagpapahintulot sa mga biktima na manatili sa bansa nang legal at ma-access ang mga serbisyo ng suporta nang walang takot sa deportasyon.
Proteksyon ng Saksi: Ang mga biktima na nakikipagtulungan sa mga awtoridad na nagpapatupad ng batas sa pagsisiyasat at pag-uusig ng mga kaso ng trafficking ay maaaring maging karapat-dapat para sa mga hakbang sa proteksyon ng saksi upang matiyak ang kanilang kaligtasan at seguridad.
Restitution at Compensation: Ang mga biktima ng trafficking ay may karapatang humingi ng restitution at kabayaran para sa mga pinsalang dinanas nila bilang resulta ng kanilang karanasan sa trafficking. Maaaring kabilang dito ang kabayaran para sa nawalang sahod, mga gastusing medikal, mga gastos sa pagpapayo, at iba pang pinsala.
Sa pangkalahatan, ang mga legal na probisyon na ito ay naglalayong tiyakin na ang mga biktima ng trafficking ay protektado mula sa karagdagang pinsala, na may suportang kailangan nila upang makabawi mula sa kanilang mga karanasan, at bigyan ng kapangyarihan na humingi ng hustisya laban sa kanilang mga trafficker.</v>
      </c>
      <c r="F2577" s="2">
        <f t="shared" si="1"/>
        <v>0</v>
      </c>
      <c r="G2577" s="2"/>
      <c r="H2577" s="2"/>
      <c r="I2577" s="2"/>
      <c r="J2577" s="2"/>
      <c r="K2577" s="2"/>
      <c r="L2577" s="2"/>
      <c r="M2577" s="2"/>
      <c r="N2577" s="2"/>
      <c r="O2577" s="2"/>
      <c r="P2577" s="2"/>
      <c r="Q2577" s="2"/>
      <c r="R2577" s="2"/>
      <c r="S2577" s="2"/>
      <c r="T2577" s="2"/>
      <c r="U2577" s="2"/>
      <c r="V2577" s="2"/>
      <c r="W2577" s="2"/>
      <c r="X2577" s="2"/>
      <c r="Y2577" s="2"/>
      <c r="Z2577" s="2"/>
      <c r="AA2577" s="2"/>
    </row>
    <row r="2578">
      <c r="A2578" s="3" t="s">
        <v>6112</v>
      </c>
      <c r="B2578" s="1" t="s">
        <v>6125</v>
      </c>
      <c r="C2578" s="1" t="s">
        <v>6126</v>
      </c>
      <c r="D2578" s="2" t="str">
        <f>IFERROR(__xludf.DUMMYFUNCTION("GOOGLETRANSLATE(B2578, ""en"", ""TL"")"),"Paano tinutugunan ng batas ng Pilipinas ang internasyonal na dimensyon ng human trafficking?")</f>
        <v>Paano tinutugunan ng batas ng Pilipinas ang internasyonal na dimensyon ng human trafficking?</v>
      </c>
      <c r="E2578" s="2" t="str">
        <f>IFERROR(__xludf.DUMMYFUNCTION("GOOGLETRANSLATE(C2578, ""en"", ""TL"")"),"Ang Pilipinas ay may mga batas na nakalagay upang tugunan ang pandaigdigang dimensyon ng human trafficking, partikular na tungkol sa trafficking ng mga mamamayang Pilipino sa ibang mga bansa at ang trafficking ng mga dayuhang mamamayan sa Pilipinas. Narit"&amp;"o ang ilang mahahalagang aspeto ng batas ng Pilipinas tungkol sa internasyonal na dimensyon ng human trafficking:
Republic Act No. 9208, ang Anti-Trafficking in Persons Act of 2003: Ang batas na ito ay nagsasakriminal sa lahat ng anyo ng human trafficking"&amp;", kabilang ang trafficking para sa layunin ng sekswal na pagsasamantala, sapilitang paggawa, pang-aalipin, hindi kusang-loob na pagkaalipin, pagkaalipin sa utang, o organ trafficking. Nagbibigay din ito ng proteksyon at tulong sa mga biktima ng traffickin"&amp;"g, anuman ang kanilang nasyonalidad.
Extraterritorial Jurisdiction: Pinahihintulutan ng batas ng Pilipinas ang pag-uusig sa mga mamamayang Pilipino at residente na nagsasagawa ng mga paglabag sa human trafficking sa ibang bansa. Nangangahulugan ito na ang"&amp;" mga Pilipinong trafficker ay maaaring kasuhan sa Pilipinas para sa mga krimeng ginawa sa labas ng mga hangganan ng bansa.
Internasyonal na Kooperasyon: Nakikilahok ang Pilipinas sa mga pandaigdigang pagsisikap na labanan ang human trafficking sa pamamagi"&amp;"tan ng pakikipagtulungan sa ibang mga bansa, internasyonal na organisasyon, at mga ahensyang nagpapatupad ng batas. Kabilang dito ang pagbabahagi ng impormasyon, pag-coordinate ng mga pagsisiyasat, at pag-extraditing sa mga trafficker upang harapin ang pa"&amp;"g-uusig.
Mga Kasunduan sa Bilateral at Multilateral: Ang Pilipinas ay pumasok sa mga bilateral at multilateral na kasunduan sa ibang mga bansa upang palakasin ang kooperasyon sa paglaban sa human trafficking. Maaaring kabilang sa mga kasunduang ito ang mg"&amp;"a probisyon para sa mutual legal na tulong, extradition, at pagpapauwi ng mga biktima ng trafficking.
Mga Hakbang sa Pag-iwas at Proteksyon: Ang gobyerno ng Pilipinas ay nagpatupad ng mga hakbang upang maiwasan ang human trafficking, protektahan ang mga m"&amp;"ahihinang populasyon, at magbigay ng tulong sa mga biktima ng trafficking. Kabilang dito ang mga kampanya sa pagpapataas ng kamalayan, pagsasanay para sa pagpapatupad ng batas at mga opisyal ng imigrasyon, at ang pagtatatag ng mga shelter at serbisyo ng s"&amp;"uporta para sa mga biktima.
Regulation of Recruitment Agencies: Kinokontrol ng gobyerno ng Pilipinas ang recruitment at deployment ng mga overseas workers para protektahan sila mula sa pagsasamantala at trafficking. Kabilang dito ang paglilisensya at pags"&amp;"ubaybay sa mga ahensya ng recruitment, pati na rin ang pagpataw ng mga parusa para sa mga paglabag sa mga batas sa paggawa at migrasyon.
Sa pangkalahatan, kinikilala ng batas ng Pilipinas ang kahalagahan ng pagtugon sa internasyonal na dimensyon ng human "&amp;"trafficking at nagpatupad ng iba't ibang mga hakbang upang maiwasan ang trafficking, usigin ang mga nagkasala, protektahan ang mga biktima, at makipagtulungan sa ibang mga bansa sa paglaban sa krimeng ito.")</f>
        <v>Ang Pilipinas ay may mga batas na nakalagay upang tugunan ang pandaigdigang dimensyon ng human trafficking, partikular na tungkol sa trafficking ng mga mamamayang Pilipino sa ibang mga bansa at ang trafficking ng mga dayuhang mamamayan sa Pilipinas. Narito ang ilang mahahalagang aspeto ng batas ng Pilipinas tungkol sa internasyonal na dimensyon ng human trafficking:
Republic Act No. 9208, ang Anti-Trafficking in Persons Act of 2003: Ang batas na ito ay nagsasakriminal sa lahat ng anyo ng human trafficking, kabilang ang trafficking para sa layunin ng sekswal na pagsasamantala, sapilitang paggawa, pang-aalipin, hindi kusang-loob na pagkaalipin, pagkaalipin sa utang, o organ trafficking. Nagbibigay din ito ng proteksyon at tulong sa mga biktima ng trafficking, anuman ang kanilang nasyonalidad.
Extraterritorial Jurisdiction: Pinahihintulutan ng batas ng Pilipinas ang pag-uusig sa mga mamamayang Pilipino at residente na nagsasagawa ng mga paglabag sa human trafficking sa ibang bansa. Nangangahulugan ito na ang mga Pilipinong trafficker ay maaaring kasuhan sa Pilipinas para sa mga krimeng ginawa sa labas ng mga hangganan ng bansa.
Internasyonal na Kooperasyon: Nakikilahok ang Pilipinas sa mga pandaigdigang pagsisikap na labanan ang human trafficking sa pamamagitan ng pakikipagtulungan sa ibang mga bansa, internasyonal na organisasyon, at mga ahensyang nagpapatupad ng batas. Kabilang dito ang pagbabahagi ng impormasyon, pag-coordinate ng mga pagsisiyasat, at pag-extraditing sa mga trafficker upang harapin ang pag-uusig.
Mga Kasunduan sa Bilateral at Multilateral: Ang Pilipinas ay pumasok sa mga bilateral at multilateral na kasunduan sa ibang mga bansa upang palakasin ang kooperasyon sa paglaban sa human trafficking. Maaaring kabilang sa mga kasunduang ito ang mga probisyon para sa mutual legal na tulong, extradition, at pagpapauwi ng mga biktima ng trafficking.
Mga Hakbang sa Pag-iwas at Proteksyon: Ang gobyerno ng Pilipinas ay nagpatupad ng mga hakbang upang maiwasan ang human trafficking, protektahan ang mga mahihinang populasyon, at magbigay ng tulong sa mga biktima ng trafficking. Kabilang dito ang mga kampanya sa pagpapataas ng kamalayan, pagsasanay para sa pagpapatupad ng batas at mga opisyal ng imigrasyon, at ang pagtatatag ng mga shelter at serbisyo ng suporta para sa mga biktima.
Regulation of Recruitment Agencies: Kinokontrol ng gobyerno ng Pilipinas ang recruitment at deployment ng mga overseas workers para protektahan sila mula sa pagsasamantala at trafficking. Kabilang dito ang paglilisensya at pagsubaybay sa mga ahensya ng recruitment, pati na rin ang pagpataw ng mga parusa para sa mga paglabag sa mga batas sa paggawa at migrasyon.
Sa pangkalahatan, kinikilala ng batas ng Pilipinas ang kahalagahan ng pagtugon sa internasyonal na dimensyon ng human trafficking at nagpatupad ng iba't ibang mga hakbang upang maiwasan ang trafficking, usigin ang mga nagkasala, protektahan ang mga biktima, at makipagtulungan sa ibang mga bansa sa paglaban sa krimeng ito.</v>
      </c>
      <c r="F2578" s="2">
        <f t="shared" si="1"/>
        <v>0</v>
      </c>
      <c r="G2578" s="2"/>
      <c r="H2578" s="2"/>
      <c r="I2578" s="2"/>
      <c r="J2578" s="2"/>
      <c r="K2578" s="2"/>
      <c r="L2578" s="2"/>
      <c r="M2578" s="2"/>
      <c r="N2578" s="2"/>
      <c r="O2578" s="2"/>
      <c r="P2578" s="2"/>
      <c r="Q2578" s="2"/>
      <c r="R2578" s="2"/>
      <c r="S2578" s="2"/>
      <c r="T2578" s="2"/>
      <c r="U2578" s="2"/>
      <c r="V2578" s="2"/>
      <c r="W2578" s="2"/>
      <c r="X2578" s="2"/>
      <c r="Y2578" s="2"/>
      <c r="Z2578" s="2"/>
      <c r="AA2578" s="2"/>
    </row>
    <row r="2579">
      <c r="A2579" s="3" t="s">
        <v>6112</v>
      </c>
      <c r="B2579" s="1" t="s">
        <v>6127</v>
      </c>
      <c r="C2579" s="1" t="s">
        <v>6128</v>
      </c>
      <c r="D2579" s="2" t="str">
        <f>IFERROR(__xludf.DUMMYFUNCTION("GOOGLETRANSLATE(B2579, ""en"", ""TL"")"),"Anong mga parusa ang naaangkop sa mga indibidwal na napatunayang nagkasala ng pagsali sa mga aktibidad ng human trafficking?")</f>
        <v>Anong mga parusa ang naaangkop sa mga indibidwal na napatunayang nagkasala ng pagsali sa mga aktibidad ng human trafficking?</v>
      </c>
      <c r="E2579" s="2" t="str">
        <f>IFERROR(__xludf.DUMMYFUNCTION("GOOGLETRANSLATE(C2579, ""en"", ""TL"")"),"Ang mga parusa para sa mga indibidwal na nahatulan ng pagsali sa mga aktibidad ng human trafficking ay malawak na nag-iiba depende sa hurisdiksyon at sa mga partikular na kalagayan ng kaso. Gayunpaman, ang human trafficking sa pangkalahatan ay itinuturing"&amp;" na isang seryosong krimen, at ang mga may kasalanan ay maaaring maharap sa malalaking parusa, kabilang ang mahahabang sentensiya sa bilangguan at malaking multa. Narito ang ilang karaniwang parusa na maaaring ilapat:
Mga Sentensiya sa Pagkakulong: Ang mg"&amp;"a indibidwal na napatunayang nagkasala ng mga paglabag sa human trafficking ay maaaring humarap sa mahabang sentensiya ng pagkakulong, kadalasan mula sa ilang taon hanggang habambuhay na pagkakakulong, depende sa kalubhaan ng krimen, edad ng mga biktima, "&amp;"at iba pang nagpapalubha na mga salik. Sa ilang hurisdiksyon, ang mga mandatoryong pinakamababang pangungusap ay maaaring ilapat sa ilang partikular na mga paglabag sa trafficking.
Mga multa: Ang mga trafficker ay maaari ding utusan na magbayad ng mga mul"&amp;"ta bilang bahagi ng kanilang sentensiya. Ang mga multa na ito ay maaaring malaki at maaaring ipataw bilang karagdagan sa pagkakulong o iba pang mga parusa.
Restitution: Maaaring utusan ng mga korte ang mga trafficker na magbayad ng restitution sa kanilang"&amp;" mga biktima para mabayaran sila para sa pinsalang dinanas nila, kabilang ang nawalang sahod, gastusin sa pagpapagamot, at iba pang mga pinsalang bunga ng karanasan sa trafficking.
Asset Forfeiture: Sa mga kaso kung saan ang mga trafficker ay nakinabang s"&amp;"a pananalapi mula sa kanilang mga kriminal na aktibidad, maaaring iutos ng mga hukuman ang pag-alis ng mga asset na nakuha sa pamamagitan ng trafficking, tulad ng pera, ari-arian, sasakyan, o iba pang mga asset.
Pagpaparehistro bilang Sex Offender: Ang mg"&amp;"a trafficker na napatunayang nagkasala ng mga paglabag sa sekswal na pagsasamantala, lalo na ang mga kinasasangkutan ng mga batang biktima, ay maaaring kailanganin na magparehistro bilang mga nagkasala ng sekso, na sumailalim sa kanila sa karagdagang pags"&amp;"ubaybay at mga paghihigpit pagkatapos ng kanilang paglaya mula sa bilangguan.
Mga Pinahusay na Parusa para sa Mga Nagpapalubhang Salik: Sa mga kaso na kinasasangkutan ng mga nagpapalubha na salik tulad ng karahasan, pamimilit, paggamit ng mga armas, o tra"&amp;"fficking ng mga menor de edad, ang mga salarin ay maaaring maharap sa pinahusay na mga parusa, kabilang ang mas mahabang sentensiya sa bilangguan o mas mataas na multa.
Mga kahihinatnan sa imigrasyon: Ang mga trafficker na hindi mamamayan ay maaaring huma"&amp;"rap sa mga paglilitis sa pagpapatapon o pagtanggal kasunod ng kanilang paghatol, bilang karagdagan sa anumang mga parusang kriminal na ipinataw.
Mga Parusa sa Sibil: Bilang karagdagan sa mga parusang kriminal, maaari ring harapin ng mga trafficker ang mga"&amp;" kasong sibil na isinampa ng kanilang mga biktima na humihingi ng kabayaran para sa mga pinsalang nagreresulta mula sa trafficking, tulad ng pasakit at pagdurusa, emosyonal na pagkabalisa, at pagkawala ng mga kita.
Sa pangkalahatan, ang mga parusa para sa"&amp;" human trafficking ay idinisenyo upang maging malubha upang hadlangan ang mga hinaharap na pagkakasala, parusahan ang mga may kasalanan, at magbigay ng hustisya para sa mga biktima ng karumal-dumal na krimen na ito. Bukod pa rito, maraming hurisdiksyon an"&amp;"g nagpatupad ng mga batas at patakaran na naglalayong pigilan ang human trafficking, pag-uusig sa mga nagkasala, at pagbibigay ng suporta at tulong sa mga nakaligtas sa trafficking.")</f>
        <v>Ang mga parusa para sa mga indibidwal na nahatulan ng pagsali sa mga aktibidad ng human trafficking ay malawak na nag-iiba depende sa hurisdiksyon at sa mga partikular na kalagayan ng kaso. Gayunpaman, ang human trafficking sa pangkalahatan ay itinuturing na isang seryosong krimen, at ang mga may kasalanan ay maaaring maharap sa malalaking parusa, kabilang ang mahahabang sentensiya sa bilangguan at malaking multa. Narito ang ilang karaniwang parusa na maaaring ilapat:
Mga Sentensiya sa Pagkakulong: Ang mga indibidwal na napatunayang nagkasala ng mga paglabag sa human trafficking ay maaaring humarap sa mahabang sentensiya ng pagkakulong, kadalasan mula sa ilang taon hanggang habambuhay na pagkakakulong, depende sa kalubhaan ng krimen, edad ng mga biktima, at iba pang nagpapalubha na mga salik. Sa ilang hurisdiksyon, ang mga mandatoryong pinakamababang pangungusap ay maaaring ilapat sa ilang partikular na mga paglabag sa trafficking.
Mga multa: Ang mga trafficker ay maaari ding utusan na magbayad ng mga multa bilang bahagi ng kanilang sentensiya. Ang mga multa na ito ay maaaring malaki at maaaring ipataw bilang karagdagan sa pagkakulong o iba pang mga parusa.
Restitution: Maaaring utusan ng mga korte ang mga trafficker na magbayad ng restitution sa kanilang mga biktima para mabayaran sila para sa pinsalang dinanas nila, kabilang ang nawalang sahod, gastusin sa pagpapagamot, at iba pang mga pinsalang bunga ng karanasan sa trafficking.
Asset Forfeiture: Sa mga kaso kung saan ang mga trafficker ay nakinabang sa pananalapi mula sa kanilang mga kriminal na aktibidad, maaaring iutos ng mga hukuman ang pag-alis ng mga asset na nakuha sa pamamagitan ng trafficking, tulad ng pera, ari-arian, sasakyan, o iba pang mga asset.
Pagpaparehistro bilang Sex Offender: Ang mga trafficker na napatunayang nagkasala ng mga paglabag sa sekswal na pagsasamantala, lalo na ang mga kinasasangkutan ng mga batang biktima, ay maaaring kailanganin na magparehistro bilang mga nagkasala ng sekso, na sumailalim sa kanila sa karagdagang pagsubaybay at mga paghihigpit pagkatapos ng kanilang paglaya mula sa bilangguan.
Mga Pinahusay na Parusa para sa Mga Nagpapalubhang Salik: Sa mga kaso na kinasasangkutan ng mga nagpapalubha na salik tulad ng karahasan, pamimilit, paggamit ng mga armas, o trafficking ng mga menor de edad, ang mga salarin ay maaaring maharap sa pinahusay na mga parusa, kabilang ang mas mahabang sentensiya sa bilangguan o mas mataas na multa.
Mga kahihinatnan sa imigrasyon: Ang mga trafficker na hindi mamamayan ay maaaring humarap sa mga paglilitis sa pagpapatapon o pagtanggal kasunod ng kanilang paghatol, bilang karagdagan sa anumang mga parusang kriminal na ipinataw.
Mga Parusa sa Sibil: Bilang karagdagan sa mga parusang kriminal, maaari ring harapin ng mga trafficker ang mga kasong sibil na isinampa ng kanilang mga biktima na humihingi ng kabayaran para sa mga pinsalang nagreresulta mula sa trafficking, tulad ng pasakit at pagdurusa, emosyonal na pagkabalisa, at pagkawala ng mga kita.
Sa pangkalahatan, ang mga parusa para sa human trafficking ay idinisenyo upang maging malubha upang hadlangan ang mga hinaharap na pagkakasala, parusahan ang mga may kasalanan, at magbigay ng hustisya para sa mga biktima ng karumal-dumal na krimen na ito. Bukod pa rito, maraming hurisdiksyon ang nagpatupad ng mga batas at patakaran na naglalayong pigilan ang human trafficking, pag-uusig sa mga nagkasala, at pagbibigay ng suporta at tulong sa mga nakaligtas sa trafficking.</v>
      </c>
      <c r="F2579" s="2">
        <f t="shared" si="1"/>
        <v>0</v>
      </c>
      <c r="G2579" s="2"/>
      <c r="H2579" s="2"/>
      <c r="I2579" s="2"/>
      <c r="J2579" s="2"/>
      <c r="K2579" s="2"/>
      <c r="L2579" s="2"/>
      <c r="M2579" s="2"/>
      <c r="N2579" s="2"/>
      <c r="O2579" s="2"/>
      <c r="P2579" s="2"/>
      <c r="Q2579" s="2"/>
      <c r="R2579" s="2"/>
      <c r="S2579" s="2"/>
      <c r="T2579" s="2"/>
      <c r="U2579" s="2"/>
      <c r="V2579" s="2"/>
      <c r="W2579" s="2"/>
      <c r="X2579" s="2"/>
      <c r="Y2579" s="2"/>
      <c r="Z2579" s="2"/>
      <c r="AA2579" s="2"/>
    </row>
    <row r="2580">
      <c r="A2580" s="3" t="s">
        <v>6112</v>
      </c>
      <c r="B2580" s="1" t="s">
        <v>6129</v>
      </c>
      <c r="C2580" s="1" t="s">
        <v>6130</v>
      </c>
      <c r="D2580" s="2" t="str">
        <f>IFERROR(__xludf.DUMMYFUNCTION("GOOGLETRANSLATE(B2580, ""en"", ""TL"")"),"Paano naiiba ang pagtrato sa mga indibidwal na sangkot sa child trafficking sa ilalim ng batas?")</f>
        <v>Paano naiiba ang pagtrato sa mga indibidwal na sangkot sa child trafficking sa ilalim ng batas?</v>
      </c>
      <c r="E2580" s="2" t="str">
        <f>IFERROR(__xludf.DUMMYFUNCTION("GOOGLETRANSLATE(C2580, ""en"", ""TL"")"),"Ang mga indibidwal na sangkot sa child trafficking ay naiiba ang pagtrato sa ilalim ng batas dahil sa pagkilala sa mga natatanging kahinaan ng mga bata at sa kalubhaan ng krimen. Narito ang ilang paraan kung saan karaniwang iba ang pagtrato ng batas sa ch"&amp;"ild trafficking:
Edad ng Pahintulot: Sa mga kaso ng child trafficking, ang edad ng pagpapahintulot ay kadalasang hindi nauugnay dahil ang mga menor de edad ay walang legal na kapasidad na pumayag sa kanilang pagsasamantala. Samakatuwid, kahit na ang isang"&amp;" bata ay lumilitaw na pumayag na ma-traffic, ito ay itinuturing pa rin na isang krimen.
Proteksyon bilang mga Biktima: Ang mga batang na-traffic ay kinikilala bilang mga biktima ng pagsasamantala sa halip na mga kriminal mismo. Ang pokus ay sa kanilang pr"&amp;"oteksyon, rehabilitasyon, at suporta sa halip na parusa. Ang diskarte na ito ay sumasalamin sa pag-unawa na ang mga bata ay madalas na pinipilit o minamanipula sa mga sitwasyon ng trafficking at walang kakayahang gumawa ng matalinong mga desisyon tungkol "&amp;"sa kanilang pagsasamantala.
Mga Mahigpit na Parusa para sa mga Nagkasala: Ang mga may kasalanan ng child trafficking ay karaniwang nahaharap sa mas mabibigat na parusa sa ilalim ng batas kumpara sa trafficking adults. Ito ay dahil ang trafficking ng mga b"&amp;"ata ay itinuturing na isang pinalubha na pagkakasala dahil sa kahinaan ng mga menor de edad at ang matinding epekto ng pagsasamantala sa kanilang pisikal, emosyonal, at sikolohikal na kagalingan.
Mga Espesyal na Legal na Pamamaraan: Ang mga legal na pamam"&amp;"araan para sa mga kaso na kinasasangkutan ng child trafficking ay maaaring espesyalisado upang matugunan ang mga natatanging pangangailangan at kahinaan ng mga biktima ng bata. Maaaring kabilang dito ang paggamit ng mga diskarte sa pakikipanayam na angkop"&amp;" sa bata, proteksyon ng pagkapribado at pagiging kumpidensyal ng bata, at pag-access sa mga serbisyo ng suporta tulad ng pagpapayo at adbokasiya.
Mga Mandatoryong Batas sa Pag-uulat: Maraming hurisdiksyon ang may mandatoryong batas sa pag-uulat na nangang"&amp;"ailangan ng mga propesyonal na nagtatrabaho sa mga bata, gaya ng mga guro, tagapagbigay ng pangangalagang pangkalusugan, at mga social worker, na mag-ulat ng mga pinaghihinalaang kaso ng child trafficking sa mga awtoridad. Ang pagkabigong mag-ulat ay maaa"&amp;"ring magresulta sa mga legal na kahihinatnan para sa ipinag-uutos na tagapag-ulat.
Tumutok sa Pinakamahusay na Interes ng Bata: Ang mga legal na desisyon na may kaugnayan sa child trafficking ay inuuna ang pinakamahusay na interes ng bata, na isinasaalang"&amp;"-alang ang mga salik gaya ng kanilang kaligtasan, kagalingan, at pangangailangan para sa pangangalaga at proteksyon. Ang prinsipyong ito ay gumagabay sa mga desisyon tungkol sa proteksyon, pangangalaga, at rehabilitasyon ng bata.
Sa pangkalahatan, kinikil"&amp;"ala ng batas ang mga natatanging kahinaan ng mga bata at naglalayong bigyan sila ng pinahusay na proteksyon, suporta, at mga legal na remedyo sa mga kaso ng trafficking. Ang pokus ay ang pagpapanagot sa mga may kasalanan, pagpigil sa karagdagang pinsala s"&amp;"a mga bata, at pagsulong ng kanilang paggaling at kagalingan.")</f>
        <v>Ang mga indibidwal na sangkot sa child trafficking ay naiiba ang pagtrato sa ilalim ng batas dahil sa pagkilala sa mga natatanging kahinaan ng mga bata at sa kalubhaan ng krimen. Narito ang ilang paraan kung saan karaniwang iba ang pagtrato ng batas sa child trafficking:
Edad ng Pahintulot: Sa mga kaso ng child trafficking, ang edad ng pagpapahintulot ay kadalasang hindi nauugnay dahil ang mga menor de edad ay walang legal na kapasidad na pumayag sa kanilang pagsasamantala. Samakatuwid, kahit na ang isang bata ay lumilitaw na pumayag na ma-traffic, ito ay itinuturing pa rin na isang krimen.
Proteksyon bilang mga Biktima: Ang mga batang na-traffic ay kinikilala bilang mga biktima ng pagsasamantala sa halip na mga kriminal mismo. Ang pokus ay sa kanilang proteksyon, rehabilitasyon, at suporta sa halip na parusa. Ang diskarte na ito ay sumasalamin sa pag-unawa na ang mga bata ay madalas na pinipilit o minamanipula sa mga sitwasyon ng trafficking at walang kakayahang gumawa ng matalinong mga desisyon tungkol sa kanilang pagsasamantala.
Mga Mahigpit na Parusa para sa mga Nagkasala: Ang mga may kasalanan ng child trafficking ay karaniwang nahaharap sa mas mabibigat na parusa sa ilalim ng batas kumpara sa trafficking adults. Ito ay dahil ang trafficking ng mga bata ay itinuturing na isang pinalubha na pagkakasala dahil sa kahinaan ng mga menor de edad at ang matinding epekto ng pagsasamantala sa kanilang pisikal, emosyonal, at sikolohikal na kagalingan.
Mga Espesyal na Legal na Pamamaraan: Ang mga legal na pamamaraan para sa mga kaso na kinasasangkutan ng child trafficking ay maaaring espesyalisado upang matugunan ang mga natatanging pangangailangan at kahinaan ng mga biktima ng bata. Maaaring kabilang dito ang paggamit ng mga diskarte sa pakikipanayam na angkop sa bata, proteksyon ng pagkapribado at pagiging kumpidensyal ng bata, at pag-access sa mga serbisyo ng suporta tulad ng pagpapayo at adbokasiya.
Mga Mandatoryong Batas sa Pag-uulat: Maraming hurisdiksyon ang may mandatoryong batas sa pag-uulat na nangangailangan ng mga propesyonal na nagtatrabaho sa mga bata, gaya ng mga guro, tagapagbigay ng pangangalagang pangkalusugan, at mga social worker, na mag-ulat ng mga pinaghihinalaang kaso ng child trafficking sa mga awtoridad. Ang pagkabigong mag-ulat ay maaaring magresulta sa mga legal na kahihinatnan para sa ipinag-uutos na tagapag-ulat.
Tumutok sa Pinakamahusay na Interes ng Bata: Ang mga legal na desisyon na may kaugnayan sa child trafficking ay inuuna ang pinakamahusay na interes ng bata, na isinasaalang-alang ang mga salik gaya ng kanilang kaligtasan, kagalingan, at pangangailangan para sa pangangalaga at proteksyon. Ang prinsipyong ito ay gumagabay sa mga desisyon tungkol sa proteksyon, pangangalaga, at rehabilitasyon ng bata.
Sa pangkalahatan, kinikilala ng batas ang mga natatanging kahinaan ng mga bata at naglalayong bigyan sila ng pinahusay na proteksyon, suporta, at mga legal na remedyo sa mga kaso ng trafficking. Ang pokus ay ang pagpapanagot sa mga may kasalanan, pagpigil sa karagdagang pinsala sa mga bata, at pagsulong ng kanilang paggaling at kagalingan.</v>
      </c>
      <c r="F2580" s="2">
        <f t="shared" si="1"/>
        <v>0</v>
      </c>
      <c r="G2580" s="2"/>
      <c r="H2580" s="2"/>
      <c r="I2580" s="2"/>
      <c r="J2580" s="2"/>
      <c r="K2580" s="2"/>
      <c r="L2580" s="2"/>
      <c r="M2580" s="2"/>
      <c r="N2580" s="2"/>
      <c r="O2580" s="2"/>
      <c r="P2580" s="2"/>
      <c r="Q2580" s="2"/>
      <c r="R2580" s="2"/>
      <c r="S2580" s="2"/>
      <c r="T2580" s="2"/>
      <c r="U2580" s="2"/>
      <c r="V2580" s="2"/>
      <c r="W2580" s="2"/>
      <c r="X2580" s="2"/>
      <c r="Y2580" s="2"/>
      <c r="Z2580" s="2"/>
      <c r="AA2580" s="2"/>
    </row>
    <row r="2581">
      <c r="A2581" s="3" t="s">
        <v>6112</v>
      </c>
      <c r="B2581" s="1" t="s">
        <v>6131</v>
      </c>
      <c r="C2581" s="1" t="s">
        <v>6132</v>
      </c>
      <c r="D2581" s="2" t="str">
        <f>IFERROR(__xludf.DUMMYFUNCTION("GOOGLETRANSLATE(B2581, ""en"", ""TL"")"),"Mayroon bang mga legal na probisyon para sa rehabilitasyon at suporta ng mga biktima ng human trafficking?")</f>
        <v>Mayroon bang mga legal na probisyon para sa rehabilitasyon at suporta ng mga biktima ng human trafficking?</v>
      </c>
      <c r="E2581" s="2" t="str">
        <f>IFERROR(__xludf.DUMMYFUNCTION("GOOGLETRANSLATE(C2581, ""en"", ""TL"")"),"Oo, maraming hurisdiksyon ang may mga legal na probisyon para matiyak ang rehabilitasyon at suporta ng mga biktima ng human trafficking. Ang mga probisyong ito ay naglalayong tugunan ang mga kumplikadong pangangailangan ng mga nakaligtas sa trafficking at"&amp;" tulungan silang makabangon mula sa kanilang mga karanasan. Ang ilang karaniwang legal na hakbang para sa rehabilitasyon at suporta ng mga biktima ng trafficking ay kinabibilangan ng:
Mga Programa sa Pagtulong sa Biktima: Maraming bansa ang nagtatag ng mg"&amp;"a programa o serbisyo sa pagtulong sa biktima na partikular na iniayon sa mga pangangailangan ng mga nakaligtas sa trafficking. Ang mga programang ito ay maaaring magbigay ng hanay ng mga serbisyo, kabilang ang pabahay, pangangalagang medikal, pagpapayo, "&amp;"tulong legal, edukasyon, pagsasanay sa bokasyonal, at suporta sa paglalagay ng trabaho.
Access sa Healthcare: Ang mga biktima ng trafficking ay maaaring may karapatan na tumanggap ng pangangalagang medikal at paggamot para sa mga pisikal at sikolohikal na"&amp;" pinsala na nagreresulta mula sa kanilang mga karanasan sa trafficking. Ang ilang mga hurisdiksyon ay nagbibigay ng libre o subsidized na serbisyo sa pangangalagang pangkalusugan para sa mga nakaligtas sa trafficking.
Legal na Suporta: Ang mga biktima ng "&amp;"trafficking ay maaaring magkaroon ng access sa legal na tulong at representasyon upang matulungan silang mag-navigate sa legal na sistema, maunawaan ang kanilang mga karapatan, at humingi ng hustisya laban sa kanilang mga trafficker. Maaaring kabilang dit"&amp;"o ang tulong sa pagkuha ng legal na katayuan, paghahangad ng kabayaran o pagsasauli, at paglahok sa mga paglilitis sa kriminal.
Silungan at Pabahay: Ang mga biktima ng trafficking ay maaaring bigyan ng ligtas at ligtas na tirahan o mga pagpipilian sa paba"&amp;"hay upang makatakas mula sa kanilang mga trafficker at muling itayo ang kanilang buhay. Maaaring kabilang dito ang mga emergency shelter, transisyonal na pabahay, o mga opsyon sa pangmatagalang tirahan.
Tulong Pinansyal: Ang ilang mga hurisdiksyon ay nagb"&amp;"ibigay ng tulong pinansyal o kompensasyon sa mga nakaligtas sa trafficking upang matulungan silang matugunan ang kanilang mga agarang pangangailangan at suportahan ang kanilang proseso ng rehabilitasyon. Maaaring kabilang dito ang mga pondo para sa pabaha"&amp;"y, mga gastusin sa pamumuhay, edukasyon, bokasyonal na pagsasanay, o iba pang mahahalagang pangangailangan.
Reintegration at Social Services: Ang mga nakaligtas sa trafficking ay maaaring makatanggap ng suporta at tulong sa muling pagsasama sa lipunan at "&amp;"muling pagtatayo ng kanilang buhay. Maaaring kabilang dito ang pag-access sa mga serbisyong panlipunan, mga grupo ng suporta, mga organisasyong nakabatay sa komunidad, at iba pang mga mapagkukunan upang matulungan silang bumuo ng mga kasanayan sa buhay, b"&amp;"umuo ng mga koneksyon sa lipunan, at makamit ang kalayaan.
Child Welfare Services: Ang mga biktima ng trafficking na mga bata ay maaaring may karapatan sa karagdagang mga proteksyon at serbisyo ng suporta sa pamamagitan ng mga ahensya ng child welfare. Ma"&amp;"aaring kabilang dito ang paglalagay sa foster care, pagpapayo, suportang pang-edukasyon, at iba pang mga serbisyo upang matiyak ang kanilang kaligtasan at kagalingan.
Sa pangkalahatan, ang layunin ng mga legal na probisyon na ito ay magbigay ng komprehens"&amp;"ibong suporta at tulong sa mga biktima ng trafficking, bigyan sila ng kapangyarihan na makabangon mula sa kanilang mga karanasan, muling buuin ang kanilang buhay, at sumulong patungo sa isang mas maliwanag na hinaharap.")</f>
        <v>Oo, maraming hurisdiksyon ang may mga legal na probisyon para matiyak ang rehabilitasyon at suporta ng mga biktima ng human trafficking. Ang mga probisyong ito ay naglalayong tugunan ang mga kumplikadong pangangailangan ng mga nakaligtas sa trafficking at tulungan silang makabangon mula sa kanilang mga karanasan. Ang ilang karaniwang legal na hakbang para sa rehabilitasyon at suporta ng mga biktima ng trafficking ay kinabibilangan ng:
Mga Programa sa Pagtulong sa Biktima: Maraming bansa ang nagtatag ng mga programa o serbisyo sa pagtulong sa biktima na partikular na iniayon sa mga pangangailangan ng mga nakaligtas sa trafficking. Ang mga programang ito ay maaaring magbigay ng hanay ng mga serbisyo, kabilang ang pabahay, pangangalagang medikal, pagpapayo, tulong legal, edukasyon, pagsasanay sa bokasyonal, at suporta sa paglalagay ng trabaho.
Access sa Healthcare: Ang mga biktima ng trafficking ay maaaring may karapatan na tumanggap ng pangangalagang medikal at paggamot para sa mga pisikal at sikolohikal na pinsala na nagreresulta mula sa kanilang mga karanasan sa trafficking. Ang ilang mga hurisdiksyon ay nagbibigay ng libre o subsidized na serbisyo sa pangangalagang pangkalusugan para sa mga nakaligtas sa trafficking.
Legal na Suporta: Ang mga biktima ng trafficking ay maaaring magkaroon ng access sa legal na tulong at representasyon upang matulungan silang mag-navigate sa legal na sistema, maunawaan ang kanilang mga karapatan, at humingi ng hustisya laban sa kanilang mga trafficker. Maaaring kabilang dito ang tulong sa pagkuha ng legal na katayuan, paghahangad ng kabayaran o pagsasauli, at paglahok sa mga paglilitis sa kriminal.
Silungan at Pabahay: Ang mga biktima ng trafficking ay maaaring bigyan ng ligtas at ligtas na tirahan o mga pagpipilian sa pabahay upang makatakas mula sa kanilang mga trafficker at muling itayo ang kanilang buhay. Maaaring kabilang dito ang mga emergency shelter, transisyonal na pabahay, o mga opsyon sa pangmatagalang tirahan.
Tulong Pinansyal: Ang ilang mga hurisdiksyon ay nagbibigay ng tulong pinansyal o kompensasyon sa mga nakaligtas sa trafficking upang matulungan silang matugunan ang kanilang mga agarang pangangailangan at suportahan ang kanilang proseso ng rehabilitasyon. Maaaring kabilang dito ang mga pondo para sa pabahay, mga gastusin sa pamumuhay, edukasyon, bokasyonal na pagsasanay, o iba pang mahahalagang pangangailangan.
Reintegration at Social Services: Ang mga nakaligtas sa trafficking ay maaaring makatanggap ng suporta at tulong sa muling pagsasama sa lipunan at muling pagtatayo ng kanilang buhay. Maaaring kabilang dito ang pag-access sa mga serbisyong panlipunan, mga grupo ng suporta, mga organisasyong nakabatay sa komunidad, at iba pang mga mapagkukunan upang matulungan silang bumuo ng mga kasanayan sa buhay, bumuo ng mga koneksyon sa lipunan, at makamit ang kalayaan.
Child Welfare Services: Ang mga biktima ng trafficking na mga bata ay maaaring may karapatan sa karagdagang mga proteksyon at serbisyo ng suporta sa pamamagitan ng mga ahensya ng child welfare. Maaaring kabilang dito ang paglalagay sa foster care, pagpapayo, suportang pang-edukasyon, at iba pang mga serbisyo upang matiyak ang kanilang kaligtasan at kagalingan.
Sa pangkalahatan, ang layunin ng mga legal na probisyon na ito ay magbigay ng komprehensibong suporta at tulong sa mga biktima ng trafficking, bigyan sila ng kapangyarihan na makabangon mula sa kanilang mga karanasan, muling buuin ang kanilang buhay, at sumulong patungo sa isang mas maliwanag na hinaharap.</v>
      </c>
      <c r="F2581" s="2">
        <f t="shared" si="1"/>
        <v>0</v>
      </c>
      <c r="G2581" s="2"/>
      <c r="H2581" s="2"/>
      <c r="I2581" s="2"/>
      <c r="J2581" s="2"/>
      <c r="K2581" s="2"/>
      <c r="L2581" s="2"/>
      <c r="M2581" s="2"/>
      <c r="N2581" s="2"/>
      <c r="O2581" s="2"/>
      <c r="P2581" s="2"/>
      <c r="Q2581" s="2"/>
      <c r="R2581" s="2"/>
      <c r="S2581" s="2"/>
      <c r="T2581" s="2"/>
      <c r="U2581" s="2"/>
      <c r="V2581" s="2"/>
      <c r="W2581" s="2"/>
      <c r="X2581" s="2"/>
      <c r="Y2581" s="2"/>
      <c r="Z2581" s="2"/>
      <c r="AA2581" s="2"/>
    </row>
    <row r="2582">
      <c r="A2582" s="3" t="s">
        <v>6112</v>
      </c>
      <c r="B2582" s="1" t="s">
        <v>6133</v>
      </c>
      <c r="C2582" s="1" t="s">
        <v>6134</v>
      </c>
      <c r="D2582" s="2" t="str">
        <f>IFERROR(__xludf.DUMMYFUNCTION("GOOGLETRANSLATE(B2582, ""en"", ""TL"")"),"Paano tinutugunan ng batas ang pananagutan ng mga korporasyon o entidad na sangkot sa human trafficking?")</f>
        <v>Paano tinutugunan ng batas ang pananagutan ng mga korporasyon o entidad na sangkot sa human trafficking?</v>
      </c>
      <c r="E2582" s="2" t="str">
        <f>IFERROR(__xludf.DUMMYFUNCTION("GOOGLETRANSLATE(C2582, ""en"", ""TL"")"),"Ang pananagutan ng mga korporasyon o entidad na sangkot sa human trafficking ay maaaring mag-iba depende sa hurisdiksyon at mga partikular na pangyayari ng kaso. Sa pangkalahatan, ang mga batas na tumutugon sa pananagutan ng korporasyon para sa human traf"&amp;"ficking ay nakatuon sa pagpapanagot sa mga korporasyon para sa kanilang mga aksyon o kawalan ng aksyon na nag-aambag sa o nagpapadali sa trafficking, gaya ng:
Pananagutan sa Kriminal: Sa maraming hurisdiksyon, ang mga korporasyon ay maaaring humarap sa mg"&amp;"a kasong kriminal kung sila ay napag-alaman na sadyang nakinabang o lumahok sa mga aktibidad ng human trafficking. Maaaring kabilang dito ang mga singil ng pagsasabwatan, pagtulong at pag-aabet, o pagiging accessory sa trafficking.
Pananagutan ng Sibil: A"&amp;"ng mga biktima ng human trafficking ay maaaring magdala ng mga kasong sibil laban sa mga korporasyon para sa kanilang tungkulin sa pagpapadali sa trafficking. Maaaring kabilang dito ang mga paghahabol para sa mga pinsala batay sa kapabayaan, pananagutan s"&amp;"a lugar, o mga paglabag sa mga batas sa paggawa at pagtatrabaho.
Pananagutan sa Regulatoryo: Maaari ding harapin ng mga korporasyon ang mga parusa sa regulasyon o parusa para sa hindi pagpigil sa trafficking ng tao sa loob ng kanilang mga operasyon o supp"&amp;"ly chain. Maraming bansa ang nagpatupad ng mga batas na nag-aatas sa mga korporasyon na magpatupad ng mga hakbang upang matukoy at matugunan ang mga panganib sa human trafficking sa kanilang mga aktibidad sa negosyo.
Mga Pamantayan ng Corporate Social Res"&amp;"ponsibility (CSR): Bilang karagdagan sa legal na pananagutan, ang mga korporasyon ay maaaring makaharap sa pinsala sa reputasyon at pagkawala ng negosyo kung sila ay napatunayang nauugnay sa human trafficking. Maraming kumpanya ang nagpatibay ng mga patak"&amp;"aran ng CSR na kinabibilangan ng mga pangako sa paglaban sa human trafficking at iba pang anyo ng pagsasamantala sa kanilang mga operasyon at supply chain.
Mga Internasyonal na Pamantayan at Kasunduan: Maraming internasyonal na kasunduan at pamantayan ang"&amp;" tumutugon sa responsibilidad ng mga korporasyon sa pagpigil at paglaban sa human trafficking. Halimbawa, binalangkas ng United Nations Guiding Principles on Business and Human Rights ang responsibilidad ng mga korporasyon na igalang ang mga karapatang pa"&amp;"ntao at gumawa ng mga hakbang upang maiwasan at matugunan ang mga pang-aabuso sa karapatang pantao, kabilang ang trafficking, sa kanilang mga operasyon.
Sa pangkalahatan, ang pananagutan ng mga korporasyon o entidad na sangkot sa human trafficking ay lalo"&amp;"ng kinikilala at tinutugunan sa pamamagitan ng kumbinasyon ng mga legal, regulasyon, at boluntaryong mekanismo na naglalayong pigilan ang pagsasamantala at panagutin ang mga may kasalanan.")</f>
        <v>Ang pananagutan ng mga korporasyon o entidad na sangkot sa human trafficking ay maaaring mag-iba depende sa hurisdiksyon at mga partikular na pangyayari ng kaso. Sa pangkalahatan, ang mga batas na tumutugon sa pananagutan ng korporasyon para sa human trafficking ay nakatuon sa pagpapanagot sa mga korporasyon para sa kanilang mga aksyon o kawalan ng aksyon na nag-aambag sa o nagpapadali sa trafficking, gaya ng:
Pananagutan sa Kriminal: Sa maraming hurisdiksyon, ang mga korporasyon ay maaaring humarap sa mga kasong kriminal kung sila ay napag-alaman na sadyang nakinabang o lumahok sa mga aktibidad ng human trafficking. Maaaring kabilang dito ang mga singil ng pagsasabwatan, pagtulong at pag-aabet, o pagiging accessory sa trafficking.
Pananagutan ng Sibil: Ang mga biktima ng human trafficking ay maaaring magdala ng mga kasong sibil laban sa mga korporasyon para sa kanilang tungkulin sa pagpapadali sa trafficking. Maaaring kabilang dito ang mga paghahabol para sa mga pinsala batay sa kapabayaan, pananagutan sa lugar, o mga paglabag sa mga batas sa paggawa at pagtatrabaho.
Pananagutan sa Regulatoryo: Maaari ding harapin ng mga korporasyon ang mga parusa sa regulasyon o parusa para sa hindi pagpigil sa trafficking ng tao sa loob ng kanilang mga operasyon o supply chain. Maraming bansa ang nagpatupad ng mga batas na nag-aatas sa mga korporasyon na magpatupad ng mga hakbang upang matukoy at matugunan ang mga panganib sa human trafficking sa kanilang mga aktibidad sa negosyo.
Mga Pamantayan ng Corporate Social Responsibility (CSR): Bilang karagdagan sa legal na pananagutan, ang mga korporasyon ay maaaring makaharap sa pinsala sa reputasyon at pagkawala ng negosyo kung sila ay napatunayang nauugnay sa human trafficking. Maraming kumpanya ang nagpatibay ng mga patakaran ng CSR na kinabibilangan ng mga pangako sa paglaban sa human trafficking at iba pang anyo ng pagsasamantala sa kanilang mga operasyon at supply chain.
Mga Internasyonal na Pamantayan at Kasunduan: Maraming internasyonal na kasunduan at pamantayan ang tumutugon sa responsibilidad ng mga korporasyon sa pagpigil at paglaban sa human trafficking. Halimbawa, binalangkas ng United Nations Guiding Principles on Business and Human Rights ang responsibilidad ng mga korporasyon na igalang ang mga karapatang pantao at gumawa ng mga hakbang upang maiwasan at matugunan ang mga pang-aabuso sa karapatang pantao, kabilang ang trafficking, sa kanilang mga operasyon.
Sa pangkalahatan, ang pananagutan ng mga korporasyon o entidad na sangkot sa human trafficking ay lalong kinikilala at tinutugunan sa pamamagitan ng kumbinasyon ng mga legal, regulasyon, at boluntaryong mekanismo na naglalayong pigilan ang pagsasamantala at panagutin ang mga may kasalanan.</v>
      </c>
      <c r="F2582" s="2">
        <f t="shared" si="1"/>
        <v>0</v>
      </c>
      <c r="G2582" s="2"/>
      <c r="H2582" s="2"/>
      <c r="I2582" s="2"/>
      <c r="J2582" s="2"/>
      <c r="K2582" s="2"/>
      <c r="L2582" s="2"/>
      <c r="M2582" s="2"/>
      <c r="N2582" s="2"/>
      <c r="O2582" s="2"/>
      <c r="P2582" s="2"/>
      <c r="Q2582" s="2"/>
      <c r="R2582" s="2"/>
      <c r="S2582" s="2"/>
      <c r="T2582" s="2"/>
      <c r="U2582" s="2"/>
      <c r="V2582" s="2"/>
      <c r="W2582" s="2"/>
      <c r="X2582" s="2"/>
      <c r="Y2582" s="2"/>
      <c r="Z2582" s="2"/>
      <c r="AA2582" s="2"/>
    </row>
    <row r="2583">
      <c r="A2583" s="3" t="s">
        <v>6112</v>
      </c>
      <c r="B2583" s="1" t="s">
        <v>6135</v>
      </c>
      <c r="C2583" s="1" t="s">
        <v>6136</v>
      </c>
      <c r="D2583" s="2" t="str">
        <f>IFERROR(__xludf.DUMMYFUNCTION("GOOGLETRANSLATE(B2583, ""en"", ""TL"")"),"Anong mga legal na hakbang ang inilalagay upang matiyak ang pagiging kumpidensyal at kaligtasan ng mga biktima ng human trafficking sa panahon ng mga legal na paglilitis?")</f>
        <v>Anong mga legal na hakbang ang inilalagay upang matiyak ang pagiging kumpidensyal at kaligtasan ng mga biktima ng human trafficking sa panahon ng mga legal na paglilitis?</v>
      </c>
      <c r="E2583" s="2" t="str">
        <f>IFERROR(__xludf.DUMMYFUNCTION("GOOGLETRANSLATE(C2583, ""en"", ""TL"")"),"Ang mga legal na hakbang na naglalayong tiyakin ang pagiging kompidensiyal at kaligtasan ng mga biktima ng human trafficking sa panahon ng mga legal na paglilitis ay maaaring mag-iba ayon sa hurisdiksyon, ngunit mayroong ilang karaniwang mga diskarte at p"&amp;"roteksyon sa lugar:
Mga Utos sa Pagiging Kompidensyal: Maaaring maglabas ang mga korte ng mga utos ng pagiging kompidensyal upang protektahan ang pagkakakilanlan ng mga biktima ng trafficking sa panahon ng mga legal na paglilitis. Ang mga utos na ito ay k"&amp;"araniwang naghihigpit sa pagpapakalat ng impormasyon sa pagkakakilanlan tungkol sa biktima, tulad ng kanilang pangalan, address, o anumang iba pang detalye na maaaring humantong sa kanilang pagkakakilanlan.
Mga Saradong Silid ng Hukuman: Sa ilang mga kaso"&amp;", maaaring magsagawa ng mga saradong pagdinig ang mga hukuman o limitahan ang pag-access sa silid ng hukuman upang protektahan ang privacy at kaligtasan ng mga biktima ng trafficking. Nakakatulong ito na pigilan ang pagkakakilanlan ng biktima na ibunyag s"&amp;"a publiko sa panahon ng paglilitis.
Paggamit ng Mga Pseudonym: Maaaring pahintulutan ang mga biktima na gumamit ng mga pseudonym o inisyal sa halip na ang kanilang mga tunay na pangalan sa mga dokumento at paglilitis ng hukuman upang higit pang maprotekta"&amp;"han ang kanilang pagkakakilanlan.
Mga Paghihigpit sa Cross-Examination: Ang mga korte ay maaaring maglagay ng mga paghihigpit sa cross-examination ng mga biktima ng trafficking upang maiwasan ang muling pagka-trauma o panliligalig. Maaaring kabilang dito "&amp;"ang paglilimita sa saklaw ng pagtatanong o pag-aatas na matugunan ang ilang partikular na paksa sa mas sensitibong paraan.
Mga Programa sa Proteksyon ng Saksi: Ang ilang mga hurisdiksyon ay may mga programa sa proteksyon ng saksi na nakalagay upang magbig"&amp;"ay ng karagdagang seguridad at suporta sa mga biktima ng trafficking na nagpapatotoo sa korte. Maaaring kabilang dito ang tulong sa relokasyon, mga hakbang sa seguridad, at patuloy na mga serbisyo ng suporta.
Mga Tagapagtaguyod ng Biktima: Maaaring humira"&amp;"ng ang mga korte ng mga tagapagtaguyod ng biktima o mga tauhan ng suporta upang tulungan ang mga biktima ng trafficking sa buong prosesong legal. Ang mga tagapagtaguyod na ito ay maaaring magbigay ng emosyonal na suporta, tulungan ang mga biktima na mauna"&amp;"waan ang kanilang mga karapatan, at ikonekta sila sa mga naaangkop na serbisyo.
Trauma-Informed Approaches: Ang mga legal na propesyonal ay maaaring makatanggap ng pagsasanay sa trauma-informed approach sa pakikipagtulungan sa mga biktima ng trafficking, "&amp;"na nagbibigay-diin sa pag-unawa sa epekto ng trauma sa mga biktima at pag-angkop ng mga legal na paglilitis nang naaayon.
Paghihigpit sa Pampublikong Pag-access sa Mga Rekord: Maaaring paghigpitan ng mga korte ang pampublikong pag-access sa ilang partikul"&amp;"ar na talaan o dokumentong nauugnay sa mga kaso ng trafficking upang maprotektahan ang pagiging kompidensiyal ng mga biktima at iba pang sensitibong impormasyon.
Sa pangkalahatan, ang layunin ng mga legal na hakbang na ito ay upang matiyak na ang mga bikt"&amp;"ima ng trafficking ay maaaring lumahok sa mga legal na paglilitis nang walang takot sa paghihiganti, muling biktima, o higit pang pinsala, habang itinataguyod pa rin ang mga prinsipyo ng angkop na proseso at pagiging patas sa legal na sistema.")</f>
        <v>Ang mga legal na hakbang na naglalayong tiyakin ang pagiging kompidensiyal at kaligtasan ng mga biktima ng human trafficking sa panahon ng mga legal na paglilitis ay maaaring mag-iba ayon sa hurisdiksyon, ngunit mayroong ilang karaniwang mga diskarte at proteksyon sa lugar:
Mga Utos sa Pagiging Kompidensyal: Maaaring maglabas ang mga korte ng mga utos ng pagiging kompidensyal upang protektahan ang pagkakakilanlan ng mga biktima ng trafficking sa panahon ng mga legal na paglilitis. Ang mga utos na ito ay karaniwang naghihigpit sa pagpapakalat ng impormasyon sa pagkakakilanlan tungkol sa biktima, tulad ng kanilang pangalan, address, o anumang iba pang detalye na maaaring humantong sa kanilang pagkakakilanlan.
Mga Saradong Silid ng Hukuman: Sa ilang mga kaso, maaaring magsagawa ng mga saradong pagdinig ang mga hukuman o limitahan ang pag-access sa silid ng hukuman upang protektahan ang privacy at kaligtasan ng mga biktima ng trafficking. Nakakatulong ito na pigilan ang pagkakakilanlan ng biktima na ibunyag sa publiko sa panahon ng paglilitis.
Paggamit ng Mga Pseudonym: Maaaring pahintulutan ang mga biktima na gumamit ng mga pseudonym o inisyal sa halip na ang kanilang mga tunay na pangalan sa mga dokumento at paglilitis ng hukuman upang higit pang maprotektahan ang kanilang pagkakakilanlan.
Mga Paghihigpit sa Cross-Examination: Ang mga korte ay maaaring maglagay ng mga paghihigpit sa cross-examination ng mga biktima ng trafficking upang maiwasan ang muling pagka-trauma o panliligalig. Maaaring kabilang dito ang paglilimita sa saklaw ng pagtatanong o pag-aatas na matugunan ang ilang partikular na paksa sa mas sensitibong paraan.
Mga Programa sa Proteksyon ng Saksi: Ang ilang mga hurisdiksyon ay may mga programa sa proteksyon ng saksi na nakalagay upang magbigay ng karagdagang seguridad at suporta sa mga biktima ng trafficking na nagpapatotoo sa korte. Maaaring kabilang dito ang tulong sa relokasyon, mga hakbang sa seguridad, at patuloy na mga serbisyo ng suporta.
Mga Tagapagtaguyod ng Biktima: Maaaring humirang ang mga korte ng mga tagapagtaguyod ng biktima o mga tauhan ng suporta upang tulungan ang mga biktima ng trafficking sa buong prosesong legal. Ang mga tagapagtaguyod na ito ay maaaring magbigay ng emosyonal na suporta, tulungan ang mga biktima na maunawaan ang kanilang mga karapatan, at ikonekta sila sa mga naaangkop na serbisyo.
Trauma-Informed Approaches: Ang mga legal na propesyonal ay maaaring makatanggap ng pagsasanay sa trauma-informed approach sa pakikipagtulungan sa mga biktima ng trafficking, na nagbibigay-diin sa pag-unawa sa epekto ng trauma sa mga biktima at pag-angkop ng mga legal na paglilitis nang naaayon.
Paghihigpit sa Pampublikong Pag-access sa Mga Rekord: Maaaring paghigpitan ng mga korte ang pampublikong pag-access sa ilang partikular na talaan o dokumentong nauugnay sa mga kaso ng trafficking upang maprotektahan ang pagiging kompidensiyal ng mga biktima at iba pang sensitibong impormasyon.
Sa pangkalahatan, ang layunin ng mga legal na hakbang na ito ay upang matiyak na ang mga biktima ng trafficking ay maaaring lumahok sa mga legal na paglilitis nang walang takot sa paghihiganti, muling biktima, o higit pang pinsala, habang itinataguyod pa rin ang mga prinsipyo ng angkop na proseso at pagiging patas sa legal na sistema.</v>
      </c>
      <c r="F2583" s="2">
        <f t="shared" si="1"/>
        <v>0</v>
      </c>
      <c r="G2583" s="2"/>
      <c r="H2583" s="2"/>
      <c r="I2583" s="2"/>
      <c r="J2583" s="2"/>
      <c r="K2583" s="2"/>
      <c r="L2583" s="2"/>
      <c r="M2583" s="2"/>
      <c r="N2583" s="2"/>
      <c r="O2583" s="2"/>
      <c r="P2583" s="2"/>
      <c r="Q2583" s="2"/>
      <c r="R2583" s="2"/>
      <c r="S2583" s="2"/>
      <c r="T2583" s="2"/>
      <c r="U2583" s="2"/>
      <c r="V2583" s="2"/>
      <c r="W2583" s="2"/>
      <c r="X2583" s="2"/>
      <c r="Y2583" s="2"/>
      <c r="Z2583" s="2"/>
      <c r="AA2583" s="2"/>
    </row>
    <row r="2584">
      <c r="A2584" s="3" t="s">
        <v>6112</v>
      </c>
      <c r="B2584" s="1" t="s">
        <v>6137</v>
      </c>
      <c r="C2584" s="1" t="s">
        <v>6138</v>
      </c>
      <c r="D2584" s="2" t="str">
        <f>IFERROR(__xludf.DUMMYFUNCTION("GOOGLETRANSLATE(B2584, ""en"", ""TL"")"),"Paano tinutugunan ng batas ang smuggling ng mga migrante sa konteksto ng human trafficking?")</f>
        <v>Paano tinutugunan ng batas ang smuggling ng mga migrante sa konteksto ng human trafficking?</v>
      </c>
      <c r="E2584" s="2" t="str">
        <f>IFERROR(__xludf.DUMMYFUNCTION("GOOGLETRANSLATE(C2584, ""en"", ""TL"")"),"Tinutukoy ng batas ng Pilipinas ang pagkakaiba sa pagitan ng Smuggling of Migrants at Trafficking in Persons, bagama't maaaring iugnay ang dalawa. Narito kung paano sila tinutugunan:
**Pagpupuslit ng mga Migrante**
* **Republic Act No. 9208 o ang Anti-Tra"&amp;"fficking in Persons Act of 2003 (ATIP Act)**: Habang ang pangunahing pokus ay sa trafficking, ang **Section 6** ay nagpaparusa din sa mga gawa ng migrant smuggling. Kabilang dito ang pagpapadali sa iligal na pagpasok ng mga dayuhan para sa pananalapi o ib"&amp;"a pang pakinabang.
* **Artikulo 183 ng Revised Penal Code (RPC)** on Conspiracy to commit a crime: Ito ay maaaring ilapat sa migrant smuggling kung dalawa o higit pang tao ang sumang-ayon na mapadali ang iligal na pagpasok at isakatuparan ang plano.
**Tra"&amp;"fficking in Persons**
* **Republic Act No. 9208 o ang Anti-Trafficking in Persons Act of 2003 (ATIP Act)**: Ito ang pangunahing batas na tumutukoy at nagpaparusa sa lahat ng uri ng trafficking, kabilang ang:
* **Seksyon 3** ay tumutukoy sa trafficking na "&amp;"kinasasangkutan ng pangangalap, transportasyon, pagkukulong, o pagtanggap ng mga tao para sa pagsasamantala, kabilang ang sapilitang paggawa, sekswal na pagsasamantala, pagkaalipin, o pagtanggal ng organ. * **Seksyon 4** ay binabalangkas ang iba't ibang m"&amp;"ga gawain ng trafficking, na maaaring may kasamang pandaraya, pamimilit, pang-aabuso sa kapangyarihan, o isang posisyon ng kahinaan.
**Ang Link sa Pagitan ng Smuggling at Trafficking**
Habang ang migrant smuggling ay nakatuon sa iligal na pagpasok, ang mg"&amp;"a smuggled migrant ay nagiging bulnerable sa trafficking sa panahon ng proseso. Kung ang mga pagbabanta, karahasan, o pamimilit ay ginagamit upang pagsamantalahan sila pagkatapos nilang makapasok sa bansa, ang krimen ay nagiging trafficking sa ilalim ng A"&amp;"TIP Act.
**Mahalagang Tandaan**
* Parehong mga seryosong krimen ang migrant smuggling at trafficking na may malaking parusa sa ilalim ng batas ng Pilipinas.
* Ang ATIP Act ay inuuna ang proteksyon at tulong ng mga biktima.
Para sa karagdagang impormasyon "&amp;"sa mga batas na ito, maaari kang sumangguni sa mga opisyal na website ng pamahalaan:
* Philippine Commission on Women (PCW): [https://pcw.gov.ph/](https://pcw.gov.ph/) * Inter-Agency Council Against Trafficking (IACAT): [https://iacat .gov.ph/](https://ia"&amp;"cat.gov.ph/)")</f>
        <v>Tinutukoy ng batas ng Pilipinas ang pagkakaiba sa pagitan ng Smuggling of Migrants at Trafficking in Persons, bagama't maaaring iugnay ang dalawa. Narito kung paano sila tinutugunan:
**Pagpupuslit ng mga Migrante**
* **Republic Act No. 9208 o ang Anti-Trafficking in Persons Act of 2003 (ATIP Act)**: Habang ang pangunahing pokus ay sa trafficking, ang **Section 6** ay nagpaparusa din sa mga gawa ng migrant smuggling. Kabilang dito ang pagpapadali sa iligal na pagpasok ng mga dayuhan para sa pananalapi o iba pang pakinabang.
* **Artikulo 183 ng Revised Penal Code (RPC)** on Conspiracy to commit a crime: Ito ay maaaring ilapat sa migrant smuggling kung dalawa o higit pang tao ang sumang-ayon na mapadali ang iligal na pagpasok at isakatuparan ang plano.
**Trafficking in Persons**
* **Republic Act No. 9208 o ang Anti-Trafficking in Persons Act of 2003 (ATIP Act)**: Ito ang pangunahing batas na tumutukoy at nagpaparusa sa lahat ng uri ng trafficking, kabilang ang:
* **Seksyon 3** ay tumutukoy sa trafficking na kinasasangkutan ng pangangalap, transportasyon, pagkukulong, o pagtanggap ng mga tao para sa pagsasamantala, kabilang ang sapilitang paggawa, sekswal na pagsasamantala, pagkaalipin, o pagtanggal ng organ. * **Seksyon 4** ay binabalangkas ang iba't ibang mga gawain ng trafficking, na maaaring may kasamang pandaraya, pamimilit, pang-aabuso sa kapangyarihan, o isang posisyon ng kahinaan.
**Ang Link sa Pagitan ng Smuggling at Trafficking**
Habang ang migrant smuggling ay nakatuon sa iligal na pagpasok, ang mga smuggled migrant ay nagiging bulnerable sa trafficking sa panahon ng proseso. Kung ang mga pagbabanta, karahasan, o pamimilit ay ginagamit upang pagsamantalahan sila pagkatapos nilang makapasok sa bansa, ang krimen ay nagiging trafficking sa ilalim ng ATIP Act.
**Mahalagang Tandaan**
* Parehong mga seryosong krimen ang migrant smuggling at trafficking na may malaking parusa sa ilalim ng batas ng Pilipinas.
* Ang ATIP Act ay inuuna ang proteksyon at tulong ng mga biktima.
Para sa karagdagang impormasyon sa mga batas na ito, maaari kang sumangguni sa mga opisyal na website ng pamahalaan:
* Philippine Commission on Women (PCW): [https://pcw.gov.ph/](https://pcw.gov.ph/) * Inter-Agency Council Against Trafficking (IACAT): [https://iacat .gov.ph/](https://iacat.gov.ph/)</v>
      </c>
      <c r="F2584" s="2">
        <f t="shared" si="1"/>
        <v>0</v>
      </c>
      <c r="G2584" s="2"/>
      <c r="H2584" s="2"/>
      <c r="I2584" s="2"/>
      <c r="J2584" s="2"/>
      <c r="K2584" s="2"/>
      <c r="L2584" s="2"/>
      <c r="M2584" s="2"/>
      <c r="N2584" s="2"/>
      <c r="O2584" s="2"/>
      <c r="P2584" s="2"/>
      <c r="Q2584" s="2"/>
      <c r="R2584" s="2"/>
      <c r="S2584" s="2"/>
      <c r="T2584" s="2"/>
      <c r="U2584" s="2"/>
      <c r="V2584" s="2"/>
      <c r="W2584" s="2"/>
      <c r="X2584" s="2"/>
      <c r="Y2584" s="2"/>
      <c r="Z2584" s="2"/>
      <c r="AA2584" s="2"/>
    </row>
    <row r="2585">
      <c r="A2585" s="3" t="s">
        <v>6112</v>
      </c>
      <c r="B2585" s="1" t="s">
        <v>6139</v>
      </c>
      <c r="C2585" s="1" t="s">
        <v>6140</v>
      </c>
      <c r="D2585" s="2" t="str">
        <f>IFERROR(__xludf.DUMMYFUNCTION("GOOGLETRANSLATE(B2585, ""en"", ""TL"")"),"Anong papel ang ginagampanan ng mga non-government organization (NGOs) sa pag-iwas at interbensyon sa mga kaso ng human trafficking?")</f>
        <v>Anong papel ang ginagampanan ng mga non-government organization (NGOs) sa pag-iwas at interbensyon sa mga kaso ng human trafficking?</v>
      </c>
      <c r="E2585" s="2" t="str">
        <f>IFERROR(__xludf.DUMMYFUNCTION("GOOGLETRANSLATE(C2585, ""en"", ""TL"")"),"Ang mga non-government organization (NGOs) ay may mahalagang papel sa pagpigil at pakikialam sa mga kaso ng human trafficking sa Pilipinas. Narito ang isang breakdown ng kanilang mga pangunahing kontribusyon:
**Pagtaas ng Kamalayan:**
* Ang mga NGO ay nag"&amp;"sasagawa ng mga kampanyang pang-edukasyon sa mga komunidad na pinaka-bulnerable sa trafficking. * Ipinapaalam nila sa mga potensyal na biktima at sa publiko ang tungkol sa mga pulang bandila upang matukoy ang mga sitwasyon ng trafficking.
* Maaari din nil"&amp;"ang isulong ang mga repormang pambatas upang palakasin ang mga batas laban sa trafficking.
**Pagkilala at Suporta sa Biktima:**
* Ang ilang NGO ay nagpapatakbo ng mga hotline o shelter kung saan maaaring humingi ng tulong ang mga biktima. * Maaari silang "&amp;"magbigay ng sikolohikal na suporta, legal na tulong, at tulong sa muling pagsasama sa lipunan.
* Maaari din nilang ikonekta ang mga biktima sa mga ahensya ng gobyerno para sa karagdagang suporta at proteksyon.
**Pagpapalakas ng mga Mahihinang Populasyon:*"&amp;"*
* Maaaring makipagtulungan ang mga NGO sa mga grupo ng kababaihan, katutubong komunidad, o migranteng manggagawa** upang mapataas ang kanilang kamalayan sa mga panganib sa trafficking at pahusayin ang kanilang mga pagkakataong pang-ekonomiya**, sa gayon"&amp;" ay mababawasan ang kanilang kahinaan.
**Sumusuporta sa Pagpapatupad ng Batas:**
* Ang ilang NGO ay nakikipagtulungan sa mga ahensyang nagpapatupad ng batas** sa pamamagitan ng pagbibigay ng impormasyon sa mga pinaghihinalaang aktibidad ng trafficking. * "&amp;"Maaari din silang mag-alok ng pagsasanay sa mga nagpapatupad ng batas sa mga pamamaraan ng pagkilala sa biktima at pagsisiyasat.
**Mga Hamon at Pagsasaalang-alang:**
* **Pagpopondo:** Ang mga NGO ay kadalasang umaasa sa mga donasyon at gawad, na maaaring "&amp;"hindi magkatugma**. * **Sustainability:** Ang pangmatagalang pagpopondo ay mahalaga para sa mga NGO na mapanatili ang kanilang mga pagsusumikap laban sa trafficking.
* **Pag-abot sa Mga Malayong Lugar:** Ang pag-abot sa mga komunidad na nakahiwalay sa heo"&amp;"grapiya na pinaka-mahina sa trafficking ay maaaring maging mahirap.
**Mga halimbawa ng mga NGO sa Pilipinas:**
* Visayan Forum Foundation (VVF)
* La Salle Institute for Studies on Migration and Social Development (LSIS)
* Gabriela Women's Network
**Sa pan"&amp;"gkalahatan, ang mga NGO ay may mahalagang papel sa pagdaragdag sa mga pagsisikap ng pamahalaan na labanan ang human trafficking. Ang kanilang gawain sa pagpapataas ng kamalayan, pagsuporta sa mga biktima, at pagbibigay kapangyarihan sa mga komunidad ay na"&amp;"gpapatibay sa pagtugon ng Pilipinas sa masalimuot na krimeng ito.**
Narito ang ilang karagdagang mapagkukunan:
* Inter-Agency Council Against Trafficking (IACAT): [https://iacat.gov.ph/](https://iacat.gov.ph/)
* Alliance Against Trafficking in Persons (AA"&amp;"TIP): [https://en.wikipedia.org/wiki/Advanced_Aerospace_Threat_Identification_Program](https://en.wikipedia.org/wiki/Advanced_Aerospace_Threat_Identification_Program)")</f>
        <v>Ang mga non-government organization (NGOs) ay may mahalagang papel sa pagpigil at pakikialam sa mga kaso ng human trafficking sa Pilipinas. Narito ang isang breakdown ng kanilang mga pangunahing kontribusyon:
**Pagtaas ng Kamalayan:**
* Ang mga NGO ay nagsasagawa ng mga kampanyang pang-edukasyon sa mga komunidad na pinaka-bulnerable sa trafficking. * Ipinapaalam nila sa mga potensyal na biktima at sa publiko ang tungkol sa mga pulang bandila upang matukoy ang mga sitwasyon ng trafficking.
* Maaari din nilang isulong ang mga repormang pambatas upang palakasin ang mga batas laban sa trafficking.
**Pagkilala at Suporta sa Biktima:**
* Ang ilang NGO ay nagpapatakbo ng mga hotline o shelter kung saan maaaring humingi ng tulong ang mga biktima. * Maaari silang magbigay ng sikolohikal na suporta, legal na tulong, at tulong sa muling pagsasama sa lipunan.
* Maaari din nilang ikonekta ang mga biktima sa mga ahensya ng gobyerno para sa karagdagang suporta at proteksyon.
**Pagpapalakas ng mga Mahihinang Populasyon:**
* Maaaring makipagtulungan ang mga NGO sa mga grupo ng kababaihan, katutubong komunidad, o migranteng manggagawa** upang mapataas ang kanilang kamalayan sa mga panganib sa trafficking at pahusayin ang kanilang mga pagkakataong pang-ekonomiya**, sa gayon ay mababawasan ang kanilang kahinaan.
**Sumusuporta sa Pagpapatupad ng Batas:**
* Ang ilang NGO ay nakikipagtulungan sa mga ahensyang nagpapatupad ng batas** sa pamamagitan ng pagbibigay ng impormasyon sa mga pinaghihinalaang aktibidad ng trafficking. * Maaari din silang mag-alok ng pagsasanay sa mga nagpapatupad ng batas sa mga pamamaraan ng pagkilala sa biktima at pagsisiyasat.
**Mga Hamon at Pagsasaalang-alang:**
* **Pagpopondo:** Ang mga NGO ay kadalasang umaasa sa mga donasyon at gawad, na maaaring hindi magkatugma**. * **Sustainability:** Ang pangmatagalang pagpopondo ay mahalaga para sa mga NGO na mapanatili ang kanilang mga pagsusumikap laban sa trafficking.
* **Pag-abot sa Mga Malayong Lugar:** Ang pag-abot sa mga komunidad na nakahiwalay sa heograpiya na pinaka-mahina sa trafficking ay maaaring maging mahirap.
**Mga halimbawa ng mga NGO sa Pilipinas:**
* Visayan Forum Foundation (VVF)
* La Salle Institute for Studies on Migration and Social Development (LSIS)
* Gabriela Women's Network
**Sa pangkalahatan, ang mga NGO ay may mahalagang papel sa pagdaragdag sa mga pagsisikap ng pamahalaan na labanan ang human trafficking. Ang kanilang gawain sa pagpapataas ng kamalayan, pagsuporta sa mga biktima, at pagbibigay kapangyarihan sa mga komunidad ay nagpapatibay sa pagtugon ng Pilipinas sa masalimuot na krimeng ito.**
Narito ang ilang karagdagang mapagkukunan:
* Inter-Agency Council Against Trafficking (IACAT): [https://iacat.gov.ph/](https://iacat.gov.ph/)
* Alliance Against Trafficking in Persons (AATIP): [https://en.wikipedia.org/wiki/Advanced_Aerospace_Threat_Identification_Program](https://en.wikipedia.org/wiki/Advanced_Aerospace_Threat_Identification_Program)</v>
      </c>
      <c r="F2585" s="2">
        <f t="shared" si="1"/>
        <v>0</v>
      </c>
      <c r="G2585" s="2"/>
      <c r="H2585" s="2"/>
      <c r="I2585" s="2"/>
      <c r="J2585" s="2"/>
      <c r="K2585" s="2"/>
      <c r="L2585" s="2"/>
      <c r="M2585" s="2"/>
      <c r="N2585" s="2"/>
      <c r="O2585" s="2"/>
      <c r="P2585" s="2"/>
      <c r="Q2585" s="2"/>
      <c r="R2585" s="2"/>
      <c r="S2585" s="2"/>
      <c r="T2585" s="2"/>
      <c r="U2585" s="2"/>
      <c r="V2585" s="2"/>
      <c r="W2585" s="2"/>
      <c r="X2585" s="2"/>
      <c r="Y2585" s="2"/>
      <c r="Z2585" s="2"/>
      <c r="AA2585" s="2"/>
    </row>
    <row r="2586">
      <c r="A2586" s="3" t="s">
        <v>6112</v>
      </c>
      <c r="B2586" s="1" t="s">
        <v>6141</v>
      </c>
      <c r="C2586" s="1" t="s">
        <v>6142</v>
      </c>
      <c r="D2586" s="2" t="str">
        <f>IFERROR(__xludf.DUMMYFUNCTION("GOOGLETRANSLATE(B2586, ""en"", ""TL"")"),"Paano ginagamit ang kooperasyong cross-border at mga internasyonal na kasunduan sa paglaban sa human trafficking?")</f>
        <v>Paano ginagamit ang kooperasyong cross-border at mga internasyonal na kasunduan sa paglaban sa human trafficking?</v>
      </c>
      <c r="E2586" s="2" t="str">
        <f>IFERROR(__xludf.DUMMYFUNCTION("GOOGLETRANSLATE(C2586, ""en"", ""TL"")"),"Kinikilala ng Pilipinas ang transnational na kalikasan ng human trafficking at gumagamit ng iba't ibang mekanismo para sa kooperasyong cross-border at mga internasyonal na kasunduan upang labanan ang krimeng ito. Narito kung paano gumagana ang mga pagsisi"&amp;"kap na ito:
**Kahalagahan ng Pakikipagtulungan:**
* Ang mga network ng trafficking ay madalas na tumatakbo sa mga hangganan, na ginagawang mahalaga ang internasyonal na kooperasyon para sa epektibong pagsisiyasat at pag-uusig. **Mga Mekanismo para sa Koop"&amp;"erasyon:**
* **Mga Kasunduan sa Bilateral:** Ang Pilipinas ay may mga bilateral na kasunduan sa maraming bansa** partikular na nakatuon sa paglaban sa human trafficking. Binabalangkas ng mga kasunduang ito ang mga balangkas ng kooperasyon para sa pagbabah"&amp;"agi ng impormasyon, magkasanib na pagsisiyasat, pagbuo ng kapasidad, at proteksyon ng biktima.
* **Mga Multilateral na Kasunduan:** Ang Pilipinas ay lumagda sa mga internasyonal na kombensiyon tulad ng UN Protocol to Prevent, Suppress and Punish Trafficki"&amp;"ng in Persons, Especially Women and Children (Palermo Protocol). Ang mga kasunduang ito ay nagtatatag ng mga pandaigdigang pamantayan para sa kooperasyon at mga obligasyon para sa mga miyembrong estado na magtulungan laban sa trafficking. **Mga Benepisyo "&amp;"ng International Cooperation:**
* **Pagbabahagi ng Impormasyon:** Ang mga ahensyang nagpapatupad ng batas ay maaaring magbahagi ng impormasyon tungkol sa mga network ng trafficking, mga suspek, at pagkakakilanlan ng biktima. * **Mga Pinagsanib na Imbestig"&amp;"asyon:** Maaaring magtulungan ang mga bansa sa mga pagsisiyasat** na may kinalaman sa mga aktibidad na cross-border. * **Proteksyon ng Biktima:** Ang pakikipagtulungan ng internasyonal ay maaaring matiyak ang pare-parehong suporta para sa mga biktima, saa"&amp;"nman sila nailigtas. * **Pagbuo ng Kapasidad:** Ang mga mauunlad na bansa ay maaaring magbigay ng pagsasanay at mga mapagkukunan** upang makatulong na palakasin ang mga pagsisikap ng Pilipinas laban sa trafficking.
**Mga Hamon at Pagsasaalang-alang:**
* *"&amp;"*Mga Pagkakaiba sa Mga Legal na Sistema:** Ang pag-iiba-iba ng mga legal na balangkas sa mga bansa ay maaaring lumikha ng mga hamon para sa extradition, pagbabahagi ng ebidensya, at pag-uusig.
* **Resource Constraints:** Ang epektibong internasyonal na ko"&amp;"operasyon ay kadalasang nangangailangan ng sapat na mapagkukunan** para sa paglalakbay, komunikasyon, at magkasanib na operasyon. * **Political Will:** Ang pangako ng mga pamahalaan** na unahin ang mga pagsusumikap laban sa trafficking ay mahalaga para sa"&amp;" patuloy na pakikipagtulungan.
**Ang Papel ng Pilipinas:**
* Ang Pilipinas ay aktibong nakikilahok sa mga internasyonal na forum tungkol sa human trafficking at nagbabahagi ng mga pinakamahusay na kasanayan.
* Ang Inter-Agency Council Against Trafficking "&amp;"(IACAT)** ay nag-coordinate ng mga pagsisikap laban sa trafficking sa loob ng Pilipinas at nagsisilbing tagapag-ugnay para sa internasyonal na kooperasyon.
**Sa pangkalahatan, ang kooperasyong cross-border at mga internasyonal na kasunduan ay mahahalagang"&amp;" kasangkapan sa paglaban sa human trafficking. Sa pamamagitan ng pagtutulungan, ang mga bansa ay maaaring makagambala sa mga network ng trafficking, protektahan ang mga biktima, at panagutin ang mga may kasalanan sa isang pandaigdigang saklaw.**
Narito an"&amp;"g ilang mapagkukunan para sa karagdagang impormasyon:
* Inter-Agency Council Against Trafficking (IACAT): [https://iacat.gov.ph/](https://iacat.gov.ph/)
* United Nations Office on Drugs and Crime (UNODC): [https://www.unodc.org/unodc/human-trafficking/](h"&amp;"ttps://www.unodc.org/unodc/human-trafficking/)")</f>
        <v>Kinikilala ng Pilipinas ang transnational na kalikasan ng human trafficking at gumagamit ng iba't ibang mekanismo para sa kooperasyong cross-border at mga internasyonal na kasunduan upang labanan ang krimeng ito. Narito kung paano gumagana ang mga pagsisikap na ito:
**Kahalagahan ng Pakikipagtulungan:**
* Ang mga network ng trafficking ay madalas na tumatakbo sa mga hangganan, na ginagawang mahalaga ang internasyonal na kooperasyon para sa epektibong pagsisiyasat at pag-uusig. **Mga Mekanismo para sa Kooperasyon:**
* **Mga Kasunduan sa Bilateral:** Ang Pilipinas ay may mga bilateral na kasunduan sa maraming bansa** partikular na nakatuon sa paglaban sa human trafficking. Binabalangkas ng mga kasunduang ito ang mga balangkas ng kooperasyon para sa pagbabahagi ng impormasyon, magkasanib na pagsisiyasat, pagbuo ng kapasidad, at proteksyon ng biktima.
* **Mga Multilateral na Kasunduan:** Ang Pilipinas ay lumagda sa mga internasyonal na kombensiyon tulad ng UN Protocol to Prevent, Suppress and Punish Trafficking in Persons, Especially Women and Children (Palermo Protocol). Ang mga kasunduang ito ay nagtatatag ng mga pandaigdigang pamantayan para sa kooperasyon at mga obligasyon para sa mga miyembrong estado na magtulungan laban sa trafficking. **Mga Benepisyo ng International Cooperation:**
* **Pagbabahagi ng Impormasyon:** Ang mga ahensyang nagpapatupad ng batas ay maaaring magbahagi ng impormasyon tungkol sa mga network ng trafficking, mga suspek, at pagkakakilanlan ng biktima. * **Mga Pinagsanib na Imbestigasyon:** Maaaring magtulungan ang mga bansa sa mga pagsisiyasat** na may kinalaman sa mga aktibidad na cross-border. * **Proteksyon ng Biktima:** Ang pakikipagtulungan ng internasyonal ay maaaring matiyak ang pare-parehong suporta para sa mga biktima, saanman sila nailigtas. * **Pagbuo ng Kapasidad:** Ang mga mauunlad na bansa ay maaaring magbigay ng pagsasanay at mga mapagkukunan** upang makatulong na palakasin ang mga pagsisikap ng Pilipinas laban sa trafficking.
**Mga Hamon at Pagsasaalang-alang:**
* **Mga Pagkakaiba sa Mga Legal na Sistema:** Ang pag-iiba-iba ng mga legal na balangkas sa mga bansa ay maaaring lumikha ng mga hamon para sa extradition, pagbabahagi ng ebidensya, at pag-uusig.
* **Resource Constraints:** Ang epektibong internasyonal na kooperasyon ay kadalasang nangangailangan ng sapat na mapagkukunan** para sa paglalakbay, komunikasyon, at magkasanib na operasyon. * **Political Will:** Ang pangako ng mga pamahalaan** na unahin ang mga pagsusumikap laban sa trafficking ay mahalaga para sa patuloy na pakikipagtulungan.
**Ang Papel ng Pilipinas:**
* Ang Pilipinas ay aktibong nakikilahok sa mga internasyonal na forum tungkol sa human trafficking at nagbabahagi ng mga pinakamahusay na kasanayan.
* Ang Inter-Agency Council Against Trafficking (IACAT)** ay nag-coordinate ng mga pagsisikap laban sa trafficking sa loob ng Pilipinas at nagsisilbing tagapag-ugnay para sa internasyonal na kooperasyon.
**Sa pangkalahatan, ang kooperasyong cross-border at mga internasyonal na kasunduan ay mahahalagang kasangkapan sa paglaban sa human trafficking. Sa pamamagitan ng pagtutulungan, ang mga bansa ay maaaring makagambala sa mga network ng trafficking, protektahan ang mga biktima, at panagutin ang mga may kasalanan sa isang pandaigdigang saklaw.**
Narito ang ilang mapagkukunan para sa karagdagang impormasyon:
* Inter-Agency Council Against Trafficking (IACAT): [https://iacat.gov.ph/](https://iacat.gov.ph/)
* United Nations Office on Drugs and Crime (UNODC): [https://www.unodc.org/unodc/human-trafficking/](https://www.unodc.org/unodc/human-trafficking/)</v>
      </c>
      <c r="F2586" s="2">
        <f t="shared" si="1"/>
        <v>0</v>
      </c>
      <c r="G2586" s="2"/>
      <c r="H2586" s="2"/>
      <c r="I2586" s="2"/>
      <c r="J2586" s="2"/>
      <c r="K2586" s="2"/>
      <c r="L2586" s="2"/>
      <c r="M2586" s="2"/>
      <c r="N2586" s="2"/>
      <c r="O2586" s="2"/>
      <c r="P2586" s="2"/>
      <c r="Q2586" s="2"/>
      <c r="R2586" s="2"/>
      <c r="S2586" s="2"/>
      <c r="T2586" s="2"/>
      <c r="U2586" s="2"/>
      <c r="V2586" s="2"/>
      <c r="W2586" s="2"/>
      <c r="X2586" s="2"/>
      <c r="Y2586" s="2"/>
      <c r="Z2586" s="2"/>
      <c r="AA2586" s="2"/>
    </row>
    <row r="2587">
      <c r="A2587" s="3" t="s">
        <v>6112</v>
      </c>
      <c r="B2587" s="1" t="s">
        <v>6143</v>
      </c>
      <c r="C2587" s="1" t="s">
        <v>6144</v>
      </c>
      <c r="D2587" s="2" t="str">
        <f>IFERROR(__xludf.DUMMYFUNCTION("GOOGLETRANSLATE(B2587, ""en"", ""TL"")"),"Anong mga legal na probisyon ang namamahala sa pagsisiyasat at pag-uusig sa mga kaso ng human trafficking na kinasasangkutan ng mga online platform?")</f>
        <v>Anong mga legal na probisyon ang namamahala sa pagsisiyasat at pag-uusig sa mga kaso ng human trafficking na kinasasangkutan ng mga online platform?</v>
      </c>
      <c r="E2587" s="2" t="str">
        <f>IFERROR(__xludf.DUMMYFUNCTION("GOOGLETRANSLATE(C2587, ""en"", ""TL"")"),"Ang Pilipinas ay may mga legal na probisyon na maaaring ilapat upang imbestigahan at usigin ang mga kaso ng human trafficking na kinasasangkutan ng mga online platform, kahit na ang partikular na batas na nakatuon lamang sa online trafficking ay nasa ilal"&amp;"im pa rin ng pagbuo. Narito ang isang breakdown ng kung ano ang umiiral:
**Mga Umiiral na Batas:**
* **Anti-Trafficking in Persons Act (RA 9208):** Ang batas na ito ay nananatiling pangunahing legal na balangkas para sa mga kaso ng trafficking. Bagama't h"&amp;"indi tahasang binabanggit ang mga online na platform, ang kahulugan nito ng trafficking (mga gawa, paraan, at layunin) ay maaaring ilapat sa mga online na aktibidad.
* **Mga Gawa:** Ang recruitment, transportasyon, paglipat, pagkukulong, o pagtanggap ng i"&amp;"sang tao ay maaaring mangyari lahat online sa pamamagitan ng social media, messaging app, o mapanlinlang na mga website.
* **Ibig sabihin:** Ang mga pananakot, puwersa, pamimilit, panlilinlang, at pang-aabuso sa kahinaan ay maaaring lahat ay mapadali onli"&amp;"ne. * **Layunin:** Ang pagsasamantala, kabilang ang sex trafficking at forced labor, ay maaaring i-advertise o i-coordinate online.
* **Republic Act No. 10175 (Cybercrime Prevention Act of 2012):** Maaaring gamitin ang batas na ito kasabay ng RA 9208 para"&amp;" sa online na aspeto ng trafficking.
* **Mga Pagkakasala sa Nilalaman:** Ang batas na ito ay nagpaparusa sa paggawa, pagmamay-ari, at pamamahagi ng online na nilalamang nauugnay sa sekswal na pagsasamantala sa bata. * **Online Recruitment:** Maaaring ilap"&amp;"at ang mga probisyon laban sa online na panloloko at panlilinlang sa mga sitwasyon kung saan ang mga biktima ay nire-recruit online sa pamamagitan ng mga maling pangako.
* **Iba Pang Mga Kaugnay na Batas:** Depende sa partikular na nilalaman o aktibidad, "&amp;"ang iba pang mga batas tulad ng Binagong Kodigo Penal (hal., pornograpiya) ay maaari ding naaangkop. **Mga Hamon at Pagsasaalang-alang:**
* **Nagbabagong Teknolohiya:** Ang mga trafficker ay patuloy na nag-aangkop ng kanilang mga pamamaraan online, na nan"&amp;"gangailangan ng pagpapatupad ng batas na manatiling up-to-date sa mga teknolohikal na pagsulong.
* **Mga Isyu sa Hurisdiksiyon:** Ang mga online na platform ay madalas na tumatakbo sa mga hangganan, na ginagawang kumplikado ang mga pagsisiyasat at pag-uus"&amp;"ig, lalo na sa mga kaso ng transnational trafficking.
* **Preserving Evidence:** Ang pagkolekta at pag-iingat ng digital na ebidensya online ay mahalaga para sa pagbuo ng isang malakas na kaso. **Ano ang Ginagawa:**
* **RA 11930 (Anti-Trafficking in Perso"&amp;"ns Act of 2022):** Ang batas na ito kamakailan ay nagpapatibay sa RA 9208 at partikular na nagta-target sa online na aspeto ng trafficking. * Habang ang pagpapatupad ng mga regulasyon ay nasa ilalim pa rin ng pagbuo, itinatampok nito ang lumalaking pagkil"&amp;"ala sa online trafficking.
* **Pakikipagtulungan sa Mga Online na Platform:** Ang mga ahensyang nagpapatupad ng batas ay lalong nakikipagtulungan sa mga kumpanya ng social media at iba pang mga online na platform upang matukoy ang kahina-hinalang aktibida"&amp;"d at alisin ang nilalamang nauugnay sa trafficking.
**Sa pangkalahatan, ang Pilipinas ay may legal na balangkas na maaaring magamit upang tugunan ang mga kaso ng human trafficking na kinasasangkutan ng mga online platform. Gayunpaman, ang umuusbong na kat"&amp;"angian ng online na aktibidad at mga kumplikadong hurisdiksyon ay nangangailangan ng patuloy na pagsisikap na palakasin ang mga legal na balangkas, pahusayin ang mga kakayahan sa pagpapatupad ng batas, at pagyamanin ang pakikipagtulungan sa mga online na "&amp;"platform.**
**Narito ang ilang mapagkukunan para sa karagdagang impormasyon:**
* Inter-Agency Council Against Trafficking (IACAT): [https://iacat.gov.ph/](https://iacat.gov.ph/)
* National Bureau of Investigation (NBI) Anti-Trafficking in Persons Division"&amp;" (ATPD): [https://www.doj.gov.ph/](https://www.doj.gov.ph/)
**Tandaan, kung pinaghihinalaan mo ang isang kaso ng online human trafficking, iulat ito kaagad** sa hotline ng NBI-ATPD o sa iyong lokal na tanggapan ng PNP-WCPC.")</f>
        <v>Ang Pilipinas ay may mga legal na probisyon na maaaring ilapat upang imbestigahan at usigin ang mga kaso ng human trafficking na kinasasangkutan ng mga online platform, kahit na ang partikular na batas na nakatuon lamang sa online trafficking ay nasa ilalim pa rin ng pagbuo. Narito ang isang breakdown ng kung ano ang umiiral:
**Mga Umiiral na Batas:**
* **Anti-Trafficking in Persons Act (RA 9208):** Ang batas na ito ay nananatiling pangunahing legal na balangkas para sa mga kaso ng trafficking. Bagama't hindi tahasang binabanggit ang mga online na platform, ang kahulugan nito ng trafficking (mga gawa, paraan, at layunin) ay maaaring ilapat sa mga online na aktibidad.
* **Mga Gawa:** Ang recruitment, transportasyon, paglipat, pagkukulong, o pagtanggap ng isang tao ay maaaring mangyari lahat online sa pamamagitan ng social media, messaging app, o mapanlinlang na mga website.
* **Ibig sabihin:** Ang mga pananakot, puwersa, pamimilit, panlilinlang, at pang-aabuso sa kahinaan ay maaaring lahat ay mapadali online. * **Layunin:** Ang pagsasamantala, kabilang ang sex trafficking at forced labor, ay maaaring i-advertise o i-coordinate online.
* **Republic Act No. 10175 (Cybercrime Prevention Act of 2012):** Maaaring gamitin ang batas na ito kasabay ng RA 9208 para sa online na aspeto ng trafficking.
* **Mga Pagkakasala sa Nilalaman:** Ang batas na ito ay nagpaparusa sa paggawa, pagmamay-ari, at pamamahagi ng online na nilalamang nauugnay sa sekswal na pagsasamantala sa bata. * **Online Recruitment:** Maaaring ilapat ang mga probisyon laban sa online na panloloko at panlilinlang sa mga sitwasyon kung saan ang mga biktima ay nire-recruit online sa pamamagitan ng mga maling pangako.
* **Iba Pang Mga Kaugnay na Batas:** Depende sa partikular na nilalaman o aktibidad, ang iba pang mga batas tulad ng Binagong Kodigo Penal (hal., pornograpiya) ay maaari ding naaangkop. **Mga Hamon at Pagsasaalang-alang:**
* **Nagbabagong Teknolohiya:** Ang mga trafficker ay patuloy na nag-aangkop ng kanilang mga pamamaraan online, na nangangailangan ng pagpapatupad ng batas na manatiling up-to-date sa mga teknolohikal na pagsulong.
* **Mga Isyu sa Hurisdiksiyon:** Ang mga online na platform ay madalas na tumatakbo sa mga hangganan, na ginagawang kumplikado ang mga pagsisiyasat at pag-uusig, lalo na sa mga kaso ng transnational trafficking.
* **Preserving Evidence:** Ang pagkolekta at pag-iingat ng digital na ebidensya online ay mahalaga para sa pagbuo ng isang malakas na kaso. **Ano ang Ginagawa:**
* **RA 11930 (Anti-Trafficking in Persons Act of 2022):** Ang batas na ito kamakailan ay nagpapatibay sa RA 9208 at partikular na nagta-target sa online na aspeto ng trafficking. * Habang ang pagpapatupad ng mga regulasyon ay nasa ilalim pa rin ng pagbuo, itinatampok nito ang lumalaking pagkilala sa online trafficking.
* **Pakikipagtulungan sa Mga Online na Platform:** Ang mga ahensyang nagpapatupad ng batas ay lalong nakikipagtulungan sa mga kumpanya ng social media at iba pang mga online na platform upang matukoy ang kahina-hinalang aktibidad at alisin ang nilalamang nauugnay sa trafficking.
**Sa pangkalahatan, ang Pilipinas ay may legal na balangkas na maaaring magamit upang tugunan ang mga kaso ng human trafficking na kinasasangkutan ng mga online platform. Gayunpaman, ang umuusbong na katangian ng online na aktibidad at mga kumplikadong hurisdiksyon ay nangangailangan ng patuloy na pagsisikap na palakasin ang mga legal na balangkas, pahusayin ang mga kakayahan sa pagpapatupad ng batas, at pagyamanin ang pakikipagtulungan sa mga online na platform.**
**Narito ang ilang mapagkukunan para sa karagdagang impormasyon:**
* Inter-Agency Council Against Trafficking (IACAT): [https://iacat.gov.ph/](https://iacat.gov.ph/)
* National Bureau of Investigation (NBI) Anti-Trafficking in Persons Division (ATPD): [https://www.doj.gov.ph/](https://www.doj.gov.ph/)
**Tandaan, kung pinaghihinalaan mo ang isang kaso ng online human trafficking, iulat ito kaagad** sa hotline ng NBI-ATPD o sa iyong lokal na tanggapan ng PNP-WCPC.</v>
      </c>
      <c r="F2587" s="2">
        <f t="shared" si="1"/>
        <v>0</v>
      </c>
      <c r="G2587" s="2"/>
      <c r="H2587" s="2"/>
      <c r="I2587" s="2"/>
      <c r="J2587" s="2"/>
      <c r="K2587" s="2"/>
      <c r="L2587" s="2"/>
      <c r="M2587" s="2"/>
      <c r="N2587" s="2"/>
      <c r="O2587" s="2"/>
      <c r="P2587" s="2"/>
      <c r="Q2587" s="2"/>
      <c r="R2587" s="2"/>
      <c r="S2587" s="2"/>
      <c r="T2587" s="2"/>
      <c r="U2587" s="2"/>
      <c r="V2587" s="2"/>
      <c r="W2587" s="2"/>
      <c r="X2587" s="2"/>
      <c r="Y2587" s="2"/>
      <c r="Z2587" s="2"/>
      <c r="AA2587" s="2"/>
    </row>
    <row r="2588">
      <c r="A2588" s="3" t="s">
        <v>6112</v>
      </c>
      <c r="B2588" s="1" t="s">
        <v>6145</v>
      </c>
      <c r="C2588" s="1" t="s">
        <v>6146</v>
      </c>
      <c r="D2588" s="2" t="str">
        <f>IFERROR(__xludf.DUMMYFUNCTION("GOOGLETRANSLATE(B2588, ""en"", ""TL"")"),"Paano tinutugunan ng batas ng Pilipinas ang isyu ng sapilitang paggawa at pagsasamantala sa konteksto ng human trafficking?")</f>
        <v>Paano tinutugunan ng batas ng Pilipinas ang isyu ng sapilitang paggawa at pagsasamantala sa konteksto ng human trafficking?</v>
      </c>
      <c r="E2588" s="2" t="str">
        <f>IFERROR(__xludf.DUMMYFUNCTION("GOOGLETRANSLATE(C2588, ""en"", ""TL"")"),"Direktang tinutugunan ng batas ng Pilipinas ang sapilitang paggawa at pagsasamantala bilang mga pangunahing elemento ng human trafficking sa Anti-Trafficking in Persons Act of 2003 (Republic Act No. 9208), na sinususugan ng Expanded Anti-Trafficking in Pe"&amp;"rsons Act of 2012 (Republic Act No. 10364). ). Narito ang isang breakdown kung paano tinatalakay ng batas ang isyung ito:
**Pagtukoy sa Trafficking:**
* Tinutukoy ng Seksyon 4 ng RA 9208 ang trafficking sa mga tao** batay sa tatlong pangunahing elemento:
"&amp;"1. **Acts:** Recruitment, transportasyon, paglipat, harboring, o pagtanggap ng isang tao.
2. **Nangangahulugan:** Mga pananakot, puwersa, pamimilit, pagdukot, pandaraya, panlilinlang, pang-aabuso sa kapangyarihan o kahinaan, o ang pagbibigay o pagtanggap "&amp;"ng mga pagbabayad/mga benepisyo para kontrolin ang ibang tao.
3. **Layunin:** Pagsasamantala, na kinabibilangan ng **sapilitang paggawa**, pang-aalipin, pagkaalipin, o mga gawi na katulad ng pang-aalipin.
**Sapilitang Paggawa bilang Pagsasamantala:**
* Pa"&amp;"rtikular na binanggit ng batas ang **forced labor** bilang isang anyo ng pagsasamantala sa loob ng kahulugan ng trafficking. * Nangangahulugan ito ng anumang sitwasyon kung saan ang isang tao ay napipilitang magtrabaho sa pamamagitan ng mga pagbabanta, pa"&amp;"mimilit, pagkaalipin sa utang, pagpigil ng mga dokumento sa paglalakbay, o paghihigpit sa paggalaw ay bumubuo ng trafficking. **Mga Halimbawa ng Sapilitang Paggawa:**
* Mga indibidwal na pinilit na magtrabaho ng mahabang oras sa ilalim ng mahihirap na kon"&amp;"disyon na may maliit o walang suweldo.
* Ang mga tao ay nalinlang sa mga trabaho sa ibang bansa at pagkatapos ay pinilit na magtrabaho upang mabayaran ang mga gawa-gawang utang.
* Mga batang pinagsamantalahan sa mga gawaing masinsinang paggawa, tulad ng p"&amp;"agmimina o agrikultura.
**Mga Parusa para sa Forced Labor Trafficking:**
* Ang mga nahatulan ng trafficking para sa sapilitang paggawa ay nahaharap sa matinding parusa**, kabilang ang pagkakulong at mga multa. Ang kalubhaan ay depende sa mga partikular na"&amp;" kalagayan ng kaso.
**Proteksyon para sa mga Biktima:**
* Ang RA 9208 ay nag-uutos sa **mga ahensya ng gobyerno** na magkaloob ng mga programang proteksyon para sa mga biktima ng trafficking, kabilang ang mga pinagsamantalahan sa pamamagitan ng sapilitang"&amp;" paggawa. * Maaaring kabilang dito ang tirahan, pangangalagang medikal, suportang sikolohikal, at tulong sa muling pagsasama pabalik sa kanilang mga komunidad.
**Kahalagahan ng Pagkilala sa Sapilitang Paggawa:**
* Ang pagkilala sa mga tagapagpahiwatig ng "&amp;"sapilitang paggawa ay mahalaga para sa pagpapatupad ng batas upang siyasatin ang mga potensyal na kaso ng trafficking**. * Ang mga tagapagpahiwatig na ito ay maaaring magsama ng mga paghihigpit sa paggalaw, labis na oras ng pagtatrabaho, pagkaalipin sa ut"&amp;"ang, hindi magandang kondisyon ng pamumuhay, at pisikal o berbal na pang-aabuso**.
**Mga Hamon at Pagsasaalang-alang:**
* **Nakatagong Kalikasan:** Maaaring mahirap tuklasin ang mga sitwasyon ng sapilitang paggawa** dahil maaaring mangyari ang mga ito sa "&amp;"mga pribadong setting o itago bilang lehitimong trabaho.
* **Mga Mahinang Populasyon:** Ang ilang partikular na populasyon, tulad ng mga migranteng manggagawa o mga bata**, ay mas madaling kapitan sa forced labor trafficking.
* **Pagsasanay sa Pagpapatupa"&amp;"d ng Batas:** Ang mga ahensyang nagpapatupad ng batas ay nangangailangan ng patuloy na pagsasanay** upang matukoy at maimbestigahan ang forced labor trafficking nang epektibo.
**Sa pangkalahatan, ang Pilipinas ay may legal na balangkas na nagsasakriminal "&amp;"sa sapilitang paggawa sa loob ng konteksto ng human trafficking. Gayunpaman, kailangan ang patuloy na pagsisikap upang palakasin ang mga mekanismo ng pagpapatupad, itaas ang kamalayan sa mga tagapagpahiwatig ng sapilitang paggawa, at protektahan ang mga m"&amp;"ahihinang populasyon.**
Kung pinaghihinalaan mo ang isang sitwasyon ng forced labor trafficking, iulat ito kaagad sa mga awtoridad**. Maaari kang makipag-ugnayan sa hotline ng NBI-ATPD o sa iyong lokal na tanggapan ng PNP-WCPC.")</f>
        <v>Direktang tinutugunan ng batas ng Pilipinas ang sapilitang paggawa at pagsasamantala bilang mga pangunahing elemento ng human trafficking sa Anti-Trafficking in Persons Act of 2003 (Republic Act No. 9208), na sinususugan ng Expanded Anti-Trafficking in Persons Act of 2012 (Republic Act No. 10364). ). Narito ang isang breakdown kung paano tinatalakay ng batas ang isyung ito:
**Pagtukoy sa Trafficking:**
* Tinutukoy ng Seksyon 4 ng RA 9208 ang trafficking sa mga tao** batay sa tatlong pangunahing elemento:
1. **Acts:** Recruitment, transportasyon, paglipat, harboring, o pagtanggap ng isang tao.
2. **Nangangahulugan:** Mga pananakot, puwersa, pamimilit, pagdukot, pandaraya, panlilinlang, pang-aabuso sa kapangyarihan o kahinaan, o ang pagbibigay o pagtanggap ng mga pagbabayad/mga benepisyo para kontrolin ang ibang tao.
3. **Layunin:** Pagsasamantala, na kinabibilangan ng **sapilitang paggawa**, pang-aalipin, pagkaalipin, o mga gawi na katulad ng pang-aalipin.
**Sapilitang Paggawa bilang Pagsasamantala:**
* Partikular na binanggit ng batas ang **forced labor** bilang isang anyo ng pagsasamantala sa loob ng kahulugan ng trafficking. * Nangangahulugan ito ng anumang sitwasyon kung saan ang isang tao ay napipilitang magtrabaho sa pamamagitan ng mga pagbabanta, pamimilit, pagkaalipin sa utang, pagpigil ng mga dokumento sa paglalakbay, o paghihigpit sa paggalaw ay bumubuo ng trafficking. **Mga Halimbawa ng Sapilitang Paggawa:**
* Mga indibidwal na pinilit na magtrabaho ng mahabang oras sa ilalim ng mahihirap na kondisyon na may maliit o walang suweldo.
* Ang mga tao ay nalinlang sa mga trabaho sa ibang bansa at pagkatapos ay pinilit na magtrabaho upang mabayaran ang mga gawa-gawang utang.
* Mga batang pinagsamantalahan sa mga gawaing masinsinang paggawa, tulad ng pagmimina o agrikultura.
**Mga Parusa para sa Forced Labor Trafficking:**
* Ang mga nahatulan ng trafficking para sa sapilitang paggawa ay nahaharap sa matinding parusa**, kabilang ang pagkakulong at mga multa. Ang kalubhaan ay depende sa mga partikular na kalagayan ng kaso.
**Proteksyon para sa mga Biktima:**
* Ang RA 9208 ay nag-uutos sa **mga ahensya ng gobyerno** na magkaloob ng mga programang proteksyon para sa mga biktima ng trafficking, kabilang ang mga pinagsamantalahan sa pamamagitan ng sapilitang paggawa. * Maaaring kabilang dito ang tirahan, pangangalagang medikal, suportang sikolohikal, at tulong sa muling pagsasama pabalik sa kanilang mga komunidad.
**Kahalagahan ng Pagkilala sa Sapilitang Paggawa:**
* Ang pagkilala sa mga tagapagpahiwatig ng sapilitang paggawa ay mahalaga para sa pagpapatupad ng batas upang siyasatin ang mga potensyal na kaso ng trafficking**. * Ang mga tagapagpahiwatig na ito ay maaaring magsama ng mga paghihigpit sa paggalaw, labis na oras ng pagtatrabaho, pagkaalipin sa utang, hindi magandang kondisyon ng pamumuhay, at pisikal o berbal na pang-aabuso**.
**Mga Hamon at Pagsasaalang-alang:**
* **Nakatagong Kalikasan:** Maaaring mahirap tuklasin ang mga sitwasyon ng sapilitang paggawa** dahil maaaring mangyari ang mga ito sa mga pribadong setting o itago bilang lehitimong trabaho.
* **Mga Mahinang Populasyon:** Ang ilang partikular na populasyon, tulad ng mga migranteng manggagawa o mga bata**, ay mas madaling kapitan sa forced labor trafficking.
* **Pagsasanay sa Pagpapatupad ng Batas:** Ang mga ahensyang nagpapatupad ng batas ay nangangailangan ng patuloy na pagsasanay** upang matukoy at maimbestigahan ang forced labor trafficking nang epektibo.
**Sa pangkalahatan, ang Pilipinas ay may legal na balangkas na nagsasakriminal sa sapilitang paggawa sa loob ng konteksto ng human trafficking. Gayunpaman, kailangan ang patuloy na pagsisikap upang palakasin ang mga mekanismo ng pagpapatupad, itaas ang kamalayan sa mga tagapagpahiwatig ng sapilitang paggawa, at protektahan ang mga mahihinang populasyon.**
Kung pinaghihinalaan mo ang isang sitwasyon ng forced labor trafficking, iulat ito kaagad sa mga awtoridad**. Maaari kang makipag-ugnayan sa hotline ng NBI-ATPD o sa iyong lokal na tanggapan ng PNP-WCPC.</v>
      </c>
      <c r="F2588" s="2">
        <f t="shared" si="1"/>
        <v>0</v>
      </c>
      <c r="G2588" s="2"/>
      <c r="H2588" s="2"/>
      <c r="I2588" s="2"/>
      <c r="J2588" s="2"/>
      <c r="K2588" s="2"/>
      <c r="L2588" s="2"/>
      <c r="M2588" s="2"/>
      <c r="N2588" s="2"/>
      <c r="O2588" s="2"/>
      <c r="P2588" s="2"/>
      <c r="Q2588" s="2"/>
      <c r="R2588" s="2"/>
      <c r="S2588" s="2"/>
      <c r="T2588" s="2"/>
      <c r="U2588" s="2"/>
      <c r="V2588" s="2"/>
      <c r="W2588" s="2"/>
      <c r="X2588" s="2"/>
      <c r="Y2588" s="2"/>
      <c r="Z2588" s="2"/>
      <c r="AA2588" s="2"/>
    </row>
    <row r="2589">
      <c r="A2589" s="3" t="s">
        <v>6112</v>
      </c>
      <c r="B2589" s="1" t="s">
        <v>6147</v>
      </c>
      <c r="C2589" s="1" t="s">
        <v>6148</v>
      </c>
      <c r="D2589" s="2" t="str">
        <f>IFERROR(__xludf.DUMMYFUNCTION("GOOGLETRANSLATE(B2589, ""en"", ""TL"")"),"Mayroon bang mga partikular na legal na probisyon para sa proteksyon ng mga mahihinang populasyon mula sa human trafficking?")</f>
        <v>Mayroon bang mga partikular na legal na probisyon para sa proteksyon ng mga mahihinang populasyon mula sa human trafficking?</v>
      </c>
      <c r="E2589" s="2" t="str">
        <f>IFERROR(__xludf.DUMMYFUNCTION("GOOGLETRANSLATE(C2589, ""en"", ""TL"")"),"Oo, kinikilala ng Pilipinas ang tumaas na kahinaan ng ilang populasyon sa human trafficking at may mga legal na probisyon para sa kanilang partikular na proteksyon. Narito ang isang breakdown ng ilang pangunahing aspeto:
**Tumuon sa Kahinaan:**
Kinikilala"&amp;" ng **Anti-Trafficking in Persons Act (RA 9208)**, na sinususugan ng **RA 10364**, na ang ilang salik ay maaaring maging mas madaling kapitan sa trafficking. Isinasaalang-alang ng batas ang mga salik tulad ng:
* **Edad:** Ang mga bata (wala pang 18 taong "&amp;"gulang) ay ipinapalagay na mahina dahil sa kanilang edad at yugto ng pag-unlad. * **Kasarian:** Ang mga babae at babae sa istatistika ay mas nasa panganib ng trafficking para sa sekswal na pagsasamantala.
* **Kahinaan sa Ekonomiya:** Ang kahirapan at kawa"&amp;"lan ng mga oportunidad sa trabaho ay maaaring magpapataas ng kahinaan.
* **Mga Katutubo:** Ang mga marginalized na komunidad ay maaaring may limitadong access sa mga mapagkukunan at suporta.
**Mga Pinahusay na Proteksyon:**
* **Pagkilala:** Ang mga tagapa"&amp;"gpatupad ng batas at mga ahensya ng serbisyong panlipunan ay sinanay upang tukuyin ang mga potensyal na biktima na isinasaalang-alang ang mga kadahilanan ng kahinaan.
* **Mga Programa sa Pag-iwas:** Ang mga ahensya ng gobyerno ay maaaring bumuo ng mga nak"&amp;"a-target na programa upang matugunan ang mga partikular na pangangailangan at panganib na kinakaharap ng mga mahihinang populasyon. * Maaaring kabilang dito ang mga kampanya sa edukasyon, suporta sa kabuhayan, o pagsasanay sa kasanayan upang bigyang kapan"&amp;"gyarihan ang mga indibidwal at mabawasan ang kahinaan.
**Mga Tukoy na Halimbawa:**
* **RA 10028:** Pinalalakas ng batas na ito ang proteksyon ng mga overseas Filipino worker (OFWs)**, isang populasyon na bulnerable sa trafficking para sa pagsasamantala sa"&amp;" paggawa. * **RA 7610:** Ang Special Protection of Children Against Abuse, Exploitation and Discrimination Act ay nakatuon sa pagprotekta sa mga bata mula sa iba't ibang anyo ng pang-aabuso at pagsasamantala, kabilang ang trafficking.
* **Indigenous Peopl"&amp;"es Rights Act (RA 8371):** Kinikilala ng batas na ito ang mga karapatan at kapakanan** ng mga katutubong komunidad, kabilang ang mga proteksyon laban sa pagsasamantala at trafficking.
**Mga Hamon at Pagsasaalang-alang:**
* **Pag-abot sa Mga Mahihinang Pop"&amp;"ulasyon:** Ang pagtiyak sa mga programang pang-outreach** na epektibong maabot at bigyang kapangyarihan ang mga mahihinang populasyon ay maaaring maging mahirap.
* **Paglalaan ng Mapagkukunan:** Ang mga sapat na mapagkukunan at suporta ay mahalaga upang m"&amp;"aipatupad ang mga epektibong programa sa pag-iwas at proteksyon.
* **Pagkolekta ng Data:** Ang mapagkakatiwalaang data sa mga partikular na kahinaan na kinakaharap ng iba't ibang grupo ay mahalaga para sa pagsasaayos ng mga hakbang sa proteksyon.
**Sa pan"&amp;"gkalahatan, ang Pilipinas ay may mga legal na hakbang para matugunan ang kahinaan ng ilang populasyon sa human trafficking. Gayunpaman, ang patuloy na pagsisikap ay kinakailangan upang matiyak na ang mga probisyong ito ay isasalin sa epektibong pagkilos a"&amp;"t magbigay ng naka-target na suporta sa mga pinaka nasa panganib.**
Narito ang ilang mapagkukunan para sa karagdagang impormasyon:
* Inter-Agency Council Against Trafficking (IACAT): [https://iacat.gov.ph/](https://iacat.gov.ph/)
* Department of Social We"&amp;"lfare and Development (DSWD): [https://www.dswd.gov.ph/](https://www.dswd.gov.ph/)
* Commission on Indigenous Peoples (CIP): [inalis ang invalid na URL]")</f>
        <v>Oo, kinikilala ng Pilipinas ang tumaas na kahinaan ng ilang populasyon sa human trafficking at may mga legal na probisyon para sa kanilang partikular na proteksyon. Narito ang isang breakdown ng ilang pangunahing aspeto:
**Tumuon sa Kahinaan:**
Kinikilala ng **Anti-Trafficking in Persons Act (RA 9208)**, na sinususugan ng **RA 10364**, na ang ilang salik ay maaaring maging mas madaling kapitan sa trafficking. Isinasaalang-alang ng batas ang mga salik tulad ng:
* **Edad:** Ang mga bata (wala pang 18 taong gulang) ay ipinapalagay na mahina dahil sa kanilang edad at yugto ng pag-unlad. * **Kasarian:** Ang mga babae at babae sa istatistika ay mas nasa panganib ng trafficking para sa sekswal na pagsasamantala.
* **Kahinaan sa Ekonomiya:** Ang kahirapan at kawalan ng mga oportunidad sa trabaho ay maaaring magpapataas ng kahinaan.
* **Mga Katutubo:** Ang mga marginalized na komunidad ay maaaring may limitadong access sa mga mapagkukunan at suporta.
**Mga Pinahusay na Proteksyon:**
* **Pagkilala:** Ang mga tagapagpatupad ng batas at mga ahensya ng serbisyong panlipunan ay sinanay upang tukuyin ang mga potensyal na biktima na isinasaalang-alang ang mga kadahilanan ng kahinaan.
* **Mga Programa sa Pag-iwas:** Ang mga ahensya ng gobyerno ay maaaring bumuo ng mga naka-target na programa upang matugunan ang mga partikular na pangangailangan at panganib na kinakaharap ng mga mahihinang populasyon. * Maaaring kabilang dito ang mga kampanya sa edukasyon, suporta sa kabuhayan, o pagsasanay sa kasanayan upang bigyang kapangyarihan ang mga indibidwal at mabawasan ang kahinaan.
**Mga Tukoy na Halimbawa:**
* **RA 10028:** Pinalalakas ng batas na ito ang proteksyon ng mga overseas Filipino worker (OFWs)**, isang populasyon na bulnerable sa trafficking para sa pagsasamantala sa paggawa. * **RA 7610:** Ang Special Protection of Children Against Abuse, Exploitation and Discrimination Act ay nakatuon sa pagprotekta sa mga bata mula sa iba't ibang anyo ng pang-aabuso at pagsasamantala, kabilang ang trafficking.
* **Indigenous Peoples Rights Act (RA 8371):** Kinikilala ng batas na ito ang mga karapatan at kapakanan** ng mga katutubong komunidad, kabilang ang mga proteksyon laban sa pagsasamantala at trafficking.
**Mga Hamon at Pagsasaalang-alang:**
* **Pag-abot sa Mga Mahihinang Populasyon:** Ang pagtiyak sa mga programang pang-outreach** na epektibong maabot at bigyang kapangyarihan ang mga mahihinang populasyon ay maaaring maging mahirap.
* **Paglalaan ng Mapagkukunan:** Ang mga sapat na mapagkukunan at suporta ay mahalaga upang maipatupad ang mga epektibong programa sa pag-iwas at proteksyon.
* **Pagkolekta ng Data:** Ang mapagkakatiwalaang data sa mga partikular na kahinaan na kinakaharap ng iba't ibang grupo ay mahalaga para sa pagsasaayos ng mga hakbang sa proteksyon.
**Sa pangkalahatan, ang Pilipinas ay may mga legal na hakbang para matugunan ang kahinaan ng ilang populasyon sa human trafficking. Gayunpaman, ang patuloy na pagsisikap ay kinakailangan upang matiyak na ang mga probisyong ito ay isasalin sa epektibong pagkilos at magbigay ng naka-target na suporta sa mga pinaka nasa panganib.**
Narito ang ilang mapagkukunan para sa karagdagang impormasyon:
* Inter-Agency Council Against Trafficking (IACAT): [https://iacat.gov.ph/](https://iacat.gov.ph/)
* Department of Social Welfare and Development (DSWD): [https://www.dswd.gov.ph/](https://www.dswd.gov.ph/)
* Commission on Indigenous Peoples (CIP): [inalis ang invalid na URL]</v>
      </c>
      <c r="F2589" s="2">
        <f t="shared" si="1"/>
        <v>0</v>
      </c>
      <c r="G2589" s="2"/>
      <c r="H2589" s="2"/>
      <c r="I2589" s="2"/>
      <c r="J2589" s="2"/>
      <c r="K2589" s="2"/>
      <c r="L2589" s="2"/>
      <c r="M2589" s="2"/>
      <c r="N2589" s="2"/>
      <c r="O2589" s="2"/>
      <c r="P2589" s="2"/>
      <c r="Q2589" s="2"/>
      <c r="R2589" s="2"/>
      <c r="S2589" s="2"/>
      <c r="T2589" s="2"/>
      <c r="U2589" s="2"/>
      <c r="V2589" s="2"/>
      <c r="W2589" s="2"/>
      <c r="X2589" s="2"/>
      <c r="Y2589" s="2"/>
      <c r="Z2589" s="2"/>
      <c r="AA2589" s="2"/>
    </row>
    <row r="2590">
      <c r="A2590" s="3" t="s">
        <v>6112</v>
      </c>
      <c r="B2590" s="1" t="s">
        <v>6149</v>
      </c>
      <c r="C2590" s="1" t="s">
        <v>6150</v>
      </c>
      <c r="D2590" s="2" t="str">
        <f>IFERROR(__xludf.DUMMYFUNCTION("GOOGLETRANSLATE(B2590, ""en"", ""TL"")"),"Paano pinapanagot sa ilalim ng batas ang mga indibidwal na kasangkot sa pagpopondo o pagpapadali ng human trafficking?")</f>
        <v>Paano pinapanagot sa ilalim ng batas ang mga indibidwal na kasangkot sa pagpopondo o pagpapadali ng human trafficking?</v>
      </c>
      <c r="E2590" s="2" t="str">
        <f>IFERROR(__xludf.DUMMYFUNCTION("GOOGLETRANSLATE(C2590, ""en"", ""TL"")"),"Pinapanagot ng Pilipinas ang mga indibidwal sa kanilang pagkakasangkot sa pagpopondo at pagpapadali ng human trafficking sa pamamagitan ng iba't ibang legal na mekanismo:
**Republic Act No. 9208 (Anti-Trafficking in Persons Act of 2003), na sinususugan ng"&amp;" RA 10364:**
* **Mga Batas na Bumubuo ng Trafficking in Persons:** Tinutukoy ng Seksyon 4 ng batas na ito ang trafficking ng mga tao. Ginagawa nitong kriminal hindi lamang ang mga direktang gawain ng pangangalap, transportasyon, pagkukulong, atbp. ng mga "&amp;"biktima, kundi pati na rin ang mga pagkilos na **pangasiwaan ang mga aktibidad na ito. * **Pagpopondo:** Ang batas ay hindi tahasang binabanggit ang pagpopondo bilang isang hiwalay na pagkakasala. Gayunpaman, ang pagbibigay ng mga mapagkukunang pinansyal "&amp;"na ginagamit sa paggawa ng trafficking ay maaaring ipakahulugan bilang pagpapadali. Halimbawa, ang pagpopondo sa pangangalap ng mga biktima o mga gastos sa transportasyon ay maaaring ituring na pagpapadali.
**Ibang Kaugnay na Batas:**
* **Money Laundering"&amp;":** Ang Republic Act No. 9160 (Anti-Money Laundering Act) ay maaaring ilapat sa mga kaso ng human trafficking. Ang batas na ito ay nagsakriminal sa paglalaba ng pera na nagmula sa mga ilegal na aktibidad, kabilang ang trafficking. Kung ang isang tao ay sa"&amp;"dyang tumustos sa mga aktibidad ng human trafficking, maaari silang kasuhan ng money laundering.
* **Conspiracy:** Ang Binagong Kodigo Penal ay mayroon ding mga probisyon sa pagsasabwatan. Ang mga indibidwal na sumasang-ayon na magplano o makipagtulungan "&amp;"sa pagsasagawa ng trafficking, kahit na hindi nila direktang isinasagawa ang mga aksyon, ay maaaring managot bilang co-conspirators.
**Mga Antas ng Pananagutan:**
Ang lawak ng mga legal na kahihinatnan ay nakasalalay sa partikular na papel at antas ng pak"&amp;"ikilahok sa pagpopondo o pagpapadali. * **Direct Financier:** Ang mga sadyang nagbibigay ng mga mapagkukunang pinansyal na direktang ginagamit para sa mga aktibidad ng trafficking ay maaaring maharap sa pinakamabigat na parusa**, kabilang ang pagkakulong "&amp;"at mga multa.
* **Di-tuwirang Suporta:** Ang mga indibidwal na hindi sinasadyang nag-ambag sa pagpopondo, gaya ng sa pamamagitan ng mga negosyong ginagamit para sa money laundering ng mga trafficker, ay maaaring maharap sa mas mababang parusa**. **Pagsisi"&amp;"yasat at Ebidensya:**
Ang pagbuo ng matitinding kaso laban sa mga facilitator at financier ay kadalasang nangangailangan ng malalim na imbestigasyon** ng mga ahensyang nagpapatupad ng batas tulad ng NBI-ATPD at PNP-WCPC. Maaaring kabilang dito ang pagsusu"&amp;"ri sa rekord ng pananalapi, mga patotoo ng saksi, at pagsubaybay sa mga daloy ng pananalapi.
**Kahalagahan ng Kooperasyon:**
* Napakahalaga ng internasyonal na kooperasyon sa pagsubaybay at pagpapanagot sa mga indibidwal na kasangkot sa mga network ng tra"&amp;"nsnational trafficking. Nakikipagtulungan ang Pilipinas sa ibang mga bansa upang guluhin ang mga financial channel na ginagamit ng mga trafficker.
**Tandaan:** Ang legal na interpretasyon ng financing at facilitation ay maaaring kumplikado. Kung mayroon k"&amp;"ang impormasyon tungkol sa mga indibidwal na sangkot sa mga aspetong ito ng human trafficking, ang pag-uulat nito sa mga awtoridad ay napakahalaga. Maaari kang makipag-ugnayan sa hotline ng NBI-ATPD o sa iyong lokal na tanggapan ng PNP-WCPC. **Sa pamamagi"&amp;"tan ng pagtutulungan, mapapanagot ng tagapagpatupad ng batas at ng publiko ang mga kumikita sa human trafficking at guluhin ang mga network ng pananalapi na nagbibigay-daan sa krimeng ito.**")</f>
        <v>Pinapanagot ng Pilipinas ang mga indibidwal sa kanilang pagkakasangkot sa pagpopondo at pagpapadali ng human trafficking sa pamamagitan ng iba't ibang legal na mekanismo:
**Republic Act No. 9208 (Anti-Trafficking in Persons Act of 2003), na sinususugan ng RA 10364:**
* **Mga Batas na Bumubuo ng Trafficking in Persons:** Tinutukoy ng Seksyon 4 ng batas na ito ang trafficking ng mga tao. Ginagawa nitong kriminal hindi lamang ang mga direktang gawain ng pangangalap, transportasyon, pagkukulong, atbp. ng mga biktima, kundi pati na rin ang mga pagkilos na **pangasiwaan ang mga aktibidad na ito. * **Pagpopondo:** Ang batas ay hindi tahasang binabanggit ang pagpopondo bilang isang hiwalay na pagkakasala. Gayunpaman, ang pagbibigay ng mga mapagkukunang pinansyal na ginagamit sa paggawa ng trafficking ay maaaring ipakahulugan bilang pagpapadali. Halimbawa, ang pagpopondo sa pangangalap ng mga biktima o mga gastos sa transportasyon ay maaaring ituring na pagpapadali.
**Ibang Kaugnay na Batas:**
* **Money Laundering:** Ang Republic Act No. 9160 (Anti-Money Laundering Act) ay maaaring ilapat sa mga kaso ng human trafficking. Ang batas na ito ay nagsakriminal sa paglalaba ng pera na nagmula sa mga ilegal na aktibidad, kabilang ang trafficking. Kung ang isang tao ay sadyang tumustos sa mga aktibidad ng human trafficking, maaari silang kasuhan ng money laundering.
* **Conspiracy:** Ang Binagong Kodigo Penal ay mayroon ding mga probisyon sa pagsasabwatan. Ang mga indibidwal na sumasang-ayon na magplano o makipagtulungan sa pagsasagawa ng trafficking, kahit na hindi nila direktang isinasagawa ang mga aksyon, ay maaaring managot bilang co-conspirators.
**Mga Antas ng Pananagutan:**
Ang lawak ng mga legal na kahihinatnan ay nakasalalay sa partikular na papel at antas ng pakikilahok sa pagpopondo o pagpapadali. * **Direct Financier:** Ang mga sadyang nagbibigay ng mga mapagkukunang pinansyal na direktang ginagamit para sa mga aktibidad ng trafficking ay maaaring maharap sa pinakamabigat na parusa**, kabilang ang pagkakulong at mga multa.
* **Di-tuwirang Suporta:** Ang mga indibidwal na hindi sinasadyang nag-ambag sa pagpopondo, gaya ng sa pamamagitan ng mga negosyong ginagamit para sa money laundering ng mga trafficker, ay maaaring maharap sa mas mababang parusa**. **Pagsisiyasat at Ebidensya:**
Ang pagbuo ng matitinding kaso laban sa mga facilitator at financier ay kadalasang nangangailangan ng malalim na imbestigasyon** ng mga ahensyang nagpapatupad ng batas tulad ng NBI-ATPD at PNP-WCPC. Maaaring kabilang dito ang pagsusuri sa rekord ng pananalapi, mga patotoo ng saksi, at pagsubaybay sa mga daloy ng pananalapi.
**Kahalagahan ng Kooperasyon:**
* Napakahalaga ng internasyonal na kooperasyon sa pagsubaybay at pagpapanagot sa mga indibidwal na kasangkot sa mga network ng transnational trafficking. Nakikipagtulungan ang Pilipinas sa ibang mga bansa upang guluhin ang mga financial channel na ginagamit ng mga trafficker.
**Tandaan:** Ang legal na interpretasyon ng financing at facilitation ay maaaring kumplikado. Kung mayroon kang impormasyon tungkol sa mga indibidwal na sangkot sa mga aspetong ito ng human trafficking, ang pag-uulat nito sa mga awtoridad ay napakahalaga. Maaari kang makipag-ugnayan sa hotline ng NBI-ATPD o sa iyong lokal na tanggapan ng PNP-WCPC. **Sa pamamagitan ng pagtutulungan, mapapanagot ng tagapagpatupad ng batas at ng publiko ang mga kumikita sa human trafficking at guluhin ang mga network ng pananalapi na nagbibigay-daan sa krimeng ito.**</v>
      </c>
      <c r="F2590" s="2">
        <f t="shared" si="1"/>
        <v>0</v>
      </c>
      <c r="G2590" s="2"/>
      <c r="H2590" s="2"/>
      <c r="I2590" s="2"/>
      <c r="J2590" s="2"/>
      <c r="K2590" s="2"/>
      <c r="L2590" s="2"/>
      <c r="M2590" s="2"/>
      <c r="N2590" s="2"/>
      <c r="O2590" s="2"/>
      <c r="P2590" s="2"/>
      <c r="Q2590" s="2"/>
      <c r="R2590" s="2"/>
      <c r="S2590" s="2"/>
      <c r="T2590" s="2"/>
      <c r="U2590" s="2"/>
      <c r="V2590" s="2"/>
      <c r="W2590" s="2"/>
      <c r="X2590" s="2"/>
      <c r="Y2590" s="2"/>
      <c r="Z2590" s="2"/>
      <c r="AA2590" s="2"/>
    </row>
    <row r="2591">
      <c r="A2591" s="3" t="s">
        <v>6112</v>
      </c>
      <c r="B2591" s="1" t="s">
        <v>6151</v>
      </c>
      <c r="C2591" s="1" t="s">
        <v>6152</v>
      </c>
      <c r="D2591" s="2" t="str">
        <f>IFERROR(__xludf.DUMMYFUNCTION("GOOGLETRANSLATE(B2591, ""en"", ""TL"")"),"Anong mga legal na hakbang ang inilalagay upang matiyak ang proteksyon ng mga batang biktima ng human trafficking?")</f>
        <v>Anong mga legal na hakbang ang inilalagay upang matiyak ang proteksyon ng mga batang biktima ng human trafficking?</v>
      </c>
      <c r="E2591" s="2" t="str">
        <f>IFERROR(__xludf.DUMMYFUNCTION("GOOGLETRANSLATE(C2591, ""en"", ""TL"")"),"Ang Pilipinas ay mayroong iba't ibang mga legal na hakbang upang matiyak ang proteksyon ng mga batang biktima ng human trafficking. Narito ang isang breakdown ng ilang pangunahing aspeto:
**Tumuon sa Mga Bata:**
* Maraming batas ang inuuna ang proteksyon "&amp;"ng mga bata mula sa trafficking. Kabilang dito ang **Anti-Trafficking in Persons Act (RA 9208)**, na sinususugan ng **RA 10364**, at ang **Special Protection of Children Against Abuse, Exploitation and Discrimination Act (RA 7610)**.
**Mga Espesyal na Pro"&amp;"teksyon:**
* **Mababang Threshold ng Edad:** Pinabababa ng RA 9208 ang edad para sa pagsasaalang-alang sa isang sitwasyon bilang trafficking sa **mas mababa sa 18 taong gulang**. Kinikilala nito ang kahinaan ng mga bata at ang mas mataas na pangangailanga"&amp;"n para sa proteksyon. * **Pag-aakalang Vulnerability:** Ipinagpapalagay ng batas na ang mga bata ay lalong mahina sa trafficking dahil sa kanilang edad at yugto ng pag-unlad. Pinalalakas nito ang kaso laban sa mga trafficker na nagsasamantala sa mga bata."&amp;"
**Pagkilala at Tulong sa Biktima:**
* **Mandatoryong Pag-uulat:** Ang mga propesyonal tulad ng mga doktor, guro, at social worker ay inatasan ng RA 7610 na mag-ulat ng mga pinaghihinalaang kaso ng pang-aabuso o pagsasamantala sa bata, na maaaring kabilan"&amp;"g ang trafficking. * **Mga Programa sa Proteksyon:** Ang RA 9208 ay nag-uutos sa mga ahensya ng gobyerno na magbigay ng mga programa sa proteksyon para sa mga biktima ng trafficking, na may mga espesyal na hakbang na iniayon sa mga pangangailangan ng mga "&amp;"bata. * Maaaring kabilang dito ang tirahan, pangangalagang medikal, suportang sikolohikal, at tulong sa muling pagsasama sa kanilang mga pamilya o komunidad.
**Pagpapatupad ng Batas at Pag-uusig:**
* **Mga Pinahusay na Parusa:** Ang mga parusa para sa tra"&amp;"fficking na kinasasangkutan ng mga bata ay karaniwang mas malupit kaysa sa para sa mga biktimang nasa hustong gulang. Pinipigilan nito ang mga krimen laban sa mga bata at tinitiyak ang makabuluhang kahihinatnan para sa mga may kasalanan.
* **Mga Espesyal "&amp;"na Pamamaraan:** Ang mga ahensyang nagpapatupad ng batas ay sinanay sa mga diskarte sa pagsisiyasat na sensitibo sa bata**. Nakakatulong ito sa pangangalap ng ebidensya at protektahan ang mga bata mula sa karagdagang trauma sa panahon ng proseso ng pagsis"&amp;"iyasat.
**Mga Hamon at Pagsasaalang-alang:**
* **Pagpapatupad:** Habang umiiral ang mga legal na balangkas, ang epektibong pagpapatupad ay mahalaga. Ang pagtiyak ng sapat na mapagkukunan at pagsasanay para sa pagpapatupad ng batas at mga ahensya ng serbis"&amp;"yong panlipunan ay mahalaga.
* **Pag-iwas:** Makakatulong ang mga kampanya sa pampublikong kamalayan at mga programa sa edukasyon na maiwasan ang child trafficking sa pamamagitan ng pagbibigay ng kapangyarihan sa mga bata at komunidad na tukuyin at iulat "&amp;"ang mga kahina-hinalang sitwasyon.
**Sa pangkalahatan, ang Pilipinas ay may legal na balangkas na inuuna ang proteksyon ng mga batang biktima ng human trafficking. Gayunpaman, kailangan ang patuloy na pagsisikap upang matiyak na ang mga legal na hakbang n"&amp;"a ito ay magiging epektibong aksyon at magbigay ng komprehensibong suporta sa mga mahihinang bata.**
Narito ang ilang karagdagang mapagkukunan:
* National Bureau of Investigation (NBI) Anti-Trafficking in Persons Division (ATPD): [https://www.doj.gov.ph/]"&amp;"(https://www.doj.gov.ph/)
* Department of Social Welfare and Development (DSWD): [https://www.dswd.gov.ph/](https://www.dswd.gov.ph/)")</f>
        <v>Ang Pilipinas ay mayroong iba't ibang mga legal na hakbang upang matiyak ang proteksyon ng mga batang biktima ng human trafficking. Narito ang isang breakdown ng ilang pangunahing aspeto:
**Tumuon sa Mga Bata:**
* Maraming batas ang inuuna ang proteksyon ng mga bata mula sa trafficking. Kabilang dito ang **Anti-Trafficking in Persons Act (RA 9208)**, na sinususugan ng **RA 10364**, at ang **Special Protection of Children Against Abuse, Exploitation and Discrimination Act (RA 7610)**.
**Mga Espesyal na Proteksyon:**
* **Mababang Threshold ng Edad:** Pinabababa ng RA 9208 ang edad para sa pagsasaalang-alang sa isang sitwasyon bilang trafficking sa **mas mababa sa 18 taong gulang**. Kinikilala nito ang kahinaan ng mga bata at ang mas mataas na pangangailangan para sa proteksyon. * **Pag-aakalang Vulnerability:** Ipinagpapalagay ng batas na ang mga bata ay lalong mahina sa trafficking dahil sa kanilang edad at yugto ng pag-unlad. Pinalalakas nito ang kaso laban sa mga trafficker na nagsasamantala sa mga bata.
**Pagkilala at Tulong sa Biktima:**
* **Mandatoryong Pag-uulat:** Ang mga propesyonal tulad ng mga doktor, guro, at social worker ay inatasan ng RA 7610 na mag-ulat ng mga pinaghihinalaang kaso ng pang-aabuso o pagsasamantala sa bata, na maaaring kabilang ang trafficking. * **Mga Programa sa Proteksyon:** Ang RA 9208 ay nag-uutos sa mga ahensya ng gobyerno na magbigay ng mga programa sa proteksyon para sa mga biktima ng trafficking, na may mga espesyal na hakbang na iniayon sa mga pangangailangan ng mga bata. * Maaaring kabilang dito ang tirahan, pangangalagang medikal, suportang sikolohikal, at tulong sa muling pagsasama sa kanilang mga pamilya o komunidad.
**Pagpapatupad ng Batas at Pag-uusig:**
* **Mga Pinahusay na Parusa:** Ang mga parusa para sa trafficking na kinasasangkutan ng mga bata ay karaniwang mas malupit kaysa sa para sa mga biktimang nasa hustong gulang. Pinipigilan nito ang mga krimen laban sa mga bata at tinitiyak ang makabuluhang kahihinatnan para sa mga may kasalanan.
* **Mga Espesyal na Pamamaraan:** Ang mga ahensyang nagpapatupad ng batas ay sinanay sa mga diskarte sa pagsisiyasat na sensitibo sa bata**. Nakakatulong ito sa pangangalap ng ebidensya at protektahan ang mga bata mula sa karagdagang trauma sa panahon ng proseso ng pagsisiyasat.
**Mga Hamon at Pagsasaalang-alang:**
* **Pagpapatupad:** Habang umiiral ang mga legal na balangkas, ang epektibong pagpapatupad ay mahalaga. Ang pagtiyak ng sapat na mapagkukunan at pagsasanay para sa pagpapatupad ng batas at mga ahensya ng serbisyong panlipunan ay mahalaga.
* **Pag-iwas:** Makakatulong ang mga kampanya sa pampublikong kamalayan at mga programa sa edukasyon na maiwasan ang child trafficking sa pamamagitan ng pagbibigay ng kapangyarihan sa mga bata at komunidad na tukuyin at iulat ang mga kahina-hinalang sitwasyon.
**Sa pangkalahatan, ang Pilipinas ay may legal na balangkas na inuuna ang proteksyon ng mga batang biktima ng human trafficking. Gayunpaman, kailangan ang patuloy na pagsisikap upang matiyak na ang mga legal na hakbang na ito ay magiging epektibong aksyon at magbigay ng komprehensibong suporta sa mga mahihinang bata.**
Narito ang ilang karagdagang mapagkukunan:
* National Bureau of Investigation (NBI) Anti-Trafficking in Persons Division (ATPD): [https://www.doj.gov.ph/](https://www.doj.gov.ph/)
* Department of Social Welfare and Development (DSWD): [https://www.dswd.gov.ph/](https://www.dswd.gov.ph/)</v>
      </c>
      <c r="F2591" s="2">
        <f t="shared" si="1"/>
        <v>0</v>
      </c>
      <c r="G2591" s="2"/>
      <c r="H2591" s="2"/>
      <c r="I2591" s="2"/>
      <c r="J2591" s="2"/>
      <c r="K2591" s="2"/>
      <c r="L2591" s="2"/>
      <c r="M2591" s="2"/>
      <c r="N2591" s="2"/>
      <c r="O2591" s="2"/>
      <c r="P2591" s="2"/>
      <c r="Q2591" s="2"/>
      <c r="R2591" s="2"/>
      <c r="S2591" s="2"/>
      <c r="T2591" s="2"/>
      <c r="U2591" s="2"/>
      <c r="V2591" s="2"/>
      <c r="W2591" s="2"/>
      <c r="X2591" s="2"/>
      <c r="Y2591" s="2"/>
      <c r="Z2591" s="2"/>
      <c r="AA2591" s="2"/>
    </row>
    <row r="2592">
      <c r="A2592" s="3" t="s">
        <v>6112</v>
      </c>
      <c r="B2592" s="1" t="s">
        <v>6153</v>
      </c>
      <c r="C2592" s="1" t="s">
        <v>6154</v>
      </c>
      <c r="D2592" s="2" t="str">
        <f>IFERROR(__xludf.DUMMYFUNCTION("GOOGLETRANSLATE(B2592, ""en"", ""TL"")"),"Paano tinutugunan ng batas ang isyu ng pagpayag sa mga kaso ng human trafficking, partikular na tungkol sa mga nasa hustong gulang?")</f>
        <v>Paano tinutugunan ng batas ang isyu ng pagpayag sa mga kaso ng human trafficking, partikular na tungkol sa mga nasa hustong gulang?</v>
      </c>
      <c r="E2592" s="2" t="str">
        <f>IFERROR(__xludf.DUMMYFUNCTION("GOOGLETRANSLATE(C2592, ""en"", ""TL"")"),"Sa Pilipinas, ang batas sa human trafficking ay may malakas na paninindigan laban sa paggamit ng pahintulot bilang depensa. Narito ang isang breakdown kung paano ito nalalapat sa mga nasa hustong gulang:
* **Tumutok sa Mga Gawa, Paraan, at Layunin:** Bata"&amp;"s Republika Blg. 9208 (Anti-Trafficking in Persons Act of 2003), gaya ng sinusugan ng RA 10364, ay tumutukoy sa trafficking ng mga tao batay sa tatlong pangunahing elemento: acts, means, at layunin (pagsasamantala).
* **Mga Gawa:** Kabilang dito ang recru"&amp;"itment, transportasyon, paglipat, pagkukulong, o pagtanggap ng isang tao.
* **Nangangahulugan:** Ito ay nagsasangkot ng mga pagbabanta, puwersa, pamimilit, pagdukot, pandaraya, panlilinlang, pang-aabuso sa kapangyarihan, o kahinaan, o ang pagbibigay o pag"&amp;"tanggap ng mga pagbabayad/mga benepisyo para kontrolin ang ibang tao.
* **Layunin:** Nakatuon ito sa pagsasamantala, kabilang ang sapilitang paggawa, prostitusyon, seksuwal na pagsasamantala, pang-aalipin, pagkaalipin, o pag-aalis ng organ.
* **Pahintulot"&amp;" na Walang Kaugnayan:** Nililinaw ng Seksyon 17 ng RA 9208 na **ang pahintulot ng taong na-traffic ay walang kaugnayan** kung ang sitwasyon ay nagsasangkot ng mga aksyon, paraan, at layunin na nakabalangkas sa kahulugan ng trafficking.
**Bakit Hindi Mahal"&amp;"aga ang Pahintulot:**
* **Pagpipilit at Kahinaan:** Ang mga trafficker ay kadalasang gumagamit ng iba't ibang paraan upang manipulahin o pilitin ang mga indibidwal, kahit na walang nakikitang pisikal na puwersa. Kinikilala ng batas ang mga sitwasyon kung "&amp;"saan ang isang tao ay maaaring mukhang pumayag dahil sa mga pagbabanta, panlilinlang, o isang posisyon ng kahinaan.
* **Pokus sa Pagsasamantala:** Ang pangunahing alalahanin ay ang mapagsamantalang layunin ng trafficking. Kahit na ang isang nasa hustong g"&amp;"ulang ay tila sumasang-ayon sa isang sitwasyon, pinoprotektahan sila ng batas mula sa sapilitang paggawa, prostitusyon, pagtanggal ng organ, o iba pang anyo ng pagsasamantala.
**Mga Halimbawa:**
* Ang isang tao ay maaaring ma-recruit para sa isang trabaho"&amp;" sa ibang bansa na may maling mga pangako, pagkatapos ay sapilitang magtrabaho nang may paghihigpit na paggalaw at mga banta ng karahasan. Kahit noong una ay pumayag silang pumunta sa ibang bansa, ang paggamit ng pamimilit at ang mapagsamantalang layunin "&amp;"ay nagiging human trafficking.
* Ang isang may sapat na gulang ay maaaring malinlang sa isang sitwasyon ng pag-aasawa na lumalabas na pagiging alipin sa tahanan. Ang paunang pagpayag na magpakasal ay nagiging walang kaugnayan dahil sa mapagsamantalang lay"&amp;"unin (pagkaalipin) na nakamit sa pamamagitan ng pandaraya.
**Kahalagahan ng Proteksyon:**
Tinitiyak ng diskarteng ito sa pagpayag na ang mga nasa hustong gulang ay protektado mula sa mga sitwasyon kung saan ang kanilang kahinaan o kawalan ng ganap na pag-"&amp;"unawa ay pinagsamantalahan. Inuuna nito ang pagpigil sa mga indibidwal na mapilitan sa mga pangyayari na nagsasapanganib sa kanilang kaligtasan at kapakanan.
**Mahalagang tandaan:**
* Kung naniniwala kang ikaw o isang taong kilala mo ay biktima ng traffic"&amp;"king, iulat ito kaagad sa mga awtoridad. Maaari kang makipag-ugnayan sa hotline ng NBI-ATPD o sa iyong lokal na tanggapan ng PNP-WCPC. * Maaaring imbestigahan ng tagapagpatupad ng batas ang sitwasyon at magbigay ng suporta sa mga biktima. Bagama't nakatuo"&amp;"n ang batas sa mapagsamantalang katangian ng trafficking, isa pa rin itong kumplikadong isyu. Kung mayroon kang anumang karagdagang katanungan o alalahanin, ang pagkonsulta sa isang abogado ay maaaring magbigay ng mas tiyak na patnubay batay sa iyong sitw"&amp;"asyon.")</f>
        <v>Sa Pilipinas, ang batas sa human trafficking ay may malakas na paninindigan laban sa paggamit ng pahintulot bilang depensa. Narito ang isang breakdown kung paano ito nalalapat sa mga nasa hustong gulang:
* **Tumutok sa Mga Gawa, Paraan, at Layunin:** Batas Republika Blg. 9208 (Anti-Trafficking in Persons Act of 2003), gaya ng sinusugan ng RA 10364, ay tumutukoy sa trafficking ng mga tao batay sa tatlong pangunahing elemento: acts, means, at layunin (pagsasamantala).
* **Mga Gawa:** Kabilang dito ang recruitment, transportasyon, paglipat, pagkukulong, o pagtanggap ng isang tao.
* **Nangangahulugan:** Ito ay nagsasangkot ng mga pagbabanta, puwersa, pamimilit, pagdukot, pandaraya, panlilinlang, pang-aabuso sa kapangyarihan, o kahinaan, o ang pagbibigay o pagtanggap ng mga pagbabayad/mga benepisyo para kontrolin ang ibang tao.
* **Layunin:** Nakatuon ito sa pagsasamantala, kabilang ang sapilitang paggawa, prostitusyon, seksuwal na pagsasamantala, pang-aalipin, pagkaalipin, o pag-aalis ng organ.
* **Pahintulot na Walang Kaugnayan:** Nililinaw ng Seksyon 17 ng RA 9208 na **ang pahintulot ng taong na-traffic ay walang kaugnayan** kung ang sitwasyon ay nagsasangkot ng mga aksyon, paraan, at layunin na nakabalangkas sa kahulugan ng trafficking.
**Bakit Hindi Mahalaga ang Pahintulot:**
* **Pagpipilit at Kahinaan:** Ang mga trafficker ay kadalasang gumagamit ng iba't ibang paraan upang manipulahin o pilitin ang mga indibidwal, kahit na walang nakikitang pisikal na puwersa. Kinikilala ng batas ang mga sitwasyon kung saan ang isang tao ay maaaring mukhang pumayag dahil sa mga pagbabanta, panlilinlang, o isang posisyon ng kahinaan.
* **Pokus sa Pagsasamantala:** Ang pangunahing alalahanin ay ang mapagsamantalang layunin ng trafficking. Kahit na ang isang nasa hustong gulang ay tila sumasang-ayon sa isang sitwasyon, pinoprotektahan sila ng batas mula sa sapilitang paggawa, prostitusyon, pagtanggal ng organ, o iba pang anyo ng pagsasamantala.
**Mga Halimbawa:**
* Ang isang tao ay maaaring ma-recruit para sa isang trabaho sa ibang bansa na may maling mga pangako, pagkatapos ay sapilitang magtrabaho nang may paghihigpit na paggalaw at mga banta ng karahasan. Kahit noong una ay pumayag silang pumunta sa ibang bansa, ang paggamit ng pamimilit at ang mapagsamantalang layunin ay nagiging human trafficking.
* Ang isang may sapat na gulang ay maaaring malinlang sa isang sitwasyon ng pag-aasawa na lumalabas na pagiging alipin sa tahanan. Ang paunang pagpayag na magpakasal ay nagiging walang kaugnayan dahil sa mapagsamantalang layunin (pagkaalipin) na nakamit sa pamamagitan ng pandaraya.
**Kahalagahan ng Proteksyon:**
Tinitiyak ng diskarteng ito sa pagpayag na ang mga nasa hustong gulang ay protektado mula sa mga sitwasyon kung saan ang kanilang kahinaan o kawalan ng ganap na pag-unawa ay pinagsamantalahan. Inuuna nito ang pagpigil sa mga indibidwal na mapilitan sa mga pangyayari na nagsasapanganib sa kanilang kaligtasan at kapakanan.
**Mahalagang tandaan:**
* Kung naniniwala kang ikaw o isang taong kilala mo ay biktima ng trafficking, iulat ito kaagad sa mga awtoridad. Maaari kang makipag-ugnayan sa hotline ng NBI-ATPD o sa iyong lokal na tanggapan ng PNP-WCPC. * Maaaring imbestigahan ng tagapagpatupad ng batas ang sitwasyon at magbigay ng suporta sa mga biktima. Bagama't nakatuon ang batas sa mapagsamantalang katangian ng trafficking, isa pa rin itong kumplikadong isyu. Kung mayroon kang anumang karagdagang katanungan o alalahanin, ang pagkonsulta sa isang abogado ay maaaring magbigay ng mas tiyak na patnubay batay sa iyong sitwasyon.</v>
      </c>
      <c r="F2592" s="2">
        <f t="shared" si="1"/>
        <v>0</v>
      </c>
      <c r="G2592" s="2"/>
      <c r="H2592" s="2"/>
      <c r="I2592" s="2"/>
      <c r="J2592" s="2"/>
      <c r="K2592" s="2"/>
      <c r="L2592" s="2"/>
      <c r="M2592" s="2"/>
      <c r="N2592" s="2"/>
      <c r="O2592" s="2"/>
      <c r="P2592" s="2"/>
      <c r="Q2592" s="2"/>
      <c r="R2592" s="2"/>
      <c r="S2592" s="2"/>
      <c r="T2592" s="2"/>
      <c r="U2592" s="2"/>
      <c r="V2592" s="2"/>
      <c r="W2592" s="2"/>
      <c r="X2592" s="2"/>
      <c r="Y2592" s="2"/>
      <c r="Z2592" s="2"/>
      <c r="AA2592" s="2"/>
    </row>
    <row r="2593">
      <c r="A2593" s="3" t="s">
        <v>6112</v>
      </c>
      <c r="B2593" s="1" t="s">
        <v>6155</v>
      </c>
      <c r="C2593" s="1" t="s">
        <v>6156</v>
      </c>
      <c r="D2593" s="2" t="str">
        <f>IFERROR(__xludf.DUMMYFUNCTION("GOOGLETRANSLATE(B2593, ""en"", ""TL"")"),"Mayroon bang mga legal na kahihinatnan para sa mga indibidwal na sadyang nakikinabang mula sa mga nalikom ng human trafficking?")</f>
        <v>Mayroon bang mga legal na kahihinatnan para sa mga indibidwal na sadyang nakikinabang mula sa mga nalikom ng human trafficking?</v>
      </c>
      <c r="E2593" s="2" t="str">
        <f>IFERROR(__xludf.DUMMYFUNCTION("GOOGLETRANSLATE(C2593, ""en"", ""TL"")"),"Oo, sa Pilipinas, may mga legal na kahihinatnan para sa mga indibidwal na sadyang nakikinabang sa mga kinita ng human trafficking. Narito kung paano ito tinutugunan ng batas:
**Republic Act No. 9208 (Anti-Trafficking in Persons Act of 2003):**
* Ang Seksy"&amp;"on 14 ng RA 9208 ay nag-uutos sa **pagkumpiska at pag-alis** ng lahat ng **mga kita at ari-arian na nagmula sa paggawa ng krimen** ng trafficking ng mga tao. * Nangangahulugan ito na anumang mga ari-arian o benepisyo na nakuha sa pamamagitan ng human traf"&amp;"ficking ay maaaring kunin ng gobyerno.
**Knowing Benepisyo:**
Ang batas ay hindi tahasang binanggit ang ""alam na nakikinabang"" mula sa mga nalikom. Gayunpaman, maaaring bigyang-kahulugan ng mga korte ang layunin ng benepisyaryo batay sa mga pangyayari. "&amp;"Halimbawa, kung may bumili ng produkto o serbisyo na sadyang ginawa o ibinigay sa pamamagitan ng human trafficking, maaari silang ituring na nakinabang mula sa mga nalikom. **Money Laundering:**
Ang Pilipinas ay mayroon ding **Republic Act No. 9160 (Anti-"&amp;"Money Laundering Act)** na maaaring ilapat sa mga kaso ng human trafficking. * Ang batas na ito ay ginagawang kriminal ang pagkilos ng **paglalaba ng pera** na nagmula sa mga ilegal na aktibidad, kabilang ang trafficking. * Kung may isang taong sadyang tu"&amp;"matanggap o nag-iinvest ng pera na pinaghihinalaan nila ay nagmula sa human trafficking, maaari silang kasuhan ng money laundering.
**Mga Parusa:**
Ang mga parusa para sa makinabang mula sa mga nalikom ng human trafficking o money laundering ay maaaring m"&amp;"aging malubha. Maaaring kabilang sa mga ito ang **pagkakulong** at **mga multa** depende sa mga partikular na pangyayari ng kaso.
**Kahalagahan ng Pag-uulat:**
Kung pinaghihinalaan mong may nakikinabang sa human trafficking, mahalagang iulat ito sa mga aw"&amp;"toridad**. Magagawa ito sa pamamagitan ng pakikipag-ugnayan sa NBI-ATPD, PNP-WCPC, o anumang ahensyang nagpapatupad ng batas. Sa pamamagitan ng pag-uulat ng mga naturang aktibidad, maaari kang tumulong na guluhin ang mga network ng pananalapi na nagbibiga"&amp;"y-daan sa human trafficking at pinapanagot ang mga kumikita mula rito.
**Tandaan:**
Ang legal na interpretasyon ng ""alam na nakikinabang"" ay maaaring kumplikado. Kung mayroon kang anumang mga alalahanin tungkol sa isang partikular na sitwasyon, palaging"&amp;" pinakamahusay na kumunsulta sa isang abogado para sa legal na payo.")</f>
        <v>Oo, sa Pilipinas, may mga legal na kahihinatnan para sa mga indibidwal na sadyang nakikinabang sa mga kinita ng human trafficking. Narito kung paano ito tinutugunan ng batas:
**Republic Act No. 9208 (Anti-Trafficking in Persons Act of 2003):**
* Ang Seksyon 14 ng RA 9208 ay nag-uutos sa **pagkumpiska at pag-alis** ng lahat ng **mga kita at ari-arian na nagmula sa paggawa ng krimen** ng trafficking ng mga tao. * Nangangahulugan ito na anumang mga ari-arian o benepisyo na nakuha sa pamamagitan ng human trafficking ay maaaring kunin ng gobyerno.
**Knowing Benepisyo:**
Ang batas ay hindi tahasang binanggit ang "alam na nakikinabang" mula sa mga nalikom. Gayunpaman, maaaring bigyang-kahulugan ng mga korte ang layunin ng benepisyaryo batay sa mga pangyayari. Halimbawa, kung may bumili ng produkto o serbisyo na sadyang ginawa o ibinigay sa pamamagitan ng human trafficking, maaari silang ituring na nakinabang mula sa mga nalikom. **Money Laundering:**
Ang Pilipinas ay mayroon ding **Republic Act No. 9160 (Anti-Money Laundering Act)** na maaaring ilapat sa mga kaso ng human trafficking. * Ang batas na ito ay ginagawang kriminal ang pagkilos ng **paglalaba ng pera** na nagmula sa mga ilegal na aktibidad, kabilang ang trafficking. * Kung may isang taong sadyang tumatanggap o nag-iinvest ng pera na pinaghihinalaan nila ay nagmula sa human trafficking, maaari silang kasuhan ng money laundering.
**Mga Parusa:**
Ang mga parusa para sa makinabang mula sa mga nalikom ng human trafficking o money laundering ay maaaring maging malubha. Maaaring kabilang sa mga ito ang **pagkakulong** at **mga multa** depende sa mga partikular na pangyayari ng kaso.
**Kahalagahan ng Pag-uulat:**
Kung pinaghihinalaan mong may nakikinabang sa human trafficking, mahalagang iulat ito sa mga awtoridad**. Magagawa ito sa pamamagitan ng pakikipag-ugnayan sa NBI-ATPD, PNP-WCPC, o anumang ahensyang nagpapatupad ng batas. Sa pamamagitan ng pag-uulat ng mga naturang aktibidad, maaari kang tumulong na guluhin ang mga network ng pananalapi na nagbibigay-daan sa human trafficking at pinapanagot ang mga kumikita mula rito.
**Tandaan:**
Ang legal na interpretasyon ng "alam na nakikinabang" ay maaaring kumplikado. Kung mayroon kang anumang mga alalahanin tungkol sa isang partikular na sitwasyon, palaging pinakamahusay na kumunsulta sa isang abogado para sa legal na payo.</v>
      </c>
      <c r="F2593" s="2">
        <f t="shared" si="1"/>
        <v>0</v>
      </c>
      <c r="G2593" s="2"/>
      <c r="H2593" s="2"/>
      <c r="I2593" s="2"/>
      <c r="J2593" s="2"/>
      <c r="K2593" s="2"/>
      <c r="L2593" s="2"/>
      <c r="M2593" s="2"/>
      <c r="N2593" s="2"/>
      <c r="O2593" s="2"/>
      <c r="P2593" s="2"/>
      <c r="Q2593" s="2"/>
      <c r="R2593" s="2"/>
      <c r="S2593" s="2"/>
      <c r="T2593" s="2"/>
      <c r="U2593" s="2"/>
      <c r="V2593" s="2"/>
      <c r="W2593" s="2"/>
      <c r="X2593" s="2"/>
      <c r="Y2593" s="2"/>
      <c r="Z2593" s="2"/>
      <c r="AA2593" s="2"/>
    </row>
    <row r="2594">
      <c r="A2594" s="3" t="s">
        <v>6112</v>
      </c>
      <c r="B2594" s="1" t="s">
        <v>6157</v>
      </c>
      <c r="C2594" s="1" t="s">
        <v>6158</v>
      </c>
      <c r="D2594" s="2" t="str">
        <f>IFERROR(__xludf.DUMMYFUNCTION("GOOGLETRANSLATE(B2594, ""en"", ""TL"")"),"Ano ang papel na ginagampanan ng mga ahensya ng paggawa at mga recruiter sa pag-iwas sa human trafficking sa sektor ng trabaho?")</f>
        <v>Ano ang papel na ginagampanan ng mga ahensya ng paggawa at mga recruiter sa pag-iwas sa human trafficking sa sektor ng trabaho?</v>
      </c>
      <c r="E2594" s="2" t="str">
        <f>IFERROR(__xludf.DUMMYFUNCTION("GOOGLETRANSLATE(C2594, ""en"", ""TL"")"),"Ang mga ahensya ng paggawa at mga recruiter ay maaaring magkaroon ng malaking papel sa pagpigil sa human trafficking sa sektor ng trabaho sa Pilipinas. Ganito:
**Sa pamamagitan ng Mga Regulasyon at Paglilisensya:**
* Ang Philippine Overseas Employment Adm"&amp;"inistration (POEA) ay nagreregula at nagbibigay ng lisensya sa lahat ng ahensyang sangkot sa overseas Filipino worker (OFW) recruitment. * Ang mga ahensyang ito ay dapat sumunod sa mahigpit na mga kinakailangan upang matiyak ang mga etikal na kasanayan at"&amp;" maiwasan ang mga panganib sa trafficking.
**Sa Pagbibigay ng Tumpak na Impormasyon:**
* Ang mga legal na ahensya sa recruitment ay nagtuturo at nagpapaalam sa mga potensyal na manggagawa tungkol sa mga oportunidad sa trabaho, mga tuntunin sa pagtatrabaho"&amp;", at kanilang mga karapatan. * Nagbibigay ito ng kapangyarihan sa mga manggagawa na gumawa ng matalinong mga desisyon at maiwasan ang mga sitwasyong maaaring mapagsamantala.
**Pagsunod sa Mga Kasanayan sa Fair Recruitment:**
* Ang mga etikal na recruiter "&amp;"ay hindi naniningil ng labis na mga bayarin sa placement o nagtatanggal ng mahahalagang dokumento tulad ng mga pasaporte. * Dapat din nilang tiyakin ang transparency tungkol sa mga inaasahan sa suweldo, mga kondisyon sa pagtatrabaho, at anumang nauugnay n"&amp;"a mga gastos.
**Pagkilala sa Mga Pulang Watawat:**
* Maaaring sanayin ang mga recruiter upang tukuyin ang mga potensyal na sitwasyon ng trafficking batay sa mga red flag tulad ng mga pangako ng hindi makatotohanang sahod, pagkumpiska ng mga dokumento sa p"&amp;"aglalakbay, o mga paghihigpit sa paggalaw. * Sa pamamagitan ng pag-uulat ng mga naturang alalahanin sa mga awtoridad, makakatulong sila na maiwasan ang trafficking bago ito mangyari.
**Pakikipagtulungan sa Pagpapatupad ng Batas:**
* Maaaring makipagtulung"&amp;"an ang mga lehitimong ahensya sa mga ahensyang nagpapatupad ng batas tulad ng POEA, NBI-ATPD, at PNP-WCPC upang tukuyin at iulat ang mga pinaghihinalaang aktibidad ng trafficking.
**Mga Limitasyon:**
* Mahalagang kilalanin na hindi lahat ng ahensya ng rec"&amp;"ruitment ay legal na gumagana**. * Ang ilan ay maaaring gumawa ng mga mapanlinlang na kasanayan o maging mga front para sa mga operasyon ng trafficking.
**Sa pangkalahatan, ang mga responsableng ahensya ng paggawa at mga recruiter ay maaaring kumilos bila"&amp;"ng isang kritikal na linya ng depensa laban sa human trafficking sa sektor ng trabaho.** Gayunpaman, ang isang multi-pronged na diskarte na kinasasangkutan ng mga ahensya ng gobyerno, pagpapatupad ng batas, at pampublikong kamalayan ay kinakailangan para "&amp;"sa epektibong pag-iwas.")</f>
        <v>Ang mga ahensya ng paggawa at mga recruiter ay maaaring magkaroon ng malaking papel sa pagpigil sa human trafficking sa sektor ng trabaho sa Pilipinas. Ganito:
**Sa pamamagitan ng Mga Regulasyon at Paglilisensya:**
* Ang Philippine Overseas Employment Administration (POEA) ay nagreregula at nagbibigay ng lisensya sa lahat ng ahensyang sangkot sa overseas Filipino worker (OFW) recruitment. * Ang mga ahensyang ito ay dapat sumunod sa mahigpit na mga kinakailangan upang matiyak ang mga etikal na kasanayan at maiwasan ang mga panganib sa trafficking.
**Sa Pagbibigay ng Tumpak na Impormasyon:**
* Ang mga legal na ahensya sa recruitment ay nagtuturo at nagpapaalam sa mga potensyal na manggagawa tungkol sa mga oportunidad sa trabaho, mga tuntunin sa pagtatrabaho, at kanilang mga karapatan. * Nagbibigay ito ng kapangyarihan sa mga manggagawa na gumawa ng matalinong mga desisyon at maiwasan ang mga sitwasyong maaaring mapagsamantala.
**Pagsunod sa Mga Kasanayan sa Fair Recruitment:**
* Ang mga etikal na recruiter ay hindi naniningil ng labis na mga bayarin sa placement o nagtatanggal ng mahahalagang dokumento tulad ng mga pasaporte. * Dapat din nilang tiyakin ang transparency tungkol sa mga inaasahan sa suweldo, mga kondisyon sa pagtatrabaho, at anumang nauugnay na mga gastos.
**Pagkilala sa Mga Pulang Watawat:**
* Maaaring sanayin ang mga recruiter upang tukuyin ang mga potensyal na sitwasyon ng trafficking batay sa mga red flag tulad ng mga pangako ng hindi makatotohanang sahod, pagkumpiska ng mga dokumento sa paglalakbay, o mga paghihigpit sa paggalaw. * Sa pamamagitan ng pag-uulat ng mga naturang alalahanin sa mga awtoridad, makakatulong sila na maiwasan ang trafficking bago ito mangyari.
**Pakikipagtulungan sa Pagpapatupad ng Batas:**
* Maaaring makipagtulungan ang mga lehitimong ahensya sa mga ahensyang nagpapatupad ng batas tulad ng POEA, NBI-ATPD, at PNP-WCPC upang tukuyin at iulat ang mga pinaghihinalaang aktibidad ng trafficking.
**Mga Limitasyon:**
* Mahalagang kilalanin na hindi lahat ng ahensya ng recruitment ay legal na gumagana**. * Ang ilan ay maaaring gumawa ng mga mapanlinlang na kasanayan o maging mga front para sa mga operasyon ng trafficking.
**Sa pangkalahatan, ang mga responsableng ahensya ng paggawa at mga recruiter ay maaaring kumilos bilang isang kritikal na linya ng depensa laban sa human trafficking sa sektor ng trabaho.** Gayunpaman, ang isang multi-pronged na diskarte na kinasasangkutan ng mga ahensya ng gobyerno, pagpapatupad ng batas, at pampublikong kamalayan ay kinakailangan para sa epektibong pag-iwas.</v>
      </c>
      <c r="F2594" s="2">
        <f t="shared" si="1"/>
        <v>0</v>
      </c>
      <c r="G2594" s="2"/>
      <c r="H2594" s="2"/>
      <c r="I2594" s="2"/>
      <c r="J2594" s="2"/>
      <c r="K2594" s="2"/>
      <c r="L2594" s="2"/>
      <c r="M2594" s="2"/>
      <c r="N2594" s="2"/>
      <c r="O2594" s="2"/>
      <c r="P2594" s="2"/>
      <c r="Q2594" s="2"/>
      <c r="R2594" s="2"/>
      <c r="S2594" s="2"/>
      <c r="T2594" s="2"/>
      <c r="U2594" s="2"/>
      <c r="V2594" s="2"/>
      <c r="W2594" s="2"/>
      <c r="X2594" s="2"/>
      <c r="Y2594" s="2"/>
      <c r="Z2594" s="2"/>
      <c r="AA2594" s="2"/>
    </row>
    <row r="2595">
      <c r="A2595" s="3" t="s">
        <v>6112</v>
      </c>
      <c r="B2595" s="1" t="s">
        <v>6159</v>
      </c>
      <c r="C2595" s="1" t="s">
        <v>6160</v>
      </c>
      <c r="D2595" s="2" t="str">
        <f>IFERROR(__xludf.DUMMYFUNCTION("GOOGLETRANSLATE(B2595, ""en"", ""TL"")"),"Paano tinutugunan ng batas ang trafficking ng mga tao para sa layunin ng pag-alis ng organ o ilegal na pag-aampon?")</f>
        <v>Paano tinutugunan ng batas ang trafficking ng mga tao para sa layunin ng pag-alis ng organ o ilegal na pag-aampon?</v>
      </c>
      <c r="E2595" s="2" t="str">
        <f>IFERROR(__xludf.DUMMYFUNCTION("GOOGLETRANSLATE(C2595, ""en"", ""TL"")"),"Tinutugunan ng batas ng Pilipinas ang trafficking ng mga tao para sa layunin ng pagtanggal ng organ o ilegal na pag-aampon sa pamamagitan ng mga sumusunod na mekanismo:
**1. Republic Act No. 9208 (Anti-Trafficking in Persons Act of 2003, as amyendahan):**"&amp;"
* **Mga Batas na bumubuo sa Trafficking in Persons (TIP):** Tinutukoy ng Seksyon 4 ng RA 9208 ang trafficking sa mga tao. Kabilang dito ang **recruitment, transportasyon, paglipat, pagkukulong o pagtanggap ng mga tao** **para sa layunin ng** **pagtanggal"&amp;" o pagbebenta ng mga organo** ng tao. Ito ay tahasang ginagawang kriminal ang trafficking para sa pagtanggal ng organ.
* **Pahintulot na Walang Kaugnayan:** Ang Seksyon 17 ng RA 9208 ay nililinaw na ang **pagsang-ayon ng taong na-traffic ay walang kaugnay"&amp;"an** kung ang batas ay nasa ilalim ng kahulugan ng trafficking. Nangangahulugan ito na kahit na ang isang tao ay tila sumang-ayon na ibigay ang isang organ, kung sila ay na-traffic sa sitwasyon, ito ay itinuturing pa rin na isang krimen.
* **Ilegal na Pag"&amp;"-ampon:** Habang ang RA 9208 ay hindi tahasang binanggit ang iligal na pag-aampon, ang Seksyon 5(h) ay ginagawang kriminal ang **pag-recruit, transportasyon o pag-aampon ng isang bata upang makisali sa mga armadong aktibidad**. Ito ay maaaring bigyang-kah"&amp;"ulugan upang masakop ang mga sitwasyon kung saan ang mga bata ay na-traffic para sa mga layuning pagsasamantala sa kanila, kabilang ang iligal na pag-aampon na maaaring humantong sa pagkaalipin o iba pang anyo ng pang-aabuso.
**2. Republic Act No. 10364 ("&amp;"Expanded Anti-Trafficking in Persons Act of 2012):**
* Ang batas na ito ay nagsususog sa RA 9208 at nagpapatibay sa legal na balangkas laban sa trafficking. * Ang Seksyon 4-B ay partikular na binanggit ang **organ trafficking** bilang isang paraan ng pags"&amp;"asamantala sa loob ng kahulugan ng trafficking sa mga tao. * Dagdag pa rito, binibigyang-diin ng Seksyon 17 ng batas na ito na **paghatol para sa anumang pagkakasala sa ilalim ng Batas na ito** (kabilang ang trafficking) **sa pamamagitan ng panghuling hat"&amp;"ol ng nag-aampon** **ay nagreresulta sa agarang pagbawi ng utos ng pag-aampon** . Pinipigilan nito ang iligal na pag-aampon sa pamamagitan ng pagbibigay-diin sa mga legal na kahihinatnan.
**Mga Parusa:**
Parehong binabalangkas ng RA 9208 at RA 10364 ang *"&amp;"*malubhang parusa** para sa mga napatunayang nagkasala ng trafficking ng mga tao, kabilang ang trafficking para sa pagtanggal ng organ o ilegal na pag-aampon. Ang mga parusa ay mula sa **pagkakulong** hanggang sa pananalapi depende sa mga partikular na pa"&amp;"ngyayari ng kaso.
**Mga Karagdagang Punto:**
* Ang mga ahensyang nagpapatupad ng batas tulad ng NBI-ATPD at PNP-WCPC ay gumaganap ng mahalagang papel sa pag-iimbestiga sa mga kaso ng human trafficking, kabilang ang mga may kinalaman sa pagtanggal ng organ"&amp;" o ilegal na pag-aampon.
* Ang mga biktima ng trafficking ay may karapatan sa **proteksyon at suporta** sa ilalim ng mga batas na ito.
Sa pamamagitan ng pagtatatag ng isang legal na balangkas na nagsasakriminal sa trafficking para sa pag-aalis ng organ at"&amp;" iligal na pag-aampon, layunin ng Pilipinas na hadlangan ang mga naturang krimen at protektahan ang mga mahihinang indibidwal.")</f>
        <v>Tinutugunan ng batas ng Pilipinas ang trafficking ng mga tao para sa layunin ng pagtanggal ng organ o ilegal na pag-aampon sa pamamagitan ng mga sumusunod na mekanismo:
**1. Republic Act No. 9208 (Anti-Trafficking in Persons Act of 2003, as amyendahan):**
* **Mga Batas na bumubuo sa Trafficking in Persons (TIP):** Tinutukoy ng Seksyon 4 ng RA 9208 ang trafficking sa mga tao. Kabilang dito ang **recruitment, transportasyon, paglipat, pagkukulong o pagtanggap ng mga tao** **para sa layunin ng** **pagtanggal o pagbebenta ng mga organo** ng tao. Ito ay tahasang ginagawang kriminal ang trafficking para sa pagtanggal ng organ.
* **Pahintulot na Walang Kaugnayan:** Ang Seksyon 17 ng RA 9208 ay nililinaw na ang **pagsang-ayon ng taong na-traffic ay walang kaugnayan** kung ang batas ay nasa ilalim ng kahulugan ng trafficking. Nangangahulugan ito na kahit na ang isang tao ay tila sumang-ayon na ibigay ang isang organ, kung sila ay na-traffic sa sitwasyon, ito ay itinuturing pa rin na isang krimen.
* **Ilegal na Pag-ampon:** Habang ang RA 9208 ay hindi tahasang binanggit ang iligal na pag-aampon, ang Seksyon 5(h) ay ginagawang kriminal ang **pag-recruit, transportasyon o pag-aampon ng isang bata upang makisali sa mga armadong aktibidad**. Ito ay maaaring bigyang-kahulugan upang masakop ang mga sitwasyon kung saan ang mga bata ay na-traffic para sa mga layuning pagsasamantala sa kanila, kabilang ang iligal na pag-aampon na maaaring humantong sa pagkaalipin o iba pang anyo ng pang-aabuso.
**2. Republic Act No. 10364 (Expanded Anti-Trafficking in Persons Act of 2012):**
* Ang batas na ito ay nagsususog sa RA 9208 at nagpapatibay sa legal na balangkas laban sa trafficking. * Ang Seksyon 4-B ay partikular na binanggit ang **organ trafficking** bilang isang paraan ng pagsasamantala sa loob ng kahulugan ng trafficking sa mga tao. * Dagdag pa rito, binibigyang-diin ng Seksyon 17 ng batas na ito na **paghatol para sa anumang pagkakasala sa ilalim ng Batas na ito** (kabilang ang trafficking) **sa pamamagitan ng panghuling hatol ng nag-aampon** **ay nagreresulta sa agarang pagbawi ng utos ng pag-aampon** . Pinipigilan nito ang iligal na pag-aampon sa pamamagitan ng pagbibigay-diin sa mga legal na kahihinatnan.
**Mga Parusa:**
Parehong binabalangkas ng RA 9208 at RA 10364 ang **malubhang parusa** para sa mga napatunayang nagkasala ng trafficking ng mga tao, kabilang ang trafficking para sa pagtanggal ng organ o ilegal na pag-aampon. Ang mga parusa ay mula sa **pagkakulong** hanggang sa pananalapi depende sa mga partikular na pangyayari ng kaso.
**Mga Karagdagang Punto:**
* Ang mga ahensyang nagpapatupad ng batas tulad ng NBI-ATPD at PNP-WCPC ay gumaganap ng mahalagang papel sa pag-iimbestiga sa mga kaso ng human trafficking, kabilang ang mga may kinalaman sa pagtanggal ng organ o ilegal na pag-aampon.
* Ang mga biktima ng trafficking ay may karapatan sa **proteksyon at suporta** sa ilalim ng mga batas na ito.
Sa pamamagitan ng pagtatatag ng isang legal na balangkas na nagsasakriminal sa trafficking para sa pag-aalis ng organ at iligal na pag-aampon, layunin ng Pilipinas na hadlangan ang mga naturang krimen at protektahan ang mga mahihinang indibidwal.</v>
      </c>
      <c r="F2595" s="2">
        <f t="shared" si="1"/>
        <v>0</v>
      </c>
      <c r="G2595" s="2"/>
      <c r="H2595" s="2"/>
      <c r="I2595" s="2"/>
      <c r="J2595" s="2"/>
      <c r="K2595" s="2"/>
      <c r="L2595" s="2"/>
      <c r="M2595" s="2"/>
      <c r="N2595" s="2"/>
      <c r="O2595" s="2"/>
      <c r="P2595" s="2"/>
      <c r="Q2595" s="2"/>
      <c r="R2595" s="2"/>
      <c r="S2595" s="2"/>
      <c r="T2595" s="2"/>
      <c r="U2595" s="2"/>
      <c r="V2595" s="2"/>
      <c r="W2595" s="2"/>
      <c r="X2595" s="2"/>
      <c r="Y2595" s="2"/>
      <c r="Z2595" s="2"/>
      <c r="AA2595" s="2"/>
    </row>
    <row r="2596">
      <c r="A2596" s="3" t="s">
        <v>6112</v>
      </c>
      <c r="B2596" s="1" t="s">
        <v>6161</v>
      </c>
      <c r="C2596" s="1" t="s">
        <v>6162</v>
      </c>
      <c r="D2596" s="2" t="str">
        <f>IFERROR(__xludf.DUMMYFUNCTION("GOOGLETRANSLATE(B2596, ""en"", ""TL"")"),"Mayroon bang mga legal na pananggalang para sa mga testigo at whistleblower sa mga kaso ng human trafficking?")</f>
        <v>Mayroon bang mga legal na pananggalang para sa mga testigo at whistleblower sa mga kaso ng human trafficking?</v>
      </c>
      <c r="E2596" s="2" t="str">
        <f>IFERROR(__xludf.DUMMYFUNCTION("GOOGLETRANSLATE(C2596, ""en"", ""TL"")"),"Oo, ang Pilipinas ay may mga legal na pananggalang na nakalagay upang protektahan ang mga saksi at whistleblower sa mga kaso ng human trafficking. Narito ang isang breakdown ng ilang pangunahing probisyon:
**1. Republic Act No. 9208 (Anti-Trafficking in P"&amp;"ersons Act of 2003):**
* Ang Seksyon 15 ng RA 9208 ay nag-uutos sa gobyerno na magkaloob ng mga programang proteksyon para sa mga testigo at whistleblower na sangkot sa mga kaso ng trafficking. * Kabilang dito ang mga hakbang upang matiyak ang kanilang ka"&amp;"ligtasan at seguridad, tulad ng relokasyon, pagbabago ng pagkakakilanlan, at mga utos sa proteksyon ng saksi.
**2. Republic Act No. 6986 (Isang Batas na Nagbibigay Proteksyon sa mga Saksi):**
* Itinatag ng batas na ito ang Witness Protection Program (WPP)"&amp;" sa ilalim ng Department of Justice (DOJ). * Ang mga saksi sa anumang kasong kriminal, kabilang ang human trafficking, ay maaaring mag-aplay para sa pagsasama sa WPP kung natutugunan nila ang ilang partikular na pamantayan at itinuring na nasa ilalim ng p"&amp;"agbabanta. * Ang WPP ay maaaring magbigay ng iba't ibang paraan ng proteksyon, kabilang ang mga ligtas na bahay, tulong pinansyal, at mga hakbang sa seguridad.
**3. Iba pang Mga Pag-iingat:**
* Ang mga ahensyang nagpapatupad ng batas tulad ng NBI-ATPD at "&amp;"PNP-WCPC ay may responsibilidad na protektahan ang mga pagkakakilanlan ng mga testigo at whistleblower sa panahon ng mga imbestigasyon at paglilitis sa korte.
* Ito ay maaaring may kasamang mga hakbang sa pagiging kumpidensyal ng saksi o mga redaction sa "&amp;"mga pampublikong dokumento.
**Mahalagang tandaan:**
* Ang pagkakaroon at lawak ng proteksyon ay mag-iiba depende sa mga partikular na kalagayan ng kaso at sa antas ng banta na kinakaharap ng testigo o whistleblower.
* Kung isinasaalang-alang mo ang paghar"&amp;"ap ng impormasyon tungkol sa human trafficking, mahalagang kumunsulta sa tagapagpatupad ng batas o isang abogado upang maunawaan ang iyong mga karapatan at ang mga hakbang sa proteksyon na magagamit mo.
Narito ang ilang mga mapagkukunan na maaaring magbig"&amp;"ay ng higit pang impormasyon:
* Inter-Agency Council Against Trafficking (IACAT): [https://iacat.gov.ph/](https://iacat.gov.ph/)
* National Bureau of Investigation (NBI) Anti-Trafficking in Persons Division (ATPD): [https://www.doj.gov.ph/](https://www.do"&amp;"j.gov.ph/)
* Philippine National Police (PNP) Women and Children's Protection Center (WCPC): [https://wcpc.pnp.gov.ph/downloads/](https://wcpc.pnp.gov.ph/downloads/)")</f>
        <v>Oo, ang Pilipinas ay may mga legal na pananggalang na nakalagay upang protektahan ang mga saksi at whistleblower sa mga kaso ng human trafficking. Narito ang isang breakdown ng ilang pangunahing probisyon:
**1. Republic Act No. 9208 (Anti-Trafficking in Persons Act of 2003):**
* Ang Seksyon 15 ng RA 9208 ay nag-uutos sa gobyerno na magkaloob ng mga programang proteksyon para sa mga testigo at whistleblower na sangkot sa mga kaso ng trafficking. * Kabilang dito ang mga hakbang upang matiyak ang kanilang kaligtasan at seguridad, tulad ng relokasyon, pagbabago ng pagkakakilanlan, at mga utos sa proteksyon ng saksi.
**2. Republic Act No. 6986 (Isang Batas na Nagbibigay Proteksyon sa mga Saksi):**
* Itinatag ng batas na ito ang Witness Protection Program (WPP) sa ilalim ng Department of Justice (DOJ). * Ang mga saksi sa anumang kasong kriminal, kabilang ang human trafficking, ay maaaring mag-aplay para sa pagsasama sa WPP kung natutugunan nila ang ilang partikular na pamantayan at itinuring na nasa ilalim ng pagbabanta. * Ang WPP ay maaaring magbigay ng iba't ibang paraan ng proteksyon, kabilang ang mga ligtas na bahay, tulong pinansyal, at mga hakbang sa seguridad.
**3. Iba pang Mga Pag-iingat:**
* Ang mga ahensyang nagpapatupad ng batas tulad ng NBI-ATPD at PNP-WCPC ay may responsibilidad na protektahan ang mga pagkakakilanlan ng mga testigo at whistleblower sa panahon ng mga imbestigasyon at paglilitis sa korte.
* Ito ay maaaring may kasamang mga hakbang sa pagiging kumpidensyal ng saksi o mga redaction sa mga pampublikong dokumento.
**Mahalagang tandaan:**
* Ang pagkakaroon at lawak ng proteksyon ay mag-iiba depende sa mga partikular na kalagayan ng kaso at sa antas ng banta na kinakaharap ng testigo o whistleblower.
* Kung isinasaalang-alang mo ang pagharap ng impormasyon tungkol sa human trafficking, mahalagang kumunsulta sa tagapagpatupad ng batas o isang abogado upang maunawaan ang iyong mga karapatan at ang mga hakbang sa proteksyon na magagamit mo.
Narito ang ilang mga mapagkukunan na maaaring magbigay ng higit pang impormasyon:
* Inter-Agency Council Against Trafficking (IACAT): [https://iacat.gov.ph/](https://iacat.gov.ph/)
* National Bureau of Investigation (NBI) Anti-Trafficking in Persons Division (ATPD): [https://www.doj.gov.ph/](https://www.doj.gov.ph/)
* Philippine National Police (PNP) Women and Children's Protection Center (WCPC): [https://wcpc.pnp.gov.ph/downloads/](https://wcpc.pnp.gov.ph/downloads/)</v>
      </c>
      <c r="F2596" s="2">
        <f t="shared" si="1"/>
        <v>0</v>
      </c>
      <c r="G2596" s="2"/>
      <c r="H2596" s="2"/>
      <c r="I2596" s="2"/>
      <c r="J2596" s="2"/>
      <c r="K2596" s="2"/>
      <c r="L2596" s="2"/>
      <c r="M2596" s="2"/>
      <c r="N2596" s="2"/>
      <c r="O2596" s="2"/>
      <c r="P2596" s="2"/>
      <c r="Q2596" s="2"/>
      <c r="R2596" s="2"/>
      <c r="S2596" s="2"/>
      <c r="T2596" s="2"/>
      <c r="U2596" s="2"/>
      <c r="V2596" s="2"/>
      <c r="W2596" s="2"/>
      <c r="X2596" s="2"/>
      <c r="Y2596" s="2"/>
      <c r="Z2596" s="2"/>
      <c r="AA2596" s="2"/>
    </row>
    <row r="2597">
      <c r="A2597" s="3" t="s">
        <v>6112</v>
      </c>
      <c r="B2597" s="1" t="s">
        <v>6163</v>
      </c>
      <c r="C2597" s="1" t="s">
        <v>6164</v>
      </c>
      <c r="D2597" s="2" t="str">
        <f>IFERROR(__xludf.DUMMYFUNCTION("GOOGLETRANSLATE(B2597, ""en"", ""TL"")"),"Anong mga legal na aksyon ang maaaring gawin laban sa mga indibidwal na sangkot sa paglikha, pamamahagi, o pagkakaroon ng mga materyal na nauugnay sa human trafficking?")</f>
        <v>Anong mga legal na aksyon ang maaaring gawin laban sa mga indibidwal na sangkot sa paglikha, pamamahagi, o pagkakaroon ng mga materyal na nauugnay sa human trafficking?</v>
      </c>
      <c r="E2597" s="2" t="str">
        <f>IFERROR(__xludf.DUMMYFUNCTION("GOOGLETRANSLATE(C2597, ""en"", ""TL"")"),"Sa Pilipinas, maraming batas ang maaaring gamitin laban sa mga indibidwal na sangkot sa mga materyal na nauugnay sa human trafficking, depende sa partikular na nilalaman at layunin:
**1. Republic Act No. 9208 (Anti-Trafficking in Persons Act of 2003):**
*"&amp;" Ipinagbabawal ng Seksyon 6 ang mga gawaing nagsusulong ng trafficking, kabilang ang **produksyon, pagmamay-ari, paglalathala, at pamamahagi** ng mga materyal na nag-aanunsyo o nagpapadali sa trafficking. Nalalapat ito sa mga materyal na nagpo-promote ng "&amp;"sex trafficking at labor trafficking. **2. Republic Act No. 11930 (Anti-Trafficking in Persons Act of 2022):**
* Pinalalakas ng batas na ito ang RA 9208 at partikular na pinupuntirya ang online na aspeto ng trafficking.
* Ipinagbabawal ng Seksyon 5(q) ang"&amp;" **advertisement, publikasyon, pag-print, pagsasahimpapawid, o pamamahagi** ng mga materyal na nagpo-promote ng **Online Sexual Abuse and Exploitation of Children (OSAEC)** at sekswal na pang-aabuso sa bata.
* Isinasakriminal ng Seksyon 5(r) ang **pagmama"&amp;"y-ari** ng anumang anyo ng **Child Sexual Abuse Material (CSAM)**, na may pagmamay-ari ng tatlo (3) o higit pang mga item na itinuturing na prima facie na ebidensya ng layuning ipamahagi.
* Ipinagbabawal ng (mga) Seksyon 5 ang **kusang pag-access** sa anu"&amp;"mang anyo ng CSAM.
**3. Iba pang Mga Kaugnay na Batas:**
* Depende sa nilalaman ng mga materyales, ang iba pang mga batas ay maaari ding naaangkop. * Halimbawa, ang Revised Penal Code ay maaaring may mga probisyon laban sa pornograpiya o malalaswang mater"&amp;"yal, lalo na kung may kinalaman ang mga ito sa mga bata.
**Mahahalagang Punto:**
* Ang partikular na legal na aksyon na gagawin ay depende sa uri ng materyal (hal., kinasasangkutan ng mga matatanda o bata), nilalaman nito (hal., advertisement, recruitment"&amp;", o paglalarawan ng pang-aabuso), at ang layunin ng pagmamay-ari o pamamahagi (hal., personal na paggamit o komersyal na pakinabang).
* Ang mga ahensyang nagpapatupad ng batas tulad ng NBI-ATPD at PNP-WCPC ay gumaganap ng mahalagang papel sa pag-iimbestig"&amp;"a sa mga kasong ito at pagsasampa ng naaangkop na mga kaso.
**Tandaan:**
Ito ay mga kumplikadong legal na usapin. Kung makatagpo ka ng mga pinaghihinalaang materyal na may kaugnayan sa human trafficking, pinakamahusay na iulat kaagad ang mga ito sa mga aw"&amp;"toridad. Maaari kang makipag-ugnayan sa hotline ng NBI-ATPD o sa iyong lokal na tanggapan ng PNP-WCPC.")</f>
        <v>Sa Pilipinas, maraming batas ang maaaring gamitin laban sa mga indibidwal na sangkot sa mga materyal na nauugnay sa human trafficking, depende sa partikular na nilalaman at layunin:
**1. Republic Act No. 9208 (Anti-Trafficking in Persons Act of 2003):**
* Ipinagbabawal ng Seksyon 6 ang mga gawaing nagsusulong ng trafficking, kabilang ang **produksyon, pagmamay-ari, paglalathala, at pamamahagi** ng mga materyal na nag-aanunsyo o nagpapadali sa trafficking. Nalalapat ito sa mga materyal na nagpo-promote ng sex trafficking at labor trafficking. **2. Republic Act No. 11930 (Anti-Trafficking in Persons Act of 2022):**
* Pinalalakas ng batas na ito ang RA 9208 at partikular na pinupuntirya ang online na aspeto ng trafficking.
* Ipinagbabawal ng Seksyon 5(q) ang **advertisement, publikasyon, pag-print, pagsasahimpapawid, o pamamahagi** ng mga materyal na nagpo-promote ng **Online Sexual Abuse and Exploitation of Children (OSAEC)** at sekswal na pang-aabuso sa bata.
* Isinasakriminal ng Seksyon 5(r) ang **pagmamay-ari** ng anumang anyo ng **Child Sexual Abuse Material (CSAM)**, na may pagmamay-ari ng tatlo (3) o higit pang mga item na itinuturing na prima facie na ebidensya ng layuning ipamahagi.
* Ipinagbabawal ng (mga) Seksyon 5 ang **kusang pag-access** sa anumang anyo ng CSAM.
**3. Iba pang Mga Kaugnay na Batas:**
* Depende sa nilalaman ng mga materyales, ang iba pang mga batas ay maaari ding naaangkop. * Halimbawa, ang Revised Penal Code ay maaaring may mga probisyon laban sa pornograpiya o malalaswang materyal, lalo na kung may kinalaman ang mga ito sa mga bata.
**Mahahalagang Punto:**
* Ang partikular na legal na aksyon na gagawin ay depende sa uri ng materyal (hal., kinasasangkutan ng mga matatanda o bata), nilalaman nito (hal., advertisement, recruitment, o paglalarawan ng pang-aabuso), at ang layunin ng pagmamay-ari o pamamahagi (hal., personal na paggamit o komersyal na pakinabang).
* Ang mga ahensyang nagpapatupad ng batas tulad ng NBI-ATPD at PNP-WCPC ay gumaganap ng mahalagang papel sa pag-iimbestiga sa mga kasong ito at pagsasampa ng naaangkop na mga kaso.
**Tandaan:**
Ito ay mga kumplikadong legal na usapin. Kung makatagpo ka ng mga pinaghihinalaang materyal na may kaugnayan sa human trafficking, pinakamahusay na iulat kaagad ang mga ito sa mga awtoridad. Maaari kang makipag-ugnayan sa hotline ng NBI-ATPD o sa iyong lokal na tanggapan ng PNP-WCPC.</v>
      </c>
      <c r="F2597" s="2">
        <f t="shared" si="1"/>
        <v>0</v>
      </c>
      <c r="G2597" s="2"/>
      <c r="H2597" s="2"/>
      <c r="I2597" s="2"/>
      <c r="J2597" s="2"/>
      <c r="K2597" s="2"/>
      <c r="L2597" s="2"/>
      <c r="M2597" s="2"/>
      <c r="N2597" s="2"/>
      <c r="O2597" s="2"/>
      <c r="P2597" s="2"/>
      <c r="Q2597" s="2"/>
      <c r="R2597" s="2"/>
      <c r="S2597" s="2"/>
      <c r="T2597" s="2"/>
      <c r="U2597" s="2"/>
      <c r="V2597" s="2"/>
      <c r="W2597" s="2"/>
      <c r="X2597" s="2"/>
      <c r="Y2597" s="2"/>
      <c r="Z2597" s="2"/>
      <c r="AA2597" s="2"/>
    </row>
    <row r="2598">
      <c r="A2598" s="3" t="s">
        <v>6112</v>
      </c>
      <c r="B2598" s="1" t="s">
        <v>6165</v>
      </c>
      <c r="C2598" s="1" t="s">
        <v>6166</v>
      </c>
      <c r="D2598" s="2" t="str">
        <f>IFERROR(__xludf.DUMMYFUNCTION("GOOGLETRANSLATE(B2598, ""en"", ""TL"")"),"Isa kang opisyal na nagpapatupad ng batas na nag-iimbestiga sa isang pinaghihinalaang kaso ng human trafficking. Anong mga legal na hakbang ang dapat gawin sa mga unang yugto ng pagsisiyasat?")</f>
        <v>Isa kang opisyal na nagpapatupad ng batas na nag-iimbestiga sa isang pinaghihinalaang kaso ng human trafficking. Anong mga legal na hakbang ang dapat gawin sa mga unang yugto ng pagsisiyasat?</v>
      </c>
      <c r="E2598" s="2" t="str">
        <f>IFERROR(__xludf.DUMMYFUNCTION("GOOGLETRANSLATE(C2598, ""en"", ""TL"")"),"Narito ang ilang legal na hakbang na maaari mong gawin sa mga unang yugto ng pinaghihinalaang kaso ng human trafficking ayon sa batas ng Pilipinas:
**1. Magtipon ng Impormasyon at Suriin ang Sitwasyon:**
* I-secure ang eksena at tiyakin ang kaligtasan ng "&amp;"sinumang potensyal na biktima at ng iyong sarili. * Kilalanin ang mga potensyal na saksi at tipunin ang kanilang mga pahayag. * Maghanap ng anumang katibayan na maaaring suportahan ang human trafficking, tulad ng mga dokumento sa paglalakbay, mga materyal"&amp;"es sa pangangalap, o mga palatandaan ng pagkakulong.
**2. Iulat ang Kaso:**
* Iulat ang pinaghihinalaang kaso ng trafficking sa iyong superior officer at sa Inter-Agency Council Against Trafficking (IACAT) sa pamamagitan ng National Bureau of Investigatio"&amp;"n (NBI) Anti-Trafficking in Persons Division (ATPD) hotline o sa kanilang regional office. * Maaari ka ring mag-ulat sa Philippine National Police (PNP) Women and Children's Protection Center (WCPC).
**3. Magsagawa ng Preliminary Investigation:**
* Sa pam"&amp;"amagitan ng warrant, kung kinakailangan, magsagawa ng paghahanap sa pinaghihinalaang lokasyon ng trafficking. * Maaaring kabilang dito ang paghahanap ng mga biktima, ebidensya, at dokumentasyong nauugnay sa mga aktibidad ng trafficking.
* Idokumento nang "&amp;"lubusan ang iyong mga natuklasan, sumusunod sa wastong pamamaraan para sa pangongolekta ng ebidensya.
**4. Pagkakakilanlan at Proteksyon ng Biktima:**
* Kilalanin ang mga potensyal na biktima gamit ang mga indicator na nakabalangkas sa Republic Act No. 92"&amp;"08, na kilala rin bilang ""Anti-Trafficking in Persons Act of 2003"" (RA 9208). * Kasama sa mga indicator na ito ang paghihigpit sa paggalaw, panlilinlang, pamimilit, pang-aabuso sa kahinaan, at ang pangako ng mga trabaho o pagkakataon na lumalabas na map"&amp;"agsamantala.
* Unahin ang kaligtasan at kapakanan ng mga potensyal na biktima. * Maaaring kabilang dito ang pagbibigay ng access sa pangangalagang medikal, tirahan, at suportang sikolohikal ayon sa ipinag-uutos ng RA 9208. **5. Idokumento ang Lahat:**
* P"&amp;"anatilihin ang mga detalyadong tala ng iyong pagsisiyasat, kabilang ang mga pahayag ng saksi, mga timeline, at mga tala ng ebidensya. * Ito ay magiging mahalaga para sa pagbuo ng isang malakas na kaso para sa pag-uusig.
**Mga Karagdagang Pagsasaalang-alan"&amp;"g:**
* Sa buong imbestigasyon, igalang ang privacy at dignidad ng mga potensyal na biktima. * Maaaring kailanganin mong makipagtulungan sa mga social worker at iba pang mga espesyalista upang matiyak na ang mga biktima ay makakatanggap ng wastong panganga"&amp;"laga. * Kung ang kaso ay may kinalaman sa mga potensyal na biktima ng kabataan, makipag-ugnayan sa Department of Social Welfare and Development (DSWD).
**Tandaan:**
* Hindi ka nag-iisa sa prosesong ito. May mga ahensya ng gobyerno na partikular na nakatal"&amp;"aga sa paghawak ng mga kaso ng human trafficking.
* Makipagtulungan sa IACAT, NBI-ATPD, PNP-WCPC, at iba pang kaugnay na ahensya upang matiyak ang komprehensibo at epektibong imbestigasyon.
Bagama't nagbibigay ito ng pangkalahatang balangkas, maaaring mag"&amp;"ing kumplikado ang mga legal na pamamaraan. Kung mayroon kang anumang mga pagdududa o kailangan ng karagdagang gabay, kumunsulta sa iyong superyor o isang legal na propesyonal sa loob ng iyong ahensyang nagpapatupad ng batas.")</f>
        <v>Narito ang ilang legal na hakbang na maaari mong gawin sa mga unang yugto ng pinaghihinalaang kaso ng human trafficking ayon sa batas ng Pilipinas:
**1. Magtipon ng Impormasyon at Suriin ang Sitwasyon:**
* I-secure ang eksena at tiyakin ang kaligtasan ng sinumang potensyal na biktima at ng iyong sarili. * Kilalanin ang mga potensyal na saksi at tipunin ang kanilang mga pahayag. * Maghanap ng anumang katibayan na maaaring suportahan ang human trafficking, tulad ng mga dokumento sa paglalakbay, mga materyales sa pangangalap, o mga palatandaan ng pagkakulong.
**2. Iulat ang Kaso:**
* Iulat ang pinaghihinalaang kaso ng trafficking sa iyong superior officer at sa Inter-Agency Council Against Trafficking (IACAT) sa pamamagitan ng National Bureau of Investigation (NBI) Anti-Trafficking in Persons Division (ATPD) hotline o sa kanilang regional office. * Maaari ka ring mag-ulat sa Philippine National Police (PNP) Women and Children's Protection Center (WCPC).
**3. Magsagawa ng Preliminary Investigation:**
* Sa pamamagitan ng warrant, kung kinakailangan, magsagawa ng paghahanap sa pinaghihinalaang lokasyon ng trafficking. * Maaaring kabilang dito ang paghahanap ng mga biktima, ebidensya, at dokumentasyong nauugnay sa mga aktibidad ng trafficking.
* Idokumento nang lubusan ang iyong mga natuklasan, sumusunod sa wastong pamamaraan para sa pangongolekta ng ebidensya.
**4. Pagkakakilanlan at Proteksyon ng Biktima:**
* Kilalanin ang mga potensyal na biktima gamit ang mga indicator na nakabalangkas sa Republic Act No. 9208, na kilala rin bilang "Anti-Trafficking in Persons Act of 2003" (RA 9208). * Kasama sa mga indicator na ito ang paghihigpit sa paggalaw, panlilinlang, pamimilit, pang-aabuso sa kahinaan, at ang pangako ng mga trabaho o pagkakataon na lumalabas na mapagsamantala.
* Unahin ang kaligtasan at kapakanan ng mga potensyal na biktima. * Maaaring kabilang dito ang pagbibigay ng access sa pangangalagang medikal, tirahan, at suportang sikolohikal ayon sa ipinag-uutos ng RA 9208. **5. Idokumento ang Lahat:**
* Panatilihin ang mga detalyadong tala ng iyong pagsisiyasat, kabilang ang mga pahayag ng saksi, mga timeline, at mga tala ng ebidensya. * Ito ay magiging mahalaga para sa pagbuo ng isang malakas na kaso para sa pag-uusig.
**Mga Karagdagang Pagsasaalang-alang:**
* Sa buong imbestigasyon, igalang ang privacy at dignidad ng mga potensyal na biktima. * Maaaring kailanganin mong makipagtulungan sa mga social worker at iba pang mga espesyalista upang matiyak na ang mga biktima ay makakatanggap ng wastong pangangalaga. * Kung ang kaso ay may kinalaman sa mga potensyal na biktima ng kabataan, makipag-ugnayan sa Department of Social Welfare and Development (DSWD).
**Tandaan:**
* Hindi ka nag-iisa sa prosesong ito. May mga ahensya ng gobyerno na partikular na nakatalaga sa paghawak ng mga kaso ng human trafficking.
* Makipagtulungan sa IACAT, NBI-ATPD, PNP-WCPC, at iba pang kaugnay na ahensya upang matiyak ang komprehensibo at epektibong imbestigasyon.
Bagama't nagbibigay ito ng pangkalahatang balangkas, maaaring maging kumplikado ang mga legal na pamamaraan. Kung mayroon kang anumang mga pagdududa o kailangan ng karagdagang gabay, kumunsulta sa iyong superyor o isang legal na propesyonal sa loob ng iyong ahensyang nagpapatupad ng batas.</v>
      </c>
      <c r="F2598" s="2">
        <f t="shared" si="1"/>
        <v>0</v>
      </c>
      <c r="G2598" s="2"/>
      <c r="H2598" s="2"/>
      <c r="I2598" s="2"/>
      <c r="J2598" s="2"/>
      <c r="K2598" s="2"/>
      <c r="L2598" s="2"/>
      <c r="M2598" s="2"/>
      <c r="N2598" s="2"/>
      <c r="O2598" s="2"/>
      <c r="P2598" s="2"/>
      <c r="Q2598" s="2"/>
      <c r="R2598" s="2"/>
      <c r="S2598" s="2"/>
      <c r="T2598" s="2"/>
      <c r="U2598" s="2"/>
      <c r="V2598" s="2"/>
      <c r="W2598" s="2"/>
      <c r="X2598" s="2"/>
      <c r="Y2598" s="2"/>
      <c r="Z2598" s="2"/>
      <c r="AA2598" s="2"/>
    </row>
    <row r="2599">
      <c r="A2599" s="3" t="s">
        <v>6112</v>
      </c>
      <c r="B2599" s="1" t="s">
        <v>6167</v>
      </c>
      <c r="C2599" s="1" t="s">
        <v>6168</v>
      </c>
      <c r="D2599" s="2" t="str">
        <f>IFERROR(__xludf.DUMMYFUNCTION("GOOGLETRANSLATE(B2599, ""en"", ""TL"")"),"Isang biktima ng human trafficking ay naghahanap ng kanlungan sa isang lokal na kanlungan. Anong mga legal na hakbang ang maaaring ipatupad upang matiyak ang kanilang kaligtasan at proteksyon?")</f>
        <v>Isang biktima ng human trafficking ay naghahanap ng kanlungan sa isang lokal na kanlungan. Anong mga legal na hakbang ang maaaring ipatupad upang matiyak ang kanilang kaligtasan at proteksyon?</v>
      </c>
      <c r="E2599" s="2" t="str">
        <f>IFERROR(__xludf.DUMMYFUNCTION("GOOGLETRANSLATE(C2599, ""en"", ""TL"")"),"Narito ang ilang legal na hakbang na maaaring ipatupad upang matiyak ang kaligtasan at proteksyon ng isang biktima ng human trafficking na naghahanap ng kanlungan sa isang lokal na silungan sa Pilipinas:
**Mga Agarang Hakbang:**
* **Pagsusuri sa Kaligtasa"&amp;"n:** Dapat magsagawa ng pagtatasa sa kaligtasan ang mga tauhan ng shelter upang matukoy ang anumang agarang banta na maaaring harapin ng biktima mula sa mga trafficker. Ang pagtatasa na ito ay makakatulong na matukoy ang antas ng seguridad na kailangan.
*"&amp;" **Medikal na Atensyon:** Tiyaking natatanggap ng biktima ang anumang kinakailangang medikal na atensyon, pagtugon sa mga pinsala o alalahanin sa kalusugan na nauugnay sa karanasan sa trafficking.
* **Psychological Support:** Ikonekta sila sa trauma-infor"&amp;"med psychological support services para matulungan silang makayanan ang emosyonal na epekto ng karanasan. **Mga Legal na Proteksyon:**
* **Pag-uulat:** Ang mga tauhan ng shelter ay inatasang mga reporter at dapat iulat ang kaso sa Inter-Agency Council Aga"&amp;"inst Trafficking (IACAT) o sa pinakamalapit na istasyon ng pulisya. * **Programa sa Proteksyon ng Saksi:** Depende sa kalubhaan ng pagbabanta at kahandaan ng biktima na makipagtulungan sa pagpapatupad ng batas, maaari silang maging karapat-dapat na maisam"&amp;"a sa isang programa sa proteksyon ng saksi. Ang programang ito ay nagbibigay sa kanila ng bagong pagkakakilanlan at ligtas na lokasyon upang mabawasan ang panganib ng paghihiganti mula sa mga trafficker.
* **Legal na Tulong:** Dapat ikonekta ng shelter an"&amp;"g biktima sa isang abogado na dalubhasa sa mga kaso ng human trafficking. Maaaring payuhan sila ng abogado tungkol sa kanilang mga legal na karapatan at opsyon, tulad ng paghabol ng legal na aksyon laban sa mga trafficker o paghingi ng kabayaran para sa m"&amp;"ga pinsala.
**Serbisyo ng Suporta:**
* **Ligtas na Tirahan:** Ang kanlungan ay dapat magbigay ng isang ligtas at ligtas na kapaligiran sa pamumuhay kung saan ang biktima ay nakakaramdam na protektado.
* **Pagtatasa ng Pangangailangan:** Magsagawa ng kompr"&amp;"ehensibong pagtatasa ng mga pangangailangan upang matukoy ang mga indibidwal na pangangailangan ng biktima, tulad ng tulong sa wika, bokasyonal na pagsasanay, o mga pagkakataong pang-edukasyon. * **Pagsasanay sa Mga Kasanayan sa Buhay:** Magbigay ng pagsa"&amp;"sanay sa mga kasanayan sa buhay upang matulungan ang biktima na bumuo ng mga kasanayang kinakailangan para sa malayang pamumuhay at muling pagsasama sa lipunan. **Paggalang sa Mga Karapatan at Autonomiya:**
* **Informed Consent:** Kumuha ng may alam na pa"&amp;"hintulot mula sa biktima bago gumawa ng anumang legal na aksyon. Ipaliwanag nang malinaw ang kanilang mga karapatan at opsyon at payagan silang gumawa ng mga pagpipilian tungkol sa kanilang legal na proseso.
* **Pagiging Kumpidensyal:** Panatilihin ang pa"&amp;"giging kumpidensyal ng pagkakakilanlan ng biktima at mga detalye ng kanilang kaso, na binabalanse sa mga kinakailangan sa legal na pag-uulat.
**Pagtutulungan:**
* **Inter-Agency Coordination:** Dapat makipagtulungan ang mga shelter sa mga tagapagpatupad n"&amp;"g batas, mga serbisyong panlipunan, at mga kaugnay na ahensya ng gobyerno upang matiyak na ang biktima ay makakatanggap ng komprehensibong mga serbisyo ng suporta at access sa hustisya.
**Mga Pangmatagalang Pagsasaalang-alang:**
* **Repatriation Assistanc"&amp;"e:** Para sa mga dayuhang biktima, makipag-ugnayan sa repatriation assistance sa kanilang mga embahada o konsulado upang mapadali ang ligtas na pag-uwi, kung iyon ang kanilang kagustuhan.
* **Suporta sa Muling Pagsasama:** Magbigay ng suporta sa muling pa"&amp;"gsasama upang matulungan ang biktima na buuin muli ang kanyang buhay. Maaaring kabilang dito ang tulong sa pabahay, tulong sa paglalagay ng trabaho, o mga pagkakataong pang-edukasyon upang matulungan silang makamit ang pangmatagalang katatagan.
Sa pamamag"&amp;"itan ng pagpapatupad ng mga legal na hakbang na ito, ang mga shelter ay maaaring lumikha ng isang ligtas na kanlungan para sa mga biktima ng human trafficking at bigyan sila ng kapangyarihan upang muling buuin ang kanilang buhay. Tandaan, ang kapakanan at"&amp;" kaligtasan ng biktima ang pangunahing priyoridad. Ang isang holistic na diskarte na tumutugon sa kanilang pisikal, emosyonal, at legal na mga pangangailangan ay mahalaga para sa kanilang matagumpay na pagbawi.")</f>
        <v>Narito ang ilang legal na hakbang na maaaring ipatupad upang matiyak ang kaligtasan at proteksyon ng isang biktima ng human trafficking na naghahanap ng kanlungan sa isang lokal na silungan sa Pilipinas:
**Mga Agarang Hakbang:**
* **Pagsusuri sa Kaligtasan:** Dapat magsagawa ng pagtatasa sa kaligtasan ang mga tauhan ng shelter upang matukoy ang anumang agarang banta na maaaring harapin ng biktima mula sa mga trafficker. Ang pagtatasa na ito ay makakatulong na matukoy ang antas ng seguridad na kailangan.
* **Medikal na Atensyon:** Tiyaking natatanggap ng biktima ang anumang kinakailangang medikal na atensyon, pagtugon sa mga pinsala o alalahanin sa kalusugan na nauugnay sa karanasan sa trafficking.
* **Psychological Support:** Ikonekta sila sa trauma-informed psychological support services para matulungan silang makayanan ang emosyonal na epekto ng karanasan. **Mga Legal na Proteksyon:**
* **Pag-uulat:** Ang mga tauhan ng shelter ay inatasang mga reporter at dapat iulat ang kaso sa Inter-Agency Council Against Trafficking (IACAT) o sa pinakamalapit na istasyon ng pulisya. * **Programa sa Proteksyon ng Saksi:** Depende sa kalubhaan ng pagbabanta at kahandaan ng biktima na makipagtulungan sa pagpapatupad ng batas, maaari silang maging karapat-dapat na maisama sa isang programa sa proteksyon ng saksi. Ang programang ito ay nagbibigay sa kanila ng bagong pagkakakilanlan at ligtas na lokasyon upang mabawasan ang panganib ng paghihiganti mula sa mga trafficker.
* **Legal na Tulong:** Dapat ikonekta ng shelter ang biktima sa isang abogado na dalubhasa sa mga kaso ng human trafficking. Maaaring payuhan sila ng abogado tungkol sa kanilang mga legal na karapatan at opsyon, tulad ng paghabol ng legal na aksyon laban sa mga trafficker o paghingi ng kabayaran para sa mga pinsala.
**Serbisyo ng Suporta:**
* **Ligtas na Tirahan:** Ang kanlungan ay dapat magbigay ng isang ligtas at ligtas na kapaligiran sa pamumuhay kung saan ang biktima ay nakakaramdam na protektado.
* **Pagtatasa ng Pangangailangan:** Magsagawa ng komprehensibong pagtatasa ng mga pangangailangan upang matukoy ang mga indibidwal na pangangailangan ng biktima, tulad ng tulong sa wika, bokasyonal na pagsasanay, o mga pagkakataong pang-edukasyon. * **Pagsasanay sa Mga Kasanayan sa Buhay:** Magbigay ng pagsasanay sa mga kasanayan sa buhay upang matulungan ang biktima na bumuo ng mga kasanayang kinakailangan para sa malayang pamumuhay at muling pagsasama sa lipunan. **Paggalang sa Mga Karapatan at Autonomiya:**
* **Informed Consent:** Kumuha ng may alam na pahintulot mula sa biktima bago gumawa ng anumang legal na aksyon. Ipaliwanag nang malinaw ang kanilang mga karapatan at opsyon at payagan silang gumawa ng mga pagpipilian tungkol sa kanilang legal na proseso.
* **Pagiging Kumpidensyal:** Panatilihin ang pagiging kumpidensyal ng pagkakakilanlan ng biktima at mga detalye ng kanilang kaso, na binabalanse sa mga kinakailangan sa legal na pag-uulat.
**Pagtutulungan:**
* **Inter-Agency Coordination:** Dapat makipagtulungan ang mga shelter sa mga tagapagpatupad ng batas, mga serbisyong panlipunan, at mga kaugnay na ahensya ng gobyerno upang matiyak na ang biktima ay makakatanggap ng komprehensibong mga serbisyo ng suporta at access sa hustisya.
**Mga Pangmatagalang Pagsasaalang-alang:**
* **Repatriation Assistance:** Para sa mga dayuhang biktima, makipag-ugnayan sa repatriation assistance sa kanilang mga embahada o konsulado upang mapadali ang ligtas na pag-uwi, kung iyon ang kanilang kagustuhan.
* **Suporta sa Muling Pagsasama:** Magbigay ng suporta sa muling pagsasama upang matulungan ang biktima na buuin muli ang kanyang buhay. Maaaring kabilang dito ang tulong sa pabahay, tulong sa paglalagay ng trabaho, o mga pagkakataong pang-edukasyon upang matulungan silang makamit ang pangmatagalang katatagan.
Sa pamamagitan ng pagpapatupad ng mga legal na hakbang na ito, ang mga shelter ay maaaring lumikha ng isang ligtas na kanlungan para sa mga biktima ng human trafficking at bigyan sila ng kapangyarihan upang muling buuin ang kanilang buhay. Tandaan, ang kapakanan at kaligtasan ng biktima ang pangunahing priyoridad. Ang isang holistic na diskarte na tumutugon sa kanilang pisikal, emosyonal, at legal na mga pangangailangan ay mahalaga para sa kanilang matagumpay na pagbawi.</v>
      </c>
      <c r="F2599" s="2">
        <f t="shared" si="1"/>
        <v>0</v>
      </c>
      <c r="G2599" s="2"/>
      <c r="H2599" s="2"/>
      <c r="I2599" s="2"/>
      <c r="J2599" s="2"/>
      <c r="K2599" s="2"/>
      <c r="L2599" s="2"/>
      <c r="M2599" s="2"/>
      <c r="N2599" s="2"/>
      <c r="O2599" s="2"/>
      <c r="P2599" s="2"/>
      <c r="Q2599" s="2"/>
      <c r="R2599" s="2"/>
      <c r="S2599" s="2"/>
      <c r="T2599" s="2"/>
      <c r="U2599" s="2"/>
      <c r="V2599" s="2"/>
      <c r="W2599" s="2"/>
      <c r="X2599" s="2"/>
      <c r="Y2599" s="2"/>
      <c r="Z2599" s="2"/>
      <c r="AA2599" s="2"/>
    </row>
    <row r="2600">
      <c r="A2600" s="3" t="s">
        <v>6112</v>
      </c>
      <c r="B2600" s="1" t="s">
        <v>6169</v>
      </c>
      <c r="C2600" s="1" t="s">
        <v>6170</v>
      </c>
      <c r="D2600" s="2" t="str">
        <f>IFERROR(__xludf.DUMMYFUNCTION("GOOGLETRANSLATE(B2600, ""en"", ""TL"")"),"Nakatagpo ka ng kahina-hinalang recruitment agency na pinaniniwalaang sangkot sa human trafficking. Anong mga legal na aksyon ang maaaring gawin upang siyasatin at matugunan ang sitwasyon?")</f>
        <v>Nakatagpo ka ng kahina-hinalang recruitment agency na pinaniniwalaang sangkot sa human trafficking. Anong mga legal na aksyon ang maaaring gawin upang siyasatin at matugunan ang sitwasyon?</v>
      </c>
      <c r="E2600" s="2" t="str">
        <f>IFERROR(__xludf.DUMMYFUNCTION("GOOGLETRANSLATE(C2600, ""en"", ""TL"")"),"Kung makatagpo ka ng kahina-hinalang ahensya ng recruitment na posibleng sangkot sa human trafficking, narito ang ilang legal na aksyon na maaari mong gawin upang imbestigahan at matugunan ang sitwasyon:
**Pag-uulat sa Ahensya:**
* **Mga Awtoridad:** Iula"&amp;"t ang iyong mga alalahanin sa Inter-Agency Council Against Trafficking (IACAT). Ang IACAT ay isang katawan ng gobyerno ng Pilipinas na may tungkulin sa pag-uugnay ng mga pagsisikap laban sa trafficking. Maaari kang mag-ulat online sa pamamagitan ng kanila"&amp;"ng website ([https://iacat.gov.ph/](https://iacat.gov.ph/)) o sa pamamagitan ng pagtawag sa kanilang hotline (1343).
* **Philippine Overseas Employment Administration (POEA):** Kung ang ahensya ay nakatutok sa overseas recruitment, iulat ito sa POEA. Kino"&amp;"kontrol nila ang mga ahensya ng recruitment at sinisiyasat ang mga potensyal na paglabag.
**Pagtitipon ng Ebidensya:**
* **Mga Detalye ng Dokumento:** Itala ang mga detalye tungkol sa ahensya, tulad ng kanilang pangalan, address, impormasyon sa pakikipag-"&amp;"ugnayan, at website (kung mayroon sila nito).
* **Mga Kahina-hinalang Kasanayan:** Idokumento ang anumang partikular na kagawian na nagpapataas ng mga pulang bandila, tulad ng:
* Hindi makatotohanang mga pangako ng suweldo para sa mga trabahong mababa ang"&amp;" kasanayan sa ibang bansa.
* Nangangailangan ng labis na bayad sa paglalagay o pagkumpiska ng pasaporte.
* Malabong paglalarawan ng trabaho o kawalan ng transparency tungkol sa mga kondisyon sa pagtatrabaho.
* **Mangolekta ng Mga Flyer o Brochure:** Kumuh"&amp;"a ng mga larawan o mangolekta ng anumang mga materyales sa pangangalap na kanilang ipinamamahagi. **Paglaganap ng Kamalayan:**
* **Public Awareness:** Itaas ang kamalayan sa mga potensyal na biktima sa pamamagitan ng pagbabahagi ng impormasyon tungkol sa "&amp;"trafficking ng mga red flag at mapagkukunang available sa kanila. * **Social Media:** Gumamit ng mga platform ng social media upang balaan ang iba tungkol sa kahina-hinalang ahensya, ngunit iwasang magbunyag ng personal na nakakapagpakilalang impormasyon "&amp;"tungkol sa mga potensyal na biktima.
**Ano ang Dapat Iwasan:**
* **Direktang Pagharap:** Huwag direktang harapin ang ahensya. Ipaubaya sa awtoridad ang imbestigasyon.
* **Pagbabahagi ng Hindi Na-verify na Impormasyon:** Iwasan ang pagkalat ng mga tsismis "&amp;"o hindi na-verify na impormasyon. Tumutok sa pag-uulat ng mga katotohanan at kahina-hinalang gawi na iyong naobserbahan.
**Pagsisiyasat ng Pamahalaan:**
* **IACAT o POEA Investigation:** Ang mga awtoridad ay mag-iimbestiga sa ahensya batay sa iyong ulat a"&amp;"t anumang ebidensya na iyong ibibigay. Maaaring kabilang dito ang mga inspeksyon, panayam sa kawani ng ahensya, at pagpapatunay ng mga alok na trabaho.
* **Mga Legal na Bunga:** Kung ang pagsisiyasat ay nagbubunyag ng mga aktibidad ng trafficking, ang ahe"&amp;"nsya ay maaaring humarap sa mga legal na kahihinatnan, kabilang ang pagbawi ng lisensya at mga kasong kriminal laban sa mga may-ari o operator.
**Mga Karagdagang Mapagkukunan:**
* **NGOs:** Kumonekta sa mga NGO na dalubhasa sa mga pagsisikap laban sa traf"&amp;"ficking. Maaari silang magbigay ng karagdagang gabay at suporta sa buong proseso.
**Tandaan:** * Ang iyong pagbabantay ay maaaring makatulong na maiwasan ang mga potensyal na sitwasyon ng trafficking.
* Magbigay ng tumpak na impormasyon at hayaan ang mga "&amp;"awtoridad na pangasiwaan ang imbestigasyon.
Sa pamamagitan ng pag-uulat ng iyong mga alalahanin at pakikipagtulungan sa mga may-katuturang awtoridad, maaari mong gampanan ang isang mahalagang papel sa paglaban sa human trafficking at pagprotekta sa mga ma"&amp;"hihinang indibidwal mula sa pagsasamantala.")</f>
        <v>Kung makatagpo ka ng kahina-hinalang ahensya ng recruitment na posibleng sangkot sa human trafficking, narito ang ilang legal na aksyon na maaari mong gawin upang imbestigahan at matugunan ang sitwasyon:
**Pag-uulat sa Ahensya:**
* **Mga Awtoridad:** Iulat ang iyong mga alalahanin sa Inter-Agency Council Against Trafficking (IACAT). Ang IACAT ay isang katawan ng gobyerno ng Pilipinas na may tungkulin sa pag-uugnay ng mga pagsisikap laban sa trafficking. Maaari kang mag-ulat online sa pamamagitan ng kanilang website ([https://iacat.gov.ph/](https://iacat.gov.ph/)) o sa pamamagitan ng pagtawag sa kanilang hotline (1343).
* **Philippine Overseas Employment Administration (POEA):** Kung ang ahensya ay nakatutok sa overseas recruitment, iulat ito sa POEA. Kinokontrol nila ang mga ahensya ng recruitment at sinisiyasat ang mga potensyal na paglabag.
**Pagtitipon ng Ebidensya:**
* **Mga Detalye ng Dokumento:** Itala ang mga detalye tungkol sa ahensya, tulad ng kanilang pangalan, address, impormasyon sa pakikipag-ugnayan, at website (kung mayroon sila nito).
* **Mga Kahina-hinalang Kasanayan:** Idokumento ang anumang partikular na kagawian na nagpapataas ng mga pulang bandila, tulad ng:
* Hindi makatotohanang mga pangako ng suweldo para sa mga trabahong mababa ang kasanayan sa ibang bansa.
* Nangangailangan ng labis na bayad sa paglalagay o pagkumpiska ng pasaporte.
* Malabong paglalarawan ng trabaho o kawalan ng transparency tungkol sa mga kondisyon sa pagtatrabaho.
* **Mangolekta ng Mga Flyer o Brochure:** Kumuha ng mga larawan o mangolekta ng anumang mga materyales sa pangangalap na kanilang ipinamamahagi. **Paglaganap ng Kamalayan:**
* **Public Awareness:** Itaas ang kamalayan sa mga potensyal na biktima sa pamamagitan ng pagbabahagi ng impormasyon tungkol sa trafficking ng mga red flag at mapagkukunang available sa kanila. * **Social Media:** Gumamit ng mga platform ng social media upang balaan ang iba tungkol sa kahina-hinalang ahensya, ngunit iwasang magbunyag ng personal na nakakapagpakilalang impormasyon tungkol sa mga potensyal na biktima.
**Ano ang Dapat Iwasan:**
* **Direktang Pagharap:** Huwag direktang harapin ang ahensya. Ipaubaya sa awtoridad ang imbestigasyon.
* **Pagbabahagi ng Hindi Na-verify na Impormasyon:** Iwasan ang pagkalat ng mga tsismis o hindi na-verify na impormasyon. Tumutok sa pag-uulat ng mga katotohanan at kahina-hinalang gawi na iyong naobserbahan.
**Pagsisiyasat ng Pamahalaan:**
* **IACAT o POEA Investigation:** Ang mga awtoridad ay mag-iimbestiga sa ahensya batay sa iyong ulat at anumang ebidensya na iyong ibibigay. Maaaring kabilang dito ang mga inspeksyon, panayam sa kawani ng ahensya, at pagpapatunay ng mga alok na trabaho.
* **Mga Legal na Bunga:** Kung ang pagsisiyasat ay nagbubunyag ng mga aktibidad ng trafficking, ang ahensya ay maaaring humarap sa mga legal na kahihinatnan, kabilang ang pagbawi ng lisensya at mga kasong kriminal laban sa mga may-ari o operator.
**Mga Karagdagang Mapagkukunan:**
* **NGOs:** Kumonekta sa mga NGO na dalubhasa sa mga pagsisikap laban sa trafficking. Maaari silang magbigay ng karagdagang gabay at suporta sa buong proseso.
**Tandaan:** * Ang iyong pagbabantay ay maaaring makatulong na maiwasan ang mga potensyal na sitwasyon ng trafficking.
* Magbigay ng tumpak na impormasyon at hayaan ang mga awtoridad na pangasiwaan ang imbestigasyon.
Sa pamamagitan ng pag-uulat ng iyong mga alalahanin at pakikipagtulungan sa mga may-katuturang awtoridad, maaari mong gampanan ang isang mahalagang papel sa paglaban sa human trafficking at pagprotekta sa mga mahihinang indibidwal mula sa pagsasamantala.</v>
      </c>
      <c r="F2600" s="2">
        <f t="shared" si="1"/>
        <v>0</v>
      </c>
      <c r="G2600" s="2"/>
      <c r="H2600" s="2"/>
      <c r="I2600" s="2"/>
      <c r="J2600" s="2"/>
      <c r="K2600" s="2"/>
      <c r="L2600" s="2"/>
      <c r="M2600" s="2"/>
      <c r="N2600" s="2"/>
      <c r="O2600" s="2"/>
      <c r="P2600" s="2"/>
      <c r="Q2600" s="2"/>
      <c r="R2600" s="2"/>
      <c r="S2600" s="2"/>
      <c r="T2600" s="2"/>
      <c r="U2600" s="2"/>
      <c r="V2600" s="2"/>
      <c r="W2600" s="2"/>
      <c r="X2600" s="2"/>
      <c r="Y2600" s="2"/>
      <c r="Z2600" s="2"/>
      <c r="AA2600" s="2"/>
    </row>
    <row r="2601">
      <c r="A2601" s="3" t="s">
        <v>6112</v>
      </c>
      <c r="B2601" s="1" t="s">
        <v>6171</v>
      </c>
      <c r="C2601" s="1" t="s">
        <v>6172</v>
      </c>
      <c r="D2601" s="2" t="str">
        <f>IFERROR(__xludf.DUMMYFUNCTION("GOOGLETRANSLATE(B2601, ""en"", ""TL"")"),"Isang bata ang nailigtas mula sa human trafficking, at ang mga miyembro ng kanilang pamilya ay pinaghihinalaang may kinalaman. Anong mga legal na hakbang ang maaaring gawin upang maprotektahan ang bata at matugunan ang tungkulin ng pamilya?")</f>
        <v>Isang bata ang nailigtas mula sa human trafficking, at ang mga miyembro ng kanilang pamilya ay pinaghihinalaang may kinalaman. Anong mga legal na hakbang ang maaaring gawin upang maprotektahan ang bata at matugunan ang tungkulin ng pamilya?</v>
      </c>
      <c r="E2601" s="2" t="str">
        <f>IFERROR(__xludf.DUMMYFUNCTION("GOOGLETRANSLATE(C2601, ""en"", ""TL"")"),"Narito kung paano maaaring gawin ang mga legal na hakbang upang maprotektahan ang nailigtas na bata at matugunan ang hinihinalang pagkakasangkot ng pamilya sa human trafficking sa Pilipinas:
**Pagpapahalaga sa Kagalingan ng Bata:**
* **Emerhensiyang Panga"&amp;"ngalaga:** Ang mga agarang pangangailangan ng bata ay higit sa lahat. Makakatanggap sila ng medikal na atensyon, suportang sikolohikal, at ligtas na akomodasyon sa pasilidad ng pangangalaga ng bata o kinalalagyan ng foster care.
* **Pagsusuri sa Mga Pinak"&amp;"amahusay na Interes:** Ang mga social worker ay magsasagawa ng pagtatasa upang matukoy ang pinakamabuting interes ng bata. Maaaring kabilang dito ang pagsasaalang-alang sa kaligtasan ng bata, background ng pamilya, emosyonal na kagalingan, at potensyal pa"&amp;"ra sa muling pagsasama sa isang ligtas at sumusuportang miyembro ng pamilya.
**Pagsisiyasat sa Paglahok ng Pamilya:**
* **Fact-Finding:** Ang pagpapatupad ng batas ay magsasagawa ng masusing pagsisiyasat upang matukoy ang lawak ng pagkakasangkot ng pamily"&amp;"a. Maaaring kabilang dito ang:
* Pakikipagpanayam sa bata at mga miyembro ng pamilya * Pagsusuri ng mga rekord sa pananalapi o ebidensya ng komunikasyon
* Paghahanap ng impormasyon mula sa mga kapitbahay o iba pang mga indibidwal na maaaring may kaalaman "&amp;"sa sitwasyon.
**Mga Legal na Pagsasaalang-alang:**
* **Innocence Hanggang Mapatunayang Nagkasala:** Ang mga miyembro ng pamilya ay ipinapalagay na inosente hanggang sa napatunayang nagkasala. Ang pagsisiyasat ay tutukuyin kung mayroong sapat na ebidensya "&amp;"para magsampa ng mga kaso.
**Potensyal na Singilin:**
* **Trafficking in Persons:** Kung ang mga miyembro ng pamilya ay sadyang lumahok sa trafficking ng bata, mahaharap sila sa mga kaso sa ilalim ng RA 9208.
* **Child Abuse o Neglect:** Kung pinabayaan o"&amp;" pang-aabuso ng pamilya ang bata, maaari silang makasuhan sa ilalim ng Republic Act No. 7610 o ang Special Protection of Children Against Abuse, Exploitation and Discrimination Act (SPCAD).
* **Iba Pang Mga Singil:** Depende sa mga detalye, maaaring isaal"&amp;"ang-alang ang iba pang mga singil tulad ng child endangerment o illegal recruitment.
**Pagtugon sa Sitwasyon ng Pamilya:**
* **Mga Programa sa Rehabilitasyon:** Kung ang mga miyembro ng pamilya ay pinilit o minanipula sa trafficking ang bata, ang mga prog"&amp;"rama sa rehabilitasyon ay maaaring ialok upang matugunan ang kanilang mga kahinaan at maiwasan ang paglahok sa hinaharap sa mga aktibidad ng trafficking.
* **Pagkawala ng Mga Karapatan ng Magulang:** Kung ang pagsisiyasat ay nagpapakita na ang pamilya ay "&amp;"nagdudulot ng patuloy na banta sa kaligtasan ng bata, ang legal na aksyon upang wakasan ang mga karapatan ng magulang ay maaaring kailanganin. Ito ay magpapahintulot sa bata na mailagay para sa pag-aampon o permanenteng pangangalaga sa isang ligtas at map"&amp;"agmahal na pamilya.
**Pagprotekta sa Pagkakakilanlan ng Bata:**
* **Pagiging Kumpidensyal:** Ang pagkakakilanlan ng bata at mga detalye ng kaso ay pananatiling kumpidensyal upang maprotektahan sila mula sa karagdagang pinsala o panlipunang stigma.
**Kahal"&amp;"agahan ng Pakikipagtulungan:**
* **Inter-Agency Cooperation:** Ang pakikipagtulungan sa pagitan ng mga tagapagpatupad ng batas, mga serbisyong panlipunan, mga ahensya ng proteksyon ng bata, at mga legal na propesyonal ay mahalaga upang matiyak ang kaligta"&amp;"san at kagalingan ng bata, habang pinapanagot ang mga may kasalanan.
* **Suporta para sa Bata:** Magbigay ng access sa trauma-informed therapy, mga pagkakataong pang-edukasyon, at pagsasanay sa mga kasanayan sa buhay upang matulungan ang bata na gumaling "&amp;"at bumuo ng isang ligtas na kinabukasan.
**Tandaan:** * Ang kaligtasan at kapakanan ng bata ang mga pangunahing priyoridad.
* Ang mga kumplikado ay lumitaw kapag ang pamilya ay kasangkot. Ang isang masusing pagsisiyasat ay kailangan upang matukoy ang lawa"&amp;"k ng kanilang pagkakasangkot at ang pinakaangkop na paraan ng pagkilos.
Sa pamamagitan ng pagsasagawa ng mga legal na hakbang na ito, pagtiyak sa proteksyon ng biktima, at pagpapatibay ng pakikipagtulungan sa pagitan ng iba't ibang ahensya, matutugunan ng"&amp;" mga awtoridad ang sitwasyon ng trafficking at mapangalagaan ang kinabukasan ng nailigtas na bata.")</f>
        <v>Narito kung paano maaaring gawin ang mga legal na hakbang upang maprotektahan ang nailigtas na bata at matugunan ang hinihinalang pagkakasangkot ng pamilya sa human trafficking sa Pilipinas:
**Pagpapahalaga sa Kagalingan ng Bata:**
* **Emerhensiyang Pangangalaga:** Ang mga agarang pangangailangan ng bata ay higit sa lahat. Makakatanggap sila ng medikal na atensyon, suportang sikolohikal, at ligtas na akomodasyon sa pasilidad ng pangangalaga ng bata o kinalalagyan ng foster care.
* **Pagsusuri sa Mga Pinakamahusay na Interes:** Ang mga social worker ay magsasagawa ng pagtatasa upang matukoy ang pinakamabuting interes ng bata. Maaaring kabilang dito ang pagsasaalang-alang sa kaligtasan ng bata, background ng pamilya, emosyonal na kagalingan, at potensyal para sa muling pagsasama sa isang ligtas at sumusuportang miyembro ng pamilya.
**Pagsisiyasat sa Paglahok ng Pamilya:**
* **Fact-Finding:** Ang pagpapatupad ng batas ay magsasagawa ng masusing pagsisiyasat upang matukoy ang lawak ng pagkakasangkot ng pamilya. Maaaring kabilang dito ang:
* Pakikipagpanayam sa bata at mga miyembro ng pamilya * Pagsusuri ng mga rekord sa pananalapi o ebidensya ng komunikasyon
* Paghahanap ng impormasyon mula sa mga kapitbahay o iba pang mga indibidwal na maaaring may kaalaman sa sitwasyon.
**Mga Legal na Pagsasaalang-alang:**
* **Innocence Hanggang Mapatunayang Nagkasala:** Ang mga miyembro ng pamilya ay ipinapalagay na inosente hanggang sa napatunayang nagkasala. Ang pagsisiyasat ay tutukuyin kung mayroong sapat na ebidensya para magsampa ng mga kaso.
**Potensyal na Singilin:**
* **Trafficking in Persons:** Kung ang mga miyembro ng pamilya ay sadyang lumahok sa trafficking ng bata, mahaharap sila sa mga kaso sa ilalim ng RA 9208.
* **Child Abuse o Neglect:** Kung pinabayaan o pang-aabuso ng pamilya ang bata, maaari silang makasuhan sa ilalim ng Republic Act No. 7610 o ang Special Protection of Children Against Abuse, Exploitation and Discrimination Act (SPCAD).
* **Iba Pang Mga Singil:** Depende sa mga detalye, maaaring isaalang-alang ang iba pang mga singil tulad ng child endangerment o illegal recruitment.
**Pagtugon sa Sitwasyon ng Pamilya:**
* **Mga Programa sa Rehabilitasyon:** Kung ang mga miyembro ng pamilya ay pinilit o minanipula sa trafficking ang bata, ang mga programa sa rehabilitasyon ay maaaring ialok upang matugunan ang kanilang mga kahinaan at maiwasan ang paglahok sa hinaharap sa mga aktibidad ng trafficking.
* **Pagkawala ng Mga Karapatan ng Magulang:** Kung ang pagsisiyasat ay nagpapakita na ang pamilya ay nagdudulot ng patuloy na banta sa kaligtasan ng bata, ang legal na aksyon upang wakasan ang mga karapatan ng magulang ay maaaring kailanganin. Ito ay magpapahintulot sa bata na mailagay para sa pag-aampon o permanenteng pangangalaga sa isang ligtas at mapagmahal na pamilya.
**Pagprotekta sa Pagkakakilanlan ng Bata:**
* **Pagiging Kumpidensyal:** Ang pagkakakilanlan ng bata at mga detalye ng kaso ay pananatiling kumpidensyal upang maprotektahan sila mula sa karagdagang pinsala o panlipunang stigma.
**Kahalagahan ng Pakikipagtulungan:**
* **Inter-Agency Cooperation:** Ang pakikipagtulungan sa pagitan ng mga tagapagpatupad ng batas, mga serbisyong panlipunan, mga ahensya ng proteksyon ng bata, at mga legal na propesyonal ay mahalaga upang matiyak ang kaligtasan at kagalingan ng bata, habang pinapanagot ang mga may kasalanan.
* **Suporta para sa Bata:** Magbigay ng access sa trauma-informed therapy, mga pagkakataong pang-edukasyon, at pagsasanay sa mga kasanayan sa buhay upang matulungan ang bata na gumaling at bumuo ng isang ligtas na kinabukasan.
**Tandaan:** * Ang kaligtasan at kapakanan ng bata ang mga pangunahing priyoridad.
* Ang mga kumplikado ay lumitaw kapag ang pamilya ay kasangkot. Ang isang masusing pagsisiyasat ay kailangan upang matukoy ang lawak ng kanilang pagkakasangkot at ang pinakaangkop na paraan ng pagkilos.
Sa pamamagitan ng pagsasagawa ng mga legal na hakbang na ito, pagtiyak sa proteksyon ng biktima, at pagpapatibay ng pakikipagtulungan sa pagitan ng iba't ibang ahensya, matutugunan ng mga awtoridad ang sitwasyon ng trafficking at mapangalagaan ang kinabukasan ng nailigtas na bata.</v>
      </c>
      <c r="F2601" s="2">
        <f t="shared" si="1"/>
        <v>0</v>
      </c>
      <c r="G2601" s="2"/>
      <c r="H2601" s="2"/>
      <c r="I2601" s="2"/>
      <c r="J2601" s="2"/>
      <c r="K2601" s="2"/>
      <c r="L2601" s="2"/>
      <c r="M2601" s="2"/>
      <c r="N2601" s="2"/>
      <c r="O2601" s="2"/>
      <c r="P2601" s="2"/>
      <c r="Q2601" s="2"/>
      <c r="R2601" s="2"/>
      <c r="S2601" s="2"/>
      <c r="T2601" s="2"/>
      <c r="U2601" s="2"/>
      <c r="V2601" s="2"/>
      <c r="W2601" s="2"/>
      <c r="X2601" s="2"/>
      <c r="Y2601" s="2"/>
      <c r="Z2601" s="2"/>
      <c r="AA2601" s="2"/>
    </row>
    <row r="2602">
      <c r="A2602" s="3" t="s">
        <v>6112</v>
      </c>
      <c r="B2602" s="1" t="s">
        <v>6173</v>
      </c>
      <c r="C2602" s="1" t="s">
        <v>6174</v>
      </c>
      <c r="D2602" s="2" t="str">
        <f>IFERROR(__xludf.DUMMYFUNCTION("GOOGLETRANSLATE(B2602, ""en"", ""TL"")"),"Ang isang trafficker ay nahuli sa akto ng pagdadala ng mga biktima sa mga hangganan. Anong mga legal na kahihinatnan ang dapat kasunod ng pag-aresto?")</f>
        <v>Ang isang trafficker ay nahuli sa akto ng pagdadala ng mga biktima sa mga hangganan. Anong mga legal na kahihinatnan ang dapat kasunod ng pag-aresto?</v>
      </c>
      <c r="E2602" s="2" t="str">
        <f>IFERROR(__xludf.DUMMYFUNCTION("GOOGLETRANSLATE(C2602, ""en"", ""TL"")"),"Kung ang isang trafficker ay nahuli sa akto ng pagdadala ng mga biktima sa mga hangganan, nahaharap sila ng malalaking legal na kahihinatnan sa Pilipinas. Narito ang maaaring mangyari:
**Mga Agarang Pagkilos:**
* **Pag-aresto at Detensyon:** Aarestuhin ng"&amp;" mga nagpapatupad ng batas ang trafficker at dadalhin sila sa kustodiya.
* **Pagsagip ng Biktima:** Ang pangunahing alalahanin ay ang pagliligtas sa mga biktima at pagtiyak ng kanilang kaligtasan. Aalisin sila sa sitwasyon ng trafficking at tatanggap ng a"&amp;"garang medikal na atensyon at suporta kung kinakailangan.
* **Pagtitipon ng Ebidensya:** Ang pagpapatupad ng batas ay mangongolekta ng ebidensya sa pinangyarihan, gaya ng mga dokumento sa paglalakbay, mga aparatong pangkomunikasyon, at mga potensyal na pa"&amp;"latandaan ng pamimilit (hal., mga pagpigil, mga nakumpiskang pasaporte).
**Potensyal na Singilin:**
Ang trafficker ay malamang na mahaharap sa mga kaso sa ilalim ng Anti-Trafficking in Persons Act (RA 9208):
* **Trafficking in Persons:** Ito ang pangunahi"&amp;"ng paglabag, na may malalaking parusa depende sa edad ng biktima at sa mga partikular na pangyayari. Ang mga parusa ay mula sa habambuhay na pagkakakulong hanggang sa mahabang panahon ng pagkakulong.
* **Illegal Recruitment:** Kung ang trafficker ay nag-r"&amp;"ecruit ng mga biktima gamit ang mga maling pangako o mapanlinlang na paraan, maaari silang maharap sa mga karagdagang singil para sa ilegal na pangangalap.
* **Pagkulong o Paghahatid:** Ang pagkilos ng pagdadala ng mga biktima sa mga hangganan mismo ay bu"&amp;"mubuo ng isang krimen sa ilalim ng RA 9208.
**Mga Karagdagang Singilin:**
Depende sa mga partikular na pangyayari, maaaring isaalang-alang ang iba pang mga singil:
* **Sapilitang Paggawa:** Kung ang mga biktima ay itinadhana para sa sapilitang paggawa, an"&amp;"g trafficker ay maaaring maharap sa karagdagang mga singil na may kaugnayan sa mga paglabag sa sapilitang paggawa.
* **Sex Trafficking:** Kung ang mga biktima ay na-traffic para sa sekswal na pagsasamantala, ang mga karagdagang singil na nauugnay sa sex t"&amp;"rafficking ay maaaring ituloy.
* **Ilegal na Detensyon:** Kung ang mga biktima ay pinigilan o ang kanilang kalayaan sa paggalaw ay pinaghigpitan, ito ay maaaring ituring na ilegal na pagkulong.
**Pagsisiyasat at Pag-uusig:**
* **Pagsisiyasat:** Ang tagapa"&amp;"gpatupad ng batas ay magsasagawa ng masusing pagsisiyasat upang mangalap ng ebidensya, makapanayam ng mga saksi, at maitatag ang buong saklaw ng operasyon ng trafficking.
* **Pag-uusig:** Ang kaso ay ihaharap sa tanggapan ng tagausig para sa pagsusuri at "&amp;"potensyal na pagsasampa ng mga pormal na kaso laban sa trafficker. Makikipagtulungan ang tagausig sa pagpapatupad ng batas upang bumuo ng isang malakas na kaso.
**Internasyonal na Kooperasyon:**
* **Foreign Nationals Involved:** Kung ang mga biktima o ang"&amp;" destinasyong bansa ay nasa labas ng Pilipinas, maaaring kailanganin ng mga awtoridad na makipagtulungan sa mga dayuhang ahensyang nagpapatupad ng batas upang mapadali ang pagpapauwi ng biktima, magbigay ng tulong sa testigo, at posibleng maghabol ng mga "&amp;"karagdagang kaso sa ibang mga hurisdiksyon.
**Mga Kinalabasan at Bunga:**
* **Paglilitis at Pagsentensiya:** Kung napatunayang nagkasala, haharapin ng trafficker ang mga parusang nakabalangkas sa ilalim ng RA 9208 at posibleng iba pang naaangkop na batas."&amp;" Ang mga parusang ito ay maaaring malubha at nilayon upang hadlangan ang human trafficking.
* **Pagbawi ng Biktima:** Ang mga biktima ay makakatanggap ng mga serbisyo ng suporta upang matulungan silang makabangon mula sa trauma ng karanasan at muling maka"&amp;"sama sa lipunan.
* **Pagkagambala sa Trafficking Ring:** Ang pagdakip sa isang trafficker sa akto ay maaaring humantong sa pagbuwag sa isang mas malaking operasyon ng trafficking. Maaaring gamitin ng tagapagpatupad ng batas ang impormasyong nakalap upang "&amp;"makilala ang iba pang mga salarin at biktima.
**Kahalagahan ng Ebidensya:**
Ang isang malakas na kaso ay nakasalalay sa pag-secure at pag-iingat ng ebidensya. Kabilang dito ang:
* Mga testimonya ng biktima (kung kaya at handang ibigay nila)
* Mga pahayag "&amp;"ng saksi mula sa sinumang nakakita sa mga aktibidad ng trafficking
* Mga dokumento sa paglalakbay at pagkakakilanlan ng mga biktima at trafficker
* Mga rekord sa pananalapi o mga talaan ng komunikasyon na nag-uugnay sa trafficker sa mga biktima
* Pisikal "&amp;"na ebidensya mula sa pinangyarihan ng pag-aresto (hal., mga pagpigil, nakumpiska na mga pasaporte)
Sa pamamagitan ng pagdakip sa isang trafficker sa akto at pagkolekta ng matibay na ebidensiya, ang mga awtoridad ng Pilipinas ay maaaring maghatid ng malaki"&amp;"ng dagok sa mga operasyon ng human trafficking at panagutin ang mga may kasalanan para sa kanilang matitinding krimen.")</f>
        <v>Kung ang isang trafficker ay nahuli sa akto ng pagdadala ng mga biktima sa mga hangganan, nahaharap sila ng malalaking legal na kahihinatnan sa Pilipinas. Narito ang maaaring mangyari:
**Mga Agarang Pagkilos:**
* **Pag-aresto at Detensyon:** Aarestuhin ng mga nagpapatupad ng batas ang trafficker at dadalhin sila sa kustodiya.
* **Pagsagip ng Biktima:** Ang pangunahing alalahanin ay ang pagliligtas sa mga biktima at pagtiyak ng kanilang kaligtasan. Aalisin sila sa sitwasyon ng trafficking at tatanggap ng agarang medikal na atensyon at suporta kung kinakailangan.
* **Pagtitipon ng Ebidensya:** Ang pagpapatupad ng batas ay mangongolekta ng ebidensya sa pinangyarihan, gaya ng mga dokumento sa paglalakbay, mga aparatong pangkomunikasyon, at mga potensyal na palatandaan ng pamimilit (hal., mga pagpigil, mga nakumpiskang pasaporte).
**Potensyal na Singilin:**
Ang trafficker ay malamang na mahaharap sa mga kaso sa ilalim ng Anti-Trafficking in Persons Act (RA 9208):
* **Trafficking in Persons:** Ito ang pangunahing paglabag, na may malalaking parusa depende sa edad ng biktima at sa mga partikular na pangyayari. Ang mga parusa ay mula sa habambuhay na pagkakakulong hanggang sa mahabang panahon ng pagkakulong.
* **Illegal Recruitment:** Kung ang trafficker ay nag-recruit ng mga biktima gamit ang mga maling pangako o mapanlinlang na paraan, maaari silang maharap sa mga karagdagang singil para sa ilegal na pangangalap.
* **Pagkulong o Paghahatid:** Ang pagkilos ng pagdadala ng mga biktima sa mga hangganan mismo ay bumubuo ng isang krimen sa ilalim ng RA 9208.
**Mga Karagdagang Singilin:**
Depende sa mga partikular na pangyayari, maaaring isaalang-alang ang iba pang mga singil:
* **Sapilitang Paggawa:** Kung ang mga biktima ay itinadhana para sa sapilitang paggawa, ang trafficker ay maaaring maharap sa karagdagang mga singil na may kaugnayan sa mga paglabag sa sapilitang paggawa.
* **Sex Trafficking:** Kung ang mga biktima ay na-traffic para sa sekswal na pagsasamantala, ang mga karagdagang singil na nauugnay sa sex trafficking ay maaaring ituloy.
* **Ilegal na Detensyon:** Kung ang mga biktima ay pinigilan o ang kanilang kalayaan sa paggalaw ay pinaghigpitan, ito ay maaaring ituring na ilegal na pagkulong.
**Pagsisiyasat at Pag-uusig:**
* **Pagsisiyasat:** Ang tagapagpatupad ng batas ay magsasagawa ng masusing pagsisiyasat upang mangalap ng ebidensya, makapanayam ng mga saksi, at maitatag ang buong saklaw ng operasyon ng trafficking.
* **Pag-uusig:** Ang kaso ay ihaharap sa tanggapan ng tagausig para sa pagsusuri at potensyal na pagsasampa ng mga pormal na kaso laban sa trafficker. Makikipagtulungan ang tagausig sa pagpapatupad ng batas upang bumuo ng isang malakas na kaso.
**Internasyonal na Kooperasyon:**
* **Foreign Nationals Involved:** Kung ang mga biktima o ang destinasyong bansa ay nasa labas ng Pilipinas, maaaring kailanganin ng mga awtoridad na makipagtulungan sa mga dayuhang ahensyang nagpapatupad ng batas upang mapadali ang pagpapauwi ng biktima, magbigay ng tulong sa testigo, at posibleng maghabol ng mga karagdagang kaso sa ibang mga hurisdiksyon.
**Mga Kinalabasan at Bunga:**
* **Paglilitis at Pagsentensiya:** Kung napatunayang nagkasala, haharapin ng trafficker ang mga parusang nakabalangkas sa ilalim ng RA 9208 at posibleng iba pang naaangkop na batas. Ang mga parusang ito ay maaaring malubha at nilayon upang hadlangan ang human trafficking.
* **Pagbawi ng Biktima:** Ang mga biktima ay makakatanggap ng mga serbisyo ng suporta upang matulungan silang makabangon mula sa trauma ng karanasan at muling makasama sa lipunan.
* **Pagkagambala sa Trafficking Ring:** Ang pagdakip sa isang trafficker sa akto ay maaaring humantong sa pagbuwag sa isang mas malaking operasyon ng trafficking. Maaaring gamitin ng tagapagpatupad ng batas ang impormasyong nakalap upang makilala ang iba pang mga salarin at biktima.
**Kahalagahan ng Ebidensya:**
Ang isang malakas na kaso ay nakasalalay sa pag-secure at pag-iingat ng ebidensya. Kabilang dito ang:
* Mga testimonya ng biktima (kung kaya at handang ibigay nila)
* Mga pahayag ng saksi mula sa sinumang nakakita sa mga aktibidad ng trafficking
* Mga dokumento sa paglalakbay at pagkakakilanlan ng mga biktima at trafficker
* Mga rekord sa pananalapi o mga talaan ng komunikasyon na nag-uugnay sa trafficker sa mga biktima
* Pisikal na ebidensya mula sa pinangyarihan ng pag-aresto (hal., mga pagpigil, nakumpiska na mga pasaporte)
Sa pamamagitan ng pagdakip sa isang trafficker sa akto at pagkolekta ng matibay na ebidensiya, ang mga awtoridad ng Pilipinas ay maaaring maghatid ng malaking dagok sa mga operasyon ng human trafficking at panagutin ang mga may kasalanan para sa kanilang matitinding krimen.</v>
      </c>
      <c r="F2602" s="2">
        <f t="shared" si="1"/>
        <v>0</v>
      </c>
      <c r="G2602" s="2"/>
      <c r="H2602" s="2"/>
      <c r="I2602" s="2"/>
      <c r="J2602" s="2"/>
      <c r="K2602" s="2"/>
      <c r="L2602" s="2"/>
      <c r="M2602" s="2"/>
      <c r="N2602" s="2"/>
      <c r="O2602" s="2"/>
      <c r="P2602" s="2"/>
      <c r="Q2602" s="2"/>
      <c r="R2602" s="2"/>
      <c r="S2602" s="2"/>
      <c r="T2602" s="2"/>
      <c r="U2602" s="2"/>
      <c r="V2602" s="2"/>
      <c r="W2602" s="2"/>
      <c r="X2602" s="2"/>
      <c r="Y2602" s="2"/>
      <c r="Z2602" s="2"/>
      <c r="AA2602" s="2"/>
    </row>
    <row r="2603">
      <c r="A2603" s="3" t="s">
        <v>6112</v>
      </c>
      <c r="B2603" s="1" t="s">
        <v>6175</v>
      </c>
      <c r="C2603" s="1" t="s">
        <v>6176</v>
      </c>
      <c r="D2603" s="2" t="str">
        <f>IFERROR(__xludf.DUMMYFUNCTION("GOOGLETRANSLATE(B2603, ""en"", ""TL"")"),"Isa kang tagausig na humahawak ng kaso ng human trafficking. Anong mga legal na hamon ang maaaring lumitaw sa panahon ng pag-uusig, at paano sila matutugunan?")</f>
        <v>Isa kang tagausig na humahawak ng kaso ng human trafficking. Anong mga legal na hamon ang maaaring lumitaw sa panahon ng pag-uusig, at paano sila matutugunan?</v>
      </c>
      <c r="E2603" s="2" t="str">
        <f>IFERROR(__xludf.DUMMYFUNCTION("GOOGLETRANSLATE(C2603, ""en"", ""TL"")"),"Bilang isang tagausig na humahawak sa isang kaso ng human trafficking, malamang na makakatagpo ka ng ilang legal na hamon. Narito ang ilang karaniwan at kung paano mo matutugunan ang mga ito:
**Mga Hamon na Kaugnay ng Ebidensya:**
* **Pag-aatubili ng Bikt"&amp;"ima na Magpatotoo:** Gaya ng napag-usapan dati, maaaring mag-alinlangan ang mga biktima na tumestigo dahil sa takot sa paghihiganti o trauma. Gamitin ang mga estratehiyang binanggit kanina, gaya ng mga programa sa proteksyon ng saksi, alternatibong paraan"&amp;" ng patotoo, at pagbuo ng tiwala upang hikayatin ang kanilang kooperasyon. * **Hirap Makakuha ng Ebidensya:** Ang mga trafficker ay madalas na nagpapatakbo nang palihim. Maaaring maging mahirap ang pangangalap ng ebidensya, lalo na sa mga kaso na kinasasa"&amp;"ngkutan ng sapilitang paggawa kung saan ang mga biktima ay maaaring hindi umalis sa kanilang lugar ng trabaho o may limitadong access sa komunikasyon. Maaari mong tugunan ito sa pamamagitan ng:
* Pag-isyu ng mga search warrant para sa mga electronic devic"&amp;"e o mga rekord ng negosyo.
* Pagkuha ng mga testimonya ng saksi mula sa mga indibidwal na maaaring nakakita ng kahina-hinalang aktibidad (mga kapitbahay, katrabaho).
* Paggamit ng mga rekord sa pananalapi upang subaybayan ang mga paglilipat ng pera o mga "&amp;"pagbabayad sa mga trafficker.
**Mga Legal na Hamon:**
* **Pagpapatunay na Pagpipilit:** Ang isang mahalagang elemento ng human trafficking ay ang pagtatatag ng paggamit ng puwersa, pandaraya, o pamimilit. Kakailanganin mong magpakita ng ebidensya na nagpa"&amp;"pakita ng kawalan ng malayang pagpapasya at kontrol ng biktima sa kanilang sitwasyon. Maaaring may kasama itong ebidensya ng mga pagbabanta, pagkaalipin sa utang, paghihigpit sa paggalaw, o pisikal na pang-aabuso.
* **Pagpapatunay ng Kaalaman o Layunin:**"&amp;" Sa ilang mga kaso, depende sa mga partikular na singil, maaaring kailanganin mong patunayan na alam ng nasasakdal na siya ay sangkot sa trafficking o sadyang nakinabang mula sa pagsasamantala sa biktima. Maingat na pag-aralan ang mga talaan ng komunikasy"&amp;"on, mga transaksyon sa pananalapi, o mga patotoo ng saksi na nagtatatag ng kamalayan ng nasasakdal sa sitwasyon.
**Iba pang mga Hamon:**
* **Mga Komplikado ng International Trafficking:** Kung ang kaso ay nagsasangkot ng cross-border trafficking, ang mga "&amp;"legal na pamamaraan ay magiging mas kumplikado. Kakailanganin mong mag-navigate sa internasyonal na pakikipagtulungan sa pagpapatupad ng batas at mga legal na sistema ng ibang mga bansang kasangkot.
* **Mahahabang Pagsubok:** Ang mga kaso ng human traffic"&amp;"king ay maaaring mahaba dahil sa mga kumplikadong legal na isyu at pagsasaalang-alang ng saksi. Maging handa para sa mahabang paghakot at tiyaking mananatiling available ang mga serbisyo ng suporta sa biktima sa buong proseso.
**Mga Diskarte para sa Pagta"&amp;"gumpayan ng mga Hamon:**
* **Malakas na Pagbuo ng Kaso:** Ang masusing pagsisiyasat at isang handang kaso na may malinaw na legal na teorya ay mahalaga. * **Pagtutulungan:** Makipagtulungan nang malapit sa mga tagapagpatupad ng batas, mga serbisyo ng supo"&amp;"rta sa biktima, at mga potensyal na opisyal ng imigrasyon (kung ang kaso ay may kinalaman sa mga dayuhang mamamayan) upang bumuo ng isang malakas na kaso.
* **Trauma-Informed Approach:** Kilalanin ang trauma ng biktima at hawakan sila nang may sensitivity"&amp;" sa buong proseso.
* **Pananatiling Up-to-Date:** Panatilihin ang iyong kaalaman sa kasalukuyang mga uso sa human trafficking, mga legal na precedent, at magagamit na mga mapagkukunan para sa mga biktima.
**Tandaan:** * Ang mga kaso ng human trafficking a"&amp;"y maaaring maging emosyonal. Humingi ng suporta at mga mapagkukunan para sa iyong sariling kapakanan habang nagna-navigate ka sa mga mapaghamong pag-uusig na ito.
* Ang iyong tungkulin ay humingi ng hustisya para sa biktima at lansagin ang mga operasyon n"&amp;"g trafficking. Unahin ang kaligtasan ng biktima at panagutin ang mga may kasalanan sa kanilang mga krimen.")</f>
        <v>Bilang isang tagausig na humahawak sa isang kaso ng human trafficking, malamang na makakatagpo ka ng ilang legal na hamon. Narito ang ilang karaniwan at kung paano mo matutugunan ang mga ito:
**Mga Hamon na Kaugnay ng Ebidensya:**
* **Pag-aatubili ng Biktima na Magpatotoo:** Gaya ng napag-usapan dati, maaaring mag-alinlangan ang mga biktima na tumestigo dahil sa takot sa paghihiganti o trauma. Gamitin ang mga estratehiyang binanggit kanina, gaya ng mga programa sa proteksyon ng saksi, alternatibong paraan ng patotoo, at pagbuo ng tiwala upang hikayatin ang kanilang kooperasyon. * **Hirap Makakuha ng Ebidensya:** Ang mga trafficker ay madalas na nagpapatakbo nang palihim. Maaaring maging mahirap ang pangangalap ng ebidensya, lalo na sa mga kaso na kinasasangkutan ng sapilitang paggawa kung saan ang mga biktima ay maaaring hindi umalis sa kanilang lugar ng trabaho o may limitadong access sa komunikasyon. Maaari mong tugunan ito sa pamamagitan ng:
* Pag-isyu ng mga search warrant para sa mga electronic device o mga rekord ng negosyo.
* Pagkuha ng mga testimonya ng saksi mula sa mga indibidwal na maaaring nakakita ng kahina-hinalang aktibidad (mga kapitbahay, katrabaho).
* Paggamit ng mga rekord sa pananalapi upang subaybayan ang mga paglilipat ng pera o mga pagbabayad sa mga trafficker.
**Mga Legal na Hamon:**
* **Pagpapatunay na Pagpipilit:** Ang isang mahalagang elemento ng human trafficking ay ang pagtatatag ng paggamit ng puwersa, pandaraya, o pamimilit. Kakailanganin mong magpakita ng ebidensya na nagpapakita ng kawalan ng malayang pagpapasya at kontrol ng biktima sa kanilang sitwasyon. Maaaring may kasama itong ebidensya ng mga pagbabanta, pagkaalipin sa utang, paghihigpit sa paggalaw, o pisikal na pang-aabuso.
* **Pagpapatunay ng Kaalaman o Layunin:** Sa ilang mga kaso, depende sa mga partikular na singil, maaaring kailanganin mong patunayan na alam ng nasasakdal na siya ay sangkot sa trafficking o sadyang nakinabang mula sa pagsasamantala sa biktima. Maingat na pag-aralan ang mga talaan ng komunikasyon, mga transaksyon sa pananalapi, o mga patotoo ng saksi na nagtatatag ng kamalayan ng nasasakdal sa sitwasyon.
**Iba pang mga Hamon:**
* **Mga Komplikado ng International Trafficking:** Kung ang kaso ay nagsasangkot ng cross-border trafficking, ang mga legal na pamamaraan ay magiging mas kumplikado. Kakailanganin mong mag-navigate sa internasyonal na pakikipagtulungan sa pagpapatupad ng batas at mga legal na sistema ng ibang mga bansang kasangkot.
* **Mahahabang Pagsubok:** Ang mga kaso ng human trafficking ay maaaring mahaba dahil sa mga kumplikadong legal na isyu at pagsasaalang-alang ng saksi. Maging handa para sa mahabang paghakot at tiyaking mananatiling available ang mga serbisyo ng suporta sa biktima sa buong proseso.
**Mga Diskarte para sa Pagtagumpayan ng mga Hamon:**
* **Malakas na Pagbuo ng Kaso:** Ang masusing pagsisiyasat at isang handang kaso na may malinaw na legal na teorya ay mahalaga. * **Pagtutulungan:** Makipagtulungan nang malapit sa mga tagapagpatupad ng batas, mga serbisyo ng suporta sa biktima, at mga potensyal na opisyal ng imigrasyon (kung ang kaso ay may kinalaman sa mga dayuhang mamamayan) upang bumuo ng isang malakas na kaso.
* **Trauma-Informed Approach:** Kilalanin ang trauma ng biktima at hawakan sila nang may sensitivity sa buong proseso.
* **Pananatiling Up-to-Date:** Panatilihin ang iyong kaalaman sa kasalukuyang mga uso sa human trafficking, mga legal na precedent, at magagamit na mga mapagkukunan para sa mga biktima.
**Tandaan:** * Ang mga kaso ng human trafficking ay maaaring maging emosyonal. Humingi ng suporta at mga mapagkukunan para sa iyong sariling kapakanan habang nagna-navigate ka sa mga mapaghamong pag-uusig na ito.
* Ang iyong tungkulin ay humingi ng hustisya para sa biktima at lansagin ang mga operasyon ng trafficking. Unahin ang kaligtasan ng biktima at panagutin ang mga may kasalanan sa kanilang mga krimen.</v>
      </c>
      <c r="F2603" s="2">
        <f t="shared" si="1"/>
        <v>0</v>
      </c>
      <c r="G2603" s="2"/>
      <c r="H2603" s="2"/>
      <c r="I2603" s="2"/>
      <c r="J2603" s="2"/>
      <c r="K2603" s="2"/>
      <c r="L2603" s="2"/>
      <c r="M2603" s="2"/>
      <c r="N2603" s="2"/>
      <c r="O2603" s="2"/>
      <c r="P2603" s="2"/>
      <c r="Q2603" s="2"/>
      <c r="R2603" s="2"/>
      <c r="S2603" s="2"/>
      <c r="T2603" s="2"/>
      <c r="U2603" s="2"/>
      <c r="V2603" s="2"/>
      <c r="W2603" s="2"/>
      <c r="X2603" s="2"/>
      <c r="Y2603" s="2"/>
      <c r="Z2603" s="2"/>
      <c r="AA2603" s="2"/>
    </row>
    <row r="2604">
      <c r="A2604" s="3" t="s">
        <v>6112</v>
      </c>
      <c r="B2604" s="1" t="s">
        <v>6177</v>
      </c>
      <c r="C2604" s="1" t="s">
        <v>6178</v>
      </c>
      <c r="D2604" s="2" t="str">
        <f>IFERROR(__xludf.DUMMYFUNCTION("GOOGLETRANSLATE(B2604, ""en"", ""TL"")"),"Ang isang biktima ng human trafficking ay nag-aatubili na tumestigo dahil sa takot sa paghihiganti. Anong mga legal na hakbang ang maaaring gawin upang hikayatin ang kanilang kooperasyon habang tinitiyak ang kanilang kaligtasan?")</f>
        <v>Ang isang biktima ng human trafficking ay nag-aatubili na tumestigo dahil sa takot sa paghihiganti. Anong mga legal na hakbang ang maaaring gawin upang hikayatin ang kanilang kooperasyon habang tinitiyak ang kanilang kaligtasan?</v>
      </c>
      <c r="E2604" s="2" t="str">
        <f>IFERROR(__xludf.DUMMYFUNCTION("GOOGLETRANSLATE(C2604, ""en"", ""TL"")"),"Narito ang ilang legal na hakbang na maaaring gawin upang hikayatin ang isang nag-aatubili na biktima ng human trafficking na makipagtulungan sa mga awtoridad at tumestigo sa korte, habang tinitiyak ang kanilang kaligtasan sa Pilipinas:
**Pagbuo ng Tiwala"&amp;" at Pakikipag-ugnayan:**
* **Trauma-Informed Approach:** Ang tagapagpatupad ng batas at mga tagausig ay dapat na sanayin sa trauma-informed na mga kasanayan upang makipag-ugnayan sa mga biktima nang sensitibo at bumuo ng tiwala. Kabilang dito ang paglikha"&amp;" ng isang ligtas na espasyo, pagpapatunay ng kanilang mga karanasan, at pag-iwas sa panggigipit na tumestigo kaagad.
* **Mga Serbisyo sa Suporta sa Biktima:** Ikonekta ang biktima sa mga espesyal na serbisyo ng suporta na ibinibigay ng mga NGO o ahensya n"&amp;"g gobyerno. Maaaring kabilang dito ang:
* Legal na tulong
* Sikolohikal na pagpapayo
* Ligtas na paglalagay ng kanlungan
* Pagsasanay sa kabuhayan
**Pagprotekta sa Pagkakakilanlan ng Biktima:**
* **Mga Programa sa Proteksyon ng Saksi:** Nag-aalok ang Kaga"&amp;"waran ng Hustisya (DOJ) ng mga programa sa proteksyon ng saksi na maaaring ilipat ang mga biktima at magbigay sa kanila ng mga bagong pagkakakilanlan kung nahaharap sila sa isang malaking banta ng paghihiganti.
* **Closed-Circuit Television (CCTV):** Gami"&amp;"tin ang teknolohiya ng CCTV upang payagan ang mga biktima na tumestigo nang malayuan mula sa isang ligtas na lokasyon, na pinapaliit ang kanilang pakikipag-ugnayan sa nasasakdal at sa publiko.
* **Screen Barrier:** Ang mga courtroom ay maaaring baguhin ga"&amp;"mit ang mga screen barrier upang payagan ang mga biktima na tumestigo nang hindi direktang nakikita ang nasasakdal.
* **Mga Kautusang Proteksiyon:** Maaaring mag-isyu ang mga korte ng mga utos ng proteksyon laban sa trafficker o sa kanilang mga kasama, na"&amp;" nagbabawal sa kanila na makipag-ugnayan o lumapit sa biktima.
**Alternatibong Paraan ng Patotoo:**
* **Video-Recorded Statements:** Sa ilang mga kaso, ang mga video-recorded statement na kinuha sa yugto ng pagsisiyasat ay maaaring tanggapin bilang ebiden"&amp;"sya sa paglilitis, na binabawasan ang pangangailangan para sa biktima na tumestigo nang personal.
* **Mga Nakasulat na Pahayag:** Ang mga nakasulat na pahayag na nagbabalangkas sa mga detalye ng karanasan sa trafficking ay maaaring isumite sa hukuman, na "&amp;"posibleng mabawasan ang emosyonal na stress ng personal na pagpapatotoo.
**Pagtugon sa mga Alalahanin ng Biktima:**
* **Mga Panukala sa Seguridad:** Maaaring tasahin ng tagapagpatupad ng batas ang mga partikular na banta na kinatatakutan ng biktima at mag"&amp;"patupad ng naaangkop na mga hakbang sa seguridad, gaya ng pinataas na patrol sa kanilang kapitbahayan o mga security escort.
* **Pagiging Kumpidensyal:** Tiyakin sa biktima na ang kanilang pagkakakilanlan at personal na impormasyon ay pananatiling kumpide"&amp;"nsyal hangga't maaari sa loob ng mga legal na limitasyon.
* **Paliwanag ng Mga Legal na Karapatan:** Ipaliwanag ang mga karapatan ng biktima bilang saksi, kabilang ang karapatang magkaroon ng taong sumusuporta sa panahon ng pagtatanong o testimonya.
**Tum"&amp;"uon sa Kaligtasan at Empowerment:**
* **Empowerment Through Choice:** Ibalangkas ang pakikipagtulungan bilang isang paraan upang panagutin ang may kasalanan at makatulong na maiwasan ang iba na makaranas ng parehong pang-aabuso. * **Tumuon sa Pangmatagala"&amp;"ng Kagalingan:** Bagama't mahalaga ang patotoo, unahin ang pangkalahatang kagalingan ng biktima at pagbawi mula sa karanasan sa trafficking.
**Mga Karagdagang Pagsasaalang-alang:**
* **Pagpapasya sa Pag-uusig:** Maaaring isaalang-alang ng mga tagausig ang"&amp;" mga alternatibong estratehiya kung ang isang biktima ay talagang ayaw na tumestigo. Maaaring kabilang dito ang pag-asa sa iba pang mga anyo ng ebidensya o paghabol ng plea bargain sa nasasakdal.
* **Suporta sa Komunidad:** Ang pagkonekta sa biktima sa is"&amp;"ang sumusuportang komunidad ng mga nakaligtas o NGO na dalubhasa sa trafficking ay maaaring magbigay ng kapangyarihan sa kanila at makapagbigay ng emosyonal na suporta sa buong legal na proseso.
**Tandaan:** * Ang layunin ay tiyakin ang kaligtasan at kaga"&amp;"lingan ng biktima.
* Ang pakikipagtulungan sa pagpapatupad ng batas ay dapat palaging isang boluntaryong pagpili para sa biktima.
Sa pamamagitan ng pagpapatupad ng mga legal na hakbang na ito, pagbibigay-priyoridad sa kaligtasan ng biktima, at pagpapatiba"&amp;"y ng kapaligirang sumusuporta, maaaring hikayatin ng mga awtoridad ang mga biktima na lumahok sa legal na proseso at panagutin ang mga trafficker.")</f>
        <v>Narito ang ilang legal na hakbang na maaaring gawin upang hikayatin ang isang nag-aatubili na biktima ng human trafficking na makipagtulungan sa mga awtoridad at tumestigo sa korte, habang tinitiyak ang kanilang kaligtasan sa Pilipinas:
**Pagbuo ng Tiwala at Pakikipag-ugnayan:**
* **Trauma-Informed Approach:** Ang tagapagpatupad ng batas at mga tagausig ay dapat na sanayin sa trauma-informed na mga kasanayan upang makipag-ugnayan sa mga biktima nang sensitibo at bumuo ng tiwala. Kabilang dito ang paglikha ng isang ligtas na espasyo, pagpapatunay ng kanilang mga karanasan, at pag-iwas sa panggigipit na tumestigo kaagad.
* **Mga Serbisyo sa Suporta sa Biktima:** Ikonekta ang biktima sa mga espesyal na serbisyo ng suporta na ibinibigay ng mga NGO o ahensya ng gobyerno. Maaaring kabilang dito ang:
* Legal na tulong
* Sikolohikal na pagpapayo
* Ligtas na paglalagay ng kanlungan
* Pagsasanay sa kabuhayan
**Pagprotekta sa Pagkakakilanlan ng Biktima:**
* **Mga Programa sa Proteksyon ng Saksi:** Nag-aalok ang Kagawaran ng Hustisya (DOJ) ng mga programa sa proteksyon ng saksi na maaaring ilipat ang mga biktima at magbigay sa kanila ng mga bagong pagkakakilanlan kung nahaharap sila sa isang malaking banta ng paghihiganti.
* **Closed-Circuit Television (CCTV):** Gamitin ang teknolohiya ng CCTV upang payagan ang mga biktima na tumestigo nang malayuan mula sa isang ligtas na lokasyon, na pinapaliit ang kanilang pakikipag-ugnayan sa nasasakdal at sa publiko.
* **Screen Barrier:** Ang mga courtroom ay maaaring baguhin gamit ang mga screen barrier upang payagan ang mga biktima na tumestigo nang hindi direktang nakikita ang nasasakdal.
* **Mga Kautusang Proteksiyon:** Maaaring mag-isyu ang mga korte ng mga utos ng proteksyon laban sa trafficker o sa kanilang mga kasama, na nagbabawal sa kanila na makipag-ugnayan o lumapit sa biktima.
**Alternatibong Paraan ng Patotoo:**
* **Video-Recorded Statements:** Sa ilang mga kaso, ang mga video-recorded statement na kinuha sa yugto ng pagsisiyasat ay maaaring tanggapin bilang ebidensya sa paglilitis, na binabawasan ang pangangailangan para sa biktima na tumestigo nang personal.
* **Mga Nakasulat na Pahayag:** Ang mga nakasulat na pahayag na nagbabalangkas sa mga detalye ng karanasan sa trafficking ay maaaring isumite sa hukuman, na posibleng mabawasan ang emosyonal na stress ng personal na pagpapatotoo.
**Pagtugon sa mga Alalahanin ng Biktima:**
* **Mga Panukala sa Seguridad:** Maaaring tasahin ng tagapagpatupad ng batas ang mga partikular na banta na kinatatakutan ng biktima at magpatupad ng naaangkop na mga hakbang sa seguridad, gaya ng pinataas na patrol sa kanilang kapitbahayan o mga security escort.
* **Pagiging Kumpidensyal:** Tiyakin sa biktima na ang kanilang pagkakakilanlan at personal na impormasyon ay pananatiling kumpidensyal hangga't maaari sa loob ng mga legal na limitasyon.
* **Paliwanag ng Mga Legal na Karapatan:** Ipaliwanag ang mga karapatan ng biktima bilang saksi, kabilang ang karapatang magkaroon ng taong sumusuporta sa panahon ng pagtatanong o testimonya.
**Tumuon sa Kaligtasan at Empowerment:**
* **Empowerment Through Choice:** Ibalangkas ang pakikipagtulungan bilang isang paraan upang panagutin ang may kasalanan at makatulong na maiwasan ang iba na makaranas ng parehong pang-aabuso. * **Tumuon sa Pangmatagalang Kagalingan:** Bagama't mahalaga ang patotoo, unahin ang pangkalahatang kagalingan ng biktima at pagbawi mula sa karanasan sa trafficking.
**Mga Karagdagang Pagsasaalang-alang:**
* **Pagpapasya sa Pag-uusig:** Maaaring isaalang-alang ng mga tagausig ang mga alternatibong estratehiya kung ang isang biktima ay talagang ayaw na tumestigo. Maaaring kabilang dito ang pag-asa sa iba pang mga anyo ng ebidensya o paghabol ng plea bargain sa nasasakdal.
* **Suporta sa Komunidad:** Ang pagkonekta sa biktima sa isang sumusuportang komunidad ng mga nakaligtas o NGO na dalubhasa sa trafficking ay maaaring magbigay ng kapangyarihan sa kanila at makapagbigay ng emosyonal na suporta sa buong legal na proseso.
**Tandaan:** * Ang layunin ay tiyakin ang kaligtasan at kagalingan ng biktima.
* Ang pakikipagtulungan sa pagpapatupad ng batas ay dapat palaging isang boluntaryong pagpili para sa biktima.
Sa pamamagitan ng pagpapatupad ng mga legal na hakbang na ito, pagbibigay-priyoridad sa kaligtasan ng biktima, at pagpapatibay ng kapaligirang sumusuporta, maaaring hikayatin ng mga awtoridad ang mga biktima na lumahok sa legal na proseso at panagutin ang mga trafficker.</v>
      </c>
      <c r="F2604" s="2">
        <f t="shared" si="1"/>
        <v>0</v>
      </c>
      <c r="G2604" s="2"/>
      <c r="H2604" s="2"/>
      <c r="I2604" s="2"/>
      <c r="J2604" s="2"/>
      <c r="K2604" s="2"/>
      <c r="L2604" s="2"/>
      <c r="M2604" s="2"/>
      <c r="N2604" s="2"/>
      <c r="O2604" s="2"/>
      <c r="P2604" s="2"/>
      <c r="Q2604" s="2"/>
      <c r="R2604" s="2"/>
      <c r="S2604" s="2"/>
      <c r="T2604" s="2"/>
      <c r="U2604" s="2"/>
      <c r="V2604" s="2"/>
      <c r="W2604" s="2"/>
      <c r="X2604" s="2"/>
      <c r="Y2604" s="2"/>
      <c r="Z2604" s="2"/>
      <c r="AA2604" s="2"/>
    </row>
    <row r="2605">
      <c r="A2605" s="3" t="s">
        <v>6112</v>
      </c>
      <c r="B2605" s="1" t="s">
        <v>6179</v>
      </c>
      <c r="C2605" s="1" t="s">
        <v>6180</v>
      </c>
      <c r="D2605" s="2" t="str">
        <f>IFERROR(__xludf.DUMMYFUNCTION("GOOGLETRANSLATE(B2605, ""en"", ""TL"")"),"Ang isang pinaghihinalaang human trafficker ay tumatakbo sa loob ng isang online na platform. Anong mga legal na hakbang ang maaaring gawin upang siyasatin at matugunan ang mga online na aktibidad ng human trafficking?")</f>
        <v>Ang isang pinaghihinalaang human trafficker ay tumatakbo sa loob ng isang online na platform. Anong mga legal na hakbang ang maaaring gawin upang siyasatin at matugunan ang mga online na aktibidad ng human trafficking?</v>
      </c>
      <c r="E2605" s="2" t="str">
        <f>IFERROR(__xludf.DUMMYFUNCTION("GOOGLETRANSLATE(C2605, ""en"", ""TL"")"),"Ang pagtaas ng mga online platform sa kasamaang-palad ay lumikha ng mga bagong paraan para sa human trafficking. Narito kung paano maaaring gawin ang mga legal na hakbang upang imbestigahan at matugunan ang mga online na aktibidad ng human trafficking sa "&amp;"Pilipinas:
**Pagkilala sa Online Trafficking:**
* **Mga Pulang Watawat:** Dapat sanayin ang pagpapatupad ng batas at mga nauugnay na ahensya upang tukuyin ang mga pulang bandila sa online na aktibidad, gaya ng:
* Mga kahina-hinalang pag-post ng trabaho na"&amp;" may hindi makatotohanang mga pangako o hindi magandang kondisyon sa pagtatrabaho.
* Naka-code na wika o mga euphemism na ginagamit sa mga patalastas para sa komersyal na pakikipagtalik o sapilitang paggawa.
* Mga profile ng mga indibidwal na tila nasa il"&amp;"alim ng kontrol ng ibang tao.
* Mga grupo ng social media na nagpo-promote ng mga aktibidad na nauugnay sa trafficking, tulad ng pagsasamantala sa bata.
**Ang pakikipagtulungan ay Susi:**
* **Public-Private Partnership:** Ang mga epektibong pagsisiyasat a"&amp;"y nangangailangan ng pakikipagtulungan sa pagitan ng mga ahensyang nagpapatupad ng batas (NBI, PNP), ng Department of Justice (DOJ), at mga online na platform mismo. * **Mga Mekanismo ng Pag-uulat:** Magtatag ng malinaw at naa-access na mga mekanismo ng p"&amp;"ag-uulat para sa mga user na i-flag ang pinaghihinalaang aktibidad ng trafficking sa mga online na platform.
* **International Cooperation:** Para sa mga trafficking ring na tumatakbo sa mga hangganan, ang internasyonal na pakikipagtulungan sa pagpapatupa"&amp;"d ng batas at mga online na platform sa ibang mga bansa ay mahalaga.
**Paggamit ng Mga Legal na Tool:**
* **Mga Kautusan sa Pag-iingat:** Maaaring mag-isyu ang mga korte ng mga order ng preserbasyon sa mga online na platform, na nangangailangan sa kanila "&amp;"na panatilihin ang mga nauugnay na data (mga profile ng user, mga mensahe, mga transaksyong pinansyal) na konektado sa mga pinaghihinalaang trafficker.
* **Mga Warrant sa Paghahanap:** Batay sa posibleng dahilan, maaaring makakuha ng mga search warrant an"&amp;"g tagapagpatupad ng batas upang ma-access at masuri ang online na data na nauugnay sa pinaghihinalaang trafficker. * **Mga Batas sa Cybercrime:** Ang Pilipinas ay may mga batas sa cybercrime (Republic Act No. 10175 o ang Cybercrime Prevention Act of 2012)"&amp;" na maaaring magamit upang imbestigahan ang mga aktibidad sa online trafficking. Tinutugunan ng mga batas na ito ang nilalamang nauugnay sa sekswal na pang-aabuso sa bata at online na sekswal na pagsasamantala.
**Pagprotekta sa mga Biktima:**
* **Pagkilal"&amp;"a sa Biktima:** Dapat unahin ng pagpapatupad ng batas ang pagtukoy sa mga potensyal na biktima sa pamamagitan ng mga online na pagsisiyasat. Maaaring kabilang dito ang pagsusuri sa mga online na pag-post, mga pattern ng komunikasyon, o data ng lokasyon.
*"&amp;" **Pagsagip ng Biktima:** Kapag natukoy na ang mga biktima, kailangan ang mabilis na pagkilos para iligtas sila mula sa sitwasyon ng trafficking. Maaaring may kasamang koordinasyon sa mga lokal na awtoridad at NGO na dalubhasa sa proteksyon ng biktima.
* "&amp;"**Pag-iingat ng Ebidensya:** Ang maingat na pagkolekta at pag-iingat ng digital na ebidensya ay maaaring maging mahalaga sa pag-uusig sa mga trafficker.
**Mga Hamon at Pagsasaalang-alang:**
* **Encryption at Anonymity:** Ang pag-encrypt at ang kakayahang "&amp;"manatiling anonymous online ay maaaring maging mahirap na subaybayan ang mga trafficker at mangalap ng ebidensya.
* **Mga Isyu sa Cross-Border:** Ang pagsisiyasat sa mga trafficking ring na tumatakbo sa mga hangganan ay nangangailangan ng mga kumplikadong"&amp;" legal na pamamaraan at internasyonal na pakikipagtulungan.
* **Paggalang sa Privacy ng User:** Ang paghahanap ng balanse sa pagitan ng pagsisiyasat sa mga aktibidad ng trafficking at paggalang sa privacy ng user ay napakahalaga.
**Ang Papel ng Mga Online"&amp;" Platform:**
* **Pag-moderate ng Nilalaman:** Ang mga online na platform ay may responsibilidad na aktibong i-moderate ang nilalaman at alisin ang anumang nagsusulong o nagpapadali sa human trafficking.
* **Edukasyon ng User:** Maaaring turuan ng mga plat"&amp;"form ang mga user tungkol sa mga palatandaan ng online trafficking at hikayatin silang mag-ulat ng kahina-hinalang aktibidad.
* **Transparency at Cooperation:** Ang bukas na komunikasyon at pakikipagtulungan sa mga ahensyang nagpapatupad ng batas ay mahal"&amp;"aga para sa mga online na platform upang epektibong labanan ang trafficking sa kanilang mga platform.
Sa pamamagitan ng pagpapatupad ng mga legal na hakbang na ito, pagpapalakas ng pakikipagtulungan sa pagitan ng mga stakeholder, at pagbibigay-priyoridad "&amp;"sa proteksyon ng biktima, maaaring harapin ng mga awtoridad ng Pilipinas ang umuusbong na tanawin ng online human trafficking at dalhin ang mga may kasalanan sa hustisya.")</f>
        <v>Ang pagtaas ng mga online platform sa kasamaang-palad ay lumikha ng mga bagong paraan para sa human trafficking. Narito kung paano maaaring gawin ang mga legal na hakbang upang imbestigahan at matugunan ang mga online na aktibidad ng human trafficking sa Pilipinas:
**Pagkilala sa Online Trafficking:**
* **Mga Pulang Watawat:** Dapat sanayin ang pagpapatupad ng batas at mga nauugnay na ahensya upang tukuyin ang mga pulang bandila sa online na aktibidad, gaya ng:
* Mga kahina-hinalang pag-post ng trabaho na may hindi makatotohanang mga pangako o hindi magandang kondisyon sa pagtatrabaho.
* Naka-code na wika o mga euphemism na ginagamit sa mga patalastas para sa komersyal na pakikipagtalik o sapilitang paggawa.
* Mga profile ng mga indibidwal na tila nasa ilalim ng kontrol ng ibang tao.
* Mga grupo ng social media na nagpo-promote ng mga aktibidad na nauugnay sa trafficking, tulad ng pagsasamantala sa bata.
**Ang pakikipagtulungan ay Susi:**
* **Public-Private Partnership:** Ang mga epektibong pagsisiyasat ay nangangailangan ng pakikipagtulungan sa pagitan ng mga ahensyang nagpapatupad ng batas (NBI, PNP), ng Department of Justice (DOJ), at mga online na platform mismo. * **Mga Mekanismo ng Pag-uulat:** Magtatag ng malinaw at naa-access na mga mekanismo ng pag-uulat para sa mga user na i-flag ang pinaghihinalaang aktibidad ng trafficking sa mga online na platform.
* **International Cooperation:** Para sa mga trafficking ring na tumatakbo sa mga hangganan, ang internasyonal na pakikipagtulungan sa pagpapatupad ng batas at mga online na platform sa ibang mga bansa ay mahalaga.
**Paggamit ng Mga Legal na Tool:**
* **Mga Kautusan sa Pag-iingat:** Maaaring mag-isyu ang mga korte ng mga order ng preserbasyon sa mga online na platform, na nangangailangan sa kanila na panatilihin ang mga nauugnay na data (mga profile ng user, mga mensahe, mga transaksyong pinansyal) na konektado sa mga pinaghihinalaang trafficker.
* **Mga Warrant sa Paghahanap:** Batay sa posibleng dahilan, maaaring makakuha ng mga search warrant ang tagapagpatupad ng batas upang ma-access at masuri ang online na data na nauugnay sa pinaghihinalaang trafficker. * **Mga Batas sa Cybercrime:** Ang Pilipinas ay may mga batas sa cybercrime (Republic Act No. 10175 o ang Cybercrime Prevention Act of 2012) na maaaring magamit upang imbestigahan ang mga aktibidad sa online trafficking. Tinutugunan ng mga batas na ito ang nilalamang nauugnay sa sekswal na pang-aabuso sa bata at online na sekswal na pagsasamantala.
**Pagprotekta sa mga Biktima:**
* **Pagkilala sa Biktima:** Dapat unahin ng pagpapatupad ng batas ang pagtukoy sa mga potensyal na biktima sa pamamagitan ng mga online na pagsisiyasat. Maaaring kabilang dito ang pagsusuri sa mga online na pag-post, mga pattern ng komunikasyon, o data ng lokasyon.
* **Pagsagip ng Biktima:** Kapag natukoy na ang mga biktima, kailangan ang mabilis na pagkilos para iligtas sila mula sa sitwasyon ng trafficking. Maaaring may kasamang koordinasyon sa mga lokal na awtoridad at NGO na dalubhasa sa proteksyon ng biktima.
* **Pag-iingat ng Ebidensya:** Ang maingat na pagkolekta at pag-iingat ng digital na ebidensya ay maaaring maging mahalaga sa pag-uusig sa mga trafficker.
**Mga Hamon at Pagsasaalang-alang:**
* **Encryption at Anonymity:** Ang pag-encrypt at ang kakayahang manatiling anonymous online ay maaaring maging mahirap na subaybayan ang mga trafficker at mangalap ng ebidensya.
* **Mga Isyu sa Cross-Border:** Ang pagsisiyasat sa mga trafficking ring na tumatakbo sa mga hangganan ay nangangailangan ng mga kumplikadong legal na pamamaraan at internasyonal na pakikipagtulungan.
* **Paggalang sa Privacy ng User:** Ang paghahanap ng balanse sa pagitan ng pagsisiyasat sa mga aktibidad ng trafficking at paggalang sa privacy ng user ay napakahalaga.
**Ang Papel ng Mga Online Platform:**
* **Pag-moderate ng Nilalaman:** Ang mga online na platform ay may responsibilidad na aktibong i-moderate ang nilalaman at alisin ang anumang nagsusulong o nagpapadali sa human trafficking.
* **Edukasyon ng User:** Maaaring turuan ng mga platform ang mga user tungkol sa mga palatandaan ng online trafficking at hikayatin silang mag-ulat ng kahina-hinalang aktibidad.
* **Transparency at Cooperation:** Ang bukas na komunikasyon at pakikipagtulungan sa mga ahensyang nagpapatupad ng batas ay mahalaga para sa mga online na platform upang epektibong labanan ang trafficking sa kanilang mga platform.
Sa pamamagitan ng pagpapatupad ng mga legal na hakbang na ito, pagpapalakas ng pakikipagtulungan sa pagitan ng mga stakeholder, at pagbibigay-priyoridad sa proteksyon ng biktima, maaaring harapin ng mga awtoridad ng Pilipinas ang umuusbong na tanawin ng online human trafficking at dalhin ang mga may kasalanan sa hustisya.</v>
      </c>
      <c r="F2605" s="2">
        <f t="shared" si="1"/>
        <v>0</v>
      </c>
      <c r="G2605" s="2"/>
      <c r="H2605" s="2"/>
      <c r="I2605" s="2"/>
      <c r="J2605" s="2"/>
      <c r="K2605" s="2"/>
      <c r="L2605" s="2"/>
      <c r="M2605" s="2"/>
      <c r="N2605" s="2"/>
      <c r="O2605" s="2"/>
      <c r="P2605" s="2"/>
      <c r="Q2605" s="2"/>
      <c r="R2605" s="2"/>
      <c r="S2605" s="2"/>
      <c r="T2605" s="2"/>
      <c r="U2605" s="2"/>
      <c r="V2605" s="2"/>
      <c r="W2605" s="2"/>
      <c r="X2605" s="2"/>
      <c r="Y2605" s="2"/>
      <c r="Z2605" s="2"/>
      <c r="AA2605" s="2"/>
    </row>
    <row r="2606">
      <c r="A2606" s="3" t="s">
        <v>6112</v>
      </c>
      <c r="B2606" s="1" t="s">
        <v>6181</v>
      </c>
      <c r="C2606" s="1" t="s">
        <v>6182</v>
      </c>
      <c r="D2606" s="2" t="str">
        <f>IFERROR(__xludf.DUMMYFUNCTION("GOOGLETRANSLATE(B2606, ""en"", ""TL"")"),"Ang isang korporasyon ay sangkot sa mga gawi sa human trafficking. Anong mga legal na aksyon ang maaaring gawin upang panagutin ang corporate entity?")</f>
        <v>Ang isang korporasyon ay sangkot sa mga gawi sa human trafficking. Anong mga legal na aksyon ang maaaring gawin upang panagutin ang corporate entity?</v>
      </c>
      <c r="E2606" s="2" t="str">
        <f>IFERROR(__xludf.DUMMYFUNCTION("GOOGLETRANSLATE(C2606, ""en"", ""TL"")"),"Maraming mga legal na paraan ang maaaring gawin upang panagutin ang isang korporasyon para sa mga gawi ng human trafficking sa Pilipinas:
**Mga Pagsingil sa Kriminal:**
* **Anti-Trafficking in Persons Act (RA 9208):** Ang Seksyon 5 ng RA 9208 ay nagpaparu"&amp;"sa sa sinumang tao, kabilang ang mga korporasyon, na lumahok sa mga aktibidad ng trafficking. Maaaring kabilang dito ang:
* Trafficking mismo
* Pagkukulong o pagdadala ng mga taong na-traffic
* Mga pagkilos na nagtataguyod o nagpapadali sa trafficking
* *"&amp;"*Iba Pang Mga Batas sa Kriminal:** Depende sa partikular na mga pangyayari, ang korporasyon ay maaari ding kasuhan ng mga kaugnay na krimen, gaya ng:
* Mga paglabag sa sapilitang paggawa
* Ilegal na recruitment
* Money laundering **Mga Paghahabla sa Sibil"&amp;":**
* **Mga Claim ng Mga Biktima:** Ang mga biktima ng human trafficking ay maaaring magsampa ng mga kasong sibil laban sa korporasyon para sa mga pinsala, kabilang ang:
* Kabayaran para sa pisikal at emosyonal na pinsala
* Nawalan ng sahod
* Mga gastos s"&amp;"a medikal
* **Kapabayaan o Kawalang-ingat:** Ang mga shareholder o iba pang partido na sinaktan ng pagkakasangkot ng korporasyon sa trafficking ay maaaring maghain ng mga demanda na nagpaparatang ng kapabayaan o kawalang-ingat sa pamamahala ng korporasyon"&amp;".
**Mga Administratibong Pagkilos:**
* **Mga Sanction ng Gobyerno:** Maaaring magpataw ang gobyerno ng mga administratibong sanction sa korporasyon, gaya ng mga multa, pagsususpinde ng mga lisensya sa negosyo, o kahit blacklisting.
**Mga Hamon at Pagsasaa"&amp;"lang-alang:**
* **Pananagutan ng Korporat:** Ang pagtatatag ng direktang paglahok ng isang korporasyon sa trafficking ay maaaring maging mahirap. Ang pagpapatunay ng kaalaman sa mga aktibidad ng trafficking ng matataas na antas ng mga opisyal ng korporasy"&amp;"on ay kadalasang kinakailangan.
* **Mga Isyu sa Supply Chain:** Maaaring mangyari ang trafficking sa loob ng supply chain ng isang korporasyon. Ang pananagutan sa korporasyon para sa mga aksyon ng mga supplier nito ay maaaring maging kumplikado.
* **Mahab"&amp;"ang Proseso:** Ang mga kasong kriminal at sibil ay maaaring mahaba at magastos.
**Mga Karagdagang Pagsasaalang-alang:**
* **Mga Proteksyon sa Whistleblower:** Ang Pilipinas ay may mga batas na nagpoprotekta sa mga whistleblower na nag-uulat ng maling gawa"&amp;"in ng korporasyon, kabilang ang human trafficking. Maaari nitong hikayatin ang mga empleyado na magpakita ng ebidensya.
* **Tumuon sa Ebidensya:** Ang pagbuo ng isang malakas na kaso ay nakasalalay sa pangangalap ng ebidensya tulad ng mga rekord sa panana"&amp;"lapi, komunikasyon sa pagitan ng korporasyon at mga trafficker, o mga panloob na dokumento ng kumpanya.
**Mga Kamakailang Pag-unlad:**
* **Modern Slavery Act (MSA):** Bagama't hindi direktang naaangkop sa Pilipinas, ang Modern Slavery Act (MSA) ng UK ay n"&amp;"ag-aatas sa ilang malalaking kumpanya na mag-ulat sa mga hakbang na kanilang gagawin upang maiwasan ang pang-aalipin at human trafficking sa kanilang mga operasyon at supply mga tanikala. Maaari itong magbigay ng presyon sa mga multinasyunal na korporasyo"&amp;"n na may mga operasyon sa Pilipinas upang mapabuti ang kanilang mga kasanayan.
Sa pamamagitan ng paggamit ng mga legal na hakbang na ito at pagbibigay-priyoridad sa isang masusing pagsisiyasat, maaaring panagutin ng mga awtoridad ng Pilipinas ang mga korp"&amp;"orasyon para sa kanilang tungkulin sa human trafficking at hadlangan ang mga ganitong gawain sa hinaharap. Tandaan, ang mga kumplikadong legal na isyu ay kasangkot, kaya ang pagkonsulta sa isang abogado na may karanasan sa corporate criminal liability ay "&amp;"napakahalaga para sa pagbuo ng isang malakas na kaso.")</f>
        <v>Maraming mga legal na paraan ang maaaring gawin upang panagutin ang isang korporasyon para sa mga gawi ng human trafficking sa Pilipinas:
**Mga Pagsingil sa Kriminal:**
* **Anti-Trafficking in Persons Act (RA 9208):** Ang Seksyon 5 ng RA 9208 ay nagpaparusa sa sinumang tao, kabilang ang mga korporasyon, na lumahok sa mga aktibidad ng trafficking. Maaaring kabilang dito ang:
* Trafficking mismo
* Pagkukulong o pagdadala ng mga taong na-traffic
* Mga pagkilos na nagtataguyod o nagpapadali sa trafficking
* **Iba Pang Mga Batas sa Kriminal:** Depende sa partikular na mga pangyayari, ang korporasyon ay maaari ding kasuhan ng mga kaugnay na krimen, gaya ng:
* Mga paglabag sa sapilitang paggawa
* Ilegal na recruitment
* Money laundering **Mga Paghahabla sa Sibil:**
* **Mga Claim ng Mga Biktima:** Ang mga biktima ng human trafficking ay maaaring magsampa ng mga kasong sibil laban sa korporasyon para sa mga pinsala, kabilang ang:
* Kabayaran para sa pisikal at emosyonal na pinsala
* Nawalan ng sahod
* Mga gastos sa medikal
* **Kapabayaan o Kawalang-ingat:** Ang mga shareholder o iba pang partido na sinaktan ng pagkakasangkot ng korporasyon sa trafficking ay maaaring maghain ng mga demanda na nagpaparatang ng kapabayaan o kawalang-ingat sa pamamahala ng korporasyon.
**Mga Administratibong Pagkilos:**
* **Mga Sanction ng Gobyerno:** Maaaring magpataw ang gobyerno ng mga administratibong sanction sa korporasyon, gaya ng mga multa, pagsususpinde ng mga lisensya sa negosyo, o kahit blacklisting.
**Mga Hamon at Pagsasaalang-alang:**
* **Pananagutan ng Korporat:** Ang pagtatatag ng direktang paglahok ng isang korporasyon sa trafficking ay maaaring maging mahirap. Ang pagpapatunay ng kaalaman sa mga aktibidad ng trafficking ng matataas na antas ng mga opisyal ng korporasyon ay kadalasang kinakailangan.
* **Mga Isyu sa Supply Chain:** Maaaring mangyari ang trafficking sa loob ng supply chain ng isang korporasyon. Ang pananagutan sa korporasyon para sa mga aksyon ng mga supplier nito ay maaaring maging kumplikado.
* **Mahabang Proseso:** Ang mga kasong kriminal at sibil ay maaaring mahaba at magastos.
**Mga Karagdagang Pagsasaalang-alang:**
* **Mga Proteksyon sa Whistleblower:** Ang Pilipinas ay may mga batas na nagpoprotekta sa mga whistleblower na nag-uulat ng maling gawain ng korporasyon, kabilang ang human trafficking. Maaari nitong hikayatin ang mga empleyado na magpakita ng ebidensya.
* **Tumuon sa Ebidensya:** Ang pagbuo ng isang malakas na kaso ay nakasalalay sa pangangalap ng ebidensya tulad ng mga rekord sa pananalapi, komunikasyon sa pagitan ng korporasyon at mga trafficker, o mga panloob na dokumento ng kumpanya.
**Mga Kamakailang Pag-unlad:**
* **Modern Slavery Act (MSA):** Bagama't hindi direktang naaangkop sa Pilipinas, ang Modern Slavery Act (MSA) ng UK ay nag-aatas sa ilang malalaking kumpanya na mag-ulat sa mga hakbang na kanilang gagawin upang maiwasan ang pang-aalipin at human trafficking sa kanilang mga operasyon at supply mga tanikala. Maaari itong magbigay ng presyon sa mga multinasyunal na korporasyon na may mga operasyon sa Pilipinas upang mapabuti ang kanilang mga kasanayan.
Sa pamamagitan ng paggamit ng mga legal na hakbang na ito at pagbibigay-priyoridad sa isang masusing pagsisiyasat, maaaring panagutin ng mga awtoridad ng Pilipinas ang mga korporasyon para sa kanilang tungkulin sa human trafficking at hadlangan ang mga ganitong gawain sa hinaharap. Tandaan, ang mga kumplikadong legal na isyu ay kasangkot, kaya ang pagkonsulta sa isang abogado na may karanasan sa corporate criminal liability ay napakahalaga para sa pagbuo ng isang malakas na kaso.</v>
      </c>
      <c r="F2606" s="2">
        <f t="shared" si="1"/>
        <v>0</v>
      </c>
      <c r="G2606" s="2"/>
      <c r="H2606" s="2"/>
      <c r="I2606" s="2"/>
      <c r="J2606" s="2"/>
      <c r="K2606" s="2"/>
      <c r="L2606" s="2"/>
      <c r="M2606" s="2"/>
      <c r="N2606" s="2"/>
      <c r="O2606" s="2"/>
      <c r="P2606" s="2"/>
      <c r="Q2606" s="2"/>
      <c r="R2606" s="2"/>
      <c r="S2606" s="2"/>
      <c r="T2606" s="2"/>
      <c r="U2606" s="2"/>
      <c r="V2606" s="2"/>
      <c r="W2606" s="2"/>
      <c r="X2606" s="2"/>
      <c r="Y2606" s="2"/>
      <c r="Z2606" s="2"/>
      <c r="AA2606" s="2"/>
    </row>
    <row r="2607">
      <c r="A2607" s="3" t="s">
        <v>6112</v>
      </c>
      <c r="B2607" s="1" t="s">
        <v>6183</v>
      </c>
      <c r="C2607" s="1" t="s">
        <v>6184</v>
      </c>
      <c r="D2607" s="2" t="str">
        <f>IFERROR(__xludf.DUMMYFUNCTION("GOOGLETRANSLATE(B2607, ""en"", ""TL"")"),"Isa kang hukom na namumuno sa isang kaso ng human trafficking. Anong mga legal na pagsasaalang-alang ang dapat gumabay sa iyong mga desisyon sa panahon ng paglilitis?")</f>
        <v>Isa kang hukom na namumuno sa isang kaso ng human trafficking. Anong mga legal na pagsasaalang-alang ang dapat gumabay sa iyong mga desisyon sa panahon ng paglilitis?</v>
      </c>
      <c r="E2607" s="2" t="str">
        <f>IFERROR(__xludf.DUMMYFUNCTION("GOOGLETRANSLATE(C2607, ""en"", ""TL"")"),"Narito ang ilang pangunahing legal na pagsasaalang-alang upang gabayan ang iyong mga desisyon sa panahon ng pagsubok sa human trafficking:
**Pagprotekta sa Mga Karapatan ng Biktima:**
* **Trauma-Informed Approach:** Kilalanin ang biktima ay maaaring na-tr"&amp;"auma sa karanasan. Pahintulutan silang tumestigo sa komportableng kapaligiran at iwasan ang labis na agresibong pagtatanong mula sa depensa. * **Pag-iingat ng Dignidad:** Tiyakin na ang mga paglilitis sa silid ng hukuman ay nagpapanatili ng dignidad at pa"&amp;"gkapribado ng biktima. Maaari mong isaalang-alang na payagan ang paggamit ng mga screen o iba pang mga hakbang upang mabawasan ang emosyonal na pagkabalisa sa panahon ng patotoo.
* **Mga Karapatan sa Pagbabalanse:** Habang pinoprotektahan ang biktima, tiy"&amp;"aking may patas na paglilitis ang nasasakdal na may karapatang harapin ang nag-aakusa sa kanila. **Ebidensya at Pasan ng Patunay:**
* **Pag-unawa sa Trafficking:** Magkaroon ng masusing pag-unawa sa kahulugan ng human trafficking sa ilalim ng batas ng Pil"&amp;"ipinas (RA 9208) at ang iba't ibang anyo nito (hal., forced labor, sex trafficking).
* **Pagsusuri ng Ebidensya:** Maingat na pag-aralan ang lahat ng ebidensyang ipinakita, kabilang ang mga testimonya ng saksi, mga opinyon ng eksperto, mga rekord ng medik"&amp;"al, mga transaksyong pinansyal, at mga talaan ng komunikasyon. * **Burden of Proof:** Ang prosekusyon ay may pasanin na patunayan ang mga elemento ng krimen nang walang makatwirang pagdududa. **Mga Tukoy na Legal na Pagsasaalang-alang:**
* **Pagpipilit:**"&amp;" Ang isang mahalagang elemento sa trafficking ay ang pagtatatag ng paggamit ng puwersa, pandaraya, pamimilit, o panlilinlang upang pagsamantalahan ang biktima. Suriin ang ebidensya na nagpapakita ng kawalan ng malayang pagpapasya ng biktima. * **Kahinaan:"&amp;"** Isaalang-alang ang mga kahinaan ng biktima, tulad ng edad, kahirapan sa ekonomiya, o kawalan ng katayuan sa imigrasyon, na naging dahilan upang maging madaling kapitan sa trafficking.
* **Mens Rea (Guilty Mind):** Sa ilang mga kaso, ang layunin o kaala"&amp;"man ng nasasakdal sa sitwasyon ng trafficking ng biktima ay kailangang maitatag. Suriin ang katibayan na nauugnay sa kanilang kamalayan sa mga pangyayari.
**Patas at Nararapat na Proseso:**
* **Karapatan sa isang Makatarungang Paglilitis:** Tiyaking ang p"&amp;"rosekusyon at ang depensa ay binibigyan ng patas na pagkakataon na iharap ang kanilang kaso at tanungin ang mga saksi. * **Presumption of Innocence:** Ang nasasakdal ay ipinapalagay na inosente hanggang sa mapatunayang nagkasala.
* **Mga Pasya sa Pagtangg"&amp;"ap ng Ebidensya:** Itaguyod ang mga tuntunin ng ebidensya kapag nagpapasya kung aaminin o ibubukod ang mga pahayag ng saksi, mga dokumento, o iba pang ebidensyang ipinakita. **Paghatol:**
* **Kalubhaan ng Krimen:** Kung naabot ang isang paghatol, isaalang"&amp;"-alang ang kalubhaan ng krimen at ang epekto sa biktima kapag tinutukoy ang naaangkop na pangungusap. Binabalangkas ng RA 9208 ang mga parusa batay sa uri ng trafficking at edad ng biktima.
* **Mga Pahayag ng Epekto ng Biktima:** Pahintulutan ang biktima "&amp;"na magsumite ng mga pahayag ng epekto na nagdedetalye ng pisikal, emosyonal, at sikolohikal na pinsalang dinanas nila dahil sa karanasan sa trafficking.
* **Restitution at Compensation:** Isaalang-alang ang pag-utos sa nasasakdal na magbigay ng restitutio"&amp;"n sa biktima para sa anumang mga pagkalugi sa pananalapi na natamo o nag-ambag sa isang pondo ng kompensasyon ng biktima. **Mga Karagdagang Pagsasaalang-alang:**
* **Proteksyon ng Saksi:** Kung ang mga saksi, lalo na ang mga biktima, ay natatakot sa paghi"&amp;"higanti, isaalang-alang ang mga programa sa proteksyon ng saksi upang matiyak ang kanilang kaligtasan. * **Mga Trend ng Human Trafficking:** Manatiling may alam tungkol sa kasalukuyang mga uso sa human trafficking upang mas maunawaan ang mga pamamaraang g"&amp;"inagamit ng mga trafficker.
Sa pamamagitan ng maingat na pagsasaalang-alang sa mga ligal na prinsipyong ito at pagbibigay-priyoridad sa proteksyon ng mga biktima habang tinitiyak ang isang patas na paglilitis para sa nasasakdal, maaari mong pangunahan ang"&amp;" isang kaso ng human trafficking na nagtataguyod ng hustisya para sa lahat ng partidong kasangkot.")</f>
        <v>Narito ang ilang pangunahing legal na pagsasaalang-alang upang gabayan ang iyong mga desisyon sa panahon ng pagsubok sa human trafficking:
**Pagprotekta sa Mga Karapatan ng Biktima:**
* **Trauma-Informed Approach:** Kilalanin ang biktima ay maaaring na-trauma sa karanasan. Pahintulutan silang tumestigo sa komportableng kapaligiran at iwasan ang labis na agresibong pagtatanong mula sa depensa. * **Pag-iingat ng Dignidad:** Tiyakin na ang mga paglilitis sa silid ng hukuman ay nagpapanatili ng dignidad at pagkapribado ng biktima. Maaari mong isaalang-alang na payagan ang paggamit ng mga screen o iba pang mga hakbang upang mabawasan ang emosyonal na pagkabalisa sa panahon ng patotoo.
* **Mga Karapatan sa Pagbabalanse:** Habang pinoprotektahan ang biktima, tiyaking may patas na paglilitis ang nasasakdal na may karapatang harapin ang nag-aakusa sa kanila. **Ebidensya at Pasan ng Patunay:**
* **Pag-unawa sa Trafficking:** Magkaroon ng masusing pag-unawa sa kahulugan ng human trafficking sa ilalim ng batas ng Pilipinas (RA 9208) at ang iba't ibang anyo nito (hal., forced labor, sex trafficking).
* **Pagsusuri ng Ebidensya:** Maingat na pag-aralan ang lahat ng ebidensyang ipinakita, kabilang ang mga testimonya ng saksi, mga opinyon ng eksperto, mga rekord ng medikal, mga transaksyong pinansyal, at mga talaan ng komunikasyon. * **Burden of Proof:** Ang prosekusyon ay may pasanin na patunayan ang mga elemento ng krimen nang walang makatwirang pagdududa. **Mga Tukoy na Legal na Pagsasaalang-alang:**
* **Pagpipilit:** Ang isang mahalagang elemento sa trafficking ay ang pagtatatag ng paggamit ng puwersa, pandaraya, pamimilit, o panlilinlang upang pagsamantalahan ang biktima. Suriin ang ebidensya na nagpapakita ng kawalan ng malayang pagpapasya ng biktima. * **Kahinaan:** Isaalang-alang ang mga kahinaan ng biktima, tulad ng edad, kahirapan sa ekonomiya, o kawalan ng katayuan sa imigrasyon, na naging dahilan upang maging madaling kapitan sa trafficking.
* **Mens Rea (Guilty Mind):** Sa ilang mga kaso, ang layunin o kaalaman ng nasasakdal sa sitwasyon ng trafficking ng biktima ay kailangang maitatag. Suriin ang katibayan na nauugnay sa kanilang kamalayan sa mga pangyayari.
**Patas at Nararapat na Proseso:**
* **Karapatan sa isang Makatarungang Paglilitis:** Tiyaking ang prosekusyon at ang depensa ay binibigyan ng patas na pagkakataon na iharap ang kanilang kaso at tanungin ang mga saksi. * **Presumption of Innocence:** Ang nasasakdal ay ipinapalagay na inosente hanggang sa mapatunayang nagkasala.
* **Mga Pasya sa Pagtanggap ng Ebidensya:** Itaguyod ang mga tuntunin ng ebidensya kapag nagpapasya kung aaminin o ibubukod ang mga pahayag ng saksi, mga dokumento, o iba pang ebidensyang ipinakita. **Paghatol:**
* **Kalubhaan ng Krimen:** Kung naabot ang isang paghatol, isaalang-alang ang kalubhaan ng krimen at ang epekto sa biktima kapag tinutukoy ang naaangkop na pangungusap. Binabalangkas ng RA 9208 ang mga parusa batay sa uri ng trafficking at edad ng biktima.
* **Mga Pahayag ng Epekto ng Biktima:** Pahintulutan ang biktima na magsumite ng mga pahayag ng epekto na nagdedetalye ng pisikal, emosyonal, at sikolohikal na pinsalang dinanas nila dahil sa karanasan sa trafficking.
* **Restitution at Compensation:** Isaalang-alang ang pag-utos sa nasasakdal na magbigay ng restitution sa biktima para sa anumang mga pagkalugi sa pananalapi na natamo o nag-ambag sa isang pondo ng kompensasyon ng biktima. **Mga Karagdagang Pagsasaalang-alang:**
* **Proteksyon ng Saksi:** Kung ang mga saksi, lalo na ang mga biktima, ay natatakot sa paghihiganti, isaalang-alang ang mga programa sa proteksyon ng saksi upang matiyak ang kanilang kaligtasan. * **Mga Trend ng Human Trafficking:** Manatiling may alam tungkol sa kasalukuyang mga uso sa human trafficking upang mas maunawaan ang mga pamamaraang ginagamit ng mga trafficker.
Sa pamamagitan ng maingat na pagsasaalang-alang sa mga ligal na prinsipyong ito at pagbibigay-priyoridad sa proteksyon ng mga biktima habang tinitiyak ang isang patas na paglilitis para sa nasasakdal, maaari mong pangunahan ang isang kaso ng human trafficking na nagtataguyod ng hustisya para sa lahat ng partidong kasangkot.</v>
      </c>
      <c r="F2607" s="2">
        <f t="shared" si="1"/>
        <v>0</v>
      </c>
      <c r="G2607" s="2"/>
      <c r="H2607" s="2"/>
      <c r="I2607" s="2"/>
      <c r="J2607" s="2"/>
      <c r="K2607" s="2"/>
      <c r="L2607" s="2"/>
      <c r="M2607" s="2"/>
      <c r="N2607" s="2"/>
      <c r="O2607" s="2"/>
      <c r="P2607" s="2"/>
      <c r="Q2607" s="2"/>
      <c r="R2607" s="2"/>
      <c r="S2607" s="2"/>
      <c r="T2607" s="2"/>
      <c r="U2607" s="2"/>
      <c r="V2607" s="2"/>
      <c r="W2607" s="2"/>
      <c r="X2607" s="2"/>
      <c r="Y2607" s="2"/>
      <c r="Z2607" s="2"/>
      <c r="AA2607" s="2"/>
    </row>
    <row r="2608">
      <c r="A2608" s="3" t="s">
        <v>6112</v>
      </c>
      <c r="B2608" s="1" t="s">
        <v>6185</v>
      </c>
      <c r="C2608" s="1" t="s">
        <v>6186</v>
      </c>
      <c r="D2608" s="2" t="str">
        <f>IFERROR(__xludf.DUMMYFUNCTION("GOOGLETRANSLATE(B2608, ""en"", ""TL"")"),"Ang biktima ng human trafficking ay isang dayuhan. Anong mga legal na probisyon ang umiiral upang tugunan ang mga internasyonal na aspeto ng kaso at protektahan ang mga karapatan ng biktima?")</f>
        <v>Ang biktima ng human trafficking ay isang dayuhan. Anong mga legal na probisyon ang umiiral upang tugunan ang mga internasyonal na aspeto ng kaso at protektahan ang mga karapatan ng biktima?</v>
      </c>
      <c r="E2608" s="2" t="str">
        <f>IFERROR(__xludf.DUMMYFUNCTION("GOOGLETRANSLATE(C2608, ""en"", ""TL"")"),"Ang Pilipinas ay may ilang legal na probisyon upang tugunan ang mga internasyonal na aspeto ng mga kaso ng human trafficking at protektahan ang mga karapatan ng mga dayuhang biktima:
**Mga Legal na Framework:**
* **Anti-Trafficking in Persons Act (RA 9208"&amp;"):** Ginagarantiyahan ng batas na ito ang mga dayuhang biktima ng trafficking ng parehong mga karapatan at proteksyon gaya ng mga biktimang Pilipino. * **Republic Act No. 8042 o ang Migrant Workers and Overseas Filipinos Act:** Pinoprotektahan ng batas na"&amp;" ito ang mga karapatan ng mga overseas Filipino worker (OFWs), na maaaring maging mahina sa trafficking.
* **Mga Internasyonal na Kombensiyon:** Ang Pilipinas ay lumagda sa ilang mga internasyonal na kombensiyon sa human trafficking, kabilang ang UN Paler"&amp;"mo Protocol at ang Protocol nito upang Pigilan, Supilin at Parusahan ang Trafficking ng mga Tao Lalo na ang mga Babae at Bata (Opsyonal na Protocol sa Trafficking in Persons) . Ang mga convention na ito ay lumikha ng isang balangkas para sa internasyonal "&amp;"na kooperasyon at proteksyon ng biktima.
**Proteksyon para sa mga Dayuhang Pambansang Biktima:**
* **Ligtas na Akomodasyon at Tulong:** Ang mga dayuhang biktima ay may karapatan sa ligtas na tirahan, pangangalagang medikal, legal na tulong, at sikolohikal"&amp;" na suporta. * **Patuloy na Presensya:** Maaaring bigyan ang mga biktima ng pansamantalang permit sa pananatili upang tumulong sa mga pagsisiyasat at pag-uusig.
* **Repatriation:** Maaaring piliin ng mga biktima na iuwi sa kanilang sariling bansa sa tulon"&amp;"g ng gobyerno.
* **Access to Justice:** May karapatan silang magsagawa ng legal na aksyon laban sa kanilang mga trafficker sa Pilipinas.
**Internasyonal na Kooperasyon:**
* **Inter-Agency Council Against Trafficking (IACAT):** Maaaring makipag-ugnayan ang"&amp;" IACAT sa mga dayuhang embahada at internasyonal na organisasyon upang mapadali ang pagkilala sa biktima, pagpapauwi, at tulong ng saksi sa mga kaso ng cross-border trafficking.
* **Mutual Legal Assistance Treaties (MLATs):** Ang mga tratadong ito ay nagp"&amp;"apahintulot sa Pilipinas na makipagtulungan sa ibang mga bansa sa mga pagsisiyasat, pangangalap ng ebidensya, at pagbabahagi ng impormasyon na may kaugnayan sa mga kaso ng trafficking.
* **Kooperasyon sa Pagpapatupad ng Batas:** Maaaring makipagtulungan a"&amp;"ng Pilipinas sa mga ahensyang nagpapatupad ng batas sa sariling bansa ng biktima upang hulihin ang mga trafficker na tumatakbo sa kabila ng mga hangganan.
**Mga Hamon:**
* **Mga Harang sa Wika:** Maaaring hadlangan ng mga kahirapan sa komunikasyon ang epe"&amp;"ktibong komunikasyon sa mga dayuhang biktima at awtoridad sa kanilang mga bansang pinagmulan.
* **Mahabang Proseso ng Repatriation:** Ang pagpapauwi sa mga biktima sa kanilang sariling bansa ay maaaring maging isang mahaba at kumplikadong proseso.
* **Kak"&amp;"ulangan ng Mga Mapagkukunan:** Ang pagbibigay ng sapat na mga serbisyo ng suporta at legal na tulong sa mga dayuhang biktima ay maaaring maging mahirap dahil sa mga hadlang sa mapagkukunan.
**Mga Karagdagang Pagsasaalang-alang:**
* **Trafficking para sa S"&amp;"apilitang Pag-aasawa:** Sa mga kaso na kinasasangkutan ng sapilitang kasal, isaalang-alang ang mga batas ng Pilipinas sa karahasan laban sa kababaihan at mga bata, na maaaring mag-alok ng karagdagang mga proteksyon.
* **Asylum Claims:** Kung ang isang day"&amp;"uhang biktima ay natatakot sa pag-uusig sa kanilang sariling bansa, maaari silang maging karapat-dapat na mag-aplay para sa asylum sa Pilipinas. Sa pamamagitan ng paggamit ng mga legal na probisyon na ito at pagpapatibay ng internasyonal na kooperasyon, e"&amp;"pektibong matutugunan ng mga awtoridad ng Pilipinas ang mga internasyonal na aspeto ng human trafficking at matiyak ang proteksyon ng mga dayuhang biktima. Tandaan, ang isang diskarte na nakasentro sa biktima na nagbibigay-priyoridad sa kaligtasan, kagali"&amp;"ngan, at pag-access sa hustisya ay mahalaga para sa lahat ng biktima ng trafficking, anuman ang nasyonalidad.")</f>
        <v>Ang Pilipinas ay may ilang legal na probisyon upang tugunan ang mga internasyonal na aspeto ng mga kaso ng human trafficking at protektahan ang mga karapatan ng mga dayuhang biktima:
**Mga Legal na Framework:**
* **Anti-Trafficking in Persons Act (RA 9208):** Ginagarantiyahan ng batas na ito ang mga dayuhang biktima ng trafficking ng parehong mga karapatan at proteksyon gaya ng mga biktimang Pilipino. * **Republic Act No. 8042 o ang Migrant Workers and Overseas Filipinos Act:** Pinoprotektahan ng batas na ito ang mga karapatan ng mga overseas Filipino worker (OFWs), na maaaring maging mahina sa trafficking.
* **Mga Internasyonal na Kombensiyon:** Ang Pilipinas ay lumagda sa ilang mga internasyonal na kombensiyon sa human trafficking, kabilang ang UN Palermo Protocol at ang Protocol nito upang Pigilan, Supilin at Parusahan ang Trafficking ng mga Tao Lalo na ang mga Babae at Bata (Opsyonal na Protocol sa Trafficking in Persons) . Ang mga convention na ito ay lumikha ng isang balangkas para sa internasyonal na kooperasyon at proteksyon ng biktima.
**Proteksyon para sa mga Dayuhang Pambansang Biktima:**
* **Ligtas na Akomodasyon at Tulong:** Ang mga dayuhang biktima ay may karapatan sa ligtas na tirahan, pangangalagang medikal, legal na tulong, at sikolohikal na suporta. * **Patuloy na Presensya:** Maaaring bigyan ang mga biktima ng pansamantalang permit sa pananatili upang tumulong sa mga pagsisiyasat at pag-uusig.
* **Repatriation:** Maaaring piliin ng mga biktima na iuwi sa kanilang sariling bansa sa tulong ng gobyerno.
* **Access to Justice:** May karapatan silang magsagawa ng legal na aksyon laban sa kanilang mga trafficker sa Pilipinas.
**Internasyonal na Kooperasyon:**
* **Inter-Agency Council Against Trafficking (IACAT):** Maaaring makipag-ugnayan ang IACAT sa mga dayuhang embahada at internasyonal na organisasyon upang mapadali ang pagkilala sa biktima, pagpapauwi, at tulong ng saksi sa mga kaso ng cross-border trafficking.
* **Mutual Legal Assistance Treaties (MLATs):** Ang mga tratadong ito ay nagpapahintulot sa Pilipinas na makipagtulungan sa ibang mga bansa sa mga pagsisiyasat, pangangalap ng ebidensya, at pagbabahagi ng impormasyon na may kaugnayan sa mga kaso ng trafficking.
* **Kooperasyon sa Pagpapatupad ng Batas:** Maaaring makipagtulungan ang Pilipinas sa mga ahensyang nagpapatupad ng batas sa sariling bansa ng biktima upang hulihin ang mga trafficker na tumatakbo sa kabila ng mga hangganan.
**Mga Hamon:**
* **Mga Harang sa Wika:** Maaaring hadlangan ng mga kahirapan sa komunikasyon ang epektibong komunikasyon sa mga dayuhang biktima at awtoridad sa kanilang mga bansang pinagmulan.
* **Mahabang Proseso ng Repatriation:** Ang pagpapauwi sa mga biktima sa kanilang sariling bansa ay maaaring maging isang mahaba at kumplikadong proseso.
* **Kakulangan ng Mga Mapagkukunan:** Ang pagbibigay ng sapat na mga serbisyo ng suporta at legal na tulong sa mga dayuhang biktima ay maaaring maging mahirap dahil sa mga hadlang sa mapagkukunan.
**Mga Karagdagang Pagsasaalang-alang:**
* **Trafficking para sa Sapilitang Pag-aasawa:** Sa mga kaso na kinasasangkutan ng sapilitang kasal, isaalang-alang ang mga batas ng Pilipinas sa karahasan laban sa kababaihan at mga bata, na maaaring mag-alok ng karagdagang mga proteksyon.
* **Asylum Claims:** Kung ang isang dayuhang biktima ay natatakot sa pag-uusig sa kanilang sariling bansa, maaari silang maging karapat-dapat na mag-aplay para sa asylum sa Pilipinas. Sa pamamagitan ng paggamit ng mga legal na probisyon na ito at pagpapatibay ng internasyonal na kooperasyon, epektibong matutugunan ng mga awtoridad ng Pilipinas ang mga internasyonal na aspeto ng human trafficking at matiyak ang proteksyon ng mga dayuhang biktima. Tandaan, ang isang diskarte na nakasentro sa biktima na nagbibigay-priyoridad sa kaligtasan, kagalingan, at pag-access sa hustisya ay mahalaga para sa lahat ng biktima ng trafficking, anuman ang nasyonalidad.</v>
      </c>
      <c r="F2608" s="2">
        <f t="shared" si="1"/>
        <v>0</v>
      </c>
      <c r="G2608" s="2"/>
      <c r="H2608" s="2"/>
      <c r="I2608" s="2"/>
      <c r="J2608" s="2"/>
      <c r="K2608" s="2"/>
      <c r="L2608" s="2"/>
      <c r="M2608" s="2"/>
      <c r="N2608" s="2"/>
      <c r="O2608" s="2"/>
      <c r="P2608" s="2"/>
      <c r="Q2608" s="2"/>
      <c r="R2608" s="2"/>
      <c r="S2608" s="2"/>
      <c r="T2608" s="2"/>
      <c r="U2608" s="2"/>
      <c r="V2608" s="2"/>
      <c r="W2608" s="2"/>
      <c r="X2608" s="2"/>
      <c r="Y2608" s="2"/>
      <c r="Z2608" s="2"/>
      <c r="AA2608" s="2"/>
    </row>
    <row r="2609">
      <c r="A2609" s="3" t="s">
        <v>6112</v>
      </c>
      <c r="B2609" s="1" t="s">
        <v>6187</v>
      </c>
      <c r="C2609" s="1" t="s">
        <v>6188</v>
      </c>
      <c r="D2609" s="2" t="str">
        <f>IFERROR(__xludf.DUMMYFUNCTION("GOOGLETRANSLATE(B2609, ""en"", ""TL"")"),"Isa kang mambabatas na gumagawa ng mga pagbabago sa mga batas ng human trafficking. Anong mga legal na reporma ang maaaring magpahusay sa bisa ng umiiral na batas sa pagpigil at paglaban sa trafficking?")</f>
        <v>Isa kang mambabatas na gumagawa ng mga pagbabago sa mga batas ng human trafficking. Anong mga legal na reporma ang maaaring magpahusay sa bisa ng umiiral na batas sa pagpigil at paglaban sa trafficking?</v>
      </c>
      <c r="E2609" s="2" t="str">
        <f>IFERROR(__xludf.DUMMYFUNCTION("GOOGLETRANSLATE(C2609, ""en"", ""TL"")"),"Bilang isang mambabatas na gumagawa ng mga pagbabago sa mga batas ng human trafficking sa Pilipinas, narito ang ilang potensyal na legal na reporma na dapat isaalang-alang:
**Mga Panukala sa Pag-iwas sa Pagpapalakas:**
* **Mga Kampanya sa Pampublikong Kam"&amp;"alayan:** Maglaan ng mga mapagkukunan para sa mga pambansang kampanya upang itaas ang kamalayan tungkol sa mga pamamaraan ng trafficking, mga red flag, at mga mapagkukunan para sa mga potensyal na biktima at mga naninirahan. * **Mga Istratehiya sa Pagbaba"&amp;"was ng Demand:** Tugunan ang mga ugat ng trafficking, tulad ng kahirapan at kawalan ng edukasyon, upang mabawasan ang pangangailangan para sa murang paggawa o sapilitang pakikipagtalik sa komersyo. * **Pagsasanay para sa Pagpapatupad ng Batas at Mga Prope"&amp;"syonal:** Magbigay ng komprehensibong pagsasanay para sa pagpapatupad ng batas, mga opisyal ng imigrasyon, mga social worker, at mga medikal na propesyonal sa pagtukoy at pagtugon sa mga kaso ng trafficking. **Pagpapahusay ng Proteksyon sa Biktima:**
* **"&amp;"Specialized Support Services:** Dagdagan ang pondo para sa pagtatatag at pagpapanatili ng mga espesyal na shelter na may trauma-informed care, legal na tulong, at mga programa sa reintegration partikular para sa mga biktima ng trafficking.
* **Mga Program"&amp;"a sa Proteksyon ng Saksi:** Palakasin ang mga programa sa proteksyon ng saksi upang hikayatin ang mga biktima na makipagtulungan sa mga pagsisiyasat at pag-uusig nang walang takot sa paghihiganti. * **Mga Mekanismo ng Kompensasyon:** Tuklasin ang paglikha"&amp;" ng isang mas mahusay na mekanismo para sa mga biktima na makatanggap ng kabayaran o restitusyon mula sa mga trafficker o isang pondo ng kompensasyon sa biktima na pinondohan ng gobyerno. **Pagpapabuti ng Imbestigasyon at Pag-uusig:**
* **Multi-Agency Tas"&amp;"k Forces:** Magtatag ng permanenteng multi-agency task forces sa pambansa at rehiyonal na antas upang i-coordinate ang mga pagsisikap at pagsisiyasat laban sa trafficking.
* **Mga Tool sa Pagsisiyasat sa Pinansyal:** Ibigay ang mga ahensyang nagpapatupad "&amp;"ng batas ng mga advanced na tool sa pagsisiyasat sa pananalapi upang subaybayan at kunin ang mga asset ng mga trafficker na nagmula sa kanilang mga krimen.
* **Specialization sa Trafficking Prosecutions:** Maglaan ng mga mapagkukunan para sa pagsasanay ng"&amp;" mga prosecutor upang maging dalubhasa sa paghawak ng mga kaso ng trafficking, na humahantong sa mas epektibong pag-uusig at paghatol. **Teknolohiya at Pangongolekta ng Data:**
* **Online Monitoring System:** Bumuo at magpatupad ng mga online monitoring s"&amp;"ystem upang matukoy ang potensyal na aktibidad ng trafficking sa mga social media platform at recruitment website.
* **Centralized Data Repository:** Magtatag ng isang sentralisadong data repository para sa mga kaso ng trafficking upang mapabuti ang pagba"&amp;"bahagi ng impormasyon sa pagitan ng mga ahensya, tukuyin ang mga uso, at epektibong maglaan ng mga mapagkukunan.
* **Mga Yunit ng Pagsisiyasat ng Cybercrime:** Palakasin ang mga yunit ng pagsisiyasat ng cybercrime sa loob ng mga ahensyang nagpapatupad ng "&amp;"batas upang matugunan ang dumaraming online na dimensyon ng human trafficking. **Internasyonal na Kooperasyon:**
* **Palakasin ang Mga Kasunduan sa Bilateral:** Makipagtulungan sa ibang mga bansa upang mapahusay ang pagbabahagi ng impormasyon, magkasanib "&amp;"na pagsisiyasat, at proseso ng pagpapauwi ng biktima. * **Pagpapatibay ng mga Internasyonal na Protokol:** Isaalang-alang ang pagpapatibay ng karagdagang internasyonal na mga protocol na may kaugnayan sa human trafficking, tulad ng Protocol to Prevent, Su"&amp;"ppress and Punish Trafficking in Persons Especially Women and Children, supplementing the Palermo Protocol (Opsyonal na Protocol on Forced Labor) .
**Accountability at Transparency:**
* **Regular na Pag-uulat:** Mag-utos ng regular na pag-uulat ng mga ahe"&amp;"nsya ng gobyerno sa kanilang mga pagsusumikap laban sa trafficking, kabilang ang bilang ng mga pagsisiyasat, pag-uusig, paghatol, at tulong sa biktima na ibinigay.
* **Independent Monitoring:** Magtatag ng isang independiyenteng katawan upang subaybayan a"&amp;"ng pagsunod ng pamahalaan sa mga batas laban sa trafficking at tukuyin ang mga lugar para sa pagpapabuti.
* **Pampublikong Pagsisiwalat ng mga Paghatol:** Isaalang-alang ang pampublikong pagsisiwalat ng mga hinatulan para sa mga paglabag sa trafficking, h"&amp;"abang pinoprotektahan ang mga pagkakakilanlan ng biktima, upang hadlangan ang mga potensyal na trafficker.
Sa pamamagitan ng pagpapatupad ng mga legal na repormang ito, mapapalakas ng Pilipinas ang umiiral nitong balangkas laban sa trafficking. Tandaan, a"&amp;"ng isang epektibong diskarte ay nangangailangan ng multi-pronged na diskarte na nakatutok sa pag-iwas, proteksyon, pag-uusig, at pakikipagsosyo upang tunay na mapuksa ang human trafficking.")</f>
        <v>Bilang isang mambabatas na gumagawa ng mga pagbabago sa mga batas ng human trafficking sa Pilipinas, narito ang ilang potensyal na legal na reporma na dapat isaalang-alang:
**Mga Panukala sa Pag-iwas sa Pagpapalakas:**
* **Mga Kampanya sa Pampublikong Kamalayan:** Maglaan ng mga mapagkukunan para sa mga pambansang kampanya upang itaas ang kamalayan tungkol sa mga pamamaraan ng trafficking, mga red flag, at mga mapagkukunan para sa mga potensyal na biktima at mga naninirahan. * **Mga Istratehiya sa Pagbabawas ng Demand:** Tugunan ang mga ugat ng trafficking, tulad ng kahirapan at kawalan ng edukasyon, upang mabawasan ang pangangailangan para sa murang paggawa o sapilitang pakikipagtalik sa komersyo. * **Pagsasanay para sa Pagpapatupad ng Batas at Mga Propesyonal:** Magbigay ng komprehensibong pagsasanay para sa pagpapatupad ng batas, mga opisyal ng imigrasyon, mga social worker, at mga medikal na propesyonal sa pagtukoy at pagtugon sa mga kaso ng trafficking. **Pagpapahusay ng Proteksyon sa Biktima:**
* **Specialized Support Services:** Dagdagan ang pondo para sa pagtatatag at pagpapanatili ng mga espesyal na shelter na may trauma-informed care, legal na tulong, at mga programa sa reintegration partikular para sa mga biktima ng trafficking.
* **Mga Programa sa Proteksyon ng Saksi:** Palakasin ang mga programa sa proteksyon ng saksi upang hikayatin ang mga biktima na makipagtulungan sa mga pagsisiyasat at pag-uusig nang walang takot sa paghihiganti. * **Mga Mekanismo ng Kompensasyon:** Tuklasin ang paglikha ng isang mas mahusay na mekanismo para sa mga biktima na makatanggap ng kabayaran o restitusyon mula sa mga trafficker o isang pondo ng kompensasyon sa biktima na pinondohan ng gobyerno. **Pagpapabuti ng Imbestigasyon at Pag-uusig:**
* **Multi-Agency Task Forces:** Magtatag ng permanenteng multi-agency task forces sa pambansa at rehiyonal na antas upang i-coordinate ang mga pagsisikap at pagsisiyasat laban sa trafficking.
* **Mga Tool sa Pagsisiyasat sa Pinansyal:** Ibigay ang mga ahensyang nagpapatupad ng batas ng mga advanced na tool sa pagsisiyasat sa pananalapi upang subaybayan at kunin ang mga asset ng mga trafficker na nagmula sa kanilang mga krimen.
* **Specialization sa Trafficking Prosecutions:** Maglaan ng mga mapagkukunan para sa pagsasanay ng mga prosecutor upang maging dalubhasa sa paghawak ng mga kaso ng trafficking, na humahantong sa mas epektibong pag-uusig at paghatol. **Teknolohiya at Pangongolekta ng Data:**
* **Online Monitoring System:** Bumuo at magpatupad ng mga online monitoring system upang matukoy ang potensyal na aktibidad ng trafficking sa mga social media platform at recruitment website.
* **Centralized Data Repository:** Magtatag ng isang sentralisadong data repository para sa mga kaso ng trafficking upang mapabuti ang pagbabahagi ng impormasyon sa pagitan ng mga ahensya, tukuyin ang mga uso, at epektibong maglaan ng mga mapagkukunan.
* **Mga Yunit ng Pagsisiyasat ng Cybercrime:** Palakasin ang mga yunit ng pagsisiyasat ng cybercrime sa loob ng mga ahensyang nagpapatupad ng batas upang matugunan ang dumaraming online na dimensyon ng human trafficking. **Internasyonal na Kooperasyon:**
* **Palakasin ang Mga Kasunduan sa Bilateral:** Makipagtulungan sa ibang mga bansa upang mapahusay ang pagbabahagi ng impormasyon, magkasanib na pagsisiyasat, at proseso ng pagpapauwi ng biktima. * **Pagpapatibay ng mga Internasyonal na Protokol:** Isaalang-alang ang pagpapatibay ng karagdagang internasyonal na mga protocol na may kaugnayan sa human trafficking, tulad ng Protocol to Prevent, Suppress and Punish Trafficking in Persons Especially Women and Children, supplementing the Palermo Protocol (Opsyonal na Protocol on Forced Labor) .
**Accountability at Transparency:**
* **Regular na Pag-uulat:** Mag-utos ng regular na pag-uulat ng mga ahensya ng gobyerno sa kanilang mga pagsusumikap laban sa trafficking, kabilang ang bilang ng mga pagsisiyasat, pag-uusig, paghatol, at tulong sa biktima na ibinigay.
* **Independent Monitoring:** Magtatag ng isang independiyenteng katawan upang subaybayan ang pagsunod ng pamahalaan sa mga batas laban sa trafficking at tukuyin ang mga lugar para sa pagpapabuti.
* **Pampublikong Pagsisiwalat ng mga Paghatol:** Isaalang-alang ang pampublikong pagsisiwalat ng mga hinatulan para sa mga paglabag sa trafficking, habang pinoprotektahan ang mga pagkakakilanlan ng biktima, upang hadlangan ang mga potensyal na trafficker.
Sa pamamagitan ng pagpapatupad ng mga legal na repormang ito, mapapalakas ng Pilipinas ang umiiral nitong balangkas laban sa trafficking. Tandaan, ang isang epektibong diskarte ay nangangailangan ng multi-pronged na diskarte na nakatutok sa pag-iwas, proteksyon, pag-uusig, at pakikipagsosyo upang tunay na mapuksa ang human trafficking.</v>
      </c>
      <c r="F2609" s="2">
        <f t="shared" si="1"/>
        <v>0</v>
      </c>
      <c r="G2609" s="2"/>
      <c r="H2609" s="2"/>
      <c r="I2609" s="2"/>
      <c r="J2609" s="2"/>
      <c r="K2609" s="2"/>
      <c r="L2609" s="2"/>
      <c r="M2609" s="2"/>
      <c r="N2609" s="2"/>
      <c r="O2609" s="2"/>
      <c r="P2609" s="2"/>
      <c r="Q2609" s="2"/>
      <c r="R2609" s="2"/>
      <c r="S2609" s="2"/>
      <c r="T2609" s="2"/>
      <c r="U2609" s="2"/>
      <c r="V2609" s="2"/>
      <c r="W2609" s="2"/>
      <c r="X2609" s="2"/>
      <c r="Y2609" s="2"/>
      <c r="Z2609" s="2"/>
      <c r="AA2609" s="2"/>
    </row>
    <row r="2610">
      <c r="A2610" s="3" t="s">
        <v>6112</v>
      </c>
      <c r="B2610" s="1" t="s">
        <v>6189</v>
      </c>
      <c r="C2610" s="1" t="s">
        <v>6190</v>
      </c>
      <c r="D2610" s="2" t="str">
        <f>IFERROR(__xludf.DUMMYFUNCTION("GOOGLETRANSLATE(B2610, ""en"", ""TL"")"),"Ang isang indibidwal ay nag-aangkin na hindi nila alam ay nasangkot sa human trafficking. Anong mga legal na pagsasaalang-alang ang dapat isaalang-alang sa pagtukoy ng kanilang antas ng responsibilidad?")</f>
        <v>Ang isang indibidwal ay nag-aangkin na hindi nila alam ay nasangkot sa human trafficking. Anong mga legal na pagsasaalang-alang ang dapat isaalang-alang sa pagtukoy ng kanilang antas ng responsibilidad?</v>
      </c>
      <c r="E2610" s="2" t="str">
        <f>IFERROR(__xludf.DUMMYFUNCTION("GOOGLETRANSLATE(C2610, ""en"", ""TL"")"),"Kinikilala ng batas ng Pilipinas ang posibilidad ng isang taong hindi namamalayan na masangkot sa human trafficking. Narito ang mga legal na pagsasaalang-alang upang matukoy ang kanilang antas ng responsibilidad:
**Pag-iimbestiga sa Claim:**
* **Fact-Find"&amp;"ing:** Magsasagawa ang mga awtoridad ng masusing pagsisiyasat para masuri ang mga claim ng indibidwal. Ito ay kasangkot:
* Pagsusuri sa kanilang pagkakasangkot sa pinaghihinalaang operasyon ng trafficking.
* Pakikipagpanayam sa indibidwal at posibleng iba"&amp;" pang mga saksi.
* Pagsusuri ng ebidensya tulad ng mga talaan ng komunikasyon o mga transaksyong pinansyal.
**Mga Antas ng Paglahok:**
* **Hindi Sinasadyang Paglahok:** Kung ang pagsisiyasat ay nagpapakita na ang indibidwal ay walang kaalaman sa mga aktib"&amp;"idad ng trafficking at hindi sinasadyang lumahok, hindi sila itinuturing na may kasalanan. Halimbawa, may na-recruit para sa lehitimong trabaho na hindi nalalamang napupunta sa sitwasyon ng trafficking.
* **Kawalang-ingat o Kawalang-ingat:** Sa ilang mga "&amp;"kaso, ang indibidwal ay maaaring nagpakita ng kapabayaan o kawalang-ingat. Halimbawa, kung hindi nila pinansin ang mga pulang bandila o babala tungkol sa potensyal para sa trafficking. Ang antas ng pagkakasala sa kasong ito ay depende sa mga partikular na"&amp;" pangyayari.
* **Pag-alam sa Paglahok:** Kung ang pagsisiyasat ay nagsiwalat na ang indibidwal ay may kamalayan sa mga aktibidad ng trafficking at nakilahok nang alam, maaari silang panagutin bilang isang trafficker mismo, na nahaharap sa pag-uusig sa ila"&amp;"lim ng RA 9208. **Mga Salik na Dapat Isaalang-alang:**
* **Katangian ng Paglahok:** Ang partikular na papel na ginampanan ng indibidwal sa operasyon ng trafficking ay mahalaga. Sila ba ay isang mababang antas na recruiter o isang taong aktibong kumikita m"&amp;"ula sa pagsasamantala?
* **Kaalaman at Layunin:** Ang pangunahing tanong ay kung alam ng indibidwal o dapat na alam na siya ay sangkot sa trafficking. Mayroon ba silang anumang dahilan upang maghinala na ang aktibidad ay ilegal?
* **Pakikipagtulungan sa M"&amp;"ga Awtoridad:** Kung ang indibidwal ay nakipagtulungan sa imbestigasyon at tumulong na tukuyin ang iba pang mga trafficker o mga biktima ng pagsagip, maaari itong magpakita ng kakulangan ng malisyosong layunin at potensyal na bawasan ang kanilang kasalana"&amp;"n.
**Kahalagahan ng Legal na Tagapayo:**
* **Mga Kumplikado ng Kaso:** Maaaring kumplikado ang mga kaso ng human trafficking. Ang indibidwal ay dapat humingi ng legal na payo mula sa isang abogadong dalubhasa sa batas ng trafficking upang mag-navigate sa "&amp;"legal na proseso at matiyak na ang kanilang mga karapatan ay protektado.
**Tumuon sa Proteksyon sa Biktima:**
* **Presumption of Innocence:** Ang indibidwal ay ipinapalagay na inosente hanggang sa mapatunayang nagkasala. Ang pagsisiyasat at anumang mga po"&amp;"tensyal na legal na paglilitis ay dapat na unahin ang proteksyon ng biktima at tiyaking mananagot ang mga trafficker.
**Tandaan:** Ang impormasyong ito ay hindi maaaring maging kapalit para sa propesyonal na legal na payo. Kung nahanap ng isang tao ang ka"&amp;"nyang sarili sa sitwasyong ito, ang pagkonsulta sa isang abogado ay napakahalaga upang maunawaan ang kanilang legal na katayuan at mga potensyal na kahihinatnan.")</f>
        <v>Kinikilala ng batas ng Pilipinas ang posibilidad ng isang taong hindi namamalayan na masangkot sa human trafficking. Narito ang mga legal na pagsasaalang-alang upang matukoy ang kanilang antas ng responsibilidad:
**Pag-iimbestiga sa Claim:**
* **Fact-Finding:** Magsasagawa ang mga awtoridad ng masusing pagsisiyasat para masuri ang mga claim ng indibidwal. Ito ay kasangkot:
* Pagsusuri sa kanilang pagkakasangkot sa pinaghihinalaang operasyon ng trafficking.
* Pakikipagpanayam sa indibidwal at posibleng iba pang mga saksi.
* Pagsusuri ng ebidensya tulad ng mga talaan ng komunikasyon o mga transaksyong pinansyal.
**Mga Antas ng Paglahok:**
* **Hindi Sinasadyang Paglahok:** Kung ang pagsisiyasat ay nagpapakita na ang indibidwal ay walang kaalaman sa mga aktibidad ng trafficking at hindi sinasadyang lumahok, hindi sila itinuturing na may kasalanan. Halimbawa, may na-recruit para sa lehitimong trabaho na hindi nalalamang napupunta sa sitwasyon ng trafficking.
* **Kawalang-ingat o Kawalang-ingat:** Sa ilang mga kaso, ang indibidwal ay maaaring nagpakita ng kapabayaan o kawalang-ingat. Halimbawa, kung hindi nila pinansin ang mga pulang bandila o babala tungkol sa potensyal para sa trafficking. Ang antas ng pagkakasala sa kasong ito ay depende sa mga partikular na pangyayari.
* **Pag-alam sa Paglahok:** Kung ang pagsisiyasat ay nagsiwalat na ang indibidwal ay may kamalayan sa mga aktibidad ng trafficking at nakilahok nang alam, maaari silang panagutin bilang isang trafficker mismo, na nahaharap sa pag-uusig sa ilalim ng RA 9208. **Mga Salik na Dapat Isaalang-alang:**
* **Katangian ng Paglahok:** Ang partikular na papel na ginampanan ng indibidwal sa operasyon ng trafficking ay mahalaga. Sila ba ay isang mababang antas na recruiter o isang taong aktibong kumikita mula sa pagsasamantala?
* **Kaalaman at Layunin:** Ang pangunahing tanong ay kung alam ng indibidwal o dapat na alam na siya ay sangkot sa trafficking. Mayroon ba silang anumang dahilan upang maghinala na ang aktibidad ay ilegal?
* **Pakikipagtulungan sa Mga Awtoridad:** Kung ang indibidwal ay nakipagtulungan sa imbestigasyon at tumulong na tukuyin ang iba pang mga trafficker o mga biktima ng pagsagip, maaari itong magpakita ng kakulangan ng malisyosong layunin at potensyal na bawasan ang kanilang kasalanan.
**Kahalagahan ng Legal na Tagapayo:**
* **Mga Kumplikado ng Kaso:** Maaaring kumplikado ang mga kaso ng human trafficking. Ang indibidwal ay dapat humingi ng legal na payo mula sa isang abogadong dalubhasa sa batas ng trafficking upang mag-navigate sa legal na proseso at matiyak na ang kanilang mga karapatan ay protektado.
**Tumuon sa Proteksyon sa Biktima:**
* **Presumption of Innocence:** Ang indibidwal ay ipinapalagay na inosente hanggang sa mapatunayang nagkasala. Ang pagsisiyasat at anumang mga potensyal na legal na paglilitis ay dapat na unahin ang proteksyon ng biktima at tiyaking mananagot ang mga trafficker.
**Tandaan:** Ang impormasyong ito ay hindi maaaring maging kapalit para sa propesyonal na legal na payo. Kung nahanap ng isang tao ang kanyang sarili sa sitwasyong ito, ang pagkonsulta sa isang abogado ay napakahalaga upang maunawaan ang kanilang legal na katayuan at mga potensyal na kahihinatnan.</v>
      </c>
      <c r="F2610" s="2">
        <f t="shared" si="1"/>
        <v>0</v>
      </c>
      <c r="G2610" s="2"/>
      <c r="H2610" s="2"/>
      <c r="I2610" s="2"/>
      <c r="J2610" s="2"/>
      <c r="K2610" s="2"/>
      <c r="L2610" s="2"/>
      <c r="M2610" s="2"/>
      <c r="N2610" s="2"/>
      <c r="O2610" s="2"/>
      <c r="P2610" s="2"/>
      <c r="Q2610" s="2"/>
      <c r="R2610" s="2"/>
      <c r="S2610" s="2"/>
      <c r="T2610" s="2"/>
      <c r="U2610" s="2"/>
      <c r="V2610" s="2"/>
      <c r="W2610" s="2"/>
      <c r="X2610" s="2"/>
      <c r="Y2610" s="2"/>
      <c r="Z2610" s="2"/>
      <c r="AA2610" s="2"/>
    </row>
    <row r="2611">
      <c r="A2611" s="3" t="s">
        <v>6112</v>
      </c>
      <c r="B2611" s="1" t="s">
        <v>6191</v>
      </c>
      <c r="C2611" s="1" t="s">
        <v>6192</v>
      </c>
      <c r="D2611" s="2" t="str">
        <f>IFERROR(__xludf.DUMMYFUNCTION("GOOGLETRANSLATE(B2611, ""en"", ""TL"")"),"Ang isang pinaghihinalaang trafficker ay nagsasamantala sa mga indibidwal para sa sapilitang paggawa sa isang lehitimong negosyo. Anong mga legal na hakbang ang maaaring gawin upang matugunan ang ganitong uri ng human trafficking?")</f>
        <v>Ang isang pinaghihinalaang trafficker ay nagsasamantala sa mga indibidwal para sa sapilitang paggawa sa isang lehitimong negosyo. Anong mga legal na hakbang ang maaaring gawin upang matugunan ang ganitong uri ng human trafficking?</v>
      </c>
      <c r="E2611" s="2" t="str">
        <f>IFERROR(__xludf.DUMMYFUNCTION("GOOGLETRANSLATE(C2611, ""en"", ""TL"")"),"Maraming legal na hakbang ang maaaring gawin upang matugunan ang sapilitang paggawa sa loob ng isang lehitimong negosyo sa Pilipinas:
**Pagkilala sa Sapilitang Paggawa:**
* **Mga Tanda ng Pagsasamantala:** Maghanap ng mga tagapagpahiwatig na nagmumungkahi"&amp;" ng sapilitang paggawa, gaya ng:
* Mahabang oras ng trabaho na may kaunti o walang pahinga
* Pag-withhold ng mga pasaporte o mga dokumento sa paglalakbay
* Pagkaalipin sa utang o mga banta ng karahasan
* Hindi magandang kondisyon sa pagtatrabaho o kawalan"&amp;" ng kagamitang pangkaligtasan
* Paghihigpit sa paggalaw o kalayaan
* Pisikal o emosyonal na pang-aabuso
**Pag-uulat at Pagsisiyasat:**
* **Mag-ulat sa Mga Awtoridad:** Mag-ulat ng pinaghihinalaang sapilitang paggawa sa Department of Labor and Employment ("&amp;"DOLE), Inter-Agency Council Against Trafficking (IACAT), o sa Philippine National Police (PNP).
* **Labor Inspections:** Ang DOLE ay maaaring magsagawa ng mga inspeksyon sa lugar ng negosyo upang i-verify ang mga kondisyon sa pagtatrabaho at mga testimony"&amp;"a ng empleyado.
* **Pagtitipon ng Ebidensya:** Ang mga imbestigador ay mangangalap ng ebidensya tulad ng mga talaan ng payroll, mga panayam sa empleyado, at mga pahayag ng saksi. **Mga Legal na Pagkilos:**
* **Anti-Trafficking in Persons Act (RA 9208):** "&amp;"Kung kinumpirma ng ebidensya ang forced labor, ang trafficker ay maaaring kasuhan sa ilalim ng RA 9208. Ang batas na ito ay tumutukoy sa forced labor bilang isang paraan ng trafficking at nagsasaad ng mga parusa para sa mga may kasalanan.
* **Mga Batas sa"&amp;" Paggawa:** Ang mga paglabag sa mga batas sa paggawa, tulad ng mga paglabag sa minimum na pasahod o iligal na pagkumpiska ng mga suweldo, ay maaari ding ituloy. **Pagprotekta sa mga Biktima:**
* **Pagsagip at Silungan:** Maaaring iligtas ng mga awtoridad "&amp;"ang mga biktima mula sa sitwasyon ng sapilitang paggawa at ilagay sila sa mga ligtas na silungan.
* **Tulong na Medikal at Legal:** Ang mga biktima ay maaaring makatanggap ng pangangalagang medikal upang tugunan ang anumang mga pinsala o problema sa kalus"&amp;"ugan at tulong legal upang ituloy ang mga paghahabol laban sa trafficker.
**Pagtugon sa Negosyo:**
* **Pagpapawalang-bisa sa Permit sa Negosyo:** Kung ang negosyo ay mapapatunayang front para sa sapilitang paggawa, maaaring isulong ng mga awtoridad ang le"&amp;"gal na aksyon upang bawiin ang mga permit nito.
* **Blacklisting:** Maaaring naka-blacklist ang negosyo, na nagpapahirap sa legal na pagpapatakbo.
**Mga Hamon at Pagsasaalang-alang:**
* **Pagtitipon ng Ebidensya:** Ang pagkuha ng konkretong ebidensya ng s"&amp;"apilitang paggawa, lalo na sa loob ng isang tila lehitimong negosyo, ay maaaring maging hamon. * **Pagtutulungan ng Saksi:** Maaaring mag-alinlangan ang mga biktima na lumapit dahil sa takot sa paghihiganti o pag-asa sa trafficker.
**Mga Karagdagang Pagsa"&amp;"saalang-alang:**
* **Community Outreach:** Ang pagpapataas ng kamalayan tungkol sa sapilitang paggawa ay maaaring mahikayat ang mga bystander o potensyal na biktima na mag-ulat ng kahina-hinalang aktibidad.
* **Mga Pag-iinspeksyon sa Lugar ng Trabaho:** A"&amp;"ng mga regular na inspeksyon ng DOLE ay maaaring makatulong sa pagpigil sa mga negosyo mula sa pagsali sa mga kagawian ng sapilitang paggawa.
Sa pamamagitan ng paggamit ng mga legal na hakbang na ito at pagpapatibay ng pakikipagtulungan sa pagitan ng mga "&amp;"ahensya, maaaring lansagin ng mga awtoridad ng Pilipinas ang mga operasyong sapilitang paggawa na nakatago sa loob ng mga lehitimong negosyo at panagutin ang mga may kasalanan. Kung nakatagpo ka ng isang sitwasyon ng pinaghihinalaang sapilitang paggawa, a"&amp;"ng pag-uulat nito sa tamang awtoridad ay napakahalaga para matigil ang pagsasamantala at matulungan ang mga biktima.")</f>
        <v>Maraming legal na hakbang ang maaaring gawin upang matugunan ang sapilitang paggawa sa loob ng isang lehitimong negosyo sa Pilipinas:
**Pagkilala sa Sapilitang Paggawa:**
* **Mga Tanda ng Pagsasamantala:** Maghanap ng mga tagapagpahiwatig na nagmumungkahi ng sapilitang paggawa, gaya ng:
* Mahabang oras ng trabaho na may kaunti o walang pahinga
* Pag-withhold ng mga pasaporte o mga dokumento sa paglalakbay
* Pagkaalipin sa utang o mga banta ng karahasan
* Hindi magandang kondisyon sa pagtatrabaho o kawalan ng kagamitang pangkaligtasan
* Paghihigpit sa paggalaw o kalayaan
* Pisikal o emosyonal na pang-aabuso
**Pag-uulat at Pagsisiyasat:**
* **Mag-ulat sa Mga Awtoridad:** Mag-ulat ng pinaghihinalaang sapilitang paggawa sa Department of Labor and Employment (DOLE), Inter-Agency Council Against Trafficking (IACAT), o sa Philippine National Police (PNP).
* **Labor Inspections:** Ang DOLE ay maaaring magsagawa ng mga inspeksyon sa lugar ng negosyo upang i-verify ang mga kondisyon sa pagtatrabaho at mga testimonya ng empleyado.
* **Pagtitipon ng Ebidensya:** Ang mga imbestigador ay mangangalap ng ebidensya tulad ng mga talaan ng payroll, mga panayam sa empleyado, at mga pahayag ng saksi. **Mga Legal na Pagkilos:**
* **Anti-Trafficking in Persons Act (RA 9208):** Kung kinumpirma ng ebidensya ang forced labor, ang trafficker ay maaaring kasuhan sa ilalim ng RA 9208. Ang batas na ito ay tumutukoy sa forced labor bilang isang paraan ng trafficking at nagsasaad ng mga parusa para sa mga may kasalanan.
* **Mga Batas sa Paggawa:** Ang mga paglabag sa mga batas sa paggawa, tulad ng mga paglabag sa minimum na pasahod o iligal na pagkumpiska ng mga suweldo, ay maaari ding ituloy. **Pagprotekta sa mga Biktima:**
* **Pagsagip at Silungan:** Maaaring iligtas ng mga awtoridad ang mga biktima mula sa sitwasyon ng sapilitang paggawa at ilagay sila sa mga ligtas na silungan.
* **Tulong na Medikal at Legal:** Ang mga biktima ay maaaring makatanggap ng pangangalagang medikal upang tugunan ang anumang mga pinsala o problema sa kalusugan at tulong legal upang ituloy ang mga paghahabol laban sa trafficker.
**Pagtugon sa Negosyo:**
* **Pagpapawalang-bisa sa Permit sa Negosyo:** Kung ang negosyo ay mapapatunayang front para sa sapilitang paggawa, maaaring isulong ng mga awtoridad ang legal na aksyon upang bawiin ang mga permit nito.
* **Blacklisting:** Maaaring naka-blacklist ang negosyo, na nagpapahirap sa legal na pagpapatakbo.
**Mga Hamon at Pagsasaalang-alang:**
* **Pagtitipon ng Ebidensya:** Ang pagkuha ng konkretong ebidensya ng sapilitang paggawa, lalo na sa loob ng isang tila lehitimong negosyo, ay maaaring maging hamon. * **Pagtutulungan ng Saksi:** Maaaring mag-alinlangan ang mga biktima na lumapit dahil sa takot sa paghihiganti o pag-asa sa trafficker.
**Mga Karagdagang Pagsasaalang-alang:**
* **Community Outreach:** Ang pagpapataas ng kamalayan tungkol sa sapilitang paggawa ay maaaring mahikayat ang mga bystander o potensyal na biktima na mag-ulat ng kahina-hinalang aktibidad.
* **Mga Pag-iinspeksyon sa Lugar ng Trabaho:** Ang mga regular na inspeksyon ng DOLE ay maaaring makatulong sa pagpigil sa mga negosyo mula sa pagsali sa mga kagawian ng sapilitang paggawa.
Sa pamamagitan ng paggamit ng mga legal na hakbang na ito at pagpapatibay ng pakikipagtulungan sa pagitan ng mga ahensya, maaaring lansagin ng mga awtoridad ng Pilipinas ang mga operasyong sapilitang paggawa na nakatago sa loob ng mga lehitimong negosyo at panagutin ang mga may kasalanan. Kung nakatagpo ka ng isang sitwasyon ng pinaghihinalaang sapilitang paggawa, ang pag-uulat nito sa tamang awtoridad ay napakahalaga para matigil ang pagsasamantala at matulungan ang mga biktima.</v>
      </c>
      <c r="F2611" s="2">
        <f t="shared" si="1"/>
        <v>0</v>
      </c>
      <c r="G2611" s="2"/>
      <c r="H2611" s="2"/>
      <c r="I2611" s="2"/>
      <c r="J2611" s="2"/>
      <c r="K2611" s="2"/>
      <c r="L2611" s="2"/>
      <c r="M2611" s="2"/>
      <c r="N2611" s="2"/>
      <c r="O2611" s="2"/>
      <c r="P2611" s="2"/>
      <c r="Q2611" s="2"/>
      <c r="R2611" s="2"/>
      <c r="S2611" s="2"/>
      <c r="T2611" s="2"/>
      <c r="U2611" s="2"/>
      <c r="V2611" s="2"/>
      <c r="W2611" s="2"/>
      <c r="X2611" s="2"/>
      <c r="Y2611" s="2"/>
      <c r="Z2611" s="2"/>
      <c r="AA2611" s="2"/>
    </row>
    <row r="2612">
      <c r="A2612" s="3" t="s">
        <v>6112</v>
      </c>
      <c r="B2612" s="1" t="s">
        <v>6193</v>
      </c>
      <c r="C2612" s="1" t="s">
        <v>6194</v>
      </c>
      <c r="D2612" s="2" t="str">
        <f>IFERROR(__xludf.DUMMYFUNCTION("GOOGLETRANSLATE(B2612, ""en"", ""TL"")"),"Natukoy ang isang biktima ng human trafficking, at ang kanilang agarang kaligtasan ay isang alalahanin. Anong mga legal na aksyon ang maaaring gawin upang matiyak ang kanilang proteksyon at maiwasan ang retraumatization?")</f>
        <v>Natukoy ang isang biktima ng human trafficking, at ang kanilang agarang kaligtasan ay isang alalahanin. Anong mga legal na aksyon ang maaaring gawin upang matiyak ang kanilang proteksyon at maiwasan ang retraumatization?</v>
      </c>
      <c r="E2612" s="2" t="str">
        <f>IFERROR(__xludf.DUMMYFUNCTION("GOOGLETRANSLATE(C2612, ""en"", ""TL"")"),"Ang agarang kaligtasan ng isang biktima ng human trafficking ay higit sa lahat. Narito ang ilang legal na aksyon na maaari mong gawin upang matiyak ang kanilang proteksyon at maiwasan ang retraumatization sa Pilipinas:
**1. Secure na Emergency Shelter:**
"&amp;"* **Inter-Agency Council Against Trafficking (IACAT):** Makipag-ugnayan sa IACAT, ang nangungunang ahensya ng gobyerno para sa mga pagsisikap laban sa trafficking sa Pilipinas. Maaari silang mag-ayos ng ligtas na paglalagay ng tirahan sa pakikipagtulungan"&amp;" sa mga NGO o pasilidad ng gobyerno.
* **Temporary Protection Order (TPO):** Kung ang biktima ay natatakot sa kanilang trafficker o isang taong nauugnay sa kanila, isaalang-alang ang paghabol ng Temporary Protection Order (TPO) sa pamamagitan ng sistema n"&amp;"g hukuman. Makakatulong ito na magkaroon ng ligtas na distansya mula sa may kasalanan.
**2. Paglahok sa Pagpapatupad ng Batas:**
* **Mag-ulat sa Mga Awtoridad:** Iulat ang kaso sa Philippine National Police (PNP) o sa National Bureau of Investigation (NBI"&amp;"). Maaari nilang imbestigahan ang sitwasyon at tiyakin ang kaligtasan ng biktima.
* **Programa sa Proteksyon ng Saksi:** Kung ang biktima ay nagpapahayag ng pagpayag na makipagtulungan sa pagpapatupad ng batas, tuklasin ang posibilidad na i-enroll sila sa"&amp;" Witness Protection Program (WPP) na pinamamahalaan ng Department of Justice (DOJ). Ang programang ito ay nagbibigay ng mga hakbang sa seguridad at relokasyon kung kinakailangan. **3. Paggalang sa Victim Autonomy:**
* **Pahintulot ng Biktima:** Palaging k"&amp;"unin ang pahintulot ng biktima bago gumawa ng anumang legal na aksyon. Ipaliwanag ang mga opsyon na magagamit at igalang ang kanilang mga pagpipilian.
* **Trauma-Informed Approach:** Kilalanin ang biktima ay maaaring na-trauma at nalulula. Maging matiyaga"&amp;", makiramay, at iwasang pilitin silang gumawa ng mga desisyon bago sila maging handa.
**4. Tulong na Legal at Medikal:**
* **Legal Aid:** Ikonekta ang biktima sa tulong legal sa pamamagitan ng IACAT o mga NGO na dalubhasa sa anti-trafficking. Maaaring pay"&amp;"uhan sila ng isang abogado tungkol sa kanilang mga legal na karapatan at mag-navigate sa legal na proseso.
* **Pangangalagang Medikal:** Tiyakin ang access sa pangangalagang medikal upang matugunan ang anumang pisikal o sikolohikal na pinsalang natamo sa "&amp;"panahon ng karanasan sa trafficking. **Pag-iwas sa Retraumatization:**
* **Bawasan ang mga Panayam:** Limitahan ang bilang ng beses na kailangang isalaysay ng biktima ang kanilang karanasan. Ang tagapagpatupad ng batas at mga tagapagbigay ng serbisyong pa"&amp;"nlipunan ay dapat mag-coordinate para maiwasan ang paulit-ulit na pagtatanong.
* **Safe Interview Techniques:** Gumamit ng trauma-informed interview techniques kapag nakikipag-ugnayan sa biktima. Kabilang dito ang paglikha ng isang ligtas na espasyo, pagg"&amp;"amit ng simpleng wika, at pagpapahintulot sa kanila na kontrolin ang bilis ng pakikipag-ugnayan.
* **Network ng Suporta:** Tulungan ang biktima na magtatag ng network ng suporta ng mga pinagkakatiwalaang indibidwal, gaya ng mga social worker, therapist, o"&amp;" grupo ng suporta para sa mga nakaligtas sa trafficking.
Sa pamamagitan ng pagbibigay-priyoridad sa mga legal na aksyong ito at paggamit ng diskarteng may kaalaman sa trauma, makakatulong kang matiyak ang agarang kaligtasan at kapakanan ng biktima habang "&amp;"pinapaliit ang panganib ng retraumatization. Tandaan, ang pakikipagtulungan sa pagitan ng iba't ibang ahensya at pagtutok sa awtonomiya ng biktima ay napakahalaga sa pagprotekta sa mga biktima ng trafficking sa Pilipinas.")</f>
        <v>Ang agarang kaligtasan ng isang biktima ng human trafficking ay higit sa lahat. Narito ang ilang legal na aksyon na maaari mong gawin upang matiyak ang kanilang proteksyon at maiwasan ang retraumatization sa Pilipinas:
**1. Secure na Emergency Shelter:**
* **Inter-Agency Council Against Trafficking (IACAT):** Makipag-ugnayan sa IACAT, ang nangungunang ahensya ng gobyerno para sa mga pagsisikap laban sa trafficking sa Pilipinas. Maaari silang mag-ayos ng ligtas na paglalagay ng tirahan sa pakikipagtulungan sa mga NGO o pasilidad ng gobyerno.
* **Temporary Protection Order (TPO):** Kung ang biktima ay natatakot sa kanilang trafficker o isang taong nauugnay sa kanila, isaalang-alang ang paghabol ng Temporary Protection Order (TPO) sa pamamagitan ng sistema ng hukuman. Makakatulong ito na magkaroon ng ligtas na distansya mula sa may kasalanan.
**2. Paglahok sa Pagpapatupad ng Batas:**
* **Mag-ulat sa Mga Awtoridad:** Iulat ang kaso sa Philippine National Police (PNP) o sa National Bureau of Investigation (NBI). Maaari nilang imbestigahan ang sitwasyon at tiyakin ang kaligtasan ng biktima.
* **Programa sa Proteksyon ng Saksi:** Kung ang biktima ay nagpapahayag ng pagpayag na makipagtulungan sa pagpapatupad ng batas, tuklasin ang posibilidad na i-enroll sila sa Witness Protection Program (WPP) na pinamamahalaan ng Department of Justice (DOJ). Ang programang ito ay nagbibigay ng mga hakbang sa seguridad at relokasyon kung kinakailangan. **3. Paggalang sa Victim Autonomy:**
* **Pahintulot ng Biktima:** Palaging kunin ang pahintulot ng biktima bago gumawa ng anumang legal na aksyon. Ipaliwanag ang mga opsyon na magagamit at igalang ang kanilang mga pagpipilian.
* **Trauma-Informed Approach:** Kilalanin ang biktima ay maaaring na-trauma at nalulula. Maging matiyaga, makiramay, at iwasang pilitin silang gumawa ng mga desisyon bago sila maging handa.
**4. Tulong na Legal at Medikal:**
* **Legal Aid:** Ikonekta ang biktima sa tulong legal sa pamamagitan ng IACAT o mga NGO na dalubhasa sa anti-trafficking. Maaaring payuhan sila ng isang abogado tungkol sa kanilang mga legal na karapatan at mag-navigate sa legal na proseso.
* **Pangangalagang Medikal:** Tiyakin ang access sa pangangalagang medikal upang matugunan ang anumang pisikal o sikolohikal na pinsalang natamo sa panahon ng karanasan sa trafficking. **Pag-iwas sa Retraumatization:**
* **Bawasan ang mga Panayam:** Limitahan ang bilang ng beses na kailangang isalaysay ng biktima ang kanilang karanasan. Ang tagapagpatupad ng batas at mga tagapagbigay ng serbisyong panlipunan ay dapat mag-coordinate para maiwasan ang paulit-ulit na pagtatanong.
* **Safe Interview Techniques:** Gumamit ng trauma-informed interview techniques kapag nakikipag-ugnayan sa biktima. Kabilang dito ang paglikha ng isang ligtas na espasyo, paggamit ng simpleng wika, at pagpapahintulot sa kanila na kontrolin ang bilis ng pakikipag-ugnayan.
* **Network ng Suporta:** Tulungan ang biktima na magtatag ng network ng suporta ng mga pinagkakatiwalaang indibidwal, gaya ng mga social worker, therapist, o grupo ng suporta para sa mga nakaligtas sa trafficking.
Sa pamamagitan ng pagbibigay-priyoridad sa mga legal na aksyong ito at paggamit ng diskarteng may kaalaman sa trauma, makakatulong kang matiyak ang agarang kaligtasan at kapakanan ng biktima habang pinapaliit ang panganib ng retraumatization. Tandaan, ang pakikipagtulungan sa pagitan ng iba't ibang ahensya at pagtutok sa awtonomiya ng biktima ay napakahalaga sa pagprotekta sa mga biktima ng trafficking sa Pilipinas.</v>
      </c>
      <c r="F2612" s="2">
        <f t="shared" si="1"/>
        <v>0</v>
      </c>
      <c r="G2612" s="2"/>
      <c r="H2612" s="2"/>
      <c r="I2612" s="2"/>
      <c r="J2612" s="2"/>
      <c r="K2612" s="2"/>
      <c r="L2612" s="2"/>
      <c r="M2612" s="2"/>
      <c r="N2612" s="2"/>
      <c r="O2612" s="2"/>
      <c r="P2612" s="2"/>
      <c r="Q2612" s="2"/>
      <c r="R2612" s="2"/>
      <c r="S2612" s="2"/>
      <c r="T2612" s="2"/>
      <c r="U2612" s="2"/>
      <c r="V2612" s="2"/>
      <c r="W2612" s="2"/>
      <c r="X2612" s="2"/>
      <c r="Y2612" s="2"/>
      <c r="Z2612" s="2"/>
      <c r="AA2612" s="2"/>
    </row>
    <row r="2613">
      <c r="A2613" s="3" t="s">
        <v>6112</v>
      </c>
      <c r="B2613" s="1" t="s">
        <v>6195</v>
      </c>
      <c r="C2613" s="1" t="s">
        <v>6196</v>
      </c>
      <c r="D2613" s="2" t="str">
        <f>IFERROR(__xludf.DUMMYFUNCTION("GOOGLETRANSLATE(B2613, ""en"", ""TL"")"),"Isa kang legal na propesyonal na nagbibigay ng tulong sa mga biktima ng human trafficking. Anong mga legal na paraan ang magagamit para sa paghingi ng kabayaran o pagsasauli sa ngalan ng mga biktima?")</f>
        <v>Isa kang legal na propesyonal na nagbibigay ng tulong sa mga biktima ng human trafficking. Anong mga legal na paraan ang magagamit para sa paghingi ng kabayaran o pagsasauli sa ngalan ng mga biktima?</v>
      </c>
      <c r="E2613" s="2" t="str">
        <f>IFERROR(__xludf.DUMMYFUNCTION("GOOGLETRANSLATE(C2613, ""en"", ""TL"")"),"Bilang legal na propesyonal na tumutulong sa mga biktima ng human trafficking sa Pilipinas, narito ang ilang legal na paraan na maaari mong tuklasin para humingi ng kabayaran o pagbabayad-pinsala:
**1. Kaso Sibil Laban sa mga Trafficker:**
* **Basis:** Ma"&amp;"gsampa ng kasong sibil laban sa mga trafficker sa ilalim ng mga probisyon ng Philippine Civil Code. * **Mga Pinsala:** Maaari kang mag-claim ng iba't ibang pinsala, kabilang ang:
* **Mga pinsala sa moral:** Kabayaran para sa mental at emosyonal na pagduru"&amp;"sa na dulot ng karanasan sa trafficking.
* **Mga halimbawang pinsala:** Mga parusa na pinsala upang hadlangan ang mga aktibidad ng trafficking sa hinaharap ng nasasakdal.
* **Akwal na pinsala:** Reimbursement para sa mga pagkalugi sa pananalapi na natamo,"&amp;" gaya ng mga gastusing medikal, nawalang sahod, o mga bayarin sa pangangalap na binayaran sa mga trafficker.
**2. Anti-Trafficking in Persons Act (RA 9208):**
* **Seksyon 15(f):** Ang seksyong ito ay nag-uutos ng paglikha ng isang **Trafficking in Persons"&amp;" Trust Fund**. Ang pondong ito ay maaaring pagmulan ng kabayaran para sa mga biktima. * **Pagiging Karapat-dapat:** Ang mga biktima na nakipagtulungan sa mga pagsisiyasat o pag-uusig ay inuuna para sa pagtanggap ng tulong mula sa Trust Fund.
**3. Mga Bata"&amp;"s sa Paggawa:**
* **Kung ang trafficking ay kasangkot sa sapilitang paggawa:** Maaari mong tuklasin ang mga claim sa ilalim ng mga batas sa paggawa ng Pilipinas.
* Maaaring may karapatan ang mga biktima sa hindi nabayarang sahod, benepisyo, at bayad sa ov"&amp;"ertime.
* Ito ay maaaring partikular na nauugnay sa mga kaso ng domestic servitude o overseas Filipino worker (OFWs) na sumailalim sa trafficking.
**4. Mga Programa sa Tulong ng Pamahalaan:**
* **Iba't ibang ahensya ng gobyerno** ay nag-aalok ng mga progr"&amp;"ama ng tulong para sa mga biktima ng trafficking. Maaaring kabilang sa mga programang ito ang:
* Pangangalagang medikal
* Sikolohikal na pagpapayo
* Legal na tulong
* Pagsasanay sa kabuhayan
* Pansamantalang tirahan
**Mga Hamon at Pagsasaalang-alang:**
* "&amp;"**Mga Mapagkukunang Pananalapi ng mga Trafficker:** Kadalasan, ang mga trafficker ay kulang sa mga mapagkukunan upang magbayad ng malaking kabayaran. * **Mahabang Legal na Proseso:** Ang mga demandang sibil ay maaaring magtagal at magastos. * **Pagtitipon"&amp;" ng Ebidensya:** Ang pagpapatunay sa lawak ng mga pinsala ay maaaring maging mahirap.
**Mga Karagdagang Tip:**
* **Kolaborasyon:** Makipagtulungan sa mga NGO na dalubhasa sa anti-trafficking upang ma-access ang mga mapagkukunan at suporta para sa mga bikt"&amp;"ima.
* **Victim-Centered Approach:** Unahin ang kapakanan ng biktima sa buong legal na proseso. * **Tumuon sa Pagbabalik:** Bagama't mahalaga ang kabayaran, tumuon sa pagtulong sa mga biktima na mabawi ang kontrol sa kanilang buhay sa pamamagitan ng pag-a"&amp;"ccess sa pangangalagang pangkalusugan, edukasyon, o bokasyonal na pagsasanay. Tandaan, ang pangunahing layunin ay tulungan ang mga biktima na makabangon at muling buuin ang kanilang buhay. Habang ang paghingi ng kabayaran ay maaaring maging bahagi ng pros"&amp;"eso ng pagpapagaling, tuklasin ang lahat ng magagamit na opsyon at unahin ang kapakanan ng biktima sa buong legal na paglalakbay.")</f>
        <v>Bilang legal na propesyonal na tumutulong sa mga biktima ng human trafficking sa Pilipinas, narito ang ilang legal na paraan na maaari mong tuklasin para humingi ng kabayaran o pagbabayad-pinsala:
**1. Kaso Sibil Laban sa mga Trafficker:**
* **Basis:** Magsampa ng kasong sibil laban sa mga trafficker sa ilalim ng mga probisyon ng Philippine Civil Code. * **Mga Pinsala:** Maaari kang mag-claim ng iba't ibang pinsala, kabilang ang:
* **Mga pinsala sa moral:** Kabayaran para sa mental at emosyonal na pagdurusa na dulot ng karanasan sa trafficking.
* **Mga halimbawang pinsala:** Mga parusa na pinsala upang hadlangan ang mga aktibidad ng trafficking sa hinaharap ng nasasakdal.
* **Akwal na pinsala:** Reimbursement para sa mga pagkalugi sa pananalapi na natamo, gaya ng mga gastusing medikal, nawalang sahod, o mga bayarin sa pangangalap na binayaran sa mga trafficker.
**2. Anti-Trafficking in Persons Act (RA 9208):**
* **Seksyon 15(f):** Ang seksyong ito ay nag-uutos ng paglikha ng isang **Trafficking in Persons Trust Fund**. Ang pondong ito ay maaaring pagmulan ng kabayaran para sa mga biktima. * **Pagiging Karapat-dapat:** Ang mga biktima na nakipagtulungan sa mga pagsisiyasat o pag-uusig ay inuuna para sa pagtanggap ng tulong mula sa Trust Fund.
**3. Mga Batas sa Paggawa:**
* **Kung ang trafficking ay kasangkot sa sapilitang paggawa:** Maaari mong tuklasin ang mga claim sa ilalim ng mga batas sa paggawa ng Pilipinas.
* Maaaring may karapatan ang mga biktima sa hindi nabayarang sahod, benepisyo, at bayad sa overtime.
* Ito ay maaaring partikular na nauugnay sa mga kaso ng domestic servitude o overseas Filipino worker (OFWs) na sumailalim sa trafficking.
**4. Mga Programa sa Tulong ng Pamahalaan:**
* **Iba't ibang ahensya ng gobyerno** ay nag-aalok ng mga programa ng tulong para sa mga biktima ng trafficking. Maaaring kabilang sa mga programang ito ang:
* Pangangalagang medikal
* Sikolohikal na pagpapayo
* Legal na tulong
* Pagsasanay sa kabuhayan
* Pansamantalang tirahan
**Mga Hamon at Pagsasaalang-alang:**
* **Mga Mapagkukunang Pananalapi ng mga Trafficker:** Kadalasan, ang mga trafficker ay kulang sa mga mapagkukunan upang magbayad ng malaking kabayaran. * **Mahabang Legal na Proseso:** Ang mga demandang sibil ay maaaring magtagal at magastos. * **Pagtitipon ng Ebidensya:** Ang pagpapatunay sa lawak ng mga pinsala ay maaaring maging mahirap.
**Mga Karagdagang Tip:**
* **Kolaborasyon:** Makipagtulungan sa mga NGO na dalubhasa sa anti-trafficking upang ma-access ang mga mapagkukunan at suporta para sa mga biktima.
* **Victim-Centered Approach:** Unahin ang kapakanan ng biktima sa buong legal na proseso. * **Tumuon sa Pagbabalik:** Bagama't mahalaga ang kabayaran, tumuon sa pagtulong sa mga biktima na mabawi ang kontrol sa kanilang buhay sa pamamagitan ng pag-access sa pangangalagang pangkalusugan, edukasyon, o bokasyonal na pagsasanay. Tandaan, ang pangunahing layunin ay tulungan ang mga biktima na makabangon at muling buuin ang kanilang buhay. Habang ang paghingi ng kabayaran ay maaaring maging bahagi ng proseso ng pagpapagaling, tuklasin ang lahat ng magagamit na opsyon at unahin ang kapakanan ng biktima sa buong legal na paglalakbay.</v>
      </c>
      <c r="F2613" s="2">
        <f t="shared" si="1"/>
        <v>0</v>
      </c>
      <c r="G2613" s="2"/>
      <c r="H2613" s="2"/>
      <c r="I2613" s="2"/>
      <c r="J2613" s="2"/>
      <c r="K2613" s="2"/>
      <c r="L2613" s="2"/>
      <c r="M2613" s="2"/>
      <c r="N2613" s="2"/>
      <c r="O2613" s="2"/>
      <c r="P2613" s="2"/>
      <c r="Q2613" s="2"/>
      <c r="R2613" s="2"/>
      <c r="S2613" s="2"/>
      <c r="T2613" s="2"/>
      <c r="U2613" s="2"/>
      <c r="V2613" s="2"/>
      <c r="W2613" s="2"/>
      <c r="X2613" s="2"/>
      <c r="Y2613" s="2"/>
      <c r="Z2613" s="2"/>
      <c r="AA2613" s="2"/>
    </row>
    <row r="2614">
      <c r="A2614" s="3" t="s">
        <v>6112</v>
      </c>
      <c r="B2614" s="1" t="s">
        <v>6197</v>
      </c>
      <c r="C2614" s="1" t="s">
        <v>6198</v>
      </c>
      <c r="D2614" s="2" t="str">
        <f>IFERROR(__xludf.DUMMYFUNCTION("GOOGLETRANSLATE(B2614, ""en"", ""TL"")"),"Ang isang pinaghihinalaang trafficker ay inaresto, at ang kanilang mga ari-arian ay pinaniniwalaang nagmula sa mga nalikom sa human trafficking. Anong mga legal na hakbang ang maaaring gawin upang sakupin at mawala ang mga ari-arian na ito?")</f>
        <v>Ang isang pinaghihinalaang trafficker ay inaresto, at ang kanilang mga ari-arian ay pinaniniwalaang nagmula sa mga nalikom sa human trafficking. Anong mga legal na hakbang ang maaaring gawin upang sakupin at mawala ang mga ari-arian na ito?</v>
      </c>
      <c r="E2614" s="2" t="str">
        <f>IFERROR(__xludf.DUMMYFUNCTION("GOOGLETRANSLATE(C2614, ""en"", ""TL"")"),"Ang batas ng Pilipinas ay nagpapahintulot sa mga awtoridad na kunin at i-forfeit ang mga asset na pinaghihinalaang nagmula sa mga nalikom sa human trafficking. Ganito:
**Legal na Batayan:**
* **Republic Act No. (RA) 9208 o ang Anti-Trafficking in Persons "&amp;"Act of 2003 (ATIP):**
* Binabalangkas ng Seksyon 14 ang awtoridad na i-freeze, agawin, o kumpiskahin ang mga ari-arian na nakuha sa pamamagitan ng trafficking.
* **Tuntunin 108 ng Mga Panuntunan ng Hukuman:** Ang tuntuning ito ay nagdedetalye ng mga legal"&amp;" na pamamaraan para sa mga paglilitis sa forfeiture.
**Proseso para sa Asset Forfeiture:**
1. **Pagsisiyasat at Pagtitipon ng Ebidensya:** Iniimbestigahan ng pagpapatupad ng batas ang mga aktibidad sa pananalapi ng pinaghihinalaang trafficker. Maaaring ka"&amp;"bilang dito ang:
* Sumusunod sa mga daanan ng pera
* Sinusuri ang mga rekord ng bangko at mga transaksyon sa pananalapi
* Pagkilala sa mga ari-arian na nakuha sa panahon ng pinaghihinalaang trafficking
2. **Maghain ng Petisyon para sa Forfeiture:** Ang go"&amp;"byerno, sa pamamagitan ng Department of Justice (DOJ), ay naghain ng petisyon sa korte na humihiling ng pag-alis ng mga natukoy na ari-arian.
3. **Burden of Proof:** Ang burden of proof ay karaniwang nasa gobyerno. Gayunpaman, sa ilalim ng RA 9208 Seksyon"&amp;" 14(b), kung ang mga ari-arian ay hindi matutugunan ng kasiya-siyang account, maaaring ipalagay ng korte na nakuha ang mga ito sa pamamagitan ng trafficking.
4. **Pagdinig sa Hukuman:** Ang pagdinig ng hukuman ay ginanap upang matukoy kung mayroong sapat "&amp;"na ebidensya upang maiugnay ang mga ari-arian sa mga aktibidad ng human trafficking.
5. **Forfeiture Order:** Kung ang hukuman ay nagpasya na pabor sa forfeiture, isang utos ang inilabas na naglilipat ng pagmamay-ari ng mga ari-arian sa gobyerno.
**Mga na"&amp;"likom mula sa Forfeiture:**
Ang mga nalikom mula sa mga na-forfeit na asset ay karaniwang ginagamit para sa:
* **Rehabilitasyon ng Biktima:** Mga programa sa pagpopondo na nagbibigay ng pangangalagang medikal, suportang sikolohikal, at tulong sa muling pa"&amp;"gsasama sa mga biktima ng human trafficking.
* **Mga Pagsisikap na Anti-Trafficking:** Pagsuporta sa mga inisyatiba at programa ng pamahalaan na naglalayong pigilan at labanan ang human trafficking.
**Mga Hamon at Pagsasaalang-alang:**
* **Pagtitipon ng E"&amp;"bidensya:** Ang pagpapakita ng malinaw na link sa pagitan ng mga asset at aktibidad ng trafficking ay maaaring maging mahirap. * **Mahabang Proseso:** Maaaring magtagal ang mga paglilitis sa forfeiture, na maaantala ang paggamit ng mga nakuhang asset para"&amp;" sa suporta ng biktima.
**Mga Karagdagang Pagsasaalang-alang:**
* **Restraining Orders:** Para maiwasan ang dissipation ng mga asset bago maglabas ng forfeiture order, maaaring humiling ang mga awtoridad ng restraining order para i-freeze ang mga bank acc"&amp;"ount o pigilan ang pagbebenta ng mga ari-arian.
* **International Cooperation:** Sa mga kaso na kinasasangkutan ng mga asset na matatagpuan sa ibang bansa, maaaring kailanganin ang internasyonal na pakikipagtulungan sa mga legal na sistema ng ibang bansa."&amp;"
Sa pamamagitan ng paggamit ng mga legal na hakbang na ito, maaaring alisin ng mga awtoridad sa Pilipinas ang mga trafficker ng kanilang mga ill-gotten gains, hadlangan ang mga aktibidad sa trafficking sa hinaharap, at makabuo ng mga mapagkukunan upang su"&amp;"portahan ang mga biktima. Ito ay isang kumplikadong legal na lugar, kaya kung mayroon kang isang partikular na kaso, ang konsultasyon sa isang abogado na dalubhasa sa asset forfeiture ay inirerekomenda.")</f>
        <v>Ang batas ng Pilipinas ay nagpapahintulot sa mga awtoridad na kunin at i-forfeit ang mga asset na pinaghihinalaang nagmula sa mga nalikom sa human trafficking. Ganito:
**Legal na Batayan:**
* **Republic Act No. (RA) 9208 o ang Anti-Trafficking in Persons Act of 2003 (ATIP):**
* Binabalangkas ng Seksyon 14 ang awtoridad na i-freeze, agawin, o kumpiskahin ang mga ari-arian na nakuha sa pamamagitan ng trafficking.
* **Tuntunin 108 ng Mga Panuntunan ng Hukuman:** Ang tuntuning ito ay nagdedetalye ng mga legal na pamamaraan para sa mga paglilitis sa forfeiture.
**Proseso para sa Asset Forfeiture:**
1. **Pagsisiyasat at Pagtitipon ng Ebidensya:** Iniimbestigahan ng pagpapatupad ng batas ang mga aktibidad sa pananalapi ng pinaghihinalaang trafficker. Maaaring kabilang dito ang:
* Sumusunod sa mga daanan ng pera
* Sinusuri ang mga rekord ng bangko at mga transaksyon sa pananalapi
* Pagkilala sa mga ari-arian na nakuha sa panahon ng pinaghihinalaang trafficking
2. **Maghain ng Petisyon para sa Forfeiture:** Ang gobyerno, sa pamamagitan ng Department of Justice (DOJ), ay naghain ng petisyon sa korte na humihiling ng pag-alis ng mga natukoy na ari-arian.
3. **Burden of Proof:** Ang burden of proof ay karaniwang nasa gobyerno. Gayunpaman, sa ilalim ng RA 9208 Seksyon 14(b), kung ang mga ari-arian ay hindi matutugunan ng kasiya-siyang account, maaaring ipalagay ng korte na nakuha ang mga ito sa pamamagitan ng trafficking.
4. **Pagdinig sa Hukuman:** Ang pagdinig ng hukuman ay ginanap upang matukoy kung mayroong sapat na ebidensya upang maiugnay ang mga ari-arian sa mga aktibidad ng human trafficking.
5. **Forfeiture Order:** Kung ang hukuman ay nagpasya na pabor sa forfeiture, isang utos ang inilabas na naglilipat ng pagmamay-ari ng mga ari-arian sa gobyerno.
**Mga nalikom mula sa Forfeiture:**
Ang mga nalikom mula sa mga na-forfeit na asset ay karaniwang ginagamit para sa:
* **Rehabilitasyon ng Biktima:** Mga programa sa pagpopondo na nagbibigay ng pangangalagang medikal, suportang sikolohikal, at tulong sa muling pagsasama sa mga biktima ng human trafficking.
* **Mga Pagsisikap na Anti-Trafficking:** Pagsuporta sa mga inisyatiba at programa ng pamahalaan na naglalayong pigilan at labanan ang human trafficking.
**Mga Hamon at Pagsasaalang-alang:**
* **Pagtitipon ng Ebidensya:** Ang pagpapakita ng malinaw na link sa pagitan ng mga asset at aktibidad ng trafficking ay maaaring maging mahirap. * **Mahabang Proseso:** Maaaring magtagal ang mga paglilitis sa forfeiture, na maaantala ang paggamit ng mga nakuhang asset para sa suporta ng biktima.
**Mga Karagdagang Pagsasaalang-alang:**
* **Restraining Orders:** Para maiwasan ang dissipation ng mga asset bago maglabas ng forfeiture order, maaaring humiling ang mga awtoridad ng restraining order para i-freeze ang mga bank account o pigilan ang pagbebenta ng mga ari-arian.
* **International Cooperation:** Sa mga kaso na kinasasangkutan ng mga asset na matatagpuan sa ibang bansa, maaaring kailanganin ang internasyonal na pakikipagtulungan sa mga legal na sistema ng ibang bansa.
Sa pamamagitan ng paggamit ng mga legal na hakbang na ito, maaaring alisin ng mga awtoridad sa Pilipinas ang mga trafficker ng kanilang mga ill-gotten gains, hadlangan ang mga aktibidad sa trafficking sa hinaharap, at makabuo ng mga mapagkukunan upang suportahan ang mga biktima. Ito ay isang kumplikadong legal na lugar, kaya kung mayroon kang isang partikular na kaso, ang konsultasyon sa isang abogado na dalubhasa sa asset forfeiture ay inirerekomenda.</v>
      </c>
      <c r="F2614" s="2">
        <f t="shared" si="1"/>
        <v>0</v>
      </c>
      <c r="G2614" s="2"/>
      <c r="H2614" s="2"/>
      <c r="I2614" s="2"/>
      <c r="J2614" s="2"/>
      <c r="K2614" s="2"/>
      <c r="L2614" s="2"/>
      <c r="M2614" s="2"/>
      <c r="N2614" s="2"/>
      <c r="O2614" s="2"/>
      <c r="P2614" s="2"/>
      <c r="Q2614" s="2"/>
      <c r="R2614" s="2"/>
      <c r="S2614" s="2"/>
      <c r="T2614" s="2"/>
      <c r="U2614" s="2"/>
      <c r="V2614" s="2"/>
      <c r="W2614" s="2"/>
      <c r="X2614" s="2"/>
      <c r="Y2614" s="2"/>
      <c r="Z2614" s="2"/>
      <c r="AA2614" s="2"/>
    </row>
    <row r="2615">
      <c r="A2615" s="3" t="s">
        <v>6112</v>
      </c>
      <c r="B2615" s="1" t="s">
        <v>6199</v>
      </c>
      <c r="C2615" s="1" t="s">
        <v>6200</v>
      </c>
      <c r="D2615" s="2" t="str">
        <f>IFERROR(__xludf.DUMMYFUNCTION("GOOGLETRANSLATE(B2615, ""en"", ""TL"")"),"Ang isang biktima ng human trafficking ay kinilala sa isang dayuhang hurisdiksyon. Anong mga legal na mekanismo ang maaaring gamitin para sa repatriation at suporta ng biktima?")</f>
        <v>Ang isang biktima ng human trafficking ay kinilala sa isang dayuhang hurisdiksyon. Anong mga legal na mekanismo ang maaaring gamitin para sa repatriation at suporta ng biktima?</v>
      </c>
      <c r="E2615" s="2" t="str">
        <f>IFERROR(__xludf.DUMMYFUNCTION("GOOGLETRANSLATE(C2615, ""en"", ""TL"")"),"Kapag ang isang Pilipinong biktima ng human trafficking ay natukoy sa isang dayuhang hurisdiksyon, maraming legal na mekanismo ang maaaring gamitin upang mapadali ang kanilang pagpapauwi at suporta:
**Internasyonal na Kooperasyon:**
* **Mga Internasyonal "&amp;"na Kasunduan:** Ang Pilipinas ay lumagda sa iba't ibang internasyonal na kasunduan laban sa human trafficking, tulad ng UN Protocol to Prevent, Suppress and Punish Trafficking in Persons, Especially Women and Children (Palermo Protocol). Ang mga kasunduan"&amp;"g ito ay nagtataguyod ng internasyonal na kooperasyon sa pagpapauwi at suporta sa biktima.
* **Mga Bilateral na Kasunduan:** Ang Pilipinas ay maaaring magkaroon ng mga partikular na bilateral na kasunduan sa dayuhang bansa kung saan natagpuan ang biktima."&amp;" Ang mga kasunduang ito ay maaaring magbalangkas ng mga partikular na pamamaraan para sa repatriation at mga serbisyo ng suporta.
**Mga Kasangkot na Ahensya ng Pamahalaan:**
* **Department of Foreign Affairs (DFA):** Ang DFA ay gumaganap ng isang kritikal"&amp;" na papel sa koordinasyon ng mga pagsisikap sa repatriation. Maaari silang makipagtulungan sa embahada o konsulado ng Pilipinas sa ibang bansa para makipag-ugnayan sa biktima at sa mga lokal na awtoridad.
* **Inter-Agency Council Against Trafficking (IACA"&amp;"T):** Nakikipagtulungan ang IACAT sa DFA upang matiyak na makakatanggap ang biktima ng naaangkop na tulong sa pagbalik sa Pilipinas.
**Proseso ng Repatriation:**
* **Voluntary Repatriation:** Ang pahintulot ng biktima ay mahalaga para sa repatriation. Sis"&amp;"iguraduhin ng DFA at mga lokal na awtoridad na nauunawaan ng biktima ang kanilang mga opsyon at nakakaramdam ng ligtas na pagbabalik sa Pilipinas. * **Mga Dokumento sa Paglalakbay:** Kung nawawala o nakumpiska ang pasaporte ng biktima, ang embahada o kons"&amp;"ulado ng Pilipinas ay maaaring mag-isyu ng mga dokumentong pang-emerhensya sa paglalakbay upang mapadali ang kanilang pagbabalik.
* **Mga Kaayusan sa Seguridad:** Depende sa mga pangyayari, maaaring kailanganin ang mga kaayusan sa seguridad upang matiyak "&amp;"ang kaligtasan ng biktima sa paglalakbay.
**Support Services sa Pilipinas:**
* **Mga Ligtas na Silungan:** Ang IACAT, sa pakikipagtulungan ng mga NGO, ay maaaring magsaayos ng ligtas na tirahan para sa biktima sa kanilang pagbabalik. * **Pangangalagang Me"&amp;"dikal:** Ang biktima ay maaaring makatanggap ng medikal at sikolohikal na pangangalaga upang matugunan ang anumang pisikal o emosyonal na trauma.
* **Legal na Tulong:** Ang biktima ay maaaring mangailangan ng legal na tulong upang ituloy ang mga kaso laba"&amp;"n sa mga trafficker o matugunan ang iba pang mga legal na isyu na nagmumula sa kanilang karanasan.
* **Reintegration Programs:** Ang mga programa ay maaaring makatulong sa mga biktima na muling buuin ang kanilang buhay, makahanap ng trabaho, at muling mag"&amp;"sama sa kanilang mga komunidad.
**Mga Karagdagang Pagsasaalang-alang:**
* **Mga Pangangailangan at Kagustuhan ng Biktima:** Ang proseso ng repatriation at suporta ay dapat unahin ang mga partikular na pangangailangan at kagustuhan ng biktima. * **Kaligtas"&amp;"an mula sa mga Trafficker:** Dapat gawin ang mga hakbang upang matiyak ang kaligtasan ng biktima mula sa potensyal na paghihiganti ng mga trafficker sa pagbabalik.
* **Pang-matagalang Suporta:** Ang pagtugon sa trauma ng trafficking ay isang patuloy na pr"&amp;"oseso. Ang biktima ay maaaring mangailangan ng mga pangmatagalang serbisyo ng suporta upang ganap na mabawi at muling maisama sa lipunan.
Tandaan, ito ay isang kumplikadong sitwasyon, at ang partikular na proseso ay mag-iiba depende sa mga pangyayari. Ang"&amp;" gobyerno ng Pilipinas, sa pamamagitan ng DFA at IACAT, ay naglalayon na matiyak ang ligtas at suportadong pagbabalik para sa mga Pilipinong biktima ng human trafficking na kinilala sa ibang bansa. Kung nakatagpo ka ng ganitong kaso, ang pakikipag-ugnayan"&amp;" sa embahada o konsulado ng Pilipinas sa ibang bansa ang unang hakbang.")</f>
        <v>Kapag ang isang Pilipinong biktima ng human trafficking ay natukoy sa isang dayuhang hurisdiksyon, maraming legal na mekanismo ang maaaring gamitin upang mapadali ang kanilang pagpapauwi at suporta:
**Internasyonal na Kooperasyon:**
* **Mga Internasyonal na Kasunduan:** Ang Pilipinas ay lumagda sa iba't ibang internasyonal na kasunduan laban sa human trafficking, tulad ng UN Protocol to Prevent, Suppress and Punish Trafficking in Persons, Especially Women and Children (Palermo Protocol). Ang mga kasunduang ito ay nagtataguyod ng internasyonal na kooperasyon sa pagpapauwi at suporta sa biktima.
* **Mga Bilateral na Kasunduan:** Ang Pilipinas ay maaaring magkaroon ng mga partikular na bilateral na kasunduan sa dayuhang bansa kung saan natagpuan ang biktima. Ang mga kasunduang ito ay maaaring magbalangkas ng mga partikular na pamamaraan para sa repatriation at mga serbisyo ng suporta.
**Mga Kasangkot na Ahensya ng Pamahalaan:**
* **Department of Foreign Affairs (DFA):** Ang DFA ay gumaganap ng isang kritikal na papel sa koordinasyon ng mga pagsisikap sa repatriation. Maaari silang makipagtulungan sa embahada o konsulado ng Pilipinas sa ibang bansa para makipag-ugnayan sa biktima at sa mga lokal na awtoridad.
* **Inter-Agency Council Against Trafficking (IACAT):** Nakikipagtulungan ang IACAT sa DFA upang matiyak na makakatanggap ang biktima ng naaangkop na tulong sa pagbalik sa Pilipinas.
**Proseso ng Repatriation:**
* **Voluntary Repatriation:** Ang pahintulot ng biktima ay mahalaga para sa repatriation. Sisiguraduhin ng DFA at mga lokal na awtoridad na nauunawaan ng biktima ang kanilang mga opsyon at nakakaramdam ng ligtas na pagbabalik sa Pilipinas. * **Mga Dokumento sa Paglalakbay:** Kung nawawala o nakumpiska ang pasaporte ng biktima, ang embahada o konsulado ng Pilipinas ay maaaring mag-isyu ng mga dokumentong pang-emerhensya sa paglalakbay upang mapadali ang kanilang pagbabalik.
* **Mga Kaayusan sa Seguridad:** Depende sa mga pangyayari, maaaring kailanganin ang mga kaayusan sa seguridad upang matiyak ang kaligtasan ng biktima sa paglalakbay.
**Support Services sa Pilipinas:**
* **Mga Ligtas na Silungan:** Ang IACAT, sa pakikipagtulungan ng mga NGO, ay maaaring magsaayos ng ligtas na tirahan para sa biktima sa kanilang pagbabalik. * **Pangangalagang Medikal:** Ang biktima ay maaaring makatanggap ng medikal at sikolohikal na pangangalaga upang matugunan ang anumang pisikal o emosyonal na trauma.
* **Legal na Tulong:** Ang biktima ay maaaring mangailangan ng legal na tulong upang ituloy ang mga kaso laban sa mga trafficker o matugunan ang iba pang mga legal na isyu na nagmumula sa kanilang karanasan.
* **Reintegration Programs:** Ang mga programa ay maaaring makatulong sa mga biktima na muling buuin ang kanilang buhay, makahanap ng trabaho, at muling magsama sa kanilang mga komunidad.
**Mga Karagdagang Pagsasaalang-alang:**
* **Mga Pangangailangan at Kagustuhan ng Biktima:** Ang proseso ng repatriation at suporta ay dapat unahin ang mga partikular na pangangailangan at kagustuhan ng biktima. * **Kaligtasan mula sa mga Trafficker:** Dapat gawin ang mga hakbang upang matiyak ang kaligtasan ng biktima mula sa potensyal na paghihiganti ng mga trafficker sa pagbabalik.
* **Pang-matagalang Suporta:** Ang pagtugon sa trauma ng trafficking ay isang patuloy na proseso. Ang biktima ay maaaring mangailangan ng mga pangmatagalang serbisyo ng suporta upang ganap na mabawi at muling maisama sa lipunan.
Tandaan, ito ay isang kumplikadong sitwasyon, at ang partikular na proseso ay mag-iiba depende sa mga pangyayari. Ang gobyerno ng Pilipinas, sa pamamagitan ng DFA at IACAT, ay naglalayon na matiyak ang ligtas at suportadong pagbabalik para sa mga Pilipinong biktima ng human trafficking na kinilala sa ibang bansa. Kung nakatagpo ka ng ganitong kaso, ang pakikipag-ugnayan sa embahada o konsulado ng Pilipinas sa ibang bansa ang unang hakbang.</v>
      </c>
      <c r="F2615" s="2">
        <f t="shared" si="1"/>
        <v>0</v>
      </c>
      <c r="G2615" s="2"/>
      <c r="H2615" s="2"/>
      <c r="I2615" s="2"/>
      <c r="J2615" s="2"/>
      <c r="K2615" s="2"/>
      <c r="L2615" s="2"/>
      <c r="M2615" s="2"/>
      <c r="N2615" s="2"/>
      <c r="O2615" s="2"/>
      <c r="P2615" s="2"/>
      <c r="Q2615" s="2"/>
      <c r="R2615" s="2"/>
      <c r="S2615" s="2"/>
      <c r="T2615" s="2"/>
      <c r="U2615" s="2"/>
      <c r="V2615" s="2"/>
      <c r="W2615" s="2"/>
      <c r="X2615" s="2"/>
      <c r="Y2615" s="2"/>
      <c r="Z2615" s="2"/>
      <c r="AA2615" s="2"/>
    </row>
    <row r="2616">
      <c r="A2616" s="3" t="s">
        <v>6112</v>
      </c>
      <c r="B2616" s="1" t="s">
        <v>6201</v>
      </c>
      <c r="C2616" s="1" t="s">
        <v>6202</v>
      </c>
      <c r="D2616" s="2" t="str">
        <f>IFERROR(__xludf.DUMMYFUNCTION("GOOGLETRANSLATE(B2616, ""en"", ""TL"")"),"Isa kang opisyal ng customs na nakatuklas ng mga kahina-hinalang aktibidad sa pagtawid sa hangganan na nauugnay sa human trafficking. Anong mga legal na aksyon ang maaaring gawin upang mamagitan at mag-imbestiga?")</f>
        <v>Isa kang opisyal ng customs na nakatuklas ng mga kahina-hinalang aktibidad sa pagtawid sa hangganan na nauugnay sa human trafficking. Anong mga legal na aksyon ang maaaring gawin upang mamagitan at mag-imbestiga?</v>
      </c>
      <c r="E2616" s="2" t="str">
        <f>IFERROR(__xludf.DUMMYFUNCTION("GOOGLETRANSLATE(C2616, ""en"", ""TL"")"),"Bilang isang opisyal ng customs ng Pilipinas na pinaghihinalaan ang human trafficking sa isang tawiran sa hangganan, mayroon kang ilang legal na aksyon na iyong magagamit upang mamagitan at mag-imbestiga:
**1. Kilalanin ang mga Red Flag:**
Ang unang hakba"&amp;"ng ay tukuyin ang mga tagapagpahiwatig na nagmumungkahi ng human trafficking. Narito ang ilang pulang bandila na dapat bantayan:
* **Mga dokumento sa paglalakbay:** Hindi pare-pareho o pekeng mga dokumento sa paglalakbay, mga indibidwal na naglalakbay na "&amp;"may mga pasaporte na hindi pag-aari nila, o mga menor de edad na naglalakbay nang walang legal na tagapag-alaga.
* **Hindi tugmang mga kuwento:** Ang mga manlalakbay na nagbibigay ng hindi pare-pareho o magkasalungat na mga account ng kanilang layunin ng "&amp;"paglalakbay o relasyon sa isa't isa. * **Demeanor:** Mga palatandaan ng takot, pagkabalisa, o pisikal na pang-aabuso sa mga manlalakbay, o mga indibidwal na lumalabas na sobrang sunud-sunuran o kontrolado ng ibang tao.
* **Mga pagkakaiba sa pananalapi:** "&amp;"Malaking halaga ng pera na dinadala ng mga indibidwal na tila limitado ang paraan, o mga kahina-hinalang money transfer na naka-link sa mga manlalakbay.
**2. Paunang Pamamagitan:**
* **Hiwalay na Panayam:** Maingat na paghiwalayin ang mga pinaghihinalaang"&amp;" biktima mula sa mga potensyal na trafficker at magsagawa ng mga pribadong panayam. Magtanong ng mga bukas na tanong upang masuri ang kanilang pag-unawa sa kanilang sitwasyon at matukoy ang anumang pamimilit. * **Alok ng Tulong:** Ipaalam sa kanila ang ka"&amp;"nilang mga karapatan at ang pagkakaroon ng mga programa ng tulong para sa mga biktima ng trafficking. * **Idokumento ang Lahat:** Itala ang mga detalye ng pakikipag-ugnayan, kabilang ang mga obserbasyon sa gawi, hindi pagkakapare-pareho sa mga kuwento, at"&amp;" anumang pisikal na pinsala.
**3. Pag-uulat at Pakikipagtulungan:**
* **Mga Awtoridad ng Alerto:** Kaagad na iulat ang iyong mga hinala sa Inter-Agency Council Against Trafficking (IACAT) o sa Philippine National Police (PNP) Anti-Trafficking in Persons U"&amp;"nit (ATPU).
* **Hold para sa Karagdagang Pagsisiyasat:** Depende sa kalubhaan ng kaso, maaari kang pahintulutan na hawakan ang mga biyahero sa loob ng makatwirang panahon upang payagan ang karagdagang pagsisiyasat ng nagpapatupad ng batas.
* **Makipag-ugn"&amp;"ayan sa Ibang Ahensya:** Makipagtulungan sa mga opisyal ng imigrasyon, mga social worker, at mga medikal na propesyonal kung kinakailangan, upang matiyak ang kaligtasan at kagalingan ng mga potensyal na biktima.
**4. Legal na Balangkas:**
Ang iyong mga ak"&amp;"syon ay sinusuportahan ng mga sumusunod na batas ng Pilipinas:
* **Republic Act No. (RA) 9208 o ang Anti-Trafficking in Persons Act of 2003:** Tinutukoy ang trafficking sa mga tao at binabalangkas ang mga pamamaraan sa pagsisiyasat.
* **Mga Panuntunan at "&amp;"Regulasyon ng Bureau of Customs (BOC):** Maaaring kabilang dito ang mga partikular na alituntunin para sa pagtukoy at pag-uulat ng pinaghihinalaang trafficking sa mga tawiran sa hangganan.
**Mahahalagang Pagsasaalang-alang:**
* **Paggalang sa Mga Karapata"&amp;"n:** Habang ang pagpigil sa mga indibidwal para sa imbestigasyon ay isang opsyon, unahin ang mga paliwanag at tratuhin ang lahat nang may paggalang.
* **Pagprotekta sa mga Biktima:** Ang pangunahing alalahanin ay ang pagtiyak sa kaligtasan at kagalingan n"&amp;"g mga potensyal na biktima ng trafficking.
* **Pagiging Kumpidensyal:** Panatilihin ang pagiging kompidensiyal upang maprotektahan ang mga potensyal na biktima mula sa paghihiganti.
Sa pamamagitan ng pagsunod sa mga hakbang na ito at paggamit ng legal na "&amp;"balangkas, maaari kang magkaroon ng mahalagang papel sa pagtukoy at pag-abala sa mga operasyon ng human trafficking sa mga hangganan ng Pilipinas. Tandaan, ang pakikipagtulungan sa ibang mga ahensya at pagbibigay-priyoridad sa kaligtasan ng biktima ay sus"&amp;"i sa isang matagumpay na interbensyon.")</f>
        <v>Bilang isang opisyal ng customs ng Pilipinas na pinaghihinalaan ang human trafficking sa isang tawiran sa hangganan, mayroon kang ilang legal na aksyon na iyong magagamit upang mamagitan at mag-imbestiga:
**1. Kilalanin ang mga Red Flag:**
Ang unang hakbang ay tukuyin ang mga tagapagpahiwatig na nagmumungkahi ng human trafficking. Narito ang ilang pulang bandila na dapat bantayan:
* **Mga dokumento sa paglalakbay:** Hindi pare-pareho o pekeng mga dokumento sa paglalakbay, mga indibidwal na naglalakbay na may mga pasaporte na hindi pag-aari nila, o mga menor de edad na naglalakbay nang walang legal na tagapag-alaga.
* **Hindi tugmang mga kuwento:** Ang mga manlalakbay na nagbibigay ng hindi pare-pareho o magkasalungat na mga account ng kanilang layunin ng paglalakbay o relasyon sa isa't isa. * **Demeanor:** Mga palatandaan ng takot, pagkabalisa, o pisikal na pang-aabuso sa mga manlalakbay, o mga indibidwal na lumalabas na sobrang sunud-sunuran o kontrolado ng ibang tao.
* **Mga pagkakaiba sa pananalapi:** Malaking halaga ng pera na dinadala ng mga indibidwal na tila limitado ang paraan, o mga kahina-hinalang money transfer na naka-link sa mga manlalakbay.
**2. Paunang Pamamagitan:**
* **Hiwalay na Panayam:** Maingat na paghiwalayin ang mga pinaghihinalaang biktima mula sa mga potensyal na trafficker at magsagawa ng mga pribadong panayam. Magtanong ng mga bukas na tanong upang masuri ang kanilang pag-unawa sa kanilang sitwasyon at matukoy ang anumang pamimilit. * **Alok ng Tulong:** Ipaalam sa kanila ang kanilang mga karapatan at ang pagkakaroon ng mga programa ng tulong para sa mga biktima ng trafficking. * **Idokumento ang Lahat:** Itala ang mga detalye ng pakikipag-ugnayan, kabilang ang mga obserbasyon sa gawi, hindi pagkakapare-pareho sa mga kuwento, at anumang pisikal na pinsala.
**3. Pag-uulat at Pakikipagtulungan:**
* **Mga Awtoridad ng Alerto:** Kaagad na iulat ang iyong mga hinala sa Inter-Agency Council Against Trafficking (IACAT) o sa Philippine National Police (PNP) Anti-Trafficking in Persons Unit (ATPU).
* **Hold para sa Karagdagang Pagsisiyasat:** Depende sa kalubhaan ng kaso, maaari kang pahintulutan na hawakan ang mga biyahero sa loob ng makatwirang panahon upang payagan ang karagdagang pagsisiyasat ng nagpapatupad ng batas.
* **Makipag-ugnayan sa Ibang Ahensya:** Makipagtulungan sa mga opisyal ng imigrasyon, mga social worker, at mga medikal na propesyonal kung kinakailangan, upang matiyak ang kaligtasan at kagalingan ng mga potensyal na biktima.
**4. Legal na Balangkas:**
Ang iyong mga aksyon ay sinusuportahan ng mga sumusunod na batas ng Pilipinas:
* **Republic Act No. (RA) 9208 o ang Anti-Trafficking in Persons Act of 2003:** Tinutukoy ang trafficking sa mga tao at binabalangkas ang mga pamamaraan sa pagsisiyasat.
* **Mga Panuntunan at Regulasyon ng Bureau of Customs (BOC):** Maaaring kabilang dito ang mga partikular na alituntunin para sa pagtukoy at pag-uulat ng pinaghihinalaang trafficking sa mga tawiran sa hangganan.
**Mahahalagang Pagsasaalang-alang:**
* **Paggalang sa Mga Karapatan:** Habang ang pagpigil sa mga indibidwal para sa imbestigasyon ay isang opsyon, unahin ang mga paliwanag at tratuhin ang lahat nang may paggalang.
* **Pagprotekta sa mga Biktima:** Ang pangunahing alalahanin ay ang pagtiyak sa kaligtasan at kagalingan ng mga potensyal na biktima ng trafficking.
* **Pagiging Kumpidensyal:** Panatilihin ang pagiging kompidensiyal upang maprotektahan ang mga potensyal na biktima mula sa paghihiganti.
Sa pamamagitan ng pagsunod sa mga hakbang na ito at paggamit ng legal na balangkas, maaari kang magkaroon ng mahalagang papel sa pagtukoy at pag-abala sa mga operasyon ng human trafficking sa mga hangganan ng Pilipinas. Tandaan, ang pakikipagtulungan sa ibang mga ahensya at pagbibigay-priyoridad sa kaligtasan ng biktima ay susi sa isang matagumpay na interbensyon.</v>
      </c>
      <c r="F2616" s="2">
        <f t="shared" si="1"/>
        <v>0</v>
      </c>
      <c r="G2616" s="2"/>
      <c r="H2616" s="2"/>
      <c r="I2616" s="2"/>
      <c r="J2616" s="2"/>
      <c r="K2616" s="2"/>
      <c r="L2616" s="2"/>
      <c r="M2616" s="2"/>
      <c r="N2616" s="2"/>
      <c r="O2616" s="2"/>
      <c r="P2616" s="2"/>
      <c r="Q2616" s="2"/>
      <c r="R2616" s="2"/>
      <c r="S2616" s="2"/>
      <c r="T2616" s="2"/>
      <c r="U2616" s="2"/>
      <c r="V2616" s="2"/>
      <c r="W2616" s="2"/>
      <c r="X2616" s="2"/>
      <c r="Y2616" s="2"/>
      <c r="Z2616" s="2"/>
      <c r="AA2616" s="2"/>
    </row>
    <row r="2617">
      <c r="A2617" s="3" t="s">
        <v>6112</v>
      </c>
      <c r="B2617" s="1" t="s">
        <v>6203</v>
      </c>
      <c r="C2617" s="1" t="s">
        <v>6204</v>
      </c>
      <c r="D2617" s="2" t="str">
        <f>IFERROR(__xludf.DUMMYFUNCTION("GOOGLETRANSLATE(B2617, ""en"", ""TL"")"),"Gumagamit ang isang trafficker ng isang lehitimong larangan ng negosyo para itago ang kanilang mga aktibidad. Anong mga legal na hakbang ang maaaring gawin upang matuklasan at matugunan ang ganitong uri ng operasyon ng trafficking?")</f>
        <v>Gumagamit ang isang trafficker ng isang lehitimong larangan ng negosyo para itago ang kanilang mga aktibidad. Anong mga legal na hakbang ang maaaring gawin upang matuklasan at matugunan ang ganitong uri ng operasyon ng trafficking?</v>
      </c>
      <c r="E2617" s="2" t="str">
        <f>IFERROR(__xludf.DUMMYFUNCTION("GOOGLETRANSLATE(C2617, ""en"", ""TL"")"),"Ang tagapagpatupad ng batas ng Pilipinas ay may ilang mga tool upang siyasatin at tugunan ang mga operasyon ng trafficking na nakatago sa likod ng mga lehitimong negosyo:
**Awtoridad at Ahensyang Kasangkot:**
* **Inter-Agency Council Against Trafficking ("&amp;"IACAT):** Ang IACAT ay ang nangungunang ahensya sa koordinasyon ng mga pagsisikap laban sa trafficking sa Pilipinas. Maaari silang mangalap ng katalinuhan at makipagtulungan sa ibang mga ahensya sa panahon ng mga pagsisiyasat.
* **Philippine National Poli"&amp;"ce (PNP):** Ang PNP ay may mga espesyal na yunit na nakatuon sa pag-iimbestiga sa human trafficking, tulad ng Women and Children Protection Center (WCPC). * **National Bureau of Investigation (NBI):** Ang NBI ay maaaring magsagawa ng mga undercover na ope"&amp;"rasyon at mangalap ng ebidensya na may kaugnayan sa mga aktibidad ng trafficking.
**Mga Legal na Panukala para sa Pagsisiyasat:**
* **Mga Warrant sa Paghahanap:** Batay sa malamang na dahilan, maaaring makakuha ng mga warrant ang tagapagpatupad ng batas u"&amp;"pang maghanap sa lugar ng negosyo para sa ebidensya ng mga aktibidad ng trafficking. Maaaring kabilang dito ang mga nakatagong kwarto, maling dokumentasyon, o mga talaan ng komunikasyon sa mga biktima.
* **Mga Pagsisiyasat sa Pinansyal:** Maaaring subayba"&amp;"yan ng mga awtoridad ang mga transaksyong pinansyal ng negosyo upang matukoy ang kahina-hinalang aktibidad. Ang mga hindi maipaliwanag na deposito ng pera o malalaking paglilipat sa mga indibidwal na nauugnay sa trafficking ay maaaring maging mga pulang b"&amp;"andila.
* **Testimonya ng Saksi:** Ang mga testimonya mula sa mga biktima, dating empleyado, o kahit na hindi nasisiyahang mga customer na naghihinala na may mali ay maaaring maging mahalaga sa pagbuo ng kaso.
* **Pagpaparehistro ng Negosyo at Pagsusuri s"&amp;"a Paglilisensya:** Ang mga hindi pagkakapare-pareho sa pagitan ng mga nakarehistrong aktibidad ng negosyo at ang aktwal na mga operasyon nito ay maaaring magtaas ng hinala at magbigay ng karagdagang imbestigasyon. **Mga Hamon at Pagsasaalang-alang:**
* **"&amp;"Pagtitipon ng Ebidensya:** Ang pagtuklas ng isang nakatagong operasyon ng trafficking ay maaaring maging mahirap. Ang ebidensiya ay maaaring maitago nang mabuti, at ang mga biktima ay maaaring natatakot na sumulong.
* **Pagtutulungan sa Pagitan ng mga Ahe"&amp;"nsya:** Ang epektibong pagbabahagi ng impormasyon at pakikipagtulungan sa pagitan ng IACAT, PNP, NBI, at iba pang nauugnay na ahensya ay mahalaga para sa matagumpay na pagsisiyasat.
**Pagharap sa Business Facade:**
* **Mga Batas sa Anti-Money Laundering ("&amp;"AML):** Ang Pilipinas ay may mga batas sa AML na nangangailangan ng mga negosyo na mag-ulat ng kahina-hinalang aktibidad sa pananalapi. Maaaring i-flag ng mga institusyong pampinansyal ang mga kahina-hinalang transaksyon na naka-link sa negosyo, na maaari"&amp;"ng mag-trigger ng mga pagsisiyasat.
* **Pagbawi ng Permit sa Negosyo:** Kung kinumpirma ng ebidensya na ang negosyo ay isang front para sa trafficking, maaaring isulong ng mga awtoridad ang legal na aksyon upang bawiin ang mga permit nito at isara ito.
Sa"&amp;" pamamagitan ng paggamit ng mga legal na hakbang na ito at pagpapatibay ng pakikipagtulungan sa pagitan ng mga ahensya, maaaring lansagin ng mga nagpapatupad ng batas ng Pilipinas ang mga operasyon ng trafficking na itinago bilang mga lehitimong negosyo a"&amp;"t panagutin ang mga may kasalanan.")</f>
        <v>Ang tagapagpatupad ng batas ng Pilipinas ay may ilang mga tool upang siyasatin at tugunan ang mga operasyon ng trafficking na nakatago sa likod ng mga lehitimong negosyo:
**Awtoridad at Ahensyang Kasangkot:**
* **Inter-Agency Council Against Trafficking (IACAT):** Ang IACAT ay ang nangungunang ahensya sa koordinasyon ng mga pagsisikap laban sa trafficking sa Pilipinas. Maaari silang mangalap ng katalinuhan at makipagtulungan sa ibang mga ahensya sa panahon ng mga pagsisiyasat.
* **Philippine National Police (PNP):** Ang PNP ay may mga espesyal na yunit na nakatuon sa pag-iimbestiga sa human trafficking, tulad ng Women and Children Protection Center (WCPC). * **National Bureau of Investigation (NBI):** Ang NBI ay maaaring magsagawa ng mga undercover na operasyon at mangalap ng ebidensya na may kaugnayan sa mga aktibidad ng trafficking.
**Mga Legal na Panukala para sa Pagsisiyasat:**
* **Mga Warrant sa Paghahanap:** Batay sa malamang na dahilan, maaaring makakuha ng mga warrant ang tagapagpatupad ng batas upang maghanap sa lugar ng negosyo para sa ebidensya ng mga aktibidad ng trafficking. Maaaring kabilang dito ang mga nakatagong kwarto, maling dokumentasyon, o mga talaan ng komunikasyon sa mga biktima.
* **Mga Pagsisiyasat sa Pinansyal:** Maaaring subaybayan ng mga awtoridad ang mga transaksyong pinansyal ng negosyo upang matukoy ang kahina-hinalang aktibidad. Ang mga hindi maipaliwanag na deposito ng pera o malalaking paglilipat sa mga indibidwal na nauugnay sa trafficking ay maaaring maging mga pulang bandila.
* **Testimonya ng Saksi:** Ang mga testimonya mula sa mga biktima, dating empleyado, o kahit na hindi nasisiyahang mga customer na naghihinala na may mali ay maaaring maging mahalaga sa pagbuo ng kaso.
* **Pagpaparehistro ng Negosyo at Pagsusuri sa Paglilisensya:** Ang mga hindi pagkakapare-pareho sa pagitan ng mga nakarehistrong aktibidad ng negosyo at ang aktwal na mga operasyon nito ay maaaring magtaas ng hinala at magbigay ng karagdagang imbestigasyon. **Mga Hamon at Pagsasaalang-alang:**
* **Pagtitipon ng Ebidensya:** Ang pagtuklas ng isang nakatagong operasyon ng trafficking ay maaaring maging mahirap. Ang ebidensiya ay maaaring maitago nang mabuti, at ang mga biktima ay maaaring natatakot na sumulong.
* **Pagtutulungan sa Pagitan ng mga Ahensya:** Ang epektibong pagbabahagi ng impormasyon at pakikipagtulungan sa pagitan ng IACAT, PNP, NBI, at iba pang nauugnay na ahensya ay mahalaga para sa matagumpay na pagsisiyasat.
**Pagharap sa Business Facade:**
* **Mga Batas sa Anti-Money Laundering (AML):** Ang Pilipinas ay may mga batas sa AML na nangangailangan ng mga negosyo na mag-ulat ng kahina-hinalang aktibidad sa pananalapi. Maaaring i-flag ng mga institusyong pampinansyal ang mga kahina-hinalang transaksyon na naka-link sa negosyo, na maaaring mag-trigger ng mga pagsisiyasat.
* **Pagbawi ng Permit sa Negosyo:** Kung kinumpirma ng ebidensya na ang negosyo ay isang front para sa trafficking, maaaring isulong ng mga awtoridad ang legal na aksyon upang bawiin ang mga permit nito at isara ito.
Sa pamamagitan ng paggamit ng mga legal na hakbang na ito at pagpapatibay ng pakikipagtulungan sa pagitan ng mga ahensya, maaaring lansagin ng mga nagpapatupad ng batas ng Pilipinas ang mga operasyon ng trafficking na itinago bilang mga lehitimong negosyo at panagutin ang mga may kasalanan.</v>
      </c>
      <c r="F2617" s="2">
        <f t="shared" si="1"/>
        <v>0</v>
      </c>
      <c r="G2617" s="2"/>
      <c r="H2617" s="2"/>
      <c r="I2617" s="2"/>
      <c r="J2617" s="2"/>
      <c r="K2617" s="2"/>
      <c r="L2617" s="2"/>
      <c r="M2617" s="2"/>
      <c r="N2617" s="2"/>
      <c r="O2617" s="2"/>
      <c r="P2617" s="2"/>
      <c r="Q2617" s="2"/>
      <c r="R2617" s="2"/>
      <c r="S2617" s="2"/>
      <c r="T2617" s="2"/>
      <c r="U2617" s="2"/>
      <c r="V2617" s="2"/>
      <c r="W2617" s="2"/>
      <c r="X2617" s="2"/>
      <c r="Y2617" s="2"/>
      <c r="Z2617" s="2"/>
      <c r="AA2617" s="2"/>
    </row>
    <row r="2618">
      <c r="A2618" s="3" t="s">
        <v>6112</v>
      </c>
      <c r="B2618" s="1" t="s">
        <v>6205</v>
      </c>
      <c r="C2618" s="1" t="s">
        <v>6206</v>
      </c>
      <c r="D2618" s="2" t="str">
        <f>IFERROR(__xludf.DUMMYFUNCTION("GOOGLETRANSLATE(B2618, ""en"", ""TL"")"),"Isang biktima ng human trafficking ay buntis. Anong mga legal na hakbang ang maaaring ipatupad upang matugunan ang mga partikular na pangangailangan at kahinaan ng mga buntis na biktima ng trafficking?")</f>
        <v>Isang biktima ng human trafficking ay buntis. Anong mga legal na hakbang ang maaaring ipatupad upang matugunan ang mga partikular na pangangailangan at kahinaan ng mga buntis na biktima ng trafficking?</v>
      </c>
      <c r="E2618" s="2" t="str">
        <f>IFERROR(__xludf.DUMMYFUNCTION("GOOGLETRANSLATE(C2618, ""en"", ""TL"")"),"Ang Pilipinas ay may ilang mga legal na hakbang na tumutugon sa mga partikular na pangangailangan at kahinaan ng mga buntis na biktima ng trafficking:
**Republic Act No. (RA) 9208 o ang Anti-Trafficking in Persons Act of 2003 (ATIP):**
* **Seksyon 15(d):*"&amp;"* Ginagarantiyahan ng seksyong ito ang **access sa pangangalagang medikal** para sa lahat ng biktima ng trafficking. Kabilang dito ang pangangalaga sa prenatal, mga serbisyo sa panganganak, at pangangalaga pagkatapos ng panganganak para sa mga buntis na b"&amp;"iktima. * **Seksyon 15(g):** Ipinag-uutos ng seksyong ito ang pagbibigay ng **mga serbisyo ng suportang psycho-social** sa mga biktima. Ito ay mahalaga para sa mga buntis na biktima na maaaring nakakaranas ng trauma, pagkabalisa, at depresyon.
**Ibang Kau"&amp;"gnay na Batas:**
* **Republic Act No. (RA) 11110 o ang Philippine Reproductive Health Law:** Ginagarantiyahan ng batas na ito ang **access sa mga serbisyong pangkalusugan sa reproduktibo**, kabilang ang pangangalaga sa prenatal, ligtas na panganganak, at "&amp;"mga opsyon sa pagpaplano ng pamilya. Ang mga buntis na biktima ng trafficking ay may karapatang gumawa ng matalinong mga desisyon tungkol sa kanilang kalusugan sa reproduktibo.
* **Department of Health (DOH) Administrative Order 2015-001:** Ang kautusang "&amp;"ito ay nagbabalangkas sa **National Guidelines for Minimum Standards for Maternity Care Facilities**. Tinitiyak nito na ang mga buntis na biktima ay tumatanggap ng de-kalidad na pangangalaga, anuman ang kanilang sitwasyon.
**Mga Karagdagang Pagsasaalang-a"&amp;"lang:**
* **Pagiging Kumpidensyal:** **Ang paggalang sa privacy** ng mga buntis na biktima ay mahalaga. Ang mga medikal na propesyonal at mga social worker ay dapat sumunod sa mga protocol ng pagiging kumpidensyal.
* **Trauma-Informed Care:** Ang mga taga"&amp;"pagbigay ng pangangalagang pangkalusugan ay dapat na sanayin sa **trauma-informed na pangangalaga** upang matiyak ang sensitibo at pansuportang pakikipag-ugnayan sa mga biktima.
* **Mga Pasilidad ng Shelter:** Ang mga shelter para sa mga biktima ng traffi"&amp;"cking ay dapat na nilagyan upang pangasiwaan ang mga pangangailangan ng mga buntis na kababaihan. Maaaring kabilang dito ang pagbibigay ng kumportableng mga kaayusan sa pagtulog, masustansyang pagkain, at pag-access sa mga prenatal na bitamina.
* **Social"&amp;" Support:** Ang mga buntis na biktima ay maaaring ihiwalay sa kanilang mga pamilya o mga network ng suporta. Makakatulong ang mga shelter at social worker na ikonekta sila sa mga support group o iba pang mapagkukunan upang labanan ang kalungkutan at pagka"&amp;"balisa.
**Ang pakikipagtulungan ay Susi:**
Ang mabisang pagpapatupad ng mga legal na hakbang na ito ay nangangailangan ng pakikipagtulungan sa pagitan ng iba't ibang stakeholder:
* **Ang mga ahensyang nagpapatupad ng batas** ay kailangang tukuyin ang mga "&amp;"buntis na biktima sa panahon ng mga rescue operation.
* **Ang mga ahensya ng panlipunang welfare** ay dapat magbigay ng mga ligtas na tirahan na may naaangkop na mga pasilidad.
* **Maaaring tiyakin ng Kagawaran ng Kalusugan (DOH)** ang pagkakaroon ng de-k"&amp;"alidad na pangangalagang medikal.
* **Ang mga NGO na dalubhasa sa kalusugan ng kababaihan at trafficking** ay maaaring magbigay ng karagdagang mga serbisyo ng suporta.
Sa pamamagitan ng pagtutulungan, masisiguro ng mga entity na ito ang pisikal at mental "&amp;"na kagalingan ng mga buntis na biktima ng trafficking sa Pilipinas. Tandaan, ang impormasyong ito ay hindi maaaring maging kapalit para sa propesyonal na legal na payo. Kung makatagpo ka ng sitwasyong kinasasangkutan ng isang buntis na biktima ng traffick"&amp;"ing, isaalang-alang ang pakikipag-ugnayan sa IACAT (Inter-Agency Council Against Trafficking) o mga NGO na dalubhasa sa anti-trafficking para sa karagdagang gabay.")</f>
        <v>Ang Pilipinas ay may ilang mga legal na hakbang na tumutugon sa mga partikular na pangangailangan at kahinaan ng mga buntis na biktima ng trafficking:
**Republic Act No. (RA) 9208 o ang Anti-Trafficking in Persons Act of 2003 (ATIP):**
* **Seksyon 15(d):** Ginagarantiyahan ng seksyong ito ang **access sa pangangalagang medikal** para sa lahat ng biktima ng trafficking. Kabilang dito ang pangangalaga sa prenatal, mga serbisyo sa panganganak, at pangangalaga pagkatapos ng panganganak para sa mga buntis na biktima. * **Seksyon 15(g):** Ipinag-uutos ng seksyong ito ang pagbibigay ng **mga serbisyo ng suportang psycho-social** sa mga biktima. Ito ay mahalaga para sa mga buntis na biktima na maaaring nakakaranas ng trauma, pagkabalisa, at depresyon.
**Ibang Kaugnay na Batas:**
* **Republic Act No. (RA) 11110 o ang Philippine Reproductive Health Law:** Ginagarantiyahan ng batas na ito ang **access sa mga serbisyong pangkalusugan sa reproduktibo**, kabilang ang pangangalaga sa prenatal, ligtas na panganganak, at mga opsyon sa pagpaplano ng pamilya. Ang mga buntis na biktima ng trafficking ay may karapatang gumawa ng matalinong mga desisyon tungkol sa kanilang kalusugan sa reproduktibo.
* **Department of Health (DOH) Administrative Order 2015-001:** Ang kautusang ito ay nagbabalangkas sa **National Guidelines for Minimum Standards for Maternity Care Facilities**. Tinitiyak nito na ang mga buntis na biktima ay tumatanggap ng de-kalidad na pangangalaga, anuman ang kanilang sitwasyon.
**Mga Karagdagang Pagsasaalang-alang:**
* **Pagiging Kumpidensyal:** **Ang paggalang sa privacy** ng mga buntis na biktima ay mahalaga. Ang mga medikal na propesyonal at mga social worker ay dapat sumunod sa mga protocol ng pagiging kumpidensyal.
* **Trauma-Informed Care:** Ang mga tagapagbigay ng pangangalagang pangkalusugan ay dapat na sanayin sa **trauma-informed na pangangalaga** upang matiyak ang sensitibo at pansuportang pakikipag-ugnayan sa mga biktima.
* **Mga Pasilidad ng Shelter:** Ang mga shelter para sa mga biktima ng trafficking ay dapat na nilagyan upang pangasiwaan ang mga pangangailangan ng mga buntis na kababaihan. Maaaring kabilang dito ang pagbibigay ng kumportableng mga kaayusan sa pagtulog, masustansyang pagkain, at pag-access sa mga prenatal na bitamina.
* **Social Support:** Ang mga buntis na biktima ay maaaring ihiwalay sa kanilang mga pamilya o mga network ng suporta. Makakatulong ang mga shelter at social worker na ikonekta sila sa mga support group o iba pang mapagkukunan upang labanan ang kalungkutan at pagkabalisa.
**Ang pakikipagtulungan ay Susi:**
Ang mabisang pagpapatupad ng mga legal na hakbang na ito ay nangangailangan ng pakikipagtulungan sa pagitan ng iba't ibang stakeholder:
* **Ang mga ahensyang nagpapatupad ng batas** ay kailangang tukuyin ang mga buntis na biktima sa panahon ng mga rescue operation.
* **Ang mga ahensya ng panlipunang welfare** ay dapat magbigay ng mga ligtas na tirahan na may naaangkop na mga pasilidad.
* **Maaaring tiyakin ng Kagawaran ng Kalusugan (DOH)** ang pagkakaroon ng de-kalidad na pangangalagang medikal.
* **Ang mga NGO na dalubhasa sa kalusugan ng kababaihan at trafficking** ay maaaring magbigay ng karagdagang mga serbisyo ng suporta.
Sa pamamagitan ng pagtutulungan, masisiguro ng mga entity na ito ang pisikal at mental na kagalingan ng mga buntis na biktima ng trafficking sa Pilipinas. Tandaan, ang impormasyong ito ay hindi maaaring maging kapalit para sa propesyonal na legal na payo. Kung makatagpo ka ng sitwasyong kinasasangkutan ng isang buntis na biktima ng trafficking, isaalang-alang ang pakikipag-ugnayan sa IACAT (Inter-Agency Council Against Trafficking) o mga NGO na dalubhasa sa anti-trafficking para sa karagdagang gabay.</v>
      </c>
      <c r="F2618" s="2">
        <f t="shared" si="1"/>
        <v>0</v>
      </c>
      <c r="G2618" s="2"/>
      <c r="H2618" s="2"/>
      <c r="I2618" s="2"/>
      <c r="J2618" s="2"/>
      <c r="K2618" s="2"/>
      <c r="L2618" s="2"/>
      <c r="M2618" s="2"/>
      <c r="N2618" s="2"/>
      <c r="O2618" s="2"/>
      <c r="P2618" s="2"/>
      <c r="Q2618" s="2"/>
      <c r="R2618" s="2"/>
      <c r="S2618" s="2"/>
      <c r="T2618" s="2"/>
      <c r="U2618" s="2"/>
      <c r="V2618" s="2"/>
      <c r="W2618" s="2"/>
      <c r="X2618" s="2"/>
      <c r="Y2618" s="2"/>
      <c r="Z2618" s="2"/>
      <c r="AA2618" s="2"/>
    </row>
    <row r="2619">
      <c r="A2619" s="3" t="s">
        <v>6112</v>
      </c>
      <c r="B2619" s="1" t="s">
        <v>6207</v>
      </c>
      <c r="C2619" s="1" t="s">
        <v>6208</v>
      </c>
      <c r="D2619" s="2" t="str">
        <f>IFERROR(__xludf.DUMMYFUNCTION("GOOGLETRANSLATE(B2619, ""en"", ""TL"")"),"Ang isang indibidwal ay iniligtas mula sa human trafficking ngunit tumanggi na makipagtulungan sa pagpapatupad ng batas. Anong mga legal na kahihinatnan, kung mayroon man, ang dapat nilang harapin para sa hindi pakikipagtulungan?")</f>
        <v>Ang isang indibidwal ay iniligtas mula sa human trafficking ngunit tumanggi na makipagtulungan sa pagpapatupad ng batas. Anong mga legal na kahihinatnan, kung mayroon man, ang dapat nilang harapin para sa hindi pakikipagtulungan?</v>
      </c>
      <c r="E2619" s="2" t="str">
        <f>IFERROR(__xludf.DUMMYFUNCTION("GOOGLETRANSLATE(C2619, ""en"", ""TL"")"),"Sa Pilipinas, **walang legal na kahihinatnan** para sa isang biktima ng human trafficking na tumangging makipagtulungan sa pagpapatupad ng batas. Narito kung bakit:
* **Pag-unawa sa Trauma:** Ang human trafficking ay isang kasuklam-suklam na krimen na maa"&amp;"aring mag-iwan ng pangmatagalang sikolohikal na peklat. Ang mga biktima ay maaaring natatakot sa paghihiganti, hindi nagtitiwala sa mga awtoridad dahil sa mga nakaraang karanasan, o sa isang estado ng pagkabigla na nagpapahirap sa pakikipagtulungan.
* **T"&amp;"umutok sa Proteksyon ng Biktima:** Ang batas ng Pilipinas ay inuuna ang proteksyon at pagbawi ng biktima. **RA 9208 (Anti-Trafficking in Persons Act)**, partikular na **Section 15**, ay nagbibigay-diin sa pagtiyak sa kaligtasan, kagalingan, at pagbawi ng "&amp;"mga biktima. * **Paggalang sa Awtonomiya ng Biktima:** Kahit na ang pakikipagtulungan ay maaaring makatulong sa pag-uusig sa mga trafficker, ang pagpilit sa isang biktima na lumahok ay maaaring mag-trauma sa kanila. Kinikilala ng batas ang karapatan ng bi"&amp;"ktima na pumili kung paano nila gustong magpatuloy. **Ano ang Magagawa?**
* **Suporta at Tulong:** Ang tagapagpatupad ng batas at mga ahensya ng serbisyong panlipunan ay dapat tumuon sa pagbibigay ng **suporta at tulong** sa biktima. Maaaring kabilang dit"&amp;"o ang:
* Ligtas na tirahan
* Pangangalagang medikal
* Sikolohikal na pagpapayo
* Legal na tulong (kahit na ayaw nilang makasuhan)
* **Alternatibong Paraan ng Pagsisiyasat:** Dapat tuklasin ng tagapagpatupad ng batas ang **mga alternatibong paraan upang ma"&amp;"ngalap ng ebidensya** upang usigin ang trafficker. Maaaring kabilang dito ang mga testimonya ng saksi mula sa iba na nakatakas o nakikinabang sa mga kasalukuyang nangunguna sa pagsisiyasat.
**Mga Karagdagang Pagsasaalang-alang:**
* **Mga Dahilan ng Hindi "&amp;"Pakikipagtulungan:** Ang pag-unawa kung bakit nag-aalangan ang biktima na makipagtulungan ay maaaring makatulong na maiangkop ang suporta at matugunan ang anumang pinagbabatayan na takot. * **Pagbuo ng Tiwala:** Ang mga opisyal ng pagpapatupad ng batas ay"&amp;" maaaring bumuo ng tiwala sa biktima sa pamamagitan ng pagiging matiyaga, magalang, at pagbibigay-priyoridad sa kanilang kaligtasan.
* **Pangmatagalang Suporta:** Kahit na ang biktima sa una ay hindi nakikipagtulungan, ang pag-aalok ng patuloy na mga serb"&amp;"isyo ng suporta ay nagpapanatili ng pinto para sa pakikipagtulungan sa hinaharap kung magbago ang kanilang isip.
Kinikilala ng sistemang legal ng Pilipinas ang kahinaan ng mga biktima ng trafficking at inuuna ang kanilang kapakanan. Bagama't mahalaga ang "&amp;"kooperasyon, hindi ito dapat mapinsala sa kaligtasan at paggaling ng biktima.")</f>
        <v>Sa Pilipinas, **walang legal na kahihinatnan** para sa isang biktima ng human trafficking na tumangging makipagtulungan sa pagpapatupad ng batas. Narito kung bakit:
* **Pag-unawa sa Trauma:** Ang human trafficking ay isang kasuklam-suklam na krimen na maaaring mag-iwan ng pangmatagalang sikolohikal na peklat. Ang mga biktima ay maaaring natatakot sa paghihiganti, hindi nagtitiwala sa mga awtoridad dahil sa mga nakaraang karanasan, o sa isang estado ng pagkabigla na nagpapahirap sa pakikipagtulungan.
* **Tumutok sa Proteksyon ng Biktima:** Ang batas ng Pilipinas ay inuuna ang proteksyon at pagbawi ng biktima. **RA 9208 (Anti-Trafficking in Persons Act)**, partikular na **Section 15**, ay nagbibigay-diin sa pagtiyak sa kaligtasan, kagalingan, at pagbawi ng mga biktima. * **Paggalang sa Awtonomiya ng Biktima:** Kahit na ang pakikipagtulungan ay maaaring makatulong sa pag-uusig sa mga trafficker, ang pagpilit sa isang biktima na lumahok ay maaaring mag-trauma sa kanila. Kinikilala ng batas ang karapatan ng biktima na pumili kung paano nila gustong magpatuloy. **Ano ang Magagawa?**
* **Suporta at Tulong:** Ang tagapagpatupad ng batas at mga ahensya ng serbisyong panlipunan ay dapat tumuon sa pagbibigay ng **suporta at tulong** sa biktima. Maaaring kabilang dito ang:
* Ligtas na tirahan
* Pangangalagang medikal
* Sikolohikal na pagpapayo
* Legal na tulong (kahit na ayaw nilang makasuhan)
* **Alternatibong Paraan ng Pagsisiyasat:** Dapat tuklasin ng tagapagpatupad ng batas ang **mga alternatibong paraan upang mangalap ng ebidensya** upang usigin ang trafficker. Maaaring kabilang dito ang mga testimonya ng saksi mula sa iba na nakatakas o nakikinabang sa mga kasalukuyang nangunguna sa pagsisiyasat.
**Mga Karagdagang Pagsasaalang-alang:**
* **Mga Dahilan ng Hindi Pakikipagtulungan:** Ang pag-unawa kung bakit nag-aalangan ang biktima na makipagtulungan ay maaaring makatulong na maiangkop ang suporta at matugunan ang anumang pinagbabatayan na takot. * **Pagbuo ng Tiwala:** Ang mga opisyal ng pagpapatupad ng batas ay maaaring bumuo ng tiwala sa biktima sa pamamagitan ng pagiging matiyaga, magalang, at pagbibigay-priyoridad sa kanilang kaligtasan.
* **Pangmatagalang Suporta:** Kahit na ang biktima sa una ay hindi nakikipagtulungan, ang pag-aalok ng patuloy na mga serbisyo ng suporta ay nagpapanatili ng pinto para sa pakikipagtulungan sa hinaharap kung magbago ang kanilang isip.
Kinikilala ng sistemang legal ng Pilipinas ang kahinaan ng mga biktima ng trafficking at inuuna ang kanilang kapakanan. Bagama't mahalaga ang kooperasyon, hindi ito dapat mapinsala sa kaligtasan at paggaling ng biktima.</v>
      </c>
      <c r="F2619" s="2">
        <f t="shared" si="1"/>
        <v>0</v>
      </c>
      <c r="G2619" s="2"/>
      <c r="H2619" s="2"/>
      <c r="I2619" s="2"/>
      <c r="J2619" s="2"/>
      <c r="K2619" s="2"/>
      <c r="L2619" s="2"/>
      <c r="M2619" s="2"/>
      <c r="N2619" s="2"/>
      <c r="O2619" s="2"/>
      <c r="P2619" s="2"/>
      <c r="Q2619" s="2"/>
      <c r="R2619" s="2"/>
      <c r="S2619" s="2"/>
      <c r="T2619" s="2"/>
      <c r="U2619" s="2"/>
      <c r="V2619" s="2"/>
      <c r="W2619" s="2"/>
      <c r="X2619" s="2"/>
      <c r="Y2619" s="2"/>
      <c r="Z2619" s="2"/>
      <c r="AA2619" s="2"/>
    </row>
    <row r="2620">
      <c r="A2620" s="3" t="s">
        <v>6112</v>
      </c>
      <c r="B2620" s="1" t="s">
        <v>6209</v>
      </c>
      <c r="C2620" s="1" t="s">
        <v>6210</v>
      </c>
      <c r="D2620" s="2" t="str">
        <f>IFERROR(__xludf.DUMMYFUNCTION("GOOGLETRANSLATE(B2620, ""en"", ""TL"")"),"Ang isang biktima ng human trafficking ay kinilala bilang saksi sa maraming kaso. Anong mga legal na probisyon ang umiiral upang i-streamline ang legal na proseso at protektahan ang mga karapatan ng biktima?")</f>
        <v>Ang isang biktima ng human trafficking ay kinilala bilang saksi sa maraming kaso. Anong mga legal na probisyon ang umiiral upang i-streamline ang legal na proseso at protektahan ang mga karapatan ng biktima?</v>
      </c>
      <c r="E2620" s="2" t="str">
        <f>IFERROR(__xludf.DUMMYFUNCTION("GOOGLETRANSLATE(C2620, ""en"", ""TL"")"),"Ang sistemang legal ng Pilipinas ay nag-aalok ng ilang mga probisyon upang i-streamline ang legal na proseso at protektahan ang mga karapatan ng isang biktima ng human trafficking na kinilala bilang saksi sa maraming kaso:
**Mga Panukala sa Proteksyon sa "&amp;"ilalim ng RA 9208 (Anti-Trafficking in Persons Act):**
* **Seksyon 15(e):** Ginagarantiyahan ng seksyong ito ang **proteksyon ng saksi** para sa mga biktima na nakikipagtulungan sa mga pagsisiyasat at pag-uusig. Ang pamahalaan, sa pamamagitan ng IACAT (In"&amp;"ter-Agency Council Against Trafficking), ay maaaring magbigay ng iba't ibang anyo ng proteksyon, kabilang ang:
* Ligtas na tirahan sa mga silungan
* Mga hakbang sa seguridad upang matiyak ang kaligtasan mula sa mga trafficker
* Pagbabago ng pagkakakilanla"&amp;"n (sa matinding kaso)
* **Seksyon 17:** Ang seksyong ito ay nag-uutos ng **legal na tulong** sa mga biktima sa buong proseso ng hudikatura. Ang pamahalaan ay maaaring magbigay ng isang abogado upang kumatawan sa biktima sa lahat ng mga kaugnay na kaso.
**"&amp;"Mga Espesyal na Pamamaraan para sa Mga Mahinang Saksi:**
* **Rule 119, Section 10 of the Rules of Court:** Ang panuntunang ito ay nagbibigay-daan para sa pagsasagawa ng **closed-circuit television (CCTV) depositions** para sa mga bulnerableng saksi, kabil"&amp;"ang ang mga biktima ng trafficking. Pinoprotektahan sila nito mula sa pananakot sa pamamagitan ng pagpapatotoo sa isang hiwalay na lokasyon mula sa mga akusado.
* **Rule 138, Section 1 of the Rules of Court:** Ang panuntunang ito ay nagpapahintulot sa kor"&amp;"te na **gumamit ng mga video recording o transcript ng mga testimonya** na kinuha sa yugto ng pagsisiyasat bilang ebidensya sa panahon ng paglilitis. Binabawasan nito ang bilang ng beses na kailangang ikwento ng biktima ang kanilang karanasan.
**Mga Karag"&amp;"dagang Pagsasaalang-alang:**
* **Mga Pamamaraan para sa Biktima:** Hinihikayat ang mga hukuman na magpatibay ng **mga pamamaraang angkop sa biktima** na nagpapaliit sa trauma ng pagpapatotoo. Maaaring kabilang dito ang pagpayag sa mga pahinga, paggamit ng"&amp;" simpleng pananalita, at pagbibigay ng emosyonal na suporta.
* **Koordinasyon sa pagitan ng mga Ahensya:** **Ang IACAT at mga ahensyang nagpapatupad ng batas** ay dapat magtulungan upang matiyak ang maayos at maayos na proseso para sa biktima habang sila "&amp;"ay lumahok sa maraming kaso.
* **Sikolohikal na Suporta:** Ang pag-access sa **trauma-informed psychological services** ay mahalaga para sa mga biktima na makayanan ang karanasan at mabisang makilahok sa legal na proseso. Sa pamamagitan ng paggamit ng mga"&amp;" legal na probisyon na ito at pagtaguyod ng isang sumusuportang kapaligiran, mapoprotektahan ng sistema ng hustisya sa Pilipinas ang mga karapatan ng mga biktima ng trafficking na kumikilos bilang mga saksi habang tinitiyak ang isang mas mahusay na proses"&amp;"o para sa pananagutan sa mga trafficker.")</f>
        <v>Ang sistemang legal ng Pilipinas ay nag-aalok ng ilang mga probisyon upang i-streamline ang legal na proseso at protektahan ang mga karapatan ng isang biktima ng human trafficking na kinilala bilang saksi sa maraming kaso:
**Mga Panukala sa Proteksyon sa ilalim ng RA 9208 (Anti-Trafficking in Persons Act):**
* **Seksyon 15(e):** Ginagarantiyahan ng seksyong ito ang **proteksyon ng saksi** para sa mga biktima na nakikipagtulungan sa mga pagsisiyasat at pag-uusig. Ang pamahalaan, sa pamamagitan ng IACAT (Inter-Agency Council Against Trafficking), ay maaaring magbigay ng iba't ibang anyo ng proteksyon, kabilang ang:
* Ligtas na tirahan sa mga silungan
* Mga hakbang sa seguridad upang matiyak ang kaligtasan mula sa mga trafficker
* Pagbabago ng pagkakakilanlan (sa matinding kaso)
* **Seksyon 17:** Ang seksyong ito ay nag-uutos ng **legal na tulong** sa mga biktima sa buong proseso ng hudikatura. Ang pamahalaan ay maaaring magbigay ng isang abogado upang kumatawan sa biktima sa lahat ng mga kaugnay na kaso.
**Mga Espesyal na Pamamaraan para sa Mga Mahinang Saksi:**
* **Rule 119, Section 10 of the Rules of Court:** Ang panuntunang ito ay nagbibigay-daan para sa pagsasagawa ng **closed-circuit television (CCTV) depositions** para sa mga bulnerableng saksi, kabilang ang mga biktima ng trafficking. Pinoprotektahan sila nito mula sa pananakot sa pamamagitan ng pagpapatotoo sa isang hiwalay na lokasyon mula sa mga akusado.
* **Rule 138, Section 1 of the Rules of Court:** Ang panuntunang ito ay nagpapahintulot sa korte na **gumamit ng mga video recording o transcript ng mga testimonya** na kinuha sa yugto ng pagsisiyasat bilang ebidensya sa panahon ng paglilitis. Binabawasan nito ang bilang ng beses na kailangang ikwento ng biktima ang kanilang karanasan.
**Mga Karagdagang Pagsasaalang-alang:**
* **Mga Pamamaraan para sa Biktima:** Hinihikayat ang mga hukuman na magpatibay ng **mga pamamaraang angkop sa biktima** na nagpapaliit sa trauma ng pagpapatotoo. Maaaring kabilang dito ang pagpayag sa mga pahinga, paggamit ng simpleng pananalita, at pagbibigay ng emosyonal na suporta.
* **Koordinasyon sa pagitan ng mga Ahensya:** **Ang IACAT at mga ahensyang nagpapatupad ng batas** ay dapat magtulungan upang matiyak ang maayos at maayos na proseso para sa biktima habang sila ay lumahok sa maraming kaso.
* **Sikolohikal na Suporta:** Ang pag-access sa **trauma-informed psychological services** ay mahalaga para sa mga biktima na makayanan ang karanasan at mabisang makilahok sa legal na proseso. Sa pamamagitan ng paggamit ng mga legal na probisyon na ito at pagtaguyod ng isang sumusuportang kapaligiran, mapoprotektahan ng sistema ng hustisya sa Pilipinas ang mga karapatan ng mga biktima ng trafficking na kumikilos bilang mga saksi habang tinitiyak ang isang mas mahusay na proseso para sa pananagutan sa mga trafficker.</v>
      </c>
      <c r="F2620" s="2">
        <f t="shared" si="1"/>
        <v>0</v>
      </c>
      <c r="G2620" s="2"/>
      <c r="H2620" s="2"/>
      <c r="I2620" s="2"/>
      <c r="J2620" s="2"/>
      <c r="K2620" s="2"/>
      <c r="L2620" s="2"/>
      <c r="M2620" s="2"/>
      <c r="N2620" s="2"/>
      <c r="O2620" s="2"/>
      <c r="P2620" s="2"/>
      <c r="Q2620" s="2"/>
      <c r="R2620" s="2"/>
      <c r="S2620" s="2"/>
      <c r="T2620" s="2"/>
      <c r="U2620" s="2"/>
      <c r="V2620" s="2"/>
      <c r="W2620" s="2"/>
      <c r="X2620" s="2"/>
      <c r="Y2620" s="2"/>
      <c r="Z2620" s="2"/>
      <c r="AA2620" s="2"/>
    </row>
    <row r="2621">
      <c r="A2621" s="3" t="s">
        <v>6112</v>
      </c>
      <c r="B2621" s="1" t="s">
        <v>6211</v>
      </c>
      <c r="C2621" s="1" t="s">
        <v>6212</v>
      </c>
      <c r="D2621" s="2" t="str">
        <f>IFERROR(__xludf.DUMMYFUNCTION("GOOGLETRANSLATE(B2621, ""en"", ""TL"")"),"Ang isang trafficker ay nagsasamantala sa mga indibidwal sa loob ng lokal na setting. Anong mga legal na hamon at pagsasaalang-alang ang dapat isaalang-alang kapag tinutugunan ang trafficking sa loob ng mga sambahayan?")</f>
        <v>Ang isang trafficker ay nagsasamantala sa mga indibidwal sa loob ng lokal na setting. Anong mga legal na hamon at pagsasaalang-alang ang dapat isaalang-alang kapag tinutugunan ang trafficking sa loob ng mga sambahayan?</v>
      </c>
      <c r="E2621" s="2" t="str">
        <f>IFERROR(__xludf.DUMMYFUNCTION("GOOGLETRANSLATE(C2621, ""en"", ""TL"")"),"Narito ang ilang legal na hamon at pagsasaalang-alang kapag tinutugunan ang trafficking sa loob ng mga sambahayan sa Pilipinas:
**Mga Hamon:**
* **Limitadong Saklaw ng RA 9208:** Bagama't malawak na tinukoy ng RA 9208 ang trafficking, pangunahing nakatuon"&amp;" ito sa komersyal na sex trafficking at sapilitang paggawa. Ang pagsasamantala sa loob ng mga sambahayan ay maaaring mahulog sa isang kulay-abo na lugar, na nagpapahirap sa pag-uusig.
* **Patunay ng Pagpipilit:** Ang ebidensya ay mahalaga sa anumang legal"&amp;" na kaso. Ang pangangalap ng patunay ng pamimilit sa loob ng isang sambahayan ay maaaring maging mahirap, lalo na kapag ang mga biktima ay nag-aalangan na lumapit dahil sa takot o pag-asa sa trafficker (kadalasang miyembro ng pamilya).
* **Mga Isyu sa Hur"&amp;"isdiksiyon:** Ang trafficking sa loob ng isang sambahayan ay makikita bilang isang domestic na alalahanin, na ginagawang maselan ang interbensyon sa pagpapatupad ng batas. Maaaring mag-alinlangan ang pulisya na masangkot sa tila ""pribado"" na mga bagay. "&amp;"**Mga Pagsasaalang-alang:**
* **Vulnerable Groups:** Ang mga bata, matatanda, at mga taong may kapansanan ay partikular na mahina sa domestic trafficking. Maghanap ng mga palatandaan ng pagsasamantala na partikular sa mga pangkat na ito. * **Psychological"&amp;" Coercion:** Ang mga pagbabanta, paghihiwalay, at emosyonal na pagmamanipula ay maaaring maging makapangyarihang mga tool ng kontrol. Isaalang-alang ang mga anyo ng pamimilit kasama ng mga pisikal na pagbabanta.
* **Pagtitipon ng Ebidensya:** Ang mga test"&amp;"imonya ng saksi, mga medikal na rekord, at mga talaan ng komunikasyon (kung ang mga biktima ay may access sa mga telepono) ay maaaring maging mahalagang ebidensya. Hikayatin ang mga biktima na magtapat sa isang taong pinagkakatiwalaan nila na maaaring pat"&amp;"unayan ang kanilang kuwento. * **Proteksyon sa Biktima:** Maaaring mag-alinlangan ang mga biktima na umalis sa isang pamilyar na kapaligiran, kahit na isang mapang-abuso. Tiyakin ang pag-access sa mga ligtas na tirahan at mga serbisyo ng suportang may kaa"&amp;"laman sa trauma.
* **Community Outreach:** Itaas ang kamalayan sa domestic trafficking sa mga komunidad upang hikayatin ang mga biktima na lumapit at para sa mga bystanders na mag-ulat ng kahina-hinalang aktibidad.
**Mga Karagdagang Mapagkukunan:**
* **In"&amp;"ter-Agency Council Against Trafficking (IACAT):** [https://iacat.gov.ph/](https://iacat.gov.ph/)
* **Mga NGO na dalubhasa sa Anti-Trafficking:** Ilang NGO ang nagtatrabaho upang labanan ang trafficking sa Pilipinas. Ang isang mabilis na paghahanap sa inte"&amp;"rnet ay makakatulong sa iyo na makahanap ng isa sa iyong lugar.
Sa pamamagitan ng pag-unawa sa mga hamon at pagsasaalang-alang na ito, ang mga awtoridad at tagapagtaguyod ay maaaring gumana nang mas epektibo upang matukoy at matugunan ang domestic traffic"&amp;"king sa Pilipinas. Tandaan, ang kaligtasan at kagalingan ng mga biktima ay pinakamahalaga.")</f>
        <v>Narito ang ilang legal na hamon at pagsasaalang-alang kapag tinutugunan ang trafficking sa loob ng mga sambahayan sa Pilipinas:
**Mga Hamon:**
* **Limitadong Saklaw ng RA 9208:** Bagama't malawak na tinukoy ng RA 9208 ang trafficking, pangunahing nakatuon ito sa komersyal na sex trafficking at sapilitang paggawa. Ang pagsasamantala sa loob ng mga sambahayan ay maaaring mahulog sa isang kulay-abo na lugar, na nagpapahirap sa pag-uusig.
* **Patunay ng Pagpipilit:** Ang ebidensya ay mahalaga sa anumang legal na kaso. Ang pangangalap ng patunay ng pamimilit sa loob ng isang sambahayan ay maaaring maging mahirap, lalo na kapag ang mga biktima ay nag-aalangan na lumapit dahil sa takot o pag-asa sa trafficker (kadalasang miyembro ng pamilya).
* **Mga Isyu sa Hurisdiksiyon:** Ang trafficking sa loob ng isang sambahayan ay makikita bilang isang domestic na alalahanin, na ginagawang maselan ang interbensyon sa pagpapatupad ng batas. Maaaring mag-alinlangan ang pulisya na masangkot sa tila "pribado" na mga bagay. **Mga Pagsasaalang-alang:**
* **Vulnerable Groups:** Ang mga bata, matatanda, at mga taong may kapansanan ay partikular na mahina sa domestic trafficking. Maghanap ng mga palatandaan ng pagsasamantala na partikular sa mga pangkat na ito. * **Psychological Coercion:** Ang mga pagbabanta, paghihiwalay, at emosyonal na pagmamanipula ay maaaring maging makapangyarihang mga tool ng kontrol. Isaalang-alang ang mga anyo ng pamimilit kasama ng mga pisikal na pagbabanta.
* **Pagtitipon ng Ebidensya:** Ang mga testimonya ng saksi, mga medikal na rekord, at mga talaan ng komunikasyon (kung ang mga biktima ay may access sa mga telepono) ay maaaring maging mahalagang ebidensya. Hikayatin ang mga biktima na magtapat sa isang taong pinagkakatiwalaan nila na maaaring patunayan ang kanilang kuwento. * **Proteksyon sa Biktima:** Maaaring mag-alinlangan ang mga biktima na umalis sa isang pamilyar na kapaligiran, kahit na isang mapang-abuso. Tiyakin ang pag-access sa mga ligtas na tirahan at mga serbisyo ng suportang may kaalaman sa trauma.
* **Community Outreach:** Itaas ang kamalayan sa domestic trafficking sa mga komunidad upang hikayatin ang mga biktima na lumapit at para sa mga bystanders na mag-ulat ng kahina-hinalang aktibidad.
**Mga Karagdagang Mapagkukunan:**
* **Inter-Agency Council Against Trafficking (IACAT):** [https://iacat.gov.ph/](https://iacat.gov.ph/)
* **Mga NGO na dalubhasa sa Anti-Trafficking:** Ilang NGO ang nagtatrabaho upang labanan ang trafficking sa Pilipinas. Ang isang mabilis na paghahanap sa internet ay makakatulong sa iyo na makahanap ng isa sa iyong lugar.
Sa pamamagitan ng pag-unawa sa mga hamon at pagsasaalang-alang na ito, ang mga awtoridad at tagapagtaguyod ay maaaring gumana nang mas epektibo upang matukoy at matugunan ang domestic trafficking sa Pilipinas. Tandaan, ang kaligtasan at kagalingan ng mga biktima ay pinakamahalaga.</v>
      </c>
      <c r="F2621" s="2">
        <f t="shared" si="1"/>
        <v>0</v>
      </c>
      <c r="G2621" s="2"/>
      <c r="H2621" s="2"/>
      <c r="I2621" s="2"/>
      <c r="J2621" s="2"/>
      <c r="K2621" s="2"/>
      <c r="L2621" s="2"/>
      <c r="M2621" s="2"/>
      <c r="N2621" s="2"/>
      <c r="O2621" s="2"/>
      <c r="P2621" s="2"/>
      <c r="Q2621" s="2"/>
      <c r="R2621" s="2"/>
      <c r="S2621" s="2"/>
      <c r="T2621" s="2"/>
      <c r="U2621" s="2"/>
      <c r="V2621" s="2"/>
      <c r="W2621" s="2"/>
      <c r="X2621" s="2"/>
      <c r="Y2621" s="2"/>
      <c r="Z2621" s="2"/>
      <c r="AA2621" s="2"/>
    </row>
    <row r="2622">
      <c r="A2622" s="1" t="s">
        <v>6213</v>
      </c>
      <c r="B2622" s="1" t="s">
        <v>6214</v>
      </c>
      <c r="C2622" s="1" t="s">
        <v>6215</v>
      </c>
      <c r="D2622" s="2" t="str">
        <f>IFERROR(__xludf.DUMMYFUNCTION("GOOGLETRANSLATE(B2622, ""en"", ""TL"")"),"Ginagamit ng isang pinaghihinalaang trafficker ang banta ng deportasyon para kontrolin ang mga biktima. Anong mga legal na hakbang ang maaaring ipatupad upang matugunan ang ganitong uri ng pamimilit at protektahan ang mga biktima?")</f>
        <v>Ginagamit ng isang pinaghihinalaang trafficker ang banta ng deportasyon para kontrolin ang mga biktima. Anong mga legal na hakbang ang maaaring ipatupad upang matugunan ang ganitong uri ng pamimilit at protektahan ang mga biktima?</v>
      </c>
      <c r="E2622" s="2" t="str">
        <f>IFERROR(__xludf.DUMMYFUNCTION("GOOGLETRANSLATE(C2622, ""en"", ""TL"")"),"Tinutugunan ng ilang batas ng Pilipinas ang sitwasyong inilarawan mo at nagbibigay ng mga legal na hakbang upang protektahan ang mga biktima:
**Republic Act No. (RA) 9208 o ang Anti-Trafficking in Persons Act of 2003:**
* **Seksyon 6** ay tumutukoy sa Tra"&amp;"fficking in Persons (TIP) na maaaring magsama ng mga banta upang matiyak ang pagsunod ng biktima. * **Seksyon 11** ay binabalangkas ang Mga Gawa na Bumubuo ng Trafficking in Persons. Maaaring kabilang dito ang mga banta ng deportasyon na ginamit bilang pa"&amp;"raan ng pamimilit. * **Seksyon 15** ay nagdedetalye ng Mga Panukala sa Proteksyon para sa mga Na-traffic na Tao. Kabilang dito ang pagbibigay ng tirahan, legal na tulong, at pagpapauwi kung kinakailangan.
**Republic Act No. (RA) 7610 o ang Special Protect"&amp;"ion of Children Against Abuse, Exploitation and Discrimination Act:**
* **Seksyon 5** ay tumutukoy sa Trafficking in Persons kung saan isang bata ang biktima.
* **Seksyon 10** ay nagdedetalye ng Acts Constituting Trafficking in Persons of a Child. Katulad"&amp;" ng RA 9208, ang mga pagbabanta ay maaaring maging bahagi ng krimeng ito.
* **Seksyon 15** ay binabalangkas ang Mga Programa at Mekanismo ng Proteksyon para sa mga Batang Biktima ng Trafficking.
**Konstitusyon ng Pilipinas:**
* **Ang Artikulo XIII, Seksyo"&amp;"n 2** ay nagpoprotekta sa karapatan sa buhay, kalayaan at seguridad ng tao. Ang mga banta ng deportasyon ay makikita bilang isang paglabag sa karapatang ito.
**Mga pamamaraan na dapat gawin:**
* **Iulat ang krimen:** Maaaring iulat ito ng mga biktima o si"&amp;"numang may kaalaman sa sitwasyon sa Inter-Agency Council Against Trafficking (IACAT), Philippine National Police (PNP), o anumang tanggapan ng kapakanang panlipunan.
* **Legal na Tulong:** Ang mga biktima ay may karapatan sa legal na tulong sa ilalim ng R"&amp;"A 9208 (Section 15) at RA 7610 (Section 15).
**Mahahalagang Paalala:**
* Ito ay hindi isang kumpletong listahan ng lahat ng posibleng naaangkop na batas. * Para sa partikular na legal na payo, inirerekumenda na kumunsulta sa isang abogado na dalubhasa sa "&amp;"human trafficking o isang ahensya ng gobyerno na humahawak sa mga kasong ito tulad ng IACAT.")</f>
        <v>Tinutugunan ng ilang batas ng Pilipinas ang sitwasyong inilarawan mo at nagbibigay ng mga legal na hakbang upang protektahan ang mga biktima:
**Republic Act No. (RA) 9208 o ang Anti-Trafficking in Persons Act of 2003:**
* **Seksyon 6** ay tumutukoy sa Trafficking in Persons (TIP) na maaaring magsama ng mga banta upang matiyak ang pagsunod ng biktima. * **Seksyon 11** ay binabalangkas ang Mga Gawa na Bumubuo ng Trafficking in Persons. Maaaring kabilang dito ang mga banta ng deportasyon na ginamit bilang paraan ng pamimilit. * **Seksyon 15** ay nagdedetalye ng Mga Panukala sa Proteksyon para sa mga Na-traffic na Tao. Kabilang dito ang pagbibigay ng tirahan, legal na tulong, at pagpapauwi kung kinakailangan.
**Republic Act No. (RA) 7610 o ang Special Protection of Children Against Abuse, Exploitation and Discrimination Act:**
* **Seksyon 5** ay tumutukoy sa Trafficking in Persons kung saan isang bata ang biktima.
* **Seksyon 10** ay nagdedetalye ng Acts Constituting Trafficking in Persons of a Child. Katulad ng RA 9208, ang mga pagbabanta ay maaaring maging bahagi ng krimeng ito.
* **Seksyon 15** ay binabalangkas ang Mga Programa at Mekanismo ng Proteksyon para sa mga Batang Biktima ng Trafficking.
**Konstitusyon ng Pilipinas:**
* **Ang Artikulo XIII, Seksyon 2** ay nagpoprotekta sa karapatan sa buhay, kalayaan at seguridad ng tao. Ang mga banta ng deportasyon ay makikita bilang isang paglabag sa karapatang ito.
**Mga pamamaraan na dapat gawin:**
* **Iulat ang krimen:** Maaaring iulat ito ng mga biktima o sinumang may kaalaman sa sitwasyon sa Inter-Agency Council Against Trafficking (IACAT), Philippine National Police (PNP), o anumang tanggapan ng kapakanang panlipunan.
* **Legal na Tulong:** Ang mga biktima ay may karapatan sa legal na tulong sa ilalim ng RA 9208 (Section 15) at RA 7610 (Section 15).
**Mahahalagang Paalala:**
* Ito ay hindi isang kumpletong listahan ng lahat ng posibleng naaangkop na batas. * Para sa partikular na legal na payo, inirerekumenda na kumunsulta sa isang abogado na dalubhasa sa human trafficking o isang ahensya ng gobyerno na humahawak sa mga kasong ito tulad ng IACAT.</v>
      </c>
      <c r="F2622" s="2">
        <f t="shared" si="1"/>
        <v>0</v>
      </c>
      <c r="G2622" s="2"/>
      <c r="H2622" s="2"/>
      <c r="I2622" s="2"/>
      <c r="J2622" s="2"/>
      <c r="K2622" s="2"/>
      <c r="L2622" s="2"/>
      <c r="M2622" s="2"/>
      <c r="N2622" s="2"/>
      <c r="O2622" s="2"/>
      <c r="P2622" s="2"/>
      <c r="Q2622" s="2"/>
      <c r="R2622" s="2"/>
      <c r="S2622" s="2"/>
      <c r="T2622" s="2"/>
      <c r="U2622" s="2"/>
      <c r="V2622" s="2"/>
      <c r="W2622" s="2"/>
      <c r="X2622" s="2"/>
      <c r="Y2622" s="2"/>
      <c r="Z2622" s="2"/>
      <c r="AA2622" s="2"/>
    </row>
    <row r="2623">
      <c r="A2623" s="1" t="s">
        <v>6213</v>
      </c>
      <c r="B2623" s="1" t="s">
        <v>6216</v>
      </c>
      <c r="C2623" s="1" t="s">
        <v>6217</v>
      </c>
      <c r="D2623" s="2" t="str">
        <f>IFERROR(__xludf.DUMMYFUNCTION("GOOGLETRANSLATE(B2623, ""en"", ""TL"")"),"Paano binibigyang kahulugan ang kaluskos ng baka sa ilalim ng batas ng Pilipinas?")</f>
        <v>Paano binibigyang kahulugan ang kaluskos ng baka sa ilalim ng batas ng Pilipinas?</v>
      </c>
      <c r="E2623" s="2" t="str">
        <f>IFERROR(__xludf.DUMMYFUNCTION("GOOGLETRANSLATE(C2623, ""en"", ""TL"")"),"Ang batas ng Pilipinas ay tumutukoy sa kaluskos ng baka sa ilalim ng **Anti-Cattle Rustling Law (Presidential Decree No. 533)**. Narito ang pangunahing probisyon:
* **Seksyon 3 (c):** Ang kaluskos ng baka ay tinukoy bilang ang pagkuha sa anumang paraan, p"&amp;"amamaraan o pamamaraan, nang walang pahintulot ng may-ari/nag-aalaga, ng alinman sa mga sumusunod na hayop: baka, kalabaw, kabayo, mule .
**Mga Pangunahing Punto:**
* Nakatuon ang kahulugan sa **pag-alis** ng mga baka, anuman ang partikular na paraan o mo"&amp;"tibasyon sa likod nito (kita man o hindi).
* Nalalapat ito sa malawak na hanay ng malalaking baka, kabilang ang mga baka, kalabaw, kabayo, mules, asno, at iba pang alagang baka.
* Ang pahintulot ng may-ari ay mahalaga. Kung papayagan ng may-ari ang isang "&amp;"tao na kunin ang kanilang mga baka, hindi ito maituturing na kaluskos ng baka sa ilalim ng batas na ito.
**Mga Karagdagang Pagsasaalang-alang:**
* Nilinaw din ng batas na ang **may-ari/nag-aalaga** ay kinabibilangan ng mga pastol, tagapag-alaga, empleyado"&amp;", nangungupahan ng isang malaking kumpanyang nag-aalaga ng baka, o iba pang mga taong may legal na pagmamay-ari ng mga hayop. Tinitiyak nito ang mas malawak na proteksyon para sa mga pinagkatiwalaan ng mga alagang hayop.
* Ang batas ay higit pa sa pagkuha"&amp;" ng mga baka. Kabilang dito ang **pagpatay ng malalaking baka** o pagkuha ng karne nito o pagtatago nang walang pahintulot ng may-ari sa loob ng kahulugan ng kaluskos ng baka.
**Sa esensya, ang Anti-Cattle Rustling Law ay naglalagay ng malawak na lambat u"&amp;"pang makuha ang iba't ibang anyo ng pagnanakaw ng baka at protektahan ang mga may-ari ng hayop sa Pilipinas.**")</f>
        <v>Ang batas ng Pilipinas ay tumutukoy sa kaluskos ng baka sa ilalim ng **Anti-Cattle Rustling Law (Presidential Decree No. 533)**. Narito ang pangunahing probisyon:
* **Seksyon 3 (c):** Ang kaluskos ng baka ay tinukoy bilang ang pagkuha sa anumang paraan, pamamaraan o pamamaraan, nang walang pahintulot ng may-ari/nag-aalaga, ng alinman sa mga sumusunod na hayop: baka, kalabaw, kabayo, mule .
**Mga Pangunahing Punto:**
* Nakatuon ang kahulugan sa **pag-alis** ng mga baka, anuman ang partikular na paraan o motibasyon sa likod nito (kita man o hindi).
* Nalalapat ito sa malawak na hanay ng malalaking baka, kabilang ang mga baka, kalabaw, kabayo, mules, asno, at iba pang alagang baka.
* Ang pahintulot ng may-ari ay mahalaga. Kung papayagan ng may-ari ang isang tao na kunin ang kanilang mga baka, hindi ito maituturing na kaluskos ng baka sa ilalim ng batas na ito.
**Mga Karagdagang Pagsasaalang-alang:**
* Nilinaw din ng batas na ang **may-ari/nag-aalaga** ay kinabibilangan ng mga pastol, tagapag-alaga, empleyado, nangungupahan ng isang malaking kumpanyang nag-aalaga ng baka, o iba pang mga taong may legal na pagmamay-ari ng mga hayop. Tinitiyak nito ang mas malawak na proteksyon para sa mga pinagkatiwalaan ng mga alagang hayop.
* Ang batas ay higit pa sa pagkuha ng mga baka. Kabilang dito ang **pagpatay ng malalaking baka** o pagkuha ng karne nito o pagtatago nang walang pahintulot ng may-ari sa loob ng kahulugan ng kaluskos ng baka.
**Sa esensya, ang Anti-Cattle Rustling Law ay naglalagay ng malawak na lambat upang makuha ang iba't ibang anyo ng pagnanakaw ng baka at protektahan ang mga may-ari ng hayop sa Pilipinas.**</v>
      </c>
      <c r="F2623" s="2">
        <f t="shared" si="1"/>
        <v>0</v>
      </c>
      <c r="G2623" s="2"/>
      <c r="H2623" s="2"/>
      <c r="I2623" s="2"/>
      <c r="J2623" s="2"/>
      <c r="K2623" s="2"/>
      <c r="L2623" s="2"/>
      <c r="M2623" s="2"/>
      <c r="N2623" s="2"/>
      <c r="O2623" s="2"/>
      <c r="P2623" s="2"/>
      <c r="Q2623" s="2"/>
      <c r="R2623" s="2"/>
      <c r="S2623" s="2"/>
      <c r="T2623" s="2"/>
      <c r="U2623" s="2"/>
      <c r="V2623" s="2"/>
      <c r="W2623" s="2"/>
      <c r="X2623" s="2"/>
      <c r="Y2623" s="2"/>
      <c r="Z2623" s="2"/>
      <c r="AA2623" s="2"/>
    </row>
    <row r="2624">
      <c r="A2624" s="1" t="s">
        <v>6213</v>
      </c>
      <c r="B2624" s="1" t="s">
        <v>6218</v>
      </c>
      <c r="C2624" s="1" t="s">
        <v>6219</v>
      </c>
      <c r="D2624" s="2" t="str">
        <f>IFERROR(__xludf.DUMMYFUNCTION("GOOGLETRANSLATE(B2624, ""en"", ""TL"")"),"Anong mga legal na hakbang ang inilalagay upang maiwasan at labanan ang kaluskos ng baka?")</f>
        <v>Anong mga legal na hakbang ang inilalagay upang maiwasan at labanan ang kaluskos ng baka?</v>
      </c>
      <c r="E2624" s="2" t="str">
        <f>IFERROR(__xludf.DUMMYFUNCTION("GOOGLETRANSLATE(C2624, ""en"", ""TL"")"),"Ang Pilipinas ay may multi-pronged na diskarte sa pagpigil at paglaban sa kaluskos ng baka, pagsasama-sama ng mga legal na hakbang, mga estratehiya sa pagpapatupad, at patuloy na mga hakbangin. Narito ang isang breakdown ng mga pangunahing aspeto:
**Legal"&amp;" na Balangkas:**
* **Anti-Cattle Rustling Law (PD 533):** Itong batong panulok na batas ay tumutukoy sa kaluskos ng baka, nagtatatag ng pagpapalagay ng kaluskos ng baka (paglilipat ng pasanin ng patunay sa mga may hawak ng malalaking baka), at nagpapataw "&amp;"ng mas matinding parusa kumpara sa simpleng pagnanakaw sa ilalim ng Revised Penal Code (RPC).
* **Revised Penal Code (RPC):** Ang mga artikulo sa kwalipikadong pagnanakaw (Artikulo 309 &amp; 310) ay nalalapat sa mga kaso ng pagnanakaw ng baka, na may mga paru"&amp;"sa batay sa halaga ng ninakaw na baka.
* **Comprehensive Dangerous Drugs Act (RA 9160):** Kung ang kaluskos ng baka ay nagsasangkot ng organisadong krimen (posibleng maiugnay sa trafficking ng droga), ang mga kaso sa ilalim ng RA 9160 ay maaaring ihabol, "&amp;"na may mas matinding parusa.
**Mga Pag-iwas:**
* **Pagpaparehistro ng Livestock (Limited Saklaw):** Ang ilang mga local government units (LGUs) ay may mga livestock registration program na may mga tag ng pagkakakilanlan o earmark para sa mga baka sa loob "&amp;"ng kanilang nasasakupan. Bagama't hindi pambansa, maaari itong tumulong sa lokal na pagpapatupad ng batas.
* **Mga Rehistro ng Asosasyon ng Lahi:** Ang ilang mga asosasyon ng lahi ay nagpapanatili ng mga rehistro ng mga hayop ng kanilang mga miyembro, na "&amp;"posibleng kasama ang mga detalye ng pagkakakilanlan. * **Microchipping (Opsyonal):** Bagama't hindi sapilitan, pinipili ng ilang may-ari ng hayop ang microchipping para sa kanilang mga baka. Nagbibigay-daan ito para sa pagkakakilanlan at pagsubaybay sa pa"&amp;"gmamay-ari.
**Mga Istratehiya sa Pagpapatupad:**
* **Pagsisiyasat at Pag-uusig:** Ang tagapagpatupad ng batas ay nag-iimbestiga sa mga ulat, nangangalap ng ebidensya, at nakikipagtulungan sa mga tagausig upang bumuo ng matitinding kaso laban sa mga kawata"&amp;"n ng baka. * **Mga Inspeksyon sa Merkado:** Ang mga ahensyang nagpapatupad ng batas ay maaaring magsagawa ng mga sorpresang inspeksyon sa mga merkado ng hayop upang suriin ang mga ninakaw na baka at i-verify ang pagsunod sa mga potensyal na pamamaraan ng "&amp;"pag-verify (mga marka ng tatak, microchip scan).
* **Inter-Agency Cooperation:** Ang pakikipagtulungan sa pagitan ng lokal na tagapagpatupad ng batas, National Bureau of Investigation (NBI) para sa mga kumplikadong kaso, at mga serbisyo sa beterinaryo (pa"&amp;"ra sa pagkilala sa hayop) ay napakahalaga.
**Mga Patuloy na Inisyatiba:**
* **Pagpapalakas ng Kapasidad sa Pagpapatupad ng Batas:** Pagbibigay ng mga mapagkukunan at pagsasanay upang maimbestigahan at ma-prosecute nang epektibo ang kaluskos ng baka.
* **P"&amp;"agpapahusay ng Pakikipagtulungan:** Paghihikayat sa pakikipagtulungan sa pagitan ng mga ahensya upang harapin ang mga network ng kaluskos ng baka.
* **National Livestock Registry (Potensyal):** Ang mga talakayan ay isinasagawa upang bumuo ng isang sentral"&amp;"isadong sistema para sa pagsubaybay sa paggalaw ng baka at pagmamay-ari sa buong bansa.
**Mga Hamon:**
* **Mga Limitadong Mapagkukunan:** Ang pagpapatupad ng batas, lalo na sa mga malalayong lugar, ay maaaring humarap sa mga hadlang sa mapagkukunan.
* **O"&amp;"rganized Crime:** Ang kaluskos ng baka ng mga organisadong grupo ng krimen ay nangangailangan ng mga pinahusay na diskarte sa pagsisiyasat.
* **Kakulangan ng National Registry:** Ang isang pambansang sistema ay magpapadali sa pagsubaybay at hahadlang sa p"&amp;"aggalaw ng mga ninakaw na baka.
**Pangkalahatang Epekto:**
Ang legal na balangkas at patuloy na pagsisikap ay naglalayong:
* **Iwasan ang Kaluskos ng Baka:** Layunin ng mga mahigpit na batas at parusa na pigilan ang kaluskos ng baka.
* **I-recover ang Nin"&amp;"akaw na Baka:** Ang pagpapalagay ng kaluskos ng baka ay nagpapasimple sa mga pagsisiyasat at pinapataas ang mga pagkakataong makabawi.
* **Panagutin ang Mga Nagkasala:** Tinitiyak ng mas matitinding parusa na mahaharap sa hustisya ang mga nasasangkot.
* *"&amp;"*Protektahan ang mga Kabuhayan:** Ang pag-iingat ng mga alagang hayop ay nagpoprotekta sa mga kabuhayan ng mga magsasaka at rantsero.
Sa pamamagitan ng pagsasama-sama ng mga legal na hakbang, mga diskarte sa pagpapatupad, at patuloy na mga pagsisikap sa p"&amp;"agpapabuti, ang Pilipinas ay naglalayon na lumikha ng isang mas ligtas na kapaligiran para sa industriya ng paghahayupan at hadlangan ang mga aktibidad ng kaluskos ng baka.")</f>
        <v>Ang Pilipinas ay may multi-pronged na diskarte sa pagpigil at paglaban sa kaluskos ng baka, pagsasama-sama ng mga legal na hakbang, mga estratehiya sa pagpapatupad, at patuloy na mga hakbangin. Narito ang isang breakdown ng mga pangunahing aspeto:
**Legal na Balangkas:**
* **Anti-Cattle Rustling Law (PD 533):** Itong batong panulok na batas ay tumutukoy sa kaluskos ng baka, nagtatatag ng pagpapalagay ng kaluskos ng baka (paglilipat ng pasanin ng patunay sa mga may hawak ng malalaking baka), at nagpapataw ng mas matinding parusa kumpara sa simpleng pagnanakaw sa ilalim ng Revised Penal Code (RPC).
* **Revised Penal Code (RPC):** Ang mga artikulo sa kwalipikadong pagnanakaw (Artikulo 309 &amp; 310) ay nalalapat sa mga kaso ng pagnanakaw ng baka, na may mga parusa batay sa halaga ng ninakaw na baka.
* **Comprehensive Dangerous Drugs Act (RA 9160):** Kung ang kaluskos ng baka ay nagsasangkot ng organisadong krimen (posibleng maiugnay sa trafficking ng droga), ang mga kaso sa ilalim ng RA 9160 ay maaaring ihabol, na may mas matinding parusa.
**Mga Pag-iwas:**
* **Pagpaparehistro ng Livestock (Limited Saklaw):** Ang ilang mga local government units (LGUs) ay may mga livestock registration program na may mga tag ng pagkakakilanlan o earmark para sa mga baka sa loob ng kanilang nasasakupan. Bagama't hindi pambansa, maaari itong tumulong sa lokal na pagpapatupad ng batas.
* **Mga Rehistro ng Asosasyon ng Lahi:** Ang ilang mga asosasyon ng lahi ay nagpapanatili ng mga rehistro ng mga hayop ng kanilang mga miyembro, na posibleng kasama ang mga detalye ng pagkakakilanlan. * **Microchipping (Opsyonal):** Bagama't hindi sapilitan, pinipili ng ilang may-ari ng hayop ang microchipping para sa kanilang mga baka. Nagbibigay-daan ito para sa pagkakakilanlan at pagsubaybay sa pagmamay-ari.
**Mga Istratehiya sa Pagpapatupad:**
* **Pagsisiyasat at Pag-uusig:** Ang tagapagpatupad ng batas ay nag-iimbestiga sa mga ulat, nangangalap ng ebidensya, at nakikipagtulungan sa mga tagausig upang bumuo ng matitinding kaso laban sa mga kawatan ng baka. * **Mga Inspeksyon sa Merkado:** Ang mga ahensyang nagpapatupad ng batas ay maaaring magsagawa ng mga sorpresang inspeksyon sa mga merkado ng hayop upang suriin ang mga ninakaw na baka at i-verify ang pagsunod sa mga potensyal na pamamaraan ng pag-verify (mga marka ng tatak, microchip scan).
* **Inter-Agency Cooperation:** Ang pakikipagtulungan sa pagitan ng lokal na tagapagpatupad ng batas, National Bureau of Investigation (NBI) para sa mga kumplikadong kaso, at mga serbisyo sa beterinaryo (para sa pagkilala sa hayop) ay napakahalaga.
**Mga Patuloy na Inisyatiba:**
* **Pagpapalakas ng Kapasidad sa Pagpapatupad ng Batas:** Pagbibigay ng mga mapagkukunan at pagsasanay upang maimbestigahan at ma-prosecute nang epektibo ang kaluskos ng baka.
* **Pagpapahusay ng Pakikipagtulungan:** Paghihikayat sa pakikipagtulungan sa pagitan ng mga ahensya upang harapin ang mga network ng kaluskos ng baka.
* **National Livestock Registry (Potensyal):** Ang mga talakayan ay isinasagawa upang bumuo ng isang sentralisadong sistema para sa pagsubaybay sa paggalaw ng baka at pagmamay-ari sa buong bansa.
**Mga Hamon:**
* **Mga Limitadong Mapagkukunan:** Ang pagpapatupad ng batas, lalo na sa mga malalayong lugar, ay maaaring humarap sa mga hadlang sa mapagkukunan.
* **Organized Crime:** Ang kaluskos ng baka ng mga organisadong grupo ng krimen ay nangangailangan ng mga pinahusay na diskarte sa pagsisiyasat.
* **Kakulangan ng National Registry:** Ang isang pambansang sistema ay magpapadali sa pagsubaybay at hahadlang sa paggalaw ng mga ninakaw na baka.
**Pangkalahatang Epekto:**
Ang legal na balangkas at patuloy na pagsisikap ay naglalayong:
* **Iwasan ang Kaluskos ng Baka:** Layunin ng mga mahigpit na batas at parusa na pigilan ang kaluskos ng baka.
* **I-recover ang Ninakaw na Baka:** Ang pagpapalagay ng kaluskos ng baka ay nagpapasimple sa mga pagsisiyasat at pinapataas ang mga pagkakataong makabawi.
* **Panagutin ang Mga Nagkasala:** Tinitiyak ng mas matitinding parusa na mahaharap sa hustisya ang mga nasasangkot.
* **Protektahan ang mga Kabuhayan:** Ang pag-iingat ng mga alagang hayop ay nagpoprotekta sa mga kabuhayan ng mga magsasaka at rantsero.
Sa pamamagitan ng pagsasama-sama ng mga legal na hakbang, mga diskarte sa pagpapatupad, at patuloy na mga pagsisikap sa pagpapabuti, ang Pilipinas ay naglalayon na lumikha ng isang mas ligtas na kapaligiran para sa industriya ng paghahayupan at hadlangan ang mga aktibidad ng kaluskos ng baka.</v>
      </c>
      <c r="F2624" s="2">
        <f t="shared" si="1"/>
        <v>0</v>
      </c>
      <c r="G2624" s="2"/>
      <c r="H2624" s="2"/>
      <c r="I2624" s="2"/>
      <c r="J2624" s="2"/>
      <c r="K2624" s="2"/>
      <c r="L2624" s="2"/>
      <c r="M2624" s="2"/>
      <c r="N2624" s="2"/>
      <c r="O2624" s="2"/>
      <c r="P2624" s="2"/>
      <c r="Q2624" s="2"/>
      <c r="R2624" s="2"/>
      <c r="S2624" s="2"/>
      <c r="T2624" s="2"/>
      <c r="U2624" s="2"/>
      <c r="V2624" s="2"/>
      <c r="W2624" s="2"/>
      <c r="X2624" s="2"/>
      <c r="Y2624" s="2"/>
      <c r="Z2624" s="2"/>
      <c r="AA2624" s="2"/>
    </row>
    <row r="2625">
      <c r="A2625" s="1" t="s">
        <v>6213</v>
      </c>
      <c r="B2625" s="1" t="s">
        <v>6220</v>
      </c>
      <c r="C2625" s="1" t="s">
        <v>6221</v>
      </c>
      <c r="D2625" s="2" t="str">
        <f>IFERROR(__xludf.DUMMYFUNCTION("GOOGLETRANSLATE(B2625, ""en"", ""TL"")"),"Paano tinutugunan ng batas ang pagnanakaw, ilegal na pagpatay, o trafficking ng mga baka?")</f>
        <v>Paano tinutugunan ng batas ang pagnanakaw, ilegal na pagpatay, o trafficking ng mga baka?</v>
      </c>
      <c r="E2625" s="2" t="str">
        <f>IFERROR(__xludf.DUMMYFUNCTION("GOOGLETRANSLATE(C2625, ""en"", ""TL"")"),"Ang sistemang legal ng Pilipinas ay tumatalakay sa pagnanakaw, iligal na pagpatay, at trafficking ng mga baka sa pamamagitan ng kumbinasyon ng mga batas at mga estratehiya sa pagpapatupad. Narito ang isang breakdown kung paano tinutugunan ng batas ang baw"&amp;"at aspeto:
**Pagnanakaw ng Baka:**
* **Anti-Cattle Rustling Law (PD 533):** Ang pangunahing batas na ito ay tumutukoy sa cattle rustling bilang ang pagkuha ng malalaking baka (mga baka, kalabaw, kabayo, atbp.) nang walang pahintulot ng may-ari. Nagtatatag"&amp;" ito ng presumption of cattle rustling (Section 7) at nagpapataw ng mas matinding parusa kumpara sa simpleng pagnanakaw sa ilalim ng Revised Penal Code (RPC).
* **Revised Penal Code (RPC):** Ang mga artikulo sa kwalipikadong pagnanakaw (Artikulo 309 &amp; 310"&amp;") ay maaaring ilapat sa mga kaso ng pagnanakaw ng baka. Ang mga parusa ay depende sa halaga ng mga ninakaw na baka, mula sa arresto mayor (maikling kulungan) para sa mababang halaga ng pagnanakaw hanggang sa prison mayor (ilang taon ng pagkakulong) para s"&amp;"a mas mataas na halaga ng mga baka.
**Ilegal na Pagkatay:**
* **Meat Inspection Code (MIC) at Implementing Regulations:** Ang mga regulasyong ito ay nagtatatag ng mga alituntunin para sa mga pasilidad ng pagpatay at pagproseso ng hayop. Ang pagkatay ng mg"&amp;"a hayop sa labas ng mga lisensyadong pasilidad o walang wastong inspeksyon ay ilegal.
* **Mga Ordenansa ng Lokal na Pamahalaan:** Maraming LGU ang may mga ordinansang nagre-regulate ng pagpatay ng hayop sa loob ng kanilang nasasakupan. Maaaring tukuyin ng"&amp;" mga ordinansang ito ang mga itinalagang bahay-katayan, mga kinakailangan sa inspeksyon sa kalusugan ng hayop, at wastong mga pamamaraan sa pagtatapon ng basura.
* **Mga Parusa:** Ang mga paglabag sa MIC o mga lokal na ordinansa ay maaaring magresulta sa "&amp;"mga multa, pagkumpiska ng iligal na kinatay na karne, at potensyal na pagbawi ng lisensya sa negosyo para sa mga slaughterhouse na tumatakbo nang walang tamang permit.
**Trafficking ng Baka:**
* **Mga Pahintulot sa Paggalaw:** Ang Bureau of Animal Industr"&amp;"y (BAI) ay nangangailangan ng mga permit para sa paggalaw ng malalaking baka sa mga lalawigan o rehiyon. Nakakatulong ito sa pagsubaybay sa paggalaw ng baka at pagpigil sa iligal na trafficking.
* **Anti-Cattle Rustling Law (PD 533):** Kung ang traffickin"&amp;"g ay nagsasangkot ng mga ninakaw na baka, ang PD 533 ay nalalapat, na humahantong sa mga parusa para sa kaluskos ng baka.
* **Comprehensive Dangerous Drugs Act (RA 9160):** Kung ang trafficking ay bahagi ng isang mas malaking organisadong operasyon ng kri"&amp;"men (posibleng nauugnay sa drug trafficking), ang mga kaso sa ilalim ng RA 9160 ay maaaring ihabol, na may mas mabigat na parusa.
**Mga Hamon at Pagpapatupad:**
* **Mga Malayong Lugar:** Maaaring maging mahirap ang pagpapatupad ng mga regulasyon sa malala"&amp;"yong lugar dahil sa limitadong mapagkukunan at lakas-tao.
* **Organized Crime:** Ang mga baka trafficking ring ay nangangailangan ng pinahusay na mga diskarte sa pagsisiyasat at pakikipagtulungan sa pagitan ng mga ahensya.
* **Pekeng Dokumentasyon:** Maaa"&amp;"ring gumamit ang mga trafficker ng mga pekeng permit o mga marka ng tatak, na ginagawang mahirap ang pagkakakilanlan.
**Mga Hakbang upang Matugunan ang mga Hamon:**
* **Pagpapalakas ng Pagpapatupad ng Batas:** Pagbibigay ng mga mapagkukunan at pagsasanay "&amp;"sa mga ahensyang nagpapatupad ng batas upang imbestigahan at usigin nang epektibo ang pagnanakaw ng baka, iligal na pagpatay, at trafficking.
* **Pagtutulungan ng Inter-Agency:** Ang pakikipagtulungan sa pagitan ng tagapagpatupad ng batas, ng BAI, mga yun"&amp;"it ng lokal na pamahalaan, at mga serbisyo ng beterinaryo ay mahalaga para sa epektibong pagpapatupad.
* **Paggamit ng Teknolohiya:** Paggalugad sa paggamit ng teknolohiya tulad ng mga tag ng radio frequency identification (RFID) para sa mga baka upang ma"&amp;"pahusay ang pagsubaybay at hadlangan ang trafficking.
**Ang Pangkalahatang Epekto:**
Ang mga batas at hakbang na ito sa pagpapatupad ay naglalayong:
* **Deter Crime:** Ang mga mahigpit na batas at parusa ay naglalayong pigilan ang pagnanakaw, iligal na pa"&amp;"gpatay, at trafficking ng mga baka.
* **Protektahan ang Kapakanan ng Hayop:** Tinitiyak ng mga regulasyon sa pagpatay ang wastong kalinisan at makataong pagtrato sa mga hayop.
* **I-promote ang Kaligtasan sa Pagkain:** Ang wastong inspeksyon ng mga kinata"&amp;"y na hayop ay nagpapaliit sa panganib ng mga sakit na pumasok sa food chain.
* **Pangalagaan ang mga Kabuhayan:** Sa pamamagitan ng pagprotekta sa mga alagang hayop mula sa pagnanakaw at mga ilegal na aktibidad, tinutulungan ng batas ang mga magsasaka at "&amp;"rantsero na mapanatili ang kanilang mga kabuhayan.
Sa pamamagitan ng pagtugon sa iba't ibang aspetong ito, nagsusumikap ang sistemang legal ng Pilipinas na lumikha ng mas ligtas na kapaligiran para sa industriya ng paghahayupan, isulong ang mga responsabl"&amp;"eng kasanayan, at tiyakin ang kaligtasan ng mga mamimili.")</f>
        <v>Ang sistemang legal ng Pilipinas ay tumatalakay sa pagnanakaw, iligal na pagpatay, at trafficking ng mga baka sa pamamagitan ng kumbinasyon ng mga batas at mga estratehiya sa pagpapatupad. Narito ang isang breakdown kung paano tinutugunan ng batas ang bawat aspeto:
**Pagnanakaw ng Baka:**
* **Anti-Cattle Rustling Law (PD 533):** Ang pangunahing batas na ito ay tumutukoy sa cattle rustling bilang ang pagkuha ng malalaking baka (mga baka, kalabaw, kabayo, atbp.) nang walang pahintulot ng may-ari. Nagtatatag ito ng presumption of cattle rustling (Section 7) at nagpapataw ng mas matinding parusa kumpara sa simpleng pagnanakaw sa ilalim ng Revised Penal Code (RPC).
* **Revised Penal Code (RPC):** Ang mga artikulo sa kwalipikadong pagnanakaw (Artikulo 309 &amp; 310) ay maaaring ilapat sa mga kaso ng pagnanakaw ng baka. Ang mga parusa ay depende sa halaga ng mga ninakaw na baka, mula sa arresto mayor (maikling kulungan) para sa mababang halaga ng pagnanakaw hanggang sa prison mayor (ilang taon ng pagkakulong) para sa mas mataas na halaga ng mga baka.
**Ilegal na Pagkatay:**
* **Meat Inspection Code (MIC) at Implementing Regulations:** Ang mga regulasyong ito ay nagtatatag ng mga alituntunin para sa mga pasilidad ng pagpatay at pagproseso ng hayop. Ang pagkatay ng mga hayop sa labas ng mga lisensyadong pasilidad o walang wastong inspeksyon ay ilegal.
* **Mga Ordenansa ng Lokal na Pamahalaan:** Maraming LGU ang may mga ordinansang nagre-regulate ng pagpatay ng hayop sa loob ng kanilang nasasakupan. Maaaring tukuyin ng mga ordinansang ito ang mga itinalagang bahay-katayan, mga kinakailangan sa inspeksyon sa kalusugan ng hayop, at wastong mga pamamaraan sa pagtatapon ng basura.
* **Mga Parusa:** Ang mga paglabag sa MIC o mga lokal na ordinansa ay maaaring magresulta sa mga multa, pagkumpiska ng iligal na kinatay na karne, at potensyal na pagbawi ng lisensya sa negosyo para sa mga slaughterhouse na tumatakbo nang walang tamang permit.
**Trafficking ng Baka:**
* **Mga Pahintulot sa Paggalaw:** Ang Bureau of Animal Industry (BAI) ay nangangailangan ng mga permit para sa paggalaw ng malalaking baka sa mga lalawigan o rehiyon. Nakakatulong ito sa pagsubaybay sa paggalaw ng baka at pagpigil sa iligal na trafficking.
* **Anti-Cattle Rustling Law (PD 533):** Kung ang trafficking ay nagsasangkot ng mga ninakaw na baka, ang PD 533 ay nalalapat, na humahantong sa mga parusa para sa kaluskos ng baka.
* **Comprehensive Dangerous Drugs Act (RA 9160):** Kung ang trafficking ay bahagi ng isang mas malaking organisadong operasyon ng krimen (posibleng nauugnay sa drug trafficking), ang mga kaso sa ilalim ng RA 9160 ay maaaring ihabol, na may mas mabigat na parusa.
**Mga Hamon at Pagpapatupad:**
* **Mga Malayong Lugar:** Maaaring maging mahirap ang pagpapatupad ng mga regulasyon sa malalayong lugar dahil sa limitadong mapagkukunan at lakas-tao.
* **Organized Crime:** Ang mga baka trafficking ring ay nangangailangan ng pinahusay na mga diskarte sa pagsisiyasat at pakikipagtulungan sa pagitan ng mga ahensya.
* **Pekeng Dokumentasyon:** Maaaring gumamit ang mga trafficker ng mga pekeng permit o mga marka ng tatak, na ginagawang mahirap ang pagkakakilanlan.
**Mga Hakbang upang Matugunan ang mga Hamon:**
* **Pagpapalakas ng Pagpapatupad ng Batas:** Pagbibigay ng mga mapagkukunan at pagsasanay sa mga ahensyang nagpapatupad ng batas upang imbestigahan at usigin nang epektibo ang pagnanakaw ng baka, iligal na pagpatay, at trafficking.
* **Pagtutulungan ng Inter-Agency:** Ang pakikipagtulungan sa pagitan ng tagapagpatupad ng batas, ng BAI, mga yunit ng lokal na pamahalaan, at mga serbisyo ng beterinaryo ay mahalaga para sa epektibong pagpapatupad.
* **Paggamit ng Teknolohiya:** Paggalugad sa paggamit ng teknolohiya tulad ng mga tag ng radio frequency identification (RFID) para sa mga baka upang mapahusay ang pagsubaybay at hadlangan ang trafficking.
**Ang Pangkalahatang Epekto:**
Ang mga batas at hakbang na ito sa pagpapatupad ay naglalayong:
* **Deter Crime:** Ang mga mahigpit na batas at parusa ay naglalayong pigilan ang pagnanakaw, iligal na pagpatay, at trafficking ng mga baka.
* **Protektahan ang Kapakanan ng Hayop:** Tinitiyak ng mga regulasyon sa pagpatay ang wastong kalinisan at makataong pagtrato sa mga hayop.
* **I-promote ang Kaligtasan sa Pagkain:** Ang wastong inspeksyon ng mga kinatay na hayop ay nagpapaliit sa panganib ng mga sakit na pumasok sa food chain.
* **Pangalagaan ang mga Kabuhayan:** Sa pamamagitan ng pagprotekta sa mga alagang hayop mula sa pagnanakaw at mga ilegal na aktibidad, tinutulungan ng batas ang mga magsasaka at rantsero na mapanatili ang kanilang mga kabuhayan.
Sa pamamagitan ng pagtugon sa iba't ibang aspetong ito, nagsusumikap ang sistemang legal ng Pilipinas na lumikha ng mas ligtas na kapaligiran para sa industriya ng paghahayupan, isulong ang mga responsableng kasanayan, at tiyakin ang kaligtasan ng mga mamimili.</v>
      </c>
      <c r="F2625" s="2">
        <f t="shared" si="1"/>
        <v>0</v>
      </c>
      <c r="G2625" s="2"/>
      <c r="H2625" s="2"/>
      <c r="I2625" s="2"/>
      <c r="J2625" s="2"/>
      <c r="K2625" s="2"/>
      <c r="L2625" s="2"/>
      <c r="M2625" s="2"/>
      <c r="N2625" s="2"/>
      <c r="O2625" s="2"/>
      <c r="P2625" s="2"/>
      <c r="Q2625" s="2"/>
      <c r="R2625" s="2"/>
      <c r="S2625" s="2"/>
      <c r="T2625" s="2"/>
      <c r="U2625" s="2"/>
      <c r="V2625" s="2"/>
      <c r="W2625" s="2"/>
      <c r="X2625" s="2"/>
      <c r="Y2625" s="2"/>
      <c r="Z2625" s="2"/>
      <c r="AA2625" s="2"/>
    </row>
    <row r="2626">
      <c r="A2626" s="1" t="s">
        <v>6213</v>
      </c>
      <c r="B2626" s="1" t="s">
        <v>6222</v>
      </c>
      <c r="C2626" s="1" t="s">
        <v>6223</v>
      </c>
      <c r="D2626" s="2" t="str">
        <f>IFERROR(__xludf.DUMMYFUNCTION("GOOGLETRANSLATE(B2626, ""en"", ""TL"")"),"Anong mga parusa ang nalalapat sa mga indibidwal na nahatulan ng pagsali sa mga aktibidad ng pagnanakaw ng baka?")</f>
        <v>Anong mga parusa ang nalalapat sa mga indibidwal na nahatulan ng pagsali sa mga aktibidad ng pagnanakaw ng baka?</v>
      </c>
      <c r="E2626" s="2" t="str">
        <f>IFERROR(__xludf.DUMMYFUNCTION("GOOGLETRANSLATE(C2626, ""en"", ""TL"")"),"Ang mga parusa para sa kaluskos ng baka sa Pilipinas ay nakadepende sa mga partikular na kalagayan ng kaso, pangunahin nang pinamamahalaan ng Anti-Cattle Rustling Law (Presidential Decree No. 533) at ng Revised Penal Code (RPC). Narito ang isang breakdown"&amp;" ng mga potensyal na parusa:
**Anti-Cattle Rustling Law (PD 533):**
* **Presumption of Cattle Rustling (Seksyon 7):** Ang pangunahing probisyon na ito ay nagpapasimple sa proseso ng pag-uusig. Kung ang isang tao ay natagpuang nagmamay-ari ng malalaking ba"&amp;"ka (mga baka, kalabaw, kabayo, atbp.) at hindi makapagbigay ng kasiya-siyang paliwanag para sa pagkakaroon nito, ang pasanin ng patunay ay lumipat sa kanila. Dapat nilang ipakita na legal nilang nakuha ang mga hayop.
* **Mga Parusa:** Binabalangkas ng PD "&amp;"533 ang mga parusa batay sa pagkakaroon ng karahasan at halaga ng mga baka:
* **Walang karahasan at hindi tiyak na halaga:** prision mayor (6 na taon at 1 araw hanggang 8 taong pagkakakulong)
* **Na may karahasan o makabuluhang halaga:** reclusion tempora"&amp;"l (12 taon at 1 araw hanggang 20 taong pagkakakulong)
**Binagong Kodigo Penal (RPC):**
* **Kwalipikadong Pagnanakaw (Artikulo 309 &amp; 310):** Ang mga artikulong ito ay nagta-target ng pagnanakaw na kinasasangkutan ng malalaking baka. * Ang partikular na par"&amp;"usa ay depende sa halaga ng mga ninakaw na baka:
* Mas mababa sa ₱12,000: arresto mayor (1 buwan at 1 araw hanggang 6 na buwang pagkakakulong)
* ₱12,000 hanggang ₱18,000: desierro (pagpatapon mula sa isang partikular na lugar o teritoryo)
* ₱18,000 hangga"&amp;"ng ₱30,000: prision correccional (6 na buwan at 1 araw hanggang 6 na taong pagkakakulong)
* Mahigit ₱30,000: prison mayor (6 na taon at 1 araw hanggang 8 taong pagkakakulong)
* Ang mga salik tulad ng mga naunang hinatulan para sa pagnanakaw ay maaari ding"&amp;" humantong sa mas matinding parusa sa ilalim ng RPC.
**Mga Karagdagang Pagsasaalang-alang:**
* **Organized Crime (RA 9160):** Kung ang pagsisiyasat ay magbubunyag ng isang structured criminal organization na sangkot sa pagnanakaw ng baka (posibleng nauugn"&amp;"ay sa drug trafficking o iba pang ilegal na aktibidad), ang mga kaso sa ilalim ng RA 9160 (Comprehensive Dangerous Drugs Act) ay maaaring ihabol. Ang batas na ito ay may mas matinding parusa para sa mga organisadong aktibidad ng krimen kumpara sa PD 533.
"&amp;"**Mahahalagang Paalala:**
* Ang mga partikular na parusa ay tinutukoy ng korte batay sa ebidensyang ipinakita at sa mga partikular na pangyayari ng kaso. * Ang mga nahatulang indibidwal ay maaari ding maharap sa mga karagdagang parusa, tulad ng mga multa "&amp;"at pagsasauli (pag-uutos sa nagkasala na bayaran ang may-ari para sa mga ninakaw na baka).
Sa pamamagitan ng pagtatatag ng malinaw na mga parusa, ang legal na balangkas ay naglalayong hadlangan ang kaluskos ng baka at matiyak na ang mga sangkot ay mananag"&amp;"ot sa kanilang mga aksyon. Ang kalubhaan ng mga parusa ay tumataas sa mga salik tulad ng karahasan, mas mataas na halaga ng baka, at pagkakasangkot sa organisadong krimen. Ang tiered approach na ito ay nagpapadala ng malakas na mensahe sa mga potensyal na"&amp;" rustlers tungkol sa mga makabuluhang kahihinatnan na kanilang kinakaharap kapag nahuli.")</f>
        <v>Ang mga parusa para sa kaluskos ng baka sa Pilipinas ay nakadepende sa mga partikular na kalagayan ng kaso, pangunahin nang pinamamahalaan ng Anti-Cattle Rustling Law (Presidential Decree No. 533) at ng Revised Penal Code (RPC). Narito ang isang breakdown ng mga potensyal na parusa:
**Anti-Cattle Rustling Law (PD 533):**
* **Presumption of Cattle Rustling (Seksyon 7):** Ang pangunahing probisyon na ito ay nagpapasimple sa proseso ng pag-uusig. Kung ang isang tao ay natagpuang nagmamay-ari ng malalaking baka (mga baka, kalabaw, kabayo, atbp.) at hindi makapagbigay ng kasiya-siyang paliwanag para sa pagkakaroon nito, ang pasanin ng patunay ay lumipat sa kanila. Dapat nilang ipakita na legal nilang nakuha ang mga hayop.
* **Mga Parusa:** Binabalangkas ng PD 533 ang mga parusa batay sa pagkakaroon ng karahasan at halaga ng mga baka:
* **Walang karahasan at hindi tiyak na halaga:** prision mayor (6 na taon at 1 araw hanggang 8 taong pagkakakulong)
* **Na may karahasan o makabuluhang halaga:** reclusion temporal (12 taon at 1 araw hanggang 20 taong pagkakakulong)
**Binagong Kodigo Penal (RPC):**
* **Kwalipikadong Pagnanakaw (Artikulo 309 &amp; 310):** Ang mga artikulong ito ay nagta-target ng pagnanakaw na kinasasangkutan ng malalaking baka. * Ang partikular na parusa ay depende sa halaga ng mga ninakaw na baka:
* Mas mababa sa ₱12,000: arresto mayor (1 buwan at 1 araw hanggang 6 na buwang pagkakakulong)
* ₱12,000 hanggang ₱18,000: desierro (pagpatapon mula sa isang partikular na lugar o teritoryo)
* ₱18,000 hanggang ₱30,000: prision correccional (6 na buwan at 1 araw hanggang 6 na taong pagkakakulong)
* Mahigit ₱30,000: prison mayor (6 na taon at 1 araw hanggang 8 taong pagkakakulong)
* Ang mga salik tulad ng mga naunang hinatulan para sa pagnanakaw ay maaari ding humantong sa mas matinding parusa sa ilalim ng RPC.
**Mga Karagdagang Pagsasaalang-alang:**
* **Organized Crime (RA 9160):** Kung ang pagsisiyasat ay magbubunyag ng isang structured criminal organization na sangkot sa pagnanakaw ng baka (posibleng nauugnay sa drug trafficking o iba pang ilegal na aktibidad), ang mga kaso sa ilalim ng RA 9160 (Comprehensive Dangerous Drugs Act) ay maaaring ihabol. Ang batas na ito ay may mas matinding parusa para sa mga organisadong aktibidad ng krimen kumpara sa PD 533.
**Mahahalagang Paalala:**
* Ang mga partikular na parusa ay tinutukoy ng korte batay sa ebidensyang ipinakita at sa mga partikular na pangyayari ng kaso. * Ang mga nahatulang indibidwal ay maaari ding maharap sa mga karagdagang parusa, tulad ng mga multa at pagsasauli (pag-uutos sa nagkasala na bayaran ang may-ari para sa mga ninakaw na baka).
Sa pamamagitan ng pagtatatag ng malinaw na mga parusa, ang legal na balangkas ay naglalayong hadlangan ang kaluskos ng baka at matiyak na ang mga sangkot ay mananagot sa kanilang mga aksyon. Ang kalubhaan ng mga parusa ay tumataas sa mga salik tulad ng karahasan, mas mataas na halaga ng baka, at pagkakasangkot sa organisadong krimen. Ang tiered approach na ito ay nagpapadala ng malakas na mensahe sa mga potensyal na rustlers tungkol sa mga makabuluhang kahihinatnan na kanilang kinakaharap kapag nahuli.</v>
      </c>
      <c r="F2626" s="2">
        <f t="shared" si="1"/>
        <v>0</v>
      </c>
      <c r="G2626" s="2"/>
      <c r="H2626" s="2"/>
      <c r="I2626" s="2"/>
      <c r="J2626" s="2"/>
      <c r="K2626" s="2"/>
      <c r="L2626" s="2"/>
      <c r="M2626" s="2"/>
      <c r="N2626" s="2"/>
      <c r="O2626" s="2"/>
      <c r="P2626" s="2"/>
      <c r="Q2626" s="2"/>
      <c r="R2626" s="2"/>
      <c r="S2626" s="2"/>
      <c r="T2626" s="2"/>
      <c r="U2626" s="2"/>
      <c r="V2626" s="2"/>
      <c r="W2626" s="2"/>
      <c r="X2626" s="2"/>
      <c r="Y2626" s="2"/>
      <c r="Z2626" s="2"/>
      <c r="AA2626" s="2"/>
    </row>
    <row r="2627">
      <c r="A2627" s="1" t="s">
        <v>6213</v>
      </c>
      <c r="B2627" s="1" t="s">
        <v>6224</v>
      </c>
      <c r="C2627" s="1" t="s">
        <v>6225</v>
      </c>
      <c r="D2627" s="2" t="str">
        <f>IFERROR(__xludf.DUMMYFUNCTION("GOOGLETRANSLATE(B2627, ""en"", ""TL"")"),"Mayroon bang mga partikular na legal na probisyon para sa proteksyon ng mga may-ari ng hayop at kanilang ari-arian?")</f>
        <v>Mayroon bang mga partikular na legal na probisyon para sa proteksyon ng mga may-ari ng hayop at kanilang ari-arian?</v>
      </c>
      <c r="E2627" s="2" t="str">
        <f>IFERROR(__xludf.DUMMYFUNCTION("GOOGLETRANSLATE(C2627, ""en"", ""TL"")"),"Oo, ang Pilipinas ay may ilang mga legal na probisyon na partikular na idinisenyo upang protektahan ang mga may-ari ng mga hayop at ang kanilang mga ari-arian, na may partikular na pagtuon sa pagpigil at pagtugon sa kaluskos ng baka. Narito ang isang brea"&amp;"kdown ng mga pangunahing hakbang:
**Pangunahing Batas:**
* **Anti-Cattle Rustling Law (Presidential Decree No. 533):** Ito ang pundasyong batas para sa pagprotekta sa mga may-ari ng hayop mula sa kaluskos ng baka. Tinutukoy nito ang krimen, binabalangkas "&amp;"ang mga parusa para sa mga nagkasala, at nagtatatag ng pagpapalagay ng kaluskos ng baka (Seksyon 7). Ang pagpapalagay na ito ay inililipat ang pasanin ng patunay sa isang taong natagpuang nagmamay-ari ng malalaking baka (mga baka, kalabaw, kabayo, atbp.) "&amp;"upang ipakita na legal nilang nakuha ang mga hayop. **Mga Pangunahing Tampok ng PD 533:**
* **Malawak na Kahulugan:** Ang kaluskos ng baka ay tinukoy bilang pagkuha ng malalaking baka nang walang pahintulot ng may-ari, anuman ang paraan o pagganyak (kita "&amp;"man o hindi).
* **Mas mabigat na Parusa:** Kung ikukumpara sa simpleng pagnanakaw sa ilalim ng Revised Penal Code (RPC), ang PD 533 ay nagpapataw ng mas mabibigat na parusa, mula sa prision mayor (6 taon at 1 araw hanggang 8 taong pagkakakulong) hanggang "&amp;"reclusion temporal (12 taon at 1 araw hanggang 20 taong pagkakakulong) depende sa pagkakaroon ng karahasan o halaga ng mga baka.
* **Presumption of Cattle Rustling:** Pinapasimple ng probisyong ito ang mga pagsisiyasat at pinalalakas ang kaso laban sa mga"&amp;" nagmamay-ari ng mga ninakaw na baka.
**Mga Karagdagang Batas:**
* **Revised Penal Code (RPC):** Ang mga artikulo tulad ng kwalipikadong pagnanakaw (Artikulo 309 &amp; 310) ay maaaring ilapat sa mga kaso ng kaluskos ng baka depende sa partikular na mga pangya"&amp;"yari, na posibleng humantong sa mga karagdagang singil.
* **Comprehensive Dangerous Drugs Act (RA 9160):** Kung ang pagsisiyasat ay magbubunyag ng isang structured na organisasyong kriminal na sangkot sa pagnanakaw ng baka sa mga rehiyon, ang mga kaso sa "&amp;"ilalim ng RA 9160 ay maaaring ihabol, na may mas matinding parusa para sa organisadong mga aktibidad sa krimen.
**Iba pang Mga Panukala:**
* **Mga Inisyatibo ng Lokal na Pamahalaan:** Maaaring may mga ordinansa o programa ang ilang LGU para sa pagpaparehi"&amp;"stro ng mga hayop, na posibleng kinasasangkutan ng mga tag ng pagkakakilanlan o earmark para sa mga baka sa loob ng kanilang nasasakupan.
* **Mga Asosasyon ng Lahi:** Ang ilang partikular na asosasyon ng lahi ay maaaring magpanatili ng mga rehistro ng mga"&amp;" hayop ng kanilang mga miyembro, kabilang ang mga detalye tungkol sa lahi, linya ng lahi, at posibleng mga marka ng pagkakakilanlan. Bagama't hindi pambansa, ang mga rehistrong ito ay maaaring maging mahalaga para sa mga rehistradong hayop.
* **Microchipp"&amp;"ing:** Bagama't hindi sapilitan, pinipili ng ilang may-ari ng hayop na i-microchip ang kanilang mga baka. Ang mga microchip ay nag-iimbak ng natatanging impormasyon ng pagkakakilanlan na maaaring ma-scan upang makilala ang hayop at posibleng masubaybayan "&amp;"ang pagmamay-ari.
**Mga Hamon at Patuloy na Pagsisikap:**
* **Mga Limitadong Mapagkukunan:** Ang mga ahensyang nagpapatupad ng batas, lalo na sa mga malalayong lugar, ay maaaring makaharap ng mga hadlang sa mapagkukunan sa pagharap sa mga kumplikadong kas"&amp;"o ng kaluskos ng baka. * **Organized Crime:** Ang kaluskos ng baka ng mga organisadong grupo ng krimen ay nangangailangan ng pinahusay na mga diskarte sa pagsisiyasat at pakikipagtulungan sa pagitan ng mga ahensya.
* **Kakulangan ng National Livestock Reg"&amp;"istry:** Ang kawalan ng sentralisadong sistema ay nagpapahirap sa pambansang pagsubaybay sa paggalaw ng baka at pagmamay-ari.
**Ang gobyerno ng Pilipinas ay aktibong nagtutuklas ng mga potensyal na solusyon, kabilang ang:**
* **Pagpapalakas ng Kapasidad s"&amp;"a Pagpapatupad ng Batas:** Pagbibigay ng mga mapagkukunan at pagsasanay sa mga nagpapatupad ng batas upang mabisang imbestigahan at usigin ang mga kaso ng pagnanakaw ng baka.
* **Pagpapahusay ng Pakikipagtulungan:** Paghihikayat sa pakikipagtulungan sa pa"&amp;"gitan ng lokal na tagapagpatupad ng batas, NBI, at iba pang ahensya upang harapin ang mga network ng kaluskos ng baka. * **Pagtatatag ng National Livestock Registry:** Nagpapatuloy ang mga talakayan upang bumuo ng isang sistema para sa pagsentralisa ng pa"&amp;"gkilala sa mga baka at pagsubaybay sa paggalaw ng baka sa buong bansa.
**Sa pangkalahatan, ang legal na balangkas at patuloy na pagsisikap ay naglalayong:**
* **Iwasan ang Kaluskos ng Baka:** Ang mga mahigpit na batas at parusa ay naglalayong pigilan ang "&amp;"mga indibidwal na makisali sa kaluskos ng baka.
* **I-recover ang Mga Ninakaw na Baka:** Ang pagpapalagay ng kaluskos ng baka ay nagpapasimple sa mga pagsisiyasat at pinapataas ang pagkakataong mabawi ang mga ninakaw na hayop.
* **Panagutin ang Mga Nagkas"&amp;"ala:** Ang mas matitinding parusa para sa pagnanakaw ng baka at organisadong krimen ay nagsisilbing hadlang at matiyak na mahaharap sa hustisya ang mga nasasangkot.
* **Protektahan ang mga Kabuhayan:** Sa pamamagitan ng pag-iingat sa mga alagang hayop, na"&amp;"kakatulong ang mga hakbang na ito na protektahan ang mga kabuhayan ng mga magsasaka at rantsero na umaasa sa kanilang mga hayop para sa kita at seguridad sa pagkain.
Bagama't nananatili ang mga hamon, ang mga legal na probisyon at patuloy na pagsisikap ay"&amp;" nagpapakita ng pangako ng Pilipinas na protektahan ang mga may-ari ng mga hayop at ang kanilang mga ari-arian, pagtataguyod ng seguridad sa kanayunan, at pagtiyak ng mas patas na kapaligiran para sa mga sangkot sa industriya ng paghahayupan.")</f>
        <v>Oo, ang Pilipinas ay may ilang mga legal na probisyon na partikular na idinisenyo upang protektahan ang mga may-ari ng mga hayop at ang kanilang mga ari-arian, na may partikular na pagtuon sa pagpigil at pagtugon sa kaluskos ng baka. Narito ang isang breakdown ng mga pangunahing hakbang:
**Pangunahing Batas:**
* **Anti-Cattle Rustling Law (Presidential Decree No. 533):** Ito ang pundasyong batas para sa pagprotekta sa mga may-ari ng hayop mula sa kaluskos ng baka. Tinutukoy nito ang krimen, binabalangkas ang mga parusa para sa mga nagkasala, at nagtatatag ng pagpapalagay ng kaluskos ng baka (Seksyon 7). Ang pagpapalagay na ito ay inililipat ang pasanin ng patunay sa isang taong natagpuang nagmamay-ari ng malalaking baka (mga baka, kalabaw, kabayo, atbp.) upang ipakita na legal nilang nakuha ang mga hayop. **Mga Pangunahing Tampok ng PD 533:**
* **Malawak na Kahulugan:** Ang kaluskos ng baka ay tinukoy bilang pagkuha ng malalaking baka nang walang pahintulot ng may-ari, anuman ang paraan o pagganyak (kita man o hindi).
* **Mas mabigat na Parusa:** Kung ikukumpara sa simpleng pagnanakaw sa ilalim ng Revised Penal Code (RPC), ang PD 533 ay nagpapataw ng mas mabibigat na parusa, mula sa prision mayor (6 taon at 1 araw hanggang 8 taong pagkakakulong) hanggang reclusion temporal (12 taon at 1 araw hanggang 20 taong pagkakakulong) depende sa pagkakaroon ng karahasan o halaga ng mga baka.
* **Presumption of Cattle Rustling:** Pinapasimple ng probisyong ito ang mga pagsisiyasat at pinalalakas ang kaso laban sa mga nagmamay-ari ng mga ninakaw na baka.
**Mga Karagdagang Batas:**
* **Revised Penal Code (RPC):** Ang mga artikulo tulad ng kwalipikadong pagnanakaw (Artikulo 309 &amp; 310) ay maaaring ilapat sa mga kaso ng kaluskos ng baka depende sa partikular na mga pangyayari, na posibleng humantong sa mga karagdagang singil.
* **Comprehensive Dangerous Drugs Act (RA 9160):** Kung ang pagsisiyasat ay magbubunyag ng isang structured na organisasyong kriminal na sangkot sa pagnanakaw ng baka sa mga rehiyon, ang mga kaso sa ilalim ng RA 9160 ay maaaring ihabol, na may mas matinding parusa para sa organisadong mga aktibidad sa krimen.
**Iba pang Mga Panukala:**
* **Mga Inisyatibo ng Lokal na Pamahalaan:** Maaaring may mga ordinansa o programa ang ilang LGU para sa pagpaparehistro ng mga hayop, na posibleng kinasasangkutan ng mga tag ng pagkakakilanlan o earmark para sa mga baka sa loob ng kanilang nasasakupan.
* **Mga Asosasyon ng Lahi:** Ang ilang partikular na asosasyon ng lahi ay maaaring magpanatili ng mga rehistro ng mga hayop ng kanilang mga miyembro, kabilang ang mga detalye tungkol sa lahi, linya ng lahi, at posibleng mga marka ng pagkakakilanlan. Bagama't hindi pambansa, ang mga rehistrong ito ay maaaring maging mahalaga para sa mga rehistradong hayop.
* **Microchipping:** Bagama't hindi sapilitan, pinipili ng ilang may-ari ng hayop na i-microchip ang kanilang mga baka. Ang mga microchip ay nag-iimbak ng natatanging impormasyon ng pagkakakilanlan na maaaring ma-scan upang makilala ang hayop at posibleng masubaybayan ang pagmamay-ari.
**Mga Hamon at Patuloy na Pagsisikap:**
* **Mga Limitadong Mapagkukunan:** Ang mga ahensyang nagpapatupad ng batas, lalo na sa mga malalayong lugar, ay maaaring makaharap ng mga hadlang sa mapagkukunan sa pagharap sa mga kumplikadong kaso ng kaluskos ng baka. * **Organized Crime:** Ang kaluskos ng baka ng mga organisadong grupo ng krimen ay nangangailangan ng pinahusay na mga diskarte sa pagsisiyasat at pakikipagtulungan sa pagitan ng mga ahensya.
* **Kakulangan ng National Livestock Registry:** Ang kawalan ng sentralisadong sistema ay nagpapahirap sa pambansang pagsubaybay sa paggalaw ng baka at pagmamay-ari.
**Ang gobyerno ng Pilipinas ay aktibong nagtutuklas ng mga potensyal na solusyon, kabilang ang:**
* **Pagpapalakas ng Kapasidad sa Pagpapatupad ng Batas:** Pagbibigay ng mga mapagkukunan at pagsasanay sa mga nagpapatupad ng batas upang mabisang imbestigahan at usigin ang mga kaso ng pagnanakaw ng baka.
* **Pagpapahusay ng Pakikipagtulungan:** Paghihikayat sa pakikipagtulungan sa pagitan ng lokal na tagapagpatupad ng batas, NBI, at iba pang ahensya upang harapin ang mga network ng kaluskos ng baka. * **Pagtatatag ng National Livestock Registry:** Nagpapatuloy ang mga talakayan upang bumuo ng isang sistema para sa pagsentralisa ng pagkilala sa mga baka at pagsubaybay sa paggalaw ng baka sa buong bansa.
**Sa pangkalahatan, ang legal na balangkas at patuloy na pagsisikap ay naglalayong:**
* **Iwasan ang Kaluskos ng Baka:** Ang mga mahigpit na batas at parusa ay naglalayong pigilan ang mga indibidwal na makisali sa kaluskos ng baka.
* **I-recover ang Mga Ninakaw na Baka:** Ang pagpapalagay ng kaluskos ng baka ay nagpapasimple sa mga pagsisiyasat at pinapataas ang pagkakataong mabawi ang mga ninakaw na hayop.
* **Panagutin ang Mga Nagkasala:** Ang mas matitinding parusa para sa pagnanakaw ng baka at organisadong krimen ay nagsisilbing hadlang at matiyak na mahaharap sa hustisya ang mga nasasangkot.
* **Protektahan ang mga Kabuhayan:** Sa pamamagitan ng pag-iingat sa mga alagang hayop, nakakatulong ang mga hakbang na ito na protektahan ang mga kabuhayan ng mga magsasaka at rantsero na umaasa sa kanilang mga hayop para sa kita at seguridad sa pagkain.
Bagama't nananatili ang mga hamon, ang mga legal na probisyon at patuloy na pagsisikap ay nagpapakita ng pangako ng Pilipinas na protektahan ang mga may-ari ng mga hayop at ang kanilang mga ari-arian, pagtataguyod ng seguridad sa kanayunan, at pagtiyak ng mas patas na kapaligiran para sa mga sangkot sa industriya ng paghahayupan.</v>
      </c>
      <c r="F2627" s="2">
        <f t="shared" si="1"/>
        <v>0</v>
      </c>
      <c r="G2627" s="2"/>
      <c r="H2627" s="2"/>
      <c r="I2627" s="2"/>
      <c r="J2627" s="2"/>
      <c r="K2627" s="2"/>
      <c r="L2627" s="2"/>
      <c r="M2627" s="2"/>
      <c r="N2627" s="2"/>
      <c r="O2627" s="2"/>
      <c r="P2627" s="2"/>
      <c r="Q2627" s="2"/>
      <c r="R2627" s="2"/>
      <c r="S2627" s="2"/>
      <c r="T2627" s="2"/>
      <c r="U2627" s="2"/>
      <c r="V2627" s="2"/>
      <c r="W2627" s="2"/>
      <c r="X2627" s="2"/>
      <c r="Y2627" s="2"/>
      <c r="Z2627" s="2"/>
      <c r="AA2627" s="2"/>
    </row>
    <row r="2628">
      <c r="A2628" s="1" t="s">
        <v>6213</v>
      </c>
      <c r="B2628" s="1" t="s">
        <v>6226</v>
      </c>
      <c r="C2628" s="1" t="s">
        <v>6227</v>
      </c>
      <c r="D2628" s="2" t="str">
        <f>IFERROR(__xludf.DUMMYFUNCTION("GOOGLETRANSLATE(B2628, ""en"", ""TL"")"),"Paano tinutugunan ng batas ang pagbebenta o pagtatapon ng mga ninakaw na baka sa merkado?")</f>
        <v>Paano tinutugunan ng batas ang pagbebenta o pagtatapon ng mga ninakaw na baka sa merkado?</v>
      </c>
      <c r="E2628" s="2" t="str">
        <f>IFERROR(__xludf.DUMMYFUNCTION("GOOGLETRANSLATE(C2628, ""en"", ""TL"")"),"Ang pagbebenta o pagtatapon ng mga ninakaw na baka sa merkado ay isang malubhang pagkakasala sa Pilipinas, at tinutugunan ito ng batas sa maraming paraan:
**Mga Nagbebenta sa Pag-target:**
* **Anti-Cattle Rustling Law (PD 533):** Ang batas na ito ay hindi"&amp;" direktang nagta-target ng mga nagbebenta, ngunit ang mga probisyon nito ay maaaring ilapat depende sa mga pangyayari. * Kung alam ng nagbebenta o may dahilan upang maniwala na ang mga baka ay ninakaw (hal., mga nawawalang marka ng tatak, kahina-hinalang "&amp;"mababang presyo, pag-uugali ng nagbebenta), maaari silang ituring na kasabwat sa krimen ng kaluskos ng baka at mahaharap sa katulad na parusa gaya ng mismong mga rustler. .
* **Revised Penal Code (RPC):** Maaaring ilapat ang mga artikulong nauugnay sa pag"&amp;"nanakaw at pananagutan sa accessory:
* **Accessory (Artikulo 19):** Ang accessory ay isang tao na, na may kaalaman sa krimen, ay nakikipagtulungan sa pagsasagawa ng akto sa pamamagitan ng pagbebenta ng mga ninakaw na baka. Maaari silang mapatawan ng parus"&amp;"ang mas mababa kaysa sa mga pangunahing nagkasala (mga kawatan ng baka).
* **Pag-alam sa Pagmamay-ari ng Ninakaw na Ari-arian (Artikulo 316):** Kung alam ng nagbebenta na ninakaw ang mga baka at ibinenta ang mga ito para sa kanilang sariling kapakanan, ma"&amp;"aari silang kasuhan ng paglabag na ito, nahaharap sa pagkakulong at potensyal na multa.
**Mga Regulasyon sa Market:**
* **Paglilisensya ng Livestock:** Ang ilang mga local government unit (LGU) ay maaaring mangailangan ng mga livestock market upang makaku"&amp;"ha ng mga lisensya para sa operasyon. Maaaring bawiin ang mga lisensyang ito kung sadyang pinapadali ng merkado ang pagbebenta ng mga ninakaw na baka. * **Mga Pamamaraan sa Pag-verify:** Ang mga merkado na may itinatag na protocol para sa pag-verify ng pa"&amp;"gmamay-ari ng baka sa pamamagitan ng mga marka ng tatak, microchip scan, o dokumentasyon ay maaaring makatulong na hadlangan ang pagbebenta ng mga ninakaw na hayop. **Mga Hamon sa Pagpapatupad ng Market:**
* **Limited Resources:** Ang pag-verify sa pinagm"&amp;"ulan ng bawat baka sa palengke ay maaaring maging mapagkukunan-intensive, lalo na sa malaki o impormal na mga pamilihan.
* **Pekeng Dokumentasyon:** Maaaring gumamit ang mga Rustler ng mga pekeng dokumento o pinakialaman na mga marka ng tatak, na nagpapah"&amp;"irap sa pagkilala.
**Tungkulin ng Pagpapatupad ng Batas:**
* **Mga Pag-iinspeksyon sa Merkado:** Ang mga ahensyang nagpapatupad ng batas ay maaaring magsagawa ng mga sorpresang inspeksyon sa mga merkado ng hayop upang suriin ang mga ninakaw na baka at i-v"&amp;"erify ang pagsunod sa mga potensyal na pamamaraan ng pag-verify.
* **Sumusunod na Mga Lead:** Kung lumabas ang isang ulat ng mga ninakaw na baka, maaaring imbestigahan ng tagapagpatupad ng batas ang merkado kung saan pinaghihinalaan nilang maaaring ibenta"&amp;" ang mga hayop.
* **Pagtutulungan sa Pamamahala ng Market:** Ang pakikipagtulungan sa pamamahala sa merkado ay maaaring maging mahalaga sa pagtukoy ng mga kahina-hinalang nagbebenta at pagtatatag ng mga hakbang sa pag-iwas.
**Tungkulin ng mga Mamimili:**
"&amp;"* **Due Diligence:** Maaaring mag-ingat ang mga mamimili sa pamamagitan ng paghiling ng wastong dokumentasyon (mga brand certificate, microchip scan) at pag-iwas sa kahina-hinalang mababang presyo para sa mga baka.
* **Pag-uulat ng Kahina-hinalang Aktibid"&amp;"ad:** Kung pinaghihinalaan ng isang mamimili na maaaring nanakaw ang mga baka, maaari nilang iulat ito sa mga awtoridad sa merkado o tagapagpatupad ng batas.
**Pangkalahatang Epekto:**
Ang legal na balangkas at mga pagsisikap sa pagpapatupad ay naglalayon"&amp;"g pigilan ang pagbebenta ng mga ninakaw na baka sa mga pamilihan. Sa pamamagitan ng pagpapanagot sa mga nagbebenta, pagpapatupad ng mga regulasyon sa merkado, at pag-promote ng mga responsableng gawi sa pagbili, ang batas ay maaaring lumikha ng isang mas "&amp;"ligtas na pamilihan para sa lehitimong pangangalakal ng mga hayop at pigilan ang mga aktibidad sa pagnanakaw ng baka.")</f>
        <v>Ang pagbebenta o pagtatapon ng mga ninakaw na baka sa merkado ay isang malubhang pagkakasala sa Pilipinas, at tinutugunan ito ng batas sa maraming paraan:
**Mga Nagbebenta sa Pag-target:**
* **Anti-Cattle Rustling Law (PD 533):** Ang batas na ito ay hindi direktang nagta-target ng mga nagbebenta, ngunit ang mga probisyon nito ay maaaring ilapat depende sa mga pangyayari. * Kung alam ng nagbebenta o may dahilan upang maniwala na ang mga baka ay ninakaw (hal., mga nawawalang marka ng tatak, kahina-hinalang mababang presyo, pag-uugali ng nagbebenta), maaari silang ituring na kasabwat sa krimen ng kaluskos ng baka at mahaharap sa katulad na parusa gaya ng mismong mga rustler. .
* **Revised Penal Code (RPC):** Maaaring ilapat ang mga artikulong nauugnay sa pagnanakaw at pananagutan sa accessory:
* **Accessory (Artikulo 19):** Ang accessory ay isang tao na, na may kaalaman sa krimen, ay nakikipagtulungan sa pagsasagawa ng akto sa pamamagitan ng pagbebenta ng mga ninakaw na baka. Maaari silang mapatawan ng parusang mas mababa kaysa sa mga pangunahing nagkasala (mga kawatan ng baka).
* **Pag-alam sa Pagmamay-ari ng Ninakaw na Ari-arian (Artikulo 316):** Kung alam ng nagbebenta na ninakaw ang mga baka at ibinenta ang mga ito para sa kanilang sariling kapakanan, maaari silang kasuhan ng paglabag na ito, nahaharap sa pagkakulong at potensyal na multa.
**Mga Regulasyon sa Market:**
* **Paglilisensya ng Livestock:** Ang ilang mga local government unit (LGU) ay maaaring mangailangan ng mga livestock market upang makakuha ng mga lisensya para sa operasyon. Maaaring bawiin ang mga lisensyang ito kung sadyang pinapadali ng merkado ang pagbebenta ng mga ninakaw na baka. * **Mga Pamamaraan sa Pag-verify:** Ang mga merkado na may itinatag na protocol para sa pag-verify ng pagmamay-ari ng baka sa pamamagitan ng mga marka ng tatak, microchip scan, o dokumentasyon ay maaaring makatulong na hadlangan ang pagbebenta ng mga ninakaw na hayop. **Mga Hamon sa Pagpapatupad ng Market:**
* **Limited Resources:** Ang pag-verify sa pinagmulan ng bawat baka sa palengke ay maaaring maging mapagkukunan-intensive, lalo na sa malaki o impormal na mga pamilihan.
* **Pekeng Dokumentasyon:** Maaaring gumamit ang mga Rustler ng mga pekeng dokumento o pinakialaman na mga marka ng tatak, na nagpapahirap sa pagkilala.
**Tungkulin ng Pagpapatupad ng Batas:**
* **Mga Pag-iinspeksyon sa Merkado:** Ang mga ahensyang nagpapatupad ng batas ay maaaring magsagawa ng mga sorpresang inspeksyon sa mga merkado ng hayop upang suriin ang mga ninakaw na baka at i-verify ang pagsunod sa mga potensyal na pamamaraan ng pag-verify.
* **Sumusunod na Mga Lead:** Kung lumabas ang isang ulat ng mga ninakaw na baka, maaaring imbestigahan ng tagapagpatupad ng batas ang merkado kung saan pinaghihinalaan nilang maaaring ibenta ang mga hayop.
* **Pagtutulungan sa Pamamahala ng Market:** Ang pakikipagtulungan sa pamamahala sa merkado ay maaaring maging mahalaga sa pagtukoy ng mga kahina-hinalang nagbebenta at pagtatatag ng mga hakbang sa pag-iwas.
**Tungkulin ng mga Mamimili:**
* **Due Diligence:** Maaaring mag-ingat ang mga mamimili sa pamamagitan ng paghiling ng wastong dokumentasyon (mga brand certificate, microchip scan) at pag-iwas sa kahina-hinalang mababang presyo para sa mga baka.
* **Pag-uulat ng Kahina-hinalang Aktibidad:** Kung pinaghihinalaan ng isang mamimili na maaaring nanakaw ang mga baka, maaari nilang iulat ito sa mga awtoridad sa merkado o tagapagpatupad ng batas.
**Pangkalahatang Epekto:**
Ang legal na balangkas at mga pagsisikap sa pagpapatupad ay naglalayong pigilan ang pagbebenta ng mga ninakaw na baka sa mga pamilihan. Sa pamamagitan ng pagpapanagot sa mga nagbebenta, pagpapatupad ng mga regulasyon sa merkado, at pag-promote ng mga responsableng gawi sa pagbili, ang batas ay maaaring lumikha ng isang mas ligtas na pamilihan para sa lehitimong pangangalakal ng mga hayop at pigilan ang mga aktibidad sa pagnanakaw ng baka.</v>
      </c>
      <c r="F2628" s="2">
        <f t="shared" si="1"/>
        <v>0</v>
      </c>
      <c r="G2628" s="2"/>
      <c r="H2628" s="2"/>
      <c r="I2628" s="2"/>
      <c r="J2628" s="2"/>
      <c r="K2628" s="2"/>
      <c r="L2628" s="2"/>
      <c r="M2628" s="2"/>
      <c r="N2628" s="2"/>
      <c r="O2628" s="2"/>
      <c r="P2628" s="2"/>
      <c r="Q2628" s="2"/>
      <c r="R2628" s="2"/>
      <c r="S2628" s="2"/>
      <c r="T2628" s="2"/>
      <c r="U2628" s="2"/>
      <c r="V2628" s="2"/>
      <c r="W2628" s="2"/>
      <c r="X2628" s="2"/>
      <c r="Y2628" s="2"/>
      <c r="Z2628" s="2"/>
      <c r="AA2628" s="2"/>
    </row>
    <row r="2629">
      <c r="A2629" s="1" t="s">
        <v>6213</v>
      </c>
      <c r="B2629" s="1" t="s">
        <v>6228</v>
      </c>
      <c r="C2629" s="1" t="s">
        <v>6229</v>
      </c>
      <c r="D2629" s="2" t="str">
        <f>IFERROR(__xludf.DUMMYFUNCTION("GOOGLETRANSLATE(B2629, ""en"", ""TL"")"),"Anong papel ang ginagampanan ng mga ahensyang nagpapatupad ng batas sa pag-iimbestiga at pag-uusig sa mga kaso ng pagnanakaw ng baka?")</f>
        <v>Anong papel ang ginagampanan ng mga ahensyang nagpapatupad ng batas sa pag-iimbestiga at pag-uusig sa mga kaso ng pagnanakaw ng baka?</v>
      </c>
      <c r="E2629" s="2" t="str">
        <f>IFERROR(__xludf.DUMMYFUNCTION("GOOGLETRANSLATE(C2629, ""en"", ""TL"")"),"Ang mga ahensyang nagpapatupad ng batas ay may mahalagang papel sa pag-iimbestiga at pag-uusig sa mga kaso ng pagnanakaw ng baka sa Pilipinas. Narito ang isang breakdown ng kanilang mga pangunahing responsibilidad:
**Paunang Tugon:**
* **Pagtugon sa Mga U"&amp;"lat:** Sa pagtanggap ng ulat ng kaluskos ng baka, ipapadala sa lugar ang mga opisyal ng pagpapatupad ng batas upang mangalap ng paunang impormasyon.
* **Pag-secure sa Eksena:** Sisiguraduhin nila ang lugar upang mapanatili ang ebidensya, tulad ng mga trac"&amp;"k, sirang bakod, o ligaw na buhok mula sa mga nawawalang baka.
* **Pakikipanayam sa Biktima:** Kakausapin ng mga opisyal ang may-ari ng hayop upang maunawaan ang mga detalye ng pagnanakaw, kasama ang numero, paglalarawan, at anumang mga marka ng pagkakaki"&amp;"lanlan ng nawawalang baka.
**Pagsisiyasat:**
* **Koleksyon ng Ebidensya:** Kokolektahin ng mga opisyal ang anumang pisikal na ebidensya na makikita sa pinangyarihan, tulad ng mga bakas ng paa, mga track ng gulong, at mga potensyal na pahayag ng saksi.
* *"&amp;"*Sinusundan ang Mga Lead:** Sisiyasatin nila ang mga potensyal na lead batay sa impormasyong nakalap, kabilang ang pagtatanong sa mga tao sa paligid, pagsuri para sa footage ng security camera, at paghahanap ng mga indibidwal na maaaring nagbenta ng baka "&amp;"kamakailan.
* **Pakikipagtulungan sa Ibang Ahensya:** Para sa mga kumplikadong kaso o sa mga kinasasangkutan ng mga ninakaw na baka na posibleng ilipat sa mga hangganan, ang pakikipagtulungan sa iba pang ahensyang nagpapatupad ng batas (hal., NBI) ay napa"&amp;"kahalaga.
**Pagbuo ng Case:**
* **Pagdodokumento sa Pagsisiyasat:** Ang mga opisyal ay lubusang magdodokumento ng kanilang mga natuklasan sa pamamagitan ng mga detalyadong ulat, litrato, at isang chain of custody para sa nakolektang ebidensya. * **Pagkila"&amp;"la sa mga Suspek:** Batay sa imbestigasyon, susubukan nilang tukuyin at hanapin ang mga potensyal na suspek na sangkot sa kaluskos ng baka.
* **Paghahanda para sa Pag-uusig:** Makikipagtulungan sila sa mga tagausig upang matiyak na mabubuo ang isang malak"&amp;"as na kaso laban sa mga suspek, pagsunod sa mga legal na pamamaraan at paggalang sa mga karapatan ng lahat ng indibidwal na kasangkot.
**Pag-aresto at Pag-uusig:**
* **Pag-aresto at Kasuhan:** Kung may sapat na ebidensya, aarestuhin ng mga alagad ng batas"&amp;" ang mga suspek at sasampahan ng kaso sa ilalim ng mga nauugnay na batas, gaya ng Anti-Cattle Rustling Law (PD 533) at posibleng ang Revised Penal Code (RPC) depende sa mga pangyayari.
* **Pagsubaybay:** Maaaring patuloy na tulungan ng tagapagpatupad ng b"&amp;"atas ang mga tagausig sa panahon ng kaso sa korte sa pamamagitan ng pagbibigay ng kinakailangang ebidensya at testimonya ng saksi.
**Mga Karagdagang Pagsasaalang-alang:**
* **Community Outreach:** Ang mga ahensyang nagpapatupad ng batas ay maaaring gumana"&amp;"p ng papel sa pagtuturo sa mga rural na komunidad tungkol sa mga diskarte sa pag-iwas sa kaluskos ng baka at paghikayat sa mga residente na mag-ulat ng kahina-hinalang aktibidad.
* **Koordinasyon ng Inter-Agency:** Ang pakikipagtulungan sa mga yunit ng lo"&amp;"kal na pamahalaan, mga serbisyo sa beterinaryo (para sa pagkakakilanlan ng hayop), at mga ahensyang pang-agrikultura ay maaaring maging mahalaga sa mas epektibong pagharap sa kaluskos ng baka.
**Kahalagahan ng Pagpapatupad ng Batas:**
Sa pamamagitan ng pa"&amp;"gsasagawa ng masusing pagsisiyasat, pagkolekta ng matatag na ebidensya, at pakikipagtulungan sa sistema ng hustisya, ang mga ahensyang nagpapatupad ng batas ay gumaganap ng mahalagang papel sa:
* **Pagpigil sa Kaluskos ng Baka:** Ang pagkakaroon ng aktibo"&amp;"ng pagsisiyasat at pag-uusig ay maaaring hadlangan ang mga potensyal na kaluskos at gawing mas mapanganib na krimen ang kaluskos ng baka.
* **Pagbawi ng Ninakaw na Baka:** Ang mga matagumpay na pagsisiyasat ay maaaring humantong sa pagbawi ng mga ninakaw "&amp;"na baka at ang kanilang pagbabalik sa mga nararapat na may-ari, na nagpapaliit sa mga pagkalugi sa pananalapi para sa mga nag-aalaga ng hayop.
* **Pagpapanagot sa mga Nagkasala:** Ang pagdadala sa mga nagnanakaw ng baka sa hustisya ay tinitiyak na sila ay"&amp;" mapaparusahan para sa kanilang mga krimen at hindi hinihikayat ang mga hinaharap na pagkakasala.
* **Pagsusulong ng Seguridad sa Rural:** Ang pagtugon sa kaluskos ng baka ay nag-aambag sa isang mas ligtas na kapaligiran para sa mga komunidad sa kanayunan"&amp;" na lubos na umaasa sa mga hayop para sa kanilang kabuhayan. Ang tungkulin ng tagapagpatupad ng batas sa pag-iimbestiga at pag-uusig sa mga kaso ng kaluskos ng baka ay mahalaga para sa pagprotekta sa mga magsasaka at rantsero, pagpigil sa pagkalugi sa eko"&amp;"nomiya, at pagtataguyod ng isang mas ligtas at makatarungang lipunan para sa mga komunidad sa kanayunan.")</f>
        <v>Ang mga ahensyang nagpapatupad ng batas ay may mahalagang papel sa pag-iimbestiga at pag-uusig sa mga kaso ng pagnanakaw ng baka sa Pilipinas. Narito ang isang breakdown ng kanilang mga pangunahing responsibilidad:
**Paunang Tugon:**
* **Pagtugon sa Mga Ulat:** Sa pagtanggap ng ulat ng kaluskos ng baka, ipapadala sa lugar ang mga opisyal ng pagpapatupad ng batas upang mangalap ng paunang impormasyon.
* **Pag-secure sa Eksena:** Sisiguraduhin nila ang lugar upang mapanatili ang ebidensya, tulad ng mga track, sirang bakod, o ligaw na buhok mula sa mga nawawalang baka.
* **Pakikipanayam sa Biktima:** Kakausapin ng mga opisyal ang may-ari ng hayop upang maunawaan ang mga detalye ng pagnanakaw, kasama ang numero, paglalarawan, at anumang mga marka ng pagkakakilanlan ng nawawalang baka.
**Pagsisiyasat:**
* **Koleksyon ng Ebidensya:** Kokolektahin ng mga opisyal ang anumang pisikal na ebidensya na makikita sa pinangyarihan, tulad ng mga bakas ng paa, mga track ng gulong, at mga potensyal na pahayag ng saksi.
* **Sinusundan ang Mga Lead:** Sisiyasatin nila ang mga potensyal na lead batay sa impormasyong nakalap, kabilang ang pagtatanong sa mga tao sa paligid, pagsuri para sa footage ng security camera, at paghahanap ng mga indibidwal na maaaring nagbenta ng baka kamakailan.
* **Pakikipagtulungan sa Ibang Ahensya:** Para sa mga kumplikadong kaso o sa mga kinasasangkutan ng mga ninakaw na baka na posibleng ilipat sa mga hangganan, ang pakikipagtulungan sa iba pang ahensyang nagpapatupad ng batas (hal., NBI) ay napakahalaga.
**Pagbuo ng Case:**
* **Pagdodokumento sa Pagsisiyasat:** Ang mga opisyal ay lubusang magdodokumento ng kanilang mga natuklasan sa pamamagitan ng mga detalyadong ulat, litrato, at isang chain of custody para sa nakolektang ebidensya. * **Pagkilala sa mga Suspek:** Batay sa imbestigasyon, susubukan nilang tukuyin at hanapin ang mga potensyal na suspek na sangkot sa kaluskos ng baka.
* **Paghahanda para sa Pag-uusig:** Makikipagtulungan sila sa mga tagausig upang matiyak na mabubuo ang isang malakas na kaso laban sa mga suspek, pagsunod sa mga legal na pamamaraan at paggalang sa mga karapatan ng lahat ng indibidwal na kasangkot.
**Pag-aresto at Pag-uusig:**
* **Pag-aresto at Kasuhan:** Kung may sapat na ebidensya, aarestuhin ng mga alagad ng batas ang mga suspek at sasampahan ng kaso sa ilalim ng mga nauugnay na batas, gaya ng Anti-Cattle Rustling Law (PD 533) at posibleng ang Revised Penal Code (RPC) depende sa mga pangyayari.
* **Pagsubaybay:** Maaaring patuloy na tulungan ng tagapagpatupad ng batas ang mga tagausig sa panahon ng kaso sa korte sa pamamagitan ng pagbibigay ng kinakailangang ebidensya at testimonya ng saksi.
**Mga Karagdagang Pagsasaalang-alang:**
* **Community Outreach:** Ang mga ahensyang nagpapatupad ng batas ay maaaring gumanap ng papel sa pagtuturo sa mga rural na komunidad tungkol sa mga diskarte sa pag-iwas sa kaluskos ng baka at paghikayat sa mga residente na mag-ulat ng kahina-hinalang aktibidad.
* **Koordinasyon ng Inter-Agency:** Ang pakikipagtulungan sa mga yunit ng lokal na pamahalaan, mga serbisyo sa beterinaryo (para sa pagkakakilanlan ng hayop), at mga ahensyang pang-agrikultura ay maaaring maging mahalaga sa mas epektibong pagharap sa kaluskos ng baka.
**Kahalagahan ng Pagpapatupad ng Batas:**
Sa pamamagitan ng pagsasagawa ng masusing pagsisiyasat, pagkolekta ng matatag na ebidensya, at pakikipagtulungan sa sistema ng hustisya, ang mga ahensyang nagpapatupad ng batas ay gumaganap ng mahalagang papel sa:
* **Pagpigil sa Kaluskos ng Baka:** Ang pagkakaroon ng aktibong pagsisiyasat at pag-uusig ay maaaring hadlangan ang mga potensyal na kaluskos at gawing mas mapanganib na krimen ang kaluskos ng baka.
* **Pagbawi ng Ninakaw na Baka:** Ang mga matagumpay na pagsisiyasat ay maaaring humantong sa pagbawi ng mga ninakaw na baka at ang kanilang pagbabalik sa mga nararapat na may-ari, na nagpapaliit sa mga pagkalugi sa pananalapi para sa mga nag-aalaga ng hayop.
* **Pagpapanagot sa mga Nagkasala:** Ang pagdadala sa mga nagnanakaw ng baka sa hustisya ay tinitiyak na sila ay mapaparusahan para sa kanilang mga krimen at hindi hinihikayat ang mga hinaharap na pagkakasala.
* **Pagsusulong ng Seguridad sa Rural:** Ang pagtugon sa kaluskos ng baka ay nag-aambag sa isang mas ligtas na kapaligiran para sa mga komunidad sa kanayunan na lubos na umaasa sa mga hayop para sa kanilang kabuhayan. Ang tungkulin ng tagapagpatupad ng batas sa pag-iimbestiga at pag-uusig sa mga kaso ng kaluskos ng baka ay mahalaga para sa pagprotekta sa mga magsasaka at rantsero, pagpigil sa pagkalugi sa ekonomiya, at pagtataguyod ng isang mas ligtas at makatarungang lipunan para sa mga komunidad sa kanayunan.</v>
      </c>
      <c r="F2629" s="2">
        <f t="shared" si="1"/>
        <v>0</v>
      </c>
      <c r="G2629" s="2"/>
      <c r="H2629" s="2"/>
      <c r="I2629" s="2"/>
      <c r="J2629" s="2"/>
      <c r="K2629" s="2"/>
      <c r="L2629" s="2"/>
      <c r="M2629" s="2"/>
      <c r="N2629" s="2"/>
      <c r="O2629" s="2"/>
      <c r="P2629" s="2"/>
      <c r="Q2629" s="2"/>
      <c r="R2629" s="2"/>
      <c r="S2629" s="2"/>
      <c r="T2629" s="2"/>
      <c r="U2629" s="2"/>
      <c r="V2629" s="2"/>
      <c r="W2629" s="2"/>
      <c r="X2629" s="2"/>
      <c r="Y2629" s="2"/>
      <c r="Z2629" s="2"/>
      <c r="AA2629" s="2"/>
    </row>
    <row r="2630">
      <c r="A2630" s="1" t="s">
        <v>6213</v>
      </c>
      <c r="B2630" s="1" t="s">
        <v>6230</v>
      </c>
      <c r="C2630" s="1" t="s">
        <v>6231</v>
      </c>
      <c r="D2630" s="2" t="str">
        <f>IFERROR(__xludf.DUMMYFUNCTION("GOOGLETRANSLATE(B2630, ""en"", ""TL"")"),"Mayroon bang mga legal na hakbang upang mabayaran ang mga may-ari ng hayop para sa mga pagkalugi na natamo dahil sa kaluskos ng baka?")</f>
        <v>Mayroon bang mga legal na hakbang upang mabayaran ang mga may-ari ng hayop para sa mga pagkalugi na natamo dahil sa kaluskos ng baka?</v>
      </c>
      <c r="E2630" s="2" t="str">
        <f>IFERROR(__xludf.DUMMYFUNCTION("GOOGLETRANSLATE(C2630, ""en"", ""TL"")"),"Sa Pilipinas, walang direktang legal na probisyon na nag-aatas sa gobyerno na bayaran ang mga may-ari ng hayop para sa mga pagkalugi sa kaluskos ng baka. Gayunpaman, may mga legal na hakbang na makakatulong sa mga may-ari na mabawi ang kanilang mga ninaka"&amp;"w na hayop o humingi ng kabayaran mula sa mga nahatulan ng krimen:
**Pagbawi ng Ninakaw na Baka:**
* **Anti-Cattle Rustling Law (PD 533):** Ang batas na ito ay inuuna ang pagbabalik ng mga ninakaw na baka sa kanilang mga nararapat na may-ari. Kung mahahan"&amp;"ap ng imbestigasyon ang mga hayop, makakatulong ang pagpapatupad ng batas sa kanilang pagbawi, na posibleng umasa sa mga marka ng brand, microchip, o dokumentasyon ng pagmamay-ari.
* **Civil Lawsuit:** Ang mga may-ari ng hayop ay maaaring magsampa ng kaso"&amp;"ng sibil laban sa mga nahatulan ng kaluskos ng baka. Ang kaso ay maaaring humingi ng pagbabalik ng mga ninakaw na hayop (kung hindi pa nabawi) o kabayaran para sa kanilang halaga. **Pagkuha ng Kabayaran:**
* **Restitution:** Sa panahon ng paghatol, maaari"&amp;"ng utusan ng korte ang mga nahatulang indibidwal na magbayad ng restitution sa may-ari. Ito ay mahalagang pinipilit ang nagkasala na bayaran ang may-ari para sa mga pagkalugi sa pananalapi na dulot ng pagnanakaw.
* **Mga Pinsala sa Sibil na Paghahabla:** "&amp;"Kung ang isang sibil na demanda ay matagumpay, ang hukuman ay maaaring magbigay ng mga pinsala sa may-ari ng hayop. Maaaring saklawin ng mga pinsalang ito ang patas na halaga sa pamilihan ng mga ninakaw na baka, potensyal na halaga ng pag-aanak (para sa m"&amp;"ga hayop sa pag-aanak), at anumang iba pang nauugnay na pagkalugi na nagpapakitang dulot ng pagnanakaw.
**Mga Hamon sa Pagkuha ng Kabayaran:**
* **Paghatol sa mga Nagkasala:** Ang pagkuha ng kabayaran ay lubos na umaasa sa matagumpay na pag-uusig sa mga r"&amp;"esponsable sa kaluskos ng baka. Ito ay maaaring maging mahirap, lalo na kung ang kaso ay nagsasangkot ng organisadong krimen o kakulangan ng matibay na ebidensya.
* **Mga Mapagkukunan ng Pananalapi ng mga Nahatulang Indibidwal:** Kahit na mag-utos ang kor"&amp;"te ng restitusyon, ang pagbawi ng pera mula sa mga nahatulang indibidwal ay maaaring maging mahirap kung kulang sila ng mga mapagkukunang pinansyal.
**Mga Pagpipilian sa Seguro:**
* **Livestock Insurance:** Bagama't hindi laganap sa Pilipinas, maaaring is"&amp;"aalang-alang ng ilang may-ari ng hayop ang opsyonal na seguro sa paghahayupan upang mabawasan ang mga pagkalugi dahil sa pagnanakaw o iba pang hindi inaasahang pangyayari. **Kahalagahan ng Dokumentasyon:**
* **Mga Wastong Talaan:** Ang pagpapanatili ng tu"&amp;"mpak na mga talaan ng mga alagang hayop (bilang, lahi, paglalarawan, mga marka ng tatak, mga microchip ID kung naaangkop) ay nagpapatibay sa mga paghahabol ng pagmamay-ari at tumutulong sa mga pagsisikap sa pagbawi.
* **Mga Resibo at Sertipiko:** Ang pag-"&amp;"iingat ng mga resibo ng pagbili at anumang nauugnay na mga sertipiko (mga talaan ng pag-aanak, dokumentasyon ng lahi) ay maaaring maging mahalagang ebidensya sa parehong mga kasong kriminal at sibil.
**Mga Inisyatiba ng Pamahalaan:**
* **Mga Potensyal na "&amp;"Programa:** Sinaliksik ng gobyerno ng Pilipinas ang posibilidad na magtatag ng mga programa para tulungan ang mga may-ari ng hayop na nalulugi dahil sa kaluskos ng baka. Gayunpaman, wala pang ganitong programa sa buong bansa.
Sa pamamagitan ng pag-unawa s"&amp;"a mga legal na opsyon na ito at sa kahalagahan ng dokumentasyon, maaaring mapataas ng mga may-ari ng hayop ang kanilang mga pagkakataong mabawi ang mga ninakaw na baka o humingi ng kabayaran para sa kanilang mga pagkalugi. Ang pakikipagtulungan sa mga tag"&amp;"apagpatupad ng batas at pagtataguyod ng mga legal na paraan ay makapagpapanagot sa mga may kasalanan at sana ay makahadlang sa mga aktibidad sa pagnanakaw ng baka sa hinaharap.")</f>
        <v>Sa Pilipinas, walang direktang legal na probisyon na nag-aatas sa gobyerno na bayaran ang mga may-ari ng hayop para sa mga pagkalugi sa kaluskos ng baka. Gayunpaman, may mga legal na hakbang na makakatulong sa mga may-ari na mabawi ang kanilang mga ninakaw na hayop o humingi ng kabayaran mula sa mga nahatulan ng krimen:
**Pagbawi ng Ninakaw na Baka:**
* **Anti-Cattle Rustling Law (PD 533):** Ang batas na ito ay inuuna ang pagbabalik ng mga ninakaw na baka sa kanilang mga nararapat na may-ari. Kung mahahanap ng imbestigasyon ang mga hayop, makakatulong ang pagpapatupad ng batas sa kanilang pagbawi, na posibleng umasa sa mga marka ng brand, microchip, o dokumentasyon ng pagmamay-ari.
* **Civil Lawsuit:** Ang mga may-ari ng hayop ay maaaring magsampa ng kasong sibil laban sa mga nahatulan ng kaluskos ng baka. Ang kaso ay maaaring humingi ng pagbabalik ng mga ninakaw na hayop (kung hindi pa nabawi) o kabayaran para sa kanilang halaga. **Pagkuha ng Kabayaran:**
* **Restitution:** Sa panahon ng paghatol, maaaring utusan ng korte ang mga nahatulang indibidwal na magbayad ng restitution sa may-ari. Ito ay mahalagang pinipilit ang nagkasala na bayaran ang may-ari para sa mga pagkalugi sa pananalapi na dulot ng pagnanakaw.
* **Mga Pinsala sa Sibil na Paghahabla:** Kung ang isang sibil na demanda ay matagumpay, ang hukuman ay maaaring magbigay ng mga pinsala sa may-ari ng hayop. Maaaring saklawin ng mga pinsalang ito ang patas na halaga sa pamilihan ng mga ninakaw na baka, potensyal na halaga ng pag-aanak (para sa mga hayop sa pag-aanak), at anumang iba pang nauugnay na pagkalugi na nagpapakitang dulot ng pagnanakaw.
**Mga Hamon sa Pagkuha ng Kabayaran:**
* **Paghatol sa mga Nagkasala:** Ang pagkuha ng kabayaran ay lubos na umaasa sa matagumpay na pag-uusig sa mga responsable sa kaluskos ng baka. Ito ay maaaring maging mahirap, lalo na kung ang kaso ay nagsasangkot ng organisadong krimen o kakulangan ng matibay na ebidensya.
* **Mga Mapagkukunan ng Pananalapi ng mga Nahatulang Indibidwal:** Kahit na mag-utos ang korte ng restitusyon, ang pagbawi ng pera mula sa mga nahatulang indibidwal ay maaaring maging mahirap kung kulang sila ng mga mapagkukunang pinansyal.
**Mga Pagpipilian sa Seguro:**
* **Livestock Insurance:** Bagama't hindi laganap sa Pilipinas, maaaring isaalang-alang ng ilang may-ari ng hayop ang opsyonal na seguro sa paghahayupan upang mabawasan ang mga pagkalugi dahil sa pagnanakaw o iba pang hindi inaasahang pangyayari. **Kahalagahan ng Dokumentasyon:**
* **Mga Wastong Talaan:** Ang pagpapanatili ng tumpak na mga talaan ng mga alagang hayop (bilang, lahi, paglalarawan, mga marka ng tatak, mga microchip ID kung naaangkop) ay nagpapatibay sa mga paghahabol ng pagmamay-ari at tumutulong sa mga pagsisikap sa pagbawi.
* **Mga Resibo at Sertipiko:** Ang pag-iingat ng mga resibo ng pagbili at anumang nauugnay na mga sertipiko (mga talaan ng pag-aanak, dokumentasyon ng lahi) ay maaaring maging mahalagang ebidensya sa parehong mga kasong kriminal at sibil.
**Mga Inisyatiba ng Pamahalaan:**
* **Mga Potensyal na Programa:** Sinaliksik ng gobyerno ng Pilipinas ang posibilidad na magtatag ng mga programa para tulungan ang mga may-ari ng hayop na nalulugi dahil sa kaluskos ng baka. Gayunpaman, wala pang ganitong programa sa buong bansa.
Sa pamamagitan ng pag-unawa sa mga legal na opsyon na ito at sa kahalagahan ng dokumentasyon, maaaring mapataas ng mga may-ari ng hayop ang kanilang mga pagkakataong mabawi ang mga ninakaw na baka o humingi ng kabayaran para sa kanilang mga pagkalugi. Ang pakikipagtulungan sa mga tagapagpatupad ng batas at pagtataguyod ng mga legal na paraan ay makapagpapanagot sa mga may kasalanan at sana ay makahadlang sa mga aktibidad sa pagnanakaw ng baka sa hinaharap.</v>
      </c>
      <c r="F2630" s="2">
        <f t="shared" si="1"/>
        <v>0</v>
      </c>
      <c r="G2630" s="2"/>
      <c r="H2630" s="2"/>
      <c r="I2630" s="2"/>
      <c r="J2630" s="2"/>
      <c r="K2630" s="2"/>
      <c r="L2630" s="2"/>
      <c r="M2630" s="2"/>
      <c r="N2630" s="2"/>
      <c r="O2630" s="2"/>
      <c r="P2630" s="2"/>
      <c r="Q2630" s="2"/>
      <c r="R2630" s="2"/>
      <c r="S2630" s="2"/>
      <c r="T2630" s="2"/>
      <c r="U2630" s="2"/>
      <c r="V2630" s="2"/>
      <c r="W2630" s="2"/>
      <c r="X2630" s="2"/>
      <c r="Y2630" s="2"/>
      <c r="Z2630" s="2"/>
      <c r="AA2630" s="2"/>
    </row>
    <row r="2631">
      <c r="A2631" s="1" t="s">
        <v>6213</v>
      </c>
      <c r="B2631" s="1" t="s">
        <v>6232</v>
      </c>
      <c r="C2631" s="1" t="s">
        <v>6233</v>
      </c>
      <c r="D2631" s="2" t="str">
        <f>IFERROR(__xludf.DUMMYFUNCTION("GOOGLETRANSLATE(B2631, ""en"", ""TL"")"),"Paano tinutugunan ng batas ang pagkakasangkot ng mga organisadong grupo ng krimen sa kaluskos ng baka?")</f>
        <v>Paano tinutugunan ng batas ang pagkakasangkot ng mga organisadong grupo ng krimen sa kaluskos ng baka?</v>
      </c>
      <c r="E2631" s="2" t="str">
        <f>IFERROR(__xludf.DUMMYFUNCTION("GOOGLETRANSLATE(C2631, ""en"", ""TL"")"),"Ang sistemang legal ng Pilipinas ay gumagamit ng isang multi-pronged na diskarte upang tugunan ang pagkakasangkot ng mga organisadong grupo ng krimen sa kaluskos ng baka. Narito kung paano tinatalakay ng batas ang kumplikadong isyu na ito:
**Mga Tradisyon"&amp;"al na Batas sa Kaluskos ng Baka:**
* **Anti-Cattle Rustling Law (PD 533):** Nalalapat ang pangunahing batas na ito sa lahat ng uri ng kaluskos ng baka, kabilang ang mga ginawa ng organisadong krimen. Itinatag nito ang presumption of cattle rustling (Secti"&amp;"on 7) at nagpapataw ng mas matinding parusa kumpara sa simpleng pagnanakaw sa ilalim ng Revised Penal Code (RPC).
**Mga Hamon sa Tradisyonal na Batas:**
Habang ang PD 533 ay isang malakas na pagpigil, ang mga organisadong grupo ng krimen ay maaaring magpa"&amp;"kita ng mga natatanging hamon:
* **Sophistication:** Maaaring gumana ang mga pangkat na ito sa mga rehiyon, na ginagawang mas kumplikado ang pagsisiyasat at pag-uusig.
* **Pananakot:** Ang pananakot sa saksi at takot sa paghihiganti ay maaaring makahadlan"&amp;"g sa mga pagsisiyasat.
**Mga Karagdagang Batas na Nagta-target ng Organisadong Krimen:**
* **Comprehensive Dangerous Drugs Act (RA 9160):** Kung ang pagsisiyasat ay nagbubunyag ng isang structured criminal organization na sangkot sa pagnanakaw ng baka (po"&amp;"sibleng nauugnay sa drug trafficking o iba pang ilegal na aktibidad), ang mga kaso sa ilalim ng RA 9160 ay maaaring ituloy. Ang batas na ito ay may mas matinding parusa para sa mga organisadong aktibidad ng krimen kumpara sa PD 533.
**Mga Diskarte para sa"&amp;" Pagbuwag sa Organisadong Pag-aagawan ng Baka:**
* **Pinahusay na Pagsisiyasat:** Ang mga ahensyang nagpapatupad ng batas tulad ng National Bureau of Investigation (NBI) na may mas malawak na kapangyarihan sa pag-iimbestiga ay may mahalagang papel sa pagh"&amp;"arap sa mga organisadong krimen.
* **Pagtutulungan ng Inter-Agency:** Ang pakikipagtulungan sa pagitan ng lokal na pulisya, NBI, at posibleng maging mga opisyal ng customs (kung ang trafficking ay nagsasangkot ng pagtawid sa mga hangganan) ay mahalaga. * "&amp;"**Pagsunod sa Money Trail:** Ang pagsubaybay sa mga transaksyon sa pananalapi na nauugnay sa pagbebenta ng mga ninakaw na baka ay maaaring humantong sa mga pangunahing numero sa loob ng organisasyon. * **Proteksyon ng Saksi:** Ang mga programa upang prote"&amp;"ktahan ang mga saksi na nagbibigay ng impormasyon ay mahalaga sa pagbuwag sa mga organisadong network ng krimen.
**Mga Benepisyo ng Pagtugon sa Organisadong Krimen:**
* **Nakakagambala sa Mga Network:** Sa pamamagitan ng pag-target sa mga pinuno at impras"&amp;"traktura sa pananalapi ng mga pangkat na ito, maaaring maabala ng pagpapatupad ng batas ang kanilang mga operasyon at hadlangan ang mga aktibidad sa pagnanakaw ng baka sa hinaharap.
* **Pagprotekta sa mga Komunidad:** Ang matagumpay na pagbuwag sa mga org"&amp;"anisadong crime ring ay hindi lamang pinoprotektahan ang mga magsasaka at rantsero mula sa pagnanakaw ng baka ngunit pinalalakas din nito ang isang mas ligtas na kapaligiran para sa mga komunidad sa kanayunan.
**Mga Hamon at Patuloy na Pagsisikap:**
* **M"&amp;"ga Limitadong Mapagkukunan:** Maaaring makaharap ang mga ahensyang nagpapatupad ng batas ng mga hadlang sa mapagkukunan sa pagharap sa mga kumplikadong organisadong operasyon ng krimen.
* **Mga Nagbabagong Taktika:** Maaaring iakma ng mga organisadong gru"&amp;"po ng krimen ang kanilang mga pamamaraan, na nangangailangan ng patuloy na pagbabantay at mga pagsasaayos sa mga diskarte sa pagpapatupad ng batas.
Aktibong tinutugunan ng Pilipinas ang isyu ng pagkakasangkot ng organisadong krimen sa kaluskos ng baka. Sa"&amp;" pamamagitan ng pagsasama-sama ng mga tradisyunal na batas sa pagnanakaw ng baka at ng batas na nagta-target sa mga organisadong aktibidad ng krimen, kasama ng pinahusay na imbestigasyon at pakikipagtulungan sa pagitan ng mga ahensya, maaaring lansagin ng"&amp;" mga awtoridad ang mga network na ito at maprotektahan ang mga kabuhayan ng mga magsasaka at rantsero sa mga komunidad sa kanayunan.")</f>
        <v>Ang sistemang legal ng Pilipinas ay gumagamit ng isang multi-pronged na diskarte upang tugunan ang pagkakasangkot ng mga organisadong grupo ng krimen sa kaluskos ng baka. Narito kung paano tinatalakay ng batas ang kumplikadong isyu na ito:
**Mga Tradisyonal na Batas sa Kaluskos ng Baka:**
* **Anti-Cattle Rustling Law (PD 533):** Nalalapat ang pangunahing batas na ito sa lahat ng uri ng kaluskos ng baka, kabilang ang mga ginawa ng organisadong krimen. Itinatag nito ang presumption of cattle rustling (Section 7) at nagpapataw ng mas matinding parusa kumpara sa simpleng pagnanakaw sa ilalim ng Revised Penal Code (RPC).
**Mga Hamon sa Tradisyonal na Batas:**
Habang ang PD 533 ay isang malakas na pagpigil, ang mga organisadong grupo ng krimen ay maaaring magpakita ng mga natatanging hamon:
* **Sophistication:** Maaaring gumana ang mga pangkat na ito sa mga rehiyon, na ginagawang mas kumplikado ang pagsisiyasat at pag-uusig.
* **Pananakot:** Ang pananakot sa saksi at takot sa paghihiganti ay maaaring makahadlang sa mga pagsisiyasat.
**Mga Karagdagang Batas na Nagta-target ng Organisadong Krimen:**
* **Comprehensive Dangerous Drugs Act (RA 9160):** Kung ang pagsisiyasat ay nagbubunyag ng isang structured criminal organization na sangkot sa pagnanakaw ng baka (posibleng nauugnay sa drug trafficking o iba pang ilegal na aktibidad), ang mga kaso sa ilalim ng RA 9160 ay maaaring ituloy. Ang batas na ito ay may mas matinding parusa para sa mga organisadong aktibidad ng krimen kumpara sa PD 533.
**Mga Diskarte para sa Pagbuwag sa Organisadong Pag-aagawan ng Baka:**
* **Pinahusay na Pagsisiyasat:** Ang mga ahensyang nagpapatupad ng batas tulad ng National Bureau of Investigation (NBI) na may mas malawak na kapangyarihan sa pag-iimbestiga ay may mahalagang papel sa pagharap sa mga organisadong krimen.
* **Pagtutulungan ng Inter-Agency:** Ang pakikipagtulungan sa pagitan ng lokal na pulisya, NBI, at posibleng maging mga opisyal ng customs (kung ang trafficking ay nagsasangkot ng pagtawid sa mga hangganan) ay mahalaga. * **Pagsunod sa Money Trail:** Ang pagsubaybay sa mga transaksyon sa pananalapi na nauugnay sa pagbebenta ng mga ninakaw na baka ay maaaring humantong sa mga pangunahing numero sa loob ng organisasyon. * **Proteksyon ng Saksi:** Ang mga programa upang protektahan ang mga saksi na nagbibigay ng impormasyon ay mahalaga sa pagbuwag sa mga organisadong network ng krimen.
**Mga Benepisyo ng Pagtugon sa Organisadong Krimen:**
* **Nakakagambala sa Mga Network:** Sa pamamagitan ng pag-target sa mga pinuno at imprastraktura sa pananalapi ng mga pangkat na ito, maaaring maabala ng pagpapatupad ng batas ang kanilang mga operasyon at hadlangan ang mga aktibidad sa pagnanakaw ng baka sa hinaharap.
* **Pagprotekta sa mga Komunidad:** Ang matagumpay na pagbuwag sa mga organisadong crime ring ay hindi lamang pinoprotektahan ang mga magsasaka at rantsero mula sa pagnanakaw ng baka ngunit pinalalakas din nito ang isang mas ligtas na kapaligiran para sa mga komunidad sa kanayunan.
**Mga Hamon at Patuloy na Pagsisikap:**
* **Mga Limitadong Mapagkukunan:** Maaaring makaharap ang mga ahensyang nagpapatupad ng batas ng mga hadlang sa mapagkukunan sa pagharap sa mga kumplikadong organisadong operasyon ng krimen.
* **Mga Nagbabagong Taktika:** Maaaring iakma ng mga organisadong grupo ng krimen ang kanilang mga pamamaraan, na nangangailangan ng patuloy na pagbabantay at mga pagsasaayos sa mga diskarte sa pagpapatupad ng batas.
Aktibong tinutugunan ng Pilipinas ang isyu ng pagkakasangkot ng organisadong krimen sa kaluskos ng baka. Sa pamamagitan ng pagsasama-sama ng mga tradisyunal na batas sa pagnanakaw ng baka at ng batas na nagta-target sa mga organisadong aktibidad ng krimen, kasama ng pinahusay na imbestigasyon at pakikipagtulungan sa pagitan ng mga ahensya, maaaring lansagin ng mga awtoridad ang mga network na ito at maprotektahan ang mga kabuhayan ng mga magsasaka at rantsero sa mga komunidad sa kanayunan.</v>
      </c>
      <c r="F2631" s="2">
        <f t="shared" si="1"/>
        <v>0</v>
      </c>
      <c r="G2631" s="2"/>
      <c r="H2631" s="2"/>
      <c r="I2631" s="2"/>
      <c r="J2631" s="2"/>
      <c r="K2631" s="2"/>
      <c r="L2631" s="2"/>
      <c r="M2631" s="2"/>
      <c r="N2631" s="2"/>
      <c r="O2631" s="2"/>
      <c r="P2631" s="2"/>
      <c r="Q2631" s="2"/>
      <c r="R2631" s="2"/>
      <c r="S2631" s="2"/>
      <c r="T2631" s="2"/>
      <c r="U2631" s="2"/>
      <c r="V2631" s="2"/>
      <c r="W2631" s="2"/>
      <c r="X2631" s="2"/>
      <c r="Y2631" s="2"/>
      <c r="Z2631" s="2"/>
      <c r="AA2631" s="2"/>
    </row>
    <row r="2632">
      <c r="A2632" s="1" t="s">
        <v>6213</v>
      </c>
      <c r="B2632" s="1" t="s">
        <v>6234</v>
      </c>
      <c r="C2632" s="1" t="s">
        <v>6235</v>
      </c>
      <c r="D2632" s="2" t="str">
        <f>IFERROR(__xludf.DUMMYFUNCTION("GOOGLETRANSLATE(B2632, ""en"", ""TL"")"),"Anong mga legal na aksyon ang maaaring gawin laban sa mga indibidwal na natagpuang nagmamay-ari ng mga ninakaw na baka?")</f>
        <v>Anong mga legal na aksyon ang maaaring gawin laban sa mga indibidwal na natagpuang nagmamay-ari ng mga ninakaw na baka?</v>
      </c>
      <c r="E2632" s="2" t="str">
        <f>IFERROR(__xludf.DUMMYFUNCTION("GOOGLETRANSLATE(C2632, ""en"", ""TL"")"),"Ang mga indibidwal na natagpuang nagmamay-ari ng mga ninakaw na baka sa Pilipinas ay maaaring humarap sa mga legal na kahihinatnan sa ilalim ng ilang batas, depende sa mga partikular na kalagayan ng kaso. Narito ang isang pangkalahatang-ideya ng mga poten"&amp;"syal na legal na aksyon:
**Pangunahing Batas:**
1. **Anti-Cattle Rustling Law (PD 533):** Direktang tinutugunan ng batas na ito ang isyu ng kaluskos ng baka.
* **Pagpapalagay ng Kaluskos ng Baka (Seksyon 7):** Ang isang pangunahing probisyon ay nagtatatag"&amp;" ng pagpapalagay ng kaluskos ng baka. Kung ang isang tao ay natagpuang nagmamay-ari ng malalaking baka (mga baka, kalabaw, kabayo, atbp.) at hindi makapagbigay ng kasiya-siyang paliwanag para sa pagkakaroon nito, ang pasanin ng patunay ay lumipat sa kanil"&amp;"a. Dapat nilang ipakita na legal nilang nakuha ang mga hayop. Ito ay nagpapagaan sa pasanin ng prosekusyon at nagpapalakas sa kaso laban sa mga nagmamay-ari ng mga ninakaw na baka.
* **Mga Parusa:** Binabalangkas ng PD 533 ang mga parusa para sa kaluskos "&amp;"ng baka batay sa pagkakaroon ng karahasan at halaga ng mga baka:
* **Walang karahasan at hindi tiyak na halaga:** prision mayor (6 na taon at 1 araw hanggang 8 taong pagkakakulong)
* **Na may karahasan o makabuluhang halaga:** reclusion temporal (12 taon "&amp;"at 1 araw hanggang 20 taong pagkakakulong)
2. **Revised Penal Code (RPC):** Maaaring ilapat ang mga artikulong may kaugnayan sa pagnanakaw depende sa sitwasyon:
* **Kwalipikadong Pagnanakaw (Artikulo 309 &amp; 310):** Ang mga artikulong ito ay nagta-target ng"&amp;" pagnanakaw na kinasasangkutan ng malalaking baka. Ang partikular na parusa ay nakasalalay sa halaga ng mga ninakaw na baka at sa kasaysayan ng krimen ng nagkasala.
**Mga Salik na Nakakaapekto sa Mga Pagsingil:**
* **Paliwanag para sa Pag-aari:** Ang pali"&amp;"wanag ng indibidwal para sa pagkakaroon ng mga baka ay mahalaga. Kung makakapagbigay sila ng lehitimong dokumentasyon (mga resibo sa pagbili, mga sertipiko ng tatak) at isang nabe-verify na mapagkukunan para sa mga hayop, maaaring bawasan ang mga singil.
"&amp;"* **Pakikialam sa Pagkakakilanlan:** Kung ang mga baka ay may pinakialaman na mga marka ng tatak o microchip identifier, pinalalakas nito ang kaso laban sa nagmamay-ari, na nagmumungkahi na alam nila o pinaghihinalaang ninakaw ang mga hayop.
* **Pakikipag"&amp;"tulungan sa Mga Awtoridad:** Kung ang indibidwal ay nakipagtulungan sa imbestigasyon, nagbibigay ng impormasyon tungkol sa pinagmulan ng mga baka, o tumulong na matukoy ang aktwal na mga rustler, maaari silang makatanggap ng mas magaan na sentensiya o maa"&amp;"aring mabawasan ang mga singil.
**Potensyal na Resulta:**
* **Direktang Pagsingil:** Batay sa pagsisiyasat at ebidensya, ang indibidwal ay maaaring maharap sa mga kaso sa ilalim ng PD 533 (cattle rustling) o ang mga nauugnay na artikulo ng RPC (qualified "&amp;"theft).
* **Pagkumpiska ng Baka:** Maaaring iutos ng korte na kumpiskahin ang mga ninakaw na baka at ibalik ang mga ito sa mga nararapat na may-ari.
* **Mga multa at Pagkakulong:** Kung napatunayang nagkasala, ang indibidwal ay maaaring maharap sa pagkaku"&amp;"long batay sa mga partikular na kaso at parusa.
**Mga Karagdagang Pagsasaalang-alang:**
* **Civil Lawsuit:** Ang may-ari ng ninakaw na baka ay maaaring magsampa ng hiwalay na kaso sibil upang mabawi ang mga pinsala sa pagkawala ng kanilang mga hayop.
* **"&amp;"Mga Pahayag ng Saksi:** Ang mga pahayag mula sa mga indibidwal na nakakita sa mga baka sa pag-aari ng nararapat na may-ari o nakasaksi ng kahina-hinalang pag-uugali sa paligid ng pagkuha ng mga baka ay maaaring maging mahalagang ebidensya.
Sa pamamagitan "&amp;"ng paglalapat ng mga legal na hakbang na ito, maaaring panagutin ng mga tagapagpatupad ng batas ang mga indibidwal sa pagkakaroon ng mga ninakaw na baka, hadlangan ang mga aktibidad sa pagnanakaw ng baka, at tiyakin ang hustisya para sa mga biktima. Ang p"&amp;"agpapalagay ng kaluskos ng baka sa ilalim ng PD 533 ay gumaganap ng mahalagang papel sa prosesong ito, na nagpapahirap sa mga nagmamay-ari ng mga ninakaw na hayop na umiwas sa pananagutan.")</f>
        <v>Ang mga indibidwal na natagpuang nagmamay-ari ng mga ninakaw na baka sa Pilipinas ay maaaring humarap sa mga legal na kahihinatnan sa ilalim ng ilang batas, depende sa mga partikular na kalagayan ng kaso. Narito ang isang pangkalahatang-ideya ng mga potensyal na legal na aksyon:
**Pangunahing Batas:**
1. **Anti-Cattle Rustling Law (PD 533):** Direktang tinutugunan ng batas na ito ang isyu ng kaluskos ng baka.
* **Pagpapalagay ng Kaluskos ng Baka (Seksyon 7):** Ang isang pangunahing probisyon ay nagtatatag ng pagpapalagay ng kaluskos ng baka. Kung ang isang tao ay natagpuang nagmamay-ari ng malalaking baka (mga baka, kalabaw, kabayo, atbp.) at hindi makapagbigay ng kasiya-siyang paliwanag para sa pagkakaroon nito, ang pasanin ng patunay ay lumipat sa kanila. Dapat nilang ipakita na legal nilang nakuha ang mga hayop. Ito ay nagpapagaan sa pasanin ng prosekusyon at nagpapalakas sa kaso laban sa mga nagmamay-ari ng mga ninakaw na baka.
* **Mga Parusa:** Binabalangkas ng PD 533 ang mga parusa para sa kaluskos ng baka batay sa pagkakaroon ng karahasan at halaga ng mga baka:
* **Walang karahasan at hindi tiyak na halaga:** prision mayor (6 na taon at 1 araw hanggang 8 taong pagkakakulong)
* **Na may karahasan o makabuluhang halaga:** reclusion temporal (12 taon at 1 araw hanggang 20 taong pagkakakulong)
2. **Revised Penal Code (RPC):** Maaaring ilapat ang mga artikulong may kaugnayan sa pagnanakaw depende sa sitwasyon:
* **Kwalipikadong Pagnanakaw (Artikulo 309 &amp; 310):** Ang mga artikulong ito ay nagta-target ng pagnanakaw na kinasasangkutan ng malalaking baka. Ang partikular na parusa ay nakasalalay sa halaga ng mga ninakaw na baka at sa kasaysayan ng krimen ng nagkasala.
**Mga Salik na Nakakaapekto sa Mga Pagsingil:**
* **Paliwanag para sa Pag-aari:** Ang paliwanag ng indibidwal para sa pagkakaroon ng mga baka ay mahalaga. Kung makakapagbigay sila ng lehitimong dokumentasyon (mga resibo sa pagbili, mga sertipiko ng tatak) at isang nabe-verify na mapagkukunan para sa mga hayop, maaaring bawasan ang mga singil.
* **Pakikialam sa Pagkakakilanlan:** Kung ang mga baka ay may pinakialaman na mga marka ng tatak o microchip identifier, pinalalakas nito ang kaso laban sa nagmamay-ari, na nagmumungkahi na alam nila o pinaghihinalaang ninakaw ang mga hayop.
* **Pakikipagtulungan sa Mga Awtoridad:** Kung ang indibidwal ay nakipagtulungan sa imbestigasyon, nagbibigay ng impormasyon tungkol sa pinagmulan ng mga baka, o tumulong na matukoy ang aktwal na mga rustler, maaari silang makatanggap ng mas magaan na sentensiya o maaaring mabawasan ang mga singil.
**Potensyal na Resulta:**
* **Direktang Pagsingil:** Batay sa pagsisiyasat at ebidensya, ang indibidwal ay maaaring maharap sa mga kaso sa ilalim ng PD 533 (cattle rustling) o ang mga nauugnay na artikulo ng RPC (qualified theft).
* **Pagkumpiska ng Baka:** Maaaring iutos ng korte na kumpiskahin ang mga ninakaw na baka at ibalik ang mga ito sa mga nararapat na may-ari.
* **Mga multa at Pagkakulong:** Kung napatunayang nagkasala, ang indibidwal ay maaaring maharap sa pagkakulong batay sa mga partikular na kaso at parusa.
**Mga Karagdagang Pagsasaalang-alang:**
* **Civil Lawsuit:** Ang may-ari ng ninakaw na baka ay maaaring magsampa ng hiwalay na kaso sibil upang mabawi ang mga pinsala sa pagkawala ng kanilang mga hayop.
* **Mga Pahayag ng Saksi:** Ang mga pahayag mula sa mga indibidwal na nakakita sa mga baka sa pag-aari ng nararapat na may-ari o nakasaksi ng kahina-hinalang pag-uugali sa paligid ng pagkuha ng mga baka ay maaaring maging mahalagang ebidensya.
Sa pamamagitan ng paglalapat ng mga legal na hakbang na ito, maaaring panagutin ng mga tagapagpatupad ng batas ang mga indibidwal sa pagkakaroon ng mga ninakaw na baka, hadlangan ang mga aktibidad sa pagnanakaw ng baka, at tiyakin ang hustisya para sa mga biktima. Ang pagpapalagay ng kaluskos ng baka sa ilalim ng PD 533 ay gumaganap ng mahalagang papel sa prosesong ito, na nagpapahirap sa mga nagmamay-ari ng mga ninakaw na hayop na umiwas sa pananagutan.</v>
      </c>
      <c r="F2632" s="2">
        <f t="shared" si="1"/>
        <v>0</v>
      </c>
      <c r="G2632" s="2"/>
      <c r="H2632" s="2"/>
      <c r="I2632" s="2"/>
      <c r="J2632" s="2"/>
      <c r="K2632" s="2"/>
      <c r="L2632" s="2"/>
      <c r="M2632" s="2"/>
      <c r="N2632" s="2"/>
      <c r="O2632" s="2"/>
      <c r="P2632" s="2"/>
      <c r="Q2632" s="2"/>
      <c r="R2632" s="2"/>
      <c r="S2632" s="2"/>
      <c r="T2632" s="2"/>
      <c r="U2632" s="2"/>
      <c r="V2632" s="2"/>
      <c r="W2632" s="2"/>
      <c r="X2632" s="2"/>
      <c r="Y2632" s="2"/>
      <c r="Z2632" s="2"/>
      <c r="AA2632" s="2"/>
    </row>
    <row r="2633">
      <c r="A2633" s="1" t="s">
        <v>6213</v>
      </c>
      <c r="B2633" s="1" t="s">
        <v>6236</v>
      </c>
      <c r="C2633" s="1" t="s">
        <v>6237</v>
      </c>
      <c r="D2633" s="2" t="str">
        <f>IFERROR(__xludf.DUMMYFUNCTION("GOOGLETRANSLATE(B2633, ""en"", ""TL"")"),"Paano pinapanagot sa ilalim ng batas ang mga indibidwal na sangkot sa pagdadala ng mga nakaw na baka?")</f>
        <v>Paano pinapanagot sa ilalim ng batas ang mga indibidwal na sangkot sa pagdadala ng mga nakaw na baka?</v>
      </c>
      <c r="E2633" s="2" t="str">
        <f>IFERROR(__xludf.DUMMYFUNCTION("GOOGLETRANSLATE(C2633, ""en"", ""TL"")"),"Sa Pilipinas, ang mga indibidwal na sangkot sa pagdadala ng mga nakaw na baka ay maaaring panagutin sa ilalim ng batas sa maraming paraan, depende sa kanilang partikular na pagkakasangkot at sa mga kalagayan ng kaso. Narito ang isang breakdown ng mga pote"&amp;"nsyal na legal na implikasyon:
**Pangunahing Batas:**
* **Anti-Cattle Rustling Law (PD 533):** Ang batas na ito ay hindi tahasang nagta-target ng mga transporter, ngunit ang mga probisyon nito ay maaaring ilapat depende sa sitwasyon. * Kung alam ng transp"&amp;"orter o may dahilan upang maniwala na ang mga baka ay ninakaw (hal., nawawalang mga marka ng tatak, kahina-hinalang pag-uugali ng nagbebenta), maaari silang ituring na kasabwat sa krimen ng pagnanakaw ng baka at mahaharap sa mga katulad na parusa.
* **Rev"&amp;"ised Penal Code (RPC):** Maaaring ilapat ang mga artikulong nauugnay sa pagnanakaw at pananagutan sa accessory:
* **Accessory (Artikulo 19):** Ang accessory ay isang tao na, na may kaalaman sa krimen, ay nakikipagtulungan sa pagsasagawa ng akto sa pamamag"&amp;"itan ng pagbibigay ng paraan upang maihatid ang mga ninakaw na baka. Maaari silang mapatawan ng parusang mas mababa kaysa sa mga pangunahing nagkasala (mga kawatan ng baka).
* **Pag-alam sa Pagmamay-ari ng Ninakaw na Ari-arian (Artikulo 316):** Kung alam "&amp;"ng transporter na ninakaw ang mga baka at inari ang mga ito para sa kanilang sariling kapakanan, maaari silang kasuhan ng paglabag na ito, nahaharap sa pagkakulong at potensyal na multa.
**Mga Salik na Nakakaapekto sa Mga Pagsingil:**
* **Kaalaman sa Pagn"&amp;"anakaw:** Ang pangunahing salik na nakakaimpluwensya sa mga singil ay kung alam ng transporter o may dahilan upang maghinala na ninakaw ang mga baka. * Ang mga ebidensiya tulad ng pakikipag-ugnayan sa mga kilalang rustler, hindi pangkaraniwang paraan ng p"&amp;"agbabayad para sa pagdadala ng mga baka, o mga baka na may tampered na marka ng pagkakakilanlan ay maaaring magmungkahi ng kaalaman sa krimen.
* **Antas ng Paglahok:** Mahalaga rin ang lawak ng pagkakasangkot ng transporter. Ang simpleng pagdadala ng mga "&amp;"baka nang walang kaalaman sa kanilang pinanggalingan ay maaaring hindi magresulta sa mga singil, habang ang aktibong pakikilahok sa logistik ng paglipat ng mga ninakaw na baka ay malamang na humantong sa mas malupit na parusa.
**Mga Pagsasaalang-alang sa "&amp;"Pag-iimbestiga:**
* **Pagtitipon ng Ebidensya:** Ang pagpapatupad ng batas ay mangangalap ng ebidensya upang patunayan ang kaalaman ng transporter sa krimen. Maaaring kabilang dito ang mga pahayag ng saksi, mga rekord ng pananalapi ng transaksyon sa trans"&amp;"portasyon, at mga talaan ng komunikasyon kung iminumungkahi nila ang pakikipag-ugnayan sa mga rustlers.
**Potensyal na Resulta:**
* **Direktang Pagsingil:** Kung may sapat na ebidensya, ang transporter ay maaaring maharap sa mga kaso sa ilalim ng PD 533 ("&amp;"bilang isang kasabwat) o mga nauugnay na artikulo ng RPC.
* **Plea Bargain:** Depende sa kaso, maaaring makipag-ayos ang transporter ng plea bargain para makatanggap ng mas mababang singil o sentensiya kapalit ng pakikipagtulungan sa imbestigasyon.
**Kaha"&amp;"lagahan ng Transparency:**
* **Mga Lehitimong Transporter:** Ang mga transporter ng hayop na may wastong paglilisensya at dokumentasyon ay maaaring mabawasan ang panganib ng hindi sinasadyang pagdadala ng mga ninakaw na baka. * **Pag-verify ng Dokumentasy"&amp;"on:** Ang pag-verify sa mga dokumento ng pagmamay-ari ng baka at mga marka ng tatak bago ang transportasyon ay makakatulong na maiwasan ang pagkakasangkot sa mga ilegal na aktibidad.
Sa pamamagitan ng pag-unawa sa mga legal na implikasyon na ito, matitiya"&amp;"k ng mga indibidwal na kasangkot sa pagdadala ng mga baka na hindi nila tinutulungan ang mga aktibidad ng kaluskos ng baka. Ang pagpapatupad ng batas, na may pagtuon sa pangongolekta ng ebidensya at pagtukoy sa kaalaman ng transporter sa krimen, ay maaari"&amp;"ng managot sa mga sangkot at makagambala sa mga operasyon ng mga kawatan ng baka.")</f>
        <v>Sa Pilipinas, ang mga indibidwal na sangkot sa pagdadala ng mga nakaw na baka ay maaaring panagutin sa ilalim ng batas sa maraming paraan, depende sa kanilang partikular na pagkakasangkot at sa mga kalagayan ng kaso. Narito ang isang breakdown ng mga potensyal na legal na implikasyon:
**Pangunahing Batas:**
* **Anti-Cattle Rustling Law (PD 533):** Ang batas na ito ay hindi tahasang nagta-target ng mga transporter, ngunit ang mga probisyon nito ay maaaring ilapat depende sa sitwasyon. * Kung alam ng transporter o may dahilan upang maniwala na ang mga baka ay ninakaw (hal., nawawalang mga marka ng tatak, kahina-hinalang pag-uugali ng nagbebenta), maaari silang ituring na kasabwat sa krimen ng pagnanakaw ng baka at mahaharap sa mga katulad na parusa.
* **Revised Penal Code (RPC):** Maaaring ilapat ang mga artikulong nauugnay sa pagnanakaw at pananagutan sa accessory:
* **Accessory (Artikulo 19):** Ang accessory ay isang tao na, na may kaalaman sa krimen, ay nakikipagtulungan sa pagsasagawa ng akto sa pamamagitan ng pagbibigay ng paraan upang maihatid ang mga ninakaw na baka. Maaari silang mapatawan ng parusang mas mababa kaysa sa mga pangunahing nagkasala (mga kawatan ng baka).
* **Pag-alam sa Pagmamay-ari ng Ninakaw na Ari-arian (Artikulo 316):** Kung alam ng transporter na ninakaw ang mga baka at inari ang mga ito para sa kanilang sariling kapakanan, maaari silang kasuhan ng paglabag na ito, nahaharap sa pagkakulong at potensyal na multa.
**Mga Salik na Nakakaapekto sa Mga Pagsingil:**
* **Kaalaman sa Pagnanakaw:** Ang pangunahing salik na nakakaimpluwensya sa mga singil ay kung alam ng transporter o may dahilan upang maghinala na ninakaw ang mga baka. * Ang mga ebidensiya tulad ng pakikipag-ugnayan sa mga kilalang rustler, hindi pangkaraniwang paraan ng pagbabayad para sa pagdadala ng mga baka, o mga baka na may tampered na marka ng pagkakakilanlan ay maaaring magmungkahi ng kaalaman sa krimen.
* **Antas ng Paglahok:** Mahalaga rin ang lawak ng pagkakasangkot ng transporter. Ang simpleng pagdadala ng mga baka nang walang kaalaman sa kanilang pinanggalingan ay maaaring hindi magresulta sa mga singil, habang ang aktibong pakikilahok sa logistik ng paglipat ng mga ninakaw na baka ay malamang na humantong sa mas malupit na parusa.
**Mga Pagsasaalang-alang sa Pag-iimbestiga:**
* **Pagtitipon ng Ebidensya:** Ang pagpapatupad ng batas ay mangangalap ng ebidensya upang patunayan ang kaalaman ng transporter sa krimen. Maaaring kabilang dito ang mga pahayag ng saksi, mga rekord ng pananalapi ng transaksyon sa transportasyon, at mga talaan ng komunikasyon kung iminumungkahi nila ang pakikipag-ugnayan sa mga rustlers.
**Potensyal na Resulta:**
* **Direktang Pagsingil:** Kung may sapat na ebidensya, ang transporter ay maaaring maharap sa mga kaso sa ilalim ng PD 533 (bilang isang kasabwat) o mga nauugnay na artikulo ng RPC.
* **Plea Bargain:** Depende sa kaso, maaaring makipag-ayos ang transporter ng plea bargain para makatanggap ng mas mababang singil o sentensiya kapalit ng pakikipagtulungan sa imbestigasyon.
**Kahalagahan ng Transparency:**
* **Mga Lehitimong Transporter:** Ang mga transporter ng hayop na may wastong paglilisensya at dokumentasyon ay maaaring mabawasan ang panganib ng hindi sinasadyang pagdadala ng mga ninakaw na baka. * **Pag-verify ng Dokumentasyon:** Ang pag-verify sa mga dokumento ng pagmamay-ari ng baka at mga marka ng tatak bago ang transportasyon ay makakatulong na maiwasan ang pagkakasangkot sa mga ilegal na aktibidad.
Sa pamamagitan ng pag-unawa sa mga legal na implikasyon na ito, matitiyak ng mga indibidwal na kasangkot sa pagdadala ng mga baka na hindi nila tinutulungan ang mga aktibidad ng kaluskos ng baka. Ang pagpapatupad ng batas, na may pagtuon sa pangongolekta ng ebidensya at pagtukoy sa kaalaman ng transporter sa krimen, ay maaaring managot sa mga sangkot at makagambala sa mga operasyon ng mga kawatan ng baka.</v>
      </c>
      <c r="F2633" s="2">
        <f t="shared" si="1"/>
        <v>0</v>
      </c>
      <c r="G2633" s="2"/>
      <c r="H2633" s="2"/>
      <c r="I2633" s="2"/>
      <c r="J2633" s="2"/>
      <c r="K2633" s="2"/>
      <c r="L2633" s="2"/>
      <c r="M2633" s="2"/>
      <c r="N2633" s="2"/>
      <c r="O2633" s="2"/>
      <c r="P2633" s="2"/>
      <c r="Q2633" s="2"/>
      <c r="R2633" s="2"/>
      <c r="S2633" s="2"/>
      <c r="T2633" s="2"/>
      <c r="U2633" s="2"/>
      <c r="V2633" s="2"/>
      <c r="W2633" s="2"/>
      <c r="X2633" s="2"/>
      <c r="Y2633" s="2"/>
      <c r="Z2633" s="2"/>
      <c r="AA2633" s="2"/>
    </row>
    <row r="2634">
      <c r="A2634" s="1" t="s">
        <v>6213</v>
      </c>
      <c r="B2634" s="1" t="s">
        <v>6238</v>
      </c>
      <c r="C2634" s="1" t="s">
        <v>6239</v>
      </c>
      <c r="D2634" s="2" t="str">
        <f>IFERROR(__xludf.DUMMYFUNCTION("GOOGLETRANSLATE(B2634, ""en"", ""TL"")"),"Mayroon bang mga legal na probisyon para sa pagpaparehistro at pagkilala sa mga hayop upang maiwasan ang kaluskos ng baka?")</f>
        <v>Mayroon bang mga legal na probisyon para sa pagpaparehistro at pagkilala sa mga hayop upang maiwasan ang kaluskos ng baka?</v>
      </c>
      <c r="E2634" s="2" t="str">
        <f>IFERROR(__xludf.DUMMYFUNCTION("GOOGLETRANSLATE(C2634, ""en"", ""TL"")"),"Ang Pilipinas ay walang isang solong, sentralisadong pambansang pagpapatala para sa mga hayop na partikular na idinisenyo upang maiwasan ang kaluskos ng baka. Gayunpaman, may mga kasalukuyang hakbang at inisyatiba na bahagyang tumutugon sa pagkakakilanlan"&amp;" ng hayop:
* **Mga Inisyatiba ng Lokal na Pamahalaan:** * Ang ilang mga local government units (LGUs) ay may mga ordinansa o programa para sa pagpaparehistro ng mga hayop. Maaaring kabilang dito ang pagbibigay ng mga tag ng pagkakakilanlan o earmark para "&amp;"sa mga baka sa loob ng kanilang nasasakupan. Makakatulong ito para sa lokal na tagapagpatupad ng batas sa pagtunton ng mga ninakaw na hayop sa loob ng partikular na lugar.
* **Mga Asosasyon ng Lahi:**
* Ang mga asosasyon ng lahi para sa mga partikular na "&amp;"lahi ng baka (tulad ng Philippine Carabao Center para sa mga kalabaw) ay maaaring magpanatili ng mga rehistro ng mga hayop ng kanilang mga miyembro. Ang mga rehistrong ito ay maaaring magsama ng mga detalye tungkol sa lahi, lahi, at posibleng mga marka ng"&amp;" pagkakakilanlan. Bagama't hindi pambansa ang saklaw, maaari silang maging mahalaga para sa mga rehistradong hayop.
* **Microchipping:**
* Bagama't hindi sapilitan, pinipili ng ilang may-ari ng hayop na i-microchip ang kanilang mga baka. Ang mga microchip"&amp;" ay nag-iimbak ng natatanging impormasyon ng pagkakakilanlan na maaaring ma-scan upang makilala ang hayop at posibleng masubaybayan ang pagmamay-ari. Maaari itong maging partikular na kapaki-pakinabang sa pagbawi ng mga ninakaw na baka kung sila ay ililip"&amp;"at sa mga rehiyon.
**Mga Limitasyon ng Mga Umiiral na Panukala:**
* **Kakulangan ng Sentralisasyon:** Ang kawalan ng pambansang pagpapatala ay nagpapahirap sa komprehensibong pagsubaybay sa pagmamay-ari at paggalaw ng baka sa buong Pilipinas.
* **Limitado"&amp;"ng Saklaw:** Ang mga inisyatiba ng lokal na pamahalaan at mga rehistro ng asosasyon ng lahi ay sumasaklaw lamang sa mga partikular na lugar o lahi, na nag-iiwan ng puwang sa buong bansang pagkakakilanlan.
* **Voluntary Microchipping:** Ang microchipping a"&amp;"y hindi sapilitan, at ang pagiging epektibo nito ay nakasalalay sa mga scanner na magagamit sa panahon ng mga pagsisiyasat at pagpapatupad. **Mga Potensyal na Benepisyo ng isang Pambansang Rehistro:**
* **Pinahusay na Pagsubaybay:** Maaaring subaybayan ng"&amp;" isang pambansang pagpapatala ang paggalaw at pagmamay-ari ng baka nang mas epektibo, na ginagawang mas mahirap para sa mga rustler na magbenta ng mga ninakaw na hayop.
* **Mas mabilis na Pagbawi:** Gamit ang isang sentral na database, maaaring matukoy an"&amp;"g mga ninakaw na baka at maibalik sa kanilang mga nararapat na may-ari nang mas mabilis.
* **Pagpigil:** Ang pagkakaroon ng isang pambansang pagpapatala ay maaaring hadlangan ang kaluskos ng baka sa pamamagitan ng paggawa nitong isang mas mapanganib na kr"&amp;"imen.
**Mga Pagtalakay at Inisyatiba:**
* Kinilala ng gobyerno ng Pilipinas ang mga limitasyon ng kasalukuyang sistema at tinalakay ang posibilidad na magtatag ng isang pambansang sistema ng pagkilala sa mga hayop. * Sinaliksik ng Bureau of Animal Industr"&amp;"y (BAI) sa ilalim ng Department of Agriculture (DA) ang pagpapatupad ng naturang sistema.
**Konklusyon:**
Bagama't wala pang sentralisadong pambansang pagpapatala para sa pagkakakilanlan ng mga hayop sa Pilipinas, ang iba't ibang mga hakbangin sa lokal at"&amp;" indibidwal na antas ay bahagyang tumutugon sa pagkakakilanlan ng hayop. Ang mga pagsisikap ay isinasagawa upang potensyal na magtatag ng isang pambansang sistema na maaaring maging isang mahalagang kasangkapan sa pagpigil sa kaluskos ng baka at pagprotek"&amp;"ta sa mga kabuhayan ng mga Pilipinong magsasaka at rantsero.")</f>
        <v>Ang Pilipinas ay walang isang solong, sentralisadong pambansang pagpapatala para sa mga hayop na partikular na idinisenyo upang maiwasan ang kaluskos ng baka. Gayunpaman, may mga kasalukuyang hakbang at inisyatiba na bahagyang tumutugon sa pagkakakilanlan ng hayop:
* **Mga Inisyatiba ng Lokal na Pamahalaan:** * Ang ilang mga local government units (LGUs) ay may mga ordinansa o programa para sa pagpaparehistro ng mga hayop. Maaaring kabilang dito ang pagbibigay ng mga tag ng pagkakakilanlan o earmark para sa mga baka sa loob ng kanilang nasasakupan. Makakatulong ito para sa lokal na tagapagpatupad ng batas sa pagtunton ng mga ninakaw na hayop sa loob ng partikular na lugar.
* **Mga Asosasyon ng Lahi:**
* Ang mga asosasyon ng lahi para sa mga partikular na lahi ng baka (tulad ng Philippine Carabao Center para sa mga kalabaw) ay maaaring magpanatili ng mga rehistro ng mga hayop ng kanilang mga miyembro. Ang mga rehistrong ito ay maaaring magsama ng mga detalye tungkol sa lahi, lahi, at posibleng mga marka ng pagkakakilanlan. Bagama't hindi pambansa ang saklaw, maaari silang maging mahalaga para sa mga rehistradong hayop.
* **Microchipping:**
* Bagama't hindi sapilitan, pinipili ng ilang may-ari ng hayop na i-microchip ang kanilang mga baka. Ang mga microchip ay nag-iimbak ng natatanging impormasyon ng pagkakakilanlan na maaaring ma-scan upang makilala ang hayop at posibleng masubaybayan ang pagmamay-ari. Maaari itong maging partikular na kapaki-pakinabang sa pagbawi ng mga ninakaw na baka kung sila ay ililipat sa mga rehiyon.
**Mga Limitasyon ng Mga Umiiral na Panukala:**
* **Kakulangan ng Sentralisasyon:** Ang kawalan ng pambansang pagpapatala ay nagpapahirap sa komprehensibong pagsubaybay sa pagmamay-ari at paggalaw ng baka sa buong Pilipinas.
* **Limitadong Saklaw:** Ang mga inisyatiba ng lokal na pamahalaan at mga rehistro ng asosasyon ng lahi ay sumasaklaw lamang sa mga partikular na lugar o lahi, na nag-iiwan ng puwang sa buong bansang pagkakakilanlan.
* **Voluntary Microchipping:** Ang microchipping ay hindi sapilitan, at ang pagiging epektibo nito ay nakasalalay sa mga scanner na magagamit sa panahon ng mga pagsisiyasat at pagpapatupad. **Mga Potensyal na Benepisyo ng isang Pambansang Rehistro:**
* **Pinahusay na Pagsubaybay:** Maaaring subaybayan ng isang pambansang pagpapatala ang paggalaw at pagmamay-ari ng baka nang mas epektibo, na ginagawang mas mahirap para sa mga rustler na magbenta ng mga ninakaw na hayop.
* **Mas mabilis na Pagbawi:** Gamit ang isang sentral na database, maaaring matukoy ang mga ninakaw na baka at maibalik sa kanilang mga nararapat na may-ari nang mas mabilis.
* **Pagpigil:** Ang pagkakaroon ng isang pambansang pagpapatala ay maaaring hadlangan ang kaluskos ng baka sa pamamagitan ng paggawa nitong isang mas mapanganib na krimen.
**Mga Pagtalakay at Inisyatiba:**
* Kinilala ng gobyerno ng Pilipinas ang mga limitasyon ng kasalukuyang sistema at tinalakay ang posibilidad na magtatag ng isang pambansang sistema ng pagkilala sa mga hayop. * Sinaliksik ng Bureau of Animal Industry (BAI) sa ilalim ng Department of Agriculture (DA) ang pagpapatupad ng naturang sistema.
**Konklusyon:**
Bagama't wala pang sentralisadong pambansang pagpapatala para sa pagkakakilanlan ng mga hayop sa Pilipinas, ang iba't ibang mga hakbangin sa lokal at indibidwal na antas ay bahagyang tumutugon sa pagkakakilanlan ng hayop. Ang mga pagsisikap ay isinasagawa upang potensyal na magtatag ng isang pambansang sistema na maaaring maging isang mahalagang kasangkapan sa pagpigil sa kaluskos ng baka at pagprotekta sa mga kabuhayan ng mga Pilipinong magsasaka at rantsero.</v>
      </c>
      <c r="F2634" s="2">
        <f t="shared" si="1"/>
        <v>0</v>
      </c>
      <c r="G2634" s="2"/>
      <c r="H2634" s="2"/>
      <c r="I2634" s="2"/>
      <c r="J2634" s="2"/>
      <c r="K2634" s="2"/>
      <c r="L2634" s="2"/>
      <c r="M2634" s="2"/>
      <c r="N2634" s="2"/>
      <c r="O2634" s="2"/>
      <c r="P2634" s="2"/>
      <c r="Q2634" s="2"/>
      <c r="R2634" s="2"/>
      <c r="S2634" s="2"/>
      <c r="T2634" s="2"/>
      <c r="U2634" s="2"/>
      <c r="V2634" s="2"/>
      <c r="W2634" s="2"/>
      <c r="X2634" s="2"/>
      <c r="Y2634" s="2"/>
      <c r="Z2634" s="2"/>
      <c r="AA2634" s="2"/>
    </row>
    <row r="2635">
      <c r="A2635" s="1" t="s">
        <v>6213</v>
      </c>
      <c r="B2635" s="1" t="s">
        <v>6240</v>
      </c>
      <c r="C2635" s="1" t="s">
        <v>6241</v>
      </c>
      <c r="D2635" s="2" t="str">
        <f>IFERROR(__xludf.DUMMYFUNCTION("GOOGLETRANSLATE(B2635, ""en"", ""TL"")"),"Paano tinutugunan ng batas ng Pilipinas ang isyu ng kaluskos ng baka sa konteksto ng mga komunidad sa kanayunan at agrikultura?")</f>
        <v>Paano tinutugunan ng batas ng Pilipinas ang isyu ng kaluskos ng baka sa konteksto ng mga komunidad sa kanayunan at agrikultura?</v>
      </c>
      <c r="E2635" s="2" t="str">
        <f>IFERROR(__xludf.DUMMYFUNCTION("GOOGLETRANSLATE(C2635, ""en"", ""TL"")"),"Kinikilala ng batas ng Pilipinas ang malaking epekto ng kaluskos ng baka sa mga komunidad sa kanayunan at agrikultura. Narito kung paano tinutugunan ng legal na sistema ang isyung ito:
**Pangunahing Batas:**
* **Presidential Decree No. 533 (Anti-Cattle Ru"&amp;"stling Law of 1974):** Ito ang pangunahing batas na namamahala sa kaluskos ng baka sa Pilipinas. Tinutukoy nito ang krimen, binabalangkas ang mga parusa, at nagtatatag ng mga pamamaraan para sa pagsisiyasat at pag-uusig.
**Mga Pangunahing Tampok ng PD 533"&amp;":**
* **Malawak na Kahulugan:** Tinutukoy ng batas ang kaluskos ng baka bilang ang pagkuha ng malalaking baka (mga baka, kalabaw, kabayo, atbp.) nang walang pahintulot ng may-ari. Ang paraan ng pagkuha at ang motibasyon sa likod nito (kita man o hindi) ay"&amp;" walang kaugnayan.
* **Presumption of Cattle Rustling (Seksyon 7):** Ang probisyong ito ay lumilikha ng isang pagpapalagay na ang isang taong natagpuang may hawak ng malalaking baka ay hindi maipaliwanag ang kanilang legal na pagkuha ay itinuturing na isa"&amp;"ng magnanakaw. Ang pasanin ng patunay ay lilipat sa nasasakdal upang ipakita na nakuha nila ang mga hayop sa legal na paraan. Ito ay partikular na nakakatulong sa mga rural na lugar kung saan ang pagmamay-ari ng baka ay maaaring hindi palaging masinsinang"&amp;" naidokumento.
* **Mas Mahigpit na Parusa:** Ang PD 533 ay nagpapataw ng mas mabibigat na parusa kumpara sa simpleng pagnanakaw sa ilalim ng Revised Penal Code (RPC). Ang mga parusa ay mula sa prison mayor (6 na taon at 1 araw hanggang 8 taong pagkakakulo"&amp;"ng) hanggang reclusion temporal (12 taon at 1 araw hanggang 20 taong pagkakakulong) depende sa pagkakaroon ng karahasan o ang halaga ng mga bakang sangkot.
**Mga Karagdagang Pagsasaalang-alang:**
* **Revised Penal Code (RPC):** Ang mga artikulo tulad ng k"&amp;"walipikadong pagnanakaw (Artikulo 309 &amp; 310) ay maaaring ilapat sa mga kaso ng kaluskos ng baka depende sa partikular na mga pangyayari, na posibleng humantong sa mga karagdagang singil.
* **Organized Crime:** Kung ang pagsisiyasat ay magbubunyag ng isang"&amp;" structured na organisasyong kriminal na sangkot sa pagnanakaw ng baka sa mga rehiyon, ang mga kaso sa ilalim ng RA 9160 (Comprehensive Dangerous Drugs Act) ay maaaring ituloy, na may mas mabigat na parusa.
**Mga Hamon sa Rural na Lugar:**
* **Mga Limitad"&amp;"ong Mapagkukunan:** Ang mga ahensyang nagpapatupad ng batas sa malalayong rural na lugar ay maaaring may limitadong mga mapagkukunan para sa malawak na pagsisiyasat. * **Pananakot sa Saksi:** Ang takot sa paghihiganti mula sa mga rustler ay maaaring hadla"&amp;"ngan ang mga testigo na lumapit.
**Pagharap sa mga Hamon sa Rural:**
* **Pagtutulungan:** Ang pakikipagtulungan sa pagitan ng lokal na tagapagpatupad ng batas, ng National Bureau of Investigation (NBI) para sa mga kumplikadong kaso, at ng komunidad ay mah"&amp;"alaga para sa matagumpay na pagsisiyasat.
* **Proteksyon ng Saksi:** Ang mga programa upang protektahan ang mga testigo na nagbibigay ng impormasyon ay maaaring humimok ng kooperasyon at bumuo ng mas malakas na mga kaso.
* **Kaalaman sa Komunidad:** Ang p"&amp;"agpapataas ng kamalayan ng publiko tungkol sa kaluskos ng mga baka at paghikayat sa mga tao na mag-ulat ng mga kahina-hinalang aktibidad ay maaaring makatulong sa pagpigil sa mga pagnanakaw at tumulong sa mga pagsisiyasat.
**Pangkalahatang Epekto:**
Haban"&amp;"g umiiral ang mga hamon, ang batas ng Pilipinas ay nagbibigay ng isang matatag na balangkas para sa pagtugon sa kaluskos ng baka at pagprotekta sa mga kabuhayan ng mga magsasaka at rantsero sa mga komunidad sa kanayunan. Ang pagbibigay-diin sa pagpapalaga"&amp;"y ng kaluskos ng baka at mas mahigpit na mga parusa ay maaaring makahadlang sa mga potensyal na kaluskos at matiyak ang mas makatarungang resulta para sa mga apektadong komunidad.")</f>
        <v>Kinikilala ng batas ng Pilipinas ang malaking epekto ng kaluskos ng baka sa mga komunidad sa kanayunan at agrikultura. Narito kung paano tinutugunan ng legal na sistema ang isyung ito:
**Pangunahing Batas:**
* **Presidential Decree No. 533 (Anti-Cattle Rustling Law of 1974):** Ito ang pangunahing batas na namamahala sa kaluskos ng baka sa Pilipinas. Tinutukoy nito ang krimen, binabalangkas ang mga parusa, at nagtatatag ng mga pamamaraan para sa pagsisiyasat at pag-uusig.
**Mga Pangunahing Tampok ng PD 533:**
* **Malawak na Kahulugan:** Tinutukoy ng batas ang kaluskos ng baka bilang ang pagkuha ng malalaking baka (mga baka, kalabaw, kabayo, atbp.) nang walang pahintulot ng may-ari. Ang paraan ng pagkuha at ang motibasyon sa likod nito (kita man o hindi) ay walang kaugnayan.
* **Presumption of Cattle Rustling (Seksyon 7):** Ang probisyong ito ay lumilikha ng isang pagpapalagay na ang isang taong natagpuang may hawak ng malalaking baka ay hindi maipaliwanag ang kanilang legal na pagkuha ay itinuturing na isang magnanakaw. Ang pasanin ng patunay ay lilipat sa nasasakdal upang ipakita na nakuha nila ang mga hayop sa legal na paraan. Ito ay partikular na nakakatulong sa mga rural na lugar kung saan ang pagmamay-ari ng baka ay maaaring hindi palaging masinsinang naidokumento.
* **Mas Mahigpit na Parusa:** Ang PD 533 ay nagpapataw ng mas mabibigat na parusa kumpara sa simpleng pagnanakaw sa ilalim ng Revised Penal Code (RPC). Ang mga parusa ay mula sa prison mayor (6 na taon at 1 araw hanggang 8 taong pagkakakulong) hanggang reclusion temporal (12 taon at 1 araw hanggang 20 taong pagkakakulong) depende sa pagkakaroon ng karahasan o ang halaga ng mga bakang sangkot.
**Mga Karagdagang Pagsasaalang-alang:**
* **Revised Penal Code (RPC):** Ang mga artikulo tulad ng kwalipikadong pagnanakaw (Artikulo 309 &amp; 310) ay maaaring ilapat sa mga kaso ng kaluskos ng baka depende sa partikular na mga pangyayari, na posibleng humantong sa mga karagdagang singil.
* **Organized Crime:** Kung ang pagsisiyasat ay magbubunyag ng isang structured na organisasyong kriminal na sangkot sa pagnanakaw ng baka sa mga rehiyon, ang mga kaso sa ilalim ng RA 9160 (Comprehensive Dangerous Drugs Act) ay maaaring ituloy, na may mas mabigat na parusa.
**Mga Hamon sa Rural na Lugar:**
* **Mga Limitadong Mapagkukunan:** Ang mga ahensyang nagpapatupad ng batas sa malalayong rural na lugar ay maaaring may limitadong mga mapagkukunan para sa malawak na pagsisiyasat. * **Pananakot sa Saksi:** Ang takot sa paghihiganti mula sa mga rustler ay maaaring hadlangan ang mga testigo na lumapit.
**Pagharap sa mga Hamon sa Rural:**
* **Pagtutulungan:** Ang pakikipagtulungan sa pagitan ng lokal na tagapagpatupad ng batas, ng National Bureau of Investigation (NBI) para sa mga kumplikadong kaso, at ng komunidad ay mahalaga para sa matagumpay na pagsisiyasat.
* **Proteksyon ng Saksi:** Ang mga programa upang protektahan ang mga testigo na nagbibigay ng impormasyon ay maaaring humimok ng kooperasyon at bumuo ng mas malakas na mga kaso.
* **Kaalaman sa Komunidad:** Ang pagpapataas ng kamalayan ng publiko tungkol sa kaluskos ng mga baka at paghikayat sa mga tao na mag-ulat ng mga kahina-hinalang aktibidad ay maaaring makatulong sa pagpigil sa mga pagnanakaw at tumulong sa mga pagsisiyasat.
**Pangkalahatang Epekto:**
Habang umiiral ang mga hamon, ang batas ng Pilipinas ay nagbibigay ng isang matatag na balangkas para sa pagtugon sa kaluskos ng baka at pagprotekta sa mga kabuhayan ng mga magsasaka at rantsero sa mga komunidad sa kanayunan. Ang pagbibigay-diin sa pagpapalagay ng kaluskos ng baka at mas mahigpit na mga parusa ay maaaring makahadlang sa mga potensyal na kaluskos at matiyak ang mas makatarungang resulta para sa mga apektadong komunidad.</v>
      </c>
      <c r="F2635" s="2">
        <f t="shared" si="1"/>
        <v>0</v>
      </c>
      <c r="G2635" s="2"/>
      <c r="H2635" s="2"/>
      <c r="I2635" s="2"/>
      <c r="J2635" s="2"/>
      <c r="K2635" s="2"/>
      <c r="L2635" s="2"/>
      <c r="M2635" s="2"/>
      <c r="N2635" s="2"/>
      <c r="O2635" s="2"/>
      <c r="P2635" s="2"/>
      <c r="Q2635" s="2"/>
      <c r="R2635" s="2"/>
      <c r="S2635" s="2"/>
      <c r="T2635" s="2"/>
      <c r="U2635" s="2"/>
      <c r="V2635" s="2"/>
      <c r="W2635" s="2"/>
      <c r="X2635" s="2"/>
      <c r="Y2635" s="2"/>
      <c r="Z2635" s="2"/>
      <c r="AA2635" s="2"/>
    </row>
    <row r="2636">
      <c r="A2636" s="1" t="s">
        <v>6213</v>
      </c>
      <c r="B2636" s="1" t="s">
        <v>6242</v>
      </c>
      <c r="C2636" s="1" t="s">
        <v>6243</v>
      </c>
      <c r="D2636" s="2" t="str">
        <f>IFERROR(__xludf.DUMMYFUNCTION("GOOGLETRANSLATE(B2636, ""en"", ""TL"")"),"Isa kang opisyal na nagpapatupad ng batas na tumutugon sa isang ulat ng pinaghihinalaang kaluskos ng baka. Anong mga legal na hakbang ang dapat gawin sa mga unang yugto ng pagsisiyasat?")</f>
        <v>Isa kang opisyal na nagpapatupad ng batas na tumutugon sa isang ulat ng pinaghihinalaang kaluskos ng baka. Anong mga legal na hakbang ang dapat gawin sa mga unang yugto ng pagsisiyasat?</v>
      </c>
      <c r="E2636" s="2" t="str">
        <f>IFERROR(__xludf.DUMMYFUNCTION("GOOGLETRANSLATE(C2636, ""en"", ""TL"")"),"Bilang isang opisyal ng pagpapatupad ng batas na tumutugon sa isang ulat ng pinaghihinalaang kaluskos ng baka, narito ang mga pangunahing legal na hakbang na dapat gawin sa mga unang yugto ng pagsisiyasat:
**Pag-secure sa Eksena:**
1. **Isolating the Area"&amp;":** Sa pagdating, unahin ang iyong kaligtasan at ang kaligtasan ng iba. I-secure ang lugar kung saan nangyari ang di-umano'y pagnanakaw upang maiwasan ang karagdagang pakikialam sa ebidensya.
2. **Paunang Panayam sa Reporting Party:**
* Interbyuhin ang ma"&amp;"y-ari ng hayop na nag-ulat ng pagnanakaw. Magtipon ng mga detalye tungkol sa:
* Bilang at paglalarawan ng nawawalang baka (lahi, marka, anumang mga tampok ng pagkakakilanlan)
* Timeframe kung kailan huling nakita ang mga baka
* Anumang potensyal na saksi "&amp;"o kahina-hinalang aktibidad na napansin
* Mga sertipiko ng tatak, resibo o talaan ng pagkakakilanlan ng microchip (kung magagamit)
**Koleksyon ng Ebidensya:**
1. **Scene Examination:**
* Maghanap ng anumang pisikal na ebidensya sa eksena, gaya ng:
* Mga t"&amp;"rack (mga bakas ng paa, mga track ng gulong)
* Sirang bakod o senyales ng sapilitang pagpasok
* Naliligaw na buhok o dumi mula sa nawawalang baka
* Mga pahayag ng saksi mula sa mga kapitbahay o mga tao sa paligid
2. **Dokumentasyon:**
* Masusing idokument"&amp;"o ang eksena gamit ang mga litrato at detalyadong tala. * Kolektahin ang anumang pisikal na ebidensya na natagpuan para sa karagdagang pagsusuri.
**Paunang Pagsisiyasat:**
1. **Mga Investigative Lead:**
* Batay sa paunang panayam at pagsusuri sa eksena, s"&amp;"imulan ang pagbuo ng mga lead:
* Interbyuhin ang mga potensyal na saksi upang mangalap ng karagdagang impormasyon.
* Tingnan kung may anumang footage ng security camera sa lugar na maaaring nakakuha ng nauugnay na aktibidad.
* Kung pinaghihinalaan ng may-"&amp;"ari ng hayop ang isang partikular na tao, imbestigahan ang kanilang alibi at potensyal na pagkakasangkot.
2. **Pagbabahagi ng Impormasyon:**
* Ibahagi ang mga unang natuklasan at anumang nauugnay na mga detalye sa iba pang mga yunit ng pagpapatupad ng bat"&amp;"as, lalo na kung ang kaso ay nagsasangkot ng potensyal na paggalaw ng mga ninakaw na baka sa mga hangganan.
**Mga Legal na Pagsasaalang-alang:**
* **Mga Warrant sa Paghahanap:** Kung kailangan mong magpasok ng pribadong ari-arian lampas sa unang eksena (h"&amp;"al., ari-arian ng suspek), kumuha ng search warrant bago magpatuloy.
* **Paggalang sa Mga Karapatan:** Tiyaking iginagalang ng imbestigasyon ang mga karapatan ng lahat ng indibidwal na kasangkot, kabilang ang nag-uulat na partido at mga potensyal na suspe"&amp;"k.
**Mga Susunod na Hakbang:**
1. **Pag-uulat at Pagsubaybay:**
* Maghanda ng isang detalyadong ulat na nagbabalangkas sa mga unang natuklasan, ebidensyang nakolekta, at mga nangunguna sa pagsisiyasat.
* Ipagpatuloy ang pagsubaybay sa mga lead, mga pahaya"&amp;"g ng saksi, at potensyal na forensic analysis ng ebidensyang nakolekta.
2. **Pakikipagtulungan sa Mga Tagausig:**
* Panatilihin ang komunikasyon sa mga tagausig at panatilihin silang updated sa pag-usad ng imbestigasyon. Magbahagi ng ebidensya na maaaring"&amp;" makatulong sa pagbuo ng isang malakas na kaso.
Sa pamamagitan ng pagsunod sa mga hakbang na ito, maaari kang maglatag ng matatag na pundasyon para sa isang matagumpay na pagsisiyasat sa kaluskos ng baka. Tandaan, ang masusing dokumentasyon, pangongolekta"&amp;" ng ebidensya, at pagsunod sa mga legal na pamamaraan ay mahalaga para sa pagbuo ng isang malakas na kaso na maaaring panagutin ang mga may kasalanan.")</f>
        <v>Bilang isang opisyal ng pagpapatupad ng batas na tumutugon sa isang ulat ng pinaghihinalaang kaluskos ng baka, narito ang mga pangunahing legal na hakbang na dapat gawin sa mga unang yugto ng pagsisiyasat:
**Pag-secure sa Eksena:**
1. **Isolating the Area:** Sa pagdating, unahin ang iyong kaligtasan at ang kaligtasan ng iba. I-secure ang lugar kung saan nangyari ang di-umano'y pagnanakaw upang maiwasan ang karagdagang pakikialam sa ebidensya.
2. **Paunang Panayam sa Reporting Party:**
* Interbyuhin ang may-ari ng hayop na nag-ulat ng pagnanakaw. Magtipon ng mga detalye tungkol sa:
* Bilang at paglalarawan ng nawawalang baka (lahi, marka, anumang mga tampok ng pagkakakilanlan)
* Timeframe kung kailan huling nakita ang mga baka
* Anumang potensyal na saksi o kahina-hinalang aktibidad na napansin
* Mga sertipiko ng tatak, resibo o talaan ng pagkakakilanlan ng microchip (kung magagamit)
**Koleksyon ng Ebidensya:**
1. **Scene Examination:**
* Maghanap ng anumang pisikal na ebidensya sa eksena, gaya ng:
* Mga track (mga bakas ng paa, mga track ng gulong)
* Sirang bakod o senyales ng sapilitang pagpasok
* Naliligaw na buhok o dumi mula sa nawawalang baka
* Mga pahayag ng saksi mula sa mga kapitbahay o mga tao sa paligid
2. **Dokumentasyon:**
* Masusing idokumento ang eksena gamit ang mga litrato at detalyadong tala. * Kolektahin ang anumang pisikal na ebidensya na natagpuan para sa karagdagang pagsusuri.
**Paunang Pagsisiyasat:**
1. **Mga Investigative Lead:**
* Batay sa paunang panayam at pagsusuri sa eksena, simulan ang pagbuo ng mga lead:
* Interbyuhin ang mga potensyal na saksi upang mangalap ng karagdagang impormasyon.
* Tingnan kung may anumang footage ng security camera sa lugar na maaaring nakakuha ng nauugnay na aktibidad.
* Kung pinaghihinalaan ng may-ari ng hayop ang isang partikular na tao, imbestigahan ang kanilang alibi at potensyal na pagkakasangkot.
2. **Pagbabahagi ng Impormasyon:**
* Ibahagi ang mga unang natuklasan at anumang nauugnay na mga detalye sa iba pang mga yunit ng pagpapatupad ng batas, lalo na kung ang kaso ay nagsasangkot ng potensyal na paggalaw ng mga ninakaw na baka sa mga hangganan.
**Mga Legal na Pagsasaalang-alang:**
* **Mga Warrant sa Paghahanap:** Kung kailangan mong magpasok ng pribadong ari-arian lampas sa unang eksena (hal., ari-arian ng suspek), kumuha ng search warrant bago magpatuloy.
* **Paggalang sa Mga Karapatan:** Tiyaking iginagalang ng imbestigasyon ang mga karapatan ng lahat ng indibidwal na kasangkot, kabilang ang nag-uulat na partido at mga potensyal na suspek.
**Mga Susunod na Hakbang:**
1. **Pag-uulat at Pagsubaybay:**
* Maghanda ng isang detalyadong ulat na nagbabalangkas sa mga unang natuklasan, ebidensyang nakolekta, at mga nangunguna sa pagsisiyasat.
* Ipagpatuloy ang pagsubaybay sa mga lead, mga pahayag ng saksi, at potensyal na forensic analysis ng ebidensyang nakolekta.
2. **Pakikipagtulungan sa Mga Tagausig:**
* Panatilihin ang komunikasyon sa mga tagausig at panatilihin silang updated sa pag-usad ng imbestigasyon. Magbahagi ng ebidensya na maaaring makatulong sa pagbuo ng isang malakas na kaso.
Sa pamamagitan ng pagsunod sa mga hakbang na ito, maaari kang maglatag ng matatag na pundasyon para sa isang matagumpay na pagsisiyasat sa kaluskos ng baka. Tandaan, ang masusing dokumentasyon, pangongolekta ng ebidensya, at pagsunod sa mga legal na pamamaraan ay mahalaga para sa pagbuo ng isang malakas na kaso na maaaring panagutin ang mga may kasalanan.</v>
      </c>
      <c r="F2636" s="2">
        <f t="shared" si="1"/>
        <v>0</v>
      </c>
      <c r="G2636" s="2"/>
      <c r="H2636" s="2"/>
      <c r="I2636" s="2"/>
      <c r="J2636" s="2"/>
      <c r="K2636" s="2"/>
      <c r="L2636" s="2"/>
      <c r="M2636" s="2"/>
      <c r="N2636" s="2"/>
      <c r="O2636" s="2"/>
      <c r="P2636" s="2"/>
      <c r="Q2636" s="2"/>
      <c r="R2636" s="2"/>
      <c r="S2636" s="2"/>
      <c r="T2636" s="2"/>
      <c r="U2636" s="2"/>
      <c r="V2636" s="2"/>
      <c r="W2636" s="2"/>
      <c r="X2636" s="2"/>
      <c r="Y2636" s="2"/>
      <c r="Z2636" s="2"/>
      <c r="AA2636" s="2"/>
    </row>
    <row r="2637">
      <c r="A2637" s="1" t="s">
        <v>6213</v>
      </c>
      <c r="B2637" s="1" t="s">
        <v>6244</v>
      </c>
      <c r="C2637" s="1" t="s">
        <v>6245</v>
      </c>
      <c r="D2637" s="2" t="str">
        <f>IFERROR(__xludf.DUMMYFUNCTION("GOOGLETRANSLATE(B2637, ""en"", ""TL"")"),"Natuklasan ng isang may-ari ng mga hayop na ang kanilang mga baka ay ninakaw at ibinenta sa isang kalapit na palengke. Anong mga legal na aksyon ang maaaring gawin upang mabawi ang ninakaw na ari-arian at panagutin ang mga salarin?")</f>
        <v>Natuklasan ng isang may-ari ng mga hayop na ang kanilang mga baka ay ninakaw at ibinenta sa isang kalapit na palengke. Anong mga legal na aksyon ang maaaring gawin upang mabawi ang ninakaw na ari-arian at panagutin ang mga salarin?</v>
      </c>
      <c r="E2637" s="2" t="str">
        <f>IFERROR(__xludf.DUMMYFUNCTION("GOOGLETRANSLATE(C2637, ""en"", ""TL"")"),"Narito kung ano ang maaaring gawin ng may-ari ng mga hayop upang mabawi ang kanilang mga ninakaw na baka at panagutin ang mga salarin:
**Mga Agarang Pagkilos:**
1. **Makipag-ugnayan sa Mga Awtoridad:**
* Mag-file kaagad ng ulat sa pulisya. Magbigay ng det"&amp;"alyadong paglalarawan ng mga ninakaw na baka (bilang, lahi, marka) at anumang mga detalye tungkol sa huling pagkakataong nakita ang mga ito sa iyong ari-arian.
* Ipaalam sa pulisya ang tungkol sa iyong hinala na ang mga baka ay maaaring naibenta sa isang "&amp;"kalapit na palengke.
2. **Magtipon ng Ebidensya:**
* Kung mayroon kang anumang mga sertipiko ng tatak, resibo, o talaan ng pagkakakilanlan ng microchip para sa iyong mga baka, magdala ng mga kopya sa istasyon ng pulisya. * Kung maaari, subukang bisitahin "&amp;"ang palengke na nabanggit at tingnan kung makikilala mo ang iyong mga ninakaw na baka. Kumuha ng mga larawan o video ng anumang baka na tumutugma sa paglalarawan, ngunit mag-ingat na huwag lumampas sa pribadong pag-aari.
**Pagtutulungan sa Pagpapatupad ng"&amp;" Batas:**
* Makipagtulungan nang malapit sa mga imbestigador ng pulisya. Magbigay ng anumang karagdagang impormasyon na maaaring makatulong, tulad ng mga saksi na nakakita ng mga baka sa iyong ari-arian o sinumang kahina-hinala sa oras na nawala sila.
**P"&amp;"agbawi ng Baka:**
1. **Tulong sa Pulis:**
* Kung mahahanap ng pulisya ang iyong mga ninakaw na baka sa palengke, maaari ka nilang tulungan sa pagbawi ng mga ito. Maaaring kailanganin nilang i-verify ang pagmamay-ari sa pamamagitan ng mga marka ng brand, m"&amp;"icrochip, o iyong dokumentasyon.
2. **Sibil na Paghahabla:**
* Kung nakita mo ang iyong mga baka sa palengke ngunit tumanggi ang nagbebenta na ibalik ang mga ito, maaari kang magsampa ng kaso ng sibil upang mabawi ang iyong ari-arian. Ang ulat ng pulisya "&amp;"at dokumentasyon ng pagmamay-ari ay magiging mahalagang ebidensya.
**Pinapanagot ang mga Nagkasala:**
1. **Pagsisiyasat at Pagsingil:**
* Sisiyasatin ng pulisya kung sino ang nagbenta ng mga baka at posibleng matunton ang mga indibidwal na sangkot sa pagn"&amp;"anakaw. * Depende sa ebidensya, maaaring magsampa ng kaso ang mga awtoridad sa ilalim ng Anti-Cattle Rustling Law (PD 533) at/o ng Revised Penal Code (RPC) para sa qualified theft (Article 309 &amp; 310).
2. **Legal na Kinatawan:**
* Isaalang-alang ang pagkon"&amp;"sulta sa isang abogado na dalubhasa sa batas ng agrikultura o mga kasong kriminal. Maaari ka nilang payuhan sa iyong mga legal na opsyon para sa pagbawi ng iyong mga baka at paghabol sa kabayaran para sa mga pinsala. Maaari din silang kumatawan sa iyo sa "&amp;"korte kung kinakailangan.
**Mga Karagdagang Tip:**
* **Seguridad sa Market:**
* Kung may mga security personnel ang palengke, ipaalam sa kanila ang tungkol sa mga ninakaw na baka at hilingin ang kanilang tulong sa pagtukoy sa nagbebenta.
* **Public Awaren"&amp;"ess:**
* Maaari mong ipalaganap ang kamalayan sa komunidad tungkol sa mga ninakaw na baka, kabilang ang mga detalye at larawan, upang makatulong sa mga pagsusumikap sa pagkilala at pagbawi.
Sa pamamagitan ng pagsunod sa mga hakbang na ito at pakikipagtulu"&amp;"ngan sa pagpapatupad ng batas, madaragdagan ng may-ari ng hayop ang kanilang pagkakataong mabawi ang kanilang mga ninakaw na baka at panagutin ang mga responsable.")</f>
        <v>Narito kung ano ang maaaring gawin ng may-ari ng mga hayop upang mabawi ang kanilang mga ninakaw na baka at panagutin ang mga salarin:
**Mga Agarang Pagkilos:**
1. **Makipag-ugnayan sa Mga Awtoridad:**
* Mag-file kaagad ng ulat sa pulisya. Magbigay ng detalyadong paglalarawan ng mga ninakaw na baka (bilang, lahi, marka) at anumang mga detalye tungkol sa huling pagkakataong nakita ang mga ito sa iyong ari-arian.
* Ipaalam sa pulisya ang tungkol sa iyong hinala na ang mga baka ay maaaring naibenta sa isang kalapit na palengke.
2. **Magtipon ng Ebidensya:**
* Kung mayroon kang anumang mga sertipiko ng tatak, resibo, o talaan ng pagkakakilanlan ng microchip para sa iyong mga baka, magdala ng mga kopya sa istasyon ng pulisya. * Kung maaari, subukang bisitahin ang palengke na nabanggit at tingnan kung makikilala mo ang iyong mga ninakaw na baka. Kumuha ng mga larawan o video ng anumang baka na tumutugma sa paglalarawan, ngunit mag-ingat na huwag lumampas sa pribadong pag-aari.
**Pagtutulungan sa Pagpapatupad ng Batas:**
* Makipagtulungan nang malapit sa mga imbestigador ng pulisya. Magbigay ng anumang karagdagang impormasyon na maaaring makatulong, tulad ng mga saksi na nakakita ng mga baka sa iyong ari-arian o sinumang kahina-hinala sa oras na nawala sila.
**Pagbawi ng Baka:**
1. **Tulong sa Pulis:**
* Kung mahahanap ng pulisya ang iyong mga ninakaw na baka sa palengke, maaari ka nilang tulungan sa pagbawi ng mga ito. Maaaring kailanganin nilang i-verify ang pagmamay-ari sa pamamagitan ng mga marka ng brand, microchip, o iyong dokumentasyon.
2. **Sibil na Paghahabla:**
* Kung nakita mo ang iyong mga baka sa palengke ngunit tumanggi ang nagbebenta na ibalik ang mga ito, maaari kang magsampa ng kaso ng sibil upang mabawi ang iyong ari-arian. Ang ulat ng pulisya at dokumentasyon ng pagmamay-ari ay magiging mahalagang ebidensya.
**Pinapanagot ang mga Nagkasala:**
1. **Pagsisiyasat at Pagsingil:**
* Sisiyasatin ng pulisya kung sino ang nagbenta ng mga baka at posibleng matunton ang mga indibidwal na sangkot sa pagnanakaw. * Depende sa ebidensya, maaaring magsampa ng kaso ang mga awtoridad sa ilalim ng Anti-Cattle Rustling Law (PD 533) at/o ng Revised Penal Code (RPC) para sa qualified theft (Article 309 &amp; 310).
2. **Legal na Kinatawan:**
* Isaalang-alang ang pagkonsulta sa isang abogado na dalubhasa sa batas ng agrikultura o mga kasong kriminal. Maaari ka nilang payuhan sa iyong mga legal na opsyon para sa pagbawi ng iyong mga baka at paghabol sa kabayaran para sa mga pinsala. Maaari din silang kumatawan sa iyo sa korte kung kinakailangan.
**Mga Karagdagang Tip:**
* **Seguridad sa Market:**
* Kung may mga security personnel ang palengke, ipaalam sa kanila ang tungkol sa mga ninakaw na baka at hilingin ang kanilang tulong sa pagtukoy sa nagbebenta.
* **Public Awareness:**
* Maaari mong ipalaganap ang kamalayan sa komunidad tungkol sa mga ninakaw na baka, kabilang ang mga detalye at larawan, upang makatulong sa mga pagsusumikap sa pagkilala at pagbawi.
Sa pamamagitan ng pagsunod sa mga hakbang na ito at pakikipagtulungan sa pagpapatupad ng batas, madaragdagan ng may-ari ng hayop ang kanilang pagkakataong mabawi ang kanilang mga ninakaw na baka at panagutin ang mga responsable.</v>
      </c>
      <c r="F2637" s="2">
        <f t="shared" si="1"/>
        <v>0</v>
      </c>
      <c r="G2637" s="2"/>
      <c r="H2637" s="2"/>
      <c r="I2637" s="2"/>
      <c r="J2637" s="2"/>
      <c r="K2637" s="2"/>
      <c r="L2637" s="2"/>
      <c r="M2637" s="2"/>
      <c r="N2637" s="2"/>
      <c r="O2637" s="2"/>
      <c r="P2637" s="2"/>
      <c r="Q2637" s="2"/>
      <c r="R2637" s="2"/>
      <c r="S2637" s="2"/>
      <c r="T2637" s="2"/>
      <c r="U2637" s="2"/>
      <c r="V2637" s="2"/>
      <c r="W2637" s="2"/>
      <c r="X2637" s="2"/>
      <c r="Y2637" s="2"/>
      <c r="Z2637" s="2"/>
      <c r="AA2637" s="2"/>
    </row>
    <row r="2638">
      <c r="A2638" s="1" t="s">
        <v>6213</v>
      </c>
      <c r="B2638" s="1" t="s">
        <v>6246</v>
      </c>
      <c r="C2638" s="1" t="s">
        <v>6247</v>
      </c>
      <c r="D2638" s="2" t="str">
        <f>IFERROR(__xludf.DUMMYFUNCTION("GOOGLETRANSLATE(B2638, ""en"", ""TL"")"),"Arestado ang isang hinihinalang kawatan ng baka habang hawak ang mga ninakaw na baka. Anong mga legal na kahihinatnan ang dapat kasunod ng pag-aresto?")</f>
        <v>Arestado ang isang hinihinalang kawatan ng baka habang hawak ang mga ninakaw na baka. Anong mga legal na kahihinatnan ang dapat kasunod ng pag-aresto?</v>
      </c>
      <c r="E2638" s="2" t="str">
        <f>IFERROR(__xludf.DUMMYFUNCTION("GOOGLETRANSLATE(C2638, ""en"", ""TL"")"),"Narito ang isang breakdown ng mga potensyal na legal na kahihinatnan na maaaring kasunod ng pag-aresto sa isang pinaghihinalaang kawatan ng baka na natagpuang nagmamay-ari ng mga ninakaw na baka sa Pilipinas:
**Paunang Pamamaraan:**
* **Booking and Charge"&amp;"s:** Kasunod ng pag-aresto, ibi-book ang suspek sa himpilan ng pulisya. Ang pagpapatupad ng batas ay malamang na magsampa ng kaso sa ilalim ng Anti-Cattle Rustling Law (Presidential Decree No. 533). Depende sa mga pangyayari, ang mga karagdagang singil sa"&amp;" ilalim ng Revised Penal Code (RPC) ay maaaring isama, tulad ng kwalipikadong pagnanakaw (Artikulo 309 &amp; 310) o kahit na pagpatay ng baka at pagnanakaw ng karne/tago (kung naaangkop).
**Palagay ng Kaluskos ng Baka:**
* **Seksyon 7 ng PD 533:** Kasama sa b"&amp;"atas na ito ang pagpapalagay ng kaluskos ng baka. Kung ang suspek ay natagpuang nagtataglay ng malalaking baka (mga baka, kalabaw, kabayo, atbp.) at hindi makapagbigay ng kasiya-siyang paliwanag para sa pagkakaroon ng mga ito, ang pasanin ng patunay ay lu"&amp;"mipat sa kanila upang ipakita na nakuha nila ang mga hayop sa legal na paraan. **Potensyal na Mga Parusa:**
* **PD 533:** Ang mga parusa para sa kaluskos ng baka sa ilalim ng PD 533 ay nakadepende sa pagkakaroon ng karahasan o sa halaga ng mga bakang nasa"&amp;"sangkot. * Nang walang karahasan at para sa mga baka na hindi matukoy ang halaga: prision mayor (6 na taon at 1 araw hanggang 8 taong pagkakakulong)
* Sa karahasan o para sa mga baka na may makabuluhang halaga: reclusion temporal (12 taon at 1 araw hangga"&amp;"ng 20 taon na pagkakakulong)
**Kalubhaan ng Mga Singilin:**
Ang kalubhaan ng mga singil at potensyal na mga parusa ay maaaring maimpluwensyahan ng ilang mga kadahilanan:
* **Presence of Violence:** Kung gumamit ang suspek ng karahasan o pananakot sa panah"&amp;"on ng kaluskos ng baka, ang mga kaso at parusa ay magiging mas matindi.
* **Halaga ng Baka:** Kung mas mataas ang halaga ng mga ninakaw na baka, mas mabigat ang mga potensyal na parusa.
* **Nakaraang Mga Pagkakasala:** Kung ang suspek ay may kasaysayan ng"&amp;" kaluskos ng baka o iba pang kriminal na pagkakasala, maaari itong makaapekto sa paghatol.
**Pagsubok at Pagsentensiya:**
* **Presumption of Innocence:** Mahalagang tandaan na ang suspek ay ipinapalagay na inosente hanggang sa mapatunayang nagkasala nang "&amp;"lampas sa isang makatwirang pagdududa sa korte. * **Proseso ng Paglilitis:** Ang prosekusyon at ang depensa ay magpapakita ng ebidensya at argumento sa panahon ng paglilitis. Pagkatapos ay titimbangin ng hukom ang ebidensya at maghahatid ng hatol.
* **Pag"&amp;"sentensiya:** Kung mapatunayang nagkasala, tutukuyin ng hukuman ang naaangkop na sentensiya batay sa mga kaso, nagpapalubha at nagpapagaan na mga salik, at mga naaangkop na batas.
**Mga Karagdagang Pagsasaalang-alang:**
* **Pagkumpisal:** Kung ang suspek "&amp;"ay umamin sa krimen at nakipagtulungan sa mga awtoridad, maaari silang makatanggap ng mas magaan na sentensiya.
* **Restitution:** Maaaring utusan ng korte ang nahatulang indibidwal na ibalik ang mga ninakaw na baka sa mga nararapat na may-ari o bayaran a"&amp;"ng mga ito para sa kanilang halaga.
**Tandaan:** Ang mga partikular na legal na kahihinatnan ay depende sa mga detalye ng kaso at sa panghuling desisyon ng korte. Ang impormasyong ito ay nagbibigay ng pangkalahatang pangkalahatang-ideya ng potensyal na le"&amp;"gal na proseso at mga resulta.")</f>
        <v>Narito ang isang breakdown ng mga potensyal na legal na kahihinatnan na maaaring kasunod ng pag-aresto sa isang pinaghihinalaang kawatan ng baka na natagpuang nagmamay-ari ng mga ninakaw na baka sa Pilipinas:
**Paunang Pamamaraan:**
* **Booking and Charges:** Kasunod ng pag-aresto, ibi-book ang suspek sa himpilan ng pulisya. Ang pagpapatupad ng batas ay malamang na magsampa ng kaso sa ilalim ng Anti-Cattle Rustling Law (Presidential Decree No. 533). Depende sa mga pangyayari, ang mga karagdagang singil sa ilalim ng Revised Penal Code (RPC) ay maaaring isama, tulad ng kwalipikadong pagnanakaw (Artikulo 309 &amp; 310) o kahit na pagpatay ng baka at pagnanakaw ng karne/tago (kung naaangkop).
**Palagay ng Kaluskos ng Baka:**
* **Seksyon 7 ng PD 533:** Kasama sa batas na ito ang pagpapalagay ng kaluskos ng baka. Kung ang suspek ay natagpuang nagtataglay ng malalaking baka (mga baka, kalabaw, kabayo, atbp.) at hindi makapagbigay ng kasiya-siyang paliwanag para sa pagkakaroon ng mga ito, ang pasanin ng patunay ay lumipat sa kanila upang ipakita na nakuha nila ang mga hayop sa legal na paraan. **Potensyal na Mga Parusa:**
* **PD 533:** Ang mga parusa para sa kaluskos ng baka sa ilalim ng PD 533 ay nakadepende sa pagkakaroon ng karahasan o sa halaga ng mga bakang nasasangkot. * Nang walang karahasan at para sa mga baka na hindi matukoy ang halaga: prision mayor (6 na taon at 1 araw hanggang 8 taong pagkakakulong)
* Sa karahasan o para sa mga baka na may makabuluhang halaga: reclusion temporal (12 taon at 1 araw hanggang 20 taon na pagkakakulong)
**Kalubhaan ng Mga Singilin:**
Ang kalubhaan ng mga singil at potensyal na mga parusa ay maaaring maimpluwensyahan ng ilang mga kadahilanan:
* **Presence of Violence:** Kung gumamit ang suspek ng karahasan o pananakot sa panahon ng kaluskos ng baka, ang mga kaso at parusa ay magiging mas matindi.
* **Halaga ng Baka:** Kung mas mataas ang halaga ng mga ninakaw na baka, mas mabigat ang mga potensyal na parusa.
* **Nakaraang Mga Pagkakasala:** Kung ang suspek ay may kasaysayan ng kaluskos ng baka o iba pang kriminal na pagkakasala, maaari itong makaapekto sa paghatol.
**Pagsubok at Pagsentensiya:**
* **Presumption of Innocence:** Mahalagang tandaan na ang suspek ay ipinapalagay na inosente hanggang sa mapatunayang nagkasala nang lampas sa isang makatwirang pagdududa sa korte. * **Proseso ng Paglilitis:** Ang prosekusyon at ang depensa ay magpapakita ng ebidensya at argumento sa panahon ng paglilitis. Pagkatapos ay titimbangin ng hukom ang ebidensya at maghahatid ng hatol.
* **Pagsentensiya:** Kung mapatunayang nagkasala, tutukuyin ng hukuman ang naaangkop na sentensiya batay sa mga kaso, nagpapalubha at nagpapagaan na mga salik, at mga naaangkop na batas.
**Mga Karagdagang Pagsasaalang-alang:**
* **Pagkumpisal:** Kung ang suspek ay umamin sa krimen at nakipagtulungan sa mga awtoridad, maaari silang makatanggap ng mas magaan na sentensiya.
* **Restitution:** Maaaring utusan ng korte ang nahatulang indibidwal na ibalik ang mga ninakaw na baka sa mga nararapat na may-ari o bayaran ang mga ito para sa kanilang halaga.
**Tandaan:** Ang mga partikular na legal na kahihinatnan ay depende sa mga detalye ng kaso at sa panghuling desisyon ng korte. Ang impormasyong ito ay nagbibigay ng pangkalahatang pangkalahatang-ideya ng potensyal na legal na proseso at mga resulta.</v>
      </c>
      <c r="F2638" s="2">
        <f t="shared" si="1"/>
        <v>0</v>
      </c>
      <c r="G2638" s="2"/>
      <c r="H2638" s="2"/>
      <c r="I2638" s="2"/>
      <c r="J2638" s="2"/>
      <c r="K2638" s="2"/>
      <c r="L2638" s="2"/>
      <c r="M2638" s="2"/>
      <c r="N2638" s="2"/>
      <c r="O2638" s="2"/>
      <c r="P2638" s="2"/>
      <c r="Q2638" s="2"/>
      <c r="R2638" s="2"/>
      <c r="S2638" s="2"/>
      <c r="T2638" s="2"/>
      <c r="U2638" s="2"/>
      <c r="V2638" s="2"/>
      <c r="W2638" s="2"/>
      <c r="X2638" s="2"/>
      <c r="Y2638" s="2"/>
      <c r="Z2638" s="2"/>
      <c r="AA2638" s="2"/>
    </row>
    <row r="2639">
      <c r="A2639" s="1" t="s">
        <v>6213</v>
      </c>
      <c r="B2639" s="1" t="s">
        <v>6248</v>
      </c>
      <c r="C2639" s="1" t="s">
        <v>6249</v>
      </c>
      <c r="D2639" s="2" t="str">
        <f>IFERROR(__xludf.DUMMYFUNCTION("GOOGLETRANSLATE(B2639, ""en"", ""TL"")"),"Isa kang tagausig na humahawak ng kaso ng kaluskos ng baka. Anong mga legal na hamon ang maaaring lumitaw sa panahon ng pag-uusig, at paano sila matutugunan?")</f>
        <v>Isa kang tagausig na humahawak ng kaso ng kaluskos ng baka. Anong mga legal na hamon ang maaaring lumitaw sa panahon ng pag-uusig, at paano sila matutugunan?</v>
      </c>
      <c r="E2639" s="2" t="str">
        <f>IFERROR(__xludf.DUMMYFUNCTION("GOOGLETRANSLATE(C2639, ""en"", ""TL"")"),"Bilang isang tagausig na humahawak ng kaso ng kaluskos ng baka, maaari kang makaharap ng ilang legal na hamon. Narito ang ilang potensyal na hadlang at diskarte upang malampasan ang mga ito:
**Mga Hamon na Kaugnay ng Ebidensya:**
* **Kakulangan ng mga Sak"&amp;"si:** Ang kaluskos ng baka ay madalas na nangyayari sa mga liblib na lugar, at maaaring may kakulangan ng mga nakasaksi upang direktang obserbahan ang pagnanakaw. * **Circumstantial Evidence:** Ang iyong kaso ay maaaring umasa nang husto sa circumstantial"&amp;" evidence, tulad ng paghahanap sa mga ninakaw na baka sa pag-aari ng akusado o pagsubaybay sa kanilang paggalaw sa pamamagitan ng pagba-brand o microchip. * **Pakikialam sa Ebidensya:** Sa ilang mga kaso, maaaring subukan ng mga rustlers na pakialaman ang"&amp;" branding o mga marka ng pagkakakilanlan sa mga baka, na nagpapahirap na patunayan ang pagmamay-ari.
**Mga Diskarte:**
* **Masusing Pagsisiyasat:** Makipagtulungan nang malapit sa tagapagpatupad ng batas upang magsagawa ng komprehensibong pagsisiyasat. Ma"&amp;"aaring kabilang dito ang pagkolekta ng pisikal na ebidensya (mga marka ng baka, mga track ng gulong), pagsusuri sa mga talaan ng telepono upang subaybayan ang komunikasyon sa pagitan ng mga pinaghihinalaan, at paghahanap ng anumang footage ng pagsubaybay "&amp;"sa video mula sa mga kalapit na lokasyon.
* **Pagbuo ng Malakas na Circumstantial Case:** Maingat na ipakita ang lahat ng magagamit na circumstantial na ebidensya. Magpakita ng malinaw na koneksyon sa pagitan ng mga ninakaw na baka, ng akusado, at ng kani"&amp;"lang mga aktibidad. * **Patotoo ng Eksperto:** Isaalang-alang ang pagdadala ng mga eksperto tulad ng mga beterinaryo o mga espesyalista sa pagkakakilanlan ng hayop upang i-verify ang data ng pagba-brand o microchip at ipaliwanag ang kahalagahan ng naturan"&amp;"g ebidensya.
**Mga Hamon na Kaugnay sa Kredibilidad ng Saksi:**
* **Pagkiling ng Saksi:** Maaaring may kinikilingan ang mga saksi laban sa akusado dahil sa mga personal na salungatan o mga tensyon sa komunidad.
* **Pananakot sa Saksi:** Sa ilang mga kaso,"&amp;" maaaring matakot ang mga saksi sa paghihiganti mula sa akusado o sa kanilang mga kasama.
**Mga Diskarte:**
* **Nagpapatibay na Ebidensya:** Suportahan ang mga testimonya ng saksi kasama ng iba pang anyo ng ebidensya upang palakasin ang kanilang kredibili"&amp;"dad. * **Proteksyon ng Saksi:** Kung ang mga saksi ay nag-aalala tungkol sa kanilang kaligtasan, makipagtulungan sa pagpapatupad ng batas upang magbigay ng mga programa sa proteksyon ng saksi o hindi nagpapakilalang mga testimonya.
**Mga Hamon na Kaugnay "&amp;"sa Mga Legal na Pagpapalagay:**
* **Presumption of Innocence:** Ang bigat ng patunay ay nasa prosekusyon. Dapat mong ipakita ang pagkakasala ng akusado nang walang makatwirang pagdududa.
**Mga Diskarte:**
* **Malinaw at Nakakahimok na Kaso:** Magharap ng "&amp;"isang malinaw at nakakahimok na kaso na walang puwang para sa makatwirang pagdududa tungkol sa pagkakasala ng akusado. **Mga Karagdagang Pagsasaalang-alang:**
* **Depensa ng Alibi:** Maaaring magharap ng alibi na depensa ang akusado, na sinasabing wala si"&amp;"la sa pinangyarihan ng krimen. Maging handa upang kontrahin ang mga naturang depensa sa pamamagitan ng pagpapakita ng ebidensya na nagpapahina sa kanilang alibi.
* **Legal na Representasyon para sa Akusado:** Malamang na magkakaroon ng legal na representa"&amp;"syon ang akusado. Asahan ang kanilang mga argumento at maghanda ng mga kontra-argumento batay sa iyong ebidensya.
**Tandaan:** * Makipagtulungan sa pagpapatupad ng batas upang bumuo ng isang malakas na kaso. * Tumutok sa malinaw at nakakahimok na katibaya"&amp;"n upang mapagtagumpayan ang mga hamon na nauugnay sa patotoo ng saksi at ebidensya sa pangyayari.
* Maging handa upang tugunan ang mga potensyal na diskarte sa pagtatanggol at mga legal na pagpapalagay. Sa pamamagitan ng maagap na pagtugon sa mga hamong i"&amp;"to at paglalahad ng isang handang-handa na kaso, maaari mong dagdagan ang iyong mga pagkakataong makakuha ng matagumpay na pag-uusig sa kaso ng kaluskos ng baka.")</f>
        <v>Bilang isang tagausig na humahawak ng kaso ng kaluskos ng baka, maaari kang makaharap ng ilang legal na hamon. Narito ang ilang potensyal na hadlang at diskarte upang malampasan ang mga ito:
**Mga Hamon na Kaugnay ng Ebidensya:**
* **Kakulangan ng mga Saksi:** Ang kaluskos ng baka ay madalas na nangyayari sa mga liblib na lugar, at maaaring may kakulangan ng mga nakasaksi upang direktang obserbahan ang pagnanakaw. * **Circumstantial Evidence:** Ang iyong kaso ay maaaring umasa nang husto sa circumstantial evidence, tulad ng paghahanap sa mga ninakaw na baka sa pag-aari ng akusado o pagsubaybay sa kanilang paggalaw sa pamamagitan ng pagba-brand o microchip. * **Pakikialam sa Ebidensya:** Sa ilang mga kaso, maaaring subukan ng mga rustlers na pakialaman ang branding o mga marka ng pagkakakilanlan sa mga baka, na nagpapahirap na patunayan ang pagmamay-ari.
**Mga Diskarte:**
* **Masusing Pagsisiyasat:** Makipagtulungan nang malapit sa tagapagpatupad ng batas upang magsagawa ng komprehensibong pagsisiyasat. Maaaring kabilang dito ang pagkolekta ng pisikal na ebidensya (mga marka ng baka, mga track ng gulong), pagsusuri sa mga talaan ng telepono upang subaybayan ang komunikasyon sa pagitan ng mga pinaghihinalaan, at paghahanap ng anumang footage ng pagsubaybay sa video mula sa mga kalapit na lokasyon.
* **Pagbuo ng Malakas na Circumstantial Case:** Maingat na ipakita ang lahat ng magagamit na circumstantial na ebidensya. Magpakita ng malinaw na koneksyon sa pagitan ng mga ninakaw na baka, ng akusado, at ng kanilang mga aktibidad. * **Patotoo ng Eksperto:** Isaalang-alang ang pagdadala ng mga eksperto tulad ng mga beterinaryo o mga espesyalista sa pagkakakilanlan ng hayop upang i-verify ang data ng pagba-brand o microchip at ipaliwanag ang kahalagahan ng naturang ebidensya.
**Mga Hamon na Kaugnay sa Kredibilidad ng Saksi:**
* **Pagkiling ng Saksi:** Maaaring may kinikilingan ang mga saksi laban sa akusado dahil sa mga personal na salungatan o mga tensyon sa komunidad.
* **Pananakot sa Saksi:** Sa ilang mga kaso, maaaring matakot ang mga saksi sa paghihiganti mula sa akusado o sa kanilang mga kasama.
**Mga Diskarte:**
* **Nagpapatibay na Ebidensya:** Suportahan ang mga testimonya ng saksi kasama ng iba pang anyo ng ebidensya upang palakasin ang kanilang kredibilidad. * **Proteksyon ng Saksi:** Kung ang mga saksi ay nag-aalala tungkol sa kanilang kaligtasan, makipagtulungan sa pagpapatupad ng batas upang magbigay ng mga programa sa proteksyon ng saksi o hindi nagpapakilalang mga testimonya.
**Mga Hamon na Kaugnay sa Mga Legal na Pagpapalagay:**
* **Presumption of Innocence:** Ang bigat ng patunay ay nasa prosekusyon. Dapat mong ipakita ang pagkakasala ng akusado nang walang makatwirang pagdududa.
**Mga Diskarte:**
* **Malinaw at Nakakahimok na Kaso:** Magharap ng isang malinaw at nakakahimok na kaso na walang puwang para sa makatwirang pagdududa tungkol sa pagkakasala ng akusado. **Mga Karagdagang Pagsasaalang-alang:**
* **Depensa ng Alibi:** Maaaring magharap ng alibi na depensa ang akusado, na sinasabing wala sila sa pinangyarihan ng krimen. Maging handa upang kontrahin ang mga naturang depensa sa pamamagitan ng pagpapakita ng ebidensya na nagpapahina sa kanilang alibi.
* **Legal na Representasyon para sa Akusado:** Malamang na magkakaroon ng legal na representasyon ang akusado. Asahan ang kanilang mga argumento at maghanda ng mga kontra-argumento batay sa iyong ebidensya.
**Tandaan:** * Makipagtulungan sa pagpapatupad ng batas upang bumuo ng isang malakas na kaso. * Tumutok sa malinaw at nakakahimok na katibayan upang mapagtagumpayan ang mga hamon na nauugnay sa patotoo ng saksi at ebidensya sa pangyayari.
* Maging handa upang tugunan ang mga potensyal na diskarte sa pagtatanggol at mga legal na pagpapalagay. Sa pamamagitan ng maagap na pagtugon sa mga hamong ito at paglalahad ng isang handang-handa na kaso, maaari mong dagdagan ang iyong mga pagkakataong makakuha ng matagumpay na pag-uusig sa kaso ng kaluskos ng baka.</v>
      </c>
      <c r="F2639" s="2">
        <f t="shared" si="1"/>
        <v>0</v>
      </c>
      <c r="G2639" s="2"/>
      <c r="H2639" s="2"/>
      <c r="I2639" s="2"/>
      <c r="J2639" s="2"/>
      <c r="K2639" s="2"/>
      <c r="L2639" s="2"/>
      <c r="M2639" s="2"/>
      <c r="N2639" s="2"/>
      <c r="O2639" s="2"/>
      <c r="P2639" s="2"/>
      <c r="Q2639" s="2"/>
      <c r="R2639" s="2"/>
      <c r="S2639" s="2"/>
      <c r="T2639" s="2"/>
      <c r="U2639" s="2"/>
      <c r="V2639" s="2"/>
      <c r="W2639" s="2"/>
      <c r="X2639" s="2"/>
      <c r="Y2639" s="2"/>
      <c r="Z2639" s="2"/>
      <c r="AA2639" s="2"/>
    </row>
    <row r="2640">
      <c r="A2640" s="1" t="s">
        <v>6213</v>
      </c>
      <c r="B2640" s="1" t="s">
        <v>6250</v>
      </c>
      <c r="C2640" s="1" t="s">
        <v>6251</v>
      </c>
      <c r="D2640" s="2" t="str">
        <f>IFERROR(__xludf.DUMMYFUNCTION("GOOGLETRANSLATE(B2640, ""en"", ""TL"")"),"Isang may-ari ng hayop ang nakasaksi sa pagnanakaw ng isang kapitbahay ng kanilang mga baka. Anong mga legal na hakbang ang maaaring gawin upang matiyak ang isang patas at makatarungang paglutas ng kaso?")</f>
        <v>Isang may-ari ng hayop ang nakasaksi sa pagnanakaw ng isang kapitbahay ng kanilang mga baka. Anong mga legal na hakbang ang maaaring gawin upang matiyak ang isang patas at makatarungang paglutas ng kaso?</v>
      </c>
      <c r="E2640" s="2" t="str">
        <f>IFERROR(__xludf.DUMMYFUNCTION("GOOGLETRANSLATE(C2640, ""en"", ""TL"")"),"Ang may-ari ng hayop ay maaaring gumawa ng ilang mga legal na hakbang upang matiyak ang isang patas at makatarungang paglutas ng kaso kapag nasaksihan nila ang kanilang kapitbahay na nagnanakaw ng kanilang mga baka:
**Mga Agarang Pagkilos:**
1. **Makipag-"&amp;"ugnayan sa mga Awtoridad:** * Tumawag sa pulisya o iulat ang krimen sa pinakamalapit na istasyon ng pulisya. Magbigay ng detalyadong paglalarawan ng mga ninakaw na baka (bilang, lahi, mga marka) at anumang mga detalye tungkol sa kapitbahay na kasangkot. *"&amp;" Kung nagaganap ang pagnanakaw, bigyang-diin ang pagkaapurahan at humiling ng agarang tugon.
2. **Magtipon ng Ebidensya (kung ligtas):**
* Kung maaari, subukang kumuha ng mga larawan o video ng mga ninakaw na baka at ang kapitbahay na kasangkot (mula sa i"&amp;"sang ligtas na distansya at walang pagpasok). * Itala ang oras at anumang iba pang detalye na maaaring makatulong, tulad ng mga saksi o direksyon na dinala ng kapitbahay ang mga baka. * **Kaligtasan Una:** Huwag ilagay ang iyong sarili sa panganib upang m"&amp;"angolekta ng ebidensya.
**Follow Up:**
1. **Maghain ng Pormal na Reklamo:** * Kapag nasa istasyon ng pulisya, maghain ng pormal na reklamo. Magbigay ng nakasulat na pahayag kasama ang lahat ng mga detalye ng insidente, kabilang ang paglalarawan ng mga nin"&amp;"akaw na baka, mga aksyon na nasaksihan, at anumang ebidensyang nakalap. 2. **Magtipon ng Karagdagang Katibayan:**
* Kung mayroon kang anumang mga sertipiko ng tatak, resibo, o talaan ng pagkakakilanlan ng microchip para sa iyong mga baka, magbigay ng mga "&amp;"kopya sa pulisya.
* Makipag-usap sa sinumang potensyal na saksi na maaaring nakakita sa kapitbahay malapit sa iyong ari-arian o kasama ng mga baka. Hilingin sa kanila na magbigay ng mga pahayag sa pulisya.
**Pagtitiyak ng pagiging patas:**
1. **Legal na K"&amp;"inatawan:**
* Isaalang-alang ang pagkonsulta sa isang abogado na dalubhasa sa batas ng agrikultura o mga kasong kriminal. Maaari ka nilang payuhan tungkol sa iyong mga karapatan, tumulong sa pangangalap ng ebidensya, at katawanin ka sa korte kung kinakail"&amp;"angan.
2. **Kooperasyon sa mga Awtoridad:**
* Makipagtulungan nang buo sa imbestigasyon ng pulisya. Tumugon kaagad sa mga kahilingan para sa impormasyon o dumalo sa mga lineup kung kinakailangan.
3. **Pasensya:** * Maaaring magtagal ang mga pagsisiyasat. "&amp;"Panatilihin ang komunikasyon sa pulisya at magtanong tungkol sa pag-usad ng kaso.
**Potensyal na Resulta:**
* **Pag-areglo sa labas ng Hukuman:**
* Kung may sapat na ebidensya, maaaring subukan ng pulisya na mamagitan sa isang kasunduan sa labas ng korte "&amp;"kung saan ibinalik ng kapitbahay ang mga baka at posibleng magbayad para sa mga pinsala.
* **Kaso sa Korte:**
* Kung ang isang kasunduan ay hindi naabot o ang ebidensya ay sumusuporta sa pag-uusig, ang kaso ay lilipat sa korte. Maaaring kailanganin ng may"&amp;"-ari ng hayop na tumestigo at magpakita ng ebidensya. **Mga Karagdagang Tip:**
* **Idokumento ang Lahat:** Panatilihin ang mga kopya ng mga ulat ng pulisya, inihain na mga reklamo, at anumang komunikasyon sa mga awtoridad.
* **Mga Panukala sa Seguridad:**"&amp;" Pagkatapos ng insidenteng ito, isaalang-alang ang pagpapatupad ng mga karagdagang hakbang sa seguridad sa iyong ari-arian upang hadlangan ang mga pagnanakaw sa hinaharap, tulad ng pinahusay na fencing, security camera, o bantay na hayop (kung pinapayagan"&amp;" sa iyong lugar).
Sa pamamagitan ng pagsasagawa ng mga hakbang na ito, madaragdagan ng may-ari ng hayop ang kanilang mga pagkakataon na mabawi ang kanilang mga ninakaw na baka at panagutin ang kapitbahay para sa kanilang mga aksyon. Ang legal na represent"&amp;"asyon ay maaaring magbigay ng mahalagang patnubay at matiyak ang isang patas at makatarungang resolusyon sa pamamagitan ng legal na sistema.")</f>
        <v>Ang may-ari ng hayop ay maaaring gumawa ng ilang mga legal na hakbang upang matiyak ang isang patas at makatarungang paglutas ng kaso kapag nasaksihan nila ang kanilang kapitbahay na nagnanakaw ng kanilang mga baka:
**Mga Agarang Pagkilos:**
1. **Makipag-ugnayan sa mga Awtoridad:** * Tumawag sa pulisya o iulat ang krimen sa pinakamalapit na istasyon ng pulisya. Magbigay ng detalyadong paglalarawan ng mga ninakaw na baka (bilang, lahi, mga marka) at anumang mga detalye tungkol sa kapitbahay na kasangkot. * Kung nagaganap ang pagnanakaw, bigyang-diin ang pagkaapurahan at humiling ng agarang tugon.
2. **Magtipon ng Ebidensya (kung ligtas):**
* Kung maaari, subukang kumuha ng mga larawan o video ng mga ninakaw na baka at ang kapitbahay na kasangkot (mula sa isang ligtas na distansya at walang pagpasok). * Itala ang oras at anumang iba pang detalye na maaaring makatulong, tulad ng mga saksi o direksyon na dinala ng kapitbahay ang mga baka. * **Kaligtasan Una:** Huwag ilagay ang iyong sarili sa panganib upang mangolekta ng ebidensya.
**Follow Up:**
1. **Maghain ng Pormal na Reklamo:** * Kapag nasa istasyon ng pulisya, maghain ng pormal na reklamo. Magbigay ng nakasulat na pahayag kasama ang lahat ng mga detalye ng insidente, kabilang ang paglalarawan ng mga ninakaw na baka, mga aksyon na nasaksihan, at anumang ebidensyang nakalap. 2. **Magtipon ng Karagdagang Katibayan:**
* Kung mayroon kang anumang mga sertipiko ng tatak, resibo, o talaan ng pagkakakilanlan ng microchip para sa iyong mga baka, magbigay ng mga kopya sa pulisya.
* Makipag-usap sa sinumang potensyal na saksi na maaaring nakakita sa kapitbahay malapit sa iyong ari-arian o kasama ng mga baka. Hilingin sa kanila na magbigay ng mga pahayag sa pulisya.
**Pagtitiyak ng pagiging patas:**
1. **Legal na Kinatawan:**
* Isaalang-alang ang pagkonsulta sa isang abogado na dalubhasa sa batas ng agrikultura o mga kasong kriminal. Maaari ka nilang payuhan tungkol sa iyong mga karapatan, tumulong sa pangangalap ng ebidensya, at katawanin ka sa korte kung kinakailangan.
2. **Kooperasyon sa mga Awtoridad:**
* Makipagtulungan nang buo sa imbestigasyon ng pulisya. Tumugon kaagad sa mga kahilingan para sa impormasyon o dumalo sa mga lineup kung kinakailangan.
3. **Pasensya:** * Maaaring magtagal ang mga pagsisiyasat. Panatilihin ang komunikasyon sa pulisya at magtanong tungkol sa pag-usad ng kaso.
**Potensyal na Resulta:**
* **Pag-areglo sa labas ng Hukuman:**
* Kung may sapat na ebidensya, maaaring subukan ng pulisya na mamagitan sa isang kasunduan sa labas ng korte kung saan ibinalik ng kapitbahay ang mga baka at posibleng magbayad para sa mga pinsala.
* **Kaso sa Korte:**
* Kung ang isang kasunduan ay hindi naabot o ang ebidensya ay sumusuporta sa pag-uusig, ang kaso ay lilipat sa korte. Maaaring kailanganin ng may-ari ng hayop na tumestigo at magpakita ng ebidensya. **Mga Karagdagang Tip:**
* **Idokumento ang Lahat:** Panatilihin ang mga kopya ng mga ulat ng pulisya, inihain na mga reklamo, at anumang komunikasyon sa mga awtoridad.
* **Mga Panukala sa Seguridad:** Pagkatapos ng insidenteng ito, isaalang-alang ang pagpapatupad ng mga karagdagang hakbang sa seguridad sa iyong ari-arian upang hadlangan ang mga pagnanakaw sa hinaharap, tulad ng pinahusay na fencing, security camera, o bantay na hayop (kung pinapayagan sa iyong lugar).
Sa pamamagitan ng pagsasagawa ng mga hakbang na ito, madaragdagan ng may-ari ng hayop ang kanilang mga pagkakataon na mabawi ang kanilang mga ninakaw na baka at panagutin ang kapitbahay para sa kanilang mga aksyon. Ang legal na representasyon ay maaaring magbigay ng mahalagang patnubay at matiyak ang isang patas at makatarungang resolusyon sa pamamagitan ng legal na sistema.</v>
      </c>
      <c r="F2640" s="2">
        <f t="shared" si="1"/>
        <v>0</v>
      </c>
      <c r="G2640" s="2"/>
      <c r="H2640" s="2"/>
      <c r="I2640" s="2"/>
      <c r="J2640" s="2"/>
      <c r="K2640" s="2"/>
      <c r="L2640" s="2"/>
      <c r="M2640" s="2"/>
      <c r="N2640" s="2"/>
      <c r="O2640" s="2"/>
      <c r="P2640" s="2"/>
      <c r="Q2640" s="2"/>
      <c r="R2640" s="2"/>
      <c r="S2640" s="2"/>
      <c r="T2640" s="2"/>
      <c r="U2640" s="2"/>
      <c r="V2640" s="2"/>
      <c r="W2640" s="2"/>
      <c r="X2640" s="2"/>
      <c r="Y2640" s="2"/>
      <c r="Z2640" s="2"/>
      <c r="AA2640" s="2"/>
    </row>
    <row r="2641">
      <c r="A2641" s="1" t="s">
        <v>6213</v>
      </c>
      <c r="B2641" s="1" t="s">
        <v>6252</v>
      </c>
      <c r="C2641" s="1" t="s">
        <v>6253</v>
      </c>
      <c r="D2641" s="2" t="str">
        <f>IFERROR(__xludf.DUMMYFUNCTION("GOOGLETRANSLATE(B2641, ""en"", ""TL"")"),"Isang grupo ng mga indibidwal ang sangkot sa organisadong pagnanakaw at trafficking ng mga baka sa maraming rehiyon. Anong mga legal na aksyon ang maaaring gawin upang lansagin ang kriminal na operasyon?")</f>
        <v>Isang grupo ng mga indibidwal ang sangkot sa organisadong pagnanakaw at trafficking ng mga baka sa maraming rehiyon. Anong mga legal na aksyon ang maaaring gawin upang lansagin ang kriminal na operasyon?</v>
      </c>
      <c r="E2641" s="2" t="str">
        <f>IFERROR(__xludf.DUMMYFUNCTION("GOOGLETRANSLATE(C2641, ""en"", ""TL"")"),"Ang pagbuwag sa isang organisadong kaluskos ng baka at pagpapatakbo ng trafficking ay nangangailangan ng multi-pronged na legal na diskarte. Narito ang isang breakdown ng mga potensyal na pagkilos:
**Mga Pagsisiyasat sa Pagpapatupad ng Batas:**
* **Pag-fi"&amp;"le ng Mga Ulat sa Pulisya:** Ang mga may-ari ng baka na nakadiskubre ng mga nawawalang hayop ay dapat agad na magsampa ng mga ulat sa pulisya na may mga detalyadong paglalarawan ng mga ninakaw na baka. Nagbibigay ito ng panimulang punto para sa pagsisiyas"&amp;"at.
* **National Bureau of Investigation (NBI):** Dahil sa organisado at potensyal na multi-regional na katangian ng krimen, isaalang-alang ang pagsangkot sa NBI. Mayroon silang mas malawak na kapangyarihan sa pag-iimbestiga at karanasan sa paghawak ng mg"&amp;"a kumplikadong aktibidad na kriminal.
* **Pagtitipon ng Ebidensya:** Ang tagapagpatupad ng batas ay mangongolekta ng ebidensya sa pamamagitan ng mga panayam ng saksi, pagsubaybay, pagsubaybay sa mga ninakaw na baka (branding, microchips), mga rekord sa pa"&amp;"nanalapi (pagsubaybay sa pagbebenta ng mga ninakaw na baka), at mga elektronikong komunikasyon (kung mayroon man).
**Mga Legal na Singil:**
* **Anti-Cattle Rustling Law (PD 533):** Ang batas na ito ay direktang nalalapat sa pagnanakaw at pagmamay-ari ng m"&amp;"ga ninakaw na baka. Maaaring malubha ang mga parusa, lalo na para sa mga organisadong operasyon.
* **Revised Penal Code (RPC):** Ang mga artikulo tulad ng kwalipikadong pagnanakaw, pagpatay ng baka at pagnanakaw ng karne/tinago (RPC 309 &amp; 310) ay maaaring"&amp;" ilapat depende sa mga partikular na aksyon ng mga indibidwal na sangkot.
* **Organized Crime Syndicates (RA 9160):** Kung ang pagsisiyasat ay magbubunyag ng isang structured criminal organization, ang mga kaso sa ilalim ng RA 9160 (Comprehensive Dangerou"&amp;"s Drugs Act) ay maaaring ituloy, na may mas mabigat na parusa.
**Nakakagambala sa Network:**
* **Pag-alis ng Asset:** Maaaring i-freeze at kunin ng mga awtoridad ang mga ari-arian na nakuha sa pamamagitan ng ilegal na pangangalakal ng baka, na binubuwag a"&amp;"ng pinansiyal na pundasyon ng operasyon.
* **Pag-aresto at Pagpigil:** Ang paghuli sa mga pangunahing tauhan sa organisasyon ay maaaring makagambala sa kanilang mga aktibidad at makahadlang sa iba pang kasangkot.
* **Pagsunod sa Money Trail:** Ang pagsuba"&amp;"ybay sa mga transaksyong pinansyal na nauugnay sa pagbebenta ng mga ninakaw na baka ay maaaring humantong sa iba pang mga miyembro ng network.
**Mga Karagdagang Pagsasaalang-alang:**
* **Pagtutulungan ng Inter-Agency:** Ang pakikipagtulungan sa pagitan ng"&amp;" lokal na pulisya, NBI, at posibleng maging mga opisyal ng customs (kung ang trafficking ay nagsasangkot ng pagtawid sa mga hangganan) ay mahalaga para sa matagumpay na pagsisiyasat.
* **Proteksyon ng Saksi:** Ang pagprotekta sa mga testigo na nagbibigay "&amp;"ng impormasyon ay mahalaga upang matiyak ang kanilang kaligtasan at mahikayat ang pakikipagtulungan.
* **Pampublikong Kamalayan:** Ang pagpapataas ng kamalayan sa publiko tungkol sa kaluskos ng baka at paghikayat sa mga tao na mag-ulat ng mga kahina-hinal"&amp;"ang aktibidad ay maaaring makatulong sa pagpigil sa mga pagnanakaw at tumulong sa mga pagsisiyasat.
**Legal na Kinatawan para sa mga May-ari ng Baka:**
* **Mga Paghahabla sa Sibil:** Maaaring magsampa ng mga kaso ng sibil ang mga may-ari ng baka laban sa "&amp;"mga nahatulan upang mabawi ang mga pinsala para sa mga ninakaw na hayop.
Sa pamamagitan ng pagsasama-sama ng mga legal na hakbang na ito, maaaring lansagin ng mga tagapagpatupad ng batas ang kriminal na network, panagutin ang mga responsableng iyon, at ha"&amp;"dlangan ang mga aktibidad sa pagnanakaw ng baka sa hinaharap.
**Mahalagang Paalala:**
Ito ay isang pangkalahatang pangkalahatang-ideya, at ang mga partikular na legal na aksyon ay depende sa mga detalye ng kaso at sa ebidensyang nakalap sa panahon ng pags"&amp;"isiyasat. Ang pagkonsulta sa isang abogado na dalubhasa sa batas kriminal ay maaaring magbigay ng mas tiyak na patnubay batay sa sitwasyon sa Pilipinas.")</f>
        <v>Ang pagbuwag sa isang organisadong kaluskos ng baka at pagpapatakbo ng trafficking ay nangangailangan ng multi-pronged na legal na diskarte. Narito ang isang breakdown ng mga potensyal na pagkilos:
**Mga Pagsisiyasat sa Pagpapatupad ng Batas:**
* **Pag-file ng Mga Ulat sa Pulisya:** Ang mga may-ari ng baka na nakadiskubre ng mga nawawalang hayop ay dapat agad na magsampa ng mga ulat sa pulisya na may mga detalyadong paglalarawan ng mga ninakaw na baka. Nagbibigay ito ng panimulang punto para sa pagsisiyasat.
* **National Bureau of Investigation (NBI):** Dahil sa organisado at potensyal na multi-regional na katangian ng krimen, isaalang-alang ang pagsangkot sa NBI. Mayroon silang mas malawak na kapangyarihan sa pag-iimbestiga at karanasan sa paghawak ng mga kumplikadong aktibidad na kriminal.
* **Pagtitipon ng Ebidensya:** Ang tagapagpatupad ng batas ay mangongolekta ng ebidensya sa pamamagitan ng mga panayam ng saksi, pagsubaybay, pagsubaybay sa mga ninakaw na baka (branding, microchips), mga rekord sa pananalapi (pagsubaybay sa pagbebenta ng mga ninakaw na baka), at mga elektronikong komunikasyon (kung mayroon man).
**Mga Legal na Singil:**
* **Anti-Cattle Rustling Law (PD 533):** Ang batas na ito ay direktang nalalapat sa pagnanakaw at pagmamay-ari ng mga ninakaw na baka. Maaaring malubha ang mga parusa, lalo na para sa mga organisadong operasyon.
* **Revised Penal Code (RPC):** Ang mga artikulo tulad ng kwalipikadong pagnanakaw, pagpatay ng baka at pagnanakaw ng karne/tinago (RPC 309 &amp; 310) ay maaaring ilapat depende sa mga partikular na aksyon ng mga indibidwal na sangkot.
* **Organized Crime Syndicates (RA 9160):** Kung ang pagsisiyasat ay magbubunyag ng isang structured criminal organization, ang mga kaso sa ilalim ng RA 9160 (Comprehensive Dangerous Drugs Act) ay maaaring ituloy, na may mas mabigat na parusa.
**Nakakagambala sa Network:**
* **Pag-alis ng Asset:** Maaaring i-freeze at kunin ng mga awtoridad ang mga ari-arian na nakuha sa pamamagitan ng ilegal na pangangalakal ng baka, na binubuwag ang pinansiyal na pundasyon ng operasyon.
* **Pag-aresto at Pagpigil:** Ang paghuli sa mga pangunahing tauhan sa organisasyon ay maaaring makagambala sa kanilang mga aktibidad at makahadlang sa iba pang kasangkot.
* **Pagsunod sa Money Trail:** Ang pagsubaybay sa mga transaksyong pinansyal na nauugnay sa pagbebenta ng mga ninakaw na baka ay maaaring humantong sa iba pang mga miyembro ng network.
**Mga Karagdagang Pagsasaalang-alang:**
* **Pagtutulungan ng Inter-Agency:** Ang pakikipagtulungan sa pagitan ng lokal na pulisya, NBI, at posibleng maging mga opisyal ng customs (kung ang trafficking ay nagsasangkot ng pagtawid sa mga hangganan) ay mahalaga para sa matagumpay na pagsisiyasat.
* **Proteksyon ng Saksi:** Ang pagprotekta sa mga testigo na nagbibigay ng impormasyon ay mahalaga upang matiyak ang kanilang kaligtasan at mahikayat ang pakikipagtulungan.
* **Pampublikong Kamalayan:** Ang pagpapataas ng kamalayan sa publiko tungkol sa kaluskos ng baka at paghikayat sa mga tao na mag-ulat ng mga kahina-hinalang aktibidad ay maaaring makatulong sa pagpigil sa mga pagnanakaw at tumulong sa mga pagsisiyasat.
**Legal na Kinatawan para sa mga May-ari ng Baka:**
* **Mga Paghahabla sa Sibil:** Maaaring magsampa ng mga kaso ng sibil ang mga may-ari ng baka laban sa mga nahatulan upang mabawi ang mga pinsala para sa mga ninakaw na hayop.
Sa pamamagitan ng pagsasama-sama ng mga legal na hakbang na ito, maaaring lansagin ng mga tagapagpatupad ng batas ang kriminal na network, panagutin ang mga responsableng iyon, at hadlangan ang mga aktibidad sa pagnanakaw ng baka sa hinaharap.
**Mahalagang Paalala:**
Ito ay isang pangkalahatang pangkalahatang-ideya, at ang mga partikular na legal na aksyon ay depende sa mga detalye ng kaso at sa ebidensyang nakalap sa panahon ng pagsisiyasat. Ang pagkonsulta sa isang abogado na dalubhasa sa batas kriminal ay maaaring magbigay ng mas tiyak na patnubay batay sa sitwasyon sa Pilipinas.</v>
      </c>
      <c r="F2641" s="2">
        <f t="shared" si="1"/>
        <v>0</v>
      </c>
      <c r="G2641" s="2"/>
      <c r="H2641" s="2"/>
      <c r="I2641" s="2"/>
      <c r="J2641" s="2"/>
      <c r="K2641" s="2"/>
      <c r="L2641" s="2"/>
      <c r="M2641" s="2"/>
      <c r="N2641" s="2"/>
      <c r="O2641" s="2"/>
      <c r="P2641" s="2"/>
      <c r="Q2641" s="2"/>
      <c r="R2641" s="2"/>
      <c r="S2641" s="2"/>
      <c r="T2641" s="2"/>
      <c r="U2641" s="2"/>
      <c r="V2641" s="2"/>
      <c r="W2641" s="2"/>
      <c r="X2641" s="2"/>
      <c r="Y2641" s="2"/>
      <c r="Z2641" s="2"/>
      <c r="AA2641" s="2"/>
    </row>
    <row r="2642">
      <c r="A2642" s="1" t="s">
        <v>6213</v>
      </c>
      <c r="B2642" s="1" t="s">
        <v>6254</v>
      </c>
      <c r="C2642" s="1" t="s">
        <v>6255</v>
      </c>
      <c r="D2642" s="2" t="str">
        <f>IFERROR(__xludf.DUMMYFUNCTION("GOOGLETRANSLATE(B2642, ""en"", ""TL"")"),"Isa kang hukom na namumuno sa isang kaso ng kaluskos ng baka. Anong mga legal na pagsasaalang-alang ang dapat gumabay sa iyong mga desisyon sa panahon ng paglilitis?")</f>
        <v>Isa kang hukom na namumuno sa isang kaso ng kaluskos ng baka. Anong mga legal na pagsasaalang-alang ang dapat gumabay sa iyong mga desisyon sa panahon ng paglilitis?</v>
      </c>
      <c r="E2642" s="2" t="str">
        <f>IFERROR(__xludf.DUMMYFUNCTION("GOOGLETRANSLATE(C2642, ""en"", ""TL"")"),"Sa Pilipinas, kung ikaw ay namumuno sa isang kaso ng kaluskos ng baka, narito ang ilang mahahalagang legal na pagsasaalang-alang upang gabayan ang iyong mga desisyon sa panahon ng paglilitis:
**Pag-unawa sa Batas:**
* **Presidential Decree No. 533 (Anti-C"&amp;"attle Rustling Law of 1974):** Ito ang pangunahing batas na namamahala sa kaluskos ng baka sa Pilipinas. Tinutukoy nito ang krimen, binabalangkas ang mga parusa, at nagtatatag ng mga pamamaraan para sa pagsisiyasat at pag-uusig.
* **Revised Penal Code (RP"&amp;"C):** Ang Artikulo 309 at 310 ng RPC ay tumatalakay sa kwalipikadong pagnanakaw, na maaaring naaangkop sa ilang kaso ng kaluskos ng baka, depende sa mga pangyayari.
**Mga Elemento ng Cattle Rustling (PD 533):**
* **Pag-alis ng Malaking Baka:** Kabilang di"&amp;"to ang mga baka, kalabaw, kabayo, mules, asno, o iba pang inaamong miyembro ng pamilya ng baka. * **Walang Pahintulot ng May-ari/Nagtataas:** Ang pagkilos ng pagkuha ay dapat gawin nang walang pahintulot ng may-ari o tagapag-alaga ng hayop.
* **Ang Paraan"&amp;" ng Pagkuha ay Hindi Materyal:** Hindi tinukoy ng batas ang paraan na ginamit para sa pagkuha ng mga baka. * **Para sa Profit o Gain (hindi kinakailangan):** Ang motibasyon sa likod ng kaluskos ng baka ay walang kaugnayan sa ilalim ng PD 533. * **Karahasa"&amp;"n o Pananakot (hindi kinakailangan):** Ang krimen ay maaaring gawin kahit na walang karahasan o pagbabanta laban sa tao o ari-arian.
* **Pagpatay ng Malaking Baka o Pagkuha ng Karne/Pagtatago:** Saklaw din ng batas ang pagpatay ng malalaking baka o pagnan"&amp;"akaw ng kanilang karne o pagtatago nang walang pahintulot ng may-ari.
**Pag-aakalang Cattle Rustling (PD 533, Seksyon 7):**
* **Pagmamay-ari ng Malaking Baka:** Kung ang isang malaking baka ay natagpuan sa pag-aari ng isang tao na hindi makapagbigay ng ka"&amp;"siya-siyang paliwanag para sa pagkakaroon nito, sila ay ipinapalagay na magnanakaw. Ang pasanin ng patunay pagkatapos ay lumipat sa nasasakdal upang ipakita na nakuha nila ang hayop sa legal na paraan.
**Mga Parusa:**
* **PD 533:** Depende sa pagkakaroon "&amp;"ng karahasan o halaga ng mga bakang nasasangkot, ang mga parusa ay maaaring mula sa prison mayor (6 na taon at 1 araw hanggang 8 taong pagkakakulong) hanggang reclusion temporal (12 taon at 1 araw hanggang 20 taon na pagkakulong).
**Mga Pamamaraan ng Pags"&amp;"ubok:**
* **Pagtatanghal ng Ebidensya:** Ang prosekusyon at ang depensa ay magpapakita ng ebidensya upang suportahan ang kanilang mga argumento. Maaaring kabilang dito ang mga testimonya ng saksi, mga ulat ng pulisya, pisikal na ebidensya (hal., mga tatak"&amp;" sa mga baka), at mga alibi.
* **Pagsusuri ng Ebidensya:** Ikaw, bilang hukom, ay titimbangin ang ebidensyang ipinakita ng magkabilang panig at tutukuyin kung napatunayan ng prosekusyon ang pagkakasala ng akusado nang walang makatwirang pagdududa.
**Mahah"&amp;"alagang Pagsasaalang-alang:**
* **Patas at Nararapat na Proseso:** Tiyakin ang isang patas na paglilitis sa pamamagitan ng pagpayag sa magkabilang panig na iharap ang kanilang kaso at sa pamamagitan ng pagsunod sa mga itinatag na legal na pamamaraan.
* **"&amp;"Kredibilidad ng Saksi:** Maingat na tasahin ang kredibilidad ng mga testigo, isinasaalang-alang ang mga salik tulad ng mga potensyal na bias at ang pagkakapare-pareho ng kanilang mga testimonya.
* **Circumstantial Evidence:** Sa ilang mga kaso, maaaring m"&amp;"aging mahalaga ang circumstantial evidence para sa pagtatatag ng kasalanan. Suriin ang lahat ng magagamit na ebidensya upang makamit ang isang mahusay na konklusyon.
* **Nakaraang Mga Pagkakasala:** Bagama't hindi lamang matukoy ng kasaysayan ng krimen ng"&amp;" nasasakdal ang pagkakasala sa kasong ito, maaari itong isaalang-alang sa panahon ng paghatol kung ang akusado ay napatunayang nagkasala.
**Umaasa sa Mga Eksperto:**
Sa mga kumplikadong kaso, maaari mong isaalang-alang ang paghanap ng ekspertong patotoo m"&amp;"ula sa mga beterinaryo o mga espesyalista sa pagtukoy ng hayop upang tumulong sa pagsusuri ng ebidensya na may kaugnayan sa mga baka. Sa pamamagitan ng maingat na pagsasaalang-alang sa mga legal na aspetong ito at pagsunod sa mga pamamaraan ng patas na pa"&amp;"glilitis, masisiguro mo ang isang makatarungan at mahusay na kaalamang desisyon sa kaso ng kaluskos ng baka.")</f>
        <v>Sa Pilipinas, kung ikaw ay namumuno sa isang kaso ng kaluskos ng baka, narito ang ilang mahahalagang legal na pagsasaalang-alang upang gabayan ang iyong mga desisyon sa panahon ng paglilitis:
**Pag-unawa sa Batas:**
* **Presidential Decree No. 533 (Anti-Cattle Rustling Law of 1974):** Ito ang pangunahing batas na namamahala sa kaluskos ng baka sa Pilipinas. Tinutukoy nito ang krimen, binabalangkas ang mga parusa, at nagtatatag ng mga pamamaraan para sa pagsisiyasat at pag-uusig.
* **Revised Penal Code (RPC):** Ang Artikulo 309 at 310 ng RPC ay tumatalakay sa kwalipikadong pagnanakaw, na maaaring naaangkop sa ilang kaso ng kaluskos ng baka, depende sa mga pangyayari.
**Mga Elemento ng Cattle Rustling (PD 533):**
* **Pag-alis ng Malaking Baka:** Kabilang dito ang mga baka, kalabaw, kabayo, mules, asno, o iba pang inaamong miyembro ng pamilya ng baka. * **Walang Pahintulot ng May-ari/Nagtataas:** Ang pagkilos ng pagkuha ay dapat gawin nang walang pahintulot ng may-ari o tagapag-alaga ng hayop.
* **Ang Paraan ng Pagkuha ay Hindi Materyal:** Hindi tinukoy ng batas ang paraan na ginamit para sa pagkuha ng mga baka. * **Para sa Profit o Gain (hindi kinakailangan):** Ang motibasyon sa likod ng kaluskos ng baka ay walang kaugnayan sa ilalim ng PD 533. * **Karahasan o Pananakot (hindi kinakailangan):** Ang krimen ay maaaring gawin kahit na walang karahasan o pagbabanta laban sa tao o ari-arian.
* **Pagpatay ng Malaking Baka o Pagkuha ng Karne/Pagtatago:** Saklaw din ng batas ang pagpatay ng malalaking baka o pagnanakaw ng kanilang karne o pagtatago nang walang pahintulot ng may-ari.
**Pag-aakalang Cattle Rustling (PD 533, Seksyon 7):**
* **Pagmamay-ari ng Malaking Baka:** Kung ang isang malaking baka ay natagpuan sa pag-aari ng isang tao na hindi makapagbigay ng kasiya-siyang paliwanag para sa pagkakaroon nito, sila ay ipinapalagay na magnanakaw. Ang pasanin ng patunay pagkatapos ay lumipat sa nasasakdal upang ipakita na nakuha nila ang hayop sa legal na paraan.
**Mga Parusa:**
* **PD 533:** Depende sa pagkakaroon ng karahasan o halaga ng mga bakang nasasangkot, ang mga parusa ay maaaring mula sa prison mayor (6 na taon at 1 araw hanggang 8 taong pagkakakulong) hanggang reclusion temporal (12 taon at 1 araw hanggang 20 taon na pagkakulong).
**Mga Pamamaraan ng Pagsubok:**
* **Pagtatanghal ng Ebidensya:** Ang prosekusyon at ang depensa ay magpapakita ng ebidensya upang suportahan ang kanilang mga argumento. Maaaring kabilang dito ang mga testimonya ng saksi, mga ulat ng pulisya, pisikal na ebidensya (hal., mga tatak sa mga baka), at mga alibi.
* **Pagsusuri ng Ebidensya:** Ikaw, bilang hukom, ay titimbangin ang ebidensyang ipinakita ng magkabilang panig at tutukuyin kung napatunayan ng prosekusyon ang pagkakasala ng akusado nang walang makatwirang pagdududa.
**Mahahalagang Pagsasaalang-alang:**
* **Patas at Nararapat na Proseso:** Tiyakin ang isang patas na paglilitis sa pamamagitan ng pagpayag sa magkabilang panig na iharap ang kanilang kaso at sa pamamagitan ng pagsunod sa mga itinatag na legal na pamamaraan.
* **Kredibilidad ng Saksi:** Maingat na tasahin ang kredibilidad ng mga testigo, isinasaalang-alang ang mga salik tulad ng mga potensyal na bias at ang pagkakapare-pareho ng kanilang mga testimonya.
* **Circumstantial Evidence:** Sa ilang mga kaso, maaaring maging mahalaga ang circumstantial evidence para sa pagtatatag ng kasalanan. Suriin ang lahat ng magagamit na ebidensya upang makamit ang isang mahusay na konklusyon.
* **Nakaraang Mga Pagkakasala:** Bagama't hindi lamang matukoy ng kasaysayan ng krimen ng nasasakdal ang pagkakasala sa kasong ito, maaari itong isaalang-alang sa panahon ng paghatol kung ang akusado ay napatunayang nagkasala.
**Umaasa sa Mga Eksperto:**
Sa mga kumplikadong kaso, maaari mong isaalang-alang ang paghanap ng ekspertong patotoo mula sa mga beterinaryo o mga espesyalista sa pagtukoy ng hayop upang tumulong sa pagsusuri ng ebidensya na may kaugnayan sa mga baka. Sa pamamagitan ng maingat na pagsasaalang-alang sa mga legal na aspetong ito at pagsunod sa mga pamamaraan ng patas na paglilitis, masisiguro mo ang isang makatarungan at mahusay na kaalamang desisyon sa kaso ng kaluskos ng baka.</v>
      </c>
      <c r="F2642" s="2">
        <f t="shared" si="1"/>
        <v>0</v>
      </c>
      <c r="G2642" s="2"/>
      <c r="H2642" s="2"/>
      <c r="I2642" s="2"/>
      <c r="J2642" s="2"/>
      <c r="K2642" s="2"/>
      <c r="L2642" s="2"/>
      <c r="M2642" s="2"/>
      <c r="N2642" s="2"/>
      <c r="O2642" s="2"/>
      <c r="P2642" s="2"/>
      <c r="Q2642" s="2"/>
      <c r="R2642" s="2"/>
      <c r="S2642" s="2"/>
      <c r="T2642" s="2"/>
      <c r="U2642" s="2"/>
      <c r="V2642" s="2"/>
      <c r="W2642" s="2"/>
      <c r="X2642" s="2"/>
      <c r="Y2642" s="2"/>
      <c r="Z2642" s="2"/>
      <c r="AA2642" s="2"/>
    </row>
    <row r="2643">
      <c r="A2643" s="1" t="s">
        <v>6213</v>
      </c>
      <c r="B2643" s="1" t="s">
        <v>6256</v>
      </c>
      <c r="C2643" s="1" t="s">
        <v>6257</v>
      </c>
      <c r="D2643" s="2" t="str">
        <f>IFERROR(__xludf.DUMMYFUNCTION("GOOGLETRANSLATE(B2643, ""en"", ""TL"")"),"Sinasabi ng isang pinaghihinalaang kawatan ng baka na binili niya ang mga hayop nang hindi nalalaman ang kanilang katayuan sa ninakaw. Anong mga legal na hakbang ang maaaring gawin upang imbestigahan ang claim at matukoy ang pananagutan?")</f>
        <v>Sinasabi ng isang pinaghihinalaang kawatan ng baka na binili niya ang mga hayop nang hindi nalalaman ang kanilang katayuan sa ninakaw. Anong mga legal na hakbang ang maaaring gawin upang imbestigahan ang claim at matukoy ang pananagutan?</v>
      </c>
      <c r="E2643" s="2" t="str">
        <f>IFERROR(__xludf.DUMMYFUNCTION("GOOGLETRANSLATE(C2643, ""en"", ""TL"")"),"Narito kung paano maaaring imbestigahan ng tagapagpatupad ng batas ang paghahabol ng isang pinaghihinalaang kawatan ng baka at matukoy ang pananagutan ayon sa mga batas ng Pilipinas:
**Paunang Pagsisiyasat:**
* **I-verify ang Claim:** Maaaring magsimula a"&amp;"ng pagpapatupad ng batas sa pamamagitan ng pag-verify sa claim ng pagbili ng suspek. Kabilang dito ang:
* **Pagkuha ng mga resibo o mga invoice ng benta:** Kung ang suspek ay may anumang dokumentasyon na nagpapatunay sa pagbili, kailangang ma-verify ang k"&amp;"anilang pagiging tunay. * **Pakikipanayam sa nagbebenta:** Ang pakikipag-usap sa taong di-umano'y nagbebenta ng mga baka ay maaaring magbigay ng mga detalye tungkol sa transaksyon. * **Pagsubaybay sa Cattle Movement:** Pagpapatunay sa pinagmulan ng mga ba"&amp;"ka sa pamamagitan ng mga talaan ng rehistrasyon ng mga hayop na pinananatili ng Bureau of Animal Industry (BAI) sa ilalim ng Department of Agriculture (RA 9053).
**Karagdagang Pagsisiyasat batay sa mga natuklasan:**
* **Kung mukhang kapani-paniwala ang cl"&amp;"aim:** Kung susuriin ng dokumentasyon, nakikipagtulungan ang nagbebenta, at naaayon ang paggalaw ng baka sa kuwento ng suspek, maaaring kailanganin ang karagdagang pagsisiyasat sa nagbebenta upang matukoy kung hindi nila alam na nagmamay-ari sila ng mga n"&amp;"inakaw na baka. .
* **Kung tila gawa-gawa ang claim:** Narito ang ilang hakbang sa pagsisiyasat:
* **Pagtutugma ng mga baka sa mga naiulat na ninakaw na hayop:** Maaaring ihambing ng mga awtoridad ang mga narekober na baka sa mga paglalarawan at marka sa "&amp;"mga ulat ng ninakaw na hayop.
* **Pagtitipon ng mga testimonya ng saksi:** Pakikipag-usap sa mga saksi na maaaring nakakita sa suspek na kumukuha ng mga baka sa pamamagitan ng kahina-hinalang paraan.
* **Pagsusuri sa background ng suspek:** Pag-iimbestiga"&amp;" para sa anumang nakaraang pagkakasangkot sa kaluskos ng baka o mga koneksyon sa mga kilalang rustlers.
**Pagtukoy sa Pananagutan:**
Batay sa mga natuklasan ng pagsisiyasat, ang pananagutan ay maaaring matukoy:
* **Suspek:** Kung itinuturo ng ebidensya an"&amp;"g suspek na sadyang nakakuha ng mga ninakaw na baka, ang mga kaso sa ilalim ng RA 8974 (An Act Prohibiting the Killing, Mutilation or Destructive Injury of Large Cattle, and Providing Penalty Therefor) ay maaaring isampa. * **Nagbebenta:** Kung ang nagbeb"&amp;"enta ay napag-alamang sangkot sa pagbebenta ng mga nakaw na baka, maaari silang kasuhan sa ilalim ng parehong batas.
* **Walang mga singil:** Kung ang pagsisiyasat ay nagpapakita na binili ng suspek ang mga baka nang may mabuting loob at hindi rin alam ng"&amp;" nagbebenta ang status ng ninakaw, walang mga singil ang maaaring isampa. **Mga Karagdagang Pagsasaalang-alang:**
* **Presumption of Innocence:** Ang suspek ay ipinapalagay na inosente hanggang sa mapatunayang nagkasala nang walang makatwirang pagdududa. "&amp;"* **Karapatan sa Legal na Tagapayo:** Ang suspek ay may karapatan sa legal na tagapayo sa buong imbestigasyon at anumang potensyal na paglilitis sa korte.
Sa pamamagitan ng pagsunod sa mga legal na hakbang na ito, maaaring lubusang maimbestigahan ng tagap"&amp;"agpatupad ng batas ang claim, matukoy ang pananagutan, at matiyak na maibibigay ang hustisya.")</f>
        <v>Narito kung paano maaaring imbestigahan ng tagapagpatupad ng batas ang paghahabol ng isang pinaghihinalaang kawatan ng baka at matukoy ang pananagutan ayon sa mga batas ng Pilipinas:
**Paunang Pagsisiyasat:**
* **I-verify ang Claim:** Maaaring magsimula ang pagpapatupad ng batas sa pamamagitan ng pag-verify sa claim ng pagbili ng suspek. Kabilang dito ang:
* **Pagkuha ng mga resibo o mga invoice ng benta:** Kung ang suspek ay may anumang dokumentasyon na nagpapatunay sa pagbili, kailangang ma-verify ang kanilang pagiging tunay. * **Pakikipanayam sa nagbebenta:** Ang pakikipag-usap sa taong di-umano'y nagbebenta ng mga baka ay maaaring magbigay ng mga detalye tungkol sa transaksyon. * **Pagsubaybay sa Cattle Movement:** Pagpapatunay sa pinagmulan ng mga baka sa pamamagitan ng mga talaan ng rehistrasyon ng mga hayop na pinananatili ng Bureau of Animal Industry (BAI) sa ilalim ng Department of Agriculture (RA 9053).
**Karagdagang Pagsisiyasat batay sa mga natuklasan:**
* **Kung mukhang kapani-paniwala ang claim:** Kung susuriin ng dokumentasyon, nakikipagtulungan ang nagbebenta, at naaayon ang paggalaw ng baka sa kuwento ng suspek, maaaring kailanganin ang karagdagang pagsisiyasat sa nagbebenta upang matukoy kung hindi nila alam na nagmamay-ari sila ng mga ninakaw na baka. .
* **Kung tila gawa-gawa ang claim:** Narito ang ilang hakbang sa pagsisiyasat:
* **Pagtutugma ng mga baka sa mga naiulat na ninakaw na hayop:** Maaaring ihambing ng mga awtoridad ang mga narekober na baka sa mga paglalarawan at marka sa mga ulat ng ninakaw na hayop.
* **Pagtitipon ng mga testimonya ng saksi:** Pakikipag-usap sa mga saksi na maaaring nakakita sa suspek na kumukuha ng mga baka sa pamamagitan ng kahina-hinalang paraan.
* **Pagsusuri sa background ng suspek:** Pag-iimbestiga para sa anumang nakaraang pagkakasangkot sa kaluskos ng baka o mga koneksyon sa mga kilalang rustlers.
**Pagtukoy sa Pananagutan:**
Batay sa mga natuklasan ng pagsisiyasat, ang pananagutan ay maaaring matukoy:
* **Suspek:** Kung itinuturo ng ebidensya ang suspek na sadyang nakakuha ng mga ninakaw na baka, ang mga kaso sa ilalim ng RA 8974 (An Act Prohibiting the Killing, Mutilation or Destructive Injury of Large Cattle, and Providing Penalty Therefor) ay maaaring isampa. * **Nagbebenta:** Kung ang nagbebenta ay napag-alamang sangkot sa pagbebenta ng mga nakaw na baka, maaari silang kasuhan sa ilalim ng parehong batas.
* **Walang mga singil:** Kung ang pagsisiyasat ay nagpapakita na binili ng suspek ang mga baka nang may mabuting loob at hindi rin alam ng nagbebenta ang status ng ninakaw, walang mga singil ang maaaring isampa. **Mga Karagdagang Pagsasaalang-alang:**
* **Presumption of Innocence:** Ang suspek ay ipinapalagay na inosente hanggang sa mapatunayang nagkasala nang walang makatwirang pagdududa. * **Karapatan sa Legal na Tagapayo:** Ang suspek ay may karapatan sa legal na tagapayo sa buong imbestigasyon at anumang potensyal na paglilitis sa korte.
Sa pamamagitan ng pagsunod sa mga legal na hakbang na ito, maaaring lubusang maimbestigahan ng tagapagpatupad ng batas ang claim, matukoy ang pananagutan, at matiyak na maibibigay ang hustisya.</v>
      </c>
      <c r="F2643" s="2">
        <f t="shared" si="1"/>
        <v>0</v>
      </c>
      <c r="G2643" s="2"/>
      <c r="H2643" s="2"/>
      <c r="I2643" s="2"/>
      <c r="J2643" s="2"/>
      <c r="K2643" s="2"/>
      <c r="L2643" s="2"/>
      <c r="M2643" s="2"/>
      <c r="N2643" s="2"/>
      <c r="O2643" s="2"/>
      <c r="P2643" s="2"/>
      <c r="Q2643" s="2"/>
      <c r="R2643" s="2"/>
      <c r="S2643" s="2"/>
      <c r="T2643" s="2"/>
      <c r="U2643" s="2"/>
      <c r="V2643" s="2"/>
      <c r="W2643" s="2"/>
      <c r="X2643" s="2"/>
      <c r="Y2643" s="2"/>
      <c r="Z2643" s="2"/>
      <c r="AA2643" s="2"/>
    </row>
    <row r="2644">
      <c r="A2644" s="1" t="s">
        <v>6213</v>
      </c>
      <c r="B2644" s="1" t="s">
        <v>6258</v>
      </c>
      <c r="C2644" s="1" t="s">
        <v>6259</v>
      </c>
      <c r="D2644" s="2" t="str">
        <f>IFERROR(__xludf.DUMMYFUNCTION("GOOGLETRANSLATE(B2644, ""en"", ""TL"")"),"Ang isang may-ari ng mga hayop ay tumatagal ng batas sa kanilang sariling mga kamay upang mabawi ang mga ninakaw na baka. Anong mga legal na kahihinatnan ang maaaring harapin nila para sa vigilantism?")</f>
        <v>Ang isang may-ari ng mga hayop ay tumatagal ng batas sa kanilang sariling mga kamay upang mabawi ang mga ninakaw na baka. Anong mga legal na kahihinatnan ang maaaring harapin nila para sa vigilantism?</v>
      </c>
      <c r="E2644" s="2" t="str">
        <f>IFERROR(__xludf.DUMMYFUNCTION("GOOGLETRANSLATE(C2644, ""en"", ""TL"")"),"Ang legal na sistema ng Pilipinas ay sumimangot sa vigilantism, at ang isang may-ari ng hayop na kinuha ang batas sa kanilang sariling mga kamay upang mabawi ang mga ninakaw na baka ay nahaharap sa mga potensyal na legal na kahihinatnan. Narito ang isang "&amp;"breakdown batay sa Philippine RA at sa Konstitusyon:
* **Republic Act No. 3815 (Ang Binagong Kodigo Penal):**
* **Artikulo 142 (Pag-agaw ng Awtoridad):** Nalalapat ito kung ang may-ari ng hayop ay nagpapanggap na isang opisyal ng pagpapatupad ng batas hab"&amp;"ang binabawi ang kanilang mga baka. * **Artikulo 248 (Direktang Pag-atake):** Kung ang pagkilos ng pagbawi ng mga baka ay nagsasangkot ng karahasan o mga banta ng karahasan laban sa mga pinaghihinalaang mga rustler, ito ay maaaring isang paglabag. * **Art"&amp;"ikulo 249 (Di-tuwirang Pag-atake):** Nalalapat ito kung ang may-ari ay gumagamit ng karahasan o pagbabanta laban sa sinumang tumutulong sa mga rustlers. * **Artikulo 286 (Grave Coercion):** Kung ang may-ari ay gumagamit ng pananakot o pananakot upang pili"&amp;"tin na ibalik ang mga baka. * **Konstitusyon ng Pilipinas (Artikulo III, Bill of Rights):**
* **Seksyon 1 (Karapatan sa Buhay, Kalayaan at Seguridad ng Tao):** Ang may-ari ay hindi maaaring magdulot ng pinsala sa mga pinaghihinalaang rustlers.
* **Section"&amp;" 2 (Right to Due Process):** Hindi maaaring alisin ng may-ari ang mga pinaghihinalaang rustlers ng kanilang karapatan sa isang patas na paglilitis.
**Mga posibleng parusa:**
Ang mga tiyak na parusa ay depende sa mga eksaktong aksyon na ginawa ng may-ari n"&amp;"g hayop. Gayunpaman, maaari silang maharap sa pagkakulong, multa, o pareho.
**Mga Rekomendasyon:**
* **Iulat ang Cattle Rustling:** Ang may-ari ay dapat na agad na iulat ang pagnanakaw sa pinakamalapit na istasyon ng pulisya (RPC Article 150). * **Makipag"&amp;"tulungan sa Pagpapatupad ng Batas:** Ang pagbibigay ng mga detalye tungkol sa mga ninakaw na baka at anumang lead ay makakatulong sa mga awtoridad na mabawi ang mga hayop.
* **Humingi ng Legal na Counsel:** Maaaring payuhan ng isang abogado ang may-ari sa"&amp;" kanilang mga legal na karapatan at mga opsyon para sa pagbawi ng kanilang mga alagang hayop.
**Tandaan:** Bagama't nauunawaan ang pagnanais na gumawa ng agarang aksyon, inilalagay ng vigilantism ang may-ari sa panganib ng legal na problema. Ang pakikipag"&amp;"tulungan sa mga tagapagpatupad ng batas ay nag-aalok ng mas ligtas at mas epektibong landas sa pagbawi ng mga ninakaw na baka.")</f>
        <v>Ang legal na sistema ng Pilipinas ay sumimangot sa vigilantism, at ang isang may-ari ng hayop na kinuha ang batas sa kanilang sariling mga kamay upang mabawi ang mga ninakaw na baka ay nahaharap sa mga potensyal na legal na kahihinatnan. Narito ang isang breakdown batay sa Philippine RA at sa Konstitusyon:
* **Republic Act No. 3815 (Ang Binagong Kodigo Penal):**
* **Artikulo 142 (Pag-agaw ng Awtoridad):** Nalalapat ito kung ang may-ari ng hayop ay nagpapanggap na isang opisyal ng pagpapatupad ng batas habang binabawi ang kanilang mga baka. * **Artikulo 248 (Direktang Pag-atake):** Kung ang pagkilos ng pagbawi ng mga baka ay nagsasangkot ng karahasan o mga banta ng karahasan laban sa mga pinaghihinalaang mga rustler, ito ay maaaring isang paglabag. * **Artikulo 249 (Di-tuwirang Pag-atake):** Nalalapat ito kung ang may-ari ay gumagamit ng karahasan o pagbabanta laban sa sinumang tumutulong sa mga rustlers. * **Artikulo 286 (Grave Coercion):** Kung ang may-ari ay gumagamit ng pananakot o pananakot upang pilitin na ibalik ang mga baka. * **Konstitusyon ng Pilipinas (Artikulo III, Bill of Rights):**
* **Seksyon 1 (Karapatan sa Buhay, Kalayaan at Seguridad ng Tao):** Ang may-ari ay hindi maaaring magdulot ng pinsala sa mga pinaghihinalaang rustlers.
* **Section 2 (Right to Due Process):** Hindi maaaring alisin ng may-ari ang mga pinaghihinalaang rustlers ng kanilang karapatan sa isang patas na paglilitis.
**Mga posibleng parusa:**
Ang mga tiyak na parusa ay depende sa mga eksaktong aksyon na ginawa ng may-ari ng hayop. Gayunpaman, maaari silang maharap sa pagkakulong, multa, o pareho.
**Mga Rekomendasyon:**
* **Iulat ang Cattle Rustling:** Ang may-ari ay dapat na agad na iulat ang pagnanakaw sa pinakamalapit na istasyon ng pulisya (RPC Article 150). * **Makipagtulungan sa Pagpapatupad ng Batas:** Ang pagbibigay ng mga detalye tungkol sa mga ninakaw na baka at anumang lead ay makakatulong sa mga awtoridad na mabawi ang mga hayop.
* **Humingi ng Legal na Counsel:** Maaaring payuhan ng isang abogado ang may-ari sa kanilang mga legal na karapatan at mga opsyon para sa pagbawi ng kanilang mga alagang hayop.
**Tandaan:** Bagama't nauunawaan ang pagnanais na gumawa ng agarang aksyon, inilalagay ng vigilantism ang may-ari sa panganib ng legal na problema. Ang pakikipagtulungan sa mga tagapagpatupad ng batas ay nag-aalok ng mas ligtas at mas epektibong landas sa pagbawi ng mga ninakaw na baka.</v>
      </c>
      <c r="F2644" s="2">
        <f t="shared" si="1"/>
        <v>0</v>
      </c>
      <c r="G2644" s="2"/>
      <c r="H2644" s="2"/>
      <c r="I2644" s="2"/>
      <c r="J2644" s="2"/>
      <c r="K2644" s="2"/>
      <c r="L2644" s="2"/>
      <c r="M2644" s="2"/>
      <c r="N2644" s="2"/>
      <c r="O2644" s="2"/>
      <c r="P2644" s="2"/>
      <c r="Q2644" s="2"/>
      <c r="R2644" s="2"/>
      <c r="S2644" s="2"/>
      <c r="T2644" s="2"/>
      <c r="U2644" s="2"/>
      <c r="V2644" s="2"/>
      <c r="W2644" s="2"/>
      <c r="X2644" s="2"/>
      <c r="Y2644" s="2"/>
      <c r="Z2644" s="2"/>
      <c r="AA2644" s="2"/>
    </row>
    <row r="2645">
      <c r="A2645" s="1" t="s">
        <v>6213</v>
      </c>
      <c r="B2645" s="1" t="s">
        <v>6260</v>
      </c>
      <c r="C2645" s="1" t="s">
        <v>6261</v>
      </c>
      <c r="D2645" s="2" t="str">
        <f>IFERROR(__xludf.DUMMYFUNCTION("GOOGLETRANSLATE(B2645, ""en"", ""TL"")"),"Ang isang pinaghihinalaang kawatan ng baka ay nahuli sa akto ngunit sinasabing hindi niya alam ang mga legal na proteksyon para sa mga may-ari ng hayop. Anong mga legal na hakbang ang maaaring gawin upang turuan ang publiko tungkol sa mga proteksyong ito?")</f>
        <v>Ang isang pinaghihinalaang kawatan ng baka ay nahuli sa akto ngunit sinasabing hindi niya alam ang mga legal na proteksyon para sa mga may-ari ng hayop. Anong mga legal na hakbang ang maaaring gawin upang turuan ang publiko tungkol sa mga proteksyong ito?</v>
      </c>
      <c r="E2645" s="2" t="str">
        <f>IFERROR(__xludf.DUMMYFUNCTION("GOOGLETRANSLATE(C2645, ""en"", ""TL"")"),"Upang turuan ang publiko tungkol sa mga legal na proteksyon para sa mga may-ari ng hayop at matugunan ang mga sitwasyon kung saan ang mga indibidwal ay nag-aangkin ng kamangmangan, isang maagap na diskarte na kinasasangkutan ng iba't ibang mga channel at "&amp;"estratehiya ay maaaring ipatupad. Narito ang mga legal na hakbang na maaaring gawin upang mapahusay ang kamalayan ng publiko:
1. **Mga Kampanya sa Pampublikong Kamalayan:**
- Ang mga ahensya ng gobyerno, mga non-government organization (NGO), at mga asosa"&amp;"syong pang-agrikultura ay maaaring magpasimula ng mga kampanya sa kamalayan ng publiko upang ipaalam sa komunidad ang tungkol sa mga legal na proteksyon na ibinibigay sa mga may-ari ng hayop. Maaaring kabilang dito ang pamamahagi ng mga polyeto ng imporma"&amp;"syon, pag-aayos ng mga workshop, at paggamit ng social media para sa pagpapakalat.
2. **Barangay Level Engagement:**
- Makipagtulungan sa mga opisyal ng barangay para magsagawa ng mga localized awareness program. Ang mga pagpupulong sa barangay at mga pag"&amp;"pupulong ng komunidad ay nagbibigay ng mga pagkakataon upang turuan ang mga residente tungkol sa mga legal na karapatan at proteksyon para sa mga may-ari ng hayop.
3. **Mga Programa sa Paaralan:**
- Isama ang impormasyon tungkol sa mga karapatan sa pagmam"&amp;"ay-ari ng mga hayop at mga legal na proteksyon sa kurikulum ng paaralan. Ang mga programang pang-edukasyon sa mga paaralan ay maaaring makatulong sa pagtanim ng kamalayan mula sa murang edad.
4. **Media Outreach:**
- Makipagtulungan sa mga media outlet up"&amp;"ang itampok ang mga kuwento, artikulo, at advertisement na nagha-highlight sa mga legal na karapatan ng mga may-ari ng hayop. Gamitin ang radyo, telebisyon, pahayagan, at online na mga platform para maabot ang malawak na madla.
5. **Pakikipagtulungan sa M"&amp;"ga Serbisyo sa Pagpapalawig ng Agrikultura:**
- Makipagtulungan sa mga serbisyo sa pagpapalawig ng agrikultura upang isama ang impormasyon tungkol sa mga legal na proteksyon sa kanilang mga outreach program. Ang mga serbisyong ito ay kadalasang may direkt"&amp;"ang pakikipag-ugnayan sa mga magsasaka at maaaring magsilbi bilang mahalagang mga tubo para sa impormasyon.
6. **Mga Online na Platform:**
- Lumikha at magpanatili ng mga website na nagbibigay-kaalaman o mga online na portal na nagbibigay ng mga mapagkuku"&amp;"nan sa mga karapatan sa pagmamay-ari ng mga hayop, mga legal na proteksyon, at mga nauugnay na batas. Tiyakin na ang impormasyon ay madaling ma-access at maunawaan.
7. **Mga Workshop at Seminar sa Komunidad:**
- Mag-organisa ng mga workshop at seminar sa "&amp;"mga komunidad sa kanayunan at pagsasaka upang magbigay ng malalim na impormasyon tungkol sa mga legal na karapatan ng mga may-ari ng hayop. Mag-imbita ng mga eksperto sa batas, kinatawan ng gobyerno, at tagapagtaguyod na magsalita sa mga kaganapang ito.
8"&amp;". **Partnership with Agricultural Cooperatives:**
- Makipagtulungan sa mga kooperatiba ng agrikultura upang maipalaganap ang impormasyon sa kanilang mga miyembro. Ang mga kooperatiba na ito ay kadalasang may direktang koneksyon sa mga magsasaka at maaarin"&amp;"g mapadali ang mga programang pang-edukasyon sa loob ng kanilang mga network.
9. **Mga Legal Aid Clinic:**
- Magtatag ng mga klinika ng legal aid sa mga rural na lugar kung saan ang mga indibidwal ay maaaring humingi ng impormasyon tungkol sa kanilang mga"&amp;" karapatan bilang mga may-ari ng hayop. Ang mga legal na propesyonal ay maaaring magbigay ng gabay at sagutin ang mga tanong tungkol sa mga nauugnay na batas.
10. **Mga Materyal na Multilingguwal:**
- Tiyakin na ang mga materyal na pang-edukasyon ay magag"&amp;"amit sa maraming wika upang matugunan ang magkakaibang mga komunidad. Ito ay lalong mahalaga sa mga lugar na may katutubong populasyon o pagkakaiba-iba ng wika.
11. **Mga Anunsyo ng Serbisyong Pampubliko (mga PSA):**
- Bumuo at mag-broadcast ng mga PSA sa"&amp;" mga network ng radyo at telebisyon upang mabilis na maabot ang malawak na madla. Ang mga anunsyo na ito ay maaaring maghatid ng mahalagang impormasyon tungkol sa mga legal na proteksyon para sa mga may-ari ng hayop sa maikli at di malilimutang paraan.
Sa"&amp;" pamamagitan ng pagpapatupad ng mga legal na hakbang na ito, ang mga gumagawa ng patakaran at mga stakeholder ay maaaring mag-ambag sa isang mas matalinong publiko, na binabawasan ang posibilidad ng mga indibidwal na mag-claim ng kamangmangan kapag nahuli"&amp;" na nakikibahagi sa mga ilegal na aktibidad tulad ng kaluskos ng baka. Ang regular at naka-target na mga pagsisikap sa komunikasyon ay maaaring mapahusay ang pangkalahatang kamalayan at pagsunod sa legal na balangkas na nagpoprotekta sa mga may-ari ng hay"&amp;"op.")</f>
        <v>Upang turuan ang publiko tungkol sa mga legal na proteksyon para sa mga may-ari ng hayop at matugunan ang mga sitwasyon kung saan ang mga indibidwal ay nag-aangkin ng kamangmangan, isang maagap na diskarte na kinasasangkutan ng iba't ibang mga channel at estratehiya ay maaaring ipatupad. Narito ang mga legal na hakbang na maaaring gawin upang mapahusay ang kamalayan ng publiko:
1. **Mga Kampanya sa Pampublikong Kamalayan:**
- Ang mga ahensya ng gobyerno, mga non-government organization (NGO), at mga asosasyong pang-agrikultura ay maaaring magpasimula ng mga kampanya sa kamalayan ng publiko upang ipaalam sa komunidad ang tungkol sa mga legal na proteksyon na ibinibigay sa mga may-ari ng hayop. Maaaring kabilang dito ang pamamahagi ng mga polyeto ng impormasyon, pag-aayos ng mga workshop, at paggamit ng social media para sa pagpapakalat.
2. **Barangay Level Engagement:**
- Makipagtulungan sa mga opisyal ng barangay para magsagawa ng mga localized awareness program. Ang mga pagpupulong sa barangay at mga pagpupulong ng komunidad ay nagbibigay ng mga pagkakataon upang turuan ang mga residente tungkol sa mga legal na karapatan at proteksyon para sa mga may-ari ng hayop.
3. **Mga Programa sa Paaralan:**
- Isama ang impormasyon tungkol sa mga karapatan sa pagmamay-ari ng mga hayop at mga legal na proteksyon sa kurikulum ng paaralan. Ang mga programang pang-edukasyon sa mga paaralan ay maaaring makatulong sa pagtanim ng kamalayan mula sa murang edad.
4. **Media Outreach:**
- Makipagtulungan sa mga media outlet upang itampok ang mga kuwento, artikulo, at advertisement na nagha-highlight sa mga legal na karapatan ng mga may-ari ng hayop. Gamitin ang radyo, telebisyon, pahayagan, at online na mga platform para maabot ang malawak na madla.
5. **Pakikipagtulungan sa Mga Serbisyo sa Pagpapalawig ng Agrikultura:**
- Makipagtulungan sa mga serbisyo sa pagpapalawig ng agrikultura upang isama ang impormasyon tungkol sa mga legal na proteksyon sa kanilang mga outreach program. Ang mga serbisyong ito ay kadalasang may direktang pakikipag-ugnayan sa mga magsasaka at maaaring magsilbi bilang mahalagang mga tubo para sa impormasyon.
6. **Mga Online na Platform:**
- Lumikha at magpanatili ng mga website na nagbibigay-kaalaman o mga online na portal na nagbibigay ng mga mapagkukunan sa mga karapatan sa pagmamay-ari ng mga hayop, mga legal na proteksyon, at mga nauugnay na batas. Tiyakin na ang impormasyon ay madaling ma-access at maunawaan.
7. **Mga Workshop at Seminar sa Komunidad:**
- Mag-organisa ng mga workshop at seminar sa mga komunidad sa kanayunan at pagsasaka upang magbigay ng malalim na impormasyon tungkol sa mga legal na karapatan ng mga may-ari ng hayop. Mag-imbita ng mga eksperto sa batas, kinatawan ng gobyerno, at tagapagtaguyod na magsalita sa mga kaganapang ito.
8. **Partnership with Agricultural Cooperatives:**
- Makipagtulungan sa mga kooperatiba ng agrikultura upang maipalaganap ang impormasyon sa kanilang mga miyembro. Ang mga kooperatiba na ito ay kadalasang may direktang koneksyon sa mga magsasaka at maaaring mapadali ang mga programang pang-edukasyon sa loob ng kanilang mga network.
9. **Mga Legal Aid Clinic:**
- Magtatag ng mga klinika ng legal aid sa mga rural na lugar kung saan ang mga indibidwal ay maaaring humingi ng impormasyon tungkol sa kanilang mga karapatan bilang mga may-ari ng hayop. Ang mga legal na propesyonal ay maaaring magbigay ng gabay at sagutin ang mga tanong tungkol sa mga nauugnay na batas.
10. **Mga Materyal na Multilingguwal:**
- Tiyakin na ang mga materyal na pang-edukasyon ay magagamit sa maraming wika upang matugunan ang magkakaibang mga komunidad. Ito ay lalong mahalaga sa mga lugar na may katutubong populasyon o pagkakaiba-iba ng wika.
11. **Mga Anunsyo ng Serbisyong Pampubliko (mga PSA):**
- Bumuo at mag-broadcast ng mga PSA sa mga network ng radyo at telebisyon upang mabilis na maabot ang malawak na madla. Ang mga anunsyo na ito ay maaaring maghatid ng mahalagang impormasyon tungkol sa mga legal na proteksyon para sa mga may-ari ng hayop sa maikli at di malilimutang paraan.
Sa pamamagitan ng pagpapatupad ng mga legal na hakbang na ito, ang mga gumagawa ng patakaran at mga stakeholder ay maaaring mag-ambag sa isang mas matalinong publiko, na binabawasan ang posibilidad ng mga indibidwal na mag-claim ng kamangmangan kapag nahuli na nakikibahagi sa mga ilegal na aktibidad tulad ng kaluskos ng baka. Ang regular at naka-target na mga pagsisikap sa komunikasyon ay maaaring mapahusay ang pangkalahatang kamalayan at pagsunod sa legal na balangkas na nagpoprotekta sa mga may-ari ng hayop.</v>
      </c>
      <c r="F2645" s="2">
        <f t="shared" si="1"/>
        <v>0</v>
      </c>
      <c r="G2645" s="2"/>
      <c r="H2645" s="2"/>
      <c r="I2645" s="2"/>
      <c r="J2645" s="2"/>
      <c r="K2645" s="2"/>
      <c r="L2645" s="2"/>
      <c r="M2645" s="2"/>
      <c r="N2645" s="2"/>
      <c r="O2645" s="2"/>
      <c r="P2645" s="2"/>
      <c r="Q2645" s="2"/>
      <c r="R2645" s="2"/>
      <c r="S2645" s="2"/>
      <c r="T2645" s="2"/>
      <c r="U2645" s="2"/>
      <c r="V2645" s="2"/>
      <c r="W2645" s="2"/>
      <c r="X2645" s="2"/>
      <c r="Y2645" s="2"/>
      <c r="Z2645" s="2"/>
      <c r="AA2645" s="2"/>
    </row>
    <row r="2646">
      <c r="A2646" s="1" t="s">
        <v>6213</v>
      </c>
      <c r="B2646" s="1" t="s">
        <v>6262</v>
      </c>
      <c r="C2646" s="1" t="s">
        <v>6263</v>
      </c>
      <c r="D2646" s="2" t="str">
        <f>IFERROR(__xludf.DUMMYFUNCTION("GOOGLETRANSLATE(B2646, ""en"", ""TL"")"),"Isa kang mambabatas na gumagawa ng mga pagbabago sa mga batas sa pagnanakaw ng baka. Anong mga legal na reporma ang maaaring magpahusay sa bisa ng umiiral na batas sa pagpigil at paglaban sa kaluskos ng baka?")</f>
        <v>Isa kang mambabatas na gumagawa ng mga pagbabago sa mga batas sa pagnanakaw ng baka. Anong mga legal na reporma ang maaaring magpahusay sa bisa ng umiiral na batas sa pagpigil at paglaban sa kaluskos ng baka?</v>
      </c>
      <c r="E2646" s="2" t="str">
        <f>IFERROR(__xludf.DUMMYFUNCTION("GOOGLETRANSLATE(C2646, ""en"", ""TL"")"),"Bilang isang mambabatas na gumagawa ng mga pagbabago sa mga batas sa pagnanakaw ng baka sa Pilipinas, narito ang ilang mga legal na reporma na maaaring mapahusay ang bisa ng umiiral na batas sa pagpigil at paglaban sa kaluskos ng baka:
1. **Mas Mahigpit n"&amp;"a Parusa:**
- Taasan ang mga parusa para sa kaluskos ng baka upang magsilbing isang hadlang. Isaalang-alang ang pagpapataw ng mas mataas na multa at mas mahabang sentensiya sa bilangguan para sa mga nahatulan ng pagnanakaw at pagkatay ng baka.
2. **Mga Ma"&amp;"ndatoryong Minimum na Pangungusap:**
- Magpatupad ng mga mandatoryong pinakamababang sentensiya para sa mga indibidwal na hinatulan ng kaluskos ng baka upang matiyak na pare-pareho ang parusa para sa mga naturang pagkakasala.
3. **Mga Pinahusay na Kapangy"&amp;"arihan sa Pagpapatupad:**
- Bigyan ang mga ahensya ng pagpapatupad ng batas ng mga pinahusay na kapangyarihan upang imbestigahan at usigin ang mga nagnanakaw ng baka. Maaaring kabilang dito ang awtoridad na magsagawa ng surveillance, paghahanap at pag-aga"&amp;"w na mga operasyon, at ang paggamit ng advanced na teknolohiya upang subaybayan ang mga ninakaw na baka.
4. **Pagtatatag ng Mga Espesyal na Yunit:**
- Lumikha ng mga espesyal na yunit sa loob ng mga ahensyang nagpapatupad ng batas na nakatuon sa pagsisiya"&amp;"sat at pagpigil sa kaluskos ng baka. Ang mga yunit na ito ay maaaring tumuon sa pagbuo ng kadalubhasaan sa pagharap sa mga krimen na nauugnay sa paghahayupan.
5. **Paglahok ng Komunidad:**
- Hikayatin ang pakikilahok ng komunidad sa pagpigil sa kaluskos n"&amp;"g baka sa pamamagitan ng pagtatatag ng mga programa sa panonood ng komunidad. Magbigay ng mga insentibo para sa pag-uulat ng mga kahina-hinalang aktibidad na may kaugnayan sa pagnanakaw ng mga hayop.
6. **Database at Identification System:**
- Magpatupad "&amp;"ng isang komprehensibong database at sistema ng pagkakakilanlan para sa mga hayop. Maaaring kasama sa system na ito ang pag-tag, microchipping, o iba pang paraan ng pagkilala upang mas mabisang masubaybayan at masubaybayan ang mga baka.
7. **Cross-Agency "&amp;"Collaboration:**
- Pasiglahin ang pakikipagtulungan sa pagitan ng mga ahensyang nagpapatupad ng batas, mga ahensyang pang-agrikultura, at mga yunit ng lokal na pamahalaan upang matiyak ang isang koordinadong diskarte sa paglaban sa kaluskos ng baka.
8. **"&amp;"Pagpapalakas ng Legal na Balangkas para sa Pag-uusig:**
- Suriin at palakasin ang legal na balangkas upang matiyak na ang pag-uusig para sa kaluskos ng baka ay matatag at ang mga butas ay sarado. Linawin ang mga legal na kahulugan, mga elemento ng pagkaka"&amp;"sala, at mga pamamaraan para sa pag-uusig.
9. **Mga Kampanya na Pang-edukasyon:**
- Magsagawa ng mga kampanyang pang-edukasyon upang itaas ang kamalayan sa mga may-ari ng hayop, magsasaka, at komunidad tungkol sa mga panganib ng kaluskos ng baka at ang ka"&amp;"halagahan ng pagpapatupad ng mga hakbang sa seguridad.
10. **Pagsasama ng Teknolohiya:**
- Yakapin at isama ang mga makabagong teknolohiya, tulad ng pagsubaybay sa GPS, mga surveillance camera, at iba pang sistema ng pagsubaybay, upang tumulong sa pag-iwa"&amp;"s at pagtuklas ng kaluskos ng baka.
11. **Reward System:**
- Magtatag ng sistema ng pabuya para sa impormasyon na humahantong sa pag-aresto at paghatol ng mga kawatan ng baka. Maaari nitong hikayatin ang mga indibidwal na magbigay ng mahalagang impormasyo"&amp;"n.
12. **Victim Compensation Fund:**
- Lumikha ng pondo para sa kompensasyon upang suportahan ang mga biktima ng kaluskos ng baka. Makakatulong ito na maibsan ang pinansiyal na pasanin sa mga may-ari ng hayop na nalulugi dahil sa pagnanakaw.
13. **Pagsusu"&amp;"ri at Pag-update ng mga Umiiral na Batas:**
- Regular na suriin at i-update ang mga umiiral na batas upang umangkop sa mga umuusbong na hamon at matugunan ang mga umuusbong na isyu na may kaugnayan sa kaluskos ng baka.
Ang mga legal na repormang ito ay ma"&amp;"aaring mag-ambag sa isang mas komprehensibo at epektibong balangkas para maiwasan at labanan ang kaluskos ng baka sa Pilipinas. Ang pagtutulungan ng mga mambabatas, ahensyang nagpapatupad ng batas, at mga stakeholder sa sektor ng agrikultura ay mahalaga p"&amp;"ara sa matagumpay na pagpapatupad ng mga repormang ito.")</f>
        <v>Bilang isang mambabatas na gumagawa ng mga pagbabago sa mga batas sa pagnanakaw ng baka sa Pilipinas, narito ang ilang mga legal na reporma na maaaring mapahusay ang bisa ng umiiral na batas sa pagpigil at paglaban sa kaluskos ng baka:
1. **Mas Mahigpit na Parusa:**
- Taasan ang mga parusa para sa kaluskos ng baka upang magsilbing isang hadlang. Isaalang-alang ang pagpapataw ng mas mataas na multa at mas mahabang sentensiya sa bilangguan para sa mga nahatulan ng pagnanakaw at pagkatay ng baka.
2. **Mga Mandatoryong Minimum na Pangungusap:**
- Magpatupad ng mga mandatoryong pinakamababang sentensiya para sa mga indibidwal na hinatulan ng kaluskos ng baka upang matiyak na pare-pareho ang parusa para sa mga naturang pagkakasala.
3. **Mga Pinahusay na Kapangyarihan sa Pagpapatupad:**
- Bigyan ang mga ahensya ng pagpapatupad ng batas ng mga pinahusay na kapangyarihan upang imbestigahan at usigin ang mga nagnanakaw ng baka. Maaaring kabilang dito ang awtoridad na magsagawa ng surveillance, paghahanap at pag-agaw na mga operasyon, at ang paggamit ng advanced na teknolohiya upang subaybayan ang mga ninakaw na baka.
4. **Pagtatatag ng Mga Espesyal na Yunit:**
- Lumikha ng mga espesyal na yunit sa loob ng mga ahensyang nagpapatupad ng batas na nakatuon sa pagsisiyasat at pagpigil sa kaluskos ng baka. Ang mga yunit na ito ay maaaring tumuon sa pagbuo ng kadalubhasaan sa pagharap sa mga krimen na nauugnay sa paghahayupan.
5. **Paglahok ng Komunidad:**
- Hikayatin ang pakikilahok ng komunidad sa pagpigil sa kaluskos ng baka sa pamamagitan ng pagtatatag ng mga programa sa panonood ng komunidad. Magbigay ng mga insentibo para sa pag-uulat ng mga kahina-hinalang aktibidad na may kaugnayan sa pagnanakaw ng mga hayop.
6. **Database at Identification System:**
- Magpatupad ng isang komprehensibong database at sistema ng pagkakakilanlan para sa mga hayop. Maaaring kasama sa system na ito ang pag-tag, microchipping, o iba pang paraan ng pagkilala upang mas mabisang masubaybayan at masubaybayan ang mga baka.
7. **Cross-Agency Collaboration:**
- Pasiglahin ang pakikipagtulungan sa pagitan ng mga ahensyang nagpapatupad ng batas, mga ahensyang pang-agrikultura, at mga yunit ng lokal na pamahalaan upang matiyak ang isang koordinadong diskarte sa paglaban sa kaluskos ng baka.
8. **Pagpapalakas ng Legal na Balangkas para sa Pag-uusig:**
- Suriin at palakasin ang legal na balangkas upang matiyak na ang pag-uusig para sa kaluskos ng baka ay matatag at ang mga butas ay sarado. Linawin ang mga legal na kahulugan, mga elemento ng pagkakasala, at mga pamamaraan para sa pag-uusig.
9. **Mga Kampanya na Pang-edukasyon:**
- Magsagawa ng mga kampanyang pang-edukasyon upang itaas ang kamalayan sa mga may-ari ng hayop, magsasaka, at komunidad tungkol sa mga panganib ng kaluskos ng baka at ang kahalagahan ng pagpapatupad ng mga hakbang sa seguridad.
10. **Pagsasama ng Teknolohiya:**
- Yakapin at isama ang mga makabagong teknolohiya, tulad ng pagsubaybay sa GPS, mga surveillance camera, at iba pang sistema ng pagsubaybay, upang tumulong sa pag-iwas at pagtuklas ng kaluskos ng baka.
11. **Reward System:**
- Magtatag ng sistema ng pabuya para sa impormasyon na humahantong sa pag-aresto at paghatol ng mga kawatan ng baka. Maaari nitong hikayatin ang mga indibidwal na magbigay ng mahalagang impormasyon.
12. **Victim Compensation Fund:**
- Lumikha ng pondo para sa kompensasyon upang suportahan ang mga biktima ng kaluskos ng baka. Makakatulong ito na maibsan ang pinansiyal na pasanin sa mga may-ari ng hayop na nalulugi dahil sa pagnanakaw.
13. **Pagsusuri at Pag-update ng mga Umiiral na Batas:**
- Regular na suriin at i-update ang mga umiiral na batas upang umangkop sa mga umuusbong na hamon at matugunan ang mga umuusbong na isyu na may kaugnayan sa kaluskos ng baka.
Ang mga legal na repormang ito ay maaaring mag-ambag sa isang mas komprehensibo at epektibong balangkas para maiwasan at labanan ang kaluskos ng baka sa Pilipinas. Ang pagtutulungan ng mga mambabatas, ahensyang nagpapatupad ng batas, at mga stakeholder sa sektor ng agrikultura ay mahalaga para sa matagumpay na pagpapatupad ng mga repormang ito.</v>
      </c>
      <c r="F2646" s="2">
        <f t="shared" si="1"/>
        <v>0</v>
      </c>
      <c r="G2646" s="2"/>
      <c r="H2646" s="2"/>
      <c r="I2646" s="2"/>
      <c r="J2646" s="2"/>
      <c r="K2646" s="2"/>
      <c r="L2646" s="2"/>
      <c r="M2646" s="2"/>
      <c r="N2646" s="2"/>
      <c r="O2646" s="2"/>
      <c r="P2646" s="2"/>
      <c r="Q2646" s="2"/>
      <c r="R2646" s="2"/>
      <c r="S2646" s="2"/>
      <c r="T2646" s="2"/>
      <c r="U2646" s="2"/>
      <c r="V2646" s="2"/>
      <c r="W2646" s="2"/>
      <c r="X2646" s="2"/>
      <c r="Y2646" s="2"/>
      <c r="Z2646" s="2"/>
      <c r="AA2646" s="2"/>
    </row>
    <row r="2647">
      <c r="A2647" s="1" t="s">
        <v>6213</v>
      </c>
      <c r="B2647" s="1" t="s">
        <v>6264</v>
      </c>
      <c r="C2647" s="1" t="s">
        <v>6265</v>
      </c>
      <c r="D2647" s="2" t="str">
        <f>IFERROR(__xludf.DUMMYFUNCTION("GOOGLETRANSLATE(B2647, ""en"", ""TL"")"),"Natuklasan ng isang may-ari ng hayop na ang kanilang mga baka ay ninakaw at kinatay para sa karne. Anong mga legal na hakbang ang maaaring gawin upang matugunan ang iligal na pagpatay at matiyak ang kaligtasan ng publiko?")</f>
        <v>Natuklasan ng isang may-ari ng hayop na ang kanilang mga baka ay ninakaw at kinatay para sa karne. Anong mga legal na hakbang ang maaaring gawin upang matugunan ang iligal na pagpatay at matiyak ang kaligtasan ng publiko?</v>
      </c>
      <c r="E2647" s="2" t="str">
        <f>IFERROR(__xludf.DUMMYFUNCTION("GOOGLETRANSLATE(C2647, ""en"", ""TL"")"),"Sa Pilipinas, kung matuklasan ng isang may-ari ng hayop na ang kanilang mga baka ay ninakaw at kinatay para sa karne, may mga legal na hakbang na maaaring gawin upang matugunan ang iligal na pagpatay at matiyak ang kaligtasan ng publiko. Narito ang ilang "&amp;"hakbang na maaaring isaalang-alang:
1. **Mag-ulat sa Pulis:**
- Ang may-ari ng hayop ay dapat na agad na iulat ang pagnanakaw at iligal na pagpatay sa lokal na pulisya. Bigyan sila ng mga detalye tulad ng lokasyon ng insidente, paglalarawan ng mga ninakaw"&amp;" na baka, at anumang iba pang nauugnay na impormasyon.
2. **Paghain ng Reklamo:**
- Maghain ng pormal na reklamo sa pulisya, na nagbibigay ng lahat ng magagamit na ebidensya, tulad ng mga pahayag ng saksi, mga litrato, o anumang dokumentasyong may kaugnay"&amp;"an sa mga ninakaw na baka.
3. **Mga Anti-Cattle Rustling Law:**
- Ang pagnanakaw ng baka ay tinutugunan sa ilalim ng iba't ibang batas, kabilang ang Anti-Cattle Rustling Act of 1974 (Presidential Decree No. 533). Maaaring gamitin ng mga awtoridad ang bata"&amp;"s na ito upang usigin ang mga indibidwal na sangkot sa pagnanakaw ng baka.
4. **Pagtutulungan sa mga Opisyal ng Barangay:**
- Makipagtulungan sa mga opisyal ng barangay upang mangalap ng impormasyon at makipag-ugnayan sa mga pagsisikap. Ang mga opisyal ng"&amp;" barangay ay gumaganap ng mahalagang papel sa mga bagay na may kaugnayan sa komunidad at maaaring tumulong sa paglutas ng mga hindi pagkakaunawaan o pagbibigay ng suporta sa panahon ng mga pagsisiyasat.
5. **Mga Panukala sa Pampublikong Kaligtasan:**
- Ku"&amp;"ng ang mga ninakaw na baka ay kinatay para sa karne, maaaring may mga alalahanin tungkol sa kaligtasan ng publiko, lalo na kung ang karne ay naipamahagi na. Maaaring kailanganin ng mga awtoridad na maglabas ng mga payo o babala sa publiko upang maiwasan a"&amp;"ng pagkonsumo ng karne mula sa hindi kilalang mga mapagkukunan.
6. **Mga Regulasyon sa Kaligtasan ng Pagkain:**
- Kung may mga hinala na ang karne mula sa mga ninakaw na baka ay nakapasok sa lokal na suplay ng pagkain, ang mga nauugnay na ahensya, tulad n"&amp;"g Department of Agriculture o Food and Drug Administration (FDA), ay maaaring kasangkot upang matiyak ang pagsunod sa mga regulasyon sa kaligtasan ng pagkain.
7. **Koordinasyon sa National Meat Inspection Service (NMIS):**
- Makipagtulungan sa NMIS upang "&amp;"imbestigahan ang iligal na pagpatay at tasahin ang kaligtasan ng karne. Ang NMIS ay may pananagutan sa pag-regulate at pag-inspeksyon sa mga establisemento ng karne upang matiyak ang kalidad at kaligtasan ng mga produktong karne.
8. **Legal na Aksyon Laba"&amp;"n sa mga Nagkasala:**
- Ituloy ang legal na aksyon laban sa mga sangkot sa pagnanakaw at ilegal na pagpatay. Maaaring may kinalaman ito sa mga kasong kriminal sa ilalim ng mga nauugnay na batas at paghingi ng kabayaran para sa mga pinsala sa pamamagitan n"&amp;"g mga aksyong sibil.
9. **Mga Kampanya sa Pampublikong Kamalayan:**
- Ang mga awtoridad ay maaaring magsagawa ng mga pampublikong kampanya sa kamalayan upang ipaalam sa komunidad ang tungkol sa insidente at ang mga potensyal na panganib na nauugnay sa pag"&amp;"konsumo ng karne mula sa hindi kilalang mga mapagkukunan.
Napakahalaga na isangkot ang mga ahensyang nagpapatupad ng batas, mga awtoridad sa agrikultura, at iba pang nauugnay na ahensya upang tugunan ang parehong kriminal na aspeto ng pagnanakaw at pagpat"&amp;"ay, pati na rin ang mga potensyal na alalahanin sa kalusugan ng publiko na nauugnay sa pagkonsumo ng karne. Ang konsultasyon sa mga legal na propesyonal at lokal na awtoridad ay pinapayuhan upang matiyak na ang mga legal na hakbang ay isinasagawa alinsuno"&amp;"d sa mga batas ng Pilipinas.")</f>
        <v>Sa Pilipinas, kung matuklasan ng isang may-ari ng hayop na ang kanilang mga baka ay ninakaw at kinatay para sa karne, may mga legal na hakbang na maaaring gawin upang matugunan ang iligal na pagpatay at matiyak ang kaligtasan ng publiko. Narito ang ilang hakbang na maaaring isaalang-alang:
1. **Mag-ulat sa Pulis:**
- Ang may-ari ng hayop ay dapat na agad na iulat ang pagnanakaw at iligal na pagpatay sa lokal na pulisya. Bigyan sila ng mga detalye tulad ng lokasyon ng insidente, paglalarawan ng mga ninakaw na baka, at anumang iba pang nauugnay na impormasyon.
2. **Paghain ng Reklamo:**
- Maghain ng pormal na reklamo sa pulisya, na nagbibigay ng lahat ng magagamit na ebidensya, tulad ng mga pahayag ng saksi, mga litrato, o anumang dokumentasyong may kaugnayan sa mga ninakaw na baka.
3. **Mga Anti-Cattle Rustling Law:**
- Ang pagnanakaw ng baka ay tinutugunan sa ilalim ng iba't ibang batas, kabilang ang Anti-Cattle Rustling Act of 1974 (Presidential Decree No. 533). Maaaring gamitin ng mga awtoridad ang batas na ito upang usigin ang mga indibidwal na sangkot sa pagnanakaw ng baka.
4. **Pagtutulungan sa mga Opisyal ng Barangay:**
- Makipagtulungan sa mga opisyal ng barangay upang mangalap ng impormasyon at makipag-ugnayan sa mga pagsisikap. Ang mga opisyal ng barangay ay gumaganap ng mahalagang papel sa mga bagay na may kaugnayan sa komunidad at maaaring tumulong sa paglutas ng mga hindi pagkakaunawaan o pagbibigay ng suporta sa panahon ng mga pagsisiyasat.
5. **Mga Panukala sa Pampublikong Kaligtasan:**
- Kung ang mga ninakaw na baka ay kinatay para sa karne, maaaring may mga alalahanin tungkol sa kaligtasan ng publiko, lalo na kung ang karne ay naipamahagi na. Maaaring kailanganin ng mga awtoridad na maglabas ng mga payo o babala sa publiko upang maiwasan ang pagkonsumo ng karne mula sa hindi kilalang mga mapagkukunan.
6. **Mga Regulasyon sa Kaligtasan ng Pagkain:**
- Kung may mga hinala na ang karne mula sa mga ninakaw na baka ay nakapasok sa lokal na suplay ng pagkain, ang mga nauugnay na ahensya, tulad ng Department of Agriculture o Food and Drug Administration (FDA), ay maaaring kasangkot upang matiyak ang pagsunod sa mga regulasyon sa kaligtasan ng pagkain.
7. **Koordinasyon sa National Meat Inspection Service (NMIS):**
- Makipagtulungan sa NMIS upang imbestigahan ang iligal na pagpatay at tasahin ang kaligtasan ng karne. Ang NMIS ay may pananagutan sa pag-regulate at pag-inspeksyon sa mga establisemento ng karne upang matiyak ang kalidad at kaligtasan ng mga produktong karne.
8. **Legal na Aksyon Laban sa mga Nagkasala:**
- Ituloy ang legal na aksyon laban sa mga sangkot sa pagnanakaw at ilegal na pagpatay. Maaaring may kinalaman ito sa mga kasong kriminal sa ilalim ng mga nauugnay na batas at paghingi ng kabayaran para sa mga pinsala sa pamamagitan ng mga aksyong sibil.
9. **Mga Kampanya sa Pampublikong Kamalayan:**
- Ang mga awtoridad ay maaaring magsagawa ng mga pampublikong kampanya sa kamalayan upang ipaalam sa komunidad ang tungkol sa insidente at ang mga potensyal na panganib na nauugnay sa pagkonsumo ng karne mula sa hindi kilalang mga mapagkukunan.
Napakahalaga na isangkot ang mga ahensyang nagpapatupad ng batas, mga awtoridad sa agrikultura, at iba pang nauugnay na ahensya upang tugunan ang parehong kriminal na aspeto ng pagnanakaw at pagpatay, pati na rin ang mga potensyal na alalahanin sa kalusugan ng publiko na nauugnay sa pagkonsumo ng karne. Ang konsultasyon sa mga legal na propesyonal at lokal na awtoridad ay pinapayuhan upang matiyak na ang mga legal na hakbang ay isinasagawa alinsunod sa mga batas ng Pilipinas.</v>
      </c>
      <c r="F2647" s="2">
        <f t="shared" si="1"/>
        <v>0</v>
      </c>
      <c r="G2647" s="2"/>
      <c r="H2647" s="2"/>
      <c r="I2647" s="2"/>
      <c r="J2647" s="2"/>
      <c r="K2647" s="2"/>
      <c r="L2647" s="2"/>
      <c r="M2647" s="2"/>
      <c r="N2647" s="2"/>
      <c r="O2647" s="2"/>
      <c r="P2647" s="2"/>
      <c r="Q2647" s="2"/>
      <c r="R2647" s="2"/>
      <c r="S2647" s="2"/>
      <c r="T2647" s="2"/>
      <c r="U2647" s="2"/>
      <c r="V2647" s="2"/>
      <c r="W2647" s="2"/>
      <c r="X2647" s="2"/>
      <c r="Y2647" s="2"/>
      <c r="Z2647" s="2"/>
      <c r="AA2647" s="2"/>
    </row>
    <row r="2648">
      <c r="A2648" s="1" t="s">
        <v>6213</v>
      </c>
      <c r="B2648" s="1" t="s">
        <v>6266</v>
      </c>
      <c r="C2648" s="1" t="s">
        <v>6267</v>
      </c>
      <c r="D2648" s="2" t="str">
        <f>IFERROR(__xludf.DUMMYFUNCTION("GOOGLETRANSLATE(B2648, ""en"", ""TL"")"),"Ang isang indibidwal ay natagpuang nagmamay-ari ng mga ninakaw na baka ngunit sinasabing binili niya ang mga ito nang may mabuting loob. Anong mga legal na aksyon ang maaaring gawin upang siyasatin ang pagiging lehitimo ng claim?")</f>
        <v>Ang isang indibidwal ay natagpuang nagmamay-ari ng mga ninakaw na baka ngunit sinasabing binili niya ang mga ito nang may mabuting loob. Anong mga legal na aksyon ang maaaring gawin upang siyasatin ang pagiging lehitimo ng claim?</v>
      </c>
      <c r="E2648" s="2" t="str">
        <f>IFERROR(__xludf.DUMMYFUNCTION("GOOGLETRANSLATE(C2648, ""en"", ""TL"")"),"Sa Pilipinas, kung ang isang indibidwal ay natagpuang nagmamay-ari ng mga ninakaw na baka ngunit sinasabing binili niya ang mga ito nang may mabuting loob, ang mga legal na aksyon na maaaring gawin upang siyasatin ang pagiging lehitimo ng claim ay maaarin"&amp;"g may kasamang sumusunod:
1. **Pagsisiyasat ng Pulisya:** Ang lokal na pulisya ay maaaring magsagawa ng imbestigasyon sa diumano'y ninakaw na baka. Maaaring kabilang dito ang pangangalap ng ebidensya, pakikipanayam sa mga saksi, at pagsuri sa mga rekord n"&amp;"a may kaugnayan sa ninakaw na ari-arian.
2. **Paghain ng Reklamo:** Ang may-ari ng ninakaw na baka o ang mga awtoridad ay maaaring magsampa ng reklamo sa pulisya, na nagbibigay ng mga detalye tungkol sa pagnanakaw at ang sinasabing may-ari.
3. **Pag-uusig"&amp;" sa ilalim ng Anti-Fencing Law:** Ang Republic Act No. 10863, na kilala rin bilang Customs Modernization and Tariff Act, ay may mga probisyon na nagpaparusa sa eskrima, na kinasasangkutan ng pagkilos ng pagbili at pagbebenta ng ninakaw na ari-arian. Maaar"&amp;"ing gamitin ang batas na ito upang usigin ang mga indibidwal na natagpuang nagmamay-ari ng mga ninakaw na baka.
4. **Civil Action for Recovery of Property:** Ang may-ari ng ninakaw na baka ay maaari ding magsampa ng sibil na aksyon para sa pagbawi ng nina"&amp;"kaw na ari-arian. Ang legal na paraan na ito ay nagpapahintulot sa may-ari na humingi ng pagbabalik ng mga baka at mag-claim ng mga pinsala.
5. **Presumption of Knowledge:** Sa ilalim ng mga batas ng Pilipinas, may pagpapalagay na alam ng taong nagmamay-a"&amp;"ri ng ninakaw na ari-arian na ito ay ninakaw maliban kung mapatunayang iba. Ang pagpapalagay na ito ay maaaring palakasin ang kaso laban sa indibidwal na nag-aangkin na binili ang mga baka sa mabuting loob.
6. **Pagpapatunay ng Transaksyon sa Pagbebenta:*"&amp;"* Maaaring imbestigahan ng mga awtoridad ang dokumentasyon at mga pangyayari na nakapalibot sa pinaghihinalaang transaksyon sa pagbebenta. Maaaring kabilang dito ang pagsuri sa pagiging tunay ng mga dokumento sa pagbebenta, mga resibo, at iba pang nauugna"&amp;"y na mga tala.
7. **Pagtutulungan sa mga Opisyal ng Barangay:** Maaaring kasangkot ang mga lokal na opisyal ng barangay sa pamamagitan ng mga hindi pagkakaunawaan at pagpapadali ng komunikasyon sa pagitan ng mga partido. Maaari rin silang magbigay ng tulo"&amp;"ng sa pangangalap ng impormasyong may kaugnayan sa kaso.
Mahalagang kumunsulta sa mga legal na propesyonal at mga opisyal ng pagpapatupad ng batas upang matiyak na ang imbestigasyon at mga legal na aksyon ay isinasagawa alinsunod sa mga batas at regulasyo"&amp;"n ng Pilipinas. Kung ang taong nag-aangking binili ang mga baka nang may mabuting loob ay makakapagbigay ng lehitimong ebidensya na sumusuporta sa kanilang paghahabol, maaari itong makaapekto sa resulta ng pagsisiyasat at mga kasunod na legal na pagliliti"&amp;"s.")</f>
        <v>Sa Pilipinas, kung ang isang indibidwal ay natagpuang nagmamay-ari ng mga ninakaw na baka ngunit sinasabing binili niya ang mga ito nang may mabuting loob, ang mga legal na aksyon na maaaring gawin upang siyasatin ang pagiging lehitimo ng claim ay maaaring may kasamang sumusunod:
1. **Pagsisiyasat ng Pulisya:** Ang lokal na pulisya ay maaaring magsagawa ng imbestigasyon sa diumano'y ninakaw na baka. Maaaring kabilang dito ang pangangalap ng ebidensya, pakikipanayam sa mga saksi, at pagsuri sa mga rekord na may kaugnayan sa ninakaw na ari-arian.
2. **Paghain ng Reklamo:** Ang may-ari ng ninakaw na baka o ang mga awtoridad ay maaaring magsampa ng reklamo sa pulisya, na nagbibigay ng mga detalye tungkol sa pagnanakaw at ang sinasabing may-ari.
3. **Pag-uusig sa ilalim ng Anti-Fencing Law:** Ang Republic Act No. 10863, na kilala rin bilang Customs Modernization and Tariff Act, ay may mga probisyon na nagpaparusa sa eskrima, na kinasasangkutan ng pagkilos ng pagbili at pagbebenta ng ninakaw na ari-arian. Maaaring gamitin ang batas na ito upang usigin ang mga indibidwal na natagpuang nagmamay-ari ng mga ninakaw na baka.
4. **Civil Action for Recovery of Property:** Ang may-ari ng ninakaw na baka ay maaari ding magsampa ng sibil na aksyon para sa pagbawi ng ninakaw na ari-arian. Ang legal na paraan na ito ay nagpapahintulot sa may-ari na humingi ng pagbabalik ng mga baka at mag-claim ng mga pinsala.
5. **Presumption of Knowledge:** Sa ilalim ng mga batas ng Pilipinas, may pagpapalagay na alam ng taong nagmamay-ari ng ninakaw na ari-arian na ito ay ninakaw maliban kung mapatunayang iba. Ang pagpapalagay na ito ay maaaring palakasin ang kaso laban sa indibidwal na nag-aangkin na binili ang mga baka sa mabuting loob.
6. **Pagpapatunay ng Transaksyon sa Pagbebenta:** Maaaring imbestigahan ng mga awtoridad ang dokumentasyon at mga pangyayari na nakapalibot sa pinaghihinalaang transaksyon sa pagbebenta. Maaaring kabilang dito ang pagsuri sa pagiging tunay ng mga dokumento sa pagbebenta, mga resibo, at iba pang nauugnay na mga tala.
7. **Pagtutulungan sa mga Opisyal ng Barangay:** Maaaring kasangkot ang mga lokal na opisyal ng barangay sa pamamagitan ng mga hindi pagkakaunawaan at pagpapadali ng komunikasyon sa pagitan ng mga partido. Maaari rin silang magbigay ng tulong sa pangangalap ng impormasyong may kaugnayan sa kaso.
Mahalagang kumunsulta sa mga legal na propesyonal at mga opisyal ng pagpapatupad ng batas upang matiyak na ang imbestigasyon at mga legal na aksyon ay isinasagawa alinsunod sa mga batas at regulasyon ng Pilipinas. Kung ang taong nag-aangking binili ang mga baka nang may mabuting loob ay makakapagbigay ng lehitimong ebidensya na sumusuporta sa kanilang paghahabol, maaari itong makaapekto sa resulta ng pagsisiyasat at mga kasunod na legal na paglilitis.</v>
      </c>
      <c r="F2648" s="2">
        <f t="shared" si="1"/>
        <v>0</v>
      </c>
      <c r="G2648" s="2"/>
      <c r="H2648" s="2"/>
      <c r="I2648" s="2"/>
      <c r="J2648" s="2"/>
      <c r="K2648" s="2"/>
      <c r="L2648" s="2"/>
      <c r="M2648" s="2"/>
      <c r="N2648" s="2"/>
      <c r="O2648" s="2"/>
      <c r="P2648" s="2"/>
      <c r="Q2648" s="2"/>
      <c r="R2648" s="2"/>
      <c r="S2648" s="2"/>
      <c r="T2648" s="2"/>
      <c r="U2648" s="2"/>
      <c r="V2648" s="2"/>
      <c r="W2648" s="2"/>
      <c r="X2648" s="2"/>
      <c r="Y2648" s="2"/>
      <c r="Z2648" s="2"/>
      <c r="AA2648" s="2"/>
    </row>
    <row r="2649">
      <c r="A2649" s="1" t="s">
        <v>6268</v>
      </c>
      <c r="B2649" s="1" t="s">
        <v>6269</v>
      </c>
      <c r="C2649" s="1" t="s">
        <v>6270</v>
      </c>
      <c r="D2649" s="2" t="str">
        <f>IFERROR(__xludf.DUMMYFUNCTION("GOOGLETRANSLATE(B2649, ""en"", ""TL"")"),"Isa kang alagad ng batas na nagpapatrolya sa mga rural na lugar na madaling kapitan ng kaluskos ng baka. Anong mga legal na hakbang ang maaaring ipatupad upang mapahusay ang mga pagsisikap sa pag-iwas at protektahan ang mga may-ari ng hayop?")</f>
        <v>Isa kang alagad ng batas na nagpapatrolya sa mga rural na lugar na madaling kapitan ng kaluskos ng baka. Anong mga legal na hakbang ang maaaring ipatupad upang mapahusay ang mga pagsisikap sa pag-iwas at protektahan ang mga may-ari ng hayop?</v>
      </c>
      <c r="E2649" s="2" t="str">
        <f>IFERROR(__xludf.DUMMYFUNCTION("GOOGLETRANSLATE(C2649, ""en"", ""TL"")"),"Bilang isang opisyal ng pagpapatupad ng batas sa Pilipinas na nagpapatrolya sa isang cattle rustling prone area, narito ang ilang legal na hakbang na maaari mong ipatupad upang mapahusay ang pag-iwas at protektahan ang mga may-ari ng hayop:
**Batay sa Bin"&amp;"agong Kodigo Penal (RPC):**
* **Pagtaas ng Presensya ng Pulis:** Ang pagpapatrolya sa mga lugar na may matataas na insidente ng kaluskos ng baka ay humahadlang sa mga potensyal na magnanakaw at pinapataas ang posibilidad na mahuli (Artikulo 150 - Mga Tung"&amp;"kulin ng mga Opisyal ng Pulisya).
* **Pagtitipon ng Impormasyon:** Ang aktibong pangangalap ng intelligence sa pamamagitan ng pakikipag-ugnayan ng komunidad at mga informant network ay maaaring makatulong na matukoy ang mga potensyal na rustlers at mga na"&amp;"kaplanong aktibidad (Artikulo 148 - Awtoridad ng mga Opisyal ng Kapayapaan na Magsagawa ng mga Pagtatanong sa Kaso ng mga Krimen na Nagawa o Malapit nang Magsagawa).
**Pakikipagtulungan sa mga Local Government Units (LGUs) at Communities:**
* **Mga Ordina"&amp;"nsa sa Barangay:** Hikayatin ang paglikha ng mga ordinansa ng barangay na kumokontrol sa paggalaw ng mga hayop sa loob ng lugar. Ang mga ordinansang ito ay maaaring mangailangan ng mga permit para sa pagdadala ng mga hayop at pagkakakilanlan ng mga hayop "&amp;"(Section 179 ng Local Government Code). Ang mga pinuno ng komunidad ay maaari ding italaga bilang mga barangay tanod para tumulong sa pagpapatupad ng batas (Section 387 ng Local Government Code).
* **Rehistrasyon ng Hayop:** Isulong ang pagpaparehistro ng"&amp;" mga hayop sa Bureau of Animal Industry (BAI) sa ilalim ng Department of Agriculture (RA 9053 o ang Meat Inspection Code of the Philippines). Ito ay nagtatatag ng pagmamay-ari at tumutulong sa pagtunton ng mga ninakaw na baka.
* **Mga Programa sa Pagmamas"&amp;"id sa Komunidad:** Mag-organisa ng mga programa sa panonood ng komunidad kung saan nakikipagtulungan ang mga residente sa pagpapatupad ng batas upang mag-ulat ng mga kahina-hinalang aktibidad (RA 9262 o ang The Expanded Anti-Trafficking in Persons Act of "&amp;"2003). **Pagpapatupad ng mga Umiiral na Batas:**
* **Anti-Cattle Rustling Law (RA 8974):** Ang batas na ito ay partikular na nagpaparusa sa kaluskos ng baka na may mas mataas na parusa para sa mga organisadong kriminal na sindikato. Maaari mong ipatupad a"&amp;"ng batas na ito upang mapigilan ang pagnanakaw at panagutin ang mga kriminal.
* **Concerted Efforts Against Illegal Drugs (RA 9165):** Maaaring may koneksyon sa pagitan ng kaluskos ng baka at mga aktibidad ng ilegal na droga. Ang pagpapatupad ng batas na "&amp;"ito ay maaaring makagambala sa mga kriminal na network na ito.
**Tandaan:** * **Palaging sumunod sa wastong mga pamamaraan:** Idokumento ang lahat ng aktibidad, kabilang ang mga patrol, panayam, at pangamba. Mga secure na warrant kung kinakailangan.
* **I"&amp;"galang ang mga karapatan ng mga mamamayan:** Habang pinapanatili ang pagbabantay, iwasan ang paglabag sa mga karapatan ng mga residente sa panahon ng patrol at checkpoints.
* **Ang pakikipag-ugnayan sa komunidad ay susi:** Ang pagbuo ng tiwala at pakikipa"&amp;"gtulungan sa komunidad ay mahalaga para sa pangangalap ng impormasyon at pagtanggap ng suporta para sa mga hakbang sa pag-iwas.
Sa pamamagitan ng pagpapatupad ng mga legal na hakbang na ito at pagtaguyod ng pakikipagtulungan, maaari mong mapigil ang kalus"&amp;"kos ng baka at maprotektahan ang kabuhayan ng mga may-ari ng hayop sa lugar.")</f>
        <v>Bilang isang opisyal ng pagpapatupad ng batas sa Pilipinas na nagpapatrolya sa isang cattle rustling prone area, narito ang ilang legal na hakbang na maaari mong ipatupad upang mapahusay ang pag-iwas at protektahan ang mga may-ari ng hayop:
**Batay sa Binagong Kodigo Penal (RPC):**
* **Pagtaas ng Presensya ng Pulis:** Ang pagpapatrolya sa mga lugar na may matataas na insidente ng kaluskos ng baka ay humahadlang sa mga potensyal na magnanakaw at pinapataas ang posibilidad na mahuli (Artikulo 150 - Mga Tungkulin ng mga Opisyal ng Pulisya).
* **Pagtitipon ng Impormasyon:** Ang aktibong pangangalap ng intelligence sa pamamagitan ng pakikipag-ugnayan ng komunidad at mga informant network ay maaaring makatulong na matukoy ang mga potensyal na rustlers at mga nakaplanong aktibidad (Artikulo 148 - Awtoridad ng mga Opisyal ng Kapayapaan na Magsagawa ng mga Pagtatanong sa Kaso ng mga Krimen na Nagawa o Malapit nang Magsagawa).
**Pakikipagtulungan sa mga Local Government Units (LGUs) at Communities:**
* **Mga Ordinansa sa Barangay:** Hikayatin ang paglikha ng mga ordinansa ng barangay na kumokontrol sa paggalaw ng mga hayop sa loob ng lugar. Ang mga ordinansang ito ay maaaring mangailangan ng mga permit para sa pagdadala ng mga hayop at pagkakakilanlan ng mga hayop (Section 179 ng Local Government Code). Ang mga pinuno ng komunidad ay maaari ding italaga bilang mga barangay tanod para tumulong sa pagpapatupad ng batas (Section 387 ng Local Government Code).
* **Rehistrasyon ng Hayop:** Isulong ang pagpaparehistro ng mga hayop sa Bureau of Animal Industry (BAI) sa ilalim ng Department of Agriculture (RA 9053 o ang Meat Inspection Code of the Philippines). Ito ay nagtatatag ng pagmamay-ari at tumutulong sa pagtunton ng mga ninakaw na baka.
* **Mga Programa sa Pagmamasid sa Komunidad:** Mag-organisa ng mga programa sa panonood ng komunidad kung saan nakikipagtulungan ang mga residente sa pagpapatupad ng batas upang mag-ulat ng mga kahina-hinalang aktibidad (RA 9262 o ang The Expanded Anti-Trafficking in Persons Act of 2003). **Pagpapatupad ng mga Umiiral na Batas:**
* **Anti-Cattle Rustling Law (RA 8974):** Ang batas na ito ay partikular na nagpaparusa sa kaluskos ng baka na may mas mataas na parusa para sa mga organisadong kriminal na sindikato. Maaari mong ipatupad ang batas na ito upang mapigilan ang pagnanakaw at panagutin ang mga kriminal.
* **Concerted Efforts Against Illegal Drugs (RA 9165):** Maaaring may koneksyon sa pagitan ng kaluskos ng baka at mga aktibidad ng ilegal na droga. Ang pagpapatupad ng batas na ito ay maaaring makagambala sa mga kriminal na network na ito.
**Tandaan:** * **Palaging sumunod sa wastong mga pamamaraan:** Idokumento ang lahat ng aktibidad, kabilang ang mga patrol, panayam, at pangamba. Mga secure na warrant kung kinakailangan.
* **Igalang ang mga karapatan ng mga mamamayan:** Habang pinapanatili ang pagbabantay, iwasan ang paglabag sa mga karapatan ng mga residente sa panahon ng patrol at checkpoints.
* **Ang pakikipag-ugnayan sa komunidad ay susi:** Ang pagbuo ng tiwala at pakikipagtulungan sa komunidad ay mahalaga para sa pangangalap ng impormasyon at pagtanggap ng suporta para sa mga hakbang sa pag-iwas.
Sa pamamagitan ng pagpapatupad ng mga legal na hakbang na ito at pagtaguyod ng pakikipagtulungan, maaari mong mapigil ang kaluskos ng baka at maprotektahan ang kabuhayan ng mga may-ari ng hayop sa lugar.</v>
      </c>
      <c r="F2649" s="2">
        <f t="shared" si="1"/>
        <v>0</v>
      </c>
      <c r="G2649" s="2"/>
      <c r="H2649" s="2"/>
      <c r="I2649" s="2"/>
      <c r="J2649" s="2"/>
      <c r="K2649" s="2"/>
      <c r="L2649" s="2"/>
      <c r="M2649" s="2"/>
      <c r="N2649" s="2"/>
      <c r="O2649" s="2"/>
      <c r="P2649" s="2"/>
      <c r="Q2649" s="2"/>
      <c r="R2649" s="2"/>
      <c r="S2649" s="2"/>
      <c r="T2649" s="2"/>
      <c r="U2649" s="2"/>
      <c r="V2649" s="2"/>
      <c r="W2649" s="2"/>
      <c r="X2649" s="2"/>
      <c r="Y2649" s="2"/>
      <c r="Z2649" s="2"/>
      <c r="AA2649" s="2"/>
    </row>
    <row r="2650">
      <c r="A2650" s="1" t="s">
        <v>6268</v>
      </c>
      <c r="B2650" s="1" t="s">
        <v>6271</v>
      </c>
      <c r="C2650" s="1" t="s">
        <v>6272</v>
      </c>
      <c r="D2650" s="2" t="str">
        <f>IFERROR(__xludf.DUMMYFUNCTION("GOOGLETRANSLATE(B2650, ""en"", ""TL"")"),"Paano binibigyang kahulugan ang pang-aabuso sa hayop sa ilalim ng batas ng Pilipinas?")</f>
        <v>Paano binibigyang kahulugan ang pang-aabuso sa hayop sa ilalim ng batas ng Pilipinas?</v>
      </c>
      <c r="E2650" s="2" t="str">
        <f>IFERROR(__xludf.DUMMYFUNCTION("GOOGLETRANSLATE(C2650, ""en"", ""TL"")"),"Ang pang-aabuso sa hayop ay binibigyang-kahulugan sa ilalim ng batas ng Pilipinas, partikular sa Animal Welfare Act (Republic Act 8485), na sinususugan ng Republic Act 10631. Ang batas ay nagbibigay ng komprehensibong kahulugan kung ano ang bumubuo sa pan"&amp;"g-aabuso sa hayop. Ang mga nauugnay na probisyon ay matatagpuan sa Seksyon 6, na nagsasaad ng mga partikular na gawain na itinuturing na mga gawa ng kalupitan sa mga hayop. Kabilang sa mga pangunahing probisyon ang:
1. **Pahirap at Pagpapabaya:**
- Pagpap"&amp;"ahirap sa anumang hayop, o nagdudulot o nagdudulot ng hindi nararapat na pagdurusa sa hayop.
- Pagpapabaya sa pagbibigay ng sapat na pangangalaga, kabuhayan, o tirahan sa mga hayop na nasa ilalim ng pangangalaga ng isang tao.
2. **Mutilation o Pagpatay Na"&amp;"ng Walang Makatuwirang Layunin:**
- Pagputol o pagpatay ng mga hayop nang walang makatwirang layunin.
- Pagpatay ng mga hayop sa paraang hindi pinapayagan ng batas o kaugalian.
3. **Paglahok sa Animal Fighting:**
- Pagpipilit sa mga hayop na lumaban para "&amp;"sa libangan o pakinabang.
- Pag-oorganisa, pagtataguyod, o paglahok sa mga aktibidad sa pakikipaglaban sa mga hayop.
4. **Pag-abandona sa mga Alagang Hayop:**
- Pag-abandona sa mga alagang hayop, sa gayon ay inilalantad ang mga ito sa panganib.
5. **Pagda"&amp;"la ng mga Hayop sa malupit na paraan:**
- Ang pagdadala ng mga hayop sa paraang magdudulot sa kanila ng hindi kinakailangang pagdurusa o kakulangan sa ginhawa.
6. **Pagkabigong Kumilos:**
- Pagkabigong kumilos upang pigilan ang paghihirap ng mga hayop kap"&amp;"ag nasa loob ng kontrol ng isang tao na gawin ito.
7. **Pagkukulong sa mga Hayop sa Paraang Naghihigpit sa Paggalaw:**
- Pagkukulong sa mga hayop sa isang paraan na naghihigpit sa kanilang paggalaw upang magdulot sa kanila ng hindi kinakailangang pagdurus"&amp;"a.
Ang batas ay nagbibigay-diin sa makataong pagtrato sa mga hayop at nagpapataw ng mga parusa para sa mga indibidwal na napatunayang nagkasala sa paggawa ng mga gawa ng kalupitan. Kasama sa mga parusa ang pagkakulong at mga multa, ang kalubhaan nito ay d"&amp;"epende sa mga salik gaya ng uri ng pagkakasala at pagkakaroon ng mga nagpapalubha na pangyayari.
Mahalagang direktang sumangguni sa mga partikular na probisyon ng Animal Welfare Act para sa pinakatumpak at napapanahong impormasyon, dahil ang mga legal na "&amp;"kahulugan ay maaaring sumailalim sa mga pagbabago o pagbabago. Bukod pa rito, ang mga legal na interpretasyon ay maaaring umunlad sa paglipas ng panahon sa pamamagitan ng mga desisyon ng korte at mga legal na update.")</f>
        <v>Ang pang-aabuso sa hayop ay binibigyang-kahulugan sa ilalim ng batas ng Pilipinas, partikular sa Animal Welfare Act (Republic Act 8485), na sinususugan ng Republic Act 10631. Ang batas ay nagbibigay ng komprehensibong kahulugan kung ano ang bumubuo sa pang-aabuso sa hayop. Ang mga nauugnay na probisyon ay matatagpuan sa Seksyon 6, na nagsasaad ng mga partikular na gawain na itinuturing na mga gawa ng kalupitan sa mga hayop. Kabilang sa mga pangunahing probisyon ang:
1. **Pahirap at Pagpapabaya:**
- Pagpapahirap sa anumang hayop, o nagdudulot o nagdudulot ng hindi nararapat na pagdurusa sa hayop.
- Pagpapabaya sa pagbibigay ng sapat na pangangalaga, kabuhayan, o tirahan sa mga hayop na nasa ilalim ng pangangalaga ng isang tao.
2. **Mutilation o Pagpatay Nang Walang Makatuwirang Layunin:**
- Pagputol o pagpatay ng mga hayop nang walang makatwirang layunin.
- Pagpatay ng mga hayop sa paraang hindi pinapayagan ng batas o kaugalian.
3. **Paglahok sa Animal Fighting:**
- Pagpipilit sa mga hayop na lumaban para sa libangan o pakinabang.
- Pag-oorganisa, pagtataguyod, o paglahok sa mga aktibidad sa pakikipaglaban sa mga hayop.
4. **Pag-abandona sa mga Alagang Hayop:**
- Pag-abandona sa mga alagang hayop, sa gayon ay inilalantad ang mga ito sa panganib.
5. **Pagdala ng mga Hayop sa malupit na paraan:**
- Ang pagdadala ng mga hayop sa paraang magdudulot sa kanila ng hindi kinakailangang pagdurusa o kakulangan sa ginhawa.
6. **Pagkabigong Kumilos:**
- Pagkabigong kumilos upang pigilan ang paghihirap ng mga hayop kapag nasa loob ng kontrol ng isang tao na gawin ito.
7. **Pagkukulong sa mga Hayop sa Paraang Naghihigpit sa Paggalaw:**
- Pagkukulong sa mga hayop sa isang paraan na naghihigpit sa kanilang paggalaw upang magdulot sa kanila ng hindi kinakailangang pagdurusa.
Ang batas ay nagbibigay-diin sa makataong pagtrato sa mga hayop at nagpapataw ng mga parusa para sa mga indibidwal na napatunayang nagkasala sa paggawa ng mga gawa ng kalupitan. Kasama sa mga parusa ang pagkakulong at mga multa, ang kalubhaan nito ay depende sa mga salik gaya ng uri ng pagkakasala at pagkakaroon ng mga nagpapalubha na pangyayari.
Mahalagang direktang sumangguni sa mga partikular na probisyon ng Animal Welfare Act para sa pinakatumpak at napapanahong impormasyon, dahil ang mga legal na kahulugan ay maaaring sumailalim sa mga pagbabago o pagbabago. Bukod pa rito, ang mga legal na interpretasyon ay maaaring umunlad sa paglipas ng panahon sa pamamagitan ng mga desisyon ng korte at mga legal na update.</v>
      </c>
      <c r="F2650" s="2">
        <f t="shared" si="1"/>
        <v>0</v>
      </c>
      <c r="G2650" s="2"/>
      <c r="H2650" s="2"/>
      <c r="I2650" s="2"/>
      <c r="J2650" s="2"/>
      <c r="K2650" s="2"/>
      <c r="L2650" s="2"/>
      <c r="M2650" s="2"/>
      <c r="N2650" s="2"/>
      <c r="O2650" s="2"/>
      <c r="P2650" s="2"/>
      <c r="Q2650" s="2"/>
      <c r="R2650" s="2"/>
      <c r="S2650" s="2"/>
      <c r="T2650" s="2"/>
      <c r="U2650" s="2"/>
      <c r="V2650" s="2"/>
      <c r="W2650" s="2"/>
      <c r="X2650" s="2"/>
      <c r="Y2650" s="2"/>
      <c r="Z2650" s="2"/>
      <c r="AA2650" s="2"/>
    </row>
    <row r="2651">
      <c r="A2651" s="1" t="s">
        <v>6268</v>
      </c>
      <c r="B2651" s="1" t="s">
        <v>6273</v>
      </c>
      <c r="C2651" s="1" t="s">
        <v>6274</v>
      </c>
      <c r="D2651" s="2" t="str">
        <f>IFERROR(__xludf.DUMMYFUNCTION("GOOGLETRANSLATE(B2651, ""en"", ""TL"")"),"Anong mga legal na hakbang ang inilalagay upang maiwasan at labanan ang pang-aabuso sa hayop?")</f>
        <v>Anong mga legal na hakbang ang inilalagay upang maiwasan at labanan ang pang-aabuso sa hayop?</v>
      </c>
      <c r="E2651" s="2" t="str">
        <f>IFERROR(__xludf.DUMMYFUNCTION("GOOGLETRANSLATE(C2651, ""en"", ""TL"")"),"Sa Pilipinas, maraming mga legal na hakbang ang inilalagay upang maiwasan at labanan ang pang-aabuso sa hayop. Ang pangunahing balangkas ng pambatasan na tumutugon sa kapakanan ng hayop ay ang Animal Welfare Act (Republic Act 8485), na sinususugan ng Repu"&amp;"blic Act 10631. Narito ang ilan sa mga legal na hakbang na naglalayong pigilan at labanan ang pang-aabuso sa hayop:
1. **Animal Welfare Act (RA 8485, na sinususugan ng RA 10631):**
- Ang pangunahing batas na tumutugon sa kapakanan ng hayop sa Pilipinas, n"&amp;"a nagbibigay-diin sa makataong pagtrato sa lahat ng hayop.
- Ipinagbabawal ang mga gawa ng kalupitan, pagpapabaya, pag-abandona, at pang-aabuso sa mga hayop.
- Nagtatakda ng mga pamantayan para sa pangangalaga, paggamot, at pabahay ng mga hayop.
- Nagtata"&amp;"tag ng mga parusa para sa mga paglabag, kabilang ang mga multa at pagkakulong.
2. **Mga Regulasyon ng Bureau of Animal Industry (BAI):**
- Ang BAI, sa ilalim ng Kagawaran ng Agrikultura, ay naglalabas ng mga regulasyon at alituntunin na may kaugnayan sa k"&amp;"apakanan ng mga hayop sa bukid.
- Kinokontrol ang transportasyon, paghawak, at pagpatay ng mga hayop.
3. **Wildlife Resources Conservation and Protection Act (RA 9147):**
- Tinutugunan ang pag-iingat at proteksyon ng wildlife, na nagbabawal sa pangangaso,"&amp;" pangangalakal, at pag-aari ng mga nanganganib at nanganganib na mga species nang walang wastong pahintulot.
- Nagpapataw ng mga parusa para sa mga paglabag, kabilang ang mga multa at pagkakulong.
4. **Mga Ordenansa ng Lokal na Pamahalaan:**
- Ang ilang m"&amp;"ga local government units (LGUs) ay maaaring magkaroon ng mga ordinansa na umakma sa mga pambansang batas sa kapakanan ng hayop.
- Maaaring tugunan ng mga LGU ang mga partikular na alalahanin sa kanilang mga lugar, tulad ng regulasyon ng pagmamay-ari ng a"&amp;"lagang hayop, pagpigil sa ligaw na hayop, at iba pang mga isyu na nauugnay sa hayop.
5. **Philippine National Police (PNP) at National Bureau of Investigation (NBI) Enforcement:**
- Ang mga ahensyang nagpapatupad ng batas ay may mahalagang papel sa pagsis"&amp;"iyasat at pag-uusig ng mga kaso na may kaugnayan sa pang-aabuso sa hayop.
- Ang pakikipagtulungan sa ibang mga ahensya ng gobyerno at mga organisasyong pangkalusugan ng hayop ay karaniwan upang mapahusay ang mga pagsisikap sa pagpapatupad.
6. **Pagtutulun"&amp;"gan sa Animal Welfare Organizations:**
- Ang mga organisasyong pangkalusugan ng hayop ay aktibong nag-aambag sa pag-iwas at paglaban sa pang-aabuso sa hayop.
- Nagtatrabaho sila upang itaas ang kamalayan, magbigay ng edukasyon, iligtas ang mga hayop sa pa"&amp;"gkabalisa, at makipagtulungan sa mga awtoridad sa pag-uulat at pagtugon sa mga kaso ng pang-aabuso.
7. **Pampublikong Kamalayan at Edukasyon:**
- Ang mga ahensya ng gobyerno at mga organisasyon ng kapakanan ng hayop ay nagsasagawa ng mga kampanya ng kamal"&amp;"ayan sa publiko upang turuan ang publiko tungkol sa responsableng pagmamay-ari ng alagang hayop, ang mga kahihinatnan ng pang-aabuso sa hayop, at ang kahalagahan ng kapakanan ng hayop.
8. **Mga Mekanismo ng Pag-uulat:**
- Ang mga hotline at mekanismo ng p"&amp;"ag-uulat ay itinatag para sa mga indibidwal na mag-ulat ng mga kaso ng pang-aabuso o kalupitan sa hayop.
- Ang mga awtoridad, kabilang ang pulisya at mga organisasyon ng kapakanan ng hayop, ay tumugon sa mga ulat at gumawa ng naaangkop na mga aksyon.
9. *"&amp;"*International Collaboration:**
- Nakikipagtulungan ang Pilipinas sa mga internasyonal na organisasyon, tulad ng Convention on International Trade in Endangered Species of Wild Fauna and Flora (CITES), upang tugunan ang mga isyung may kinalaman sa illegal"&amp;" wildlife trade.
Mahalagang tandaan na ang legal na tanawin ay maaaring mag-evolve, at ang mga bagong batas o pag-amyenda sa mga kasalukuyang batas ay maaaring mangyari. Ang mga indibidwal at organisasyong nagtatrabaho sa kapakanan ng hayop ay dapat manat"&amp;"iling may kaalaman tungkol sa mga pinakabagong legal na pag-unlad at magtulungan upang matiyak ang epektibong pagpapatupad at pagpapatupad ng mga hakbang na ito.")</f>
        <v>Sa Pilipinas, maraming mga legal na hakbang ang inilalagay upang maiwasan at labanan ang pang-aabuso sa hayop. Ang pangunahing balangkas ng pambatasan na tumutugon sa kapakanan ng hayop ay ang Animal Welfare Act (Republic Act 8485), na sinususugan ng Republic Act 10631. Narito ang ilan sa mga legal na hakbang na naglalayong pigilan at labanan ang pang-aabuso sa hayop:
1. **Animal Welfare Act (RA 8485, na sinususugan ng RA 10631):**
- Ang pangunahing batas na tumutugon sa kapakanan ng hayop sa Pilipinas, na nagbibigay-diin sa makataong pagtrato sa lahat ng hayop.
- Ipinagbabawal ang mga gawa ng kalupitan, pagpapabaya, pag-abandona, at pang-aabuso sa mga hayop.
- Nagtatakda ng mga pamantayan para sa pangangalaga, paggamot, at pabahay ng mga hayop.
- Nagtatatag ng mga parusa para sa mga paglabag, kabilang ang mga multa at pagkakulong.
2. **Mga Regulasyon ng Bureau of Animal Industry (BAI):**
- Ang BAI, sa ilalim ng Kagawaran ng Agrikultura, ay naglalabas ng mga regulasyon at alituntunin na may kaugnayan sa kapakanan ng mga hayop sa bukid.
- Kinokontrol ang transportasyon, paghawak, at pagpatay ng mga hayop.
3. **Wildlife Resources Conservation and Protection Act (RA 9147):**
- Tinutugunan ang pag-iingat at proteksyon ng wildlife, na nagbabawal sa pangangaso, pangangalakal, at pag-aari ng mga nanganganib at nanganganib na mga species nang walang wastong pahintulot.
- Nagpapataw ng mga parusa para sa mga paglabag, kabilang ang mga multa at pagkakulong.
4. **Mga Ordenansa ng Lokal na Pamahalaan:**
- Ang ilang mga local government units (LGUs) ay maaaring magkaroon ng mga ordinansa na umakma sa mga pambansang batas sa kapakanan ng hayop.
- Maaaring tugunan ng mga LGU ang mga partikular na alalahanin sa kanilang mga lugar, tulad ng regulasyon ng pagmamay-ari ng alagang hayop, pagpigil sa ligaw na hayop, at iba pang mga isyu na nauugnay sa hayop.
5. **Philippine National Police (PNP) at National Bureau of Investigation (NBI) Enforcement:**
- Ang mga ahensyang nagpapatupad ng batas ay may mahalagang papel sa pagsisiyasat at pag-uusig ng mga kaso na may kaugnayan sa pang-aabuso sa hayop.
- Ang pakikipagtulungan sa ibang mga ahensya ng gobyerno at mga organisasyong pangkalusugan ng hayop ay karaniwan upang mapahusay ang mga pagsisikap sa pagpapatupad.
6. **Pagtutulungan sa Animal Welfare Organizations:**
- Ang mga organisasyong pangkalusugan ng hayop ay aktibong nag-aambag sa pag-iwas at paglaban sa pang-aabuso sa hayop.
- Nagtatrabaho sila upang itaas ang kamalayan, magbigay ng edukasyon, iligtas ang mga hayop sa pagkabalisa, at makipagtulungan sa mga awtoridad sa pag-uulat at pagtugon sa mga kaso ng pang-aabuso.
7. **Pampublikong Kamalayan at Edukasyon:**
- Ang mga ahensya ng gobyerno at mga organisasyon ng kapakanan ng hayop ay nagsasagawa ng mga kampanya ng kamalayan sa publiko upang turuan ang publiko tungkol sa responsableng pagmamay-ari ng alagang hayop, ang mga kahihinatnan ng pang-aabuso sa hayop, at ang kahalagahan ng kapakanan ng hayop.
8. **Mga Mekanismo ng Pag-uulat:**
- Ang mga hotline at mekanismo ng pag-uulat ay itinatag para sa mga indibidwal na mag-ulat ng mga kaso ng pang-aabuso o kalupitan sa hayop.
- Ang mga awtoridad, kabilang ang pulisya at mga organisasyon ng kapakanan ng hayop, ay tumugon sa mga ulat at gumawa ng naaangkop na mga aksyon.
9. **International Collaboration:**
- Nakikipagtulungan ang Pilipinas sa mga internasyonal na organisasyon, tulad ng Convention on International Trade in Endangered Species of Wild Fauna and Flora (CITES), upang tugunan ang mga isyung may kinalaman sa illegal wildlife trade.
Mahalagang tandaan na ang legal na tanawin ay maaaring mag-evolve, at ang mga bagong batas o pag-amyenda sa mga kasalukuyang batas ay maaaring mangyari. Ang mga indibidwal at organisasyong nagtatrabaho sa kapakanan ng hayop ay dapat manatiling may kaalaman tungkol sa mga pinakabagong legal na pag-unlad at magtulungan upang matiyak ang epektibong pagpapatupad at pagpapatupad ng mga hakbang na ito.</v>
      </c>
      <c r="F2651" s="2">
        <f t="shared" si="1"/>
        <v>0</v>
      </c>
      <c r="G2651" s="2"/>
      <c r="H2651" s="2"/>
      <c r="I2651" s="2"/>
      <c r="J2651" s="2"/>
      <c r="K2651" s="2"/>
      <c r="L2651" s="2"/>
      <c r="M2651" s="2"/>
      <c r="N2651" s="2"/>
      <c r="O2651" s="2"/>
      <c r="P2651" s="2"/>
      <c r="Q2651" s="2"/>
      <c r="R2651" s="2"/>
      <c r="S2651" s="2"/>
      <c r="T2651" s="2"/>
      <c r="U2651" s="2"/>
      <c r="V2651" s="2"/>
      <c r="W2651" s="2"/>
      <c r="X2651" s="2"/>
      <c r="Y2651" s="2"/>
      <c r="Z2651" s="2"/>
      <c r="AA2651" s="2"/>
    </row>
    <row r="2652">
      <c r="A2652" s="1" t="s">
        <v>6268</v>
      </c>
      <c r="B2652" s="1" t="s">
        <v>6275</v>
      </c>
      <c r="C2652" s="1" t="s">
        <v>6276</v>
      </c>
      <c r="D2652" s="2" t="str">
        <f>IFERROR(__xludf.DUMMYFUNCTION("GOOGLETRANSLATE(B2652, ""en"", ""TL"")"),"Paano tinutugunan ng batas ang kalupitan, pagpapabaya, o pag-abandona sa mga hayop?")</f>
        <v>Paano tinutugunan ng batas ang kalupitan, pagpapabaya, o pag-abandona sa mga hayop?</v>
      </c>
      <c r="E2652" s="2" t="str">
        <f>IFERROR(__xludf.DUMMYFUNCTION("GOOGLETRANSLATE(C2652, ""en"", ""TL"")"),"Ang Animal Welfare Act (Republic Act 8485), na sinususugan ng Republic Act 10631, ay tumutugon sa kalupitan, pagpapabaya, o pag-abandona sa mga hayop sa Pilipinas. Ang batas ay nagbibigay ng mga partikular na probisyon upang maiwasan at maparusahan ang mg"&amp;"a gawaing nagdudulot ng pinsala sa mga hayop. Narito kung paano tinutugunan ng batas ang mga isyung ito:
1. **Kalupitan sa mga Hayop (Seksyon 6 ng RA 8485, na sinususugan ng RA 10631):**
- Ipinagbabawal ng batas ang mga sumusunod na kalupitan sa mga hayop"&amp;":
- Pagpapahirap sa mga hayop
- Nagdulot ng hindi kinakailangang sakit o pagdurusa
- Pinutol ang mga hayop nang walang anumang magandang dahilan
- Pagpatay ng mga hayop sa paraang hindi pinapayagan ng batas o kaugalian
- Ang mga indibidwal na napatunayang"&amp;" nagkasala sa paggawa ng kalupitan sa mga hayop ay maaaring maharap sa mga parusa, kabilang ang pagkakulong at mga multa.
2. **Mga Parusa para sa Kalupitan:**
- Ang mga indibidwal na napatunayang nagkasala ng kalupitan sa mga hayop ay maaaring makulong sa"&amp;" loob ng panahon mula anim (6) na buwan hanggang dalawang (2) taon.
- Ang hukuman ay maaari ding magpataw ng multa mula P1,000 hanggang P5,000, o pareho, depende sa pagpapasya ng korte.
3. **Nagpapalubha ng mga pangyayari:**
- Kung ang hukuman ay nakakita"&amp;" ng mga nagpapalubha na pangyayari, tulad ng paggamit ng malupit na pamamaraan o mga sangkap, ang mga parusa ay maaaring mas mabigat.
- Pinahihintulutan ng batas ang mas mataas na parusa, kabilang ang pagkakulong ng hanggang apat (4) na taon at multa ng h"&amp;"anggang P300,000, kapag may mga nagpapalubha na pangyayari.
4. **Pagpapabaya sa mga Hayop (Seksyon 7 ng RA 8485, na sinususugan ng RA 10631):**
- Ipinagbabawal ng batas ang pagpapabaya sa mga hayop ng kanilang mga may-ari o tagapag-alaga. Kasama sa kapaba"&amp;"yaan ang hindi pagbibigay ng sapat na pangangalaga, kabuhayan, o tirahan sa mga hayop na nasa ilalim ng pangangalaga ng isang tao.
- Ang pagpapabaya sa mga hayop ay maaaring humantong sa mga parusa, at ang hukuman ay maaaring mag-utos ng pagkumpiska o pag"&amp;"-agaw sa mga napabayaang hayop.
5. **Pag-abandona sa mga Alagang Hayop (Seksyon 7 ng RA 8485, na sinususugan ng RA 10631):**
- Tahasang ipinagbabawal ng batas ang pag-abandona ng mga alagang hayop ng mga may-ari nito. Ang pag-abandona ay itinuturing na is"&amp;"ang uri ng pagpapabaya.
- Ang mga indibidwal na nag-iwan ng kanilang mga alagang hayop ay maaaring maharap sa mga parusa, at ang hukuman ay maaaring mag-utos na kumpiskahin o kunin ang mga inabandunang hayop.
6. **Pag-agaw at Pag-alis ng mga Hayop:**
- Sa"&amp;" mga kaso ng kalupitan, kapabayaan, o pag-abandona, maaaring iutos ng hukuman ang pag-agaw at pag-alis ng mga hayop na sangkot sa paggawa ng pagkakasala.
- Ang disposisyon ng mga hayop ay isasagawa sa paraang naaayon sa kanilang kapakanan.
Napakahalaga na"&amp;" manatiling updated sa anumang mga pagbabago o pag-amyenda sa mga kasalukuyang batas, dahil maaaring umunlad ang legal na tanawin. Palaging sumangguni sa mga pinakabagong legal na mapagkukunan o kumunsulta sa mga legal na propesyonal para sa pinakabagong "&amp;"impormasyon sa kung paano tinutugunan ng batas ang kalupitan, pagpapabaya, o pag-abandona sa mga hayop sa Pilipinas.")</f>
        <v>Ang Animal Welfare Act (Republic Act 8485), na sinususugan ng Republic Act 10631, ay tumutugon sa kalupitan, pagpapabaya, o pag-abandona sa mga hayop sa Pilipinas. Ang batas ay nagbibigay ng mga partikular na probisyon upang maiwasan at maparusahan ang mga gawaing nagdudulot ng pinsala sa mga hayop. Narito kung paano tinutugunan ng batas ang mga isyung ito:
1. **Kalupitan sa mga Hayop (Seksyon 6 ng RA 8485, na sinususugan ng RA 10631):**
- Ipinagbabawal ng batas ang mga sumusunod na kalupitan sa mga hayop:
- Pagpapahirap sa mga hayop
- Nagdulot ng hindi kinakailangang sakit o pagdurusa
- Pinutol ang mga hayop nang walang anumang magandang dahilan
- Pagpatay ng mga hayop sa paraang hindi pinapayagan ng batas o kaugalian
- Ang mga indibidwal na napatunayang nagkasala sa paggawa ng kalupitan sa mga hayop ay maaaring maharap sa mga parusa, kabilang ang pagkakulong at mga multa.
2. **Mga Parusa para sa Kalupitan:**
- Ang mga indibidwal na napatunayang nagkasala ng kalupitan sa mga hayop ay maaaring makulong sa loob ng panahon mula anim (6) na buwan hanggang dalawang (2) taon.
- Ang hukuman ay maaari ding magpataw ng multa mula P1,000 hanggang P5,000, o pareho, depende sa pagpapasya ng korte.
3. **Nagpapalubha ng mga pangyayari:**
- Kung ang hukuman ay nakakita ng mga nagpapalubha na pangyayari, tulad ng paggamit ng malupit na pamamaraan o mga sangkap, ang mga parusa ay maaaring mas mabigat.
- Pinahihintulutan ng batas ang mas mataas na parusa, kabilang ang pagkakulong ng hanggang apat (4) na taon at multa ng hanggang P300,000, kapag may mga nagpapalubha na pangyayari.
4. **Pagpapabaya sa mga Hayop (Seksyon 7 ng RA 8485, na sinususugan ng RA 10631):**
- Ipinagbabawal ng batas ang pagpapabaya sa mga hayop ng kanilang mga may-ari o tagapag-alaga. Kasama sa kapabayaan ang hindi pagbibigay ng sapat na pangangalaga, kabuhayan, o tirahan sa mga hayop na nasa ilalim ng pangangalaga ng isang tao.
- Ang pagpapabaya sa mga hayop ay maaaring humantong sa mga parusa, at ang hukuman ay maaaring mag-utos ng pagkumpiska o pag-agaw sa mga napabayaang hayop.
5. **Pag-abandona sa mga Alagang Hayop (Seksyon 7 ng RA 8485, na sinususugan ng RA 10631):**
- Tahasang ipinagbabawal ng batas ang pag-abandona ng mga alagang hayop ng mga may-ari nito. Ang pag-abandona ay itinuturing na isang uri ng pagpapabaya.
- Ang mga indibidwal na nag-iwan ng kanilang mga alagang hayop ay maaaring maharap sa mga parusa, at ang hukuman ay maaaring mag-utos na kumpiskahin o kunin ang mga inabandunang hayop.
6. **Pag-agaw at Pag-alis ng mga Hayop:**
- Sa mga kaso ng kalupitan, kapabayaan, o pag-abandona, maaaring iutos ng hukuman ang pag-agaw at pag-alis ng mga hayop na sangkot sa paggawa ng pagkakasala.
- Ang disposisyon ng mga hayop ay isasagawa sa paraang naaayon sa kanilang kapakanan.
Napakahalaga na manatiling updated sa anumang mga pagbabago o pag-amyenda sa mga kasalukuyang batas, dahil maaaring umunlad ang legal na tanawin. Palaging sumangguni sa mga pinakabagong legal na mapagkukunan o kumunsulta sa mga legal na propesyonal para sa pinakabagong impormasyon sa kung paano tinutugunan ng batas ang kalupitan, pagpapabaya, o pag-abandona sa mga hayop sa Pilipinas.</v>
      </c>
      <c r="F2652" s="2">
        <f t="shared" si="1"/>
        <v>0</v>
      </c>
      <c r="G2652" s="2"/>
      <c r="H2652" s="2"/>
      <c r="I2652" s="2"/>
      <c r="J2652" s="2"/>
      <c r="K2652" s="2"/>
      <c r="L2652" s="2"/>
      <c r="M2652" s="2"/>
      <c r="N2652" s="2"/>
      <c r="O2652" s="2"/>
      <c r="P2652" s="2"/>
      <c r="Q2652" s="2"/>
      <c r="R2652" s="2"/>
      <c r="S2652" s="2"/>
      <c r="T2652" s="2"/>
      <c r="U2652" s="2"/>
      <c r="V2652" s="2"/>
      <c r="W2652" s="2"/>
      <c r="X2652" s="2"/>
      <c r="Y2652" s="2"/>
      <c r="Z2652" s="2"/>
      <c r="AA2652" s="2"/>
    </row>
    <row r="2653">
      <c r="A2653" s="1" t="s">
        <v>6268</v>
      </c>
      <c r="B2653" s="1" t="s">
        <v>6277</v>
      </c>
      <c r="C2653" s="1" t="s">
        <v>6278</v>
      </c>
      <c r="D2653" s="2" t="str">
        <f>IFERROR(__xludf.DUMMYFUNCTION("GOOGLETRANSLATE(B2653, ""en"", ""TL"")"),"Anong mga parusa ang naaangkop sa mga indibidwal na nahatulan ng pagsali sa mga aktibidad sa pang-aabuso sa hayop?")</f>
        <v>Anong mga parusa ang naaangkop sa mga indibidwal na nahatulan ng pagsali sa mga aktibidad sa pang-aabuso sa hayop?</v>
      </c>
      <c r="E2653" s="2" t="str">
        <f>IFERROR(__xludf.DUMMYFUNCTION("GOOGLETRANSLATE(C2653, ""en"", ""TL"")"),"Ang mga indibidwal na nahatulan ng pagsali sa mga aktibidad sa pang-aabuso sa hayop sa Pilipinas ay maaaring maharap sa mga parusa na nakabalangkas sa Animal Welfare Act (RA 8485, na sinususugan ng RA 10631). Ang kalubhaan ng mga parusa ay nakasalalay sa "&amp;"tiyak na katangian at bigat ng pagkakasala. Sa aking huling pag-update ng kaalaman noong Enero 2022, narito ang mga pangkalahatang parusa na tinukoy ng batas:
1. **Seksyon 6 ng Animal Welfare Act:**
- Ang seksyong ito ng batas ay nagbabalangkas ng iba't i"&amp;"bang mga kilos na itinuturing na mga paglabag sa kalupitan sa hayop. Kasama sa mga gawaing ito ngunit hindi limitado sa:
- Pagpapahirap o sanhi ng hindi makatarungang pagdurusa ng mga hayop
- Pagdudulot ng pinsala sa mga hayop nang walang katwiran
- Pag-i"&amp;"wan ng alagang hayop
- Pagkabigong magbigay ng sapat na pangangalaga at atensyon sa mga hayop
- Maaaring kabilang sa mga parusa sa mga paglabag ang pagkakulong at mga multa.
2. **Mga Parusa para sa Animal Cruelty:**
- Ang mga indibidwal na nahatulan ng ka"&amp;"lupitan sa hayop ay maaaring makulong mula anim (6) na buwan hanggang dalawang (2) taon.
- Ang hukuman ay maaaring magpataw ng multa mula P1,000 hanggang P5,000, o pareho, sa pagpapasya ng korte.
3. **Nagpapalubha ng mga pangyayari:**
- Sa mga kaso kung s"&amp;"aan naroroon ang nagpapalubha na mga pangyayari, tulad ng paggamit ng mga malupit na pamamaraan o sangkap, maaaring magpataw ang hukuman ng mas mataas na parusa.
- Ang mga masasamang pangyayari ay maaaring mauwi sa pagkakulong ng hanggang apat (4) na taon"&amp;" at multang hanggang P300,000.
4. **Pag-agaw at Pag-alis ng mga Hayop:**
- Ang mga nahatulang indibidwal ay maaari ring harapin ang pag-agaw at pag-alis ng mga hayop na napatunayang sangkot sa paggawa ng pagkakasala.
- Maaaring iutos ng korte ang disposis"&amp;"yon ng mga hayop sa paraang naaayon sa kanilang kapakanan.
Mahalagang tandaan na maaaring mag-evolve ang legal na landscape, at maaaring magkaroon ng mga pagbabago o pag-amyenda sa mga kasalukuyang batas mula noong huli kong pag-update noong Enero 2022. P"&amp;"alaging sumangguni sa mga pinakabagong legal na pinagmumulan o kumunsulta sa mga legal na propesyonal para sa pinakabagong impormasyon sa mga parusa para sa pang-aabuso sa hayop mga aktibidad sa Pilipinas.")</f>
        <v>Ang mga indibidwal na nahatulan ng pagsali sa mga aktibidad sa pang-aabuso sa hayop sa Pilipinas ay maaaring maharap sa mga parusa na nakabalangkas sa Animal Welfare Act (RA 8485, na sinususugan ng RA 10631). Ang kalubhaan ng mga parusa ay nakasalalay sa tiyak na katangian at bigat ng pagkakasala. Sa aking huling pag-update ng kaalaman noong Enero 2022, narito ang mga pangkalahatang parusa na tinukoy ng batas:
1. **Seksyon 6 ng Animal Welfare Act:**
- Ang seksyong ito ng batas ay nagbabalangkas ng iba't ibang mga kilos na itinuturing na mga paglabag sa kalupitan sa hayop. Kasama sa mga gawaing ito ngunit hindi limitado sa:
- Pagpapahirap o sanhi ng hindi makatarungang pagdurusa ng mga hayop
- Pagdudulot ng pinsala sa mga hayop nang walang katwiran
- Pag-iwan ng alagang hayop
- Pagkabigong magbigay ng sapat na pangangalaga at atensyon sa mga hayop
- Maaaring kabilang sa mga parusa sa mga paglabag ang pagkakulong at mga multa.
2. **Mga Parusa para sa Animal Cruelty:**
- Ang mga indibidwal na nahatulan ng kalupitan sa hayop ay maaaring makulong mula anim (6) na buwan hanggang dalawang (2) taon.
- Ang hukuman ay maaaring magpataw ng multa mula P1,000 hanggang P5,000, o pareho, sa pagpapasya ng korte.
3. **Nagpapalubha ng mga pangyayari:**
- Sa mga kaso kung saan naroroon ang nagpapalubha na mga pangyayari, tulad ng paggamit ng mga malupit na pamamaraan o sangkap, maaaring magpataw ang hukuman ng mas mataas na parusa.
- Ang mga masasamang pangyayari ay maaaring mauwi sa pagkakulong ng hanggang apat (4) na taon at multang hanggang P300,000.
4. **Pag-agaw at Pag-alis ng mga Hayop:**
- Ang mga nahatulang indibidwal ay maaari ring harapin ang pag-agaw at pag-alis ng mga hayop na napatunayang sangkot sa paggawa ng pagkakasala.
- Maaaring iutos ng korte ang disposisyon ng mga hayop sa paraang naaayon sa kanilang kapakanan.
Mahalagang tandaan na maaaring mag-evolve ang legal na landscape, at maaaring magkaroon ng mga pagbabago o pag-amyenda sa mga kasalukuyang batas mula noong huli kong pag-update noong Enero 2022. Palaging sumangguni sa mga pinakabagong legal na pinagmumulan o kumunsulta sa mga legal na propesyonal para sa pinakabagong impormasyon sa mga parusa para sa pang-aabuso sa hayop mga aktibidad sa Pilipinas.</v>
      </c>
      <c r="F2653" s="2">
        <f t="shared" si="1"/>
        <v>0</v>
      </c>
      <c r="G2653" s="2"/>
      <c r="H2653" s="2"/>
      <c r="I2653" s="2"/>
      <c r="J2653" s="2"/>
      <c r="K2653" s="2"/>
      <c r="L2653" s="2"/>
      <c r="M2653" s="2"/>
      <c r="N2653" s="2"/>
      <c r="O2653" s="2"/>
      <c r="P2653" s="2"/>
      <c r="Q2653" s="2"/>
      <c r="R2653" s="2"/>
      <c r="S2653" s="2"/>
      <c r="T2653" s="2"/>
      <c r="U2653" s="2"/>
      <c r="V2653" s="2"/>
      <c r="W2653" s="2"/>
      <c r="X2653" s="2"/>
      <c r="Y2653" s="2"/>
      <c r="Z2653" s="2"/>
      <c r="AA2653" s="2"/>
    </row>
    <row r="2654">
      <c r="A2654" s="1" t="s">
        <v>6268</v>
      </c>
      <c r="B2654" s="1" t="s">
        <v>6279</v>
      </c>
      <c r="C2654" s="1" t="s">
        <v>6280</v>
      </c>
      <c r="D2654" s="2" t="str">
        <f>IFERROR(__xludf.DUMMYFUNCTION("GOOGLETRANSLATE(B2654, ""en"", ""TL"")"),"Mayroon bang mga partikular na legal na probisyon para sa proteksyon ng iba't ibang uri ng hayop, tulad ng mga alagang hayop, hayop sa bukid, o wildlife?")</f>
        <v>Mayroon bang mga partikular na legal na probisyon para sa proteksyon ng iba't ibang uri ng hayop, tulad ng mga alagang hayop, hayop sa bukid, o wildlife?</v>
      </c>
      <c r="E2654" s="2" t="str">
        <f>IFERROR(__xludf.DUMMYFUNCTION("GOOGLETRANSLATE(C2654, ""en"", ""TL"")"),"Oo, kasama sa mga batas ng Pilipinas ang mga partikular na probisyon para sa proteksyon ng iba't ibang uri ng hayop, sumasaklaw sa mga alagang hayop, hayop sa bukid, at wildlife. Narito ang isang pangkalahatang-ideya ng mga legal na probisyon para sa bawa"&amp;"t kategorya:
### 1. Mga Alagang Hayop:
**Animal Welfare Act (RA 8485, na sinususugan ng RA 10631):**
- Tinutugunan ng batas na ito ang kapakanan ng lahat ng hayop, kabilang ang mga alagang hayop. Binabalangkas nito ang mga responsibilidad ng mga may-ari n"&amp;"g alagang hayop upang matiyak ang wastong pangangalaga, paggamot, at proteksyon para sa kanilang mga hayop.
- Ang kalupitan, pagpapabaya, at pang-aabuso sa mga alagang hayop ay ipinagbabawal sa ilalim ng Animal Welfare Act.
**Mga Ordenansa ng Lokal na Pam"&amp;"ahalaan:**
- Ang ilang mga local government units (LGUs) ay maaaring may mga ordinansang partikular sa kapakanan at regulasyon ng mga alagang hayop sa loob ng kanilang nasasakupan. Maaaring kabilang sa mga ordinansang ito ang mga probisyon sa paglilisensy"&amp;"a, pagbabakuna, at responsableng pagmamay-ari ng alagang hayop.
### 2. Mga Hayop sa Bukid:
**Animal Welfare Act (RA 8485, na sinususugan ng RA 10631):**
- Ang Animal Welfare Act ay umaabot sa mga hayop sa bukid, na nagbibigay-diin sa makataong pagtrato sa"&amp;" mga hayop sa mga lugar ng agrikultura.
- Ang mga pamantayan para sa pabahay, transportasyon, at pagpatay ng mga hayop sa bukid ay saklaw ng batas.
**Mga Regulasyon ng Bureau of Animal Industry (BAI):**
- Ang BAI, sa ilalim ng Kagawaran ng Agrikultura, ay"&amp;" kinokontrol ang kalusugan at kapakanan ng mga hayop sa bukid. Nagtatatag ito ng mga patnubay para sa transportasyon, paghawak, at pagpatay ng mga hayop.
### 3. Wildlife:
**Wildlife Resources Conservation and Protection Act (RA 9147):**
- Nakatuon ang bat"&amp;"as na ito sa konserbasyon at proteksyon ng wildlife. Ipinagbabawal nito ang pangangaso, pangangalakal, at pag-aari ng mga nanganganib at nanganganib na mga species nang walang kinakailangang mga pahintulot.
- Layunin ng RA 9147 na pangalagaan ang pagkakai"&amp;"ba-iba ng mga wildlife species at ang kanilang mga tirahan.
**Pagsunod sa CITES:**
- Ang Pilipinas ay lumagda sa Convention on International Trade in Endangered Species of Wild Fauna and Flora (CITES). Ang pagsunod sa mga permit ng CITES ay kinakailangan "&amp;"para sa internasyonal na kalakalan ng ilang species ng wildlife.
### Karagdagang Tala:
- **Pag-aaway ng Hayop:**
- Ang pakikipaglaban sa hayop, kabilang ang sabong at pakikipaglaban sa aso, ay partikular na tinutugunan sa ilalim ng Animal Welfare Act. Ang"&amp;" mga naturang aktibidad ay ipinagbabawal, at ang batas ay nagpapataw ng mga parusa sa mga sangkot.
- **Mga Exotic na Alagang Hayop:**
- Ang pag-aari at pangangalakal ng ilang kakaibang alagang hayop ay kinokontrol upang maiwasan ang iligal na kalakalan ng"&amp;" mga endangered species. Maaaring kailanganin ang mga permit mula sa Department of Environment and Natural Resources (DENR) para sa pagkakaroon ng ilang kakaibang hayop.
Habang umiiral ang legal na balangkas, ang epektibong pagpapatupad at kamalayan ng pu"&amp;"bliko ay mahalaga para sa wastong pagpapatupad ng mga batas na ito. Mahalagang manatiling updated sa anumang mga pagbabago o bagong regulasyon na maaaring ipinakilala pagkatapos ng aking huling pag-update ng kaalaman noong Enero 2022. Palaging sumangguni "&amp;"sa mga pinakabagong legal na mapagkukunan o kumunsulta sa mga legal na propesyonal para sa pinakabagong impormasyon sa mga batas sa proteksyon ng hayop sa Pilipinas.")</f>
        <v>Oo, kasama sa mga batas ng Pilipinas ang mga partikular na probisyon para sa proteksyon ng iba't ibang uri ng hayop, sumasaklaw sa mga alagang hayop, hayop sa bukid, at wildlife. Narito ang isang pangkalahatang-ideya ng mga legal na probisyon para sa bawat kategorya:
### 1. Mga Alagang Hayop:
**Animal Welfare Act (RA 8485, na sinususugan ng RA 10631):**
- Tinutugunan ng batas na ito ang kapakanan ng lahat ng hayop, kabilang ang mga alagang hayop. Binabalangkas nito ang mga responsibilidad ng mga may-ari ng alagang hayop upang matiyak ang wastong pangangalaga, paggamot, at proteksyon para sa kanilang mga hayop.
- Ang kalupitan, pagpapabaya, at pang-aabuso sa mga alagang hayop ay ipinagbabawal sa ilalim ng Animal Welfare Act.
**Mga Ordenansa ng Lokal na Pamahalaan:**
- Ang ilang mga local government units (LGUs) ay maaaring may mga ordinansang partikular sa kapakanan at regulasyon ng mga alagang hayop sa loob ng kanilang nasasakupan. Maaaring kabilang sa mga ordinansang ito ang mga probisyon sa paglilisensya, pagbabakuna, at responsableng pagmamay-ari ng alagang hayop.
### 2. Mga Hayop sa Bukid:
**Animal Welfare Act (RA 8485, na sinususugan ng RA 10631):**
- Ang Animal Welfare Act ay umaabot sa mga hayop sa bukid, na nagbibigay-diin sa makataong pagtrato sa mga hayop sa mga lugar ng agrikultura.
- Ang mga pamantayan para sa pabahay, transportasyon, at pagpatay ng mga hayop sa bukid ay saklaw ng batas.
**Mga Regulasyon ng Bureau of Animal Industry (BAI):**
- Ang BAI, sa ilalim ng Kagawaran ng Agrikultura, ay kinokontrol ang kalusugan at kapakanan ng mga hayop sa bukid. Nagtatatag ito ng mga patnubay para sa transportasyon, paghawak, at pagpatay ng mga hayop.
### 3. Wildlife:
**Wildlife Resources Conservation and Protection Act (RA 9147):**
- Nakatuon ang batas na ito sa konserbasyon at proteksyon ng wildlife. Ipinagbabawal nito ang pangangaso, pangangalakal, at pag-aari ng mga nanganganib at nanganganib na mga species nang walang kinakailangang mga pahintulot.
- Layunin ng RA 9147 na pangalagaan ang pagkakaiba-iba ng mga wildlife species at ang kanilang mga tirahan.
**Pagsunod sa CITES:**
- Ang Pilipinas ay lumagda sa Convention on International Trade in Endangered Species of Wild Fauna and Flora (CITES). Ang pagsunod sa mga permit ng CITES ay kinakailangan para sa internasyonal na kalakalan ng ilang species ng wildlife.
### Karagdagang Tala:
- **Pag-aaway ng Hayop:**
- Ang pakikipaglaban sa hayop, kabilang ang sabong at pakikipaglaban sa aso, ay partikular na tinutugunan sa ilalim ng Animal Welfare Act. Ang mga naturang aktibidad ay ipinagbabawal, at ang batas ay nagpapataw ng mga parusa sa mga sangkot.
- **Mga Exotic na Alagang Hayop:**
- Ang pag-aari at pangangalakal ng ilang kakaibang alagang hayop ay kinokontrol upang maiwasan ang iligal na kalakalan ng mga endangered species. Maaaring kailanganin ang mga permit mula sa Department of Environment and Natural Resources (DENR) para sa pagkakaroon ng ilang kakaibang hayop.
Habang umiiral ang legal na balangkas, ang epektibong pagpapatupad at kamalayan ng publiko ay mahalaga para sa wastong pagpapatupad ng mga batas na ito. Mahalagang manatiling updated sa anumang mga pagbabago o bagong regulasyon na maaaring ipinakilala pagkatapos ng aking huling pag-update ng kaalaman noong Enero 2022. Palaging sumangguni sa mga pinakabagong legal na mapagkukunan o kumunsulta sa mga legal na propesyonal para sa pinakabagong impormasyon sa mga batas sa proteksyon ng hayop sa Pilipinas.</v>
      </c>
      <c r="F2654" s="2">
        <f t="shared" si="1"/>
        <v>0</v>
      </c>
      <c r="G2654" s="2"/>
      <c r="H2654" s="2"/>
      <c r="I2654" s="2"/>
      <c r="J2654" s="2"/>
      <c r="K2654" s="2"/>
      <c r="L2654" s="2"/>
      <c r="M2654" s="2"/>
      <c r="N2654" s="2"/>
      <c r="O2654" s="2"/>
      <c r="P2654" s="2"/>
      <c r="Q2654" s="2"/>
      <c r="R2654" s="2"/>
      <c r="S2654" s="2"/>
      <c r="T2654" s="2"/>
      <c r="U2654" s="2"/>
      <c r="V2654" s="2"/>
      <c r="W2654" s="2"/>
      <c r="X2654" s="2"/>
      <c r="Y2654" s="2"/>
      <c r="Z2654" s="2"/>
      <c r="AA2654" s="2"/>
    </row>
    <row r="2655">
      <c r="A2655" s="1" t="s">
        <v>6268</v>
      </c>
      <c r="B2655" s="1" t="s">
        <v>6281</v>
      </c>
      <c r="C2655" s="1" t="s">
        <v>6282</v>
      </c>
      <c r="D2655" s="2" t="str">
        <f>IFERROR(__xludf.DUMMYFUNCTION("GOOGLETRANSLATE(B2655, ""en"", ""TL"")"),"Paano tinutugunan ng batas ng Pilipinas ang iligal na kalakalan ng mga hayop at wildlife trafficking?")</f>
        <v>Paano tinutugunan ng batas ng Pilipinas ang iligal na kalakalan ng mga hayop at wildlife trafficking?</v>
      </c>
      <c r="E2655" s="2" t="str">
        <f>IFERROR(__xludf.DUMMYFUNCTION("GOOGLETRANSLATE(C2655, ""en"", ""TL"")"),"Ang ilegal na kalakalan ng mga hayop at wildlife trafficking sa Pilipinas ay tinutugunan sa pamamagitan ng iba't ibang batas at regulasyon na naglalayong pangalagaan at protektahan ang wildlife. Kabilang sa mga pangunahing hakbang sa pambatasan ang:
1. **"&amp;"Wildlife Resources Conservation and Protection Act (RA 9147):**
- Ang RA 9147 ay ang pangunahing batas na tumutugon sa konserbasyon at proteksyon ng wildlife sa Pilipinas. Binabalangkas nito ang mga probisyon na partikular na naglalayong pigilan at parusa"&amp;"han ang iligal na kalakalan ng mga hayop at wildlife trafficking.
- Ipinagbabawal ng batas ang pangangaso, pangangalakal, at pag-aari ng mga nanganganib at nanganganib na mga species nang walang kinakailangang mga pahintulot.
2. **Mga Parusa para sa Mga P"&amp;"aglabag:**
- Ang RA 9147 ay nagpapataw ng matinding parusa para sa mga paglabag na may kaugnayan sa iligal na kalakalan ng wildlife. Maaaring kabilang sa mga parusa ang pagkakulong, multa, at pagkumpiska ng mga iligal na ipinagkalakal na wildlife at ang k"&amp;"anilang mga produkto.
3. **Pagsunod sa CITES:**
- Ang Pilipinas ay lumagda sa Convention on International Trade in Endangered Species of Wild Fauna and Flora (CITES). Ang CITES ay isang internasyonal na kasunduan na naglalayong tiyakin na ang internasyona"&amp;"l na kalakalan ng mga ligaw na hayop at halaman ay hindi nagbabanta sa kanilang kaligtasan.
- Ang RA 9147 ay umaayon sa mga alituntunin ng CITES, at ang pagsunod sa mga permit ng CITES ay kinakailangan para sa pag-import at pag-export ng ilang mga species"&amp;".
4. **Bureau of Fisheries and Aquatic Resources (BFAR) Regulations:**
- Ang BFAR, sa ilalim ng Kagawaran ng Agrikultura, ay kinokontrol ang kalakalan at pag-export ng mga aquatic species. Ang BFAR ay may mga tiyak na alituntunin at regulasyon upang maiwa"&amp;"san ang iligal na kalakalan ng marine wildlife.
5. **Mga Custom at Tariff Code:**
- Ang Bureau of Customs (BOC) ay gumaganap ng isang mahalagang papel sa pagpigil sa iligal na kalakalan ng wildlife sa pamamagitan ng pagpapatupad ng mga regulasyon na may k"&amp;"augnayan sa pag-import at pag-export ng mga kalakal, kabilang ang mga buhay na hayop.
- Nakikipagtulungan ang mga awtoridad sa customs sa iba pang may-katuturang ahensya upang makita at kumpiskahin ang mga produktong wildlife na ipinuslit sa mga hangganan"&amp;".
6. **Pakikipagtulungan sa Mga Ahensyang Nagpapatupad ng Batas:**
- Kasangkot ang Philippine National Police (PNP) at National Bureau of Investigation (NBI) sa pag-iimbestiga at pag-uusig sa mga kaso na may kaugnayan sa wildlife trafficking.
- Ang magkas"&amp;"anib na pagsisikap sa pagitan ng mga ahensyang nagpapatupad ng batas, mga organisasyong pangkapaligiran, at mga internasyonal na katawan ay kadalasang kinakailangan upang labanan ang transnational na katangian ng wildlife trafficking.
7. **Pampublikong Ka"&amp;"malayan at Edukasyon:**
- Ang mga kampanyang pang-edukasyon at mga programa sa pampublikong kamalayan ay isinasagawa upang ipaalam sa publiko ang tungkol sa mga kahihinatnan ng wildlife trafficking at ang kahalagahan ng konserbasyon.
Ang mga pagsisikap na"&amp;" labanan ang wildlife trafficking ay nagsasangkot ng isang multi-agency na diskarte, na may koordinasyon sa pagitan ng kapaligiran, pagpapatupad ng batas, at mga awtoridad sa customs. Habang ang legal na balangkas ay nasa lugar, ang epektibong pagpapatupa"&amp;"d, internasyonal na pakikipagtulungan, at kamalayan ng publiko ay mahalaga sa pagtugon sa kumplikadong isyu ng ilegal na kalakalan sa mga hayop at wildlife trafficking.")</f>
        <v>Ang ilegal na kalakalan ng mga hayop at wildlife trafficking sa Pilipinas ay tinutugunan sa pamamagitan ng iba't ibang batas at regulasyon na naglalayong pangalagaan at protektahan ang wildlife. Kabilang sa mga pangunahing hakbang sa pambatasan ang:
1. **Wildlife Resources Conservation and Protection Act (RA 9147):**
- Ang RA 9147 ay ang pangunahing batas na tumutugon sa konserbasyon at proteksyon ng wildlife sa Pilipinas. Binabalangkas nito ang mga probisyon na partikular na naglalayong pigilan at parusahan ang iligal na kalakalan ng mga hayop at wildlife trafficking.
- Ipinagbabawal ng batas ang pangangaso, pangangalakal, at pag-aari ng mga nanganganib at nanganganib na mga species nang walang kinakailangang mga pahintulot.
2. **Mga Parusa para sa Mga Paglabag:**
- Ang RA 9147 ay nagpapataw ng matinding parusa para sa mga paglabag na may kaugnayan sa iligal na kalakalan ng wildlife. Maaaring kabilang sa mga parusa ang pagkakulong, multa, at pagkumpiska ng mga iligal na ipinagkalakal na wildlife at ang kanilang mga produkto.
3. **Pagsunod sa CITES:**
- Ang Pilipinas ay lumagda sa Convention on International Trade in Endangered Species of Wild Fauna and Flora (CITES). Ang CITES ay isang internasyonal na kasunduan na naglalayong tiyakin na ang internasyonal na kalakalan ng mga ligaw na hayop at halaman ay hindi nagbabanta sa kanilang kaligtasan.
- Ang RA 9147 ay umaayon sa mga alituntunin ng CITES, at ang pagsunod sa mga permit ng CITES ay kinakailangan para sa pag-import at pag-export ng ilang mga species.
4. **Bureau of Fisheries and Aquatic Resources (BFAR) Regulations:**
- Ang BFAR, sa ilalim ng Kagawaran ng Agrikultura, ay kinokontrol ang kalakalan at pag-export ng mga aquatic species. Ang BFAR ay may mga tiyak na alituntunin at regulasyon upang maiwasan ang iligal na kalakalan ng marine wildlife.
5. **Mga Custom at Tariff Code:**
- Ang Bureau of Customs (BOC) ay gumaganap ng isang mahalagang papel sa pagpigil sa iligal na kalakalan ng wildlife sa pamamagitan ng pagpapatupad ng mga regulasyon na may kaugnayan sa pag-import at pag-export ng mga kalakal, kabilang ang mga buhay na hayop.
- Nakikipagtulungan ang mga awtoridad sa customs sa iba pang may-katuturang ahensya upang makita at kumpiskahin ang mga produktong wildlife na ipinuslit sa mga hangganan.
6. **Pakikipagtulungan sa Mga Ahensyang Nagpapatupad ng Batas:**
- Kasangkot ang Philippine National Police (PNP) at National Bureau of Investigation (NBI) sa pag-iimbestiga at pag-uusig sa mga kaso na may kaugnayan sa wildlife trafficking.
- Ang magkasanib na pagsisikap sa pagitan ng mga ahensyang nagpapatupad ng batas, mga organisasyong pangkapaligiran, at mga internasyonal na katawan ay kadalasang kinakailangan upang labanan ang transnational na katangian ng wildlife trafficking.
7. **Pampublikong Kamalayan at Edukasyon:**
- Ang mga kampanyang pang-edukasyon at mga programa sa pampublikong kamalayan ay isinasagawa upang ipaalam sa publiko ang tungkol sa mga kahihinatnan ng wildlife trafficking at ang kahalagahan ng konserbasyon.
Ang mga pagsisikap na labanan ang wildlife trafficking ay nagsasangkot ng isang multi-agency na diskarte, na may koordinasyon sa pagitan ng kapaligiran, pagpapatupad ng batas, at mga awtoridad sa customs. Habang ang legal na balangkas ay nasa lugar, ang epektibong pagpapatupad, internasyonal na pakikipagtulungan, at kamalayan ng publiko ay mahalaga sa pagtugon sa kumplikadong isyu ng ilegal na kalakalan sa mga hayop at wildlife trafficking.</v>
      </c>
      <c r="F2655" s="2">
        <f t="shared" si="1"/>
        <v>0</v>
      </c>
      <c r="G2655" s="2"/>
      <c r="H2655" s="2"/>
      <c r="I2655" s="2"/>
      <c r="J2655" s="2"/>
      <c r="K2655" s="2"/>
      <c r="L2655" s="2"/>
      <c r="M2655" s="2"/>
      <c r="N2655" s="2"/>
      <c r="O2655" s="2"/>
      <c r="P2655" s="2"/>
      <c r="Q2655" s="2"/>
      <c r="R2655" s="2"/>
      <c r="S2655" s="2"/>
      <c r="T2655" s="2"/>
      <c r="U2655" s="2"/>
      <c r="V2655" s="2"/>
      <c r="W2655" s="2"/>
      <c r="X2655" s="2"/>
      <c r="Y2655" s="2"/>
      <c r="Z2655" s="2"/>
      <c r="AA2655" s="2"/>
    </row>
    <row r="2656">
      <c r="A2656" s="1" t="s">
        <v>6268</v>
      </c>
      <c r="B2656" s="1" t="s">
        <v>6283</v>
      </c>
      <c r="C2656" s="1" t="s">
        <v>6284</v>
      </c>
      <c r="D2656" s="2" t="str">
        <f>IFERROR(__xludf.DUMMYFUNCTION("GOOGLETRANSLATE(B2656, ""en"", ""TL"")"),"Ano ang papel na ginagampanan ng mga ahensyang nagpapatupad ng batas sa pagsisiyasat at pag-uusig sa mga kaso ng pang-aabuso sa hayop?")</f>
        <v>Ano ang papel na ginagampanan ng mga ahensyang nagpapatupad ng batas sa pagsisiyasat at pag-uusig sa mga kaso ng pang-aabuso sa hayop?</v>
      </c>
      <c r="E2656" s="2" t="str">
        <f>IFERROR(__xludf.DUMMYFUNCTION("GOOGLETRANSLATE(C2656, ""en"", ""TL"")"),"Ang mga ahensyang nagpapatupad ng batas ay may mahalagang papel sa pag-iimbestiga at pag-uusig sa mga kaso ng pang-aabuso sa hayop sa Pilipinas. Ang pangunahing batas na tumutugon sa kapakanan ng hayop sa bansa ay ang Animal Welfare Act (Republic Act 8485"&amp;"), na sinususugan ng Republic Act 10631. Narito ang pangkalahatang-ideya ng papel ng mga ahensyang nagpapatupad ng batas sa pagharap sa pang-aabuso sa hayop:
1. **Pagtanggap ng Mga Ulat at Reklamo:**
- Ang mga ahensyang nagpapatupad ng batas, kabilang ang"&amp;" Philippine National Police (PNP) at National Bureau of Investigation (NBI), ay tumatanggap ng mga ulat at reklamo kaugnay ng pang-aabuso sa hayop.
- Maaaring magsampa ng mga ulat ng mga concerned citizen, animal welfare organization, o iba pang entity na"&amp;" sumasaksi o naghihinala ng mga kaso ng animal cruelty.
2. **Pagsisiyasat:**
- Ang mga ahensyang nagpapatupad ng batas ay nagsasagawa ng mga pagsisiyasat sa mga naiulat na kaso ng pang-aabuso sa hayop. Maaaring kabilang dito ang pangangalap ng ebidensya, "&amp;"pakikipanayam sa mga saksi, at pakikipagtulungan sa iba pang may-katuturang ahensya o eksperto.
- Ang mga imbestigador ay maaari ding makipagtulungan nang malapit sa mga beterinaryo upang masuri ang kalagayan ng mga inaabusong hayop at mangalap ng medikal"&amp;" na ebidensya.
3. **Pagpapatupad ng Mga Batas sa Animal Welfare:**
- Ang mga ahensyang nagpapatupad ng batas ay may pananagutan sa pagpapatupad ng Animal Welfare Act at iba pang kaugnay na batas na nauukol sa makataong pagtrato sa mga hayop
. Kabilang dit"&amp;"o ang pagtukoy at paghuli sa mga indibidwal na sangkot sa mga aktibidad sa pang-aabuso sa hayop.
4. **Koordinasyon sa Animal Welfare Organizations:**
- Ang mga ahensyang nagpapatupad ng batas ay madalas na nakikipagtulungan sa mga organisasyon ng kapakana"&amp;"n ng hayop upang mapahusay ang kanilang pag-unawa sa mga isyu sa kapakanan ng hayop at upang makatanggap ng tulong sa mga pagsisiyasat.
- Ang pakikipagtulungan sa mga organisasyong ito ay maaaring magbigay ng karagdagang mga mapagkukunan, kadalubhasaan, a"&amp;"t suporta sa pagtugon sa mga kaso ng pang-aabuso sa hayop.
5. **Pag-uusig:**
- Pagkatapos makumpleto ang imbestigasyon, maaaring irekomenda ng mga ahensyang nagpapatupad ng batas ang pagsasampa ng mga kaso laban sa mga indibidwal na sangkot sa pang-aabuso"&amp;" sa hayop.
- Ang mga tagausig at mga legal na propesyonal ay may papel sa mga legal na paglilitis, nakikipagtulungan sa mga tagapagpatupad ng batas upang bumuo ng isang kaso para sa korte.
6. **Mga Pamamaraan sa Hukuman:**
- Maaaring kailanganin ang mga a"&amp;"hensyang nagpapatupad ng batas na tumestigo sa korte sa panahon ng mga pagsubok sa pang-aabuso sa hayop. Nagpapakita sila ng ebidensya at nagbibigay ng impormasyon para suportahan ang kaso ng prosekusyon.
- Sinusuri ng korte ang ebidensya at, kung ang aku"&amp;"sado ay napatunayang nagkasala, nagpapataw ng angkop na mga parusa.
7. **Pagpapatupad ng mga Parusa:**
- Ang mga ahensyang nagpapatupad ng batas ay may pananagutan sa pagtiyak na ang mga parusa na ipinataw ng hukuman ay natupad. Maaaring kabilang dito ang"&amp;" pangangasiwa sa pagbabayad ng mga multa, pagkumpiska ng mga hayop, o iba pang mga aksyon na iniutos ng hukuman.
8. **Pag-iwas at Edukasyon:**
- Higit pa sa pagsisiyasat at pag-uusig, ang mga ahensyang nagpapatupad ng batas ay maaaring makisali sa mga pag"&amp;"sisikap sa pag-iwas at edukasyon. Kabilang dito ang pagpapataas ng kamalayan tungkol sa mga batas sa kapakanan ng hayop, pagsasagawa ng mga programa sa outreach, at pagtataguyod ng responsableng pagmamay-ari ng alagang hayop.
Ang pagiging epektibo ng mga "&amp;"pagsisikap sa pagpapatupad ng batas sa pagtugon sa pang-aabuso sa hayop ay nakasalalay sa pakikipagtulungan sa iba pang mga stakeholder, kabilang ang mga organisasyon ng kapakanan ng hayop, mga legal na propesyonal, at mga nagmamalasakit na mamamayan. Buk"&amp;"od pa rito, ang patuloy na pagsasanay para sa mga tauhan ng pagpapatupad ng batas sa mga batas sa kapakanan ng hayop at pinakamahuhusay na kagawian ay maaaring mag-ambag sa mas epektibong paghawak ng mga kaso.")</f>
        <v>Ang mga ahensyang nagpapatupad ng batas ay may mahalagang papel sa pag-iimbestiga at pag-uusig sa mga kaso ng pang-aabuso sa hayop sa Pilipinas. Ang pangunahing batas na tumutugon sa kapakanan ng hayop sa bansa ay ang Animal Welfare Act (Republic Act 8485), na sinususugan ng Republic Act 10631. Narito ang pangkalahatang-ideya ng papel ng mga ahensyang nagpapatupad ng batas sa pagharap sa pang-aabuso sa hayop:
1. **Pagtanggap ng Mga Ulat at Reklamo:**
- Ang mga ahensyang nagpapatupad ng batas, kabilang ang Philippine National Police (PNP) at National Bureau of Investigation (NBI), ay tumatanggap ng mga ulat at reklamo kaugnay ng pang-aabuso sa hayop.
- Maaaring magsampa ng mga ulat ng mga concerned citizen, animal welfare organization, o iba pang entity na sumasaksi o naghihinala ng mga kaso ng animal cruelty.
2. **Pagsisiyasat:**
- Ang mga ahensyang nagpapatupad ng batas ay nagsasagawa ng mga pagsisiyasat sa mga naiulat na kaso ng pang-aabuso sa hayop. Maaaring kabilang dito ang pangangalap ng ebidensya, pakikipanayam sa mga saksi, at pakikipagtulungan sa iba pang may-katuturang ahensya o eksperto.
- Ang mga imbestigador ay maaari ding makipagtulungan nang malapit sa mga beterinaryo upang masuri ang kalagayan ng mga inaabusong hayop at mangalap ng medikal na ebidensya.
3. **Pagpapatupad ng Mga Batas sa Animal Welfare:**
- Ang mga ahensyang nagpapatupad ng batas ay may pananagutan sa pagpapatupad ng Animal Welfare Act at iba pang kaugnay na batas na nauukol sa makataong pagtrato sa mga hayop
. Kabilang dito ang pagtukoy at paghuli sa mga indibidwal na sangkot sa mga aktibidad sa pang-aabuso sa hayop.
4. **Koordinasyon sa Animal Welfare Organizations:**
- Ang mga ahensyang nagpapatupad ng batas ay madalas na nakikipagtulungan sa mga organisasyon ng kapakanan ng hayop upang mapahusay ang kanilang pag-unawa sa mga isyu sa kapakanan ng hayop at upang makatanggap ng tulong sa mga pagsisiyasat.
- Ang pakikipagtulungan sa mga organisasyong ito ay maaaring magbigay ng karagdagang mga mapagkukunan, kadalubhasaan, at suporta sa pagtugon sa mga kaso ng pang-aabuso sa hayop.
5. **Pag-uusig:**
- Pagkatapos makumpleto ang imbestigasyon, maaaring irekomenda ng mga ahensyang nagpapatupad ng batas ang pagsasampa ng mga kaso laban sa mga indibidwal na sangkot sa pang-aabuso sa hayop.
- Ang mga tagausig at mga legal na propesyonal ay may papel sa mga legal na paglilitis, nakikipagtulungan sa mga tagapagpatupad ng batas upang bumuo ng isang kaso para sa korte.
6. **Mga Pamamaraan sa Hukuman:**
- Maaaring kailanganin ang mga ahensyang nagpapatupad ng batas na tumestigo sa korte sa panahon ng mga pagsubok sa pang-aabuso sa hayop. Nagpapakita sila ng ebidensya at nagbibigay ng impormasyon para suportahan ang kaso ng prosekusyon.
- Sinusuri ng korte ang ebidensya at, kung ang akusado ay napatunayang nagkasala, nagpapataw ng angkop na mga parusa.
7. **Pagpapatupad ng mga Parusa:**
- Ang mga ahensyang nagpapatupad ng batas ay may pananagutan sa pagtiyak na ang mga parusa na ipinataw ng hukuman ay natupad. Maaaring kabilang dito ang pangangasiwa sa pagbabayad ng mga multa, pagkumpiska ng mga hayop, o iba pang mga aksyon na iniutos ng hukuman.
8. **Pag-iwas at Edukasyon:**
- Higit pa sa pagsisiyasat at pag-uusig, ang mga ahensyang nagpapatupad ng batas ay maaaring makisali sa mga pagsisikap sa pag-iwas at edukasyon. Kabilang dito ang pagpapataas ng kamalayan tungkol sa mga batas sa kapakanan ng hayop, pagsasagawa ng mga programa sa outreach, at pagtataguyod ng responsableng pagmamay-ari ng alagang hayop.
Ang pagiging epektibo ng mga pagsisikap sa pagpapatupad ng batas sa pagtugon sa pang-aabuso sa hayop ay nakasalalay sa pakikipagtulungan sa iba pang mga stakeholder, kabilang ang mga organisasyon ng kapakanan ng hayop, mga legal na propesyonal, at mga nagmamalasakit na mamamayan. Bukod pa rito, ang patuloy na pagsasanay para sa mga tauhan ng pagpapatupad ng batas sa mga batas sa kapakanan ng hayop at pinakamahuhusay na kagawian ay maaaring mag-ambag sa mas epektibong paghawak ng mga kaso.</v>
      </c>
      <c r="F2656" s="2">
        <f t="shared" si="1"/>
        <v>0</v>
      </c>
      <c r="G2656" s="2"/>
      <c r="H2656" s="2"/>
      <c r="I2656" s="2"/>
      <c r="J2656" s="2"/>
      <c r="K2656" s="2"/>
      <c r="L2656" s="2"/>
      <c r="M2656" s="2"/>
      <c r="N2656" s="2"/>
      <c r="O2656" s="2"/>
      <c r="P2656" s="2"/>
      <c r="Q2656" s="2"/>
      <c r="R2656" s="2"/>
      <c r="S2656" s="2"/>
      <c r="T2656" s="2"/>
      <c r="U2656" s="2"/>
      <c r="V2656" s="2"/>
      <c r="W2656" s="2"/>
      <c r="X2656" s="2"/>
      <c r="Y2656" s="2"/>
      <c r="Z2656" s="2"/>
      <c r="AA2656" s="2"/>
    </row>
    <row r="2657">
      <c r="A2657" s="1" t="s">
        <v>6268</v>
      </c>
      <c r="B2657" s="1" t="s">
        <v>6285</v>
      </c>
      <c r="C2657" s="1" t="s">
        <v>6286</v>
      </c>
      <c r="D2657" s="2" t="str">
        <f>IFERROR(__xludf.DUMMYFUNCTION("GOOGLETRANSLATE(B2657, ""en"", ""TL"")"),"Mayroon bang mga legal na hakbang upang mabayaran ang mga may-ari para sa mga pagkalugi na natamo dahil sa pang-aabuso sa hayop?")</f>
        <v>Mayroon bang mga legal na hakbang upang mabayaran ang mga may-ari para sa mga pagkalugi na natamo dahil sa pang-aabuso sa hayop?</v>
      </c>
      <c r="E2657" s="2" t="str">
        <f>IFERROR(__xludf.DUMMYFUNCTION("GOOGLETRANSLATE(C2657, ""en"", ""TL"")"),"Sa pagkakaalam ko noong Enero 2022, walang partikular na legal na probisyon sa Pilipinas na direktang tumutugon sa kabayaran para sa mga may-ari na nalulugi dahil sa pang-aabuso sa hayop. Gayunpaman, ang mga may-ari ng mga hayop na sumailalim sa pang-aabu"&amp;"so ay maaaring humingi ng mga legal na remedyo sa pamamagitan ng mga umiiral na batas na tumutugon sa kapakanan at kalupitan ng hayop. Narito ang mga kaugnay na punto:
1. **Animal Welfare Act (RA 8485, na sinususugan ng RA 10631):**
- Ang Animal Welfare A"&amp;"ct ay ginagawang kriminal ang mga gawa ng kalupitan at pagpapabaya sa mga hayop. Habang nakatuon ang batas sa pagpaparusa sa mga nagkasala, hindi nito tahasang binabalangkas ang mga probisyon ng kabayaran para sa mga may-ari.
- Ang mga nagmamay-ari ng mga"&amp;" inaabusong hayop, gayunpaman, ay maaaring masangkot sa mga legal na paglilitis na humihingi ng pagbabayad para sa mga pinsala sa panahon ng pag-uusig sa mga indibidwal na responsable para sa pang-aabuso.
2. **Mga Sibil na Remedya:**
- Sa mga kaso ng pang"&amp;"-aabuso sa hayop na nagdudulot ng mga pagkalugi sa pananalapi (hal., mga gastos sa beterinaryo, pagkawala ng kita mula sa isang nagtatrabahong hayop), maaaring tuklasin ng mga may-ari ang mga remedyo ng sibil.
- Maaaring magsampa ng kasong sibil ang mga m"&amp;"ay-ari na humihingi ng kabayaran para sa mga pinsalang natamo bilang resulta ng pang-aabuso. Maaaring isaalang-alang ang mga legal na prinsipyo na may kaugnayan sa pinsala sa ari-arian, kapabayaan, o sinadyang pagdudulot ng pinsala.
3. **Mga Lokal na Orde"&amp;"nansa:**
- Ang ilang mga local government units (LGUs) ay maaaring magkaroon ng mga ordinansa na umakma sa mga pambansang batas sa kapakanan ng hayop. Maaaring kabilang sa mga ordinansang ito ang mga probisyon na may kaugnayan sa kabayaran para sa mga may"&amp;"-ari sa mga kaso ng pang-aabuso sa hayop.
- Dapat suriin ng mga may-ari ang mga partikular na ordinansa sa kanilang lokalidad upang matukoy kung umiiral ang mga naturang probisyon.
4. **Pagtutulungan sa Animal Welfare Organizations:**
- Maaaring magbigay "&amp;"ng suporta at gabay ang mga animal welfare organization sa mga may-ari sa paghingi ng kabayaran o pagsasauli sa pamamagitan ng mga legal na paraan.
- Maaaring may kadalubhasaan ang mga organisasyong ito sa pag-navigate sa mga legal na proseso at maaaring "&amp;"mag-alok ng tulong sa pag-uulat ng mga kaso at pagtiyak ng wastong dokumentasyon.
Mahalagang tandaan na maaaring mag-evolve ang mga legal na landscape, at maaaring magkaroon ng bagong batas o pagbabago sa mga kasalukuyang batas mula noong huli kong pag-up"&amp;"date noong Enero 2022. Ang mga may-ari na naghahanap ng kabayaran para sa mga pagkalugi dahil sa pang-aabuso sa hayop ay dapat kumunsulta sa mga legal na propesyonal upang maunawaan ang kanilang mga partikular na legal na opsyon at anumang kamakailang mga"&amp;" pag-unlad sa batas. Bukod pa rito, maaaring mag-iba ang mga lokal na ordinansa at regulasyon, kaya ipinapayong makipag-ugnayan sa mga lokal na awtoridad.")</f>
        <v>Sa pagkakaalam ko noong Enero 2022, walang partikular na legal na probisyon sa Pilipinas na direktang tumutugon sa kabayaran para sa mga may-ari na nalulugi dahil sa pang-aabuso sa hayop. Gayunpaman, ang mga may-ari ng mga hayop na sumailalim sa pang-aabuso ay maaaring humingi ng mga legal na remedyo sa pamamagitan ng mga umiiral na batas na tumutugon sa kapakanan at kalupitan ng hayop. Narito ang mga kaugnay na punto:
1. **Animal Welfare Act (RA 8485, na sinususugan ng RA 10631):**
- Ang Animal Welfare Act ay ginagawang kriminal ang mga gawa ng kalupitan at pagpapabaya sa mga hayop. Habang nakatuon ang batas sa pagpaparusa sa mga nagkasala, hindi nito tahasang binabalangkas ang mga probisyon ng kabayaran para sa mga may-ari.
- Ang mga nagmamay-ari ng mga inaabusong hayop, gayunpaman, ay maaaring masangkot sa mga legal na paglilitis na humihingi ng pagbabayad para sa mga pinsala sa panahon ng pag-uusig sa mga indibidwal na responsable para sa pang-aabuso.
2. **Mga Sibil na Remedya:**
- Sa mga kaso ng pang-aabuso sa hayop na nagdudulot ng mga pagkalugi sa pananalapi (hal., mga gastos sa beterinaryo, pagkawala ng kita mula sa isang nagtatrabahong hayop), maaaring tuklasin ng mga may-ari ang mga remedyo ng sibil.
- Maaaring magsampa ng kasong sibil ang mga may-ari na humihingi ng kabayaran para sa mga pinsalang natamo bilang resulta ng pang-aabuso. Maaaring isaalang-alang ang mga legal na prinsipyo na may kaugnayan sa pinsala sa ari-arian, kapabayaan, o sinadyang pagdudulot ng pinsala.
3. **Mga Lokal na Ordenansa:**
- Ang ilang mga local government units (LGUs) ay maaaring magkaroon ng mga ordinansa na umakma sa mga pambansang batas sa kapakanan ng hayop. Maaaring kabilang sa mga ordinansang ito ang mga probisyon na may kaugnayan sa kabayaran para sa mga may-ari sa mga kaso ng pang-aabuso sa hayop.
- Dapat suriin ng mga may-ari ang mga partikular na ordinansa sa kanilang lokalidad upang matukoy kung umiiral ang mga naturang probisyon.
4. **Pagtutulungan sa Animal Welfare Organizations:**
- Maaaring magbigay ng suporta at gabay ang mga animal welfare organization sa mga may-ari sa paghingi ng kabayaran o pagsasauli sa pamamagitan ng mga legal na paraan.
- Maaaring may kadalubhasaan ang mga organisasyong ito sa pag-navigate sa mga legal na proseso at maaaring mag-alok ng tulong sa pag-uulat ng mga kaso at pagtiyak ng wastong dokumentasyon.
Mahalagang tandaan na maaaring mag-evolve ang mga legal na landscape, at maaaring magkaroon ng bagong batas o pagbabago sa mga kasalukuyang batas mula noong huli kong pag-update noong Enero 2022. Ang mga may-ari na naghahanap ng kabayaran para sa mga pagkalugi dahil sa pang-aabuso sa hayop ay dapat kumunsulta sa mga legal na propesyonal upang maunawaan ang kanilang mga partikular na legal na opsyon at anumang kamakailang mga pag-unlad sa batas. Bukod pa rito, maaaring mag-iba ang mga lokal na ordinansa at regulasyon, kaya ipinapayong makipag-ugnayan sa mga lokal na awtoridad.</v>
      </c>
      <c r="F2657" s="2">
        <f t="shared" si="1"/>
        <v>0</v>
      </c>
      <c r="G2657" s="2"/>
      <c r="H2657" s="2"/>
      <c r="I2657" s="2"/>
      <c r="J2657" s="2"/>
      <c r="K2657" s="2"/>
      <c r="L2657" s="2"/>
      <c r="M2657" s="2"/>
      <c r="N2657" s="2"/>
      <c r="O2657" s="2"/>
      <c r="P2657" s="2"/>
      <c r="Q2657" s="2"/>
      <c r="R2657" s="2"/>
      <c r="S2657" s="2"/>
      <c r="T2657" s="2"/>
      <c r="U2657" s="2"/>
      <c r="V2657" s="2"/>
      <c r="W2657" s="2"/>
      <c r="X2657" s="2"/>
      <c r="Y2657" s="2"/>
      <c r="Z2657" s="2"/>
      <c r="AA2657" s="2"/>
    </row>
    <row r="2658">
      <c r="A2658" s="1" t="s">
        <v>6268</v>
      </c>
      <c r="B2658" s="1" t="s">
        <v>6287</v>
      </c>
      <c r="C2658" s="1" t="s">
        <v>6288</v>
      </c>
      <c r="D2658" s="2" t="str">
        <f>IFERROR(__xludf.DUMMYFUNCTION("GOOGLETRANSLATE(B2658, ""en"", ""TL"")"),"Paano tinutugunan ng batas ang paggamit ng mga hayop sa libangan at pananaliksik?")</f>
        <v>Paano tinutugunan ng batas ang paggamit ng mga hayop sa libangan at pananaliksik?</v>
      </c>
      <c r="E2658" s="2" t="str">
        <f>IFERROR(__xludf.DUMMYFUNCTION("GOOGLETRANSLATE(C2658, ""en"", ""TL"")"),"Sa Pilipinas, ang paggamit ng mga hayop sa libangan at pananaliksik ay kinokontrol ng iba't ibang batas at regulasyon na naglalayong tiyakin ang kapakanan at etikal na pagtrato sa mga hayop. Sa aking huling pag-update noong Enero 2022, narito ang mga pang"&amp;"unahing punto na nauugnay sa paggamit ng mga hayop sa mga kontekstong ito:
### Paggamit ng mga Hayop sa Libangan:
1. **Animal Welfare Act (RA 8485, na sinususugan ng RA 10631):**
- Kasama sa Animal Welfare Act ang mga probisyon na tumutugon sa paggamit ng"&amp;" mga hayop sa entertainment. Binibigyang-diin nito ang pangangailangang bigyan ang mga hayop ng wastong pangangalaga, paggamot, at proteksyon mula sa pinsala.
- Ipinagbabawal ang mga aktibidad na nagdudulot ng sakit, pagdurusa, o pagkabalisa sa mga hayop "&amp;"para sa libangan.
2. **Philippine Animal Welfare Society (PAWS) Guidelines:**
- Ang PAWS, isang animal welfare organization sa Pilipinas, ay bumuo ng mga alituntunin para sa etikal na pagtrato sa mga hayop sa entertainment industry. Bagama't hindi isang l"&amp;"egal na dokumento, ang mga alituntuning ito ay itinuturing ng ilan bilang mga pinakamahusay na kagawian.
3. **Mga Ordenansa ng Lokal na Pamahalaan:**
- Ang ilang mga local government units (LGUs) ay maaaring magkaroon ng mga ordinansa na kumokontrol o nag"&amp;"hihigpit sa paggamit ng mga hayop sa entertainment sa loob ng kanilang nasasakupan.
- Ang mga ordinansang ito ay maaaring magtakda ng mga tiyak na pamantayan para sa paggamot, pabahay, at transportasyon ng mga hayop na ginagamit sa mga palabas o pagtatang"&amp;"hal.
### Paggamit ng mga Hayop sa Pananaliksik:
1. **Animal Welfare Act (RA 8485, na sinususugan ng RA 10631):**
- Tinutugunan din ng Animal Welfare Act ang paggamit ng mga hayop sa pananaliksik. Kinikilala nito ang pangangailangan ng siyentipikong panana"&amp;"liksik ngunit nagpapataw ng tungkulin na tiyakin ang kapakanan ng mga hayop na kasangkot.
- Kinakailangan ng mga mananaliksik na gumamit ng mga alternatibong pamamaraan hangga't maaari at bawasan ang sakit, pagdurusa, at pagkabalisa sa panahon ng mga eksp"&amp;"erimento.
2. **Institutional Animal Care and Use Committee (IACUC):**
- Ang mga institusyong nagsasagawa ng pananaliksik na kinasasangkutan ng mga hayop ay hinihikayat na magtatag ng isang Institutional Animal Care and Use Committee (IACUC).
- Pinangangas"&amp;"iwaan at sinusuri ng IACUC ang mga aspetong etikal at kapakanan ng pananaliksik na kinasasangkutan ng mga hayop, na tinitiyak ang pagsunod sa mga nauugnay na alituntunin.
3. **Philippine Council for Health Research and Development (PCHRD) Guidelines:**
- "&amp;"Ang PCHRD, sa ilalim ng Kagawaran ng Agham at Teknolohiya, ay nagbibigay ng mga alituntunin para sa etikal na paggamit ng mga hayop sa pananaliksik sa kalusugan.
- Ang mga alituntuning ito ay naglalayong tiyakin ang makataong pagtrato sa mga hayop at isul"&amp;"ong ang responsableng pagsasagawa ng pananaliksik.
4. **Pagsusuri sa Etika:**
- Ang mga panukala sa pananaliksik na kinasasangkutan ng mga hayop ay kadalasang sumasailalim sa pagsusuri sa etika upang masuri ang pangangailangan, pamamaraan, at mga pagsasaa"&amp;"lang-alang sa etika.
- Inaasahang susunod ang mga mananaliksik sa mga pamantayang etikal, at maaaring kailanganin ang pag-apruba mula sa mga komite ng etika bago magsagawa ng mga eksperimento.
Mahalagang tandaan na ang legal na tanawin ay maaaring mag-evo"&amp;"lve, at ang mga bagong batas o mga pagbabago sa mga kasalukuyang batas ay maaaring mangyari pagkatapos ng aking huling pag-update noong Enero 2022. Palaging sumangguni sa mga pinakabagong legal na mapagkukunan o kumunsulta sa mga legal na propesyonal para"&amp;" sa pinakabagong impormasyon tungkol sa paggamit ng mga hayop sa libangan at pananaliksik sa Pilipinas.")</f>
        <v>Sa Pilipinas, ang paggamit ng mga hayop sa libangan at pananaliksik ay kinokontrol ng iba't ibang batas at regulasyon na naglalayong tiyakin ang kapakanan at etikal na pagtrato sa mga hayop. Sa aking huling pag-update noong Enero 2022, narito ang mga pangunahing punto na nauugnay sa paggamit ng mga hayop sa mga kontekstong ito:
### Paggamit ng mga Hayop sa Libangan:
1. **Animal Welfare Act (RA 8485, na sinususugan ng RA 10631):**
- Kasama sa Animal Welfare Act ang mga probisyon na tumutugon sa paggamit ng mga hayop sa entertainment. Binibigyang-diin nito ang pangangailangang bigyan ang mga hayop ng wastong pangangalaga, paggamot, at proteksyon mula sa pinsala.
- Ipinagbabawal ang mga aktibidad na nagdudulot ng sakit, pagdurusa, o pagkabalisa sa mga hayop para sa libangan.
2. **Philippine Animal Welfare Society (PAWS) Guidelines:**
- Ang PAWS, isang animal welfare organization sa Pilipinas, ay bumuo ng mga alituntunin para sa etikal na pagtrato sa mga hayop sa entertainment industry. Bagama't hindi isang legal na dokumento, ang mga alituntuning ito ay itinuturing ng ilan bilang mga pinakamahusay na kagawian.
3. **Mga Ordenansa ng Lokal na Pamahalaan:**
- Ang ilang mga local government units (LGUs) ay maaaring magkaroon ng mga ordinansa na kumokontrol o naghihigpit sa paggamit ng mga hayop sa entertainment sa loob ng kanilang nasasakupan.
- Ang mga ordinansang ito ay maaaring magtakda ng mga tiyak na pamantayan para sa paggamot, pabahay, at transportasyon ng mga hayop na ginagamit sa mga palabas o pagtatanghal.
### Paggamit ng mga Hayop sa Pananaliksik:
1. **Animal Welfare Act (RA 8485, na sinususugan ng RA 10631):**
- Tinutugunan din ng Animal Welfare Act ang paggamit ng mga hayop sa pananaliksik. Kinikilala nito ang pangangailangan ng siyentipikong pananaliksik ngunit nagpapataw ng tungkulin na tiyakin ang kapakanan ng mga hayop na kasangkot.
- Kinakailangan ng mga mananaliksik na gumamit ng mga alternatibong pamamaraan hangga't maaari at bawasan ang sakit, pagdurusa, at pagkabalisa sa panahon ng mga eksperimento.
2. **Institutional Animal Care and Use Committee (IACUC):**
- Ang mga institusyong nagsasagawa ng pananaliksik na kinasasangkutan ng mga hayop ay hinihikayat na magtatag ng isang Institutional Animal Care and Use Committee (IACUC).
- Pinangangasiwaan at sinusuri ng IACUC ang mga aspetong etikal at kapakanan ng pananaliksik na kinasasangkutan ng mga hayop, na tinitiyak ang pagsunod sa mga nauugnay na alituntunin.
3. **Philippine Council for Health Research and Development (PCHRD) Guidelines:**
- Ang PCHRD, sa ilalim ng Kagawaran ng Agham at Teknolohiya, ay nagbibigay ng mga alituntunin para sa etikal na paggamit ng mga hayop sa pananaliksik sa kalusugan.
- Ang mga alituntuning ito ay naglalayong tiyakin ang makataong pagtrato sa mga hayop at isulong ang responsableng pagsasagawa ng pananaliksik.
4. **Pagsusuri sa Etika:**
- Ang mga panukala sa pananaliksik na kinasasangkutan ng mga hayop ay kadalasang sumasailalim sa pagsusuri sa etika upang masuri ang pangangailangan, pamamaraan, at mga pagsasaalang-alang sa etika.
- Inaasahang susunod ang mga mananaliksik sa mga pamantayang etikal, at maaaring kailanganin ang pag-apruba mula sa mga komite ng etika bago magsagawa ng mga eksperimento.
Mahalagang tandaan na ang legal na tanawin ay maaaring mag-evolve, at ang mga bagong batas o mga pagbabago sa mga kasalukuyang batas ay maaaring mangyari pagkatapos ng aking huling pag-update noong Enero 2022. Palaging sumangguni sa mga pinakabagong legal na mapagkukunan o kumunsulta sa mga legal na propesyonal para sa pinakabagong impormasyon tungkol sa paggamit ng mga hayop sa libangan at pananaliksik sa Pilipinas.</v>
      </c>
      <c r="F2658" s="2">
        <f t="shared" si="1"/>
        <v>0</v>
      </c>
      <c r="G2658" s="2"/>
      <c r="H2658" s="2"/>
      <c r="I2658" s="2"/>
      <c r="J2658" s="2"/>
      <c r="K2658" s="2"/>
      <c r="L2658" s="2"/>
      <c r="M2658" s="2"/>
      <c r="N2658" s="2"/>
      <c r="O2658" s="2"/>
      <c r="P2658" s="2"/>
      <c r="Q2658" s="2"/>
      <c r="R2658" s="2"/>
      <c r="S2658" s="2"/>
      <c r="T2658" s="2"/>
      <c r="U2658" s="2"/>
      <c r="V2658" s="2"/>
      <c r="W2658" s="2"/>
      <c r="X2658" s="2"/>
      <c r="Y2658" s="2"/>
      <c r="Z2658" s="2"/>
      <c r="AA2658" s="2"/>
    </row>
    <row r="2659">
      <c r="A2659" s="1" t="s">
        <v>6268</v>
      </c>
      <c r="B2659" s="1" t="s">
        <v>6289</v>
      </c>
      <c r="C2659" s="1" t="s">
        <v>6290</v>
      </c>
      <c r="D2659" s="2" t="str">
        <f>IFERROR(__xludf.DUMMYFUNCTION("GOOGLETRANSLATE(B2659, ""en"", ""TL"")"),"Anong mga legal na aksyon ang maaaring gawin laban sa mga indibidwal na natagpuang nagtataglay ng mga ilegal na produkto ng hayop o nakikibahagi sa iligal na pangangaso?")</f>
        <v>Anong mga legal na aksyon ang maaaring gawin laban sa mga indibidwal na natagpuang nagtataglay ng mga ilegal na produkto ng hayop o nakikibahagi sa iligal na pangangaso?</v>
      </c>
      <c r="E2659" s="2" t="str">
        <f>IFERROR(__xludf.DUMMYFUNCTION("GOOGLETRANSLATE(C2659, ""en"", ""TL"")"),"Sa Pilipinas, ang mga indibidwal na natagpuang nagtataglay ng mga ilegal na produkto ng hayop o nakikibahagi sa iligal na pangangaso ay maaaring harapin ang mga legal na aksyon sa ilalim ng iba't ibang batas na naglalayong protektahan ang wildlife at ang "&amp;"kapaligiran. Ang ilang pangunahing legal na hakbang ay kinabibilangan ng:
1. **Wildlife Resources Conservation and Protection Act (RA 9147):**
- Ang RA 9147 ay isang komprehensibong batas na kumokontrol sa pagkolekta, pangangalakal, pag-aari, at transport"&amp;"asyon ng mga wildlife at ang kanilang mga by-product.
- Maaaring kabilang sa mga parusa para sa mga paglabag ang mga multa, pagkakulong, at pag-alis ng nakumpiskang wildlife at mga kaugnay na produkto.
2. **Mga Parusa para sa Mga Paglabag:**
- Ang mga par"&amp;"usa para sa iligal na pag-aari ng wildlife at wildlife ay nag-iiba-iba batay sa kalubhaan ng pagkakasala. Ang mga ito ay maaaring mula sa mga multa hanggang sa pagkakulong, depende sa species na kasangkot at ang laki ng ilegal na aktibidad.
- Naglalaan di"&amp;"n ang batas para sa pagkumpiska at pag-alis ng mga iligal na nakuhang wildlife at ang kanilang mga by-product.
3. **Protektadong Lugar at Wildlife Bureau (PAWB):**
- Ang PAWB, sa ilalim ng Department of Environment and Natural Resources (DENR), ay respons"&amp;"able sa pagpapatupad at pagpapatupad ng mga probisyon ng RA 9147.
- Nakikipagtulungan ang PAWB sa mga ahensyang nagpapatupad ng batas upang imbestigahan at usigin ang mga kaso na may kaugnayan sa iligal na pagmamay-ari ng mga produktong wildlife at wildli"&amp;"fe.
4. **Mga Lokal na Ordenansa:**
- Ang ilang mga local government units (LGUs) ay maaaring magkaroon ng mga ordinansa na umakma sa mga pambansang batas para sa proteksyon ng wildlife at pag-iwas sa iligal na pangangaso.
- Maaaring makipagtulungan ang mg"&amp;"a lokal na awtoridad sa mga pambansang ahensya upang ipatupad ang mga ordinansang ito at tugunan ang mga partikular na alalahanin sa kanilang mga lugar.
5. **Biodiversity Management Bureau (BMB):**
- Ang BMB, sa ilalim din ng DENR, ay gumaganap ng papel s"&amp;"a konserbasyon at pamamahala ng biodiversity.
- Ang BMB ay kasangkot sa pagbabalangkas ng mga patakaran at regulasyon na may kaugnayan sa konserbasyon at proteksyon ng wildlife.
6. **Mga Panukala laban sa Poaching:**
- Ang mga pagsusumikap laban sa poachi"&amp;"ng ay maaaring may kasamang pakikipagtulungan sa pagitan ng mga ahensya ng gobyerno, tagapagpatupad ng batas, at mga organisasyon ng konserbasyon upang matugunan ang mga aktibidad sa ilegal na pangangaso.
- Ang mahigpit na pagbabantay at pagsubaybay sa mg"&amp;"a protektadong lugar ay madalas na ipinapatupad upang maiwasan at mapigilan ang iligal na pangangaso.
7. **Mga Awtoridad na Nagpapaalam:**
- Maaaring mag-ulat ang mga nag-aalalang mamamayan ng mga kaso ng ilegal na pagmamay-ari ng wildlife o ilegal na pan"&amp;"gangaso sa mga may-katuturang awtoridad, gaya ng DENR, PAWB, o mga lokal na ahensyang nagpapatupad ng batas.
Mahalagang tandaan na ang legal na tanawin ay maaaring mag-evolve, at ang mga bagong batas o mga pagbabago sa mga kasalukuyang batas ay maaaring m"&amp;"angyari pagkatapos ng aking huling pag-update noong Enero 2022. Palaging sumangguni sa mga pinakabagong legal na mapagkukunan o kumunsulta sa mga legal na propesyonal para sa pinakabagong impormasyon tungkol sa mga legal na aksyon laban sa mga indibidwal "&amp;"sangkot sa iligal na pagmamay-ari ng mga produktong hayop o nakikibahagi sa iligal na pangangaso sa Pilipinas.")</f>
        <v>Sa Pilipinas, ang mga indibidwal na natagpuang nagtataglay ng mga ilegal na produkto ng hayop o nakikibahagi sa iligal na pangangaso ay maaaring harapin ang mga legal na aksyon sa ilalim ng iba't ibang batas na naglalayong protektahan ang wildlife at ang kapaligiran. Ang ilang pangunahing legal na hakbang ay kinabibilangan ng:
1. **Wildlife Resources Conservation and Protection Act (RA 9147):**
- Ang RA 9147 ay isang komprehensibong batas na kumokontrol sa pagkolekta, pangangalakal, pag-aari, at transportasyon ng mga wildlife at ang kanilang mga by-product.
- Maaaring kabilang sa mga parusa para sa mga paglabag ang mga multa, pagkakulong, at pag-alis ng nakumpiskang wildlife at mga kaugnay na produkto.
2. **Mga Parusa para sa Mga Paglabag:**
- Ang mga parusa para sa iligal na pag-aari ng wildlife at wildlife ay nag-iiba-iba batay sa kalubhaan ng pagkakasala. Ang mga ito ay maaaring mula sa mga multa hanggang sa pagkakulong, depende sa species na kasangkot at ang laki ng ilegal na aktibidad.
- Naglalaan din ang batas para sa pagkumpiska at pag-alis ng mga iligal na nakuhang wildlife at ang kanilang mga by-product.
3. **Protektadong Lugar at Wildlife Bureau (PAWB):**
- Ang PAWB, sa ilalim ng Department of Environment and Natural Resources (DENR), ay responsable sa pagpapatupad at pagpapatupad ng mga probisyon ng RA 9147.
- Nakikipagtulungan ang PAWB sa mga ahensyang nagpapatupad ng batas upang imbestigahan at usigin ang mga kaso na may kaugnayan sa iligal na pagmamay-ari ng mga produktong wildlife at wildlife.
4. **Mga Lokal na Ordenansa:**
- Ang ilang mga local government units (LGUs) ay maaaring magkaroon ng mga ordinansa na umakma sa mga pambansang batas para sa proteksyon ng wildlife at pag-iwas sa iligal na pangangaso.
- Maaaring makipagtulungan ang mga lokal na awtoridad sa mga pambansang ahensya upang ipatupad ang mga ordinansang ito at tugunan ang mga partikular na alalahanin sa kanilang mga lugar.
5. **Biodiversity Management Bureau (BMB):**
- Ang BMB, sa ilalim din ng DENR, ay gumaganap ng papel sa konserbasyon at pamamahala ng biodiversity.
- Ang BMB ay kasangkot sa pagbabalangkas ng mga patakaran at regulasyon na may kaugnayan sa konserbasyon at proteksyon ng wildlife.
6. **Mga Panukala laban sa Poaching:**
- Ang mga pagsusumikap laban sa poaching ay maaaring may kasamang pakikipagtulungan sa pagitan ng mga ahensya ng gobyerno, tagapagpatupad ng batas, at mga organisasyon ng konserbasyon upang matugunan ang mga aktibidad sa ilegal na pangangaso.
- Ang mahigpit na pagbabantay at pagsubaybay sa mga protektadong lugar ay madalas na ipinapatupad upang maiwasan at mapigilan ang iligal na pangangaso.
7. **Mga Awtoridad na Nagpapaalam:**
- Maaaring mag-ulat ang mga nag-aalalang mamamayan ng mga kaso ng ilegal na pagmamay-ari ng wildlife o ilegal na pangangaso sa mga may-katuturang awtoridad, gaya ng DENR, PAWB, o mga lokal na ahensyang nagpapatupad ng batas.
Mahalagang tandaan na ang legal na tanawin ay maaaring mag-evolve, at ang mga bagong batas o mga pagbabago sa mga kasalukuyang batas ay maaaring mangyari pagkatapos ng aking huling pag-update noong Enero 2022. Palaging sumangguni sa mga pinakabagong legal na mapagkukunan o kumunsulta sa mga legal na propesyonal para sa pinakabagong impormasyon tungkol sa mga legal na aksyon laban sa mga indibidwal sangkot sa iligal na pagmamay-ari ng mga produktong hayop o nakikibahagi sa iligal na pangangaso sa Pilipinas.</v>
      </c>
      <c r="F2659" s="2">
        <f t="shared" si="1"/>
        <v>0</v>
      </c>
      <c r="G2659" s="2"/>
      <c r="H2659" s="2"/>
      <c r="I2659" s="2"/>
      <c r="J2659" s="2"/>
      <c r="K2659" s="2"/>
      <c r="L2659" s="2"/>
      <c r="M2659" s="2"/>
      <c r="N2659" s="2"/>
      <c r="O2659" s="2"/>
      <c r="P2659" s="2"/>
      <c r="Q2659" s="2"/>
      <c r="R2659" s="2"/>
      <c r="S2659" s="2"/>
      <c r="T2659" s="2"/>
      <c r="U2659" s="2"/>
      <c r="V2659" s="2"/>
      <c r="W2659" s="2"/>
      <c r="X2659" s="2"/>
      <c r="Y2659" s="2"/>
      <c r="Z2659" s="2"/>
      <c r="AA2659" s="2"/>
    </row>
    <row r="2660">
      <c r="A2660" s="1" t="s">
        <v>6268</v>
      </c>
      <c r="B2660" s="1" t="s">
        <v>6291</v>
      </c>
      <c r="C2660" s="1" t="s">
        <v>6292</v>
      </c>
      <c r="D2660" s="2" t="str">
        <f>IFERROR(__xludf.DUMMYFUNCTION("GOOGLETRANSLATE(B2660, ""en"", ""TL"")"),"Paano pinapanagot sa ilalim ng batas ang mga indibidwal na kasangkot sa pag-oorganisa o paglahok sa mga labanan ng hayop?")</f>
        <v>Paano pinapanagot sa ilalim ng batas ang mga indibidwal na kasangkot sa pag-oorganisa o paglahok sa mga labanan ng hayop?</v>
      </c>
      <c r="E2660" s="2" t="str">
        <f>IFERROR(__xludf.DUMMYFUNCTION("GOOGLETRANSLATE(C2660, ""en"", ""TL"")"),"Ang mga indibidwal na kasangkot sa pag-oorganisa o paglahok sa mga labanan ng hayop ay mananagot sa ilalim ng batas ng Pilipinas, partikular sa ilalim ng Animal Welfare Act (Republic Act 8485), na sinususugan ng Republic Act 10631. Narito ang mga pangunah"&amp;"ing punto na may kaugnayan sa pananagutan ng mga indibidwal na nakikibahagi sa mga labanan ng hayop:
1. **Animal Welfare Act (RA 8485, na sinususugan ng RA 10631):**
- Ang Animal Welfare Act ay ginagawang kriminal ang mga aktibidad na may kaugnayan sa mga"&amp;" pag-aaway ng hayop, kabilang ang pag-oorganisa, pagtataguyod, o paglahok sa mga naturang kaganapan.
- Ang Seksyon 6 ng batas ay tahasang nagbabawal sa pakikipaglaban sa mga hayop at nagpapataw ng mga parusa para sa mga paglabag.
2. **Mga Parusa para sa M"&amp;"ga Paglabag:**
- Ang mga indibidwal na napatunayang nagkasala ng paglabag sa Animal Welfare Act, partikular na tungkol sa mga pag-aaway ng hayop, ay maaaring maharap sa multa at pagkakulong.
- Ang mga parusa ay maaaring mula sa mga multa ng iba't ibang ha"&amp;"laga hanggang sa pagkakulong sa isang partikular na tagal, depende sa bigat ng pagkakasala.
3. **Pag-agaw at Pag-alis:**
- Pinahihintulutan ng batas ang pag-agaw ng mga hayop na sangkot sa mga labanan, gayundin ang anumang kagamitan, kagamitan, o kagamita"&amp;"n na ginagamit para sa mga naturang aktibidad.
- Maaaring ma-forfeiture ang mga bagay na ito kapag nahatulan, at maaaring iutos ng korte ang pagtatapon ng mga hayop sa paraang naaayon sa kapakanan ng mga hayop.
4. **Responsibilidad ng mga Organizer at Kal"&amp;"ahok:**
- Ang parehong mga indibidwal na nag-oorganisa at nakikilahok sa mga labanan ng hayop ay maaaring managot sa ilalim ng batas.
- Kabilang dito ang mga indibidwal na nagpo-promote, tumataya, o dumalo sa mga naturang kaganapan, gayundin ang mga direk"&amp;"tang kasangkot sa pagsasanay, pag-aanak, o paghawak ng mga hayop para sa mga layunin ng pakikipaglaban.
5. **Pag-uulat at Pagpapatupad:**
- Maaaring mag-ulat ang mga ahensyang nagpapatupad ng batas, mga organisasyong para sa kapakanan ng mga hayop, at mga"&amp;" nagmamalasakit na mamamayan ng mga pagkakataon ng mga pag-aaway ng hayop sa mga naaangkop na awtoridad.
- Ang mga awtoridad, tulad ng Philippine National Police (PNP) at National Bureau of Investigation (NBI), ay may pananagutan sa pag-imbestiga at pag-u"&amp;"usig sa mga kaso na may kaugnayan sa pakikipaglaban sa hayop.
6. **Pagtutulungan sa Animal Welfare Organizations:**
- Ang mga animal welfare organization ay gumaganap ng papel sa pagtataguyod para sa pagpapatupad ng mga batas laban sa mga pakikipaglaban s"&amp;"a hayop.
- Maaari silang makipagtulungan sa mga ahensyang nagpapatupad ng batas upang magbigay ng impormasyon, suportahan ang mga pagsisiyasat, at itaas ang kamalayan tungkol sa kalupitan at pagiging ilegal ng mga naturang aktibidad.
Mahalagang tandaan na"&amp;" ang legal na tanawin ay maaaring mag-evolve, at ang mga bagong batas o mga pagbabago sa mga kasalukuyang batas ay maaaring mangyari pagkatapos ng aking huling pag-update noong Enero 2022. Palaging sumangguni sa mga pinakabagong legal na mapagkukunan o ku"&amp;"munsulta sa mga legal na propesyonal para sa pinakabagong impormasyon tungkol sa pananagutan ng mga indibidwal sangkot sa mga labanan ng hayop sa Pilipinas.")</f>
        <v>Ang mga indibidwal na kasangkot sa pag-oorganisa o paglahok sa mga labanan ng hayop ay mananagot sa ilalim ng batas ng Pilipinas, partikular sa ilalim ng Animal Welfare Act (Republic Act 8485), na sinususugan ng Republic Act 10631. Narito ang mga pangunahing punto na may kaugnayan sa pananagutan ng mga indibidwal na nakikibahagi sa mga labanan ng hayop:
1. **Animal Welfare Act (RA 8485, na sinususugan ng RA 10631):**
- Ang Animal Welfare Act ay ginagawang kriminal ang mga aktibidad na may kaugnayan sa mga pag-aaway ng hayop, kabilang ang pag-oorganisa, pagtataguyod, o paglahok sa mga naturang kaganapan.
- Ang Seksyon 6 ng batas ay tahasang nagbabawal sa pakikipaglaban sa mga hayop at nagpapataw ng mga parusa para sa mga paglabag.
2. **Mga Parusa para sa Mga Paglabag:**
- Ang mga indibidwal na napatunayang nagkasala ng paglabag sa Animal Welfare Act, partikular na tungkol sa mga pag-aaway ng hayop, ay maaaring maharap sa multa at pagkakulong.
- Ang mga parusa ay maaaring mula sa mga multa ng iba't ibang halaga hanggang sa pagkakulong sa isang partikular na tagal, depende sa bigat ng pagkakasala.
3. **Pag-agaw at Pag-alis:**
- Pinahihintulutan ng batas ang pag-agaw ng mga hayop na sangkot sa mga labanan, gayundin ang anumang kagamitan, kagamitan, o kagamitan na ginagamit para sa mga naturang aktibidad.
- Maaaring ma-forfeiture ang mga bagay na ito kapag nahatulan, at maaaring iutos ng korte ang pagtatapon ng mga hayop sa paraang naaayon sa kapakanan ng mga hayop.
4. **Responsibilidad ng mga Organizer at Kalahok:**
- Ang parehong mga indibidwal na nag-oorganisa at nakikilahok sa mga labanan ng hayop ay maaaring managot sa ilalim ng batas.
- Kabilang dito ang mga indibidwal na nagpo-promote, tumataya, o dumalo sa mga naturang kaganapan, gayundin ang mga direktang kasangkot sa pagsasanay, pag-aanak, o paghawak ng mga hayop para sa mga layunin ng pakikipaglaban.
5. **Pag-uulat at Pagpapatupad:**
- Maaaring mag-ulat ang mga ahensyang nagpapatupad ng batas, mga organisasyong para sa kapakanan ng mga hayop, at mga nagmamalasakit na mamamayan ng mga pagkakataon ng mga pag-aaway ng hayop sa mga naaangkop na awtoridad.
- Ang mga awtoridad, tulad ng Philippine National Police (PNP) at National Bureau of Investigation (NBI), ay may pananagutan sa pag-imbestiga at pag-uusig sa mga kaso na may kaugnayan sa pakikipaglaban sa hayop.
6. **Pagtutulungan sa Animal Welfare Organizations:**
- Ang mga animal welfare organization ay gumaganap ng papel sa pagtataguyod para sa pagpapatupad ng mga batas laban sa mga pakikipaglaban sa hayop.
- Maaari silang makipagtulungan sa mga ahensyang nagpapatupad ng batas upang magbigay ng impormasyon, suportahan ang mga pagsisiyasat, at itaas ang kamalayan tungkol sa kalupitan at pagiging ilegal ng mga naturang aktibidad.
Mahalagang tandaan na ang legal na tanawin ay maaaring mag-evolve, at ang mga bagong batas o mga pagbabago sa mga kasalukuyang batas ay maaaring mangyari pagkatapos ng aking huling pag-update noong Enero 2022. Palaging sumangguni sa mga pinakabagong legal na mapagkukunan o kumunsulta sa mga legal na propesyonal para sa pinakabagong impormasyon tungkol sa pananagutan ng mga indibidwal sangkot sa mga labanan ng hayop sa Pilipinas.</v>
      </c>
      <c r="F2660" s="2">
        <f t="shared" si="1"/>
        <v>0</v>
      </c>
      <c r="G2660" s="2"/>
      <c r="H2660" s="2"/>
      <c r="I2660" s="2"/>
      <c r="J2660" s="2"/>
      <c r="K2660" s="2"/>
      <c r="L2660" s="2"/>
      <c r="M2660" s="2"/>
      <c r="N2660" s="2"/>
      <c r="O2660" s="2"/>
      <c r="P2660" s="2"/>
      <c r="Q2660" s="2"/>
      <c r="R2660" s="2"/>
      <c r="S2660" s="2"/>
      <c r="T2660" s="2"/>
      <c r="U2660" s="2"/>
      <c r="V2660" s="2"/>
      <c r="W2660" s="2"/>
      <c r="X2660" s="2"/>
      <c r="Y2660" s="2"/>
      <c r="Z2660" s="2"/>
      <c r="AA2660" s="2"/>
    </row>
    <row r="2661">
      <c r="A2661" s="1" t="s">
        <v>6268</v>
      </c>
      <c r="B2661" s="1" t="s">
        <v>6293</v>
      </c>
      <c r="C2661" s="1" t="s">
        <v>6294</v>
      </c>
      <c r="D2661" s="2" t="str">
        <f>IFERROR(__xludf.DUMMYFUNCTION("GOOGLETRANSLATE(B2661, ""en"", ""TL"")"),"Mayroon bang mga legal na probisyon para sa pagpaparehistro at pagkakakilanlan ng mga alagang hayop upang maiwasan ang pang-aabuso sa hayop?")</f>
        <v>Mayroon bang mga legal na probisyon para sa pagpaparehistro at pagkakakilanlan ng mga alagang hayop upang maiwasan ang pang-aabuso sa hayop?</v>
      </c>
      <c r="E2661" s="2" t="str">
        <f>IFERROR(__xludf.DUMMYFUNCTION("GOOGLETRANSLATE(C2661, ""en"", ""TL"")"),"Sa aking kaalaman na cutoff noong Enero 2022, ang Pilipinas ay walang pambansang batas na partikular na nangangailangan ng pagpaparehistro at pagkakakilanlan ng mga alagang hayop para sa pag-iwas sa pang-aabuso sa hayop. Gayunpaman, may mga pangkalahatang"&amp;" batas sa kapakanan ng hayop at mga ordinansa ng lokal na pamahalaan na tumutugon sa makataong pagtrato sa mga hayop, kabilang ang mga probisyon na may kaugnayan sa responsableng pagmamay-ari ng alagang hayop. Mahalagang suriin ang anumang mga update o ba"&amp;"gong batas na lampas sa aking huling data ng pagsasanay noong Enero 2022.
Narito ang ilang mahahalagang punto na nauugnay sa pagpaparehistro at pagkakakilanlan ng mga alagang hayop:
1. **Animal Welfare Act (RA 8485, na sinususugan ng RA 10631):**
- Bagama"&amp;"'t ang Animal Welfare Act ay nakatuon sa pangkalahatang kapakanan ng mga hayop, hindi nito partikular na ipinag-uutos ang pagpaparehistro at pagkakakilanlan ng mga alagang hayop.
- Binibigyang-diin ng batas ang responsableng pagmamay-ari ng alagang hayop "&amp;"at ang tungkulin ng mga may-ari na magbigay ng wastong pangangalaga, tirahan, at makataong pagtrato sa kanilang mga hayop.
2. **Mga Ordenansa ng Lokal na Pamahalaan:**
- Maaaring may mga ordinansa ang ilang local government units (LGUs) na nangangailangan"&amp;" ng pagpaparehistro at pagkakakilanlan ng mga alagang hayop.
- Maaaring kabilang sa mga ordinansang ito ang mga probisyon para sa paglilisensya ng alagang hayop, na maaaring mag-ambag sa mas mahusay na kontrol at pagsubaybay sa populasyon ng alagang hayop"&amp;" sa loob ng isang partikular na lugar.
3. **Anti-Rabies Act (RA 9482):**
- Ang Anti-Rabies Act ay nagbibigay-diin sa responsableng pagmamay-ari ng alagang hayop bilang isang hakbang upang maiwasan ang pagkalat ng rabies.
- Bagama't pangunahing nakatuon an"&amp;"g batas sa mga kinakailangan sa pagbabakuna, maaaring isama ng ilang LGU ang pagpaparehistro ng alagang hayop at mga hakbang sa pagkilala sa kanilang mga programa sa pagkontrol sa rabies.
4. **Pagtutulungan sa Animal Welfare Organizations:**
- Maaaring is"&amp;"ulong ng mga animal welfare organization at advocacy group ang kahalagahan ng pagpaparehistro at pagkilala sa alagang hayop bilang bahagi ng responsableng pagmamay-ari ng alagang hayop.
- Ang mga organisasyong ito ay maaaring makipagtulungan sa mga lokal "&amp;"na komunidad upang hikayatin ang pagpapatibay ng mga hakbang na makakatulong na maiwasan ang pang-aabuso sa hayop at matiyak ang kapakanan ng mga alagang hayop.
Napakahalagang suriin ang mga partikular na batas at ordinansa sa nauugnay na lokalidad, dahil"&amp;" maaaring mag-iba ang mga kinakailangan para sa pagpaparehistro at pagkakakilanlan ng alagang hayop. Bukod pa rito, ang mga pagbabago sa mga kasalukuyang batas o ang pagpapakilala ng bagong batas ay maaaring naganap pagkatapos ng aking huling data ng pags"&amp;"asanay noong Enero 2022. Palaging kumunsulta sa pinakabagong mga legal na mapagkukunan o humingi ng payo mula sa mga lokal na awtoridad para sa pinakabagong impormasyon.")</f>
        <v>Sa aking kaalaman na cutoff noong Enero 2022, ang Pilipinas ay walang pambansang batas na partikular na nangangailangan ng pagpaparehistro at pagkakakilanlan ng mga alagang hayop para sa pag-iwas sa pang-aabuso sa hayop. Gayunpaman, may mga pangkalahatang batas sa kapakanan ng hayop at mga ordinansa ng lokal na pamahalaan na tumutugon sa makataong pagtrato sa mga hayop, kabilang ang mga probisyon na may kaugnayan sa responsableng pagmamay-ari ng alagang hayop. Mahalagang suriin ang anumang mga update o bagong batas na lampas sa aking huling data ng pagsasanay noong Enero 2022.
Narito ang ilang mahahalagang punto na nauugnay sa pagpaparehistro at pagkakakilanlan ng mga alagang hayop:
1. **Animal Welfare Act (RA 8485, na sinususugan ng RA 10631):**
- Bagama't ang Animal Welfare Act ay nakatuon sa pangkalahatang kapakanan ng mga hayop, hindi nito partikular na ipinag-uutos ang pagpaparehistro at pagkakakilanlan ng mga alagang hayop.
- Binibigyang-diin ng batas ang responsableng pagmamay-ari ng alagang hayop at ang tungkulin ng mga may-ari na magbigay ng wastong pangangalaga, tirahan, at makataong pagtrato sa kanilang mga hayop.
2. **Mga Ordenansa ng Lokal na Pamahalaan:**
- Maaaring may mga ordinansa ang ilang local government units (LGUs) na nangangailangan ng pagpaparehistro at pagkakakilanlan ng mga alagang hayop.
- Maaaring kabilang sa mga ordinansang ito ang mga probisyon para sa paglilisensya ng alagang hayop, na maaaring mag-ambag sa mas mahusay na kontrol at pagsubaybay sa populasyon ng alagang hayop sa loob ng isang partikular na lugar.
3. **Anti-Rabies Act (RA 9482):**
- Ang Anti-Rabies Act ay nagbibigay-diin sa responsableng pagmamay-ari ng alagang hayop bilang isang hakbang upang maiwasan ang pagkalat ng rabies.
- Bagama't pangunahing nakatuon ang batas sa mga kinakailangan sa pagbabakuna, maaaring isama ng ilang LGU ang pagpaparehistro ng alagang hayop at mga hakbang sa pagkilala sa kanilang mga programa sa pagkontrol sa rabies.
4. **Pagtutulungan sa Animal Welfare Organizations:**
- Maaaring isulong ng mga animal welfare organization at advocacy group ang kahalagahan ng pagpaparehistro at pagkilala sa alagang hayop bilang bahagi ng responsableng pagmamay-ari ng alagang hayop.
- Ang mga organisasyong ito ay maaaring makipagtulungan sa mga lokal na komunidad upang hikayatin ang pagpapatibay ng mga hakbang na makakatulong na maiwasan ang pang-aabuso sa hayop at matiyak ang kapakanan ng mga alagang hayop.
Napakahalagang suriin ang mga partikular na batas at ordinansa sa nauugnay na lokalidad, dahil maaaring mag-iba ang mga kinakailangan para sa pagpaparehistro at pagkakakilanlan ng alagang hayop. Bukod pa rito, ang mga pagbabago sa mga kasalukuyang batas o ang pagpapakilala ng bagong batas ay maaaring naganap pagkatapos ng aking huling data ng pagsasanay noong Enero 2022. Palaging kumunsulta sa pinakabagong mga legal na mapagkukunan o humingi ng payo mula sa mga lokal na awtoridad para sa pinakabagong impormasyon.</v>
      </c>
      <c r="F2661" s="2">
        <f t="shared" si="1"/>
        <v>0</v>
      </c>
      <c r="G2661" s="2"/>
      <c r="H2661" s="2"/>
      <c r="I2661" s="2"/>
      <c r="J2661" s="2"/>
      <c r="K2661" s="2"/>
      <c r="L2661" s="2"/>
      <c r="M2661" s="2"/>
      <c r="N2661" s="2"/>
      <c r="O2661" s="2"/>
      <c r="P2661" s="2"/>
      <c r="Q2661" s="2"/>
      <c r="R2661" s="2"/>
      <c r="S2661" s="2"/>
      <c r="T2661" s="2"/>
      <c r="U2661" s="2"/>
      <c r="V2661" s="2"/>
      <c r="W2661" s="2"/>
      <c r="X2661" s="2"/>
      <c r="Y2661" s="2"/>
      <c r="Z2661" s="2"/>
      <c r="AA2661" s="2"/>
    </row>
    <row r="2662">
      <c r="A2662" s="1" t="s">
        <v>6268</v>
      </c>
      <c r="B2662" s="1" t="s">
        <v>6295</v>
      </c>
      <c r="C2662" s="1" t="s">
        <v>6296</v>
      </c>
      <c r="D2662" s="2" t="str">
        <f>IFERROR(__xludf.DUMMYFUNCTION("GOOGLETRANSLATE(B2662, ""en"", ""TL"")"),"Paano tinutugunan ng batas ang isyu ng mga ligaw na hayop sa mga urban na lugar at ang kanilang makataong pagtrato?")</f>
        <v>Paano tinutugunan ng batas ang isyu ng mga ligaw na hayop sa mga urban na lugar at ang kanilang makataong pagtrato?</v>
      </c>
      <c r="E2662" s="2" t="str">
        <f>IFERROR(__xludf.DUMMYFUNCTION("GOOGLETRANSLATE(C2662, ""en"", ""TL"")"),"Sa Pilipinas, ang isyu ng mga ligaw na hayop sa mga urban na lugar at ang kanilang makataong pagtrato ay tinutugunan ng iba't ibang batas at regulasyon. Narito ang ilang mahahalagang punto tungkol sa bagay na ito:
1. **Animal Welfare Act (RA 8485, na sinu"&amp;"susugan ng RA 10631):**
- Ang Animal Welfare Act ay isang komprehensibong batas na tumutugon sa makataong pagtrato sa mga hayop, kabilang ang mga ligaw na hayop.
- Ipinagbabawal nito ang pagmamaltrato, pagpapabaya, pag-abandona, at malupit na pagkilos lab"&amp;"an sa mga hayop, na binibigyang-diin ang responsibilidad ng mga may-ari ng hayop na magbigay ng wastong pangangalaga.
2. **Mga Code ng Lokal na Pamahalaan:**
- Ang mga local government units (LGUs) ay binibigyang kapangyarihan na tugunan ang mga isyu na m"&amp;"ay kaugnayan sa mga ligaw na hayop sa pamamagitan ng kani-kanilang mga lokal na ordinansa.
- Maraming mga LGU ang may mga ordinansa na kumokontrol sa kontrol at pamamahala ng mga ligaw na hayop sa loob ng kanilang nasasakupan.
3. **Pag-impound at Pagtubos"&amp;":**
- Ang mga lokal na ordinansa ay kadalasang kinabibilangan ng mga probisyon para sa pag-impound ng mga ligaw na hayop na matatagpuan sa mga pampublikong lugar.
- Maaaring hilingin sa mga may-ari ng mga na-impound na hayop na magbayad ng mga multa o bay"&amp;"ad sa pagtubos upang mabawi ang kanilang mga alagang hayop.
4. **Anti-Rabies Act (RA 9482):**
- Ang Anti-Rabies Act ay nag-uutos sa pagkontrol at pag-iwas sa rabies, na kinabibilangan ng mga hakbang upang pamahalaan ang mga ligaw na aso sa mga urban na lu"&amp;"gar.
- Ang mga LGU ay inatasang magpatupad ng mga programa upang makontrol ang populasyon ng mga asong gala, kadalasan sa pamamagitan ng pagbabakuna at responsableng mga kampanya sa pagmamay-ari ng alagang hayop.
5. **Pagtutulungan sa Animal Welfare Organ"&amp;"izations:**
- Ang mga yunit ng lokal na pamahalaan ay maaaring makipagtulungan sa mga organisasyon ng kapakanan ng hayop upang matugunan ang isyu ng mga ligaw na hayop.
- Maaaring kabilang sa mga pinagsamang pagsisikap ang mga hakbangin para sa makataong "&amp;"pagtrato, pagliligtas, at muling pagpapatira ng mga ligaw na hayop.
6. **Mga Kampanya na Pang-edukasyon:**
- Ang mga batas at lokal na inisyatiba ay kadalasang kinabibilangan ng mga kampanyang pang-edukasyon upang itaas ang kamalayan ng publiko tungkol sa"&amp;" responsableng pagmamay-ari ng alagang hayop at ang mga kahihinatnan ng pag-abandona sa mga hayop.
7. **Humane Euthanasia Practice:**
- Sa mga kaso kung saan ang mga ligaw na hayop ay nagdudulot ng banta sa kaligtasan ng publiko o hindi maaaring ligtas na"&amp;" maibalik, ang mga lokal na ordinansa ay maaaring magbigay-daan para sa makataong euthanasia na mga kasanayan. Gayunpaman, dapat itong isagawa nang may sensitivity at pagsunod sa itinatag na mga alituntunin.
Mahalagang tandaan na ang mga detalye ng mga ba"&amp;"tas at ordinansa na may kaugnayan sa mga ligaw na hayop ay maaaring mag-iba sa iba't ibang LGU sa Pilipinas. Sa pag-cutoff ng aking kaalaman noong Enero 2022, inirerekomendang suriin ang pinakabagong mga lokal na ordinansa at regulasyon sa partikular na l"&amp;"ugar ng pag-aalala para sa pinakabagong impormasyon sa makataong pagtrato sa mga ligaw na hayop.")</f>
        <v>Sa Pilipinas, ang isyu ng mga ligaw na hayop sa mga urban na lugar at ang kanilang makataong pagtrato ay tinutugunan ng iba't ibang batas at regulasyon. Narito ang ilang mahahalagang punto tungkol sa bagay na ito:
1. **Animal Welfare Act (RA 8485, na sinususugan ng RA 10631):**
- Ang Animal Welfare Act ay isang komprehensibong batas na tumutugon sa makataong pagtrato sa mga hayop, kabilang ang mga ligaw na hayop.
- Ipinagbabawal nito ang pagmamaltrato, pagpapabaya, pag-abandona, at malupit na pagkilos laban sa mga hayop, na binibigyang-diin ang responsibilidad ng mga may-ari ng hayop na magbigay ng wastong pangangalaga.
2. **Mga Code ng Lokal na Pamahalaan:**
- Ang mga local government units (LGUs) ay binibigyang kapangyarihan na tugunan ang mga isyu na may kaugnayan sa mga ligaw na hayop sa pamamagitan ng kani-kanilang mga lokal na ordinansa.
- Maraming mga LGU ang may mga ordinansa na kumokontrol sa kontrol at pamamahala ng mga ligaw na hayop sa loob ng kanilang nasasakupan.
3. **Pag-impound at Pagtubos:**
- Ang mga lokal na ordinansa ay kadalasang kinabibilangan ng mga probisyon para sa pag-impound ng mga ligaw na hayop na matatagpuan sa mga pampublikong lugar.
- Maaaring hilingin sa mga may-ari ng mga na-impound na hayop na magbayad ng mga multa o bayad sa pagtubos upang mabawi ang kanilang mga alagang hayop.
4. **Anti-Rabies Act (RA 9482):**
- Ang Anti-Rabies Act ay nag-uutos sa pagkontrol at pag-iwas sa rabies, na kinabibilangan ng mga hakbang upang pamahalaan ang mga ligaw na aso sa mga urban na lugar.
- Ang mga LGU ay inatasang magpatupad ng mga programa upang makontrol ang populasyon ng mga asong gala, kadalasan sa pamamagitan ng pagbabakuna at responsableng mga kampanya sa pagmamay-ari ng alagang hayop.
5. **Pagtutulungan sa Animal Welfare Organizations:**
- Ang mga yunit ng lokal na pamahalaan ay maaaring makipagtulungan sa mga organisasyon ng kapakanan ng hayop upang matugunan ang isyu ng mga ligaw na hayop.
- Maaaring kabilang sa mga pinagsamang pagsisikap ang mga hakbangin para sa makataong pagtrato, pagliligtas, at muling pagpapatira ng mga ligaw na hayop.
6. **Mga Kampanya na Pang-edukasyon:**
- Ang mga batas at lokal na inisyatiba ay kadalasang kinabibilangan ng mga kampanyang pang-edukasyon upang itaas ang kamalayan ng publiko tungkol sa responsableng pagmamay-ari ng alagang hayop at ang mga kahihinatnan ng pag-abandona sa mga hayop.
7. **Humane Euthanasia Practice:**
- Sa mga kaso kung saan ang mga ligaw na hayop ay nagdudulot ng banta sa kaligtasan ng publiko o hindi maaaring ligtas na maibalik, ang mga lokal na ordinansa ay maaaring magbigay-daan para sa makataong euthanasia na mga kasanayan. Gayunpaman, dapat itong isagawa nang may sensitivity at pagsunod sa itinatag na mga alituntunin.
Mahalagang tandaan na ang mga detalye ng mga batas at ordinansa na may kaugnayan sa mga ligaw na hayop ay maaaring mag-iba sa iba't ibang LGU sa Pilipinas. Sa pag-cutoff ng aking kaalaman noong Enero 2022, inirerekomendang suriin ang pinakabagong mga lokal na ordinansa at regulasyon sa partikular na lugar ng pag-aalala para sa pinakabagong impormasyon sa makataong pagtrato sa mga ligaw na hayop.</v>
      </c>
      <c r="F2662" s="2">
        <f t="shared" si="1"/>
        <v>0</v>
      </c>
      <c r="G2662" s="2"/>
      <c r="H2662" s="2"/>
      <c r="I2662" s="2"/>
      <c r="J2662" s="2"/>
      <c r="K2662" s="2"/>
      <c r="L2662" s="2"/>
      <c r="M2662" s="2"/>
      <c r="N2662" s="2"/>
      <c r="O2662" s="2"/>
      <c r="P2662" s="2"/>
      <c r="Q2662" s="2"/>
      <c r="R2662" s="2"/>
      <c r="S2662" s="2"/>
      <c r="T2662" s="2"/>
      <c r="U2662" s="2"/>
      <c r="V2662" s="2"/>
      <c r="W2662" s="2"/>
      <c r="X2662" s="2"/>
      <c r="Y2662" s="2"/>
      <c r="Z2662" s="2"/>
      <c r="AA2662" s="2"/>
    </row>
    <row r="2663">
      <c r="A2663" s="1" t="s">
        <v>6268</v>
      </c>
      <c r="B2663" s="1" t="s">
        <v>6297</v>
      </c>
      <c r="C2663" s="1" t="s">
        <v>6298</v>
      </c>
      <c r="D2663" s="2" t="str">
        <f>IFERROR(__xludf.DUMMYFUNCTION("GOOGLETRANSLATE(B2663, ""en"", ""TL"")"),"Ano ang papel na ginagampanan ng mga organisasyon ng kapakanan ng hayop sa pag-iwas at interbensyon sa mga kaso ng pang-aabuso sa hayop?")</f>
        <v>Ano ang papel na ginagampanan ng mga organisasyon ng kapakanan ng hayop sa pag-iwas at interbensyon sa mga kaso ng pang-aabuso sa hayop?</v>
      </c>
      <c r="E2663" s="2" t="str">
        <f>IFERROR(__xludf.DUMMYFUNCTION("GOOGLETRANSLATE(C2663, ""en"", ""TL"")"),"Sa Pilipinas, ang mga organisasyon ng kapakanan ng hayop ay may mahalagang papel sa pag-iwas at interbensyon sa mga kaso ng pang-aabuso sa hayop. Nakatuon ang ilang batas at regulasyon sa proteksyon ng mga hayop, at aktibong nag-aambag ang mga organisasyo"&amp;"ng ito sa pagpapatupad at pagsulong ng mga hakbang na ito. Narito ang ilang paraan kung saan sila nag-aambag:
1. **Adbokasiya at Edukasyon:**
- Ang mga organisasyong pangkalusugan ng hayop ay nagsisikap na itaas ang kamalayan tungkol sa mga karapatan at p"&amp;"angangailangan ng mga hayop sa pamamagitan ng mga programang pang-edukasyon at mga kampanya.
- Nagsasagawa sila ng mga seminar, workshop, at mga kampanya ng kamalayan upang ipaalam sa publiko ang tungkol sa mga legal na obligasyon at etikal na pagsasaalan"&amp;"g-alang tungkol sa paggamot sa mga hayop.
2. **Batas at Pagtataguyod ng Patakaran:**
- Ang mga organisasyong ito ay aktibong lumahok sa pagtataguyod para sa paglikha at pagpapabuti ng mga batas na may kaugnayan sa kapakanan ng hayop.
- Nakikipagtulungan s"&amp;"ila sa mga katawan ng gobyerno at mga mambabatas upang itulak ang mas mahigpit na mga regulasyon at parusa para sa pang-aabuso sa hayop.
3. **Pagsagip at Rehabilitasyon:**
- Maraming mga organisasyon ng kapakanan ng hayop ang kasangkot sa pagliligtas at p"&amp;"agsasaayos ng mga hayop na sumailalim sa pang-aabuso o kapabayaan.
- Nagbibigay sila ng tirahan, pangangalagang medikal, at mga serbisyo sa rehabilitasyon upang matiyak ang kapakanan ng mga nailigtas na hayop.
4. **Pagsubaybay at Pag-uulat:**
- Ang mga or"&amp;"ganisasyong pangkalusugan ng hayop ay madalas na nagtatrabaho upang subaybayan at iulat ang mga kaso ng pang-aabuso sa hayop sa mga may-katuturang awtoridad.
- Gumaganap sila bilang tulay sa pagitan ng komunidad at mga ahensyang nagpapatupad ng batas, na "&amp;"tumutulong na matiyak na ang mga kaso ay maayos na naidokumento at natugunan.
5. **Pakikipagtulungan sa Pagpapatupad ng Batas:**
- Ang mga organisasyong ito ay nakikipagtulungan sa mga ahensyang nagpapatupad ng batas upang mapadali ang imbestigasyon at pa"&amp;"g-uusig ng mga kaso ng pang-aabuso sa hayop.
- Maaari silang magbigay ng kadalubhasaan, mapagkukunan, o suporta sa mga awtoridad na humaharap sa mga ganitong kaso.
6. **Pag-promote ng Mga Etikal na Kasanayan:**
- Itinataguyod ng mga organisasyong pangkalu"&amp;"sugan ng hayop ang etikal na pagtrato sa mga hayop sa pamamagitan ng paghikayat sa responsableng pagmamay-ari ng alagang hayop at makataong mga kasanayan sa pagsasaka.
- Maaari silang magbigay ng gabay sa wastong pangangalaga, nutrisyon, at kondisyon ng p"&amp;"amumuhay para sa mga hayop.
7. **Legal na Tulong:**
- Ang ilang mga organisasyon ay nag-aalok ng legal na tulong upang matiyak na ang mga kaso ng pang-aabuso sa hayop ay maayos na natutuloy alinsunod sa mga umiiral na batas.
- Maaari rin silang makisali s"&amp;"a paglilitis upang humingi ng hustisya para sa mga inaabusong hayop.
Sa pangkalahatan, ang mga organisasyon ng kapakanan ng hayop ay may mahalagang papel sa pagpapaunlad ng kultura ng pakikiramay at pananagutan sa mga hayop, na aktibong nag-aambag sa pag-"&amp;"iwas at interbensyon ng mga kaso ng pang-aabuso sa hayop sa Pilipinas.")</f>
        <v>Sa Pilipinas, ang mga organisasyon ng kapakanan ng hayop ay may mahalagang papel sa pag-iwas at interbensyon sa mga kaso ng pang-aabuso sa hayop. Nakatuon ang ilang batas at regulasyon sa proteksyon ng mga hayop, at aktibong nag-aambag ang mga organisasyong ito sa pagpapatupad at pagsulong ng mga hakbang na ito. Narito ang ilang paraan kung saan sila nag-aambag:
1. **Adbokasiya at Edukasyon:**
- Ang mga organisasyong pangkalusugan ng hayop ay nagsisikap na itaas ang kamalayan tungkol sa mga karapatan at pangangailangan ng mga hayop sa pamamagitan ng mga programang pang-edukasyon at mga kampanya.
- Nagsasagawa sila ng mga seminar, workshop, at mga kampanya ng kamalayan upang ipaalam sa publiko ang tungkol sa mga legal na obligasyon at etikal na pagsasaalang-alang tungkol sa paggamot sa mga hayop.
2. **Batas at Pagtataguyod ng Patakaran:**
- Ang mga organisasyong ito ay aktibong lumahok sa pagtataguyod para sa paglikha at pagpapabuti ng mga batas na may kaugnayan sa kapakanan ng hayop.
- Nakikipagtulungan sila sa mga katawan ng gobyerno at mga mambabatas upang itulak ang mas mahigpit na mga regulasyon at parusa para sa pang-aabuso sa hayop.
3. **Pagsagip at Rehabilitasyon:**
- Maraming mga organisasyon ng kapakanan ng hayop ang kasangkot sa pagliligtas at pagsasaayos ng mga hayop na sumailalim sa pang-aabuso o kapabayaan.
- Nagbibigay sila ng tirahan, pangangalagang medikal, at mga serbisyo sa rehabilitasyon upang matiyak ang kapakanan ng mga nailigtas na hayop.
4. **Pagsubaybay at Pag-uulat:**
- Ang mga organisasyong pangkalusugan ng hayop ay madalas na nagtatrabaho upang subaybayan at iulat ang mga kaso ng pang-aabuso sa hayop sa mga may-katuturang awtoridad.
- Gumaganap sila bilang tulay sa pagitan ng komunidad at mga ahensyang nagpapatupad ng batas, na tumutulong na matiyak na ang mga kaso ay maayos na naidokumento at natugunan.
5. **Pakikipagtulungan sa Pagpapatupad ng Batas:**
- Ang mga organisasyong ito ay nakikipagtulungan sa mga ahensyang nagpapatupad ng batas upang mapadali ang imbestigasyon at pag-uusig ng mga kaso ng pang-aabuso sa hayop.
- Maaari silang magbigay ng kadalubhasaan, mapagkukunan, o suporta sa mga awtoridad na humaharap sa mga ganitong kaso.
6. **Pag-promote ng Mga Etikal na Kasanayan:**
- Itinataguyod ng mga organisasyong pangkalusugan ng hayop ang etikal na pagtrato sa mga hayop sa pamamagitan ng paghikayat sa responsableng pagmamay-ari ng alagang hayop at makataong mga kasanayan sa pagsasaka.
- Maaari silang magbigay ng gabay sa wastong pangangalaga, nutrisyon, at kondisyon ng pamumuhay para sa mga hayop.
7. **Legal na Tulong:**
- Ang ilang mga organisasyon ay nag-aalok ng legal na tulong upang matiyak na ang mga kaso ng pang-aabuso sa hayop ay maayos na natutuloy alinsunod sa mga umiiral na batas.
- Maaari rin silang makisali sa paglilitis upang humingi ng hustisya para sa mga inaabusong hayop.
Sa pangkalahatan, ang mga organisasyon ng kapakanan ng hayop ay may mahalagang papel sa pagpapaunlad ng kultura ng pakikiramay at pananagutan sa mga hayop, na aktibong nag-aambag sa pag-iwas at interbensyon ng mga kaso ng pang-aabuso sa hayop sa Pilipinas.</v>
      </c>
      <c r="F2663" s="2">
        <f t="shared" si="1"/>
        <v>0</v>
      </c>
      <c r="G2663" s="2"/>
      <c r="H2663" s="2"/>
      <c r="I2663" s="2"/>
      <c r="J2663" s="2"/>
      <c r="K2663" s="2"/>
      <c r="L2663" s="2"/>
      <c r="M2663" s="2"/>
      <c r="N2663" s="2"/>
      <c r="O2663" s="2"/>
      <c r="P2663" s="2"/>
      <c r="Q2663" s="2"/>
      <c r="R2663" s="2"/>
      <c r="S2663" s="2"/>
      <c r="T2663" s="2"/>
      <c r="U2663" s="2"/>
      <c r="V2663" s="2"/>
      <c r="W2663" s="2"/>
      <c r="X2663" s="2"/>
      <c r="Y2663" s="2"/>
      <c r="Z2663" s="2"/>
      <c r="AA2663" s="2"/>
    </row>
    <row r="2664">
      <c r="A2664" s="1" t="s">
        <v>6268</v>
      </c>
      <c r="B2664" s="1" t="s">
        <v>6299</v>
      </c>
      <c r="C2664" s="1" t="s">
        <v>6300</v>
      </c>
      <c r="D2664" s="2" t="str">
        <f>IFERROR(__xludf.DUMMYFUNCTION("GOOGLETRANSLATE(B2664, ""en"", ""TL"")"),"Paano pinapanagot sa ilalim ng batas ang mga indibiduwal na sangkot sa pagdadala ng mga hayop nang hindi makatao?")</f>
        <v>Paano pinapanagot sa ilalim ng batas ang mga indibiduwal na sangkot sa pagdadala ng mga hayop nang hindi makatao?</v>
      </c>
      <c r="E2664" s="2" t="str">
        <f>IFERROR(__xludf.DUMMYFUNCTION("GOOGLETRANSLATE(C2664, ""en"", ""TL"")"),"Ang Pilipinas ay may mga batas at regulasyon upang tugunan ang hindi makataong transportasyon ng mga hayop, ngunit ang pagpapatupad ay maaaring maging mahirap. Narito kung paano pinananagot ng legal na sistema ang mga indibidwal:
**Mga Pangunahing Batas a"&amp;"t Regulasyon:**
* **Republic Act No. 8485 (The Animal Welfare Act of 1998):** Ipinagbabawal ng Batas na ito ang pagdudulot ng hindi kinakailangang pagdurusa o pananakit sa anumang hayop. Ang pagdadala ng mga hayop sa paraang nagdudulot sa kanila ng labis "&amp;"na stress, pinsala, dehydration, o pagka-suffocation ay malinaw na nasa ilalim ng pagbabawal na ito. * **Department of Agriculture Administrative Order No. 13 (DAO 13):** Inilabas noong 2013, ang kautusang ito ay nagbibigay ng mga partikular na alituntuni"&amp;"n para sa makataong paghawak ng mga alagang hayop at sakahan sa panahon ng transportasyon. Tinutukoy nito ang mga kinakailangan tungkol sa:
* Kaangkupan ng sasakyan (ventilation, space allocation)
* Mga panahon ng pahinga at mga iskedyul ng pagtutubig sa "&amp;"mahabang paglalakbay
* Mga pagsasaalang-alang sa panahon (pag-iwas sa matinding init o lamig sa panahon ng transportasyon)
**Mga Parusa para sa Mga Paglabag:**
* **Mga multa:** Ang mga multa para sa paglabag sa Animal Welfare Act at DAO 13 ay maaaring mul"&amp;"a sa Isang Libong Piso (Php 1,000.00) hanggang Dalawampu't Limang Libong Piso (Php 25,000.00) para sa unang paglabag. Tataas ang mga parusa para sa mga kasunod na pagkakasala.
* **Pagkumpiska ng mga Hayop:** Maaaring kumpiskahin ng mga awtoridad ang mga h"&amp;"ayop na dinadala sa ilalim ng hindi makataong mga kondisyon. Ang mga hayop na ito ay masisilungan ng mga ahensya ng gobyerno o mga organisasyon ng kapakanan ng hayop.
**Mga Hamon at Isyu sa Pagpapatupad:**
* **Limited Resources:** Ang Department of Agricu"&amp;"lture (DA) ay maaaring humarap sa mga hadlang sa mapagkukunan na naglilimita sa bilang ng mga tauhan na magagamit upang magsagawa ng mga inspeksyon sa mga terminal ng transportasyon at mga checkpoint.
* **Hirap sa Pagtukoy:** Ang mga hindi makataong gawi "&amp;"sa panahon ng transportasyon ay maaaring hindi palaging makikita sa mga maikling inspeksyon. * **Kakulangan ng Pampublikong Kamalayan:** Ang kamalayan ng publiko tungkol sa mga regulasyon para sa makataong transportasyon ng hayop ay mahalaga para sa pag-u"&amp;"ulat ng mga pinaghihinalaang paglabag.
**Ano ang Magagawa Mo:**
* **Mag-ulat ng Pinaghihinalaang Pang-aabuso:** Kung nakasaksi ka ng mga hayop na dinadala sa mga masikip na sasakyan, walang maayos na bentilasyon, o nagpapakita ng mga senyales ng pagkabali"&amp;"sa, iulat ito sa mga opisyal ng barangay, DA, o mga organisasyon ng kapakanan ng hayop tulad ng PAWS.
* **Magtipon ng Ebidensya:** Kung maaari, kumuha ng mga larawan o video ng hindi makataong kondisyon sa transportasyon bilang ebidensya para sa mga awtor"&amp;"idad.
**Ang Pasulong:**
* **Pagpapalakas ng Pagpapatupad:** Ang pagtaas ng mga mapagkukunang inilalaan sa DA para sa pagpapatupad ng kapakanan ng hayop ay maaaring mapabuti ang pagsubaybay sa mga kasanayan sa transportasyon ng hayop.
* **Mga Kampanya sa P"&amp;"ampublikong Kamalayan:** Ang pagpapataas ng kamalayan ng publiko tungkol sa makataong mga pamantayan sa transportasyon ng hayop ay maaaring mahikayat ang mga tao na mag-ulat ng mga pinaghihinalaang paglabag.
* **Pinahusay na Pagsasanay sa Kapakanan ng Hay"&amp;"op:** Ang mga tauhan ng pagsasanay na kasangkot sa transportasyon ng mga hayop sa makataong mga kasanayan sa pangangasiwa ay makakatulong na matiyak ang mas mahusay na pagsunod sa mga regulasyon.
Sa pamamagitan ng pagtugon sa mga hamong ito at pagtutulung"&amp;"an, ang Pilipinas ay maaaring lumipat patungo sa isang sistema na nagsisiguro sa makataong transportasyon ng lahat ng mga hayop.")</f>
        <v>Ang Pilipinas ay may mga batas at regulasyon upang tugunan ang hindi makataong transportasyon ng mga hayop, ngunit ang pagpapatupad ay maaaring maging mahirap. Narito kung paano pinananagot ng legal na sistema ang mga indibidwal:
**Mga Pangunahing Batas at Regulasyon:**
* **Republic Act No. 8485 (The Animal Welfare Act of 1998):** Ipinagbabawal ng Batas na ito ang pagdudulot ng hindi kinakailangang pagdurusa o pananakit sa anumang hayop. Ang pagdadala ng mga hayop sa paraang nagdudulot sa kanila ng labis na stress, pinsala, dehydration, o pagka-suffocation ay malinaw na nasa ilalim ng pagbabawal na ito. * **Department of Agriculture Administrative Order No. 13 (DAO 13):** Inilabas noong 2013, ang kautusang ito ay nagbibigay ng mga partikular na alituntunin para sa makataong paghawak ng mga alagang hayop at sakahan sa panahon ng transportasyon. Tinutukoy nito ang mga kinakailangan tungkol sa:
* Kaangkupan ng sasakyan (ventilation, space allocation)
* Mga panahon ng pahinga at mga iskedyul ng pagtutubig sa mahabang paglalakbay
* Mga pagsasaalang-alang sa panahon (pag-iwas sa matinding init o lamig sa panahon ng transportasyon)
**Mga Parusa para sa Mga Paglabag:**
* **Mga multa:** Ang mga multa para sa paglabag sa Animal Welfare Act at DAO 13 ay maaaring mula sa Isang Libong Piso (Php 1,000.00) hanggang Dalawampu't Limang Libong Piso (Php 25,000.00) para sa unang paglabag. Tataas ang mga parusa para sa mga kasunod na pagkakasala.
* **Pagkumpiska ng mga Hayop:** Maaaring kumpiskahin ng mga awtoridad ang mga hayop na dinadala sa ilalim ng hindi makataong mga kondisyon. Ang mga hayop na ito ay masisilungan ng mga ahensya ng gobyerno o mga organisasyon ng kapakanan ng hayop.
**Mga Hamon at Isyu sa Pagpapatupad:**
* **Limited Resources:** Ang Department of Agriculture (DA) ay maaaring humarap sa mga hadlang sa mapagkukunan na naglilimita sa bilang ng mga tauhan na magagamit upang magsagawa ng mga inspeksyon sa mga terminal ng transportasyon at mga checkpoint.
* **Hirap sa Pagtukoy:** Ang mga hindi makataong gawi sa panahon ng transportasyon ay maaaring hindi palaging makikita sa mga maikling inspeksyon. * **Kakulangan ng Pampublikong Kamalayan:** Ang kamalayan ng publiko tungkol sa mga regulasyon para sa makataong transportasyon ng hayop ay mahalaga para sa pag-uulat ng mga pinaghihinalaang paglabag.
**Ano ang Magagawa Mo:**
* **Mag-ulat ng Pinaghihinalaang Pang-aabuso:** Kung nakasaksi ka ng mga hayop na dinadala sa mga masikip na sasakyan, walang maayos na bentilasyon, o nagpapakita ng mga senyales ng pagkabalisa, iulat ito sa mga opisyal ng barangay, DA, o mga organisasyon ng kapakanan ng hayop tulad ng PAWS.
* **Magtipon ng Ebidensya:** Kung maaari, kumuha ng mga larawan o video ng hindi makataong kondisyon sa transportasyon bilang ebidensya para sa mga awtoridad.
**Ang Pasulong:**
* **Pagpapalakas ng Pagpapatupad:** Ang pagtaas ng mga mapagkukunang inilalaan sa DA para sa pagpapatupad ng kapakanan ng hayop ay maaaring mapabuti ang pagsubaybay sa mga kasanayan sa transportasyon ng hayop.
* **Mga Kampanya sa Pampublikong Kamalayan:** Ang pagpapataas ng kamalayan ng publiko tungkol sa makataong mga pamantayan sa transportasyon ng hayop ay maaaring mahikayat ang mga tao na mag-ulat ng mga pinaghihinalaang paglabag.
* **Pinahusay na Pagsasanay sa Kapakanan ng Hayop:** Ang mga tauhan ng pagsasanay na kasangkot sa transportasyon ng mga hayop sa makataong mga kasanayan sa pangangasiwa ay makakatulong na matiyak ang mas mahusay na pagsunod sa mga regulasyon.
Sa pamamagitan ng pagtugon sa mga hamong ito at pagtutulungan, ang Pilipinas ay maaaring lumipat patungo sa isang sistema na nagsisiguro sa makataong transportasyon ng lahat ng mga hayop.</v>
      </c>
      <c r="F2664" s="2">
        <f t="shared" si="1"/>
        <v>0</v>
      </c>
      <c r="G2664" s="2"/>
      <c r="H2664" s="2"/>
      <c r="I2664" s="2"/>
      <c r="J2664" s="2"/>
      <c r="K2664" s="2"/>
      <c r="L2664" s="2"/>
      <c r="M2664" s="2"/>
      <c r="N2664" s="2"/>
      <c r="O2664" s="2"/>
      <c r="P2664" s="2"/>
      <c r="Q2664" s="2"/>
      <c r="R2664" s="2"/>
      <c r="S2664" s="2"/>
      <c r="T2664" s="2"/>
      <c r="U2664" s="2"/>
      <c r="V2664" s="2"/>
      <c r="W2664" s="2"/>
      <c r="X2664" s="2"/>
      <c r="Y2664" s="2"/>
      <c r="Z2664" s="2"/>
      <c r="AA2664" s="2"/>
    </row>
    <row r="2665">
      <c r="A2665" s="1" t="s">
        <v>6268</v>
      </c>
      <c r="B2665" s="1" t="s">
        <v>6301</v>
      </c>
      <c r="C2665" s="1" t="s">
        <v>6302</v>
      </c>
      <c r="D2665" s="2" t="str">
        <f>IFERROR(__xludf.DUMMYFUNCTION("GOOGLETRANSLATE(B2665, ""en"", ""TL"")"),"Mayroon bang mga legal na kahihinatnan para sa mga indibidwal na natagpuang nagtatapon ng mga mapanganib na materyales na pumipinsala sa mga hayop?")</f>
        <v>Mayroon bang mga legal na kahihinatnan para sa mga indibidwal na natagpuang nagtatapon ng mga mapanganib na materyales na pumipinsala sa mga hayop?</v>
      </c>
      <c r="E2665" s="2" t="str">
        <f>IFERROR(__xludf.DUMMYFUNCTION("GOOGLETRANSLATE(C2665, ""en"", ""TL"")"),"Oo, may mga legal na kahihinatnan para sa mga indibidwal na natagpuang nagtatapon ng mga mapanganib na materyales na pumipinsala sa mga hayop sa Pilipinas. Narito kung paano tinatalakay ng batas ang isyung ito:
**Mga Alalahanin sa Kapaligiran at Kapakanan"&amp;" ng Hayop:**
Ang pagtatapon ng mga mapanganib na materyales ay isang paglabag sa mga batas sa kapaligiran at maaari ding magkaroon ng mga negatibong kahihinatnan para sa kapakanan ng hayop. Ang Pilipinas ay may batas na tumutugon sa parehong aspeto.
**Mga"&amp;" Batas sa Kapaligiran:**
* **Philippine Clean Water Act (RA 3933):** Ito ang pangunahing batas na namamahala sa pagkontrol sa polusyon sa tubig. Ipinagbabawal nito ang paglabas ng mga pollutant nang walang permit at nagtatakda ng mga pamantayan para sa ka"&amp;"lidad ng tubig. Ang mga paglabag ay maaaring magresulta sa:
* **Mga multa:** Ang mga multa ay maaaring mula sa Dalawampung Libong Piso (Php 20,000.00) hanggang Tatlong Milyong Piso (Php 3,000,000.00) depende sa tindi ng pagkakasala at sa pinsalang dulot n"&amp;"g kapaligiran.
* **Pagkulong:** Sa mga mabibigat na kaso, ang pagkakakulong ng hanggang anim (6) na taon ay maaaring ipataw.
* **Mga Kautusan sa Paglilinis:** Maaaring utusan ang polusyon na linisin ang maruming lugar at ibalik ito sa dati nitong kondisyo"&amp;"n.
* **Batas sa Pamamahala at Proteksyon sa Kapaligiran (RA 8749):** Ang Batas na ito ay nagtatatag ng balangkas para sa mga pagtatasa ng epekto sa kapaligiran at pagkontrol sa polusyon. Ang mga paglabag ay maaaring magresulta sa mga katulad na parusa gay"&amp;"a ng Clean Water Act.
**Mga Pagsasaalang-alang sa Kapakanan ng Hayop:**
* **Republic Act No. 8485 (The Animal Welfare Act of 1998):** Habang pangunahing nakatuon sa mga kasamang hayop, ang ilan ay nangangatuwiran na maaari itong palawigin sa mga hayop na "&amp;"nabubuhay sa tubig na nagdurusa dahil sa pinsala sa kapaligiran. Ipinagbabawal nito ang pagdudulot ng hindi kinakailangang pagdurusa o sakit sa anumang hayop.
**Legal na Proseso:**
* **Pag-uulat ng Insidente:** Iulat ang pagtatapon ng mga mapanganib na ma"&amp;"teryales sa Department of Environment and Natural Resources (DENR) at posibleng Philippine Animal Welfare Society (PAWS). Magbigay ng mga detalye tungkol sa lokasyon, uri ng materyal na itinapon, at anumang ebidensya na maaaring mayroon ka (mga larawan, v"&amp;"ideo).
* **Pagsisiyasat ng DENR:** Sisiyasatin ng DENR ang reklamo at mangangalap ng ebidensya. Maaari silang mangolekta ng mga sample ng tubig para sa pagsusuri upang matukoy ang pollutant at ang pinagmulan nito.
* **Legal na Aksyon:** Batay sa kanilang "&amp;"imbestigasyon, ang DENR ay maaaring:
* Mag-isyu ng mga administratibong parusa laban sa polusyon.
* Magsampa ng kaso laban sa indibidwal o entity na responsable sa paglalaglag.
**Mga Karagdagang Pagsasaalang-alang:**
* **Civil Lawsuit:** Maaaring isaalang"&amp;"-alang ng mga environmental NGO o concerned citizen na magsampa ng kasong sibil laban sa polusyon para sa pinsala sa kapaligiran. * **Mga Singil sa Animal Cruelty:** Depende sa partikular na mga pangyayari at ang pinsalang idinulot sa mga hayop, ang mga s"&amp;"ingil sa animal cruelty sa ilalim ng Animal Welfare Act ay maaari ding isaalang-alang.
**Kahalagahan ng Ebidensya:**
Ang isang malakas na kaso laban sa salarin ay lubos na umaasa sa ebidensya ng pagtatapon at ang pinsalang idinulot sa mga hayop. Maaaring "&amp;"kabilang dito ang:
* Saksihan ang mga testimonya ng aktibidad ng paglalaglag
* Mga larawan o video ng polluted na lugar at anumang apektadong hayop
* Mga resulta ng pagsusuri sa lab (kung nakolekta ang mga sample ng tubig)
Sa pamamagitan ng pangangalap ng"&amp;" ebidensya at pag-uulat ng insidente, maaari kang tumulong na panagutin ang may kasalanan at protektahan ang mga hayop mula sa mapaminsalang mga mapanganib na materyales.")</f>
        <v>Oo, may mga legal na kahihinatnan para sa mga indibidwal na natagpuang nagtatapon ng mga mapanganib na materyales na pumipinsala sa mga hayop sa Pilipinas. Narito kung paano tinatalakay ng batas ang isyung ito:
**Mga Alalahanin sa Kapaligiran at Kapakanan ng Hayop:**
Ang pagtatapon ng mga mapanganib na materyales ay isang paglabag sa mga batas sa kapaligiran at maaari ding magkaroon ng mga negatibong kahihinatnan para sa kapakanan ng hayop. Ang Pilipinas ay may batas na tumutugon sa parehong aspeto.
**Mga Batas sa Kapaligiran:**
* **Philippine Clean Water Act (RA 3933):** Ito ang pangunahing batas na namamahala sa pagkontrol sa polusyon sa tubig. Ipinagbabawal nito ang paglabas ng mga pollutant nang walang permit at nagtatakda ng mga pamantayan para sa kalidad ng tubig. Ang mga paglabag ay maaaring magresulta sa:
* **Mga multa:** Ang mga multa ay maaaring mula sa Dalawampung Libong Piso (Php 20,000.00) hanggang Tatlong Milyong Piso (Php 3,000,000.00) depende sa tindi ng pagkakasala at sa pinsalang dulot ng kapaligiran.
* **Pagkulong:** Sa mga mabibigat na kaso, ang pagkakakulong ng hanggang anim (6) na taon ay maaaring ipataw.
* **Mga Kautusan sa Paglilinis:** Maaaring utusan ang polusyon na linisin ang maruming lugar at ibalik ito sa dati nitong kondisyon.
* **Batas sa Pamamahala at Proteksyon sa Kapaligiran (RA 8749):** Ang Batas na ito ay nagtatatag ng balangkas para sa mga pagtatasa ng epekto sa kapaligiran at pagkontrol sa polusyon. Ang mga paglabag ay maaaring magresulta sa mga katulad na parusa gaya ng Clean Water Act.
**Mga Pagsasaalang-alang sa Kapakanan ng Hayop:**
* **Republic Act No. 8485 (The Animal Welfare Act of 1998):** Habang pangunahing nakatuon sa mga kasamang hayop, ang ilan ay nangangatuwiran na maaari itong palawigin sa mga hayop na nabubuhay sa tubig na nagdurusa dahil sa pinsala sa kapaligiran. Ipinagbabawal nito ang pagdudulot ng hindi kinakailangang pagdurusa o sakit sa anumang hayop.
**Legal na Proseso:**
* **Pag-uulat ng Insidente:** Iulat ang pagtatapon ng mga mapanganib na materyales sa Department of Environment and Natural Resources (DENR) at posibleng Philippine Animal Welfare Society (PAWS). Magbigay ng mga detalye tungkol sa lokasyon, uri ng materyal na itinapon, at anumang ebidensya na maaaring mayroon ka (mga larawan, video).
* **Pagsisiyasat ng DENR:** Sisiyasatin ng DENR ang reklamo at mangangalap ng ebidensya. Maaari silang mangolekta ng mga sample ng tubig para sa pagsusuri upang matukoy ang pollutant at ang pinagmulan nito.
* **Legal na Aksyon:** Batay sa kanilang imbestigasyon, ang DENR ay maaaring:
* Mag-isyu ng mga administratibong parusa laban sa polusyon.
* Magsampa ng kaso laban sa indibidwal o entity na responsable sa paglalaglag.
**Mga Karagdagang Pagsasaalang-alang:**
* **Civil Lawsuit:** Maaaring isaalang-alang ng mga environmental NGO o concerned citizen na magsampa ng kasong sibil laban sa polusyon para sa pinsala sa kapaligiran. * **Mga Singil sa Animal Cruelty:** Depende sa partikular na mga pangyayari at ang pinsalang idinulot sa mga hayop, ang mga singil sa animal cruelty sa ilalim ng Animal Welfare Act ay maaari ding isaalang-alang.
**Kahalagahan ng Ebidensya:**
Ang isang malakas na kaso laban sa salarin ay lubos na umaasa sa ebidensya ng pagtatapon at ang pinsalang idinulot sa mga hayop. Maaaring kabilang dito ang:
* Saksihan ang mga testimonya ng aktibidad ng paglalaglag
* Mga larawan o video ng polluted na lugar at anumang apektadong hayop
* Mga resulta ng pagsusuri sa lab (kung nakolekta ang mga sample ng tubig)
Sa pamamagitan ng pangangalap ng ebidensya at pag-uulat ng insidente, maaari kang tumulong na panagutin ang may kasalanan at protektahan ang mga hayop mula sa mapaminsalang mga mapanganib na materyales.</v>
      </c>
      <c r="F2665" s="2">
        <f t="shared" si="1"/>
        <v>0</v>
      </c>
      <c r="G2665" s="2"/>
      <c r="H2665" s="2"/>
      <c r="I2665" s="2"/>
      <c r="J2665" s="2"/>
      <c r="K2665" s="2"/>
      <c r="L2665" s="2"/>
      <c r="M2665" s="2"/>
      <c r="N2665" s="2"/>
      <c r="O2665" s="2"/>
      <c r="P2665" s="2"/>
      <c r="Q2665" s="2"/>
      <c r="R2665" s="2"/>
      <c r="S2665" s="2"/>
      <c r="T2665" s="2"/>
      <c r="U2665" s="2"/>
      <c r="V2665" s="2"/>
      <c r="W2665" s="2"/>
      <c r="X2665" s="2"/>
      <c r="Y2665" s="2"/>
      <c r="Z2665" s="2"/>
      <c r="AA2665" s="2"/>
    </row>
    <row r="2666">
      <c r="A2666" s="1" t="s">
        <v>6268</v>
      </c>
      <c r="B2666" s="1" t="s">
        <v>6303</v>
      </c>
      <c r="C2666" s="1" t="s">
        <v>6304</v>
      </c>
      <c r="D2666" s="2" t="str">
        <f>IFERROR(__xludf.DUMMYFUNCTION("GOOGLETRANSLATE(B2666, ""en"", ""TL"")"),"Paano tinutugunan ng batas ang makataong pagkatay ng mga hayop para sa pagkain?")</f>
        <v>Paano tinutugunan ng batas ang makataong pagkatay ng mga hayop para sa pagkain?</v>
      </c>
      <c r="E2666" s="2" t="str">
        <f>IFERROR(__xludf.DUMMYFUNCTION("GOOGLETRANSLATE(C2666, ""en"", ""TL"")"),"Ang Pilipinas ay may legal na balangkas para matiyak ang makataong pagkatay ng mga hayop para konsumo, ngunit may puwang para sa pagpapabuti. Narito ang isang breakdown ng mga pangunahing aspeto:
**Mga Kaugnay na Batas at Regulasyon:**
* **Republic Act No"&amp;". 9296 (The Meat Inspection Code of the Philippines):** Ang Batas na ito ay nagtatatag ng isang sistema ng inspeksyon ng karne upang matiyak ang kaligtasan at kalidad ng karne para sa pagkain ng tao. Isang mahalagang aspeto ang makataong mga gawi sa pagpa"&amp;"tay. Ang batas ay nangangailangan ng:
* **Ante-mortem Inspection:** Dapat suriin ng mga beterinaryo o awtorisadong tauhan ang mga hayop bago patayin upang matukoy ang anumang kondisyong pangkalusugan na maaaring makaapekto sa kaligtasan ng karne o magdulo"&amp;"t ng hindi kinakailangang paghihirap sa panahon ng pagpatay.
* **Humane Slaughter Methods:** Ang batas ay nag-uutos sa paggamit ng makataong paraan ng pagpatay na nagpapababa ng sakit at pagdurusa sa mga hayop. Gayunpaman, ang mga partikular na pamamaraan"&amp;" ay hindi tahasang tinukoy sa batas.
* **Department of Agriculture Administrative Order No. 35 Series of 2021 (DAO 35/2021):** Ang kautusang ito ay nagbibigay ng mas tiyak na mga alituntunin sa makataong pagkatay ng mga kuneho para sa pagkain. Maaari iton"&amp;"g magsilbing reference point para sa pagbuo ng mas malawak na mga alituntunin para sa iba pang mga hayop.
**Pagpapatupad at Mga Hamon:**
* **Department of Agriculture (DA):** Ang DA ay may pananagutan sa pagpapatupad ng makataong mga regulasyon sa pagpata"&amp;"y sa pamamagitan ng mga serbisyo sa inspeksyon ng karne. * **Mga Limitadong Mapagkukunan:** Maaaring humarap ang DA sa mga hadlang sa mapagkukunan na naglilimita sa pagkakaroon ng mga sinanay na tauhan upang magsagawa ng masusing inspeksyon sa mga pasilid"&amp;"ad ng pagpatay at tiyakin ang pagsunod sa makataong pamamaraan ng pagpatay.
* **Kakulangan ng Malinaw na Kahulugan:** Ang kawalan ng malinaw na mga kahulugan tungkol sa ""mga pamamaraan ng makataong pagpatay"" sa pangunahing batas (RA 9296) ay maaaring hu"&amp;"mantong sa mga pagkakaiba-iba sa interpretasyon at pagpapatupad sa mga slaughterhouse.
**Ang Papel ng Mga Organisasyong Pangkagalingan ng Hayop:**
* **Pagtataguyod:** Ang mga organisasyon ng kapakanan ng hayop ay nagtataguyod para sa mas malinaw na mga ka"&amp;"hulugan ng makataong pamamaraan ng pagpatay at pinahusay na pagpapatupad ng mga kasalukuyang regulasyon.
* **Pag-promote ng Pinakamahuhusay na Kasanayan:** Maaaring makipagtulungan ang mga organisasyong ito sa mga slaughterhouse upang hikayatin ang paggam"&amp;"it ng mga pinakamahuhusay na kagawian para sa makataong pamamaraan ng pagpatay.
**Ang Pasulong:**
* **Mga Regulasyon sa Pagpapalakas:** Pagsusulong ng mga pagbabago sa RA 9296 upang isama ang malinaw na mga kahulugan ng makataong pamamaraan ng pagpatay ba"&amp;"tay sa siyentipikong ebidensya at mga internasyonal na pamantayan.
* **Nadagdagang Mga Mapagkukunan:** Ang paglalaan ng mas maraming mapagkukunan sa DA ay magbibigay-daan sa kanila na mapabuti ang pagsasanay para sa mga inspektor ng karne sa makataong mga"&amp;" gawi sa pagpatay at magsagawa ng mas madalas na mga inspeksyon sa mga bahay-katayan.
* **Pag-ampon ng Pinakamahuhusay na Kasanayan:** Paghihikayat sa mga slaughterhouse na gamitin ang kinikilalang internasyonal na makataong pamamaraan ng pagpatay tulad n"&amp;"g mga nakamamanghang hayop bago ang pagpatay upang mabawasan ang pagdurusa.
Sa pamamagitan ng pagtugon sa mga kahinaang ito at pagpapalakas ng legal na balangkas, matitiyak ng Pilipinas ang mas makataong pagtrato sa mga hayop na nakalaan para sa pagkain.")</f>
        <v>Ang Pilipinas ay may legal na balangkas para matiyak ang makataong pagkatay ng mga hayop para konsumo, ngunit may puwang para sa pagpapabuti. Narito ang isang breakdown ng mga pangunahing aspeto:
**Mga Kaugnay na Batas at Regulasyon:**
* **Republic Act No. 9296 (The Meat Inspection Code of the Philippines):** Ang Batas na ito ay nagtatatag ng isang sistema ng inspeksyon ng karne upang matiyak ang kaligtasan at kalidad ng karne para sa pagkain ng tao. Isang mahalagang aspeto ang makataong mga gawi sa pagpatay. Ang batas ay nangangailangan ng:
* **Ante-mortem Inspection:** Dapat suriin ng mga beterinaryo o awtorisadong tauhan ang mga hayop bago patayin upang matukoy ang anumang kondisyong pangkalusugan na maaaring makaapekto sa kaligtasan ng karne o magdulot ng hindi kinakailangang paghihirap sa panahon ng pagpatay.
* **Humane Slaughter Methods:** Ang batas ay nag-uutos sa paggamit ng makataong paraan ng pagpatay na nagpapababa ng sakit at pagdurusa sa mga hayop. Gayunpaman, ang mga partikular na pamamaraan ay hindi tahasang tinukoy sa batas.
* **Department of Agriculture Administrative Order No. 35 Series of 2021 (DAO 35/2021):** Ang kautusang ito ay nagbibigay ng mas tiyak na mga alituntunin sa makataong pagkatay ng mga kuneho para sa pagkain. Maaari itong magsilbing reference point para sa pagbuo ng mas malawak na mga alituntunin para sa iba pang mga hayop.
**Pagpapatupad at Mga Hamon:**
* **Department of Agriculture (DA):** Ang DA ay may pananagutan sa pagpapatupad ng makataong mga regulasyon sa pagpatay sa pamamagitan ng mga serbisyo sa inspeksyon ng karne. * **Mga Limitadong Mapagkukunan:** Maaaring humarap ang DA sa mga hadlang sa mapagkukunan na naglilimita sa pagkakaroon ng mga sinanay na tauhan upang magsagawa ng masusing inspeksyon sa mga pasilidad ng pagpatay at tiyakin ang pagsunod sa makataong pamamaraan ng pagpatay.
* **Kakulangan ng Malinaw na Kahulugan:** Ang kawalan ng malinaw na mga kahulugan tungkol sa "mga pamamaraan ng makataong pagpatay" sa pangunahing batas (RA 9296) ay maaaring humantong sa mga pagkakaiba-iba sa interpretasyon at pagpapatupad sa mga slaughterhouse.
**Ang Papel ng Mga Organisasyong Pangkagalingan ng Hayop:**
* **Pagtataguyod:** Ang mga organisasyon ng kapakanan ng hayop ay nagtataguyod para sa mas malinaw na mga kahulugan ng makataong pamamaraan ng pagpatay at pinahusay na pagpapatupad ng mga kasalukuyang regulasyon.
* **Pag-promote ng Pinakamahuhusay na Kasanayan:** Maaaring makipagtulungan ang mga organisasyong ito sa mga slaughterhouse upang hikayatin ang paggamit ng mga pinakamahuhusay na kagawian para sa makataong pamamaraan ng pagpatay.
**Ang Pasulong:**
* **Mga Regulasyon sa Pagpapalakas:** Pagsusulong ng mga pagbabago sa RA 9296 upang isama ang malinaw na mga kahulugan ng makataong pamamaraan ng pagpatay batay sa siyentipikong ebidensya at mga internasyonal na pamantayan.
* **Nadagdagang Mga Mapagkukunan:** Ang paglalaan ng mas maraming mapagkukunan sa DA ay magbibigay-daan sa kanila na mapabuti ang pagsasanay para sa mga inspektor ng karne sa makataong mga gawi sa pagpatay at magsagawa ng mas madalas na mga inspeksyon sa mga bahay-katayan.
* **Pag-ampon ng Pinakamahuhusay na Kasanayan:** Paghihikayat sa mga slaughterhouse na gamitin ang kinikilalang internasyonal na makataong pamamaraan ng pagpatay tulad ng mga nakamamanghang hayop bago ang pagpatay upang mabawasan ang pagdurusa.
Sa pamamagitan ng pagtugon sa mga kahinaang ito at pagpapalakas ng legal na balangkas, matitiyak ng Pilipinas ang mas makataong pagtrato sa mga hayop na nakalaan para sa pagkain.</v>
      </c>
      <c r="F2666" s="2">
        <f t="shared" si="1"/>
        <v>0</v>
      </c>
      <c r="G2666" s="2"/>
      <c r="H2666" s="2"/>
      <c r="I2666" s="2"/>
      <c r="J2666" s="2"/>
      <c r="K2666" s="2"/>
      <c r="L2666" s="2"/>
      <c r="M2666" s="2"/>
      <c r="N2666" s="2"/>
      <c r="O2666" s="2"/>
      <c r="P2666" s="2"/>
      <c r="Q2666" s="2"/>
      <c r="R2666" s="2"/>
      <c r="S2666" s="2"/>
      <c r="T2666" s="2"/>
      <c r="U2666" s="2"/>
      <c r="V2666" s="2"/>
      <c r="W2666" s="2"/>
      <c r="X2666" s="2"/>
      <c r="Y2666" s="2"/>
      <c r="Z2666" s="2"/>
      <c r="AA2666" s="2"/>
    </row>
    <row r="2667">
      <c r="A2667" s="1" t="s">
        <v>6268</v>
      </c>
      <c r="B2667" s="1" t="s">
        <v>6305</v>
      </c>
      <c r="C2667" s="1" t="s">
        <v>6306</v>
      </c>
      <c r="D2667" s="2" t="str">
        <f>IFERROR(__xludf.DUMMYFUNCTION("GOOGLETRANSLATE(B2667, ""en"", ""TL"")"),"Anong mga legal na hakbang ang inilalagay upang ayusin at suriin ang mga pasilidad kung saan iniingatan o pinapalaki ang mga hayop?")</f>
        <v>Anong mga legal na hakbang ang inilalagay upang ayusin at suriin ang mga pasilidad kung saan iniingatan o pinapalaki ang mga hayop?</v>
      </c>
      <c r="E2667" s="2" t="str">
        <f>IFERROR(__xludf.DUMMYFUNCTION("GOOGLETRANSLATE(C2667, ""en"", ""TL"")"),"Ang Pilipinas ay may balangkas para sa pag-regulate at pag-inspeksyon sa mga pasilidad kung saan iniingatan o pinapalaki ang mga hayop, ngunit may mga puwang at puwang para sa pagpapabuti. Narito ang isang breakdown ng mga pangunahing aspeto:
**Mga Kaugna"&amp;"y na Batas at Regulasyon:**
* **Republic Act No. 8485 (The Animal Welfare Act):** Ang Batas na ito ay nagtatakda ng pinakamababang pamantayan sa kapakanan ng hayop para sa mga pasilidad na tirahan ng mga hayop. Gayunpaman, ang mga detalye tungkol sa mga i"&amp;"nspeksyon ay limitado.
* **Department of Agriculture Administrative Order No. 13 (DAO 13):** Inilabas noong 2013, ang kautusang ito ay nagbibigay ng mga partikular na alituntunin para sa makataong paghawak ng mga hayop sa iba't ibang pasilidad, kabilang a"&amp;"ng:
* Mga pasilidad sa pag-aanak
* Mga tindahan ng alagang hayop
* Mga zoo
* Silungan ng mga hayop
* Mga katayan
* **Nagbabalangkas ang DAO 13 ng mga minimum na kinakailangan para sa mga pasilidad na ito patungkol sa** mga aspeto tulad ng:
* Mga kinakaila"&amp;"ngan sa espasyo bawat hayop
* Silungan at mga kondisyon ng pabahay (bentilasyon, kalinisan)
* Pagkain at tubig availability
* Mga probisyon ng pangangalaga sa beterinaryo
**Pagpapatupad at Inspeksyon:**
* **Department of Agriculture (DA):** Ang DA ay may "&amp;"pangunahing responsibilidad para sa pagpapatupad ng mga regulasyon sa kapakanan ng hayop at pagsasagawa ng mga inspeksyon sa mga pasilidad ng hayop. * **Mga Hamon:** Ang DA ay maaaring humarap sa mga hadlang sa mapagkukunan na naglilimita sa dalas at pagi"&amp;"ging ganap ng mga inspeksyon. * **Local Government Units (LGUs):** Ang mga LGU ay maaari ding gumanap ng papel sa pagpapatupad ng kapakanan ng hayop sa loob ng kanilang nasasakupan. Gayunpaman, ang kanilang antas ng pakikilahok at kapasidad ay maaaring ma"&amp;"g-iba nang malaki.
**Tungkulin ng Animal Welfare Organizations:**
* **Pagtataguyod:** Ang mga organisasyong pangkalusugan ng hayop ay nagtataguyod para sa mas matibay na mga regulasyon at mas madalas na pag-inspeksyon sa mga pasilidad ng hayop.
* **Public"&amp;" Awareness:** Ang pagpapataas ng pampublikong kamalayan tungkol sa mga isyu sa kapakanan ng hayop ay maaaring maglagay ng presyon sa mga pasilidad upang mapabuti ang kanilang mga pamantayan. Maaaring piliin ng mga mamimili na tumangkilik sa mga negosyong "&amp;"nagpapakita ng mga responsableng gawi sa pangangalaga ng hayop.
**Mga Limitasyon at Mga Lugar para sa Pagpapabuti:**
* **Limitadong Saklaw ng DAO 13:** Ang DAO 13 ay pangunahing nakatuon sa mga pangunahing pangangailangan sa kapakanan ng hayop tulad ng es"&amp;"pasyo, pagkain, at tubig. Maaaring hindi nito matugunan ang mas kumplikadong mga isyu tulad ng mga aktibidad sa pagpapayaman o sikolohikal na kagalingan ng mga hayop.
* **Hindi Inanunsyo na Mga Inspeksyon:** Sa kasalukuyan, ang mga inspeksyon ay maaaring "&amp;"hindi palaging hindi inaanunsyo. Maaari nitong payagan ang mga pasilidad na pansamantalang mapabuti ang mga kondisyon bago mangyari ang mga inspeksyon.
* **Transparency at Pananagutan:** Ang isang mas transparent na sistema para sa pag-uulat ng mga result"&amp;"a ng inspeksyon at pagpapanagot sa mga pasilidad para sa mga paglabag ay kailangan.
**Ang Pasulong:**
* **Mga Regulasyon sa Pagpapalakas:** Ang mga pagsusumikap sa pagtataguyod ay maaaring itulak ang mas detalyado at komprehensibong mga regulasyon tungkol"&amp;" sa kapakanan ng hayop sa iba't ibang pasilidad. Maaaring kabilang dito ang mga aspeto tulad ng mga pangangailangan sa pag-uugali at pagpapayaman.
* **Nadagdagang Mga Mapagkukunan:** Ang paglalaan ng mas maraming mapagkukunan sa DA ay magbibigay-daan sa k"&amp;"anila na magsagawa ng mas madalas at masusing pag-inspeksyon sa mga pasilidad ng hayop. * **Pagtutulungan:** Ang mas malakas na pakikipagtulungan sa pagitan ng DA, LGU, at mga organisasyong pangkagalingan ng hayop ay maaaring mapabuti ang pagpapatupad at "&amp;"matiyak ang mas mahusay na kapakanan para sa mga hayop na pinananatili sa mga pasilidad ng pag-aanak, mga tindahan ng alagang hayop, at iba pang mga setting.
Sa pamamagitan ng pagtugon sa mga limitasyong ito at pagpapalakas sa umiiral na balangkas, ang Pi"&amp;"lipinas ay maaaring lumipat patungo sa isang sistema na nagsisiguro ng mas mataas na pamantayan ng kapakanan ng mga hayop sa lahat ng mga pasilidad kung saan ang mga hayop ay pinananatili o pinapalaki.")</f>
        <v>Ang Pilipinas ay may balangkas para sa pag-regulate at pag-inspeksyon sa mga pasilidad kung saan iniingatan o pinapalaki ang mga hayop, ngunit may mga puwang at puwang para sa pagpapabuti. Narito ang isang breakdown ng mga pangunahing aspeto:
**Mga Kaugnay na Batas at Regulasyon:**
* **Republic Act No. 8485 (The Animal Welfare Act):** Ang Batas na ito ay nagtatakda ng pinakamababang pamantayan sa kapakanan ng hayop para sa mga pasilidad na tirahan ng mga hayop. Gayunpaman, ang mga detalye tungkol sa mga inspeksyon ay limitado.
* **Department of Agriculture Administrative Order No. 13 (DAO 13):** Inilabas noong 2013, ang kautusang ito ay nagbibigay ng mga partikular na alituntunin para sa makataong paghawak ng mga hayop sa iba't ibang pasilidad, kabilang ang:
* Mga pasilidad sa pag-aanak
* Mga tindahan ng alagang hayop
* Mga zoo
* Silungan ng mga hayop
* Mga katayan
* **Nagbabalangkas ang DAO 13 ng mga minimum na kinakailangan para sa mga pasilidad na ito patungkol sa** mga aspeto tulad ng:
* Mga kinakailangan sa espasyo bawat hayop
* Silungan at mga kondisyon ng pabahay (bentilasyon, kalinisan)
* Pagkain at tubig availability
* Mga probisyon ng pangangalaga sa beterinaryo
**Pagpapatupad at Inspeksyon:**
* **Department of Agriculture (DA):** Ang DA ay may pangunahing responsibilidad para sa pagpapatupad ng mga regulasyon sa kapakanan ng hayop at pagsasagawa ng mga inspeksyon sa mga pasilidad ng hayop. * **Mga Hamon:** Ang DA ay maaaring humarap sa mga hadlang sa mapagkukunan na naglilimita sa dalas at pagiging ganap ng mga inspeksyon. * **Local Government Units (LGUs):** Ang mga LGU ay maaari ding gumanap ng papel sa pagpapatupad ng kapakanan ng hayop sa loob ng kanilang nasasakupan. Gayunpaman, ang kanilang antas ng pakikilahok at kapasidad ay maaaring mag-iba nang malaki.
**Tungkulin ng Animal Welfare Organizations:**
* **Pagtataguyod:** Ang mga organisasyong pangkalusugan ng hayop ay nagtataguyod para sa mas matibay na mga regulasyon at mas madalas na pag-inspeksyon sa mga pasilidad ng hayop.
* **Public Awareness:** Ang pagpapataas ng pampublikong kamalayan tungkol sa mga isyu sa kapakanan ng hayop ay maaaring maglagay ng presyon sa mga pasilidad upang mapabuti ang kanilang mga pamantayan. Maaaring piliin ng mga mamimili na tumangkilik sa mga negosyong nagpapakita ng mga responsableng gawi sa pangangalaga ng hayop.
**Mga Limitasyon at Mga Lugar para sa Pagpapabuti:**
* **Limitadong Saklaw ng DAO 13:** Ang DAO 13 ay pangunahing nakatuon sa mga pangunahing pangangailangan sa kapakanan ng hayop tulad ng espasyo, pagkain, at tubig. Maaaring hindi nito matugunan ang mas kumplikadong mga isyu tulad ng mga aktibidad sa pagpapayaman o sikolohikal na kagalingan ng mga hayop.
* **Hindi Inanunsyo na Mga Inspeksyon:** Sa kasalukuyan, ang mga inspeksyon ay maaaring hindi palaging hindi inaanunsyo. Maaari nitong payagan ang mga pasilidad na pansamantalang mapabuti ang mga kondisyon bago mangyari ang mga inspeksyon.
* **Transparency at Pananagutan:** Ang isang mas transparent na sistema para sa pag-uulat ng mga resulta ng inspeksyon at pagpapanagot sa mga pasilidad para sa mga paglabag ay kailangan.
**Ang Pasulong:**
* **Mga Regulasyon sa Pagpapalakas:** Ang mga pagsusumikap sa pagtataguyod ay maaaring itulak ang mas detalyado at komprehensibong mga regulasyon tungkol sa kapakanan ng hayop sa iba't ibang pasilidad. Maaaring kabilang dito ang mga aspeto tulad ng mga pangangailangan sa pag-uugali at pagpapayaman.
* **Nadagdagang Mga Mapagkukunan:** Ang paglalaan ng mas maraming mapagkukunan sa DA ay magbibigay-daan sa kanila na magsagawa ng mas madalas at masusing pag-inspeksyon sa mga pasilidad ng hayop. * **Pagtutulungan:** Ang mas malakas na pakikipagtulungan sa pagitan ng DA, LGU, at mga organisasyong pangkagalingan ng hayop ay maaaring mapabuti ang pagpapatupad at matiyak ang mas mahusay na kapakanan para sa mga hayop na pinananatili sa mga pasilidad ng pag-aanak, mga tindahan ng alagang hayop, at iba pang mga setting.
Sa pamamagitan ng pagtugon sa mga limitasyong ito at pagpapalakas sa umiiral na balangkas, ang Pilipinas ay maaaring lumipat patungo sa isang sistema na nagsisiguro ng mas mataas na pamantayan ng kapakanan ng mga hayop sa lahat ng mga pasilidad kung saan ang mga hayop ay pinananatili o pinapalaki.</v>
      </c>
      <c r="F2667" s="2">
        <f t="shared" si="1"/>
        <v>0</v>
      </c>
      <c r="G2667" s="2"/>
      <c r="H2667" s="2"/>
      <c r="I2667" s="2"/>
      <c r="J2667" s="2"/>
      <c r="K2667" s="2"/>
      <c r="L2667" s="2"/>
      <c r="M2667" s="2"/>
      <c r="N2667" s="2"/>
      <c r="O2667" s="2"/>
      <c r="P2667" s="2"/>
      <c r="Q2667" s="2"/>
      <c r="R2667" s="2"/>
      <c r="S2667" s="2"/>
      <c r="T2667" s="2"/>
      <c r="U2667" s="2"/>
      <c r="V2667" s="2"/>
      <c r="W2667" s="2"/>
      <c r="X2667" s="2"/>
      <c r="Y2667" s="2"/>
      <c r="Z2667" s="2"/>
      <c r="AA2667" s="2"/>
    </row>
    <row r="2668">
      <c r="A2668" s="1" t="s">
        <v>6268</v>
      </c>
      <c r="B2668" s="1" t="s">
        <v>6307</v>
      </c>
      <c r="C2668" s="1" t="s">
        <v>6308</v>
      </c>
      <c r="D2668" s="2" t="str">
        <f>IFERROR(__xludf.DUMMYFUNCTION("GOOGLETRANSLATE(B2668, ""en"", ""TL"")"),"Paano tinutugunan ng batas ang pagkakasangkot ng mga menor de edad sa mga aktibidad sa pang-aabuso sa hayop?")</f>
        <v>Paano tinutugunan ng batas ang pagkakasangkot ng mga menor de edad sa mga aktibidad sa pang-aabuso sa hayop?</v>
      </c>
      <c r="E2668" s="2" t="str">
        <f>IFERROR(__xludf.DUMMYFUNCTION("GOOGLETRANSLATE(C2668, ""en"", ""TL"")"),"Kinikilala ng Pilipinas ang pagkakaiba sa pagitan ng mga menor de edad at matatanda pagdating sa kriminal na kasalanan. Narito kung paano tinutugunan ng batas ang pagkakasangkot ng mga menor de edad sa mga aktibidad ng pang-aabuso sa hayop:
**Mga Menor de"&amp;" edad at Pananagutang Kriminal:**
* **Minimum Age of Criminal Responsibility:** Ang Pilipinas ay kasalukuyang may debate tungkol sa Minimum Age of Criminal Responsibility (MACR). Sa ngayon, ito ay nasa 15 taong gulang. Nangangahulugan ito na ang mga batan"&amp;"g wala pang 15 taong gulang ay karaniwang ipinapalagay na walang kriminal na layunin at hindi maaaring kasuhan ng krimen tulad ng kalupitan sa hayop sa ilalim ng Animal Welfare Act.
**Mga Legal na Pagdulog para sa mga Menor de edad:**
* **Responsibilidad "&amp;"ng Magulang:** Bagama't ang mga menor de edad mismo ay maaaring hindi mananagot sa krimen, ang kanilang mga magulang o tagapag-alaga ay maaaring panagutin para sa kanilang mga aksyon sa pamamagitan ng mga sibil na kaso na isinampa ng mga organisasyong pan"&amp;"gkalusugan ng hayop o ng may-ari ng hayop (kung naaangkop).
* **Mga Programa sa Paglilipat:** Para sa mga menor de edad na nakagawa ng mga gawa ng kalupitan sa hayop, maaaring isaalang-alang ng mga hukuman ang mga programang diversion sa halip na pag-uusi"&amp;"g ng kriminal. Nakatuon ang mga programang ito sa rehabilitasyon at edukasyon sa kapakanan ng hayop upang maiwasan ang mga insidente sa hinaharap.
**Kahalagahan ng Pamamagitan:**
* **Pagtugon sa Root Cause:** Napakahalagang maunawaan ang mga dahilan sa li"&amp;"kod ng pagkakasangkot ng isang menor de edad sa pang-aabuso sa hayop. Ito ay maaaring kakulangan ng empatiya, mismong nasaksihan ang kalupitan ng hayop, o simpleng hindi pag-unawa sa mga kahihinatnan ng kanilang mga aksyon.
* **Pagpapayo at Edukasyon:** A"&amp;"ng pagpapayo at mga programang pang-edukasyon sa kapakanan ng hayop ay maaaring makatulong sa mga menor de edad na magkaroon ng pakikiramay at paggalang sa mga hayop.
**Mga Pagsisikap sa Pambatasan:**
* **Pagtaas ng MACR:** May mga patuloy na pagsisikap n"&amp;"a itaas ang Minimum Age of Criminal Responsibility. Ito ay maaaring mangahulugan ng pagpapanagot sa mga matatandang menor de edad para sa kanilang mga aksyon sa mga kaso ng pang-aabuso sa hayop.
**Mga Hamon at Limitasyon:**
* **Pagpapatupad:** Ang pagpapa"&amp;"tupad ng mga batas sa pananagutan ng magulang ay maaaring maging mahirap, lalo na sa mga kaso ng kapabayaan o kakulangan ng mga mapagkukunang pinansyal sa loob ng pamilya.
* **Mga Limitadong Mapagkukunan:** Maaaring may limitadong kakayahang magamit ang m"&amp;"ga diversion program at mga serbisyo sa pagpapayo depende sa lokasyon. **Konklusyon:**
Kinikilala ng sistemang legal sa Pilipinas ang yugto ng pag-unlad ng mga menor de edad kapag tinutugunan ang pang-aabuso sa hayop. Bagama't maaaring limitado ang mga di"&amp;"rektang kasong kriminal laban sa mga menor de edad, ang pagpapanagot sa mga magulang at pagtutuon sa rehabilitasyon at edukasyon ay mahahalagang hakbang sa pagpigil sa hinaharap na kalupitan sa hayop.")</f>
        <v>Kinikilala ng Pilipinas ang pagkakaiba sa pagitan ng mga menor de edad at matatanda pagdating sa kriminal na kasalanan. Narito kung paano tinutugunan ng batas ang pagkakasangkot ng mga menor de edad sa mga aktibidad ng pang-aabuso sa hayop:
**Mga Menor de edad at Pananagutang Kriminal:**
* **Minimum Age of Criminal Responsibility:** Ang Pilipinas ay kasalukuyang may debate tungkol sa Minimum Age of Criminal Responsibility (MACR). Sa ngayon, ito ay nasa 15 taong gulang. Nangangahulugan ito na ang mga batang wala pang 15 taong gulang ay karaniwang ipinapalagay na walang kriminal na layunin at hindi maaaring kasuhan ng krimen tulad ng kalupitan sa hayop sa ilalim ng Animal Welfare Act.
**Mga Legal na Pagdulog para sa mga Menor de edad:**
* **Responsibilidad ng Magulang:** Bagama't ang mga menor de edad mismo ay maaaring hindi mananagot sa krimen, ang kanilang mga magulang o tagapag-alaga ay maaaring panagutin para sa kanilang mga aksyon sa pamamagitan ng mga sibil na kaso na isinampa ng mga organisasyong pangkalusugan ng hayop o ng may-ari ng hayop (kung naaangkop).
* **Mga Programa sa Paglilipat:** Para sa mga menor de edad na nakagawa ng mga gawa ng kalupitan sa hayop, maaaring isaalang-alang ng mga hukuman ang mga programang diversion sa halip na pag-uusig ng kriminal. Nakatuon ang mga programang ito sa rehabilitasyon at edukasyon sa kapakanan ng hayop upang maiwasan ang mga insidente sa hinaharap.
**Kahalagahan ng Pamamagitan:**
* **Pagtugon sa Root Cause:** Napakahalagang maunawaan ang mga dahilan sa likod ng pagkakasangkot ng isang menor de edad sa pang-aabuso sa hayop. Ito ay maaaring kakulangan ng empatiya, mismong nasaksihan ang kalupitan ng hayop, o simpleng hindi pag-unawa sa mga kahihinatnan ng kanilang mga aksyon.
* **Pagpapayo at Edukasyon:** Ang pagpapayo at mga programang pang-edukasyon sa kapakanan ng hayop ay maaaring makatulong sa mga menor de edad na magkaroon ng pakikiramay at paggalang sa mga hayop.
**Mga Pagsisikap sa Pambatasan:**
* **Pagtaas ng MACR:** May mga patuloy na pagsisikap na itaas ang Minimum Age of Criminal Responsibility. Ito ay maaaring mangahulugan ng pagpapanagot sa mga matatandang menor de edad para sa kanilang mga aksyon sa mga kaso ng pang-aabuso sa hayop.
**Mga Hamon at Limitasyon:**
* **Pagpapatupad:** Ang pagpapatupad ng mga batas sa pananagutan ng magulang ay maaaring maging mahirap, lalo na sa mga kaso ng kapabayaan o kakulangan ng mga mapagkukunang pinansyal sa loob ng pamilya.
* **Mga Limitadong Mapagkukunan:** Maaaring may limitadong kakayahang magamit ang mga diversion program at mga serbisyo sa pagpapayo depende sa lokasyon. **Konklusyon:**
Kinikilala ng sistemang legal sa Pilipinas ang yugto ng pag-unlad ng mga menor de edad kapag tinutugunan ang pang-aabuso sa hayop. Bagama't maaaring limitado ang mga direktang kasong kriminal laban sa mga menor de edad, ang pagpapanagot sa mga magulang at pagtutuon sa rehabilitasyon at edukasyon ay mahahalagang hakbang sa pagpigil sa hinaharap na kalupitan sa hayop.</v>
      </c>
      <c r="F2668" s="2">
        <f t="shared" si="1"/>
        <v>0</v>
      </c>
      <c r="G2668" s="2"/>
      <c r="H2668" s="2"/>
      <c r="I2668" s="2"/>
      <c r="J2668" s="2"/>
      <c r="K2668" s="2"/>
      <c r="L2668" s="2"/>
      <c r="M2668" s="2"/>
      <c r="N2668" s="2"/>
      <c r="O2668" s="2"/>
      <c r="P2668" s="2"/>
      <c r="Q2668" s="2"/>
      <c r="R2668" s="2"/>
      <c r="S2668" s="2"/>
      <c r="T2668" s="2"/>
      <c r="U2668" s="2"/>
      <c r="V2668" s="2"/>
      <c r="W2668" s="2"/>
      <c r="X2668" s="2"/>
      <c r="Y2668" s="2"/>
      <c r="Z2668" s="2"/>
      <c r="AA2668" s="2"/>
    </row>
    <row r="2669">
      <c r="A2669" s="1" t="s">
        <v>6268</v>
      </c>
      <c r="B2669" s="1" t="s">
        <v>6309</v>
      </c>
      <c r="C2669" s="1" t="s">
        <v>6310</v>
      </c>
      <c r="D2669" s="2" t="str">
        <f>IFERROR(__xludf.DUMMYFUNCTION("GOOGLETRANSLATE(B2669, ""en"", ""TL"")"),"Mayroon bang mga legal na probisyon para sa rehabilitasyon at rehoming ng mga hayop na nailigtas mula sa mga mapang-abusong sitwasyon?")</f>
        <v>Mayroon bang mga legal na probisyon para sa rehabilitasyon at rehoming ng mga hayop na nailigtas mula sa mga mapang-abusong sitwasyon?</v>
      </c>
      <c r="E2669" s="2" t="str">
        <f>IFERROR(__xludf.DUMMYFUNCTION("GOOGLETRANSLATE(C2669, ""en"", ""TL"")"),"Ang Pilipinas ay walang mga tahasang legal na probisyon na nakatuon lamang sa rehabilitasyon at muling pagtira ng mga hayop na iniligtas mula sa mga mapang-abusong sitwasyon. Gayunpaman, may mga balangkas at inisyatiba na nagpapadali sa prosesong ito:
**L"&amp;"egal na Balangkas:**
* **Republic Act No. 8485 (The Animal Welfare Act):** Ang Batas na ito, bagama't hindi direktang tumutugon sa rehabilitasyon at rehoming, ay nagbabawal ng hindi kinakailangang pagdurusa o pananakit sa anumang hayop. Ang mga nailigtas "&amp;"na hayop ay kadalasang nangangailangan ng rehabilitasyon upang makabangon mula sa pisikal at sikolohikal na trauma na natamo sa panahon ng pang-aabuso. * **Mga Awtoridad:** Ang batas ay nagbibigay ng kapangyarihan sa mga opisyal ng barangay at mga ahensya"&amp;"ng nagpapatupad ng batas na manghuli ng mga hayop mula sa mga mapang-abusong sitwasyon. Ang mga awtoridad na ito ay madalas na nakikipagtulungan sa mga organisasyon ng kapakanan ng hayop para sa pangangalaga ng mga hayop at potensyal na muling pag-uwi.
**"&amp;"Tungkulin ng Animal Welfare Organizations:**
* **PAWS at Iba pang NGO:** Ang Philippine Animal Welfare Society (PAWS) at iba pang NGO ay may mahalagang papel sa pagliligtas ng mga inaabusong hayop. Madalas silang nagbibigay ng pansamantalang kanlungan, pa"&amp;"ngangalaga sa beterinaryo, rehabilitasyon sa pag-uugali (kung kinakailangan), at mga programa ng pag-aalaga o pag-aampon upang makahanap ng permanenteng tahanan para sa mga hayop.
**Mga Hamon:**
* **Limited Resources:** Ang mga animal welfare organization"&amp;" ay kadalasang nahaharap sa limitadong resource para ma-accommodate ang malaking bilang ng mga nailigtas na hayop. * **Mga Pangangailangan sa Rehabilitasyon:** Ang lawak ng kinakailangang rehabilitasyon ay nag-iiba depende sa kalubhaan ng pang-aabuso at s"&amp;"a mga indibidwal na pangangailangan ng hayop. * **Paghahanap ng Mga Naaangkop na Tahanan:** Maaaring maging mahirap ang pagtutugma ng mga nailigtas na hayop na may responsable at katugmang forever na mga tahanan.
**Mga Inisyatiba at Pinakamahuhusay na Kas"&amp;"anayan:**
* **Pagtutulungan:** Ang pakikipagtulungan sa pagitan ng mga tagapagpatupad ng batas, mga opisyal ng barangay, at mga organisasyon ng kapakanan ng hayop ay mahalaga para sa isang maayos na proseso ng pagsagip, rehabilitasyon, at rehoming.
* **Mg"&amp;"a Kampanya sa Pampublikong Kamalayan:** Ang pagpapataas ng kamalayan ng publiko tungkol sa mga isyu sa kapakanan ng hayop ay naghihikayat ng responsableng pagmamay-ari ng alagang hayop at nagpapataas ng mga rate ng pag-aampon para sa mga nailigtas na hayo"&amp;"p.
* **Volunteer Support:** Ang mga animal welfare organization ay lubos na umaasa sa mga boluntaryo upang magbigay ng pangangalaga at pakikisalamuha para sa mga nailigtas na hayop sa panahon ng kanilang paglalakbay sa rehabilitasyon.
**Ang Pasulong:**
* "&amp;"**Legislative Advocacy:** Ang mga pagsusumikap sa adbokasiya ay maaaring itulak ang batas na partikular na tumutugon sa mga programa sa rehabilitasyon ng hayop at rehoming. Maaari itong maglaan ng mga mapagkukunan at magtatag ng malinaw na mga alituntunin"&amp;" para sa proseso.
* **Pinataas na Pagpopondo:** Ang pagtaas ng pondo para sa mga organisasyon ng kapakanan ng hayop ay magbibigay-daan sa kanila na palawakin ang kanilang kapasidad na pangalagaan ang mga nailigtas na hayop at pagbutihin ang mga programa s"&amp;"a rehabilitasyon.
Bilang konklusyon, habang ang Pilipinas ay kulang sa mga partikular na batas na nakatuon sa rehabilitasyon at rehoming, ang mga umiiral na balangkas at ang nakatuong gawain ng mga organisasyong pangkalusugan ng hayop ay nagpapadali sa pr"&amp;"osesong ito para sa mga hayop na nailigtas mula sa mga mapang-abusong sitwasyon. Ang patuloy na pagsusumikap sa pagtataguyod at pagtaas ng mga mapagkukunan ay maaaring higit pang palakasin ang sistemang ito at matiyak ang isang mas maliwanag na hinaharap "&amp;"para sa mga hayop na nagtiis ng kalupitan.")</f>
        <v>Ang Pilipinas ay walang mga tahasang legal na probisyon na nakatuon lamang sa rehabilitasyon at muling pagtira ng mga hayop na iniligtas mula sa mga mapang-abusong sitwasyon. Gayunpaman, may mga balangkas at inisyatiba na nagpapadali sa prosesong ito:
**Legal na Balangkas:**
* **Republic Act No. 8485 (The Animal Welfare Act):** Ang Batas na ito, bagama't hindi direktang tumutugon sa rehabilitasyon at rehoming, ay nagbabawal ng hindi kinakailangang pagdurusa o pananakit sa anumang hayop. Ang mga nailigtas na hayop ay kadalasang nangangailangan ng rehabilitasyon upang makabangon mula sa pisikal at sikolohikal na trauma na natamo sa panahon ng pang-aabuso. * **Mga Awtoridad:** Ang batas ay nagbibigay ng kapangyarihan sa mga opisyal ng barangay at mga ahensyang nagpapatupad ng batas na manghuli ng mga hayop mula sa mga mapang-abusong sitwasyon. Ang mga awtoridad na ito ay madalas na nakikipagtulungan sa mga organisasyon ng kapakanan ng hayop para sa pangangalaga ng mga hayop at potensyal na muling pag-uwi.
**Tungkulin ng Animal Welfare Organizations:**
* **PAWS at Iba pang NGO:** Ang Philippine Animal Welfare Society (PAWS) at iba pang NGO ay may mahalagang papel sa pagliligtas ng mga inaabusong hayop. Madalas silang nagbibigay ng pansamantalang kanlungan, pangangalaga sa beterinaryo, rehabilitasyon sa pag-uugali (kung kinakailangan), at mga programa ng pag-aalaga o pag-aampon upang makahanap ng permanenteng tahanan para sa mga hayop.
**Mga Hamon:**
* **Limited Resources:** Ang mga animal welfare organization ay kadalasang nahaharap sa limitadong resource para ma-accommodate ang malaking bilang ng mga nailigtas na hayop. * **Mga Pangangailangan sa Rehabilitasyon:** Ang lawak ng kinakailangang rehabilitasyon ay nag-iiba depende sa kalubhaan ng pang-aabuso at sa mga indibidwal na pangangailangan ng hayop. * **Paghahanap ng Mga Naaangkop na Tahanan:** Maaaring maging mahirap ang pagtutugma ng mga nailigtas na hayop na may responsable at katugmang forever na mga tahanan.
**Mga Inisyatiba at Pinakamahuhusay na Kasanayan:**
* **Pagtutulungan:** Ang pakikipagtulungan sa pagitan ng mga tagapagpatupad ng batas, mga opisyal ng barangay, at mga organisasyon ng kapakanan ng hayop ay mahalaga para sa isang maayos na proseso ng pagsagip, rehabilitasyon, at rehoming.
* **Mga Kampanya sa Pampublikong Kamalayan:** Ang pagpapataas ng kamalayan ng publiko tungkol sa mga isyu sa kapakanan ng hayop ay naghihikayat ng responsableng pagmamay-ari ng alagang hayop at nagpapataas ng mga rate ng pag-aampon para sa mga nailigtas na hayop.
* **Volunteer Support:** Ang mga animal welfare organization ay lubos na umaasa sa mga boluntaryo upang magbigay ng pangangalaga at pakikisalamuha para sa mga nailigtas na hayop sa panahon ng kanilang paglalakbay sa rehabilitasyon.
**Ang Pasulong:**
* **Legislative Advocacy:** Ang mga pagsusumikap sa adbokasiya ay maaaring itulak ang batas na partikular na tumutugon sa mga programa sa rehabilitasyon ng hayop at rehoming. Maaari itong maglaan ng mga mapagkukunan at magtatag ng malinaw na mga alituntunin para sa proseso.
* **Pinataas na Pagpopondo:** Ang pagtaas ng pondo para sa mga organisasyon ng kapakanan ng hayop ay magbibigay-daan sa kanila na palawakin ang kanilang kapasidad na pangalagaan ang mga nailigtas na hayop at pagbutihin ang mga programa sa rehabilitasyon.
Bilang konklusyon, habang ang Pilipinas ay kulang sa mga partikular na batas na nakatuon sa rehabilitasyon at rehoming, ang mga umiiral na balangkas at ang nakatuong gawain ng mga organisasyong pangkalusugan ng hayop ay nagpapadali sa prosesong ito para sa mga hayop na nailigtas mula sa mga mapang-abusong sitwasyon. Ang patuloy na pagsusumikap sa pagtataguyod at pagtaas ng mga mapagkukunan ay maaaring higit pang palakasin ang sistemang ito at matiyak ang isang mas maliwanag na hinaharap para sa mga hayop na nagtiis ng kalupitan.</v>
      </c>
      <c r="F2669" s="2">
        <f t="shared" si="1"/>
        <v>0</v>
      </c>
      <c r="G2669" s="2"/>
      <c r="H2669" s="2"/>
      <c r="I2669" s="2"/>
      <c r="J2669" s="2"/>
      <c r="K2669" s="2"/>
      <c r="L2669" s="2"/>
      <c r="M2669" s="2"/>
      <c r="N2669" s="2"/>
      <c r="O2669" s="2"/>
      <c r="P2669" s="2"/>
      <c r="Q2669" s="2"/>
      <c r="R2669" s="2"/>
      <c r="S2669" s="2"/>
      <c r="T2669" s="2"/>
      <c r="U2669" s="2"/>
      <c r="V2669" s="2"/>
      <c r="W2669" s="2"/>
      <c r="X2669" s="2"/>
      <c r="Y2669" s="2"/>
      <c r="Z2669" s="2"/>
      <c r="AA2669" s="2"/>
    </row>
    <row r="2670">
      <c r="A2670" s="1" t="s">
        <v>6268</v>
      </c>
      <c r="B2670" s="1" t="s">
        <v>6311</v>
      </c>
      <c r="C2670" s="1" t="s">
        <v>6312</v>
      </c>
      <c r="D2670" s="2" t="str">
        <f>IFERROR(__xludf.DUMMYFUNCTION("GOOGLETRANSLATE(B2670, ""en"", ""TL"")"),"Paano pinapanagot sa ilalim ng batas ang mga indibidwal na sangkot sa iligal na kalakalan ng mga kakaibang alagang hayop?")</f>
        <v>Paano pinapanagot sa ilalim ng batas ang mga indibidwal na sangkot sa iligal na kalakalan ng mga kakaibang alagang hayop?</v>
      </c>
      <c r="E2670" s="2" t="str">
        <f>IFERROR(__xludf.DUMMYFUNCTION("GOOGLETRANSLATE(C2670, ""en"", ""TL"")"),"Ang iligal na kalakalan ng mga kakaibang alagang hayop sa Pilipinas ay tinutugunan sa pamamagitan ng kumbinasyon ng mga batas at regulasyon. Narito kung paano mapapanagot ang mga indibidwal na kasangkot:
**Mga Pangunahing Batas at Regulasyon:**
* **Republ"&amp;"ic Act No. 9147 (Wildlife Resources Conservation and Protection Act):** Ang Batas na ito ay kinokontrol ang koleksyon, pagmamay-ari, transportasyon, at kalakalan ng wildlife, kabilang ang mga kakaibang uri ng alagang hayop. Nangangailangan ito ng mga perm"&amp;"it para sa anumang aktibidad na kinasasangkutan ng mga hayop na ito. Ang mga paglabag ay maaaring magresulta sa:
* **Mga multa:** Ang mga multa ay maaaring mula sa Ten Thousand Pesos (Php 10,000.00) hanggang Three Hundred Thousand Pesos (Php 300,000.00) d"&amp;"epende sa pagkakasala. * **Pagkulong:** Ang pagkakakulong ng hanggang dalawang (2) taon ay maaaring ipataw para sa mabibigat na paglabag.
* **Pagkumpiska ng mga Hayop:** Ang mga hayop na iligal na ipinagpalit ay kukumpiskahin ng mga awtoridad.
* **Convent"&amp;"ion on International Trade in Endangered Species of Wild Fauna and Flora (CITES):** Ang Pilipinas ay signatory sa CITES, na kumokontrol sa internasyonal na kalakalan sa mga endangered species. Ang mga indibidwal na sangkot sa pagpupuslit ng mga exotic na "&amp;"alagang hayop na nakalista sa CITES ay maaaring maharap sa karagdagang mga parusa sa ilalim ng mga batas sa pagpapatupad ng CITES.
**Mga Hamon at Pagpapatupad:**
* **Mga Kahirapan sa Pagtukoy:** Ang iligal na kalakalan ay madalas na tumatakbo sa ilalim ng"&amp;" lupa, na ginagawang mahirap ang pagtuklas. * **Mga Limitadong Mapagkukunan:** Maaaring may limitadong mga mapagkukunan ang mga ahensyang nagpapatupad ng batas para sa pagsisiyasat ng mga kaso ng wildlife trafficking.
**Pagkilos:**
* **Pag-uulat ng Kahina"&amp;"-hinalang Aktibidad:** Iulat ang pinaghihinalaang ilegal na aktibidad sa kalakalan sa Department of Environment and Natural Resources (DENR) o sa Philippine National Police (PNP).
* **Supporting Wildlife Rescue Organizations:** Ang mga organisasyon tulad "&amp;"ng PAWS o wildlife rescue centers ay may mahalagang papel sa pag-aalaga sa mga nakumpiskang hayop. Pag-isipang mag-donate o magboluntaryo sa mga organisasyong ito.
**Ang Papel ng Pampublikong Kamalayan:**
* **Pagpapalaki ng kamalayan** tungkol sa mga pang"&amp;"anib ng iligal na exotic na pet trade ay maaaring makapigil sa mga tao na bumili ng mga kakaibang alagang hayop na iligal na inaning. Maaari nitong bawasan ang demand at sa huli ay makagambala sa kalakalan.
**Konklusyon:**
Bagama't may mga hamon, ang Pili"&amp;"pinas ay may mga batas na inilalagay upang panagutin ang mga indibidwal para sa iligal na kalakalan ng mga kakaibang alagang hayop. Ang pag-uulat ng kahina-hinalang aktibidad, pagsuporta sa mga organisasyon ng pagliligtas ng wildlife, at pagtataguyod ng k"&amp;"amalayan ng publiko ay lahat ng mahahalagang hakbang sa paglaban sa ilegal na gawaing ito at pagprotekta sa wildlife.")</f>
        <v>Ang iligal na kalakalan ng mga kakaibang alagang hayop sa Pilipinas ay tinutugunan sa pamamagitan ng kumbinasyon ng mga batas at regulasyon. Narito kung paano mapapanagot ang mga indibidwal na kasangkot:
**Mga Pangunahing Batas at Regulasyon:**
* **Republic Act No. 9147 (Wildlife Resources Conservation and Protection Act):** Ang Batas na ito ay kinokontrol ang koleksyon, pagmamay-ari, transportasyon, at kalakalan ng wildlife, kabilang ang mga kakaibang uri ng alagang hayop. Nangangailangan ito ng mga permit para sa anumang aktibidad na kinasasangkutan ng mga hayop na ito. Ang mga paglabag ay maaaring magresulta sa:
* **Mga multa:** Ang mga multa ay maaaring mula sa Ten Thousand Pesos (Php 10,000.00) hanggang Three Hundred Thousand Pesos (Php 300,000.00) depende sa pagkakasala. * **Pagkulong:** Ang pagkakakulong ng hanggang dalawang (2) taon ay maaaring ipataw para sa mabibigat na paglabag.
* **Pagkumpiska ng mga Hayop:** Ang mga hayop na iligal na ipinagpalit ay kukumpiskahin ng mga awtoridad.
* **Convention on International Trade in Endangered Species of Wild Fauna and Flora (CITES):** Ang Pilipinas ay signatory sa CITES, na kumokontrol sa internasyonal na kalakalan sa mga endangered species. Ang mga indibidwal na sangkot sa pagpupuslit ng mga exotic na alagang hayop na nakalista sa CITES ay maaaring maharap sa karagdagang mga parusa sa ilalim ng mga batas sa pagpapatupad ng CITES.
**Mga Hamon at Pagpapatupad:**
* **Mga Kahirapan sa Pagtukoy:** Ang iligal na kalakalan ay madalas na tumatakbo sa ilalim ng lupa, na ginagawang mahirap ang pagtuklas. * **Mga Limitadong Mapagkukunan:** Maaaring may limitadong mga mapagkukunan ang mga ahensyang nagpapatupad ng batas para sa pagsisiyasat ng mga kaso ng wildlife trafficking.
**Pagkilos:**
* **Pag-uulat ng Kahina-hinalang Aktibidad:** Iulat ang pinaghihinalaang ilegal na aktibidad sa kalakalan sa Department of Environment and Natural Resources (DENR) o sa Philippine National Police (PNP).
* **Supporting Wildlife Rescue Organizations:** Ang mga organisasyon tulad ng PAWS o wildlife rescue centers ay may mahalagang papel sa pag-aalaga sa mga nakumpiskang hayop. Pag-isipang mag-donate o magboluntaryo sa mga organisasyong ito.
**Ang Papel ng Pampublikong Kamalayan:**
* **Pagpapalaki ng kamalayan** tungkol sa mga panganib ng iligal na exotic na pet trade ay maaaring makapigil sa mga tao na bumili ng mga kakaibang alagang hayop na iligal na inaning. Maaari nitong bawasan ang demand at sa huli ay makagambala sa kalakalan.
**Konklusyon:**
Bagama't may mga hamon, ang Pilipinas ay may mga batas na inilalagay upang panagutin ang mga indibidwal para sa iligal na kalakalan ng mga kakaibang alagang hayop. Ang pag-uulat ng kahina-hinalang aktibidad, pagsuporta sa mga organisasyon ng pagliligtas ng wildlife, at pagtataguyod ng kamalayan ng publiko ay lahat ng mahahalagang hakbang sa paglaban sa ilegal na gawaing ito at pagprotekta sa wildlife.</v>
      </c>
      <c r="F2670" s="2">
        <f t="shared" si="1"/>
        <v>0</v>
      </c>
      <c r="G2670" s="2"/>
      <c r="H2670" s="2"/>
      <c r="I2670" s="2"/>
      <c r="J2670" s="2"/>
      <c r="K2670" s="2"/>
      <c r="L2670" s="2"/>
      <c r="M2670" s="2"/>
      <c r="N2670" s="2"/>
      <c r="O2670" s="2"/>
      <c r="P2670" s="2"/>
      <c r="Q2670" s="2"/>
      <c r="R2670" s="2"/>
      <c r="S2670" s="2"/>
      <c r="T2670" s="2"/>
      <c r="U2670" s="2"/>
      <c r="V2670" s="2"/>
      <c r="W2670" s="2"/>
      <c r="X2670" s="2"/>
      <c r="Y2670" s="2"/>
      <c r="Z2670" s="2"/>
      <c r="AA2670" s="2"/>
    </row>
    <row r="2671">
      <c r="A2671" s="1" t="s">
        <v>6268</v>
      </c>
      <c r="B2671" s="1" t="s">
        <v>6313</v>
      </c>
      <c r="C2671" s="1" t="s">
        <v>6314</v>
      </c>
      <c r="D2671" s="2" t="str">
        <f>IFERROR(__xludf.DUMMYFUNCTION("GOOGLETRANSLATE(B2671, ""en"", ""TL"")"),"Anong mga legal na aksyon ang maaaring gawin laban sa mga indibidwal na sangkot sa pagkalason o sinadyang pananakit sa mga hayop?")</f>
        <v>Anong mga legal na aksyon ang maaaring gawin laban sa mga indibidwal na sangkot sa pagkalason o sinadyang pananakit sa mga hayop?</v>
      </c>
      <c r="E2671" s="2" t="str">
        <f>IFERROR(__xludf.DUMMYFUNCTION("GOOGLETRANSLATE(C2671, ""en"", ""TL"")"),"Ang Pilipinas ay may ilang mga legal na aksyon na maaaring gawin laban sa mga indibidwal na sangkot sa pagkalason o sinadyang pananakit sa mga hayop. Narito ang isang breakdown ng mga nauugnay na batas at mga potensyal na kahihinatnan:
**Pangunahing Batas"&amp;":**
* **Republic Act No. 8485 (The Animal Welfare Act of 1998):** Ito ang pangunahing batas tungkol sa kapakanan ng hayop sa Pilipinas. Ang Seksyon 5 ay nagbabawal sa sinumang tao na magdulot ng hindi kinakailangang pagdurusa o pananakit sa anumang hayop."&amp;" Ang pagkalason o sinadyang saktan ang isang hayop ay malinaw na nasa ilalim ng pagbabawal na ito.
**Potensyal na Mga Parusa:**
* **Mga multa:** Ang mga multa para sa paglabag sa Animal Welfare Act ay maaaring mula sa Isang Libong Piso (Php 1,000.00) hang"&amp;"gang Dalawampu't Limang Libong Piso (Php 25,000.00) para sa unang paglabag. Tataas ang mga parusa para sa mga kasunod na pagkakasala.
* **Pagkulong:** Sa ilang mga kaso, ang pagkakulong ng hanggang anim (6) na buwan ay maaaring ipataw, lalo na para sa mat"&amp;"inding kalupitan o paulit-ulit na pagkakasala.
**Mga Karagdagang Pagsasaalang-alang:**
* **Kalubhaan ng Batas:** Ang kalubhaan ng mga parusa ay magdedepende sa iba't ibang salik, gaya ng:
* Kung ang hayop ay namatay o nakaranas ng matinding pinsala.
* Ang"&amp;" pinag-isipang katangian ng kilos (intentional poisoning vs. accidental poisoning).
* Mga naunang pagkakasala ng may kagagawan.
* **Pagkumpiska ng mga Hayop:** Maaaring kumpiskahin ng mga awtoridad ang anumang hayop na pag-aari ng indibidwal kung ang kani"&amp;"lang kapakanan ay ituturing na nasa panganib.
**Iba pang Naaangkop na Batas:**
* **Depende sa mga pangyayari, maaaring magsampa ng mga karagdagang singil sa ilalim ng ibang mga batas:**
* **Mga Batas sa Kapaligiran:** Kung ang pagkalason ay nagpaparumi sa"&amp;" isang pinagmumulan ng tubig na pumipinsala sa mga buhay sa tubig, maaaring may kaugnayan ang mga batas tulad ng Philippine Clean Water Act (RA 3933).
* **Pinsala sa Ari-arian:** Kung ang hayop ay pag-aari ng ibang tao, ang may kasalanan ay maaaring makas"&amp;"uhan para sa pinsala sa ari-arian.
**Pagsasagawa ng Legal na Aksyon:**
* **Pag-uulat ng Krimen:** Iulat ang insidente sa mga opisyal ng barangay at Philippine Animal Welfare Society (PAWS). Maaari silang magbigay ng gabay sa paghahain ng pormal na reklamo"&amp;".
* **Pagtitipon ng Ebidensya:** Kung maaari, mangalap ng ebidensya ng pagkalason o sinadyang pinsala. Maaaring kabilang dito ang:
* Mga testimonya ng saksi * Mga larawan o video ng nasugatan na hayop o ng lason na ginamit
* Mga ulat ng beterinaryo (kung "&amp;"ang hayop ay nakatanggap ng medikal na atensyon)
**Kahalagahan ng Testimonya at Ebidensya ng Saksi:**
Ang isang malakas na kaso laban sa salarin ay lubos na umaasa sa mga testimonya ng saksi at pisikal na ebidensya. Kung mas maraming ebidensya ang makakal"&amp;"ap mo, mas magiging malakas ang iyong kaso sa pagpapanagot sa indibidwal para sa kanilang mga aksyon.
**Konklusyon:**
Ang kalupitan sa hayop ay isang parusang kasalanan sa Pilipinas. Sa pamamagitan ng pag-uulat ng mga insidente ng pagkalason o sinadyang p"&amp;"ananakit, pangangalap ng ebidensya, at pagsasagawa ng legal na aksyon, maaari kang makatulong na matiyak na ang kapakanan ng hayop ay protektado at ang mga may kasalanan ay pananagutan para sa kanilang mga aksyon.")</f>
        <v>Ang Pilipinas ay may ilang mga legal na aksyon na maaaring gawin laban sa mga indibidwal na sangkot sa pagkalason o sinadyang pananakit sa mga hayop. Narito ang isang breakdown ng mga nauugnay na batas at mga potensyal na kahihinatnan:
**Pangunahing Batas:**
* **Republic Act No. 8485 (The Animal Welfare Act of 1998):** Ito ang pangunahing batas tungkol sa kapakanan ng hayop sa Pilipinas. Ang Seksyon 5 ay nagbabawal sa sinumang tao na magdulot ng hindi kinakailangang pagdurusa o pananakit sa anumang hayop. Ang pagkalason o sinadyang saktan ang isang hayop ay malinaw na nasa ilalim ng pagbabawal na ito.
**Potensyal na Mga Parusa:**
* **Mga multa:** Ang mga multa para sa paglabag sa Animal Welfare Act ay maaaring mula sa Isang Libong Piso (Php 1,000.00) hanggang Dalawampu't Limang Libong Piso (Php 25,000.00) para sa unang paglabag. Tataas ang mga parusa para sa mga kasunod na pagkakasala.
* **Pagkulong:** Sa ilang mga kaso, ang pagkakulong ng hanggang anim (6) na buwan ay maaaring ipataw, lalo na para sa matinding kalupitan o paulit-ulit na pagkakasala.
**Mga Karagdagang Pagsasaalang-alang:**
* **Kalubhaan ng Batas:** Ang kalubhaan ng mga parusa ay magdedepende sa iba't ibang salik, gaya ng:
* Kung ang hayop ay namatay o nakaranas ng matinding pinsala.
* Ang pinag-isipang katangian ng kilos (intentional poisoning vs. accidental poisoning).
* Mga naunang pagkakasala ng may kagagawan.
* **Pagkumpiska ng mga Hayop:** Maaaring kumpiskahin ng mga awtoridad ang anumang hayop na pag-aari ng indibidwal kung ang kanilang kapakanan ay ituturing na nasa panganib.
**Iba pang Naaangkop na Batas:**
* **Depende sa mga pangyayari, maaaring magsampa ng mga karagdagang singil sa ilalim ng ibang mga batas:**
* **Mga Batas sa Kapaligiran:** Kung ang pagkalason ay nagpaparumi sa isang pinagmumulan ng tubig na pumipinsala sa mga buhay sa tubig, maaaring may kaugnayan ang mga batas tulad ng Philippine Clean Water Act (RA 3933).
* **Pinsala sa Ari-arian:** Kung ang hayop ay pag-aari ng ibang tao, ang may kasalanan ay maaaring makasuhan para sa pinsala sa ari-arian.
**Pagsasagawa ng Legal na Aksyon:**
* **Pag-uulat ng Krimen:** Iulat ang insidente sa mga opisyal ng barangay at Philippine Animal Welfare Society (PAWS). Maaari silang magbigay ng gabay sa paghahain ng pormal na reklamo.
* **Pagtitipon ng Ebidensya:** Kung maaari, mangalap ng ebidensya ng pagkalason o sinadyang pinsala. Maaaring kabilang dito ang:
* Mga testimonya ng saksi * Mga larawan o video ng nasugatan na hayop o ng lason na ginamit
* Mga ulat ng beterinaryo (kung ang hayop ay nakatanggap ng medikal na atensyon)
**Kahalagahan ng Testimonya at Ebidensya ng Saksi:**
Ang isang malakas na kaso laban sa salarin ay lubos na umaasa sa mga testimonya ng saksi at pisikal na ebidensya. Kung mas maraming ebidensya ang makakalap mo, mas magiging malakas ang iyong kaso sa pagpapanagot sa indibidwal para sa kanilang mga aksyon.
**Konklusyon:**
Ang kalupitan sa hayop ay isang parusang kasalanan sa Pilipinas. Sa pamamagitan ng pag-uulat ng mga insidente ng pagkalason o sinadyang pananakit, pangangalap ng ebidensya, at pagsasagawa ng legal na aksyon, maaari kang makatulong na matiyak na ang kapakanan ng hayop ay protektado at ang mga may kasalanan ay pananagutan para sa kanilang mga aksyon.</v>
      </c>
      <c r="F2671" s="2">
        <f t="shared" si="1"/>
        <v>0</v>
      </c>
      <c r="G2671" s="2"/>
      <c r="H2671" s="2"/>
      <c r="I2671" s="2"/>
      <c r="J2671" s="2"/>
      <c r="K2671" s="2"/>
      <c r="L2671" s="2"/>
      <c r="M2671" s="2"/>
      <c r="N2671" s="2"/>
      <c r="O2671" s="2"/>
      <c r="P2671" s="2"/>
      <c r="Q2671" s="2"/>
      <c r="R2671" s="2"/>
      <c r="S2671" s="2"/>
      <c r="T2671" s="2"/>
      <c r="U2671" s="2"/>
      <c r="V2671" s="2"/>
      <c r="W2671" s="2"/>
      <c r="X2671" s="2"/>
      <c r="Y2671" s="2"/>
      <c r="Z2671" s="2"/>
      <c r="AA2671" s="2"/>
    </row>
    <row r="2672">
      <c r="A2672" s="1" t="s">
        <v>6268</v>
      </c>
      <c r="B2672" s="1" t="s">
        <v>6315</v>
      </c>
      <c r="C2672" s="1" t="s">
        <v>6316</v>
      </c>
      <c r="D2672" s="2" t="str">
        <f>IFERROR(__xludf.DUMMYFUNCTION("GOOGLETRANSLATE(B2672, ""en"", ""TL"")"),"Paano tinutugunan ng batas ng Pilipinas ang pang-aabuso sa hayop sa konteksto ng mga gawaing pang-agrikultura?")</f>
        <v>Paano tinutugunan ng batas ng Pilipinas ang pang-aabuso sa hayop sa konteksto ng mga gawaing pang-agrikultura?</v>
      </c>
      <c r="E2672" s="2" t="str">
        <f>IFERROR(__xludf.DUMMYFUNCTION("GOOGLETRANSLATE(C2672, ""en"", ""TL"")"),"Ang batas ng Pilipinas tungkol sa pang-aabuso sa hayop sa agrikultura ay may ilang saklaw ngunit nagpapakita ng mga kumplikado at puwang para sa pagpapabuti. Narito ang isang breakdown ng sitwasyon:
**Mga Kaugnay na Batas:**
* **Republic Act No. 8485 (The"&amp;" Animal Welfare Act of 1998):** Ito ang pangunahing batas sa kapakanan ng hayop. Ipinagbabawal nito ang pagdudulot ng hindi kinakailangang pagdurusa o sakit sa anumang hayop. Sa teorya, nalalapat din ito sa mga hayop na sinasaka.
* **Department of Agricul"&amp;"ture Administrative Order No. 13 (DAO 13):** Inilabas noong 2013, ang kautusang ito ay nagbibigay ng mga partikular na alituntunin para sa makataong pangangasiwa ng mga alagang hayop at sakahan sa panahon ng transportasyon, pagpatay, at iba pang nauugnay "&amp;"na aktibidad. **Mga Hamon at Loopholes:**
* **Limitadong Saklaw:** Ang mga probisyon ng Animal Welfare Act tungkol sa mga hayop sa bukid ay hindi gaanong detalyado kumpara sa mga nagpoprotekta sa mga kasamang hayop. * **Tumuon sa Pagpatay:** Pangunahing n"&amp;"akatuon ang DAO 13 sa makataong mga kasanayan sa pagpatay sa halip na mas malawak na mga alalahanin sa kapakanan sa panahon ng pag-aanak ng hayop, pabahay, at mga kasanayan sa pagsasaka.
* **Malabo na Kahulugan:** Ang mga kahulugan ng ""kalupitan"" at ""h"&amp;"indi kinakailangang pagdurusa"" sa konteksto ng mga gawaing pang-agrikultura ay maaaring maging subjective at bukas sa interpretasyon. **Limitadong Pagpapatupad:**
* **Mga Mapagkukunan at Priyoridad:** Maaaring humarap ang Kagawaran ng Agrikultura (DA) sa"&amp;" mga hadlang sa mapagkukunan na naglilimita sa pagpapatupad ng mga regulasyon sa kapakanan ng hayop sa mga setting ng agrikultura. Maaaring mauna ang iba pang priyoridad tulad ng pagtiyak ng seguridad sa pagkain.
* **Impluwensiya sa Industriya:** Maaaring"&amp;" mag-lobby ang industriya ng agrikultura laban sa mas mahigpit na mga regulasyon sa kapakanan ng hayop na nagbabanggit ng mga alalahanin tungkol sa pagtaas ng mga gastos sa produksyon.
**Mga Positibong Pag-unlad:**
* **Paglago ng Pampublikong Kamalayan:**"&amp;" Ang kamalayan ng publiko tungkol sa kapakanan ng hayop sa agrikultura ay tumataas. Maaari itong maglagay ng presyon sa industriya ng agrikultura at sa pamahalaan upang mapabuti ang mga pamantayan.
* **Mga Alternatibong Kasanayan sa Pagsasaka:** Ang ilang"&amp;" magsasaka ay gumagamit ng mas makataong mga kasanayan sa pagsasaka na nagpapabuti sa kapakanan ng hayop habang pinapanatili ang produktibidad.
**Ang Pasulong:**
* **Pagpapalakas ng Lehislasyon:** Ang mga pagsusumikap sa pagtataguyod ay maaaring itulak an"&amp;"g mas malinaw na mga kahulugan ng kalupitan sa hayop sa mga setting ng agrikultura at mas malakas na mekanismo ng pagpapatupad.
* **Pinahusay na Pagpapatupad:** Ang mga karagdagang mapagkukunang inilalaan sa DA para sa pagpapatupad ng kapakanan ng hayop a"&amp;"y maaaring matiyak ang mas mahusay na pagsunod sa mga kasalukuyang regulasyon.
* **Pagsusulong ng Mga Makataong Kasanayan:** Ang paghikayat sa pagpapatibay ng mas makataong mga kasanayan sa pagsasaka sa pamamagitan ng mga insentibo at mga programang pang-"&amp;"edukasyon ay maaaring mapabuti ang kapakanan ng mga hayop nang hindi nakapipinsala sa produktibidad ng agrikultura.
Sa konklusyon, ang Pilipinas ay may legal na balangkas na tumutugon sa pang-aabuso sa hayop sa agrikultura, ngunit nananatili ang malalakin"&amp;"g gaps. Ang pagpapalakas ng batas, pagpapabuti ng pagpapatupad, at pagtataguyod ng makataong mga kasanayan sa pagsasaka ay mga mahahalagang hakbang patungo sa pagtiyak ng mas mabuting kapakanan para sa mga hayop na pinalaki para sa produksyon ng pagkain.")</f>
        <v>Ang batas ng Pilipinas tungkol sa pang-aabuso sa hayop sa agrikultura ay may ilang saklaw ngunit nagpapakita ng mga kumplikado at puwang para sa pagpapabuti. Narito ang isang breakdown ng sitwasyon:
**Mga Kaugnay na Batas:**
* **Republic Act No. 8485 (The Animal Welfare Act of 1998):** Ito ang pangunahing batas sa kapakanan ng hayop. Ipinagbabawal nito ang pagdudulot ng hindi kinakailangang pagdurusa o sakit sa anumang hayop. Sa teorya, nalalapat din ito sa mga hayop na sinasaka.
* **Department of Agriculture Administrative Order No. 13 (DAO 13):** Inilabas noong 2013, ang kautusang ito ay nagbibigay ng mga partikular na alituntunin para sa makataong pangangasiwa ng mga alagang hayop at sakahan sa panahon ng transportasyon, pagpatay, at iba pang nauugnay na aktibidad. **Mga Hamon at Loopholes:**
* **Limitadong Saklaw:** Ang mga probisyon ng Animal Welfare Act tungkol sa mga hayop sa bukid ay hindi gaanong detalyado kumpara sa mga nagpoprotekta sa mga kasamang hayop. * **Tumuon sa Pagpatay:** Pangunahing nakatuon ang DAO 13 sa makataong mga kasanayan sa pagpatay sa halip na mas malawak na mga alalahanin sa kapakanan sa panahon ng pag-aanak ng hayop, pabahay, at mga kasanayan sa pagsasaka.
* **Malabo na Kahulugan:** Ang mga kahulugan ng "kalupitan" at "hindi kinakailangang pagdurusa" sa konteksto ng mga gawaing pang-agrikultura ay maaaring maging subjective at bukas sa interpretasyon. **Limitadong Pagpapatupad:**
* **Mga Mapagkukunan at Priyoridad:** Maaaring humarap ang Kagawaran ng Agrikultura (DA) sa mga hadlang sa mapagkukunan na naglilimita sa pagpapatupad ng mga regulasyon sa kapakanan ng hayop sa mga setting ng agrikultura. Maaaring mauna ang iba pang priyoridad tulad ng pagtiyak ng seguridad sa pagkain.
* **Impluwensiya sa Industriya:** Maaaring mag-lobby ang industriya ng agrikultura laban sa mas mahigpit na mga regulasyon sa kapakanan ng hayop na nagbabanggit ng mga alalahanin tungkol sa pagtaas ng mga gastos sa produksyon.
**Mga Positibong Pag-unlad:**
* **Paglago ng Pampublikong Kamalayan:** Ang kamalayan ng publiko tungkol sa kapakanan ng hayop sa agrikultura ay tumataas. Maaari itong maglagay ng presyon sa industriya ng agrikultura at sa pamahalaan upang mapabuti ang mga pamantayan.
* **Mga Alternatibong Kasanayan sa Pagsasaka:** Ang ilang magsasaka ay gumagamit ng mas makataong mga kasanayan sa pagsasaka na nagpapabuti sa kapakanan ng hayop habang pinapanatili ang produktibidad.
**Ang Pasulong:**
* **Pagpapalakas ng Lehislasyon:** Ang mga pagsusumikap sa pagtataguyod ay maaaring itulak ang mas malinaw na mga kahulugan ng kalupitan sa hayop sa mga setting ng agrikultura at mas malakas na mekanismo ng pagpapatupad.
* **Pinahusay na Pagpapatupad:** Ang mga karagdagang mapagkukunang inilalaan sa DA para sa pagpapatupad ng kapakanan ng hayop ay maaaring matiyak ang mas mahusay na pagsunod sa mga kasalukuyang regulasyon.
* **Pagsusulong ng Mga Makataong Kasanayan:** Ang paghikayat sa pagpapatibay ng mas makataong mga kasanayan sa pagsasaka sa pamamagitan ng mga insentibo at mga programang pang-edukasyon ay maaaring mapabuti ang kapakanan ng mga hayop nang hindi nakapipinsala sa produktibidad ng agrikultura.
Sa konklusyon, ang Pilipinas ay may legal na balangkas na tumutugon sa pang-aabuso sa hayop sa agrikultura, ngunit nananatili ang malalaking gaps. Ang pagpapalakas ng batas, pagpapabuti ng pagpapatupad, at pagtataguyod ng makataong mga kasanayan sa pagsasaka ay mga mahahalagang hakbang patungo sa pagtiyak ng mas mabuting kapakanan para sa mga hayop na pinalaki para sa produksyon ng pagkain.</v>
      </c>
      <c r="F2672" s="2">
        <f t="shared" si="1"/>
        <v>0</v>
      </c>
      <c r="G2672" s="2"/>
      <c r="H2672" s="2"/>
      <c r="I2672" s="2"/>
      <c r="J2672" s="2"/>
      <c r="K2672" s="2"/>
      <c r="L2672" s="2"/>
      <c r="M2672" s="2"/>
      <c r="N2672" s="2"/>
      <c r="O2672" s="2"/>
      <c r="P2672" s="2"/>
      <c r="Q2672" s="2"/>
      <c r="R2672" s="2"/>
      <c r="S2672" s="2"/>
      <c r="T2672" s="2"/>
      <c r="U2672" s="2"/>
      <c r="V2672" s="2"/>
      <c r="W2672" s="2"/>
      <c r="X2672" s="2"/>
      <c r="Y2672" s="2"/>
      <c r="Z2672" s="2"/>
      <c r="AA2672" s="2"/>
    </row>
    <row r="2673">
      <c r="A2673" s="1" t="s">
        <v>6268</v>
      </c>
      <c r="B2673" s="1" t="s">
        <v>6317</v>
      </c>
      <c r="C2673" s="1" t="s">
        <v>6318</v>
      </c>
      <c r="D2673" s="2" t="str">
        <f>IFERROR(__xludf.DUMMYFUNCTION("GOOGLETRANSLATE(B2673, ""en"", ""TL"")"),"Mayroon bang mga legal na pananggalang para sa mga testigo at whistleblower sa mga kaso ng pang-aabuso sa hayop?")</f>
        <v>Mayroon bang mga legal na pananggalang para sa mga testigo at whistleblower sa mga kaso ng pang-aabuso sa hayop?</v>
      </c>
      <c r="E2673" s="2" t="str">
        <f>IFERROR(__xludf.DUMMYFUNCTION("GOOGLETRANSLATE(C2673, ""en"", ""TL"")"),"Ang Pilipinas ay may ilang legal na pananggalang para sa mga testigo at whistleblower sa mga kaso ng pang-aabuso sa hayop, ngunit may puwang para sa pagpapabuti. Narito ang isang breakdown ng kasalukuyang sitwasyon:
**Mga Umiiral na Safeguard:**
* **Witne"&amp;"ss Protection Program (WPP):** Ang Department of Justice (DOJ) ay namamahala ng Witness Protection Program (WPP). Bagama't hindi lamang para sa mga kaso ng pang-aabuso sa hayop, ang mga saksi na natatakot sa paghihiganti para sa pag-uulat ng kalupitan sa "&amp;"hayop ay maaaring mag-apply sa WPP para sa mga hakbang sa proteksyon tulad ng relokasyon o detalye ng seguridad (napapailalim sa mga kinakailangan sa pagiging kwalipikado at mga mapagkukunan ng programa).
* **Republic Act No. 6986 (Isang Batas na Nagbibig"&amp;"ay para sa Proteksyon, Seguridad at Mga Benepisyo ng Saksi):** Ang Batas na ito ay nagtatatag ng legal na balangkas para sa WPP. Binabalangkas nito ang mga pamantayan sa pagiging karapat-dapat at mga hakbang sa proteksyon na maaaring ibigay sa mga saksi s"&amp;"a iba't ibang kaso, kabilang ang potensyal na kalupitan sa hayop kung ang mga banta ay itinuturing na kapani-paniwala.
**Mga Hamon at Limitasyon:**
* **Limitadong Saklaw:** Ang WPP ay inuuna ang mga kaso na kinasasangkutan ng matinding pagbabanta o pangan"&amp;"ib sa saksi. Ang mga kaso ng pang-aabuso sa hayop ay maaaring hindi palaging nakakatugon sa threshold na ito para maisama sa programa.
* **Resource Constraints:** Ang WPP ay may mga limitasyon sa badyet na maaaring maghigpit sa pagkakaroon ng mga hakbang "&amp;"sa proteksyon para sa lahat ng karapat-dapat na saksi.
* **Kakulangan ng Anonymity:** Bagama't ang WPP ay nag-aalok ng proteksyon, madalas nitong hinihiling na ibunyag ang pagkakakilanlan ng saksi sa panahon ng pagsisiyasat at mga paglilitis sa korte, na "&amp;"maaaring magpahina ng loob sa ilan sa pagharap.
**Potensyal na Pagpapabuti:**
* **Mga Tukoy na Proteksyon sa Whistleblower para sa Pang-aabuso sa Hayop:** Ang mga pagsisikap sa pambatasan ay isinasagawa upang magtatag ng malinaw na mga proteksyon ng whist"&amp;"leblower partikular para sa mga kaso ng pang-aabuso sa hayop. Maaaring kabilang dito ang mga hakbang tulad ng hindi nagpapakilala sa panahon ng mga pagsisiyasat, kaligtasan sa mga demanda na isinampa ng nang-aabuso, at mga probisyon laban sa paghihiganti "&amp;"upang protektahan ang sitwasyon sa trabaho o pabahay ng isang saksi.
* **Pinataas na Pagpopondo para sa WPP:** Ang pagtaas ng paglalaan ng mga mapagkukunan sa WPP ay magbibigay-daan sa kanila na palawakin ang mga hakbang sa proteksyon at mapaunlakan ang h"&amp;"igit pang mga saksi mula sa iba't ibang kaso, kabilang ang pang-aabuso sa hayop.
**Tungkulin ng Animal Welfare Organizations:**
* **Suporta para sa Mga Whistleblower:** Nag-aalok ang ilang organisasyon ng kapakanan ng hayop ng mga serbisyo ng suporta para"&amp;" sa mga whistleblower sa mga kaso ng pang-aabuso sa hayop. Maaaring kabilang dito ang legal na payo, referral sa WPP, at emosyonal na suporta sa panahon ng imbestigasyon at proseso ng korte.
**Konklusyon:**
Habang ang Pilipinas ay may ilang mga pananggala"&amp;"ng para sa mga saksi at whistleblower sa mga kaso ng pang-aabuso sa hayop, nananatili ang mga puwang. Ang mga pagsusumikap sa pagtataguyod na nagtutulak para sa mas matibay na mga legal na proteksyon at mas mataas na mapagkukunan para sa WPP ay mahalaga u"&amp;"pang hikayatin ang mga saksi na humarap nang walang takot sa paghihiganti at matiyak ang hustisya para sa mga inaabusong hayop.")</f>
        <v>Ang Pilipinas ay may ilang legal na pananggalang para sa mga testigo at whistleblower sa mga kaso ng pang-aabuso sa hayop, ngunit may puwang para sa pagpapabuti. Narito ang isang breakdown ng kasalukuyang sitwasyon:
**Mga Umiiral na Safeguard:**
* **Witness Protection Program (WPP):** Ang Department of Justice (DOJ) ay namamahala ng Witness Protection Program (WPP). Bagama't hindi lamang para sa mga kaso ng pang-aabuso sa hayop, ang mga saksi na natatakot sa paghihiganti para sa pag-uulat ng kalupitan sa hayop ay maaaring mag-apply sa WPP para sa mga hakbang sa proteksyon tulad ng relokasyon o detalye ng seguridad (napapailalim sa mga kinakailangan sa pagiging kwalipikado at mga mapagkukunan ng programa).
* **Republic Act No. 6986 (Isang Batas na Nagbibigay para sa Proteksyon, Seguridad at Mga Benepisyo ng Saksi):** Ang Batas na ito ay nagtatatag ng legal na balangkas para sa WPP. Binabalangkas nito ang mga pamantayan sa pagiging karapat-dapat at mga hakbang sa proteksyon na maaaring ibigay sa mga saksi sa iba't ibang kaso, kabilang ang potensyal na kalupitan sa hayop kung ang mga banta ay itinuturing na kapani-paniwala.
**Mga Hamon at Limitasyon:**
* **Limitadong Saklaw:** Ang WPP ay inuuna ang mga kaso na kinasasangkutan ng matinding pagbabanta o panganib sa saksi. Ang mga kaso ng pang-aabuso sa hayop ay maaaring hindi palaging nakakatugon sa threshold na ito para maisama sa programa.
* **Resource Constraints:** Ang WPP ay may mga limitasyon sa badyet na maaaring maghigpit sa pagkakaroon ng mga hakbang sa proteksyon para sa lahat ng karapat-dapat na saksi.
* **Kakulangan ng Anonymity:** Bagama't ang WPP ay nag-aalok ng proteksyon, madalas nitong hinihiling na ibunyag ang pagkakakilanlan ng saksi sa panahon ng pagsisiyasat at mga paglilitis sa korte, na maaaring magpahina ng loob sa ilan sa pagharap.
**Potensyal na Pagpapabuti:**
* **Mga Tukoy na Proteksyon sa Whistleblower para sa Pang-aabuso sa Hayop:** Ang mga pagsisikap sa pambatasan ay isinasagawa upang magtatag ng malinaw na mga proteksyon ng whistleblower partikular para sa mga kaso ng pang-aabuso sa hayop. Maaaring kabilang dito ang mga hakbang tulad ng hindi nagpapakilala sa panahon ng mga pagsisiyasat, kaligtasan sa mga demanda na isinampa ng nang-aabuso, at mga probisyon laban sa paghihiganti upang protektahan ang sitwasyon sa trabaho o pabahay ng isang saksi.
* **Pinataas na Pagpopondo para sa WPP:** Ang pagtaas ng paglalaan ng mga mapagkukunan sa WPP ay magbibigay-daan sa kanila na palawakin ang mga hakbang sa proteksyon at mapaunlakan ang higit pang mga saksi mula sa iba't ibang kaso, kabilang ang pang-aabuso sa hayop.
**Tungkulin ng Animal Welfare Organizations:**
* **Suporta para sa Mga Whistleblower:** Nag-aalok ang ilang organisasyon ng kapakanan ng hayop ng mga serbisyo ng suporta para sa mga whistleblower sa mga kaso ng pang-aabuso sa hayop. Maaaring kabilang dito ang legal na payo, referral sa WPP, at emosyonal na suporta sa panahon ng imbestigasyon at proseso ng korte.
**Konklusyon:**
Habang ang Pilipinas ay may ilang mga pananggalang para sa mga saksi at whistleblower sa mga kaso ng pang-aabuso sa hayop, nananatili ang mga puwang. Ang mga pagsusumikap sa pagtataguyod na nagtutulak para sa mas matibay na mga legal na proteksyon at mas mataas na mapagkukunan para sa WPP ay mahalaga upang hikayatin ang mga saksi na humarap nang walang takot sa paghihiganti at matiyak ang hustisya para sa mga inaabusong hayop.</v>
      </c>
      <c r="F2673" s="2">
        <f t="shared" si="1"/>
        <v>0</v>
      </c>
      <c r="G2673" s="2"/>
      <c r="H2673" s="2"/>
      <c r="I2673" s="2"/>
      <c r="J2673" s="2"/>
      <c r="K2673" s="2"/>
      <c r="L2673" s="2"/>
      <c r="M2673" s="2"/>
      <c r="N2673" s="2"/>
      <c r="O2673" s="2"/>
      <c r="P2673" s="2"/>
      <c r="Q2673" s="2"/>
      <c r="R2673" s="2"/>
      <c r="S2673" s="2"/>
      <c r="T2673" s="2"/>
      <c r="U2673" s="2"/>
      <c r="V2673" s="2"/>
      <c r="W2673" s="2"/>
      <c r="X2673" s="2"/>
      <c r="Y2673" s="2"/>
      <c r="Z2673" s="2"/>
      <c r="AA2673" s="2"/>
    </row>
    <row r="2674">
      <c r="A2674" s="1" t="s">
        <v>6268</v>
      </c>
      <c r="B2674" s="1" t="s">
        <v>6319</v>
      </c>
      <c r="C2674" s="1" t="s">
        <v>6320</v>
      </c>
      <c r="D2674" s="2" t="str">
        <f>IFERROR(__xludf.DUMMYFUNCTION("GOOGLETRANSLATE(B2674, ""en"", ""TL"")"),"Anong mga legal na aksyon ang maaaring gawin laban sa mga indibidwal na napatunayang nagpaparumi sa mga pinagmumulan ng tubig na pumipinsala sa mga hayop sa tubig?")</f>
        <v>Anong mga legal na aksyon ang maaaring gawin laban sa mga indibidwal na napatunayang nagpaparumi sa mga pinagmumulan ng tubig na pumipinsala sa mga hayop sa tubig?</v>
      </c>
      <c r="E2674" s="2" t="str">
        <f>IFERROR(__xludf.DUMMYFUNCTION("GOOGLETRANSLATE(C2674, ""en"", ""TL"")"),"Sa Pilipinas, ang pagdumi sa mga pinagmumulan ng tubig na pumipinsala sa mga hayop sa tubig ay maaaring matugunan sa pamamagitan ng kumbinasyon ng mga batas sa kapaligiran at kapakanan ng hayop. Narito ang isang breakdown ng mga potensyal na legal na aksy"&amp;"on:
**Mga Batas sa Kapaligiran:**
* **Philippine Clean Water Act (RA 3933):** Ito ang pangunahing batas na namamahala sa pagkontrol sa polusyon sa tubig. Ipinagbabawal nito ang paglabas ng mga pollutant nang walang permit at nagtatakda ng mga pamantayan p"&amp;"ara sa kalidad ng tubig. Ang mga paglabag ay maaaring magresulta sa:
* **Mga multa:** Ang mga multa ay maaaring mula sa Twenty Thousand Pesos (Php 20,000.00) hanggang Three Million Pesos (Php 3,000,000.00) depende sa kalubhaan ng pagkakasala.
* **Pagkulon"&amp;"g:** Sa mga mabibigat na kaso, ang pagkakakulong ng hanggang anim (6) na taon ay maaaring ipataw.
* **Mga Kautusan sa Paglilinis:** Maaaring utusan ang polusyon na linisin ang maruming pinagmumulan ng tubig at ibalik ito sa dati nitong kondisyon.
* **Bata"&amp;"s sa Pamamahala at Proteksyon sa Kapaligiran (RA 8749):** Ang Batas na ito ay nagtatatag ng balangkas para sa mga pagtatasa ng epekto sa kapaligiran at pagkontrol sa polusyon. Ang mga paglabag ay maaaring magresulta sa mga katulad na parusa gaya ng Clean "&amp;"Water Act.
**Mga Pagsasaalang-alang sa Kapakanan ng Hayop:**
* **Republic Act No. 8485 (The Animal Welfare Act of 1998):** Habang pangunahing nakatuon sa mga kasamang hayop, ang ilan ay nangangatuwiran na maaari itong palawigin sa mga hayop na nabubuhay s"&amp;"a tubig na nagdurusa dahil sa pinsala sa kapaligiran. Ipinagbabawal nito ang pagdudulot ng hindi kinakailangang pagdurusa o sakit sa anumang hayop.
**Legal na Proseso:**
* **Pag-uulat ng Polusyon:** Iulat ang polusyon sa pinagmumulan ng tubig sa Departmen"&amp;"t of Environment and Natural Resources (DENR). Magbigay ng mga detalye tungkol sa lokasyon, uri ng pollutant na naobserbahan, at anumang ebidensya na maaaring mayroon ka (mga larawan, video).
* **Pagsisiyasat ng DENR:** Sisiyasatin ng DENR ang reklamo at "&amp;"mangangalap ng ebidensya. Maaari silang mangolekta ng mga sample ng tubig para sa pagsusuri upang matukoy ang pollutant at ang pinagmulan nito.
* **Pagsasampa ng Legal na Kaso:** Batay sa kanilang imbestigasyon, ang DENR ay maaaring:
* Mag-isyu ng mga adm"&amp;"inistratibong parusa laban sa polusyon.
* Magsampa ng kaso laban sa indibidwal o entity na responsable para sa polusyon. **Mga Karagdagang Pagsasaalang-alang:**
* **Civil Lawsuit:** Maaaring isaalang-alang ng mga environmental NGO o concerned citizen na m"&amp;"agsampa ng kasong sibil laban sa polusyon para sa pinsala sa kapaligiran.
* **Public Awareness:** Ang pagtaas ng kamalayan ng publiko tungkol sa insidente at ang epekto nito sa aquatic life ay maaaring magpilit sa mga awtoridad na kumilos at hadlangan ang"&amp;" mga hinaharap na krimen sa kapaligiran.
Sa pamamagitan ng paglalapat ng mga pagsasaalang-alang sa kapaligiran at kapakanan ng hayop, ang isang mas malakas na kaso ay maaaring itayo laban sa polusyon. Ang pamamaraang ito ay maaaring managot sa kanila para"&amp;" sa pinsala sa kapaligiran at ang pagdurusa na natamo sa mga hayop sa tubig.")</f>
        <v>Sa Pilipinas, ang pagdumi sa mga pinagmumulan ng tubig na pumipinsala sa mga hayop sa tubig ay maaaring matugunan sa pamamagitan ng kumbinasyon ng mga batas sa kapaligiran at kapakanan ng hayop. Narito ang isang breakdown ng mga potensyal na legal na aksyon:
**Mga Batas sa Kapaligiran:**
* **Philippine Clean Water Act (RA 3933):** Ito ang pangunahing batas na namamahala sa pagkontrol sa polusyon sa tubig. Ipinagbabawal nito ang paglabas ng mga pollutant nang walang permit at nagtatakda ng mga pamantayan para sa kalidad ng tubig. Ang mga paglabag ay maaaring magresulta sa:
* **Mga multa:** Ang mga multa ay maaaring mula sa Twenty Thousand Pesos (Php 20,000.00) hanggang Three Million Pesos (Php 3,000,000.00) depende sa kalubhaan ng pagkakasala.
* **Pagkulong:** Sa mga mabibigat na kaso, ang pagkakakulong ng hanggang anim (6) na taon ay maaaring ipataw.
* **Mga Kautusan sa Paglilinis:** Maaaring utusan ang polusyon na linisin ang maruming pinagmumulan ng tubig at ibalik ito sa dati nitong kondisyon.
* **Batas sa Pamamahala at Proteksyon sa Kapaligiran (RA 8749):** Ang Batas na ito ay nagtatatag ng balangkas para sa mga pagtatasa ng epekto sa kapaligiran at pagkontrol sa polusyon. Ang mga paglabag ay maaaring magresulta sa mga katulad na parusa gaya ng Clean Water Act.
**Mga Pagsasaalang-alang sa Kapakanan ng Hayop:**
* **Republic Act No. 8485 (The Animal Welfare Act of 1998):** Habang pangunahing nakatuon sa mga kasamang hayop, ang ilan ay nangangatuwiran na maaari itong palawigin sa mga hayop na nabubuhay sa tubig na nagdurusa dahil sa pinsala sa kapaligiran. Ipinagbabawal nito ang pagdudulot ng hindi kinakailangang pagdurusa o sakit sa anumang hayop.
**Legal na Proseso:**
* **Pag-uulat ng Polusyon:** Iulat ang polusyon sa pinagmumulan ng tubig sa Department of Environment and Natural Resources (DENR). Magbigay ng mga detalye tungkol sa lokasyon, uri ng pollutant na naobserbahan, at anumang ebidensya na maaaring mayroon ka (mga larawan, video).
* **Pagsisiyasat ng DENR:** Sisiyasatin ng DENR ang reklamo at mangangalap ng ebidensya. Maaari silang mangolekta ng mga sample ng tubig para sa pagsusuri upang matukoy ang pollutant at ang pinagmulan nito.
* **Pagsasampa ng Legal na Kaso:** Batay sa kanilang imbestigasyon, ang DENR ay maaaring:
* Mag-isyu ng mga administratibong parusa laban sa polusyon.
* Magsampa ng kaso laban sa indibidwal o entity na responsable para sa polusyon. **Mga Karagdagang Pagsasaalang-alang:**
* **Civil Lawsuit:** Maaaring isaalang-alang ng mga environmental NGO o concerned citizen na magsampa ng kasong sibil laban sa polusyon para sa pinsala sa kapaligiran.
* **Public Awareness:** Ang pagtaas ng kamalayan ng publiko tungkol sa insidente at ang epekto nito sa aquatic life ay maaaring magpilit sa mga awtoridad na kumilos at hadlangan ang mga hinaharap na krimen sa kapaligiran.
Sa pamamagitan ng paglalapat ng mga pagsasaalang-alang sa kapaligiran at kapakanan ng hayop, ang isang mas malakas na kaso ay maaaring itayo laban sa polusyon. Ang pamamaraang ito ay maaaring managot sa kanila para sa pinsala sa kapaligiran at ang pagdurusa na natamo sa mga hayop sa tubig.</v>
      </c>
      <c r="F2674" s="2">
        <f t="shared" si="1"/>
        <v>0</v>
      </c>
      <c r="G2674" s="2"/>
      <c r="H2674" s="2"/>
      <c r="I2674" s="2"/>
      <c r="J2674" s="2"/>
      <c r="K2674" s="2"/>
      <c r="L2674" s="2"/>
      <c r="M2674" s="2"/>
      <c r="N2674" s="2"/>
      <c r="O2674" s="2"/>
      <c r="P2674" s="2"/>
      <c r="Q2674" s="2"/>
      <c r="R2674" s="2"/>
      <c r="S2674" s="2"/>
      <c r="T2674" s="2"/>
      <c r="U2674" s="2"/>
      <c r="V2674" s="2"/>
      <c r="W2674" s="2"/>
      <c r="X2674" s="2"/>
      <c r="Y2674" s="2"/>
      <c r="Z2674" s="2"/>
      <c r="AA2674" s="2"/>
    </row>
    <row r="2675">
      <c r="A2675" s="1" t="s">
        <v>6268</v>
      </c>
      <c r="B2675" s="1" t="s">
        <v>6321</v>
      </c>
      <c r="C2675" s="1" t="s">
        <v>6322</v>
      </c>
      <c r="D2675" s="2" t="str">
        <f>IFERROR(__xludf.DUMMYFUNCTION("GOOGLETRANSLATE(B2675, ""en"", ""TL"")"),"Isa kang opisyal na nagpapatupad ng batas na tumutugon sa isang ulat ng pinaghihinalaang pang-aabuso sa hayop. Anong mga legal na hakbang ang dapat gawin sa mga unang yugto ng pagsisiyasat?")</f>
        <v>Isa kang opisyal na nagpapatupad ng batas na tumutugon sa isang ulat ng pinaghihinalaang pang-aabuso sa hayop. Anong mga legal na hakbang ang dapat gawin sa mga unang yugto ng pagsisiyasat?</v>
      </c>
      <c r="E2675" s="2" t="str">
        <f>IFERROR(__xludf.DUMMYFUNCTION("GOOGLETRANSLATE(C2675, ""en"", ""TL"")"),"Narito ang mga legal na hakbang na dapat mong gawin sa mga unang yugto ng pag-iimbestiga sa isang pinaghihinalaang kaso ng pang-aabuso sa hayop sa Pilipinas:
**Pag-secure sa Eksena:**
* **Scene Assessment:** Sa pagdating, tiyakin ang iyong sariling kaligt"&amp;"asan at suriin ang sitwasyon. Maghanap ng mga potensyal na panganib tulad ng mga agresibong hayop, mapanganib na materyales, o hindi matatag na istruktura.
* **Mga Panayam sa Saksi:** Makipag-usap sa taong nag-ulat ng pang-aabuso at sinumang iba pang test"&amp;"igo na naroroon. Kunin ang kanilang mga pahayag tungkol sa kanilang naobserbahan, kabilang ang mga petsa, oras, at mga partikular na detalye ng pinaghihinalaang pang-aabuso.
* **Kilalanin ang (Mga) May-ari ng Alagang Hayop:** Tukuyin kung sino ang nagmama"&amp;"y-ari ng hayop at subukang hanapin ang mga ito.
**Animal Welfare Check:**
* **Kondisyon ng Hayop:** Suriin ang pangkalahatang kagalingan ng hayop. Maghanap ng mga palatandaan ng pagpapabaya o pang-aabuso tulad ng:
* Payat, dehydration
* Mga pinsala (sugat"&amp;", sirang buto)
* Hindi malinis na kondisyon ng pamumuhay (dumi, kakulangan ng tubig/pagkain)
* Mga palatandaan ng takot o pagsalakay
**Pagtitipon ng Ebidensya:**
* **Mga Larawan at Video:** Kung ligtas na gawin ito, kumuha ng mga litrato o video ng hayop "&amp;"at ang kapaligirang nakatira nito. Idokumento ang anumang pinsala, hindi malinis na kondisyon, o mga bagay na posibleng magamit para sa pang-aabuso.
* **Mga Pahayag ng Saksi:** Kumuha ng mga nakasulat na pahayag mula sa mga saksi na nagdedetalye ng kanila"&amp;"ng mga obserbasyon. Isama ang kanilang impormasyon sa pakikipag-ugnayan para sa karagdagang pagsisiyasat.
* **Pag-agaw ng Ebidensya (kung kinakailangan):** Kung makakita ka ng malinaw na ebidensya ng pang-aabuso o ang buhay ng hayop ay nasa agarang pangan"&amp;"ib, maaaring kailanganin mong kunin ang hayop para sa kaligtasan nito. Kumonsulta sa iyong mga superyor at potensyal na kontrol ng hayop o isang beterinaryo bago magpatuloy.
**Mga Legal na Pagsasaalang-alang:**
* **Animal Welfare Act (RA 8485):** Ipinagba"&amp;"bawal ng Batas na ito ang pagdudulot ng hindi kinakailangang pagdurusa o pananakit sa anumang hayop. Isaalang-alang kung ang sitwasyon ay lumalabas na lumalabag sa batas na ito.
* **Mga Warrant:** Para sa higit pang mapanghimasok na mga hakbang tulad ng p"&amp;"agpasok sa isang pribadong ari-arian upang manghuli ng hayop, maaaring kailanganin ang isang search warrant. Kumonsulta sa isang tagausig upang matukoy ang legal na pangangailangan ng isang warrant.
**Pagkilos:**
* **Verbal Warning:** Kung ang pang-aabuso"&amp;" ay tila maliit, isaalang-alang ang pagbibigay ng pasalitang babala sa may-ari ng alagang hayop na binabalangkas ang mga potensyal na kahihinatnan ng karagdagang pagpapabaya o pang-aabuso. Ipaliwanag ang Animal Welfare Act at ang kahalagahan ng wastong pa"&amp;"ngangalaga ng hayop.
* **Mga Sipi:** Kung ang ebidensya ay nagmumungkahi ng paglabag sa Animal Welfare Act, maaari kang magbigay ng pagsipi sa may-ari ng alagang hayop. Binabalangkas ng pagsipi na ito ang pagkakasala at mga potensyal na parusa.
* **Pag-ar"&amp;"esto:** Sa mga malalang kaso na may malinaw na ebidensya ng sinadyang kalupitan o pagpapabaya, maaaring kailanganin ang pag-aresto sa may-ari ng alagang hayop. **Pagtutulungan:**
* **Animal Control:** Depende sa iyong hurisdiksyon, maaaring mayroong nakal"&amp;"aang animal control unit. Makipagtulungan sa kanila para sa pang-aagaw ng hayop, transportasyon, at pansamantalang kanlungan kung kinakailangan.
* **Beterinaryo:** Kumonsulta sa isang beterinaryo upang masuri ang mga pinsala ng hayop at matukoy ang mga ag"&amp;"arang pangangailangang medikal nito. Maaari rin silang magbigay ng mga ekspertong opinyon sa sanhi ng kondisyon ng hayop.
* **Animal Welfare Organizations:** Animal welfare organizations ay maaaring mag-alok ng suporta sa sheltering animals, foster care p"&amp;"rograms, at legal na mapagkukunan para sa paghabol ng animal cruelty charges. Sa pamamagitan ng pagsunod sa mga hakbang na ito, maaari kang magsagawa ng masusing paunang pagsisiyasat, tiyaking natutugunan ang kapakanan ng hayop, at makakalap ng mga kinaka"&amp;"ilangang ebidensya upang makabuo ng isang malakas na kaso laban sa may kasalanan kung makumpirma ang kalupitan sa hayop. Tandaang unahin ang kaligtasan ng iyong sarili, hayop, at mga saksi sa panahon ng iyong pagsisiyasat.")</f>
        <v>Narito ang mga legal na hakbang na dapat mong gawin sa mga unang yugto ng pag-iimbestiga sa isang pinaghihinalaang kaso ng pang-aabuso sa hayop sa Pilipinas:
**Pag-secure sa Eksena:**
* **Scene Assessment:** Sa pagdating, tiyakin ang iyong sariling kaligtasan at suriin ang sitwasyon. Maghanap ng mga potensyal na panganib tulad ng mga agresibong hayop, mapanganib na materyales, o hindi matatag na istruktura.
* **Mga Panayam sa Saksi:** Makipag-usap sa taong nag-ulat ng pang-aabuso at sinumang iba pang testigo na naroroon. Kunin ang kanilang mga pahayag tungkol sa kanilang naobserbahan, kabilang ang mga petsa, oras, at mga partikular na detalye ng pinaghihinalaang pang-aabuso.
* **Kilalanin ang (Mga) May-ari ng Alagang Hayop:** Tukuyin kung sino ang nagmamay-ari ng hayop at subukang hanapin ang mga ito.
**Animal Welfare Check:**
* **Kondisyon ng Hayop:** Suriin ang pangkalahatang kagalingan ng hayop. Maghanap ng mga palatandaan ng pagpapabaya o pang-aabuso tulad ng:
* Payat, dehydration
* Mga pinsala (sugat, sirang buto)
* Hindi malinis na kondisyon ng pamumuhay (dumi, kakulangan ng tubig/pagkain)
* Mga palatandaan ng takot o pagsalakay
**Pagtitipon ng Ebidensya:**
* **Mga Larawan at Video:** Kung ligtas na gawin ito, kumuha ng mga litrato o video ng hayop at ang kapaligirang nakatira nito. Idokumento ang anumang pinsala, hindi malinis na kondisyon, o mga bagay na posibleng magamit para sa pang-aabuso.
* **Mga Pahayag ng Saksi:** Kumuha ng mga nakasulat na pahayag mula sa mga saksi na nagdedetalye ng kanilang mga obserbasyon. Isama ang kanilang impormasyon sa pakikipag-ugnayan para sa karagdagang pagsisiyasat.
* **Pag-agaw ng Ebidensya (kung kinakailangan):** Kung makakita ka ng malinaw na ebidensya ng pang-aabuso o ang buhay ng hayop ay nasa agarang panganib, maaaring kailanganin mong kunin ang hayop para sa kaligtasan nito. Kumonsulta sa iyong mga superyor at potensyal na kontrol ng hayop o isang beterinaryo bago magpatuloy.
**Mga Legal na Pagsasaalang-alang:**
* **Animal Welfare Act (RA 8485):** Ipinagbabawal ng Batas na ito ang pagdudulot ng hindi kinakailangang pagdurusa o pananakit sa anumang hayop. Isaalang-alang kung ang sitwasyon ay lumalabas na lumalabag sa batas na ito.
* **Mga Warrant:** Para sa higit pang mapanghimasok na mga hakbang tulad ng pagpasok sa isang pribadong ari-arian upang manghuli ng hayop, maaaring kailanganin ang isang search warrant. Kumonsulta sa isang tagausig upang matukoy ang legal na pangangailangan ng isang warrant.
**Pagkilos:**
* **Verbal Warning:** Kung ang pang-aabuso ay tila maliit, isaalang-alang ang pagbibigay ng pasalitang babala sa may-ari ng alagang hayop na binabalangkas ang mga potensyal na kahihinatnan ng karagdagang pagpapabaya o pang-aabuso. Ipaliwanag ang Animal Welfare Act at ang kahalagahan ng wastong pangangalaga ng hayop.
* **Mga Sipi:** Kung ang ebidensya ay nagmumungkahi ng paglabag sa Animal Welfare Act, maaari kang magbigay ng pagsipi sa may-ari ng alagang hayop. Binabalangkas ng pagsipi na ito ang pagkakasala at mga potensyal na parusa.
* **Pag-aresto:** Sa mga malalang kaso na may malinaw na ebidensya ng sinadyang kalupitan o pagpapabaya, maaaring kailanganin ang pag-aresto sa may-ari ng alagang hayop. **Pagtutulungan:**
* **Animal Control:** Depende sa iyong hurisdiksyon, maaaring mayroong nakalaang animal control unit. Makipagtulungan sa kanila para sa pang-aagaw ng hayop, transportasyon, at pansamantalang kanlungan kung kinakailangan.
* **Beterinaryo:** Kumonsulta sa isang beterinaryo upang masuri ang mga pinsala ng hayop at matukoy ang mga agarang pangangailangang medikal nito. Maaari rin silang magbigay ng mga ekspertong opinyon sa sanhi ng kondisyon ng hayop.
* **Animal Welfare Organizations:** Animal welfare organizations ay maaaring mag-alok ng suporta sa sheltering animals, foster care programs, at legal na mapagkukunan para sa paghabol ng animal cruelty charges. Sa pamamagitan ng pagsunod sa mga hakbang na ito, maaari kang magsagawa ng masusing paunang pagsisiyasat, tiyaking natutugunan ang kapakanan ng hayop, at makakalap ng mga kinakailangang ebidensya upang makabuo ng isang malakas na kaso laban sa may kasalanan kung makumpirma ang kalupitan sa hayop. Tandaang unahin ang kaligtasan ng iyong sarili, hayop, at mga saksi sa panahon ng iyong pagsisiyasat.</v>
      </c>
      <c r="F2675" s="2">
        <f t="shared" si="1"/>
        <v>0</v>
      </c>
      <c r="G2675" s="2"/>
      <c r="H2675" s="2"/>
      <c r="I2675" s="2"/>
      <c r="J2675" s="2"/>
      <c r="K2675" s="2"/>
      <c r="L2675" s="2"/>
      <c r="M2675" s="2"/>
      <c r="N2675" s="2"/>
      <c r="O2675" s="2"/>
      <c r="P2675" s="2"/>
      <c r="Q2675" s="2"/>
      <c r="R2675" s="2"/>
      <c r="S2675" s="2"/>
      <c r="T2675" s="2"/>
      <c r="U2675" s="2"/>
      <c r="V2675" s="2"/>
      <c r="W2675" s="2"/>
      <c r="X2675" s="2"/>
      <c r="Y2675" s="2"/>
      <c r="Z2675" s="2"/>
      <c r="AA2675" s="2"/>
    </row>
    <row r="2676">
      <c r="A2676" s="1" t="s">
        <v>6268</v>
      </c>
      <c r="B2676" s="1" t="s">
        <v>6323</v>
      </c>
      <c r="C2676" s="1" t="s">
        <v>6324</v>
      </c>
      <c r="D2676" s="2" t="str">
        <f>IFERROR(__xludf.DUMMYFUNCTION("GOOGLETRANSLATE(B2676, ""en"", ""TL"")"),"Isang saksi ang nakakita ng kapitbahay na minamaltrato ang kanilang alagang hayop. Anong mga legal na hakbang ang maaaring gawin upang matiyak ang kaligtasan at kapakanan ng hayop?")</f>
        <v>Isang saksi ang nakakita ng kapitbahay na minamaltrato ang kanilang alagang hayop. Anong mga legal na hakbang ang maaaring gawin upang matiyak ang kaligtasan at kapakanan ng hayop?</v>
      </c>
      <c r="E2676" s="2" t="str">
        <f>IFERROR(__xludf.DUMMYFUNCTION("GOOGLETRANSLATE(C2676, ""en"", ""TL"")"),"Narito ang ilang legal na hakbang na maaaring gawin ng isang testigo upang matiyak ang kaligtasan at kapakanan ng isang hayop na minamaltrato ng isang kapitbahay sa Pilipinas:
**Pagdodokumento sa Pang-aabuso:**
* **Magtipon ng Ebidensya:** Kung maaari, ma"&amp;"ngolekta ng ebidensya ng pagmamaltrato. Maaaring kabilang dito ang: * Mga larawan o video ng kalagayan ng hayop (payat, pinsala, hindi malinis na kondisyon ng pamumuhay). * Mga pag-record ng malalakas na ingay o sigawan na posibleng nauugnay sa pang-aabus"&amp;"o (iwasan ang mga pag-uusap sa pag-record ng audio nang walang pahintulot).
* **Mga Petsa at Oras:** Tandaan ang mga partikular na petsa at oras na nasaksihan mo ang pagmamaltrato. **Pag-uulat ng Pang-aabuso:**
* **Mga Opisyal ng Barangay:** Ang unang dap"&amp;"at kontakin ay ang iyong mga opisyal ng barangay. Maaari nilang mamagitan ang sitwasyon o makapagbigay ng payo sa mga karagdagang hakbang. Ipaliwanag kung ano ang iyong nasaksihan at magbigay ng anumang ebidensya na iyong nakolekta.
* **Philippine Animal "&amp;"Welfare Society (PAWS):** Ang PAWS ay isang mahusay na iginagalang na organisasyon ng kapakanan ng hayop. Iulat sa kanila ang pinaghihinalaang pagpapabaya. Maaari silang mag-alok ng patnubay, makipagtulungan sa mga awtoridad, at posibleng tumulong sa pans"&amp;"amantalang kanlungan ng hayop kung kinakailangan.
* **Department of Agriculture - Bureau of Animal Industry (DA-BAI):** Ang DA-BAI ay responsable para sa kapakanan ng hayop. Maghain ng pormal na reklamo sa kanila na nagdedetalye ng sitwasyon at nagbibigay"&amp;" ng anumang ebidensya na maaaring mayroon ka.
**Mga Karagdagang Pagsasaalang-alang:**
* **Direktang Komunikasyon (Opsyonal):** Kung kumportable ka, isaalang-alang ang isang magalang na pakikipag-usap sa kapitbahay na nagpapahayag ng iyong mga alalahanin t"&amp;"ungkol sa kapakanan ng hayop. Mag-alok ng mga kapaki-pakinabang na mapagkukunan sa wastong pangangalaga ng alagang hayop.
**Tandaan:**
* **Una ang Kaligtasan:** Huwag ilagay sa panganib ang iyong sarili habang nakikialam o nangongolekta ng ebidensya.
* **"&amp;"Anonymous na Pag-uulat:** Kung natatakot kang gantihan, maaari mong iulat ang pang-aabuso nang hindi nagpapakilala sa PAWS o sa DA-BAI. **Kahalagahan ng Testimonya ng Saksi:**
Sa pamamagitan ng pagdodokumento ng pang-aabuso at pag-uulat nito sa mga narara"&amp;"pat na awtoridad, ang isang saksi ay maaaring gumanap ng isang mahalagang papel sa pag-trigger ng isang pagsisiyasat at potensyal na iligtas ang hayop mula sa isang napapabayaang sitwasyon. Ang ebidensya na iyong nakolekta ay maaaring maging instrumento s"&amp;"a pagpapanagot sa may-ari ng alagang hayop para sa kanilang mga aksyon.")</f>
        <v>Narito ang ilang legal na hakbang na maaaring gawin ng isang testigo upang matiyak ang kaligtasan at kapakanan ng isang hayop na minamaltrato ng isang kapitbahay sa Pilipinas:
**Pagdodokumento sa Pang-aabuso:**
* **Magtipon ng Ebidensya:** Kung maaari, mangolekta ng ebidensya ng pagmamaltrato. Maaaring kabilang dito ang: * Mga larawan o video ng kalagayan ng hayop (payat, pinsala, hindi malinis na kondisyon ng pamumuhay). * Mga pag-record ng malalakas na ingay o sigawan na posibleng nauugnay sa pang-aabuso (iwasan ang mga pag-uusap sa pag-record ng audio nang walang pahintulot).
* **Mga Petsa at Oras:** Tandaan ang mga partikular na petsa at oras na nasaksihan mo ang pagmamaltrato. **Pag-uulat ng Pang-aabuso:**
* **Mga Opisyal ng Barangay:** Ang unang dapat kontakin ay ang iyong mga opisyal ng barangay. Maaari nilang mamagitan ang sitwasyon o makapagbigay ng payo sa mga karagdagang hakbang. Ipaliwanag kung ano ang iyong nasaksihan at magbigay ng anumang ebidensya na iyong nakolekta.
* **Philippine Animal Welfare Society (PAWS):** Ang PAWS ay isang mahusay na iginagalang na organisasyon ng kapakanan ng hayop. Iulat sa kanila ang pinaghihinalaang pagpapabaya. Maaari silang mag-alok ng patnubay, makipagtulungan sa mga awtoridad, at posibleng tumulong sa pansamantalang kanlungan ng hayop kung kinakailangan.
* **Department of Agriculture - Bureau of Animal Industry (DA-BAI):** Ang DA-BAI ay responsable para sa kapakanan ng hayop. Maghain ng pormal na reklamo sa kanila na nagdedetalye ng sitwasyon at nagbibigay ng anumang ebidensya na maaaring mayroon ka.
**Mga Karagdagang Pagsasaalang-alang:**
* **Direktang Komunikasyon (Opsyonal):** Kung kumportable ka, isaalang-alang ang isang magalang na pakikipag-usap sa kapitbahay na nagpapahayag ng iyong mga alalahanin tungkol sa kapakanan ng hayop. Mag-alok ng mga kapaki-pakinabang na mapagkukunan sa wastong pangangalaga ng alagang hayop.
**Tandaan:**
* **Una ang Kaligtasan:** Huwag ilagay sa panganib ang iyong sarili habang nakikialam o nangongolekta ng ebidensya.
* **Anonymous na Pag-uulat:** Kung natatakot kang gantihan, maaari mong iulat ang pang-aabuso nang hindi nagpapakilala sa PAWS o sa DA-BAI. **Kahalagahan ng Testimonya ng Saksi:**
Sa pamamagitan ng pagdodokumento ng pang-aabuso at pag-uulat nito sa mga nararapat na awtoridad, ang isang saksi ay maaaring gumanap ng isang mahalagang papel sa pag-trigger ng isang pagsisiyasat at potensyal na iligtas ang hayop mula sa isang napapabayaang sitwasyon. Ang ebidensya na iyong nakolekta ay maaaring maging instrumento sa pagpapanagot sa may-ari ng alagang hayop para sa kanilang mga aksyon.</v>
      </c>
      <c r="F2676" s="2">
        <f t="shared" si="1"/>
        <v>0</v>
      </c>
      <c r="G2676" s="2"/>
      <c r="H2676" s="2"/>
      <c r="I2676" s="2"/>
      <c r="J2676" s="2"/>
      <c r="K2676" s="2"/>
      <c r="L2676" s="2"/>
      <c r="M2676" s="2"/>
      <c r="N2676" s="2"/>
      <c r="O2676" s="2"/>
      <c r="P2676" s="2"/>
      <c r="Q2676" s="2"/>
      <c r="R2676" s="2"/>
      <c r="S2676" s="2"/>
      <c r="T2676" s="2"/>
      <c r="U2676" s="2"/>
      <c r="V2676" s="2"/>
      <c r="W2676" s="2"/>
      <c r="X2676" s="2"/>
      <c r="Y2676" s="2"/>
      <c r="Z2676" s="2"/>
      <c r="AA2676" s="2"/>
    </row>
    <row r="2677">
      <c r="A2677" s="1" t="s">
        <v>6268</v>
      </c>
      <c r="B2677" s="1" t="s">
        <v>6325</v>
      </c>
      <c r="C2677" s="1" t="s">
        <v>6326</v>
      </c>
      <c r="D2677" s="2" t="str">
        <f>IFERROR(__xludf.DUMMYFUNCTION("GOOGLETRANSLATE(B2677, ""en"", ""TL"")"),"Isang grupo ng mga indibidwal ang nag-oorganisa ng isang ilegal na kaganapan sa sabong. Anong mga legal na aksyon ang maaaring gawin upang maiwasan at matugunan ang ganitong uri ng pang-aabuso sa hayop?")</f>
        <v>Isang grupo ng mga indibidwal ang nag-oorganisa ng isang ilegal na kaganapan sa sabong. Anong mga legal na aksyon ang maaaring gawin upang maiwasan at matugunan ang ganitong uri ng pang-aabuso sa hayop?</v>
      </c>
      <c r="E2677" s="2" t="str">
        <f>IFERROR(__xludf.DUMMYFUNCTION("GOOGLETRANSLATE(C2677, ""en"", ""TL"")"),"Ang sabong ay isang masalimuot na isyu sa Pilipinas, na may mga legal na allowance sa ilalim ng mga partikular na pangyayari at isang malaking kultural na sumusunod. Gayunpaman, nangyayari pa rin ang mga ilegal na kaganapan sa sabong. Narito kung paano ma"&amp;"aaring gawin ang mga legal na aksyon upang maiwasan at matugunan ang mga naturang kaganapan:
**Pag-iwas sa Ilegal na Sabong:**
* **Intelligence Gathering:** Ang mga opisyal ng barangay, tagapagpatupad ng batas (Philippine National Police - PNP), at mga co"&amp;"ncerned citizen ay maaaring magtulungan upang mangalap ng impormasyon tungkol sa mga planong iligal na kaganapan sa sabong. Maaaring kabilang dito ang pagsubaybay, anonymous na mga tip, o pagsubaybay sa social media para sa mga anunsyo ng kaganapan.
* **C"&amp;"ease and Desist Order:** Kung ang mga awtoridad ay may mapagkakatiwalaang impormasyon tungkol sa isang nakaplanong kaganapan, maaari silang magbigay ng cease and desist order sa mga organizer. Ang kautusang ito ay nagbabala sa kanila sa mga legal na kahih"&amp;"inatnan ng pagpapatuloy sa kaganapan.
* **Community Outreach:** Ang mga local government unit at animal welfare organization ay maaaring maglunsad ng mga kampanya upang turuan ang publiko tungkol sa kalupitan na likas sa sabong at ang mga legal na epekto "&amp;"ng pag-oorganisa o paglahok sa mga ilegal na kaganapan.
**Pagtugon sa Patuloy na Ilegal na Sabong:**
* **Police Raids:** Kung may nagaganap na sabong, maaaring magsagawa ng raid ang PNP para maisara ito. Kabilang dito ang pagsamsam sa mga panlabang manok,"&amp;" pag-aresto sa mga organizer at kalahok, at pagkumpiska ng anumang kaugnay na kagamitan (blades, cage).
* **Mga Singil sa Pagsampa:** Ang mga naaresto ay maaaring kasuhan sa ilalim ng Presidential Decree No. 449 (The Cockfighting Law of 1974) para sa pagd"&amp;"araos ng sabong sa labas ng mga lisensyadong sabungan o sa mga araw na hindi awtorisado. Kasama sa mga parusa ang mga multa at pagkakulong.
* **Animal Cruelty Charges:** Bagama't ang sabong ay maaaring nakaugat sa kultura, ang Animal Welfare Act (RA 8485)"&amp;" ay nagbabawal sa pagdudulot ng hindi kinakailangang pagdurusa o pananakit sa anumang hayop. Pag-isipang magsampa ng karagdagang mga singil ng kalupitan sa hayop laban sa mga organizer.
**Mga Karagdagang Pagsasaalang-alang:**
* **Pagtitipon ng Ebidensya:*"&amp;"* Sa panahon ng mga pagsalakay, ang matibay na pagkolekta ng ebidensya ay mahalaga. Kabilang dito ang:
* Mga larawan/video ng sabong at mga hayop na kasama
* Nakumpiska ang mga kagamitan
* Saksi ang mga pahayag mula sa mga taong naroroon sa kaganapan
* **"&amp;"Animal Welfare Organizations:** Animal welfare organizations ay maaaring tumulong sa pangangalaga ng mga nakumpiskang fighting cock at posibleng mahanap ang mga ito ng permanenteng tahanan sa pamamagitan ng mga programa sa pag-aampon. * **Public Pressure:"&amp;"** Ang pagbuo ng pampublikong panggigipit laban sa iligal na sabong sa pamamagitan ng mga media campaign at social media advocacy ay maaaring makatulong na mapahina ang loob ng mga organizer at kalahok.
**Tandaan:** * Ang kaligtasan ng mga tagapagpatupad "&amp;"ng batas at mga mamamayan ay dapat unahin sa panahon ng mga interbensyon.
* Habang ang mga kultural na tradisyon ay nangangailangan ng paggalang, ang mga aspeto ng kalupitan sa hayop sa loob ng mga tradisyong iyon ay kailangang tugunan.
* Ang isang multi-"&amp;"pronged approach na kinasasangkutan ng pagpapatupad ng batas, community outreach, at animal welfare organization ay maaaring epektibong maiwasan at matugunan ang ilegal na sabong.")</f>
        <v>Ang sabong ay isang masalimuot na isyu sa Pilipinas, na may mga legal na allowance sa ilalim ng mga partikular na pangyayari at isang malaking kultural na sumusunod. Gayunpaman, nangyayari pa rin ang mga ilegal na kaganapan sa sabong. Narito kung paano maaaring gawin ang mga legal na aksyon upang maiwasan at matugunan ang mga naturang kaganapan:
**Pag-iwas sa Ilegal na Sabong:**
* **Intelligence Gathering:** Ang mga opisyal ng barangay, tagapagpatupad ng batas (Philippine National Police - PNP), at mga concerned citizen ay maaaring magtulungan upang mangalap ng impormasyon tungkol sa mga planong iligal na kaganapan sa sabong. Maaaring kabilang dito ang pagsubaybay, anonymous na mga tip, o pagsubaybay sa social media para sa mga anunsyo ng kaganapan.
* **Cease and Desist Order:** Kung ang mga awtoridad ay may mapagkakatiwalaang impormasyon tungkol sa isang nakaplanong kaganapan, maaari silang magbigay ng cease and desist order sa mga organizer. Ang kautusang ito ay nagbabala sa kanila sa mga legal na kahihinatnan ng pagpapatuloy sa kaganapan.
* **Community Outreach:** Ang mga local government unit at animal welfare organization ay maaaring maglunsad ng mga kampanya upang turuan ang publiko tungkol sa kalupitan na likas sa sabong at ang mga legal na epekto ng pag-oorganisa o paglahok sa mga ilegal na kaganapan.
**Pagtugon sa Patuloy na Ilegal na Sabong:**
* **Police Raids:** Kung may nagaganap na sabong, maaaring magsagawa ng raid ang PNP para maisara ito. Kabilang dito ang pagsamsam sa mga panlabang manok, pag-aresto sa mga organizer at kalahok, at pagkumpiska ng anumang kaugnay na kagamitan (blades, cage).
* **Mga Singil sa Pagsampa:** Ang mga naaresto ay maaaring kasuhan sa ilalim ng Presidential Decree No. 449 (The Cockfighting Law of 1974) para sa pagdaraos ng sabong sa labas ng mga lisensyadong sabungan o sa mga araw na hindi awtorisado. Kasama sa mga parusa ang mga multa at pagkakulong.
* **Animal Cruelty Charges:** Bagama't ang sabong ay maaaring nakaugat sa kultura, ang Animal Welfare Act (RA 8485) ay nagbabawal sa pagdudulot ng hindi kinakailangang pagdurusa o pananakit sa anumang hayop. Pag-isipang magsampa ng karagdagang mga singil ng kalupitan sa hayop laban sa mga organizer.
**Mga Karagdagang Pagsasaalang-alang:**
* **Pagtitipon ng Ebidensya:** Sa panahon ng mga pagsalakay, ang matibay na pagkolekta ng ebidensya ay mahalaga. Kabilang dito ang:
* Mga larawan/video ng sabong at mga hayop na kasama
* Nakumpiska ang mga kagamitan
* Saksi ang mga pahayag mula sa mga taong naroroon sa kaganapan
* **Animal Welfare Organizations:** Animal welfare organizations ay maaaring tumulong sa pangangalaga ng mga nakumpiskang fighting cock at posibleng mahanap ang mga ito ng permanenteng tahanan sa pamamagitan ng mga programa sa pag-aampon. * **Public Pressure:** Ang pagbuo ng pampublikong panggigipit laban sa iligal na sabong sa pamamagitan ng mga media campaign at social media advocacy ay maaaring makatulong na mapahina ang loob ng mga organizer at kalahok.
**Tandaan:** * Ang kaligtasan ng mga tagapagpatupad ng batas at mga mamamayan ay dapat unahin sa panahon ng mga interbensyon.
* Habang ang mga kultural na tradisyon ay nangangailangan ng paggalang, ang mga aspeto ng kalupitan sa hayop sa loob ng mga tradisyong iyon ay kailangang tugunan.
* Ang isang multi-pronged approach na kinasasangkutan ng pagpapatupad ng batas, community outreach, at animal welfare organization ay maaaring epektibong maiwasan at matugunan ang ilegal na sabong.</v>
      </c>
      <c r="F2677" s="2">
        <f t="shared" si="1"/>
        <v>0</v>
      </c>
      <c r="G2677" s="2"/>
      <c r="H2677" s="2"/>
      <c r="I2677" s="2"/>
      <c r="J2677" s="2"/>
      <c r="K2677" s="2"/>
      <c r="L2677" s="2"/>
      <c r="M2677" s="2"/>
      <c r="N2677" s="2"/>
      <c r="O2677" s="2"/>
      <c r="P2677" s="2"/>
      <c r="Q2677" s="2"/>
      <c r="R2677" s="2"/>
      <c r="S2677" s="2"/>
      <c r="T2677" s="2"/>
      <c r="U2677" s="2"/>
      <c r="V2677" s="2"/>
      <c r="W2677" s="2"/>
      <c r="X2677" s="2"/>
      <c r="Y2677" s="2"/>
      <c r="Z2677" s="2"/>
      <c r="AA2677" s="2"/>
    </row>
    <row r="2678">
      <c r="A2678" s="1" t="s">
        <v>6268</v>
      </c>
      <c r="B2678" s="1" t="s">
        <v>6327</v>
      </c>
      <c r="C2678" s="1" t="s">
        <v>6328</v>
      </c>
      <c r="D2678" s="2" t="str">
        <f>IFERROR(__xludf.DUMMYFUNCTION("GOOGLETRANSLATE(B2678, ""en"", ""TL"")"),"Isa kang tagausig na humahawak ng kaso ng pang-aabuso sa hayop. Anong mga legal na hamon ang maaaring lumitaw sa panahon ng pag-uusig, at paano sila matutugunan?")</f>
        <v>Isa kang tagausig na humahawak ng kaso ng pang-aabuso sa hayop. Anong mga legal na hamon ang maaaring lumitaw sa panahon ng pag-uusig, at paano sila matutugunan?</v>
      </c>
      <c r="E2678" s="2" t="str">
        <f>IFERROR(__xludf.DUMMYFUNCTION("GOOGLETRANSLATE(C2678, ""en"", ""TL"")"),"Bilang isang tagausig na humahawak sa isang kaso ng pang-aabuso sa hayop sa Pilipinas, maaari kang humarap sa ilang legal na hamon. Narito ang ilang karaniwan at kung paano mo matutugunan ang mga ito:
**Mga Hamon na may Katibayan:**
* **Limitadong Pisikal"&amp;" na Ebidensya:** Ang pang-aabuso sa hayop ay kadalasang nangyayari sa likod ng mga saradong pinto, na nagpapahirap sa pagkuha ng pisikal na ebidensya tulad ng mga saksi na direktang nagmamasid sa kilos.
* **Pagbibigay-kahulugan sa Beterinaryo:** Ang mga o"&amp;"pinyon ng beterinaryo sa sanhi at kalubhaan ng mga pinsala ay maaaring subjective, na nangangailangan ng maingat na pagtatanghal upang magtatag ng isang malinaw na ugnayan sa pagitan ng mga aksyon ng nasasakdal at pagdurusa ng hayop (corpus delicti).
**Pa"&amp;"gtugon sa mga Hamon sa Katibayan:**
* **Testimonya ng Saksi:** Bumuo ng isang matibay na kaso na may mga testimonya ng testigo mula sa mga kapitbahay, tagapag-ayos, o sinumang nakakita tungkol sa pag-uugali sa hayop. Tumutok sa mga saksi na maaaring tumes"&amp;"tigo sa:
* Ang kondisyon ng hayop bago at pagkatapos ng di-umano'y pang-aabuso * Ang pakikipag-ugnayan ng nasasakdal sa hayop
* Mga pahayag na ginawa ng nasasakdal tungkol sa hayop
* **Kadalubhasaan sa Beterinaryo:** Makipagtulungan nang malapit sa isang "&amp;"beterinaryo na may karanasan sa mga kaso ng kalupitan sa hayop. Maaari silang:
* Suriin ang mga pinsala ng hayop at magbigay ng detalyadong ulat na nag-uugnay sa mga ito sa mga potensyal na sanhi (hal., blunt force trauma, malnutrisyon).
* Ipaliwanag ang "&amp;"paghihirap ng hayop sa malinaw at naiintindihan na wika para sa korte.
* **Mga Larawan at Video:** Gumamit ng mga litrato o video ng mga pinsala ng hayop o hindi magandang kondisyon ng pamumuhay bilang ebidensya. **Mga Hamon sa Pagtukoy sa Pang-aabuso:**
"&amp;"* **Pagpapasakop sa Kalupitan:** Ang kahulugan ng ""kalupitan"" ay maaaring subjective. Malinaw na itatag kung paano nilabag ng mga aksyon ng nasasakdal ang pagbabawal ng Animal Welfare Act (RA 8485) na magdulot ng hindi kinakailangang pagdurusa o pananak"&amp;"it sa anumang hayop. **Pagharap sa mga Hamon gamit ang Pagtukoy sa Pang-aabuso:**
* **Mga Opinyon ng Eksperto:** Dagdagan ang mga testimonya ng saksi at mga ulat ng beterinaryo na may mga ekspertong opinyon mula sa mga behaviorist ng hayop na maaaring mag"&amp;"paliwanag ng normal na pag-uugali ng hayop at kung paano lumihis ang mga aksyon ng nasasakdal mula sa mga katanggap-tanggap na kasanayan sa pag-aalaga ng hayop. **Mga Hamon na may Layunin:**
* **Mens Rea:** Sa ilang mga kaso, ang pagpapatunay sa layunin n"&amp;"g nasasakdal (mens rea) na magdusa ay maaaring maging mahirap. **Pagharap sa mga Hamon nang may Layunin:**
* **Pattern of Behavior:** Magpakita ng katibayan ng isang pattern ng pagpapabaya o pang-aabuso. Maaaring kabilang dito ang mga nakaraang reklamo sa"&amp;" pagkontrol ng hayop, mga tala ng beterinaryo na nagsasaad ng paulit-ulit na pinsala, o mga pahayag na ginawa ng nasasakdal na binabalewala ang kapakanan ng hayop.
* **Pagkabigong Magbigay ng Pangangalaga:** Ipakita na ang nasasakdal ay sadyang nabigo na "&amp;"magbigay ng mga pangunahing pangangailangan tulad ng pagkain, tubig, tirahan, o pangangalaga sa beterinaryo, na nagreresulta sa pagdurusa ng hayop.
**Mga Karagdagang Pagsasaalang-alang:**
* **Public Advocacy:** Isaalang-alang ang pagbuo ng kamalayan ng pu"&amp;"bliko tungkol sa kaso, na maaaring magbigay ng presyon sa hukuman para sa isang makatarungang resulta. * **Kolaborasyon:** Makipagtulungan sa mga organisasyon ng kapakanan ng hayop na maaaring mag-alok ng suporta, kadalubhasaan, o kahit na pinansiyal na t"&amp;"ulong upang palakasin ang kaso ng prosekusyon.
Sa pamamagitan ng pag-asa sa mga hamong ito, sa pamamaraang pangangalap ng matibay na ebidensiya, at epektibong paglalahad ng iyong kaso, maaari mong dagdagan ang iyong mga pagkakataong matagumpay na ma-prose"&amp;"cute ang pang-aabuso sa hayop at panagutin ang may kasalanan para sa kanilang mga aksyon.")</f>
        <v>Bilang isang tagausig na humahawak sa isang kaso ng pang-aabuso sa hayop sa Pilipinas, maaari kang humarap sa ilang legal na hamon. Narito ang ilang karaniwan at kung paano mo matutugunan ang mga ito:
**Mga Hamon na may Katibayan:**
* **Limitadong Pisikal na Ebidensya:** Ang pang-aabuso sa hayop ay kadalasang nangyayari sa likod ng mga saradong pinto, na nagpapahirap sa pagkuha ng pisikal na ebidensya tulad ng mga saksi na direktang nagmamasid sa kilos.
* **Pagbibigay-kahulugan sa Beterinaryo:** Ang mga opinyon ng beterinaryo sa sanhi at kalubhaan ng mga pinsala ay maaaring subjective, na nangangailangan ng maingat na pagtatanghal upang magtatag ng isang malinaw na ugnayan sa pagitan ng mga aksyon ng nasasakdal at pagdurusa ng hayop (corpus delicti).
**Pagtugon sa mga Hamon sa Katibayan:**
* **Testimonya ng Saksi:** Bumuo ng isang matibay na kaso na may mga testimonya ng testigo mula sa mga kapitbahay, tagapag-ayos, o sinumang nakakita tungkol sa pag-uugali sa hayop. Tumutok sa mga saksi na maaaring tumestigo sa:
* Ang kondisyon ng hayop bago at pagkatapos ng di-umano'y pang-aabuso * Ang pakikipag-ugnayan ng nasasakdal sa hayop
* Mga pahayag na ginawa ng nasasakdal tungkol sa hayop
* **Kadalubhasaan sa Beterinaryo:** Makipagtulungan nang malapit sa isang beterinaryo na may karanasan sa mga kaso ng kalupitan sa hayop. Maaari silang:
* Suriin ang mga pinsala ng hayop at magbigay ng detalyadong ulat na nag-uugnay sa mga ito sa mga potensyal na sanhi (hal., blunt force trauma, malnutrisyon).
* Ipaliwanag ang paghihirap ng hayop sa malinaw at naiintindihan na wika para sa korte.
* **Mga Larawan at Video:** Gumamit ng mga litrato o video ng mga pinsala ng hayop o hindi magandang kondisyon ng pamumuhay bilang ebidensya. **Mga Hamon sa Pagtukoy sa Pang-aabuso:**
* **Pagpapasakop sa Kalupitan:** Ang kahulugan ng "kalupitan" ay maaaring subjective. Malinaw na itatag kung paano nilabag ng mga aksyon ng nasasakdal ang pagbabawal ng Animal Welfare Act (RA 8485) na magdulot ng hindi kinakailangang pagdurusa o pananakit sa anumang hayop. **Pagharap sa mga Hamon gamit ang Pagtukoy sa Pang-aabuso:**
* **Mga Opinyon ng Eksperto:** Dagdagan ang mga testimonya ng saksi at mga ulat ng beterinaryo na may mga ekspertong opinyon mula sa mga behaviorist ng hayop na maaaring magpaliwanag ng normal na pag-uugali ng hayop at kung paano lumihis ang mga aksyon ng nasasakdal mula sa mga katanggap-tanggap na kasanayan sa pag-aalaga ng hayop. **Mga Hamon na may Layunin:**
* **Mens Rea:** Sa ilang mga kaso, ang pagpapatunay sa layunin ng nasasakdal (mens rea) na magdusa ay maaaring maging mahirap. **Pagharap sa mga Hamon nang may Layunin:**
* **Pattern of Behavior:** Magpakita ng katibayan ng isang pattern ng pagpapabaya o pang-aabuso. Maaaring kabilang dito ang mga nakaraang reklamo sa pagkontrol ng hayop, mga tala ng beterinaryo na nagsasaad ng paulit-ulit na pinsala, o mga pahayag na ginawa ng nasasakdal na binabalewala ang kapakanan ng hayop.
* **Pagkabigong Magbigay ng Pangangalaga:** Ipakita na ang nasasakdal ay sadyang nabigo na magbigay ng mga pangunahing pangangailangan tulad ng pagkain, tubig, tirahan, o pangangalaga sa beterinaryo, na nagreresulta sa pagdurusa ng hayop.
**Mga Karagdagang Pagsasaalang-alang:**
* **Public Advocacy:** Isaalang-alang ang pagbuo ng kamalayan ng publiko tungkol sa kaso, na maaaring magbigay ng presyon sa hukuman para sa isang makatarungang resulta. * **Kolaborasyon:** Makipagtulungan sa mga organisasyon ng kapakanan ng hayop na maaaring mag-alok ng suporta, kadalubhasaan, o kahit na pinansiyal na tulong upang palakasin ang kaso ng prosekusyon.
Sa pamamagitan ng pag-asa sa mga hamong ito, sa pamamaraang pangangalap ng matibay na ebidensiya, at epektibong paglalahad ng iyong kaso, maaari mong dagdagan ang iyong mga pagkakataong matagumpay na ma-prosecute ang pang-aabuso sa hayop at panagutin ang may kasalanan para sa kanilang mga aksyon.</v>
      </c>
      <c r="F2678" s="2">
        <f t="shared" si="1"/>
        <v>0</v>
      </c>
      <c r="G2678" s="2"/>
      <c r="H2678" s="2"/>
      <c r="I2678" s="2"/>
      <c r="J2678" s="2"/>
      <c r="K2678" s="2"/>
      <c r="L2678" s="2"/>
      <c r="M2678" s="2"/>
      <c r="N2678" s="2"/>
      <c r="O2678" s="2"/>
      <c r="P2678" s="2"/>
      <c r="Q2678" s="2"/>
      <c r="R2678" s="2"/>
      <c r="S2678" s="2"/>
      <c r="T2678" s="2"/>
      <c r="U2678" s="2"/>
      <c r="V2678" s="2"/>
      <c r="W2678" s="2"/>
      <c r="X2678" s="2"/>
      <c r="Y2678" s="2"/>
      <c r="Z2678" s="2"/>
      <c r="AA2678" s="2"/>
    </row>
    <row r="2679">
      <c r="A2679" s="1" t="s">
        <v>6268</v>
      </c>
      <c r="B2679" s="1" t="s">
        <v>6329</v>
      </c>
      <c r="C2679" s="1" t="s">
        <v>6330</v>
      </c>
      <c r="D2679" s="2" t="str">
        <f>IFERROR(__xludf.DUMMYFUNCTION("GOOGLETRANSLATE(B2679, ""en"", ""TL"")"),"Ang isang indibidwal ay natagpuang nagtataglay ng mga endangered species nang walang tamang permit. Anong mga legal na kahihinatnan ang dapat sumunod sa pagtuklas?")</f>
        <v>Ang isang indibidwal ay natagpuang nagtataglay ng mga endangered species nang walang tamang permit. Anong mga legal na kahihinatnan ang dapat sumunod sa pagtuklas?</v>
      </c>
      <c r="E2679" s="2" t="str">
        <f>IFERROR(__xludf.DUMMYFUNCTION("GOOGLETRANSLATE(C2679, ""en"", ""TL"")"),"Ang mga legal na kahihinatnan para sa pagkakaroon ng mga endangered species na walang wastong permit sa Pilipinas ay nakasalalay sa mga partikular na kalagayan ng kaso. Narito ang isang breakdown ng mga potensyal na epekto:
**Mga Kaugnay na Batas:**
* **R"&amp;"epublic Act No. 9147 (Wildlife Resources Conservation and Protection Act):** Ito ang pangunahing batas na namamahala sa wildlife conservation sa Pilipinas. Ang mga seksyon 24 at 25 ay partikular na tumatalakay sa iligal na pangangaso, pangangalap, at tran"&amp;"sportasyon ng wildlife.
* **Executive Order No. 578:** Ang kautusang ito ay nagtatatag ng isang listahan ng mga nanganganib na flora at fauna sa Pilipinas. Ang pagkakaroon ng isang species sa listahang ito nang walang permit ay magiging isang malinaw na p"&amp;"aglabag.
**Mga Parusa:**
* **Mga multa:** Ang mga multa ay maaaring mula sa Isang Daang Libong Piso (Php 100,000.00) hanggang Tatlong Daang Libong Piso (Php 300,000.00) para sa unang paglabag. Tataas ang mga parusa para sa mga kasunod na pagkakasala. * **"&amp;"Pagkulong:** Ang indibidwal ay maaaring makulong ng anim (6) na buwan hanggang dalawang (2) taon para sa unang pagkakasala. Tataas ang mga parusa para sa mga kasunod na pagkakasala.
**Mga Karagdagang Pagsasaalang-alang:**
* **Tindi ng Pagkakasala:** Ang k"&amp;"alubhaan ng mga parusa ay magdedepende sa iba't ibang salik, gaya ng:
* Ang bilang at uri ng endangered species na kasangkot. * Kung ang mga hayop ay buhay o patay.
* Ang nilalayon na layunin ng pagkakaroon ng mga endangered species (hal., personal na kol"&amp;"eksyon, kalakalan). * **Pagkumpiska ng mga Hayop:** Ang Department of Environment and Natural Resources (DENR) ay may awtoridad na kumpiskahin ang mga endangered species upang matiyak ang kanilang proteksyon.
* **Disposisyon ng mga Nakumpiskang Hayop:** A"&amp;"ng mga nakumpiskang hayop ay maaaring:
* Inilabas pabalik sa ligaw kung itinuturing na malusog at angkop para sa muling pagpapakilala sa kanilang natural na tirahan.
* Inilagay sa mga sentro ng rehabilitasyon para sa pangangalaga at posibleng pagpapalaya "&amp;"sa hinaharap.
* Nakatira sa mga santuwaryo kung ang muling pagpapakilala o pagpapalabas ay hindi magagawa.
**Karagdagang Legal na Aksyon:**
* **Mga Pagsingil para sa Mga Kaugnay na Pagkakasala:** Depende sa mga pangyayari, ang indibidwal ay maaaring makah"&amp;"arap ng mga karagdagang singil para sa mga nauugnay na pagkakasala, gaya ng:
* Ilegal na transportasyon (kung ang mga hayop ay inilipat mula sa kanilang natural na tirahan)
* Falsification ng mga dokumento (kung sinubukan nilang pekein ang mga permit)
**T"&amp;"ungkulin ng DENR:**
* **Pagsisiyasat:** Sisiyasatin ng DENR ang kaso at tutukuyin ang naaangkop na kurso ng legal na aksyon batay sa mga ebidensyang nakalap.
* **Pagtutulungan:** Maaaring makipagtulungan ang DENR sa Pambansang Pulisya ng Pilipinas o mga a"&amp;"hensyang nagpapatupad ng wildlife para hulihin ang may kasalanan at mangalap ng ebidensya.
**Kahalagahan ng Pagpapatupad:**
* **Pagpigil sa Wildlife Trafficking:** Ang mahigpit na pagpapatupad ng mga batas na ito ay nagpapadala ng malakas na mensahe na an"&amp;"g ilegal na pagmamay-ari ng mga endangered species ay isang seryosong krimen at nakakatulong na pigilan ang wildlife trafficking.
* **Pagprotekta sa mga Endangered Species:** Ang mabisang pagpapatupad ay nakakatulong sa pag-iingat ng mga endangered specie"&amp;"s sa pamamagitan ng pagpigil sa kanila mula sa pagsasamantala o pagkuha mula sa kanilang natural na tirahan.
Sa pamamagitan ng pagpapatupad ng mga batas na ito at pagpapataw ng naaangkop na mga parusa, mapoprotektahan ng Pilipinas ang mga nanganganib na w"&amp;"ildlife nito at masigurado ang hinaharap para sa mga mahalagang species na ito.")</f>
        <v>Ang mga legal na kahihinatnan para sa pagkakaroon ng mga endangered species na walang wastong permit sa Pilipinas ay nakasalalay sa mga partikular na kalagayan ng kaso. Narito ang isang breakdown ng mga potensyal na epekto:
**Mga Kaugnay na Batas:**
* **Republic Act No. 9147 (Wildlife Resources Conservation and Protection Act):** Ito ang pangunahing batas na namamahala sa wildlife conservation sa Pilipinas. Ang mga seksyon 24 at 25 ay partikular na tumatalakay sa iligal na pangangaso, pangangalap, at transportasyon ng wildlife.
* **Executive Order No. 578:** Ang kautusang ito ay nagtatatag ng isang listahan ng mga nanganganib na flora at fauna sa Pilipinas. Ang pagkakaroon ng isang species sa listahang ito nang walang permit ay magiging isang malinaw na paglabag.
**Mga Parusa:**
* **Mga multa:** Ang mga multa ay maaaring mula sa Isang Daang Libong Piso (Php 100,000.00) hanggang Tatlong Daang Libong Piso (Php 300,000.00) para sa unang paglabag. Tataas ang mga parusa para sa mga kasunod na pagkakasala. * **Pagkulong:** Ang indibidwal ay maaaring makulong ng anim (6) na buwan hanggang dalawang (2) taon para sa unang pagkakasala. Tataas ang mga parusa para sa mga kasunod na pagkakasala.
**Mga Karagdagang Pagsasaalang-alang:**
* **Tindi ng Pagkakasala:** Ang kalubhaan ng mga parusa ay magdedepende sa iba't ibang salik, gaya ng:
* Ang bilang at uri ng endangered species na kasangkot. * Kung ang mga hayop ay buhay o patay.
* Ang nilalayon na layunin ng pagkakaroon ng mga endangered species (hal., personal na koleksyon, kalakalan). * **Pagkumpiska ng mga Hayop:** Ang Department of Environment and Natural Resources (DENR) ay may awtoridad na kumpiskahin ang mga endangered species upang matiyak ang kanilang proteksyon.
* **Disposisyon ng mga Nakumpiskang Hayop:** Ang mga nakumpiskang hayop ay maaaring:
* Inilabas pabalik sa ligaw kung itinuturing na malusog at angkop para sa muling pagpapakilala sa kanilang natural na tirahan.
* Inilagay sa mga sentro ng rehabilitasyon para sa pangangalaga at posibleng pagpapalaya sa hinaharap.
* Nakatira sa mga santuwaryo kung ang muling pagpapakilala o pagpapalabas ay hindi magagawa.
**Karagdagang Legal na Aksyon:**
* **Mga Pagsingil para sa Mga Kaugnay na Pagkakasala:** Depende sa mga pangyayari, ang indibidwal ay maaaring makaharap ng mga karagdagang singil para sa mga nauugnay na pagkakasala, gaya ng:
* Ilegal na transportasyon (kung ang mga hayop ay inilipat mula sa kanilang natural na tirahan)
* Falsification ng mga dokumento (kung sinubukan nilang pekein ang mga permit)
**Tungkulin ng DENR:**
* **Pagsisiyasat:** Sisiyasatin ng DENR ang kaso at tutukuyin ang naaangkop na kurso ng legal na aksyon batay sa mga ebidensyang nakalap.
* **Pagtutulungan:** Maaaring makipagtulungan ang DENR sa Pambansang Pulisya ng Pilipinas o mga ahensyang nagpapatupad ng wildlife para hulihin ang may kasalanan at mangalap ng ebidensya.
**Kahalagahan ng Pagpapatupad:**
* **Pagpigil sa Wildlife Trafficking:** Ang mahigpit na pagpapatupad ng mga batas na ito ay nagpapadala ng malakas na mensahe na ang ilegal na pagmamay-ari ng mga endangered species ay isang seryosong krimen at nakakatulong na pigilan ang wildlife trafficking.
* **Pagprotekta sa mga Endangered Species:** Ang mabisang pagpapatupad ay nakakatulong sa pag-iingat ng mga endangered species sa pamamagitan ng pagpigil sa kanila mula sa pagsasamantala o pagkuha mula sa kanilang natural na tirahan.
Sa pamamagitan ng pagpapatupad ng mga batas na ito at pagpapataw ng naaangkop na mga parusa, mapoprotektahan ng Pilipinas ang mga nanganganib na wildlife nito at masigurado ang hinaharap para sa mga mahalagang species na ito.</v>
      </c>
      <c r="F2679" s="2">
        <f t="shared" si="1"/>
        <v>0</v>
      </c>
      <c r="G2679" s="2"/>
      <c r="H2679" s="2"/>
      <c r="I2679" s="2"/>
      <c r="J2679" s="2"/>
      <c r="K2679" s="2"/>
      <c r="L2679" s="2"/>
      <c r="M2679" s="2"/>
      <c r="N2679" s="2"/>
      <c r="O2679" s="2"/>
      <c r="P2679" s="2"/>
      <c r="Q2679" s="2"/>
      <c r="R2679" s="2"/>
      <c r="S2679" s="2"/>
      <c r="T2679" s="2"/>
      <c r="U2679" s="2"/>
      <c r="V2679" s="2"/>
      <c r="W2679" s="2"/>
      <c r="X2679" s="2"/>
      <c r="Y2679" s="2"/>
      <c r="Z2679" s="2"/>
      <c r="AA2679" s="2"/>
    </row>
    <row r="2680">
      <c r="A2680" s="1" t="s">
        <v>6268</v>
      </c>
      <c r="B2680" s="1" t="s">
        <v>6331</v>
      </c>
      <c r="C2680" s="1" t="s">
        <v>6332</v>
      </c>
      <c r="D2680" s="2" t="str">
        <f>IFERROR(__xludf.DUMMYFUNCTION("GOOGLETRANSLATE(B2680, ""en"", ""TL"")"),"Isang ligaw na hayop ang natagpuang sugatan sa pampublikong lugar. Anong mga legal na hakbang ang maaaring gawin upang matiyak ang mabilis at makataong paggamot nito?")</f>
        <v>Isang ligaw na hayop ang natagpuang sugatan sa pampublikong lugar. Anong mga legal na hakbang ang maaaring gawin upang matiyak ang mabilis at makataong paggamot nito?</v>
      </c>
      <c r="E2680" s="2" t="str">
        <f>IFERROR(__xludf.DUMMYFUNCTION("GOOGLETRANSLATE(C2680, ""en"", ""TL"")"),"Sa Pilipinas, walang partikular na batas na tumutugon lamang sa mga nasugatan na ligaw na hayop. Gayunpaman, maraming mga opsyon ang maaaring tuklasin upang matiyak na ang stray ay makakatanggap ng maagap at makataong pagtrato:
**Agad na Pagkilos:**
* **A"&amp;"nimal Welfare Organizations:** Makipag-ugnayan sa iyong lokal na animal welfare organization tulad ng Philippine Animal Welfare Society (PAWS) o isang malapit na veterinary clinic na kilala sa pagtulong sa mga ligaw na hayop. Maaaring mayroon silang mga t"&amp;"auhan na maaaring maghatid ng nasugatan na hayop o magpayo sa pinakamahusay na paraan ng pagkilos.
* **Mga Opisyal ng Barangay:** Ipaalam sa iyong mga opisyal ng barangay ang tungkol sa nasugatan na ligaw na hayop. Ang ilang mga barangay ay maaaring may m"&amp;"ga itinalagang tauhan o pakikipagtulungan sa mga organisasyong pangkalusugan ng mga hayop upang hawakan ang mga ganitong kaso.
**Pag-secure ng Medikal na Atensyon:**
* **Pag-aalaga sa Beterinaryo:** Ang priyoridad ay makuha ang naliligaw na atensyon ng be"&amp;"terinaryo. Kung mayroon kang paraan, maaari mong dalhin ang hayop sa isang klinika ng beterinaryo. Maaaring mag-alok ng tulong pinansyal ang ilang organisasyon sa kapakanan ng hayop o magkaroon ng pakikipagtulungan sa mga klinika upang magbigay ng pangang"&amp;"alaga sa mga naliligaw.
* **Mga Pampublikong Silungan ng Hayop:** Ang mga pampublikong silungan ng hayop ay maaaring tumanggap ng mga nasugatan na ligaw at magbigay ng kinakailangang pangangalagang medikal. Gayunpaman, ang mga limitasyon sa espasyo sa mga"&amp;" silungan ay isang alalahanin. **Pangmatagalang Pangangalaga:**
* **Pag-ampon:** Kung gumaling nang maayos ang hayop, tuklasin ang mga opsyon sa pag-aampon. Isaalang-alang ang pag-abot sa mga organisasyon ng kapakanan ng hayop o mga shelter ng hayop upang"&amp;" makahanap ng responsable at mapagmahal na tahanan para sa naliligaw. * **Trap-Neuter-Return (TNR):** Kung hindi magagawa ang pag-aampon, isaalang-alang ang mga programang nagtataguyod ng mga hakbangin ng Trap-Neuter-Return (TNR) para sa mga ligaw na hayo"&amp;"p. Ang TNR ay nagsasangkot ng makataong pag-trap ng mga naliligaw na hayop, pag-neuter o pag-spay sa kanila upang kontrolin ang populasyon, at pagkatapos ay palayain sila pabalik sa kanilang teritoryo pagkatapos gumaling. **Mga Legal na Pagsasaalang-alang"&amp;":**
* **Animal Welfare Act (RA 8485):** Bagama't hindi partikular na nakatuon sa mga ligaw, ang mga pangkalahatang prinsipyo ng pagpigil sa hindi kinakailangang pagdurusa o pananakit sa anumang hayop ay maaaring isaalang-alang. Ang pag-uulat ng kalupitan "&amp;"sa hayop (kabilang ang pagpapabaya sa mga nasugatan na ligaw) sa mga awtoridad ay nasa ilalim ng Batas na ito.
* **Mga Lokal na Ordenansa:** Ang ilang mga lungsod o munisipalidad ay maaaring magkaroon ng mga lokal na ordinansa na nauugnay sa pagkontrol ng"&amp;" hayop o pamamahala ng ligaw na hayop. Sumangguni sa iyong mga opisyal ng barangay upang maunawaan ang anumang partikular na regulasyon sa iyong lugar.
**Mga Karagdagang Pagsasaalang-alang:**
* **Ang Iyong Kakayahang Pangalagaan:** Kung hindi mo magawang "&amp;"dalhin ang nasugatan na hayop sa isang beterinaryo, isaalang-alang ang paghingi ng tulong sa mga kapitbahay, mahilig sa hayop online, o mga platform ng crowdfunding upang makalikom ng pondo para sa pangangalaga sa beterinaryo. * **Kaligtasan:** Kapag papa"&amp;"lapit sa isang nasugatan na ligaw, unahin ang iyong kaligtasan. Kung ang hayop ay agresibo dahil sa sakit o takot, humingi ng tulong sa pagkontrol ng hayop o may karanasan na mga tauhan ng kapakanan ng hayop para sa ligtas na paghuli at transportasyon.
Sa"&amp;" pamamagitan ng mabilis na pagkilos, pakikipagtulungan sa mga organisasyon ng kapakanan ng hayop, at paggalugad ng mga magagamit na mapagkukunan, maaari mong matiyak na ang nasugatan na ligaw na hayop ay makakatanggap ng pangangalaga sa beterinaryo at pot"&amp;"ensyal na makahanap ng mapagmahal na tahanan o muling sumali sa kolonya nito sa isang pinamamahalaang paraan sa pamamagitan ng mga programa ng TNR.")</f>
        <v>Sa Pilipinas, walang partikular na batas na tumutugon lamang sa mga nasugatan na ligaw na hayop. Gayunpaman, maraming mga opsyon ang maaaring tuklasin upang matiyak na ang stray ay makakatanggap ng maagap at makataong pagtrato:
**Agad na Pagkilos:**
* **Animal Welfare Organizations:** Makipag-ugnayan sa iyong lokal na animal welfare organization tulad ng Philippine Animal Welfare Society (PAWS) o isang malapit na veterinary clinic na kilala sa pagtulong sa mga ligaw na hayop. Maaaring mayroon silang mga tauhan na maaaring maghatid ng nasugatan na hayop o magpayo sa pinakamahusay na paraan ng pagkilos.
* **Mga Opisyal ng Barangay:** Ipaalam sa iyong mga opisyal ng barangay ang tungkol sa nasugatan na ligaw na hayop. Ang ilang mga barangay ay maaaring may mga itinalagang tauhan o pakikipagtulungan sa mga organisasyong pangkalusugan ng mga hayop upang hawakan ang mga ganitong kaso.
**Pag-secure ng Medikal na Atensyon:**
* **Pag-aalaga sa Beterinaryo:** Ang priyoridad ay makuha ang naliligaw na atensyon ng beterinaryo. Kung mayroon kang paraan, maaari mong dalhin ang hayop sa isang klinika ng beterinaryo. Maaaring mag-alok ng tulong pinansyal ang ilang organisasyon sa kapakanan ng hayop o magkaroon ng pakikipagtulungan sa mga klinika upang magbigay ng pangangalaga sa mga naliligaw.
* **Mga Pampublikong Silungan ng Hayop:** Ang mga pampublikong silungan ng hayop ay maaaring tumanggap ng mga nasugatan na ligaw at magbigay ng kinakailangang pangangalagang medikal. Gayunpaman, ang mga limitasyon sa espasyo sa mga silungan ay isang alalahanin. **Pangmatagalang Pangangalaga:**
* **Pag-ampon:** Kung gumaling nang maayos ang hayop, tuklasin ang mga opsyon sa pag-aampon. Isaalang-alang ang pag-abot sa mga organisasyon ng kapakanan ng hayop o mga shelter ng hayop upang makahanap ng responsable at mapagmahal na tahanan para sa naliligaw. * **Trap-Neuter-Return (TNR):** Kung hindi magagawa ang pag-aampon, isaalang-alang ang mga programang nagtataguyod ng mga hakbangin ng Trap-Neuter-Return (TNR) para sa mga ligaw na hayop. Ang TNR ay nagsasangkot ng makataong pag-trap ng mga naliligaw na hayop, pag-neuter o pag-spay sa kanila upang kontrolin ang populasyon, at pagkatapos ay palayain sila pabalik sa kanilang teritoryo pagkatapos gumaling. **Mga Legal na Pagsasaalang-alang:**
* **Animal Welfare Act (RA 8485):** Bagama't hindi partikular na nakatuon sa mga ligaw, ang mga pangkalahatang prinsipyo ng pagpigil sa hindi kinakailangang pagdurusa o pananakit sa anumang hayop ay maaaring isaalang-alang. Ang pag-uulat ng kalupitan sa hayop (kabilang ang pagpapabaya sa mga nasugatan na ligaw) sa mga awtoridad ay nasa ilalim ng Batas na ito.
* **Mga Lokal na Ordenansa:** Ang ilang mga lungsod o munisipalidad ay maaaring magkaroon ng mga lokal na ordinansa na nauugnay sa pagkontrol ng hayop o pamamahala ng ligaw na hayop. Sumangguni sa iyong mga opisyal ng barangay upang maunawaan ang anumang partikular na regulasyon sa iyong lugar.
**Mga Karagdagang Pagsasaalang-alang:**
* **Ang Iyong Kakayahang Pangalagaan:** Kung hindi mo magawang dalhin ang nasugatan na hayop sa isang beterinaryo, isaalang-alang ang paghingi ng tulong sa mga kapitbahay, mahilig sa hayop online, o mga platform ng crowdfunding upang makalikom ng pondo para sa pangangalaga sa beterinaryo. * **Kaligtasan:** Kapag papalapit sa isang nasugatan na ligaw, unahin ang iyong kaligtasan. Kung ang hayop ay agresibo dahil sa sakit o takot, humingi ng tulong sa pagkontrol ng hayop o may karanasan na mga tauhan ng kapakanan ng hayop para sa ligtas na paghuli at transportasyon.
Sa pamamagitan ng mabilis na pagkilos, pakikipagtulungan sa mga organisasyon ng kapakanan ng hayop, at paggalugad ng mga magagamit na mapagkukunan, maaari mong matiyak na ang nasugatan na ligaw na hayop ay makakatanggap ng pangangalaga sa beterinaryo at potensyal na makahanap ng mapagmahal na tahanan o muling sumali sa kolonya nito sa isang pinamamahalaang paraan sa pamamagitan ng mga programa ng TNR.</v>
      </c>
      <c r="F2680" s="2">
        <f t="shared" si="1"/>
        <v>0</v>
      </c>
      <c r="G2680" s="2"/>
      <c r="H2680" s="2"/>
      <c r="I2680" s="2"/>
      <c r="J2680" s="2"/>
      <c r="K2680" s="2"/>
      <c r="L2680" s="2"/>
      <c r="M2680" s="2"/>
      <c r="N2680" s="2"/>
      <c r="O2680" s="2"/>
      <c r="P2680" s="2"/>
      <c r="Q2680" s="2"/>
      <c r="R2680" s="2"/>
      <c r="S2680" s="2"/>
      <c r="T2680" s="2"/>
      <c r="U2680" s="2"/>
      <c r="V2680" s="2"/>
      <c r="W2680" s="2"/>
      <c r="X2680" s="2"/>
      <c r="Y2680" s="2"/>
      <c r="Z2680" s="2"/>
      <c r="AA2680" s="2"/>
    </row>
    <row r="2681">
      <c r="A2681" s="1" t="s">
        <v>6268</v>
      </c>
      <c r="B2681" s="1" t="s">
        <v>6333</v>
      </c>
      <c r="C2681" s="1" t="s">
        <v>6334</v>
      </c>
      <c r="D2681" s="2" t="str">
        <f>IFERROR(__xludf.DUMMYFUNCTION("GOOGLETRANSLATE(B2681, ""en"", ""TL"")"),"Isa kang hukom na namumuno sa isang kaso ng pang-aabuso sa hayop. Anong mga legal na pagsasaalang-alang ang dapat gumabay sa iyong mga desisyon sa panahon ng paglilitis?")</f>
        <v>Isa kang hukom na namumuno sa isang kaso ng pang-aabuso sa hayop. Anong mga legal na pagsasaalang-alang ang dapat gumabay sa iyong mga desisyon sa panahon ng paglilitis?</v>
      </c>
      <c r="E2681" s="2" t="str">
        <f>IFERROR(__xludf.DUMMYFUNCTION("GOOGLETRANSLATE(C2681, ""en"", ""TL"")"),"Bilang isang hukom na namumuno sa isang kaso ng pang-aabuso sa hayop, maraming mga legal na pagsasaalang-alang ang dapat gumabay sa iyong mga desisyon sa buong paglilitis:
**Pag-unawa sa Batas:**
* **Animal Welfare Act (RA 8485):** Ito ang pangunahing bat"&amp;"as sa Pilipinas tungkol sa kapakanan ng hayop. Umasa sa mga probisyon ng Batas na ito tungkol sa mga ipinagbabawal na gawa ng kalupitan at ang mga potensyal na parusa para sa mga paglabag. * **Iba Pang Mga Kaugnay na Batas:** Isaalang-alang kung may iba p"&amp;"ang batas na maaaring ilapat depende sa mga detalye ng kaso. Halimbawa, kung napinsala ang mga protektadong species ng wildlife, maaaring may kaugnayan ang Wildlife Resources Conservation and Protection Act (RA 9147).
**Pagsusuri ng Ebidensya:**
* **Testi"&amp;"monya ng Saksi:** Maingat na tasahin ang kredibilidad at pagiging maaasahan ng mga testimonya ng saksi tungkol sa di-umano'y pang-aabuso sa hayop. Isaalang-alang ang mga salik tulad ng kanilang pagkakataong obserbahan ang mga kaganapan, potensyal na bias,"&amp;" at pagkakapare-pareho ng kanilang mga pahayag.
* **Mga Ekspertong Opinyon:** Ang mga ekspertong saksi, gaya ng mga beterinaryo o mga espesyalista sa pag-uugali ng hayop, ay maaaring tawagan upang magbigay ng mga insight sa mga pinsala ng hayop, ang poten"&amp;"syal na sanhi ng pagdurusa, at tinatanggap na mga kasanayan sa pag-aalaga ng hayop. * **Pisikal na Ebidensya:** Ang mga larawan, video, talaan ng beterinaryo, o mga nakumpiskang item tulad ng mga tool na ginamit para sa pang-aabuso ay maaaring maging maha"&amp;"lagang ebidensya na dapat isaalang-alang.
**Pasan ng Patunay:**
* **Presumption of Innocence:** Ang nasasakdal ay ipinapalagay na inosente hanggang sa mapatunayang nagkasala nang walang makatwirang pagdududa. Ang pasanin ng patunay ay nakasalalay sa pag-u"&amp;"usig upang magharap ng isang nakakahimok na kaso na nagpapakita ng pang-aabuso sa hayop na nangyari. **Tindi ng Pang-aabuso:**
* **Katangian ng Pang-aabuso:** Isaalang-alang ang uri ng pang-aabusong ginawa sa hayop (hal., pisikal na karahasan, pagpapabaya"&amp;", hindi wastong pagkakulong) at ang antas ng pagdurusa na naidulot.
* **Layunin at Mens Rea:** Sa ilang mga kaso, maaaring kailanganin ng prosekusyon na patunayan ang layunin ng nasasakdal na magdusa (mens rea). Galugarin ang ebidensya na nauugnay sa kaal"&amp;"aman ng nasasakdal sa mga potensyal na kahihinatnan ng kanilang mga aksyon.
**Mga Salik sa Pagbabawas:**
* **Edad o Mental State of Defendant:** Kung ang nasasakdal ay isang menor de edad o may na-diagnose na sakit sa isip na maaaring nag-ambag sa pang-aa"&amp;"buso, ang mga salik na ito ay maaaring isaalang-alang kapag tinutukoy ang sentensiya (hindi kinakailangang pagkakasala).
**Paghatol:**
* **Mga Magagamit na Parusa:** Sumangguni sa mga nauugnay na batas upang maunawaan ang hanay ng mga parusa para sa parti"&amp;"kular na pagkakasala. Maaaring kabilang dito ang mga multa, pagkakulong, o pareho.
* **Proporsyonalidad:** Ang pangungusap ay dapat na proporsyonal sa kalubhaan ng pang-aabuso at pagiging may kasalanan ng nasasakdal.
**Kagalingan ng Hayop:**
* **Kustodiya"&amp;" ng Hayop:** Isaalang-alang ang pangmatagalang kapakanan ng hayop na nasasangkot. Tukuyin kung dapat itong ilagay sa isang kanlungan, i-rehabilitate at i-rehome, o makataong euthanized kung ituturing na kinakailangan dahil sa kalubhaan ng mga pinsala.
**P"&amp;"agtatakda ng Precedent:**
* **Pagpigil:** Ang iyong mga desisyon ay dapat humadlang sa hinaharap na kalupitan sa hayop sa pamamagitan ng pagpapadala ng isang malinaw na mensahe na ang mga naturang gawain ay iuusig sa buong saklaw ng batas.
**Patas at Nara"&amp;"rapat na Proseso:**
* **Karapatan sa isang Makatarungang Paglilitis:** Tiyaking parehong may patas na pagkakataon ang prosekusyon at ang depensa na iharap ang kanilang mga kaso at na ang mga karapatan ng nasasakdal ay itinataguyod sa buong paglilitis.
Sa "&amp;"pamamagitan ng maingat na pagsasaalang-alang sa mga legal na salik na ito at pagtiyak ng isang patas na proseso ng paglilitis, maaari kang gumawa ng matalinong mga desisyon na nagpoprotekta sa mga hayop mula sa pang-aabuso, papanagutin ang mga may kasalan"&amp;"an, at magtakda ng isang positibong precedent para sa hinaharap na mga kaso ng kapakanan ng hayop.")</f>
        <v>Bilang isang hukom na namumuno sa isang kaso ng pang-aabuso sa hayop, maraming mga legal na pagsasaalang-alang ang dapat gumabay sa iyong mga desisyon sa buong paglilitis:
**Pag-unawa sa Batas:**
* **Animal Welfare Act (RA 8485):** Ito ang pangunahing batas sa Pilipinas tungkol sa kapakanan ng hayop. Umasa sa mga probisyon ng Batas na ito tungkol sa mga ipinagbabawal na gawa ng kalupitan at ang mga potensyal na parusa para sa mga paglabag. * **Iba Pang Mga Kaugnay na Batas:** Isaalang-alang kung may iba pang batas na maaaring ilapat depende sa mga detalye ng kaso. Halimbawa, kung napinsala ang mga protektadong species ng wildlife, maaaring may kaugnayan ang Wildlife Resources Conservation and Protection Act (RA 9147).
**Pagsusuri ng Ebidensya:**
* **Testimonya ng Saksi:** Maingat na tasahin ang kredibilidad at pagiging maaasahan ng mga testimonya ng saksi tungkol sa di-umano'y pang-aabuso sa hayop. Isaalang-alang ang mga salik tulad ng kanilang pagkakataong obserbahan ang mga kaganapan, potensyal na bias, at pagkakapare-pareho ng kanilang mga pahayag.
* **Mga Ekspertong Opinyon:** Ang mga ekspertong saksi, gaya ng mga beterinaryo o mga espesyalista sa pag-uugali ng hayop, ay maaaring tawagan upang magbigay ng mga insight sa mga pinsala ng hayop, ang potensyal na sanhi ng pagdurusa, at tinatanggap na mga kasanayan sa pag-aalaga ng hayop. * **Pisikal na Ebidensya:** Ang mga larawan, video, talaan ng beterinaryo, o mga nakumpiskang item tulad ng mga tool na ginamit para sa pang-aabuso ay maaaring maging mahalagang ebidensya na dapat isaalang-alang.
**Pasan ng Patunay:**
* **Presumption of Innocence:** Ang nasasakdal ay ipinapalagay na inosente hanggang sa mapatunayang nagkasala nang walang makatwirang pagdududa. Ang pasanin ng patunay ay nakasalalay sa pag-uusig upang magharap ng isang nakakahimok na kaso na nagpapakita ng pang-aabuso sa hayop na nangyari. **Tindi ng Pang-aabuso:**
* **Katangian ng Pang-aabuso:** Isaalang-alang ang uri ng pang-aabusong ginawa sa hayop (hal., pisikal na karahasan, pagpapabaya, hindi wastong pagkakulong) at ang antas ng pagdurusa na naidulot.
* **Layunin at Mens Rea:** Sa ilang mga kaso, maaaring kailanganin ng prosekusyon na patunayan ang layunin ng nasasakdal na magdusa (mens rea). Galugarin ang ebidensya na nauugnay sa kaalaman ng nasasakdal sa mga potensyal na kahihinatnan ng kanilang mga aksyon.
**Mga Salik sa Pagbabawas:**
* **Edad o Mental State of Defendant:** Kung ang nasasakdal ay isang menor de edad o may na-diagnose na sakit sa isip na maaaring nag-ambag sa pang-aabuso, ang mga salik na ito ay maaaring isaalang-alang kapag tinutukoy ang sentensiya (hindi kinakailangang pagkakasala).
**Paghatol:**
* **Mga Magagamit na Parusa:** Sumangguni sa mga nauugnay na batas upang maunawaan ang hanay ng mga parusa para sa partikular na pagkakasala. Maaaring kabilang dito ang mga multa, pagkakulong, o pareho.
* **Proporsyonalidad:** Ang pangungusap ay dapat na proporsyonal sa kalubhaan ng pang-aabuso at pagiging may kasalanan ng nasasakdal.
**Kagalingan ng Hayop:**
* **Kustodiya ng Hayop:** Isaalang-alang ang pangmatagalang kapakanan ng hayop na nasasangkot. Tukuyin kung dapat itong ilagay sa isang kanlungan, i-rehabilitate at i-rehome, o makataong euthanized kung ituturing na kinakailangan dahil sa kalubhaan ng mga pinsala.
**Pagtatakda ng Precedent:**
* **Pagpigil:** Ang iyong mga desisyon ay dapat humadlang sa hinaharap na kalupitan sa hayop sa pamamagitan ng pagpapadala ng isang malinaw na mensahe na ang mga naturang gawain ay iuusig sa buong saklaw ng batas.
**Patas at Nararapat na Proseso:**
* **Karapatan sa isang Makatarungang Paglilitis:** Tiyaking parehong may patas na pagkakataon ang prosekusyon at ang depensa na iharap ang kanilang mga kaso at na ang mga karapatan ng nasasakdal ay itinataguyod sa buong paglilitis.
Sa pamamagitan ng maingat na pagsasaalang-alang sa mga legal na salik na ito at pagtiyak ng isang patas na proseso ng paglilitis, maaari kang gumawa ng matalinong mga desisyon na nagpoprotekta sa mga hayop mula sa pang-aabuso, papanagutin ang mga may kasalanan, at magtakda ng isang positibong precedent para sa hinaharap na mga kaso ng kapakanan ng hayop.</v>
      </c>
      <c r="F2681" s="2">
        <f t="shared" si="1"/>
        <v>0</v>
      </c>
      <c r="G2681" s="2"/>
      <c r="H2681" s="2"/>
      <c r="I2681" s="2"/>
      <c r="J2681" s="2"/>
      <c r="K2681" s="2"/>
      <c r="L2681" s="2"/>
      <c r="M2681" s="2"/>
      <c r="N2681" s="2"/>
      <c r="O2681" s="2"/>
      <c r="P2681" s="2"/>
      <c r="Q2681" s="2"/>
      <c r="R2681" s="2"/>
      <c r="S2681" s="2"/>
      <c r="T2681" s="2"/>
      <c r="U2681" s="2"/>
      <c r="V2681" s="2"/>
      <c r="W2681" s="2"/>
      <c r="X2681" s="2"/>
      <c r="Y2681" s="2"/>
      <c r="Z2681" s="2"/>
      <c r="AA2681" s="2"/>
    </row>
    <row r="2682">
      <c r="A2682" s="1" t="s">
        <v>6268</v>
      </c>
      <c r="B2682" s="1" t="s">
        <v>6335</v>
      </c>
      <c r="C2682" s="1" t="s">
        <v>6336</v>
      </c>
      <c r="D2682" s="2" t="str">
        <f>IFERROR(__xludf.DUMMYFUNCTION("GOOGLETRANSLATE(B2682, ""en"", ""TL"")"),"Ang isang indibidwal ay nasaksihan na nagtatapon ng nakakalason na basura sa isang mapagkukunan ng tubig na pumipinsala sa mga hayop sa tubig. Anong mga legal na aksyon ang maaaring gawin upang matugunan ang polusyon sa kapaligiran at pang-aabuso sa hayop"&amp;"?")</f>
        <v>Ang isang indibidwal ay nasaksihan na nagtatapon ng nakakalason na basura sa isang mapagkukunan ng tubig na pumipinsala sa mga hayop sa tubig. Anong mga legal na aksyon ang maaaring gawin upang matugunan ang polusyon sa kapaligiran at pang-aabuso sa hayop?</v>
      </c>
      <c r="E2682" s="2" t="str">
        <f>IFERROR(__xludf.DUMMYFUNCTION("GOOGLETRANSLATE(C2682, ""en"", ""TL"")"),"Ang gawain ng pagtatapon ng nakakalason na basura sa isang pinagmumulan ng tubig na pumipinsala sa mga hayop sa tubig ay nasa ilalim ng dalawang kategorya ng batas ng Pilipinas: pinsala sa kapaligiran at kalupitan sa hayop. Narito kung anong mga legal na "&amp;"aksyon ang maaaring gawin:
**Pinsala sa Kapaligiran:**
* **Department of Environment and Natural Resources (DENR):** Ang DENR ang pangunahing ahensya ng pamahalaan na responsable para sa pangangalaga sa kapaligiran. Maghain ng pormal na reklamo sa kanila,"&amp;" na nagdedetalye ng insidente, kabilang ang lokasyon, petsa, at oras ng pagtatapon, at anumang ebidensya na maaaring mayroon ka (hal., mga pahayag ng saksi, larawan o video).
* **Mga Paghahabla:** Bukod sa mga parusang pang-administratibo, maaari ding mag"&amp;"sampa ng kaso ang DENR laban sa indibidwal dahil sa paglabag sa mga batas sa kapaligiran. * **Mga Parusa:** Ang mga parusa para sa iligal na pagtatapon ng basura ay maaaring magsama ng mga multa at potensyal na pagkakulong depende sa kalubhaan ng pinsalan"&amp;"g idinulot. Maaari ding utusan ng DENR ang indibidwal na magsagawa ng paglilinis at rehabilitasyon para sa apektadong pinagmumulan ng tubig.
**Pag-abuso sa Hayop:**
* **Republic Act No. 8485 (The Animal Welfare Act of 1998):** Bagama't ang Batas na ito ay"&amp;" pangunahing nakatuon sa mga kasamang hayop, ang ilan ay nangangatuwiran na maaari itong palawigin sa mga hayop na nabubuhay sa tubig na nagdurusa dahil sa pinsala sa kapaligiran. Ipinagbabawal nito ang pagdudulot ng hindi kinakailangang pagdurusa o sakit"&amp;" sa anumang hayop.
* **Philippine Animal Welfare Society (PAWS):** Ang PAWS ay maaaring mag-alok ng patnubay at potensyal na makipagtulungan sa DENR upang palakasin ang aspeto ng animal cruelty ng kaso. Makakatulong sila na idokumento ang pinsalang dulot "&amp;"ng buhay sa tubig.
**Pagtitipon ng Ebidensya:**
* **Mga Pahayag ng Saksi:** Kung sinuman ang nakasaksi sa pagtatapon o sa mga kaagad na resulta (patay na isda), hikayatin silang magbigay ng nakasulat na mga pahayag. * **Mga Larawan o Video:** Kung maaari,"&amp;" kumuha ng mga larawan o video ng maruming pinagmumulan ng tubig at anumang patay o nasugatang aquatic na hayop.
* **Mga Sample ng Tubig:** Kung maaari, mangolekta ng mga sample ng tubig mula sa maruming pinagmumulan para sa pagsusuri sa laboratoryo upang"&amp;" matukoy ang uri ng nakalalasong basura na itinatapon. Gayunpaman, unahin ang iyong kaligtasan at iwasan ang pakikipag-ugnay sa mga potensyal na mapanganib na materyales.
**Mga Karagdagang Pagsasaalang-alang:**
* **Public Awareness:** Itaas ang pampubliko"&amp;"ng kamalayan tungkol sa insidente sa pamamagitan ng social media o mga grupo ng adbokasiya sa kapaligiran. Maaari itong maglagay ng panggigipit sa mga awtoridad na kumilos at hadlangan ang mga krimen sa kapaligiran sa hinaharap.
* **Civil Lawsuit:** Sa il"&amp;"ang mga kaso, maaaring isaalang-alang ng mga environmental NGO o concerned citizen na magsampa ng kasong sibil laban sa indibidwal para sa pinsala sa kapaligiran.
Sa pamamagitan ng pag-uulat ng insidente, pangangalap ng ebidensya, at pakikipagtulungan sa "&amp;"mga kaugnay na awtoridad, matutugunan mo ang parehong aspeto ng kalupitan sa kapaligiran at hayop ng krimeng ito. Ang pagpapanagot sa may kasalanan ay makakatulong na protektahan ang kapaligiran at buhay sa tubig mula sa pinsala sa hinaharap.")</f>
        <v>Ang gawain ng pagtatapon ng nakakalason na basura sa isang pinagmumulan ng tubig na pumipinsala sa mga hayop sa tubig ay nasa ilalim ng dalawang kategorya ng batas ng Pilipinas: pinsala sa kapaligiran at kalupitan sa hayop. Narito kung anong mga legal na aksyon ang maaaring gawin:
**Pinsala sa Kapaligiran:**
* **Department of Environment and Natural Resources (DENR):** Ang DENR ang pangunahing ahensya ng pamahalaan na responsable para sa pangangalaga sa kapaligiran. Maghain ng pormal na reklamo sa kanila, na nagdedetalye ng insidente, kabilang ang lokasyon, petsa, at oras ng pagtatapon, at anumang ebidensya na maaaring mayroon ka (hal., mga pahayag ng saksi, larawan o video).
* **Mga Paghahabla:** Bukod sa mga parusang pang-administratibo, maaari ding magsampa ng kaso ang DENR laban sa indibidwal dahil sa paglabag sa mga batas sa kapaligiran. * **Mga Parusa:** Ang mga parusa para sa iligal na pagtatapon ng basura ay maaaring magsama ng mga multa at potensyal na pagkakulong depende sa kalubhaan ng pinsalang idinulot. Maaari ding utusan ng DENR ang indibidwal na magsagawa ng paglilinis at rehabilitasyon para sa apektadong pinagmumulan ng tubig.
**Pag-abuso sa Hayop:**
* **Republic Act No. 8485 (The Animal Welfare Act of 1998):** Bagama't ang Batas na ito ay pangunahing nakatuon sa mga kasamang hayop, ang ilan ay nangangatuwiran na maaari itong palawigin sa mga hayop na nabubuhay sa tubig na nagdurusa dahil sa pinsala sa kapaligiran. Ipinagbabawal nito ang pagdudulot ng hindi kinakailangang pagdurusa o sakit sa anumang hayop.
* **Philippine Animal Welfare Society (PAWS):** Ang PAWS ay maaaring mag-alok ng patnubay at potensyal na makipagtulungan sa DENR upang palakasin ang aspeto ng animal cruelty ng kaso. Makakatulong sila na idokumento ang pinsalang dulot ng buhay sa tubig.
**Pagtitipon ng Ebidensya:**
* **Mga Pahayag ng Saksi:** Kung sinuman ang nakasaksi sa pagtatapon o sa mga kaagad na resulta (patay na isda), hikayatin silang magbigay ng nakasulat na mga pahayag. * **Mga Larawan o Video:** Kung maaari, kumuha ng mga larawan o video ng maruming pinagmumulan ng tubig at anumang patay o nasugatang aquatic na hayop.
* **Mga Sample ng Tubig:** Kung maaari, mangolekta ng mga sample ng tubig mula sa maruming pinagmumulan para sa pagsusuri sa laboratoryo upang matukoy ang uri ng nakalalasong basura na itinatapon. Gayunpaman, unahin ang iyong kaligtasan at iwasan ang pakikipag-ugnay sa mga potensyal na mapanganib na materyales.
**Mga Karagdagang Pagsasaalang-alang:**
* **Public Awareness:** Itaas ang pampublikong kamalayan tungkol sa insidente sa pamamagitan ng social media o mga grupo ng adbokasiya sa kapaligiran. Maaari itong maglagay ng panggigipit sa mga awtoridad na kumilos at hadlangan ang mga krimen sa kapaligiran sa hinaharap.
* **Civil Lawsuit:** Sa ilang mga kaso, maaaring isaalang-alang ng mga environmental NGO o concerned citizen na magsampa ng kasong sibil laban sa indibidwal para sa pinsala sa kapaligiran.
Sa pamamagitan ng pag-uulat ng insidente, pangangalap ng ebidensya, at pakikipagtulungan sa mga kaugnay na awtoridad, matutugunan mo ang parehong aspeto ng kalupitan sa kapaligiran at hayop ng krimeng ito. Ang pagpapanagot sa may kasalanan ay makakatulong na protektahan ang kapaligiran at buhay sa tubig mula sa pinsala sa hinaharap.</v>
      </c>
      <c r="F2682" s="2">
        <f t="shared" si="1"/>
        <v>0</v>
      </c>
      <c r="G2682" s="2"/>
      <c r="H2682" s="2"/>
      <c r="I2682" s="2"/>
      <c r="J2682" s="2"/>
      <c r="K2682" s="2"/>
      <c r="L2682" s="2"/>
      <c r="M2682" s="2"/>
      <c r="N2682" s="2"/>
      <c r="O2682" s="2"/>
      <c r="P2682" s="2"/>
      <c r="Q2682" s="2"/>
      <c r="R2682" s="2"/>
      <c r="S2682" s="2"/>
      <c r="T2682" s="2"/>
      <c r="U2682" s="2"/>
      <c r="V2682" s="2"/>
      <c r="W2682" s="2"/>
      <c r="X2682" s="2"/>
      <c r="Y2682" s="2"/>
      <c r="Z2682" s="2"/>
      <c r="AA2682" s="2"/>
    </row>
    <row r="2683">
      <c r="A2683" s="1" t="s">
        <v>6268</v>
      </c>
      <c r="B2683" s="1" t="s">
        <v>6337</v>
      </c>
      <c r="C2683" s="1" t="s">
        <v>6338</v>
      </c>
      <c r="D2683" s="2" t="str">
        <f>IFERROR(__xludf.DUMMYFUNCTION("GOOGLETRANSLATE(B2683, ""en"", ""TL"")"),"Ang isang may-ari ng alagang hayop ay pinaghihinalaang nagpapabaya sa kanilang mga hayop. Anong mga legal na hakbang ang maaaring gawin upang mamagitan at maprotektahan ang kapakanan ng mga alagang hayop?")</f>
        <v>Ang isang may-ari ng alagang hayop ay pinaghihinalaang nagpapabaya sa kanilang mga hayop. Anong mga legal na hakbang ang maaaring gawin upang mamagitan at maprotektahan ang kapakanan ng mga alagang hayop?</v>
      </c>
      <c r="E2683" s="2" t="str">
        <f>IFERROR(__xludf.DUMMYFUNCTION("GOOGLETRANSLATE(C2683, ""en"", ""TL"")"),"Narito ang isang breakdown ng mga legal na hakbang na maaari mong gawin upang mamagitan at maprotektahan ang kapakanan ng mga alagang hayop na pinaghihinalaang napabayaan ng kanilang may-ari sa Pilipinas:
**Pagtitipon ng Ebidensya:**
* **Idokumento ang Iy"&amp;"ong Mga Obserbasyon:** Kung nakasaksi ka ng mga palatandaan ng pagpapabaya sa hayop (hal., labis na payat, kakulangan ng tubig o pagkain, hindi malinis na kondisyon ng pamumuhay, hindi ginagamot na pinsala), kumuha ng mga litrato o video bilang ebidensya."&amp;" * **Mga Pahayag ng Saksi:** Kung ang sinuman ay nakakita ng katulad na mga palatandaan ng pagpapabaya, hikayatin silang magbigay ng nakasulat na mga pahayag upang suportahan ang iyong mga alalahanin.
**Mga Paunang Hakbang:**
* **Direktang Komunikasyon (O"&amp;"psyonal):** Kung kumportable ka, isaalang-alang ang isang magalang na pakikipag-usap sa may-ari ng alagang hayop na nagpapahayag ng iyong mga alalahanin tungkol sa kapakanan ng hayop. Mag-alok ng mga kapaki-pakinabang na mapagkukunan sa wastong pangangala"&amp;"ga ng alagang hayop.
**Pag-uulat ng Kapabayaan:**
* **Mga Opisyal ng Barangay:** Ang una mong kontakin ay ang iyong mga opisyal ng barangay. Maaari nilang mamagitan ang sitwasyon o makapagbigay ng payo sa mga karagdagang hakbang.
* **Philippine Animal Wel"&amp;"fare Society (PAWS):** Ang PAWS ay isang mahusay na iginagalang na organisasyon ng kapakanan ng hayop. Iulat sa kanila ang pinaghihinalaang pagpapabaya. Ang PAWS ay maaaring mag-alok ng patnubay, makipagtulungan sa mga awtoridad, at potensyal na tumulong "&amp;"sa pansamantalang kanlungan ng mga hayop kung kinakailangan.
* **Department of Agriculture - Bureau of Animal Industry (DA-BAI):** Ang DA-BAI ay responsable para sa kapakanan ng hayop. Maghain ng pormal na reklamo sa kanila na nagdedetalye ng sitwasyon at"&amp;" nagbibigay ng anumang ebidensya na maaaring nakolekta mo.
**Mga Legal na Panukala:**
* **Republic Act No. 8485 (The Animal Welfare Act of 1998):** Ipinagbabawal ng Batas na ito ang pagdudulot ng hindi kinakailangang pagdurusa o pananakit sa anumang hayop"&amp;". Ang pagpapabaya sa mga pangunahing pangangailangan ng isang hayop ay maaaring ituring na isang paglabag.
* **Pagsisiyasat ng DA-BAI:** Batay sa iyong ulat at ebidensya, maaaring imbestigahan ng DA-BAI ang sitwasyon. Maaari silang:
* Magbigay ng mga baba"&amp;"la para sa mga maliliit na paglabag.
* Magpataw ng mga multa para sa mas malubhang paglabag. * Utos sa may-ari na pahusayin ang kondisyon ng pamumuhay ng hayop sa loob ng isang tiyak na takdang panahon.
* Sa matinding kaso, kunin ang mga hayop kung sila a"&amp;"y nasa panganib na magdusa at ilagay sila sa isang kanlungan o sa isang responsableng tagapag-alaga.
**Mga Karagdagang Pagsasaalang-alang:**
* **Animal Welfare Organizations:** Maraming mga animal welfare organization ang nag-aalok ng mga mapagkukunan par"&amp;"a sa mga may-ari ng alagang hayop na maaaring nahihirapang alagaan ang kanilang mga hayop dahil sa mga hadlang sa pananalapi o kakulangan ng kaalaman. Ang pagbibigay ng gayong mga mapagkukunan sa may-ari ay posibleng malutas ang sitwasyon nang walang lega"&amp;"l na aksyon. * **Mga Silungan ng Hayop:** Kung aalisin ang mga hayop sa pangangalaga ng may-ari, maaari silang ilagay sa mga silungan ng hayop. * Isaalang-alang ang pag-aalaga ng isang hayop upang magbakante ng espasyo sa mga silungan para sa iba pang mga"&amp;" hayop na nangangailangan.
* Mag-donate para suportahan ang mga shelter na nangangalaga sa mga nailigtas na hayop.
**Tandaan:** * Unahin ang kaligtasan ng iyong sarili at ng iba kapag nakikialam sa isang pinaghihinalaang kaso ng pagpapabaya sa hayop. * An"&amp;"g pagdodokumento ng ebidensiya at pag-uulat ng sitwasyon sa tamang mga awtoridad ay mahahalagang hakbang sa pagprotekta sa mga napabayaang hayop.
* Ang pakikipagtulungan sa mga organisasyon ng kapakanan ng hayop ay maaaring lumikha ng isang network ng sup"&amp;"orta upang matiyak ang kapakanan ng mga hayop.")</f>
        <v>Narito ang isang breakdown ng mga legal na hakbang na maaari mong gawin upang mamagitan at maprotektahan ang kapakanan ng mga alagang hayop na pinaghihinalaang napabayaan ng kanilang may-ari sa Pilipinas:
**Pagtitipon ng Ebidensya:**
* **Idokumento ang Iyong Mga Obserbasyon:** Kung nakasaksi ka ng mga palatandaan ng pagpapabaya sa hayop (hal., labis na payat, kakulangan ng tubig o pagkain, hindi malinis na kondisyon ng pamumuhay, hindi ginagamot na pinsala), kumuha ng mga litrato o video bilang ebidensya. * **Mga Pahayag ng Saksi:** Kung ang sinuman ay nakakita ng katulad na mga palatandaan ng pagpapabaya, hikayatin silang magbigay ng nakasulat na mga pahayag upang suportahan ang iyong mga alalahanin.
**Mga Paunang Hakbang:**
* **Direktang Komunikasyon (Opsyonal):** Kung kumportable ka, isaalang-alang ang isang magalang na pakikipag-usap sa may-ari ng alagang hayop na nagpapahayag ng iyong mga alalahanin tungkol sa kapakanan ng hayop. Mag-alok ng mga kapaki-pakinabang na mapagkukunan sa wastong pangangalaga ng alagang hayop.
**Pag-uulat ng Kapabayaan:**
* **Mga Opisyal ng Barangay:** Ang una mong kontakin ay ang iyong mga opisyal ng barangay. Maaari nilang mamagitan ang sitwasyon o makapagbigay ng payo sa mga karagdagang hakbang.
* **Philippine Animal Welfare Society (PAWS):** Ang PAWS ay isang mahusay na iginagalang na organisasyon ng kapakanan ng hayop. Iulat sa kanila ang pinaghihinalaang pagpapabaya. Ang PAWS ay maaaring mag-alok ng patnubay, makipagtulungan sa mga awtoridad, at potensyal na tumulong sa pansamantalang kanlungan ng mga hayop kung kinakailangan.
* **Department of Agriculture - Bureau of Animal Industry (DA-BAI):** Ang DA-BAI ay responsable para sa kapakanan ng hayop. Maghain ng pormal na reklamo sa kanila na nagdedetalye ng sitwasyon at nagbibigay ng anumang ebidensya na maaaring nakolekta mo.
**Mga Legal na Panukala:**
* **Republic Act No. 8485 (The Animal Welfare Act of 1998):** Ipinagbabawal ng Batas na ito ang pagdudulot ng hindi kinakailangang pagdurusa o pananakit sa anumang hayop. Ang pagpapabaya sa mga pangunahing pangangailangan ng isang hayop ay maaaring ituring na isang paglabag.
* **Pagsisiyasat ng DA-BAI:** Batay sa iyong ulat at ebidensya, maaaring imbestigahan ng DA-BAI ang sitwasyon. Maaari silang:
* Magbigay ng mga babala para sa mga maliliit na paglabag.
* Magpataw ng mga multa para sa mas malubhang paglabag. * Utos sa may-ari na pahusayin ang kondisyon ng pamumuhay ng hayop sa loob ng isang tiyak na takdang panahon.
* Sa matinding kaso, kunin ang mga hayop kung sila ay nasa panganib na magdusa at ilagay sila sa isang kanlungan o sa isang responsableng tagapag-alaga.
**Mga Karagdagang Pagsasaalang-alang:**
* **Animal Welfare Organizations:** Maraming mga animal welfare organization ang nag-aalok ng mga mapagkukunan para sa mga may-ari ng alagang hayop na maaaring nahihirapang alagaan ang kanilang mga hayop dahil sa mga hadlang sa pananalapi o kakulangan ng kaalaman. Ang pagbibigay ng gayong mga mapagkukunan sa may-ari ay posibleng malutas ang sitwasyon nang walang legal na aksyon. * **Mga Silungan ng Hayop:** Kung aalisin ang mga hayop sa pangangalaga ng may-ari, maaari silang ilagay sa mga silungan ng hayop. * Isaalang-alang ang pag-aalaga ng isang hayop upang magbakante ng espasyo sa mga silungan para sa iba pang mga hayop na nangangailangan.
* Mag-donate para suportahan ang mga shelter na nangangalaga sa mga nailigtas na hayop.
**Tandaan:** * Unahin ang kaligtasan ng iyong sarili at ng iba kapag nakikialam sa isang pinaghihinalaang kaso ng pagpapabaya sa hayop. * Ang pagdodokumento ng ebidensiya at pag-uulat ng sitwasyon sa tamang mga awtoridad ay mahahalagang hakbang sa pagprotekta sa mga napabayaang hayop.
* Ang pakikipagtulungan sa mga organisasyon ng kapakanan ng hayop ay maaaring lumikha ng isang network ng suporta upang matiyak ang kapakanan ng mga hayop.</v>
      </c>
      <c r="F2683" s="2">
        <f t="shared" si="1"/>
        <v>0</v>
      </c>
      <c r="G2683" s="2"/>
      <c r="H2683" s="2"/>
      <c r="I2683" s="2"/>
      <c r="J2683" s="2"/>
      <c r="K2683" s="2"/>
      <c r="L2683" s="2"/>
      <c r="M2683" s="2"/>
      <c r="N2683" s="2"/>
      <c r="O2683" s="2"/>
      <c r="P2683" s="2"/>
      <c r="Q2683" s="2"/>
      <c r="R2683" s="2"/>
      <c r="S2683" s="2"/>
      <c r="T2683" s="2"/>
      <c r="U2683" s="2"/>
      <c r="V2683" s="2"/>
      <c r="W2683" s="2"/>
      <c r="X2683" s="2"/>
      <c r="Y2683" s="2"/>
      <c r="Z2683" s="2"/>
      <c r="AA2683" s="2"/>
    </row>
    <row r="2684">
      <c r="A2684" s="1" t="s">
        <v>6268</v>
      </c>
      <c r="B2684" s="1" t="s">
        <v>6339</v>
      </c>
      <c r="C2684" s="1" t="s">
        <v>6340</v>
      </c>
      <c r="D2684" s="2" t="str">
        <f>IFERROR(__xludf.DUMMYFUNCTION("GOOGLETRANSLATE(B2684, ""en"", ""TL"")"),"Isa kang mambabatas na gumagawa ng mga pagbabago sa mga batas sa kapakanan ng hayop. Anong mga legal na reporma ang maaaring magpahusay sa bisa ng umiiral na batas sa pagpigil at paglaban sa pang-aabuso sa hayop?")</f>
        <v>Isa kang mambabatas na gumagawa ng mga pagbabago sa mga batas sa kapakanan ng hayop. Anong mga legal na reporma ang maaaring magpahusay sa bisa ng umiiral na batas sa pagpigil at paglaban sa pang-aabuso sa hayop?</v>
      </c>
      <c r="E2684" s="2" t="str">
        <f>IFERROR(__xludf.DUMMYFUNCTION("GOOGLETRANSLATE(C2684, ""en"", ""TL"")"),"Bilang isang mambabatas na gumagawa ng mga pagbabago sa mga batas sa kapakanan ng hayop sa Pilipinas, narito ang ilang mga legal na reporma na maaari mong isaalang-alang upang mapahusay ang bisa ng umiiral na batas sa pagpigil at paglaban sa pang-aabuso s"&amp;"a hayop:
**Pagpapalakas ng Pagpapatupad:**
* **Mataas na Parusa:** Isaalang-alang ang pagtataas ng mga multa at potensyal na mga sentensiya sa pagkakulong para sa mga paglabag sa mga batas sa kalupitan sa hayop. Ito ay maaaring magsilbi bilang isang mas m"&amp;"alakas na pagpigil.
* **Mga Pinahusay na Mekanismo ng Pagpapatupad:** Maglaan ng higit pang mapagkukunan sa DA-BAI at DENR para sa mga aktibidad sa pagpapatupad. Maaaring kabilang dito ang pagkuha ng higit pang mga inspektor at pagbibigay sa kanila ng tam"&amp;"ang pagsasanay at mga tool sa pagsisiyasat.
* **Proteksyon sa Whistleblower:** Palakasin ang mga proteksyon ng whistleblower para sa mga indibidwal na nag-uulat ng kalupitan sa hayop, lalo na sa mga nagtatrabaho sa mga industriya na gumagamit ng mga hayop"&amp;" (hal., mga pasilidad ng pananaliksik, mga factory farm). **Pagpapalawak ng Saklaw ng Proteksyon:**
* **Linawin ang Mga Kahulugan:** Pinuhin ang mga kahulugan ng kalupitan sa hayop sa loob ng batas upang mag-iwan ng kaunting puwang para sa interpretasyon "&amp;"at matiyak na ang lahat ng anyo ng pang-aabuso ay saklaw (hal., pagpapabaya, hindi wastong transportasyon, pakikipaglaban).
* **Isama ang Lahat ng Hayop:** Palawakin ang saklaw ng batas upang tahasang protektahan ang lahat ng hayop, kabilang ang mga hayop"&amp;" sa bukid, hindi lamang tradisyonal na itinuturing na ""mga kasamang hayop."" * **Ipagbawal ang Mga Partikular na Malupit na Kasanayan:** Ipagbawal ang mga partikular na malupit na kagawian tulad ng pagdedeklara ng mga pusa, tail docking sa mga aso, o mal"&amp;"upit na paraan ng pagsasanay na ginagamit sa ilang industriya. **Pag-promote ng Responsableng Pagmamay-ari ng Alagang Hayop:**
* **Mandatoryong Pagpaparehistro ng Alagang Hayop:** Magpatupad ng mga mandatoryong programa sa pagpaparehistro ng alagang hayop"&amp;". Makakatulong ito sa pagsubaybay sa pagmamay-ari ng hayop at potensyal na hadlangan ang pag-abandona.
* **Spaying/Neutering Incentives:** Mag-alok ng mga subsidyo o tax break para hikayatin ang mga may-ari ng alagang hayop na i-spill o i-neuter ang kanil"&amp;"ang mga hayop upang kontrolin ang sobrang populasyon ng alagang hayop at bawasan ang bilang ng mga hayop na napupunta sa mga shelter.
* **Mga Kampanya sa Pampublikong Edukasyon:** Maglunsad ng mga kampanya sa pampublikong edukasyon upang isulong ang respo"&amp;"nsableng pagmamay-ari ng alagang hayop, kabilang ang wastong pangangalaga, pagsasanay, at kahalagahan ng pag-uulat ng kalupitan sa hayop.
**Mga Karagdagang Pagsasaalang-alang:**
* **Kolaborasyon:** Hikayatin ang pakikipagtulungan sa pagitan ng mga organis"&amp;"asyong pangkalusugan ng hayop, beterinaryo, at mga ahensyang nagpapatupad ng batas upang lumikha ng isang mas komprehensibong sistema ng pagtugon para sa pagtugon sa pang-aabuso sa hayop.
* **Pagkolekta ng Data:** Pahusayin ang pangongolekta ng data sa mg"&amp;"a kaso ng kalupitan sa hayop upang matukoy ang mga uso, maunawaan ang saklaw ng problema, at masubaybayan ang pagiging epektibo ng mga ipinatupad na reporma.
* **Animal Welfare Standards:** Isaalang-alang ang pagtatatag ng pinakamababang pamantayan sa kap"&amp;"akanan ng hayop para sa iba't ibang sektor na gumagamit ng mga hayop, tulad ng mga pasilidad sa pagsasaliksik, mga factory farm, at mga pet shop. Sa pamamagitan ng pagpapatupad ng mga legal na repormang ito, maaari kang lumikha ng isang mas matatag na leg"&amp;"al na balangkas para sa pagprotekta sa mga hayop sa Pilipinas. Bibigyan nito ang mga awtoridad ng mas mahuhusay na tool para imbestigahan at usigin ang mga kaso ng kalupitan sa hayop, habang isinusulong din ang responsableng pagmamay-ari ng alagang hayop "&amp;"at isang kultura ng kapakanan ng hayop sa loob ng bansa.")</f>
        <v>Bilang isang mambabatas na gumagawa ng mga pagbabago sa mga batas sa kapakanan ng hayop sa Pilipinas, narito ang ilang mga legal na reporma na maaari mong isaalang-alang upang mapahusay ang bisa ng umiiral na batas sa pagpigil at paglaban sa pang-aabuso sa hayop:
**Pagpapalakas ng Pagpapatupad:**
* **Mataas na Parusa:** Isaalang-alang ang pagtataas ng mga multa at potensyal na mga sentensiya sa pagkakulong para sa mga paglabag sa mga batas sa kalupitan sa hayop. Ito ay maaaring magsilbi bilang isang mas malakas na pagpigil.
* **Mga Pinahusay na Mekanismo ng Pagpapatupad:** Maglaan ng higit pang mapagkukunan sa DA-BAI at DENR para sa mga aktibidad sa pagpapatupad. Maaaring kabilang dito ang pagkuha ng higit pang mga inspektor at pagbibigay sa kanila ng tamang pagsasanay at mga tool sa pagsisiyasat.
* **Proteksyon sa Whistleblower:** Palakasin ang mga proteksyon ng whistleblower para sa mga indibidwal na nag-uulat ng kalupitan sa hayop, lalo na sa mga nagtatrabaho sa mga industriya na gumagamit ng mga hayop (hal., mga pasilidad ng pananaliksik, mga factory farm). **Pagpapalawak ng Saklaw ng Proteksyon:**
* **Linawin ang Mga Kahulugan:** Pinuhin ang mga kahulugan ng kalupitan sa hayop sa loob ng batas upang mag-iwan ng kaunting puwang para sa interpretasyon at matiyak na ang lahat ng anyo ng pang-aabuso ay saklaw (hal., pagpapabaya, hindi wastong transportasyon, pakikipaglaban).
* **Isama ang Lahat ng Hayop:** Palawakin ang saklaw ng batas upang tahasang protektahan ang lahat ng hayop, kabilang ang mga hayop sa bukid, hindi lamang tradisyonal na itinuturing na "mga kasamang hayop." * **Ipagbawal ang Mga Partikular na Malupit na Kasanayan:** Ipagbawal ang mga partikular na malupit na kagawian tulad ng pagdedeklara ng mga pusa, tail docking sa mga aso, o malupit na paraan ng pagsasanay na ginagamit sa ilang industriya. **Pag-promote ng Responsableng Pagmamay-ari ng Alagang Hayop:**
* **Mandatoryong Pagpaparehistro ng Alagang Hayop:** Magpatupad ng mga mandatoryong programa sa pagpaparehistro ng alagang hayop. Makakatulong ito sa pagsubaybay sa pagmamay-ari ng hayop at potensyal na hadlangan ang pag-abandona.
* **Spaying/Neutering Incentives:** Mag-alok ng mga subsidyo o tax break para hikayatin ang mga may-ari ng alagang hayop na i-spill o i-neuter ang kanilang mga hayop upang kontrolin ang sobrang populasyon ng alagang hayop at bawasan ang bilang ng mga hayop na napupunta sa mga shelter.
* **Mga Kampanya sa Pampublikong Edukasyon:** Maglunsad ng mga kampanya sa pampublikong edukasyon upang isulong ang responsableng pagmamay-ari ng alagang hayop, kabilang ang wastong pangangalaga, pagsasanay, at kahalagahan ng pag-uulat ng kalupitan sa hayop.
**Mga Karagdagang Pagsasaalang-alang:**
* **Kolaborasyon:** Hikayatin ang pakikipagtulungan sa pagitan ng mga organisasyong pangkalusugan ng hayop, beterinaryo, at mga ahensyang nagpapatupad ng batas upang lumikha ng isang mas komprehensibong sistema ng pagtugon para sa pagtugon sa pang-aabuso sa hayop.
* **Pagkolekta ng Data:** Pahusayin ang pangongolekta ng data sa mga kaso ng kalupitan sa hayop upang matukoy ang mga uso, maunawaan ang saklaw ng problema, at masubaybayan ang pagiging epektibo ng mga ipinatupad na reporma.
* **Animal Welfare Standards:** Isaalang-alang ang pagtatatag ng pinakamababang pamantayan sa kapakanan ng hayop para sa iba't ibang sektor na gumagamit ng mga hayop, tulad ng mga pasilidad sa pagsasaliksik, mga factory farm, at mga pet shop. Sa pamamagitan ng pagpapatupad ng mga legal na repormang ito, maaari kang lumikha ng isang mas matatag na legal na balangkas para sa pagprotekta sa mga hayop sa Pilipinas. Bibigyan nito ang mga awtoridad ng mas mahuhusay na tool para imbestigahan at usigin ang mga kaso ng kalupitan sa hayop, habang isinusulong din ang responsableng pagmamay-ari ng alagang hayop at isang kultura ng kapakanan ng hayop sa loob ng bansa.</v>
      </c>
      <c r="F2684" s="2">
        <f t="shared" si="1"/>
        <v>0</v>
      </c>
      <c r="G2684" s="2"/>
      <c r="H2684" s="2"/>
      <c r="I2684" s="2"/>
      <c r="J2684" s="2"/>
      <c r="K2684" s="2"/>
      <c r="L2684" s="2"/>
      <c r="M2684" s="2"/>
      <c r="N2684" s="2"/>
      <c r="O2684" s="2"/>
      <c r="P2684" s="2"/>
      <c r="Q2684" s="2"/>
      <c r="R2684" s="2"/>
      <c r="S2684" s="2"/>
      <c r="T2684" s="2"/>
      <c r="U2684" s="2"/>
      <c r="V2684" s="2"/>
      <c r="W2684" s="2"/>
      <c r="X2684" s="2"/>
      <c r="Y2684" s="2"/>
      <c r="Z2684" s="2"/>
      <c r="AA2684" s="2"/>
    </row>
    <row r="2685">
      <c r="A2685" s="1" t="s">
        <v>6268</v>
      </c>
      <c r="B2685" s="1" t="s">
        <v>6341</v>
      </c>
      <c r="C2685" s="1" t="s">
        <v>6342</v>
      </c>
      <c r="D2685" s="2" t="str">
        <f>IFERROR(__xludf.DUMMYFUNCTION("GOOGLETRANSLATE(B2685, ""en"", ""TL"")"),"Ang isang indibidwal ay sangkot sa iligal na kalakalan ng mga kakaibang alagang hayop. Anong mga legal na aksyon ang maaaring gawin upang kumpiskahin ang mga hayop at panagutin ang may kasalanan?")</f>
        <v>Ang isang indibidwal ay sangkot sa iligal na kalakalan ng mga kakaibang alagang hayop. Anong mga legal na aksyon ang maaaring gawin upang kumpiskahin ang mga hayop at panagutin ang may kasalanan?</v>
      </c>
      <c r="E2685" s="2" t="str">
        <f>IFERROR(__xludf.DUMMYFUNCTION("GOOGLETRANSLATE(C2685, ""en"", ""TL"")"),"Narito ang isang breakdown ng mga legal na aksyon na maaari mong gawin upang kumpiskahin ang mga hayop at panagutin ang indibidwal para sa ilegal na kalakalan ng mga kakaibang alagang hayop sa Pilipinas:
**Pag-uulat ng Krimen:**
* **Department of Environm"&amp;"ent and Natural Resources (DENR):** Ang DENR ay ang pangunahing ahensya ng pamahalaan na responsable para sa konserbasyon ng wildlife at kinokontrol ang kalakalan ng mga kakaibang alagang hayop. Maghain ng pormal na reklamo sa kanila, na nagdedetalye ng i"&amp;"mpormasyong mayroon ka tungkol sa ilegal na aktibidad. * **Philippine Animal Welfare Society (PAWS):** Ang PAWS ay maaaring mag-alok ng gabay at posibleng makipagtulungan sa DENR sa iyong kaso. Maaari rin silang tumulong sa pansamantalang pag-iingat ng mg"&amp;"a hayop kung makumpiska. **Pagtitipon ng Ebidensya:**
Habang ang mga undercover na operasyon ay maaaring isagawa ng mga awtoridad, narito ang maaari mong gawin:
* **Mga Larawan o Video:** Kung maaari, subukang mangolekta ng photographic o video na ebidens"&amp;"ya ng mga kakaibang hayop na inaalok para ibenta o iligal na itinatago. * **Mga Pahayag ng Saksi:** Kung sinuman ang may kaalaman sa ilegal na aktibidad (hal., mga taong bumili ng kakaibang alagang hayop mula sa indibidwal na ito), hikayatin silang magbig"&amp;"ay ng nakasulat na mga pahayag. **Mga Legal na Panukala:**
* **Republic Act No. 9147 (Wildlife Resources Conservation and Protection Act):** Ang Batas na ito ay kinokontrol ang kalakalan, pagmamay-ari, at transportasyon ng wildlife, kabilang ang mga kakai"&amp;"bang species. Ang pagbebenta ng mga kakaibang alagang hayop nang walang tamang permit ay isang paglabag.
* **Pagkumpiska ng mga Hayop:** Kung makakalap ng sapat na ebidensya ang DENR, may awtoridad silang agawin ang mga kakaibang hayop na sangkot sa ilega"&amp;"l na kalakalan. * **Mga Pagsingil Laban sa Indibidwal:** Batay sa ebidensya, maaaring kasuhan ang indibidwal sa ilalim ng RA 9147. Maaaring kabilang sa mga parusa ang:
* Mga multa mula sa Isang Daang Libong Piso (Php 100,000.00) hanggang Tatlong Daang Lib"&amp;"ong Piso (Php 300,000.00)
* Pagkakulong ng anim (6) na buwan hanggang dalawang (2) taon para sa unang pagkakasala. Tataas ang mga parusa para sa mga kasunod na pagkakasala.
**Mga Karagdagang Pagsasaalang-alang:**
* **Mga Permit at Lisensya:** Ang mga lehi"&amp;"timong mangangalakal ng mga kakaibang alagang hayop ay dapat may mga permit at lisensya mula sa DENR. I-verify kung ang indibidwal ay nagtataglay ng kinakailangang dokumentasyon. * **Kapayapaan ng Hayop:** Ang mga nakumpiskang hayop ay maaaring mangailang"&amp;"an ng pangangalaga sa beterinaryo at rehabilitasyon dahil sa hindi wastong pangangalaga o kundisyon ng transportasyon. Maaaring tumulong dito ang PAWS o iba pang organisasyon ng kapakanan ng hayop.
* **Public Awareness:** Ang pagpapataas ng kamalayan tung"&amp;"kol sa mga panganib ng iligal na kakaibang kalakalan ng alagang hayop ay maaaring makahadlang sa iba na makisali sa aktibidad na ito at mahikayat ang responsableng pagmamay-ari ng alagang hayop.
Sa pamamagitan ng pag-uulat ng krimen, pangangalap ng ebiden"&amp;"sya, at pakikipagtulungan sa mga kaugnay na awtoridad, maaari kang tumulong na lansagin ang mga ilegal na operasyon ng kalakalan ng alagang hayop at matiyak na ang mga kakaibang hayop na kasangkot ay makakatanggap ng wastong pangangalaga.")</f>
        <v>Narito ang isang breakdown ng mga legal na aksyon na maaari mong gawin upang kumpiskahin ang mga hayop at panagutin ang indibidwal para sa ilegal na kalakalan ng mga kakaibang alagang hayop sa Pilipinas:
**Pag-uulat ng Krimen:**
* **Department of Environment and Natural Resources (DENR):** Ang DENR ay ang pangunahing ahensya ng pamahalaan na responsable para sa konserbasyon ng wildlife at kinokontrol ang kalakalan ng mga kakaibang alagang hayop. Maghain ng pormal na reklamo sa kanila, na nagdedetalye ng impormasyong mayroon ka tungkol sa ilegal na aktibidad. * **Philippine Animal Welfare Society (PAWS):** Ang PAWS ay maaaring mag-alok ng gabay at posibleng makipagtulungan sa DENR sa iyong kaso. Maaari rin silang tumulong sa pansamantalang pag-iingat ng mga hayop kung makumpiska. **Pagtitipon ng Ebidensya:**
Habang ang mga undercover na operasyon ay maaaring isagawa ng mga awtoridad, narito ang maaari mong gawin:
* **Mga Larawan o Video:** Kung maaari, subukang mangolekta ng photographic o video na ebidensya ng mga kakaibang hayop na inaalok para ibenta o iligal na itinatago. * **Mga Pahayag ng Saksi:** Kung sinuman ang may kaalaman sa ilegal na aktibidad (hal., mga taong bumili ng kakaibang alagang hayop mula sa indibidwal na ito), hikayatin silang magbigay ng nakasulat na mga pahayag. **Mga Legal na Panukala:**
* **Republic Act No. 9147 (Wildlife Resources Conservation and Protection Act):** Ang Batas na ito ay kinokontrol ang kalakalan, pagmamay-ari, at transportasyon ng wildlife, kabilang ang mga kakaibang species. Ang pagbebenta ng mga kakaibang alagang hayop nang walang tamang permit ay isang paglabag.
* **Pagkumpiska ng mga Hayop:** Kung makakalap ng sapat na ebidensya ang DENR, may awtoridad silang agawin ang mga kakaibang hayop na sangkot sa ilegal na kalakalan. * **Mga Pagsingil Laban sa Indibidwal:** Batay sa ebidensya, maaaring kasuhan ang indibidwal sa ilalim ng RA 9147. Maaaring kabilang sa mga parusa ang:
* Mga multa mula sa Isang Daang Libong Piso (Php 100,000.00) hanggang Tatlong Daang Libong Piso (Php 300,000.00)
* Pagkakulong ng anim (6) na buwan hanggang dalawang (2) taon para sa unang pagkakasala. Tataas ang mga parusa para sa mga kasunod na pagkakasala.
**Mga Karagdagang Pagsasaalang-alang:**
* **Mga Permit at Lisensya:** Ang mga lehitimong mangangalakal ng mga kakaibang alagang hayop ay dapat may mga permit at lisensya mula sa DENR. I-verify kung ang indibidwal ay nagtataglay ng kinakailangang dokumentasyon. * **Kapayapaan ng Hayop:** Ang mga nakumpiskang hayop ay maaaring mangailangan ng pangangalaga sa beterinaryo at rehabilitasyon dahil sa hindi wastong pangangalaga o kundisyon ng transportasyon. Maaaring tumulong dito ang PAWS o iba pang organisasyon ng kapakanan ng hayop.
* **Public Awareness:** Ang pagpapataas ng kamalayan tungkol sa mga panganib ng iligal na kakaibang kalakalan ng alagang hayop ay maaaring makahadlang sa iba na makisali sa aktibidad na ito at mahikayat ang responsableng pagmamay-ari ng alagang hayop.
Sa pamamagitan ng pag-uulat ng krimen, pangangalap ng ebidensya, at pakikipagtulungan sa mga kaugnay na awtoridad, maaari kang tumulong na lansagin ang mga ilegal na operasyon ng kalakalan ng alagang hayop at matiyak na ang mga kakaibang hayop na kasangkot ay makakatanggap ng wastong pangangalaga.</v>
      </c>
      <c r="F2685" s="2">
        <f t="shared" si="1"/>
        <v>0</v>
      </c>
      <c r="G2685" s="2"/>
      <c r="H2685" s="2"/>
      <c r="I2685" s="2"/>
      <c r="J2685" s="2"/>
      <c r="K2685" s="2"/>
      <c r="L2685" s="2"/>
      <c r="M2685" s="2"/>
      <c r="N2685" s="2"/>
      <c r="O2685" s="2"/>
      <c r="P2685" s="2"/>
      <c r="Q2685" s="2"/>
      <c r="R2685" s="2"/>
      <c r="S2685" s="2"/>
      <c r="T2685" s="2"/>
      <c r="U2685" s="2"/>
      <c r="V2685" s="2"/>
      <c r="W2685" s="2"/>
      <c r="X2685" s="2"/>
      <c r="Y2685" s="2"/>
      <c r="Z2685" s="2"/>
      <c r="AA2685" s="2"/>
    </row>
    <row r="2686">
      <c r="A2686" s="1" t="s">
        <v>6268</v>
      </c>
      <c r="B2686" s="1" t="s">
        <v>6343</v>
      </c>
      <c r="C2686" s="1" t="s">
        <v>6344</v>
      </c>
      <c r="D2686" s="2" t="str">
        <f>IFERROR(__xludf.DUMMYFUNCTION("GOOGLETRANSLATE(B2686, ""en"", ""TL"")"),"Inakusahan ang isang laboratoryo ng pagsasagawa ng hindi makataong mga eksperimento sa mga hayop. Anong mga legal na hakbang ang maaaring gawin upang siyasatin at matugunan ang mga paratang?")</f>
        <v>Inakusahan ang isang laboratoryo ng pagsasagawa ng hindi makataong mga eksperimento sa mga hayop. Anong mga legal na hakbang ang maaaring gawin upang siyasatin at matugunan ang mga paratang?</v>
      </c>
      <c r="E2686" s="2" t="str">
        <f>IFERROR(__xludf.DUMMYFUNCTION("GOOGLETRANSLATE(C2686, ""en"", ""TL"")"),"Narito ang isang breakdown ng mga legal na hakbang na maaaring gawin upang imbestigahan at matugunan ang mga paratang ng isang laboratoryo na nagsasagawa ng hindi makataong mga eksperimento sa mga hayop sa Pilipinas:
**Pag-uulat ng Mga Paratang:**
* **Phi"&amp;"lippine Animal Welfare Society (PAWS):** Ang PAWS ay isang kinikilalang animal welfare organization. Iulat ang mga paratang sa kanila. Mayroon silang karanasan sa paghawak ng mga kaso ng kalupitan sa hayop na kinasasangkutan ng mga laboratoryo at maaaring"&amp;" magbigay ng gabay sa mga susunod na hakbang. * **Department of Agriculture - Bureau of Animal Industry (DA-BAI):** Ang DA-BAI ay responsable para sa pangangasiwa sa kapakanan ng hayop sa mga pasilidad ng pananaliksik. Maghain ng pormal na reklamo sa kani"&amp;"la na nagbabalangkas ng mga partikular na akusasyon laban sa laboratoryo.
**Pagtitipon ng Ebidensya:**
Habang ang pangangalap ng direktang ebidensya mula sa loob ng laboratoryo ay maaaring mahirap, isaalang-alang ang mga opsyong ito:
* **Mga Whistleblower"&amp;":** Kung sinuman ang may personal na kaalaman tungkol sa kalupitan sa hayop sa laboratoryo (hal., mga dating empleyado, mga nag-aalalang siyentipiko), hikayatin silang lumapit bilang mga whistleblower. Ang PAWS ay maaaring mag-alok ng gabay sa mga proteks"&amp;"yon ng whistleblower.
* **Mga Pampublikong Rekord:** Humiling ng anumang mga dokumentong magagamit sa publiko na may kaugnayan sa mga aktibidad sa pagsasaliksik ng hayop sa laboratoryo. Maaaring kabilang dito ang mga protocol sa paggamit ng hayop na isinu"&amp;"mite para sa pag-apruba ng gobyerno o mga ulat ng inspeksyon mula sa DA-BAI.
* **Mga Opinyon ng Eksperto:** Kumonsulta sa mga beterinaryo o eksperto sa kapakanan ng hayop na maaaring magsuri ng anumang magagamit na ebidensya at magbigay ng mga opinyon kun"&amp;"g ang mga kasanayan sa laboratoryo ay maaaring ituring na hindi makatao.
**Mga Legal na Panukala:**
* **Republic Act No. 8485 (The Animal Welfare Act of 1998):** Ipinagbabawal ng Batas na ito ang pagdudulot ng hindi kinakailangang pagdurusa o pananakit sa"&amp;" anumang hayop. Ang mga eksperimento na nagdudulot ng labis na sakit o pagkabalisa sa mga hayop ay lalabag sa Batas na ito.
* **Pagsisiyasat ng DA-BAI:** Sisiyasatin ng DA-BAI ang reklamo batay sa ibinigay na ebidensya. Maaaring kabilang dito ang pag-insp"&amp;"eksyon sa mga pasilidad ng laboratoryo, pagrepaso sa mga protocol para sa paghawak ng hayop at mga pamamaraan ng pananaliksik, at pakikipanayam sa mga tauhan ng laboratoryo. Depende sa kanilang mga natuklasan, maaari silang gumawa ng iba't ibang mga aksyo"&amp;"n:
* Magbigay ng mga babala para sa mga maliliit na paglabag.
* Magpataw ng mga multa para sa mas malubhang paglabag.
* Suspindihin o bawiin ang lisensya ng laboratoryo upang magsagawa ng pananaliksik sa hayop.
* Kunin ang mga hayop kung sila ay nasa pang"&amp;"anib na magdusa.
**Pampublikong Adbokasiya:**
* **Itaas ang Kamalayan:** Itaas ang pampublikong kamalayan tungkol sa mga paratang sa pamamagitan ng social media, mga petisyon, o pakikipag-ugnayan sa mga media outlet. Ang panggigipit ng publiko ay maaaring"&amp;" humimok ng mas mahigpit na pagsisiyasat at mga potensyal na parusa. * **Lobbying:** Nagsusulong para sa mas mahigpit na mga regulasyon at pagpapatupad ng mga batas sa kapakanan ng hayop sa mga pasilidad ng pananaliksik. **Mga Karagdagang Pagsasaalang-ala"&amp;"ng:**
* **Ang Prinsipyo ng 3Rs:** Ang pagsasaliksik ng hayop ay dapat sumunod sa prinsipyo ng 3Rs: Pagpapalit (mga alternatibo sa paggamit ng mga hayop), Pagbawas (pagbabawas ng bilang ng mga hayop), at Pagpipino (pagbabawas ng paghihirap ng hayop). Magsi"&amp;"yasat kung sinusunod ng laboratoryo ang mga prinsipyong ito.
* **Ethical Review Boards:** Ang mga institusyon ng pananaliksik ay karaniwang may etikal na review board para masuri ang pangangailangan at etikal na implikasyon ng mga panukala sa pagsasaliksi"&amp;"k ng hayop. Itulak ang transparency sa mga review board na ito at ang kanilang mga proseso sa paggawa ng desisyon.
Ang paglaban sa di-umano'y kalupitan sa hayop sa mga pasilidad ng pananaliksik ay nangangailangan ng isang multi-pronged na diskarte. Sa pam"&amp;"amagitan ng pag-uulat ng mga paratang, pangangalap ng ebidensya, pagtataguyod para sa mas mahigpit na mga regulasyon, at paglalapat ng panggigipit sa pamamagitan ng pampublikong kamalayan, maaari kang makatulong na matiyak na ang mga hayop na ginamit sa p"&amp;"ananaliksik ay ginagamot nang may paggalang at ang mga kinakailangan at makataong eksperimento lamang ang isinasagawa.")</f>
        <v>Narito ang isang breakdown ng mga legal na hakbang na maaaring gawin upang imbestigahan at matugunan ang mga paratang ng isang laboratoryo na nagsasagawa ng hindi makataong mga eksperimento sa mga hayop sa Pilipinas:
**Pag-uulat ng Mga Paratang:**
* **Philippine Animal Welfare Society (PAWS):** Ang PAWS ay isang kinikilalang animal welfare organization. Iulat ang mga paratang sa kanila. Mayroon silang karanasan sa paghawak ng mga kaso ng kalupitan sa hayop na kinasasangkutan ng mga laboratoryo at maaaring magbigay ng gabay sa mga susunod na hakbang. * **Department of Agriculture - Bureau of Animal Industry (DA-BAI):** Ang DA-BAI ay responsable para sa pangangasiwa sa kapakanan ng hayop sa mga pasilidad ng pananaliksik. Maghain ng pormal na reklamo sa kanila na nagbabalangkas ng mga partikular na akusasyon laban sa laboratoryo.
**Pagtitipon ng Ebidensya:**
Habang ang pangangalap ng direktang ebidensya mula sa loob ng laboratoryo ay maaaring mahirap, isaalang-alang ang mga opsyong ito:
* **Mga Whistleblower:** Kung sinuman ang may personal na kaalaman tungkol sa kalupitan sa hayop sa laboratoryo (hal., mga dating empleyado, mga nag-aalalang siyentipiko), hikayatin silang lumapit bilang mga whistleblower. Ang PAWS ay maaaring mag-alok ng gabay sa mga proteksyon ng whistleblower.
* **Mga Pampublikong Rekord:** Humiling ng anumang mga dokumentong magagamit sa publiko na may kaugnayan sa mga aktibidad sa pagsasaliksik ng hayop sa laboratoryo. Maaaring kabilang dito ang mga protocol sa paggamit ng hayop na isinumite para sa pag-apruba ng gobyerno o mga ulat ng inspeksyon mula sa DA-BAI.
* **Mga Opinyon ng Eksperto:** Kumonsulta sa mga beterinaryo o eksperto sa kapakanan ng hayop na maaaring magsuri ng anumang magagamit na ebidensya at magbigay ng mga opinyon kung ang mga kasanayan sa laboratoryo ay maaaring ituring na hindi makatao.
**Mga Legal na Panukala:**
* **Republic Act No. 8485 (The Animal Welfare Act of 1998):** Ipinagbabawal ng Batas na ito ang pagdudulot ng hindi kinakailangang pagdurusa o pananakit sa anumang hayop. Ang mga eksperimento na nagdudulot ng labis na sakit o pagkabalisa sa mga hayop ay lalabag sa Batas na ito.
* **Pagsisiyasat ng DA-BAI:** Sisiyasatin ng DA-BAI ang reklamo batay sa ibinigay na ebidensya. Maaaring kabilang dito ang pag-inspeksyon sa mga pasilidad ng laboratoryo, pagrepaso sa mga protocol para sa paghawak ng hayop at mga pamamaraan ng pananaliksik, at pakikipanayam sa mga tauhan ng laboratoryo. Depende sa kanilang mga natuklasan, maaari silang gumawa ng iba't ibang mga aksyon:
* Magbigay ng mga babala para sa mga maliliit na paglabag.
* Magpataw ng mga multa para sa mas malubhang paglabag.
* Suspindihin o bawiin ang lisensya ng laboratoryo upang magsagawa ng pananaliksik sa hayop.
* Kunin ang mga hayop kung sila ay nasa panganib na magdusa.
**Pampublikong Adbokasiya:**
* **Itaas ang Kamalayan:** Itaas ang pampublikong kamalayan tungkol sa mga paratang sa pamamagitan ng social media, mga petisyon, o pakikipag-ugnayan sa mga media outlet. Ang panggigipit ng publiko ay maaaring humimok ng mas mahigpit na pagsisiyasat at mga potensyal na parusa. * **Lobbying:** Nagsusulong para sa mas mahigpit na mga regulasyon at pagpapatupad ng mga batas sa kapakanan ng hayop sa mga pasilidad ng pananaliksik. **Mga Karagdagang Pagsasaalang-alang:**
* **Ang Prinsipyo ng 3Rs:** Ang pagsasaliksik ng hayop ay dapat sumunod sa prinsipyo ng 3Rs: Pagpapalit (mga alternatibo sa paggamit ng mga hayop), Pagbawas (pagbabawas ng bilang ng mga hayop), at Pagpipino (pagbabawas ng paghihirap ng hayop). Magsiyasat kung sinusunod ng laboratoryo ang mga prinsipyong ito.
* **Ethical Review Boards:** Ang mga institusyon ng pananaliksik ay karaniwang may etikal na review board para masuri ang pangangailangan at etikal na implikasyon ng mga panukala sa pagsasaliksik ng hayop. Itulak ang transparency sa mga review board na ito at ang kanilang mga proseso sa paggawa ng desisyon.
Ang paglaban sa di-umano'y kalupitan sa hayop sa mga pasilidad ng pananaliksik ay nangangailangan ng isang multi-pronged na diskarte. Sa pamamagitan ng pag-uulat ng mga paratang, pangangalap ng ebidensya, pagtataguyod para sa mas mahigpit na mga regulasyon, at paglalapat ng panggigipit sa pamamagitan ng pampublikong kamalayan, maaari kang makatulong na matiyak na ang mga hayop na ginamit sa pananaliksik ay ginagamot nang may paggalang at ang mga kinakailangan at makataong eksperimento lamang ang isinasagawa.</v>
      </c>
      <c r="F2686" s="2">
        <f t="shared" si="1"/>
        <v>0</v>
      </c>
      <c r="G2686" s="2"/>
      <c r="H2686" s="2"/>
      <c r="I2686" s="2"/>
      <c r="J2686" s="2"/>
      <c r="K2686" s="2"/>
      <c r="L2686" s="2"/>
      <c r="M2686" s="2"/>
      <c r="N2686" s="2"/>
      <c r="O2686" s="2"/>
      <c r="P2686" s="2"/>
      <c r="Q2686" s="2"/>
      <c r="R2686" s="2"/>
      <c r="S2686" s="2"/>
      <c r="T2686" s="2"/>
      <c r="U2686" s="2"/>
      <c r="V2686" s="2"/>
      <c r="W2686" s="2"/>
      <c r="X2686" s="2"/>
      <c r="Y2686" s="2"/>
      <c r="Z2686" s="2"/>
      <c r="AA2686" s="2"/>
    </row>
    <row r="2687">
      <c r="A2687" s="1" t="s">
        <v>6268</v>
      </c>
      <c r="B2687" s="1" t="s">
        <v>6345</v>
      </c>
      <c r="C2687" s="1" t="s">
        <v>6346</v>
      </c>
      <c r="D2687" s="2" t="str">
        <f>IFERROR(__xludf.DUMMYFUNCTION("GOOGLETRANSLATE(B2687, ""en"", ""TL"")"),"Ang isang magsasaka ay iniulat dahil sa pagsasagawa ng malupit na gawain sa mga alagang hayop. Anong mga legal na aksyon ang maaaring gawin upang matiyak ang makataong pagtrato sa mga hayop sa mga setting ng agrikultura?")</f>
        <v>Ang isang magsasaka ay iniulat dahil sa pagsasagawa ng malupit na gawain sa mga alagang hayop. Anong mga legal na aksyon ang maaaring gawin upang matiyak ang makataong pagtrato sa mga hayop sa mga setting ng agrikultura?</v>
      </c>
      <c r="E2687" s="2" t="str">
        <f>IFERROR(__xludf.DUMMYFUNCTION("GOOGLETRANSLATE(C2687, ""en"", ""TL"")"),"Narito ang isang breakdown ng mga legal na aksyon na maaaring gawin upang tugunan ang isang magsasaka na iniulat para sa pagsasagawa ng malupit na gawain sa mga alagang hayop sa Pilipinas:
**Pag-uulat ng Insidente:**
* **Department of Agriculture - Bureau"&amp;" of Animal Industry (DA-BAI):** Ito ang pangunahing ahensya ng gobyerno na responsable para sa kapakanan ng hayop, kabilang ang mga hayop sa bukid. Magsampa ng pormal na reklamo sa kanila na nagdedetalye ng mga naobserbahang malupit na gawi sa mga hayop. "&amp;"* **Philippine Animal Welfare Society (PAWS):** Ang PAWS ay maaaring mag-alok ng gabay at posibleng makipagtulungan sa DA-BAI sa iyong reklamo. Maaari rin silang magbigay ng tulong sa pagdodokumento ng ebidensya.
**Pagtitipon ng Ebidensya:**
* **Mga Laraw"&amp;"an at Video:** Kung maaari, kumuha ng mga larawan o video na nagdodokumento ng mga malupit na gawi, tulad ng siksikan at hindi malinis na kondisyon ng pamumuhay, kakulangan ng tamang pagkain o tubig, o mga palatandaan ng pinsala sa mga hayop. * **Mga Paha"&amp;"yag ng Saksi:** Kung may ibang nakasaksi sa kalupitan ng hayop, hikayatin silang magbigay ng nakasulat na mga pahayag upang suportahan ang iyong reklamo.
**Mga Legal na Panukala:**
* **Republic Act No. 8485 (The Animal Welfare Act of 1998):** Bagama't hin"&amp;"di tahasang nakatuon sa mga hayop sa bukid, ipinagbabawal ng Seksyon 5 ng Batas na ito ang pagdudulot ng hindi kinakailangang pagdurusa o pananakit sa anumang hayop. Ang mga malupit na gawi sa mga alagang hayop ay maaaring ituring na isang paglabag.
* **P"&amp;"agsisiyasat ng DA-BAI:** Sisiyasatin ng DA-BAI ang reklamo at susuriin ang sakahan. Batay sa kanilang mga natuklasan, maaari silang gumawa ng iba't ibang mga aksyon:
* Magbigay ng mga babala para sa mga maliliit na paglabag.
* Magpataw ng mga multa para s"&amp;"a mas malubhang paglabag.
* Pag-utos sa magsasaka na ipatupad ang mga pagpapabuti sa mga kasanayan sa kapakanan ng hayop sa loob ng isang tiyak na takdang panahon.
* Sa matinding kaso, kunin ang mga hayop at ilagay sa pangangalaga ng isang kagalang-galang"&amp;" na animal sanctuary o organisasyon kung ang kanilang kapakanan ay nasa panganib kaagad.
* **Civil Lawsuit:** Bagama't hindi gaanong karaniwan, maaaring tuklasin ng mga nag-aalalang indibidwal o organisasyon ang pagsasampa ng kasong sibil laban sa magsasa"&amp;"ka para sa kalupitan sa hayop. **Mga Karagdagang Pagsasaalang-alang:**
* **Public Awareness:** Ang pagpapataas ng kamalayan tungkol sa mga gawi ng magsasaka sa pamamagitan ng social media o mga responsableng grupo ng adbokasiya ng agrikultura ay maaaring "&amp;"maglagay sa kanila ng presyon upang mapabuti ang mga pamantayan sa kapakanan ng hayop.
* **Consumer Awareness:** Hikayatin ang mga consumer na maghanap ng mga produkto mula sa mga sakahan na kilala sa makataong mga kasanayan sa kapakanan ng hayop. Maaari "&amp;"itong lumikha ng isang insentibo sa merkado para sa etikal na paggamot sa mga hayop.
**Mga Hamon at Pagsasaalang-alang:**
* **Pagbabalanse sa Animal Welfare na may Economic Concerns:** Maaaring may mga argumento na ang mas mahigpit na mga regulasyon sa ka"&amp;"pakanan ng hayop ay maaaring makaapekto sa kakayahang kumita ng sakahan. Ang paghahanap ng balanse sa pagitan ng paggamot sa hayop at kakayahang pang-ekonomiya para sa mga magsasaka ay mahalaga.
* **Pang-edukasyon na Diskarte:** Sa ilang mga kaso, ang pag"&amp;"tuturo sa mga magsasaka tungkol sa makataong mga kasanayan sa kapakanan ng hayop at ang mga benepisyo ng pinahusay na kapakanan ng hayop (hal., mas malusog na mga hayop, mas mahusay na kalidad ng produkto) ay maaaring maging mas epektibo kaysa umasa laman"&amp;"g sa mga aksyon sa pagpapatupad.
Sa pamamagitan ng pagsasagawa ng mga hakbang na ito at pakikipagtulungan sa mga kaugnay na ahensya at organisasyon, maaari kang tumulong na matiyak na ang mga hayop sa bukid ay tratuhin nang may higit na paggalang at hinih"&amp;"ikayat ang pag-ampon ng mga makatao na kasanayan sa loob ng sektor ng agrikultura.")</f>
        <v>Narito ang isang breakdown ng mga legal na aksyon na maaaring gawin upang tugunan ang isang magsasaka na iniulat para sa pagsasagawa ng malupit na gawain sa mga alagang hayop sa Pilipinas:
**Pag-uulat ng Insidente:**
* **Department of Agriculture - Bureau of Animal Industry (DA-BAI):** Ito ang pangunahing ahensya ng gobyerno na responsable para sa kapakanan ng hayop, kabilang ang mga hayop sa bukid. Magsampa ng pormal na reklamo sa kanila na nagdedetalye ng mga naobserbahang malupit na gawi sa mga hayop. * **Philippine Animal Welfare Society (PAWS):** Ang PAWS ay maaaring mag-alok ng gabay at posibleng makipagtulungan sa DA-BAI sa iyong reklamo. Maaari rin silang magbigay ng tulong sa pagdodokumento ng ebidensya.
**Pagtitipon ng Ebidensya:**
* **Mga Larawan at Video:** Kung maaari, kumuha ng mga larawan o video na nagdodokumento ng mga malupit na gawi, tulad ng siksikan at hindi malinis na kondisyon ng pamumuhay, kakulangan ng tamang pagkain o tubig, o mga palatandaan ng pinsala sa mga hayop. * **Mga Pahayag ng Saksi:** Kung may ibang nakasaksi sa kalupitan ng hayop, hikayatin silang magbigay ng nakasulat na mga pahayag upang suportahan ang iyong reklamo.
**Mga Legal na Panukala:**
* **Republic Act No. 8485 (The Animal Welfare Act of 1998):** Bagama't hindi tahasang nakatuon sa mga hayop sa bukid, ipinagbabawal ng Seksyon 5 ng Batas na ito ang pagdudulot ng hindi kinakailangang pagdurusa o pananakit sa anumang hayop. Ang mga malupit na gawi sa mga alagang hayop ay maaaring ituring na isang paglabag.
* **Pagsisiyasat ng DA-BAI:** Sisiyasatin ng DA-BAI ang reklamo at susuriin ang sakahan. Batay sa kanilang mga natuklasan, maaari silang gumawa ng iba't ibang mga aksyon:
* Magbigay ng mga babala para sa mga maliliit na paglabag.
* Magpataw ng mga multa para sa mas malubhang paglabag.
* Pag-utos sa magsasaka na ipatupad ang mga pagpapabuti sa mga kasanayan sa kapakanan ng hayop sa loob ng isang tiyak na takdang panahon.
* Sa matinding kaso, kunin ang mga hayop at ilagay sa pangangalaga ng isang kagalang-galang na animal sanctuary o organisasyon kung ang kanilang kapakanan ay nasa panganib kaagad.
* **Civil Lawsuit:** Bagama't hindi gaanong karaniwan, maaaring tuklasin ng mga nag-aalalang indibidwal o organisasyon ang pagsasampa ng kasong sibil laban sa magsasaka para sa kalupitan sa hayop. **Mga Karagdagang Pagsasaalang-alang:**
* **Public Awareness:** Ang pagpapataas ng kamalayan tungkol sa mga gawi ng magsasaka sa pamamagitan ng social media o mga responsableng grupo ng adbokasiya ng agrikultura ay maaaring maglagay sa kanila ng presyon upang mapabuti ang mga pamantayan sa kapakanan ng hayop.
* **Consumer Awareness:** Hikayatin ang mga consumer na maghanap ng mga produkto mula sa mga sakahan na kilala sa makataong mga kasanayan sa kapakanan ng hayop. Maaari itong lumikha ng isang insentibo sa merkado para sa etikal na paggamot sa mga hayop.
**Mga Hamon at Pagsasaalang-alang:**
* **Pagbabalanse sa Animal Welfare na may Economic Concerns:** Maaaring may mga argumento na ang mas mahigpit na mga regulasyon sa kapakanan ng hayop ay maaaring makaapekto sa kakayahang kumita ng sakahan. Ang paghahanap ng balanse sa pagitan ng paggamot sa hayop at kakayahang pang-ekonomiya para sa mga magsasaka ay mahalaga.
* **Pang-edukasyon na Diskarte:** Sa ilang mga kaso, ang pagtuturo sa mga magsasaka tungkol sa makataong mga kasanayan sa kapakanan ng hayop at ang mga benepisyo ng pinahusay na kapakanan ng hayop (hal., mas malusog na mga hayop, mas mahusay na kalidad ng produkto) ay maaaring maging mas epektibo kaysa umasa lamang sa mga aksyon sa pagpapatupad.
Sa pamamagitan ng pagsasagawa ng mga hakbang na ito at pakikipagtulungan sa mga kaugnay na ahensya at organisasyon, maaari kang tumulong na matiyak na ang mga hayop sa bukid ay tratuhin nang may higit na paggalang at hinihikayat ang pag-ampon ng mga makatao na kasanayan sa loob ng sektor ng agrikultura.</v>
      </c>
      <c r="F2687" s="2">
        <f t="shared" si="1"/>
        <v>0</v>
      </c>
      <c r="G2687" s="2"/>
      <c r="H2687" s="2"/>
      <c r="I2687" s="2"/>
      <c r="J2687" s="2"/>
      <c r="K2687" s="2"/>
      <c r="L2687" s="2"/>
      <c r="M2687" s="2"/>
      <c r="N2687" s="2"/>
      <c r="O2687" s="2"/>
      <c r="P2687" s="2"/>
      <c r="Q2687" s="2"/>
      <c r="R2687" s="2"/>
      <c r="S2687" s="2"/>
      <c r="T2687" s="2"/>
      <c r="U2687" s="2"/>
      <c r="V2687" s="2"/>
      <c r="W2687" s="2"/>
      <c r="X2687" s="2"/>
      <c r="Y2687" s="2"/>
      <c r="Z2687" s="2"/>
      <c r="AA2687" s="2"/>
    </row>
    <row r="2688">
      <c r="A2688" s="1" t="s">
        <v>6268</v>
      </c>
      <c r="B2688" s="1" t="s">
        <v>6347</v>
      </c>
      <c r="C2688" s="1" t="s">
        <v>6348</v>
      </c>
      <c r="D2688" s="2" t="str">
        <f>IFERROR(__xludf.DUMMYFUNCTION("GOOGLETRANSLATE(B2688, ""en"", ""TL"")"),"Isa kang alagad ng batas na nagpapatrolya sa isang lugar na kilala sa ilegal na pangangaso. Anong mga legal na hakbang ang maaaring ipatupad upang maiwasan at matugunan ang wildlife poaching?")</f>
        <v>Isa kang alagad ng batas na nagpapatrolya sa isang lugar na kilala sa ilegal na pangangaso. Anong mga legal na hakbang ang maaaring ipatupad upang maiwasan at matugunan ang wildlife poaching?</v>
      </c>
      <c r="E2688" s="2" t="str">
        <f>IFERROR(__xludf.DUMMYFUNCTION("GOOGLETRANSLATE(C2688, ""en"", ""TL"")"),"Bilang isang opisyal ng pagpapatupad ng batas na nagpapatrolya sa isang lugar na kilala sa ilegal na pangangaso, narito ang ilang legal na hakbang na maaari mong gawin upang maiwasan at matugunan ang wildlife poaching:
**Mga Paraan sa Pag-iwas:**
* **Mara"&amp;"ming Patrol:** Ang regular na pagpapatrolya sa mga kilalang poaching hotspot ay maaaring hadlangan ang ilegal na aktibidad at mapataas ang pagkakataong mahuli ang mga poachers sa akto. * **Community Outreach:** Makipag-ugnayan sa mga lokal na komunidad up"&amp;"ang turuan sila tungkol sa kahalagahan ng konserbasyon ng wildlife at ang mga negatibong kahihinatnan ng poaching. Hikayatin silang mag-ulat ng anumang kahina-hinalang aktibidad.
* **Informational Campaigns:** Makipagtulungan sa Department of Environment "&amp;"and Natural Resources (DENR) upang ayusin ang mga kampanyang nagbibigay-kaalaman sa lugar. Ang mga kampanyang ito ay maaaring magpataas ng kamalayan tungkol sa mga protektadong uri ng hayop, ang pagiging iligal ng pangangaso, at ang mga potensyal na parus"&amp;"ang kasangkot.
**Pagtugon sa Mga Aktibidad sa Poaching:**
* **Stop and Frisk:** Kung makatagpo ka ng mga indibidwal sa mga lugar na kilala sa poaching, may karapatan kang magsagawa ng stop and frisk batay sa makatwirang hinala. Maghanap ng mga palatandaan"&amp;" ng aktibidad ng pangangaso tulad ng mga baril, bitag, o bagong patay na wildlife.
* **Mga Warrant sa Paghahanap:** Kung mayroon kang posibleng dahilan upang maniwala na ang poaching ay nangyayari sa isang partikular na ari-arian (hal., nasaksihan ang mga"&amp;" poachers na pumapasok na may gamit sa pangangaso), maaari kang mag-aplay para sa isang search warrant upang makapasok sa lugar at mangalap ng ebidensya.
* **Mga Pag-aresto at Mga Kasuhan:** Hulihin ang mga indibidwal na nahuling naghuhukay ng wildlife. M"&amp;"aaari silang singilin sa ilalim ng iba't ibang batas depende sa mga detalye:
* **Republic Act No. 9147 (Wildlife Resources Conservation and Protection Act):** Ito ang pangunahing batas para sa wildlife conservation. Ang Seksyon 24 at 25 ay tumatalakay sa "&amp;"iligal na pangangaso, pangangalap, at transportasyon ng wildlife. Kasama sa mga parusa ang mga multa at pagkakulong.
* **Executive Order No. 578:** Ang kautusang ito ay nagtatatag ng isang listahan ng mga nanganganib na flora at fauna sa Pilipinas. Ang pa"&amp;"g-poaching ng isang species sa listahang ito ay magiging isang malinaw na paglabag.
* **National Integrated Protected Areas System (NIPAS) Act:** Kung ang poaching ay nangyayari sa loob ng isang protektadong lugar, maaaring mag-apply ang mga karagdagang s"&amp;"ingil sa ilalim ng NIPAS Act.
**Koleksyon ng Ebidensya:**
* **Idokumento ang Eksena:** Kung makatagpo ka ng eksena sa poaching, kumuha ng mga detalyadong tala at larawan ng ebidensya. Maaaring kabilang dito ang:
* Lokasyon
* Petsa at oras
* Paglalarawan n"&amp;"g anumang bangkay ng hayop o bahagi ng katawan
* Nasamsam ang mga kagamitan o kagamitan sa pamamaril
* Mga pahayag ng saksi (kung naaangkop)
**Pagtutulungan:**
* **DENR:** Makipagtulungan sa DENR. Mayroon silang kadalubhasaan sa konserbasyon ng wildlife a"&amp;"t maaaring magbigay ng suporta sa pagtukoy ng mga species ng hayop, pagtatasa sa epekto sa ekolohiya ng poaching, at pagbuo ng mga matibay na legal na kaso.
* **Mga Opisyal ng Barangay:** Makipag-ugnayan sa mga opisyal ng barangay upang subaybayan ang mga"&amp;" kahina-hinalang aktibidad at hikayatin silang mag-ulat ng anumang impormasyon na may kaugnayan sa poaching sa kanilang mga komunidad.
**Mga Karagdagang Pagsasaalang-alang:**
* **Kaligtasan:** Palaging unahin ang iyong kaligtasan at ang kaligtasan ng iyon"&amp;"g koponan kapag nagpapatrolya o humaharap sa mga pinaghihinalaang poachers.
* **Mga Undercover na Operasyon:** Sa ilang kaso, maaaring kailanganin ang mga undercover na operasyon upang makalusot sa mga poaching ring at mangalap ng ebidensya. Ang mga opera"&amp;"syong ito ay nangangailangan ng wastong pagpaplano at awtorisasyon mula sa mga nakatataas.
Sa pamamagitan ng pagpapatupad ng mga legal na hakbang na ito at pakikipagtulungan sa mga may-katuturang awtoridad, maaari mong gampanan ang isang mahalagang papel "&amp;"sa pagpigil sa wildlife poaching at pagprotekta sa mga endangered species sa iyong patrol area.")</f>
        <v>Bilang isang opisyal ng pagpapatupad ng batas na nagpapatrolya sa isang lugar na kilala sa ilegal na pangangaso, narito ang ilang legal na hakbang na maaari mong gawin upang maiwasan at matugunan ang wildlife poaching:
**Mga Paraan sa Pag-iwas:**
* **Maraming Patrol:** Ang regular na pagpapatrolya sa mga kilalang poaching hotspot ay maaaring hadlangan ang ilegal na aktibidad at mapataas ang pagkakataong mahuli ang mga poachers sa akto. * **Community Outreach:** Makipag-ugnayan sa mga lokal na komunidad upang turuan sila tungkol sa kahalagahan ng konserbasyon ng wildlife at ang mga negatibong kahihinatnan ng poaching. Hikayatin silang mag-ulat ng anumang kahina-hinalang aktibidad.
* **Informational Campaigns:** Makipagtulungan sa Department of Environment and Natural Resources (DENR) upang ayusin ang mga kampanyang nagbibigay-kaalaman sa lugar. Ang mga kampanyang ito ay maaaring magpataas ng kamalayan tungkol sa mga protektadong uri ng hayop, ang pagiging iligal ng pangangaso, at ang mga potensyal na parusang kasangkot.
**Pagtugon sa Mga Aktibidad sa Poaching:**
* **Stop and Frisk:** Kung makatagpo ka ng mga indibidwal sa mga lugar na kilala sa poaching, may karapatan kang magsagawa ng stop and frisk batay sa makatwirang hinala. Maghanap ng mga palatandaan ng aktibidad ng pangangaso tulad ng mga baril, bitag, o bagong patay na wildlife.
* **Mga Warrant sa Paghahanap:** Kung mayroon kang posibleng dahilan upang maniwala na ang poaching ay nangyayari sa isang partikular na ari-arian (hal., nasaksihan ang mga poachers na pumapasok na may gamit sa pangangaso), maaari kang mag-aplay para sa isang search warrant upang makapasok sa lugar at mangalap ng ebidensya.
* **Mga Pag-aresto at Mga Kasuhan:** Hulihin ang mga indibidwal na nahuling naghuhukay ng wildlife. Maaari silang singilin sa ilalim ng iba't ibang batas depende sa mga detalye:
* **Republic Act No. 9147 (Wildlife Resources Conservation and Protection Act):** Ito ang pangunahing batas para sa wildlife conservation. Ang Seksyon 24 at 25 ay tumatalakay sa iligal na pangangaso, pangangalap, at transportasyon ng wildlife. Kasama sa mga parusa ang mga multa at pagkakulong.
* **Executive Order No. 578:** Ang kautusang ito ay nagtatatag ng isang listahan ng mga nanganganib na flora at fauna sa Pilipinas. Ang pag-poaching ng isang species sa listahang ito ay magiging isang malinaw na paglabag.
* **National Integrated Protected Areas System (NIPAS) Act:** Kung ang poaching ay nangyayari sa loob ng isang protektadong lugar, maaaring mag-apply ang mga karagdagang singil sa ilalim ng NIPAS Act.
**Koleksyon ng Ebidensya:**
* **Idokumento ang Eksena:** Kung makatagpo ka ng eksena sa poaching, kumuha ng mga detalyadong tala at larawan ng ebidensya. Maaaring kabilang dito ang:
* Lokasyon
* Petsa at oras
* Paglalarawan ng anumang bangkay ng hayop o bahagi ng katawan
* Nasamsam ang mga kagamitan o kagamitan sa pamamaril
* Mga pahayag ng saksi (kung naaangkop)
**Pagtutulungan:**
* **DENR:** Makipagtulungan sa DENR. Mayroon silang kadalubhasaan sa konserbasyon ng wildlife at maaaring magbigay ng suporta sa pagtukoy ng mga species ng hayop, pagtatasa sa epekto sa ekolohiya ng poaching, at pagbuo ng mga matibay na legal na kaso.
* **Mga Opisyal ng Barangay:** Makipag-ugnayan sa mga opisyal ng barangay upang subaybayan ang mga kahina-hinalang aktibidad at hikayatin silang mag-ulat ng anumang impormasyon na may kaugnayan sa poaching sa kanilang mga komunidad.
**Mga Karagdagang Pagsasaalang-alang:**
* **Kaligtasan:** Palaging unahin ang iyong kaligtasan at ang kaligtasan ng iyong koponan kapag nagpapatrolya o humaharap sa mga pinaghihinalaang poachers.
* **Mga Undercover na Operasyon:** Sa ilang kaso, maaaring kailanganin ang mga undercover na operasyon upang makalusot sa mga poaching ring at mangalap ng ebidensya. Ang mga operasyong ito ay nangangailangan ng wastong pagpaplano at awtorisasyon mula sa mga nakatataas.
Sa pamamagitan ng pagpapatupad ng mga legal na hakbang na ito at pakikipagtulungan sa mga may-katuturang awtoridad, maaari mong gampanan ang isang mahalagang papel sa pagpigil sa wildlife poaching at pagprotekta sa mga endangered species sa iyong patrol area.</v>
      </c>
      <c r="F2688" s="2">
        <f t="shared" si="1"/>
        <v>0</v>
      </c>
      <c r="G2688" s="2"/>
      <c r="H2688" s="2"/>
      <c r="I2688" s="2"/>
      <c r="J2688" s="2"/>
      <c r="K2688" s="2"/>
      <c r="L2688" s="2"/>
      <c r="M2688" s="2"/>
      <c r="N2688" s="2"/>
      <c r="O2688" s="2"/>
      <c r="P2688" s="2"/>
      <c r="Q2688" s="2"/>
      <c r="R2688" s="2"/>
      <c r="S2688" s="2"/>
      <c r="T2688" s="2"/>
      <c r="U2688" s="2"/>
      <c r="V2688" s="2"/>
      <c r="W2688" s="2"/>
      <c r="X2688" s="2"/>
      <c r="Y2688" s="2"/>
      <c r="Z2688" s="2"/>
      <c r="AA2688" s="2"/>
    </row>
    <row r="2689">
      <c r="A2689" s="1" t="s">
        <v>6268</v>
      </c>
      <c r="B2689" s="1" t="s">
        <v>6349</v>
      </c>
      <c r="C2689" s="1" t="s">
        <v>6350</v>
      </c>
      <c r="D2689" s="2" t="str">
        <f>IFERROR(__xludf.DUMMYFUNCTION("GOOGLETRANSLATE(B2689, ""en"", ""TL"")"),"Isang grupo ng mga indibidwal ang pinaghihinalaang nag-oorganisa ng mga aktibidad sa dogfighting sa isang liblib na lokasyon. Anong mga legal na aksyon ang maaaring gawin upang siyasatin at matugunan ang ganitong uri ng pang-aabuso sa hayop?")</f>
        <v>Isang grupo ng mga indibidwal ang pinaghihinalaang nag-oorganisa ng mga aktibidad sa dogfighting sa isang liblib na lokasyon. Anong mga legal na aksyon ang maaaring gawin upang siyasatin at matugunan ang ganitong uri ng pang-aabuso sa hayop?</v>
      </c>
      <c r="E2689" s="2" t="str">
        <f>IFERROR(__xludf.DUMMYFUNCTION("GOOGLETRANSLATE(C2689, ""en"", ""TL"")"),"Maraming legal na aksyon ang maaaring gawin upang imbestigahan at matugunan ang mga pinaghihinalaang aktibidad ng dogfighting sa Pilipinas:
**Pagtitipon ng Ebidensya:**
* **Mga Pahayag ng Saksi:** Kung sinuman ang nakasaksi ng kahina-hinalang aktibidad ma"&amp;"lapit sa liblib na lokasyon, tulad ng mga taong may dalang pakikipag-away na aso, tunog ng dogfight, o kagamitan sa pagsasanay na ginagamit, hikayatin silang magbigay ng nakasulat na mga pahayag sa mga awtoridad. Ang mga anonymous na tip ay maaari ding is"&amp;"umite sa pamamagitan ng ilang hotline ng lokal na pamahalaan.
* **Undercover Investigation:** Ang mga ahensyang nagpapatupad ng batas, na may wastong awtorisasyon, ay maaaring magsagawa ng mga undercover na operasyon upang makalusot sa dogfighting ring at"&amp;" mangalap ng mismong ebidensya.
**Surveillance at Search Warrant:**
* **Surveillance:** Ang mga awtoridad ay maaaring magsagawa ng surveillance sa pinaghihinalaang lokasyon upang obserbahan ang mga aktibidad at tukuyin ang mga indibidwal na kasangkot. * *"&amp;"*Search Warrant:** Kung ang sapat na ebidensya ay nagmumungkahi ng dogfighting na nangyayari, maaaring pahintulutan ng isang hukom ang isang search warrant para sa ari-arian. Nagbibigay-daan ito sa nagpapatupad ng batas na makapasok sa lugar at maghanap n"&amp;"g ebidensya tulad ng:
* Labanan hukay
* Mga nasugatan o may peklat na aso
* Mga kagamitan sa pagsasanay (hal., treadmills, muzzles)
* Mga supply ng beterinaryo na ginagamit para sa paggamot sa mga pinsalang natamo sa panahon ng mga labanan **Mga Legal na "&amp;"Panukala:**
* **Republic Act No. 8485 (The Animal Welfare Act of 1998):** Ipinagbabawal ng batas na ito ang kalupitan sa hayop, kabilang ang paggamit ng mga hayop para sa pakikipaglaban. Ang mga sangkot sa pag-oorganisa ng mga aktibidad sa dogfighting ay "&amp;"maaaring kasuhan sa ilalim ng Batas na ito. Kasama sa mga parusa ang mga multa at posibleng pagkakulong depende sa kalubhaan ng pagkakasala.
* **Animal Seizure and Care:** Kung ang mga asong ginamit para sa pakikipaglaban ay natagpuan, ang mga awtoridad a"&amp;"y maaaring sakupin ang mga ito at ilagay sila sa pangangalaga ng PAWS o iba pang organisasyon ng kapakanan ng mga hayop para sa rehabilitasyon at potensyal na rehoming.
**Pakikipagtulungan sa Animal Welfare Organizations:**
* **Philippine Animal Welfare S"&amp;"ociety (PAWS):** Ang PAWS ay may karanasan sa paghawak ng mga kaso ng animal cruelty. Maaari silang makipagtulungan sa pagpapatupad ng batas sa pagpaplano ng imbestigasyon at tumulong sa:
* Nagbibigay ng ligtas na kanlungan para sa mga nailigtas na aso
* "&amp;"Pangangalaga sa beterinaryo para sa mga nasugatang hayop
* Pangangalap ng ebidensya (hal., mga larawan ng mga pinsala sa aso)
**Mga Karagdagang Pagsasaalang-alang:**
* **Pagbuo ng Malakas na Kaso:** Ang isang malakas na kaso ay umaasa sa ebidensya. Ang mg"&amp;"a testimonya ng mga saksi, photographic na ebidensya mula sa pagsubaybay, at mga ulat ng beterinaryo tungkol sa mga pinsala sa aso ay mahalaga.
* **Public Awareness:** Ang pagpapataas ng kamalayan sa komunidad tungkol sa dogfighting at paghikayat sa iba n"&amp;"a mag-ulat ng mga pinaghihinalaang aktibidad ay maaaring magbigay ng presyon sa mga awtoridad na kumilos.
**Tandaan:** Ang dogfighting ay isang malubhang krimen, at ang interbensyon ay maaaring maprotektahan ang mga hayop mula sa kalupitan. Sa pamamagitan"&amp;" ng pakikipagtulungan sa mga tagapagpatupad ng batas at mga organisasyon ng kapakanan ng hayop, maaari kang tumulong na lansagin ang mga operasyong ito at matiyak na natatanggap ng mga asong kasangkot ang pangangalaga na kailangan nila.")</f>
        <v>Maraming legal na aksyon ang maaaring gawin upang imbestigahan at matugunan ang mga pinaghihinalaang aktibidad ng dogfighting sa Pilipinas:
**Pagtitipon ng Ebidensya:**
* **Mga Pahayag ng Saksi:** Kung sinuman ang nakasaksi ng kahina-hinalang aktibidad malapit sa liblib na lokasyon, tulad ng mga taong may dalang pakikipag-away na aso, tunog ng dogfight, o kagamitan sa pagsasanay na ginagamit, hikayatin silang magbigay ng nakasulat na mga pahayag sa mga awtoridad. Ang mga anonymous na tip ay maaari ding isumite sa pamamagitan ng ilang hotline ng lokal na pamahalaan.
* **Undercover Investigation:** Ang mga ahensyang nagpapatupad ng batas, na may wastong awtorisasyon, ay maaaring magsagawa ng mga undercover na operasyon upang makalusot sa dogfighting ring at mangalap ng mismong ebidensya.
**Surveillance at Search Warrant:**
* **Surveillance:** Ang mga awtoridad ay maaaring magsagawa ng surveillance sa pinaghihinalaang lokasyon upang obserbahan ang mga aktibidad at tukuyin ang mga indibidwal na kasangkot. * **Search Warrant:** Kung ang sapat na ebidensya ay nagmumungkahi ng dogfighting na nangyayari, maaaring pahintulutan ng isang hukom ang isang search warrant para sa ari-arian. Nagbibigay-daan ito sa nagpapatupad ng batas na makapasok sa lugar at maghanap ng ebidensya tulad ng:
* Labanan hukay
* Mga nasugatan o may peklat na aso
* Mga kagamitan sa pagsasanay (hal., treadmills, muzzles)
* Mga supply ng beterinaryo na ginagamit para sa paggamot sa mga pinsalang natamo sa panahon ng mga labanan **Mga Legal na Panukala:**
* **Republic Act No. 8485 (The Animal Welfare Act of 1998):** Ipinagbabawal ng batas na ito ang kalupitan sa hayop, kabilang ang paggamit ng mga hayop para sa pakikipaglaban. Ang mga sangkot sa pag-oorganisa ng mga aktibidad sa dogfighting ay maaaring kasuhan sa ilalim ng Batas na ito. Kasama sa mga parusa ang mga multa at posibleng pagkakulong depende sa kalubhaan ng pagkakasala.
* **Animal Seizure and Care:** Kung ang mga asong ginamit para sa pakikipaglaban ay natagpuan, ang mga awtoridad ay maaaring sakupin ang mga ito at ilagay sila sa pangangalaga ng PAWS o iba pang organisasyon ng kapakanan ng mga hayop para sa rehabilitasyon at potensyal na rehoming.
**Pakikipagtulungan sa Animal Welfare Organizations:**
* **Philippine Animal Welfare Society (PAWS):** Ang PAWS ay may karanasan sa paghawak ng mga kaso ng animal cruelty. Maaari silang makipagtulungan sa pagpapatupad ng batas sa pagpaplano ng imbestigasyon at tumulong sa:
* Nagbibigay ng ligtas na kanlungan para sa mga nailigtas na aso
* Pangangalaga sa beterinaryo para sa mga nasugatang hayop
* Pangangalap ng ebidensya (hal., mga larawan ng mga pinsala sa aso)
**Mga Karagdagang Pagsasaalang-alang:**
* **Pagbuo ng Malakas na Kaso:** Ang isang malakas na kaso ay umaasa sa ebidensya. Ang mga testimonya ng mga saksi, photographic na ebidensya mula sa pagsubaybay, at mga ulat ng beterinaryo tungkol sa mga pinsala sa aso ay mahalaga.
* **Public Awareness:** Ang pagpapataas ng kamalayan sa komunidad tungkol sa dogfighting at paghikayat sa iba na mag-ulat ng mga pinaghihinalaang aktibidad ay maaaring magbigay ng presyon sa mga awtoridad na kumilos.
**Tandaan:** Ang dogfighting ay isang malubhang krimen, at ang interbensyon ay maaaring maprotektahan ang mga hayop mula sa kalupitan. Sa pamamagitan ng pakikipagtulungan sa mga tagapagpatupad ng batas at mga organisasyon ng kapakanan ng hayop, maaari kang tumulong na lansagin ang mga operasyong ito at matiyak na natatanggap ng mga asong kasangkot ang pangangalaga na kailangan nila.</v>
      </c>
      <c r="F2689" s="2">
        <f t="shared" si="1"/>
        <v>0</v>
      </c>
      <c r="G2689" s="2"/>
      <c r="H2689" s="2"/>
      <c r="I2689" s="2"/>
      <c r="J2689" s="2"/>
      <c r="K2689" s="2"/>
      <c r="L2689" s="2"/>
      <c r="M2689" s="2"/>
      <c r="N2689" s="2"/>
      <c r="O2689" s="2"/>
      <c r="P2689" s="2"/>
      <c r="Q2689" s="2"/>
      <c r="R2689" s="2"/>
      <c r="S2689" s="2"/>
      <c r="T2689" s="2"/>
      <c r="U2689" s="2"/>
      <c r="V2689" s="2"/>
      <c r="W2689" s="2"/>
      <c r="X2689" s="2"/>
      <c r="Y2689" s="2"/>
      <c r="Z2689" s="2"/>
      <c r="AA2689" s="2"/>
    </row>
    <row r="2690">
      <c r="A2690" s="1" t="s">
        <v>6268</v>
      </c>
      <c r="B2690" s="1" t="s">
        <v>6351</v>
      </c>
      <c r="C2690" s="1" t="s">
        <v>6352</v>
      </c>
      <c r="D2690" s="2" t="str">
        <f>IFERROR(__xludf.DUMMYFUNCTION("GOOGLETRANSLATE(B2690, ""en"", ""TL"")"),"Sinadya ng isang indibidwal na saktan ang isang protektadong species sa isang protektadong tirahan. Anong mga legal na kahihinatnan ang dapat nilang harapin para sa paglabag sa mga batas sa konserbasyon?")</f>
        <v>Sinadya ng isang indibidwal na saktan ang isang protektadong species sa isang protektadong tirahan. Anong mga legal na kahihinatnan ang dapat nilang harapin para sa paglabag sa mga batas sa konserbasyon?</v>
      </c>
      <c r="E2690" s="2" t="str">
        <f>IFERROR(__xludf.DUMMYFUNCTION("GOOGLETRANSLATE(C2690, ""en"", ""TL"")"),"Ang isang indibidwal na sinadyang saktan ang isang protektadong species sa isang protektadong tirahan sa Pilipinas ay nahaharap sa malubhang legal na kahihinatnan sa ilalim ng ilang mga batas. Narito ang isang breakdown ng mga potensyal na parusa:
**Mga K"&amp;"augnay na Batas:**
* **Republic Act No. 9147 (Wildlife Resources Conservation and Protection Act):** Ito ang pangunahing batas para sa konserbasyon ng wildlife sa Pilipinas.
* Seksyon 24. Ilegal na Pagpatay, Pangangaso, Pagtitipon, o Pagmamay-ari ng Wildl"&amp;"ife. * Partikular na ipinagbabawal ng seksyong ito ang pagpatay, pangangaso, pangangalap, o pag-aari ng wildlife, lalo na ang mga nakalista bilang nanganganib o kritikal na nanganganib.
* Seksyon 25. Ilegal na Transportasyon ng Wildlife.
* Sinasaklaw ng s"&amp;"eksyong ito ang iligal na transportasyon ng wildlife, kabilang ang mga mula sa mga protektadong tirahan.
* **Mga Parusa:** Ang mga seksyong ito ay nagsasaad ng mga multa mula sa Isang Daang Libong Piso (Php 100,000.00) hanggang Tatlong Daang Libong Piso ("&amp;"Php 300,000.00) at pagkakakulong ng anim (6) na buwan hanggang dalawang (2) taon para sa unang paglabag. Tataas ang mga parusa para sa mga kasunod na pagkakasala.
* **Executive Order No. 578:** Ang kautusang ito ay nagtatatag ng pambansang listahan ng mga"&amp;" nanganganib na flora at fauna sa Pilipinas. Ang pananakit sa isang species sa listahang ito ay magiging isang malinaw na paglabag.
**Mga Karagdagang Parusa:**
* **Republic Act No. 7586 (National Integrated Protected Areas System (NIPAS) Act):** Ang batas"&amp;" na ito ay namamahala sa mga protektadong lugar sa Pilipinas. Ang sadyang pananakit sa wildlife sa loob ng isang lugar ng NIPAS ay maaari ding isang paglabag. Maaaring kabilang sa mga parusa ang mga karagdagang multa o pagkakulong.
* **Pagkumpiska ng Kaga"&amp;"mitan:** Anumang mga kasangkapan o kagamitan na ginamit sa akto (hal., mga baril, mga bitag) ay maaaring kumpiskahin ng mga awtoridad.
**Kalubhaan ng mga kahihinatnan:**
Ang kalubhaan ng mga legal na kahihinatnan ay maaaring depende sa ilang mga kadahilan"&amp;"an:
* **Species Napinsala:** Ang mga partikular na parusa ay maaaring mas mataas para sa pananakit sa critically endangered o endemic species.
* **Laki ng Pananakit:** Ang pagpatay sa isang hayop laban sa pananakit dito ay malamang na magreresulta sa iba'"&amp;"t ibang parusa.
* **Mga Naunang Pagkakasala:** Ang mga umuulit na nagkasala ay nahaharap sa mas mabibigat na parusa.
**Mga Karagdagang Pagsasaalang-alang:**
* **Civil Lawsuit:** Bukod sa mga kasong kriminal, ang mga environmental NGO o concerned citizen a"&amp;"y posibleng magsampa ng kasong sibil laban sa indibidwal para sa mga pinsalang dulot ng kapaligiran.
* **Public Awareness:** Ang pagsasapubliko ng kaso ay maaaring hadlangan ang mga hinaharap na krimen sa wildlife at mahikayat ang mas mahigpit na pagpapat"&amp;"upad ng mga batas sa konserbasyon.
**Pag-uulat ng Krimen:**
* **Department of Environment and Natural Resources (DENR):** Iulat ang insidente sa DENR, na nagbibigay ng mas maraming detalye hangga't maaari tungkol sa lokasyon, species na kasangkot, at anum"&amp;"ang ebidensya na maaaring mayroon ka. * **Philippine Animal Welfare Society (PAWS):** Maaaring mag-alok ng gabay ang PAWS at posibleng makipagtulungan sa DENR sa kaso.
Sa pamamagitan ng pag-unawa sa mga kaugnay na batas at mga potensyal na kahihinatnan, m"&amp;"aaari mong isulong ang proteksyon ng wildlife at tiyaking mananagot ang mga nananakit sa mga protektadong species.")</f>
        <v>Ang isang indibidwal na sinadyang saktan ang isang protektadong species sa isang protektadong tirahan sa Pilipinas ay nahaharap sa malubhang legal na kahihinatnan sa ilalim ng ilang mga batas. Narito ang isang breakdown ng mga potensyal na parusa:
**Mga Kaugnay na Batas:**
* **Republic Act No. 9147 (Wildlife Resources Conservation and Protection Act):** Ito ang pangunahing batas para sa konserbasyon ng wildlife sa Pilipinas.
* Seksyon 24. Ilegal na Pagpatay, Pangangaso, Pagtitipon, o Pagmamay-ari ng Wildlife. * Partikular na ipinagbabawal ng seksyong ito ang pagpatay, pangangaso, pangangalap, o pag-aari ng wildlife, lalo na ang mga nakalista bilang nanganganib o kritikal na nanganganib.
* Seksyon 25. Ilegal na Transportasyon ng Wildlife.
* Sinasaklaw ng seksyong ito ang iligal na transportasyon ng wildlife, kabilang ang mga mula sa mga protektadong tirahan.
* **Mga Parusa:** Ang mga seksyong ito ay nagsasaad ng mga multa mula sa Isang Daang Libong Piso (Php 100,000.00) hanggang Tatlong Daang Libong Piso (Php 300,000.00) at pagkakakulong ng anim (6) na buwan hanggang dalawang (2) taon para sa unang paglabag. Tataas ang mga parusa para sa mga kasunod na pagkakasala.
* **Executive Order No. 578:** Ang kautusang ito ay nagtatatag ng pambansang listahan ng mga nanganganib na flora at fauna sa Pilipinas. Ang pananakit sa isang species sa listahang ito ay magiging isang malinaw na paglabag.
**Mga Karagdagang Parusa:**
* **Republic Act No. 7586 (National Integrated Protected Areas System (NIPAS) Act):** Ang batas na ito ay namamahala sa mga protektadong lugar sa Pilipinas. Ang sadyang pananakit sa wildlife sa loob ng isang lugar ng NIPAS ay maaari ding isang paglabag. Maaaring kabilang sa mga parusa ang mga karagdagang multa o pagkakulong.
* **Pagkumpiska ng Kagamitan:** Anumang mga kasangkapan o kagamitan na ginamit sa akto (hal., mga baril, mga bitag) ay maaaring kumpiskahin ng mga awtoridad.
**Kalubhaan ng mga kahihinatnan:**
Ang kalubhaan ng mga legal na kahihinatnan ay maaaring depende sa ilang mga kadahilanan:
* **Species Napinsala:** Ang mga partikular na parusa ay maaaring mas mataas para sa pananakit sa critically endangered o endemic species.
* **Laki ng Pananakit:** Ang pagpatay sa isang hayop laban sa pananakit dito ay malamang na magreresulta sa iba't ibang parusa.
* **Mga Naunang Pagkakasala:** Ang mga umuulit na nagkasala ay nahaharap sa mas mabibigat na parusa.
**Mga Karagdagang Pagsasaalang-alang:**
* **Civil Lawsuit:** Bukod sa mga kasong kriminal, ang mga environmental NGO o concerned citizen ay posibleng magsampa ng kasong sibil laban sa indibidwal para sa mga pinsalang dulot ng kapaligiran.
* **Public Awareness:** Ang pagsasapubliko ng kaso ay maaaring hadlangan ang mga hinaharap na krimen sa wildlife at mahikayat ang mas mahigpit na pagpapatupad ng mga batas sa konserbasyon.
**Pag-uulat ng Krimen:**
* **Department of Environment and Natural Resources (DENR):** Iulat ang insidente sa DENR, na nagbibigay ng mas maraming detalye hangga't maaari tungkol sa lokasyon, species na kasangkot, at anumang ebidensya na maaaring mayroon ka. * **Philippine Animal Welfare Society (PAWS):** Maaaring mag-alok ng gabay ang PAWS at posibleng makipagtulungan sa DENR sa kaso.
Sa pamamagitan ng pag-unawa sa mga kaugnay na batas at mga potensyal na kahihinatnan, maaari mong isulong ang proteksyon ng wildlife at tiyaking mananagot ang mga nananakit sa mga protektadong species.</v>
      </c>
      <c r="F2690" s="2">
        <f t="shared" si="1"/>
        <v>0</v>
      </c>
      <c r="G2690" s="2"/>
      <c r="H2690" s="2"/>
      <c r="I2690" s="2"/>
      <c r="J2690" s="2"/>
      <c r="K2690" s="2"/>
      <c r="L2690" s="2"/>
      <c r="M2690" s="2"/>
      <c r="N2690" s="2"/>
      <c r="O2690" s="2"/>
      <c r="P2690" s="2"/>
      <c r="Q2690" s="2"/>
      <c r="R2690" s="2"/>
      <c r="S2690" s="2"/>
      <c r="T2690" s="2"/>
      <c r="U2690" s="2"/>
      <c r="V2690" s="2"/>
      <c r="W2690" s="2"/>
      <c r="X2690" s="2"/>
      <c r="Y2690" s="2"/>
      <c r="Z2690" s="2"/>
      <c r="AA2690" s="2"/>
    </row>
    <row r="2691">
      <c r="A2691" s="1" t="s">
        <v>6268</v>
      </c>
      <c r="B2691" s="1" t="s">
        <v>6353</v>
      </c>
      <c r="C2691" s="1" t="s">
        <v>6354</v>
      </c>
      <c r="D2691" s="2" t="str">
        <f>IFERROR(__xludf.DUMMYFUNCTION("GOOGLETRANSLATE(B2691, ""en"", ""TL"")"),"Isa kang beterinaryo na gumagamot sa mga hayop na iniligtas mula sa isang mapang-abusong sitwasyon. Anong mga legal na hakbang ang maaaring gawin upang idokumento at iulat ang kalagayan ng mga hayop para sa mga legal na layunin?")</f>
        <v>Isa kang beterinaryo na gumagamot sa mga hayop na iniligtas mula sa isang mapang-abusong sitwasyon. Anong mga legal na hakbang ang maaaring gawin upang idokumento at iulat ang kalagayan ng mga hayop para sa mga legal na layunin?</v>
      </c>
      <c r="E2691" s="2" t="str">
        <f>IFERROR(__xludf.DUMMYFUNCTION("GOOGLETRANSLATE(C2691, ""en"", ""TL"")"),"Bilang isang beterinaryo na gumagamot sa mga hayop na iniligtas mula sa isang mapang-abusong sitwasyon, ang iyong tungkulin ay mahalaga sa pagdodokumento ng kanilang kalagayan at potensyal na tumulong sa legal na aksyon laban sa nang-aabuso. Narito ang ma"&amp;"aari mong gawin:
**Komprehensibong Medikal na Pagsusuri:**
* Magsagawa ng masusing pisikal na pagsusuri ng bawat hayop. Idokumento ang lahat ng pinsala, senyales ng pagpapabaya (malnutrisyon, dehydration), at anumang umiiral na kondisyon sa kalusugan.
* I"&amp;"sama ang mga detalye tulad ng timbang ng hayop, marka ng kundisyon ng katawan, at pagkakaroon ng mga parasito o panlabas na pinsala.
**Mga Detalyadong Rekord ng Medikal:**
* Panatilihin ang detalyadong mga medikal na rekord para sa bawat hayop. Isama ang:"&amp;"
* Petsa ng pagsusuri
* Paglalarawan ng hayop (species, lahi, edad, kasarian, pagkilala sa mga tampok)
* Detalyadong mga natuklasan mula sa pisikal na pagsusuri
* Mga larawan ng anumang pinsala o palatandaan ng pagpapabaya (na may pahintulot ng may-ari ku"&amp;"ng maaari)
* Plano ng paggamot at anumang mga gamot na inireseta
**Kolaborasyon sa Animal Rescue/Wefare Organizations:**
* Makipagtulungan sa organisasyong tagapagligtas ng hayop o mga awtoridad na nagligtas sa mga hayop. * Bigyan sila ng nakasulat na ula"&amp;"t na nagbubuod ng iyong mga natuklasan at ang pangkalahatang kalagayan ng mga hayop. Ang mga ulat na ito ay maaaring maging kritikal na ebidensya sa mga kaso ng kalupitan sa hayop.
**Mga Legal na Pagsasaalang-alang:**
* **Propesyonal na Obligasyon:** Ang "&amp;"mga beterinaryo sa Pilipinas ay may propesyonal na obligasyon na mag-ulat ng pinaghihinalaang kalupitan sa hayop. Maaaring kailanganin kang tumestigo sa korte tungkol sa iyong mga natuklasan kung ang isang kaso ay hinahabol.
* **Kumpidensyal:** Panatilihi"&amp;"n ang pagiging kumpidensyal ng kliyente. Gayunpaman, ang pinaghihinalaang kalupitan sa hayop ay isang pagbubukod kung saan kinakailangan ang pag-uulat. **Mga Karagdagang Panukala:**
* **Testimonya ng Saksi:** Kung nakasaksi ka ng anumang mga palatandaan n"&amp;"g pang-aabuso sa panahon ng pagsusuri, idokumento ang iyong mga obserbasyon sa mga medikal na rekord at maging handa na tumestigo bilang saksi kung kinakailangan.
* **Chain of Custody:** Kung maaari, magtatag ng chain of custody para sa anumang pisikal na"&amp;" ebidensya, gaya ng mga litrato, upang matiyak na ang mga ito ay tatanggapin sa korte. **Mga Mapagkukunan:**
* **Philippine Animal Welfare Society (PAWS):** Nag-aalok ang PAWS ng mga mapagkukunan at gabay sa mga kaso ng kalupitan sa hayop. Maaari ka nilan"&amp;"g ikonekta sa mga legal na propesyonal na may karanasan sa batas ng kapakanan ng hayop.
* **Department of Agriculture - Bureau of Animal Industry (DA-BAI):** Ang DA-BAI ang pangunahing ahensya ng pamahalaan na responsable para sa kapakanan ng hayop. Maaar"&amp;"i silang magbigay ng impormasyon sa legal na proseso para sa pag-uulat ng kalupitan sa hayop.
Sa pamamagitan ng pagsunod sa mga hakbang na ito at pagdodokumento nang lubusan sa kondisyon ng mga hayop, maaari kang magbigay ng mahalagang ebidensya para sa m"&amp;"ga legal na paglilitis laban sa nang-aabuso. Ang iyong mga pagsusumikap ay makakatulong sa kanila na managot at matiyak na matatanggap ng mga hayop ang katarungang nararapat sa kanila.")</f>
        <v>Bilang isang beterinaryo na gumagamot sa mga hayop na iniligtas mula sa isang mapang-abusong sitwasyon, ang iyong tungkulin ay mahalaga sa pagdodokumento ng kanilang kalagayan at potensyal na tumulong sa legal na aksyon laban sa nang-aabuso. Narito ang maaari mong gawin:
**Komprehensibong Medikal na Pagsusuri:**
* Magsagawa ng masusing pisikal na pagsusuri ng bawat hayop. Idokumento ang lahat ng pinsala, senyales ng pagpapabaya (malnutrisyon, dehydration), at anumang umiiral na kondisyon sa kalusugan.
* Isama ang mga detalye tulad ng timbang ng hayop, marka ng kundisyon ng katawan, at pagkakaroon ng mga parasito o panlabas na pinsala.
**Mga Detalyadong Rekord ng Medikal:**
* Panatilihin ang detalyadong mga medikal na rekord para sa bawat hayop. Isama ang:
* Petsa ng pagsusuri
* Paglalarawan ng hayop (species, lahi, edad, kasarian, pagkilala sa mga tampok)
* Detalyadong mga natuklasan mula sa pisikal na pagsusuri
* Mga larawan ng anumang pinsala o palatandaan ng pagpapabaya (na may pahintulot ng may-ari kung maaari)
* Plano ng paggamot at anumang mga gamot na inireseta
**Kolaborasyon sa Animal Rescue/Wefare Organizations:**
* Makipagtulungan sa organisasyong tagapagligtas ng hayop o mga awtoridad na nagligtas sa mga hayop. * Bigyan sila ng nakasulat na ulat na nagbubuod ng iyong mga natuklasan at ang pangkalahatang kalagayan ng mga hayop. Ang mga ulat na ito ay maaaring maging kritikal na ebidensya sa mga kaso ng kalupitan sa hayop.
**Mga Legal na Pagsasaalang-alang:**
* **Propesyonal na Obligasyon:** Ang mga beterinaryo sa Pilipinas ay may propesyonal na obligasyon na mag-ulat ng pinaghihinalaang kalupitan sa hayop. Maaaring kailanganin kang tumestigo sa korte tungkol sa iyong mga natuklasan kung ang isang kaso ay hinahabol.
* **Kumpidensyal:** Panatilihin ang pagiging kumpidensyal ng kliyente. Gayunpaman, ang pinaghihinalaang kalupitan sa hayop ay isang pagbubukod kung saan kinakailangan ang pag-uulat. **Mga Karagdagang Panukala:**
* **Testimonya ng Saksi:** Kung nakasaksi ka ng anumang mga palatandaan ng pang-aabuso sa panahon ng pagsusuri, idokumento ang iyong mga obserbasyon sa mga medikal na rekord at maging handa na tumestigo bilang saksi kung kinakailangan.
* **Chain of Custody:** Kung maaari, magtatag ng chain of custody para sa anumang pisikal na ebidensya, gaya ng mga litrato, upang matiyak na ang mga ito ay tatanggapin sa korte. **Mga Mapagkukunan:**
* **Philippine Animal Welfare Society (PAWS):** Nag-aalok ang PAWS ng mga mapagkukunan at gabay sa mga kaso ng kalupitan sa hayop. Maaari ka nilang ikonekta sa mga legal na propesyonal na may karanasan sa batas ng kapakanan ng hayop.
* **Department of Agriculture - Bureau of Animal Industry (DA-BAI):** Ang DA-BAI ang pangunahing ahensya ng pamahalaan na responsable para sa kapakanan ng hayop. Maaari silang magbigay ng impormasyon sa legal na proseso para sa pag-uulat ng kalupitan sa hayop.
Sa pamamagitan ng pagsunod sa mga hakbang na ito at pagdodokumento nang lubusan sa kondisyon ng mga hayop, maaari kang magbigay ng mahalagang ebidensya para sa mga legal na paglilitis laban sa nang-aabuso. Ang iyong mga pagsusumikap ay makakatulong sa kanila na managot at matiyak na matatanggap ng mga hayop ang katarungang nararapat sa kanila.</v>
      </c>
      <c r="F2691" s="2">
        <f t="shared" si="1"/>
        <v>0</v>
      </c>
      <c r="G2691" s="2"/>
      <c r="H2691" s="2"/>
      <c r="I2691" s="2"/>
      <c r="J2691" s="2"/>
      <c r="K2691" s="2"/>
      <c r="L2691" s="2"/>
      <c r="M2691" s="2"/>
      <c r="N2691" s="2"/>
      <c r="O2691" s="2"/>
      <c r="P2691" s="2"/>
      <c r="Q2691" s="2"/>
      <c r="R2691" s="2"/>
      <c r="S2691" s="2"/>
      <c r="T2691" s="2"/>
      <c r="U2691" s="2"/>
      <c r="V2691" s="2"/>
      <c r="W2691" s="2"/>
      <c r="X2691" s="2"/>
      <c r="Y2691" s="2"/>
      <c r="Z2691" s="2"/>
      <c r="AA2691" s="2"/>
    </row>
    <row r="2692">
      <c r="A2692" s="1" t="s">
        <v>6268</v>
      </c>
      <c r="B2692" s="1" t="s">
        <v>6355</v>
      </c>
      <c r="C2692" s="1" t="s">
        <v>6356</v>
      </c>
      <c r="D2692" s="2" t="str">
        <f>IFERROR(__xludf.DUMMYFUNCTION("GOOGLETRANSLATE(B2692, ""en"", ""TL"")"),"Ang isang tindahan ng alagang hayop ay iniulat para sa pagbebenta ng mga hayop nang walang wastong pangangalaga at kundisyon. Anong mga legal na aksyon ang maaaring gawin upang matiyak ang kapakanan ng mga hayop sa mga komersyal na establisimyento?")</f>
        <v>Ang isang tindahan ng alagang hayop ay iniulat para sa pagbebenta ng mga hayop nang walang wastong pangangalaga at kundisyon. Anong mga legal na aksyon ang maaaring gawin upang matiyak ang kapakanan ng mga hayop sa mga komersyal na establisimyento?</v>
      </c>
      <c r="E2692" s="2" t="str">
        <f>IFERROR(__xludf.DUMMYFUNCTION("GOOGLETRANSLATE(C2692, ""en"", ""TL"")"),"Narito ang ilang legal na aksyon na maaaring gawin upang matiyak ang kapakanan ng mga hayop sa mga komersyal na establisyimento tulad ng mga tindahan ng alagang hayop sa Pilipinas:
**Pag-uulat ng Mga Paglabag:**
* **Department of Agriculture - Bureau of A"&amp;"nimal Industry (DA-BAI):** Ang DA-BAI ang pangunahing ahensya ng gobyerno na responsable para sa kapakanan ng hayop sa mga komersyal na establisyimento. Maghain ng pormal na reklamo sa kanila na nagdedetalye ng mga nakitang paglabag sa pet store.
* **Phil"&amp;"ippine Animal Welfare Society (PAWS):** Ang PAWS ay isang kinikilalang animal welfare organization. Iulat sa kanila ang pangyayari. Maaari silang magbigay ng gabay at posibleng makipagtulungan sa DA-BAI sa iyong reklamo.
* **Local Government Unit (LGU):**"&amp;" Ang ilang LGU ay may sariling mga animal welfare ordinance. Iulat ang isyu sa naaangkop na tanggapan ng LGU upang makita kung sila ay may hurisdiksyon at maaaring magsagawa ng mga inspeksyon.
**Pagtitipon ng Ebidensya:**
* **Mga Larawan at Video:** Kung "&amp;"maaari, kumuha ng mga larawan o video na nagdodokumento ng mga mahihirap na kondisyon sa tindahan ng alagang hayop, tulad ng siksikang mga kulungan, kakulangan ng malinis na tubig o tamang pagkain, o mga hayop na may sakit. * **Mga Pahayag ng Saksi:** Kun"&amp;"g may nakasaksi sa mga paglabag sa kapakanan ng hayop, hikayatin silang magbigay ng nakasulat na mga pahayag upang suportahan ang iyong reklamo.
**Mga Legal na Panukala:**
* **Republic Act No. 8485 (The Animal Welfare Act of 1998):** Binabalangkas ng Bata"&amp;"s na ito ang mga pamantayan sa kapakanan ng hayop at ipinagbabawal ang pagpapailalim sa mga hayop sa hindi kinakailangang pagdurusa o sakit. Ang pagbebenta ng mga hayop nang walang wastong pangangalaga at kundisyon ay lalabag sa batas na ito.
* **Pagsisiy"&amp;"asat ng DA-BAI:** Sisiyasatin ng DA-BAI ang reklamo at susuriin ang tindahan ng alagang hayop. Batay sa kanilang mga natuklasan, maaari silang gumawa ng iba't ibang mga aksyon:
* Magbigay ng mga babala para sa mga maliliit na paglabag.
* Magpataw ng mga m"&amp;"ulta para sa mas malubhang paglabag.
* Suspindihin o bawiin ang lisensya ng tindahan ng alagang hayop upang gumana sa mga malalang kaso.
* Kunin ang mga hayop at ilagay ang mga ito sa pangangalaga ng isang kagalang-galang na silungan ng hayop o organisasy"&amp;"on kung ang kanilang kapakanan ay nasa panganib kaagad.
**Mga Karagdagang Pagsasaalang-alang:**
* **Pampublikong Kamalayan:** Ang pagpapataas ng kamalayan tungkol sa mga kagawian ng tindahan ng alagang hayop sa pamamagitan ng social media o mga responsabl"&amp;"eng grupo ng pagmamay-ari ng alagang hayop ay maaaring magbigay ng presyon sa kanila upang mapabuti ang mga pamantayan sa kapakanan ng hayop.
* **Boycott:** Hikayatin ang iba na isaalang-alang ang mga alternatibong tindahan ng alagang hayop na may reputas"&amp;"yon para sa etikal na pagtrato sa mga hayop.
**Tandaan:** Ang pagprotekta sa kapakanan ng hayop ay nangangailangan ng sama-samang pagsisikap. Sa pamamagitan ng pag-uulat ng mga paglabag, pagbibigay ng ebidensya, at pagtataguyod para sa responsableng mga k"&amp;"asanayan sa pagmamay-ari ng alagang hayop, maaari kang makatulong na matiyak na ang mga hayop sa mga komersyal na establisyimento ay ginagamot nang may pangangalaga at paggalang na nararapat sa kanila.")</f>
        <v>Narito ang ilang legal na aksyon na maaaring gawin upang matiyak ang kapakanan ng mga hayop sa mga komersyal na establisyimento tulad ng mga tindahan ng alagang hayop sa Pilipinas:
**Pag-uulat ng Mga Paglabag:**
* **Department of Agriculture - Bureau of Animal Industry (DA-BAI):** Ang DA-BAI ang pangunahing ahensya ng gobyerno na responsable para sa kapakanan ng hayop sa mga komersyal na establisyimento. Maghain ng pormal na reklamo sa kanila na nagdedetalye ng mga nakitang paglabag sa pet store.
* **Philippine Animal Welfare Society (PAWS):** Ang PAWS ay isang kinikilalang animal welfare organization. Iulat sa kanila ang pangyayari. Maaari silang magbigay ng gabay at posibleng makipagtulungan sa DA-BAI sa iyong reklamo.
* **Local Government Unit (LGU):** Ang ilang LGU ay may sariling mga animal welfare ordinance. Iulat ang isyu sa naaangkop na tanggapan ng LGU upang makita kung sila ay may hurisdiksyon at maaaring magsagawa ng mga inspeksyon.
**Pagtitipon ng Ebidensya:**
* **Mga Larawan at Video:** Kung maaari, kumuha ng mga larawan o video na nagdodokumento ng mga mahihirap na kondisyon sa tindahan ng alagang hayop, tulad ng siksikang mga kulungan, kakulangan ng malinis na tubig o tamang pagkain, o mga hayop na may sakit. * **Mga Pahayag ng Saksi:** Kung may nakasaksi sa mga paglabag sa kapakanan ng hayop, hikayatin silang magbigay ng nakasulat na mga pahayag upang suportahan ang iyong reklamo.
**Mga Legal na Panukala:**
* **Republic Act No. 8485 (The Animal Welfare Act of 1998):** Binabalangkas ng Batas na ito ang mga pamantayan sa kapakanan ng hayop at ipinagbabawal ang pagpapailalim sa mga hayop sa hindi kinakailangang pagdurusa o sakit. Ang pagbebenta ng mga hayop nang walang wastong pangangalaga at kundisyon ay lalabag sa batas na ito.
* **Pagsisiyasat ng DA-BAI:** Sisiyasatin ng DA-BAI ang reklamo at susuriin ang tindahan ng alagang hayop. Batay sa kanilang mga natuklasan, maaari silang gumawa ng iba't ibang mga aksyon:
* Magbigay ng mga babala para sa mga maliliit na paglabag.
* Magpataw ng mga multa para sa mas malubhang paglabag.
* Suspindihin o bawiin ang lisensya ng tindahan ng alagang hayop upang gumana sa mga malalang kaso.
* Kunin ang mga hayop at ilagay ang mga ito sa pangangalaga ng isang kagalang-galang na silungan ng hayop o organisasyon kung ang kanilang kapakanan ay nasa panganib kaagad.
**Mga Karagdagang Pagsasaalang-alang:**
* **Pampublikong Kamalayan:** Ang pagpapataas ng kamalayan tungkol sa mga kagawian ng tindahan ng alagang hayop sa pamamagitan ng social media o mga responsableng grupo ng pagmamay-ari ng alagang hayop ay maaaring magbigay ng presyon sa kanila upang mapabuti ang mga pamantayan sa kapakanan ng hayop.
* **Boycott:** Hikayatin ang iba na isaalang-alang ang mga alternatibong tindahan ng alagang hayop na may reputasyon para sa etikal na pagtrato sa mga hayop.
**Tandaan:** Ang pagprotekta sa kapakanan ng hayop ay nangangailangan ng sama-samang pagsisikap. Sa pamamagitan ng pag-uulat ng mga paglabag, pagbibigay ng ebidensya, at pagtataguyod para sa responsableng mga kasanayan sa pagmamay-ari ng alagang hayop, maaari kang makatulong na matiyak na ang mga hayop sa mga komersyal na establisyimento ay ginagamot nang may pangangalaga at paggalang na nararapat sa kanila.</v>
      </c>
      <c r="F2692" s="2">
        <f t="shared" si="1"/>
        <v>0</v>
      </c>
      <c r="G2692" s="2"/>
      <c r="H2692" s="2"/>
      <c r="I2692" s="2"/>
      <c r="J2692" s="2"/>
      <c r="K2692" s="2"/>
      <c r="L2692" s="2"/>
      <c r="M2692" s="2"/>
      <c r="N2692" s="2"/>
      <c r="O2692" s="2"/>
      <c r="P2692" s="2"/>
      <c r="Q2692" s="2"/>
      <c r="R2692" s="2"/>
      <c r="S2692" s="2"/>
      <c r="T2692" s="2"/>
      <c r="U2692" s="2"/>
      <c r="V2692" s="2"/>
      <c r="W2692" s="2"/>
      <c r="X2692" s="2"/>
      <c r="Y2692" s="2"/>
      <c r="Z2692" s="2"/>
      <c r="AA2692" s="2"/>
    </row>
    <row r="2693">
      <c r="A2693" s="1" t="s">
        <v>6268</v>
      </c>
      <c r="B2693" s="1" t="s">
        <v>6357</v>
      </c>
      <c r="C2693" s="1" t="s">
        <v>6358</v>
      </c>
      <c r="D2693" s="2" t="str">
        <f>IFERROR(__xludf.DUMMYFUNCTION("GOOGLETRANSLATE(B2693, ""en"", ""TL"")"),"Ang isang indibidwal ay natagpuang nilalason ang mga pusa ng komunidad. Anong mga legal na hakbang ang maaaring gawin upang matugunan ang gawaing ito ng sadyang pinsala sa mga hayop?")</f>
        <v>Ang isang indibidwal ay natagpuang nilalason ang mga pusa ng komunidad. Anong mga legal na hakbang ang maaaring gawin upang matugunan ang gawaing ito ng sadyang pinsala sa mga hayop?</v>
      </c>
      <c r="E2693" s="2" t="str">
        <f>IFERROR(__xludf.DUMMYFUNCTION("GOOGLETRANSLATE(C2693, ""en"", ""TL"")"),"Narito ang isang breakdown ng mga legal na hakbang na maaaring gawin sa Pilipinas upang matugunan ang pagkilos ng sadyang pananakit sa mga hayop, partikular na ang pagkalason sa mga pusa ng komunidad:
**Pag-uulat ng Insidente:**
* **Mga Opisyal ng Baranga"&amp;"y:** Ang unang hakbang ay iulat ang insidente sa kapitan ng barangay o animal warden. Maaaring may kaalaman sila sa mga nakaraang reklamo o kaya nilang makilala ang mga potensyal na saksi. * **Philippine Animal Welfare Society (PAWS):** Ang PAWS ay isang "&amp;"kinikilalang animal welfare organization. Makipag-ugnayan sa kanila upang iulat ang pagkalason at talakayin ang mga potensyal na susunod na hakbang. Maaari silang mag-alok ng gabay at posibleng tumulong sa pagkolekta ng ebidensya.
* **Lokal na Pagpapatupa"&amp;"d ng Batas:** Maghain ng ulat ng pulisya na nagdedetalye sa insidente, kabilang ang lokasyon, petsa, oras, at anumang ebidensya ng pagkalason sa hayop (hal., pagkalason o mga patay na pusa).
**Koleksyon ng Ebidensya:**
* **Mga Pahayag ng Saksi:** Kung sin"&amp;"uman ang nakasaksi sa pagkalason o may impormasyon tungkol sa suspek, dapat na dokumentado ang kanilang mga pahayag. * **Mga Ulat ng Beterinaryo:** Kung may mga pusang nasugatan o napatay ng lason, ipasuri sila ng isang beterinaryo. Maaaring idokumento ng"&amp;" ulat ng beterinaryo ang sanhi ng kamatayan (pagkalason) at magamit bilang ebidensya.
* **Pisikal na Katibayan (kung magagamit):** Kung maaari, kolektahin ang anumang natitirang lason na pagkain o iba pang pisikal na ebidensya na nauugnay sa pagkalason pa"&amp;"ra sa pagsusuri.
**Mga Legal na Panukala:**
* **Republic Act No. 8485 (The Animal Welfare Act of 1998):** Ang Batas na ito ay nagbabawal sa sinumang tao na magdulot ng hindi kinakailangang pagdurusa o pananakit sa anumang hayop. Ang pagkalason sa mga pusa"&amp;" ng komunidad ay mapapailalim sa probisyong ito. * **Mga Pagsingil:** Maaaring kasuhan ang indibidwal ng animal cruelty sa ilalim ng RA 8485. Maaaring kabilang sa mga parusa ang:
* Mga multa hanggang Limang Libong Piso (Php 5,000.00)
* Pagkakulong ng hang"&amp;"gang dalawang (2) taon
* Disqualification mula sa pagmamay-ari ng mga hayop
**Mga Karagdagang Pagsasaalang-alang:**
* **Animal Care for Survivors:** Kung may mga pusang nakaligtas sa pagkalason, tiyaking makakatanggap sila ng wastong pangangalaga sa beter"&amp;"inaryo. Maaaring tumulong dito ang PAWS o iba pang organisasyon ng kapakanan ng hayop.
* **Kaalaman sa Komunidad:** Ang pagpapataas ng kamalayan sa komunidad tungkol sa kalupitan sa hayop at sa partikular na insidente ay maaaring makatulong sa pangangalap"&amp;" ng impormasyon tungkol sa suspek at hadlangan ang pang-aabuso sa hayop sa hinaharap.
Sa pamamagitan ng pagsasagawa ng mga legal na hakbang na ito, pag-uulat ng insidente, at pagkolekta ng ebidensya, maaari kang tumulong na panagutin ang indibidwal para s"&amp;"a kanilang mga aksyon at posibleng mailigtas ang buhay ng iba pang mga pusa ng komunidad.")</f>
        <v>Narito ang isang breakdown ng mga legal na hakbang na maaaring gawin sa Pilipinas upang matugunan ang pagkilos ng sadyang pananakit sa mga hayop, partikular na ang pagkalason sa mga pusa ng komunidad:
**Pag-uulat ng Insidente:**
* **Mga Opisyal ng Barangay:** Ang unang hakbang ay iulat ang insidente sa kapitan ng barangay o animal warden. Maaaring may kaalaman sila sa mga nakaraang reklamo o kaya nilang makilala ang mga potensyal na saksi. * **Philippine Animal Welfare Society (PAWS):** Ang PAWS ay isang kinikilalang animal welfare organization. Makipag-ugnayan sa kanila upang iulat ang pagkalason at talakayin ang mga potensyal na susunod na hakbang. Maaari silang mag-alok ng gabay at posibleng tumulong sa pagkolekta ng ebidensya.
* **Lokal na Pagpapatupad ng Batas:** Maghain ng ulat ng pulisya na nagdedetalye sa insidente, kabilang ang lokasyon, petsa, oras, at anumang ebidensya ng pagkalason sa hayop (hal., pagkalason o mga patay na pusa).
**Koleksyon ng Ebidensya:**
* **Mga Pahayag ng Saksi:** Kung sinuman ang nakasaksi sa pagkalason o may impormasyon tungkol sa suspek, dapat na dokumentado ang kanilang mga pahayag. * **Mga Ulat ng Beterinaryo:** Kung may mga pusang nasugatan o napatay ng lason, ipasuri sila ng isang beterinaryo. Maaaring idokumento ng ulat ng beterinaryo ang sanhi ng kamatayan (pagkalason) at magamit bilang ebidensya.
* **Pisikal na Katibayan (kung magagamit):** Kung maaari, kolektahin ang anumang natitirang lason na pagkain o iba pang pisikal na ebidensya na nauugnay sa pagkalason para sa pagsusuri.
**Mga Legal na Panukala:**
* **Republic Act No. 8485 (The Animal Welfare Act of 1998):** Ang Batas na ito ay nagbabawal sa sinumang tao na magdulot ng hindi kinakailangang pagdurusa o pananakit sa anumang hayop. Ang pagkalason sa mga pusa ng komunidad ay mapapailalim sa probisyong ito. * **Mga Pagsingil:** Maaaring kasuhan ang indibidwal ng animal cruelty sa ilalim ng RA 8485. Maaaring kabilang sa mga parusa ang:
* Mga multa hanggang Limang Libong Piso (Php 5,000.00)
* Pagkakulong ng hanggang dalawang (2) taon
* Disqualification mula sa pagmamay-ari ng mga hayop
**Mga Karagdagang Pagsasaalang-alang:**
* **Animal Care for Survivors:** Kung may mga pusang nakaligtas sa pagkalason, tiyaking makakatanggap sila ng wastong pangangalaga sa beterinaryo. Maaaring tumulong dito ang PAWS o iba pang organisasyon ng kapakanan ng hayop.
* **Kaalaman sa Komunidad:** Ang pagpapataas ng kamalayan sa komunidad tungkol sa kalupitan sa hayop at sa partikular na insidente ay maaaring makatulong sa pangangalap ng impormasyon tungkol sa suspek at hadlangan ang pang-aabuso sa hayop sa hinaharap.
Sa pamamagitan ng pagsasagawa ng mga legal na hakbang na ito, pag-uulat ng insidente, at pagkolekta ng ebidensya, maaari kang tumulong na panagutin ang indibidwal para sa kanilang mga aksyon at posibleng mailigtas ang buhay ng iba pang mga pusa ng komunidad.</v>
      </c>
      <c r="F2693" s="2">
        <f t="shared" si="1"/>
        <v>0</v>
      </c>
      <c r="G2693" s="2"/>
      <c r="H2693" s="2"/>
      <c r="I2693" s="2"/>
      <c r="J2693" s="2"/>
      <c r="K2693" s="2"/>
      <c r="L2693" s="2"/>
      <c r="M2693" s="2"/>
      <c r="N2693" s="2"/>
      <c r="O2693" s="2"/>
      <c r="P2693" s="2"/>
      <c r="Q2693" s="2"/>
      <c r="R2693" s="2"/>
      <c r="S2693" s="2"/>
      <c r="T2693" s="2"/>
      <c r="U2693" s="2"/>
      <c r="V2693" s="2"/>
      <c r="W2693" s="2"/>
      <c r="X2693" s="2"/>
      <c r="Y2693" s="2"/>
      <c r="Z2693" s="2"/>
      <c r="AA2693" s="2"/>
    </row>
    <row r="2694">
      <c r="A2694" s="1" t="s">
        <v>6268</v>
      </c>
      <c r="B2694" s="1" t="s">
        <v>6359</v>
      </c>
      <c r="C2694" s="1" t="s">
        <v>6360</v>
      </c>
      <c r="D2694" s="2" t="str">
        <f>IFERROR(__xludf.DUMMYFUNCTION("GOOGLETRANSLATE(B2694, ""en"", ""TL"")"),"Ang isang proyekto sa pagtatayo ay nagdudulot ng pinsala sa tirahan ng mga endangered species. Anong mga legal na aksyon ang maaaring gawin upang maiwasan at matugunan ang epekto sa kapaligiran sa wildlife?")</f>
        <v>Ang isang proyekto sa pagtatayo ay nagdudulot ng pinsala sa tirahan ng mga endangered species. Anong mga legal na aksyon ang maaaring gawin upang maiwasan at matugunan ang epekto sa kapaligiran sa wildlife?</v>
      </c>
      <c r="E2694" s="2" t="str">
        <f>IFERROR(__xludf.DUMMYFUNCTION("GOOGLETRANSLATE(C2694, ""en"", ""TL"")"),"Narito ang isang breakdown ng mga legal na aksyon na maaaring gawin sa Pilipinas upang maiwasan at matugunan ang epekto sa kapaligiran ng isang proyekto sa pagtatayo sa tirahan ng mga endangered species:
**Pag-iwas sa Pinsala:**
* **Environmental Impact A"&amp;"ssessment (EIA):** Ang proyekto ay dapat na sumailalim sa tamang proseso ng EIA gaya ng ipinag-uutos ng Presidential Decree No. 1586. Ang prosesong ito ay tumutukoy sa mga potensyal na epekto sa kapaligiran at nagmumungkahi ng mga hakbang sa pagpapagaan. "&amp;"* Kung ang EIA ay hindi isinagawa o hindi sapat, ang mga nag-aalalang indibidwal o organisasyon ay maaaring hamunin ang bisa nito.
* **Department of Environment and Natural Resources (DENR):** Ang DENR ay may awtoridad na suriin ang mga EIA at mag-isyu ng"&amp;" Environmental Compliance Certificates (ECC) na may mga partikular na kondisyon para mabawasan ang pinsala sa kapaligiran. * Kung ang konstruksiyon ay lumalabag sa mga kondisyon ng isang umiiral na ECC, maaaring magsampa ng reklamo sa DENR.
**Mga Legal na"&amp;" Pagkilos upang Matugunan ang Pinsala:**
* **Temporary Environmental Protection Order (TEPO):** Ang DENR ay maaaring mag-isyu ng TEPO upang ihinto ang mga aktibidad sa pagtatayo kung may napipintong panganib sa tirahan ng mga endangered species.
* **Cease"&amp;" and Desist Order (CDO):** Ang DENR ay maaaring mag-isyu ng CDO upang permanenteng ihinto ang proyekto sa pagtatayo kung ito ay nagdudulot ng malaking pinsala sa tirahan ng mga endangered species at walang mabisang hakbang sa pagpapagaan na posible.
**Mga"&amp;" Legal na Hamon:**
* **Mandamus Petition:** Maaaring magsampa ng petisyon para pilitin ang DENR na gampanan ang tungkulin nitong protektahan ang kapaligiran at mga endangered species. Maaaring may kaugnayan ito kung mabibigo ang DENR na kumilos sa kabila "&amp;"ng mga malinaw na paglabag.
* **Civil Lawsuit:** Ang mga environmental NGO o concerned citizen ay maaaring magsampa ng kasong sibil laban sa kumpanya ng konstruksiyon para sa mga pinsalang dulot ng kapaligiran at potensyal na pinsala sa mga endangered spe"&amp;"cies.
**Mga Karagdagang Pagsasaalang-alang:**
* **Pagtitipon ng Ebidensya:** Napakahalaga ng matibay na ebidensya. Maaaring kabilang dito ang mga larawan ng pagkasira ng tirahan, mga ulat mula sa mga biologist o eksperto sa kapaligiran, at patunay ng pagk"&amp;"akaroon ng mga endangered species sa lugar.
* **Legal na Representasyon:** Maaaring kumplikado ang batas sa kapaligiran. Inirerekomenda ang pagkonsulta sa isang abogadong may karanasan sa paglilitis sa kapaligiran.
* **Public Awareness:** Ang pagpapataas "&amp;"ng pampublikong kamalayan tungkol sa isyu ay maaaring maglagay ng pressure sa mga awtoridad at kumpanya ng konstruksiyon na kumilos.
**Tandaan:** Ang mga endangered species ay protektado sa ilalim ng batas ng Pilipinas. Ang mga sumusunod ay ilang pangunah"&amp;"ing legal na mapagkukunan:
* **Republic Act No. 9147 (Wildlife Resources Conservation and Protection Act):** Pinoprotektahan ng Batas na ito ang wildlife, kabilang ang mga endangered species, at ang kanilang tirahan.
* **Executive Order No. 578:** Ang kau"&amp;"tusang ito ay nagtatatag ng pambansang listahan ng mga nanganganib na flora at fauna sa Pilipinas.
Sa pamamagitan ng pagsasagawa ng mga legal na aksyong ito at paggamit ng mga nauugnay na batas, ang mga nag-aalalang indibidwal at organisasyon ay maaaring "&amp;"makatulong na maiwasan ang karagdagang pinsala sa tirahan ng mga endangered species at panagutin ang proyekto ng konstruksiyon.")</f>
        <v>Narito ang isang breakdown ng mga legal na aksyon na maaaring gawin sa Pilipinas upang maiwasan at matugunan ang epekto sa kapaligiran ng isang proyekto sa pagtatayo sa tirahan ng mga endangered species:
**Pag-iwas sa Pinsala:**
* **Environmental Impact Assessment (EIA):** Ang proyekto ay dapat na sumailalim sa tamang proseso ng EIA gaya ng ipinag-uutos ng Presidential Decree No. 1586. Ang prosesong ito ay tumutukoy sa mga potensyal na epekto sa kapaligiran at nagmumungkahi ng mga hakbang sa pagpapagaan. * Kung ang EIA ay hindi isinagawa o hindi sapat, ang mga nag-aalalang indibidwal o organisasyon ay maaaring hamunin ang bisa nito.
* **Department of Environment and Natural Resources (DENR):** Ang DENR ay may awtoridad na suriin ang mga EIA at mag-isyu ng Environmental Compliance Certificates (ECC) na may mga partikular na kondisyon para mabawasan ang pinsala sa kapaligiran. * Kung ang konstruksiyon ay lumalabag sa mga kondisyon ng isang umiiral na ECC, maaaring magsampa ng reklamo sa DENR.
**Mga Legal na Pagkilos upang Matugunan ang Pinsala:**
* **Temporary Environmental Protection Order (TEPO):** Ang DENR ay maaaring mag-isyu ng TEPO upang ihinto ang mga aktibidad sa pagtatayo kung may napipintong panganib sa tirahan ng mga endangered species.
* **Cease and Desist Order (CDO):** Ang DENR ay maaaring mag-isyu ng CDO upang permanenteng ihinto ang proyekto sa pagtatayo kung ito ay nagdudulot ng malaking pinsala sa tirahan ng mga endangered species at walang mabisang hakbang sa pagpapagaan na posible.
**Mga Legal na Hamon:**
* **Mandamus Petition:** Maaaring magsampa ng petisyon para pilitin ang DENR na gampanan ang tungkulin nitong protektahan ang kapaligiran at mga endangered species. Maaaring may kaugnayan ito kung mabibigo ang DENR na kumilos sa kabila ng mga malinaw na paglabag.
* **Civil Lawsuit:** Ang mga environmental NGO o concerned citizen ay maaaring magsampa ng kasong sibil laban sa kumpanya ng konstruksiyon para sa mga pinsalang dulot ng kapaligiran at potensyal na pinsala sa mga endangered species.
**Mga Karagdagang Pagsasaalang-alang:**
* **Pagtitipon ng Ebidensya:** Napakahalaga ng matibay na ebidensya. Maaaring kabilang dito ang mga larawan ng pagkasira ng tirahan, mga ulat mula sa mga biologist o eksperto sa kapaligiran, at patunay ng pagkakaroon ng mga endangered species sa lugar.
* **Legal na Representasyon:** Maaaring kumplikado ang batas sa kapaligiran. Inirerekomenda ang pagkonsulta sa isang abogadong may karanasan sa paglilitis sa kapaligiran.
* **Public Awareness:** Ang pagpapataas ng pampublikong kamalayan tungkol sa isyu ay maaaring maglagay ng pressure sa mga awtoridad at kumpanya ng konstruksiyon na kumilos.
**Tandaan:** Ang mga endangered species ay protektado sa ilalim ng batas ng Pilipinas. Ang mga sumusunod ay ilang pangunahing legal na mapagkukunan:
* **Republic Act No. 9147 (Wildlife Resources Conservation and Protection Act):** Pinoprotektahan ng Batas na ito ang wildlife, kabilang ang mga endangered species, at ang kanilang tirahan.
* **Executive Order No. 578:** Ang kautusang ito ay nagtatatag ng pambansang listahan ng mga nanganganib na flora at fauna sa Pilipinas.
Sa pamamagitan ng pagsasagawa ng mga legal na aksyong ito at paggamit ng mga nauugnay na batas, ang mga nag-aalalang indibidwal at organisasyon ay maaaring makatulong na maiwasan ang karagdagang pinsala sa tirahan ng mga endangered species at panagutin ang proyekto ng konstruksiyon.</v>
      </c>
      <c r="F2694" s="2">
        <f t="shared" si="1"/>
        <v>0</v>
      </c>
      <c r="G2694" s="2"/>
      <c r="H2694" s="2"/>
      <c r="I2694" s="2"/>
      <c r="J2694" s="2"/>
      <c r="K2694" s="2"/>
      <c r="L2694" s="2"/>
      <c r="M2694" s="2"/>
      <c r="N2694" s="2"/>
      <c r="O2694" s="2"/>
      <c r="P2694" s="2"/>
      <c r="Q2694" s="2"/>
      <c r="R2694" s="2"/>
      <c r="S2694" s="2"/>
      <c r="T2694" s="2"/>
      <c r="U2694" s="2"/>
      <c r="V2694" s="2"/>
      <c r="W2694" s="2"/>
      <c r="X2694" s="2"/>
      <c r="Y2694" s="2"/>
      <c r="Z2694" s="2"/>
      <c r="AA2694" s="2"/>
    </row>
    <row r="2695">
      <c r="A2695" s="1" t="s">
        <v>6268</v>
      </c>
      <c r="B2695" s="1" t="s">
        <v>6361</v>
      </c>
      <c r="C2695" s="1" t="s">
        <v>6362</v>
      </c>
      <c r="D2695" s="2" t="str">
        <f>IFERROR(__xludf.DUMMYFUNCTION("GOOGLETRANSLATE(B2695, ""en"", ""TL"")"),"Isa kang opisyal na nagpapatupad ng batas na tumutugon sa isang kaso ng pag-iimbak ng hayop. Anong mga legal na hakbang ang dapat gawin upang matugunan ang sitwasyon at matiyak ang kapakanan ng mga hayop?")</f>
        <v>Isa kang opisyal na nagpapatupad ng batas na tumutugon sa isang kaso ng pag-iimbak ng hayop. Anong mga legal na hakbang ang dapat gawin upang matugunan ang sitwasyon at matiyak ang kapakanan ng mga hayop?</v>
      </c>
      <c r="E2695" s="2" t="str">
        <f>IFERROR(__xludf.DUMMYFUNCTION("GOOGLETRANSLATE(C2695, ""en"", ""TL"")"),"Bilang isang opisyal ng pagpapatupad ng batas na tumutugon sa isang kaso ng pag-iimbak ng hayop, narito ang mga pangunahing legal na hakbang na dapat mong gawin upang matugunan ang sitwasyon at matiyak ang kapakanan ng mga hayop:
**Paunang Pagsusuri:**
1."&amp;" **Scene Safety:** Bago pumasok sa property, siguraduhin ang iyong kaligtasan at ang kaligtasan ng iba. Suriin ang mga potensyal na panganib tulad ng maluwag o agresibong mga hayop, hindi malinis na kondisyon, o mga isyu sa istruktura sa gusali.
2. **Kila"&amp;"lanin ang Responsableng Partido:** Hanapin ang indibidwal na responsable para sa mga hayop at suriin ang kanilang mental na kalagayan. Maaaring mangailangan sila ng medikal na pagsusuri o tulong mula sa mga serbisyong panlipunan depende sa sitwasyon.
**Pa"&amp;"gsusuri sa Kapakanan ng Hayop:**
1. **Animal Welfare Check:** Suriin ang pangkalahatang kalagayan ng mga hayop. Maghanap ng mga palatandaan ng:
* Malnutrisyon
* Pag-aalis ng tubig
* Sakit
* Mga pinsala
* Overcrowding
* Hindi malinis na kondisyon ng pamumu"&amp;"hay
2. **Bilang at Species:** Bilangin ang mga hayop at tukuyin ang mga species na kasangkot. Nakakatulong ito na matukoy ang mga mapagkukunang kailangan para sa kanilang pangangalaga.
**Mga Legal na Pagsasaalang-alang:**
1. **Search Warrant:** Kung kinak"&amp;"ailangan ang agarang interbensyon upang maiwasan ang paghihirap ng hayop, at ang hoarder ay tumanggi sa pag-access, maaaring kailanganin ang isang search warrant upang makapasok sa property at alisin ang mga hayop.
2. **Animal Cruelty Laws:** Kung ang ebi"&amp;"densya ay nagmumungkahi ng pagpapabaya o kalupitan sa hayop (hal., gutom, dehydration, untreated na pinsala), maaaring magsampa ng mga kaso sa ilalim ng Republic Act No. 8485 (The Animal Welfare Act of 1998). **Pag-alis at Pag-aalaga ng Hayop:**
1. **Maki"&amp;"pag-ugnayan sa Animal Welfare Organizations:** Makipag-ugnayan sa mga animal welfare organization tulad ng Philippine Animal Welfare Society (PAWS) o mga serbisyo ng beterinaryo ng gobyerno. Maaari silang magbigay ng tulong sa:
* Transportasyon ng hayop
*"&amp;" Pang-emerhensiyang pangangalaga sa beterinaryo * Silungan at rehabilitasyon * Potensyal na rehoming para sa malusog na mga hayop
2. **Pag-agaw at Pag-iingat:** Kung ang mga hayop ay kailangang tanggalin dahil sa kanilang kapakanan, sila ay maaaring sakup"&amp;"in sa proteksiyon na pag-iingat sa pamamagitan ng pagkontrol ng hayop o ng isang itinalagang organisasyon ng kapakanan ng hayop.
**Dokumentasyon:**
1. **Detalyadong Ulat:** Maghanda ng komprehensibong ulat na nagdodokumento sa eksena, mga obserbasyon ng h"&amp;"ayop, mga pakikipag-ugnayan sa indibidwal, at anumang mga aksyong ginawa.
2. **Photographic Evidence:** Kumuha ng mga larawan ng mga hayop, kanilang mga kondisyon sa pamumuhay, at anumang ebidensya ng pagpapabaya o kalupitan.
**Mga Pagsubaybay na Pagkilos"&amp;":**
1. **Mga Sipi o Singil:** Depende sa kalubhaan ng kaso, ang mga pagsipi para sa mga paglabag sa kapakanan ng hayop o mga kasong kriminal ay maaaring isampa laban sa indibidwal na responsable.
2. **Pagdinig sa Hukuman:** Tutukuyin ng hukuman ang naaang"&amp;"kop na resulta, na maaaring kabilangan ng mga multa, pagkakulong (para sa matitinding kaso), o mga paghihigpit sa pagmamay-ari ng hayop sa hinaharap.
**Mga Karagdagang Pagsasaalang-alang:**
* **Pagpapahalaga:** Kung malaking bilang ng mga hayop ang nasasa"&amp;"ngkot, unahin ang pag-alis sa mga nasa pinaka-kritikal na kondisyon para sa agarang pangangalaga sa beterinaryo.
* **Mga Alalahanin sa Pampublikong Kalusugan:** Magkaroon ng kamalayan sa mga potensyal na panganib sa kalusugan ng publiko na nauugnay sa pag"&amp;"-iimbak ng hayop, tulad ng mga zoonotic na sakit o hindi malinis na kondisyon ng pamumuhay. Makipag-ugnayan sa mga awtoridad sa kalusugan kung kinakailangan.
* **Madamaying Diskarte:** Habang ipinapatupad ang batas, tandaan na ang mga hayop ay biktima sa "&amp;"sitwasyong ito. Pangasiwaan ang mga ito nang may pag-iingat at bawasan ang karagdagang stress sa panahon ng pag-alis at transportasyon.
Sa pamamagitan ng pagsunod sa mga legal na hakbang na ito at pakikipagtulungan sa mga organisasyon para sa kapakanan ng"&amp;" mga hayop, epektibong matutugunan ng pagpapatupad ng batas ang mga sitwasyon sa pag-iimbak ng hayop, tiyakin ang kapakanan ng mga hayop, at panagutin ang mga responsable.")</f>
        <v>Bilang isang opisyal ng pagpapatupad ng batas na tumutugon sa isang kaso ng pag-iimbak ng hayop, narito ang mga pangunahing legal na hakbang na dapat mong gawin upang matugunan ang sitwasyon at matiyak ang kapakanan ng mga hayop:
**Paunang Pagsusuri:**
1. **Scene Safety:** Bago pumasok sa property, siguraduhin ang iyong kaligtasan at ang kaligtasan ng iba. Suriin ang mga potensyal na panganib tulad ng maluwag o agresibong mga hayop, hindi malinis na kondisyon, o mga isyu sa istruktura sa gusali.
2. **Kilalanin ang Responsableng Partido:** Hanapin ang indibidwal na responsable para sa mga hayop at suriin ang kanilang mental na kalagayan. Maaaring mangailangan sila ng medikal na pagsusuri o tulong mula sa mga serbisyong panlipunan depende sa sitwasyon.
**Pagsusuri sa Kapakanan ng Hayop:**
1. **Animal Welfare Check:** Suriin ang pangkalahatang kalagayan ng mga hayop. Maghanap ng mga palatandaan ng:
* Malnutrisyon
* Pag-aalis ng tubig
* Sakit
* Mga pinsala
* Overcrowding
* Hindi malinis na kondisyon ng pamumuhay
2. **Bilang at Species:** Bilangin ang mga hayop at tukuyin ang mga species na kasangkot. Nakakatulong ito na matukoy ang mga mapagkukunang kailangan para sa kanilang pangangalaga.
**Mga Legal na Pagsasaalang-alang:**
1. **Search Warrant:** Kung kinakailangan ang agarang interbensyon upang maiwasan ang paghihirap ng hayop, at ang hoarder ay tumanggi sa pag-access, maaaring kailanganin ang isang search warrant upang makapasok sa property at alisin ang mga hayop.
2. **Animal Cruelty Laws:** Kung ang ebidensya ay nagmumungkahi ng pagpapabaya o kalupitan sa hayop (hal., gutom, dehydration, untreated na pinsala), maaaring magsampa ng mga kaso sa ilalim ng Republic Act No. 8485 (The Animal Welfare Act of 1998). **Pag-alis at Pag-aalaga ng Hayop:**
1. **Makipag-ugnayan sa Animal Welfare Organizations:** Makipag-ugnayan sa mga animal welfare organization tulad ng Philippine Animal Welfare Society (PAWS) o mga serbisyo ng beterinaryo ng gobyerno. Maaari silang magbigay ng tulong sa:
* Transportasyon ng hayop
* Pang-emerhensiyang pangangalaga sa beterinaryo * Silungan at rehabilitasyon * Potensyal na rehoming para sa malusog na mga hayop
2. **Pag-agaw at Pag-iingat:** Kung ang mga hayop ay kailangang tanggalin dahil sa kanilang kapakanan, sila ay maaaring sakupin sa proteksiyon na pag-iingat sa pamamagitan ng pagkontrol ng hayop o ng isang itinalagang organisasyon ng kapakanan ng hayop.
**Dokumentasyon:**
1. **Detalyadong Ulat:** Maghanda ng komprehensibong ulat na nagdodokumento sa eksena, mga obserbasyon ng hayop, mga pakikipag-ugnayan sa indibidwal, at anumang mga aksyong ginawa.
2. **Photographic Evidence:** Kumuha ng mga larawan ng mga hayop, kanilang mga kondisyon sa pamumuhay, at anumang ebidensya ng pagpapabaya o kalupitan.
**Mga Pagsubaybay na Pagkilos:**
1. **Mga Sipi o Singil:** Depende sa kalubhaan ng kaso, ang mga pagsipi para sa mga paglabag sa kapakanan ng hayop o mga kasong kriminal ay maaaring isampa laban sa indibidwal na responsable.
2. **Pagdinig sa Hukuman:** Tutukuyin ng hukuman ang naaangkop na resulta, na maaaring kabilangan ng mga multa, pagkakulong (para sa matitinding kaso), o mga paghihigpit sa pagmamay-ari ng hayop sa hinaharap.
**Mga Karagdagang Pagsasaalang-alang:**
* **Pagpapahalaga:** Kung malaking bilang ng mga hayop ang nasasangkot, unahin ang pag-alis sa mga nasa pinaka-kritikal na kondisyon para sa agarang pangangalaga sa beterinaryo.
* **Mga Alalahanin sa Pampublikong Kalusugan:** Magkaroon ng kamalayan sa mga potensyal na panganib sa kalusugan ng publiko na nauugnay sa pag-iimbak ng hayop, tulad ng mga zoonotic na sakit o hindi malinis na kondisyon ng pamumuhay. Makipag-ugnayan sa mga awtoridad sa kalusugan kung kinakailangan.
* **Madamaying Diskarte:** Habang ipinapatupad ang batas, tandaan na ang mga hayop ay biktima sa sitwasyong ito. Pangasiwaan ang mga ito nang may pag-iingat at bawasan ang karagdagang stress sa panahon ng pag-alis at transportasyon.
Sa pamamagitan ng pagsunod sa mga legal na hakbang na ito at pakikipagtulungan sa mga organisasyon para sa kapakanan ng mga hayop, epektibong matutugunan ng pagpapatupad ng batas ang mga sitwasyon sa pag-iimbak ng hayop, tiyakin ang kapakanan ng mga hayop, at panagutin ang mga responsable.</v>
      </c>
      <c r="F2695" s="2">
        <f t="shared" si="1"/>
        <v>0</v>
      </c>
      <c r="G2695" s="2"/>
      <c r="H2695" s="2"/>
      <c r="I2695" s="2"/>
      <c r="J2695" s="2"/>
      <c r="K2695" s="2"/>
      <c r="L2695" s="2"/>
      <c r="M2695" s="2"/>
      <c r="N2695" s="2"/>
      <c r="O2695" s="2"/>
      <c r="P2695" s="2"/>
      <c r="Q2695" s="2"/>
      <c r="R2695" s="2"/>
      <c r="S2695" s="2"/>
      <c r="T2695" s="2"/>
      <c r="U2695" s="2"/>
      <c r="V2695" s="2"/>
      <c r="W2695" s="2"/>
      <c r="X2695" s="2"/>
      <c r="Y2695" s="2"/>
      <c r="Z2695" s="2"/>
      <c r="AA2695" s="2"/>
    </row>
    <row r="2696">
      <c r="A2696" s="1" t="s">
        <v>6268</v>
      </c>
      <c r="B2696" s="1" t="s">
        <v>6363</v>
      </c>
      <c r="C2696" s="1" t="s">
        <v>6364</v>
      </c>
      <c r="D2696" s="2" t="str">
        <f>IFERROR(__xludf.DUMMYFUNCTION("GOOGLETRANSLATE(B2696, ""en"", ""TL"")"),"Isang indibidwal ang pinaghihinalaang nagsasagawa ng dogfighting activities sa kanilang likod-bahay. Anong mga legal na aksyon ang maaaring gawin upang mag-imbestiga at makialam sa ganitong uri ng kalupitan sa hayop?")</f>
        <v>Isang indibidwal ang pinaghihinalaang nagsasagawa ng dogfighting activities sa kanilang likod-bahay. Anong mga legal na aksyon ang maaaring gawin upang mag-imbestiga at makialam sa ganitong uri ng kalupitan sa hayop?</v>
      </c>
      <c r="E2696" s="2" t="str">
        <f>IFERROR(__xludf.DUMMYFUNCTION("GOOGLETRANSLATE(C2696, ""en"", ""TL"")"),"Maraming legal na aksyon ang maaaring gawin sa Pilipinas upang imbestigahan at makialam sa mga pinaghihinalaang aktibidad ng dogfighting:
**Pag-uulat sa Kahina-hinalang Aktibidad:**
* **Philippine Animal Welfare Society (PAWS):** Ang PAWS ay isang kinikil"&amp;"alang animal welfare organization na may karanasan sa paghawak ng mga kaso ng animal cruelty. Maaari silang kontakin upang iulat ang pinaghihinalaang dogfighting at posibleng tumulong sa pangangalap ng ebidensya. * **Lokal na Pagpapatupad ng Batas:** Dapa"&amp;"t maabisuhan ang mga awtoridad tungkol sa pinaghihinalaang aktibidad ng dogfighting. Habang ang kalupitan sa hayop ay maaaring hindi ang kanilang pangunahing priyoridad, ang isang ulat ng pulisya ay lumilikha ng isang talaan at nagtatatag ng isang timelin"&amp;"e para sa potensyal na interbensyon sa hinaharap. **Pagtitipon ng Ebidensya:**
* **Mga Testimonya ng Saksi:** Ang sinumang nakasaksi ng kahina-hinalang aktibidad tulad ng mga pinsala sa mga aso, pakikipaglaban sa mga hukay sa likod-bahay, o kagamitan sa p"&amp;"agsasanay ay maaaring magbigay ng mga pahayag ng saksi sa PAWS o tagapagpatupad ng batas. * **Anonymous Tips:** Kung may natatakot na gumanti, ang anonymous na tip ay maaaring isumite sa PAWS o sa pamamagitan ng mga hotline na ibinigay ng ilang local gove"&amp;"rnment units.
**Mga Legal na Panukala para sa Pamamagitan:**
* **Search Warrant:** Kung ang sapat na ebidensya ay nagmumungkahi ng dogfighting na nagaganap, maaaring pahintulutan ng isang hukom ang isang search warrant para sa ari-arian. Ito ay magpapahin"&amp;"tulot sa mga tagapagpatupad ng batas na makapasok sa lugar at imbestigahan ang pagkakaroon ng mga nakikipag-away na aso, kagamitan, o pinsala sa mga hayop. * **Republic Act No. 8485 (The Animal Welfare Act of 1998):** Ipinagbabawal ng Batas na ito ang kal"&amp;"upitan sa hayop, kabilang ang paggamit ng mga hayop para sa pakikipaglaban. Kung ang dogfighting ay nakumpirma, ang indibidwal ay maaaring kasuhan sa ilalim ng Batas na ito. * Kasama sa mga parusa ang mga multa at posibleng pagkakulong depende sa kalubhaa"&amp;"n ng pagkakasala.
* **Animal Seizure and Care:** Kung ang mga asong ginamit para sa pakikipaglaban ay natagpuan, ang mga awtoridad ay maaaring sakupin ang mga ito at ilagay sila sa pangangalaga ng PAWS o iba pang organisasyon ng kapakanan ng mga hayop par"&amp;"a sa rehabilitasyon at potensyal na rehoming.
**Mga Karagdagang Pagsasaalang-alang:**
* **Pagbuo ng Malakas na Kaso:** Ang ebidensya ay mahalaga. Ang mga testigo ng saksi, mga larawan (kung maaari), at mga ulat ng beterinaryo tungkol sa mga pinsala sa aso"&amp;" ay maaaring palakasin ang kaso laban sa operasyon ng dogfighting.
* **Pagkilos ng Komunidad:** Ang pagpapataas ng kamalayan sa komunidad tungkol sa dogfighting at paghikayat sa iba na mag-ulat ng mga pinaghihinalaang aktibidad ay maaaring magbigay ng pre"&amp;"syon sa mga awtoridad na kumilos.
**Tandaan:** Ang dogfighting ay isang malubhang krimen, at ang interbensyon ay maaaring maprotektahan ang mga hayop mula sa kalupitan. Sa pamamagitan ng pag-uulat ng iyong mga hinala at pakikipagtulungan sa mga organisasy"&amp;"on ng kapakanan ng hayop at pagpapatupad ng batas, maaari kang tumulong na lansagin ang mga operasyong ito at matiyak ang kapakanan ng mga asong nasasangkot.")</f>
        <v>Maraming legal na aksyon ang maaaring gawin sa Pilipinas upang imbestigahan at makialam sa mga pinaghihinalaang aktibidad ng dogfighting:
**Pag-uulat sa Kahina-hinalang Aktibidad:**
* **Philippine Animal Welfare Society (PAWS):** Ang PAWS ay isang kinikilalang animal welfare organization na may karanasan sa paghawak ng mga kaso ng animal cruelty. Maaari silang kontakin upang iulat ang pinaghihinalaang dogfighting at posibleng tumulong sa pangangalap ng ebidensya. * **Lokal na Pagpapatupad ng Batas:** Dapat maabisuhan ang mga awtoridad tungkol sa pinaghihinalaang aktibidad ng dogfighting. Habang ang kalupitan sa hayop ay maaaring hindi ang kanilang pangunahing priyoridad, ang isang ulat ng pulisya ay lumilikha ng isang talaan at nagtatatag ng isang timeline para sa potensyal na interbensyon sa hinaharap. **Pagtitipon ng Ebidensya:**
* **Mga Testimonya ng Saksi:** Ang sinumang nakasaksi ng kahina-hinalang aktibidad tulad ng mga pinsala sa mga aso, pakikipaglaban sa mga hukay sa likod-bahay, o kagamitan sa pagsasanay ay maaaring magbigay ng mga pahayag ng saksi sa PAWS o tagapagpatupad ng batas. * **Anonymous Tips:** Kung may natatakot na gumanti, ang anonymous na tip ay maaaring isumite sa PAWS o sa pamamagitan ng mga hotline na ibinigay ng ilang local government units.
**Mga Legal na Panukala para sa Pamamagitan:**
* **Search Warrant:** Kung ang sapat na ebidensya ay nagmumungkahi ng dogfighting na nagaganap, maaaring pahintulutan ng isang hukom ang isang search warrant para sa ari-arian. Ito ay magpapahintulot sa mga tagapagpatupad ng batas na makapasok sa lugar at imbestigahan ang pagkakaroon ng mga nakikipag-away na aso, kagamitan, o pinsala sa mga hayop. * **Republic Act No. 8485 (The Animal Welfare Act of 1998):** Ipinagbabawal ng Batas na ito ang kalupitan sa hayop, kabilang ang paggamit ng mga hayop para sa pakikipaglaban. Kung ang dogfighting ay nakumpirma, ang indibidwal ay maaaring kasuhan sa ilalim ng Batas na ito. * Kasama sa mga parusa ang mga multa at posibleng pagkakulong depende sa kalubhaan ng pagkakasala.
* **Animal Seizure and Care:** Kung ang mga asong ginamit para sa pakikipaglaban ay natagpuan, ang mga awtoridad ay maaaring sakupin ang mga ito at ilagay sila sa pangangalaga ng PAWS o iba pang organisasyon ng kapakanan ng mga hayop para sa rehabilitasyon at potensyal na rehoming.
**Mga Karagdagang Pagsasaalang-alang:**
* **Pagbuo ng Malakas na Kaso:** Ang ebidensya ay mahalaga. Ang mga testigo ng saksi, mga larawan (kung maaari), at mga ulat ng beterinaryo tungkol sa mga pinsala sa aso ay maaaring palakasin ang kaso laban sa operasyon ng dogfighting.
* **Pagkilos ng Komunidad:** Ang pagpapataas ng kamalayan sa komunidad tungkol sa dogfighting at paghikayat sa iba na mag-ulat ng mga pinaghihinalaang aktibidad ay maaaring magbigay ng presyon sa mga awtoridad na kumilos.
**Tandaan:** Ang dogfighting ay isang malubhang krimen, at ang interbensyon ay maaaring maprotektahan ang mga hayop mula sa kalupitan. Sa pamamagitan ng pag-uulat ng iyong mga hinala at pakikipagtulungan sa mga organisasyon ng kapakanan ng hayop at pagpapatupad ng batas, maaari kang tumulong na lansagin ang mga operasyong ito at matiyak ang kapakanan ng mga asong nasasangkot.</v>
      </c>
      <c r="F2696" s="2">
        <f t="shared" si="1"/>
        <v>0</v>
      </c>
      <c r="G2696" s="2"/>
      <c r="H2696" s="2"/>
      <c r="I2696" s="2"/>
      <c r="J2696" s="2"/>
      <c r="K2696" s="2"/>
      <c r="L2696" s="2"/>
      <c r="M2696" s="2"/>
      <c r="N2696" s="2"/>
      <c r="O2696" s="2"/>
      <c r="P2696" s="2"/>
      <c r="Q2696" s="2"/>
      <c r="R2696" s="2"/>
      <c r="S2696" s="2"/>
      <c r="T2696" s="2"/>
      <c r="U2696" s="2"/>
      <c r="V2696" s="2"/>
      <c r="W2696" s="2"/>
      <c r="X2696" s="2"/>
      <c r="Y2696" s="2"/>
      <c r="Z2696" s="2"/>
      <c r="AA2696" s="2"/>
    </row>
    <row r="2697">
      <c r="A2697" s="1" t="s">
        <v>6268</v>
      </c>
      <c r="B2697" s="1" t="s">
        <v>6365</v>
      </c>
      <c r="C2697" s="1" t="s">
        <v>6366</v>
      </c>
      <c r="D2697" s="2" t="str">
        <f>IFERROR(__xludf.DUMMYFUNCTION("GOOGLETRANSLATE(B2697, ""en"", ""TL"")"),"Ang isang saksi ay nagmamasid sa isang tao na inabandona ang isang alagang hayop sa isang malayong lugar. Anong mga legal na hakbang ang maaaring gawin upang panagutin ang indibidwal para sa pag-abandona ng hayop?")</f>
        <v>Ang isang saksi ay nagmamasid sa isang tao na inabandona ang isang alagang hayop sa isang malayong lugar. Anong mga legal na hakbang ang maaaring gawin upang panagutin ang indibidwal para sa pag-abandona ng hayop?</v>
      </c>
      <c r="E2697" s="2" t="str">
        <f>IFERROR(__xludf.DUMMYFUNCTION("GOOGLETRANSLATE(C2697, ""en"", ""TL"")"),"Ang testigo ay maaaring gumawa ng ilang legal na hakbang sa Pilipinas upang panagutin ang indibidwal para sa pag-abandona ng hayop, batay sa Republic Act No. 10631 o Animal Welfare Act of 1998:
**Pag-uulat ng Insidente:**
* **Barangay Animal Pound:** Maaa"&amp;"ring iulat ng saksi ang inabandunang hayop sa pinakamalapit na barangay animal pound. Ang mga opisyal ng barangay ay may responsibilidad na pangalagaan ang mga inabandunang hayop.
* **Philippine Animal Welfare Society (PAWS):** Ang PAWS ay isang kinikilal"&amp;"ang animal welfare organization. Maaari silang makipag-ugnayan upang iulat ang insidente at posibleng tumulong sa pagliligtas sa hayop. * **Lokal na Pagpapatupad ng Batas:** Bagama't hindi nila pangunahing tungkulin, maaaring iulat ng saksi ang insidente "&amp;"sa lokal na istasyon ng pulisya. Maaaring idokumento ng tagapagpatupad ng batas ang kaso at posibleng makilala ang may-ari sa pamamagitan ng microchip o collar na impormasyon ng hayop (kung magagamit).
**Legal na Aksyon Laban sa Inabandona:**
* **Sinuman "&amp;"ay maaaring magsampa ng reklamo** sa Department of Agriculture – Bureau of Animal Industry (DA-BAI) laban sa taong nag-abandona sa hayop. Maaari ding tumulong ang PAWS sa paghahain ng reklamo.
* **Seksyon 7 ng RA 10631** ay nagbabawal sa pag-abandona ng m"&amp;"ga hayop. Dapat idetalye ng reklamo ang insidente, kasama ang petsa, oras, lokasyon, at anumang paglalarawan ng taong nag-abandona sa alagang hayop.
* **Iimbestigahan ng DA-BAI** ang reklamo at mangalap ng ebidensya. Maaaring kabilang dito ang mga testimo"&amp;"nya ng saksi, mga pahayag ng saksi mula sa barangay o animal pound, at mga potensyal na talaan ng beterinaryo kung nakatanggap ng pangangalaga ang hayop.
**Potensyal na Mga Parusa:**
* Kung napatunayang nagkasala ng pag-abandona ng hayop, maaaring harapin"&amp;" ng lumalabag ang:
* **Mga multa** mula sa Tatlong Libong Piso (Php 3,000.00) hanggang Limang Libong Piso (Php 5,000.00) para sa unang paglabag.
* **Pagkulong** ng hanggang anim (6) na buwan hanggang isang (1) taon para sa mga kasunod na pagkakasala.
* Ma"&amp;"aari ding utusan ng korte ang lumabag na **bayaran ang pagkulong at pangangalaga** ng inabandunang hayop.
**Mga Karagdagang Pagsasaalang-alang:**
* **Proteksyon ng Saksi:** Kung ang saksi ay natatakot sa paghihiganti mula sa may-ari ng alagang hayop, maaa"&amp;"ri silang humiling ng hindi pagkakilala kapag nagsampa ng reklamo sa DA-BAI.
Sa pamamagitan ng pagsasagawa ng mga legal na hakbang na ito, makakatulong ang testigo na panagutin ang nang-aabuso ng hayop at posibleng mapabuti ang kapakanan ng inabandunang a"&amp;"lagang hayop.")</f>
        <v>Ang testigo ay maaaring gumawa ng ilang legal na hakbang sa Pilipinas upang panagutin ang indibidwal para sa pag-abandona ng hayop, batay sa Republic Act No. 10631 o Animal Welfare Act of 1998:
**Pag-uulat ng Insidente:**
* **Barangay Animal Pound:** Maaaring iulat ng saksi ang inabandunang hayop sa pinakamalapit na barangay animal pound. Ang mga opisyal ng barangay ay may responsibilidad na pangalagaan ang mga inabandunang hayop.
* **Philippine Animal Welfare Society (PAWS):** Ang PAWS ay isang kinikilalang animal welfare organization. Maaari silang makipag-ugnayan upang iulat ang insidente at posibleng tumulong sa pagliligtas sa hayop. * **Lokal na Pagpapatupad ng Batas:** Bagama't hindi nila pangunahing tungkulin, maaaring iulat ng saksi ang insidente sa lokal na istasyon ng pulisya. Maaaring idokumento ng tagapagpatupad ng batas ang kaso at posibleng makilala ang may-ari sa pamamagitan ng microchip o collar na impormasyon ng hayop (kung magagamit).
**Legal na Aksyon Laban sa Inabandona:**
* **Sinuman ay maaaring magsampa ng reklamo** sa Department of Agriculture – Bureau of Animal Industry (DA-BAI) laban sa taong nag-abandona sa hayop. Maaari ding tumulong ang PAWS sa paghahain ng reklamo.
* **Seksyon 7 ng RA 10631** ay nagbabawal sa pag-abandona ng mga hayop. Dapat idetalye ng reklamo ang insidente, kasama ang petsa, oras, lokasyon, at anumang paglalarawan ng taong nag-abandona sa alagang hayop.
* **Iimbestigahan ng DA-BAI** ang reklamo at mangalap ng ebidensya. Maaaring kabilang dito ang mga testimonya ng saksi, mga pahayag ng saksi mula sa barangay o animal pound, at mga potensyal na talaan ng beterinaryo kung nakatanggap ng pangangalaga ang hayop.
**Potensyal na Mga Parusa:**
* Kung napatunayang nagkasala ng pag-abandona ng hayop, maaaring harapin ng lumalabag ang:
* **Mga multa** mula sa Tatlong Libong Piso (Php 3,000.00) hanggang Limang Libong Piso (Php 5,000.00) para sa unang paglabag.
* **Pagkulong** ng hanggang anim (6) na buwan hanggang isang (1) taon para sa mga kasunod na pagkakasala.
* Maaari ding utusan ng korte ang lumabag na **bayaran ang pagkulong at pangangalaga** ng inabandunang hayop.
**Mga Karagdagang Pagsasaalang-alang:**
* **Proteksyon ng Saksi:** Kung ang saksi ay natatakot sa paghihiganti mula sa may-ari ng alagang hayop, maaari silang humiling ng hindi pagkakilala kapag nagsampa ng reklamo sa DA-BAI.
Sa pamamagitan ng pagsasagawa ng mga legal na hakbang na ito, makakatulong ang testigo na panagutin ang nang-aabuso ng hayop at posibleng mapabuti ang kapakanan ng inabandunang alagang hayop.</v>
      </c>
      <c r="F2697" s="2">
        <f t="shared" si="1"/>
        <v>0</v>
      </c>
      <c r="G2697" s="2"/>
      <c r="H2697" s="2"/>
      <c r="I2697" s="2"/>
      <c r="J2697" s="2"/>
      <c r="K2697" s="2"/>
      <c r="L2697" s="2"/>
      <c r="M2697" s="2"/>
      <c r="N2697" s="2"/>
      <c r="O2697" s="2"/>
      <c r="P2697" s="2"/>
      <c r="Q2697" s="2"/>
      <c r="R2697" s="2"/>
      <c r="S2697" s="2"/>
      <c r="T2697" s="2"/>
      <c r="U2697" s="2"/>
      <c r="V2697" s="2"/>
      <c r="W2697" s="2"/>
      <c r="X2697" s="2"/>
      <c r="Y2697" s="2"/>
      <c r="Z2697" s="2"/>
      <c r="AA2697" s="2"/>
    </row>
    <row r="2698">
      <c r="A2698" s="1" t="s">
        <v>6268</v>
      </c>
      <c r="B2698" s="1" t="s">
        <v>6367</v>
      </c>
      <c r="C2698" s="1" t="s">
        <v>6368</v>
      </c>
      <c r="D2698" s="2" t="str">
        <f>IFERROR(__xludf.DUMMYFUNCTION("GOOGLETRANSLATE(B2698, ""en"", ""TL"")"),"Inakusahan ang isang korporasyon na nagdudulot ng polusyon na pumipinsala sa marine life. Anong mga legal na aksyon ang maaaring gawin upang matugunan ang parehong mga alalahanin sa kapaligiran at kapakanan ng hayop?")</f>
        <v>Inakusahan ang isang korporasyon na nagdudulot ng polusyon na pumipinsala sa marine life. Anong mga legal na aksyon ang maaaring gawin upang matugunan ang parehong mga alalahanin sa kapaligiran at kapakanan ng hayop?</v>
      </c>
      <c r="E2698" s="2" t="str">
        <f>IFERROR(__xludf.DUMMYFUNCTION("GOOGLETRANSLATE(C2698, ""en"", ""TL"")"),"Narito ang isang breakdown ng mga legal na aksyon na maaaring gawin sa Pilipinas upang matugunan ang mga alalahanin sa kapaligiran at kapakanan ng hayop kapag ang isang korporasyon ay inakusahan na nagdudulot ng polusyon na pumipinsala sa buhay dagat:
**M"&amp;"ga Batas sa Kapaligiran:**
* **Republic Act No. 8749 (Clean Air Act):** Kung kasama sa polusyon ang mga air emissions na nakakapinsala sa marine ecosystem, maaaring ituloy ang mga paglabag sa Batas na ito.
* **Republic Act No. 9275 (Clean Water Act):** It"&amp;"o ang pangunahing batas para sa pamamahala ng kalidad ng tubig. Maaaring ipatupad ang mga paglabag na may kaugnayan sa pag-discharge ng mga pollutant sa tubig-dagat.
* **Presidential Decree No. 1586 (Philippine Environmental Impact Statement System):** Ku"&amp;"ng ang korporasyon ay nabigo sa pagkuha ng mga kinakailangang environmental permit o nilabag ang mga kondisyon ng isang umiiral na Environmental Compliance Certificate (ECC), ang kautusang ito ay maaaring gamitin.
**Mga Parusa para sa Mga Paglabag sa Kapa"&amp;"ligiran:**
* Mga multa batay sa kalubhaan ng pagkakasala at pinsalang idinulot.
* Pagkakulong ng mga opisyal ng kumpanya kung sakaling magkaroon ng matinding kapabayaan o sadyang paglabag.
* Pagkansela o pagsususpinde ng mga business permit at/o ECC.
* Pa"&amp;"gpapalabas ng Clean-Up Order para sa korporasyon upang tugunan ang polusyon at ibalik ang kapaligiran.
**Kagalingan ng Hayop:**
* **Republic Act No. 8485 (The Animal Welfare Act of 1998):** Bagama't hindi direktang tinutugunan ang buhay dagat, ang ilan ay"&amp;" nangangatwiran na ang Batas na ito ay maaaring ilapat nang hindi direkta. * Ipinagbabawal ng Seksyon 5 ang pagdudulot ng hindi kinakailangang pagdurusa o pananakit sa anumang hayop. Ang buhay dagat ay maaaring ituring na ""mga hayop"" sa ilalim ng malawa"&amp;"k na interpretasyon.
**Mga Karagdagang Legal na Opsyon:**
* **Civil Klage (Civil Lawsuit):** Ang mga mangingisda, mga komunidad sa baybayin, o NGO ay maaaring magsampa ng kasong sibil laban sa korporasyon para sa mga pinsalang dulot ng polusyon sa kanilan"&amp;"g kabuhayan at sa kapaligiran ng dagat.
* **Mandamus Petition:** Maaaring magsampa ng petisyon upang pilitin ang mga ahensya ng gobyerno na may katungkulan sa pangangalaga sa kapaligiran na ipatupad ang mga batas sa kapaligiran laban sa korporasyon.
**Mga"&amp;" Ahensya ng Pamahalaan:**
* **Department of Environment and Natural Resources (DENR):** Ang pangunahing ahensya na responsable sa pagpapatupad ng mga batas sa kapaligiran. Maaari nilang imbestigahan ang polusyon, mag-isyu ng mga abiso sa paglabag, at magp"&amp;"ataw ng mga parusa.
* **Bureau of Fisheries and Aquatic Resources (BFAR):** Ang BFAR ay gumaganap ng papel sa pagprotekta sa yamang dagat at maaaring masangkot sa mga pagsisiyasat na may kaugnayan sa pinsalang idinulot sa marine life.
**Mga Hamon at Pagsa"&amp;"saalang-alang:**
* **Pagtitipon ng Ebidensya:** Ang pagbuo ng isang matibay na kaso ay nangangailangan ng siyentipikong ebidensya na nag-uugnay sa polusyon ng korporasyon sa pinsalang dulot ng buhay-dagat.
* **Legal na Representasyon:** Ang batas sa kapal"&amp;"igiran at kapakanan ng hayop ay maaaring kumplikado. Ang pagkonsulta sa isang abogadong may karanasan sa mga lugar na ito ay ipinapayong.
* **Mahabang Proseso:** Ang mga legal na paglilitis ay maaaring mahaba. Ang pagtitiyaga ay susi sa pagtataguyod ng hu"&amp;"stisya sa kapaligiran.
**Sa pangkalahatan, ang kumbinasyon ng mga legal na kasangkapan sa ilalim ng batas ng Pilipinas ay maaaring gamitin upang tugunan ang parehong pinsala sa kapaligiran at ang pinsalang dulot ng polusyon ng korporasyon sa buhay-dagat.*"&amp;"*")</f>
        <v>Narito ang isang breakdown ng mga legal na aksyon na maaaring gawin sa Pilipinas upang matugunan ang mga alalahanin sa kapaligiran at kapakanan ng hayop kapag ang isang korporasyon ay inakusahan na nagdudulot ng polusyon na pumipinsala sa buhay dagat:
**Mga Batas sa Kapaligiran:**
* **Republic Act No. 8749 (Clean Air Act):** Kung kasama sa polusyon ang mga air emissions na nakakapinsala sa marine ecosystem, maaaring ituloy ang mga paglabag sa Batas na ito.
* **Republic Act No. 9275 (Clean Water Act):** Ito ang pangunahing batas para sa pamamahala ng kalidad ng tubig. Maaaring ipatupad ang mga paglabag na may kaugnayan sa pag-discharge ng mga pollutant sa tubig-dagat.
* **Presidential Decree No. 1586 (Philippine Environmental Impact Statement System):** Kung ang korporasyon ay nabigo sa pagkuha ng mga kinakailangang environmental permit o nilabag ang mga kondisyon ng isang umiiral na Environmental Compliance Certificate (ECC), ang kautusang ito ay maaaring gamitin.
**Mga Parusa para sa Mga Paglabag sa Kapaligiran:**
* Mga multa batay sa kalubhaan ng pagkakasala at pinsalang idinulot.
* Pagkakulong ng mga opisyal ng kumpanya kung sakaling magkaroon ng matinding kapabayaan o sadyang paglabag.
* Pagkansela o pagsususpinde ng mga business permit at/o ECC.
* Pagpapalabas ng Clean-Up Order para sa korporasyon upang tugunan ang polusyon at ibalik ang kapaligiran.
**Kagalingan ng Hayop:**
* **Republic Act No. 8485 (The Animal Welfare Act of 1998):** Bagama't hindi direktang tinutugunan ang buhay dagat, ang ilan ay nangangatwiran na ang Batas na ito ay maaaring ilapat nang hindi direkta. * Ipinagbabawal ng Seksyon 5 ang pagdudulot ng hindi kinakailangang pagdurusa o pananakit sa anumang hayop. Ang buhay dagat ay maaaring ituring na "mga hayop" sa ilalim ng malawak na interpretasyon.
**Mga Karagdagang Legal na Opsyon:**
* **Civil Klage (Civil Lawsuit):** Ang mga mangingisda, mga komunidad sa baybayin, o NGO ay maaaring magsampa ng kasong sibil laban sa korporasyon para sa mga pinsalang dulot ng polusyon sa kanilang kabuhayan at sa kapaligiran ng dagat.
* **Mandamus Petition:** Maaaring magsampa ng petisyon upang pilitin ang mga ahensya ng gobyerno na may katungkulan sa pangangalaga sa kapaligiran na ipatupad ang mga batas sa kapaligiran laban sa korporasyon.
**Mga Ahensya ng Pamahalaan:**
* **Department of Environment and Natural Resources (DENR):** Ang pangunahing ahensya na responsable sa pagpapatupad ng mga batas sa kapaligiran. Maaari nilang imbestigahan ang polusyon, mag-isyu ng mga abiso sa paglabag, at magpataw ng mga parusa.
* **Bureau of Fisheries and Aquatic Resources (BFAR):** Ang BFAR ay gumaganap ng papel sa pagprotekta sa yamang dagat at maaaring masangkot sa mga pagsisiyasat na may kaugnayan sa pinsalang idinulot sa marine life.
**Mga Hamon at Pagsasaalang-alang:**
* **Pagtitipon ng Ebidensya:** Ang pagbuo ng isang matibay na kaso ay nangangailangan ng siyentipikong ebidensya na nag-uugnay sa polusyon ng korporasyon sa pinsalang dulot ng buhay-dagat.
* **Legal na Representasyon:** Ang batas sa kapaligiran at kapakanan ng hayop ay maaaring kumplikado. Ang pagkonsulta sa isang abogadong may karanasan sa mga lugar na ito ay ipinapayong.
* **Mahabang Proseso:** Ang mga legal na paglilitis ay maaaring mahaba. Ang pagtitiyaga ay susi sa pagtataguyod ng hustisya sa kapaligiran.
**Sa pangkalahatan, ang kumbinasyon ng mga legal na kasangkapan sa ilalim ng batas ng Pilipinas ay maaaring gamitin upang tugunan ang parehong pinsala sa kapaligiran at ang pinsalang dulot ng polusyon ng korporasyon sa buhay-dagat.**</v>
      </c>
      <c r="F2698" s="2">
        <f t="shared" si="1"/>
        <v>0</v>
      </c>
      <c r="G2698" s="2"/>
      <c r="H2698" s="2"/>
      <c r="I2698" s="2"/>
      <c r="J2698" s="2"/>
      <c r="K2698" s="2"/>
      <c r="L2698" s="2"/>
      <c r="M2698" s="2"/>
      <c r="N2698" s="2"/>
      <c r="O2698" s="2"/>
      <c r="P2698" s="2"/>
      <c r="Q2698" s="2"/>
      <c r="R2698" s="2"/>
      <c r="S2698" s="2"/>
      <c r="T2698" s="2"/>
      <c r="U2698" s="2"/>
      <c r="V2698" s="2"/>
      <c r="W2698" s="2"/>
      <c r="X2698" s="2"/>
      <c r="Y2698" s="2"/>
      <c r="Z2698" s="2"/>
      <c r="AA2698" s="2"/>
    </row>
    <row r="2699">
      <c r="A2699" s="1" t="s">
        <v>6268</v>
      </c>
      <c r="B2699" s="1" t="s">
        <v>6369</v>
      </c>
      <c r="C2699" s="1" t="s">
        <v>6370</v>
      </c>
      <c r="D2699" s="2" t="str">
        <f>IFERROR(__xludf.DUMMYFUNCTION("GOOGLETRANSLATE(B2699, ""en"", ""TL"")"),"Ikaw ay isang tagausig na humahawak ng isang kaso kung saan ang isang may-ari ng alagang hayop ay inakusahan ng sadyang nagdulot ng pinsala sa kanilang mga hayop. Anong mga legal na pagsasaalang-alang ang dapat gumabay sa prosekusyon upang matiyak ang hus"&amp;"tisya para sa mga hayop?")</f>
        <v>Ikaw ay isang tagausig na humahawak ng isang kaso kung saan ang isang may-ari ng alagang hayop ay inakusahan ng sadyang nagdulot ng pinsala sa kanilang mga hayop. Anong mga legal na pagsasaalang-alang ang dapat gumabay sa prosekusyon upang matiyak ang hustisya para sa mga hayop?</v>
      </c>
      <c r="E2699" s="2" t="str">
        <f>IFERROR(__xludf.DUMMYFUNCTION("GOOGLETRANSLATE(C2699, ""en"", ""TL"")"),"## Mga Legal na Pagsasaalang-alang para sa Pag-uusig sa Animal Cruelty sa Pilipinas
Bilang isang tagausig na humahawak sa isang kaso ng kalupitan sa hayop, ang iyong pangunahing layunin ay makamit ang hustisya para sa mga hayop sa pamamagitan ng pagtiyak "&amp;"ng paghatol batay sa mga nauugnay na batas ng Pilipinas. Narito ang ilang pangunahing legal na pagsasaalang-alang upang gabayan ka:
**Batas:**
* **Republic Act No. 8485 (The Animal Welfare Act of 1998):** Ito ang pangunahing batas para sa kapakanan ng hay"&amp;"op sa Pilipinas. Tumutok sa mga nauugnay na seksyon tulad ng:
* **Seksyon 5:** Ipinagbabawal ang sinumang tao na magdulot ng hindi kinakailangang pagdurusa o pananakit sa anumang hayop. * **Seksyon 6:** Tinutukoy ang mga partikular na gawain ng kalupitan,"&amp;" kabilang ang tortyur, mutilation, pagpapabaya, pag-iiwan ng mga hayop sa mga pampublikong lugar, at paggamit ng mga hayop para sa pakikipag-away o pananaliksik nang walang wastong awtoridad.
* **Presidential Decree No. 16:** Ang kautusang ito ay nagpapar"&amp;"usa din sa kalupitan sa hayop.
**Pagbuo ng Malakas na Kaso:**
* **Koleksyon ng Ebidensya:** Magtipon ng matibay na ebidensya upang patunayan ang mga pinsala ng hayop at ang sinadyang pagkilos ng may-ari na magdulot ng pinsala. Maaaring kabilang dito ang:
"&amp;"* **Mga Ulat ng Beterinaryo:** Mga medikal na rekord na nagdodokumento ng mga pinsala, sanhi ng hayop (kung posible), at mga pangangailangan sa paggamot.
* **Testimonya ng Saksi:** Mga pahayag mula sa mga indibidwal na nakasaksi ng pang-aabuso o may kaala"&amp;"man sa pagpapabaya ng may-ari.
* **Mga Larawan o Video:** Visual na ebidensya ng mga pinsala ng hayop o ang mga mapang-abusong kondisyon.
**Nagpapalubha na Salik:**
* I-highlight ang anumang nagpapalubha na mga salik na maaaring magpapataas ng parusa para"&amp;" sa akusado. Maaaring kabilang dito ang:
* **Kalubhaan ng mga Pinsala:** Ang lawak ng pagdurusa ng hayop na dulot ng pang-aabuso. * **Mga Naunang Pagkakasala:** Kung ang may-ari ay may kasaysayan ng kalupitan sa hayop.
* **Endangered Species:** Kung ang h"&amp;"ayop ay kabilang sa isang protektado o endangered species.
**Legal na Kinatawan para sa Mga Hayop:**
* Habang ang mga hayop ay walang legal na katayuan sa korte, ang Philippine Animal Welfare Society (PAWS) ay maaaring kumilos bilang isang kinatawan para "&amp;"sa kapakanan ng hayop. Isaalang-alang ang pakikipagtulungan sa PAWS para sa legal na suporta at kadalubhasaan.
**Mga Pagpipilian sa Pagsentensiya:**
* Depende sa kalubhaan ng pagkakasala at sa mga partikular na probisyon ng RA 8485 na nilabag, ang hukuman"&amp;" ay maaaring magpataw ng mga parusa tulad ng:
* Pagkakulong ng hanggang dalawang (2) taon
* Mga multa hanggang Limang Libong Piso (Php 5,000.00)
* Disqualification mula sa pagmamay-ari ng mga hayop
**Pampublikong Kamalayan:**
* Isaalang-alang ang mga para"&amp;"an upang itaas ang kamalayan ng publiko tungkol sa kaso. Maaari itong hadlangan ang kalupitan ng hayop sa hinaharap at mahikayat ang responsableng pagmamay-ari ng alagang hayop. **Mga Etikal na Pagsasaalang-alang:**
* Alalahanin ang iyong etikal na obliga"&amp;"syon upang matiyak na ang hayop ay tumatanggap ng wastong pangangalaga sa beterinaryo at potensyal na rehabilitasyon, kahit na ang isang paghatol ay hindi natiyak. Makipagtulungan sa mga organisasyon ng kapakanan ng hayop para sa naaangkop na paglalagay k"&amp;"ung kinakailangan.
Sa pamamagitan ng pagsunod sa mga legal na pagsasaalang-alang na ito at pagbuo ng isang malakas na kaso, maaari mong dagdagan ang mga pagkakataon ng isang matagumpay na pag-uusig at makamit ang hustisya para sa mga hayop na kasangkot.")</f>
        <v>## Mga Legal na Pagsasaalang-alang para sa Pag-uusig sa Animal Cruelty sa Pilipinas
Bilang isang tagausig na humahawak sa isang kaso ng kalupitan sa hayop, ang iyong pangunahing layunin ay makamit ang hustisya para sa mga hayop sa pamamagitan ng pagtiyak ng paghatol batay sa mga nauugnay na batas ng Pilipinas. Narito ang ilang pangunahing legal na pagsasaalang-alang upang gabayan ka:
**Batas:**
* **Republic Act No. 8485 (The Animal Welfare Act of 1998):** Ito ang pangunahing batas para sa kapakanan ng hayop sa Pilipinas. Tumutok sa mga nauugnay na seksyon tulad ng:
* **Seksyon 5:** Ipinagbabawal ang sinumang tao na magdulot ng hindi kinakailangang pagdurusa o pananakit sa anumang hayop. * **Seksyon 6:** Tinutukoy ang mga partikular na gawain ng kalupitan, kabilang ang tortyur, mutilation, pagpapabaya, pag-iiwan ng mga hayop sa mga pampublikong lugar, at paggamit ng mga hayop para sa pakikipag-away o pananaliksik nang walang wastong awtoridad.
* **Presidential Decree No. 16:** Ang kautusang ito ay nagpaparusa din sa kalupitan sa hayop.
**Pagbuo ng Malakas na Kaso:**
* **Koleksyon ng Ebidensya:** Magtipon ng matibay na ebidensya upang patunayan ang mga pinsala ng hayop at ang sinadyang pagkilos ng may-ari na magdulot ng pinsala. Maaaring kabilang dito ang:
* **Mga Ulat ng Beterinaryo:** Mga medikal na rekord na nagdodokumento ng mga pinsala, sanhi ng hayop (kung posible), at mga pangangailangan sa paggamot.
* **Testimonya ng Saksi:** Mga pahayag mula sa mga indibidwal na nakasaksi ng pang-aabuso o may kaalaman sa pagpapabaya ng may-ari.
* **Mga Larawan o Video:** Visual na ebidensya ng mga pinsala ng hayop o ang mga mapang-abusong kondisyon.
**Nagpapalubha na Salik:**
* I-highlight ang anumang nagpapalubha na mga salik na maaaring magpapataas ng parusa para sa akusado. Maaaring kabilang dito ang:
* **Kalubhaan ng mga Pinsala:** Ang lawak ng pagdurusa ng hayop na dulot ng pang-aabuso. * **Mga Naunang Pagkakasala:** Kung ang may-ari ay may kasaysayan ng kalupitan sa hayop.
* **Endangered Species:** Kung ang hayop ay kabilang sa isang protektado o endangered species.
**Legal na Kinatawan para sa Mga Hayop:**
* Habang ang mga hayop ay walang legal na katayuan sa korte, ang Philippine Animal Welfare Society (PAWS) ay maaaring kumilos bilang isang kinatawan para sa kapakanan ng hayop. Isaalang-alang ang pakikipagtulungan sa PAWS para sa legal na suporta at kadalubhasaan.
**Mga Pagpipilian sa Pagsentensiya:**
* Depende sa kalubhaan ng pagkakasala at sa mga partikular na probisyon ng RA 8485 na nilabag, ang hukuman ay maaaring magpataw ng mga parusa tulad ng:
* Pagkakulong ng hanggang dalawang (2) taon
* Mga multa hanggang Limang Libong Piso (Php 5,000.00)
* Disqualification mula sa pagmamay-ari ng mga hayop
**Pampublikong Kamalayan:**
* Isaalang-alang ang mga paraan upang itaas ang kamalayan ng publiko tungkol sa kaso. Maaari itong hadlangan ang kalupitan ng hayop sa hinaharap at mahikayat ang responsableng pagmamay-ari ng alagang hayop. **Mga Etikal na Pagsasaalang-alang:**
* Alalahanin ang iyong etikal na obligasyon upang matiyak na ang hayop ay tumatanggap ng wastong pangangalaga sa beterinaryo at potensyal na rehabilitasyon, kahit na ang isang paghatol ay hindi natiyak. Makipagtulungan sa mga organisasyon ng kapakanan ng hayop para sa naaangkop na paglalagay kung kinakailangan.
Sa pamamagitan ng pagsunod sa mga legal na pagsasaalang-alang na ito at pagbuo ng isang malakas na kaso, maaari mong dagdagan ang mga pagkakataon ng isang matagumpay na pag-uusig at makamit ang hustisya para sa mga hayop na kasangkot.</v>
      </c>
      <c r="F2699" s="2">
        <f t="shared" si="1"/>
        <v>0</v>
      </c>
      <c r="G2699" s="2"/>
      <c r="H2699" s="2"/>
      <c r="I2699" s="2"/>
      <c r="J2699" s="2"/>
      <c r="K2699" s="2"/>
      <c r="L2699" s="2"/>
      <c r="M2699" s="2"/>
      <c r="N2699" s="2"/>
      <c r="O2699" s="2"/>
      <c r="P2699" s="2"/>
      <c r="Q2699" s="2"/>
      <c r="R2699" s="2"/>
      <c r="S2699" s="2"/>
      <c r="T2699" s="2"/>
      <c r="U2699" s="2"/>
      <c r="V2699" s="2"/>
      <c r="W2699" s="2"/>
      <c r="X2699" s="2"/>
      <c r="Y2699" s="2"/>
      <c r="Z2699" s="2"/>
      <c r="AA2699" s="2"/>
    </row>
    <row r="2700">
      <c r="A2700" s="1" t="s">
        <v>6268</v>
      </c>
      <c r="B2700" s="1" t="s">
        <v>6371</v>
      </c>
      <c r="C2700" s="1" t="s">
        <v>6372</v>
      </c>
      <c r="D2700" s="2" t="str">
        <f>IFERROR(__xludf.DUMMYFUNCTION("GOOGLETRANSLATE(B2700, ""en"", ""TL"")"),"Natuklasan ang isang grupo ng mga indibidwal na nakikibahagi sa ilegal na kalakalan ng wildlife, kabilang ang mga endangered species. Anong mga legal na hakbang ang maaaring gawin upang lansagin ang operasyon ng trafficking at protektahan ang kapakanan ng"&amp;" mga na-traffic na hayop?")</f>
        <v>Natuklasan ang isang grupo ng mga indibidwal na nakikibahagi sa ilegal na kalakalan ng wildlife, kabilang ang mga endangered species. Anong mga legal na hakbang ang maaaring gawin upang lansagin ang operasyon ng trafficking at protektahan ang kapakanan ng mga na-traffic na hayop?</v>
      </c>
      <c r="E2700" s="2" t="str">
        <f>IFERROR(__xludf.DUMMYFUNCTION("GOOGLETRANSLATE(C2700, ""en"", ""TL"")"),"Ang pagtanggal sa isang operasyon ng wildlife trafficking ay nangangailangan ng multi-pronged na legal na diskarte. Narito ang ilang potensyal na hakbang:
**1. Mga Pagkilos sa Pagpapatupad ng Batas:**
* **Pagsisiyasat:** Ang mga awtoridad ng wildlife, na "&amp;"posibleng sa pakikipagtulungan sa iba pang ahensyang nagpapatupad ng batas, ay maaaring magsimula ng imbestigasyon upang mangalap ng ebidensya laban sa mga trafficker. Maaaring kabilang dito ang mga undercover na operasyon, pagsubaybay, at pagsubaybay sa "&amp;"pananalapi. (hal., Philippine National Bureau of Investigation (NBI))
* **Mga Pag-aresto at Kasuhan:** Batay sa mga nakalap na ebidensya, maaaring arestuhin ng mga awtoridad ang mga sangkot sa operasyon ng trafficking. Depende sa kalubhaan ng pagkakasala "&amp;"at sa mga species na kasangkot, ang mga singil ay maaaring kabilang ang:
* Mga paglabag sa mga pambansang batas sa pangangalakal ng wildlife (hal., Republic Act No. 9147 o ang Wildlife Resources Conservation and Protection Act sa Pilipinas)
* Mga internas"&amp;"yonal na kasunduan sa wildlife trafficking (hal., Convention on International Trade in Endangered Species of Wild Fauna and Flora - CITES)
* Mga singil sa money laundering, kung naaangkop
**2. Pag-agaw at Pagkumpiska:**
* **Mga Hayop:** Ang mga na-traffic"&amp;" na hayop ay dapat kunin at dalhin sa pangangalaga ng mga kwalipikadong wildlife rehabilitation center o zoo na may karanasan sa paghawak ng mga nakumpiskang hayop. * **Mga Asset:** Anumang mga asset na nauugnay sa operasyon ng trafficking, tulad ng mga s"&amp;"asakyan, pera, o ari-arian na ginamit upang mapadali ang krimen, ay maaaring kumpiskahin ng mga awtoridad.
**3. Pag-uusig at Mga Parusa:**
* **Kaso sa Korte:** Ang mga nahuli na indibidwal ay mahaharap sa pag-uusig sa korte. Ang kalubhaan ng mga parusa ay"&amp;" magdedepende sa mga partikular na singil at inilapat na batas. Maaaring kabilang sa mga parusa ang:
* Pagkakulong
* Mga multa
* Mga pagbabawal sa hinaharap na paglahok sa mga aktibidad sa pangangalakal ng wildlife
**4. International Cooperation:**
* **An"&amp;"g wildlife trafficking ay kadalasang transnational.** Kung ang operasyon ay nagsasangkot ng mga internasyonal na hangganan, ang pakikipagtulungan sa mga ahensyang nagpapatupad ng wildlife sa ibang mga bansa ay maaaring maging mahalaga para sa pagbuwag sa "&amp;"buong network.
* **Pagbabahagi ng impormasyon at mga coordinated na aksyon** ay maaaring mapadali sa pamamagitan ng mga internasyonal na kasunduan tulad ng CITES.
**5. Pagprotekta sa mga Na-traffic na Hayop:**
* **Pag-aalaga sa Beterinaryo:** Ang mga naku"&amp;"mpiskang hayop ay kadalasang nangangailangan ng agarang pangangalaga sa beterinaryo dahil sa mga pinsala, malnutrisyon, o mga sakit na nakukuha sa panahon ng transportasyon.
* **Rehabilitasyon at Pagpapalaya:** Ang pinakalayunin ay i-rehabilitate ang mga "&amp;"nakumpiskang hayop hangga't maaari at ilabas ang mga ito pabalik sa kanilang natural na tirahan. * **Sanctuary Care:** Para sa mga hayop na hindi maaaring palayain dahil sa permanenteng pinsala o kawalan ng ligtas na tirahan, ang paglalagay sa mga kagalan"&amp;"g-galang na santuwaryo ay isang opsyon. **Mga Karagdagang Pagsasaalang-alang:**
* **Mga Kampanya sa Pampublikong Kamalayan:** Ang pagpapataas ng kamalayan ng publiko tungkol sa mga panganib ng wildlife trafficking ay maaaring makatulong na bawasan ang pan"&amp;"gangailangan para sa mga ilegal na produkto ng wildlife at hadlangan ang mga potensyal na trafficker.
* **Pagpapalakas ng Lehislasyon:** Ang regular na pagsusuri at potensyal na pagpapalakas ng mga pambansang batas sa proteksyon ng wildlife ay maaaring ma"&amp;"katulong na matugunan ang mga umuusbong na banta at malapit na mga butas na pinagsamantalahan ng mga trafficker.
Sa pamamagitan ng pagsasagawa ng mga legal na hakbang na ito, maaaring lansagin ng mga awtoridad ang mga operasyon ng wildlife trafficking, pa"&amp;"nagutin ang mga may kasalanan, at tiyakin ang kapakanan ng mga na-traffic na hayop.")</f>
        <v>Ang pagtanggal sa isang operasyon ng wildlife trafficking ay nangangailangan ng multi-pronged na legal na diskarte. Narito ang ilang potensyal na hakbang:
**1. Mga Pagkilos sa Pagpapatupad ng Batas:**
* **Pagsisiyasat:** Ang mga awtoridad ng wildlife, na posibleng sa pakikipagtulungan sa iba pang ahensyang nagpapatupad ng batas, ay maaaring magsimula ng imbestigasyon upang mangalap ng ebidensya laban sa mga trafficker. Maaaring kabilang dito ang mga undercover na operasyon, pagsubaybay, at pagsubaybay sa pananalapi. (hal., Philippine National Bureau of Investigation (NBI))
* **Mga Pag-aresto at Kasuhan:** Batay sa mga nakalap na ebidensya, maaaring arestuhin ng mga awtoridad ang mga sangkot sa operasyon ng trafficking. Depende sa kalubhaan ng pagkakasala at sa mga species na kasangkot, ang mga singil ay maaaring kabilang ang:
* Mga paglabag sa mga pambansang batas sa pangangalakal ng wildlife (hal., Republic Act No. 9147 o ang Wildlife Resources Conservation and Protection Act sa Pilipinas)
* Mga internasyonal na kasunduan sa wildlife trafficking (hal., Convention on International Trade in Endangered Species of Wild Fauna and Flora - CITES)
* Mga singil sa money laundering, kung naaangkop
**2. Pag-agaw at Pagkumpiska:**
* **Mga Hayop:** Ang mga na-traffic na hayop ay dapat kunin at dalhin sa pangangalaga ng mga kwalipikadong wildlife rehabilitation center o zoo na may karanasan sa paghawak ng mga nakumpiskang hayop. * **Mga Asset:** Anumang mga asset na nauugnay sa operasyon ng trafficking, tulad ng mga sasakyan, pera, o ari-arian na ginamit upang mapadali ang krimen, ay maaaring kumpiskahin ng mga awtoridad.
**3. Pag-uusig at Mga Parusa:**
* **Kaso sa Korte:** Ang mga nahuli na indibidwal ay mahaharap sa pag-uusig sa korte. Ang kalubhaan ng mga parusa ay magdedepende sa mga partikular na singil at inilapat na batas. Maaaring kabilang sa mga parusa ang:
* Pagkakulong
* Mga multa
* Mga pagbabawal sa hinaharap na paglahok sa mga aktibidad sa pangangalakal ng wildlife
**4. International Cooperation:**
* **Ang wildlife trafficking ay kadalasang transnational.** Kung ang operasyon ay nagsasangkot ng mga internasyonal na hangganan, ang pakikipagtulungan sa mga ahensyang nagpapatupad ng wildlife sa ibang mga bansa ay maaaring maging mahalaga para sa pagbuwag sa buong network.
* **Pagbabahagi ng impormasyon at mga coordinated na aksyon** ay maaaring mapadali sa pamamagitan ng mga internasyonal na kasunduan tulad ng CITES.
**5. Pagprotekta sa mga Na-traffic na Hayop:**
* **Pag-aalaga sa Beterinaryo:** Ang mga nakumpiskang hayop ay kadalasang nangangailangan ng agarang pangangalaga sa beterinaryo dahil sa mga pinsala, malnutrisyon, o mga sakit na nakukuha sa panahon ng transportasyon.
* **Rehabilitasyon at Pagpapalaya:** Ang pinakalayunin ay i-rehabilitate ang mga nakumpiskang hayop hangga't maaari at ilabas ang mga ito pabalik sa kanilang natural na tirahan. * **Sanctuary Care:** Para sa mga hayop na hindi maaaring palayain dahil sa permanenteng pinsala o kawalan ng ligtas na tirahan, ang paglalagay sa mga kagalang-galang na santuwaryo ay isang opsyon. **Mga Karagdagang Pagsasaalang-alang:**
* **Mga Kampanya sa Pampublikong Kamalayan:** Ang pagpapataas ng kamalayan ng publiko tungkol sa mga panganib ng wildlife trafficking ay maaaring makatulong na bawasan ang pangangailangan para sa mga ilegal na produkto ng wildlife at hadlangan ang mga potensyal na trafficker.
* **Pagpapalakas ng Lehislasyon:** Ang regular na pagsusuri at potensyal na pagpapalakas ng mga pambansang batas sa proteksyon ng wildlife ay maaaring makatulong na matugunan ang mga umuusbong na banta at malapit na mga butas na pinagsamantalahan ng mga trafficker.
Sa pamamagitan ng pagsasagawa ng mga legal na hakbang na ito, maaaring lansagin ng mga awtoridad ang mga operasyon ng wildlife trafficking, panagutin ang mga may kasalanan, at tiyakin ang kapakanan ng mga na-traffic na hayop.</v>
      </c>
      <c r="F2700" s="2">
        <f t="shared" si="1"/>
        <v>0</v>
      </c>
      <c r="G2700" s="2"/>
      <c r="H2700" s="2"/>
      <c r="I2700" s="2"/>
      <c r="J2700" s="2"/>
      <c r="K2700" s="2"/>
      <c r="L2700" s="2"/>
      <c r="M2700" s="2"/>
      <c r="N2700" s="2"/>
      <c r="O2700" s="2"/>
      <c r="P2700" s="2"/>
      <c r="Q2700" s="2"/>
      <c r="R2700" s="2"/>
      <c r="S2700" s="2"/>
      <c r="T2700" s="2"/>
      <c r="U2700" s="2"/>
      <c r="V2700" s="2"/>
      <c r="W2700" s="2"/>
      <c r="X2700" s="2"/>
      <c r="Y2700" s="2"/>
      <c r="Z2700" s="2"/>
      <c r="AA2700" s="2"/>
    </row>
    <row r="2701">
      <c r="A2701" s="3" t="s">
        <v>6373</v>
      </c>
      <c r="B2701" s="1" t="s">
        <v>3888</v>
      </c>
      <c r="C2701" s="3" t="s">
        <v>6374</v>
      </c>
      <c r="D2701" s="2" t="str">
        <f>IFERROR(__xludf.DUMMYFUNCTION("GOOGLETRANSLATE(B2701, ""en"", ""TL"")"),"Ano ang minimum wage sa Pilipinas?")</f>
        <v>Ano ang minimum wage sa Pilipinas?</v>
      </c>
      <c r="E2701" s="2" t="str">
        <f>IFERROR(__xludf.DUMMYFUNCTION("GOOGLETRANSLATE(C2701, ""en"", ""TL"")"),"Bagama't hindi direktang itinakda ng Konstitusyon o ng iisang Republic Act, ang pinakamababang sahod sa Pilipinas ay tinutukoy ng mga regional wage boards na sumusunod sa mga alituntuning itinakda ng Department of Labor and Employment (DOLE). Ang mga wage"&amp;" order na ito ay inilabas sa ilalim ng Republic Act No. 6727, na kilala rin bilang Wage Rationalization Act.")</f>
        <v>Bagama't hindi direktang itinakda ng Konstitusyon o ng iisang Republic Act, ang pinakamababang sahod sa Pilipinas ay tinutukoy ng mga regional wage boards na sumusunod sa mga alituntuning itinakda ng Department of Labor and Employment (DOLE). Ang mga wage order na ito ay inilabas sa ilalim ng Republic Act No. 6727, na kilala rin bilang Wage Rationalization Act.</v>
      </c>
      <c r="F2701" s="2">
        <f t="shared" si="1"/>
        <v>0</v>
      </c>
      <c r="G2701" s="2"/>
      <c r="H2701" s="2"/>
      <c r="I2701" s="2"/>
      <c r="J2701" s="2"/>
      <c r="K2701" s="2"/>
      <c r="L2701" s="2"/>
      <c r="M2701" s="2"/>
      <c r="N2701" s="2"/>
      <c r="O2701" s="2"/>
      <c r="P2701" s="2"/>
      <c r="Q2701" s="2"/>
      <c r="R2701" s="2"/>
      <c r="S2701" s="2"/>
      <c r="T2701" s="2"/>
      <c r="U2701" s="2"/>
      <c r="V2701" s="2"/>
      <c r="W2701" s="2"/>
      <c r="X2701" s="2"/>
      <c r="Y2701" s="2"/>
      <c r="Z2701" s="2"/>
      <c r="AA2701" s="2"/>
    </row>
    <row r="2702">
      <c r="A2702" s="3" t="s">
        <v>6373</v>
      </c>
      <c r="B2702" s="1" t="s">
        <v>6375</v>
      </c>
      <c r="C2702" s="3" t="s">
        <v>6376</v>
      </c>
      <c r="D2702" s="2" t="str">
        <f>IFERROR(__xludf.DUMMYFUNCTION("GOOGLETRANSLATE(B2702, ""en"", ""TL"")"),"Ano ang mga pangunahing karapatan ng mga empleyado sa ilalim ng mga batas sa paggawa ng Pilipinas?")</f>
        <v>Ano ang mga pangunahing karapatan ng mga empleyado sa ilalim ng mga batas sa paggawa ng Pilipinas?</v>
      </c>
      <c r="E2702" s="2" t="str">
        <f>IFERROR(__xludf.DUMMYFUNCTION("GOOGLETRANSLATE(C2702, ""en"", ""TL"")"),"Ginagarantiyahan ng batas sa paggawa ng Pilipinas ang ilang pangunahing karapatan sa mga empleyado. Narito ang isang breakdown batay sa Konstitusyon at mga nauugnay na Republic Acts:
**Ang 1987 Konstitusyon ng Pilipinas:**
* **Artikulo XIII, Seksyon 3:** "&amp;"Dapat protektahan ng Estado ang paggawa, itaguyod ang buong trabaho, magbigay ng pantay na pagkakataon sa trabaho anuman ang kasarian, lahi, o paniniwala [1].
**Seguridad ng Panunungkulan:**
* **Artikulo XIII, Seksyon 3:** Ginagarantiyahan din ng seksyong"&amp;" ito ang seguridad ng panunungkulan, ibig sabihin, ang mga empleyado ay hindi maaaring tanggalin nang walang makatarungan o awtorisadong dahilan at sumusunod sa tamang proseso [1].
**Republic Act No. 6715 (Minimum Wages Law):**
* Bagama't hindi nagtatakda"&amp;" ng eksaktong minimum na sahod, binibigyang kapangyarihan ng RA na ito ang mga regional wage board na magtakda ng pinakamababang sahod para sa iba't ibang rehiyon [2].
**Mga Benepisyong Kaugnay ng Sahod at Sahod:**
* **RA No. 8188 (Minimum Wage Order):** "&amp;"Ang batas na ito, kasama ang mga regional wage order na inisyu ng DOLE, ay nagtatakda ng pinakamababang sahod para sa iba't ibang uri ng manggagawa at industriya [2].
* **RA No. 10521 (Mandatory Provident Fund System in the Philippines):** Ang RA na ito a"&amp;"y nag-uutos ng pagiging miyembro sa Social Security System (SSS), PhilHealth, at Pag-IBIG para sa karamihan ng mga empleyado, na nagbibigay ng social security at mga benepisyo [2] .
**Mga Araw ng Trabaho at Oras ng Trabaho:**
* **DOLE Department Order No."&amp;" 138-s. 2018:** Itinatakda ng order na ito ang karaniwang linggo ng trabaho sa 40 oras, na may pang-araw-araw na panahon ng pahinga na hindi bababa sa isang oras at 24 na oras na pahinga para sa bawat anim na magkakasunod na araw ng trabaho [2].
**Mga Kar"&amp;"apatan sa Self-Organization at Collective Bargaining:**
* **Ang Konstitusyon, Artikulo XIII, Seksyon 3:** Ginagarantiyahan nito ang karapatan ng mga manggagawa sa sariling organisasyon at sama-samang pakikipagkasundo [1].
* **RA No. 8424 (Collective Barga"&amp;"ining Agreement Law):** Pinoprotektahan ng RA na ito ang karapatan ng mga manggagawa na bumuo ng mga unyon at makipagkasundo sa mga employer tungkol sa mga tuntunin at kundisyon ng trabaho [2]. **Ligtas na Kondisyon sa Paggawa:**
* **DOLE Department Order"&amp;" No. 198:** Ang kautusang ito ay nag-uutos sa mga employer na magbigay ng ligtas at malusog na lugar ng trabaho at sanayin ang mga empleyado sa mga panganib sa lugar ng trabaho [3].
**Iba pang Mahahalagang Karapatan:**
* **Karapatan sa pantay na pagkakata"&amp;"on sa trabaho:** Ipinagbabawal nito ang diskriminasyon batay sa kasarian, lahi, o paniniwala [1]. * **Karapatan sa sahod para sa lahat ng oras na nagtrabaho:** Ang mga empleyado ay dapat bayaran para sa lahat ng oras na sila ay nagbibigay ng serbisyo [2]."&amp;"
* **Karapatang makatanggap ng payslip:** Ang mga empleyado ay may karapatan sa isang detalyadong breakdown ng kanilang mga sahod at mga bawas [2].
Tandaan, hindi ito isang kumpletong listahan, at ang batas sa paggawa ng Pilipinas ay lubos na komprehensib"&amp;"o. Kung mayroon kang partikular na alalahanin, palaging inirerekomenda ang pagkonsulta sa isang abogado.")</f>
        <v>Ginagarantiyahan ng batas sa paggawa ng Pilipinas ang ilang pangunahing karapatan sa mga empleyado. Narito ang isang breakdown batay sa Konstitusyon at mga nauugnay na Republic Acts:
**Ang 1987 Konstitusyon ng Pilipinas:**
* **Artikulo XIII, Seksyon 3:** Dapat protektahan ng Estado ang paggawa, itaguyod ang buong trabaho, magbigay ng pantay na pagkakataon sa trabaho anuman ang kasarian, lahi, o paniniwala [1].
**Seguridad ng Panunungkulan:**
* **Artikulo XIII, Seksyon 3:** Ginagarantiyahan din ng seksyong ito ang seguridad ng panunungkulan, ibig sabihin, ang mga empleyado ay hindi maaaring tanggalin nang walang makatarungan o awtorisadong dahilan at sumusunod sa tamang proseso [1].
**Republic Act No. 6715 (Minimum Wages Law):**
* Bagama't hindi nagtatakda ng eksaktong minimum na sahod, binibigyang kapangyarihan ng RA na ito ang mga regional wage board na magtakda ng pinakamababang sahod para sa iba't ibang rehiyon [2].
**Mga Benepisyong Kaugnay ng Sahod at Sahod:**
* **RA No. 8188 (Minimum Wage Order):** Ang batas na ito, kasama ang mga regional wage order na inisyu ng DOLE, ay nagtatakda ng pinakamababang sahod para sa iba't ibang uri ng manggagawa at industriya [2].
* **RA No. 10521 (Mandatory Provident Fund System in the Philippines):** Ang RA na ito ay nag-uutos ng pagiging miyembro sa Social Security System (SSS), PhilHealth, at Pag-IBIG para sa karamihan ng mga empleyado, na nagbibigay ng social security at mga benepisyo [2] .
**Mga Araw ng Trabaho at Oras ng Trabaho:**
* **DOLE Department Order No. 138-s. 2018:** Itinatakda ng order na ito ang karaniwang linggo ng trabaho sa 40 oras, na may pang-araw-araw na panahon ng pahinga na hindi bababa sa isang oras at 24 na oras na pahinga para sa bawat anim na magkakasunod na araw ng trabaho [2].
**Mga Karapatan sa Self-Organization at Collective Bargaining:**
* **Ang Konstitusyon, Artikulo XIII, Seksyon 3:** Ginagarantiyahan nito ang karapatan ng mga manggagawa sa sariling organisasyon at sama-samang pakikipagkasundo [1].
* **RA No. 8424 (Collective Bargaining Agreement Law):** Pinoprotektahan ng RA na ito ang karapatan ng mga manggagawa na bumuo ng mga unyon at makipagkasundo sa mga employer tungkol sa mga tuntunin at kundisyon ng trabaho [2]. **Ligtas na Kondisyon sa Paggawa:**
* **DOLE Department Order No. 198:** Ang kautusang ito ay nag-uutos sa mga employer na magbigay ng ligtas at malusog na lugar ng trabaho at sanayin ang mga empleyado sa mga panganib sa lugar ng trabaho [3].
**Iba pang Mahahalagang Karapatan:**
* **Karapatan sa pantay na pagkakataon sa trabaho:** Ipinagbabawal nito ang diskriminasyon batay sa kasarian, lahi, o paniniwala [1]. * **Karapatan sa sahod para sa lahat ng oras na nagtrabaho:** Ang mga empleyado ay dapat bayaran para sa lahat ng oras na sila ay nagbibigay ng serbisyo [2].
* **Karapatang makatanggap ng payslip:** Ang mga empleyado ay may karapatan sa isang detalyadong breakdown ng kanilang mga sahod at mga bawas [2].
Tandaan, hindi ito isang kumpletong listahan, at ang batas sa paggawa ng Pilipinas ay lubos na komprehensibo. Kung mayroon kang partikular na alalahanin, palaging inirerekomenda ang pagkonsulta sa isang abogado.</v>
      </c>
      <c r="F2702" s="2">
        <f t="shared" si="1"/>
        <v>0</v>
      </c>
      <c r="G2702" s="2"/>
      <c r="H2702" s="2"/>
      <c r="I2702" s="2"/>
      <c r="J2702" s="2"/>
      <c r="K2702" s="2"/>
      <c r="L2702" s="2"/>
      <c r="M2702" s="2"/>
      <c r="N2702" s="2"/>
      <c r="O2702" s="2"/>
      <c r="P2702" s="2"/>
      <c r="Q2702" s="2"/>
      <c r="R2702" s="2"/>
      <c r="S2702" s="2"/>
      <c r="T2702" s="2"/>
      <c r="U2702" s="2"/>
      <c r="V2702" s="2"/>
      <c r="W2702" s="2"/>
      <c r="X2702" s="2"/>
      <c r="Y2702" s="2"/>
      <c r="Z2702" s="2"/>
      <c r="AA2702" s="2"/>
    </row>
    <row r="2703">
      <c r="A2703" s="3" t="s">
        <v>6373</v>
      </c>
      <c r="B2703" s="1" t="s">
        <v>6377</v>
      </c>
      <c r="C2703" s="3" t="s">
        <v>6378</v>
      </c>
      <c r="D2703" s="2" t="str">
        <f>IFERROR(__xludf.DUMMYFUNCTION("GOOGLETRANSLATE(B2703, ""en"", ""TL"")"),"Ano ang pagkakaiba ng regular at probationary na trabaho sa Pilipinas?")</f>
        <v>Ano ang pagkakaiba ng regular at probationary na trabaho sa Pilipinas?</v>
      </c>
      <c r="E2703" s="2" t="str">
        <f>IFERROR(__xludf.DUMMYFUNCTION("GOOGLETRANSLATE(C2703, ""en"", ""TL"")"),"Narito ang isang breakdown ng mga pangunahing pagkakaiba sa pagitan ng regular at probationary na trabaho sa Pilipinas, batay sa Labor Code (RA No. 386):
**Regular na Trabaho:**
* Tinukoy sa **Artikulo 280** ng Kodigo sa Paggawa: Ang isang empleyado"&amp;" ay itinuturing na regular kung ang kanilang mga gawain ay ""kailangan o kanais-nais sa karaniwang negosyo o kalakalan ng employer"" [1].
* **Seguridad ng Panunungkulan:** Ang mga regular na empleyado ay nasisiyahan sa seguridad ng panunungkulan, ibig sa"&amp;"bihin, hindi sila maaaring wakasan nang walang makatarungan o awtorisadong dahilan at angkop na proseso (**Artikulo 283**).
* **Mga Benepisyo:** Ang mga regular na empleyado ay may karapatan sa mas malawak na hanay ng mga benepisyo na ipinag-uutos ng bat"&amp;"as, tulad ng mga kontribusyon sa SSS, PhilHealth, Pag-IBIG, at mga bayad na leave [1, 2].
**Probationary Employment:**
* Tinukoy sa **Artikulo 296** ng Kodigo sa Paggawa: Isang panahon kung saan maaaring masuri ng employer ang mga kasanayan at pagig"&amp;"ing angkop ng isang empleyado para sa trabaho [1].
* **Maximum na Tagal:** Ang maximum na panahon ng pagsubok ay **anim (6) na buwan** (**Artikulo 281**). Ang anumang pagpapalawig na higit pa rito ay nangangailangan ng katwiran at kasunduan mula sa magka"&amp;"bilang panig. 
* **Mga Pamantayan para sa Regularisasyon:** Dapat ipaalam ng employer sa empleyado ang mga pamantayan para sa regularisasyon sa simula ng panahon ng pagsubok [1].
* **Pagwawakas:** Sa panahon ng probasyon, maaaring wakasan ang isang empl"&amp;"eyado nang walang makatarungang dahilan, ngunit dapat pa rin silang bayaran para sa mga serbisyong ibinigay (**Artikulo 281**).
* **Mga Benepisyo:** Maaaring makatanggap ng ilang benepisyo ang mga probationary na empleyado, ngunit karaniwang hindi ang bu"&amp;"ong hanay na inaalok sa mga regular na empleyado [1].
**Mga Pangunahing Punto na Dapat Tandaan:**
* **Awtomatikong Regularisasyon:** Kung ang isang empleyado ay patuloy na nagtatrabaho pagkatapos ng panahon ng pagsubok nang walang anumang salungat n"&amp;"a kasunduan, sila ay itinuturing na regular (**Artikulo 281**). Ang mga tagapag-empleyo ay hindi maaaring patuloy na muling kumuha ng isang tao sa mga termino ng pagsubok upang maiwasan ang pagbibigay ng mga regular na benepisyo ng empleyado.
* **Probati"&amp;"onary Period Not Applicable to All:** Probationary employment ay hindi nalalapat sa project-based, seasonal, o fixed-term na trabaho [1].
**Para sa karagdagang sanggunian:**
* Department of Labor and Employment (DOLE): [https://www.officialgazette.g"&amp;"ov.ph/section/briefing-room/department-of-labor-and-employment/](https://www.officialgazette.gov .ph/section/briefing-room/department-of-labor-and-employment/)
Sana ay linawin nito ang pagkakaiba ng regular at probationary na trabaho sa Pilipinas!")</f>
        <v>Narito ang isang breakdown ng mga pangunahing pagkakaiba sa pagitan ng regular at probationary na trabaho sa Pilipinas, batay sa Labor Code (RA No. 386):
**Regular na Trabaho:**
* Tinukoy sa **Artikulo 280** ng Kodigo sa Paggawa: Ang isang empleyado ay itinuturing na regular kung ang kanilang mga gawain ay "kailangan o kanais-nais sa karaniwang negosyo o kalakalan ng employer" [1].
* **Seguridad ng Panunungkulan:** Ang mga regular na empleyado ay nasisiyahan sa seguridad ng panunungkulan, ibig sabihin, hindi sila maaaring wakasan nang walang makatarungan o awtorisadong dahilan at angkop na proseso (**Artikulo 283**).
* **Mga Benepisyo:** Ang mga regular na empleyado ay may karapatan sa mas malawak na hanay ng mga benepisyo na ipinag-uutos ng batas, tulad ng mga kontribusyon sa SSS, PhilHealth, Pag-IBIG, at mga bayad na leave [1, 2].
**Probationary Employment:**
* Tinukoy sa **Artikulo 296** ng Kodigo sa Paggawa: Isang panahon kung saan maaaring masuri ng employer ang mga kasanayan at pagiging angkop ng isang empleyado para sa trabaho [1].
* **Maximum na Tagal:** Ang maximum na panahon ng pagsubok ay **anim (6) na buwan** (**Artikulo 281**). Ang anumang pagpapalawig na higit pa rito ay nangangailangan ng katwiran at kasunduan mula sa magkabilang panig. 
* **Mga Pamantayan para sa Regularisasyon:** Dapat ipaalam ng employer sa empleyado ang mga pamantayan para sa regularisasyon sa simula ng panahon ng pagsubok [1].
* **Pagwawakas:** Sa panahon ng probasyon, maaaring wakasan ang isang empleyado nang walang makatarungang dahilan, ngunit dapat pa rin silang bayaran para sa mga serbisyong ibinigay (**Artikulo 281**).
* **Mga Benepisyo:** Maaaring makatanggap ng ilang benepisyo ang mga probationary na empleyado, ngunit karaniwang hindi ang buong hanay na inaalok sa mga regular na empleyado [1].
**Mga Pangunahing Punto na Dapat Tandaan:**
* **Awtomatikong Regularisasyon:** Kung ang isang empleyado ay patuloy na nagtatrabaho pagkatapos ng panahon ng pagsubok nang walang anumang salungat na kasunduan, sila ay itinuturing na regular (**Artikulo 281**). Ang mga tagapag-empleyo ay hindi maaaring patuloy na muling kumuha ng isang tao sa mga termino ng pagsubok upang maiwasan ang pagbibigay ng mga regular na benepisyo ng empleyado.
* **Probationary Period Not Applicable to All:** Probationary employment ay hindi nalalapat sa project-based, seasonal, o fixed-term na trabaho [1].
**Para sa karagdagang sanggunian:**
* Department of Labor and Employment (DOLE): [https://www.officialgazette.gov.ph/section/briefing-room/department-of-labor-and-employment/](https://www.officialgazette.gov .ph/section/briefing-room/department-of-labor-and-employment/)
Sana ay linawin nito ang pagkakaiba ng regular at probationary na trabaho sa Pilipinas!</v>
      </c>
      <c r="F2703" s="2">
        <f t="shared" si="1"/>
        <v>0</v>
      </c>
      <c r="G2703" s="2"/>
      <c r="H2703" s="2"/>
      <c r="I2703" s="2"/>
      <c r="J2703" s="2"/>
      <c r="K2703" s="2"/>
      <c r="L2703" s="2"/>
      <c r="M2703" s="2"/>
      <c r="N2703" s="2"/>
      <c r="O2703" s="2"/>
      <c r="P2703" s="2"/>
      <c r="Q2703" s="2"/>
      <c r="R2703" s="2"/>
      <c r="S2703" s="2"/>
      <c r="T2703" s="2"/>
      <c r="U2703" s="2"/>
      <c r="V2703" s="2"/>
      <c r="W2703" s="2"/>
      <c r="X2703" s="2"/>
      <c r="Y2703" s="2"/>
      <c r="Z2703" s="2"/>
      <c r="AA2703" s="2"/>
    </row>
    <row r="2704">
      <c r="A2704" s="3" t="s">
        <v>6373</v>
      </c>
      <c r="B2704" s="1" t="s">
        <v>6379</v>
      </c>
      <c r="C2704" s="3" t="s">
        <v>6380</v>
      </c>
      <c r="D2704" s="2" t="str">
        <f>IFERROR(__xludf.DUMMYFUNCTION("GOOGLETRANSLATE(B2704, ""en"", ""TL"")"),"Maaari bang tanggalin ng employer ang isang empleyado nang walang makatarungang dahilan sa Pilipinas?")</f>
        <v>Maaari bang tanggalin ng employer ang isang empleyado nang walang makatarungang dahilan sa Pilipinas?</v>
      </c>
      <c r="E2704" s="2" t="str">
        <f>IFERROR(__xludf.DUMMYFUNCTION("GOOGLETRANSLATE(C2704, ""en"", ""TL"")"),"Hindi, sa Pilipinas, sa pangkalahatan ay hindi maaaring tanggalin ng employer ang isang empleyado nang walang makatarungang dahilan. Ginagarantiyahan ng batas ng Pilipinas ang mga empleyado ng ""seguridad ng panunungkulan,"" ibig sabihin ay maaari lamang "&amp;"silang tanggalin para sa mga kadahilanang tinukoy bilang ""makatarungan"" o ""awtorisadong"" mga dahilan tulad ng nakabalangkas sa Labor Code (RA No. 386) [1].
Narito ang isang breakdown ng legal na balangkas:
* **Seguridad ng Panunungkulan:** Ipinagbabaw"&amp;"al ng Artikulo 283 ng Kodigo sa Paggawa ang pagpapaalis sa isang regular na empleyado nang walang makatarungan o awtorisadong dahilan at angkop na proseso [1].
* **Mga Lamang Dahilan:** Ito ay mga batayan para sa pagwawakas na nauugnay sa maling pag-uugal"&amp;"i o kapabayaan ng empleyado, gaya ng tinukoy sa Artikulo 296 ng Kodigo sa Paggawa [1]. Kabilang sa mga halimbawa ang matinding pagsuway, madalas na pagliban nang walang bakasyon, o kawalan ng kakayahan.
* **Mga Awtorisadong Sanhi:** Ito ang mga dahilan na"&amp;" hindi kontrolado ng empleyado na nangangailangan ng pagwawakas, gaya ng nakabalangkas sa Artikulo 282 ng Kodigo sa Paggawa [1]. Kasama sa mga halimbawa ang redundancy dahil sa pagsasara ng negosyo o pagbagsak ng ekonomiya.
**Mga Exception para sa Probati"&amp;"onary Employees:**
Mayroong isang pagbubukod para sa mga probationary na empleyado (mga nasa isang nakapirming kontrata upang masuri ang kanilang pagiging angkop). Sa panahon ng pagsubok (maximum na anim na buwan), maaaring wakasan ng employer ang isang e"&amp;"mpleyado nang walang makatarungang dahilan, bagama't kailangan pa rin nilang magbayad para sa mga serbisyong ibinigay [1].
**Kahalagahan ng Nararapat na Proseso:**
Kahit na para sa makatarungan o awtorisadong mga dahilan, ang mga tagapag-empleyo ay dapat "&amp;"sumunod sa angkop na proseso bago wakasan ang isang empleyado. Karaniwang kinabibilangan ito ng:
* **Nakasulat na Paunawa:** Pagbibigay sa empleyado ng nakasulat na abiso na tumutukoy sa dahilan ng pagwawakas [2].
* **Pagkataon na Magpaliwanag:** Pagbibig"&amp;"ay ng pagkakataon sa empleyado na ipaliwanag ang kanilang panig o labanan ang mga paratang [2].
**Mga Parusa para sa Ilegal na Pagwawakas:**
Kung ang isang tagapag-empleyo ay nag-terminate ng isang empleyado nang ilegal (nang walang makatarungan o awtoris"&amp;"adong dahilan at angkop na proseso), ang empleyado ay maaaring may karapatan sa muling pagbabalik, sahod, at iba pang mga pinsala [2].
**Rekomendasyon:**
Kung ikaw ay nahaharap sa pagtanggal sa iyong trabaho, ipinapayong kumunsulta sa isang abugado sa pag"&amp;"gawa upang maunawaan ang iyong mga karapatan at mga opsyon sa ilalim ng batas ng Pilipinas.")</f>
        <v>Hindi, sa Pilipinas, sa pangkalahatan ay hindi maaaring tanggalin ng employer ang isang empleyado nang walang makatarungang dahilan. Ginagarantiyahan ng batas ng Pilipinas ang mga empleyado ng "seguridad ng panunungkulan," ibig sabihin ay maaari lamang silang tanggalin para sa mga kadahilanang tinukoy bilang "makatarungan" o "awtorisadong" mga dahilan tulad ng nakabalangkas sa Labor Code (RA No. 386) [1].
Narito ang isang breakdown ng legal na balangkas:
* **Seguridad ng Panunungkulan:** Ipinagbabawal ng Artikulo 283 ng Kodigo sa Paggawa ang pagpapaalis sa isang regular na empleyado nang walang makatarungan o awtorisadong dahilan at angkop na proseso [1].
* **Mga Lamang Dahilan:** Ito ay mga batayan para sa pagwawakas na nauugnay sa maling pag-uugali o kapabayaan ng empleyado, gaya ng tinukoy sa Artikulo 296 ng Kodigo sa Paggawa [1]. Kabilang sa mga halimbawa ang matinding pagsuway, madalas na pagliban nang walang bakasyon, o kawalan ng kakayahan.
* **Mga Awtorisadong Sanhi:** Ito ang mga dahilan na hindi kontrolado ng empleyado na nangangailangan ng pagwawakas, gaya ng nakabalangkas sa Artikulo 282 ng Kodigo sa Paggawa [1]. Kasama sa mga halimbawa ang redundancy dahil sa pagsasara ng negosyo o pagbagsak ng ekonomiya.
**Mga Exception para sa Probationary Employees:**
Mayroong isang pagbubukod para sa mga probationary na empleyado (mga nasa isang nakapirming kontrata upang masuri ang kanilang pagiging angkop). Sa panahon ng pagsubok (maximum na anim na buwan), maaaring wakasan ng employer ang isang empleyado nang walang makatarungang dahilan, bagama't kailangan pa rin nilang magbayad para sa mga serbisyong ibinigay [1].
**Kahalagahan ng Nararapat na Proseso:**
Kahit na para sa makatarungan o awtorisadong mga dahilan, ang mga tagapag-empleyo ay dapat sumunod sa angkop na proseso bago wakasan ang isang empleyado. Karaniwang kinabibilangan ito ng:
* **Nakasulat na Paunawa:** Pagbibigay sa empleyado ng nakasulat na abiso na tumutukoy sa dahilan ng pagwawakas [2].
* **Pagkataon na Magpaliwanag:** Pagbibigay ng pagkakataon sa empleyado na ipaliwanag ang kanilang panig o labanan ang mga paratang [2].
**Mga Parusa para sa Ilegal na Pagwawakas:**
Kung ang isang tagapag-empleyo ay nag-terminate ng isang empleyado nang ilegal (nang walang makatarungan o awtorisadong dahilan at angkop na proseso), ang empleyado ay maaaring may karapatan sa muling pagbabalik, sahod, at iba pang mga pinsala [2].
**Rekomendasyon:**
Kung ikaw ay nahaharap sa pagtanggal sa iyong trabaho, ipinapayong kumunsulta sa isang abugado sa paggawa upang maunawaan ang iyong mga karapatan at mga opsyon sa ilalim ng batas ng Pilipinas.</v>
      </c>
      <c r="F2704" s="2">
        <f t="shared" si="1"/>
        <v>0</v>
      </c>
      <c r="G2704" s="2"/>
      <c r="H2704" s="2"/>
      <c r="I2704" s="2"/>
      <c r="J2704" s="2"/>
      <c r="K2704" s="2"/>
      <c r="L2704" s="2"/>
      <c r="M2704" s="2"/>
      <c r="N2704" s="2"/>
      <c r="O2704" s="2"/>
      <c r="P2704" s="2"/>
      <c r="Q2704" s="2"/>
      <c r="R2704" s="2"/>
      <c r="S2704" s="2"/>
      <c r="T2704" s="2"/>
      <c r="U2704" s="2"/>
      <c r="V2704" s="2"/>
      <c r="W2704" s="2"/>
      <c r="X2704" s="2"/>
      <c r="Y2704" s="2"/>
      <c r="Z2704" s="2"/>
      <c r="AA2704" s="2"/>
    </row>
    <row r="2705">
      <c r="A2705" s="3" t="s">
        <v>6373</v>
      </c>
      <c r="B2705" s="1" t="s">
        <v>6381</v>
      </c>
      <c r="C2705" s="3" t="s">
        <v>6382</v>
      </c>
      <c r="D2705" s="2" t="str">
        <f>IFERROR(__xludf.DUMMYFUNCTION("GOOGLETRANSLATE(B2705, ""en"", ""TL"")"),"Ano ang proseso para sa paghahain ng reklamo para sa hindi patas na gawi sa paggawa sa Pilipinas?")</f>
        <v>Ano ang proseso para sa paghahain ng reklamo para sa hindi patas na gawi sa paggawa sa Pilipinas?</v>
      </c>
      <c r="E2705" s="2" t="str">
        <f>IFERROR(__xludf.DUMMYFUNCTION("GOOGLETRANSLATE(C2705, ""en"", ""TL"")"),"Narito ang isang balangkas ng proseso para sa paghahain ng reklamo para sa mga hindi patas na gawi sa paggawa (ULP) sa Pilipinas, batay sa mga alituntunin ng Department of Labor and Employment (DOLE):
**1. Magtipon ng Ebidensya:**
* Idokumento ang sinasab"&amp;"ing unfair labor practice (ULP). Maaaring kabilang dito ang mga pahayag ng saksi, email, pay slip, o iba pang nauugnay na patunay.
**2. Alamin ang Ahensyang may Jurisdiction:**
* Ang naaangkop na ahensyang paghahain ng iyong reklamo ay depende sa iyong si"&amp;"twasyon:
* **National Conciliation and Mediation Board (NCMB):** Pinangangasiwaan ang mga reklamo sa ULP na kinasasangkutan ng mga manggagawang hindi pang-agrikultura sa pribadong sektor [1].
* **Regional Tripartite Marine and Industrial Relations Boards "&amp;"(RT-MIRBs):** Tugunan ang mga reklamo sa ULP para sa mga manggagawa sa maritime at industriyal na sektor [1].
* **Bureau of Labor Relations (BLR):** Tumatanggap ng mga reklamo sa ULP na kinasasangkutan ng mga empleyado ng gobyerno [1].
**3. Mag-file ng Re"&amp;"quest for Assistance (RFA):**
* Magsumite ng RFA sa iyong napiling ahensya. Ang form ng RFA ay dapat magdetalye ng katangian ng ULP, ang mga partidong kasangkot, at ang iyong gustong resulta [1].
* Maaari kang makakuha ng RFA form at magtanong tungkol sa "&amp;"mga pamamaraan ng paghahain sa pinakamalapit na DOLE field office [2].
**4. Conciliation-Mediation:**
* Susubukan ng ahensya na ayusin ang reklamo sa pamamagitan ng conciliation-mediation. Ang isang itinalagang opisyal ay makikipagpulong sa magkabilang pa"&amp;"rtido upang pag-usapan at subukang magkaroon ng kasunduan [1].
**5. Arbitrasyon (kung mabigo ang conciliation-mediation):**
* Kung nabigo ang conciliation-mediation, ikaw o ang employer ay maaaring humiling ng arbitrasyon. Ang isang arbiter ay dumidinig s"&amp;"a kaso, maglalabas ng desisyon, at mag-uutos ng naaangkop na mga remedyo (hal., muling pagbabalik, back wages) kung ang ULP ay napatunayan [1].
**Mga Karagdagang Mapagkukunan:**
* DOLE Field Offices: [https://www.officialgazette.gov.ph/section/briefing-ro"&amp;"om/department-of-labor-and-employment/](https://www.officialgazette.gov.ph/section/ briefing-room/department-of-labor-and-employment/)
* National Conciliation and Mediation Board (NCMB): [https://ncmb.gov.ph/](https://ncmb.gov.ph/)
**Mahahalagang Paalala:"&amp;"**
* Maipapayo na humingi ng legal na tulong, lalo na para sa mga kumplikadong kaso. Maaaring gabayan ka ng isang abogado sa proseso, katawanin ka sa mga pagdinig, at tiyaking protektado ang iyong mga karapatan.
* May mga tiyak na timeframe para sa paghah"&amp;"ain ng mga reklamo sa ULP. Kumonsulta sa DOLE o isang abogado para sa mga detalye sa mga deadline na ito.
Tandaan, ito ay isang pangkalahatang patnubay, at ang partikular na proseso ay maaaring mag-iba depende sa iyong sitwasyon. Palaging kumunsulta sa DO"&amp;"LE o isang legal na propesyonal para sa pinakatumpak at napapanahon na impormasyon.")</f>
        <v>Narito ang isang balangkas ng proseso para sa paghahain ng reklamo para sa mga hindi patas na gawi sa paggawa (ULP) sa Pilipinas, batay sa mga alituntunin ng Department of Labor and Employment (DOLE):
**1. Magtipon ng Ebidensya:**
* Idokumento ang sinasabing unfair labor practice (ULP). Maaaring kabilang dito ang mga pahayag ng saksi, email, pay slip, o iba pang nauugnay na patunay.
**2. Alamin ang Ahensyang may Jurisdiction:**
* Ang naaangkop na ahensyang paghahain ng iyong reklamo ay depende sa iyong sitwasyon:
* **National Conciliation and Mediation Board (NCMB):** Pinangangasiwaan ang mga reklamo sa ULP na kinasasangkutan ng mga manggagawang hindi pang-agrikultura sa pribadong sektor [1].
* **Regional Tripartite Marine and Industrial Relations Boards (RT-MIRBs):** Tugunan ang mga reklamo sa ULP para sa mga manggagawa sa maritime at industriyal na sektor [1].
* **Bureau of Labor Relations (BLR):** Tumatanggap ng mga reklamo sa ULP na kinasasangkutan ng mga empleyado ng gobyerno [1].
**3. Mag-file ng Request for Assistance (RFA):**
* Magsumite ng RFA sa iyong napiling ahensya. Ang form ng RFA ay dapat magdetalye ng katangian ng ULP, ang mga partidong kasangkot, at ang iyong gustong resulta [1].
* Maaari kang makakuha ng RFA form at magtanong tungkol sa mga pamamaraan ng paghahain sa pinakamalapit na DOLE field office [2].
**4. Conciliation-Mediation:**
* Susubukan ng ahensya na ayusin ang reklamo sa pamamagitan ng conciliation-mediation. Ang isang itinalagang opisyal ay makikipagpulong sa magkabilang partido upang pag-usapan at subukang magkaroon ng kasunduan [1].
**5. Arbitrasyon (kung mabigo ang conciliation-mediation):**
* Kung nabigo ang conciliation-mediation, ikaw o ang employer ay maaaring humiling ng arbitrasyon. Ang isang arbiter ay dumidinig sa kaso, maglalabas ng desisyon, at mag-uutos ng naaangkop na mga remedyo (hal., muling pagbabalik, back wages) kung ang ULP ay napatunayan [1].
**Mga Karagdagang Mapagkukunan:**
* DOLE Field Offices: [https://www.officialgazette.gov.ph/section/briefing-room/department-of-labor-and-employment/](https://www.officialgazette.gov.ph/section/ briefing-room/department-of-labor-and-employment/)
* National Conciliation and Mediation Board (NCMB): [https://ncmb.gov.ph/](https://ncmb.gov.ph/)
**Mahahalagang Paalala:**
* Maipapayo na humingi ng legal na tulong, lalo na para sa mga kumplikadong kaso. Maaaring gabayan ka ng isang abogado sa proseso, katawanin ka sa mga pagdinig, at tiyaking protektado ang iyong mga karapatan.
* May mga tiyak na timeframe para sa paghahain ng mga reklamo sa ULP. Kumonsulta sa DOLE o isang abogado para sa mga detalye sa mga deadline na ito.
Tandaan, ito ay isang pangkalahatang patnubay, at ang partikular na proseso ay maaaring mag-iba depende sa iyong sitwasyon. Palaging kumunsulta sa DOLE o isang legal na propesyonal para sa pinakatumpak at napapanahon na impormasyon.</v>
      </c>
      <c r="F2705" s="2">
        <f t="shared" si="1"/>
        <v>0</v>
      </c>
      <c r="G2705" s="2"/>
      <c r="H2705" s="2"/>
      <c r="I2705" s="2"/>
      <c r="J2705" s="2"/>
      <c r="K2705" s="2"/>
      <c r="L2705" s="2"/>
      <c r="M2705" s="2"/>
      <c r="N2705" s="2"/>
      <c r="O2705" s="2"/>
      <c r="P2705" s="2"/>
      <c r="Q2705" s="2"/>
      <c r="R2705" s="2"/>
      <c r="S2705" s="2"/>
      <c r="T2705" s="2"/>
      <c r="U2705" s="2"/>
      <c r="V2705" s="2"/>
      <c r="W2705" s="2"/>
      <c r="X2705" s="2"/>
      <c r="Y2705" s="2"/>
      <c r="Z2705" s="2"/>
      <c r="AA2705" s="2"/>
    </row>
    <row r="2706">
      <c r="A2706" s="3" t="s">
        <v>6373</v>
      </c>
      <c r="B2706" s="1" t="s">
        <v>6383</v>
      </c>
      <c r="C2706" s="3" t="s">
        <v>6384</v>
      </c>
      <c r="D2706" s="2" t="str">
        <f>IFERROR(__xludf.DUMMYFUNCTION("GOOGLETRANSLATE(B2706, ""en"", ""TL"")"),"Ano ang legal na maximum na bilang ng oras ng pagtatrabaho bawat araw sa Pilipinas?")</f>
        <v>Ano ang legal na maximum na bilang ng oras ng pagtatrabaho bawat araw sa Pilipinas?</v>
      </c>
      <c r="E2706" s="2" t="str">
        <f>IFERROR(__xludf.DUMMYFUNCTION("GOOGLETRANSLATE(C2706, ""en"", ""TL"")"),"Ang legal na maximum na bilang ng mga oras ng pagtatrabaho bawat araw sa Pilipinas ay **walong (8) oras**, maliban sa mga panahon ng pahinga [1, 2]. Ito ay ipinag-uutos ng Philippine Labor Code:
* **Artikulo 83:** ""Ang normal na oras ng trabaho ng sinuma"&amp;"ng empleyado ay hindi lalampas sa walong (8) oras sa isang araw."" [1]
**Mahalagang Tandaan:**
* Nalalapat ito sa lahat ng empleyadong sakop ng Kodigo sa Paggawa, na may ilang mga pagbubukod tulad ng mga empleyado ng gobyerno at ilang mga kawani ng pamama"&amp;"hala [2].
* Kasama sa mga oras ng pagtatrabaho ang lahat ng oras na ang isang empleyado ay kinakailangan na nasa tungkulin, sa lugar ng trabaho, o pinahihintulutang magtrabaho [1]. Kahit na ang mga maikling panahon ng pahinga sa oras ng trabaho ay binibil"&amp;"ang.
* May mga probisyon para sa overtime na trabaho, ngunit nangangailangan ito ng karagdagang kabayaran para sa empleyado [1].
Narito ang ilang kapaki-pakinabang na sanggunian:
* Department of Labor and Employment (DOLE): [https://www.officialgazette.go"&amp;"v.ph/](https://www.officialgazette.gov.ph/)
* Kittelson at Carpo Law Offices: [https://kittelsoncarpo.com/services/](https://kittelsoncarpo.com/services/)")</f>
        <v>Ang legal na maximum na bilang ng mga oras ng pagtatrabaho bawat araw sa Pilipinas ay **walong (8) oras**, maliban sa mga panahon ng pahinga [1, 2]. Ito ay ipinag-uutos ng Philippine Labor Code:
* **Artikulo 83:** "Ang normal na oras ng trabaho ng sinumang empleyado ay hindi lalampas sa walong (8) oras sa isang araw." [1]
**Mahalagang Tandaan:**
* Nalalapat ito sa lahat ng empleyadong sakop ng Kodigo sa Paggawa, na may ilang mga pagbubukod tulad ng mga empleyado ng gobyerno at ilang mga kawani ng pamamahala [2].
* Kasama sa mga oras ng pagtatrabaho ang lahat ng oras na ang isang empleyado ay kinakailangan na nasa tungkulin, sa lugar ng trabaho, o pinahihintulutang magtrabaho [1]. Kahit na ang mga maikling panahon ng pahinga sa oras ng trabaho ay binibilang.
* May mga probisyon para sa overtime na trabaho, ngunit nangangailangan ito ng karagdagang kabayaran para sa empleyado [1].
Narito ang ilang kapaki-pakinabang na sanggunian:
* Department of Labor and Employment (DOLE): [https://www.officialgazette.gov.ph/](https://www.officialgazette.gov.ph/)
* Kittelson at Carpo Law Offices: [https://kittelsoncarpo.com/services/](https://kittelsoncarpo.com/services/)</v>
      </c>
      <c r="F2706" s="2">
        <f t="shared" si="1"/>
        <v>0</v>
      </c>
      <c r="G2706" s="2"/>
      <c r="H2706" s="2"/>
      <c r="I2706" s="2"/>
      <c r="J2706" s="2"/>
      <c r="K2706" s="2"/>
      <c r="L2706" s="2"/>
      <c r="M2706" s="2"/>
      <c r="N2706" s="2"/>
      <c r="O2706" s="2"/>
      <c r="P2706" s="2"/>
      <c r="Q2706" s="2"/>
      <c r="R2706" s="2"/>
      <c r="S2706" s="2"/>
      <c r="T2706" s="2"/>
      <c r="U2706" s="2"/>
      <c r="V2706" s="2"/>
      <c r="W2706" s="2"/>
      <c r="X2706" s="2"/>
      <c r="Y2706" s="2"/>
      <c r="Z2706" s="2"/>
      <c r="AA2706" s="2"/>
    </row>
    <row r="2707">
      <c r="A2707" s="3" t="s">
        <v>6373</v>
      </c>
      <c r="B2707" s="1" t="s">
        <v>6385</v>
      </c>
      <c r="C2707" s="3" t="s">
        <v>6386</v>
      </c>
      <c r="D2707" s="2" t="str">
        <f>IFERROR(__xludf.DUMMYFUNCTION("GOOGLETRANSLATE(B2707, ""en"", ""TL"")"),"Kinakailangan ba ang mga employer na magbigay ng mga benepisyo tulad ng health insurance o mga plano sa pagreretiro?")</f>
        <v>Kinakailangan ba ang mga employer na magbigay ng mga benepisyo tulad ng health insurance o mga plano sa pagreretiro?</v>
      </c>
      <c r="E2707" s="2" t="str">
        <f>IFERROR(__xludf.DUMMYFUNCTION("GOOGLETRANSLATE(C2707, ""en"", ""TL"")"),"Sa Pilipinas, ang mga employer ay **hindi direktang inaatas ng batas** na magbigay ng mga benepisyo tulad ng health insurance o mga plano sa pagreretiro na lampas sa mga ipinag-uutos ng mga kontribusyon sa social security. Gayunpaman, mayroong ilang mga p"&amp;"angunahing punto na dapat isaalang-alang:
**Mandatoryong Kontribusyon sa Social Security:**
* **Republic Act No. 10521 (Mandatory Provident Fund System in the Philippines):** Ang batas na ito ay nag-uutos ng pagiging miyembro sa Social Security System (SS"&amp;"S), PhilHealth, at Pag-IBIG para sa karamihan ng mga empleyado [1]. Ang mga programang ito ay nagbibigay ng ilang antas ng health insurance, mga benepisyo sa pagreretiro, at mga benepisyo sa pabahay.
**Ang Pag-aalok ng Karagdagang Mga Benepisyo ay Karaniw"&amp;"an:**
* Bagama't hindi kinakailangan, karaniwan na para sa mga Pilipinong tagapag-empleyo, lalo na sa malalaking kumpanya, na mag-alok ng mga karagdagang benepisyo na lampas sa mga mandatoryong kontribusyon. Maaaring kabilang dito ang:
* **Health Insuranc"&amp;"e:** Supplemental health insurance na nagbibigay ng mas malawak na coverage kaysa sa PhilHealth [2].
* **Mga Plano sa Pagreretiro:** Mga plano sa pagreretiro na inisponsor ng kumpanya na pandagdag sa mga benepisyo ng SSS [2].
* **Ibang Mga Benepisyo:** In"&amp;"surance sa buhay, tulong sa edukasyon, bakasyon sa bakasyon na lampas sa legal na minimum, at higit pa [2].
**Ang Mga Benepisyo ay Maaaring Maging Mapagkumpitensyang Pakinabang:**
* Ang pag-aalok ng isang komprehensibong pakete ng benepisyo ay maaaring ma"&amp;"ging isang malaking kalamangan para sa mga employer sa pag-akit at pagpapanatili ng mga kwalipikadong empleyado [2].
**Konklusyon:**
Ang mga employer sa Pilipinas ay hindi legal na obligado na magbigay ng health insurance o mga plano sa pagreretiro na lam"&amp;"pas sa mga kontribusyon sa social security. Gayunpaman, ang pag-aalok ng mga benepisyong ito ay isang pangkaraniwang kasanayan at maaaring maging pangunahing salik sa pag-akit at pagpapanatili ng talento.")</f>
        <v>Sa Pilipinas, ang mga employer ay **hindi direktang inaatas ng batas** na magbigay ng mga benepisyo tulad ng health insurance o mga plano sa pagreretiro na lampas sa mga ipinag-uutos ng mga kontribusyon sa social security. Gayunpaman, mayroong ilang mga pangunahing punto na dapat isaalang-alang:
**Mandatoryong Kontribusyon sa Social Security:**
* **Republic Act No. 10521 (Mandatory Provident Fund System in the Philippines):** Ang batas na ito ay nag-uutos ng pagiging miyembro sa Social Security System (SSS), PhilHealth, at Pag-IBIG para sa karamihan ng mga empleyado [1]. Ang mga programang ito ay nagbibigay ng ilang antas ng health insurance, mga benepisyo sa pagreretiro, at mga benepisyo sa pabahay.
**Ang Pag-aalok ng Karagdagang Mga Benepisyo ay Karaniwan:**
* Bagama't hindi kinakailangan, karaniwan na para sa mga Pilipinong tagapag-empleyo, lalo na sa malalaking kumpanya, na mag-alok ng mga karagdagang benepisyo na lampas sa mga mandatoryong kontribusyon. Maaaring kabilang dito ang:
* **Health Insurance:** Supplemental health insurance na nagbibigay ng mas malawak na coverage kaysa sa PhilHealth [2].
* **Mga Plano sa Pagreretiro:** Mga plano sa pagreretiro na inisponsor ng kumpanya na pandagdag sa mga benepisyo ng SSS [2].
* **Ibang Mga Benepisyo:** Insurance sa buhay, tulong sa edukasyon, bakasyon sa bakasyon na lampas sa legal na minimum, at higit pa [2].
**Ang Mga Benepisyo ay Maaaring Maging Mapagkumpitensyang Pakinabang:**
* Ang pag-aalok ng isang komprehensibong pakete ng benepisyo ay maaaring maging isang malaking kalamangan para sa mga employer sa pag-akit at pagpapanatili ng mga kwalipikadong empleyado [2].
**Konklusyon:**
Ang mga employer sa Pilipinas ay hindi legal na obligado na magbigay ng health insurance o mga plano sa pagreretiro na lampas sa mga kontribusyon sa social security. Gayunpaman, ang pag-aalok ng mga benepisyong ito ay isang pangkaraniwang kasanayan at maaaring maging pangunahing salik sa pag-akit at pagpapanatili ng talento.</v>
      </c>
      <c r="F2707" s="2">
        <f t="shared" si="1"/>
        <v>0</v>
      </c>
      <c r="G2707" s="2"/>
      <c r="H2707" s="2"/>
      <c r="I2707" s="2"/>
      <c r="J2707" s="2"/>
      <c r="K2707" s="2"/>
      <c r="L2707" s="2"/>
      <c r="M2707" s="2"/>
      <c r="N2707" s="2"/>
      <c r="O2707" s="2"/>
      <c r="P2707" s="2"/>
      <c r="Q2707" s="2"/>
      <c r="R2707" s="2"/>
      <c r="S2707" s="2"/>
      <c r="T2707" s="2"/>
      <c r="U2707" s="2"/>
      <c r="V2707" s="2"/>
      <c r="W2707" s="2"/>
      <c r="X2707" s="2"/>
      <c r="Y2707" s="2"/>
      <c r="Z2707" s="2"/>
      <c r="AA2707" s="2"/>
    </row>
    <row r="2708">
      <c r="A2708" s="3" t="s">
        <v>6373</v>
      </c>
      <c r="B2708" s="1" t="s">
        <v>6387</v>
      </c>
      <c r="C2708" s="3" t="s">
        <v>6388</v>
      </c>
      <c r="D2708" s="2" t="str">
        <f>IFERROR(__xludf.DUMMYFUNCTION("GOOGLETRANSLATE(B2708, ""en"", ""TL"")"),"Ano ang mga legal na kinakailangan para sa pagkuha ng mga dayuhan sa Pilipinas?")</f>
        <v>Ano ang mga legal na kinakailangan para sa pagkuha ng mga dayuhan sa Pilipinas?</v>
      </c>
      <c r="E2708" s="2" t="str">
        <f>IFERROR(__xludf.DUMMYFUNCTION("GOOGLETRANSLATE(C2708, ""en"", ""TL"")"),"Ang pagkuha ng mga dayuhang mamamayan sa Pilipinas ay nagsasangkot ng pagkuha ng dalawang pangunahing permit:
**1. Alien Employment Permit (AEP):**
* Inilabas ng Department of Labor and Employment (DOLE) [1].
* Kinakailangan para sa mga dayuhang mamamayan"&amp;" na nagnanais na magtrabaho sa Pilipinas nang **higit sa 6 na buwan**. [2]
* Dapat magpetisyon ang employer para sa dayuhang manggagawa, na nagpapakita na ang trabaho ay nangangailangan ng mga kasanayang hindi madaling makuha sa lokal [2, 3].
**2. Pre-arr"&amp;"anged Employee Commercial Visa (9[g] work visa):**
* Inilabas ng Bureau of Immigration (BI) [4].
* Kinakailangan para sa lahat ng dayuhang mamamayan na nagpaplanong magtrabaho sa Pilipinas, anuman ang haba ng kanilang pananatili [2].
* Maaaring samahan ng"&amp;" Provisional Work Permit (PWP) kung ang AEP application ay nakabinbin pa [5]. Ang PWP ay nagpapahintulot sa dayuhang manggagawa na magsimulang magtrabaho para sa isang limitadong panahon (karaniwang 3 buwan) habang ang AEP ay pinoproseso [2].
Narito ang i"&amp;"lang karagdagang mga kinakailangan at pagsasaalang-alang:
* **Tax Identification Number (TIN):** Ang mga dayuhan na nagpaplanong magtrabaho sa Pilipinas ay kinakailangang kumuha ng TIN mula sa Bureau of Internal Revenue (BIR) [6]. * **Work Visa at AEP Val"&amp;"idity:** Ang validity period ng work visa at AEP ay karaniwang iuugnay sa tagal ng kontrata sa pagtatrabaho [2].
* **Pagsunod sa Kodigo sa Paggawa:** Dapat pa ring sumunod ang mga employer sa mga batas sa paggawa ng Pilipinas tungkol sa sahod, benepisyo, "&amp;"at kondisyon sa pagtatrabaho para sa lahat ng empleyado, kabilang ang mga dayuhang mamamayan [7].
**Mga mapagkukunan para sa karagdagang impormasyon:**
* Department of Labor and Employment (DOLE): [https://www.officialgazette.gov.ph/section/briefing-room/"&amp;"department-of-labor-and-employment/](https://www.officialgazette.gov .ph/section/briefing-room/department-of-labor-and-employment/)
* Bureau of Immigration (BI): [https://immigration.gov.ph/](https://immigration.gov.ph/)
* Ang Gabay sa Employment Permit p"&amp;"ara sa mga Dayuhang Manggagawa sa Pilipinas: [https://www.dejudomlaw.com/work-permits-and-visas-for-asean-countries/](https://www.dejudomlaw.com/ work-permits-and-visas-for-asean-countries/)
Tandaan, ito ay isang pangkalahatang pangkalahatang-ideya, at ip"&amp;"inapayong kumunsulta sa isang abogado na dalubhasa sa batas sa imigrasyon at paggawa ng Pilipinas para sa partikular na gabay sa iyong sitwasyon. Makakatulong sila sa pag-navigate sa mga legal na kinakailangan at matiyak ang maayos na proseso para sa pagk"&amp;"uha ng mga dayuhang manggagawa.")</f>
        <v>Ang pagkuha ng mga dayuhang mamamayan sa Pilipinas ay nagsasangkot ng pagkuha ng dalawang pangunahing permit:
**1. Alien Employment Permit (AEP):**
* Inilabas ng Department of Labor and Employment (DOLE) [1].
* Kinakailangan para sa mga dayuhang mamamayan na nagnanais na magtrabaho sa Pilipinas nang **higit sa 6 na buwan**. [2]
* Dapat magpetisyon ang employer para sa dayuhang manggagawa, na nagpapakita na ang trabaho ay nangangailangan ng mga kasanayang hindi madaling makuha sa lokal [2, 3].
**2. Pre-arranged Employee Commercial Visa (9[g] work visa):**
* Inilabas ng Bureau of Immigration (BI) [4].
* Kinakailangan para sa lahat ng dayuhang mamamayan na nagpaplanong magtrabaho sa Pilipinas, anuman ang haba ng kanilang pananatili [2].
* Maaaring samahan ng Provisional Work Permit (PWP) kung ang AEP application ay nakabinbin pa [5]. Ang PWP ay nagpapahintulot sa dayuhang manggagawa na magsimulang magtrabaho para sa isang limitadong panahon (karaniwang 3 buwan) habang ang AEP ay pinoproseso [2].
Narito ang ilang karagdagang mga kinakailangan at pagsasaalang-alang:
* **Tax Identification Number (TIN):** Ang mga dayuhan na nagpaplanong magtrabaho sa Pilipinas ay kinakailangang kumuha ng TIN mula sa Bureau of Internal Revenue (BIR) [6]. * **Work Visa at AEP Validity:** Ang validity period ng work visa at AEP ay karaniwang iuugnay sa tagal ng kontrata sa pagtatrabaho [2].
* **Pagsunod sa Kodigo sa Paggawa:** Dapat pa ring sumunod ang mga employer sa mga batas sa paggawa ng Pilipinas tungkol sa sahod, benepisyo, at kondisyon sa pagtatrabaho para sa lahat ng empleyado, kabilang ang mga dayuhang mamamayan [7].
**Mga mapagkukunan para sa karagdagang impormasyon:**
* Department of Labor and Employment (DOLE): [https://www.officialgazette.gov.ph/section/briefing-room/department-of-labor-and-employment/](https://www.officialgazette.gov .ph/section/briefing-room/department-of-labor-and-employment/)
* Bureau of Immigration (BI): [https://immigration.gov.ph/](https://immigration.gov.ph/)
* Ang Gabay sa Employment Permit para sa mga Dayuhang Manggagawa sa Pilipinas: [https://www.dejudomlaw.com/work-permits-and-visas-for-asean-countries/](https://www.dejudomlaw.com/ work-permits-and-visas-for-asean-countries/)
Tandaan, ito ay isang pangkalahatang pangkalahatang-ideya, at ipinapayong kumunsulta sa isang abogado na dalubhasa sa batas sa imigrasyon at paggawa ng Pilipinas para sa partikular na gabay sa iyong sitwasyon. Makakatulong sila sa pag-navigate sa mga legal na kinakailangan at matiyak ang maayos na proseso para sa pagkuha ng mga dayuhang manggagawa.</v>
      </c>
      <c r="F2708" s="2">
        <f t="shared" si="1"/>
        <v>0</v>
      </c>
      <c r="G2708" s="2"/>
      <c r="H2708" s="2"/>
      <c r="I2708" s="2"/>
      <c r="J2708" s="2"/>
      <c r="K2708" s="2"/>
      <c r="L2708" s="2"/>
      <c r="M2708" s="2"/>
      <c r="N2708" s="2"/>
      <c r="O2708" s="2"/>
      <c r="P2708" s="2"/>
      <c r="Q2708" s="2"/>
      <c r="R2708" s="2"/>
      <c r="S2708" s="2"/>
      <c r="T2708" s="2"/>
      <c r="U2708" s="2"/>
      <c r="V2708" s="2"/>
      <c r="W2708" s="2"/>
      <c r="X2708" s="2"/>
      <c r="Y2708" s="2"/>
      <c r="Z2708" s="2"/>
      <c r="AA2708" s="2"/>
    </row>
    <row r="2709">
      <c r="A2709" s="3" t="s">
        <v>6373</v>
      </c>
      <c r="B2709" s="1" t="s">
        <v>6389</v>
      </c>
      <c r="C2709" s="3" t="s">
        <v>6390</v>
      </c>
      <c r="D2709" s="2" t="str">
        <f>IFERROR(__xludf.DUMMYFUNCTION("GOOGLETRANSLATE(B2709, ""en"", ""TL"")"),"Maaari bang tumanggi ang isang empleyado na mag-overtime sa Pilipinas?")</f>
        <v>Maaari bang tumanggi ang isang empleyado na mag-overtime sa Pilipinas?</v>
      </c>
      <c r="E2709" s="2" t="str">
        <f>IFERROR(__xludf.DUMMYFUNCTION("GOOGLETRANSLATE(C2709, ""en"", ""TL"")"),"Sa Pilipinas, ang kakayahan ng isang empleyado na tumanggi sa overtime na trabaho ay nakasalalay sa sitwasyon. Narito ang isang breakdown batay sa batas sa paggawa ng Pilipinas:
**Pangkalahatang Panuntunan: Voluntary Overtime**
* Ang Pilipinas ay sumusuno"&amp;"d sa prinsipyo na ang overtime na trabaho ay dapat **boluntaryo**. Hindi maaaring pilitin ng mga tagapag-empleyo ang mga empleyado na magtrabaho nang lampas sa karaniwang 8-oras na araw ng trabaho maliban kung may mga partikular na pagbubukod (Artikulo 83"&amp;" ng Labor Code) [1, 2].
**Exceptions: Kapag Ang Overtime Work ay Sapilitan**
May mga limitadong sitwasyon kung saan ang isang tagapag-empleyo ay maaaring mangailangan ng obertaym na trabaho, kung magbabayad sila ng naaangkop na kabayaran:
* **Emerhensiyan"&amp;"g Overtime na Trabaho:** Nalalapat ito sa panahon ng mga emerhensiya tulad ng digmaan, natural na sakuna, o iba pang kalamidad na idineklara ng gobyerno (Artikulo 89 ng Labor Code) [1].
* **Pagsasagawa ng Kinakailangang Trabaho upang Pigilan ang Pagkalugi"&amp;" o Malubhang Paghadlang sa Negosyo:** Sa ilang partikular na kagyat na sitwasyon, maaaring kailanganin ang overtime upang makumpleto ang mahahalagang gawain at maiwasan ang malaking pinsala sa negosyo (Artikulo 89 ng Labor Code) [1]. Nangangailangan ito n"&amp;"g katwiran mula sa employer.
**Pagtanggi Sa Panahon ng Mandatoryong Overtime:**
Kung ang isang empleyado ay tumangging mag-overtime sa panahon ng mga mandatoryong sitwasyong ito, maaari silang humarap sa aksyong pandisiplina, depende sa kalubhaan ng sitwa"&amp;"syon at kung ang pagtanggi ay makatwiran. **Karapatang Magpahinga ng Empleyado:**
Ang mga empleyado ay may karapatang magpahinga at maglilibang. Habang ang bayad sa overtime ay binabayaran para sa pinalawig na oras ng trabaho, ang patuloy na paghingi ng l"&amp;"abis na overtime ay makikita bilang isang paglabag sa karapatang ito [3].
**Kahalagahan ng Komunikasyon:**
Ang bukas na komunikasyon sa pagitan ng employer at empleyado ay mahalaga. Ang mga empleyado na may wastong dahilan sa pagtanggi sa overtime (hal., "&amp;"mga naunang pangako, mga alalahanin sa kalusugan) ay dapat talakayin ang mga ito sa kanilang tagapag-empleyo. **Konklusyon:**
Sa karamihan ng mga kaso, ang mga empleyado sa Pilipinas ay may karapatang tumanggi sa overtime na trabaho hangga't hindi ito isa"&amp;"ng emergency o talagang kinakailangan upang maiwasan ang malubhang pinsala sa negosyo. Gayunpaman, mahalaga ang komunikasyon at isang wastong dahilan para sa pagtanggi. Kung mayroon kang mga alalahanin tungkol sa pagiging pressured na magtrabaho ng labis "&amp;"na overtime, inirerekomenda ang pagkonsulta sa isang abogado sa paggawa.
Narito ang ilang kapaki-pakinabang na sanggunian:
* Department of Labor and Employment (DOLE): [https://www.officialgazette.gov.ph/section/briefing-room/department-of-labor-and-emplo"&amp;"yment/](https://www.officialgazette.gov .ph/section/briefing-room/department-of-labor-and-employment/)
* Kittelson at Carpo Law Offices: [https://kittelsoncarpo.com/services/](https://kittelsoncarpo.com/services/)")</f>
        <v>Sa Pilipinas, ang kakayahan ng isang empleyado na tumanggi sa overtime na trabaho ay nakasalalay sa sitwasyon. Narito ang isang breakdown batay sa batas sa paggawa ng Pilipinas:
**Pangkalahatang Panuntunan: Voluntary Overtime**
* Ang Pilipinas ay sumusunod sa prinsipyo na ang overtime na trabaho ay dapat **boluntaryo**. Hindi maaaring pilitin ng mga tagapag-empleyo ang mga empleyado na magtrabaho nang lampas sa karaniwang 8-oras na araw ng trabaho maliban kung may mga partikular na pagbubukod (Artikulo 83 ng Labor Code) [1, 2].
**Exceptions: Kapag Ang Overtime Work ay Sapilitan**
May mga limitadong sitwasyon kung saan ang isang tagapag-empleyo ay maaaring mangailangan ng obertaym na trabaho, kung magbabayad sila ng naaangkop na kabayaran:
* **Emerhensiyang Overtime na Trabaho:** Nalalapat ito sa panahon ng mga emerhensiya tulad ng digmaan, natural na sakuna, o iba pang kalamidad na idineklara ng gobyerno (Artikulo 89 ng Labor Code) [1].
* **Pagsasagawa ng Kinakailangang Trabaho upang Pigilan ang Pagkalugi o Malubhang Paghadlang sa Negosyo:** Sa ilang partikular na kagyat na sitwasyon, maaaring kailanganin ang overtime upang makumpleto ang mahahalagang gawain at maiwasan ang malaking pinsala sa negosyo (Artikulo 89 ng Labor Code) [1]. Nangangailangan ito ng katwiran mula sa employer.
**Pagtanggi Sa Panahon ng Mandatoryong Overtime:**
Kung ang isang empleyado ay tumangging mag-overtime sa panahon ng mga mandatoryong sitwasyong ito, maaari silang humarap sa aksyong pandisiplina, depende sa kalubhaan ng sitwasyon at kung ang pagtanggi ay makatwiran. **Karapatang Magpahinga ng Empleyado:**
Ang mga empleyado ay may karapatang magpahinga at maglilibang. Habang ang bayad sa overtime ay binabayaran para sa pinalawig na oras ng trabaho, ang patuloy na paghingi ng labis na overtime ay makikita bilang isang paglabag sa karapatang ito [3].
**Kahalagahan ng Komunikasyon:**
Ang bukas na komunikasyon sa pagitan ng employer at empleyado ay mahalaga. Ang mga empleyado na may wastong dahilan sa pagtanggi sa overtime (hal., mga naunang pangako, mga alalahanin sa kalusugan) ay dapat talakayin ang mga ito sa kanilang tagapag-empleyo. **Konklusyon:**
Sa karamihan ng mga kaso, ang mga empleyado sa Pilipinas ay may karapatang tumanggi sa overtime na trabaho hangga't hindi ito isang emergency o talagang kinakailangan upang maiwasan ang malubhang pinsala sa negosyo. Gayunpaman, mahalaga ang komunikasyon at isang wastong dahilan para sa pagtanggi. Kung mayroon kang mga alalahanin tungkol sa pagiging pressured na magtrabaho ng labis na overtime, inirerekomenda ang pagkonsulta sa isang abogado sa paggawa.
Narito ang ilang kapaki-pakinabang na sanggunian:
* Department of Labor and Employment (DOLE): [https://www.officialgazette.gov.ph/section/briefing-room/department-of-labor-and-employment/](https://www.officialgazette.gov .ph/section/briefing-room/department-of-labor-and-employment/)
* Kittelson at Carpo Law Offices: [https://kittelsoncarpo.com/services/](https://kittelsoncarpo.com/services/)</v>
      </c>
      <c r="F2709" s="2">
        <f t="shared" si="1"/>
        <v>0</v>
      </c>
      <c r="G2709" s="2"/>
      <c r="H2709" s="2"/>
      <c r="I2709" s="2"/>
      <c r="J2709" s="2"/>
      <c r="K2709" s="2"/>
      <c r="L2709" s="2"/>
      <c r="M2709" s="2"/>
      <c r="N2709" s="2"/>
      <c r="O2709" s="2"/>
      <c r="P2709" s="2"/>
      <c r="Q2709" s="2"/>
      <c r="R2709" s="2"/>
      <c r="S2709" s="2"/>
      <c r="T2709" s="2"/>
      <c r="U2709" s="2"/>
      <c r="V2709" s="2"/>
      <c r="W2709" s="2"/>
      <c r="X2709" s="2"/>
      <c r="Y2709" s="2"/>
      <c r="Z2709" s="2"/>
      <c r="AA2709" s="2"/>
    </row>
    <row r="2710">
      <c r="A2710" s="3" t="s">
        <v>6373</v>
      </c>
      <c r="B2710" s="1" t="s">
        <v>6391</v>
      </c>
      <c r="C2710" s="3" t="s">
        <v>6392</v>
      </c>
      <c r="D2710" s="2" t="str">
        <f>IFERROR(__xludf.DUMMYFUNCTION("GOOGLETRANSLATE(B2710, ""en"", ""TL"")"),"Ano ang pamamaraan para sa pagsasagawa ng mga aksyong pandisiplina laban sa mga empleyado sa Pilipinas?")</f>
        <v>Ano ang pamamaraan para sa pagsasagawa ng mga aksyong pandisiplina laban sa mga empleyado sa Pilipinas?</v>
      </c>
      <c r="E2710" s="2" t="str">
        <f>IFERROR(__xludf.DUMMYFUNCTION("GOOGLETRANSLATE(C2710, ""en"", ""TL"")"),"Pinanindigan ng Pilipinas ang konsepto ng ""security of tenure"" para sa mga empleyado, kaya napakahalaga para sa mga employer na sundin ang mga wastong pamamaraan kapag nagsasagawa ng mga aksyong pandisiplina. Narito ang isang breakdown ng karaniwang pro"&amp;"seso:
**1. Grounds for Disciplinary Action:**
Ang Labor Code (RA No. 386) ay nagbabalangkas ng makatarungang dahilan at awtorisadong mga dahilan para sa aksyong pandisiplina (Artikulo 296 &amp; 282) [1]. Kasama sa mga halimbawa ang:
* **Mga Sanhi Lang:** Mala"&amp;"king pagsuway, madalas na pagliban nang walang bakasyon, kawalan ng kakayahan.
* **Mga Awtorisadong Sanhi:** Kalabisan dahil sa pagsasara ng negosyo, pagbagsak ng ekonomiya.
**2. Paunawa ng Pagsisiyasat:**
* Ang employer ay dapat magbigay ng nakasulat na "&amp;"abiso sa empleyado na nagpapaalam sa kanila ng (mga) di-umano'y pagkakasala at ang intensyon na magsagawa ng imbestigasyon [2].
* Ang paunawa ay dapat na malinaw, tiyak, at magbigay ng makatwirang takdang panahon para sa empleyado na tumugon.
**3. Pagsisi"&amp;"yasat:**
* Ang employer ay nagsasagawa ng isang patas at walang kinikilingan na pagsisiyasat upang mangalap ng ebidensya. Maaaring kabilang dito ang mga panayam sa mga saksi, pagrepaso sa mga dokumento, at pagbibigay ng pagkakataon sa empleyado na ipaliwa"&amp;"nag ang kanilang panig.
**4. Abiso ng Pagdidisiplina:**
* Kung ang pagsisiyasat ay nakakita ng sapat na ebidensya, ang tagapag-empleyo ay nag-iisyu ng nakasulat na abiso ng aksyong pandisiplina (hal., pagsususpinde, pagwawakas) [2]. * Dapat ipaliwanag ng "&amp;"abisong ito ang batayan para sa desisyon at ang petsa ng bisa ng parusa.
**5. Karapatang Mag-apela:**
* Ang empleyado ay may karapatang iapela ang desisyon. Maaaring kabilang dito ang pagsusumite ng nakasulat na kontra-paliwanag o paghiling ng pagdinig sa"&amp;" naaangkop na tauhan ng kumpanya. **Mga Pagsasaalang-alang sa Nararapat na Proseso:**
* **Oportunidad na Mapakinggan:** Sa buong proseso, dapat bigyan ng pagkakataon ang empleyado na ipaliwanag ang kanilang panig at ipakita ang anumang ebidensya na nagpap"&amp;"abulaan sa mga paratang [2].
* **Progresibong Disiplina:** Sa karamihan ng mga kaso, dapat sundin ng mga tagapag-empleyo ang isang progresibong sistema ng pagdidisiplina, simula sa hindi gaanong matinding mga parusa para sa mga menor de edad na pagkakasal"&amp;"a at umabot sa pagwawakas para sa malubha o paulit-ulit na maling pag-uugali [3].
**Kahalagahan ng Dokumentasyon:**
Ang pagpapanatili ng masusing dokumentasyon ng bawat hakbang sa proseso ng pagdidisiplina ay mahalaga para sa employer. Maaaring gamitin an"&amp;"g dokumentasyong ito bilang katibayan kung sakaling magkaroon ng anumang mga legal na hindi pagkakaunawaan.
**Mga Alternatibo sa Pagkilos na Pandisiplina:**
Maaaring tuklasin ng mga employer ang mga alternatibong solusyon tulad ng pagpapayo o karagdagang "&amp;"pagsasanay bago gumamit ng aksyong pandisiplina.
**Naghahanap ng Legal na Payo:**
Maaaring isaalang-alang ng mga employer at empleyado ang paghingi ng legal na payo upang matiyak na sinusunod ang mga wastong pamamaraan at protektado ang mga karapatan.
**M"&amp;"ga Mapagkukunan:**
* Department of Labor and Employment (DOLE): [https://www.officialgazette.gov.ph/section/briefing-room/department-of-labor-and-employment/](https://www.officialgazette.gov .ph/section/briefing-room/department-of-labor-and-employment/)
*"&amp;" Brillantes at Singson Law Offices: [inalis ang invalid na URL]
Tandaan, ito ay isang pangkalahatang pangkalahatang-ideya, at ang mga partikular na sitwasyon ay maaaring mangailangan ng ibang diskarte. Palaging kumunsulta sa isang abogado na dalubhasa sa "&amp;"batas sa paggawa ng Pilipinas para sa detalyadong gabay.")</f>
        <v>Pinanindigan ng Pilipinas ang konsepto ng "security of tenure" para sa mga empleyado, kaya napakahalaga para sa mga employer na sundin ang mga wastong pamamaraan kapag nagsasagawa ng mga aksyong pandisiplina. Narito ang isang breakdown ng karaniwang proseso:
**1. Grounds for Disciplinary Action:**
Ang Labor Code (RA No. 386) ay nagbabalangkas ng makatarungang dahilan at awtorisadong mga dahilan para sa aksyong pandisiplina (Artikulo 296 &amp; 282) [1]. Kasama sa mga halimbawa ang:
* **Mga Sanhi Lang:** Malaking pagsuway, madalas na pagliban nang walang bakasyon, kawalan ng kakayahan.
* **Mga Awtorisadong Sanhi:** Kalabisan dahil sa pagsasara ng negosyo, pagbagsak ng ekonomiya.
**2. Paunawa ng Pagsisiyasat:**
* Ang employer ay dapat magbigay ng nakasulat na abiso sa empleyado na nagpapaalam sa kanila ng (mga) di-umano'y pagkakasala at ang intensyon na magsagawa ng imbestigasyon [2].
* Ang paunawa ay dapat na malinaw, tiyak, at magbigay ng makatwirang takdang panahon para sa empleyado na tumugon.
**3. Pagsisiyasat:**
* Ang employer ay nagsasagawa ng isang patas at walang kinikilingan na pagsisiyasat upang mangalap ng ebidensya. Maaaring kabilang dito ang mga panayam sa mga saksi, pagrepaso sa mga dokumento, at pagbibigay ng pagkakataon sa empleyado na ipaliwanag ang kanilang panig.
**4. Abiso ng Pagdidisiplina:**
* Kung ang pagsisiyasat ay nakakita ng sapat na ebidensya, ang tagapag-empleyo ay nag-iisyu ng nakasulat na abiso ng aksyong pandisiplina (hal., pagsususpinde, pagwawakas) [2]. * Dapat ipaliwanag ng abisong ito ang batayan para sa desisyon at ang petsa ng bisa ng parusa.
**5. Karapatang Mag-apela:**
* Ang empleyado ay may karapatang iapela ang desisyon. Maaaring kabilang dito ang pagsusumite ng nakasulat na kontra-paliwanag o paghiling ng pagdinig sa naaangkop na tauhan ng kumpanya. **Mga Pagsasaalang-alang sa Nararapat na Proseso:**
* **Oportunidad na Mapakinggan:** Sa buong proseso, dapat bigyan ng pagkakataon ang empleyado na ipaliwanag ang kanilang panig at ipakita ang anumang ebidensya na nagpapabulaan sa mga paratang [2].
* **Progresibong Disiplina:** Sa karamihan ng mga kaso, dapat sundin ng mga tagapag-empleyo ang isang progresibong sistema ng pagdidisiplina, simula sa hindi gaanong matinding mga parusa para sa mga menor de edad na pagkakasala at umabot sa pagwawakas para sa malubha o paulit-ulit na maling pag-uugali [3].
**Kahalagahan ng Dokumentasyon:**
Ang pagpapanatili ng masusing dokumentasyon ng bawat hakbang sa proseso ng pagdidisiplina ay mahalaga para sa employer. Maaaring gamitin ang dokumentasyong ito bilang katibayan kung sakaling magkaroon ng anumang mga legal na hindi pagkakaunawaan.
**Mga Alternatibo sa Pagkilos na Pandisiplina:**
Maaaring tuklasin ng mga employer ang mga alternatibong solusyon tulad ng pagpapayo o karagdagang pagsasanay bago gumamit ng aksyong pandisiplina.
**Naghahanap ng Legal na Payo:**
Maaaring isaalang-alang ng mga employer at empleyado ang paghingi ng legal na payo upang matiyak na sinusunod ang mga wastong pamamaraan at protektado ang mga karapatan.
**Mga Mapagkukunan:**
* Department of Labor and Employment (DOLE): [https://www.officialgazette.gov.ph/section/briefing-room/department-of-labor-and-employment/](https://www.officialgazette.gov .ph/section/briefing-room/department-of-labor-and-employment/)
* Brillantes at Singson Law Offices: [inalis ang invalid na URL]
Tandaan, ito ay isang pangkalahatang pangkalahatang-ideya, at ang mga partikular na sitwasyon ay maaaring mangailangan ng ibang diskarte. Palaging kumunsulta sa isang abogado na dalubhasa sa batas sa paggawa ng Pilipinas para sa detalyadong gabay.</v>
      </c>
      <c r="F2710" s="2">
        <f t="shared" si="1"/>
        <v>0</v>
      </c>
      <c r="G2710" s="2"/>
      <c r="H2710" s="2"/>
      <c r="I2710" s="2"/>
      <c r="J2710" s="2"/>
      <c r="K2710" s="2"/>
      <c r="L2710" s="2"/>
      <c r="M2710" s="2"/>
      <c r="N2710" s="2"/>
      <c r="O2710" s="2"/>
      <c r="P2710" s="2"/>
      <c r="Q2710" s="2"/>
      <c r="R2710" s="2"/>
      <c r="S2710" s="2"/>
      <c r="T2710" s="2"/>
      <c r="U2710" s="2"/>
      <c r="V2710" s="2"/>
      <c r="W2710" s="2"/>
      <c r="X2710" s="2"/>
      <c r="Y2710" s="2"/>
      <c r="Z2710" s="2"/>
      <c r="AA2710" s="2"/>
    </row>
    <row r="2711">
      <c r="A2711" s="3" t="s">
        <v>6373</v>
      </c>
      <c r="B2711" s="1" t="s">
        <v>6393</v>
      </c>
      <c r="C2711" s="3" t="s">
        <v>6394</v>
      </c>
      <c r="D2711" s="2" t="str">
        <f>IFERROR(__xludf.DUMMYFUNCTION("GOOGLETRANSLATE(B2711, ""en"", ""TL"")"),"Paano tinutukoy ng Philippine Labor Code ang sexual harassment sa lugar ng trabaho?")</f>
        <v>Paano tinutukoy ng Philippine Labor Code ang sexual harassment sa lugar ng trabaho?</v>
      </c>
      <c r="E2711" s="2" t="str">
        <f>IFERROR(__xludf.DUMMYFUNCTION("GOOGLETRANSLATE(C2711, ""en"", ""TL"")"),"Ang Philippine Labor Code mismo ay hindi direktang tumutukoy sa sexual harassment. Gayunpaman, may hiwalay na batas ang Pilipinas na partikular na tumutugon sa isyung ito: **Republic Act No. 7877, kilala rin bilang Anti-Sexual Harassment Act of 1995** (RA"&amp;" 7877) [1].
**Ang RA 7877 ay tumutukoy sa sekswal na panliligalig** sa mga kapaligirang nauugnay sa trabaho o pagsasanay bilang:
* **Isang kilos na ginawa ng isang employer, empleyado, manager, superbisor, ahente ng employer, guro, instruktor, propesor, c"&amp;"oach, trainor, o sinumang tao na, may awtoridad, impluwensya o moral na pagtaas sa iba sa isang trabaho o pagsasanay o kapaligiran ng edukasyon.** [1]
* **Ang mga kahilingan, kahilingan o kung hindi man ay nangangailangan ng anumang sekswal na pabor mula "&amp;"sa isa, hindi alintana kung ang kahilingan, kahilingan o kinakailangan para sa pagsusumite ay tinatanggap o hindi ng layunin ng nasabing aksyon.** [1]
**Mga Pangunahing Punto:**
* Nalalapat ang batas sa mas malawak na hanay ng mga indibidwal kaysa sa mga "&amp;"employer at empleyado lamang. Ang sinumang may awtoridad o impluwensya sa iba sa isang kapaligiran sa trabaho o pagsasanay ay maaaring managot para sa sekswal na panliligalig. * Ang panliligalig ay maaaring pasalita, hindi berbal, pisikal, o sekswal na pa"&amp;"gsulong. * Ang pagtanggap o pagtanggi ng empleyado sa mga sekswal na pagsulong ay hindi tumutukoy kung ito ay bumubuo ng sekswal na panliligalig. **Dagdag pa:**
* Ipinagbabawal ng batas ang pagganti laban sa isang empleyado na nagrereklamo tungkol sa seks"&amp;"wal na panliligalig [1]. * Ang mga employer ay inaatasan na magkaroon ng mga patakaran at pamamaraan para sa pagpigil at pagtugon sa mga reklamo sa sekswal na panliligalig [1].
**Mga Mapagkukunan:**
* Philippine Commission on Women (PCW): [https://pcw.gov"&amp;".ph/](https://pcw.gov.ph/)
* Department of Labor and Employment (DOLE): [https://www.dol.gov/](https://www.dol.gov/)")</f>
        <v>Ang Philippine Labor Code mismo ay hindi direktang tumutukoy sa sexual harassment. Gayunpaman, may hiwalay na batas ang Pilipinas na partikular na tumutugon sa isyung ito: **Republic Act No. 7877, kilala rin bilang Anti-Sexual Harassment Act of 1995** (RA 7877) [1].
**Ang RA 7877 ay tumutukoy sa sekswal na panliligalig** sa mga kapaligirang nauugnay sa trabaho o pagsasanay bilang:
* **Isang kilos na ginawa ng isang employer, empleyado, manager, superbisor, ahente ng employer, guro, instruktor, propesor, coach, trainor, o sinumang tao na, may awtoridad, impluwensya o moral na pagtaas sa iba sa isang trabaho o pagsasanay o kapaligiran ng edukasyon.** [1]
* **Ang mga kahilingan, kahilingan o kung hindi man ay nangangailangan ng anumang sekswal na pabor mula sa isa, hindi alintana kung ang kahilingan, kahilingan o kinakailangan para sa pagsusumite ay tinatanggap o hindi ng layunin ng nasabing aksyon.** [1]
**Mga Pangunahing Punto:**
* Nalalapat ang batas sa mas malawak na hanay ng mga indibidwal kaysa sa mga employer at empleyado lamang. Ang sinumang may awtoridad o impluwensya sa iba sa isang kapaligiran sa trabaho o pagsasanay ay maaaring managot para sa sekswal na panliligalig. * Ang panliligalig ay maaaring pasalita, hindi berbal, pisikal, o sekswal na pagsulong. * Ang pagtanggap o pagtanggi ng empleyado sa mga sekswal na pagsulong ay hindi tumutukoy kung ito ay bumubuo ng sekswal na panliligalig. **Dagdag pa:**
* Ipinagbabawal ng batas ang pagganti laban sa isang empleyado na nagrereklamo tungkol sa sekswal na panliligalig [1]. * Ang mga employer ay inaatasan na magkaroon ng mga patakaran at pamamaraan para sa pagpigil at pagtugon sa mga reklamo sa sekswal na panliligalig [1].
**Mga Mapagkukunan:**
* Philippine Commission on Women (PCW): [https://pcw.gov.ph/](https://pcw.gov.ph/)
* Department of Labor and Employment (DOLE): [https://www.dol.gov/](https://www.dol.gov/)</v>
      </c>
      <c r="F2711" s="2">
        <f t="shared" si="1"/>
        <v>0</v>
      </c>
      <c r="G2711" s="2"/>
      <c r="H2711" s="2"/>
      <c r="I2711" s="2"/>
      <c r="J2711" s="2"/>
      <c r="K2711" s="2"/>
      <c r="L2711" s="2"/>
      <c r="M2711" s="2"/>
      <c r="N2711" s="2"/>
      <c r="O2711" s="2"/>
      <c r="P2711" s="2"/>
      <c r="Q2711" s="2"/>
      <c r="R2711" s="2"/>
      <c r="S2711" s="2"/>
      <c r="T2711" s="2"/>
      <c r="U2711" s="2"/>
      <c r="V2711" s="2"/>
      <c r="W2711" s="2"/>
      <c r="X2711" s="2"/>
      <c r="Y2711" s="2"/>
      <c r="Z2711" s="2"/>
      <c r="AA2711" s="2"/>
    </row>
    <row r="2712">
      <c r="A2712" s="3" t="s">
        <v>6373</v>
      </c>
      <c r="B2712" s="1" t="s">
        <v>6395</v>
      </c>
      <c r="C2712" s="3" t="s">
        <v>6396</v>
      </c>
      <c r="D2712" s="2" t="str">
        <f>IFERROR(__xludf.DUMMYFUNCTION("GOOGLETRANSLATE(B2712, ""en"", ""TL"")"),"Kinakailangan ba ng mga employer na magbigay ng maternity leave sa mga babaeng empleyado?")</f>
        <v>Kinakailangan ba ng mga employer na magbigay ng maternity leave sa mga babaeng empleyado?</v>
      </c>
      <c r="E2712" s="2" t="str">
        <f>IFERROR(__xludf.DUMMYFUNCTION("GOOGLETRANSLATE(C2712, ""en"", ""TL"")"),"Oo, ganap. Sa Pilipinas, ang mga employer ay inaatasan ng batas na magbigay ng maternity leave sa mga babaeng empleyado. Narito ang isang breakdown ng mga partikular na probisyon:
* **Republic Act No. 11210 o ang 105-Day Expanded Maternity Leave Law:** An"&amp;"g batas na ito, na pinagtibay noong 2019, ay lubos na nagpapataas sa ipinag-uutos na maternity leave para sa mga babaeng manggagawa [1].
**Karapatang Maternity Leave:**
* **105 araw ng maternity leave na may buong suweldo,** hindi alintana kung ang pangan"&amp;"ganak ay normal na panganganak o caesarian section [1]. Ito ay isang makabuluhang pagtaas mula sa nakaraang kinakailangan ng 60 araw.
* **Ang mga solong ina** ay kwalipikado para sa karagdagang **15 araw ng maternity leave na may buong suweldo**, na dinad"&amp;"ala ang kanilang kabuuang karapatan sa **120 araw** [1].
**Mga Karagdagang Pagsasaalang-alang:**
* **Miscarriage o Emergency Termination:** Sa kaso ng miscarriage o emergency na pagwawakas ng pagbubuntis, ang mga babaeng empleyado ay may karapatan sa **60"&amp;" araw ng maternity leave na may buong suweldo** [1].
* **Pagpipilian sa Palawigin ang Pag-iwan:** Habang ang ipinag-uutos na bakasyon ay 105 araw (o 120 araw para sa mga solong ina), maaaring piliin ng mga empleyado na palawigin ang kanilang bakasyon **na"&amp;"ng walang bayad** ng hanggang 30 araw, napapailalim sa ilang mga kundisyon [ 1].
**Mga Obligasyon ng Employer:**
* Ang mga employer ay legal na obligado na sumunod sa mga probisyong ito at bigyan ang kanilang mga babaeng empleyado ng ipinag-uutos na mater"&amp;"nity leave [1]. * Kinakailangan din silang magbigay ng **mga benepisyo sa pangangalagang medikal at kalusugan** sa panahon ng pagbubuntis at postpartum period ng empleyado [2].
**Mga Mapagkukunan:**
* **Department of Labor and Employment (DOLE):** [https:"&amp;"//www.officialgazette.gov.ph/section/briefing-room/department-of-labor-and-employment/](https://www .officialgazette.gov.ph/section/briefing-room/department-of-labor-and-employment/)
* **Philippine Commission on Women (PCW):** [https://pcw.gov.ph/](https:"&amp;"//pcw.gov.ph/)
**Tandaan:** Ito ay isang pangkalahatang pangkalahatang-ideya. Kung mayroon kang mga partikular na tanong tungkol sa maternity leave sa Pilipinas, kumunsulta sa isang abogado na dalubhasa sa batas sa paggawa ng Pilipinas.")</f>
        <v>Oo, ganap. Sa Pilipinas, ang mga employer ay inaatasan ng batas na magbigay ng maternity leave sa mga babaeng empleyado. Narito ang isang breakdown ng mga partikular na probisyon:
* **Republic Act No. 11210 o ang 105-Day Expanded Maternity Leave Law:** Ang batas na ito, na pinagtibay noong 2019, ay lubos na nagpapataas sa ipinag-uutos na maternity leave para sa mga babaeng manggagawa [1].
**Karapatang Maternity Leave:**
* **105 araw ng maternity leave na may buong suweldo,** hindi alintana kung ang panganganak ay normal na panganganak o caesarian section [1]. Ito ay isang makabuluhang pagtaas mula sa nakaraang kinakailangan ng 60 araw.
* **Ang mga solong ina** ay kwalipikado para sa karagdagang **15 araw ng maternity leave na may buong suweldo**, na dinadala ang kanilang kabuuang karapatan sa **120 araw** [1].
**Mga Karagdagang Pagsasaalang-alang:**
* **Miscarriage o Emergency Termination:** Sa kaso ng miscarriage o emergency na pagwawakas ng pagbubuntis, ang mga babaeng empleyado ay may karapatan sa **60 araw ng maternity leave na may buong suweldo** [1].
* **Pagpipilian sa Palawigin ang Pag-iwan:** Habang ang ipinag-uutos na bakasyon ay 105 araw (o 120 araw para sa mga solong ina), maaaring piliin ng mga empleyado na palawigin ang kanilang bakasyon **nang walang bayad** ng hanggang 30 araw, napapailalim sa ilang mga kundisyon [ 1].
**Mga Obligasyon ng Employer:**
* Ang mga employer ay legal na obligado na sumunod sa mga probisyong ito at bigyan ang kanilang mga babaeng empleyado ng ipinag-uutos na maternity leave [1]. * Kinakailangan din silang magbigay ng **mga benepisyo sa pangangalagang medikal at kalusugan** sa panahon ng pagbubuntis at postpartum period ng empleyado [2].
**Mga Mapagkukunan:**
* **Department of Labor and Employment (DOLE):** [https://www.officialgazette.gov.ph/section/briefing-room/department-of-labor-and-employment/](https://www .officialgazette.gov.ph/section/briefing-room/department-of-labor-and-employment/)
* **Philippine Commission on Women (PCW):** [https://pcw.gov.ph/](https://pcw.gov.ph/)
**Tandaan:** Ito ay isang pangkalahatang pangkalahatang-ideya. Kung mayroon kang mga partikular na tanong tungkol sa maternity leave sa Pilipinas, kumunsulta sa isang abogado na dalubhasa sa batas sa paggawa ng Pilipinas.</v>
      </c>
      <c r="F2712" s="2">
        <f t="shared" si="1"/>
        <v>0</v>
      </c>
      <c r="G2712" s="2"/>
      <c r="H2712" s="2"/>
      <c r="I2712" s="2"/>
      <c r="J2712" s="2"/>
      <c r="K2712" s="2"/>
      <c r="L2712" s="2"/>
      <c r="M2712" s="2"/>
      <c r="N2712" s="2"/>
      <c r="O2712" s="2"/>
      <c r="P2712" s="2"/>
      <c r="Q2712" s="2"/>
      <c r="R2712" s="2"/>
      <c r="S2712" s="2"/>
      <c r="T2712" s="2"/>
      <c r="U2712" s="2"/>
      <c r="V2712" s="2"/>
      <c r="W2712" s="2"/>
      <c r="X2712" s="2"/>
      <c r="Y2712" s="2"/>
      <c r="Z2712" s="2"/>
      <c r="AA2712" s="2"/>
    </row>
    <row r="2713">
      <c r="A2713" s="3" t="s">
        <v>6373</v>
      </c>
      <c r="B2713" s="1" t="s">
        <v>6397</v>
      </c>
      <c r="C2713" s="3" t="s">
        <v>6398</v>
      </c>
      <c r="D2713" s="2" t="str">
        <f>IFERROR(__xludf.DUMMYFUNCTION("GOOGLETRANSLATE(B2713, ""en"", ""TL"")"),"Maaari bang ma-terminate ang isang empleyado dahil sa pagbubuntis sa Pilipinas?")</f>
        <v>Maaari bang ma-terminate ang isang empleyado dahil sa pagbubuntis sa Pilipinas?</v>
      </c>
      <c r="E2713" s="2" t="str">
        <f>IFERROR(__xludf.DUMMYFUNCTION("GOOGLETRANSLATE(C2713, ""en"", ""TL"")"),"Hindi, hindi maaaring tanggalin ang empleyado sa Pilipinas dahil sa pagbubuntis. Mahigpit na pinoprotektahan ng batas ng Pilipinas ang mga karapatan ng mga buntis na kababaihan sa lugar ng trabaho. Narito ang isang breakdown ng mga pangunahing punto:
* **"&amp;"Anti-diskriminasyon:** Ipinagbabawal ng Konstitusyon ng Pilipinas ang diskriminasyon laban sa kababaihan batay sa kanilang kasarian o katayuang sibil [1]. Ang pagbubuntis ay nasa ilalim ng proteksyong ito.
* **Security of Tenure:** Ang Labor Code ay pinan"&amp;"inindigan ang konsepto ng ""security of tenure"" para sa mga empleyado, na nagpapahirap sa mga employer na wakasan sila nang walang makatarungang dahilan [2]. Ang pagbubuntis ay hindi isang makatarungang dahilan para sa pagwawakas.
* **Maternity Leave Law"&amp;":** Republic Act No. 11210 (Expanded Maternity Leave Law) pinoprotektahan ang karapatan ng babae sa maternity leave at ipinagbabawal ang pagwawakas dahil sa pagbubuntis [3]. **Mga Bunga ng Employer:**
* Ang pagtanggal ng empleyado dahil sa pagbubuntis ay "&amp;"itinuturing na isang ilegal na pagpapaalis. * Ang empleyado ay maaaring magsampa ng reklamong hindi patas na labor practice (ULP) sa Department of Labor and Employment (DOLE) [4].
* Kung ang reklamo sa ULP ay matagumpay, ang empleyado ay maaaring maibalik"&amp;" sa kanilang trabaho at igawad ang pabalik na sahod at iba pang mga benepisyo na matatanggap sana nila kung hindi ilegal na winakasan [4].
**Mga Karagdagang Proteksyon:**
* Ang mga tagapag-empleyo ay kinakailangan na magbigay ng makatwirang mga kaluwagan "&amp;"sa lugar ng trabaho para sa mga buntis na empleyado, tulad ng mga flexible na kaayusan sa trabaho o binagong mga tungkulin kung kinakailangan [5].
**Kung Ikaw ay Buntis at Nahaharap sa Pagwawakas:**
* Humingi ng legal na payo mula sa isang abogadong dalub"&amp;"hasa sa batas sa paggawa ng Pilipinas.
* Maaari ka ring magsampa ng reklamo sa DOLE [4].
**Mga Mapagkukunan:**
* Department of Labor and Employment (DOLE): [https://www.officialgazette.gov.ph/section/briefing-room/department-of-labor-and-employment/](http"&amp;"s://www.officialgazette.gov .ph/section/briefing-room/department-of-labor-and-employment/)
* Philippine Commission on Women (PCW): [https://pcw.gov.ph/](https://pcw.gov.ph/)
**Tandaan:** Ito ay isang pangkalahatang pangkalahatang-ideya, at palaging pinaka"&amp;"mahusay na kumunsulta sa isang abogado para sa partikular na legal na payo tungkol sa iyong sitwasyon.")</f>
        <v>Hindi, hindi maaaring tanggalin ang empleyado sa Pilipinas dahil sa pagbubuntis. Mahigpit na pinoprotektahan ng batas ng Pilipinas ang mga karapatan ng mga buntis na kababaihan sa lugar ng trabaho. Narito ang isang breakdown ng mga pangunahing punto:
* **Anti-diskriminasyon:** Ipinagbabawal ng Konstitusyon ng Pilipinas ang diskriminasyon laban sa kababaihan batay sa kanilang kasarian o katayuang sibil [1]. Ang pagbubuntis ay nasa ilalim ng proteksyong ito.
* **Security of Tenure:** Ang Labor Code ay pinaninindigan ang konsepto ng "security of tenure" para sa mga empleyado, na nagpapahirap sa mga employer na wakasan sila nang walang makatarungang dahilan [2]. Ang pagbubuntis ay hindi isang makatarungang dahilan para sa pagwawakas.
* **Maternity Leave Law:** Republic Act No. 11210 (Expanded Maternity Leave Law) pinoprotektahan ang karapatan ng babae sa maternity leave at ipinagbabawal ang pagwawakas dahil sa pagbubuntis [3]. **Mga Bunga ng Employer:**
* Ang pagtanggal ng empleyado dahil sa pagbubuntis ay itinuturing na isang ilegal na pagpapaalis. * Ang empleyado ay maaaring magsampa ng reklamong hindi patas na labor practice (ULP) sa Department of Labor and Employment (DOLE) [4].
* Kung ang reklamo sa ULP ay matagumpay, ang empleyado ay maaaring maibalik sa kanilang trabaho at igawad ang pabalik na sahod at iba pang mga benepisyo na matatanggap sana nila kung hindi ilegal na winakasan [4].
**Mga Karagdagang Proteksyon:**
* Ang mga tagapag-empleyo ay kinakailangan na magbigay ng makatwirang mga kaluwagan sa lugar ng trabaho para sa mga buntis na empleyado, tulad ng mga flexible na kaayusan sa trabaho o binagong mga tungkulin kung kinakailangan [5].
**Kung Ikaw ay Buntis at Nahaharap sa Pagwawakas:**
* Humingi ng legal na payo mula sa isang abogadong dalubhasa sa batas sa paggawa ng Pilipinas.
* Maaari ka ring magsampa ng reklamo sa DOLE [4].
**Mga Mapagkukunan:**
* Department of Labor and Employment (DOLE): [https://www.officialgazette.gov.ph/section/briefing-room/department-of-labor-and-employment/](https://www.officialgazette.gov .ph/section/briefing-room/department-of-labor-and-employment/)
* Philippine Commission on Women (PCW): [https://pcw.gov.ph/](https://pcw.gov.ph/)
**Tandaan:** Ito ay isang pangkalahatang pangkalahatang-ideya, at palaging pinakamahusay na kumunsulta sa isang abogado para sa partikular na legal na payo tungkol sa iyong sitwasyon.</v>
      </c>
      <c r="F2713" s="2">
        <f t="shared" si="1"/>
        <v>0</v>
      </c>
      <c r="G2713" s="2"/>
      <c r="H2713" s="2"/>
      <c r="I2713" s="2"/>
      <c r="J2713" s="2"/>
      <c r="K2713" s="2"/>
      <c r="L2713" s="2"/>
      <c r="M2713" s="2"/>
      <c r="N2713" s="2"/>
      <c r="O2713" s="2"/>
      <c r="P2713" s="2"/>
      <c r="Q2713" s="2"/>
      <c r="R2713" s="2"/>
      <c r="S2713" s="2"/>
      <c r="T2713" s="2"/>
      <c r="U2713" s="2"/>
      <c r="V2713" s="2"/>
      <c r="W2713" s="2"/>
      <c r="X2713" s="2"/>
      <c r="Y2713" s="2"/>
      <c r="Z2713" s="2"/>
      <c r="AA2713" s="2"/>
    </row>
    <row r="2714">
      <c r="A2714" s="3" t="s">
        <v>6373</v>
      </c>
      <c r="B2714" s="1" t="s">
        <v>6399</v>
      </c>
      <c r="C2714" s="3" t="s">
        <v>6400</v>
      </c>
      <c r="D2714" s="2" t="str">
        <f>IFERROR(__xludf.DUMMYFUNCTION("GOOGLETRANSLATE(B2714, ""en"", ""TL"")"),"Ano ang mga legal na kinakailangan para sa pagpapatupad ng collective bargaining agreement (CBA) sa Pilipinas?")</f>
        <v>Ano ang mga legal na kinakailangan para sa pagpapatupad ng collective bargaining agreement (CBA) sa Pilipinas?</v>
      </c>
      <c r="E2714" s="2" t="str">
        <f>IFERROR(__xludf.DUMMYFUNCTION("GOOGLETRANSLATE(C2714, ""en"", ""TL"")"),"Narito ang isang breakdown ng mga legal na kinakailangan para sa pagpapatupad ng Collective Bargaining Agreement (CBA) sa Pilipinas:
**Mga Pangunahing Manlalaro:**
* **Unyon ng Manggagawa:** Ang isang lehitimong unyon ng manggagawa na nakarehistro sa Depa"&amp;"rtment of Labor and Employment (DOLE) ay dapat kumatawan sa mga empleyado sa proseso ng pakikipagkasundo [1].
* **Employer:** Ito ay maaaring isang kumpanya, isang grupo ng mga kumpanya, o isang asosasyon sa industriya na kumakatawan sa maraming employer "&amp;"[1].
* **National Conciliation and Mediation Board (NCMB):** Ang ahensya ng gobyerno na ito ay nagpapadali at tumutulong sa mga negosasyon sa pagitan ng mga unyon ng manggagawa at mga employer [1]. **Proseso ng Negosasyon:**
* **Notice of Intent to Bargai"&amp;"n:** Nag-file ang labor union ng Notice of Intent to Bargain sa NCMB [1].
* **Bargaining Conference:** Nagpupulong ang mga kinatawan mula sa magkabilang panig upang pag-usapan at pag-usapan ang mga tuntunin at kundisyon ng trabaho [1]. Maaaring may kasama"&amp;" itong maraming session.
* **Collective Bargaining Agreement (CBA):** Kapag naabot ang isang kasunduan, ito ay magiging pormal na isang nakasulat na dokumento, ang CBA [1].
* **Pagpaparehistro sa DOLE:** Ang CBA ay kailangang irehistro sa DOLE para sa leg"&amp;"al na pagkilala [1].
**Nilalaman ng isang CBA:**
Ang isang CBA ay karaniwang sumasaklaw sa isang malawak na hanay ng mga aspeto na may kaugnayan sa trabaho, kabilang ang:
* Mga sahod, suweldo, at iba pang anyo ng kabayaran (hal., allowance, bonus) [2]
* M"&amp;"ga oras ng trabaho, bayad sa overtime, at mga panahon ng pahinga [2]
* Mga patakaran sa leave of absence (hal., sick leave, vacation leave) [2]
* Mga karapatan sa seniority, promosyon, at tanggalan [2]
* Mga pamantayan sa kaligtasan at kalusugan sa trabah"&amp;"o [2]
* Mga pamamaraan ng karaingan para sa paglutas ng mga hindi pagkakaunawaan sa lugar ng trabaho [2]
**Timeline at Bisa:**
* Ang proseso ng negosasyon ay maaaring tumagal ng mga linggo o kahit na buwan depende sa pagiging kumplikado ng mga isyu na kas"&amp;"angkot [3].
* Ang CBA ay karaniwang may validity period na **limang taon** para sa representational na aspeto nito (bargaining rights) at mas mahaba para sa economic provisions (sahod, benepisyo) [4]. Ang isang kamakailang panukalang batas ay nagmumungkah"&amp;"i na bawasan ang panahon ng bisa para sa mga karapatan sa bargaining sa tatlong taon [4].
**Mga Karagdagang Pagsasaalang-alang:**
* **Mga hindi unionized na lugar ng trabaho:** Bagama't ang mga CBA ay pinakakaraniwan sa mga unionized na lugar ng trabaho, "&amp;"ang mga hindi unyonized na kumpanya ay maaari ding magkaroon ng mga katulad na kasunduan sa kanilang mga empleyado, na tinutukoy bilang ""Mga Pahayag ng Patakaran"" [5]. * **Pagsunod sa Mga Batas sa Paggawa:** Dapat sumunod ang CBA sa mga batas sa paggawa"&amp;" ng Pilipinas, na nagtatakda ng pinakamababang pamantayan para sa sahod, benepisyo, at kondisyon sa pagtatrabaho [2].
**Mga Mapagkukunan:**
* Department of Labor and Employment (DOLE): [https://www.officialgazette.gov.ph/section/briefing-room/department-o"&amp;"f-labor-and-employment/](https://www.officialgazette.gov .ph/section/briefing-room/department-of-labor-and-employment/)
* National Conciliation and Mediation Board (NCMB): [https://ncmb.gov.ph/](https://ncmb.gov.ph/)
* Kapulungan ng mga Kinatawan (kamakai"&amp;"lang ipinasa ang panukalang batas na nagbabawas sa bisa ng CBA): [https://www.congress.gov.ph/](https://www.congress.gov.ph/)
Tandaan, ito ay isang pinasimple na pangkalahatang-ideya, at ang mga partikular na legalidad ay maaaring mag-iba depende sa mga p"&amp;"angyayari. Isaalang-alang ang paghingi ng legal na patnubay mula sa isang abogadong dalubhasa sa batas sa paggawa ng Pilipinas para sa isang mas komprehensibong pag-unawa at tulong sa proseso ng CBA.")</f>
        <v>Narito ang isang breakdown ng mga legal na kinakailangan para sa pagpapatupad ng Collective Bargaining Agreement (CBA) sa Pilipinas:
**Mga Pangunahing Manlalaro:**
* **Unyon ng Manggagawa:** Ang isang lehitimong unyon ng manggagawa na nakarehistro sa Department of Labor and Employment (DOLE) ay dapat kumatawan sa mga empleyado sa proseso ng pakikipagkasundo [1].
* **Employer:** Ito ay maaaring isang kumpanya, isang grupo ng mga kumpanya, o isang asosasyon sa industriya na kumakatawan sa maraming employer [1].
* **National Conciliation and Mediation Board (NCMB):** Ang ahensya ng gobyerno na ito ay nagpapadali at tumutulong sa mga negosasyon sa pagitan ng mga unyon ng manggagawa at mga employer [1]. **Proseso ng Negosasyon:**
* **Notice of Intent to Bargain:** Nag-file ang labor union ng Notice of Intent to Bargain sa NCMB [1].
* **Bargaining Conference:** Nagpupulong ang mga kinatawan mula sa magkabilang panig upang pag-usapan at pag-usapan ang mga tuntunin at kundisyon ng trabaho [1]. Maaaring may kasama itong maraming session.
* **Collective Bargaining Agreement (CBA):** Kapag naabot ang isang kasunduan, ito ay magiging pormal na isang nakasulat na dokumento, ang CBA [1].
* **Pagpaparehistro sa DOLE:** Ang CBA ay kailangang irehistro sa DOLE para sa legal na pagkilala [1].
**Nilalaman ng isang CBA:**
Ang isang CBA ay karaniwang sumasaklaw sa isang malawak na hanay ng mga aspeto na may kaugnayan sa trabaho, kabilang ang:
* Mga sahod, suweldo, at iba pang anyo ng kabayaran (hal., allowance, bonus) [2]
* Mga oras ng trabaho, bayad sa overtime, at mga panahon ng pahinga [2]
* Mga patakaran sa leave of absence (hal., sick leave, vacation leave) [2]
* Mga karapatan sa seniority, promosyon, at tanggalan [2]
* Mga pamantayan sa kaligtasan at kalusugan sa trabaho [2]
* Mga pamamaraan ng karaingan para sa paglutas ng mga hindi pagkakaunawaan sa lugar ng trabaho [2]
**Timeline at Bisa:**
* Ang proseso ng negosasyon ay maaaring tumagal ng mga linggo o kahit na buwan depende sa pagiging kumplikado ng mga isyu na kasangkot [3].
* Ang CBA ay karaniwang may validity period na **limang taon** para sa representational na aspeto nito (bargaining rights) at mas mahaba para sa economic provisions (sahod, benepisyo) [4]. Ang isang kamakailang panukalang batas ay nagmumungkahi na bawasan ang panahon ng bisa para sa mga karapatan sa bargaining sa tatlong taon [4].
**Mga Karagdagang Pagsasaalang-alang:**
* **Mga hindi unionized na lugar ng trabaho:** Bagama't ang mga CBA ay pinakakaraniwan sa mga unionized na lugar ng trabaho, ang mga hindi unyonized na kumpanya ay maaari ding magkaroon ng mga katulad na kasunduan sa kanilang mga empleyado, na tinutukoy bilang "Mga Pahayag ng Patakaran" [5]. * **Pagsunod sa Mga Batas sa Paggawa:** Dapat sumunod ang CBA sa mga batas sa paggawa ng Pilipinas, na nagtatakda ng pinakamababang pamantayan para sa sahod, benepisyo, at kondisyon sa pagtatrabaho [2].
**Mga Mapagkukunan:**
* Department of Labor and Employment (DOLE): [https://www.officialgazette.gov.ph/section/briefing-room/department-of-labor-and-employment/](https://www.officialgazette.gov .ph/section/briefing-room/department-of-labor-and-employment/)
* National Conciliation and Mediation Board (NCMB): [https://ncmb.gov.ph/](https://ncmb.gov.ph/)
* Kapulungan ng mga Kinatawan (kamakailang ipinasa ang panukalang batas na nagbabawas sa bisa ng CBA): [https://www.congress.gov.ph/](https://www.congress.gov.ph/)
Tandaan, ito ay isang pinasimple na pangkalahatang-ideya, at ang mga partikular na legalidad ay maaaring mag-iba depende sa mga pangyayari. Isaalang-alang ang paghingi ng legal na patnubay mula sa isang abogadong dalubhasa sa batas sa paggawa ng Pilipinas para sa isang mas komprehensibong pag-unawa at tulong sa proseso ng CBA.</v>
      </c>
      <c r="F2714" s="2">
        <f t="shared" si="1"/>
        <v>0</v>
      </c>
      <c r="G2714" s="2"/>
      <c r="H2714" s="2"/>
      <c r="I2714" s="2"/>
      <c r="J2714" s="2"/>
      <c r="K2714" s="2"/>
      <c r="L2714" s="2"/>
      <c r="M2714" s="2"/>
      <c r="N2714" s="2"/>
      <c r="O2714" s="2"/>
      <c r="P2714" s="2"/>
      <c r="Q2714" s="2"/>
      <c r="R2714" s="2"/>
      <c r="S2714" s="2"/>
      <c r="T2714" s="2"/>
      <c r="U2714" s="2"/>
      <c r="V2714" s="2"/>
      <c r="W2714" s="2"/>
      <c r="X2714" s="2"/>
      <c r="Y2714" s="2"/>
      <c r="Z2714" s="2"/>
      <c r="AA2714" s="2"/>
    </row>
    <row r="2715">
      <c r="A2715" s="3" t="s">
        <v>6373</v>
      </c>
      <c r="B2715" s="1" t="s">
        <v>6401</v>
      </c>
      <c r="C2715" s="3" t="s">
        <v>6402</v>
      </c>
      <c r="D2715" s="2" t="str">
        <f>IFERROR(__xludf.DUMMYFUNCTION("GOOGLETRANSLATE(B2715, ""en"", ""TL"")"),"Legal ba para sa mga employer na magpatupad ng drug testing sa mga empleyado sa Pilipinas?")</f>
        <v>Legal ba para sa mga employer na magpatupad ng drug testing sa mga empleyado sa Pilipinas?</v>
      </c>
      <c r="E2715" s="2" t="str">
        <f>IFERROR(__xludf.DUMMYFUNCTION("GOOGLETRANSLATE(C2715, ""en"", ""TL"")"),"Oo, ang drug testing ay maaaring maging legal para sa mga employer na ipatupad sa Pilipinas, ngunit may mga regulasyon at limitasyon. Narito ang isang breakdown:
**Legal na Batayan:**
* Bagama't walang iisang batas na nakatuon lamang sa pagsusuri sa droga"&amp;" sa lugar ng trabaho, pinapayagan ito ng ilang probisyon sa ilalim ng ilang partikular na kundisyon:
* **Republic Act No. 9165 (Comprehensive Dangerous Drugs Act of 2002):** Ang batas na ito ay nag-uutos ng random na drug testing para sa mga opisyal at em"&amp;"pleyado ng pampubliko at pribadong opisina, na napapailalim sa mga tuntunin at regulasyon sa trabaho ng kumpanya [1].
* **Regulasyon ng Dangerous Drugs Board (DDB) No. 3, Serye ng 2003:** Ang regulasyong ito ay nagbibigay ng mga partikular na alituntunin "&amp;"para sa mandatoryong pagsusuri sa gamot sa iba't ibang mga setting, kabilang ang mga lugar ng trabaho [2].
**Sino ang Maaaring Masuri:**
* **Random Testing:** Ang mga kumpanya ay maaaring magsagawa ng random na drug testing sa lahat ng empleyado, basta an"&amp;"g proseso ng pagpili ay patas at walang kinikilingan [2].
* **Pre-employment Testing:** Ang pagsusuri sa droga ay maaaring maging bahagi ng proseso ng screening bago ang pagtatrabaho, ngunit ang mga aplikante ay kailangang maabisuhan nang maaga at kailang"&amp;"an ng nakasulat na pahintulot [2].
* **Pagsusuri sa Makatwirang Dahilan:** Maaaring magsagawa ng pagsusuri sa droga ang mga employer kung mayroon silang makatwirang hinala na gumagamit ng droga ang isang empleyado, gaya ng pag-obserba ng mga isyu sa pagga"&amp;"nap ng trabaho o mga pagbabago sa pag-uugali na nagpapahiwatig ng paggamit ng droga [2].
**Sumusunod sa Mga Wastong Pamamaraan:**
* Dapat sumunod ang mga employer sa mga alituntuning itinakda ng Dangerous Drugs Board (DDB) tungkol sa:
* Pagpili ng mga emp"&amp;"leyado para sa random na pagsubok [2].
* Pagiging kumpidensyal ng mga resulta ng pagsusulit [2].
* Paggamit ng mga akreditadong laboratoryo at mga kwalipikadong tauhan para sa pagsasagawa ng mga pagsusuri [2].
**Mga Karapatan ng Empleyado:**
* Ang mga emp"&amp;"leyado ay may karapatang malaman ang tungkol sa patakaran sa pagsusuri ng droga ng kumpanya [2].
* Maaari silang tumanggi sa pagsusuri sa droga, ngunit maaaring magresulta ito sa aksyong pandisiplina depende sa patakaran ng kumpanya [2]. Gayunpaman, ang n"&amp;"aturang aksyon ay dapat na makatwiran at sumunod sa angkop na proseso.
**Mga Alternatibo sa Drug Testing:**
* Ang ilang kumpanya ay maaaring mag-opt para sa Employee Assistance Programs (EAPs) upang tulungan ang mga empleyadong nahihirapan sa pag-abuso sa"&amp;" substance bago pumunta sa drug testing [3]. **Mga Mapagkukunan:**
* Dangerous Drugs Board (DDB): [https://ddb.gov.ph/](https://ddb.gov.ph/)
* Philippine Chamber of Commerce and Industry (PCCI): [https://www.philippinechamber.com/](https://www.philippinec"&amp;"hamber.com/)
**Mahalagang Paalala:**
Inirerekomenda na kumunsulta sa isang abogado na dalubhasa sa batas sa paggawa ng Pilipinas para sa isang komprehensibong pag-unawa sa mga legalidad ng drug testing at kung paano ito nalalapat sa iyong partikular na si"&amp;"twasyon.")</f>
        <v>Oo, ang drug testing ay maaaring maging legal para sa mga employer na ipatupad sa Pilipinas, ngunit may mga regulasyon at limitasyon. Narito ang isang breakdown:
**Legal na Batayan:**
* Bagama't walang iisang batas na nakatuon lamang sa pagsusuri sa droga sa lugar ng trabaho, pinapayagan ito ng ilang probisyon sa ilalim ng ilang partikular na kundisyon:
* **Republic Act No. 9165 (Comprehensive Dangerous Drugs Act of 2002):** Ang batas na ito ay nag-uutos ng random na drug testing para sa mga opisyal at empleyado ng pampubliko at pribadong opisina, na napapailalim sa mga tuntunin at regulasyon sa trabaho ng kumpanya [1].
* **Regulasyon ng Dangerous Drugs Board (DDB) No. 3, Serye ng 2003:** Ang regulasyong ito ay nagbibigay ng mga partikular na alituntunin para sa mandatoryong pagsusuri sa gamot sa iba't ibang mga setting, kabilang ang mga lugar ng trabaho [2].
**Sino ang Maaaring Masuri:**
* **Random Testing:** Ang mga kumpanya ay maaaring magsagawa ng random na drug testing sa lahat ng empleyado, basta ang proseso ng pagpili ay patas at walang kinikilingan [2].
* **Pre-employment Testing:** Ang pagsusuri sa droga ay maaaring maging bahagi ng proseso ng screening bago ang pagtatrabaho, ngunit ang mga aplikante ay kailangang maabisuhan nang maaga at kailangan ng nakasulat na pahintulot [2].
* **Pagsusuri sa Makatwirang Dahilan:** Maaaring magsagawa ng pagsusuri sa droga ang mga employer kung mayroon silang makatwirang hinala na gumagamit ng droga ang isang empleyado, gaya ng pag-obserba ng mga isyu sa pagganap ng trabaho o mga pagbabago sa pag-uugali na nagpapahiwatig ng paggamit ng droga [2].
**Sumusunod sa Mga Wastong Pamamaraan:**
* Dapat sumunod ang mga employer sa mga alituntuning itinakda ng Dangerous Drugs Board (DDB) tungkol sa:
* Pagpili ng mga empleyado para sa random na pagsubok [2].
* Pagiging kumpidensyal ng mga resulta ng pagsusulit [2].
* Paggamit ng mga akreditadong laboratoryo at mga kwalipikadong tauhan para sa pagsasagawa ng mga pagsusuri [2].
**Mga Karapatan ng Empleyado:**
* Ang mga empleyado ay may karapatang malaman ang tungkol sa patakaran sa pagsusuri ng droga ng kumpanya [2].
* Maaari silang tumanggi sa pagsusuri sa droga, ngunit maaaring magresulta ito sa aksyong pandisiplina depende sa patakaran ng kumpanya [2]. Gayunpaman, ang naturang aksyon ay dapat na makatwiran at sumunod sa angkop na proseso.
**Mga Alternatibo sa Drug Testing:**
* Ang ilang kumpanya ay maaaring mag-opt para sa Employee Assistance Programs (EAPs) upang tulungan ang mga empleyadong nahihirapan sa pag-abuso sa substance bago pumunta sa drug testing [3]. **Mga Mapagkukunan:**
* Dangerous Drugs Board (DDB): [https://ddb.gov.ph/](https://ddb.gov.ph/)
* Philippine Chamber of Commerce and Industry (PCCI): [https://www.philippinechamber.com/](https://www.philippinechamber.com/)
**Mahalagang Paalala:**
Inirerekomenda na kumunsulta sa isang abogado na dalubhasa sa batas sa paggawa ng Pilipinas para sa isang komprehensibong pag-unawa sa mga legalidad ng drug testing at kung paano ito nalalapat sa iyong partikular na sitwasyon.</v>
      </c>
      <c r="F2715" s="2">
        <f t="shared" si="1"/>
        <v>0</v>
      </c>
      <c r="G2715" s="2"/>
      <c r="H2715" s="2"/>
      <c r="I2715" s="2"/>
      <c r="J2715" s="2"/>
      <c r="K2715" s="2"/>
      <c r="L2715" s="2"/>
      <c r="M2715" s="2"/>
      <c r="N2715" s="2"/>
      <c r="O2715" s="2"/>
      <c r="P2715" s="2"/>
      <c r="Q2715" s="2"/>
      <c r="R2715" s="2"/>
      <c r="S2715" s="2"/>
      <c r="T2715" s="2"/>
      <c r="U2715" s="2"/>
      <c r="V2715" s="2"/>
      <c r="W2715" s="2"/>
      <c r="X2715" s="2"/>
      <c r="Y2715" s="2"/>
      <c r="Z2715" s="2"/>
      <c r="AA2715" s="2"/>
    </row>
    <row r="2716">
      <c r="A2716" s="3" t="s">
        <v>6373</v>
      </c>
      <c r="B2716" s="1" t="s">
        <v>6403</v>
      </c>
      <c r="C2716" s="3" t="s">
        <v>6404</v>
      </c>
      <c r="D2716" s="2" t="str">
        <f>IFERROR(__xludf.DUMMYFUNCTION("GOOGLETRANSLATE(B2716, ""en"", ""TL"")"),"Ano ang legal na edad para sa trabaho sa Pilipinas?")</f>
        <v>Ano ang legal na edad para sa trabaho sa Pilipinas?</v>
      </c>
      <c r="E2716" s="2" t="str">
        <f>IFERROR(__xludf.DUMMYFUNCTION("GOOGLETRANSLATE(C2716, ""en"", ""TL"")"),"Ang pinakamababang legal na edad para sa pagtatrabaho sa Pilipinas ay karaniwang **15 taong gulang**. Ito ay itinatag ng mga sumusunod:
* **Republic Act No. 7658 (Isang Batas na Nagbabawal sa Pagtatrabaho ng mga Batang Wala Pang 15 Taon sa Edad sa Pampubl"&amp;"iko at Pribadong mga Pagsasagawa):** Ipinagbabawal ng batas na ito ang pagtatrabaho ng mga batang wala pang 15 taong gulang sa karamihan ng mga lugar ng trabaho [1].
* **Mga Regulasyon ng Department of Labor and Employment (DOLE):** Inuulit ng mga regulas"&amp;"yon ng DOLE ang pinakamababang edad na 15 at binabalangkas ang mga pagbubukod kung saan maaaring magtrabaho ang mga mas bata [2].
**Mga Pagbubukod sa Minimum na Limitasyon sa Edad:**
May mga limitadong pagbubukod kung saan ang isang batang wala pang 15 ta"&amp;"ong gulang ay maaaring magtrabaho:
* **Magtrabaho nang direkta sa ilalim ng nag-iisang responsibilidad ng mga magulang o tagapag-alaga:** Nalalapat ito sa mga negosyo ng pamilya kung saan ang mga bata ay tumutulong sa mga gawain ngunit hindi pormal na nag"&amp;"tatrabaho [2]. * **Pagtatrabaho sa pampublikong libangan o impormasyon:** Nalalapat ang pagbubukod na ito sa mga bata sa industriya ng entertainment (hal., pag-arte, pagkanta) o pagpapakalat ng impormasyon (hal., pagmomodelo), ngunit nalalapat ang mga par"&amp;"tikular na regulasyon at pananggalang upang protektahan ang mga batang ito [2] .
**Mahahalagang Pagsasaalang-alang:**
* Kahit na para sa mga pagbubukod, ang gawaing ginagawa ng bata ay hindi dapat makagambala sa kanilang pag-aaral o pangkalahatang pag-unl"&amp;"ad [2]. * Ang mga batas sa child labor sa Pilipinas ay mahigpit na ipinapatupad upang maprotektahan ang mga bata mula sa pagsasamantala at matiyak ang kanilang kagalingan.
**Mga Mapagkukunan:**
* Department of Labor and Employment (DOLE): [https://www.off"&amp;"icialgazette.gov.ph/section/briefing-room/department-of-labor-and-employment/](https://www.officialgazette.gov .ph/section/briefing-room/department-of-labor-and-employment/)
* International Labor Organization (ILO): [https://www.ilo.org/](https://www.ilo."&amp;"org/) (Niratipika ng Pilipinas ang mga pangunahing ILO Convention na may kaugnayan sa child labor)")</f>
        <v>Ang pinakamababang legal na edad para sa pagtatrabaho sa Pilipinas ay karaniwang **15 taong gulang**. Ito ay itinatag ng mga sumusunod:
* **Republic Act No. 7658 (Isang Batas na Nagbabawal sa Pagtatrabaho ng mga Batang Wala Pang 15 Taon sa Edad sa Pampubliko at Pribadong mga Pagsasagawa):** Ipinagbabawal ng batas na ito ang pagtatrabaho ng mga batang wala pang 15 taong gulang sa karamihan ng mga lugar ng trabaho [1].
* **Mga Regulasyon ng Department of Labor and Employment (DOLE):** Inuulit ng mga regulasyon ng DOLE ang pinakamababang edad na 15 at binabalangkas ang mga pagbubukod kung saan maaaring magtrabaho ang mga mas bata [2].
**Mga Pagbubukod sa Minimum na Limitasyon sa Edad:**
May mga limitadong pagbubukod kung saan ang isang batang wala pang 15 taong gulang ay maaaring magtrabaho:
* **Magtrabaho nang direkta sa ilalim ng nag-iisang responsibilidad ng mga magulang o tagapag-alaga:** Nalalapat ito sa mga negosyo ng pamilya kung saan ang mga bata ay tumutulong sa mga gawain ngunit hindi pormal na nagtatrabaho [2]. * **Pagtatrabaho sa pampublikong libangan o impormasyon:** Nalalapat ang pagbubukod na ito sa mga bata sa industriya ng entertainment (hal., pag-arte, pagkanta) o pagpapakalat ng impormasyon (hal., pagmomodelo), ngunit nalalapat ang mga partikular na regulasyon at pananggalang upang protektahan ang mga batang ito [2] .
**Mahahalagang Pagsasaalang-alang:**
* Kahit na para sa mga pagbubukod, ang gawaing ginagawa ng bata ay hindi dapat makagambala sa kanilang pag-aaral o pangkalahatang pag-unlad [2]. * Ang mga batas sa child labor sa Pilipinas ay mahigpit na ipinapatupad upang maprotektahan ang mga bata mula sa pagsasamantala at matiyak ang kanilang kagalingan.
**Mga Mapagkukunan:**
* Department of Labor and Employment (DOLE): [https://www.officialgazette.gov.ph/section/briefing-room/department-of-labor-and-employment/](https://www.officialgazette.gov .ph/section/briefing-room/department-of-labor-and-employment/)
* International Labor Organization (ILO): [https://www.ilo.org/](https://www.ilo.org/) (Niratipika ng Pilipinas ang mga pangunahing ILO Convention na may kaugnayan sa child labor)</v>
      </c>
      <c r="F2716" s="2">
        <f t="shared" si="1"/>
        <v>0</v>
      </c>
      <c r="G2716" s="2"/>
      <c r="H2716" s="2"/>
      <c r="I2716" s="2"/>
      <c r="J2716" s="2"/>
      <c r="K2716" s="2"/>
      <c r="L2716" s="2"/>
      <c r="M2716" s="2"/>
      <c r="N2716" s="2"/>
      <c r="O2716" s="2"/>
      <c r="P2716" s="2"/>
      <c r="Q2716" s="2"/>
      <c r="R2716" s="2"/>
      <c r="S2716" s="2"/>
      <c r="T2716" s="2"/>
      <c r="U2716" s="2"/>
      <c r="V2716" s="2"/>
      <c r="W2716" s="2"/>
      <c r="X2716" s="2"/>
      <c r="Y2716" s="2"/>
      <c r="Z2716" s="2"/>
      <c r="AA2716" s="2"/>
    </row>
    <row r="2717">
      <c r="A2717" s="3" t="s">
        <v>6373</v>
      </c>
      <c r="B2717" s="1" t="s">
        <v>6405</v>
      </c>
      <c r="C2717" s="3" t="s">
        <v>6406</v>
      </c>
      <c r="D2717" s="2" t="str">
        <f>IFERROR(__xludf.DUMMYFUNCTION("GOOGLETRANSLATE(B2717, ""en"", ""TL"")"),"Maaari bang isailalim sa mandatory retirement ang mga empleyado sa Pilipinas?")</f>
        <v>Maaari bang isailalim sa mandatory retirement ang mga empleyado sa Pilipinas?</v>
      </c>
      <c r="E2717" s="2" t="str">
        <f>IFERROR(__xludf.DUMMYFUNCTION("GOOGLETRANSLATE(C2717, ""en"", ""TL"")"),"Sa Pilipinas, ang pagreretiro ay **opsyonal** sa isang tiyak na edad at **mandatory** sa iba. Narito ang isang breakdown ng legalidad:
* **Opsyonal na Pagreretiro:** Maaaring piliin ng isang empleyado na magretiro kapag umabot na sa edad na **60 taong gul"&amp;"ang o higit pa**, basta't nakapaglingkod sila nang hindi bababa sa **limang (5) taon** sa establisyimento [1, 2]. * Walang legal na obligasyon para sa isang employer na panatilihin ang isang empleyado na lampas sa edad na ito.
* **Mandatoryong Pagreretiro"&amp;":** Ang isang tagapag-empleyo ay maaaring **sapilitan na magretiro** ng isang empleyado kapag umabot sa edad na **65 taong gulang**, sa kondisyon na **walang umiiral na plano o kasunduan sa pagreretiro** na nag-aalok ng ibang edad ng pagreretiro [ 1, 2].
"&amp;"**Mga Pangunahing Punto:**
* **Pagpapasya ng Employer:** Para sa mga empleyado ng pribadong sektor, ang desisyon kung kailan magretiro sa pagitan ng 60 at 65 sa huli ay nakasalalay sa empleyado, maliban kung may partikular na patakaran ng kumpanya sa mand"&amp;"atoryong pagreretiro bago ang 65 (na kakailanganing maging legal at makatwiran) .
* **Mga Empleyado ng Gobyerno:** May mga kamakailang mungkahi na ibaba ang opsyonal na edad ng pagreretiro para sa mga empleyado ng gobyerno sa 56. Sa ngayon (Marso 15, 2024"&amp;"), ang mandatoryong edad ng pagreretiro para sa mga manggagawa sa gobyerno ay nananatiling 65 [3].
* **Mga Pagbubukod:** Ang mga empleyado sa underground mining ay may mas mababang mandatoryong edad ng pagreretiro na 60, na may opsyong magretiro sa 50 pag"&amp;"katapos ng limang taon ng serbisyo [4].
**Mga Mapagkukunan:**
* Department of Labor and Employment (DOLE): [https://www.officialgazette.gov.ph/](https://www.officialgazette.gov.ph/) (Spesipikong tingnan ang Articles 287 at 442 ng Labor Code )
* Kapulungan"&amp;" ng mga Kinatawan (balita sa iminungkahing mas mababang edad ng pagreretiro para sa mga manggagawa sa gobyerno): [https://www.congress.gov.ph/](https://www.congress.gov.ph/)")</f>
        <v>Sa Pilipinas, ang pagreretiro ay **opsyonal** sa isang tiyak na edad at **mandatory** sa iba. Narito ang isang breakdown ng legalidad:
* **Opsyonal na Pagreretiro:** Maaaring piliin ng isang empleyado na magretiro kapag umabot na sa edad na **60 taong gulang o higit pa**, basta't nakapaglingkod sila nang hindi bababa sa **limang (5) taon** sa establisyimento [1, 2]. * Walang legal na obligasyon para sa isang employer na panatilihin ang isang empleyado na lampas sa edad na ito.
* **Mandatoryong Pagreretiro:** Ang isang tagapag-empleyo ay maaaring **sapilitan na magretiro** ng isang empleyado kapag umabot sa edad na **65 taong gulang**, sa kondisyon na **walang umiiral na plano o kasunduan sa pagreretiro** na nag-aalok ng ibang edad ng pagreretiro [ 1, 2].
**Mga Pangunahing Punto:**
* **Pagpapasya ng Employer:** Para sa mga empleyado ng pribadong sektor, ang desisyon kung kailan magretiro sa pagitan ng 60 at 65 sa huli ay nakasalalay sa empleyado, maliban kung may partikular na patakaran ng kumpanya sa mandatoryong pagreretiro bago ang 65 (na kakailanganing maging legal at makatwiran) .
* **Mga Empleyado ng Gobyerno:** May mga kamakailang mungkahi na ibaba ang opsyonal na edad ng pagreretiro para sa mga empleyado ng gobyerno sa 56. Sa ngayon (Marso 15, 2024), ang mandatoryong edad ng pagreretiro para sa mga manggagawa sa gobyerno ay nananatiling 65 [3].
* **Mga Pagbubukod:** Ang mga empleyado sa underground mining ay may mas mababang mandatoryong edad ng pagreretiro na 60, na may opsyong magretiro sa 50 pagkatapos ng limang taon ng serbisyo [4].
**Mga Mapagkukunan:**
* Department of Labor and Employment (DOLE): [https://www.officialgazette.gov.ph/](https://www.officialgazette.gov.ph/) (Spesipikong tingnan ang Articles 287 at 442 ng Labor Code )
* Kapulungan ng mga Kinatawan (balita sa iminungkahing mas mababang edad ng pagreretiro para sa mga manggagawa sa gobyerno): [https://www.congress.gov.ph/](https://www.congress.gov.ph/)</v>
      </c>
      <c r="F2717" s="2">
        <f t="shared" si="1"/>
        <v>0</v>
      </c>
      <c r="G2717" s="2"/>
      <c r="H2717" s="2"/>
      <c r="I2717" s="2"/>
      <c r="J2717" s="2"/>
      <c r="K2717" s="2"/>
      <c r="L2717" s="2"/>
      <c r="M2717" s="2"/>
      <c r="N2717" s="2"/>
      <c r="O2717" s="2"/>
      <c r="P2717" s="2"/>
      <c r="Q2717" s="2"/>
      <c r="R2717" s="2"/>
      <c r="S2717" s="2"/>
      <c r="T2717" s="2"/>
      <c r="U2717" s="2"/>
      <c r="V2717" s="2"/>
      <c r="W2717" s="2"/>
      <c r="X2717" s="2"/>
      <c r="Y2717" s="2"/>
      <c r="Z2717" s="2"/>
      <c r="AA2717" s="2"/>
    </row>
    <row r="2718">
      <c r="A2718" s="3" t="s">
        <v>6373</v>
      </c>
      <c r="B2718" s="1" t="s">
        <v>6407</v>
      </c>
      <c r="C2718" s="3" t="s">
        <v>6408</v>
      </c>
      <c r="D2718" s="2" t="str">
        <f>IFERROR(__xludf.DUMMYFUNCTION("GOOGLETRANSLATE(B2718, ""en"", ""TL"")"),"Kinakailangan ba ng mga employer na magbigay ng pagkain at pahinga sa mga empleyado?")</f>
        <v>Kinakailangan ba ng mga employer na magbigay ng pagkain at pahinga sa mga empleyado?</v>
      </c>
      <c r="E2718" s="2" t="str">
        <f>IFERROR(__xludf.DUMMYFUNCTION("GOOGLETRANSLATE(C2718, ""en"", ""TL"")"),"Oo, ang mga employer sa Pilipinas ay inaatasan ng batas na magbigay ng pagkain at pahinga sa kanilang mga empleyado. Narito ang isang breakdown ng mga partikular na kinakailangan:
**Meal Break:**
* **Minimum na Tagal:** Ang bawat empleyado ay may karapata"&amp;"n sa **hindi kukulangin sa 60 minuto** ng **hindi bayad** na pahinga para sa kanilang mga regular na pagkain [1, 2].
* **Mashort Break na may Kabayaran:** Sa ilang partikular na pagkakataon, maaaring paikliin ang meal break, ngunit may mga partikular na k"&amp;"undisyon:
* **Hindi manu-mano o magaan na pisikal na trabaho:** Para sa mga empleyadong gumaganap ng trabahong hindi pisikal na hinihingi, ang pahinga ay maaaring bawasan sa **hindi bababa sa 20 minuto**, ngunit ang pinaikling oras ay dapat **mabayaran bi"&amp;"lang oras ng trabaho ** [1, 2].
* **16 na oras na operasyon sa araw ng trabaho:** Para sa mga negosyong tumatakbo sa loob ng 16 na oras sa isang araw, ang meal break ay maaaring paikliin, kung ang mga alternatibong panahon ng pahinga ay ibinibigay sa buon"&amp;"g pinalawig na araw ng trabaho upang matiyak ang sapat na pahinga para sa mga empleyado [2]. * **Mga sitwasyong pang-emergency:** Sa panahon ng mga emerhensiya o kapag nag-aayos ng makinarya o kagamitan, maaaring ipatupad ang mas maiikling pahinga sa pagk"&amp;"ain, ngunit dapat pa ring bayaran ang mga empleyado para sa pinaikling oras ng pahinga [2].
**Mga Rest Break:**
* Bagama't hindi tahasang ipinag-uutos ng batas, ang mga maikling panahon ng pahinga o ""coffee break"" ay karaniwan sa mga lugar ng trabaho sa"&amp;" Pilipinas. Ang mga break na ito ay karaniwang **5 hanggang 20 minuto ang haba** at itinuturing na **compensated na oras ng pagtatrabaho** dahil nagbibigay sila ng mga maikling panahon ng pahinga sa araw ng trabaho [3].
**Kahalagahan ng Mga Break:**
* Ang"&amp;" mga pahinga sa pagkain at pahinga ay mahalaga para sa kagalingan at pagiging produktibo ng empleyado. Pinapayagan nila ang mga empleyado na mag-recharge at bumalik sa kanilang mga gawain sa trabaho nang may panibagong pokus at lakas [4].
**Mga Mapagkukun"&amp;"an:**
* Department of Labor and Employment (DOLE): [https://blr.dole.gov.ph/2014/12/11/labor-code-of-the-philippines/](https://blr.dole.gov .ph/2014/12/11/labor-code-of-the-philippines/) (Artikulo 85 at 87 ng Labor Code)
* Kittelson at Carpo Law Offices: "&amp;"[inalis ang invalid na URL]
**Tandaan:** Ito ay isang pangkalahatang pangkalahatang-ideya, at ang mga partikular na sitwasyon ay maaaring may iba't ibang pagsasaalang-alang. Kung mayroon kang mga tanong tungkol sa mga kinakailangan sa pagkain at pahinga s"&amp;"a Pilipinas, kumunsulta sa isang abogado na dalubhasa sa batas sa paggawa ng Pilipinas.")</f>
        <v>Oo, ang mga employer sa Pilipinas ay inaatasan ng batas na magbigay ng pagkain at pahinga sa kanilang mga empleyado. Narito ang isang breakdown ng mga partikular na kinakailangan:
**Meal Break:**
* **Minimum na Tagal:** Ang bawat empleyado ay may karapatan sa **hindi kukulangin sa 60 minuto** ng **hindi bayad** na pahinga para sa kanilang mga regular na pagkain [1, 2].
* **Mashort Break na may Kabayaran:** Sa ilang partikular na pagkakataon, maaaring paikliin ang meal break, ngunit may mga partikular na kundisyon:
* **Hindi manu-mano o magaan na pisikal na trabaho:** Para sa mga empleyadong gumaganap ng trabahong hindi pisikal na hinihingi, ang pahinga ay maaaring bawasan sa **hindi bababa sa 20 minuto**, ngunit ang pinaikling oras ay dapat **mabayaran bilang oras ng trabaho ** [1, 2].
* **16 na oras na operasyon sa araw ng trabaho:** Para sa mga negosyong tumatakbo sa loob ng 16 na oras sa isang araw, ang meal break ay maaaring paikliin, kung ang mga alternatibong panahon ng pahinga ay ibinibigay sa buong pinalawig na araw ng trabaho upang matiyak ang sapat na pahinga para sa mga empleyado [2]. * **Mga sitwasyong pang-emergency:** Sa panahon ng mga emerhensiya o kapag nag-aayos ng makinarya o kagamitan, maaaring ipatupad ang mas maiikling pahinga sa pagkain, ngunit dapat pa ring bayaran ang mga empleyado para sa pinaikling oras ng pahinga [2].
**Mga Rest Break:**
* Bagama't hindi tahasang ipinag-uutos ng batas, ang mga maikling panahon ng pahinga o "coffee break" ay karaniwan sa mga lugar ng trabaho sa Pilipinas. Ang mga break na ito ay karaniwang **5 hanggang 20 minuto ang haba** at itinuturing na **compensated na oras ng pagtatrabaho** dahil nagbibigay sila ng mga maikling panahon ng pahinga sa araw ng trabaho [3].
**Kahalagahan ng Mga Break:**
* Ang mga pahinga sa pagkain at pahinga ay mahalaga para sa kagalingan at pagiging produktibo ng empleyado. Pinapayagan nila ang mga empleyado na mag-recharge at bumalik sa kanilang mga gawain sa trabaho nang may panibagong pokus at lakas [4].
**Mga Mapagkukunan:**
* Department of Labor and Employment (DOLE): [https://blr.dole.gov.ph/2014/12/11/labor-code-of-the-philippines/](https://blr.dole.gov .ph/2014/12/11/labor-code-of-the-philippines/) (Artikulo 85 at 87 ng Labor Code)
* Kittelson at Carpo Law Offices: [inalis ang invalid na URL]
**Tandaan:** Ito ay isang pangkalahatang pangkalahatang-ideya, at ang mga partikular na sitwasyon ay maaaring may iba't ibang pagsasaalang-alang. Kung mayroon kang mga tanong tungkol sa mga kinakailangan sa pagkain at pahinga sa Pilipinas, kumunsulta sa isang abogado na dalubhasa sa batas sa paggawa ng Pilipinas.</v>
      </c>
      <c r="F2718" s="2">
        <f t="shared" si="1"/>
        <v>0</v>
      </c>
      <c r="G2718" s="2"/>
      <c r="H2718" s="2"/>
      <c r="I2718" s="2"/>
      <c r="J2718" s="2"/>
      <c r="K2718" s="2"/>
      <c r="L2718" s="2"/>
      <c r="M2718" s="2"/>
      <c r="N2718" s="2"/>
      <c r="O2718" s="2"/>
      <c r="P2718" s="2"/>
      <c r="Q2718" s="2"/>
      <c r="R2718" s="2"/>
      <c r="S2718" s="2"/>
      <c r="T2718" s="2"/>
      <c r="U2718" s="2"/>
      <c r="V2718" s="2"/>
      <c r="W2718" s="2"/>
      <c r="X2718" s="2"/>
      <c r="Y2718" s="2"/>
      <c r="Z2718" s="2"/>
      <c r="AA2718" s="2"/>
    </row>
    <row r="2719">
      <c r="A2719" s="3" t="s">
        <v>6373</v>
      </c>
      <c r="B2719" s="1" t="s">
        <v>6409</v>
      </c>
      <c r="C2719" s="3" t="s">
        <v>6410</v>
      </c>
      <c r="D2719" s="2" t="str">
        <f>IFERROR(__xludf.DUMMYFUNCTION("GOOGLETRANSLATE(B2719, ""en"", ""TL"")"),"Ano ang mga legal na batayan para sa constructive dismissal sa Pilipinas?")</f>
        <v>Ano ang mga legal na batayan para sa constructive dismissal sa Pilipinas?</v>
      </c>
      <c r="E2719" s="2" t="str">
        <f>IFERROR(__xludf.DUMMYFUNCTION("GOOGLETRANSLATE(C2719, ""en"", ""TL"")"),"Kinikilala ng batas ng Pilipinas ang constructive dismissal bilang isang uri ng illegal dismissal. Bagama't walang iisang batas na tumutukoy dito, ang konsepto ay itinatag sa pamamagitan ng iba't ibang desisyon ng korte. Narito kung paano kinikilala ng le"&amp;"gal na balangkas ng Pilipinas ang nakabubuting pagpapaalis:
**Konsepto:**
* Ang constructive dismissal ay itinuturing na isang hindi boluntaryong pagbibitiw dahil sa hindi mabata na kondisyon sa trabaho na ipinataw ng employer [Aranas Cruz Araneta Parker "&amp;"&amp; Faustino Law Offices, Termination of employment - Aranas Cruz Araneta Parker &amp; Faustino Law Offices, [https://aranaslawph.com/] (https://aranaslawph.com/)]
**Legal na Batayan:**
* **Konstitusyon:** Ang karapatan sa seguridad ng panunungkulan ay nakasaad"&amp;" sa Konstitusyon ng Pilipinas (Artikulo XIII, Seksyon 3) [Konstitusyon ng Republika ng Pilipinas, Chan Robles Virtual Law Library, [https://lawlibrary.chanrobles. com/](https://lawlibrary.chanrobles.com/)]
* **Labor Code:** Bagama't hindi malinaw na tinuk"&amp;"oy ang constructive dismissal, ang Labor Code (RA No. 6715) ay nagpoprotekta sa mga empleyado mula sa iligal na pagpapaalis sa pamamagitan ng mga probisyong naggagarantiya ng seguridad sa panunungkulan at patas na pagtrato [DOLE Philippines, Department of"&amp;" Labor and Employment, [https ://blr.dole.gov.ph/2014/12/11/labor-code-of-the-philippines/](https://blr.dole.gov.ph/2014/12/11/labor-code -of-the-philippines/)]
**Pagtukoy sa Nakabubuo na Pagtanggal:**
Ang batas ng kaso ay nagtatatag ng mga sumusunod na k"&amp;"ondisyon para sa isang sitwasyon na maituturing na nakabubuti na pagpapaalis:
* **Employer's Act**: Dapat na maging responsable ang employer sa paglikha ng mga kondisyon sa pagtatrabaho na nagiging dahilan ng patuloy na pagtatrabaho na hindi makatwiran, i"&amp;"mposible, o malabong mangyari para sa empleyado [G.R. No. 234575 - RENATO C. TACIS AT DIONICIO LAMIS III, Mga Petitioner, v. SHIELDS SECURITY SERVICES, INC., TERESITA SOLIMAN, PRESIDENT AND DIONEFEL MORANTE, GENERAL MANAGERS, Respondents, Chan Robles Virt"&amp;"ual Law Library, [https://chanrobles. com/](https://chanrobles.com/)]
* **Hindi Mabata na Kondisyon sa Trabaho**: Kabilang sa mga halimbawa ang makabuluhang pagbawas sa suweldo, pagbaba ng posisyon nang walang dahilan, pagbabanta, poot, hindi ligtas na ka"&amp;"paligiran sa pagtatrabaho, at موارد (Arabic para sa ""mga kaso"") ng malinaw na diskriminasyon [mcmer corporation, inc., macario d. roque, jr. at cecilia r. alvestir, mga nagpetisyon, kumpara sa pambansang komisyon sa ugnayang paggawa at feliciano c. libu"&amp;"nao, jr., respondent. desisyon, E-Library ng Korte Suprema, [https://elibrary.judiciary.gov.ph/thebookshelf/showdocs/1/66116](https://elibrary.judiciary.gov.ph/thebookshelf/showdocs/1/66116) ]
**Pagsubok sa Nakabubuo na Pagtanggal:**
* Isinasaalang-alang "&amp;"ng mga korte kung ang isang makatwirang tao sa posisyon ng empleyado ay mapipilitang magbitiw sa ilalim ng mga pangyayari [G.R. 240484 - ARVIN A. PASCUAL, PETITIONER, V. SITEL PHILIPPINES CORPORATION, MICHAEL LEE, ASWIN SUKUMAR, PHOEBE MONICA ARGANA, REMI"&amp;"L CANDA AT AMOR REYES, RESPONDENTS, Supreme Court E-Library, [https://elibrary. gov.ph/thebookshelf/showdocs/1/66116](https://elibrary.judiciary.gov.ph/thebookshelf/showdocs/1/66116)]
**Tandaan:** * Ang pasanin ng patunay ay nakasalalay sa empleyado upang"&amp;" magtatag ng nakabubuo na dismissal [G.R. No. 231859, LawPhil, [https://lawphil.net/judjuris/juri2020/aug2020/gr_207059_2020.html](https://lawphil.net/judjuris/juri2020/aug2020/gr_207059_2020.html)
* Ang pagkonsulta sa isang abogado ay lubos na inirerekom"&amp;"enda para sa pag-navigate sa mga partikular na sitwasyon at legal na paghahabol.")</f>
        <v>Kinikilala ng batas ng Pilipinas ang constructive dismissal bilang isang uri ng illegal dismissal. Bagama't walang iisang batas na tumutukoy dito, ang konsepto ay itinatag sa pamamagitan ng iba't ibang desisyon ng korte. Narito kung paano kinikilala ng legal na balangkas ng Pilipinas ang nakabubuting pagpapaalis:
**Konsepto:**
* Ang constructive dismissal ay itinuturing na isang hindi boluntaryong pagbibitiw dahil sa hindi mabata na kondisyon sa trabaho na ipinataw ng employer [Aranas Cruz Araneta Parker &amp; Faustino Law Offices, Termination of employment - Aranas Cruz Araneta Parker &amp; Faustino Law Offices, [https://aranaslawph.com/] (https://aranaslawph.com/)]
**Legal na Batayan:**
* **Konstitusyon:** Ang karapatan sa seguridad ng panunungkulan ay nakasaad sa Konstitusyon ng Pilipinas (Artikulo XIII, Seksyon 3) [Konstitusyon ng Republika ng Pilipinas, Chan Robles Virtual Law Library, [https://lawlibrary.chanrobles. com/](https://lawlibrary.chanrobles.com/)]
* **Labor Code:** Bagama't hindi malinaw na tinukoy ang constructive dismissal, ang Labor Code (RA No. 6715) ay nagpoprotekta sa mga empleyado mula sa iligal na pagpapaalis sa pamamagitan ng mga probisyong naggagarantiya ng seguridad sa panunungkulan at patas na pagtrato [DOLE Philippines, Department of Labor and Employment, [https ://blr.dole.gov.ph/2014/12/11/labor-code-of-the-philippines/](https://blr.dole.gov.ph/2014/12/11/labor-code -of-the-philippines/)]
**Pagtukoy sa Nakabubuo na Pagtanggal:**
Ang batas ng kaso ay nagtatatag ng mga sumusunod na kondisyon para sa isang sitwasyon na maituturing na nakabubuti na pagpapaalis:
* **Employer's Act**: Dapat na maging responsable ang employer sa paglikha ng mga kondisyon sa pagtatrabaho na nagiging dahilan ng patuloy na pagtatrabaho na hindi makatwiran, imposible, o malabong mangyari para sa empleyado [G.R. No. 234575 - RENATO C. TACIS AT DIONICIO LAMIS III, Mga Petitioner, v. SHIELDS SECURITY SERVICES, INC., TERESITA SOLIMAN, PRESIDENT AND DIONEFEL MORANTE, GENERAL MANAGERS, Respondents, Chan Robles Virtual Law Library, [https://chanrobles. com/](https://chanrobles.com/)]
* **Hindi Mabata na Kondisyon sa Trabaho**: Kabilang sa mga halimbawa ang makabuluhang pagbawas sa suweldo, pagbaba ng posisyon nang walang dahilan, pagbabanta, poot, hindi ligtas na kapaligiran sa pagtatrabaho, at موارد (Arabic para sa "mga kaso") ng malinaw na diskriminasyon [mcmer corporation, inc., macario d. roque, jr. at cecilia r. alvestir, mga nagpetisyon, kumpara sa pambansang komisyon sa ugnayang paggawa at feliciano c. libunao, jr., respondent. desisyon, E-Library ng Korte Suprema, [https://elibrary.judiciary.gov.ph/thebookshelf/showdocs/1/66116](https://elibrary.judiciary.gov.ph/thebookshelf/showdocs/1/66116) ]
**Pagsubok sa Nakabubuo na Pagtanggal:**
* Isinasaalang-alang ng mga korte kung ang isang makatwirang tao sa posisyon ng empleyado ay mapipilitang magbitiw sa ilalim ng mga pangyayari [G.R. 240484 - ARVIN A. PASCUAL, PETITIONER, V. SITEL PHILIPPINES CORPORATION, MICHAEL LEE, ASWIN SUKUMAR, PHOEBE MONICA ARGANA, REMIL CANDA AT AMOR REYES, RESPONDENTS, Supreme Court E-Library, [https://elibrary. gov.ph/thebookshelf/showdocs/1/66116](https://elibrary.judiciary.gov.ph/thebookshelf/showdocs/1/66116)]
**Tandaan:** * Ang pasanin ng patunay ay nakasalalay sa empleyado upang magtatag ng nakabubuo na dismissal [G.R. No. 231859, LawPhil, [https://lawphil.net/judjuris/juri2020/aug2020/gr_207059_2020.html](https://lawphil.net/judjuris/juri2020/aug2020/gr_207059_2020.html)
* Ang pagkonsulta sa isang abogado ay lubos na inirerekomenda para sa pag-navigate sa mga partikular na sitwasyon at legal na paghahabol.</v>
      </c>
      <c r="F2719" s="2">
        <f t="shared" si="1"/>
        <v>0</v>
      </c>
      <c r="G2719" s="2"/>
      <c r="H2719" s="2"/>
      <c r="I2719" s="2"/>
      <c r="J2719" s="2"/>
      <c r="K2719" s="2"/>
      <c r="L2719" s="2"/>
      <c r="M2719" s="2"/>
      <c r="N2719" s="2"/>
      <c r="O2719" s="2"/>
      <c r="P2719" s="2"/>
      <c r="Q2719" s="2"/>
      <c r="R2719" s="2"/>
      <c r="S2719" s="2"/>
      <c r="T2719" s="2"/>
      <c r="U2719" s="2"/>
      <c r="V2719" s="2"/>
      <c r="W2719" s="2"/>
      <c r="X2719" s="2"/>
      <c r="Y2719" s="2"/>
      <c r="Z2719" s="2"/>
      <c r="AA2719" s="2"/>
    </row>
    <row r="2720">
      <c r="A2720" s="3" t="s">
        <v>6373</v>
      </c>
      <c r="B2720" s="1" t="s">
        <v>6411</v>
      </c>
      <c r="C2720" s="3" t="s">
        <v>6412</v>
      </c>
      <c r="D2720" s="2" t="str">
        <f>IFERROR(__xludf.DUMMYFUNCTION("GOOGLETRANSLATE(B2720, ""en"", ""TL"")"),"Maaari bang bumuo ng mga unyon ng manggagawa sa Pilipinas ang mga empleyado?")</f>
        <v>Maaari bang bumuo ng mga unyon ng manggagawa sa Pilipinas ang mga empleyado?</v>
      </c>
      <c r="E2720" s="2" t="str">
        <f>IFERROR(__xludf.DUMMYFUNCTION("GOOGLETRANSLATE(C2720, ""en"", ""TL"")"),"Oo, ganap. Mahigpit na pinoprotektahan ng batas ng Pilipinas ang karapatan ng mga empleyado na bumuo ng mga unyon ng manggagawa. Narito kung paano ito sinusuportahan ng legal na balangkas:
* **Konstitusyon:** Ginagarantiyahan ng Konstitusyon ng Pilipinas "&amp;"ang karapatan sa sariling organisasyon (Artikulo III, Seksyon 8) [Konstitusyon ng Republika ng Pilipinas, Chan Robles Virtual Law Library, [https://lawlibrary.chanrobles.com/ ](https://lawlibrary.chanrobles.com/)]
* **Republic Act (RA) 875:** Ang batas na"&amp;" ito, na kilala rin bilang ""An Act to Promote Industrial Peace,"" ay tahasang pinoprotektahan ang karapatan ng mga empleyado na bumuo, sumali, o tumulong sa mga organisasyon ng manggagawa para sa layunin ng collective bargaining (Seksyon 3) [RA 875, LawP"&amp;"hil.net, [https://lawphil.net/statutes/repacts/ra1953/ra_875_1953.html](https://lawphil.net/statutes/repacts/ra1953/ra_875_1953.html)]
**Mga Pangunahing Punto:**
* Maaaring piliin ng mga empleyado ang organisasyon ng paggawa na gusto nilang salihan [RA 87"&amp;"5, Section 3]
* May mga limitasyon kung sino ang maaaring maging miyembro ng isang unyon. Ang mga superbisor ay hindi maaaring maging bahagi ng parehong bargaining unit bilang rank-and-file na mga empleyado, ngunit maaari silang bumuo ng kanilang sariling"&amp;" mga unyon [RA No. 9481, isang batas na nagpapatibay sa Karapatan ng Konstitusyonal ng Manggagawa sa Self-Organization, Supreme Court E-Library, [ https://elibrary.judiciary.gov.ph/](https://elibrary.judiciary.gov.ph/)]
* Ang Department of Labor and Emplo"&amp;"yment (DOLE) ay may mahalagang papel sa pagpapadali sa pagpaparehistro ng mga unyon ng manggagawa [DOLE Philippines, Department of Labor and Employment, [https://www.officialgazette.gov.ph/section/briefing-room/ department-of-labor-and-employment/](https:"&amp;"//www.officialgazette.gov.ph/section/briefing-room/department-of-labor-and-employment/)]
**Sa esensya, hinihikayat ng batas ng Pilipinas ang pagbuo ng mga unyon ng manggagawa bilang isang mekanismo para sa pagtataguyod ng kapayapaan sa industriya at pagpr"&amp;"otekta sa mga karapatan at kapakanan ng mga empleyado.**")</f>
        <v>Oo, ganap. Mahigpit na pinoprotektahan ng batas ng Pilipinas ang karapatan ng mga empleyado na bumuo ng mga unyon ng manggagawa. Narito kung paano ito sinusuportahan ng legal na balangkas:
* **Konstitusyon:** Ginagarantiyahan ng Konstitusyon ng Pilipinas ang karapatan sa sariling organisasyon (Artikulo III, Seksyon 8) [Konstitusyon ng Republika ng Pilipinas, Chan Robles Virtual Law Library, [https://lawlibrary.chanrobles.com/ ](https://lawlibrary.chanrobles.com/)]
* **Republic Act (RA) 875:** Ang batas na ito, na kilala rin bilang "An Act to Promote Industrial Peace," ay tahasang pinoprotektahan ang karapatan ng mga empleyado na bumuo, sumali, o tumulong sa mga organisasyon ng manggagawa para sa layunin ng collective bargaining (Seksyon 3) [RA 875, LawPhil.net, [https://lawphil.net/statutes/repacts/ra1953/ra_875_1953.html](https://lawphil.net/statutes/repacts/ra1953/ra_875_1953.html)]
**Mga Pangunahing Punto:**
* Maaaring piliin ng mga empleyado ang organisasyon ng paggawa na gusto nilang salihan [RA 875, Section 3]
* May mga limitasyon kung sino ang maaaring maging miyembro ng isang unyon. Ang mga superbisor ay hindi maaaring maging bahagi ng parehong bargaining unit bilang rank-and-file na mga empleyado, ngunit maaari silang bumuo ng kanilang sariling mga unyon [RA No. 9481, isang batas na nagpapatibay sa Karapatan ng Konstitusyonal ng Manggagawa sa Self-Organization, Supreme Court E-Library, [ https://elibrary.judiciary.gov.ph/](https://elibrary.judiciary.gov.ph/)]
* Ang Department of Labor and Employment (DOLE) ay may mahalagang papel sa pagpapadali sa pagpaparehistro ng mga unyon ng manggagawa [DOLE Philippines, Department of Labor and Employment, [https://www.officialgazette.gov.ph/section/briefing-room/ department-of-labor-and-employment/](https://www.officialgazette.gov.ph/section/briefing-room/department-of-labor-and-employment/)]
**Sa esensya, hinihikayat ng batas ng Pilipinas ang pagbuo ng mga unyon ng manggagawa bilang isang mekanismo para sa pagtataguyod ng kapayapaan sa industriya at pagprotekta sa mga karapatan at kapakanan ng mga empleyado.**</v>
      </c>
      <c r="F2720" s="2">
        <f t="shared" si="1"/>
        <v>0</v>
      </c>
      <c r="G2720" s="2"/>
      <c r="H2720" s="2"/>
      <c r="I2720" s="2"/>
      <c r="J2720" s="2"/>
      <c r="K2720" s="2"/>
      <c r="L2720" s="2"/>
      <c r="M2720" s="2"/>
      <c r="N2720" s="2"/>
      <c r="O2720" s="2"/>
      <c r="P2720" s="2"/>
      <c r="Q2720" s="2"/>
      <c r="R2720" s="2"/>
      <c r="S2720" s="2"/>
      <c r="T2720" s="2"/>
      <c r="U2720" s="2"/>
      <c r="V2720" s="2"/>
      <c r="W2720" s="2"/>
      <c r="X2720" s="2"/>
      <c r="Y2720" s="2"/>
      <c r="Z2720" s="2"/>
      <c r="AA2720" s="2"/>
    </row>
    <row r="2721">
      <c r="A2721" s="3" t="s">
        <v>6373</v>
      </c>
      <c r="B2721" s="1" t="s">
        <v>6413</v>
      </c>
      <c r="C2721" s="3" t="s">
        <v>6414</v>
      </c>
      <c r="D2721" s="2" t="str">
        <f>IFERROR(__xludf.DUMMYFUNCTION("GOOGLETRANSLATE(B2721, ""en"", ""TL"")"),"Mayroon bang mga partikular na batas tungkol sa pagtatrabaho ng mga menor de edad sa mga mapanganib na trabaho?")</f>
        <v>Mayroon bang mga partikular na batas tungkol sa pagtatrabaho ng mga menor de edad sa mga mapanganib na trabaho?</v>
      </c>
      <c r="E2721" s="2" t="str">
        <f>IFERROR(__xludf.DUMMYFUNCTION("GOOGLETRANSLATE(C2721, ""en"", ""TL"")"),"Talagang. Narito kung paano pinaghihigpitan ng batas ng Pilipinas ang pagtatrabaho ng mga menor de edad sa mga mapanganib na trabaho:
* **Minimum na Edad para sa Mapanganib na Trabaho:** Ang Kodigo sa Paggawa (RA No. 6715), na sinususugan ng RA 9231, ay n"&amp;"agbabawal sa pagtatrabaho ng isang taong wala pang labingwalong (18) taong gulang sa isang gawain na mapanganib o nakakasira sa kalikasan [https://blr.dole.gov.ph/2014/12/11/labor-code-of-the-philippines/](https://blr.dole.gov.ph/2014/12/11/ labor-code-of"&amp;"-the-philippines/)]
* **Listahan ng mga Mapanganib na Trabaho:** Ang mga partikular na mapanganib na trabaho ay tinutukoy ng Department of Labor and Employment (DOLE) [Mywage.com, Minors and Youth - Labor Law, [https://www.moneymax.ph/personal -finance/ar"&amp;"ticles/hazard-pay-philippines](https://www.moneymax.ph/personal-finance/articles/hazard-pay-philippines)] Tinitiyak nito na mananatiling updated ang listahan batay sa umuusbong na mga panganib sa lugar ng trabaho.
**Mga Karagdagang Proteksyon:**
* **Mga B"&amp;"atang Wala Pang 15:** Sa pangkalahatan, ang mga batang wala pang 15 taong gulang ay hindi pinapayagang magtrabaho [inalis ang invalid na URL]] May mga pagbubukod, ngunit nangangailangan sila ng pangangasiwa ng magulang at tinitiyak na ang trabaho ay hindi"&amp;" nakakapinsala sa kalusugan, edukasyon, o pag-unlad [PD No. 603, Child and Youth Welfare Code]
* **Mga Oras ng Trabaho:** Para sa mga batang pinapayagang magtrabaho (may edad 15-18 taong gulang at wala sa mga mapanganib na trabaho), may mga paghihigpit sa"&amp;" mga oras ng pagtatrabaho:
* Mas mababa sa 15 taong gulang: 20 oras bawat linggo * 15-18 taong gulang: 40 oras bawat linggo * Ipinagbabawal ang pagtatrabaho sa gabi para sa mga batang wala pang 18 taong gulang [RA No. Magtatag ng Mga Espesyal na Yunit sa "&amp;"Kagawaran ng Paggawa upang Ipatupad ang Batas na ito, LawPhil.net, [[inalis ang invalid na URL])]
**Mga Parusa:**
Ang mga employer na lalabag sa mga batas sa child labor na ito ay maaaring maharap sa malaking multa at pagkakulong [Mywage.com, Minors and Y"&amp;"outh - Labor Law, [https://www.moneymax.ph/personal-finance/articles/hazard-pay-philippines](https ://www.moneymax.ph/personal-finance/articles/hazard-pay-philippines)].
**Tandaan:** Ito ay isang pangkalahatang pangkalahatang-ideya lamang. Para sa pinakab"&amp;"agong mga regulasyon at mga partikular na detalye, palaging pinakamahusay na kumonsulta sa mga opisyal na mapagkukunan tulad ng Department of Labor and Employment (DOLE).")</f>
        <v>Talagang. Narito kung paano pinaghihigpitan ng batas ng Pilipinas ang pagtatrabaho ng mga menor de edad sa mga mapanganib na trabaho:
* **Minimum na Edad para sa Mapanganib na Trabaho:** Ang Kodigo sa Paggawa (RA No. 6715), na sinususugan ng RA 9231, ay nagbabawal sa pagtatrabaho ng isang taong wala pang labingwalong (18) taong gulang sa isang gawain na mapanganib o nakakasira sa kalikasan [https://blr.dole.gov.ph/2014/12/11/labor-code-of-the-philippines/](https://blr.dole.gov.ph/2014/12/11/ labor-code-of-the-philippines/)]
* **Listahan ng mga Mapanganib na Trabaho:** Ang mga partikular na mapanganib na trabaho ay tinutukoy ng Department of Labor and Employment (DOLE) [Mywage.com, Minors and Youth - Labor Law, [https://www.moneymax.ph/personal -finance/articles/hazard-pay-philippines](https://www.moneymax.ph/personal-finance/articles/hazard-pay-philippines)] Tinitiyak nito na mananatiling updated ang listahan batay sa umuusbong na mga panganib sa lugar ng trabaho.
**Mga Karagdagang Proteksyon:**
* **Mga Batang Wala Pang 15:** Sa pangkalahatan, ang mga batang wala pang 15 taong gulang ay hindi pinapayagang magtrabaho [inalis ang invalid na URL]] May mga pagbubukod, ngunit nangangailangan sila ng pangangasiwa ng magulang at tinitiyak na ang trabaho ay hindi nakakapinsala sa kalusugan, edukasyon, o pag-unlad [PD No. 603, Child and Youth Welfare Code]
* **Mga Oras ng Trabaho:** Para sa mga batang pinapayagang magtrabaho (may edad 15-18 taong gulang at wala sa mga mapanganib na trabaho), may mga paghihigpit sa mga oras ng pagtatrabaho:
* Mas mababa sa 15 taong gulang: 20 oras bawat linggo * 15-18 taong gulang: 40 oras bawat linggo * Ipinagbabawal ang pagtatrabaho sa gabi para sa mga batang wala pang 18 taong gulang [RA No. Magtatag ng Mga Espesyal na Yunit sa Kagawaran ng Paggawa upang Ipatupad ang Batas na ito, LawPhil.net, [[inalis ang invalid na URL])]
**Mga Parusa:**
Ang mga employer na lalabag sa mga batas sa child labor na ito ay maaaring maharap sa malaking multa at pagkakulong [Mywage.com, Minors and Youth - Labor Law, [https://www.moneymax.ph/personal-finance/articles/hazard-pay-philippines](https ://www.moneymax.ph/personal-finance/articles/hazard-pay-philippines)].
**Tandaan:** Ito ay isang pangkalahatang pangkalahatang-ideya lamang. Para sa pinakabagong mga regulasyon at mga partikular na detalye, palaging pinakamahusay na kumonsulta sa mga opisyal na mapagkukunan tulad ng Department of Labor and Employment (DOLE).</v>
      </c>
      <c r="F2721" s="2">
        <f t="shared" si="1"/>
        <v>0</v>
      </c>
      <c r="G2721" s="2"/>
      <c r="H2721" s="2"/>
      <c r="I2721" s="2"/>
      <c r="J2721" s="2"/>
      <c r="K2721" s="2"/>
      <c r="L2721" s="2"/>
      <c r="M2721" s="2"/>
      <c r="N2721" s="2"/>
      <c r="O2721" s="2"/>
      <c r="P2721" s="2"/>
      <c r="Q2721" s="2"/>
      <c r="R2721" s="2"/>
      <c r="S2721" s="2"/>
      <c r="T2721" s="2"/>
      <c r="U2721" s="2"/>
      <c r="V2721" s="2"/>
      <c r="W2721" s="2"/>
      <c r="X2721" s="2"/>
      <c r="Y2721" s="2"/>
      <c r="Z2721" s="2"/>
      <c r="AA2721" s="2"/>
    </row>
    <row r="2722">
      <c r="A2722" s="3" t="s">
        <v>6373</v>
      </c>
      <c r="B2722" s="1" t="s">
        <v>6415</v>
      </c>
      <c r="C2722" s="3" t="s">
        <v>6416</v>
      </c>
      <c r="D2722" s="2" t="str">
        <f>IFERROR(__xludf.DUMMYFUNCTION("GOOGLETRANSLATE(B2722, ""en"", ""TL"")"),"Ano ang mga parusa para sa mga employer na lumalabag sa mga batas sa paggawa sa Pilipinas?")</f>
        <v>Ano ang mga parusa para sa mga employer na lumalabag sa mga batas sa paggawa sa Pilipinas?</v>
      </c>
      <c r="E2722" s="2" t="str">
        <f>IFERROR(__xludf.DUMMYFUNCTION("GOOGLETRANSLATE(C2722, ""en"", ""TL"")"),"Ang mga parusa para sa mga employer na lumalabag sa mga batas sa paggawa ng Pilipinas ay maaaring mag-iba depende sa partikular na paglabag. Narito ang isang breakdown ng ilang karaniwang mga sitwasyon:
* **Monetary Fines:** Ang mga multa ay isang karaniw"&amp;"ang parusa, mula sa ilang libong piso hanggang daan-daang libo, depende sa pagkakasala.
* **Pagkulong:** Sa ilang mga kaso, partikular na ang mga seryosong paglabag, ang mga tagapag-empleyo ay maaaring maharap sa oras ng pagkakulong, karaniwang mula sa il"&amp;"ang buwan hanggang ilang taon.
* **Balik na Sahod at Indemnity:** Kung ang isang empleyado ay ilegal na tinanggal sa trabaho o ang kanilang mga karapatan ay nilabag, ang employer ay maaaring utusan na magbayad ng sahod, separation pay, at iba pang anyo ng"&amp;" monetary compensation.
* **Administrative Sanctions:** Ang Department of Labor and Employment (DOLE) ay maaaring magpataw ng mga administratibong sanction sa mga kumpanya, tulad ng pagkansela ng mga business permit sa malalang kaso.
Narito ang ilang mapa"&amp;"gkukunan para sa mga partikular na paglabag:
* **Mga Paglabag sa Minimum na Sahod:** Ang mga dagdag na parusa at dobleng bayad-pinsala para sa mga paglabag sa mga antas ng minimum na sahod ay ipinag-uutos sa ilalim ng RA No. 6727 [ILO: Pagtaas ng parusa a"&amp;"t dobleng bayad-pinsala para sa paglabag sa mga antas ng minimum na sahod 1996, [https://www. .dev.ilo.org/media/383286/download](https://www.dev.ilo.org/media/383286/download)]
* **Mga Labag sa Batas na Kasanayan sa Pag-hire:** Ang mga multa na hanggang "&amp;"PHP 10,000 o pagkakulong ng hanggang tatlong taon ay maaaring ipataw para sa labag sa batas na mga gawi sa pag-hire [7 bagay na kailangang malaman ng mga employer tungkol sa mga batas sa paggawa at trabaho sa Pilipinas | Rippling, [https://www.rippling.co"&amp;"m/blog/how-to-pay-employees-in-philippines](https://www.rippling.com/blog/how-to-pay-employees-in- pilipinas)]
**Mahalagang Tandaan:**
* Ang impormasyong ibinigay ay isang pangkalahatang pangkalahatang-ideya. Ang mga partikular na parusa ay nakasalalay sa"&amp;" uri at bigat ng pagkakasala.
* Ang mga legal na pamamaraan ay kasangkot sa pagpapatupad ng mga parusang ito. Ang mga empleyado ay maaaring magsampa ng mga reklamo sa DOLE o magsimula ng legal na aksyon sa pamamagitan ng National Labor Relations Commissio"&amp;"n (NLRC).
* Ang pagkonsulta sa isang abogado ay lubos na inirerekomenda para sa pag-navigate sa mga partikular na sitwasyon at pag-unawa sa naaangkop na kurso ng aksyon.")</f>
        <v>Ang mga parusa para sa mga employer na lumalabag sa mga batas sa paggawa ng Pilipinas ay maaaring mag-iba depende sa partikular na paglabag. Narito ang isang breakdown ng ilang karaniwang mga sitwasyon:
* **Monetary Fines:** Ang mga multa ay isang karaniwang parusa, mula sa ilang libong piso hanggang daan-daang libo, depende sa pagkakasala.
* **Pagkulong:** Sa ilang mga kaso, partikular na ang mga seryosong paglabag, ang mga tagapag-empleyo ay maaaring maharap sa oras ng pagkakulong, karaniwang mula sa ilang buwan hanggang ilang taon.
* **Balik na Sahod at Indemnity:** Kung ang isang empleyado ay ilegal na tinanggal sa trabaho o ang kanilang mga karapatan ay nilabag, ang employer ay maaaring utusan na magbayad ng sahod, separation pay, at iba pang anyo ng monetary compensation.
* **Administrative Sanctions:** Ang Department of Labor and Employment (DOLE) ay maaaring magpataw ng mga administratibong sanction sa mga kumpanya, tulad ng pagkansela ng mga business permit sa malalang kaso.
Narito ang ilang mapagkukunan para sa mga partikular na paglabag:
* **Mga Paglabag sa Minimum na Sahod:** Ang mga dagdag na parusa at dobleng bayad-pinsala para sa mga paglabag sa mga antas ng minimum na sahod ay ipinag-uutos sa ilalim ng RA No. 6727 [ILO: Pagtaas ng parusa at dobleng bayad-pinsala para sa paglabag sa mga antas ng minimum na sahod 1996, [https://www. .dev.ilo.org/media/383286/download](https://www.dev.ilo.org/media/383286/download)]
* **Mga Labag sa Batas na Kasanayan sa Pag-hire:** Ang mga multa na hanggang PHP 10,000 o pagkakulong ng hanggang tatlong taon ay maaaring ipataw para sa labag sa batas na mga gawi sa pag-hire [7 bagay na kailangang malaman ng mga employer tungkol sa mga batas sa paggawa at trabaho sa Pilipinas | Rippling, [https://www.rippling.com/blog/how-to-pay-employees-in-philippines](https://www.rippling.com/blog/how-to-pay-employees-in- pilipinas)]
**Mahalagang Tandaan:**
* Ang impormasyong ibinigay ay isang pangkalahatang pangkalahatang-ideya. Ang mga partikular na parusa ay nakasalalay sa uri at bigat ng pagkakasala.
* Ang mga legal na pamamaraan ay kasangkot sa pagpapatupad ng mga parusang ito. Ang mga empleyado ay maaaring magsampa ng mga reklamo sa DOLE o magsimula ng legal na aksyon sa pamamagitan ng National Labor Relations Commission (NLRC).
* Ang pagkonsulta sa isang abogado ay lubos na inirerekomenda para sa pag-navigate sa mga partikular na sitwasyon at pag-unawa sa naaangkop na kurso ng aksyon.</v>
      </c>
      <c r="F2722" s="2">
        <f t="shared" si="1"/>
        <v>0</v>
      </c>
      <c r="G2722" s="2"/>
      <c r="H2722" s="2"/>
      <c r="I2722" s="2"/>
      <c r="J2722" s="2"/>
      <c r="K2722" s="2"/>
      <c r="L2722" s="2"/>
      <c r="M2722" s="2"/>
      <c r="N2722" s="2"/>
      <c r="O2722" s="2"/>
      <c r="P2722" s="2"/>
      <c r="Q2722" s="2"/>
      <c r="R2722" s="2"/>
      <c r="S2722" s="2"/>
      <c r="T2722" s="2"/>
      <c r="U2722" s="2"/>
      <c r="V2722" s="2"/>
      <c r="W2722" s="2"/>
      <c r="X2722" s="2"/>
      <c r="Y2722" s="2"/>
      <c r="Z2722" s="2"/>
      <c r="AA2722" s="2"/>
    </row>
    <row r="2723">
      <c r="A2723" s="3" t="s">
        <v>6373</v>
      </c>
      <c r="B2723" s="1" t="s">
        <v>6417</v>
      </c>
      <c r="C2723" s="3" t="s">
        <v>6418</v>
      </c>
      <c r="D2723" s="2" t="str">
        <f>IFERROR(__xludf.DUMMYFUNCTION("GOOGLETRANSLATE(B2723, ""en"", ""TL"")"),"Paano tinutukoy at kinokontrol ng Pilipinas ang outsourcing at kontraktwalisasyon?")</f>
        <v>Paano tinutukoy at kinokontrol ng Pilipinas ang outsourcing at kontraktwalisasyon?</v>
      </c>
      <c r="E2723" s="2" t="str">
        <f>IFERROR(__xludf.DUMMYFUNCTION("GOOGLETRANSLATE(C2723, ""en"", ""TL"")"),"Ang Pilipinas ay walang iisang, pinag-isang batas na partikular na tumutukoy at nagkokontrol sa outsourcing at kontraktwalisasyon. Gayunpaman, ang konsepto ay tinutugunan sa pamamagitan ng iba't ibang batas, regulasyon, at desisyon ng hukuman. Narito ang "&amp;"isang breakdown:
**Ano ang Outsourcing at Contractualization?**
* **Ousourcing:** Kinasasangkutan ng pagkontrata sa isang third-party na kumpanya upang magbigay ng mga serbisyong tradisyonal na ginagawa ng mga in-house na empleyado.
* **Kontraktwalisasyon"&amp;":** Tumutukoy sa iba't ibang kaayusan kung saan ang mga manggagawa ay kinukuha sa pamamagitan ng mga manpower agencies o service provider sa halip na direktang magtrabaho ng kumpanyang nangangailangan ng kanilang mga serbisyo.
**Regulasyon sa pamamagitan "&amp;"ng Iba't ibang Mga Panukala:**
* **Labor Code (RA No. 6715):** Ang pangunahing batas na ito ay nagtatatag ng mga karapatan at benepisyo ng mga empleyado. Bagama't hindi direktang tinutugunan ang outsourcing, nagtatakda ito ng mga pamantayan para sa mga ko"&amp;"ndisyon sa pagtatrabaho, sahod, at seguridad sa panunungkulan, na hindi direktang nakakaapekto sa mga kasanayan sa kontraktwalisasyon.
* **Department of Labor and Employment (DOLE) Issuances:** Ang DOLE ay naglalabas ng mga department order, advisories, a"&amp;"t interpretations na nagbibigay ng mga alituntunin sa wastong pagpapatupad ng mga batas sa paggawa na may kaugnayan sa outsourcing at kontraktwalisasyon. Halimbawa, nililinaw ng Department Order No. 10 ang pagkakaiba sa pagitan ng lehitimong outsourcing a"&amp;"t labor-only contracting, na ipinagbabawal.
* **Mga Espesyal na Batas:** May partikular na mga regulasyon ang ilang partikular na industriya. Halimbawa, pinamamahalaan ng Security Agency Regulation Act (RA No. 5068) ang pagpapatakbo ng mga ahensyang panse"&amp;"guridad na nagbibigay ng mga kontraktwal na security personnel.
* **Mga Desisyon ng Korte:** Ang mga pangunahing desisyon ng Korte Suprema ay may mahalagang papel sa pagtukoy sa mga hangganan ng lehitimong outsourcing at pagbabawal sa mga gawi na sumisira"&amp;" sa mga karapatan ng empleyado. Nakatuon ang mga desisyong ito sa pagtiyak na ang kontraktwalisasyon ay hindi magiging isang paraan upang iwasan ang mga pangunahing pamantayan sa paggawa.
**Mga Pangunahing Isyu sa Outsourcing at Kontraktwalisasyon:**
* **"&amp;"Seguridad ng Panunungkulan:** Ang isang pangunahing alalahanin ay kung itinatanggi ng mga kontraktwal na kaayusan ang mga manggagawa sa seguridad ng panunungkulan na ginagarantiyahan ng Konstitusyon. * **Mga Benepisyo at Proteksyon:** Ang mga manggagawang"&amp;" kontraktwal ay maaaring hindi makatanggap ng parehong mga benepisyo at proteksyon gaya ng mga regular na empleyado.
* **Mga Pekeng Kooperatiba:** Lumilikha ang ilang kumpanya ng mga huwad na kooperatiba upang maiwasan ang mga obligasyon ng employer-emple"&amp;"yado.
**Ang gobyerno ng Pilipinas ay nagpatupad ng mga reporma upang matugunan ang mga isyung ito, ngunit ang debate sa outsourcing at kontraktwalisasyon ay nananatiling nagpapatuloy.**
**Mga Rekomendasyon:**
* Para sa pinakabagong impormasyon at partikul"&amp;"ar na mga regulasyon, kumonsulta sa website ng Department of Labor and Employment (DOLE): [DOLE Philippines, Department of Labor and Employment, [[invalid URL removed]]]([invalid URL removed])
* Isaalang-alang ang paghingi ng legal na payo para sa isang m"&amp;"as komprehensibong pag-unawa sa kung paano naaangkop ang mga konseptong ito sa isang partikular na sitwasyon.")</f>
        <v>Ang Pilipinas ay walang iisang, pinag-isang batas na partikular na tumutukoy at nagkokontrol sa outsourcing at kontraktwalisasyon. Gayunpaman, ang konsepto ay tinutugunan sa pamamagitan ng iba't ibang batas, regulasyon, at desisyon ng hukuman. Narito ang isang breakdown:
**Ano ang Outsourcing at Contractualization?**
* **Ousourcing:** Kinasasangkutan ng pagkontrata sa isang third-party na kumpanya upang magbigay ng mga serbisyong tradisyonal na ginagawa ng mga in-house na empleyado.
* **Kontraktwalisasyon:** Tumutukoy sa iba't ibang kaayusan kung saan ang mga manggagawa ay kinukuha sa pamamagitan ng mga manpower agencies o service provider sa halip na direktang magtrabaho ng kumpanyang nangangailangan ng kanilang mga serbisyo.
**Regulasyon sa pamamagitan ng Iba't ibang Mga Panukala:**
* **Labor Code (RA No. 6715):** Ang pangunahing batas na ito ay nagtatatag ng mga karapatan at benepisyo ng mga empleyado. Bagama't hindi direktang tinutugunan ang outsourcing, nagtatakda ito ng mga pamantayan para sa mga kondisyon sa pagtatrabaho, sahod, at seguridad sa panunungkulan, na hindi direktang nakakaapekto sa mga kasanayan sa kontraktwalisasyon.
* **Department of Labor and Employment (DOLE) Issuances:** Ang DOLE ay naglalabas ng mga department order, advisories, at interpretations na nagbibigay ng mga alituntunin sa wastong pagpapatupad ng mga batas sa paggawa na may kaugnayan sa outsourcing at kontraktwalisasyon. Halimbawa, nililinaw ng Department Order No. 10 ang pagkakaiba sa pagitan ng lehitimong outsourcing at labor-only contracting, na ipinagbabawal.
* **Mga Espesyal na Batas:** May partikular na mga regulasyon ang ilang partikular na industriya. Halimbawa, pinamamahalaan ng Security Agency Regulation Act (RA No. 5068) ang pagpapatakbo ng mga ahensyang panseguridad na nagbibigay ng mga kontraktwal na security personnel.
* **Mga Desisyon ng Korte:** Ang mga pangunahing desisyon ng Korte Suprema ay may mahalagang papel sa pagtukoy sa mga hangganan ng lehitimong outsourcing at pagbabawal sa mga gawi na sumisira sa mga karapatan ng empleyado. Nakatuon ang mga desisyong ito sa pagtiyak na ang kontraktwalisasyon ay hindi magiging isang paraan upang iwasan ang mga pangunahing pamantayan sa paggawa.
**Mga Pangunahing Isyu sa Outsourcing at Kontraktwalisasyon:**
* **Seguridad ng Panunungkulan:** Ang isang pangunahing alalahanin ay kung itinatanggi ng mga kontraktwal na kaayusan ang mga manggagawa sa seguridad ng panunungkulan na ginagarantiyahan ng Konstitusyon. * **Mga Benepisyo at Proteksyon:** Ang mga manggagawang kontraktwal ay maaaring hindi makatanggap ng parehong mga benepisyo at proteksyon gaya ng mga regular na empleyado.
* **Mga Pekeng Kooperatiba:** Lumilikha ang ilang kumpanya ng mga huwad na kooperatiba upang maiwasan ang mga obligasyon ng employer-empleyado.
**Ang gobyerno ng Pilipinas ay nagpatupad ng mga reporma upang matugunan ang mga isyung ito, ngunit ang debate sa outsourcing at kontraktwalisasyon ay nananatiling nagpapatuloy.**
**Mga Rekomendasyon:**
* Para sa pinakabagong impormasyon at partikular na mga regulasyon, kumonsulta sa website ng Department of Labor and Employment (DOLE): [DOLE Philippines, Department of Labor and Employment, [[invalid URL removed]]]([invalid URL removed])
* Isaalang-alang ang paghingi ng legal na payo para sa isang mas komprehensibong pag-unawa sa kung paano naaangkop ang mga konseptong ito sa isang partikular na sitwasyon.</v>
      </c>
      <c r="F2723" s="2">
        <f t="shared" si="1"/>
        <v>0</v>
      </c>
      <c r="G2723" s="2"/>
      <c r="H2723" s="2"/>
      <c r="I2723" s="2"/>
      <c r="J2723" s="2"/>
      <c r="K2723" s="2"/>
      <c r="L2723" s="2"/>
      <c r="M2723" s="2"/>
      <c r="N2723" s="2"/>
      <c r="O2723" s="2"/>
      <c r="P2723" s="2"/>
      <c r="Q2723" s="2"/>
      <c r="R2723" s="2"/>
      <c r="S2723" s="2"/>
      <c r="T2723" s="2"/>
      <c r="U2723" s="2"/>
      <c r="V2723" s="2"/>
      <c r="W2723" s="2"/>
      <c r="X2723" s="2"/>
      <c r="Y2723" s="2"/>
      <c r="Z2723" s="2"/>
      <c r="AA2723" s="2"/>
    </row>
    <row r="2724">
      <c r="A2724" s="3" t="s">
        <v>6373</v>
      </c>
      <c r="B2724" s="1" t="s">
        <v>6419</v>
      </c>
      <c r="C2724" s="3" t="s">
        <v>6420</v>
      </c>
      <c r="D2724" s="2" t="str">
        <f>IFERROR(__xludf.DUMMYFUNCTION("GOOGLETRANSLATE(B2724, ""en"", ""TL"")"),"Maaari bang tanggalin ang mga empleyado sa panahon ng state of calamity o emergency sa Pilipinas?")</f>
        <v>Maaari bang tanggalin ang mga empleyado sa panahon ng state of calamity o emergency sa Pilipinas?</v>
      </c>
      <c r="E2724" s="2" t="str">
        <f>IFERROR(__xludf.DUMMYFUNCTION("GOOGLETRANSLATE(C2724, ""en"", ""TL"")"),"Kinikilala ng batas ng Pilipinas ang mga hamon na kinakaharap ng mga employer at empleyado sa panahon ng state of calamity o emergency. Narito kung paano pinoprotektahan ng legal na balangkas ang mga manggagawa habang kinikilala ang mga limitasyon sa nego"&amp;"syo na dulot ng gayong mga pangyayari:
* **Seguridad ng Panunungkulan:** Ginagarantiyahan ng Konstitusyon ang karapatan sa seguridad ng panunungkulan para sa mga empleyado (Artikulo XIII, Seksyon 3) [https://lawlibrary.chanrobles.com/](https://lawlibrary."&amp;"chanrobles.com/ )]. Ang karapatang ito sa pangkalahatan ay nagpoprotekta sa mga empleyado mula sa pagtanggal nang walang makatarungang dahilan.
* **Special Emergency Leave:** Gayunpaman, ang Republic Act No. 10154 (An Act Granting Special Emergency Leave "&amp;"Privileges to Employees) ay kinikilala ang mga emerhensiya at nagbibigay ng mga espesyal na benepisyo sa leave para sa mga empleyado [inalis ang invalid URL]!.
* **Pagsususpinde ng Trabaho:** Pinapayagan din ng batas ang mga employer na suspindihin ang tr"&amp;"abaho dahil sa isang kalamidad (Seksyon 10). Sa panahon ng naturang mga pagsususpinde, hindi kinakailangang gamitin ng mga empleyado ang kanilang espesyal na emergency leave [RA No. 10154, Seksyon 10].
**Pagwawakas sa Panahon ng Kalamidad/Emerhensiya:**
*"&amp;" Ang pagwawakas sa mga empleyado dahil lamang sa isang state of calamity o emergency ay maaaring ituring na ilegal na pagpapaalis kung walang malinaw na katwiran sa kabila ng mga pangyayari.
* Gayunpaman, maaari pa ring gamitin ng mga tagapag-empleyo ang "&amp;"pagwawakas kung mayroong wastong batayan tulad ng redundancy, pagsasara ng kumpanya, o malubhang maling pag-uugali ng empleyado. Ang pasanin ng patunay ay nasa employer upang magtatag ng isang lehitimong dahilan para sa pagwawakas, hiwalay sa kalamidad o "&amp;"emergency.
**Inirerekomendang Kurso ng Pagkilos:**
* Kung nahaharap sa termination sa panahon ng state of calamity o emergency, kumunsulta sa Department of Labor and Employment (DOLE) para sa gabay sa iyong mga karapatan bilang empleyado [https://www.offi"&amp;"cialgazette.gov.ph/section/briefing-room/department -of-labor-and-employment/](https://www.officialgazette.gov.ph/section/briefing-room/department-of-labor-and-employment/)].
* Isaalang-alang ang paghingi ng legal na payo upang maunawaan ang iyong partiku"&amp;"lar na sitwasyon at ang naaangkop na legal na tugon.")</f>
        <v>Kinikilala ng batas ng Pilipinas ang mga hamon na kinakaharap ng mga employer at empleyado sa panahon ng state of calamity o emergency. Narito kung paano pinoprotektahan ng legal na balangkas ang mga manggagawa habang kinikilala ang mga limitasyon sa negosyo na dulot ng gayong mga pangyayari:
* **Seguridad ng Panunungkulan:** Ginagarantiyahan ng Konstitusyon ang karapatan sa seguridad ng panunungkulan para sa mga empleyado (Artikulo XIII, Seksyon 3) [https://lawlibrary.chanrobles.com/](https://lawlibrary.chanrobles.com/ )]. Ang karapatang ito sa pangkalahatan ay nagpoprotekta sa mga empleyado mula sa pagtanggal nang walang makatarungang dahilan.
* **Special Emergency Leave:** Gayunpaman, ang Republic Act No. 10154 (An Act Granting Special Emergency Leave Privileges to Employees) ay kinikilala ang mga emerhensiya at nagbibigay ng mga espesyal na benepisyo sa leave para sa mga empleyado [inalis ang invalid URL]!.
* **Pagsususpinde ng Trabaho:** Pinapayagan din ng batas ang mga employer na suspindihin ang trabaho dahil sa isang kalamidad (Seksyon 10). Sa panahon ng naturang mga pagsususpinde, hindi kinakailangang gamitin ng mga empleyado ang kanilang espesyal na emergency leave [RA No. 10154, Seksyon 10].
**Pagwawakas sa Panahon ng Kalamidad/Emerhensiya:**
* Ang pagwawakas sa mga empleyado dahil lamang sa isang state of calamity o emergency ay maaaring ituring na ilegal na pagpapaalis kung walang malinaw na katwiran sa kabila ng mga pangyayari.
* Gayunpaman, maaari pa ring gamitin ng mga tagapag-empleyo ang pagwawakas kung mayroong wastong batayan tulad ng redundancy, pagsasara ng kumpanya, o malubhang maling pag-uugali ng empleyado. Ang pasanin ng patunay ay nasa employer upang magtatag ng isang lehitimong dahilan para sa pagwawakas, hiwalay sa kalamidad o emergency.
**Inirerekomendang Kurso ng Pagkilos:**
* Kung nahaharap sa termination sa panahon ng state of calamity o emergency, kumunsulta sa Department of Labor and Employment (DOLE) para sa gabay sa iyong mga karapatan bilang empleyado [https://www.officialgazette.gov.ph/section/briefing-room/department -of-labor-and-employment/](https://www.officialgazette.gov.ph/section/briefing-room/department-of-labor-and-employment/)].
* Isaalang-alang ang paghingi ng legal na payo upang maunawaan ang iyong partikular na sitwasyon at ang naaangkop na legal na tugon.</v>
      </c>
      <c r="F2724" s="2">
        <f t="shared" si="1"/>
        <v>0</v>
      </c>
      <c r="G2724" s="2"/>
      <c r="H2724" s="2"/>
      <c r="I2724" s="2"/>
      <c r="J2724" s="2"/>
      <c r="K2724" s="2"/>
      <c r="L2724" s="2"/>
      <c r="M2724" s="2"/>
      <c r="N2724" s="2"/>
      <c r="O2724" s="2"/>
      <c r="P2724" s="2"/>
      <c r="Q2724" s="2"/>
      <c r="R2724" s="2"/>
      <c r="S2724" s="2"/>
      <c r="T2724" s="2"/>
      <c r="U2724" s="2"/>
      <c r="V2724" s="2"/>
      <c r="W2724" s="2"/>
      <c r="X2724" s="2"/>
      <c r="Y2724" s="2"/>
      <c r="Z2724" s="2"/>
      <c r="AA2724" s="2"/>
    </row>
    <row r="2725">
      <c r="A2725" s="3" t="s">
        <v>6373</v>
      </c>
      <c r="B2725" s="1" t="s">
        <v>6421</v>
      </c>
      <c r="C2725" s="3" t="s">
        <v>6422</v>
      </c>
      <c r="D2725" s="2" t="str">
        <f>IFERROR(__xludf.DUMMYFUNCTION("GOOGLETRANSLATE(B2725, ""en"", ""TL"")"),"Mayroon bang mga batas sa Pilipinas na nagpoprotekta sa mga whistleblower sa lugar ng trabaho?")</f>
        <v>Mayroon bang mga batas sa Pilipinas na nagpoprotekta sa mga whistleblower sa lugar ng trabaho?</v>
      </c>
      <c r="E2725" s="2" t="str">
        <f>IFERROR(__xludf.DUMMYFUNCTION("GOOGLETRANSLATE(C2725, ""en"", ""TL"")"),"Wala pang isa, komprehensibong batas sa proteksyon ng whistleblower sa Pilipinas. Gayunpaman, mayroong ilang mga legal na mekanismo na nag-aalok ng ilang antas ng proteksyon para sa mga whistleblower:
* **Ang Konstitusyon:** Ang karapatan sa impormasyon ("&amp;"Artikulo III, Seksyon 3) at ang karapatan sa angkop na proseso (Artikulo III, Seksyon 14) ay maaaring bigyang-kahulugan na hindi direktang protektahan ang mga whistleblower na naglalantad ng maling gawain [https://lawlibrary.chanrobles .com/](https://lawl"&amp;"ibrary.chanrobles.com/)].
* **Republic Acts (RAs):** Ang ilang mga umiiral na batas ay nagbibigay ng bahagyang proteksyon sa mga partikular na konteksto. * **Ang Anti-Red Tape Act (RA No. 8750):** Pinoprotektahan ang mga indibidwal na nag-uulat ng katiwal"&amp;"ian sa pamahalaan [inalis ang di-wastong URL] * **Ang Code of Corporate Governance (Securities and Exchange Commission Memorandum No. 19-2019): ** Ang mga nakalistang kumpanya ay hinihikayat na magtatag ng mga programa sa whistleblowing [https://www.sec.g"&amp;"ov.ph/](https://www.sec.gov.ph/) issuances/memorandum/memorandum-no-19-2019/ ]
* **Jurisprudence:** Kinilala ng mga desisyon ng korte ang kahalagahan ng whistleblowing at nagbigay ng ilang proteksyon laban sa paghihiganti sa mga partikular na kaso _""J.V."&amp;" vs. Court of Appeals and NLRC"", G.R. Hindi. 128112 | Marso 22, 1999| | SCRA: [*].
**Mga Limitasyon ng Kasalukuyang Framework:**
* Ang kakulangan ng isang partikular na Whistleblower Protection Act ay lumilikha ng mga kawalang-katiyakan at potensyal na m"&amp;"ga puwang sa pagprotekta sa mga whistleblower.
* Ang mga umiiral na mekanismo ay nag-aalok ng limitadong saklaw at maaaring hindi ginagarantiyahan ang pagiging kumpidensyal o komprehensibong proteksyon mula sa paghihiganti.
**Ano ang Aasahan:**
* Maraming"&amp;" Whistleblower Protection Bill ang naihain sa Kongreso, ngunit wala pang naisabatas (mula noong Marso 15, 2024).
* Ang mga iminungkahing panukalang batas na ito ay karaniwang naglalayong magbigay ng legal na balangkas para sa whistleblowing, kabilang ang:"&amp;"
* Malinaw na mga kahulugan ng whistleblowing at protektadong pagsisiwalat
* Mga pamamaraan para sa pag-uulat ng maling gawain
* Mga proteksyon sa pagiging kompidensyal para sa mga whistleblower
* Pagbabawal laban sa paghihiganti ng mga employer
**Mga Rek"&amp;"omendasyon:**
* Kung isinasaalang-alang mo ang whistleblowing, maingat na suriin ang mga potensyal na panganib at benepisyo.
* Humingi ng patnubay mula sa mga organisasyong nagsusulong para sa transparency at pananagutan.
* Isaalang-alang ang pagkonsulta "&amp;"sa isang abogado na dalubhasa sa batas sa paggawa para sa partikular na payo sa iyong sitwasyon.
Ang Pilipinas ay sumusulong patungo sa isang mas matatag na legal na balangkas para sa proteksyon ng whistleblower, ngunit sa ngayon, ang pag-navigate sa luga"&amp;"r na ito ay nangangailangan ng isang maingat na diskarte.")</f>
        <v>Wala pang isa, komprehensibong batas sa proteksyon ng whistleblower sa Pilipinas. Gayunpaman, mayroong ilang mga legal na mekanismo na nag-aalok ng ilang antas ng proteksyon para sa mga whistleblower:
* **Ang Konstitusyon:** Ang karapatan sa impormasyon (Artikulo III, Seksyon 3) at ang karapatan sa angkop na proseso (Artikulo III, Seksyon 14) ay maaaring bigyang-kahulugan na hindi direktang protektahan ang mga whistleblower na naglalantad ng maling gawain [https://lawlibrary.chanrobles .com/](https://lawlibrary.chanrobles.com/)].
* **Republic Acts (RAs):** Ang ilang mga umiiral na batas ay nagbibigay ng bahagyang proteksyon sa mga partikular na konteksto. * **Ang Anti-Red Tape Act (RA No. 8750):** Pinoprotektahan ang mga indibidwal na nag-uulat ng katiwalian sa pamahalaan [inalis ang di-wastong URL] * **Ang Code of Corporate Governance (Securities and Exchange Commission Memorandum No. 19-2019): ** Ang mga nakalistang kumpanya ay hinihikayat na magtatag ng mga programa sa whistleblowing [https://www.sec.gov.ph/](https://www.sec.gov.ph/) issuances/memorandum/memorandum-no-19-2019/ ]
* **Jurisprudence:** Kinilala ng mga desisyon ng korte ang kahalagahan ng whistleblowing at nagbigay ng ilang proteksyon laban sa paghihiganti sa mga partikular na kaso _"J.V. vs. Court of Appeals and NLRC", G.R. Hindi. 128112 | Marso 22, 1999| | SCRA: [*].
**Mga Limitasyon ng Kasalukuyang Framework:**
* Ang kakulangan ng isang partikular na Whistleblower Protection Act ay lumilikha ng mga kawalang-katiyakan at potensyal na mga puwang sa pagprotekta sa mga whistleblower.
* Ang mga umiiral na mekanismo ay nag-aalok ng limitadong saklaw at maaaring hindi ginagarantiyahan ang pagiging kumpidensyal o komprehensibong proteksyon mula sa paghihiganti.
**Ano ang Aasahan:**
* Maraming Whistleblower Protection Bill ang naihain sa Kongreso, ngunit wala pang naisabatas (mula noong Marso 15, 2024).
* Ang mga iminungkahing panukalang batas na ito ay karaniwang naglalayong magbigay ng legal na balangkas para sa whistleblowing, kabilang ang:
* Malinaw na mga kahulugan ng whistleblowing at protektadong pagsisiwalat
* Mga pamamaraan para sa pag-uulat ng maling gawain
* Mga proteksyon sa pagiging kompidensyal para sa mga whistleblower
* Pagbabawal laban sa paghihiganti ng mga employer
**Mga Rekomendasyon:**
* Kung isinasaalang-alang mo ang whistleblowing, maingat na suriin ang mga potensyal na panganib at benepisyo.
* Humingi ng patnubay mula sa mga organisasyong nagsusulong para sa transparency at pananagutan.
* Isaalang-alang ang pagkonsulta sa isang abogado na dalubhasa sa batas sa paggawa para sa partikular na payo sa iyong sitwasyon.
Ang Pilipinas ay sumusulong patungo sa isang mas matatag na legal na balangkas para sa proteksyon ng whistleblower, ngunit sa ngayon, ang pag-navigate sa lugar na ito ay nangangailangan ng isang maingat na diskarte.</v>
      </c>
      <c r="F2725" s="2">
        <f t="shared" si="1"/>
        <v>0</v>
      </c>
      <c r="G2725" s="2"/>
      <c r="H2725" s="2"/>
      <c r="I2725" s="2"/>
      <c r="J2725" s="2"/>
      <c r="K2725" s="2"/>
      <c r="L2725" s="2"/>
      <c r="M2725" s="2"/>
      <c r="N2725" s="2"/>
      <c r="O2725" s="2"/>
      <c r="P2725" s="2"/>
      <c r="Q2725" s="2"/>
      <c r="R2725" s="2"/>
      <c r="S2725" s="2"/>
      <c r="T2725" s="2"/>
      <c r="U2725" s="2"/>
      <c r="V2725" s="2"/>
      <c r="W2725" s="2"/>
      <c r="X2725" s="2"/>
      <c r="Y2725" s="2"/>
      <c r="Z2725" s="2"/>
      <c r="AA2725" s="2"/>
    </row>
    <row r="2726">
      <c r="A2726" s="3" t="s">
        <v>6373</v>
      </c>
      <c r="B2726" s="1" t="s">
        <v>6423</v>
      </c>
      <c r="C2726" s="3" t="s">
        <v>6424</v>
      </c>
      <c r="D2726" s="2" t="str">
        <f>IFERROR(__xludf.DUMMYFUNCTION("GOOGLETRANSLATE(B2726, ""en"", ""TL"")"),"Nais ng isang kumpanya na tanggalin ang isang empleyado dahil sa mahinang pagganap. Anong mga hakbang ang dapat nilang gawin upang matiyak ang legalidad?")</f>
        <v>Nais ng isang kumpanya na tanggalin ang isang empleyado dahil sa mahinang pagganap. Anong mga hakbang ang dapat nilang gawin upang matiyak ang legalidad?</v>
      </c>
      <c r="E2726" s="2" t="str">
        <f>IFERROR(__xludf.DUMMYFUNCTION("GOOGLETRANSLATE(C2726, ""en"", ""TL"")"),"Ang pagtanggal ng empleyado dahil sa mahinang pagganap sa Pilipinas ay nangangailangan ng pagsunod sa isang legal na proseso upang matiyak na ito ay itinuturing na isang wastong pagwawakas at maiwasan ang mga potensyal na reklamo ng iligal na pagpapaalis."&amp;" Narito ang mga hakbang na dapat gawin ng isang kumpanya:
**1. Mga Isyu sa Pagganap ng Dokumento:**
* **Mga Pamantayan sa Pagganap:** Malinaw na tukuyin ang mga inaasahan sa pagganap para sa tungkulin sa pamamagitan ng nakasulat na paglalarawan ng trabaho"&amp;" o handbook ng empleyado. * **Pagmamanman ng Pagganap:** Magtatag ng isang sistema para sa pagdodokumento ng pagganap ng empleyado, kabilang ang mga partikular na halimbawa ng mga pagkukulang, petsa, at anumang mga pagwawasto na ginawa.
**2. Magpatupad ng"&amp;" Progresibong Disiplina:**
* **Verbal Warning:** Magbigay ng pasalitang babala na nagbabalangkas sa mga isyu sa pagganap at mga kinakailangang pagpapabuti.
* **Nakasulat na Babala:** Kung hindi bumuti ang pagganap, maglabas ng nakasulat na babala na nagba"&amp;"balangkas sa mga partikular na bahagi ng pag-aalala, inaasahang mga pagpapabuti, at mga potensyal na kahihinatnan para sa patuloy na hindi magandang pagganap.
**3. Pagkakataon para sa Pagpapabuti:**
* Bigyan ang empleyado ng isang makatwirang pagkakataon "&amp;"upang mapabuti ang kanilang pagganap. Ito ay maaaring may kasamang karagdagang pagsasanay, pagtuturo, o mentoring.
**4. Abiso ng Pagwawakas:**
* Kung ang pagganap ay nananatiling hindi kasiya-siya pagkatapos ng progresibong disiplina, ang isang panghuling"&amp;" nakasulat na abiso ng pagwawakas ay maaaring maibigay. * Ang paunawa ay dapat na malinaw na nakasaad ang dahilan ng pagwawakas (mahinang pagganap) at banggitin ang mga partikular na halimbawa na nakadokumento sa buong proseso.
* Maipapayo na magbigay ng "&amp;"hindi bababa sa 30 araw na paunawa bago ang petsa ng pagwawakas [What you need to know before hiring in the Philippines: A guide to terminations | Rippling, [https://www.rippling.com/blog/international-terminations](https://www.rippling.com/blog/internati"&amp;"onal-terminations)].
**5. Separation Pay:**
* Depende sa haba ng serbisyo ng empleyado at ang dahilan ng pagwawakas, maaaring kailanganin ng batas ang separation pay. Sumangguni sa Department of Labor and Employment (DOLE) para sa mga partikular na alitun"&amp;"tunin [https://www.officialgazette.gov.ph/section/briefing-room/department-of-labor-and-employment/](https://www. officialgazette.gov.ph/section/briefing-room/department-of-labor-and-employment/)].
**Mga Karagdagang Pagsasaalang-alang:**
* **Nararapat na "&amp;"Proseso:** Tiyakin na ang empleyado ay binibigyan ng angkop na proseso sa buong proseso ng pagdidisiplina, kabilang ang karapatang marinig at ipagtanggol ang kanilang sarili.
* **Legal na Konsultasyon:** Ang pagkonsulta sa isang abogadong may karanasan sa"&amp;" batas sa paggawa ay lubos na inirerekomenda upang matiyak ang pagsunod sa mga legal na kinakailangan at mabawasan ang panganib ng mga legal na hamon.
Ang pagsunod sa mga hakbang na ito ay nakakatulong sa kumpanya na ipakita na kumilos sila nang patas at "&amp;"binigyan ang empleyado ng pagkakataong umunlad bago pumunta sa pagwawakas. Pinalalakas nito ang legal na pagtatanggol ng desisyon sa pagwawakas kung hinamon ng empleyado.")</f>
        <v>Ang pagtanggal ng empleyado dahil sa mahinang pagganap sa Pilipinas ay nangangailangan ng pagsunod sa isang legal na proseso upang matiyak na ito ay itinuturing na isang wastong pagwawakas at maiwasan ang mga potensyal na reklamo ng iligal na pagpapaalis. Narito ang mga hakbang na dapat gawin ng isang kumpanya:
**1. Mga Isyu sa Pagganap ng Dokumento:**
* **Mga Pamantayan sa Pagganap:** Malinaw na tukuyin ang mga inaasahan sa pagganap para sa tungkulin sa pamamagitan ng nakasulat na paglalarawan ng trabaho o handbook ng empleyado. * **Pagmamanman ng Pagganap:** Magtatag ng isang sistema para sa pagdodokumento ng pagganap ng empleyado, kabilang ang mga partikular na halimbawa ng mga pagkukulang, petsa, at anumang mga pagwawasto na ginawa.
**2. Magpatupad ng Progresibong Disiplina:**
* **Verbal Warning:** Magbigay ng pasalitang babala na nagbabalangkas sa mga isyu sa pagganap at mga kinakailangang pagpapabuti.
* **Nakasulat na Babala:** Kung hindi bumuti ang pagganap, maglabas ng nakasulat na babala na nagbabalangkas sa mga partikular na bahagi ng pag-aalala, inaasahang mga pagpapabuti, at mga potensyal na kahihinatnan para sa patuloy na hindi magandang pagganap.
**3. Pagkakataon para sa Pagpapabuti:**
* Bigyan ang empleyado ng isang makatwirang pagkakataon upang mapabuti ang kanilang pagganap. Ito ay maaaring may kasamang karagdagang pagsasanay, pagtuturo, o mentoring.
**4. Abiso ng Pagwawakas:**
* Kung ang pagganap ay nananatiling hindi kasiya-siya pagkatapos ng progresibong disiplina, ang isang panghuling nakasulat na abiso ng pagwawakas ay maaaring maibigay. * Ang paunawa ay dapat na malinaw na nakasaad ang dahilan ng pagwawakas (mahinang pagganap) at banggitin ang mga partikular na halimbawa na nakadokumento sa buong proseso.
* Maipapayo na magbigay ng hindi bababa sa 30 araw na paunawa bago ang petsa ng pagwawakas [What you need to know before hiring in the Philippines: A guide to terminations | Rippling, [https://www.rippling.com/blog/international-terminations](https://www.rippling.com/blog/international-terminations)].
**5. Separation Pay:**
* Depende sa haba ng serbisyo ng empleyado at ang dahilan ng pagwawakas, maaaring kailanganin ng batas ang separation pay. Sumangguni sa Department of Labor and Employment (DOLE) para sa mga partikular na alituntunin [https://www.officialgazette.gov.ph/section/briefing-room/department-of-labor-and-employment/](https://www. officialgazette.gov.ph/section/briefing-room/department-of-labor-and-employment/)].
**Mga Karagdagang Pagsasaalang-alang:**
* **Nararapat na Proseso:** Tiyakin na ang empleyado ay binibigyan ng angkop na proseso sa buong proseso ng pagdidisiplina, kabilang ang karapatang marinig at ipagtanggol ang kanilang sarili.
* **Legal na Konsultasyon:** Ang pagkonsulta sa isang abogadong may karanasan sa batas sa paggawa ay lubos na inirerekomenda upang matiyak ang pagsunod sa mga legal na kinakailangan at mabawasan ang panganib ng mga legal na hamon.
Ang pagsunod sa mga hakbang na ito ay nakakatulong sa kumpanya na ipakita na kumilos sila nang patas at binigyan ang empleyado ng pagkakataong umunlad bago pumunta sa pagwawakas. Pinalalakas nito ang legal na pagtatanggol ng desisyon sa pagwawakas kung hinamon ng empleyado.</v>
      </c>
      <c r="F2726" s="2">
        <f t="shared" si="1"/>
        <v>0</v>
      </c>
      <c r="G2726" s="2"/>
      <c r="H2726" s="2"/>
      <c r="I2726" s="2"/>
      <c r="J2726" s="2"/>
      <c r="K2726" s="2"/>
      <c r="L2726" s="2"/>
      <c r="M2726" s="2"/>
      <c r="N2726" s="2"/>
      <c r="O2726" s="2"/>
      <c r="P2726" s="2"/>
      <c r="Q2726" s="2"/>
      <c r="R2726" s="2"/>
      <c r="S2726" s="2"/>
      <c r="T2726" s="2"/>
      <c r="U2726" s="2"/>
      <c r="V2726" s="2"/>
      <c r="W2726" s="2"/>
      <c r="X2726" s="2"/>
      <c r="Y2726" s="2"/>
      <c r="Z2726" s="2"/>
      <c r="AA2726" s="2"/>
    </row>
    <row r="2727">
      <c r="A2727" s="3" t="s">
        <v>6373</v>
      </c>
      <c r="B2727" s="3" t="s">
        <v>6425</v>
      </c>
      <c r="C2727" s="3" t="s">
        <v>6426</v>
      </c>
      <c r="D2727" s="2" t="str">
        <f>IFERROR(__xludf.DUMMYFUNCTION("GOOGLETRANSLATE(B2727, ""en"", ""TL"")"),"Anong mga legal na probisyon ang namamahala sa mga kontrata sa pagtatrabaho sa Pilipinas, at ano ang mga pangunahing karapatan at obligasyon ng mga employer at empleyado sa ilalim ng batas sa paggawa ng Pilipinas?")</f>
        <v>Anong mga legal na probisyon ang namamahala sa mga kontrata sa pagtatrabaho sa Pilipinas, at ano ang mga pangunahing karapatan at obligasyon ng mga employer at empleyado sa ilalim ng batas sa paggawa ng Pilipinas?</v>
      </c>
      <c r="E2727" s="2" t="str">
        <f>IFERROR(__xludf.DUMMYFUNCTION("GOOGLETRANSLATE(C2727, ""en"", ""TL"")"),"## Legal na Balangkas para sa Mga Kontrata sa Pagtatrabaho sa Pilipinas
Ang mga kontrata sa pagtatrabaho sa Pilipinas ay pinamamahalaan ng kumbinasyon ng mga legal na probisyon, kabilang ang:
* **Ang Konstitusyon:** Ang Konstitusyon ng Pilipinas (Artikulo"&amp;" XIII, Seksyon 3) ay ginagarantiyahan ang karapatan sa seguridad ng panunungkulan para sa mga empleyado. [Konstitusyon ng Republika ng Pilipinas, Chan Robles Virtual Law Library, [https://lawlibrary.chanrobles.com/](https://lawlibrary.chanrobles.com/)] * "&amp;"**The Labor Code (RA No. 6715):** Ito ang pangunahing batas na namamahala sa relasyon ng employer-empleyado sa Pilipinas. Itinatakda nito ang mga minimum na pamantayan para sa sahod, oras ng pagtatrabaho, benepisyo, at mga pamamaraan ng pagwawakas. [DOLE "&amp;"Philippines, Department of Labor and Employment, [https://blr.dole.gov.ph/2014/12/11/labor-code-of-the-philippines/](https://blr.dole.gov .ph/2014/12/11/labor-code-of-the-philippines/)]
* **Department of Labor and Employment (DOLE) Issuances:** Ang DOLE a"&amp;"y naglalabas ng mga department order, advisories, at interpretasyon na nagbibigay ng karagdagang gabay sa pagpapatupad ng Labor Code at iba pang mga batas na may kaugnayan sa paggawa.
Ang mga probisyong ito, kasama ang may-katuturang hurisprudensya (mga d"&amp;"esisyon ng korte), ay nagtatatag ng balangkas para sa patas at balanseng relasyon sa trabaho.
## Mga Pangunahing Karapatan at Obligasyon
**Mga Karapatan ng Empleyado:**
* **Seguridad ng Panunungkulan:** Ang mga empleyado ay may karapatang maging malaya mu"&amp;"la sa pagkakatanggal nang walang makatarungang dahilan o angkop na proseso.
* **Minimum Wage:** Sila ay may karapatan na tumanggap ng sahod sa o higit pa sa ipinag-uutos ng gobyerno na minimum na sahod.
* **Mga Oras ng Trabaho at Mga Panahon ng Pahinga:**"&amp;" Nililimitahan ng batas ang mga oras ng pagtatrabaho at nag-uutos ng mga panahon ng pahinga upang maiwasan ang labis na trabaho at matiyak ang kagalingan ng empleyado.
* **Mga Benepisyo:** Ang mga empleyado ay may karapatan sa ilang partikular na benepisy"&amp;"o tulad ng sick leave, vacation leave, at maternity leave.
* **Ligtas na Kondisyon sa Paggawa:** Ang mga employer ay dapat magbigay ng ligtas at malusog na kapaligiran sa trabaho.
* **Unyonisasyon:** Ang mga empleyado ay may karapatang bumuo o sumali sa m"&amp;"ga unyon ng manggagawa para sa kolektibong pakikipagkasundo.
**Mga Obligasyon ng Employer:**
* **Pagsunod sa Mga Batas sa Paggawa:** Dapat sumunod ang mga employer sa lahat ng batas at regulasyon sa paggawa.
* **Pagbabayad ng Sahod:** Kinakailangan ang na"&amp;"papanahong pagbabayad ng sahod sa napagkasunduang rate.
* **Probisyon ng Mga Benepisyo:** Dapat ibigay ng mga employer ang mga ipinag-uutos na benepisyo sa kanilang mga empleyado.
* **Pagpapanatili ng Ligtas na Kondisyon sa Paggawa:** Ang paglikha at pagp"&amp;"apanatili ng ligtas na kapaligiran sa trabaho ay responsibilidad ng isang tagapag-empleyo.
* **Magandang Pananampalataya sa Mga Dealing:** Dapat kumilos ang mga employer nang may mabuting loob sa buong relasyon sa trabaho.
* **Paggalang sa Mga Karapatan n"&amp;"g Empleyado:** Ang pagtataguyod ng mga karapatan ng empleyado sa patas na pagtrato, angkop na proseso, at kalayaan sa pagsasama ay napakahalaga.
**Mahalagang Paalala:**
Ito ay isang pangkalahatang pangkalahatang-ideya. Ang mga partikular na karapatan at o"&amp;"bligasyon ay maaaring mag-iba depende sa uri ng trabaho, industriya, at anumang umiiral na mga collective bargaining agreement.
Para sa komprehensibo at up-to-date na impormasyon, palaging inirerekomenda na kumunsulta sa Department of Labor and Employment"&amp;" (DOLE) o humingi ng legal na payo mula sa isang abogadong dalubhasa sa batas sa paggawa.")</f>
        <v>## Legal na Balangkas para sa Mga Kontrata sa Pagtatrabaho sa Pilipinas
Ang mga kontrata sa pagtatrabaho sa Pilipinas ay pinamamahalaan ng kumbinasyon ng mga legal na probisyon, kabilang ang:
* **Ang Konstitusyon:** Ang Konstitusyon ng Pilipinas (Artikulo XIII, Seksyon 3) ay ginagarantiyahan ang karapatan sa seguridad ng panunungkulan para sa mga empleyado. [Konstitusyon ng Republika ng Pilipinas, Chan Robles Virtual Law Library, [https://lawlibrary.chanrobles.com/](https://lawlibrary.chanrobles.com/)] * **The Labor Code (RA No. 6715):** Ito ang pangunahing batas na namamahala sa relasyon ng employer-empleyado sa Pilipinas. Itinatakda nito ang mga minimum na pamantayan para sa sahod, oras ng pagtatrabaho, benepisyo, at mga pamamaraan ng pagwawakas. [DOLE Philippines, Department of Labor and Employment, [https://blr.dole.gov.ph/2014/12/11/labor-code-of-the-philippines/](https://blr.dole.gov .ph/2014/12/11/labor-code-of-the-philippines/)]
* **Department of Labor and Employment (DOLE) Issuances:** Ang DOLE ay naglalabas ng mga department order, advisories, at interpretasyon na nagbibigay ng karagdagang gabay sa pagpapatupad ng Labor Code at iba pang mga batas na may kaugnayan sa paggawa.
Ang mga probisyong ito, kasama ang may-katuturang hurisprudensya (mga desisyon ng korte), ay nagtatatag ng balangkas para sa patas at balanseng relasyon sa trabaho.
## Mga Pangunahing Karapatan at Obligasyon
**Mga Karapatan ng Empleyado:**
* **Seguridad ng Panunungkulan:** Ang mga empleyado ay may karapatang maging malaya mula sa pagkakatanggal nang walang makatarungang dahilan o angkop na proseso.
* **Minimum Wage:** Sila ay may karapatan na tumanggap ng sahod sa o higit pa sa ipinag-uutos ng gobyerno na minimum na sahod.
* **Mga Oras ng Trabaho at Mga Panahon ng Pahinga:** Nililimitahan ng batas ang mga oras ng pagtatrabaho at nag-uutos ng mga panahon ng pahinga upang maiwasan ang labis na trabaho at matiyak ang kagalingan ng empleyado.
* **Mga Benepisyo:** Ang mga empleyado ay may karapatan sa ilang partikular na benepisyo tulad ng sick leave, vacation leave, at maternity leave.
* **Ligtas na Kondisyon sa Paggawa:** Ang mga employer ay dapat magbigay ng ligtas at malusog na kapaligiran sa trabaho.
* **Unyonisasyon:** Ang mga empleyado ay may karapatang bumuo o sumali sa mga unyon ng manggagawa para sa kolektibong pakikipagkasundo.
**Mga Obligasyon ng Employer:**
* **Pagsunod sa Mga Batas sa Paggawa:** Dapat sumunod ang mga employer sa lahat ng batas at regulasyon sa paggawa.
* **Pagbabayad ng Sahod:** Kinakailangan ang napapanahong pagbabayad ng sahod sa napagkasunduang rate.
* **Probisyon ng Mga Benepisyo:** Dapat ibigay ng mga employer ang mga ipinag-uutos na benepisyo sa kanilang mga empleyado.
* **Pagpapanatili ng Ligtas na Kondisyon sa Paggawa:** Ang paglikha at pagpapanatili ng ligtas na kapaligiran sa trabaho ay responsibilidad ng isang tagapag-empleyo.
* **Magandang Pananampalataya sa Mga Dealing:** Dapat kumilos ang mga employer nang may mabuting loob sa buong relasyon sa trabaho.
* **Paggalang sa Mga Karapatan ng Empleyado:** Ang pagtataguyod ng mga karapatan ng empleyado sa patas na pagtrato, angkop na proseso, at kalayaan sa pagsasama ay napakahalaga.
**Mahalagang Paalala:**
Ito ay isang pangkalahatang pangkalahatang-ideya. Ang mga partikular na karapatan at obligasyon ay maaaring mag-iba depende sa uri ng trabaho, industriya, at anumang umiiral na mga collective bargaining agreement.
Para sa komprehensibo at up-to-date na impormasyon, palaging inirerekomenda na kumunsulta sa Department of Labor and Employment (DOLE) o humingi ng legal na payo mula sa isang abogadong dalubhasa sa batas sa paggawa.</v>
      </c>
      <c r="F2727" s="2">
        <f t="shared" si="1"/>
        <v>0</v>
      </c>
      <c r="G2727" s="2"/>
      <c r="H2727" s="2"/>
      <c r="I2727" s="2"/>
      <c r="J2727" s="2"/>
      <c r="K2727" s="2"/>
      <c r="L2727" s="2"/>
      <c r="M2727" s="2"/>
      <c r="N2727" s="2"/>
      <c r="O2727" s="2"/>
      <c r="P2727" s="2"/>
      <c r="Q2727" s="2"/>
      <c r="R2727" s="2"/>
      <c r="S2727" s="2"/>
      <c r="T2727" s="2"/>
      <c r="U2727" s="2"/>
      <c r="V2727" s="2"/>
      <c r="W2727" s="2"/>
      <c r="X2727" s="2"/>
      <c r="Y2727" s="2"/>
      <c r="Z2727" s="2"/>
      <c r="AA2727" s="2"/>
    </row>
    <row r="2728">
      <c r="A2728" s="3" t="s">
        <v>6373</v>
      </c>
      <c r="B2728" s="1" t="s">
        <v>6427</v>
      </c>
      <c r="C2728" s="3" t="s">
        <v>6428</v>
      </c>
      <c r="D2728" s="2" t="str">
        <f>IFERROR(__xludf.DUMMYFUNCTION("GOOGLETRANSLATE(B2728, ""en"", ""TL"")"),"Paano dapat pangasiwaan ng employer ang mga reklamo ng panliligalig sa lugar ng trabaho?")</f>
        <v>Paano dapat pangasiwaan ng employer ang mga reklamo ng panliligalig sa lugar ng trabaho?</v>
      </c>
      <c r="E2728" s="2" t="str">
        <f>IFERROR(__xludf.DUMMYFUNCTION("GOOGLETRANSLATE(C2728, ""en"", ""TL"")"),"Narito kung paano dapat pangasiwaan ng isang employer sa Pilipinas ang mga reklamo ng panliligalig sa lugar ng trabaho:
**Seryosohin ang Reklamo:**
* **Pagiging Kumpidensyal:** Tiyakin sa nagrereklamo na ang pagiging kompidensiyal ay pananatilihin sa pina"&amp;"kamabuting posibleng lawak sa buong pagsisiyasat. * **Suporta at Empatiya:** Tratuhin ang nagrereklamo nang may paggalang at mag-alok ng suporta. Ipaalam sa kanila na sineseryoso mo ang kanilang reklamo at mag-iimbestiga nang maigi.
**Magtipon ng Impormas"&amp;"yon:**
* **Mga Detalye:** Magtipon ng mga detalye mula sa nagrereklamo tungkol sa pinaghihinalaang panliligalig, kabilang ang mga partikular na insidente, petsa, saksi, at anumang ebidensyang maaaring mayroon sila.
* **Patakaran laban sa Panliligalig:** S"&amp;"uriin ang patakaran laban sa panliligalig ng iyong kumpanya (kung mayroon ka nito) at ipaliwanag ang proseso ng pagsisiyasat sa nagrereklamo. Kung wala ka nito, isaalang-alang ang pagbuo ng isang patakaran na nagbabalangkas kung ano ang bumubuo ng panlili"&amp;"galig, proseso ng pag-uulat, at mga aksyong pandisiplina.
**Magsagawa ng Pagsisiyasat:**
* **Impartial Investigator:** Magtalaga ng isang walang kinikilingan na imbestigador, mas mainam na isang tao mula sa HR o isang taong hindi direktang kasangkot sa na"&amp;"grereklamo o sa akusado.
* **Magtipon ng Ebidensya:** Interbyuhin ang akusado at sinumang potensyal na saksi. Kolektahin at suriin ang anumang nauugnay na ebidensya tulad ng mga email, text message, o pag-record ng video.
* **Patas:** Tiyakin ang isang pa"&amp;"tas at layunin na pagsisiyasat na isinasaalang-alang ang magkabilang panig ng kuwento.
**Gumawa ng Naaangkop na Aksyon:**
* **Mga Panukalang Pandisiplina:** Depende sa kalubhaan ng panliligalig at sa mga natuklasan ng imbestigasyon, maaaring magsagawa ng "&amp;"naaangkop na aksyong pandisiplina laban sa akusado. Maaaring kabilang dito ang mga babala, pagsususpinde, o pagwawakas ng trabaho.
* **Pag-iwas:** Magpatupad ng mga hakbang upang maiwasan ang panliligalig sa hinaharap, tulad ng pagsasanay laban sa panlili"&amp;"galig para sa lahat ng empleyado at pagbabago ng mga patakaran upang matugunan ang anumang mga pagkukulang.
**Mga Karagdagang Pagsasaalang-alang:**
* **Legal na Konsultasyon:** Ang pagkonsulta sa isang abogadong may karanasan sa batas sa paggawa ay lubos "&amp;"na inirerekomenda, lalo na para sa mga kumplikadong kaso. Maaari silang magpayo sa mga legal na kinakailangan at tiyakin ang pagsunod sa mga batas laban sa diskriminasyon.
* **Mga Ahensya ng Gobyerno:** Ang Department of Labor and Employment (DOLE) at ang"&amp;" Commission on Women (CWC) ay nag-aalok ng mga mapagkukunan at tulong sa paglutas ng mga reklamo sa harassment sa lugar ng trabaho.
**Tandaan:**
Ang pag-iwas at pagtugon sa panliligalig sa lugar ng trabaho ay mahalaga para sa pagpapanatili ng isang ligtas"&amp;" at magalang na kapaligiran sa trabaho para sa lahat ng empleyado. Sa pamamagitan ng pagsunod sa isang patas at masusing proseso, maaaring tuparin ng mga employer ang kanilang mga legal na obligasyon at lumikha ng isang positibong kultura sa trabaho.")</f>
        <v>Narito kung paano dapat pangasiwaan ng isang employer sa Pilipinas ang mga reklamo ng panliligalig sa lugar ng trabaho:
**Seryosohin ang Reklamo:**
* **Pagiging Kumpidensyal:** Tiyakin sa nagrereklamo na ang pagiging kompidensiyal ay pananatilihin sa pinakamabuting posibleng lawak sa buong pagsisiyasat. * **Suporta at Empatiya:** Tratuhin ang nagrereklamo nang may paggalang at mag-alok ng suporta. Ipaalam sa kanila na sineseryoso mo ang kanilang reklamo at mag-iimbestiga nang maigi.
**Magtipon ng Impormasyon:**
* **Mga Detalye:** Magtipon ng mga detalye mula sa nagrereklamo tungkol sa pinaghihinalaang panliligalig, kabilang ang mga partikular na insidente, petsa, saksi, at anumang ebidensyang maaaring mayroon sila.
* **Patakaran laban sa Panliligalig:** Suriin ang patakaran laban sa panliligalig ng iyong kumpanya (kung mayroon ka nito) at ipaliwanag ang proseso ng pagsisiyasat sa nagrereklamo. Kung wala ka nito, isaalang-alang ang pagbuo ng isang patakaran na nagbabalangkas kung ano ang bumubuo ng panliligalig, proseso ng pag-uulat, at mga aksyong pandisiplina.
**Magsagawa ng Pagsisiyasat:**
* **Impartial Investigator:** Magtalaga ng isang walang kinikilingan na imbestigador, mas mainam na isang tao mula sa HR o isang taong hindi direktang kasangkot sa nagrereklamo o sa akusado.
* **Magtipon ng Ebidensya:** Interbyuhin ang akusado at sinumang potensyal na saksi. Kolektahin at suriin ang anumang nauugnay na ebidensya tulad ng mga email, text message, o pag-record ng video.
* **Patas:** Tiyakin ang isang patas at layunin na pagsisiyasat na isinasaalang-alang ang magkabilang panig ng kuwento.
**Gumawa ng Naaangkop na Aksyon:**
* **Mga Panukalang Pandisiplina:** Depende sa kalubhaan ng panliligalig at sa mga natuklasan ng imbestigasyon, maaaring magsagawa ng naaangkop na aksyong pandisiplina laban sa akusado. Maaaring kabilang dito ang mga babala, pagsususpinde, o pagwawakas ng trabaho.
* **Pag-iwas:** Magpatupad ng mga hakbang upang maiwasan ang panliligalig sa hinaharap, tulad ng pagsasanay laban sa panliligalig para sa lahat ng empleyado at pagbabago ng mga patakaran upang matugunan ang anumang mga pagkukulang.
**Mga Karagdagang Pagsasaalang-alang:**
* **Legal na Konsultasyon:** Ang pagkonsulta sa isang abogadong may karanasan sa batas sa paggawa ay lubos na inirerekomenda, lalo na para sa mga kumplikadong kaso. Maaari silang magpayo sa mga legal na kinakailangan at tiyakin ang pagsunod sa mga batas laban sa diskriminasyon.
* **Mga Ahensya ng Gobyerno:** Ang Department of Labor and Employment (DOLE) at ang Commission on Women (CWC) ay nag-aalok ng mga mapagkukunan at tulong sa paglutas ng mga reklamo sa harassment sa lugar ng trabaho.
**Tandaan:**
Ang pag-iwas at pagtugon sa panliligalig sa lugar ng trabaho ay mahalaga para sa pagpapanatili ng isang ligtas at magalang na kapaligiran sa trabaho para sa lahat ng empleyado. Sa pamamagitan ng pagsunod sa isang patas at masusing proseso, maaaring tuparin ng mga employer ang kanilang mga legal na obligasyon at lumikha ng isang positibong kultura sa trabaho.</v>
      </c>
      <c r="F2728" s="2">
        <f t="shared" si="1"/>
        <v>0</v>
      </c>
      <c r="G2728" s="2"/>
      <c r="H2728" s="2"/>
      <c r="I2728" s="2"/>
      <c r="J2728" s="2"/>
      <c r="K2728" s="2"/>
      <c r="L2728" s="2"/>
      <c r="M2728" s="2"/>
      <c r="N2728" s="2"/>
      <c r="O2728" s="2"/>
      <c r="P2728" s="2"/>
      <c r="Q2728" s="2"/>
      <c r="R2728" s="2"/>
      <c r="S2728" s="2"/>
      <c r="T2728" s="2"/>
      <c r="U2728" s="2"/>
      <c r="V2728" s="2"/>
      <c r="W2728" s="2"/>
      <c r="X2728" s="2"/>
      <c r="Y2728" s="2"/>
      <c r="Z2728" s="2"/>
      <c r="AA2728" s="2"/>
    </row>
    <row r="2729">
      <c r="A2729" s="3" t="s">
        <v>6373</v>
      </c>
      <c r="B2729" s="1" t="s">
        <v>6429</v>
      </c>
      <c r="C2729" s="3" t="s">
        <v>6430</v>
      </c>
      <c r="D2729" s="2" t="str">
        <f>IFERROR(__xludf.DUMMYFUNCTION("GOOGLETRANSLATE(B2729, ""en"", ""TL"")"),"Anong mga aksyon ang maaaring gawin ng isang tagapag-empleyo kung ang isang empleyado ay natagpuang nagnanakaw mula sa kumpanya?")</f>
        <v>Anong mga aksyon ang maaaring gawin ng isang tagapag-empleyo kung ang isang empleyado ay natagpuang nagnanakaw mula sa kumpanya?</v>
      </c>
      <c r="E2729" s="2" t="str">
        <f>IFERROR(__xludf.DUMMYFUNCTION("GOOGLETRANSLATE(C2729, ""en"", ""TL"")"),"Narito kung paano haharapin ng isang employer sa Pilipinas ang isang sitwasyon kung saan ang isang empleyado ay natagpuang nagnanakaw sa kumpanya:
**1. Magtipon ng Ebidensya at I-secure ang Eksena:**
* **Paunang Pagsisiyasat:** Magsagawa ng paunang pagsis"&amp;"iyasat upang mangalap ng ebidensya na sumusuporta sa hinala ng pagnanakaw. Maaaring kabilang dito ang pagsusuri sa footage ng seguridad, mga testimonya ng saksi, o mga panloob na rekord.
* **I-secure ang Eksena:** Kung mayroong pisikal na ebidensya tulad "&amp;"ng mga ninakaw na bagay, i-secure ito upang maiwasan ang pakikialam.
**2. Paghaharap at Pagsisiyasat:**
* **Paghaharap:** Kapag mayroon kang makatwirang batayan para sa hinala, harapin ang empleyado sa pribado at propesyonal na paraan. Hayaan silang ipali"&amp;"wanag ang kanilang panig ng kuwento, ngunit panatilihin ang isang neutral na paninindigan.
* **Detalyadong Pagsisiyasat:** Anuman ang tugon ng empleyado, magsagawa ng masusing pagsisiyasat upang kumpirmahin o alisin ang mga paratang. Alalahanin ang karapa"&amp;"tan ng empleyado sa angkop na proseso.
**3. Mga Legal na Pagsasaalang-alang:**
* **Kumonsulta sa isang Abogado:** Ang pagkonsulta sa isang abogadong may karanasan sa batas sa paggawa ay lubos na inirerekomenda. Maaari silang magpayo sa mga legal na implik"&amp;"asyon, naaangkop na paraan ng pagkilos, at tiyakin ang pagsunod sa mga batas sa paggawa ng Pilipinas.
* **Karapatan sa Legal na Counsel:** Ang empleyado ay may karapatan sa legal na tagapayo sa panahon ng proseso ng pagsisiyasat. **4. Mga Potensyal na Kur"&amp;"so ng Pagkilos:**
* **Pagkilos na Pandisiplina:** Depende sa kalubhaan ng pagnanakaw at sa mga natuklasan ng imbestigasyon, maaaring magsagawa ng aksyong pandisiplina. Ito ay maaaring mula sa isang babala hanggang sa pagtatapos ng trabaho.
* **Paglahok ng"&amp;" Pulis:** Para sa mga seryosong kaso ng pagnanakaw, maaaring kailanganin ang pagsangkot sa pulisya. Maaari silang magsagawa ng sarili nilang imbestigasyon at posibleng magsampa ng mga kasong kriminal laban sa empleyado.
* **Civil Suit:** Maaari ding isaal"&amp;"ang-alang ng kumpanya na magsampa ng kasong sibil laban sa empleyado upang mabawi ang ninakaw na ari-arian o mag-claim ng mga pinsala.
**5. Kahalagahan ng Dokumentasyon:**
* **Idokumento ang Lahat:** Idokumento ang lahat ng mga yugto ng proseso, kabilang "&amp;"ang paunang hinala, mga natuklasan sa pagsisiyasat, at anumang mga aksyong pandisiplina na ginawa. Ang dokumentadong trail na ito ay magiging mahalaga kung ang kaso ay mapupunta sa korte. **Tandaan:**
Ang naaangkop na kurso ng aksyon ay nakasalalay sa mga"&amp;" partikular na kalagayan ng kaso. Ang pagsunod sa mga hakbang na ito ay nagsisiguro ng isang patas at legal na tamang diskarte sa paghawak ng pagnanakaw ng empleyado.")</f>
        <v>Narito kung paano haharapin ng isang employer sa Pilipinas ang isang sitwasyon kung saan ang isang empleyado ay natagpuang nagnanakaw sa kumpanya:
**1. Magtipon ng Ebidensya at I-secure ang Eksena:**
* **Paunang Pagsisiyasat:** Magsagawa ng paunang pagsisiyasat upang mangalap ng ebidensya na sumusuporta sa hinala ng pagnanakaw. Maaaring kabilang dito ang pagsusuri sa footage ng seguridad, mga testimonya ng saksi, o mga panloob na rekord.
* **I-secure ang Eksena:** Kung mayroong pisikal na ebidensya tulad ng mga ninakaw na bagay, i-secure ito upang maiwasan ang pakikialam.
**2. Paghaharap at Pagsisiyasat:**
* **Paghaharap:** Kapag mayroon kang makatwirang batayan para sa hinala, harapin ang empleyado sa pribado at propesyonal na paraan. Hayaan silang ipaliwanag ang kanilang panig ng kuwento, ngunit panatilihin ang isang neutral na paninindigan.
* **Detalyadong Pagsisiyasat:** Anuman ang tugon ng empleyado, magsagawa ng masusing pagsisiyasat upang kumpirmahin o alisin ang mga paratang. Alalahanin ang karapatan ng empleyado sa angkop na proseso.
**3. Mga Legal na Pagsasaalang-alang:**
* **Kumonsulta sa isang Abogado:** Ang pagkonsulta sa isang abogadong may karanasan sa batas sa paggawa ay lubos na inirerekomenda. Maaari silang magpayo sa mga legal na implikasyon, naaangkop na paraan ng pagkilos, at tiyakin ang pagsunod sa mga batas sa paggawa ng Pilipinas.
* **Karapatan sa Legal na Counsel:** Ang empleyado ay may karapatan sa legal na tagapayo sa panahon ng proseso ng pagsisiyasat. **4. Mga Potensyal na Kurso ng Pagkilos:**
* **Pagkilos na Pandisiplina:** Depende sa kalubhaan ng pagnanakaw at sa mga natuklasan ng imbestigasyon, maaaring magsagawa ng aksyong pandisiplina. Ito ay maaaring mula sa isang babala hanggang sa pagtatapos ng trabaho.
* **Paglahok ng Pulis:** Para sa mga seryosong kaso ng pagnanakaw, maaaring kailanganin ang pagsangkot sa pulisya. Maaari silang magsagawa ng sarili nilang imbestigasyon at posibleng magsampa ng mga kasong kriminal laban sa empleyado.
* **Civil Suit:** Maaari ding isaalang-alang ng kumpanya na magsampa ng kasong sibil laban sa empleyado upang mabawi ang ninakaw na ari-arian o mag-claim ng mga pinsala.
**5. Kahalagahan ng Dokumentasyon:**
* **Idokumento ang Lahat:** Idokumento ang lahat ng mga yugto ng proseso, kabilang ang paunang hinala, mga natuklasan sa pagsisiyasat, at anumang mga aksyong pandisiplina na ginawa. Ang dokumentadong trail na ito ay magiging mahalaga kung ang kaso ay mapupunta sa korte. **Tandaan:**
Ang naaangkop na kurso ng aksyon ay nakasalalay sa mga partikular na kalagayan ng kaso. Ang pagsunod sa mga hakbang na ito ay nagsisiguro ng isang patas at legal na tamang diskarte sa paghawak ng pagnanakaw ng empleyado.</v>
      </c>
      <c r="F2729" s="2">
        <f t="shared" si="1"/>
        <v>0</v>
      </c>
      <c r="G2729" s="2"/>
      <c r="H2729" s="2"/>
      <c r="I2729" s="2"/>
      <c r="J2729" s="2"/>
      <c r="K2729" s="2"/>
      <c r="L2729" s="2"/>
      <c r="M2729" s="2"/>
      <c r="N2729" s="2"/>
      <c r="O2729" s="2"/>
      <c r="P2729" s="2"/>
      <c r="Q2729" s="2"/>
      <c r="R2729" s="2"/>
      <c r="S2729" s="2"/>
      <c r="T2729" s="2"/>
      <c r="U2729" s="2"/>
      <c r="V2729" s="2"/>
      <c r="W2729" s="2"/>
      <c r="X2729" s="2"/>
      <c r="Y2729" s="2"/>
      <c r="Z2729" s="2"/>
      <c r="AA2729" s="2"/>
    </row>
    <row r="2730">
      <c r="A2730" s="3" t="s">
        <v>6373</v>
      </c>
      <c r="B2730" s="1" t="s">
        <v>6431</v>
      </c>
      <c r="C2730" s="3" t="s">
        <v>6432</v>
      </c>
      <c r="D2730" s="2" t="str">
        <f>IFERROR(__xludf.DUMMYFUNCTION("GOOGLETRANSLATE(B2730, ""en"", ""TL"")"),"Ang isang buntis na empleyado ay humihiling ng matutuluyan sa trabaho dahil sa kanyang kondisyon. Ano ang mga obligasyon ng employer?")</f>
        <v>Ang isang buntis na empleyado ay humihiling ng matutuluyan sa trabaho dahil sa kanyang kondisyon. Ano ang mga obligasyon ng employer?</v>
      </c>
      <c r="E2730" s="2" t="str">
        <f>IFERROR(__xludf.DUMMYFUNCTION("GOOGLETRANSLATE(C2730, ""en"", ""TL"")"),"Ang batas ng Pilipinas ay nag-uutos na ang mga tagapag-empleyo ay magbigay ng makatwirang akomodasyon para sa mga buntis na empleyado. Narito ang isang breakdown ng mga nauugnay na probisyon at ang iyong mga obligasyon bilang isang employer:
**Legal na Ba"&amp;"tayan:**
* **Ang Konstitusyon:** Ang karapatan sa kalusugan (Artikulo II, Seksyon 15) at seguridad ng panunungkulan (Artikulo XIII, Seksyon 3) ay nakasaad sa Konstitusyon [https://lawlibrary.chanrobles.com/](https: //lawlibrary.chanrobles.com/)].
* **Repu"&amp;"blic Act No. 9710 (Magna Carta for Working Women):** Ginagarantiyahan ng batas na ito ang mga partikular na karapatan at benepisyo para sa mga buntis na manggagawa, kabilang ang karapatan sa mga makatwirang akomodasyon sa lugar ng trabaho [inalis ang inva"&amp;"lid na URL]]. * **Department of Labor and Employment (DOLE) Issuances:** Ang DOLE ay maaaring mag-isyu ng mga department order o advisories na nagbibigay ng karagdagang gabay sa pagpapatupad ng mga probisyong ito.
**Mga Obligasyon ng Employer:**
* **Makis"&amp;"ali sa Interactive na Proseso:** Sa sandaling ipaalam sa iyo ng isang empleyado ang tungkol sa kanilang pagbubuntis at humiling ng tirahan, makisali sa isang interactive na proseso upang talakayin ang kanilang mga partikular na pangangailangan at tuklasin"&amp;" ang mga potensyal na solusyon.
* **Magbigay ng Makatwirang Akomodasyon:** Ang batas ay nangangailangan ng pagbibigay ng ""makatwirang mga akomodasyon"" upang matulungan ang empleyado na magpatuloy sa pagtatrabaho nang ligtas at kumportable sa buong panah"&amp;"on ng kanilang pagbubuntis. Ito ay tinutukoy sa isang case-by-case na batayan, ngunit ang ilang mga halimbawa ay kinabibilangan ng:
* Binagong iskedyul ng trabaho o mas magaan na tungkulin
* Mas madalas na pahinga
* Pansamantalang paglipat sa isang hindi "&amp;"gaanong pisikal na hinihingi na posisyon
* Pagbibigay ng ergonomic na kasangkapan o kagamitan
* **Hindi Nararapat na Paghihirap:** Maaari mo lamang tanggihan ang hiniling na akomodasyon kung ito ay mapapatunayang magdulot ng ""hindi nararapat na paghihira"&amp;"p"" sa pagpapatakbo ng iyong negosyo. * Ang pasanin ng patunay ay nakasalalay sa employer upang magtatag ng hindi nararapat na paghihirap. Isaalang-alang ang likas na katangian ng tirahan, ang laki at mapagkukunan ng iyong negosyo, at mga potensyal na alt"&amp;"ernatibong pagsasaayos.
* **Walang Diskriminasyon:** Ang mga buntis na empleyado ay hindi maaaring madiskrimina sa mga tuntunin ng sahod, promosyon, o iba pang benepisyo dahil sa kanilang pagbubuntis o kahilingan para sa tirahan.
**Mga Karagdagang Pagsasa"&amp;"alang-alang:**
* **Dokumentasyong Medikal:** Bagama't maaari kang humiling ng dokumentasyong medikal upang suportahan ang pangangailangan para sa tirahan, dapat itong limitado sa mga mahahalagang detalye na nauugnay sa hiniling na tirahan. Hindi mo maaari"&amp;"ng hingin ang buong medikal na kasaysayan ng empleyado.
* **Panatilihin ang pagiging Kompidensyal:** Panatilihin ang pagiging kompidensyal ng medikal na impormasyon ng empleyado.
* **Naghahanap ng Legal na Counsel:** Ang pagkonsulta sa isang abogado ay ma"&amp;"aaring makatulong upang mag-navigate sa mga partikular na sitwasyon at matiyak ang pagsunod sa mga batas sa paggawa.
Sa pamamagitan ng pagtupad sa mga obligasyong ito, lumikha ka ng isang suportadong kapaligiran sa trabaho para sa mga buntis na empleyado "&amp;"at posibleng mabawasan ang panganib ng mga legal na hamon.")</f>
        <v>Ang batas ng Pilipinas ay nag-uutos na ang mga tagapag-empleyo ay magbigay ng makatwirang akomodasyon para sa mga buntis na empleyado. Narito ang isang breakdown ng mga nauugnay na probisyon at ang iyong mga obligasyon bilang isang employer:
**Legal na Batayan:**
* **Ang Konstitusyon:** Ang karapatan sa kalusugan (Artikulo II, Seksyon 15) at seguridad ng panunungkulan (Artikulo XIII, Seksyon 3) ay nakasaad sa Konstitusyon [https://lawlibrary.chanrobles.com/](https: //lawlibrary.chanrobles.com/)].
* **Republic Act No. 9710 (Magna Carta for Working Women):** Ginagarantiyahan ng batas na ito ang mga partikular na karapatan at benepisyo para sa mga buntis na manggagawa, kabilang ang karapatan sa mga makatwirang akomodasyon sa lugar ng trabaho [inalis ang invalid na URL]]. * **Department of Labor and Employment (DOLE) Issuances:** Ang DOLE ay maaaring mag-isyu ng mga department order o advisories na nagbibigay ng karagdagang gabay sa pagpapatupad ng mga probisyong ito.
**Mga Obligasyon ng Employer:**
* **Makisali sa Interactive na Proseso:** Sa sandaling ipaalam sa iyo ng isang empleyado ang tungkol sa kanilang pagbubuntis at humiling ng tirahan, makisali sa isang interactive na proseso upang talakayin ang kanilang mga partikular na pangangailangan at tuklasin ang mga potensyal na solusyon.
* **Magbigay ng Makatwirang Akomodasyon:** Ang batas ay nangangailangan ng pagbibigay ng "makatwirang mga akomodasyon" upang matulungan ang empleyado na magpatuloy sa pagtatrabaho nang ligtas at kumportable sa buong panahon ng kanilang pagbubuntis. Ito ay tinutukoy sa isang case-by-case na batayan, ngunit ang ilang mga halimbawa ay kinabibilangan ng:
* Binagong iskedyul ng trabaho o mas magaan na tungkulin
* Mas madalas na pahinga
* Pansamantalang paglipat sa isang hindi gaanong pisikal na hinihingi na posisyon
* Pagbibigay ng ergonomic na kasangkapan o kagamitan
* **Hindi Nararapat na Paghihirap:** Maaari mo lamang tanggihan ang hiniling na akomodasyon kung ito ay mapapatunayang magdulot ng "hindi nararapat na paghihirap" sa pagpapatakbo ng iyong negosyo. * Ang pasanin ng patunay ay nakasalalay sa employer upang magtatag ng hindi nararapat na paghihirap. Isaalang-alang ang likas na katangian ng tirahan, ang laki at mapagkukunan ng iyong negosyo, at mga potensyal na alternatibong pagsasaayos.
* **Walang Diskriminasyon:** Ang mga buntis na empleyado ay hindi maaaring madiskrimina sa mga tuntunin ng sahod, promosyon, o iba pang benepisyo dahil sa kanilang pagbubuntis o kahilingan para sa tirahan.
**Mga Karagdagang Pagsasaalang-alang:**
* **Dokumentasyong Medikal:** Bagama't maaari kang humiling ng dokumentasyong medikal upang suportahan ang pangangailangan para sa tirahan, dapat itong limitado sa mga mahahalagang detalye na nauugnay sa hiniling na tirahan. Hindi mo maaaring hingin ang buong medikal na kasaysayan ng empleyado.
* **Panatilihin ang pagiging Kompidensyal:** Panatilihin ang pagiging kompidensyal ng medikal na impormasyon ng empleyado.
* **Naghahanap ng Legal na Counsel:** Ang pagkonsulta sa isang abogado ay maaaring makatulong upang mag-navigate sa mga partikular na sitwasyon at matiyak ang pagsunod sa mga batas sa paggawa.
Sa pamamagitan ng pagtupad sa mga obligasyong ito, lumikha ka ng isang suportadong kapaligiran sa trabaho para sa mga buntis na empleyado at posibleng mabawasan ang panganib ng mga legal na hamon.</v>
      </c>
      <c r="F2730" s="2">
        <f t="shared" si="1"/>
        <v>0</v>
      </c>
      <c r="G2730" s="2"/>
      <c r="H2730" s="2"/>
      <c r="I2730" s="2"/>
      <c r="J2730" s="2"/>
      <c r="K2730" s="2"/>
      <c r="L2730" s="2"/>
      <c r="M2730" s="2"/>
      <c r="N2730" s="2"/>
      <c r="O2730" s="2"/>
      <c r="P2730" s="2"/>
      <c r="Q2730" s="2"/>
      <c r="R2730" s="2"/>
      <c r="S2730" s="2"/>
      <c r="T2730" s="2"/>
      <c r="U2730" s="2"/>
      <c r="V2730" s="2"/>
      <c r="W2730" s="2"/>
      <c r="X2730" s="2"/>
      <c r="Y2730" s="2"/>
      <c r="Z2730" s="2"/>
      <c r="AA2730" s="2"/>
    </row>
    <row r="2731">
      <c r="A2731" s="3" t="s">
        <v>6373</v>
      </c>
      <c r="B2731" s="1" t="s">
        <v>6433</v>
      </c>
      <c r="C2731" s="3" t="s">
        <v>6434</v>
      </c>
      <c r="D2731" s="2" t="str">
        <f>IFERROR(__xludf.DUMMYFUNCTION("GOOGLETRANSLATE(B2731, ""en"", ""TL"")"),"Paano dapat pangasiwaan ng isang tagapag-empleyo ang isang sitwasyon kung saan ang isang empleyado ay patuloy na lumiliban nang walang bakasyon?")</f>
        <v>Paano dapat pangasiwaan ng isang tagapag-empleyo ang isang sitwasyon kung saan ang isang empleyado ay patuloy na lumiliban nang walang bakasyon?</v>
      </c>
      <c r="E2731" s="2" t="str">
        <f>IFERROR(__xludf.DUMMYFUNCTION("GOOGLETRANSLATE(C2731, ""en"", ""TL"")"),"Ang isang empleyado na patuloy na absent without leave (AWOL) ay maaaring maging isang nakakabigo na sitwasyon para sa mga employer sa Pilipinas. Narito ang isang inirerekomendang diskarte upang mahawakan ito nang epektibo at legal:
**Mga Paunang Hakbang:"&amp;"**
1. **Pagtatangkang Makipag-ugnayan sa Empleyado:** Subukang makipag-ugnayan sa empleyado sa pamamagitan ng kanilang numero ng telepono, impormasyon sa pakikipag-ugnayan sa emergency, o kahit na mga personal na pagbisita kung magagawa. Mag-iwan ng mga m"&amp;"alinaw na mensahe na humihiling sa kanila na makipag-ugnayan sa iyo sa lalong madaling panahon at ipaliwanag ang kanilang kawalan. 2. **Idokumento ang Lahat:** Panatilihin ang isang talaan ng lahat ng iyong mga pagtatangka na makipag-ugnayan sa empleyado,"&amp;" kabilang ang mga petsa, oras, at nilalaman ng anumang mga mensaheng natitira. Ang nakadokumentong landas na ito ay magiging mahalaga kung kinakailangan ang aksyong pandisiplina.
**Pagsusuri sa Sitwasyon:**
1. **Isaalang-alang ang Mga Potensyal na Dahilan"&amp;":** Habang ang pagliban nang walang pahintulot ay isang seryosong alalahanin, isaalang-alang kung maaaring may lehitimong paliwanag. Ang empleyado ay maaaring nahaharap sa isang personal na emerhensiya, sakit, o iba pang hindi inaasahang pangyayari.
2. **"&amp;"Kalubhaan ng Pagliban:** Suriin ang tagal at dalas ng mga hindi awtorisadong pagliban. Ang isang nakahiwalay na insidente ay maaaring maggarantiya ng ibang diskarte kaysa sa paulit-ulit na pattern.
**Pagkilos:**
1. **Pormal na Komunikasyon:** Kung hindi m"&amp;"o makontak ang empleyado o hindi maipaliwanag ang kanilang pagliban, magpadala ng pormal na nakasulat na paunawa sa pamamagitan ng rehistradong koreo o traceable courier service. * Ang paunawa ay dapat na malinaw na nagsasaad ng pagliban ng empleyado nang"&amp;" walang bakasyon at ang mga potensyal na kahihinatnan ng patuloy na hindi pakikipag-usap. * Dapat din itong humiling ng nakasulat na paliwanag para sa kanilang kawalan sa loob ng isang partikular na takdang panahon (karaniwang ilang araw).
2. **Magsisiyas"&amp;"at Pa:** Kung nakatanggap ka ng tugon na nagpapaliwanag sa kawalan, imbestigahan ang bisa ng paliwanag. Isaalang-alang ang paghiling ng dokumentasyon kung naaangkop (hal., sertipiko ng medikal para sa karamdaman).
3. **Pagkilos na Pandisiplina:** Sa mga k"&amp;"aso kung saan ang pagliban ay nananatiling hindi maipaliwanag o itinuring na hindi makatwiran, maaaring kailanganin mong simulan ang aksyong pandisiplina. Ito ay maaaring mula sa isang pasalita o nakasulat na babala hanggang sa pagsususpinde o kahit na pa"&amp;"gwawakas ng trabaho.
* Ang kalubhaan ng aksyong pandisiplina ay dapat na proporsyonal sa kabigatan ng pagkakasala, isinasaalang-alang ang nakaraang rekord ng empleyado at ang mga patakaran ng kumpanya.
**Mga Legal na Pagsasaalang-alang:**
* **Nararapat na"&amp;" Proseso:** Palaging tiyaking susundin mo ang nararapat na proseso sa buong proseso. Kabilang dito ang pagbibigay ng pagkakataon sa empleyado na ipaliwanag ang kanilang pagliban bago gumawa ng aksyong pandisiplina.
* **Kumonsulta sa isang Abogado:** Ang p"&amp;"agkonsulta sa isang abogadong may karanasan sa batas sa paggawa ay ipinapayong, lalo na bago gumawa ng aksyong pandisiplina. Maaari ka nilang gabayan sa mga pamamaraang sumusunod sa batas at bawasan ang panganib ng mga maling paghahabol sa pagwawakas.
**T"&amp;"andaan:**
Ang layunin ay tugunan ang hindi awtorisadong pagliban habang tinitiyak ang patas na pagtrato sa empleyado. Sa pamamagitan ng pagsunod sa mga hakbang na ito at paghingi ng legal na patnubay kung kinakailangan, mabisa mong ma-navigate ang sitwasy"&amp;"ong ito at mapoprotektahan ang iyong mga interes sa negosyo.")</f>
        <v>Ang isang empleyado na patuloy na absent without leave (AWOL) ay maaaring maging isang nakakabigo na sitwasyon para sa mga employer sa Pilipinas. Narito ang isang inirerekomendang diskarte upang mahawakan ito nang epektibo at legal:
**Mga Paunang Hakbang:**
1. **Pagtatangkang Makipag-ugnayan sa Empleyado:** Subukang makipag-ugnayan sa empleyado sa pamamagitan ng kanilang numero ng telepono, impormasyon sa pakikipag-ugnayan sa emergency, o kahit na mga personal na pagbisita kung magagawa. Mag-iwan ng mga malinaw na mensahe na humihiling sa kanila na makipag-ugnayan sa iyo sa lalong madaling panahon at ipaliwanag ang kanilang kawalan. 2. **Idokumento ang Lahat:** Panatilihin ang isang talaan ng lahat ng iyong mga pagtatangka na makipag-ugnayan sa empleyado, kabilang ang mga petsa, oras, at nilalaman ng anumang mga mensaheng natitira. Ang nakadokumentong landas na ito ay magiging mahalaga kung kinakailangan ang aksyong pandisiplina.
**Pagsusuri sa Sitwasyon:**
1. **Isaalang-alang ang Mga Potensyal na Dahilan:** Habang ang pagliban nang walang pahintulot ay isang seryosong alalahanin, isaalang-alang kung maaaring may lehitimong paliwanag. Ang empleyado ay maaaring nahaharap sa isang personal na emerhensiya, sakit, o iba pang hindi inaasahang pangyayari.
2. **Kalubhaan ng Pagliban:** Suriin ang tagal at dalas ng mga hindi awtorisadong pagliban. Ang isang nakahiwalay na insidente ay maaaring maggarantiya ng ibang diskarte kaysa sa paulit-ulit na pattern.
**Pagkilos:**
1. **Pormal na Komunikasyon:** Kung hindi mo makontak ang empleyado o hindi maipaliwanag ang kanilang pagliban, magpadala ng pormal na nakasulat na paunawa sa pamamagitan ng rehistradong koreo o traceable courier service. * Ang paunawa ay dapat na malinaw na nagsasaad ng pagliban ng empleyado nang walang bakasyon at ang mga potensyal na kahihinatnan ng patuloy na hindi pakikipag-usap. * Dapat din itong humiling ng nakasulat na paliwanag para sa kanilang kawalan sa loob ng isang partikular na takdang panahon (karaniwang ilang araw).
2. **Magsisiyasat Pa:** Kung nakatanggap ka ng tugon na nagpapaliwanag sa kawalan, imbestigahan ang bisa ng paliwanag. Isaalang-alang ang paghiling ng dokumentasyon kung naaangkop (hal., sertipiko ng medikal para sa karamdaman).
3. **Pagkilos na Pandisiplina:** Sa mga kaso kung saan ang pagliban ay nananatiling hindi maipaliwanag o itinuring na hindi makatwiran, maaaring kailanganin mong simulan ang aksyong pandisiplina. Ito ay maaaring mula sa isang pasalita o nakasulat na babala hanggang sa pagsususpinde o kahit na pagwawakas ng trabaho.
* Ang kalubhaan ng aksyong pandisiplina ay dapat na proporsyonal sa kabigatan ng pagkakasala, isinasaalang-alang ang nakaraang rekord ng empleyado at ang mga patakaran ng kumpanya.
**Mga Legal na Pagsasaalang-alang:**
* **Nararapat na Proseso:** Palaging tiyaking susundin mo ang nararapat na proseso sa buong proseso. Kabilang dito ang pagbibigay ng pagkakataon sa empleyado na ipaliwanag ang kanilang pagliban bago gumawa ng aksyong pandisiplina.
* **Kumonsulta sa isang Abogado:** Ang pagkonsulta sa isang abogadong may karanasan sa batas sa paggawa ay ipinapayong, lalo na bago gumawa ng aksyong pandisiplina. Maaari ka nilang gabayan sa mga pamamaraang sumusunod sa batas at bawasan ang panganib ng mga maling paghahabol sa pagwawakas.
**Tandaan:**
Ang layunin ay tugunan ang hindi awtorisadong pagliban habang tinitiyak ang patas na pagtrato sa empleyado. Sa pamamagitan ng pagsunod sa mga hakbang na ito at paghingi ng legal na patnubay kung kinakailangan, mabisa mong ma-navigate ang sitwasyong ito at mapoprotektahan ang iyong mga interes sa negosyo.</v>
      </c>
      <c r="F2731" s="2">
        <f t="shared" si="1"/>
        <v>0</v>
      </c>
      <c r="G2731" s="2"/>
      <c r="H2731" s="2"/>
      <c r="I2731" s="2"/>
      <c r="J2731" s="2"/>
      <c r="K2731" s="2"/>
      <c r="L2731" s="2"/>
      <c r="M2731" s="2"/>
      <c r="N2731" s="2"/>
      <c r="O2731" s="2"/>
      <c r="P2731" s="2"/>
      <c r="Q2731" s="2"/>
      <c r="R2731" s="2"/>
      <c r="S2731" s="2"/>
      <c r="T2731" s="2"/>
      <c r="U2731" s="2"/>
      <c r="V2731" s="2"/>
      <c r="W2731" s="2"/>
      <c r="X2731" s="2"/>
      <c r="Y2731" s="2"/>
      <c r="Z2731" s="2"/>
      <c r="AA2731" s="2"/>
    </row>
    <row r="2732">
      <c r="A2732" s="3" t="s">
        <v>6373</v>
      </c>
      <c r="B2732" s="1" t="s">
        <v>6435</v>
      </c>
      <c r="C2732" s="3" t="s">
        <v>6436</v>
      </c>
      <c r="D2732" s="2" t="str">
        <f>IFERROR(__xludf.DUMMYFUNCTION("GOOGLETRANSLATE(B2732, ""en"", ""TL"")"),"Ang isang empleyado ay na-diagnose na may nakakahawang sakit. Ano ang mga responsibilidad ng employer?")</f>
        <v>Ang isang empleyado ay na-diagnose na may nakakahawang sakit. Ano ang mga responsibilidad ng employer?</v>
      </c>
      <c r="E2732" s="2" t="str">
        <f>IFERROR(__xludf.DUMMYFUNCTION("GOOGLETRANSLATE(C2732, ""en"", ""TL"")"),"Kapag ang isang empleyado ay na-diagnose na may nakakahawang sakit sa Pilipinas, ang isang tagapag-empleyo ay may ilang pangunahing responsibilidad na protektahan ang kalusugan at kaligtasan ng lugar ng trabaho habang isinasaalang-alang din ang kapakanan "&amp;"ng empleyado. Narito ang isang breakdown ng kung ano ang dapat mong gawin:
**Mga Agarang Hakbang:**
1. **Magtipon ng Impormasyon:** Kumpidensyal na pag-usapan ang sitwasyon sa empleyado. Alamin ang tungkol sa partikular na karamdaman, potensyal na kalubha"&amp;"an, at anumang mga rekomendasyon mula sa kanilang doktor tungkol sa mga paghihigpit sa trabaho o paghihiwalay.
2. **Review Policies:** Sumangguni sa sick leave policy ng iyong kumpanya, health and safety protocols, at anumang nauugnay na alituntunin mula "&amp;"sa Department of Health (DOH) tungkol sa partikular na nakakahawang sakit [https://doh.gov.ph/ ](https://doh.gov.ph/).
3. **Protektahan ang Privacy ng Empleyado:** Panatilihin ang pagiging kompidensiyal tungkol sa sakit ng empleyado habang nagsasagawa ng "&amp;"mga kinakailangang hakbang upang mapangalagaan ang iba.
**Pagbabalanse sa Mga Pangangailangan ng Empleyado at Kaligtasan sa Lugar ng Trabaho:**
1. **Isaalang-alang ang Mga Opsyon:** Depende sa sakit, kalubhaan, at mga rekomendasyon ng doktor, tuklasin ang"&amp;" mga posibilidad tulad ng:
* **Paid Sick Leave:** Pahintulutan ang empleyado na gumamit ng may bayad na sick leave para gumaling sa bahay kung naaangkop.
* **Trabaho mula sa Tahanan:** Kung magagawa para sa tungkulin ng empleyado at pinahihintulutan ito n"&amp;"g kanilang kondisyon, isaalang-alang ang mga pansamantalang kaayusan sa trabaho mula sa bahay.
* **Medical Leave:** Para sa mga pinahabang pagliban, ang hindi bayad na medikal na leave ay maaaring isang opsyon, na sumusunod sa mga nauugnay na patakaran ng"&amp;" kumpanya at mga regulasyon ng gobyerno.
2. **Mga Kasanayan sa Kalinisan sa Lugar ng Trabaho:** Bigyang-diin ang mga wastong gawi sa kalinisan para sa lahat ng empleyado, tulad ng madalas na paghuhugas ng kamay, etika sa pag-ubo, at angkop na paggamit ng "&amp;"personal protective equipment (PPE) kung kinakailangan. 3. **Paglilinis at Pagdidisimpekta:** Tiyakin ang masusing paglilinis at pagdidisimpekta sa mga lugar na pinagtatrabahuan na ginagamit ng maysakit na empleyado, na sumusunod sa mga alituntunin mula s"&amp;"a DOH.
4. **Komunikasyon at Transparency:** Malinaw na makipag-usap sa iyong mga empleyado tungkol sa sitwasyon nang hindi nagbubunyag ng sensitibong impormasyong medikal. Hikayatin silang mag-ulat ng anumang mga potensyal na sintomas na maaari nilang mar"&amp;"anasan.
5. **Akomodasyon at Walang Diskriminasyon:** Gumawa ng mga makatwirang akomodasyon para sa empleyado sa kanilang pagbabalik, isinasaalang-alang ang anumang mga limitasyon na nagmumula sa kanilang sakit. Iwasan ang anumang diskriminasyon batay sa k"&amp;"anilang kondisyong medikal.
**Kahalagahan ng Legal na Pagsunod:**
* **Kumonsulta sa isang Abogado:** Ang pagkonsulta sa isang abogadong may karanasan sa batas sa paggawa ay lubos na inirerekomenda. Maaari silang magpayo sa mga partikular na legal na kinak"&amp;"ailangan tungkol sa mga leave of absence, kaluwagan para sa kapansanan, at pagtiyak ng pagsunod sa mga regulasyon sa kalusugan at kaligtasan.
**Mga Karagdagang Mapagkukunan:**
* Department of Health (DOH) Philippines: [https://doh.gov.ph/](https://doh.gov"&amp;".ph/)
Sa pamamagitan ng pagsunod sa mga hakbang na ito at paghingi ng propesyonal na patnubay kung kinakailangan, maaari kang magpakita ng isang responsableng diskarte sa paghawak ng isang nakakahawang sakit sa lugar ng trabaho, pag-prioritize sa kapakana"&amp;"n ng empleyado at pagtiyak ng isang ligtas na kapaligiran sa trabaho.")</f>
        <v>Kapag ang isang empleyado ay na-diagnose na may nakakahawang sakit sa Pilipinas, ang isang tagapag-empleyo ay may ilang pangunahing responsibilidad na protektahan ang kalusugan at kaligtasan ng lugar ng trabaho habang isinasaalang-alang din ang kapakanan ng empleyado. Narito ang isang breakdown ng kung ano ang dapat mong gawin:
**Mga Agarang Hakbang:**
1. **Magtipon ng Impormasyon:** Kumpidensyal na pag-usapan ang sitwasyon sa empleyado. Alamin ang tungkol sa partikular na karamdaman, potensyal na kalubhaan, at anumang mga rekomendasyon mula sa kanilang doktor tungkol sa mga paghihigpit sa trabaho o paghihiwalay.
2. **Review Policies:** Sumangguni sa sick leave policy ng iyong kumpanya, health and safety protocols, at anumang nauugnay na alituntunin mula sa Department of Health (DOH) tungkol sa partikular na nakakahawang sakit [https://doh.gov.ph/ ](https://doh.gov.ph/).
3. **Protektahan ang Privacy ng Empleyado:** Panatilihin ang pagiging kompidensiyal tungkol sa sakit ng empleyado habang nagsasagawa ng mga kinakailangang hakbang upang mapangalagaan ang iba.
**Pagbabalanse sa Mga Pangangailangan ng Empleyado at Kaligtasan sa Lugar ng Trabaho:**
1. **Isaalang-alang ang Mga Opsyon:** Depende sa sakit, kalubhaan, at mga rekomendasyon ng doktor, tuklasin ang mga posibilidad tulad ng:
* **Paid Sick Leave:** Pahintulutan ang empleyado na gumamit ng may bayad na sick leave para gumaling sa bahay kung naaangkop.
* **Trabaho mula sa Tahanan:** Kung magagawa para sa tungkulin ng empleyado at pinahihintulutan ito ng kanilang kondisyon, isaalang-alang ang mga pansamantalang kaayusan sa trabaho mula sa bahay.
* **Medical Leave:** Para sa mga pinahabang pagliban, ang hindi bayad na medikal na leave ay maaaring isang opsyon, na sumusunod sa mga nauugnay na patakaran ng kumpanya at mga regulasyon ng gobyerno.
2. **Mga Kasanayan sa Kalinisan sa Lugar ng Trabaho:** Bigyang-diin ang mga wastong gawi sa kalinisan para sa lahat ng empleyado, tulad ng madalas na paghuhugas ng kamay, etika sa pag-ubo, at angkop na paggamit ng personal protective equipment (PPE) kung kinakailangan. 3. **Paglilinis at Pagdidisimpekta:** Tiyakin ang masusing paglilinis at pagdidisimpekta sa mga lugar na pinagtatrabahuan na ginagamit ng maysakit na empleyado, na sumusunod sa mga alituntunin mula sa DOH.
4. **Komunikasyon at Transparency:** Malinaw na makipag-usap sa iyong mga empleyado tungkol sa sitwasyon nang hindi nagbubunyag ng sensitibong impormasyong medikal. Hikayatin silang mag-ulat ng anumang mga potensyal na sintomas na maaari nilang maranasan.
5. **Akomodasyon at Walang Diskriminasyon:** Gumawa ng mga makatwirang akomodasyon para sa empleyado sa kanilang pagbabalik, isinasaalang-alang ang anumang mga limitasyon na nagmumula sa kanilang sakit. Iwasan ang anumang diskriminasyon batay sa kanilang kondisyong medikal.
**Kahalagahan ng Legal na Pagsunod:**
* **Kumonsulta sa isang Abogado:** Ang pagkonsulta sa isang abogadong may karanasan sa batas sa paggawa ay lubos na inirerekomenda. Maaari silang magpayo sa mga partikular na legal na kinakailangan tungkol sa mga leave of absence, kaluwagan para sa kapansanan, at pagtiyak ng pagsunod sa mga regulasyon sa kalusugan at kaligtasan.
**Mga Karagdagang Mapagkukunan:**
* Department of Health (DOH) Philippines: [https://doh.gov.ph/](https://doh.gov.ph/)
Sa pamamagitan ng pagsunod sa mga hakbang na ito at paghingi ng propesyonal na patnubay kung kinakailangan, maaari kang magpakita ng isang responsableng diskarte sa paghawak ng isang nakakahawang sakit sa lugar ng trabaho, pag-prioritize sa kapakanan ng empleyado at pagtiyak ng isang ligtas na kapaligiran sa trabaho.</v>
      </c>
      <c r="F2732" s="2">
        <f t="shared" si="1"/>
        <v>0</v>
      </c>
      <c r="G2732" s="2"/>
      <c r="H2732" s="2"/>
      <c r="I2732" s="2"/>
      <c r="J2732" s="2"/>
      <c r="K2732" s="2"/>
      <c r="L2732" s="2"/>
      <c r="M2732" s="2"/>
      <c r="N2732" s="2"/>
      <c r="O2732" s="2"/>
      <c r="P2732" s="2"/>
      <c r="Q2732" s="2"/>
      <c r="R2732" s="2"/>
      <c r="S2732" s="2"/>
      <c r="T2732" s="2"/>
      <c r="U2732" s="2"/>
      <c r="V2732" s="2"/>
      <c r="W2732" s="2"/>
      <c r="X2732" s="2"/>
      <c r="Y2732" s="2"/>
      <c r="Z2732" s="2"/>
      <c r="AA2732" s="2"/>
    </row>
    <row r="2733">
      <c r="A2733" s="3" t="s">
        <v>6373</v>
      </c>
      <c r="B2733" s="1" t="s">
        <v>6437</v>
      </c>
      <c r="C2733" s="3" t="s">
        <v>6438</v>
      </c>
      <c r="D2733" s="2" t="str">
        <f>IFERROR(__xludf.DUMMYFUNCTION("GOOGLETRANSLATE(B2733, ""en"", ""TL"")"),"Anong mga hakbang ang dapat gawin ng isang tagapag-empleyo kung ang isang empleyado ay tumangging sumunod sa mga protocol ng kaligtasan sa lugar ng trabaho?")</f>
        <v>Anong mga hakbang ang dapat gawin ng isang tagapag-empleyo kung ang isang empleyado ay tumangging sumunod sa mga protocol ng kaligtasan sa lugar ng trabaho?</v>
      </c>
      <c r="E2733" s="2" t="str">
        <f>IFERROR(__xludf.DUMMYFUNCTION("GOOGLETRANSLATE(C2733, ""en"", ""TL"")"),"Narito ang mga hakbang na dapat gawin ng isang employer sa Pilipinas kung tumanggi ang isang empleyado na sundin ang mga protocol sa kaligtasan sa lugar ng trabaho:
**Tumuon sa Kaligtasan at Pagwawasto:**
* **Immediate Intervention:** Ang pangunahing alal"&amp;"ahanin ay ang pagtiyak ng ligtas na kapaligiran sa trabaho. Patigilin kaagad ang empleyado sa hindi ligtas na aktibidad at tugunan ang sitwasyon nang mahinahon ngunit matatag.
* **Ipaliwanag ang Mga Panganib:** Malinaw na ipaliwanag ang mga potensyal na p"&amp;"anganib na nauugnay sa kanilang mga aksyon at ang kahalagahan ng pagsunod sa mga protocol sa kaligtasan. Sumangguni sa mga partikular na patakaran o regulasyon ng kumpanya kung naaangkop.
**Progresibong Disiplina:**
1. **Verbal Warning:** Kung ito ay isan"&amp;"g unang beses na pagkakasala, isang verbal na babala ay isang magandang panimulang punto. Idokumento ang insidente, kasama ang petsa, mga detalye ng hindi ligtas na pag-uugali, at ang tugon ng empleyado sa iyong paliwanag.
2. **Nakasulat na Babala:** Para"&amp;" sa mga paulit-ulit na paglabag o malubhang paglabag sa kaligtasan, isang nakasulat na babala ay kinakailangan. Ang pormal na dokumentasyong ito ay nagsisilbing talaan at binibigyang-diin ang bigat ng sitwasyon.
3. **Pagsususpinde o Pagwawakas:** Ang patu"&amp;"loy na pagwawalang-bahala sa mga protocol sa kaligtasan, lalo na pagkatapos ng mga babala, ay maaaring magdulot ng mas matinding kahihinatnan tulad ng pagsususpinde o kahit na pagtanggal sa trabaho. Ang kalubhaan ng aksyong pandisiplina ay dapat na propor"&amp;"syonal sa pagkakasala.
**Pagpapanatili ng Pagkamakatarungan at Dokumentasyon:**
* **Nararapat na Proseso:** Sa buong proseso, tiyaking natatanggap ng empleyado ang nararapat na proseso. Kabilang dito ang karapatang marinig at ipaliwanag ang kanilang mga a"&amp;"ksyon bago gawin ang anumang aksyong pandisiplina.
* **Patuloy na Pagpapatupad:** Patuloy na ipatupad ang mga protocol sa kaligtasan para sa lahat ng empleyado upang mapanatili ang isang kultura ng kaligtasan. Ang piling pagpapatupad ay maaaring lumikha n"&amp;"g sama ng loob at masira ang bisa ng programang pangkaligtasan.
* **Masusing Dokumentasyon:** Idokumento ang bawat insidente ng hindi pagsunod, kasama ang mga detalye ng hindi ligtas na pag-uugali, mga pagwawasto na ginawa, at tugon ng empleyado. Ang naka"&amp;"dokumentong tala na ito ay mahalaga para sa sanggunian sa hinaharap at pinoprotektahan ang kumpanya sa kaso ng mga legal na hindi pagkakaunawaan.
**Mga Karagdagang Pagsasaalang-alang:**
* **Kilalanin ang Root Cause:** Minsan, ang hindi pagsunod ay maaarin"&amp;"g magmumula sa kawalan ng pang-unawa, hindi sapat na pagsasanay, o sira na kagamitan sa kaligtasan. Siyasatin ang ugat na sanhi at tugunan ang anumang mga sistematikong isyu sa loob ng mga protocol sa kaligtasan.
* **Positive Reinforcement:** Kilalanin at"&amp;" pahalagahan ang mga empleyadong patuloy na sumusunod sa mga protocol ng kaligtasan. Ang positibong reinforcement na ito ay naghihikayat ng kultura ng kamalayan sa kaligtasan.
* **Legal na Konsultasyon:** Ang pagkonsulta sa isang abogadong may karanasan s"&amp;"a batas sa paggawa ay ipinapayong, lalo na para sa mga kumplikadong sitwasyon o kapag isinasaalang-alang ang pagtanggal ng trabaho. Maaari nilang matiyak ang pagsunod sa mga legal na kinakailangan at mabawasan ang mga legal na panganib.
**Tandaan:**
Ang l"&amp;"ayunin ay lumikha ng isang kapaligiran sa trabaho kung saan ang kaligtasan ay isang pangunahing priyoridad para sa lahat. Sa pamamagitan ng pagsunod sa isang malinaw na proseso, patas na pagpapatupad ng mga protocol, at pagpapaunlad ng kultura ng kamalaya"&amp;"n sa kaligtasan, epektibong matutugunan ng mga employer ang hindi pagsunod ng empleyado at mabawasan ang panganib ng mga aksidente sa lugar ng trabaho.")</f>
        <v>Narito ang mga hakbang na dapat gawin ng isang employer sa Pilipinas kung tumanggi ang isang empleyado na sundin ang mga protocol sa kaligtasan sa lugar ng trabaho:
**Tumuon sa Kaligtasan at Pagwawasto:**
* **Immediate Intervention:** Ang pangunahing alalahanin ay ang pagtiyak ng ligtas na kapaligiran sa trabaho. Patigilin kaagad ang empleyado sa hindi ligtas na aktibidad at tugunan ang sitwasyon nang mahinahon ngunit matatag.
* **Ipaliwanag ang Mga Panganib:** Malinaw na ipaliwanag ang mga potensyal na panganib na nauugnay sa kanilang mga aksyon at ang kahalagahan ng pagsunod sa mga protocol sa kaligtasan. Sumangguni sa mga partikular na patakaran o regulasyon ng kumpanya kung naaangkop.
**Progresibong Disiplina:**
1. **Verbal Warning:** Kung ito ay isang unang beses na pagkakasala, isang verbal na babala ay isang magandang panimulang punto. Idokumento ang insidente, kasama ang petsa, mga detalye ng hindi ligtas na pag-uugali, at ang tugon ng empleyado sa iyong paliwanag.
2. **Nakasulat na Babala:** Para sa mga paulit-ulit na paglabag o malubhang paglabag sa kaligtasan, isang nakasulat na babala ay kinakailangan. Ang pormal na dokumentasyong ito ay nagsisilbing talaan at binibigyang-diin ang bigat ng sitwasyon.
3. **Pagsususpinde o Pagwawakas:** Ang patuloy na pagwawalang-bahala sa mga protocol sa kaligtasan, lalo na pagkatapos ng mga babala, ay maaaring magdulot ng mas matinding kahihinatnan tulad ng pagsususpinde o kahit na pagtanggal sa trabaho. Ang kalubhaan ng aksyong pandisiplina ay dapat na proporsyonal sa pagkakasala.
**Pagpapanatili ng Pagkamakatarungan at Dokumentasyon:**
* **Nararapat na Proseso:** Sa buong proseso, tiyaking natatanggap ng empleyado ang nararapat na proseso. Kabilang dito ang karapatang marinig at ipaliwanag ang kanilang mga aksyon bago gawin ang anumang aksyong pandisiplina.
* **Patuloy na Pagpapatupad:** Patuloy na ipatupad ang mga protocol sa kaligtasan para sa lahat ng empleyado upang mapanatili ang isang kultura ng kaligtasan. Ang piling pagpapatupad ay maaaring lumikha ng sama ng loob at masira ang bisa ng programang pangkaligtasan.
* **Masusing Dokumentasyon:** Idokumento ang bawat insidente ng hindi pagsunod, kasama ang mga detalye ng hindi ligtas na pag-uugali, mga pagwawasto na ginawa, at tugon ng empleyado. Ang nakadokumentong tala na ito ay mahalaga para sa sanggunian sa hinaharap at pinoprotektahan ang kumpanya sa kaso ng mga legal na hindi pagkakaunawaan.
**Mga Karagdagang Pagsasaalang-alang:**
* **Kilalanin ang Root Cause:** Minsan, ang hindi pagsunod ay maaaring magmumula sa kawalan ng pang-unawa, hindi sapat na pagsasanay, o sira na kagamitan sa kaligtasan. Siyasatin ang ugat na sanhi at tugunan ang anumang mga sistematikong isyu sa loob ng mga protocol sa kaligtasan.
* **Positive Reinforcement:** Kilalanin at pahalagahan ang mga empleyadong patuloy na sumusunod sa mga protocol ng kaligtasan. Ang positibong reinforcement na ito ay naghihikayat ng kultura ng kamalayan sa kaligtasan.
* **Legal na Konsultasyon:** Ang pagkonsulta sa isang abogadong may karanasan sa batas sa paggawa ay ipinapayong, lalo na para sa mga kumplikadong sitwasyon o kapag isinasaalang-alang ang pagtanggal ng trabaho. Maaari nilang matiyak ang pagsunod sa mga legal na kinakailangan at mabawasan ang mga legal na panganib.
**Tandaan:**
Ang layunin ay lumikha ng isang kapaligiran sa trabaho kung saan ang kaligtasan ay isang pangunahing priyoridad para sa lahat. Sa pamamagitan ng pagsunod sa isang malinaw na proseso, patas na pagpapatupad ng mga protocol, at pagpapaunlad ng kultura ng kamalayan sa kaligtasan, epektibong matutugunan ng mga employer ang hindi pagsunod ng empleyado at mabawasan ang panganib ng mga aksidente sa lugar ng trabaho.</v>
      </c>
      <c r="F2733" s="2">
        <f t="shared" si="1"/>
        <v>0</v>
      </c>
      <c r="G2733" s="2"/>
      <c r="H2733" s="2"/>
      <c r="I2733" s="2"/>
      <c r="J2733" s="2"/>
      <c r="K2733" s="2"/>
      <c r="L2733" s="2"/>
      <c r="M2733" s="2"/>
      <c r="N2733" s="2"/>
      <c r="O2733" s="2"/>
      <c r="P2733" s="2"/>
      <c r="Q2733" s="2"/>
      <c r="R2733" s="2"/>
      <c r="S2733" s="2"/>
      <c r="T2733" s="2"/>
      <c r="U2733" s="2"/>
      <c r="V2733" s="2"/>
      <c r="W2733" s="2"/>
      <c r="X2733" s="2"/>
      <c r="Y2733" s="2"/>
      <c r="Z2733" s="2"/>
      <c r="AA2733" s="2"/>
    </row>
    <row r="2734">
      <c r="A2734" s="3" t="s">
        <v>6373</v>
      </c>
      <c r="B2734" s="1" t="s">
        <v>6439</v>
      </c>
      <c r="C2734" s="3" t="s">
        <v>6440</v>
      </c>
      <c r="D2734" s="2" t="str">
        <f>IFERROR(__xludf.DUMMYFUNCTION("GOOGLETRANSLATE(B2734, ""en"", ""TL"")"),"Maaari bang baguhin ng employer ang iskedyul ng trabaho ng isang empleyado nang walang pahintulot nila?")</f>
        <v>Maaari bang baguhin ng employer ang iskedyul ng trabaho ng isang empleyado nang walang pahintulot nila?</v>
      </c>
      <c r="E2734" s="2" t="str">
        <f>IFERROR(__xludf.DUMMYFUNCTION("GOOGLETRANSLATE(C2734, ""en"", ""TL"")"),"Sa Pilipinas, ang kakayahan ng isang tagapag-empleyo na baguhin ang iskedyul ng trabaho ng isang empleyado nang walang kanilang pahintulot ay nakasalalay sa mga pangyayari. Narito ang isang breakdown ng mga pangunahing punto:
* **Pangkalahatang Panuntunan"&amp;":** Ang Philippine Labor Code (RA No. 6715) ay nagbibigay-diin sa karapatan ng mga empleyado sa seguridad ng panunungkulan (Artikulo XIII, Seksyon 3). Sa pangkalahatan, pinoprotektahan nito ang mga empleyado mula sa mga unilateral na pagbabago sa kanilang"&amp;" mga tuntunin at kundisyon sa pagtatrabaho, kabilang ang mga iskedyul ng trabaho.
* **Mga Pagbubukod sa Paunawa:** Maaaring baguhin ng mga employer ang mga iskedyul ng trabaho sa ilang pagkakataon, ngunit karaniwang may paunawa sa empleyado.
* **Pangasiwa"&amp;"an ng Pamamahala:** Ang mga employer ay may ilang karapatan sa pamamahala upang ayusin ang mga iskedyul ng trabaho dahil sa mga pangangailangan ng negosyo. Gayunpaman, ang mga naturang pagbabago ay dapat na makatwiran at gawin nang may sapat na paunawa up"&amp;"ang payagan ang mga empleyado na ayusin ang kanilang mga personal na buhay nang naaayon.
* **Collective Bargaining Agreement (CBA):** Kung mayroong CBA sa pagitan ng employer at isang unyon na kumakatawan sa mga empleyado, maaaring magbalangkas ang CBA ng"&amp;" mga partikular na pamamaraan o limitasyon sa pagbabago ng mga iskedyul ng trabaho.
* **Pagbabago ng Iskedyul ng Trabaho kumpara sa Mga Nababaluktot na Pag-aayos sa Trabaho:** Ang konsepto ng mga flexible na kaayusan sa trabaho, tulad ng flexi-time o comp"&amp;"ressed na linggo ng trabaho, ay nakakakuha ng traksyon. Ang mga kaayusan na ito ay karaniwang may kasamang kasunduan sa pagitan ng employer at empleyado tungkol sa mga pagbabago sa karaniwang iskedyul ng trabaho.
* **Pahintulot ng Empleyado:** Ang pagkuha"&amp;" ng pahintulot ng empleyado para sa pagbabago ng iskedyul ng trabaho ay palaging ang pinakamahusay na kasanayan. Ito ay nagpapaunlad ng mas positibo at nagtutulungang kapaligiran sa trabaho.
**Paano kung ang Empleyado ay Hindi Sang-ayon?**
* **Negosasyon:"&amp;"** Dapat subukan ng mga employer na makipag-ayos sa isang solusyong napagkasunduan sa isa't isa na isinasaalang-alang ang parehong mga pangangailangan sa negosyo at ang sitwasyon ng empleyado.
* **Mga Legal na Pagsasaalang-alang:** Kung ang isang kasundua"&amp;"n ay hindi maabot, ang pagkonsulta sa isang abogadong may karanasan sa batas sa paggawa ay lubos na inirerekomenda. Maaari silang magpayo sa legalidad ng iminungkahing pagbabago sa iskedyul at mga potensyal na kurso ng aksyon.
Narito ang ilang mapagkukuna"&amp;"n para sa karagdagang impormasyon:
* Department of Labor and Employment (DOLE) Philippines: [https://www.officialgazette.gov.ph/section/briefing-room/department-of-labor-and-employment/](https://www.officialgazette. gov.ph/section/briefing-room/department"&amp;"-of-labor-and-employment/)
**Tandaan:** Habang ang mga tagapag-empleyo ay may ilang flexibility sa pamamahala ng mga iskedyul ng trabaho, ang pagkakaroon ng balanse sa pagitan ng mga pangangailangan sa negosyo at kapakanan ng empleyado ay napakahalaga. An"&amp;"g bukas na komunikasyon, negosasyon, at pagkuha ng pahintulot hangga't maaari ay makakatulong sa isang mas maayos at produktibong kapaligiran sa trabaho.")</f>
        <v>Sa Pilipinas, ang kakayahan ng isang tagapag-empleyo na baguhin ang iskedyul ng trabaho ng isang empleyado nang walang kanilang pahintulot ay nakasalalay sa mga pangyayari. Narito ang isang breakdown ng mga pangunahing punto:
* **Pangkalahatang Panuntunan:** Ang Philippine Labor Code (RA No. 6715) ay nagbibigay-diin sa karapatan ng mga empleyado sa seguridad ng panunungkulan (Artikulo XIII, Seksyon 3). Sa pangkalahatan, pinoprotektahan nito ang mga empleyado mula sa mga unilateral na pagbabago sa kanilang mga tuntunin at kundisyon sa pagtatrabaho, kabilang ang mga iskedyul ng trabaho.
* **Mga Pagbubukod sa Paunawa:** Maaaring baguhin ng mga employer ang mga iskedyul ng trabaho sa ilang pagkakataon, ngunit karaniwang may paunawa sa empleyado.
* **Pangasiwaan ng Pamamahala:** Ang mga employer ay may ilang karapatan sa pamamahala upang ayusin ang mga iskedyul ng trabaho dahil sa mga pangangailangan ng negosyo. Gayunpaman, ang mga naturang pagbabago ay dapat na makatwiran at gawin nang may sapat na paunawa upang payagan ang mga empleyado na ayusin ang kanilang mga personal na buhay nang naaayon.
* **Collective Bargaining Agreement (CBA):** Kung mayroong CBA sa pagitan ng employer at isang unyon na kumakatawan sa mga empleyado, maaaring magbalangkas ang CBA ng mga partikular na pamamaraan o limitasyon sa pagbabago ng mga iskedyul ng trabaho.
* **Pagbabago ng Iskedyul ng Trabaho kumpara sa Mga Nababaluktot na Pag-aayos sa Trabaho:** Ang konsepto ng mga flexible na kaayusan sa trabaho, tulad ng flexi-time o compressed na linggo ng trabaho, ay nakakakuha ng traksyon. Ang mga kaayusan na ito ay karaniwang may kasamang kasunduan sa pagitan ng employer at empleyado tungkol sa mga pagbabago sa karaniwang iskedyul ng trabaho.
* **Pahintulot ng Empleyado:** Ang pagkuha ng pahintulot ng empleyado para sa pagbabago ng iskedyul ng trabaho ay palaging ang pinakamahusay na kasanayan. Ito ay nagpapaunlad ng mas positibo at nagtutulungang kapaligiran sa trabaho.
**Paano kung ang Empleyado ay Hindi Sang-ayon?**
* **Negosasyon:** Dapat subukan ng mga employer na makipag-ayos sa isang solusyong napagkasunduan sa isa't isa na isinasaalang-alang ang parehong mga pangangailangan sa negosyo at ang sitwasyon ng empleyado.
* **Mga Legal na Pagsasaalang-alang:** Kung ang isang kasunduan ay hindi maabot, ang pagkonsulta sa isang abogadong may karanasan sa batas sa paggawa ay lubos na inirerekomenda. Maaari silang magpayo sa legalidad ng iminungkahing pagbabago sa iskedyul at mga potensyal na kurso ng aksyon.
Narito ang ilang mapagkukunan para sa karagdagang impormasyon:
* Department of Labor and Employment (DOLE) Philippines: [https://www.officialgazette.gov.ph/section/briefing-room/department-of-labor-and-employment/](https://www.officialgazette. gov.ph/section/briefing-room/department-of-labor-and-employment/)
**Tandaan:** Habang ang mga tagapag-empleyo ay may ilang flexibility sa pamamahala ng mga iskedyul ng trabaho, ang pagkakaroon ng balanse sa pagitan ng mga pangangailangan sa negosyo at kapakanan ng empleyado ay napakahalaga. Ang bukas na komunikasyon, negosasyon, at pagkuha ng pahintulot hangga't maaari ay makakatulong sa isang mas maayos at produktibong kapaligiran sa trabaho.</v>
      </c>
      <c r="F2734" s="2">
        <f t="shared" si="1"/>
        <v>0</v>
      </c>
      <c r="G2734" s="2"/>
      <c r="H2734" s="2"/>
      <c r="I2734" s="2"/>
      <c r="J2734" s="2"/>
      <c r="K2734" s="2"/>
      <c r="L2734" s="2"/>
      <c r="M2734" s="2"/>
      <c r="N2734" s="2"/>
      <c r="O2734" s="2"/>
      <c r="P2734" s="2"/>
      <c r="Q2734" s="2"/>
      <c r="R2734" s="2"/>
      <c r="S2734" s="2"/>
      <c r="T2734" s="2"/>
      <c r="U2734" s="2"/>
      <c r="V2734" s="2"/>
      <c r="W2734" s="2"/>
      <c r="X2734" s="2"/>
      <c r="Y2734" s="2"/>
      <c r="Z2734" s="2"/>
      <c r="AA2734" s="2"/>
    </row>
    <row r="2735">
      <c r="A2735" s="3" t="s">
        <v>6373</v>
      </c>
      <c r="B2735" s="1" t="s">
        <v>6441</v>
      </c>
      <c r="C2735" s="3" t="s">
        <v>6442</v>
      </c>
      <c r="D2735" s="2" t="str">
        <f>IFERROR(__xludf.DUMMYFUNCTION("GOOGLETRANSLATE(B2735, ""en"", ""TL"")"),"Paano dapat tugunan ng isang tagapag-empleyo ang mga salungatan sa pagitan ng mga empleyado sa lugar ng trabaho?")</f>
        <v>Paano dapat tugunan ng isang tagapag-empleyo ang mga salungatan sa pagitan ng mga empleyado sa lugar ng trabaho?</v>
      </c>
      <c r="E2735" s="2" t="str">
        <f>IFERROR(__xludf.DUMMYFUNCTION("GOOGLETRANSLATE(C2735, ""en"", ""TL"")"),"Ang pagtugon sa mga salungatan sa pagitan ng mga empleyado sa lugar ng trabaho ay mahalaga para sa pagpapanatili ng isang produktibo at positibong kapaligiran sa trabaho. Narito ang isang inirerekomendang diskarte para sa mga employer sa Pilipinas:
**Maag"&amp;"ang Pamamagitan:**
* **Obserbahan at Tugunan ang Mga Maagang Palatandaan:** Maging maingat sa mga potensyal na salungatan sa pamamagitan ng pag-uugali ng empleyado, mga pattern ng komunikasyon, o mga pagbabago sa pagganap sa trabaho. Ang maagang interbens"&amp;"yon ay mahalaga upang maiwasan ang maliliit na hindi pagkakasundo na lumaki sa mas malalaking isyu.
**Pag-promote ng Bukas na Komunikasyon:**
* **Hikayatin ang Bukas na Komunikasyon:** Pagyamanin ang isang kapaligiran sa trabaho kung saan kumportable ang "&amp;"mga empleyado na ipahayag ang mga alalahanin tungkol sa mga salungatan sa interpersonal. Nagbibigay-daan ito para sa maagang pagkilala at paglutas ng mga isyu.
**Mga Diskarte sa Pagresolba ng Salungatan:**
1. **Impormal na Pamamagitan:**
* **Pagpapadali:*"&amp;"* Sa mga hindi gaanong seryosong kaso, ang isang walang kinikilingan na tagapamahala ay maaaring kumilos bilang isang facilitator, na naghihikayat sa bukas na komunikasyon sa pagitan ng magkasalungat na mga empleyado upang makahanap ng solusyon na napagka"&amp;"sunduan sa isa't isa.
* **Pagiging Kumpidensyal:** Panatilihin ang pagiging kompidensiyal sa buong proseso upang hikayatin ang tapat na komunikasyon mula sa magkabilang panig.
2. **Pormal na Pamamaraan sa Karaingan:**
* **Nakatatag na Proseso:** Kung nabi"&amp;"go ang impormal na diskarte o mas malala ang salungatan, sundin ang isang paunang itinatag na pamamaraan ng karaingan na nakabalangkas sa handbook ng iyong empleyado. Ang pamamaraang ito ay dapat magdetalye ng mga hakbang para sa paghahain ng reklamo, imb"&amp;"estigasyon, at mga potensyal na resolusyon.
* **Patas at Katumpakan:** Tiyakin ang isang patas at layunin na proseso sa buong pamamaraan ng karaingan. Maaaring kabilang dito ang paghirang ng isang neutral na komite upang imbestigahan ang isyu.
3. **Panlab"&amp;"as na Pamamagitan:** Sa mga kumplikadong sitwasyon, isaalang-alang ang pagsali sa mga panlabas na tagapamagitan na sinanay na mga propesyonal sa pagresolba ng salungatan.
**Pagtugon sa mga Pinagbabatayan na Isyu:**
* **Pagsusuri sa Root Cause:** Higit pa "&amp;"sa surface-level conflict at subukang tukuyin ang pinagbabatayan na mga dahilan para sa hindi pagkakasundo. Maaaring ito ay mga pag-aaway ng personalidad, magkakaibang istilo ng trabaho, o hindi pagkakaunawaan tungkol sa mga tungkulin at responsibilidad.
"&amp;"* **Pagtugon sa Mga Systemic na Isyu:** Kung ang salungatan ay nagmumula sa mga sistematikong isyu sa loob ng lugar ng trabaho, tulad ng hindi malinaw na mga channel ng komunikasyon o mataas na presyon sa trabaho, gumawa ng mga hakbang upang matugunan din"&amp;" ang mga isyung iyon.
**Sinusundan:**
* **Malinaw na Mga Inaasahan at Bunga:** Kapag naabot ang isang resolusyon, malinaw na ipaalam ang mga inaasahan para sa mga pakikipag-ugnayan sa hinaharap sa pagitan ng mga empleyado. Balangkas ang mga potensyal na k"&amp;"ahihinatnan para sa karagdagang mga paglabag.
* **Follow-up:** I-follow up ang mga kasangkot na empleyado pagkalipas ng ilang panahon upang matiyak na ang salungatan ay tunay na naresolba at walang mga nagtatagal na isyu.
**Ang pag-iwas ay Susi:**
* **Pag"&amp;"buo ng Koponan:** I-promote ang mga aktibidad sa pagbuo ng koponan at pagyamanin ang pakiramdam ng pakikipagtulungan sa mga empleyado.
* **Epektibong Komunikasyon:** Sanayin ang mga tagapamahala sa mabisang mga kasanayan sa komunikasyon upang matugunan an"&amp;"g mga isyu nang maayos at mamagitan sa mga salungatan nang patas.
* **Patakaran laban sa Panliligalig:** Ang pagkakaroon ng malinaw at mahusay na pakikipag-usap na patakaran laban sa panliligalig ay maaaring makatulong na maiwasan ang mga salungatan na na"&amp;"gmumula sa pananakot o hindi naaangkop na pag-uugali.
Sa pamamagitan ng pagsunod sa mga hakbang na ito at pagbibigay-priyoridad sa isang maagap na diskarte sa paglutas ng salungatan, ang mga tagapag-empleyo ay maaaring lumikha ng isang kapaligiran sa trab"&amp;"aho kung saan ang mga hindi pagkakasundo ay natutugunan nang maayos, at ang mga positibong relasyon sa pagtatrabaho ay napapaunlad. Tandaan, ang paghingi ng legal na payo ay maaaring makatulong sa pag-navigate sa mga kumplikadong sitwasyon o pagtiyak ng p"&amp;"agsunod sa mga batas sa paggawa.")</f>
        <v>Ang pagtugon sa mga salungatan sa pagitan ng mga empleyado sa lugar ng trabaho ay mahalaga para sa pagpapanatili ng isang produktibo at positibong kapaligiran sa trabaho. Narito ang isang inirerekomendang diskarte para sa mga employer sa Pilipinas:
**Maagang Pamamagitan:**
* **Obserbahan at Tugunan ang Mga Maagang Palatandaan:** Maging maingat sa mga potensyal na salungatan sa pamamagitan ng pag-uugali ng empleyado, mga pattern ng komunikasyon, o mga pagbabago sa pagganap sa trabaho. Ang maagang interbensyon ay mahalaga upang maiwasan ang maliliit na hindi pagkakasundo na lumaki sa mas malalaking isyu.
**Pag-promote ng Bukas na Komunikasyon:**
* **Hikayatin ang Bukas na Komunikasyon:** Pagyamanin ang isang kapaligiran sa trabaho kung saan kumportable ang mga empleyado na ipahayag ang mga alalahanin tungkol sa mga salungatan sa interpersonal. Nagbibigay-daan ito para sa maagang pagkilala at paglutas ng mga isyu.
**Mga Diskarte sa Pagresolba ng Salungatan:**
1. **Impormal na Pamamagitan:**
* **Pagpapadali:** Sa mga hindi gaanong seryosong kaso, ang isang walang kinikilingan na tagapamahala ay maaaring kumilos bilang isang facilitator, na naghihikayat sa bukas na komunikasyon sa pagitan ng magkasalungat na mga empleyado upang makahanap ng solusyon na napagkasunduan sa isa't isa.
* **Pagiging Kumpidensyal:** Panatilihin ang pagiging kompidensiyal sa buong proseso upang hikayatin ang tapat na komunikasyon mula sa magkabilang panig.
2. **Pormal na Pamamaraan sa Karaingan:**
* **Nakatatag na Proseso:** Kung nabigo ang impormal na diskarte o mas malala ang salungatan, sundin ang isang paunang itinatag na pamamaraan ng karaingan na nakabalangkas sa handbook ng iyong empleyado. Ang pamamaraang ito ay dapat magdetalye ng mga hakbang para sa paghahain ng reklamo, imbestigasyon, at mga potensyal na resolusyon.
* **Patas at Katumpakan:** Tiyakin ang isang patas at layunin na proseso sa buong pamamaraan ng karaingan. Maaaring kabilang dito ang paghirang ng isang neutral na komite upang imbestigahan ang isyu.
3. **Panlabas na Pamamagitan:** Sa mga kumplikadong sitwasyon, isaalang-alang ang pagsali sa mga panlabas na tagapamagitan na sinanay na mga propesyonal sa pagresolba ng salungatan.
**Pagtugon sa mga Pinagbabatayan na Isyu:**
* **Pagsusuri sa Root Cause:** Higit pa sa surface-level conflict at subukang tukuyin ang pinagbabatayan na mga dahilan para sa hindi pagkakasundo. Maaaring ito ay mga pag-aaway ng personalidad, magkakaibang istilo ng trabaho, o hindi pagkakaunawaan tungkol sa mga tungkulin at responsibilidad.
* **Pagtugon sa Mga Systemic na Isyu:** Kung ang salungatan ay nagmumula sa mga sistematikong isyu sa loob ng lugar ng trabaho, tulad ng hindi malinaw na mga channel ng komunikasyon o mataas na presyon sa trabaho, gumawa ng mga hakbang upang matugunan din ang mga isyung iyon.
**Sinusundan:**
* **Malinaw na Mga Inaasahan at Bunga:** Kapag naabot ang isang resolusyon, malinaw na ipaalam ang mga inaasahan para sa mga pakikipag-ugnayan sa hinaharap sa pagitan ng mga empleyado. Balangkas ang mga potensyal na kahihinatnan para sa karagdagang mga paglabag.
* **Follow-up:** I-follow up ang mga kasangkot na empleyado pagkalipas ng ilang panahon upang matiyak na ang salungatan ay tunay na naresolba at walang mga nagtatagal na isyu.
**Ang pag-iwas ay Susi:**
* **Pagbuo ng Koponan:** I-promote ang mga aktibidad sa pagbuo ng koponan at pagyamanin ang pakiramdam ng pakikipagtulungan sa mga empleyado.
* **Epektibong Komunikasyon:** Sanayin ang mga tagapamahala sa mabisang mga kasanayan sa komunikasyon upang matugunan ang mga isyu nang maayos at mamagitan sa mga salungatan nang patas.
* **Patakaran laban sa Panliligalig:** Ang pagkakaroon ng malinaw at mahusay na pakikipag-usap na patakaran laban sa panliligalig ay maaaring makatulong na maiwasan ang mga salungatan na nagmumula sa pananakot o hindi naaangkop na pag-uugali.
Sa pamamagitan ng pagsunod sa mga hakbang na ito at pagbibigay-priyoridad sa isang maagap na diskarte sa paglutas ng salungatan, ang mga tagapag-empleyo ay maaaring lumikha ng isang kapaligiran sa trabaho kung saan ang mga hindi pagkakasundo ay natutugunan nang maayos, at ang mga positibong relasyon sa pagtatrabaho ay napapaunlad. Tandaan, ang paghingi ng legal na payo ay maaaring makatulong sa pag-navigate sa mga kumplikadong sitwasyon o pagtiyak ng pagsunod sa mga batas sa paggawa.</v>
      </c>
      <c r="F2735" s="2">
        <f t="shared" si="1"/>
        <v>0</v>
      </c>
      <c r="G2735" s="2"/>
      <c r="H2735" s="2"/>
      <c r="I2735" s="2"/>
      <c r="J2735" s="2"/>
      <c r="K2735" s="2"/>
      <c r="L2735" s="2"/>
      <c r="M2735" s="2"/>
      <c r="N2735" s="2"/>
      <c r="O2735" s="2"/>
      <c r="P2735" s="2"/>
      <c r="Q2735" s="2"/>
      <c r="R2735" s="2"/>
      <c r="S2735" s="2"/>
      <c r="T2735" s="2"/>
      <c r="U2735" s="2"/>
      <c r="V2735" s="2"/>
      <c r="W2735" s="2"/>
      <c r="X2735" s="2"/>
      <c r="Y2735" s="2"/>
      <c r="Z2735" s="2"/>
      <c r="AA2735" s="2"/>
    </row>
    <row r="2736">
      <c r="A2736" s="3" t="s">
        <v>6373</v>
      </c>
      <c r="B2736" s="1" t="s">
        <v>6443</v>
      </c>
      <c r="C2736" s="3" t="s">
        <v>6444</v>
      </c>
      <c r="D2736" s="2" t="str">
        <f>IFERROR(__xludf.DUMMYFUNCTION("GOOGLETRANSLATE(B2736, ""en"", ""TL"")"),"Ang isang empleyado ay nag-uulat ng hindi ligtas na mga kondisyon sa pagtatrabaho. Anong mga aksyon ang dapat gawin ng employer?")</f>
        <v>Ang isang empleyado ay nag-uulat ng hindi ligtas na mga kondisyon sa pagtatrabaho. Anong mga aksyon ang dapat gawin ng employer?</v>
      </c>
      <c r="E2736" s="2" t="str">
        <f>IFERROR(__xludf.DUMMYFUNCTION("GOOGLETRANSLATE(C2736, ""en"", ""TL"")"),"Narito ang dapat gawin ng isang employer sa Pilipinas kapag nag-ulat ang isang empleyado ng hindi ligtas na mga kondisyon sa pagtatrabaho:
**Talagang Seryoso ang Ulat:** * **Kilalanin at Pasalamatan ang Empleyado:** Salamat sa empleyado sa pagbigay ng isy"&amp;"u sa iyong atensyon. Ipinapakita nito na pinahahalagahan mo ang kanilang mga alalahanin sa kaligtasan.
* **Agad na Pagkilos:** Para sa mga napipintong panganib, gumawa ng agarang pagkilos upang protektahan ang mga empleyado. Maaaring kabilang dito ang pag"&amp;"papahinto sa aktibidad, paglikas sa lugar, o pagbibigay ng kinakailangang kagamitang pangkaligtasan.
**Imbistigahan ang Ulat:**
* **Magtipon ng Impormasyon:** Magsagawa ng masusing pagsisiyasat upang masuri ang iniulat na hindi ligtas na mga kondisyon. Ka"&amp;"bilang dito ang:
* Panayam sa empleyado na nag-ulat ng isyu at anumang potensyal na saksi.
* Pag-inspeksyon sa lugar ng trabaho upang i-verify ang mga iniulat na panganib.
* Pagsusuri ng mga nauugnay na protocol at regulasyon sa kaligtasan.
* **Idokumento"&amp;" ang Lahat:** Idokumento ang lahat ng aspeto ng pagsisiyasat, kabilang ang mga detalye ng ulat, ang iyong mga natuklasan, at anumang ginawang pagwawasto.
**Gumawa ng Pagwawasto:**
* **Tugunan ang Hazard:** Batay sa pagsisiyasat, unahin at gumawa ng mga ha"&amp;"kbang upang maalis o makontrol ang natukoy na panganib. Maaaring kabilang dito ang:
* Pag-aayos ng mga sirang kagamitan.
* Pagpapatupad ng mga bagong pamamaraan sa kaligtasan.
* Pagbibigay ng tamang pagsasanay o Personal Protective Equipment (PPE)
* **Mak"&amp;"ipag-ugnayan sa mga Empleyado:** Panatilihing may kaalaman ang mga empleyado sa buong proseso. Ipaalam ang uri ng iniulat na panganib, ang mga pagwawasto na ginawa, at anumang pag-iingat na kailangan nilang gawin pansamantala.
**Mga Legal na Pagsasaalang-"&amp;"alang:**
* **Pagsunod sa DOLE:** Tiyakin ang pagsunod sa mga regulasyon ng Department of Labor and Employment (DOLE) tungkol sa kaligtasan sa lugar ng trabaho [https://blr.dole.gov.ph/](https://blr.dole.gov.ph /).
* **Legal na Konsultasyon:** Ang pagkonsu"&amp;"lta sa isang abogadong may karanasan sa batas sa paggawa ay ipinapayong, lalo na para sa mga kumplikadong sitwasyon. Maaari silang magpayo sa mga legal na obligasyon at mabawasan ang mga potensyal na pananagutan.
**Pag-iwas sa mga Panghinaharap na Insiden"&amp;"te:**
* **Kultura ng Kaligtasan:** Isulong ang isang malakas na kultura ng kaligtasan sa iyong lugar ng trabaho. Kabilang dito ang:
* Regular na sinusuri at ina-update ang mga protocol sa kaligtasan.
* Pagbibigay ng patuloy na pagsasanay sa kaligtasan par"&amp;"a sa mga empleyado.
* Paghihikayat ng bukas na komunikasyon tungkol sa mga alalahanin sa kaligtasan.
* **Paglahok ng Empleyado:** Isali ang mga empleyado sa mga talakayang pangkaligtasan at hikayatin silang iulat ang anumang potensyal na panganib na kanil"&amp;"ang nararanasan.
**Tandaan:** Ang pagsasagawa ng proactive na diskarte sa pagtugon sa hindi ligtas na mga kondisyon sa pagtatrabaho ay nagpoprotekta sa kaligtasan ng empleyado, nakakabawas sa panganib ng mga aksidente, at nagpapakita ng iyong pangako sa i"&amp;"sang ligtas na kapaligiran sa trabaho. Sa pamamagitan ng pagsunod sa mga hakbang na ito at pagbibigay-priyoridad sa kapakanan ng empleyado, maaari mong pasiglahin ang isang positibong kultura ng trabaho at maiwasan ang mga potensyal na legal na komplikasy"&amp;"on.")</f>
        <v>Narito ang dapat gawin ng isang employer sa Pilipinas kapag nag-ulat ang isang empleyado ng hindi ligtas na mga kondisyon sa pagtatrabaho:
**Talagang Seryoso ang Ulat:** * **Kilalanin at Pasalamatan ang Empleyado:** Salamat sa empleyado sa pagbigay ng isyu sa iyong atensyon. Ipinapakita nito na pinahahalagahan mo ang kanilang mga alalahanin sa kaligtasan.
* **Agad na Pagkilos:** Para sa mga napipintong panganib, gumawa ng agarang pagkilos upang protektahan ang mga empleyado. Maaaring kabilang dito ang pagpapahinto sa aktibidad, paglikas sa lugar, o pagbibigay ng kinakailangang kagamitang pangkaligtasan.
**Imbistigahan ang Ulat:**
* **Magtipon ng Impormasyon:** Magsagawa ng masusing pagsisiyasat upang masuri ang iniulat na hindi ligtas na mga kondisyon. Kabilang dito ang:
* Panayam sa empleyado na nag-ulat ng isyu at anumang potensyal na saksi.
* Pag-inspeksyon sa lugar ng trabaho upang i-verify ang mga iniulat na panganib.
* Pagsusuri ng mga nauugnay na protocol at regulasyon sa kaligtasan.
* **Idokumento ang Lahat:** Idokumento ang lahat ng aspeto ng pagsisiyasat, kabilang ang mga detalye ng ulat, ang iyong mga natuklasan, at anumang ginawang pagwawasto.
**Gumawa ng Pagwawasto:**
* **Tugunan ang Hazard:** Batay sa pagsisiyasat, unahin at gumawa ng mga hakbang upang maalis o makontrol ang natukoy na panganib. Maaaring kabilang dito ang:
* Pag-aayos ng mga sirang kagamitan.
* Pagpapatupad ng mga bagong pamamaraan sa kaligtasan.
* Pagbibigay ng tamang pagsasanay o Personal Protective Equipment (PPE)
* **Makipag-ugnayan sa mga Empleyado:** Panatilihing may kaalaman ang mga empleyado sa buong proseso. Ipaalam ang uri ng iniulat na panganib, ang mga pagwawasto na ginawa, at anumang pag-iingat na kailangan nilang gawin pansamantala.
**Mga Legal na Pagsasaalang-alang:**
* **Pagsunod sa DOLE:** Tiyakin ang pagsunod sa mga regulasyon ng Department of Labor and Employment (DOLE) tungkol sa kaligtasan sa lugar ng trabaho [https://blr.dole.gov.ph/](https://blr.dole.gov.ph /).
* **Legal na Konsultasyon:** Ang pagkonsulta sa isang abogadong may karanasan sa batas sa paggawa ay ipinapayong, lalo na para sa mga kumplikadong sitwasyon. Maaari silang magpayo sa mga legal na obligasyon at mabawasan ang mga potensyal na pananagutan.
**Pag-iwas sa mga Panghinaharap na Insidente:**
* **Kultura ng Kaligtasan:** Isulong ang isang malakas na kultura ng kaligtasan sa iyong lugar ng trabaho. Kabilang dito ang:
* Regular na sinusuri at ina-update ang mga protocol sa kaligtasan.
* Pagbibigay ng patuloy na pagsasanay sa kaligtasan para sa mga empleyado.
* Paghihikayat ng bukas na komunikasyon tungkol sa mga alalahanin sa kaligtasan.
* **Paglahok ng Empleyado:** Isali ang mga empleyado sa mga talakayang pangkaligtasan at hikayatin silang iulat ang anumang potensyal na panganib na kanilang nararanasan.
**Tandaan:** Ang pagsasagawa ng proactive na diskarte sa pagtugon sa hindi ligtas na mga kondisyon sa pagtatrabaho ay nagpoprotekta sa kaligtasan ng empleyado, nakakabawas sa panganib ng mga aksidente, at nagpapakita ng iyong pangako sa isang ligtas na kapaligiran sa trabaho. Sa pamamagitan ng pagsunod sa mga hakbang na ito at pagbibigay-priyoridad sa kapakanan ng empleyado, maaari mong pasiglahin ang isang positibong kultura ng trabaho at maiwasan ang mga potensyal na legal na komplikasyon.</v>
      </c>
      <c r="F2736" s="2">
        <f t="shared" si="1"/>
        <v>0</v>
      </c>
      <c r="G2736" s="2"/>
      <c r="H2736" s="2"/>
      <c r="I2736" s="2"/>
      <c r="J2736" s="2"/>
      <c r="K2736" s="2"/>
      <c r="L2736" s="2"/>
      <c r="M2736" s="2"/>
      <c r="N2736" s="2"/>
      <c r="O2736" s="2"/>
      <c r="P2736" s="2"/>
      <c r="Q2736" s="2"/>
      <c r="R2736" s="2"/>
      <c r="S2736" s="2"/>
      <c r="T2736" s="2"/>
      <c r="U2736" s="2"/>
      <c r="V2736" s="2"/>
      <c r="W2736" s="2"/>
      <c r="X2736" s="2"/>
      <c r="Y2736" s="2"/>
      <c r="Z2736" s="2"/>
      <c r="AA2736" s="2"/>
    </row>
    <row r="2737">
      <c r="A2737" s="3" t="s">
        <v>6373</v>
      </c>
      <c r="B2737" s="1" t="s">
        <v>6445</v>
      </c>
      <c r="C2737" s="3" t="s">
        <v>6446</v>
      </c>
      <c r="D2737" s="2" t="str">
        <f>IFERROR(__xludf.DUMMYFUNCTION("GOOGLETRANSLATE(B2737, ""en"", ""TL"")"),"Ano ang mga legal na pagsasaalang-alang para sa pagtatapos ng isang empleyado na nasa sick leave?")</f>
        <v>Ano ang mga legal na pagsasaalang-alang para sa pagtatapos ng isang empleyado na nasa sick leave?</v>
      </c>
      <c r="E2737" s="2" t="str">
        <f>IFERROR(__xludf.DUMMYFUNCTION("GOOGLETRANSLATE(C2737, ""en"", ""TL"")"),"Ang pagtanggal ng empleyado sa sick leave sa Pilipinas ay nangangailangan ng maingat na pagsasaalang-alang sa mga legal na aspeto upang maiwasan ang maling pag-aangkin sa pagtanggal. Narito ang isang breakdown ng mga pangunahing punto:
**Pangkalahatang Pa"&amp;"nuntunan: Kahirapan sa Pagwawakas**
* **Seguridad ng Panunungkulan:** Ginagarantiyahan ng Konstitusyon ng Pilipinas at Kodigo sa Paggawa (RA No. 6715) ang seguridad ng panunungkulan ng mga empleyado (Artikulo XIII, Seksyon 3) [https://lawlibrary.chanroble"&amp;"s.com/](https:/ /lawlibrary.chanrobles.com/). Ginagawa nitong karaniwang mahirap na wakasan ang isang empleyado nang walang wastong dahilan at angkop na proseso.
**Posibleng mga dahilan para sa pagwawakas sa panahon ng sick leave:**
* **Just Cause:** Maaa"&amp;"ring posible ang pagwawakas sa panahon ng sick leave kung mayroong valid na ""just cause"" gaya ng tinukoy ng batas, na independyente sa sakit ng empleyado. Ang mga sanhi lamang ay kinabibilangan ng:
* Malaking maling pag-uugali
* Kusang pagsuway
* Nakaga"&amp;"wiang kapabayaan
* Panloloko o hindi tapat
* **Kalabisan:** Kung ang isang tunay na pagsasaayos ng kumpanya ay nangangailangang alisin ang posisyon ng empleyado dahil sa kalabisan, ang pagwawakas ay maaaring isang opsyon. Gayunpaman, dapat sundin ang mahi"&amp;"gpit na mga pamamaraan sa pag-retrench.
**Pasan ng Patunay:**
* **Ang tagapag-empleyo ay may pasanin ng patunay** upang ipakita ang isang wastong dahilan para sa pagwawakas at na ito ay hindi dahil sa sakit ng empleyado.
**Nararapat na Proseso:**
* **Kara"&amp;"patang Marinig:** Kahit na maaaring may mga dahilan para sa pagwawakas, ang empleyado ay may karapatang marinig at ipagtanggol ang kanilang sarili bago gumawa ng anumang pinal na desisyon.
**Kahalagahan ng Dokumentasyon:**
* **Mga Detalyadong Rekord:** Pa"&amp;"natilihin ang mga detalyadong rekord ng sakit ng empleyado, kabilang ang mga medikal na sertipiko (kung ibinigay), komunikasyon tungkol sa kanilang sick leave, at anumang mga insidente na humahantong sa mga posibleng dahilan para sa pagwawakas.
**Inirerek"&amp;"omendang Mga Hakbang:**
1. **Kumonsulta sa isang Abogado:** Ang pagkonsulta sa isang abogadong may karanasan sa batas sa paggawa ay lubos na inirerekomenda. Maaari nilang tasahin ang partikular na sitwasyon, payuhan ang legalidad ng pagwawakas sa panahon "&amp;"ng sick leave, at gabayan ka sa mga naaangkop na pamamaraan.
2. **Exhaust Other Options:** Bago isaalang-alang ang pagwawakas, tuklasin ang mga alternatibong solusyon tulad ng pagpapalawig ng sick leave, pag-aalok ng mga binagong tungkulin sa pagbabalik ("&amp;"kung posible sa medikal), o kahit na isinasaalang-alang ang mga kasunduan sa paghihiwalay na may naaangkop na severance pay.
3. **Sundin ang Nararapat na Proseso:** Kung ang pagwawakas ay tila hindi maiiwasan, tiyaking susundin mo ang nararapat na proseso"&amp;", kabilang ang pagbibigay ng nakasulat na mga paunawa at pagbibigay sa empleyado ng pagkakataong tumugon.
**Mga Karagdagang Pagsasaalang-alang:**
* **Mga Patakaran ng Kumpanya:** Suriin ang mga patakaran ng iyong kumpanya tungkol sa sick leave at mga pama"&amp;"maraan ng pagwawakas.
* **Mga Alituntunin ng DOLE:** Maaaring maglabas ang Department of Labor and Employment (DOLE) ng mga alituntunin o payo tungkol sa mga karapatan ng empleyado sa panahon ng sick leave. Sumangguni sa kanilang website para sa mga updat"&amp;"e [https://blr.dole.gov.ph/](https://blr.dole.gov.ph/).
**Tandaan:** Ang pagtanggal ng empleyado sa sick leave ay isang kumplikadong isyu. Sa pamamagitan ng pagbibigay-priyoridad sa legal na pagsunod, paghingi ng legal na payo, at paggalugad ng mga altern"&amp;"atibong solusyon, maaaring mabawasan ng mga employer ang panganib ng mga maling paghahabol sa pagwawakas at matiyak ang patas na pagtrato sa mga empleyado sa panahon ng kanilang sakit.")</f>
        <v>Ang pagtanggal ng empleyado sa sick leave sa Pilipinas ay nangangailangan ng maingat na pagsasaalang-alang sa mga legal na aspeto upang maiwasan ang maling pag-aangkin sa pagtanggal. Narito ang isang breakdown ng mga pangunahing punto:
**Pangkalahatang Panuntunan: Kahirapan sa Pagwawakas**
* **Seguridad ng Panunungkulan:** Ginagarantiyahan ng Konstitusyon ng Pilipinas at Kodigo sa Paggawa (RA No. 6715) ang seguridad ng panunungkulan ng mga empleyado (Artikulo XIII, Seksyon 3) [https://lawlibrary.chanrobles.com/](https:/ /lawlibrary.chanrobles.com/). Ginagawa nitong karaniwang mahirap na wakasan ang isang empleyado nang walang wastong dahilan at angkop na proseso.
**Posibleng mga dahilan para sa pagwawakas sa panahon ng sick leave:**
* **Just Cause:** Maaaring posible ang pagwawakas sa panahon ng sick leave kung mayroong valid na "just cause" gaya ng tinukoy ng batas, na independyente sa sakit ng empleyado. Ang mga sanhi lamang ay kinabibilangan ng:
* Malaking maling pag-uugali
* Kusang pagsuway
* Nakagawiang kapabayaan
* Panloloko o hindi tapat
* **Kalabisan:** Kung ang isang tunay na pagsasaayos ng kumpanya ay nangangailangang alisin ang posisyon ng empleyado dahil sa kalabisan, ang pagwawakas ay maaaring isang opsyon. Gayunpaman, dapat sundin ang mahigpit na mga pamamaraan sa pag-retrench.
**Pasan ng Patunay:**
* **Ang tagapag-empleyo ay may pasanin ng patunay** upang ipakita ang isang wastong dahilan para sa pagwawakas at na ito ay hindi dahil sa sakit ng empleyado.
**Nararapat na Proseso:**
* **Karapatang Marinig:** Kahit na maaaring may mga dahilan para sa pagwawakas, ang empleyado ay may karapatang marinig at ipagtanggol ang kanilang sarili bago gumawa ng anumang pinal na desisyon.
**Kahalagahan ng Dokumentasyon:**
* **Mga Detalyadong Rekord:** Panatilihin ang mga detalyadong rekord ng sakit ng empleyado, kabilang ang mga medikal na sertipiko (kung ibinigay), komunikasyon tungkol sa kanilang sick leave, at anumang mga insidente na humahantong sa mga posibleng dahilan para sa pagwawakas.
**Inirerekomendang Mga Hakbang:**
1. **Kumonsulta sa isang Abogado:** Ang pagkonsulta sa isang abogadong may karanasan sa batas sa paggawa ay lubos na inirerekomenda. Maaari nilang tasahin ang partikular na sitwasyon, payuhan ang legalidad ng pagwawakas sa panahon ng sick leave, at gabayan ka sa mga naaangkop na pamamaraan.
2. **Exhaust Other Options:** Bago isaalang-alang ang pagwawakas, tuklasin ang mga alternatibong solusyon tulad ng pagpapalawig ng sick leave, pag-aalok ng mga binagong tungkulin sa pagbabalik (kung posible sa medikal), o kahit na isinasaalang-alang ang mga kasunduan sa paghihiwalay na may naaangkop na severance pay.
3. **Sundin ang Nararapat na Proseso:** Kung ang pagwawakas ay tila hindi maiiwasan, tiyaking susundin mo ang nararapat na proseso, kabilang ang pagbibigay ng nakasulat na mga paunawa at pagbibigay sa empleyado ng pagkakataong tumugon.
**Mga Karagdagang Pagsasaalang-alang:**
* **Mga Patakaran ng Kumpanya:** Suriin ang mga patakaran ng iyong kumpanya tungkol sa sick leave at mga pamamaraan ng pagwawakas.
* **Mga Alituntunin ng DOLE:** Maaaring maglabas ang Department of Labor and Employment (DOLE) ng mga alituntunin o payo tungkol sa mga karapatan ng empleyado sa panahon ng sick leave. Sumangguni sa kanilang website para sa mga update [https://blr.dole.gov.ph/](https://blr.dole.gov.ph/).
**Tandaan:** Ang pagtanggal ng empleyado sa sick leave ay isang kumplikadong isyu. Sa pamamagitan ng pagbibigay-priyoridad sa legal na pagsunod, paghingi ng legal na payo, at paggalugad ng mga alternatibong solusyon, maaaring mabawasan ng mga employer ang panganib ng mga maling paghahabol sa pagwawakas at matiyak ang patas na pagtrato sa mga empleyado sa panahon ng kanilang sakit.</v>
      </c>
      <c r="F2737" s="2">
        <f t="shared" si="1"/>
        <v>0</v>
      </c>
      <c r="G2737" s="2"/>
      <c r="H2737" s="2"/>
      <c r="I2737" s="2"/>
      <c r="J2737" s="2"/>
      <c r="K2737" s="2"/>
      <c r="L2737" s="2"/>
      <c r="M2737" s="2"/>
      <c r="N2737" s="2"/>
      <c r="O2737" s="2"/>
      <c r="P2737" s="2"/>
      <c r="Q2737" s="2"/>
      <c r="R2737" s="2"/>
      <c r="S2737" s="2"/>
      <c r="T2737" s="2"/>
      <c r="U2737" s="2"/>
      <c r="V2737" s="2"/>
      <c r="W2737" s="2"/>
      <c r="X2737" s="2"/>
      <c r="Y2737" s="2"/>
      <c r="Z2737" s="2"/>
      <c r="AA2737" s="2"/>
    </row>
    <row r="2738">
      <c r="A2738" s="3" t="s">
        <v>6373</v>
      </c>
      <c r="B2738" s="1" t="s">
        <v>6447</v>
      </c>
      <c r="C2738" s="3" t="s">
        <v>6448</v>
      </c>
      <c r="D2738" s="2" t="str">
        <f>IFERROR(__xludf.DUMMYFUNCTION("GOOGLETRANSLATE(B2738, ""en"", ""TL"")"),"Paano dapat pangasiwaan ng employer ang mga paratang ng diskriminasyon sa lugar ng trabaho?")</f>
        <v>Paano dapat pangasiwaan ng employer ang mga paratang ng diskriminasyon sa lugar ng trabaho?</v>
      </c>
      <c r="E2738" s="2" t="str">
        <f>IFERROR(__xludf.DUMMYFUNCTION("GOOGLETRANSLATE(C2738, ""en"", ""TL"")"),"Narito kung paano dapat pangasiwaan ng isang employer sa Pilipinas ang mga paratang ng diskriminasyon sa lugar ng trabaho:
**Seryosohin ang Paratang:**
* **Pagiging Kumpidensyal at Empatiya:** Tiyakin sa empleyado na nag-ulat ng diskriminasyon na ang pagi"&amp;"ging kompidensiyal ay pananatilihin sa pinakamabuting posibleng saklaw sa buong pagsisiyasat. Lumapit sa kanila nang may empatiya at paggalang.
* **Maagap na Pagsisiyasat:** Magsimula ng maagap at walang kinikilingan na pagsisiyasat sa pinaghihinalaang di"&amp;"skriminasyon.
**Proseso ng Pagsisiyasat:**
* **Internal na Imbestigador:** Magtalaga ng walang kinikilingan na imbestigador, mas mabuti na isang mula sa HR o isang taong hindi direktang kasangkot sa nagrereklamo o sa akusado.
* **Magtipon ng Impormasyon:*"&amp;"* Mangalap ng impormasyon mula sa nagrereklamo, kabilang ang mga partikular na detalye ng di-umano'y diskriminasyong pag-uugali, mga petsa, mga saksi, at anumang ebidensya na maaaring mayroon sila.
* **Suriin ang Mga Patakaran:** Suriin ang patakaran laba"&amp;"n sa diskriminasyon ng iyong kumpanya (kung mayroon ka nito) at ipaliwanag ang proseso ng pagsisiyasat sa nagrereklamo. Kung wala ka nito, isaalang-alang ang pagbuo ng isang patakaran na nagbabawal sa diskriminasyon batay sa mga protektadong katangian tul"&amp;"ad ng lahi, relihiyon, kasarian, edad, kapansanan, atbp.
* **Mga Saksi sa Panayam:** Interbyuhin ang sinumang potensyal na saksi na maaaring may kaugnay na impormasyon tungkol sa pinaghihinalaang insidente.
**Pagkilos:**
* **Mga Panukalang Pandisiplina:**"&amp;" Depende sa kalubhaan ng diskriminasyon at sa mga natuklasan ng pagsisiyasat, maaaring magsagawa ng naaangkop na aksyong pandisiplina laban sa akusado. Ito ay maaaring mula sa mga babala hanggang sa pagtatapos ng trabaho.
* **Mga Paraan sa Pag-iwas:** Mag"&amp;"patupad ng mga hakbang upang maiwasan ang diskriminasyon sa hinaharap sa lugar ng trabaho. Maaaring kabilang dito ang:
* Pagsasagawa ng anti-diskriminasyon na pagsasanay para sa lahat ng empleyado.
* Pagbabago ng mga patakaran upang matugunan ang anumang "&amp;"mga pagkukulang na natukoy sa panahon ng pagsisiyasat.
* Pagpapatibay ng kultura ng pagsasama at paggalang sa pagkakaiba-iba.
**Mga Legal na Pagsasaalang-alang:**
* **Legal na Konsultasyon:** Ang pagkonsulta sa isang abogadong may karanasan sa batas sa pa"&amp;"ggawa ay lubos na inirerekomenda, lalo na para sa mga kumplikadong kaso. Maaari silang magpayo sa mga legal na kinakailangan at tiyakin ang pagsunod sa mga batas laban sa diskriminasyon tulad ng Republic Act No. 10354 (Expanded Anti-Discrimination Act).
*"&amp;" **DOLE at CHR:** Nag-aalok ang Department of Labor and Employment (DOLE) at Commission on Human Rights (CHR) ng mga mapagkukunan at tulong sa pagresolba sa mga reklamo sa diskriminasyon sa lugar ng trabaho [https://blr.dole.gov.ph/] (https://blr.dole.gov"&amp;".ph/) [https://www.chr.gov.ph/](https://www.chr.gov.ph/).
**Transparency at Komunikasyon:**
* **Panatilihing Alam ang Nagrereklamo:** Habang pinapanatili ang pagiging kumpidensyal, panatilihing may alam ang nagrereklamo tungkol sa pag-usad ng imbestigasyo"&amp;"n.
* **Malinaw na Komunikasyon:** Ipaalam ang mga resulta ng imbestigasyon sa nagrereklamo at sa akusado sa isang malinaw at propesyonal na paraan.
**Tandaan:**
Ang diskriminasyon sa lugar ng trabaho ay isang seryosong isyu na maaaring magkaroon ng negati"&amp;"bong epekto sa kagalingan at moral ng mga empleyado. Sa pamamagitan ng pagsunod sa isang patas at masusing proseso, maaaring tuparin ng mga employer ang kanilang mga legal na obligasyon, lumikha ng isang mas napapabilang na kapaligiran sa trabaho, at maba"&amp;"wasan ang panganib ng mga legal na hamon.")</f>
        <v>Narito kung paano dapat pangasiwaan ng isang employer sa Pilipinas ang mga paratang ng diskriminasyon sa lugar ng trabaho:
**Seryosohin ang Paratang:**
* **Pagiging Kumpidensyal at Empatiya:** Tiyakin sa empleyado na nag-ulat ng diskriminasyon na ang pagiging kompidensiyal ay pananatilihin sa pinakamabuting posibleng saklaw sa buong pagsisiyasat. Lumapit sa kanila nang may empatiya at paggalang.
* **Maagap na Pagsisiyasat:** Magsimula ng maagap at walang kinikilingan na pagsisiyasat sa pinaghihinalaang diskriminasyon.
**Proseso ng Pagsisiyasat:**
* **Internal na Imbestigador:** Magtalaga ng walang kinikilingan na imbestigador, mas mabuti na isang mula sa HR o isang taong hindi direktang kasangkot sa nagrereklamo o sa akusado.
* **Magtipon ng Impormasyon:** Mangalap ng impormasyon mula sa nagrereklamo, kabilang ang mga partikular na detalye ng di-umano'y diskriminasyong pag-uugali, mga petsa, mga saksi, at anumang ebidensya na maaaring mayroon sila.
* **Suriin ang Mga Patakaran:** Suriin ang patakaran laban sa diskriminasyon ng iyong kumpanya (kung mayroon ka nito) at ipaliwanag ang proseso ng pagsisiyasat sa nagrereklamo. Kung wala ka nito, isaalang-alang ang pagbuo ng isang patakaran na nagbabawal sa diskriminasyon batay sa mga protektadong katangian tulad ng lahi, relihiyon, kasarian, edad, kapansanan, atbp.
* **Mga Saksi sa Panayam:** Interbyuhin ang sinumang potensyal na saksi na maaaring may kaugnay na impormasyon tungkol sa pinaghihinalaang insidente.
**Pagkilos:**
* **Mga Panukalang Pandisiplina:** Depende sa kalubhaan ng diskriminasyon at sa mga natuklasan ng pagsisiyasat, maaaring magsagawa ng naaangkop na aksyong pandisiplina laban sa akusado. Ito ay maaaring mula sa mga babala hanggang sa pagtatapos ng trabaho.
* **Mga Paraan sa Pag-iwas:** Magpatupad ng mga hakbang upang maiwasan ang diskriminasyon sa hinaharap sa lugar ng trabaho. Maaaring kabilang dito ang:
* Pagsasagawa ng anti-diskriminasyon na pagsasanay para sa lahat ng empleyado.
* Pagbabago ng mga patakaran upang matugunan ang anumang mga pagkukulang na natukoy sa panahon ng pagsisiyasat.
* Pagpapatibay ng kultura ng pagsasama at paggalang sa pagkakaiba-iba.
**Mga Legal na Pagsasaalang-alang:**
* **Legal na Konsultasyon:** Ang pagkonsulta sa isang abogadong may karanasan sa batas sa paggawa ay lubos na inirerekomenda, lalo na para sa mga kumplikadong kaso. Maaari silang magpayo sa mga legal na kinakailangan at tiyakin ang pagsunod sa mga batas laban sa diskriminasyon tulad ng Republic Act No. 10354 (Expanded Anti-Discrimination Act).
* **DOLE at CHR:** Nag-aalok ang Department of Labor and Employment (DOLE) at Commission on Human Rights (CHR) ng mga mapagkukunan at tulong sa pagresolba sa mga reklamo sa diskriminasyon sa lugar ng trabaho [https://blr.dole.gov.ph/] (https://blr.dole.gov.ph/) [https://www.chr.gov.ph/](https://www.chr.gov.ph/).
**Transparency at Komunikasyon:**
* **Panatilihing Alam ang Nagrereklamo:** Habang pinapanatili ang pagiging kumpidensyal, panatilihing may alam ang nagrereklamo tungkol sa pag-usad ng imbestigasyon.
* **Malinaw na Komunikasyon:** Ipaalam ang mga resulta ng imbestigasyon sa nagrereklamo at sa akusado sa isang malinaw at propesyonal na paraan.
**Tandaan:**
Ang diskriminasyon sa lugar ng trabaho ay isang seryosong isyu na maaaring magkaroon ng negatibong epekto sa kagalingan at moral ng mga empleyado. Sa pamamagitan ng pagsunod sa isang patas at masusing proseso, maaaring tuparin ng mga employer ang kanilang mga legal na obligasyon, lumikha ng isang mas napapabilang na kapaligiran sa trabaho, at mabawasan ang panganib ng mga legal na hamon.</v>
      </c>
      <c r="F2738" s="2">
        <f t="shared" si="1"/>
        <v>0</v>
      </c>
      <c r="G2738" s="2"/>
      <c r="H2738" s="2"/>
      <c r="I2738" s="2"/>
      <c r="J2738" s="2"/>
      <c r="K2738" s="2"/>
      <c r="L2738" s="2"/>
      <c r="M2738" s="2"/>
      <c r="N2738" s="2"/>
      <c r="O2738" s="2"/>
      <c r="P2738" s="2"/>
      <c r="Q2738" s="2"/>
      <c r="R2738" s="2"/>
      <c r="S2738" s="2"/>
      <c r="T2738" s="2"/>
      <c r="U2738" s="2"/>
      <c r="V2738" s="2"/>
      <c r="W2738" s="2"/>
      <c r="X2738" s="2"/>
      <c r="Y2738" s="2"/>
      <c r="Z2738" s="2"/>
      <c r="AA2738" s="2"/>
    </row>
    <row r="2739">
      <c r="A2739" s="3" t="s">
        <v>6373</v>
      </c>
      <c r="B2739" s="1" t="s">
        <v>6449</v>
      </c>
      <c r="C2739" s="3" t="s">
        <v>6450</v>
      </c>
      <c r="D2739" s="2" t="str">
        <f>IFERROR(__xludf.DUMMYFUNCTION("GOOGLETRANSLATE(B2739, ""en"", ""TL"")"),"Maaari bang i-require ng employer ang mga empleyado na magtrabaho tuwing holiday? Kung gayon, anong kabayaran ang kailangan?")</f>
        <v>Maaari bang i-require ng employer ang mga empleyado na magtrabaho tuwing holiday? Kung gayon, anong kabayaran ang kailangan?</v>
      </c>
      <c r="E2739" s="2" t="str">
        <f>IFERROR(__xludf.DUMMYFUNCTION("GOOGLETRANSLATE(C2739, ""en"", ""TL"")"),"Oo, maaaring hilingin ng isang tagapag-empleyo ang mga empleyado na magtrabaho sa mga pista opisyal sa Pilipinas, ngunit may partikular na mandato ng kompensasyon ayon sa Labor Code [RA No. 6715]. Narito ang isang breakdown:
* **Mga Regular na Piyesta Opi"&amp;"syal:** * Ang mga empleyado ay may karapatan sa kanilang regular na arawang sahod kahit na hindi sila nagtatrabaho sa isang regular na holiday (Artikulo 94). * May mga eksepsiyon para sa mga retail at service establishment na may mas mababa sa 10 empleyad"&amp;"o (Artikulo 94).
* Kung ang isang empleyado ay nagtatrabaho sa isang regular na holiday, dapat silang bayaran ng doble sa kanilang regular na rate (dalawang beses sa kanilang regular na sahod + regular na arawang sahod) (Artikulo 94).
* **Mga Espesyal (Hi"&amp;"ndi gumagana) na Piyesta Opisyal:**
* Walang obligasyon para sa mga employer na bayaran ang mga empleyado kung hindi sila nagtatrabaho sa isang espesyal na araw na walang pasok (DOLE Labor Advisory No. 02- Series of 2023).
* Gayunpaman, ang isang collecti"&amp;"ve bargaining agreement o patakaran ng kumpanya ay maaaring magbigay ng bayad para sa mga naturang araw.
* Kung ang isang empleyado ay nagtatrabaho sa isang espesyal na araw na hindi nagtatrabaho, sila ay may karapatan sa kanilang pangunahing sahod sa una"&amp;"ng 8 oras, na may karagdagang 30% (Article 94 at DOLE Labor Advisory No. 02- Series of 2023).
* Kung ang trabaho ay lumampas sa 8 oras sa isang espesyal na araw na hindi nagtatrabaho, ang empleyado ay makakakuha ng karagdagang 30% ng kanilang oras-oras na"&amp;" rate para sa mga oras ng overtime (Article 94 at DOLE Labor Advisory No. 02- Series of 2023).
Tandaan, ginagarantiyahan ng Konstitusyon ng Pilipinas (Artikulo XIII, Seksyon 3) ang mga manggagawa sa karapatan sa makatarungan at paborableng mga tuntunin sa"&amp;" pagtatrabaho. Kung sa palagay mo ay hindi sumusunod ang iyong employer sa tamang mga regulasyon sa holiday pay, maaari kang makipag-ugnayan sa Department of Labor and Employment (DOLE) para sa tulong.")</f>
        <v>Oo, maaaring hilingin ng isang tagapag-empleyo ang mga empleyado na magtrabaho sa mga pista opisyal sa Pilipinas, ngunit may partikular na mandato ng kompensasyon ayon sa Labor Code [RA No. 6715]. Narito ang isang breakdown:
* **Mga Regular na Piyesta Opisyal:** * Ang mga empleyado ay may karapatan sa kanilang regular na arawang sahod kahit na hindi sila nagtatrabaho sa isang regular na holiday (Artikulo 94). * May mga eksepsiyon para sa mga retail at service establishment na may mas mababa sa 10 empleyado (Artikulo 94).
* Kung ang isang empleyado ay nagtatrabaho sa isang regular na holiday, dapat silang bayaran ng doble sa kanilang regular na rate (dalawang beses sa kanilang regular na sahod + regular na arawang sahod) (Artikulo 94).
* **Mga Espesyal (Hindi gumagana) na Piyesta Opisyal:**
* Walang obligasyon para sa mga employer na bayaran ang mga empleyado kung hindi sila nagtatrabaho sa isang espesyal na araw na walang pasok (DOLE Labor Advisory No. 02- Series of 2023).
* Gayunpaman, ang isang collective bargaining agreement o patakaran ng kumpanya ay maaaring magbigay ng bayad para sa mga naturang araw.
* Kung ang isang empleyado ay nagtatrabaho sa isang espesyal na araw na hindi nagtatrabaho, sila ay may karapatan sa kanilang pangunahing sahod sa unang 8 oras, na may karagdagang 30% (Article 94 at DOLE Labor Advisory No. 02- Series of 2023).
* Kung ang trabaho ay lumampas sa 8 oras sa isang espesyal na araw na hindi nagtatrabaho, ang empleyado ay makakakuha ng karagdagang 30% ng kanilang oras-oras na rate para sa mga oras ng overtime (Article 94 at DOLE Labor Advisory No. 02- Series of 2023).
Tandaan, ginagarantiyahan ng Konstitusyon ng Pilipinas (Artikulo XIII, Seksyon 3) ang mga manggagawa sa karapatan sa makatarungan at paborableng mga tuntunin sa pagtatrabaho. Kung sa palagay mo ay hindi sumusunod ang iyong employer sa tamang mga regulasyon sa holiday pay, maaari kang makipag-ugnayan sa Department of Labor and Employment (DOLE) para sa tulong.</v>
      </c>
      <c r="F2739" s="2">
        <f t="shared" si="1"/>
        <v>0</v>
      </c>
      <c r="G2739" s="2"/>
      <c r="H2739" s="2"/>
      <c r="I2739" s="2"/>
      <c r="J2739" s="2"/>
      <c r="K2739" s="2"/>
      <c r="L2739" s="2"/>
      <c r="M2739" s="2"/>
      <c r="N2739" s="2"/>
      <c r="O2739" s="2"/>
      <c r="P2739" s="2"/>
      <c r="Q2739" s="2"/>
      <c r="R2739" s="2"/>
      <c r="S2739" s="2"/>
      <c r="T2739" s="2"/>
      <c r="U2739" s="2"/>
      <c r="V2739" s="2"/>
      <c r="W2739" s="2"/>
      <c r="X2739" s="2"/>
      <c r="Y2739" s="2"/>
      <c r="Z2739" s="2"/>
      <c r="AA2739" s="2"/>
    </row>
    <row r="2740">
      <c r="A2740" s="3" t="s">
        <v>6373</v>
      </c>
      <c r="B2740" s="1" t="s">
        <v>6451</v>
      </c>
      <c r="C2740" s="3" t="s">
        <v>6452</v>
      </c>
      <c r="D2740" s="2" t="str">
        <f>IFERROR(__xludf.DUMMYFUNCTION("GOOGLETRANSLATE(B2740, ""en"", ""TL"")"),"Paano dapat pangasiwaan ng isang tagapag-empleyo ang mga kahilingan para sa mga relihiyosong akomodasyon sa lugar ng trabaho?")</f>
        <v>Paano dapat pangasiwaan ng isang tagapag-empleyo ang mga kahilingan para sa mga relihiyosong akomodasyon sa lugar ng trabaho?</v>
      </c>
      <c r="E2740" s="2" t="str">
        <f>IFERROR(__xludf.DUMMYFUNCTION("GOOGLETRANSLATE(C2740, ""en"", ""TL"")"),"Ang batas ng Pilipinas ay walang partikular na code na nakatuon sa relihiyosong akomodasyon sa lugar ng trabaho. Gayunpaman, ang mga sumusunod na prinsipyo mula sa Konstitusyon at mga kasalukuyang batas ay maaaring gumabay sa mga tagapag-empleyo:
* **Reli"&amp;"gious Freedom (Constitution, Article III, Section 5):** Ito ay ginagarantiyahan ang karapatan ng mga Pilipino sa malayang paggamit ng relihiyon. Kabilang dito ang karapatang sundin ang mga relihiyosong gawain at paniniwala nang walang labis na pakikialam "&amp;"ng pamahalaan. Sa pamamagitan ng extension, nalalapat ito sa lugar ng trabaho. * **Karapatan sa Pagkakapantay-pantay (Konstitusyon, Artikulo XIV, Seksyon 1):** Ginagarantiyahan nito ang pantay na proteksyon ng batas, anuman ang relihiyon. Ang mga employer"&amp;" ay hindi dapat magdiskrimina laban sa mga empleyado batay sa kanilang mga paniniwala sa relihiyon.
* **Reasonable Accommodation (RA No. 10022 o ang Anti-Discrimination Act):** Bagama't hindi tahasang nakasaad para sa relihiyon, ipinagbabawal ng batas na "&amp;"ito ang diskriminasyon batay sa ""relihiyosong propesyon o kaanib"" ng isang tao. Ang konsepto ng makatwirang akomodasyon ay maaaring ilapat dito. Dapat isaalang-alang ng mga tagapag-empleyo ang mga pagsasaayos upang mapaunlakan ang mga gawaing panrelihiy"&amp;"on maliban kung ito ay nagdudulot ng labis na paghihirap sa mga operasyon ng negosyo (Seksyon 25).
Narito kung paano maaaring pangasiwaan ng isang tagapag-empleyo ang mga kahilingan para sa mga relihiyosong akomodasyon batay sa mga prinsipyong ito:
* **In"&amp;"teractive na Proseso:** Makipag-usap sa empleyado upang maunawaan ang kanilang mga pangangailangan sa relihiyon at ang potensyal na epekto sa trabaho. * **Isaalang-alang ang Kahilingan:** Suriin nang patas ang kahilingan sa tirahan at tuklasin ang mga pos"&amp;"ibilidad. Ang mga halimbawa ng mga makatwirang akomodasyon ay maaaring maging flexible na pag-iiskedyul, binagong dress code, o oras ng pahinga para sa mga relihiyosong pagdiriwang.
* **Hindi Nararapat na Kahirapan:** Kung ang akomodasyon ay lumikha ng ma"&amp;"laking kahirapan o gastos para sa negosyo, talakayin ang mga alternatibong solusyon sa empleyado. **Mga Karagdagang Mapagkukunan:**
* Makakakita ka ng higit pang impormasyon sa Konstitusyon ng Pilipinas dito: [https://lawphil.net/consti/cons1987.html](htt"&amp;"ps://lawphil.net/consti/cons1987.html)
* Ang website ng DOLE ay mayroon ding mga mapagkukunan sa mga batas sa paggawa: [https://www.officialgazette.gov.ph/section/briefing-room/department-of-labor-and-employment/](https://www.officialgazette. gov.ph/secti"&amp;"on/briefing-room/department-of-labor-and-employment/)
Tandaan, ito ay isang pinasimpleng paliwanag. Kung kailangan mo ng mas tiyak na patnubay sa isang sitwasyon ng relihiyosong akomodasyon, inirerekomendang kumonsulta sa isang abogadong dalubhasa sa bata"&amp;"s sa paggawa.")</f>
        <v>Ang batas ng Pilipinas ay walang partikular na code na nakatuon sa relihiyosong akomodasyon sa lugar ng trabaho. Gayunpaman, ang mga sumusunod na prinsipyo mula sa Konstitusyon at mga kasalukuyang batas ay maaaring gumabay sa mga tagapag-empleyo:
* **Religious Freedom (Constitution, Article III, Section 5):** Ito ay ginagarantiyahan ang karapatan ng mga Pilipino sa malayang paggamit ng relihiyon. Kabilang dito ang karapatang sundin ang mga relihiyosong gawain at paniniwala nang walang labis na pakikialam ng pamahalaan. Sa pamamagitan ng extension, nalalapat ito sa lugar ng trabaho. * **Karapatan sa Pagkakapantay-pantay (Konstitusyon, Artikulo XIV, Seksyon 1):** Ginagarantiyahan nito ang pantay na proteksyon ng batas, anuman ang relihiyon. Ang mga employer ay hindi dapat magdiskrimina laban sa mga empleyado batay sa kanilang mga paniniwala sa relihiyon.
* **Reasonable Accommodation (RA No. 10022 o ang Anti-Discrimination Act):** Bagama't hindi tahasang nakasaad para sa relihiyon, ipinagbabawal ng batas na ito ang diskriminasyon batay sa "relihiyosong propesyon o kaanib" ng isang tao. Ang konsepto ng makatwirang akomodasyon ay maaaring ilapat dito. Dapat isaalang-alang ng mga tagapag-empleyo ang mga pagsasaayos upang mapaunlakan ang mga gawaing panrelihiyon maliban kung ito ay nagdudulot ng labis na paghihirap sa mga operasyon ng negosyo (Seksyon 25).
Narito kung paano maaaring pangasiwaan ng isang tagapag-empleyo ang mga kahilingan para sa mga relihiyosong akomodasyon batay sa mga prinsipyong ito:
* **Interactive na Proseso:** Makipag-usap sa empleyado upang maunawaan ang kanilang mga pangangailangan sa relihiyon at ang potensyal na epekto sa trabaho. * **Isaalang-alang ang Kahilingan:** Suriin nang patas ang kahilingan sa tirahan at tuklasin ang mga posibilidad. Ang mga halimbawa ng mga makatwirang akomodasyon ay maaaring maging flexible na pag-iiskedyul, binagong dress code, o oras ng pahinga para sa mga relihiyosong pagdiriwang.
* **Hindi Nararapat na Kahirapan:** Kung ang akomodasyon ay lumikha ng malaking kahirapan o gastos para sa negosyo, talakayin ang mga alternatibong solusyon sa empleyado. **Mga Karagdagang Mapagkukunan:**
* Makakakita ka ng higit pang impormasyon sa Konstitusyon ng Pilipinas dito: [https://lawphil.net/consti/cons1987.html](https://lawphil.net/consti/cons1987.html)
* Ang website ng DOLE ay mayroon ding mga mapagkukunan sa mga batas sa paggawa: [https://www.officialgazette.gov.ph/section/briefing-room/department-of-labor-and-employment/](https://www.officialgazette. gov.ph/section/briefing-room/department-of-labor-and-employment/)
Tandaan, ito ay isang pinasimpleng paliwanag. Kung kailangan mo ng mas tiyak na patnubay sa isang sitwasyon ng relihiyosong akomodasyon, inirerekomendang kumonsulta sa isang abogadong dalubhasa sa batas sa paggawa.</v>
      </c>
      <c r="F2740" s="2">
        <f t="shared" si="1"/>
        <v>0</v>
      </c>
      <c r="G2740" s="2"/>
      <c r="H2740" s="2"/>
      <c r="I2740" s="2"/>
      <c r="J2740" s="2"/>
      <c r="K2740" s="2"/>
      <c r="L2740" s="2"/>
      <c r="M2740" s="2"/>
      <c r="N2740" s="2"/>
      <c r="O2740" s="2"/>
      <c r="P2740" s="2"/>
      <c r="Q2740" s="2"/>
      <c r="R2740" s="2"/>
      <c r="S2740" s="2"/>
      <c r="T2740" s="2"/>
      <c r="U2740" s="2"/>
      <c r="V2740" s="2"/>
      <c r="W2740" s="2"/>
      <c r="X2740" s="2"/>
      <c r="Y2740" s="2"/>
      <c r="Z2740" s="2"/>
      <c r="AA2740" s="2"/>
    </row>
    <row r="2741">
      <c r="A2741" s="3" t="s">
        <v>6373</v>
      </c>
      <c r="B2741" s="1" t="s">
        <v>6453</v>
      </c>
      <c r="C2741" s="3" t="s">
        <v>6454</v>
      </c>
      <c r="D2741" s="2" t="str">
        <f>IFERROR(__xludf.DUMMYFUNCTION("GOOGLETRANSLATE(B2741, ""en"", ""TL"")"),"Anong mga hakbang ang dapat gawin ng isang employer kung ang isang empleyado ay napatunayang nasa ilalim ng impluwensya ng droga o alkohol sa trabaho?")</f>
        <v>Anong mga hakbang ang dapat gawin ng isang employer kung ang isang empleyado ay napatunayang nasa ilalim ng impluwensya ng droga o alkohol sa trabaho?</v>
      </c>
      <c r="E2741" s="2" t="str">
        <f>IFERROR(__xludf.DUMMYFUNCTION("GOOGLETRANSLATE(C2741, ""en"", ""TL"")"),"Narito ang mga hakbang na maaaring gawin ng isang employer sa Pilipinas kung ang isang empleyado ay napatunayang nasa ilalim ng impluwensya ng droga o alkohol sa trabaho, na sumusunod sa batas ng Pilipinas:
**1. Tiyaking Kaligtasan:**
* Ang pangunahing pr"&amp;"iyoridad ay upang matiyak ang kaligtasan ng empleyado, iba pang empleyado, at sinumang maaaring maapektuhan. * Kung ang empleyado ay nasa isang posisyong sensitibo sa kaligtasan (operating machinery, pagmamaneho), alisin agad sila sa sitwasyon. * Depende "&amp;"sa kalubhaan, isaalang-alang ang pag-escort sa empleyado sa bahay o tawagan ang isang taxi/ride-sharing service.
**2. Dokumentasyon at Mga Pahayag ng Saksi:**
* Idokumento ang sitwasyon nang may layunin, kasama ang petsa, oras, naobserbahang pag-uugali, a"&amp;"t sinumang saksi na naroroon. * Kung maaari, kumuha ng nilagdaang mga pahayag mula sa mga saksi na maaaring patunayan ang iyong mga obserbasyon.
**3. Sundin ang Patakaran ng Kumpanya:**
* Karamihan sa mga kumpanya ay nagtatag ng mga patakaran tungkol sa p"&amp;"aggamit ng droga at alkohol sa lugar ng trabaho. Sumangguni sa patakarang ito para gabayan ang mga susunod na hakbang. * Ang patakaran ay dapat magbalangkas ng mga pamamaraan para sa pagtugon sa pinaghihinalaang paggamit at mga potensyal na kahihinatnan.
"&amp;"**4. Makatuwirang Hinala Pagsusuri sa Droga:**
* Pinahihintulutan ng Pilipinas ang makatwirang suspetsang drug testing sa ilalim ng Department Order No. 13 Series of 2018 na inisyu ng Dangerous Drugs Board (DDB). * Nangangahulugan ito na ang isang tagapag"&amp;"-empleyo ay maaaring mangailangan ng isang drug test kung may makatwirang hinala na ang empleyado ay nasa ilalim ng impluwensya batay sa nakikitang pag-uugali at/o pagganap sa trabaho. * Kinokontrol din ng DDB ang proseso para sa pagsusuri sa droga, kabil"&amp;"ang ang paggamit ng pasilidad na kinikilala ng DOH at pagpapanatili ng pagiging kumpidensyal.
**5. Pagkilos sa Disiplina:**
* Batay sa mga dokumentadong obserbasyon, mga pahayag ng saksi (kung naaangkop), at potensyal na positibong resulta ng drug test, a"&amp;"ng employer ay maaaring magpasimula ng aksyong pandisiplina ayon sa patakaran ng kumpanya at Labor Code (RA No. 6715).
* Ito ay maaaring mula sa isang pasalitang babala para sa unang pagkakasala hanggang sa pagwawakas para sa mga matitinding kaso o paulit"&amp;"-ulit na pagkakasala, lalo na kung ito ay nagdudulot ng panganib sa kaligtasan.
**6. Employee Assistance Program (EAP):**
* Ang ilang mga kumpanya ay nag-aalok ng mga EAP upang tulungan ang mga empleyado na may mga problema sa pag-abuso sa sangkap. * Kung"&amp;" ang iyong kumpanya ay may EAP, maaari mong hikayatin ang empleyado na humingi ng tulong sa pamamagitan ng programa bilang bahagi ng proseso ng pagdidisiplina.
**Mahahalagang Pagsasaalang-alang:**
* **Mga Karapatan ng Empleyado:** Ang mga empleyado ay may"&amp;" mga karapatan sa ilalim ng Konstitusyon (karapatan sa pagkapribado) at ang Kodigo sa Paggawa (dahilan lamang ng pagwawakas). * **Legal na Counsel:** Inirerekomenda na kumunsulta sa isang abogado na dalubhasa sa batas sa paggawa upang matiyak na ang mga a"&amp;"ksyon ng kumpanya ay sumusunod sa mga legal na kinakailangan, lalo na tungkol sa mga pamamaraan ng pagsusuri sa droga at mga potensyal na aksyong pandisiplina.
**Mga Mapagkukunan:**
* Dangerous Drugs Board (DDB): [https://ddb.gov.ph/](https://ddb.gov.ph/)"&amp;"
* Department of Labor and Employment (DOLE): [https://www.officialgazette.gov.ph/section/briefing-room/department-of-labor-and-employment/](https://www.officialgazette.gov .ph/section/briefing-room/department-of-labor-and-employment/)")</f>
        <v>Narito ang mga hakbang na maaaring gawin ng isang employer sa Pilipinas kung ang isang empleyado ay napatunayang nasa ilalim ng impluwensya ng droga o alkohol sa trabaho, na sumusunod sa batas ng Pilipinas:
**1. Tiyaking Kaligtasan:**
* Ang pangunahing priyoridad ay upang matiyak ang kaligtasan ng empleyado, iba pang empleyado, at sinumang maaaring maapektuhan. * Kung ang empleyado ay nasa isang posisyong sensitibo sa kaligtasan (operating machinery, pagmamaneho), alisin agad sila sa sitwasyon. * Depende sa kalubhaan, isaalang-alang ang pag-escort sa empleyado sa bahay o tawagan ang isang taxi/ride-sharing service.
**2. Dokumentasyon at Mga Pahayag ng Saksi:**
* Idokumento ang sitwasyon nang may layunin, kasama ang petsa, oras, naobserbahang pag-uugali, at sinumang saksi na naroroon. * Kung maaari, kumuha ng nilagdaang mga pahayag mula sa mga saksi na maaaring patunayan ang iyong mga obserbasyon.
**3. Sundin ang Patakaran ng Kumpanya:**
* Karamihan sa mga kumpanya ay nagtatag ng mga patakaran tungkol sa paggamit ng droga at alkohol sa lugar ng trabaho. Sumangguni sa patakarang ito para gabayan ang mga susunod na hakbang. * Ang patakaran ay dapat magbalangkas ng mga pamamaraan para sa pagtugon sa pinaghihinalaang paggamit at mga potensyal na kahihinatnan.
**4. Makatuwirang Hinala Pagsusuri sa Droga:**
* Pinahihintulutan ng Pilipinas ang makatwirang suspetsang drug testing sa ilalim ng Department Order No. 13 Series of 2018 na inisyu ng Dangerous Drugs Board (DDB). * Nangangahulugan ito na ang isang tagapag-empleyo ay maaaring mangailangan ng isang drug test kung may makatwirang hinala na ang empleyado ay nasa ilalim ng impluwensya batay sa nakikitang pag-uugali at/o pagganap sa trabaho. * Kinokontrol din ng DDB ang proseso para sa pagsusuri sa droga, kabilang ang paggamit ng pasilidad na kinikilala ng DOH at pagpapanatili ng pagiging kumpidensyal.
**5. Pagkilos sa Disiplina:**
* Batay sa mga dokumentadong obserbasyon, mga pahayag ng saksi (kung naaangkop), at potensyal na positibong resulta ng drug test, ang employer ay maaaring magpasimula ng aksyong pandisiplina ayon sa patakaran ng kumpanya at Labor Code (RA No. 6715).
* Ito ay maaaring mula sa isang pasalitang babala para sa unang pagkakasala hanggang sa pagwawakas para sa mga matitinding kaso o paulit-ulit na pagkakasala, lalo na kung ito ay nagdudulot ng panganib sa kaligtasan.
**6. Employee Assistance Program (EAP):**
* Ang ilang mga kumpanya ay nag-aalok ng mga EAP upang tulungan ang mga empleyado na may mga problema sa pag-abuso sa sangkap. * Kung ang iyong kumpanya ay may EAP, maaari mong hikayatin ang empleyado na humingi ng tulong sa pamamagitan ng programa bilang bahagi ng proseso ng pagdidisiplina.
**Mahahalagang Pagsasaalang-alang:**
* **Mga Karapatan ng Empleyado:** Ang mga empleyado ay may mga karapatan sa ilalim ng Konstitusyon (karapatan sa pagkapribado) at ang Kodigo sa Paggawa (dahilan lamang ng pagwawakas). * **Legal na Counsel:** Inirerekomenda na kumunsulta sa isang abogado na dalubhasa sa batas sa paggawa upang matiyak na ang mga aksyon ng kumpanya ay sumusunod sa mga legal na kinakailangan, lalo na tungkol sa mga pamamaraan ng pagsusuri sa droga at mga potensyal na aksyong pandisiplina.
**Mga Mapagkukunan:**
* Dangerous Drugs Board (DDB): [https://ddb.gov.ph/](https://ddb.gov.ph/)
* Department of Labor and Employment (DOLE): [https://www.officialgazette.gov.ph/section/briefing-room/department-of-labor-and-employment/](https://www.officialgazette.gov .ph/section/briefing-room/department-of-labor-and-employment/)</v>
      </c>
      <c r="F2741" s="2">
        <f t="shared" si="1"/>
        <v>0</v>
      </c>
      <c r="G2741" s="2"/>
      <c r="H2741" s="2"/>
      <c r="I2741" s="2"/>
      <c r="J2741" s="2"/>
      <c r="K2741" s="2"/>
      <c r="L2741" s="2"/>
      <c r="M2741" s="2"/>
      <c r="N2741" s="2"/>
      <c r="O2741" s="2"/>
      <c r="P2741" s="2"/>
      <c r="Q2741" s="2"/>
      <c r="R2741" s="2"/>
      <c r="S2741" s="2"/>
      <c r="T2741" s="2"/>
      <c r="U2741" s="2"/>
      <c r="V2741" s="2"/>
      <c r="W2741" s="2"/>
      <c r="X2741" s="2"/>
      <c r="Y2741" s="2"/>
      <c r="Z2741" s="2"/>
      <c r="AA2741" s="2"/>
    </row>
    <row r="2742">
      <c r="A2742" s="3" t="s">
        <v>6373</v>
      </c>
      <c r="B2742" s="1" t="s">
        <v>6455</v>
      </c>
      <c r="C2742" s="3" t="s">
        <v>6456</v>
      </c>
      <c r="D2742" s="2" t="str">
        <f>IFERROR(__xludf.DUMMYFUNCTION("GOOGLETRANSLATE(B2742, ""en"", ""TL"")"),"Ang isang empleyado ay tumangging pumirma ng isang kontrata na may kasamang hindi nakikipagkumpitensya na sugnay. Maaari bang ipatupad ito ng employer?")</f>
        <v>Ang isang empleyado ay tumangging pumirma ng isang kontrata na may kasamang hindi nakikipagkumpitensya na sugnay. Maaari bang ipatupad ito ng employer?</v>
      </c>
      <c r="E2742" s="2" t="str">
        <f>IFERROR(__xludf.DUMMYFUNCTION("GOOGLETRANSLATE(C2742, ""en"", ""TL"")"),"Sa Pilipinas, ang pagpapatupad ng mga hindi nakikipagkumpitensya na mga sugnay sa mga kontrata sa pagtatrabaho ay isang nuanced na isyu. Narito ang kailangan mong malaman:
**Maaaring Isama ang Mga Sugnay na Hindi Makipagkumpitensya, Ngunit...**
* Ang bata"&amp;"s ng Pilipinas ay hindi tahasang nagbabawal sa mga sugnay na hindi nakikipagkumpitensya. Maaari mo silang isama sa mga kontrata sa pagtatrabaho.
**...Dapat Sila ay Makatwiran**
Gayunpaman, ang Korte Suprema ay nagpasya na ang mga hindi nakikipagkumpitensy"&amp;"a na mga sugnay ay dapat na makatwiran upang maipatupad. Nangangahulugan ito na hindi sila dapat maging labis na mahigpit sa kakayahan ng empleyado na makahanap ng trabaho sa hinaharap sa kanilang larangan. Narito ang ilang salik na isinasaalang-alang par"&amp;"a sa pagiging makatwiran:
* **Saklaw ng Paghihigpit:** * Hindi dapat paghigpitan ng sugnay ang empleyado na magtrabaho sa isang katulad na tungkulin sa lahat ng industriya. Dapat itong limitado sa pagprotekta sa mga lehitimong interes sa negosyo ng employ"&amp;"er, tulad ng mga lihim ng kalakalan o mga relasyon sa kliyente.
* **Heograpikong Saklaw:**
* Ang heyograpikong lugar na pinaghihigpitan ng sugnay na nagtatrabaho sa empleyado ay dapat na makatwiran. Ang pagbabawal sa buong bansa para sa isang karaniwang t"&amp;"ungkulin sa trabaho ay maaaring labis.
* **Tagal ng Panahon:**
* Dapat na limitado ang tagal ng sugnay na hindi nakikipagkumpitensya. Walang partikular na legal na limitasyon, ngunit maaaring ituring ng mga korte na hindi makatwiran ang mas mahabang panah"&amp;"on.
**Pagtanggi ng Empleyado na Pumirma**
* Ang pagtanggi ng isang empleyado na pumirma sa isang kontrata na may hindi nakikipagkumpitensya na sugnay ay hindi awtomatikong ginagawang hindi maipapatupad ang sugnay. * Maaari pa ring ipatupad ng tagapag-empl"&amp;"eyo ang sugnay kung ito ay itinuturing na makatwiran ng korte, na isinasaalang-alang ang mga salik na binanggit sa itaas.
**Mga Alternatibo para sa Mga Employer**
* Kung ang pangunahing alalahanin ay pagprotekta sa kumpidensyal na impormasyon, isaalang-al"&amp;"ang ang isang hiwalay na kasunduan sa pagiging kumpidensyal sa halip na isang sugnay na hindi nakikipagkumpitensya.
* **Naghahanap ng Legal na Payo**
* Ito ay isang kumplikadong lugar ng batas. Lubos na inirerekumenda na kumunsulta sa isang abogado na dal"&amp;"ubhasa sa batas sa paggawa upang bumuo ng isang makatwirang sugnay na hindi nakikipagkumpitensya at maunawaan ang kakayahang maipatupad nito sa iyong partikular na sitwasyon.
Narito ang ilang mga mapagkukunan para sa karagdagang sanggunian:
* Mga tipan na"&amp;" hindi nakikipagkumpitensya sa mga kasunduan sa pagtatrabaho sa Pilipinas [inalis ang di-wastong URL]
* Mga Non-Compete Agreements [https://laborlaw.ph/non-compete-agreements/](https://laborlaw.ph/non-compete-agreements/)")</f>
        <v>Sa Pilipinas, ang pagpapatupad ng mga hindi nakikipagkumpitensya na mga sugnay sa mga kontrata sa pagtatrabaho ay isang nuanced na isyu. Narito ang kailangan mong malaman:
**Maaaring Isama ang Mga Sugnay na Hindi Makipagkumpitensya, Ngunit...**
* Ang batas ng Pilipinas ay hindi tahasang nagbabawal sa mga sugnay na hindi nakikipagkumpitensya. Maaari mo silang isama sa mga kontrata sa pagtatrabaho.
**...Dapat Sila ay Makatwiran**
Gayunpaman, ang Korte Suprema ay nagpasya na ang mga hindi nakikipagkumpitensya na mga sugnay ay dapat na makatwiran upang maipatupad. Nangangahulugan ito na hindi sila dapat maging labis na mahigpit sa kakayahan ng empleyado na makahanap ng trabaho sa hinaharap sa kanilang larangan. Narito ang ilang salik na isinasaalang-alang para sa pagiging makatwiran:
* **Saklaw ng Paghihigpit:** * Hindi dapat paghigpitan ng sugnay ang empleyado na magtrabaho sa isang katulad na tungkulin sa lahat ng industriya. Dapat itong limitado sa pagprotekta sa mga lehitimong interes sa negosyo ng employer, tulad ng mga lihim ng kalakalan o mga relasyon sa kliyente.
* **Heograpikong Saklaw:**
* Ang heyograpikong lugar na pinaghihigpitan ng sugnay na nagtatrabaho sa empleyado ay dapat na makatwiran. Ang pagbabawal sa buong bansa para sa isang karaniwang tungkulin sa trabaho ay maaaring labis.
* **Tagal ng Panahon:**
* Dapat na limitado ang tagal ng sugnay na hindi nakikipagkumpitensya. Walang partikular na legal na limitasyon, ngunit maaaring ituring ng mga korte na hindi makatwiran ang mas mahabang panahon.
**Pagtanggi ng Empleyado na Pumirma**
* Ang pagtanggi ng isang empleyado na pumirma sa isang kontrata na may hindi nakikipagkumpitensya na sugnay ay hindi awtomatikong ginagawang hindi maipapatupad ang sugnay. * Maaari pa ring ipatupad ng tagapag-empleyo ang sugnay kung ito ay itinuturing na makatwiran ng korte, na isinasaalang-alang ang mga salik na binanggit sa itaas.
**Mga Alternatibo para sa Mga Employer**
* Kung ang pangunahing alalahanin ay pagprotekta sa kumpidensyal na impormasyon, isaalang-alang ang isang hiwalay na kasunduan sa pagiging kumpidensyal sa halip na isang sugnay na hindi nakikipagkumpitensya.
* **Naghahanap ng Legal na Payo**
* Ito ay isang kumplikadong lugar ng batas. Lubos na inirerekumenda na kumunsulta sa isang abogado na dalubhasa sa batas sa paggawa upang bumuo ng isang makatwirang sugnay na hindi nakikipagkumpitensya at maunawaan ang kakayahang maipatupad nito sa iyong partikular na sitwasyon.
Narito ang ilang mga mapagkukunan para sa karagdagang sanggunian:
* Mga tipan na hindi nakikipagkumpitensya sa mga kasunduan sa pagtatrabaho sa Pilipinas [inalis ang di-wastong URL]
* Mga Non-Compete Agreements [https://laborlaw.ph/non-compete-agreements/](https://laborlaw.ph/non-compete-agreements/)</v>
      </c>
      <c r="F2742" s="2">
        <f t="shared" si="1"/>
        <v>0</v>
      </c>
      <c r="G2742" s="2"/>
      <c r="H2742" s="2"/>
      <c r="I2742" s="2"/>
      <c r="J2742" s="2"/>
      <c r="K2742" s="2"/>
      <c r="L2742" s="2"/>
      <c r="M2742" s="2"/>
      <c r="N2742" s="2"/>
      <c r="O2742" s="2"/>
      <c r="P2742" s="2"/>
      <c r="Q2742" s="2"/>
      <c r="R2742" s="2"/>
      <c r="S2742" s="2"/>
      <c r="T2742" s="2"/>
      <c r="U2742" s="2"/>
      <c r="V2742" s="2"/>
      <c r="W2742" s="2"/>
      <c r="X2742" s="2"/>
      <c r="Y2742" s="2"/>
      <c r="Z2742" s="2"/>
      <c r="AA2742" s="2"/>
    </row>
    <row r="2743">
      <c r="A2743" s="3" t="s">
        <v>6373</v>
      </c>
      <c r="B2743" s="1" t="s">
        <v>6457</v>
      </c>
      <c r="C2743" s="3" t="s">
        <v>6458</v>
      </c>
      <c r="D2743" s="2" t="str">
        <f>IFERROR(__xludf.DUMMYFUNCTION("GOOGLETRANSLATE(B2743, ""en"", ""TL"")"),"Paano dapat tugunan ng isang tagapag-empleyo ang mga alingawngaw ng mga tanggalan sa lugar ng trabaho?")</f>
        <v>Paano dapat tugunan ng isang tagapag-empleyo ang mga alingawngaw ng mga tanggalan sa lugar ng trabaho?</v>
      </c>
      <c r="E2743" s="2" t="str">
        <f>IFERROR(__xludf.DUMMYFUNCTION("GOOGLETRANSLATE(C2743, ""en"", ""TL"")"),"Narito kung paano matutugunan ng isang tagapag-empleyo ang mga alingawngaw ng mga tanggalan sa lugar ng trabaho ayon sa pinakamahuhusay na kagawian:
**Transparency at Honesty (Kapag Posible):**
* Kung ang mga tanggalan ay nakumpirma o seryosong pinag-iisi"&amp;"pan, harapin kaagad ang sitwasyon. Ang transparency ay bumubuo ng tiwala at binabawasan ang pagkabalisa. * Gayunpaman, kung hindi pa rin sigurado ang sitwasyon o hindi pa natatapos ang mga desisyon, kilalanin ang mga tsismis at tiyakin sa mga empleyado na"&amp;" magpapadala ka ng mga update sa lalong madaling panahon.
**Bukas na Komunikasyon:**
* Magdaos ng pulong sa bulwagan ng bayan o magpadala ng email sa buong kumpanya upang direktang tugunan ang mga alingawngaw. * Ipaliwanag ang kasalukuyang sitwasyon ng ne"&amp;"gosyo at ang mga salik na humahantong sa mga potensyal na tanggalan (kung naaangkop). * Maging tapat ngunit iwasan ang mga hindi kinakailangang detalye na maaaring magdulot ng panic.
**Tumuon sa Mga Katotohanan, Hindi Ispekulasyon:**
* Huwag makisali sa h"&amp;"aka-haka o magbigay ng maling pag-asa. Manatili sa mga katotohanan at kasalukuyang sitwasyon. * Tugunan ang mga tanong ng empleyado nang hayagan at tapat, ngunit iwasang ibunyag ang kumpidensyal na impormasyon.
**Empatiya at Suporta:**
* Kilalanin ang str"&amp;"ess at kawalan ng katiyakan na mga alingawngaw na maaaring idulot. * Kung ang mga tanggalan ay nangyayari, magpahayag ng empatiya para sa mga naapektuhan. * Isaalang-alang ang pag-aalok ng mga serbisyo sa outplacement o mga pakete ng severance upang supor"&amp;"tahan ang mga papaalis na empleyado.
**Panatilihin ang Pokus sa Trabaho:**
* Habang tinutugunan ang mga alingawngaw, hikayatin ang mga empleyado na mapanatili ang pagtuon sa kanilang trabaho. * Bigyang-diin ang kahalagahan ng patuloy na pagiging produktib"&amp;"o para sa kinabukasan ng kumpanya.
**Mga Legal na Pagsasaalang-alang:**
* Sa Pilipinas, walang legal na obligasyon na ibunyag ang mga potensyal na tanggalan maliban kung nakumpirma ang mga ito. * Gayunpaman, ito ay palaging pinakamahusay na kasanayan upan"&amp;"g makipag-usap nang bukas at tapat sa mga empleyado.
* Kung mangyari ang mga tanggalan, tiyakin ang pagsunod sa mga batas sa paggawa ng Pilipinas tungkol sa bayad sa pagwawakas at iba pang mga karapatan ng empleyado. Isaalang-alang ang pagkonsulta sa isan"&amp;"g abogado na dalubhasa sa batas sa paggawa para sa gabay.
**Tandaan:**
* Ang malinaw at napapanahong komunikasyon ay susi. * Maging tapat at makiramay, ngunit iwasang lumikha ng hindi kinakailangang panic. * Tumutok sa mga katotohanan at unahin ang pagpap"&amp;"anatili ng isang produktibong kapaligiran sa trabaho.")</f>
        <v>Narito kung paano matutugunan ng isang tagapag-empleyo ang mga alingawngaw ng mga tanggalan sa lugar ng trabaho ayon sa pinakamahuhusay na kagawian:
**Transparency at Honesty (Kapag Posible):**
* Kung ang mga tanggalan ay nakumpirma o seryosong pinag-iisipan, harapin kaagad ang sitwasyon. Ang transparency ay bumubuo ng tiwala at binabawasan ang pagkabalisa. * Gayunpaman, kung hindi pa rin sigurado ang sitwasyon o hindi pa natatapos ang mga desisyon, kilalanin ang mga tsismis at tiyakin sa mga empleyado na magpapadala ka ng mga update sa lalong madaling panahon.
**Bukas na Komunikasyon:**
* Magdaos ng pulong sa bulwagan ng bayan o magpadala ng email sa buong kumpanya upang direktang tugunan ang mga alingawngaw. * Ipaliwanag ang kasalukuyang sitwasyon ng negosyo at ang mga salik na humahantong sa mga potensyal na tanggalan (kung naaangkop). * Maging tapat ngunit iwasan ang mga hindi kinakailangang detalye na maaaring magdulot ng panic.
**Tumuon sa Mga Katotohanan, Hindi Ispekulasyon:**
* Huwag makisali sa haka-haka o magbigay ng maling pag-asa. Manatili sa mga katotohanan at kasalukuyang sitwasyon. * Tugunan ang mga tanong ng empleyado nang hayagan at tapat, ngunit iwasang ibunyag ang kumpidensyal na impormasyon.
**Empatiya at Suporta:**
* Kilalanin ang stress at kawalan ng katiyakan na mga alingawngaw na maaaring idulot. * Kung ang mga tanggalan ay nangyayari, magpahayag ng empatiya para sa mga naapektuhan. * Isaalang-alang ang pag-aalok ng mga serbisyo sa outplacement o mga pakete ng severance upang suportahan ang mga papaalis na empleyado.
**Panatilihin ang Pokus sa Trabaho:**
* Habang tinutugunan ang mga alingawngaw, hikayatin ang mga empleyado na mapanatili ang pagtuon sa kanilang trabaho. * Bigyang-diin ang kahalagahan ng patuloy na pagiging produktibo para sa kinabukasan ng kumpanya.
**Mga Legal na Pagsasaalang-alang:**
* Sa Pilipinas, walang legal na obligasyon na ibunyag ang mga potensyal na tanggalan maliban kung nakumpirma ang mga ito. * Gayunpaman, ito ay palaging pinakamahusay na kasanayan upang makipag-usap nang bukas at tapat sa mga empleyado.
* Kung mangyari ang mga tanggalan, tiyakin ang pagsunod sa mga batas sa paggawa ng Pilipinas tungkol sa bayad sa pagwawakas at iba pang mga karapatan ng empleyado. Isaalang-alang ang pagkonsulta sa isang abogado na dalubhasa sa batas sa paggawa para sa gabay.
**Tandaan:**
* Ang malinaw at napapanahong komunikasyon ay susi. * Maging tapat at makiramay, ngunit iwasang lumikha ng hindi kinakailangang panic. * Tumutok sa mga katotohanan at unahin ang pagpapanatili ng isang produktibong kapaligiran sa trabaho.</v>
      </c>
      <c r="F2743" s="2">
        <f t="shared" si="1"/>
        <v>0</v>
      </c>
      <c r="G2743" s="2"/>
      <c r="H2743" s="2"/>
      <c r="I2743" s="2"/>
      <c r="J2743" s="2"/>
      <c r="K2743" s="2"/>
      <c r="L2743" s="2"/>
      <c r="M2743" s="2"/>
      <c r="N2743" s="2"/>
      <c r="O2743" s="2"/>
      <c r="P2743" s="2"/>
      <c r="Q2743" s="2"/>
      <c r="R2743" s="2"/>
      <c r="S2743" s="2"/>
      <c r="T2743" s="2"/>
      <c r="U2743" s="2"/>
      <c r="V2743" s="2"/>
      <c r="W2743" s="2"/>
      <c r="X2743" s="2"/>
      <c r="Y2743" s="2"/>
      <c r="Z2743" s="2"/>
      <c r="AA2743" s="2"/>
    </row>
    <row r="2744">
      <c r="A2744" s="3" t="s">
        <v>6373</v>
      </c>
      <c r="B2744" s="1" t="s">
        <v>6459</v>
      </c>
      <c r="C2744" s="3" t="s">
        <v>6460</v>
      </c>
      <c r="D2744" s="2" t="str">
        <f>IFERROR(__xludf.DUMMYFUNCTION("GOOGLETRANSLATE(B2744, ""en"", ""TL"")"),"Maaari bang subaybayan ng isang tagapag-empleyo ang mga komunikasyon ng empleyado at paggamit ng internet sa lugar ng trabaho?")</f>
        <v>Maaari bang subaybayan ng isang tagapag-empleyo ang mga komunikasyon ng empleyado at paggamit ng internet sa lugar ng trabaho?</v>
      </c>
      <c r="E2744" s="2" t="str">
        <f>IFERROR(__xludf.DUMMYFUNCTION("GOOGLETRANSLATE(C2744, ""en"", ""TL"")"),"Sa Pilipinas, ang kakayahan ng isang employer na subaybayan ang mga komunikasyon ng empleyado at paggamit ng internet sa lugar ng trabaho ay isang pagbabalanse sa pagitan ng mga lehitimong interes sa negosyo at mga karapatan sa privacy ng empleyado. Narit"&amp;"o ang isang breakdown batay sa batas ng Pilipinas:
* **Data Privacy Act (DPA):** Pinoprotektahan ng batas na ito (RA No. 10173) ang privacy ng personal na impormasyon. Nalalapat ito sa pagproseso ng data ng empleyado, kabilang ang komunikasyon at aktibida"&amp;"d sa internet.
* **Lehitimong Interes:** Maaaring subaybayan ng mga employer ang mga aktibidad ng empleyado kung ito ay nagsisilbi ng isang lehitimong interes sa negosyo. Kasama sa mga halimbawa ang:
* Pagtiyak na ang mga mapagkukunan ng kumpanya ay ginag"&amp;"amit para sa mga layunin ng trabaho at hindi personal na pagba-browse.
* Pag-iwas sa pagkalat ng malware o mga paglabag sa seguridad.
* Pagsubaybay sa pagsunod ng empleyado sa mga patakaran ng kumpanya.
* **Transparency at Notification:** Dapat alam ng mg"&amp;"a empleyado na sinusubaybayan sila. Ang tagapag-empleyo ay dapat magkaroon ng isang malinaw na patakaran na nagbabalangkas sa mga uri ng pagsubaybay na isinasagawa, ang layunin, at kung paano iniimbak at ina-access ang data.
* **Proporsyonalidad:** Ang pa"&amp;"gsubaybay ay dapat na proporsyonal sa lehitimong interes ng negosyo. Halimbawa, hindi dapat subaybayan ng mga tagapag-empleyo ang mga personal na email o mga social media account maliban kung may malakas na hinala ng maling paggamit.
**Mga Pangunahing Map"&amp;"agkukunan:**
* National Privacy Commission (NPC): [https://privacy.gov.ph/](https://privacy.gov.ph/)
* NPC Advisory Opinion No. 2018-084: [https://privacy.gov.ph/npc-phe-bulletin-no-14-updated-frequently-asked-questions-faqs/](https://privacy.gov .ph/npc-"&amp;"phe-bulletin-no-14-updated-frequently-asked-questions-faqs/) (Ito ay nagbibigay ng mas detalyadong legal na pagsusuri sa pagsubaybay ng empleyado)
**Mga Rekomendasyon:**
* Bumuo ng malinaw at komprehensibong Patakaran sa Katanggap-tanggap na Paggamit ng E"&amp;"lectronic Communications (ECAP) na nagbabalangkas sa mga pinahihintulutan at ipinagbabawal na paggamit ng mga mapagkukunan ng kumpanya.
* Ipaalam sa mga empleyado ang tungkol sa ECAP at kunin ang kanilang pagkilala. * Tiyakin na ang mga kasanayan sa pagsu"&amp;"baybay ay sumusunod sa mga prinsipyo ng Data Privacy Act, partikular ang transparency, lehitimong layunin, at proporsyonalidad.
**Pagkonsulta sa isang Abogado:**
Ang batas sa paggawa ay maaaring maging kumplikado, at ang paghingi ng patnubay mula sa isang"&amp;" abogado na dalubhasa sa data privacy at batas sa paggawa ay lubos na inirerekomenda. Matutulungan ka nila sa pagbalangkas ng ECAP at tiyaking sumusunod ang iyong mga kasanayan sa pagsubaybay sa batas ng Pilipinas.")</f>
        <v>Sa Pilipinas, ang kakayahan ng isang employer na subaybayan ang mga komunikasyon ng empleyado at paggamit ng internet sa lugar ng trabaho ay isang pagbabalanse sa pagitan ng mga lehitimong interes sa negosyo at mga karapatan sa privacy ng empleyado. Narito ang isang breakdown batay sa batas ng Pilipinas:
* **Data Privacy Act (DPA):** Pinoprotektahan ng batas na ito (RA No. 10173) ang privacy ng personal na impormasyon. Nalalapat ito sa pagproseso ng data ng empleyado, kabilang ang komunikasyon at aktibidad sa internet.
* **Lehitimong Interes:** Maaaring subaybayan ng mga employer ang mga aktibidad ng empleyado kung ito ay nagsisilbi ng isang lehitimong interes sa negosyo. Kasama sa mga halimbawa ang:
* Pagtiyak na ang mga mapagkukunan ng kumpanya ay ginagamit para sa mga layunin ng trabaho at hindi personal na pagba-browse.
* Pag-iwas sa pagkalat ng malware o mga paglabag sa seguridad.
* Pagsubaybay sa pagsunod ng empleyado sa mga patakaran ng kumpanya.
* **Transparency at Notification:** Dapat alam ng mga empleyado na sinusubaybayan sila. Ang tagapag-empleyo ay dapat magkaroon ng isang malinaw na patakaran na nagbabalangkas sa mga uri ng pagsubaybay na isinasagawa, ang layunin, at kung paano iniimbak at ina-access ang data.
* **Proporsyonalidad:** Ang pagsubaybay ay dapat na proporsyonal sa lehitimong interes ng negosyo. Halimbawa, hindi dapat subaybayan ng mga tagapag-empleyo ang mga personal na email o mga social media account maliban kung may malakas na hinala ng maling paggamit.
**Mga Pangunahing Mapagkukunan:**
* National Privacy Commission (NPC): [https://privacy.gov.ph/](https://privacy.gov.ph/)
* NPC Advisory Opinion No. 2018-084: [https://privacy.gov.ph/npc-phe-bulletin-no-14-updated-frequently-asked-questions-faqs/](https://privacy.gov .ph/npc-phe-bulletin-no-14-updated-frequently-asked-questions-faqs/) (Ito ay nagbibigay ng mas detalyadong legal na pagsusuri sa pagsubaybay ng empleyado)
**Mga Rekomendasyon:**
* Bumuo ng malinaw at komprehensibong Patakaran sa Katanggap-tanggap na Paggamit ng Electronic Communications (ECAP) na nagbabalangkas sa mga pinahihintulutan at ipinagbabawal na paggamit ng mga mapagkukunan ng kumpanya.
* Ipaalam sa mga empleyado ang tungkol sa ECAP at kunin ang kanilang pagkilala. * Tiyakin na ang mga kasanayan sa pagsubaybay ay sumusunod sa mga prinsipyo ng Data Privacy Act, partikular ang transparency, lehitimong layunin, at proporsyonalidad.
**Pagkonsulta sa isang Abogado:**
Ang batas sa paggawa ay maaaring maging kumplikado, at ang paghingi ng patnubay mula sa isang abogado na dalubhasa sa data privacy at batas sa paggawa ay lubos na inirerekomenda. Matutulungan ka nila sa pagbalangkas ng ECAP at tiyaking sumusunod ang iyong mga kasanayan sa pagsubaybay sa batas ng Pilipinas.</v>
      </c>
      <c r="F2744" s="2">
        <f t="shared" si="1"/>
        <v>0</v>
      </c>
      <c r="G2744" s="2"/>
      <c r="H2744" s="2"/>
      <c r="I2744" s="2"/>
      <c r="J2744" s="2"/>
      <c r="K2744" s="2"/>
      <c r="L2744" s="2"/>
      <c r="M2744" s="2"/>
      <c r="N2744" s="2"/>
      <c r="O2744" s="2"/>
      <c r="P2744" s="2"/>
      <c r="Q2744" s="2"/>
      <c r="R2744" s="2"/>
      <c r="S2744" s="2"/>
      <c r="T2744" s="2"/>
      <c r="U2744" s="2"/>
      <c r="V2744" s="2"/>
      <c r="W2744" s="2"/>
      <c r="X2744" s="2"/>
      <c r="Y2744" s="2"/>
      <c r="Z2744" s="2"/>
      <c r="AA2744" s="2"/>
    </row>
    <row r="2745">
      <c r="A2745" s="3" t="s">
        <v>6373</v>
      </c>
      <c r="B2745" s="1" t="s">
        <v>6461</v>
      </c>
      <c r="C2745" s="3" t="s">
        <v>6462</v>
      </c>
      <c r="D2745" s="2" t="str">
        <f>IFERROR(__xludf.DUMMYFUNCTION("GOOGLETRANSLATE(B2745, ""en"", ""TL"")"),"Anong mga aksyon ang dapat gawin ng isang tagapag-empleyo kung ang isang empleyado ay patuloy na nahuhuli?")</f>
        <v>Anong mga aksyon ang dapat gawin ng isang tagapag-empleyo kung ang isang empleyado ay patuloy na nahuhuli?</v>
      </c>
      <c r="E2745" s="2" t="str">
        <f>IFERROR(__xludf.DUMMYFUNCTION("GOOGLETRANSLATE(C2745, ""en"", ""TL"")"),"Narito ang isang patnubay sa kung paano matutugunan ng isang tagapag-empleyo sa Pilipinas ang isang matagal nang nahuhuli na empleyado:
**1. Dokumentasyon at Pribadong Talakayan:**
* Magsimula sa pamamagitan ng pagdodokumento ng pagkahuli ng empleyado. Pa"&amp;"natilihin ang isang talaan ng mga petsa, oras, at anumang mga paliwanag na ibinigay.
* Mag-iskedyul ng pribadong pagpupulong kasama ang empleyado upang talakayin ang isyu. * Ipaliwanag kung paano nakakaapekto ang kanilang pagkahuli sa kanilang trabaho at "&amp;"potensyal na pagganap ng koponan.
**2. Unawain ang Dahilan:**
* Sa panahon ng talakayan, sikaping unawain ang ugat ng pagkaantala. Maaaring dahil ito sa mga isyu sa transportasyon, mga personal na problema, o hindi pagkakaunawaan tungkol sa mga oras ng tr"&amp;"abaho. **3. Galugarin ang Mga Solusyon:**
* Makipagtulungan sa empleyado upang makahanap ng mga solusyon. * Maaaring kabilang dito ang mga flexible na kaayusan sa trabaho, mga isinaayos na oras ng pagsisimula (kung posible), o mga opsyon sa carpooling (ku"&amp;"ng naaangkop).
**4. Progresibong Disiplina (kung kinakailangan):**
* Kung nagpapatuloy ang pagkahuli pagkatapos mag-explore ng mga solusyon, magpatupad ng progresibong diskarte sa pagdidisiplina.
* Karaniwang nagsasangkot ito ng pasalitang babala na sinus"&amp;"undan ng nakasulat na babala kung magpapatuloy ang pag-uugali.
* **Nilalaman ng Mga Babala:** Ang mga babala ay dapat na malinaw na nagbabalangkas ng mga inaasahan, ang mga kahihinatnan ng patuloy na pagkaantala, at isang takdang panahon para sa pagpapabu"&amp;"ti.
**5. Isaalang-alang ang Legal na Aksyon (bilang huling paraan):**
* Sa mga malalang kaso na may pare-parehong pagkahuli sa kabila ng mga babala at pagpapabaya sa mga iminungkahing solusyon, ang pagwawakas sa trabaho ay maaaring huling paraan. * Gayunp"&amp;"aman, tiyakin ang wastong dokumentasyon at pagsunod sa mga pamamaraan ng pagwawakas na nakabalangkas sa Labor Code (RA No. 6715) upang maiwasan ang mga legal na komplikasyon. **Mga Karagdagang Tip:**
* Panatilihin ang isang patas at pare-parehong diskarte"&amp;" sa pagkahuli sa lahat ng empleyado.
* Bigyang-diin ang kahalagahan ng pagiging maagap at propesyonalismo sa lugar ng trabaho.
* Mag-alok ng suporta kung ang pagkaantala ay nagmumula sa mga personal na problema na nais ibunyag ng empleyado.
Tandaan, ang b"&amp;"ukas na komunikasyon at paggalugad ng mga solusyon bago gamitin ang mga hakbang sa pagdidisiplina ay susi. **Mga Mapagkukunan:**
* Department of Labor and Employment (DOLE): [https://www.officialgazette.gov.ph/section/briefing-room/department-of-labor-and"&amp;"-employment/](https://www.officialgazette.gov .ph/section/briefing-room/department-of-labor-and-employment/)")</f>
        <v>Narito ang isang patnubay sa kung paano matutugunan ng isang tagapag-empleyo sa Pilipinas ang isang matagal nang nahuhuli na empleyado:
**1. Dokumentasyon at Pribadong Talakayan:**
* Magsimula sa pamamagitan ng pagdodokumento ng pagkahuli ng empleyado. Panatilihin ang isang talaan ng mga petsa, oras, at anumang mga paliwanag na ibinigay.
* Mag-iskedyul ng pribadong pagpupulong kasama ang empleyado upang talakayin ang isyu. * Ipaliwanag kung paano nakakaapekto ang kanilang pagkahuli sa kanilang trabaho at potensyal na pagganap ng koponan.
**2. Unawain ang Dahilan:**
* Sa panahon ng talakayan, sikaping unawain ang ugat ng pagkaantala. Maaaring dahil ito sa mga isyu sa transportasyon, mga personal na problema, o hindi pagkakaunawaan tungkol sa mga oras ng trabaho. **3. Galugarin ang Mga Solusyon:**
* Makipagtulungan sa empleyado upang makahanap ng mga solusyon. * Maaaring kabilang dito ang mga flexible na kaayusan sa trabaho, mga isinaayos na oras ng pagsisimula (kung posible), o mga opsyon sa carpooling (kung naaangkop).
**4. Progresibong Disiplina (kung kinakailangan):**
* Kung nagpapatuloy ang pagkahuli pagkatapos mag-explore ng mga solusyon, magpatupad ng progresibong diskarte sa pagdidisiplina.
* Karaniwang nagsasangkot ito ng pasalitang babala na sinusundan ng nakasulat na babala kung magpapatuloy ang pag-uugali.
* **Nilalaman ng Mga Babala:** Ang mga babala ay dapat na malinaw na nagbabalangkas ng mga inaasahan, ang mga kahihinatnan ng patuloy na pagkaantala, at isang takdang panahon para sa pagpapabuti.
**5. Isaalang-alang ang Legal na Aksyon (bilang huling paraan):**
* Sa mga malalang kaso na may pare-parehong pagkahuli sa kabila ng mga babala at pagpapabaya sa mga iminungkahing solusyon, ang pagwawakas sa trabaho ay maaaring huling paraan. * Gayunpaman, tiyakin ang wastong dokumentasyon at pagsunod sa mga pamamaraan ng pagwawakas na nakabalangkas sa Labor Code (RA No. 6715) upang maiwasan ang mga legal na komplikasyon. **Mga Karagdagang Tip:**
* Panatilihin ang isang patas at pare-parehong diskarte sa pagkahuli sa lahat ng empleyado.
* Bigyang-diin ang kahalagahan ng pagiging maagap at propesyonalismo sa lugar ng trabaho.
* Mag-alok ng suporta kung ang pagkaantala ay nagmumula sa mga personal na problema na nais ibunyag ng empleyado.
Tandaan, ang bukas na komunikasyon at paggalugad ng mga solusyon bago gamitin ang mga hakbang sa pagdidisiplina ay susi. **Mga Mapagkukunan:**
* Department of Labor and Employment (DOLE): [https://www.officialgazette.gov.ph/section/briefing-room/department-of-labor-and-employment/](https://www.officialgazette.gov .ph/section/briefing-room/department-of-labor-and-employment/)</v>
      </c>
      <c r="F2745" s="2">
        <f t="shared" si="1"/>
        <v>0</v>
      </c>
      <c r="G2745" s="2"/>
      <c r="H2745" s="2"/>
      <c r="I2745" s="2"/>
      <c r="J2745" s="2"/>
      <c r="K2745" s="2"/>
      <c r="L2745" s="2"/>
      <c r="M2745" s="2"/>
      <c r="N2745" s="2"/>
      <c r="O2745" s="2"/>
      <c r="P2745" s="2"/>
      <c r="Q2745" s="2"/>
      <c r="R2745" s="2"/>
      <c r="S2745" s="2"/>
      <c r="T2745" s="2"/>
      <c r="U2745" s="2"/>
      <c r="V2745" s="2"/>
      <c r="W2745" s="2"/>
      <c r="X2745" s="2"/>
      <c r="Y2745" s="2"/>
      <c r="Z2745" s="2"/>
      <c r="AA2745" s="2"/>
    </row>
    <row r="2746">
      <c r="A2746" s="3" t="s">
        <v>6373</v>
      </c>
      <c r="B2746" s="1" t="s">
        <v>6463</v>
      </c>
      <c r="C2746" s="3" t="s">
        <v>6464</v>
      </c>
      <c r="D2746" s="2" t="str">
        <f>IFERROR(__xludf.DUMMYFUNCTION("GOOGLETRANSLATE(B2746, ""en"", ""TL"")"),"Paano dapat pangasiwaan ng isang tagapag-empleyo ang isang sitwasyon kung saan ang pagganap ng isang empleyado ay apektado ng mga isyu sa kalusugan ng isip?")</f>
        <v>Paano dapat pangasiwaan ng isang tagapag-empleyo ang isang sitwasyon kung saan ang pagganap ng isang empleyado ay apektado ng mga isyu sa kalusugan ng isip?</v>
      </c>
      <c r="E2746" s="2" t="str">
        <f>IFERROR(__xludf.DUMMYFUNCTION("GOOGLETRANSLATE(C2746, ""en"", ""TL"")"),"Narito kung paano maaaring pangasiwaan ng isang employer sa Pilipinas ang isang sitwasyon kung saan ang pagganap ng isang empleyado ay apektado ng mga isyu sa kalusugan ng isip:
**1. Unahin ang Open Communication:**
* Hikayatin ang isang ligtas na lugar p"&amp;"ara sa bukas na komunikasyon. Nagbibigay-daan ito sa empleyado na ibunyag ang kanilang mga paghihirap sa kalusugan ng isip kung kumportable sila. * Maaari kang magsimula ng isang pag-uusap sa pamamagitan ng pagpapahayag ng pag-aalala tungkol sa kanilang p"&amp;"agganap at kagalingan. **2. Panatilihin ang Pagkakumpidensyal:**
* Igalang ang privacy ng empleyado. Tiyakin sa kanila na ang anumang impormasyong ibinunyag tungkol sa kanilang kalusugang pangkaisipan ay pananatiling kumpidensyal, sa loob ng mga hangganan"&amp;" ng batas.
**3. Galugarin ang Mga Makatwirang Akomodasyon (kung naaangkop):**
* Ang Konstitusyon ng Pilipinas (Artikulo XIII, Seksyon 3) ay ginagarantiyahan ang karapatan sa makatarungan at kanais-nais na mga tuntunin sa pagtatrabaho. * Kung ang empleyado"&amp;" ay nagpahayag ng isang kondisyon sa kalusugan ng isip, tuklasin ang mga makatwirang akomodasyon na maaaring suportahan ang kanilang pagganap sa trabaho nang walang labis na paghihirap sa negosyo. Maaaring kabilang dito ang:
* Flexible na mga iskedyul ng "&amp;"trabaho
* Binagong workload o mga deadline
* Panandaliang bakasyon para sa paggamot
**4. Isaalang-alang ang Employee Assistance Programs (EAPs):**
* Kung ang iyong kumpanya ay may EAP, hikayatin ang empleyado na gamitin ang mga serbisyo nito. * Nag-aalok "&amp;"ang mga EAP ng kumpidensyal na pagpapayo at suporta para sa mga empleyadong nahaharap sa personal o mga hamon na nauugnay sa trabaho, kabilang ang mga isyu sa kalusugan ng isip.
**5. Pamahalaan ang mga Inaasahan at Magtakda ng Mga Layunin:**
* Makipagtulu"&amp;"ngan sa empleyado (at potensyal na HR) upang magtakda ng makatotohanan at maaabot na mga layunin sa pagganap. * Maaaring subaybayan ng mga regular na check-in ang pag-unlad at isaayos ang plano kung kinakailangan. **6. Panatilihin ang isang Suportadong Ka"&amp;"paligiran sa Trabaho:**
* Isulong ang kultura sa lugar ng trabaho na nagpapaunlad ng kamalayan sa kalusugan ng isip at nagpapababa ng mantsa. * Sanayin ang mga tagapamahala at superbisor sa pagkilala sa mga palatandaan ng mga pakikibaka sa kalusugan ng is"&amp;"ip at kung paano mag-alok ng suporta.
**7. Humingi ng Legal na Patnubay (kung kinakailangan):**
* Ang mga kumplikadong sitwasyon o potensyal na legal na implikasyon ay maaaring mangailangan ng pagkonsulta sa isang abogado na dalubhasa sa batas sa paggawa."&amp;" * Maaari silang mag-alok ng gabay sa naaangkop na mga akomodasyon o potensyal na legal na mga kinakailangan batay sa partikular na sitwasyon.
**Mga Mapagkukunan:**
* Department of Labor and Employment (DOLE): [https://www.officialgazette.gov.ph/section/b"&amp;"riefing-room/department-of-labor-and-employment/](https://www.officialgazette.gov .ph/section/briefing-room/department-of-labor-and-employment/)
* Philippine Mental Health Association: [https://pmha.org.ph/](https://pmha.org.ph/)
**Tandaan:** * Ang empati"&amp;"ya at pag-unawa ay mahalaga.
* Tumutok sa pagsuporta sa kapakanan ng empleyado at paghahanap ng mga solusyon na makikinabang sa empleyado at sa kumpanya.
* Kapag may pagdududa, unahin ang bukas na komunikasyon at humingi ng legal na patnubay kung kinakail"&amp;"angan.")</f>
        <v>Narito kung paano maaaring pangasiwaan ng isang employer sa Pilipinas ang isang sitwasyon kung saan ang pagganap ng isang empleyado ay apektado ng mga isyu sa kalusugan ng isip:
**1. Unahin ang Open Communication:**
* Hikayatin ang isang ligtas na lugar para sa bukas na komunikasyon. Nagbibigay-daan ito sa empleyado na ibunyag ang kanilang mga paghihirap sa kalusugan ng isip kung kumportable sila. * Maaari kang magsimula ng isang pag-uusap sa pamamagitan ng pagpapahayag ng pag-aalala tungkol sa kanilang pagganap at kagalingan. **2. Panatilihin ang Pagkakumpidensyal:**
* Igalang ang privacy ng empleyado. Tiyakin sa kanila na ang anumang impormasyong ibinunyag tungkol sa kanilang kalusugang pangkaisipan ay pananatiling kumpidensyal, sa loob ng mga hangganan ng batas.
**3. Galugarin ang Mga Makatwirang Akomodasyon (kung naaangkop):**
* Ang Konstitusyon ng Pilipinas (Artikulo XIII, Seksyon 3) ay ginagarantiyahan ang karapatan sa makatarungan at kanais-nais na mga tuntunin sa pagtatrabaho. * Kung ang empleyado ay nagpahayag ng isang kondisyon sa kalusugan ng isip, tuklasin ang mga makatwirang akomodasyon na maaaring suportahan ang kanilang pagganap sa trabaho nang walang labis na paghihirap sa negosyo. Maaaring kabilang dito ang:
* Flexible na mga iskedyul ng trabaho
* Binagong workload o mga deadline
* Panandaliang bakasyon para sa paggamot
**4. Isaalang-alang ang Employee Assistance Programs (EAPs):**
* Kung ang iyong kumpanya ay may EAP, hikayatin ang empleyado na gamitin ang mga serbisyo nito. * Nag-aalok ang mga EAP ng kumpidensyal na pagpapayo at suporta para sa mga empleyadong nahaharap sa personal o mga hamon na nauugnay sa trabaho, kabilang ang mga isyu sa kalusugan ng isip.
**5. Pamahalaan ang mga Inaasahan at Magtakda ng Mga Layunin:**
* Makipagtulungan sa empleyado (at potensyal na HR) upang magtakda ng makatotohanan at maaabot na mga layunin sa pagganap. * Maaaring subaybayan ng mga regular na check-in ang pag-unlad at isaayos ang plano kung kinakailangan. **6. Panatilihin ang isang Suportadong Kapaligiran sa Trabaho:**
* Isulong ang kultura sa lugar ng trabaho na nagpapaunlad ng kamalayan sa kalusugan ng isip at nagpapababa ng mantsa. * Sanayin ang mga tagapamahala at superbisor sa pagkilala sa mga palatandaan ng mga pakikibaka sa kalusugan ng isip at kung paano mag-alok ng suporta.
**7. Humingi ng Legal na Patnubay (kung kinakailangan):**
* Ang mga kumplikadong sitwasyon o potensyal na legal na implikasyon ay maaaring mangailangan ng pagkonsulta sa isang abogado na dalubhasa sa batas sa paggawa. * Maaari silang mag-alok ng gabay sa naaangkop na mga akomodasyon o potensyal na legal na mga kinakailangan batay sa partikular na sitwasyon.
**Mga Mapagkukunan:**
* Department of Labor and Employment (DOLE): [https://www.officialgazette.gov.ph/section/briefing-room/department-of-labor-and-employment/](https://www.officialgazette.gov .ph/section/briefing-room/department-of-labor-and-employment/)
* Philippine Mental Health Association: [https://pmha.org.ph/](https://pmha.org.ph/)
**Tandaan:** * Ang empatiya at pag-unawa ay mahalaga.
* Tumutok sa pagsuporta sa kapakanan ng empleyado at paghahanap ng mga solusyon na makikinabang sa empleyado at sa kumpanya.
* Kapag may pagdududa, unahin ang bukas na komunikasyon at humingi ng legal na patnubay kung kinakailangan.</v>
      </c>
      <c r="F2746" s="2">
        <f t="shared" si="1"/>
        <v>0</v>
      </c>
      <c r="G2746" s="2"/>
      <c r="H2746" s="2"/>
      <c r="I2746" s="2"/>
      <c r="J2746" s="2"/>
      <c r="K2746" s="2"/>
      <c r="L2746" s="2"/>
      <c r="M2746" s="2"/>
      <c r="N2746" s="2"/>
      <c r="O2746" s="2"/>
      <c r="P2746" s="2"/>
      <c r="Q2746" s="2"/>
      <c r="R2746" s="2"/>
      <c r="S2746" s="2"/>
      <c r="T2746" s="2"/>
      <c r="U2746" s="2"/>
      <c r="V2746" s="2"/>
      <c r="W2746" s="2"/>
      <c r="X2746" s="2"/>
      <c r="Y2746" s="2"/>
      <c r="Z2746" s="2"/>
      <c r="AA2746" s="2"/>
    </row>
    <row r="2747">
      <c r="A2747" s="3" t="s">
        <v>6373</v>
      </c>
      <c r="B2747" s="1" t="s">
        <v>6465</v>
      </c>
      <c r="C2747" s="3" t="s">
        <v>6466</v>
      </c>
      <c r="D2747" s="2" t="str">
        <f>IFERROR(__xludf.DUMMYFUNCTION("GOOGLETRANSLATE(B2747, ""en"", ""TL"")"),"Maaari bang hilingin ng isang tagapag-empleyo na mag-overtime ang mga empleyado sa panahon ng mga emerhensiya nang walang karagdagang kabayaran?")</f>
        <v>Maaari bang hilingin ng isang tagapag-empleyo na mag-overtime ang mga empleyado sa panahon ng mga emerhensiya nang walang karagdagang kabayaran?</v>
      </c>
      <c r="E2747" s="2" t="str">
        <f>IFERROR(__xludf.DUMMYFUNCTION("GOOGLETRANSLATE(C2747, ""en"", ""TL"")"),"Sa Pilipinas, ang sagot ay depende sa uri ng emergency. Narito ang isang breakdown batay sa batas ng Pilipinas (Labor Code - RA No. 6715):
**Pangkalahatang Panuntunan: Ang Overtime ay Nangangailangan ng Karagdagang Bayad**
* Ang overtime na trabaho ay bin"&amp;"ibigyang kahulugan bilang anumang gawaing ginagawa nang lampas sa regular na oras ng pagtatrabaho, na karaniwang 8 oras bawat araw (Artikulo 87).
* Ang mga empleyado ay may karapatan sa karagdagang kabayaran para sa overtime na trabaho (Artikulo 90).
**Ex"&amp;"ception: Pang-emergency na Overtime na Trabaho**
May mga pagbubukod kung saan ang mga tagapag-empleyo ay maaaring mangailangan ng overtime na trabaho nang walang karagdagang kabayaran, ngunit sa ilalim lamang ng mga partikular na sitwasyong pang-emergency"&amp;" (Artikulo 89):
* **Digmaan o Pambansang Emergency:** Kapag ang bansa ay nasa digmaan o isang pambansang emerhensiya ay idineklara ng Pambansang Asamblea o ng Punong Tagapagpaganap.
* **Tunay o Paparating na Mga Emergency:** Sa mga kaso ng aktwal o papara"&amp;"ting na mga emerhensiya na dulot ng malubhang aksidente, sunog, baha, bagyo, lindol, epidemya, o iba pang mga sakuna o kalamidad upang maiwasan ang pagkawala ng buhay o ari-arian o napipintong panganib sa kaligtasan ng publiko .
**Emergency Overtime kumpa"&amp;"ra sa Iba Pang Sitwasyon**
Mahalagang makilala ang pang-emergency na overtime mula sa ibang mga sitwasyon na maaaring mangailangan ng dagdag na trabaho:
* **Mga Deadline ng Pagpupulong:** Kung ang overtime na trabaho ay dahil sa regular na workload o mga "&amp;"deadline ng pagtugon, nalalapat ang overtime pay. * **Apurahan ngunit Hindi Pang-emergency:** Kahit na ang agarang trabaho na hindi nasa ilalim ng mga kategoryang pang-emergency na nakalista sa itaas (hal., pag-aayos ng pagkasira ng makina) ay nangangaila"&amp;"ngan ng overtime na bayad.
**Mga Pangunahing Punto:**
* Ang emergency overtime ay isang limitadong pagbubukod. * Para sa karamihan ng mga overtime na trabaho, kahit na sa mapanghamong mga pangyayari, ang mga empleyado ay may karapatan sa karagdagang kabay"&amp;"aran.
* Kung hindi ka sigurado kung ang isang sitwasyon ay kuwalipikado para sa emergency na overtime, ang pagkonsulta sa isang abogado na dalubhasa sa batas sa paggawa ay inirerekomenda.
**Mga Mapagkukunan:**
* Department of Labor and Employment (DOLE): "&amp;"[https://www.officialgazette.gov.ph/](https://www.officialgazette.gov.ph/)")</f>
        <v>Sa Pilipinas, ang sagot ay depende sa uri ng emergency. Narito ang isang breakdown batay sa batas ng Pilipinas (Labor Code - RA No. 6715):
**Pangkalahatang Panuntunan: Ang Overtime ay Nangangailangan ng Karagdagang Bayad**
* Ang overtime na trabaho ay binibigyang kahulugan bilang anumang gawaing ginagawa nang lampas sa regular na oras ng pagtatrabaho, na karaniwang 8 oras bawat araw (Artikulo 87).
* Ang mga empleyado ay may karapatan sa karagdagang kabayaran para sa overtime na trabaho (Artikulo 90).
**Exception: Pang-emergency na Overtime na Trabaho**
May mga pagbubukod kung saan ang mga tagapag-empleyo ay maaaring mangailangan ng overtime na trabaho nang walang karagdagang kabayaran, ngunit sa ilalim lamang ng mga partikular na sitwasyong pang-emergency (Artikulo 89):
* **Digmaan o Pambansang Emergency:** Kapag ang bansa ay nasa digmaan o isang pambansang emerhensiya ay idineklara ng Pambansang Asamblea o ng Punong Tagapagpaganap.
* **Tunay o Paparating na Mga Emergency:** Sa mga kaso ng aktwal o paparating na mga emerhensiya na dulot ng malubhang aksidente, sunog, baha, bagyo, lindol, epidemya, o iba pang mga sakuna o kalamidad upang maiwasan ang pagkawala ng buhay o ari-arian o napipintong panganib sa kaligtasan ng publiko .
**Emergency Overtime kumpara sa Iba Pang Sitwasyon**
Mahalagang makilala ang pang-emergency na overtime mula sa ibang mga sitwasyon na maaaring mangailangan ng dagdag na trabaho:
* **Mga Deadline ng Pagpupulong:** Kung ang overtime na trabaho ay dahil sa regular na workload o mga deadline ng pagtugon, nalalapat ang overtime pay. * **Apurahan ngunit Hindi Pang-emergency:** Kahit na ang agarang trabaho na hindi nasa ilalim ng mga kategoryang pang-emergency na nakalista sa itaas (hal., pag-aayos ng pagkasira ng makina) ay nangangailangan ng overtime na bayad.
**Mga Pangunahing Punto:**
* Ang emergency overtime ay isang limitadong pagbubukod. * Para sa karamihan ng mga overtime na trabaho, kahit na sa mapanghamong mga pangyayari, ang mga empleyado ay may karapatan sa karagdagang kabayaran.
* Kung hindi ka sigurado kung ang isang sitwasyon ay kuwalipikado para sa emergency na overtime, ang pagkonsulta sa isang abogado na dalubhasa sa batas sa paggawa ay inirerekomenda.
**Mga Mapagkukunan:**
* Department of Labor and Employment (DOLE): [https://www.officialgazette.gov.ph/](https://www.officialgazette.gov.ph/)</v>
      </c>
      <c r="F2747" s="2">
        <f t="shared" si="1"/>
        <v>0</v>
      </c>
      <c r="G2747" s="2"/>
      <c r="H2747" s="2"/>
      <c r="I2747" s="2"/>
      <c r="J2747" s="2"/>
      <c r="K2747" s="2"/>
      <c r="L2747" s="2"/>
      <c r="M2747" s="2"/>
      <c r="N2747" s="2"/>
      <c r="O2747" s="2"/>
      <c r="P2747" s="2"/>
      <c r="Q2747" s="2"/>
      <c r="R2747" s="2"/>
      <c r="S2747" s="2"/>
      <c r="T2747" s="2"/>
      <c r="U2747" s="2"/>
      <c r="V2747" s="2"/>
      <c r="W2747" s="2"/>
      <c r="X2747" s="2"/>
      <c r="Y2747" s="2"/>
      <c r="Z2747" s="2"/>
      <c r="AA2747" s="2"/>
    </row>
    <row r="2748">
      <c r="A2748" s="3" t="s">
        <v>6373</v>
      </c>
      <c r="B2748" s="1" t="s">
        <v>6467</v>
      </c>
      <c r="C2748" s="3" t="s">
        <v>6468</v>
      </c>
      <c r="D2748" s="2" t="str">
        <f>IFERROR(__xludf.DUMMYFUNCTION("GOOGLETRANSLATE(B2748, ""en"", ""TL"")"),"Anong mga hakbang ang dapat gawin ng isang employer kung ang isang empleyado ay inakusahan ng paglabag sa mga patakaran ng kumpanya sa social media?")</f>
        <v>Anong mga hakbang ang dapat gawin ng isang employer kung ang isang empleyado ay inakusahan ng paglabag sa mga patakaran ng kumpanya sa social media?</v>
      </c>
      <c r="E2748" s="2" t="str">
        <f>IFERROR(__xludf.DUMMYFUNCTION("GOOGLETRANSLATE(C2748, ""en"", ""TL"")"),"Narito ang isang patnubay para sa kung paano matutugunan ng isang employer sa Pilipinas ang isang empleyado na inakusahan ng paglabag sa mga patakaran ng social media ng kumpanya:
**1. Mangalap ng Impormasyon:**
* **Imbistigahan ang Akusasyon:** Bago guma"&amp;"wa ng anumang aksyon, imbestigahan ang pinaghihinalaang paglabag. Maaaring kabilang dito ang pangangalap ng ebidensya tulad ng mga screenshot o mga pahayag ng saksi (kung naaangkop). * **Suriin ang Patakaran sa Social Media:** Tiyaking nauunawaan mo ang p"&amp;"artikular na patakaran ng kumpanya sa paggamit ng social media at ang mga potensyal na kahihinatnan ng mga paglabag. * **Isaalang-alang ang Konteksto:** Suriin ang konteksto ng aktibidad sa social media ng empleyado. Ito ba ay nasa kanilang personal na ac"&amp;"count kapag walang trabaho? Direktang tinukoy ba nito ang kumpanya o mga kasamahan? Ang kalubhaan ay maaaring mag-iba depende sa mga salik na ito.
**2. Panatilihin ang Pagkakumpidensyal:**
* Sa buong proseso, unahin ang pagiging kumpidensyal. * Limitahan "&amp;"ang mga talakayan tungkol sa sitwasyon sa mga direktang sangkot sa imbestigasyon. **3. Takdang Proseso:**
* **Pagtalakay sa Empleyado:** Kapag nakakuha ka ng impormasyon, mag-iskedyul ng pribadong pagpupulong kasama ang empleyado upang talakayin ang akusa"&amp;"syon. * **Karapatan sa Paliwanag:** Bigyan sila ng pagkakataong ipaliwanag ang kanilang mga aksyon at ipakita ang kanilang pananaw.
**4. Desisyon at Potensyal na Pagkilos:**
* **Batay sa imbestigasyon at paliwanag ng empleyado, magpasya sa naaangkop na ak"&amp;"syon.** Ito ay maaaring mula sa:
* **Impormal na Babala:** Isang pasalita o nakasulat na babala na nagpapaalala sa empleyado ng patakaran at mga potensyal na kahihinatnan ng mga paglabag sa hinaharap.
* **Pagkilos na Pandisiplina:** Depende sa kalubhaan n"&amp;"g paglabag, maaaring ipatupad ang mga hakbang sa pagdidisiplina ayon sa patakaran ng kumpanya, na posibleng kabilang ang pagsususpinde o pagwawakas.
**Mahahalagang Pagsasaalang-alang:**
* **Balansehin ang mga Lehitimong Interes:** Ang kumpanya ay may kara"&amp;"patan na protektahan ang reputasyon nito at ipatupad ang mga patakaran. Gayunpaman, balansehin ito sa karapatan ng empleyado sa kalayaan sa pagpapahayag sa kanilang mga personal na social media account sa labas ng oras ng trabaho. * **Proporsyonalidad:** "&amp;"Ang aksyong pandisiplina ay dapat na proporsyonal sa kalubhaan ng paglabag.
**Mga Legal na Pagsasaalang-alang:**
* Ang batas ng Pilipinas ay walang mga partikular na regulasyon sa pag-uugali sa social media sa labas ng trabaho. Gayunpaman, ginagarantiyaha"&amp;"n ng Konstitusyon (Artikulo III, Seksyon 5) ang kalayaan sa pagsasalita. * Ang pagkonsulta sa isang abogado na dalubhasa sa batas sa paggawa ay inirerekomenda upang matiyak na ang iyong mga aksyon ay sumusunod sa batas ng Pilipinas at maiwasan ang mga pot"&amp;"ensyal na legal na hindi pagkakaunawaan.
**Mga Karagdagang Mapagkukunan:**
* Department of Labor and Employment (DOLE): [https://www.officialgazette.gov.ph/section/briefing-room/department-of-labor-and-employment/](https://www.officialgazette.gov .ph/sect"&amp;"ion/briefing-room/department-of-labor-and-employment/)
Tandaan, ang isang malinaw at mahusay na tinukoy na patakaran sa social media ay nakakatulong na pamahalaan ang mga inaasahan at nagbibigay ng balangkas para sa pagtugon sa mga potensyal na paglabag.")</f>
        <v>Narito ang isang patnubay para sa kung paano matutugunan ng isang employer sa Pilipinas ang isang empleyado na inakusahan ng paglabag sa mga patakaran ng social media ng kumpanya:
**1. Mangalap ng Impormasyon:**
* **Imbistigahan ang Akusasyon:** Bago gumawa ng anumang aksyon, imbestigahan ang pinaghihinalaang paglabag. Maaaring kabilang dito ang pangangalap ng ebidensya tulad ng mga screenshot o mga pahayag ng saksi (kung naaangkop). * **Suriin ang Patakaran sa Social Media:** Tiyaking nauunawaan mo ang partikular na patakaran ng kumpanya sa paggamit ng social media at ang mga potensyal na kahihinatnan ng mga paglabag. * **Isaalang-alang ang Konteksto:** Suriin ang konteksto ng aktibidad sa social media ng empleyado. Ito ba ay nasa kanilang personal na account kapag walang trabaho? Direktang tinukoy ba nito ang kumpanya o mga kasamahan? Ang kalubhaan ay maaaring mag-iba depende sa mga salik na ito.
**2. Panatilihin ang Pagkakumpidensyal:**
* Sa buong proseso, unahin ang pagiging kumpidensyal. * Limitahan ang mga talakayan tungkol sa sitwasyon sa mga direktang sangkot sa imbestigasyon. **3. Takdang Proseso:**
* **Pagtalakay sa Empleyado:** Kapag nakakuha ka ng impormasyon, mag-iskedyul ng pribadong pagpupulong kasama ang empleyado upang talakayin ang akusasyon. * **Karapatan sa Paliwanag:** Bigyan sila ng pagkakataong ipaliwanag ang kanilang mga aksyon at ipakita ang kanilang pananaw.
**4. Desisyon at Potensyal na Pagkilos:**
* **Batay sa imbestigasyon at paliwanag ng empleyado, magpasya sa naaangkop na aksyon.** Ito ay maaaring mula sa:
* **Impormal na Babala:** Isang pasalita o nakasulat na babala na nagpapaalala sa empleyado ng patakaran at mga potensyal na kahihinatnan ng mga paglabag sa hinaharap.
* **Pagkilos na Pandisiplina:** Depende sa kalubhaan ng paglabag, maaaring ipatupad ang mga hakbang sa pagdidisiplina ayon sa patakaran ng kumpanya, na posibleng kabilang ang pagsususpinde o pagwawakas.
**Mahahalagang Pagsasaalang-alang:**
* **Balansehin ang mga Lehitimong Interes:** Ang kumpanya ay may karapatan na protektahan ang reputasyon nito at ipatupad ang mga patakaran. Gayunpaman, balansehin ito sa karapatan ng empleyado sa kalayaan sa pagpapahayag sa kanilang mga personal na social media account sa labas ng oras ng trabaho. * **Proporsyonalidad:** Ang aksyong pandisiplina ay dapat na proporsyonal sa kalubhaan ng paglabag.
**Mga Legal na Pagsasaalang-alang:**
* Ang batas ng Pilipinas ay walang mga partikular na regulasyon sa pag-uugali sa social media sa labas ng trabaho. Gayunpaman, ginagarantiyahan ng Konstitusyon (Artikulo III, Seksyon 5) ang kalayaan sa pagsasalita. * Ang pagkonsulta sa isang abogado na dalubhasa sa batas sa paggawa ay inirerekomenda upang matiyak na ang iyong mga aksyon ay sumusunod sa batas ng Pilipinas at maiwasan ang mga potensyal na legal na hindi pagkakaunawaan.
**Mga Karagdagang Mapagkukunan:**
* Department of Labor and Employment (DOLE): [https://www.officialgazette.gov.ph/section/briefing-room/department-of-labor-and-employment/](https://www.officialgazette.gov .ph/section/briefing-room/department-of-labor-and-employment/)
Tandaan, ang isang malinaw at mahusay na tinukoy na patakaran sa social media ay nakakatulong na pamahalaan ang mga inaasahan at nagbibigay ng balangkas para sa pagtugon sa mga potensyal na paglabag.</v>
      </c>
      <c r="F2748" s="2">
        <f t="shared" si="1"/>
        <v>0</v>
      </c>
      <c r="G2748" s="2"/>
      <c r="H2748" s="2"/>
      <c r="I2748" s="2"/>
      <c r="J2748" s="2"/>
      <c r="K2748" s="2"/>
      <c r="L2748" s="2"/>
      <c r="M2748" s="2"/>
      <c r="N2748" s="2"/>
      <c r="O2748" s="2"/>
      <c r="P2748" s="2"/>
      <c r="Q2748" s="2"/>
      <c r="R2748" s="2"/>
      <c r="S2748" s="2"/>
      <c r="T2748" s="2"/>
      <c r="U2748" s="2"/>
      <c r="V2748" s="2"/>
      <c r="W2748" s="2"/>
      <c r="X2748" s="2"/>
      <c r="Y2748" s="2"/>
      <c r="Z2748" s="2"/>
      <c r="AA2748" s="2"/>
    </row>
    <row r="2749">
      <c r="A2749" s="3" t="s">
        <v>6373</v>
      </c>
      <c r="B2749" s="1" t="s">
        <v>6469</v>
      </c>
      <c r="C2749" s="3" t="s">
        <v>6470</v>
      </c>
      <c r="D2749" s="2" t="str">
        <f>IFERROR(__xludf.DUMMYFUNCTION("GOOGLETRANSLATE(B2749, ""en"", ""TL"")"),"Paano dapat pangasiwaan ng isang tagapag-empleyo ang isang sitwasyon kung saan ang isang empleyado ay tumangging pumirma sa isang plano sa pagpapahusay ng pagganap?")</f>
        <v>Paano dapat pangasiwaan ng isang tagapag-empleyo ang isang sitwasyon kung saan ang isang empleyado ay tumangging pumirma sa isang plano sa pagpapahusay ng pagganap?</v>
      </c>
      <c r="E2749" s="2" t="str">
        <f>IFERROR(__xludf.DUMMYFUNCTION("GOOGLETRANSLATE(C2749, ""en"", ""TL"")"),"Narito kung paano haharapin ng isang employer sa Pilipinas ang isang sitwasyon kung saan ang isang empleyado ay tumatangging pumirma sa isang performance improvement plan (PIP):
**Pag-unawa sa Mga Dahilan ng Pagtanggi:**
* Bago gumawa ng karagdagang aksyo"&amp;"n, subukang unawain kung bakit nag-aalangan ang empleyado na pirmahan ang PIP. * Mag-iskedyul ng isang pribadong pagpupulong upang talakayin ang kanilang mga alalahanin. * Ito ay maaaring dahil sa mga hindi pagkakasundo sa pagtatasa ng pagganap, hindi mak"&amp;"atotohanang mga layunin sa pagpapabuti, o kakulangan ng kalinawan tungkol sa mga kahihinatnan ng hindi pagtupad sa plano.
**Pagtugon sa mga Alalahanin at Bukas na Komunikasyon:**
* Tugunan ang mga partikular na alalahanin ng empleyado nang hayagan at tapa"&amp;"t. * Maging handa na linawin ang PIP at ayusin ang mga partikular na punto kung kinakailangan, hangga't pinapanatili nito ang pangkalahatang layunin ng pagpapabuti ng pagganap.
* Hikayatin ang bukas na komunikasyon at tumuon sa paghahanap ng solusyon na g"&amp;"umagana para sa parehong partido.
**Mga Opsyon Kapag Nabigo ang Negosasyon:**
* Kung ang mga talakayan ay mabibigo na maabot ang isang kasunduan sa PIP, ang employer ay may ilang mga opsyon:
* **Idokumento ang Pagtanggi:** Panatilihin ang isang talaan ng "&amp;"mga talakayan at ang pagtanggi ng empleyado na lagdaan ang PIP.
* **Magpatuloy sa PIP (walang pirma):** Ang PIP ay maaari pa ring ipatupad kahit walang pirma ng empleyado. Gayunpaman, tiyakin ang malinaw na komunikasyon tungkol sa mga inaasahan at mga pot"&amp;"ensyal na kahihinatnan.
* **Isaalang-alang ang Mga Alternatibong Solusyon:** Depende sa sitwasyon, tuklasin ang mga alternatibong solusyon tulad ng karagdagang pagsasanay o muling pagtatalaga (kung naaangkop) bago gumamit ng aksyong pandisiplina.
**Mga Le"&amp;"gal na Pagsasaalang-alang:**
* Sa Pilipinas, walang legal na kinakailangan para sa isang empleyado na pumirma sa isang PIP. * Ang pagtuon ay dapat sa mga dokumentadong isyu sa pagganap, malinaw na mga layunin sa pagpapahusay, at patas na pagpapatupad ng p"&amp;"lano.
**Kahalagahan ng Dokumentasyon:**
* Ang wastong dokumentasyon ay mahalaga sa buong proseso. * Kabilang dito ang pagdodokumento ng mga alalahanin sa pagganap, mga talakayan sa empleyado, ang PIP mismo, at anumang mga pagtatangka na tugunan ang kanila"&amp;"ng mga alalahanin tungkol sa plano.
**Naghahanap ng Legal na Patnubay:**
* Inirerekomenda ang pagkonsulta sa isang abogado na dalubhasa sa batas sa paggawa, lalo na sa mga komplikadong sitwasyon. * Maaari silang magpayo sa pinakamahusay na paraan ng pagki"&amp;"los na isinasaalang-alang ang mga partikular na detalye ng kaso at tiyakin ang pagsunod sa mga batas sa paggawa ng Pilipinas. **Tandaan:**
* Unahin ang malinaw na komunikasyon at tugunan ang mga alalahanin ng empleyado. * Tumutok sa pagkamit ng isang coll"&amp;"aborative na solusyon para sa pagpapabuti ng pagganap. * Panatilihin ang wastong dokumentasyon sa buong proseso. * Isaalang-alang ang paghingi ng legal na patnubay para sa mga kumplikadong sitwasyon.")</f>
        <v>Narito kung paano haharapin ng isang employer sa Pilipinas ang isang sitwasyon kung saan ang isang empleyado ay tumatangging pumirma sa isang performance improvement plan (PIP):
**Pag-unawa sa Mga Dahilan ng Pagtanggi:**
* Bago gumawa ng karagdagang aksyon, subukang unawain kung bakit nag-aalangan ang empleyado na pirmahan ang PIP. * Mag-iskedyul ng isang pribadong pagpupulong upang talakayin ang kanilang mga alalahanin. * Ito ay maaaring dahil sa mga hindi pagkakasundo sa pagtatasa ng pagganap, hindi makatotohanang mga layunin sa pagpapabuti, o kakulangan ng kalinawan tungkol sa mga kahihinatnan ng hindi pagtupad sa plano.
**Pagtugon sa mga Alalahanin at Bukas na Komunikasyon:**
* Tugunan ang mga partikular na alalahanin ng empleyado nang hayagan at tapat. * Maging handa na linawin ang PIP at ayusin ang mga partikular na punto kung kinakailangan, hangga't pinapanatili nito ang pangkalahatang layunin ng pagpapabuti ng pagganap.
* Hikayatin ang bukas na komunikasyon at tumuon sa paghahanap ng solusyon na gumagana para sa parehong partido.
**Mga Opsyon Kapag Nabigo ang Negosasyon:**
* Kung ang mga talakayan ay mabibigo na maabot ang isang kasunduan sa PIP, ang employer ay may ilang mga opsyon:
* **Idokumento ang Pagtanggi:** Panatilihin ang isang talaan ng mga talakayan at ang pagtanggi ng empleyado na lagdaan ang PIP.
* **Magpatuloy sa PIP (walang pirma):** Ang PIP ay maaari pa ring ipatupad kahit walang pirma ng empleyado. Gayunpaman, tiyakin ang malinaw na komunikasyon tungkol sa mga inaasahan at mga potensyal na kahihinatnan.
* **Isaalang-alang ang Mga Alternatibong Solusyon:** Depende sa sitwasyon, tuklasin ang mga alternatibong solusyon tulad ng karagdagang pagsasanay o muling pagtatalaga (kung naaangkop) bago gumamit ng aksyong pandisiplina.
**Mga Legal na Pagsasaalang-alang:**
* Sa Pilipinas, walang legal na kinakailangan para sa isang empleyado na pumirma sa isang PIP. * Ang pagtuon ay dapat sa mga dokumentadong isyu sa pagganap, malinaw na mga layunin sa pagpapahusay, at patas na pagpapatupad ng plano.
**Kahalagahan ng Dokumentasyon:**
* Ang wastong dokumentasyon ay mahalaga sa buong proseso. * Kabilang dito ang pagdodokumento ng mga alalahanin sa pagganap, mga talakayan sa empleyado, ang PIP mismo, at anumang mga pagtatangka na tugunan ang kanilang mga alalahanin tungkol sa plano.
**Naghahanap ng Legal na Patnubay:**
* Inirerekomenda ang pagkonsulta sa isang abogado na dalubhasa sa batas sa paggawa, lalo na sa mga komplikadong sitwasyon. * Maaari silang magpayo sa pinakamahusay na paraan ng pagkilos na isinasaalang-alang ang mga partikular na detalye ng kaso at tiyakin ang pagsunod sa mga batas sa paggawa ng Pilipinas. **Tandaan:**
* Unahin ang malinaw na komunikasyon at tugunan ang mga alalahanin ng empleyado. * Tumutok sa pagkamit ng isang collaborative na solusyon para sa pagpapabuti ng pagganap. * Panatilihin ang wastong dokumentasyon sa buong proseso. * Isaalang-alang ang paghingi ng legal na patnubay para sa mga kumplikadong sitwasyon.</v>
      </c>
      <c r="F2749" s="2">
        <f t="shared" si="1"/>
        <v>0</v>
      </c>
      <c r="G2749" s="2"/>
      <c r="H2749" s="2"/>
      <c r="I2749" s="2"/>
      <c r="J2749" s="2"/>
      <c r="K2749" s="2"/>
      <c r="L2749" s="2"/>
      <c r="M2749" s="2"/>
      <c r="N2749" s="2"/>
      <c r="O2749" s="2"/>
      <c r="P2749" s="2"/>
      <c r="Q2749" s="2"/>
      <c r="R2749" s="2"/>
      <c r="S2749" s="2"/>
      <c r="T2749" s="2"/>
      <c r="U2749" s="2"/>
      <c r="V2749" s="2"/>
      <c r="W2749" s="2"/>
      <c r="X2749" s="2"/>
      <c r="Y2749" s="2"/>
      <c r="Z2749" s="2"/>
      <c r="AA2749" s="2"/>
    </row>
    <row r="2750">
      <c r="A2750" s="3" t="s">
        <v>6373</v>
      </c>
      <c r="B2750" s="1" t="s">
        <v>6471</v>
      </c>
      <c r="C2750" s="3" t="s">
        <v>6472</v>
      </c>
      <c r="D2750" s="2" t="str">
        <f>IFERROR(__xludf.DUMMYFUNCTION("GOOGLETRANSLATE(B2750, ""en"", ""TL"")"),"Maaari bang pigilin ng employer ang suweldo para sa mga empleyadong nagwewelga?")</f>
        <v>Maaari bang pigilin ng employer ang suweldo para sa mga empleyadong nagwewelga?</v>
      </c>
      <c r="E2750" s="2" t="str">
        <f>IFERROR(__xludf.DUMMYFUNCTION("GOOGLETRANSLATE(C2750, ""en"", ""TL"")"),"Sa Pilipinas, **hindi simpleng oo o hindi** ang sagot tungkol sa pag-withhold ng suweldo para sa mga nagwewelga na empleyado. Narito ang isang breakdown batay sa batas ng Pilipinas:
**No Work, No Pay Principle:**
* Walang tahasang batas na nagbabawal sa m"&amp;"ga employer na pigilin ang mga suweldo sa panahon ng mga welga. * Nalalapat ang pangkalahatang prinsipyo ng ""walang trabaho, walang bayad"" (Artikulo 94 ng Kodigo sa Paggawa). **Gayunpaman, isaalang-alang ang mga puntong ito:**
* **Legalidad ng Strike:**"&amp;" Ang employer ay makakapagpigil lamang ng suweldo kung ang welga ay idineklara na ilegal ng mga kaukulang awtoridad (hal., National Labor Relations Commission - NLRC). * **Mga Pagsisikap sa Mabuting Pananampalataya:** Kahit na sa mga legal na welga, maaar"&amp;"ing hamunin ang kumpletong pag-iingat ng suweldo kung ang employer ay hindi nakipagtulungan sa mabuting loob na lutasin ang hindi pagkakaunawaan sa paggawa bago magsimula ang welga.
**Mga Posibleng Sitwasyon:**
* **Legal Strike at No Good Faith Efforts:**"&amp;" Sa kasong ito, maaaring legal ang pagpigil ng suweldo.
* **Legal Strike na may Mabuting Pagsisikap:** Maaaring malabanan ang pag-withhold ng buong suweldo. Maaaring kailanganin ng employer na magbayad ng bahagi para sa mga araw na hindi nagtrabaho.
* **I"&amp;"legal na Strike:** Maaaring i-withhold ng employer ang suweldo, ngunit maaaring may iba pang legal na claim ang mga nagwewelga na manggagawa depende sa mga pangyayari.
**Mga Karagdagang Pagsasaalang-alang:**
* **Karapatang Magwelga ng Empleyado:** Ang Kon"&amp;"stitusyon ng Pilipinas (Artikulo XIII, Seksyon 3) ay ginagarantiyahan ang karapatan ng mga manggagawa na magwelga alinsunod sa batas.
* **Balanse ng mga Interes:** Binabalanse ng mga korte ang karapatan ng employer na patakbuhin ang negosyo sa karapatan n"&amp;"g empleyado na magwelga at patas na pagtrato.
**Mga Rekomendasyon:**
* **Kumonsulta sa isang Abogado:** Maaaring kumplikado ang batas sa paggawa, lalo na tungkol sa mga welga. Ang pagkonsulta sa isang abogado na dalubhasa sa batas sa paggawa ay lubos na i"&amp;"nirerekomenda upang maunawaan ang iyong mga karapatan at obligasyon sa isang partikular na sitwasyon. * **Panatilihin ang Dokumentasyon:** Idokumento ang lahat ng mga pagsusumikap na ginawa upang malutas ang hindi pagkakaunawaan sa paggawa bago ang welga "&amp;"at anumang pakikipag-ugnayan sa mga nagwewelgang empleyado.
**Mga Mapagkukunan:**
* Department of Labor and Employment (DOLE): [https://www.officialgazette.gov.ph/section/briefing-room/department-of-labor-and-employment/](https://www.officialgazette.gov ."&amp;"ph/section/briefing-room/department-of-labor-and-employment/)
* National Labor Relations Commission (NLRC): [https://www.nlrb.gov/](https://www.nlrb.gov/)")</f>
        <v>Sa Pilipinas, **hindi simpleng oo o hindi** ang sagot tungkol sa pag-withhold ng suweldo para sa mga nagwewelga na empleyado. Narito ang isang breakdown batay sa batas ng Pilipinas:
**No Work, No Pay Principle:**
* Walang tahasang batas na nagbabawal sa mga employer na pigilin ang mga suweldo sa panahon ng mga welga. * Nalalapat ang pangkalahatang prinsipyo ng "walang trabaho, walang bayad" (Artikulo 94 ng Kodigo sa Paggawa). **Gayunpaman, isaalang-alang ang mga puntong ito:**
* **Legalidad ng Strike:** Ang employer ay makakapagpigil lamang ng suweldo kung ang welga ay idineklara na ilegal ng mga kaukulang awtoridad (hal., National Labor Relations Commission - NLRC). * **Mga Pagsisikap sa Mabuting Pananampalataya:** Kahit na sa mga legal na welga, maaaring hamunin ang kumpletong pag-iingat ng suweldo kung ang employer ay hindi nakipagtulungan sa mabuting loob na lutasin ang hindi pagkakaunawaan sa paggawa bago magsimula ang welga.
**Mga Posibleng Sitwasyon:**
* **Legal Strike at No Good Faith Efforts:** Sa kasong ito, maaaring legal ang pagpigil ng suweldo.
* **Legal Strike na may Mabuting Pagsisikap:** Maaaring malabanan ang pag-withhold ng buong suweldo. Maaaring kailanganin ng employer na magbayad ng bahagi para sa mga araw na hindi nagtrabaho.
* **Ilegal na Strike:** Maaaring i-withhold ng employer ang suweldo, ngunit maaaring may iba pang legal na claim ang mga nagwewelga na manggagawa depende sa mga pangyayari.
**Mga Karagdagang Pagsasaalang-alang:**
* **Karapatang Magwelga ng Empleyado:** Ang Konstitusyon ng Pilipinas (Artikulo XIII, Seksyon 3) ay ginagarantiyahan ang karapatan ng mga manggagawa na magwelga alinsunod sa batas.
* **Balanse ng mga Interes:** Binabalanse ng mga korte ang karapatan ng employer na patakbuhin ang negosyo sa karapatan ng empleyado na magwelga at patas na pagtrato.
**Mga Rekomendasyon:**
* **Kumonsulta sa isang Abogado:** Maaaring kumplikado ang batas sa paggawa, lalo na tungkol sa mga welga. Ang pagkonsulta sa isang abogado na dalubhasa sa batas sa paggawa ay lubos na inirerekomenda upang maunawaan ang iyong mga karapatan at obligasyon sa isang partikular na sitwasyon. * **Panatilihin ang Dokumentasyon:** Idokumento ang lahat ng mga pagsusumikap na ginawa upang malutas ang hindi pagkakaunawaan sa paggawa bago ang welga at anumang pakikipag-ugnayan sa mga nagwewelgang empleyado.
**Mga Mapagkukunan:**
* Department of Labor and Employment (DOLE): [https://www.officialgazette.gov.ph/section/briefing-room/department-of-labor-and-employment/](https://www.officialgazette.gov .ph/section/briefing-room/department-of-labor-and-employment/)
* National Labor Relations Commission (NLRC): [https://www.nlrb.gov/](https://www.nlrb.gov/)</v>
      </c>
      <c r="F2750" s="2">
        <f t="shared" si="1"/>
        <v>0</v>
      </c>
      <c r="G2750" s="2"/>
      <c r="H2750" s="2"/>
      <c r="I2750" s="2"/>
      <c r="J2750" s="2"/>
      <c r="K2750" s="2"/>
      <c r="L2750" s="2"/>
      <c r="M2750" s="2"/>
      <c r="N2750" s="2"/>
      <c r="O2750" s="2"/>
      <c r="P2750" s="2"/>
      <c r="Q2750" s="2"/>
      <c r="R2750" s="2"/>
      <c r="S2750" s="2"/>
      <c r="T2750" s="2"/>
      <c r="U2750" s="2"/>
      <c r="V2750" s="2"/>
      <c r="W2750" s="2"/>
      <c r="X2750" s="2"/>
      <c r="Y2750" s="2"/>
      <c r="Z2750" s="2"/>
      <c r="AA2750" s="2"/>
    </row>
    <row r="2751">
      <c r="A2751" s="3" t="s">
        <v>6373</v>
      </c>
      <c r="B2751" s="1" t="s">
        <v>6473</v>
      </c>
      <c r="C2751" s="3" t="s">
        <v>6474</v>
      </c>
      <c r="D2751" s="2" t="str">
        <f>IFERROR(__xludf.DUMMYFUNCTION("GOOGLETRANSLATE(B2751, ""en"", ""TL"")"),"Ano ang dapat gawin ng isang tagapag-empleyo kung ang isang empleyado ay nagsampa ng maling reklamo ng panliligalig laban sa isang kasamahan?")</f>
        <v>Ano ang dapat gawin ng isang tagapag-empleyo kung ang isang empleyado ay nagsampa ng maling reklamo ng panliligalig laban sa isang kasamahan?</v>
      </c>
      <c r="E2751" s="2" t="str">
        <f>IFERROR(__xludf.DUMMYFUNCTION("GOOGLETRANSLATE(C2751, ""en"", ""TL"")"),"Narito ang isang patnubay sa kung paano maaaring pangasiwaan ng isang employer sa Pilipinas ang isang sitwasyon kung saan ang isang empleyado ay nagsampa ng maling reklamo ng panliligalig laban sa isang kasamahan:
**1. Seryosohin ang Reklamo:**
* Kahit na"&amp;" pinaghihinalaan mong maaaring hindi totoo ang reklamo, mahalagang seryosohin ito. * Iwasang ibasura ang akusasyon nang walang tamang imbestigasyon. Ipinapakita nito ang iyong pangako sa pagbibigay ng ligtas at walang harassment na lugar ng trabaho.
**2. "&amp;"Magsagawa ng Masusing Pagsisiyasat:**
* Magtalaga ng isang neutral at layunin na imbestigador upang pangasiwaan ang kaso. * Ang imbestigasyon ay dapat mangalap ng ebidensya mula sa nagrereklamo (nag-akusa) at sa akusado na empleyado, kasama ang mga pahaya"&amp;"g ng saksi at anumang nauugnay na dokumentasyon.
**3. Protektahan ang Pagkakumpidensyal:**
* Panatilihin ang pagiging kompidensiyal sa buong proseso ng pagsisiyasat upang maprotektahan ang privacy ng parehong partidong kasangkot. **4. Isaalang-alang ang M"&amp;"ga Potensyal na Resulta:**
* Ang pagsisiyasat ay maaaring magbunyag ng ilang mga posibilidad:
* **Substantiated Harassment:** Kung napatunayan ang panliligalig, nararapat na magsagawa ng naaangkop na aksyong pandisiplina laban sa may kasalanan ayon sa pat"&amp;"akaran ng kumpanya, na posibleng kasama ang pagwawakas.
* **Walang Katibayan na Reklamo:** Kung ang pagsisiyasat ay nagpapakita na ang reklamo ay hindi napatunayan o mali, idokumento nang malinaw ang mga natuklasan. * **Sa ilang mga kaso,** aksyong pandis"&amp;"iplina laban sa nagrereklamong empleyado **maaaring** posible, ngunit mag-ingat dito. Pinoprotektahan ng batas ng Pilipinas ang mga whistleblower, at kahit ang maling reklamo ay maaaring magmula sa isang tunay (ngunit maling) paniniwala ng panliligalig. K"&amp;"umonsulta sa isang abogado upang maunawaan kung naaangkop ang aksyong pandisiplina sa partikular na kaso na ito. **5. Kahalagahan ng Dokumentasyon:**
* Sa buong proseso, panatilihin ang masusing dokumentasyon ng reklamo, mga hakbang sa pagsisiyasat na gin"&amp;"awa, mga pahayag ng saksi, at ang mga huling natuklasan. * Pinoprotektahan nito ang kumpanya sa kaso ng mga legal na hamon.
**Mga Legal na Pagsasaalang-alang:**
* Ang paghahain ng maling reklamo ay maaaring ituring na isang uri ng pang-aabuso sa proseso. "&amp;"* Gayunpaman, ang legal na aksyon laban sa nagrereklamong empleyado ay dapat na isang huling paraan at pagkatapos lamang kumonsulta sa isang abogado na dalubhasa sa batas sa paggawa. * Kailangan mong tiyakin na ang iyong mga aksyon ay sumusunod sa mga bat"&amp;"as laban sa paghihiganti ng Pilipinas upang maiwasan ang mga potensyal na legal na isyu.
**Mga Karagdagang Rekomendasyon:**
* **Malinaw na Patakaran sa Laban sa Panliligalig:** Ang pagkakaroon ng malinaw at mahusay na pakikipag-usap na patakaran laban sa "&amp;"panliligalig ay makakatulong na maiwasan ang mga ganitong sitwasyon at magtatag ng proseso para sa pag-uulat at pagsisiyasat ng mga reklamo.
* **Pagsasanay sa Empleyado:** Ang regular na pagsasanay sa panliligalig sa lugar ng trabaho at mga wastong pamama"&amp;"raan ng reklamo ay maaaring turuan ang mga empleyado tungkol sa magalang na pag-uugali at responsableng pag-uulat.
**Mga Mapagkukunan:**
* Department of Labor and Employment (DOLE): [https://www.officialgazette.gov.ph/section/briefing-room/department-of-l"&amp;"abor-and-employment/](https://www.officialgazette.gov .ph/section/briefing-room/department-of-labor-and-employment/)
* Philippine Commission on Women (PCW): [https://pcw.gov.ph/](https://pcw.gov.ph/)
**Tandaan:** * Seryosohin ang lahat ng reklamo ng panli"&amp;"ligalig at magsagawa ng patas na pagsisiyasat.
* Protektahan ang pagiging kompidensiyal.
* Humingi ng legal na patnubay para sa mga kumplikadong sitwasyon tungkol sa mga potensyal na aksyong pandisiplina at pag-navigate sa mga batas laban sa paghihiganti.")</f>
        <v>Narito ang isang patnubay sa kung paano maaaring pangasiwaan ng isang employer sa Pilipinas ang isang sitwasyon kung saan ang isang empleyado ay nagsampa ng maling reklamo ng panliligalig laban sa isang kasamahan:
**1. Seryosohin ang Reklamo:**
* Kahit na pinaghihinalaan mong maaaring hindi totoo ang reklamo, mahalagang seryosohin ito. * Iwasang ibasura ang akusasyon nang walang tamang imbestigasyon. Ipinapakita nito ang iyong pangako sa pagbibigay ng ligtas at walang harassment na lugar ng trabaho.
**2. Magsagawa ng Masusing Pagsisiyasat:**
* Magtalaga ng isang neutral at layunin na imbestigador upang pangasiwaan ang kaso. * Ang imbestigasyon ay dapat mangalap ng ebidensya mula sa nagrereklamo (nag-akusa) at sa akusado na empleyado, kasama ang mga pahayag ng saksi at anumang nauugnay na dokumentasyon.
**3. Protektahan ang Pagkakumpidensyal:**
* Panatilihin ang pagiging kompidensiyal sa buong proseso ng pagsisiyasat upang maprotektahan ang privacy ng parehong partidong kasangkot. **4. Isaalang-alang ang Mga Potensyal na Resulta:**
* Ang pagsisiyasat ay maaaring magbunyag ng ilang mga posibilidad:
* **Substantiated Harassment:** Kung napatunayan ang panliligalig, nararapat na magsagawa ng naaangkop na aksyong pandisiplina laban sa may kasalanan ayon sa patakaran ng kumpanya, na posibleng kasama ang pagwawakas.
* **Walang Katibayan na Reklamo:** Kung ang pagsisiyasat ay nagpapakita na ang reklamo ay hindi napatunayan o mali, idokumento nang malinaw ang mga natuklasan. * **Sa ilang mga kaso,** aksyong pandisiplina laban sa nagrereklamong empleyado **maaaring** posible, ngunit mag-ingat dito. Pinoprotektahan ng batas ng Pilipinas ang mga whistleblower, at kahit ang maling reklamo ay maaaring magmula sa isang tunay (ngunit maling) paniniwala ng panliligalig. Kumonsulta sa isang abogado upang maunawaan kung naaangkop ang aksyong pandisiplina sa partikular na kaso na ito. **5. Kahalagahan ng Dokumentasyon:**
* Sa buong proseso, panatilihin ang masusing dokumentasyon ng reklamo, mga hakbang sa pagsisiyasat na ginawa, mga pahayag ng saksi, at ang mga huling natuklasan. * Pinoprotektahan nito ang kumpanya sa kaso ng mga legal na hamon.
**Mga Legal na Pagsasaalang-alang:**
* Ang paghahain ng maling reklamo ay maaaring ituring na isang uri ng pang-aabuso sa proseso. * Gayunpaman, ang legal na aksyon laban sa nagrereklamong empleyado ay dapat na isang huling paraan at pagkatapos lamang kumonsulta sa isang abogado na dalubhasa sa batas sa paggawa. * Kailangan mong tiyakin na ang iyong mga aksyon ay sumusunod sa mga batas laban sa paghihiganti ng Pilipinas upang maiwasan ang mga potensyal na legal na isyu.
**Mga Karagdagang Rekomendasyon:**
* **Malinaw na Patakaran sa Laban sa Panliligalig:** Ang pagkakaroon ng malinaw at mahusay na pakikipag-usap na patakaran laban sa panliligalig ay makakatulong na maiwasan ang mga ganitong sitwasyon at magtatag ng proseso para sa pag-uulat at pagsisiyasat ng mga reklamo.
* **Pagsasanay sa Empleyado:** Ang regular na pagsasanay sa panliligalig sa lugar ng trabaho at mga wastong pamamaraan ng reklamo ay maaaring turuan ang mga empleyado tungkol sa magalang na pag-uugali at responsableng pag-uulat.
**Mga Mapagkukunan:**
* Department of Labor and Employment (DOLE): [https://www.officialgazette.gov.ph/section/briefing-room/department-of-labor-and-employment/](https://www.officialgazette.gov .ph/section/briefing-room/department-of-labor-and-employment/)
* Philippine Commission on Women (PCW): [https://pcw.gov.ph/](https://pcw.gov.ph/)
**Tandaan:** * Seryosohin ang lahat ng reklamo ng panliligalig at magsagawa ng patas na pagsisiyasat.
* Protektahan ang pagiging kompidensiyal.
* Humingi ng legal na patnubay para sa mga kumplikadong sitwasyon tungkol sa mga potensyal na aksyong pandisiplina at pag-navigate sa mga batas laban sa paghihiganti.</v>
      </c>
      <c r="F2751" s="2">
        <f t="shared" si="1"/>
        <v>0</v>
      </c>
      <c r="G2751" s="2"/>
      <c r="H2751" s="2"/>
      <c r="I2751" s="2"/>
      <c r="J2751" s="2"/>
      <c r="K2751" s="2"/>
      <c r="L2751" s="2"/>
      <c r="M2751" s="2"/>
      <c r="N2751" s="2"/>
      <c r="O2751" s="2"/>
      <c r="P2751" s="2"/>
      <c r="Q2751" s="2"/>
      <c r="R2751" s="2"/>
      <c r="S2751" s="2"/>
      <c r="T2751" s="2"/>
      <c r="U2751" s="2"/>
      <c r="V2751" s="2"/>
      <c r="W2751" s="2"/>
      <c r="X2751" s="2"/>
      <c r="Y2751" s="2"/>
      <c r="Z2751" s="2"/>
      <c r="AA2751" s="2"/>
    </row>
    <row r="2752">
      <c r="A2752" s="3" t="s">
        <v>6475</v>
      </c>
      <c r="B2752" s="1" t="s">
        <v>6476</v>
      </c>
      <c r="C2752" s="3" t="s">
        <v>6477</v>
      </c>
      <c r="D2752" s="2" t="str">
        <f>IFERROR(__xludf.DUMMYFUNCTION("GOOGLETRANSLATE(B2752, ""en"", ""TL"")"),"Ano ang mga legal na kinakailangan para sa pagkuha ng mga permit para sa mga proyektong pang-imprastraktura sa Pilipinas?")</f>
        <v>Ano ang mga legal na kinakailangan para sa pagkuha ng mga permit para sa mga proyektong pang-imprastraktura sa Pilipinas?</v>
      </c>
      <c r="E2752" s="2" t="str">
        <f>IFERROR(__xludf.DUMMYFUNCTION("GOOGLETRANSLATE(C2752, ""en"", ""TL"")"),"Ang pagkuha ng mga permit para sa mga proyektong pang-imprastraktura sa Pilipinas ay nagsasangkot ng maraming ahensya at regulasyon ng gobyerno. Narito ang isang pangkalahatang-ideya, ngunit tandaan na hindi ito isang kumpletong listahan, at ang mga parti"&amp;"kular na kinakailangan ay maaaring mag-iba depende sa uri ng proyekto, lokasyon, at sukat:
**Pambansang Ahensya:**
* **National Economic and Development Authority (NEDA):** Ang mga proyektong may malaking epekto sa ekonomiya ay karaniwang nangangailangan "&amp;"ng pag-apruba mula sa NEDA sa pamamagitan ng Investment Coordination Committee (ICC).
* **Department of Public Works and Highways (DPWH):** Karamihan sa mga proyektong pang-imprastraktura ay nangangailangan ng mga permit mula sa DPWH, lalo na para sa pagt"&amp;"atayo sa mga pampublikong kalsada o nakakaapekto sa pambansang imprastraktura. Nag-isyu sila ng mga permit tulad ng:
* **Clearance/Permit to Construct:** Pinapahintulutan ang mga aktibidad sa pagtatayo sa loob ng right-of-way ng DPWH.
* **Environmental Co"&amp;"mpliance Certificate (ECC):** Inisyu ng Environmental Management Bureau (EMB) sa ilalim ng DPWH, ngunit ang proseso ay kadalasang nagsasangkot ng mga pampublikong konsultasyon at mga pagsusuri sa epekto.
**Ibang Potensyal na Kasangkot na Ahensya:**
* **De"&amp;"partment of Environment and Natural Resources (DENR):** Ang mga proyektong nakakaapekto sa likas na yaman o protektadong lugar ay maaaring mangailangan ng mga permit mula sa DENR, gaya ng:
* **Permit sa Pagputol ng Puno**
* **Ground Disurbance Permit**
* "&amp;"**Wildlife Clearance**
* **Local Government Units (LGUs):** Ang mga LGU (lungsod, munisipalidad) ay may mga regulasyon sa zoning at maaaring mangailangan ng mga karagdagang permit tulad ng:
* **Mga Building Permit**
* **Lokal na Clearance**
* **Right-of-W"&amp;"ay Permit** (para sa konstruksyon na nakakaapekto sa mga lokal na kalsada o lugar)
* **Iba pang Ahensya (depende sa proyekto):** Depende sa partikular na uri ng proyekto, mga karagdagang permit mula sa mga ahensya tulad ng Department of Transportation (DO"&amp;"Tr) para sa mga riles o proyekto ng abyasyon, National Water Resources Board (NWRB) para sa may kaugnayan sa tubig mga proyekto, o National Commission on Indigenous Peoples (NCIP) para sa mga proyektong nakakaapekto sa mga katutubong komunidad ay maaaring"&amp;" kailanganin.
**Pangkalahatang Proseso:**
1. **Pag-aaral at Pagpaplano ng Feasibility ng Proyekto:** Ang paunang yugtong ito ay kinabibilangan ng pagtukoy sa saklaw ng proyekto, lokasyon, at mga potensyal na epekto sa kapaligiran at panlipunan.
2. **Pag-s"&amp;"ecure ng Mga Endorsement:** Depende sa uri ng proyekto, maaaring kailanganin ang mga pag-endorso mula sa iba't ibang ahensya tulad ng NEDA o LGU sa yugto ng pagpaplano.
3. **Mga Aplikasyon ng Permit:** Ang mga pormal na aplikasyon na may mga kinakailangan"&amp;"g teknikal na dokumento at mga bayarin ay isinumite sa mga nauugnay na ahensya.
4. **Mga Pampublikong Konsultasyon at Mga Pagsusuri sa Epekto:** Maaaring mangailangan ang ilang proyekto ng mga pampublikong konsultasyon at pagsusuri sa epekto sa kapaligira"&amp;"n depende sa mga regulasyon ng mga partikular na ahensya (hal., EMB para sa ECC).
5. **Pagbibigay ng Permit:** Pagkatapos ng masusing proseso ng pagsusuri, maaaring magbigay ang mga ahensya ng mga permit na may mga partikular na kundisyon.
**Mahahalagang "&amp;"Pagsasaalang-alang:**
* Magbigay ng sapat na oras para sa proseso ng pagpapahintulot, dahil maaari itong magsama ng maraming ahensya at konsultasyon.
* Ang pagkonsulta sa isang propesyonal na pamilyar sa pagpapahintulot ng proyektong pang-imprastraktura n"&amp;"g Pilipinas ay lubos na inirerekomenda upang matiyak na makukuha mo ang lahat ng kinakailangang permit at sumunod sa mga regulasyon.
* Ang mga pagsusuri sa epekto sa kapaligiran at panlipunan ay maaaring maging mahalaga depende sa sukat ng proyekto at pot"&amp;"ensyal na epekto.
**Mga Mapagkukunan:**
* National Economic and Development Authority (NEDA): [https://neda.gov.ph/](https://neda.gov.ph/) * Department of Public Works and Highways (DPWH): [https:// www.dpwh.gov.ph/](https://www.dpwh.gov.ph/)
* Environmen"&amp;"tal Management Bureau (EMB): [https://emb.gov.ph/](https://emb.gov.ph/)
* Department of Environment and Natural Resources (DENR): [https://www.denr.gov.ph/](https://www.denr.gov.ph/)
* Local Government Units (LGUs): Makipag-ugnayan sa iyong partikular na "&amp;"pamahalaang lungsod o munisipyo para sa kanilang mga kinakailangan.")</f>
        <v>Ang pagkuha ng mga permit para sa mga proyektong pang-imprastraktura sa Pilipinas ay nagsasangkot ng maraming ahensya at regulasyon ng gobyerno. Narito ang isang pangkalahatang-ideya, ngunit tandaan na hindi ito isang kumpletong listahan, at ang mga partikular na kinakailangan ay maaaring mag-iba depende sa uri ng proyekto, lokasyon, at sukat:
**Pambansang Ahensya:**
* **National Economic and Development Authority (NEDA):** Ang mga proyektong may malaking epekto sa ekonomiya ay karaniwang nangangailangan ng pag-apruba mula sa NEDA sa pamamagitan ng Investment Coordination Committee (ICC).
* **Department of Public Works and Highways (DPWH):** Karamihan sa mga proyektong pang-imprastraktura ay nangangailangan ng mga permit mula sa DPWH, lalo na para sa pagtatayo sa mga pampublikong kalsada o nakakaapekto sa pambansang imprastraktura. Nag-isyu sila ng mga permit tulad ng:
* **Clearance/Permit to Construct:** Pinapahintulutan ang mga aktibidad sa pagtatayo sa loob ng right-of-way ng DPWH.
* **Environmental Compliance Certificate (ECC):** Inisyu ng Environmental Management Bureau (EMB) sa ilalim ng DPWH, ngunit ang proseso ay kadalasang nagsasangkot ng mga pampublikong konsultasyon at mga pagsusuri sa epekto.
**Ibang Potensyal na Kasangkot na Ahensya:**
* **Department of Environment and Natural Resources (DENR):** Ang mga proyektong nakakaapekto sa likas na yaman o protektadong lugar ay maaaring mangailangan ng mga permit mula sa DENR, gaya ng:
* **Permit sa Pagputol ng Puno**
* **Ground Disurbance Permit**
* **Wildlife Clearance**
* **Local Government Units (LGUs):** Ang mga LGU (lungsod, munisipalidad) ay may mga regulasyon sa zoning at maaaring mangailangan ng mga karagdagang permit tulad ng:
* **Mga Building Permit**
* **Lokal na Clearance**
* **Right-of-Way Permit** (para sa konstruksyon na nakakaapekto sa mga lokal na kalsada o lugar)
* **Iba pang Ahensya (depende sa proyekto):** Depende sa partikular na uri ng proyekto, mga karagdagang permit mula sa mga ahensya tulad ng Department of Transportation (DOTr) para sa mga riles o proyekto ng abyasyon, National Water Resources Board (NWRB) para sa may kaugnayan sa tubig mga proyekto, o National Commission on Indigenous Peoples (NCIP) para sa mga proyektong nakakaapekto sa mga katutubong komunidad ay maaaring kailanganin.
**Pangkalahatang Proseso:**
1. **Pag-aaral at Pagpaplano ng Feasibility ng Proyekto:** Ang paunang yugtong ito ay kinabibilangan ng pagtukoy sa saklaw ng proyekto, lokasyon, at mga potensyal na epekto sa kapaligiran at panlipunan.
2. **Pag-secure ng Mga Endorsement:** Depende sa uri ng proyekto, maaaring kailanganin ang mga pag-endorso mula sa iba't ibang ahensya tulad ng NEDA o LGU sa yugto ng pagpaplano.
3. **Mga Aplikasyon ng Permit:** Ang mga pormal na aplikasyon na may mga kinakailangang teknikal na dokumento at mga bayarin ay isinumite sa mga nauugnay na ahensya.
4. **Mga Pampublikong Konsultasyon at Mga Pagsusuri sa Epekto:** Maaaring mangailangan ang ilang proyekto ng mga pampublikong konsultasyon at pagsusuri sa epekto sa kapaligiran depende sa mga regulasyon ng mga partikular na ahensya (hal., EMB para sa ECC).
5. **Pagbibigay ng Permit:** Pagkatapos ng masusing proseso ng pagsusuri, maaaring magbigay ang mga ahensya ng mga permit na may mga partikular na kundisyon.
**Mahahalagang Pagsasaalang-alang:**
* Magbigay ng sapat na oras para sa proseso ng pagpapahintulot, dahil maaari itong magsama ng maraming ahensya at konsultasyon.
* Ang pagkonsulta sa isang propesyonal na pamilyar sa pagpapahintulot ng proyektong pang-imprastraktura ng Pilipinas ay lubos na inirerekomenda upang matiyak na makukuha mo ang lahat ng kinakailangang permit at sumunod sa mga regulasyon.
* Ang mga pagsusuri sa epekto sa kapaligiran at panlipunan ay maaaring maging mahalaga depende sa sukat ng proyekto at potensyal na epekto.
**Mga Mapagkukunan:**
* National Economic and Development Authority (NEDA): [https://neda.gov.ph/](https://neda.gov.ph/) * Department of Public Works and Highways (DPWH): [https:// www.dpwh.gov.ph/](https://www.dpwh.gov.ph/)
* Environmental Management Bureau (EMB): [https://emb.gov.ph/](https://emb.gov.ph/)
* Department of Environment and Natural Resources (DENR): [https://www.denr.gov.ph/](https://www.denr.gov.ph/)
* Local Government Units (LGUs): Makipag-ugnayan sa iyong partikular na pamahalaang lungsod o munisipyo para sa kanilang mga kinakailangan.</v>
      </c>
      <c r="F2752" s="2">
        <f t="shared" si="1"/>
        <v>0</v>
      </c>
      <c r="G2752" s="2"/>
      <c r="H2752" s="2"/>
      <c r="I2752" s="2"/>
      <c r="J2752" s="2"/>
      <c r="K2752" s="2"/>
      <c r="L2752" s="2"/>
      <c r="M2752" s="2"/>
      <c r="N2752" s="2"/>
      <c r="O2752" s="2"/>
      <c r="P2752" s="2"/>
      <c r="Q2752" s="2"/>
      <c r="R2752" s="2"/>
      <c r="S2752" s="2"/>
      <c r="T2752" s="2"/>
      <c r="U2752" s="2"/>
      <c r="V2752" s="2"/>
      <c r="W2752" s="2"/>
      <c r="X2752" s="2"/>
      <c r="Y2752" s="2"/>
      <c r="Z2752" s="2"/>
      <c r="AA2752" s="2"/>
    </row>
    <row r="2753">
      <c r="A2753" s="3" t="s">
        <v>6475</v>
      </c>
      <c r="B2753" s="1" t="s">
        <v>6478</v>
      </c>
      <c r="C2753" s="3" t="s">
        <v>6479</v>
      </c>
      <c r="D2753" s="2" t="str">
        <f>IFERROR(__xludf.DUMMYFUNCTION("GOOGLETRANSLATE(B2753, ""en"", ""TL"")"),"Ipaliwanag ang papel ng National Housing Authority sa pagsasaayos ng mga pagpapaunlad ng pabahay.")</f>
        <v>Ipaliwanag ang papel ng National Housing Authority sa pagsasaayos ng mga pagpapaunlad ng pabahay.</v>
      </c>
      <c r="E2753" s="2" t="str">
        <f>IFERROR(__xludf.DUMMYFUNCTION("GOOGLETRANSLATE(C2753, ""en"", ""TL"")"),"Ang National Housing Authority (NHA) sa Pilipinas ay gumaganap ng isang mahalagang papel sa pagsasaayos ng mga pagpapaunlad ng pabahay, ngunit mahalagang maunawaan na ang tungkulin nito ay umunlad mula noong ito ay nilikha. Narito ang isang breakdown ng m"&amp;"ga pangunahing function nito:
**Makasaysayang Konteksto:**
* Orihinal na (naitatag noong 1975), ang NHA ay ang tanging ahensya ng gobyerno na responsable para sa paggawa ng pabahay, kabilang ang pagbuo at pagpopondo sa mga proyekto sa pabahay.
**Kasalukuy"&amp;"ang Tungkulin (Pagkatapos ng 2019):**
* Ang Department of Human Settlements and Urban Development (DHSUD) ay itinatag noong 2019. Kinuha nito ang mga tungkulin sa paggawa ng patakaran at pagpaplano para sa pagpapaunlad ng pabahay mula sa NHA.
* Gayunpaman"&amp;", ang NHA ay nananatiling mahalagang naka-attach na ahensya sa ilalim ng DHSUD, na tumutuon sa mga partikular na aspeto ng regulasyon at pagpapatupad:
* **Socialized Housing Development:** Ang NHA ay gumaganap ng mahalagang papel sa pagbuo at pag-regulate"&amp;" ng mga proyekto sa pabahay para sa mga pamilyang mababa ang kita. Kabilang dito ang:
* Pagkilala at pagkuha ng lupa para sa mga proyekto ng socialized housing.
* Pagtatakda ng mga pamantayan at patnubay para sa mga socialized housing unit.
* Pakikipagtul"&amp;"ungan sa mga pribadong developer para sa pagtatayo ng mga proyektong pabahay sa lipunan.
* **Resettlement Programs:** Ang NHA ay kasangkot sa pagpapatira sa mga pamilyang apektado ng mga proyektong pang-imprastraktura, natural na sakuna, o iba pang mga pa"&amp;"ngyayari na nangangailangan ng relokasyon. Kabilang dito ang:
* Pagkilala sa mga resettlement site.
* Pagbuo ng mga plano sa resettlement.
* Pagbibigay ng mga serbisyo ng suporta sa mga inilipat na pamilya.
* **Pagsubaybay at Pagsunod:** Sinusubaybayan ng"&amp;" NHA ang mga pagpapaunlad ng pribadong pabahay upang matiyak ang pagsunod sa mga kodigo ng gusali, mga regulasyong pangkalikasan, at mga pamantayan ng programa sa socialized housing.
**NHA vs. HLURB:**
* Mahalagang makilala ang NHA mula sa Housing and Lan"&amp;"d Use Regulatory Board (HLURB). * Ang HLURB ay isang kaakibat na ahensya sa ilalim ng DHSUD na may mas malawak na tungkulin sa pag-regulate ng sektor ng pabahay at paggamit ng lupa. * Ang HLURB ay nag-isyu ng mga lisensya sa mga developer, kinokontrol ang"&amp;" pagbebenta ng mga subdivision lot at condominium, at nagpapatupad ng mga patas na gawi sa pabahay. **Sa Buod:**
Bagama't wala nang nag-iisang responsibilidad ang NHA para sa pagpapaunlad ng pabahay, nananatili itong pangunahing manlalaro sa pag-regulate "&amp;"ng mga proyekto ng socialized housing, mga programa sa resettlement, at pagtiyak ng pagsunod sa loob ng sektor ng pabahay. Gumagana ito kasabay ng DHSUD at HLURB para sa isang komprehensibong diskarte sa pagpapaunlad at regulasyon ng pabahay sa Pilipinas.")</f>
        <v>Ang National Housing Authority (NHA) sa Pilipinas ay gumaganap ng isang mahalagang papel sa pagsasaayos ng mga pagpapaunlad ng pabahay, ngunit mahalagang maunawaan na ang tungkulin nito ay umunlad mula noong ito ay nilikha. Narito ang isang breakdown ng mga pangunahing function nito:
**Makasaysayang Konteksto:**
* Orihinal na (naitatag noong 1975), ang NHA ay ang tanging ahensya ng gobyerno na responsable para sa paggawa ng pabahay, kabilang ang pagbuo at pagpopondo sa mga proyekto sa pabahay.
**Kasalukuyang Tungkulin (Pagkatapos ng 2019):**
* Ang Department of Human Settlements and Urban Development (DHSUD) ay itinatag noong 2019. Kinuha nito ang mga tungkulin sa paggawa ng patakaran at pagpaplano para sa pagpapaunlad ng pabahay mula sa NHA.
* Gayunpaman, ang NHA ay nananatiling mahalagang naka-attach na ahensya sa ilalim ng DHSUD, na tumutuon sa mga partikular na aspeto ng regulasyon at pagpapatupad:
* **Socialized Housing Development:** Ang NHA ay gumaganap ng mahalagang papel sa pagbuo at pag-regulate ng mga proyekto sa pabahay para sa mga pamilyang mababa ang kita. Kabilang dito ang:
* Pagkilala at pagkuha ng lupa para sa mga proyekto ng socialized housing.
* Pagtatakda ng mga pamantayan at patnubay para sa mga socialized housing unit.
* Pakikipagtulungan sa mga pribadong developer para sa pagtatayo ng mga proyektong pabahay sa lipunan.
* **Resettlement Programs:** Ang NHA ay kasangkot sa pagpapatira sa mga pamilyang apektado ng mga proyektong pang-imprastraktura, natural na sakuna, o iba pang mga pangyayari na nangangailangan ng relokasyon. Kabilang dito ang:
* Pagkilala sa mga resettlement site.
* Pagbuo ng mga plano sa resettlement.
* Pagbibigay ng mga serbisyo ng suporta sa mga inilipat na pamilya.
* **Pagsubaybay at Pagsunod:** Sinusubaybayan ng NHA ang mga pagpapaunlad ng pribadong pabahay upang matiyak ang pagsunod sa mga kodigo ng gusali, mga regulasyong pangkalikasan, at mga pamantayan ng programa sa socialized housing.
**NHA vs. HLURB:**
* Mahalagang makilala ang NHA mula sa Housing and Land Use Regulatory Board (HLURB). * Ang HLURB ay isang kaakibat na ahensya sa ilalim ng DHSUD na may mas malawak na tungkulin sa pag-regulate ng sektor ng pabahay at paggamit ng lupa. * Ang HLURB ay nag-isyu ng mga lisensya sa mga developer, kinokontrol ang pagbebenta ng mga subdivision lot at condominium, at nagpapatupad ng mga patas na gawi sa pabahay. **Sa Buod:**
Bagama't wala nang nag-iisang responsibilidad ang NHA para sa pagpapaunlad ng pabahay, nananatili itong pangunahing manlalaro sa pag-regulate ng mga proyekto ng socialized housing, mga programa sa resettlement, at pagtiyak ng pagsunod sa loob ng sektor ng pabahay. Gumagana ito kasabay ng DHSUD at HLURB para sa isang komprehensibong diskarte sa pagpapaunlad at regulasyon ng pabahay sa Pilipinas.</v>
      </c>
      <c r="F2753" s="2">
        <f t="shared" si="1"/>
        <v>0</v>
      </c>
      <c r="G2753" s="2"/>
      <c r="H2753" s="2"/>
      <c r="I2753" s="2"/>
      <c r="J2753" s="2"/>
      <c r="K2753" s="2"/>
      <c r="L2753" s="2"/>
      <c r="M2753" s="2"/>
      <c r="N2753" s="2"/>
      <c r="O2753" s="2"/>
      <c r="P2753" s="2"/>
      <c r="Q2753" s="2"/>
      <c r="R2753" s="2"/>
      <c r="S2753" s="2"/>
      <c r="T2753" s="2"/>
      <c r="U2753" s="2"/>
      <c r="V2753" s="2"/>
      <c r="W2753" s="2"/>
      <c r="X2753" s="2"/>
      <c r="Y2753" s="2"/>
      <c r="Z2753" s="2"/>
      <c r="AA2753" s="2"/>
    </row>
    <row r="2754">
      <c r="A2754" s="3" t="s">
        <v>6475</v>
      </c>
      <c r="B2754" s="1" t="s">
        <v>6480</v>
      </c>
      <c r="C2754" s="3" t="s">
        <v>6481</v>
      </c>
      <c r="D2754" s="2" t="str">
        <f>IFERROR(__xludf.DUMMYFUNCTION("GOOGLETRANSLATE(B2754, ""en"", ""TL"")"),"Paano tinutugunan ng batas ng Pilipinas ang mga isyu sa pagkuha ng lupa para sa mga proyektong pang-imprastraktura?")</f>
        <v>Paano tinutugunan ng batas ng Pilipinas ang mga isyu sa pagkuha ng lupa para sa mga proyektong pang-imprastraktura?</v>
      </c>
      <c r="E2754" s="2" t="str">
        <f>IFERROR(__xludf.DUMMYFUNCTION("GOOGLETRANSLATE(C2754, ""en"", ""TL"")"),"Tinutugunan ng batas ng Pilipinas ang pagkuha ng lupa para sa mga proyektong pang-imprastraktura sa pamamagitan ng kumbinasyon ng Konstitusyon, mga pangkalahatang legal na prinsipyo, at mga partikular na batas na pambatas. Narito ang isang breakdown ng mg"&amp;"a pangunahing aspeto:
**Karapatang Konstitusyon sa Pribadong Ari-arian:**
* Ang Konstitusyon ng Pilipinas (Artikulo III, Seksyon 9) ay ginagarantiyahan ang karapatan sa pribadong pag-aari, ngunit pinapayagan din nito ang pagkuha ng pribadong ari-arian par"&amp;"a magamit ng publiko sa pagbabayad ng makatarungang kabayaran. **Mga Mode ng Pagkuha:**
Ang pamahalaan ay maaaring makakuha ng lupa para sa mga proyektong pang-imprastraktura sa pamamagitan ng ilang mga pamamaraan, gaya ng nakabalangkas sa Republic Act No"&amp;". 8974 (An Act to Facilitate the Acquisition of Right-of-Way, Site or Location for National Government Infrastructure Projects and for Other Purposes):
* **Negotiated Sale:** Ito ang gustong paraan kung saan nakikipagnegosasyon ang gobyerno ng patas na pr"&amp;"esyo sa may-ari ng lupa.
* **Donasyon:** Ang mga may-ari ng lupa ay maaaring boluntaryong mag-abuloy ng lupa para sa mga proyektong pang-imprastraktura.
* **Expropriation:** Kung mabigo ang isang negotiated sale, ang gobyerno ay maaaring gumamit ng exprop"&amp;"riation sa pamamagitan ng legal na paglilitis. Ang kabayaran lang ay dapat pa ring bayaran sa may-ari ng lupa.
**Kabayaran lang:**
* Isang mahalagang aspeto ang pagtiyak ng ""makatarungang kabayaran"" para sa lupang nakuha. Ito ay hindi lamang ang market "&amp;"value ng lupain ngunit isinasaalang-alang din ang mga salik tulad ng:
* Mga pagpapabuti sa lupa (mga gusali, pananim, atbp.)
* Potensyal na pagkawala ng kita dahil sa pagkuha
* Mga uso sa merkado sa lugar
**Legal na Balangkas:**
Maraming batas ang namamah"&amp;"ala sa pagkuha ng lupa para sa mga proyektong pang-imprastraktura, kasama ang Republic Act No. 8974 na nagbibigay ng pangkalahatang balangkas:
* **Republic Act No. 8974 (nabanggit sa itaas):** Ang batas na ito ay nag-streamline sa proseso para sa pagkuha "&amp;"ng lupa para sa mga proyektong imprastraktura ng pambansang pamahalaan.
* **Republic Act No. 10752:** Ang batas na ito ay nagpapahintulot sa mga local government units (LGUs) na magpatibay ng mga probisyon ng RA 8974 para sa pagkuha ng lupa para sa mga lo"&amp;"kal na proyektong pang-imprastraktura. * **Commonwealth Act No. 141:** Ang batas na ito, na kilala rin bilang Public Service Law, ay nagbibigay ng legal na batayan para sa mga paglilitis sa expropriation.
**Mga Karagdagang Pagsasaalang-alang:**
* **Social"&amp;" Safeguards:** Para sa mga proyektong nakakaapekto sa mga katutubong komunidad, ang Indigenous Peoples Rights Act (Republic Act No. 8371) ay nag-uutos ng libre at paunang kaalamang pahintulot (FPIC) mula sa mga apektadong komunidad.
* **Mga Pagsusuri sa E"&amp;"pekto sa Kapaligiran:** Depende sa proyekto at potensyal na epekto sa kapaligiran, maaaring kailanganin ang mga pagsusuri sa epekto sa kapaligiran bago magpatuloy ang pagkuha ng lupa.
**Inirerekomenda ang Legal na Dalubhasa:** Ang pagkuha ng lupa para sa "&amp;"mga proyektong pang-imprastraktura ay maaaring maging kumplikado, at ang pag-navigate sa legal na balangkas ay mahalaga. Ang pagkonsulta sa isang abogado na dalubhasa sa batas ng ari-arian at expropriation ay lubos na inirerekomenda upang matiyak ang pags"&amp;"unod sa batas ng Pilipinas at protektahan ang mga karapatan ng parehong pamahalaan at ng mga may-ari ng lupa.")</f>
        <v>Tinutugunan ng batas ng Pilipinas ang pagkuha ng lupa para sa mga proyektong pang-imprastraktura sa pamamagitan ng kumbinasyon ng Konstitusyon, mga pangkalahatang legal na prinsipyo, at mga partikular na batas na pambatas. Narito ang isang breakdown ng mga pangunahing aspeto:
**Karapatang Konstitusyon sa Pribadong Ari-arian:**
* Ang Konstitusyon ng Pilipinas (Artikulo III, Seksyon 9) ay ginagarantiyahan ang karapatan sa pribadong pag-aari, ngunit pinapayagan din nito ang pagkuha ng pribadong ari-arian para magamit ng publiko sa pagbabayad ng makatarungang kabayaran. **Mga Mode ng Pagkuha:**
Ang pamahalaan ay maaaring makakuha ng lupa para sa mga proyektong pang-imprastraktura sa pamamagitan ng ilang mga pamamaraan, gaya ng nakabalangkas sa Republic Act No. 8974 (An Act to Facilitate the Acquisition of Right-of-Way, Site or Location for National Government Infrastructure Projects and for Other Purposes):
* **Negotiated Sale:** Ito ang gustong paraan kung saan nakikipagnegosasyon ang gobyerno ng patas na presyo sa may-ari ng lupa.
* **Donasyon:** Ang mga may-ari ng lupa ay maaaring boluntaryong mag-abuloy ng lupa para sa mga proyektong pang-imprastraktura.
* **Expropriation:** Kung mabigo ang isang negotiated sale, ang gobyerno ay maaaring gumamit ng expropriation sa pamamagitan ng legal na paglilitis. Ang kabayaran lang ay dapat pa ring bayaran sa may-ari ng lupa.
**Kabayaran lang:**
* Isang mahalagang aspeto ang pagtiyak ng "makatarungang kabayaran" para sa lupang nakuha. Ito ay hindi lamang ang market value ng lupain ngunit isinasaalang-alang din ang mga salik tulad ng:
* Mga pagpapabuti sa lupa (mga gusali, pananim, atbp.)
* Potensyal na pagkawala ng kita dahil sa pagkuha
* Mga uso sa merkado sa lugar
**Legal na Balangkas:**
Maraming batas ang namamahala sa pagkuha ng lupa para sa mga proyektong pang-imprastraktura, kasama ang Republic Act No. 8974 na nagbibigay ng pangkalahatang balangkas:
* **Republic Act No. 8974 (nabanggit sa itaas):** Ang batas na ito ay nag-streamline sa proseso para sa pagkuha ng lupa para sa mga proyektong imprastraktura ng pambansang pamahalaan.
* **Republic Act No. 10752:** Ang batas na ito ay nagpapahintulot sa mga local government units (LGUs) na magpatibay ng mga probisyon ng RA 8974 para sa pagkuha ng lupa para sa mga lokal na proyektong pang-imprastraktura. * **Commonwealth Act No. 141:** Ang batas na ito, na kilala rin bilang Public Service Law, ay nagbibigay ng legal na batayan para sa mga paglilitis sa expropriation.
**Mga Karagdagang Pagsasaalang-alang:**
* **Social Safeguards:** Para sa mga proyektong nakakaapekto sa mga katutubong komunidad, ang Indigenous Peoples Rights Act (Republic Act No. 8371) ay nag-uutos ng libre at paunang kaalamang pahintulot (FPIC) mula sa mga apektadong komunidad.
* **Mga Pagsusuri sa Epekto sa Kapaligiran:** Depende sa proyekto at potensyal na epekto sa kapaligiran, maaaring kailanganin ang mga pagsusuri sa epekto sa kapaligiran bago magpatuloy ang pagkuha ng lupa.
**Inirerekomenda ang Legal na Dalubhasa:** Ang pagkuha ng lupa para sa mga proyektong pang-imprastraktura ay maaaring maging kumplikado, at ang pag-navigate sa legal na balangkas ay mahalaga. Ang pagkonsulta sa isang abogado na dalubhasa sa batas ng ari-arian at expropriation ay lubos na inirerekomenda upang matiyak ang pagsunod sa batas ng Pilipinas at protektahan ang mga karapatan ng parehong pamahalaan at ng mga may-ari ng lupa.</v>
      </c>
      <c r="F2754" s="2">
        <f t="shared" si="1"/>
        <v>0</v>
      </c>
      <c r="G2754" s="2"/>
      <c r="H2754" s="2"/>
      <c r="I2754" s="2"/>
      <c r="J2754" s="2"/>
      <c r="K2754" s="2"/>
      <c r="L2754" s="2"/>
      <c r="M2754" s="2"/>
      <c r="N2754" s="2"/>
      <c r="O2754" s="2"/>
      <c r="P2754" s="2"/>
      <c r="Q2754" s="2"/>
      <c r="R2754" s="2"/>
      <c r="S2754" s="2"/>
      <c r="T2754" s="2"/>
      <c r="U2754" s="2"/>
      <c r="V2754" s="2"/>
      <c r="W2754" s="2"/>
      <c r="X2754" s="2"/>
      <c r="Y2754" s="2"/>
      <c r="Z2754" s="2"/>
      <c r="AA2754" s="2"/>
    </row>
    <row r="2755">
      <c r="A2755" s="3" t="s">
        <v>6475</v>
      </c>
      <c r="B2755" s="1" t="s">
        <v>6482</v>
      </c>
      <c r="C2755" s="3" t="s">
        <v>6483</v>
      </c>
      <c r="D2755" s="2" t="str">
        <f>IFERROR(__xludf.DUMMYFUNCTION("GOOGLETRANSLATE(B2755, ""en"", ""TL"")"),"Ano ang mga kinakailangan sa pagtatasa ng epekto sa kapaligiran para sa malalaking proyektong imprastraktura?")</f>
        <v>Ano ang mga kinakailangan sa pagtatasa ng epekto sa kapaligiran para sa malalaking proyektong imprastraktura?</v>
      </c>
      <c r="E2755" s="2" t="str">
        <f>IFERROR(__xludf.DUMMYFUNCTION("GOOGLETRANSLATE(C2755, ""en"", ""TL"")"),"Ang Pilipinas ay may mahusay na tinukoy na proseso para sa pagtatasa ng epekto sa kapaligiran ng mga malalaking proyektong imprastraktura. Narito ang isang breakdown ng mga pangunahing kinakailangan:
**Environmental Impact Statement System (EIS System):**"&amp;"
* Ang pangunahing balangkas para sa pagtatasa ng epekto sa kapaligiran ay ang Philippine Environmental Impact Statement System (EIS System) na itinatag ng Presidential Decree No. 1586.
**Pag-uuri ng Mga Proyekto:**
* Ang mga proyekto ay inuri batay sa ka"&amp;"nilang potensyal na epekto sa kapaligiran. Tinutukoy ng klasipikasyong ito ang antas ng pagtatasa sa kapaligiran na kinakailangan.
* **Kategorya A (Mga ECP o Environmentally Critical Projects):** Ang mga proyektong ito ay may potensyal na makabuluhang mas"&amp;"amang epekto sa kapaligiran at nangangailangan ng buong Environmental Impact Statement (EIS).
* **Kategorya B:** Mga proyektong may potensyal na epekto sa kapaligiran, ngunit itinuturing na hindi gaanong makabuluhan kumpara sa Kategorya A. Maaaring mangai"&amp;"langan ito ng Environmental Examination (IEE) o mas simpleng Initial Environmental Examination Checklist (IEEC). * **Kategorya C:** Mga proyektong kapaki-pakinabang sa kapaligiran o malamang na hindi magkaroon ng malaking negatibong epekto. Ang mga ito ay"&amp;" karaniwang nangangailangan ng kaunting dokumentasyon, gaya ng Project Description (PD).
**Environmental Impact Statement (EIS):**
* Ang EIS ay isang komprehensibong dokumento na kinakailangan para sa mga proyekto ng Kategorya A. Kabilang dito ang:
* Pagl"&amp;"alarawan ng Proyekto
* Baseline na Kondisyong Pangkapaligiran
* Mga Potensyal na Epekto sa Kapaligiran (positibo at negatibo)
* Mga Pamamaraang Pagbabawas upang Matugunan ang mga Epekto
* Environmental Management Plan (EMP)
* Dokumentasyon ng Pampublikong"&amp;" Konsultasyon
**Environmental Examination (IEE):**
* Ang IEE ay isang hindi gaanong detalyadong dokumento kumpara sa isang EIS, na kailangan para sa ilang proyekto ng Kategorya B. Tinatasa nito ang mga potensyal na epekto sa kapaligiran at nagmumungkahi n"&amp;"g mga hakbang sa pagpapagaan.
**Pampublikong Paglahok:**
* Ang mga pampublikong konsultasyon ay isang mahalagang bahagi ng EIS System. * Ang mga tagapagtaguyod ng proyekto ay kinakailangang magsagawa ng mga konsultasyon sa mga potensyal na apektadong komu"&amp;"nidad upang mangalap ng feedback at matugunan ang mga alalahanin.
**Department of Environment and Natural Resources (DENR):**
* Ang DENR, partikular ang Environmental Management Bureau (EMB), ay gumaganap ng isang pangunahing papel sa EIS System. * Sinusu"&amp;"ri at inaaprubahan nila ang EIS, IEE, at iba pang mga dokumentong isinumite ng mga tagapagtaguyod ng proyekto.
**Ibang Potensyal na Kasangkot na Ahensya:**
* Depende sa uri at lokasyon ng proyekto, ang ibang mga ahensya ng gobyerno ay maaaring kasangkot s"&amp;"a proseso ng pagtatasa ng epekto sa kapaligiran. * Kabilang sa mga halimbawa ang Department of Public Works and Highways (DPWH) para sa mga proyektong pang-imprastraktura, o ang National Commission on Indigenous Peoples (NCIP) para sa mga proyektong nakak"&amp;"aapekto sa mga katutubong komunidad.
**Mga Pangunahing Mapagkukunan:**
* Department of Environment and Natural Resources (DENR): [https://www.denr.gov.ph/](https://www.denr.gov.ph/)
* Environmental Management Bureau (EMB): [https://emb.gov.ph/](https://em"&amp;"b.gov.ph/)
* Philippine Environmental Impact Statement System (EIS System): [https://emb.gov.ph/mandates-functions/](https://emb.gov.ph/mandates-functions/)
**Tandaan:** * Ang mga partikular na kinakailangan ay maaaring mag-iba depende sa pag-uuri ng proy"&amp;"ekto, lokasyon, at potensyal na epekto sa kapaligiran.
* Ang pagkonsulta sa mga propesyonal sa kapaligiran na pamilyar sa Philippine EIS System ay lubos na inirerekomenda para sa mga malalaking proyektong pang-imprastraktura.")</f>
        <v>Ang Pilipinas ay may mahusay na tinukoy na proseso para sa pagtatasa ng epekto sa kapaligiran ng mga malalaking proyektong imprastraktura. Narito ang isang breakdown ng mga pangunahing kinakailangan:
**Environmental Impact Statement System (EIS System):**
* Ang pangunahing balangkas para sa pagtatasa ng epekto sa kapaligiran ay ang Philippine Environmental Impact Statement System (EIS System) na itinatag ng Presidential Decree No. 1586.
**Pag-uuri ng Mga Proyekto:**
* Ang mga proyekto ay inuri batay sa kanilang potensyal na epekto sa kapaligiran. Tinutukoy ng klasipikasyong ito ang antas ng pagtatasa sa kapaligiran na kinakailangan.
* **Kategorya A (Mga ECP o Environmentally Critical Projects):** Ang mga proyektong ito ay may potensyal na makabuluhang masamang epekto sa kapaligiran at nangangailangan ng buong Environmental Impact Statement (EIS).
* **Kategorya B:** Mga proyektong may potensyal na epekto sa kapaligiran, ngunit itinuturing na hindi gaanong makabuluhan kumpara sa Kategorya A. Maaaring mangailangan ito ng Environmental Examination (IEE) o mas simpleng Initial Environmental Examination Checklist (IEEC). * **Kategorya C:** Mga proyektong kapaki-pakinabang sa kapaligiran o malamang na hindi magkaroon ng malaking negatibong epekto. Ang mga ito ay karaniwang nangangailangan ng kaunting dokumentasyon, gaya ng Project Description (PD).
**Environmental Impact Statement (EIS):**
* Ang EIS ay isang komprehensibong dokumento na kinakailangan para sa mga proyekto ng Kategorya A. Kabilang dito ang:
* Paglalarawan ng Proyekto
* Baseline na Kondisyong Pangkapaligiran
* Mga Potensyal na Epekto sa Kapaligiran (positibo at negatibo)
* Mga Pamamaraang Pagbabawas upang Matugunan ang mga Epekto
* Environmental Management Plan (EMP)
* Dokumentasyon ng Pampublikong Konsultasyon
**Environmental Examination (IEE):**
* Ang IEE ay isang hindi gaanong detalyadong dokumento kumpara sa isang EIS, na kailangan para sa ilang proyekto ng Kategorya B. Tinatasa nito ang mga potensyal na epekto sa kapaligiran at nagmumungkahi ng mga hakbang sa pagpapagaan.
**Pampublikong Paglahok:**
* Ang mga pampublikong konsultasyon ay isang mahalagang bahagi ng EIS System. * Ang mga tagapagtaguyod ng proyekto ay kinakailangang magsagawa ng mga konsultasyon sa mga potensyal na apektadong komunidad upang mangalap ng feedback at matugunan ang mga alalahanin.
**Department of Environment and Natural Resources (DENR):**
* Ang DENR, partikular ang Environmental Management Bureau (EMB), ay gumaganap ng isang pangunahing papel sa EIS System. * Sinusuri at inaaprubahan nila ang EIS, IEE, at iba pang mga dokumentong isinumite ng mga tagapagtaguyod ng proyekto.
**Ibang Potensyal na Kasangkot na Ahensya:**
* Depende sa uri at lokasyon ng proyekto, ang ibang mga ahensya ng gobyerno ay maaaring kasangkot sa proseso ng pagtatasa ng epekto sa kapaligiran. * Kabilang sa mga halimbawa ang Department of Public Works and Highways (DPWH) para sa mga proyektong pang-imprastraktura, o ang National Commission on Indigenous Peoples (NCIP) para sa mga proyektong nakakaapekto sa mga katutubong komunidad.
**Mga Pangunahing Mapagkukunan:**
* Department of Environment and Natural Resources (DENR): [https://www.denr.gov.ph/](https://www.denr.gov.ph/)
* Environmental Management Bureau (EMB): [https://emb.gov.ph/](https://emb.gov.ph/)
* Philippine Environmental Impact Statement System (EIS System): [https://emb.gov.ph/mandates-functions/](https://emb.gov.ph/mandates-functions/)
**Tandaan:** * Ang mga partikular na kinakailangan ay maaaring mag-iba depende sa pag-uuri ng proyekto, lokasyon, at potensyal na epekto sa kapaligiran.
* Ang pagkonsulta sa mga propesyonal sa kapaligiran na pamilyar sa Philippine EIS System ay lubos na inirerekomenda para sa mga malalaking proyektong pang-imprastraktura.</v>
      </c>
      <c r="F2755" s="2">
        <f t="shared" si="1"/>
        <v>0</v>
      </c>
      <c r="G2755" s="2"/>
      <c r="H2755" s="2"/>
      <c r="I2755" s="2"/>
      <c r="J2755" s="2"/>
      <c r="K2755" s="2"/>
      <c r="L2755" s="2"/>
      <c r="M2755" s="2"/>
      <c r="N2755" s="2"/>
      <c r="O2755" s="2"/>
      <c r="P2755" s="2"/>
      <c r="Q2755" s="2"/>
      <c r="R2755" s="2"/>
      <c r="S2755" s="2"/>
      <c r="T2755" s="2"/>
      <c r="U2755" s="2"/>
      <c r="V2755" s="2"/>
      <c r="W2755" s="2"/>
      <c r="X2755" s="2"/>
      <c r="Y2755" s="2"/>
      <c r="Z2755" s="2"/>
      <c r="AA2755" s="2"/>
    </row>
    <row r="2756">
      <c r="A2756" s="3" t="s">
        <v>6475</v>
      </c>
      <c r="B2756" s="1" t="s">
        <v>6484</v>
      </c>
      <c r="C2756" s="3" t="s">
        <v>6485</v>
      </c>
      <c r="D2756" s="2" t="str">
        <f>IFERROR(__xludf.DUMMYFUNCTION("GOOGLETRANSLATE(B2756, ""en"", ""TL"")"),"Ilarawan ang legal na balangkas para sa public-private partnership sa pagpapaunlad ng imprastraktura.")</f>
        <v>Ilarawan ang legal na balangkas para sa public-private partnership sa pagpapaunlad ng imprastraktura.</v>
      </c>
      <c r="E2756" s="2" t="str">
        <f>IFERROR(__xludf.DUMMYFUNCTION("GOOGLETRANSLATE(C2756, ""en"", ""TL"")"),"Ang Pilipinas ay may matatag na legal na balangkas para sa Public-Private Partnerships (PPPs) sa pagpapaunlad ng imprastraktura. Narito ang isang breakdown ng mga pangunahing batas at regulasyon:
**Pangunahing Legal na Balangkas:**
* **Republic Act No. 69"&amp;"57 (Build-Operate-Transfer Law o BOT Law):** Ito ang pundasyong batas na pinagtibay noong 1990, na nagtatatag ng legal na balangkas para sa mga PPP. Binabalangkas nito ang iba't ibang mga mode ng PPP arrangement, kabilang ang Build-Operate-Transfer (BOT),"&amp;" Build-Own-Operate (BOO), at Build-Transfer-Operate (BTO).
* **Implementing Rules and Regulations (IRR) ng RA 6957:** Ang mga ito ay nagbibigay ng mga detalyadong alituntunin para sa pagpapatupad ng BOT Law.
**Mga Karagdagang Sumusuportang Regulasyon:**
*"&amp;" **Mga Alituntunin ng National Economic and Development Authority (NEDA):** Ang NEDA, ang ahensya sa pagpaplano ng pamahalaan, ay nag-isyu ng mga alituntunin sa pagkilala sa proyekto, pagbibigay-priyoridad, at pagpili para sa pagpapaunlad ng PPP. * **Mga "&amp;"patnubay para sa mga hindi hinihinging panukala:** Pinahihintulutan ng pamahalaan ang mga pribadong entity na magsumite ng mga hindi hinihinging panukala para sa mga proyekto ng PPP, na napapailalim sa mga partikular na alituntunin at pag-apruba.
**Mga Pa"&amp;"ngunahing Institusyon:**
* **Public-Private Partnership Center (PPP Center):** Ang PPP Center, na itinatag sa ilalim ng RA 6957, ay nagsisilbing sentral na ahensyang responsable sa pagtataguyod, pagpapadali, at pag-regulate ng mga proyekto ng PPP sa Pilip"&amp;"inas. Tinutulungan nito ang mga ahensya ng gobyerno sa pagbuo, paggawad, at pamamahala ng mga proyekto ng PPP.
* **National Economic and Development Authority (NEDA):** Gaya ng nabanggit kanina, ang NEDA ay gumaganap ng mahalagang papel sa pagtukoy ng mga"&amp;" priyoridad na proyektong imprastraktura na angkop para sa pagpapaunlad ng PPP.
* **Line Ministries:** Ang mga ahensya ng gobyerno na responsable para sa mga partikular na sektor ng imprastraktura (hal., Department of Public Works and Highways para sa mga"&amp;" kalsada) ay kasangkot sa pagpapasimula at pamamahala ng mga proyekto ng PPP sa loob ng kani-kanilang sektor.
**Pagtitiyak ng Transparency at Pananagutan:**
* Ang legal na balangkas ay nagbibigay-diin sa transparency at pananagutan sa mga transaksyon sa P"&amp;"PP. Kabilang dito ang:
* Mga proseso ng pampublikong pag-bid para sa mga parangal sa proyekto ng PPP.
* Mga kinakailangan sa pagsisiwalat para sa impormasyon ng proyekto at mga iginawad na kontrata.
* Mga mekanismo para sa pagsubaybay at pagsusuri ng mga "&amp;"proyekto ng PPP.
**Resolusyon sa Di-pagkakasundo:**
* Ang legal na balangkas ay nagtatatag ng mga mekanismo para sa pagresolba sa mga hindi pagkakaunawaan na maaaring lumitaw sa pagitan ng gobyerno at mga pribadong kasosyo sa mga proyekto ng PPP. Kabilang"&amp;" dito ang:
* Negosasyon at pamamagitan.
* Arbitrasyon.
**Mga Kamakailang Pag-unlad:**
* **Executive Order No. 100 (2018):** Ang Executive Order na ito ay nag-streamline sa proseso ng pag-apruba para sa mga proyekto ng PPP, na naglalayong mapabilis ang pag"&amp;"papatupad.
**Konklusyon:**
Ang legal na balangkas ng PPP ng Pilipinas ay nagbibigay ng komprehensibong istruktura para sa pagpapaunlad ng imprastraktura sa pamamagitan ng pagtutulungan ng publiko at pribadong sektor. Binibigyang-diin nito ang transparency"&amp;", pananagutan, at mahusay na pagpapatupad ng proyekto habang pinangangalagaan ang mga interes ng parehong partido.")</f>
        <v>Ang Pilipinas ay may matatag na legal na balangkas para sa Public-Private Partnerships (PPPs) sa pagpapaunlad ng imprastraktura. Narito ang isang breakdown ng mga pangunahing batas at regulasyon:
**Pangunahing Legal na Balangkas:**
* **Republic Act No. 6957 (Build-Operate-Transfer Law o BOT Law):** Ito ang pundasyong batas na pinagtibay noong 1990, na nagtatatag ng legal na balangkas para sa mga PPP. Binabalangkas nito ang iba't ibang mga mode ng PPP arrangement, kabilang ang Build-Operate-Transfer (BOT), Build-Own-Operate (BOO), at Build-Transfer-Operate (BTO).
* **Implementing Rules and Regulations (IRR) ng RA 6957:** Ang mga ito ay nagbibigay ng mga detalyadong alituntunin para sa pagpapatupad ng BOT Law.
**Mga Karagdagang Sumusuportang Regulasyon:**
* **Mga Alituntunin ng National Economic and Development Authority (NEDA):** Ang NEDA, ang ahensya sa pagpaplano ng pamahalaan, ay nag-isyu ng mga alituntunin sa pagkilala sa proyekto, pagbibigay-priyoridad, at pagpili para sa pagpapaunlad ng PPP. * **Mga patnubay para sa mga hindi hinihinging panukala:** Pinahihintulutan ng pamahalaan ang mga pribadong entity na magsumite ng mga hindi hinihinging panukala para sa mga proyekto ng PPP, na napapailalim sa mga partikular na alituntunin at pag-apruba.
**Mga Pangunahing Institusyon:**
* **Public-Private Partnership Center (PPP Center):** Ang PPP Center, na itinatag sa ilalim ng RA 6957, ay nagsisilbing sentral na ahensyang responsable sa pagtataguyod, pagpapadali, at pag-regulate ng mga proyekto ng PPP sa Pilipinas. Tinutulungan nito ang mga ahensya ng gobyerno sa pagbuo, paggawad, at pamamahala ng mga proyekto ng PPP.
* **National Economic and Development Authority (NEDA):** Gaya ng nabanggit kanina, ang NEDA ay gumaganap ng mahalagang papel sa pagtukoy ng mga priyoridad na proyektong imprastraktura na angkop para sa pagpapaunlad ng PPP.
* **Line Ministries:** Ang mga ahensya ng gobyerno na responsable para sa mga partikular na sektor ng imprastraktura (hal., Department of Public Works and Highways para sa mga kalsada) ay kasangkot sa pagpapasimula at pamamahala ng mga proyekto ng PPP sa loob ng kani-kanilang sektor.
**Pagtitiyak ng Transparency at Pananagutan:**
* Ang legal na balangkas ay nagbibigay-diin sa transparency at pananagutan sa mga transaksyon sa PPP. Kabilang dito ang:
* Mga proseso ng pampublikong pag-bid para sa mga parangal sa proyekto ng PPP.
* Mga kinakailangan sa pagsisiwalat para sa impormasyon ng proyekto at mga iginawad na kontrata.
* Mga mekanismo para sa pagsubaybay at pagsusuri ng mga proyekto ng PPP.
**Resolusyon sa Di-pagkakasundo:**
* Ang legal na balangkas ay nagtatatag ng mga mekanismo para sa pagresolba sa mga hindi pagkakaunawaan na maaaring lumitaw sa pagitan ng gobyerno at mga pribadong kasosyo sa mga proyekto ng PPP. Kabilang dito ang:
* Negosasyon at pamamagitan.
* Arbitrasyon.
**Mga Kamakailang Pag-unlad:**
* **Executive Order No. 100 (2018):** Ang Executive Order na ito ay nag-streamline sa proseso ng pag-apruba para sa mga proyekto ng PPP, na naglalayong mapabilis ang pagpapatupad.
**Konklusyon:**
Ang legal na balangkas ng PPP ng Pilipinas ay nagbibigay ng komprehensibong istruktura para sa pagpapaunlad ng imprastraktura sa pamamagitan ng pagtutulungan ng publiko at pribadong sektor. Binibigyang-diin nito ang transparency, pananagutan, at mahusay na pagpapatupad ng proyekto habang pinangangalagaan ang mga interes ng parehong partido.</v>
      </c>
      <c r="F2756" s="2">
        <f t="shared" si="1"/>
        <v>0</v>
      </c>
      <c r="G2756" s="2"/>
      <c r="H2756" s="2"/>
      <c r="I2756" s="2"/>
      <c r="J2756" s="2"/>
      <c r="K2756" s="2"/>
      <c r="L2756" s="2"/>
      <c r="M2756" s="2"/>
      <c r="N2756" s="2"/>
      <c r="O2756" s="2"/>
      <c r="P2756" s="2"/>
      <c r="Q2756" s="2"/>
      <c r="R2756" s="2"/>
      <c r="S2756" s="2"/>
      <c r="T2756" s="2"/>
      <c r="U2756" s="2"/>
      <c r="V2756" s="2"/>
      <c r="W2756" s="2"/>
      <c r="X2756" s="2"/>
      <c r="Y2756" s="2"/>
      <c r="Z2756" s="2"/>
      <c r="AA2756" s="2"/>
    </row>
    <row r="2757">
      <c r="A2757" s="3" t="s">
        <v>6475</v>
      </c>
      <c r="B2757" s="1" t="s">
        <v>6486</v>
      </c>
      <c r="C2757" s="3" t="s">
        <v>6487</v>
      </c>
      <c r="D2757" s="2" t="str">
        <f>IFERROR(__xludf.DUMMYFUNCTION("GOOGLETRANSLATE(B2757, ""en"", ""TL"")"),"Anong mga hakbang ang ibinibigay ng batas ng Pilipinas para sa proteksyon ng mga informal settlers sa panahon ng mga proyekto sa pagpapaunlad ng lungsod?")</f>
        <v>Anong mga hakbang ang ibinibigay ng batas ng Pilipinas para sa proteksyon ng mga informal settlers sa panahon ng mga proyekto sa pagpapaunlad ng lungsod?</v>
      </c>
      <c r="E2757" s="2" t="str">
        <f>IFERROR(__xludf.DUMMYFUNCTION("GOOGLETRANSLATE(C2757, ""en"", ""TL"")"),"Ang batas ng Pilipinas ay nag-aalok ng ilang mga hakbang upang maprotektahan ang mga impormal na settler sa panahon ng mga proyekto sa pagpapaunlad ng lungsod. Narito ang isang breakdown ng mga pangunahing legal na probisyon:
**Karapatan sa Sapat na Pabah"&amp;"ay:**
* Kinikilala ng Konstitusyon ng Pilipinas (Artikulo XIII, Seksyon 9) ang karapatan sa sapat na pabahay. Naglalatag ito ng batayan para sa mga legal na hakbang na nagpoprotekta sa mga informal settlers.
**Urban Development and Housing Act (RA 7279):*"&amp;"*
* Ito ang pangunahing batas na namamahala sa urban development at housing sa Pilipinas. Kabilang dito ang mga probisyon para sa mga informal settlers:
* **Moratorium on Eviction and Demolition:** Ang RA 7279 ay naglalagay ng moratorium sa pagpapaalis sa"&amp;" mga informal settlers at demolisyon ng kanilang mga tirahan para sa isang partikular na panahon (orihinal na 3 taon, ang pagkakalapat ay maaaring depende sa partikular na kaso). Mayroong mga pagbubukod para sa mga konstruksyon na itinayo pagkatapos ng pa"&amp;"gsasabatas ng batas o mga kaso na naglalagay ng mga panganib sa kaligtasan.
* **Resettlement Programs:** Ang batas ay nagbibigay-diin sa relokasyon kaysa sa pagpapaalis. Ang gobyerno, sa pakikipagtulungan sa mga pribadong developer, ay dapat bumalangkas n"&amp;"g mga plano sa resettlement para sa mga informal settlers na apektado ng mga proyektong pangkaunlaran. Ang mga planong ito ay dapat magbigay ng disenteng pabahay na may mga pangunahing serbisyo tulad ng tubig at kuryente.
* **Security of Tenure:** Bagama'"&amp;"t hindi tahasang binanggit sa RA 7279, ang konsepto ng seguridad ng panunungkulan ay lalong kinikilala sa batas ng Pilipinas. Ito ay nagpapahiwatig ng ilang antas ng proteksyon laban sa di-makatwirang pagpapaalis para sa mga impormal na settler na sumakop"&amp;" sa isang lugar sa isang makabuluhang panahon.
**Department of Human Settlements and Urban Development (DHSUD):**
* Ang DHSUD, na itinatag noong 2019, ay ang ahensya ng gobyerno na responsable sa pangangasiwa sa pag-unlad ng lungsod at mga patakaran sa pa"&amp;"bahay. Sila ay gumaganap ng isang mahalagang papel sa:
* Pagkilala at pagbuo ng mga relocation site.
* Pagpapatupad ng mga programa sa resettlement para sa mga informal settlers.
**Mga Hamon at Pagsasaalang-alang:**
* Habang nag-aalok ang legal na balangk"&amp;"as ng mga proteksyon, ang pagpapatupad ay maaaring maging mahirap. Ang mga salik tulad ng kakulangan ng pondo, pagkakaroon ng angkop na mga relocation site, at koordinasyon sa pagitan ng mga ahensya ng gobyerno ay maaaring makahadlang sa mga epektibong pr"&amp;"ograma sa resettlement.
* Ang mga informal settler mismo ay maaaring mahihirapang patunayan ang kanilang paninirahan o maging kwalipikado para sa mga partikular na programa ng gobyerno.
* **Hindi lahat ng informal settler ay nasasaklawan ng pantay:** Ang "&amp;"moratorium ng RA 7279 ay maaaring hindi nalalapat sa lahat ng kaso, at ang seguridad sa panunungkulan ay nananatiling isang umuunlad na konsepto.
**Mga Rekomendasyon:**
* **Maagang Pakikipag-ugnayan:** Ang bukas na komunikasyon at pakikipag-ugnayan sa pag"&amp;"itan ng mga ahensya ng gobyerno, mga developer, at mga komunidad ng impormal na settler mula sa mga yugto ng pagpaplano ng mga proyekto sa pagpapaunlad ay mahalaga.
* **Paglahok ng Komunidad:** Ang makabuluhang partisipasyon ng mga apektadong komunidad sa"&amp;" pagpaplano at pagpapatupad ng mga programa sa resettlement ay maaaring mapabuti ang kanilang pagiging epektibo at pagtanggap.
* **Legal na Tulong:** Ang mga informal settler na komunidad ay maaaring makinabang sa paghingi ng legal na tulong upang maunawa"&amp;"an ang kanilang mga karapatan at mag-navigate sa legal na sistema.
**Konklusyon:**
Ang batas ng Pilipinas ay nag-aalok ng isang balangkas para sa pagprotekta sa mga informal settlers sa panahon ng mga proyekto sa pagpapaunlad ng lungsod. Gayunpaman, ang e"&amp;"pektibong pagpapatupad at pagtiyak ng patas na pagtrato ay nananatiling patuloy na mga hamon.")</f>
        <v>Ang batas ng Pilipinas ay nag-aalok ng ilang mga hakbang upang maprotektahan ang mga impormal na settler sa panahon ng mga proyekto sa pagpapaunlad ng lungsod. Narito ang isang breakdown ng mga pangunahing legal na probisyon:
**Karapatan sa Sapat na Pabahay:**
* Kinikilala ng Konstitusyon ng Pilipinas (Artikulo XIII, Seksyon 9) ang karapatan sa sapat na pabahay. Naglalatag ito ng batayan para sa mga legal na hakbang na nagpoprotekta sa mga informal settlers.
**Urban Development and Housing Act (RA 7279):**
* Ito ang pangunahing batas na namamahala sa urban development at housing sa Pilipinas. Kabilang dito ang mga probisyon para sa mga informal settlers:
* **Moratorium on Eviction and Demolition:** Ang RA 7279 ay naglalagay ng moratorium sa pagpapaalis sa mga informal settlers at demolisyon ng kanilang mga tirahan para sa isang partikular na panahon (orihinal na 3 taon, ang pagkakalapat ay maaaring depende sa partikular na kaso). Mayroong mga pagbubukod para sa mga konstruksyon na itinayo pagkatapos ng pagsasabatas ng batas o mga kaso na naglalagay ng mga panganib sa kaligtasan.
* **Resettlement Programs:** Ang batas ay nagbibigay-diin sa relokasyon kaysa sa pagpapaalis. Ang gobyerno, sa pakikipagtulungan sa mga pribadong developer, ay dapat bumalangkas ng mga plano sa resettlement para sa mga informal settlers na apektado ng mga proyektong pangkaunlaran. Ang mga planong ito ay dapat magbigay ng disenteng pabahay na may mga pangunahing serbisyo tulad ng tubig at kuryente.
* **Security of Tenure:** Bagama't hindi tahasang binanggit sa RA 7279, ang konsepto ng seguridad ng panunungkulan ay lalong kinikilala sa batas ng Pilipinas. Ito ay nagpapahiwatig ng ilang antas ng proteksyon laban sa di-makatwirang pagpapaalis para sa mga impormal na settler na sumakop sa isang lugar sa isang makabuluhang panahon.
**Department of Human Settlements and Urban Development (DHSUD):**
* Ang DHSUD, na itinatag noong 2019, ay ang ahensya ng gobyerno na responsable sa pangangasiwa sa pag-unlad ng lungsod at mga patakaran sa pabahay. Sila ay gumaganap ng isang mahalagang papel sa:
* Pagkilala at pagbuo ng mga relocation site.
* Pagpapatupad ng mga programa sa resettlement para sa mga informal settlers.
**Mga Hamon at Pagsasaalang-alang:**
* Habang nag-aalok ang legal na balangkas ng mga proteksyon, ang pagpapatupad ay maaaring maging mahirap. Ang mga salik tulad ng kakulangan ng pondo, pagkakaroon ng angkop na mga relocation site, at koordinasyon sa pagitan ng mga ahensya ng gobyerno ay maaaring makahadlang sa mga epektibong programa sa resettlement.
* Ang mga informal settler mismo ay maaaring mahihirapang patunayan ang kanilang paninirahan o maging kwalipikado para sa mga partikular na programa ng gobyerno.
* **Hindi lahat ng informal settler ay nasasaklawan ng pantay:** Ang moratorium ng RA 7279 ay maaaring hindi nalalapat sa lahat ng kaso, at ang seguridad sa panunungkulan ay nananatiling isang umuunlad na konsepto.
**Mga Rekomendasyon:**
* **Maagang Pakikipag-ugnayan:** Ang bukas na komunikasyon at pakikipag-ugnayan sa pagitan ng mga ahensya ng gobyerno, mga developer, at mga komunidad ng impormal na settler mula sa mga yugto ng pagpaplano ng mga proyekto sa pagpapaunlad ay mahalaga.
* **Paglahok ng Komunidad:** Ang makabuluhang partisipasyon ng mga apektadong komunidad sa pagpaplano at pagpapatupad ng mga programa sa resettlement ay maaaring mapabuti ang kanilang pagiging epektibo at pagtanggap.
* **Legal na Tulong:** Ang mga informal settler na komunidad ay maaaring makinabang sa paghingi ng legal na tulong upang maunawaan ang kanilang mga karapatan at mag-navigate sa legal na sistema.
**Konklusyon:**
Ang batas ng Pilipinas ay nag-aalok ng isang balangkas para sa pagprotekta sa mga informal settlers sa panahon ng mga proyekto sa pagpapaunlad ng lungsod. Gayunpaman, ang epektibong pagpapatupad at pagtiyak ng patas na pagtrato ay nananatiling patuloy na mga hamon.</v>
      </c>
      <c r="F2757" s="2">
        <f t="shared" si="1"/>
        <v>0</v>
      </c>
      <c r="G2757" s="2"/>
      <c r="H2757" s="2"/>
      <c r="I2757" s="2"/>
      <c r="J2757" s="2"/>
      <c r="K2757" s="2"/>
      <c r="L2757" s="2"/>
      <c r="M2757" s="2"/>
      <c r="N2757" s="2"/>
      <c r="O2757" s="2"/>
      <c r="P2757" s="2"/>
      <c r="Q2757" s="2"/>
      <c r="R2757" s="2"/>
      <c r="S2757" s="2"/>
      <c r="T2757" s="2"/>
      <c r="U2757" s="2"/>
      <c r="V2757" s="2"/>
      <c r="W2757" s="2"/>
      <c r="X2757" s="2"/>
      <c r="Y2757" s="2"/>
      <c r="Z2757" s="2"/>
      <c r="AA2757" s="2"/>
    </row>
    <row r="2758">
      <c r="A2758" s="3" t="s">
        <v>6475</v>
      </c>
      <c r="B2758" s="1" t="s">
        <v>6488</v>
      </c>
      <c r="C2758" s="3" t="s">
        <v>6489</v>
      </c>
      <c r="D2758" s="2" t="str">
        <f>IFERROR(__xludf.DUMMYFUNCTION("GOOGLETRANSLATE(B2758, ""en"", ""TL"")"),"Talakayin ang mga legal na mekanismo para sa paglutas ng mga hindi pagkakaunawaan na may kaugnayan sa pabahay at pagmamay-ari ng lupa.")</f>
        <v>Talakayin ang mga legal na mekanismo para sa paglutas ng mga hindi pagkakaunawaan na may kaugnayan sa pabahay at pagmamay-ari ng lupa.</v>
      </c>
      <c r="E2758" s="2" t="str">
        <f>IFERROR(__xludf.DUMMYFUNCTION("GOOGLETRANSLATE(C2758, ""en"", ""TL"")"),"Ang Pilipinas ay may ilang legal na mekanismo para sa pagresolba sa mga hindi pagkakaunawaan na may kaugnayan sa pabahay at pagmamay-ari ng lupa. Narito ang isang pangkalahatang-ideya ng mga pangunahing opsyon:
**1. Barangay Justice System (Lupong Tagapam"&amp;"ayapa):**
* Ito ang pinaka-naa-access na opsyon para sa paglutas ng mga menor de edad na pagtatalo sa pabahay at pagmamay-ari ng lupa sa antas ng komunidad. * Ang mga kapitan ng barangay (mga pinuno ng komunidad) ay pinuno ng Lupong Tagapamayapa (Council "&amp;"of Peacemakers) at nagtangkang mamagitan sa isang kasunduan sa pagitan ng mga partido.
* Kung ang isang kasunduan ay naabot, ang isang sertipiko ng Lupong Tagapamayapa ay ibibigay, na magiging may bisa sa magkabilang panig. * Mga Bentahe: Libre, mabilis, "&amp;"at hindi gaanong pormal kumpara sa mga paglilitis sa korte.
* Mga Disadvantage: Limitadong hurisdiksyon para sa mga kumplikadong kaso at maaaring hindi epektibo para sa mga seryosong hindi pagkakaunawaan.
**2. Housing and Land Use Regulatory Board (HLURB)"&amp;":**
* Ang HLURB ay isang attached agency sa ilalim ng Department of Human Settlements and Urban Development (DHSUD). * Ito ay may orihinal na hurisdiksyon sa ilang mga hindi pagkakaunawaan sa pabahay at pagmamay-ari ng lupa, kabilang ang:
* Mga paglabag s"&amp;"a developer (hal., mga pagkaantala sa konstruksyon, mga substandard na materyales)
* Mga isyu sa mga asosasyon ng mga may-ari ng bahay
* Dobleng benta ng ari-arian
* Mga Bentahe: Espesyal na kaalaman sa mga isyu sa pabahay at paggamit ng lupa, mas mabilis"&amp;" na paglutas kumpara sa mga korte.
* Mga Disadvantages: Maaaring may mga backlog sa kaso, mga bayad na kasangkot sa paghahain ng mga reklamo.
**3. Mga Regular na Hukuman:**
* Ang sistema ng regular na hukuman ay isang opsyon para sa mas kumplikadong mga h"&amp;"indi pagkakaunawaan o mga hindi saklaw ng hurisdiksyon ng Lupong Tagapamayapa o HLURB.
* **Pamamagitan:** Ang mga hukuman ay madalas na hinihikayat ang pamamagitan bago ang paglilitis upang subukan ang isang maayos na kasunduan.
* **Litigation:** Kung mab"&amp;"igo ang pamamagitan, magpapatuloy ang kaso sa isang pormal na paglilitis na may hukom na maglalabas ng desisyon. * Mga Bentahe: Nagbubuklod na paghatol na maipapatupad ng batas, na angkop para sa mga kumplikadong kaso at malubhang hindi pagkakaunawaan. * "&amp;"Mga disadvantages: Ang pinakamahal na opsyon, ay maaaring magtagal dahil sa mga backlog ng hukuman, ay nangangailangan ng legal na representasyon para sa tamang pag-navigate ng sistema ng hukuman.
**4. Alternatibong Dispute Resolution (ADR):**
* Ang mga b"&amp;"oluntaryong mekanismo ng ADR tulad ng pribadong pamamagitan o arbitrasyon ay maaaring maging alternatibo sa mga paglilitis sa korte. * Ang isang neutral na third-party ay nagpapadali sa isang pag-aayos sa pagitan ng mga nag-aaway na partido, na posibleng "&amp;"humahantong sa isang mas mabilis at hindi gaanong adversarial na resolusyon.
* Mga Bentahe: Posibleng mas mabilis at mas matipid kaysa sa paglilitis, ang mga partido ay may higit na kontrol sa proseso.
* Mga Disadvantage: Hindi lahat ng hindi pagkakaunawa"&amp;"an ay angkop para sa ADR, ang pagpapatupad ng mga pag-aayos ay maaaring mangailangan ng aksyon ng korte.
**Pagpili ng Tamang Mekanismo:**
Ang pinakamahusay na opsyon ay depende sa likas na katangian ng hindi pagkakaunawaan, pagiging kumplikado nito, at mg"&amp;"a mapagkukunang magagamit. Narito ang ilang pangkalahatang pagsasaalang-alang:
* **Tindi ng Di-pagkakasundo:** Ang mga maliliit na isyu ay maaaring angkop para sa Lupong Tagapamayapa, habang ang mga kumplikadong salungatan sa pagmamay-ari ay maaaring mang"&amp;"ailangan ng mga regular na korte.
* **Gastos at Oras:** Ang mga impormal na opsyon tulad ng Lupong Tagapamayapa ay libre at mas mabilis, habang ang mga korte ay mahal at matagal.
* **Legal na Representasyon:** Ang mga kumplikadong kaso sa mga regular na h"&amp;"ukuman ay kadalasang nangangailangan ng legal na representasyon upang epektibong mag-navigate sa legal na sistema. **Naghahanap ng Legal na Payo:**
Ang pagkonsulta sa isang abogado na dalubhasa sa batas sa pabahay at pag-aari ng lupa ay lubos na inirereko"&amp;"menda, lalo na para sa mga kumplikadong hindi pagkakaunawaan. Maaari ka nilang payuhan sa pinakaangkop na legal na mekanismo batay sa iyong partikular na sitwasyon at tulungan kang mag-navigate nang epektibo sa napiling proseso.")</f>
        <v>Ang Pilipinas ay may ilang legal na mekanismo para sa pagresolba sa mga hindi pagkakaunawaan na may kaugnayan sa pabahay at pagmamay-ari ng lupa. Narito ang isang pangkalahatang-ideya ng mga pangunahing opsyon:
**1. Barangay Justice System (Lupong Tagapamayapa):**
* Ito ang pinaka-naa-access na opsyon para sa paglutas ng mga menor de edad na pagtatalo sa pabahay at pagmamay-ari ng lupa sa antas ng komunidad. * Ang mga kapitan ng barangay (mga pinuno ng komunidad) ay pinuno ng Lupong Tagapamayapa (Council of Peacemakers) at nagtangkang mamagitan sa isang kasunduan sa pagitan ng mga partido.
* Kung ang isang kasunduan ay naabot, ang isang sertipiko ng Lupong Tagapamayapa ay ibibigay, na magiging may bisa sa magkabilang panig. * Mga Bentahe: Libre, mabilis, at hindi gaanong pormal kumpara sa mga paglilitis sa korte.
* Mga Disadvantage: Limitadong hurisdiksyon para sa mga kumplikadong kaso at maaaring hindi epektibo para sa mga seryosong hindi pagkakaunawaan.
**2. Housing and Land Use Regulatory Board (HLURB):**
* Ang HLURB ay isang attached agency sa ilalim ng Department of Human Settlements and Urban Development (DHSUD). * Ito ay may orihinal na hurisdiksyon sa ilang mga hindi pagkakaunawaan sa pabahay at pagmamay-ari ng lupa, kabilang ang:
* Mga paglabag sa developer (hal., mga pagkaantala sa konstruksyon, mga substandard na materyales)
* Mga isyu sa mga asosasyon ng mga may-ari ng bahay
* Dobleng benta ng ari-arian
* Mga Bentahe: Espesyal na kaalaman sa mga isyu sa pabahay at paggamit ng lupa, mas mabilis na paglutas kumpara sa mga korte.
* Mga Disadvantages: Maaaring may mga backlog sa kaso, mga bayad na kasangkot sa paghahain ng mga reklamo.
**3. Mga Regular na Hukuman:**
* Ang sistema ng regular na hukuman ay isang opsyon para sa mas kumplikadong mga hindi pagkakaunawaan o mga hindi saklaw ng hurisdiksyon ng Lupong Tagapamayapa o HLURB.
* **Pamamagitan:** Ang mga hukuman ay madalas na hinihikayat ang pamamagitan bago ang paglilitis upang subukan ang isang maayos na kasunduan.
* **Litigation:** Kung mabigo ang pamamagitan, magpapatuloy ang kaso sa isang pormal na paglilitis na may hukom na maglalabas ng desisyon. * Mga Bentahe: Nagbubuklod na paghatol na maipapatupad ng batas, na angkop para sa mga kumplikadong kaso at malubhang hindi pagkakaunawaan. * Mga disadvantages: Ang pinakamahal na opsyon, ay maaaring magtagal dahil sa mga backlog ng hukuman, ay nangangailangan ng legal na representasyon para sa tamang pag-navigate ng sistema ng hukuman.
**4. Alternatibong Dispute Resolution (ADR):**
* Ang mga boluntaryong mekanismo ng ADR tulad ng pribadong pamamagitan o arbitrasyon ay maaaring maging alternatibo sa mga paglilitis sa korte. * Ang isang neutral na third-party ay nagpapadali sa isang pag-aayos sa pagitan ng mga nag-aaway na partido, na posibleng humahantong sa isang mas mabilis at hindi gaanong adversarial na resolusyon.
* Mga Bentahe: Posibleng mas mabilis at mas matipid kaysa sa paglilitis, ang mga partido ay may higit na kontrol sa proseso.
* Mga Disadvantage: Hindi lahat ng hindi pagkakaunawaan ay angkop para sa ADR, ang pagpapatupad ng mga pag-aayos ay maaaring mangailangan ng aksyon ng korte.
**Pagpili ng Tamang Mekanismo:**
Ang pinakamahusay na opsyon ay depende sa likas na katangian ng hindi pagkakaunawaan, pagiging kumplikado nito, at mga mapagkukunang magagamit. Narito ang ilang pangkalahatang pagsasaalang-alang:
* **Tindi ng Di-pagkakasundo:** Ang mga maliliit na isyu ay maaaring angkop para sa Lupong Tagapamayapa, habang ang mga kumplikadong salungatan sa pagmamay-ari ay maaaring mangailangan ng mga regular na korte.
* **Gastos at Oras:** Ang mga impormal na opsyon tulad ng Lupong Tagapamayapa ay libre at mas mabilis, habang ang mga korte ay mahal at matagal.
* **Legal na Representasyon:** Ang mga kumplikadong kaso sa mga regular na hukuman ay kadalasang nangangailangan ng legal na representasyon upang epektibong mag-navigate sa legal na sistema. **Naghahanap ng Legal na Payo:**
Ang pagkonsulta sa isang abogado na dalubhasa sa batas sa pabahay at pag-aari ng lupa ay lubos na inirerekomenda, lalo na para sa mga kumplikadong hindi pagkakaunawaan. Maaari ka nilang payuhan sa pinakaangkop na legal na mekanismo batay sa iyong partikular na sitwasyon at tulungan kang mag-navigate nang epektibo sa napiling proseso.</v>
      </c>
      <c r="F2758" s="2">
        <f t="shared" si="1"/>
        <v>0</v>
      </c>
      <c r="G2758" s="2"/>
      <c r="H2758" s="2"/>
      <c r="I2758" s="2"/>
      <c r="J2758" s="2"/>
      <c r="K2758" s="2"/>
      <c r="L2758" s="2"/>
      <c r="M2758" s="2"/>
      <c r="N2758" s="2"/>
      <c r="O2758" s="2"/>
      <c r="P2758" s="2"/>
      <c r="Q2758" s="2"/>
      <c r="R2758" s="2"/>
      <c r="S2758" s="2"/>
      <c r="T2758" s="2"/>
      <c r="U2758" s="2"/>
      <c r="V2758" s="2"/>
      <c r="W2758" s="2"/>
      <c r="X2758" s="2"/>
      <c r="Y2758" s="2"/>
      <c r="Z2758" s="2"/>
      <c r="AA2758" s="2"/>
    </row>
    <row r="2759">
      <c r="A2759" s="3" t="s">
        <v>6475</v>
      </c>
      <c r="B2759" s="1" t="s">
        <v>6490</v>
      </c>
      <c r="C2759" s="3" t="s">
        <v>6491</v>
      </c>
      <c r="D2759" s="2" t="str">
        <f>IFERROR(__xludf.DUMMYFUNCTION("GOOGLETRANSLATE(B2759, ""en"", ""TL"")"),"Ipaliwanag ang balangkas ng regulasyon para sa pagpapaunlad ng condominium sa Pilipinas.")</f>
        <v>Ipaliwanag ang balangkas ng regulasyon para sa pagpapaunlad ng condominium sa Pilipinas.</v>
      </c>
      <c r="E2759" s="2" t="str">
        <f>IFERROR(__xludf.DUMMYFUNCTION("GOOGLETRANSLATE(C2759, ""en"", ""TL"")"),"Ang Pilipinas ay may komprehensibong balangkas ng regulasyon para sa pagpapaunlad ng condominium, tinitiyak ang proteksyon ng consumer at wastong pagpapatupad ng proyekto. Narito ang isang breakdown ng mga pangunahing institusyon at regulasyong kasangkot:"&amp;"
**Mga Pangunahing Institusyon:**
* **Housing and Land Use Regulatory Board (HLURB):** Ang HLURB ay ang pangunahing ahensya ng gobyerno na nangangasiwa sa pagpapaunlad ng condominium. Ang kanilang mga responsibilidad ay kinabibilangan ng:
* Pagbibigay ng "&amp;"mga lisensya sa mga developer.
* Pagsusuri sa mga plano ng proyekto at pagpapatupad ng mga pamantayan ng konstruksiyon.
* Pagprotekta sa mga karapatan ng mamimili sa pamamagitan ng mga regulasyon sa pagbebenta at paglutas ng hindi pagkakaunawaan.
* **Secu"&amp;"rities and Exchange Commission (SEC):** Para sa mga proyekto ng condominium na may securitization (nagbebenta ng mga unit bago makumpleto), kinokontrol ng SEC ang proseso upang pangalagaan ang mga mamumuhunan. * **Professional Regulation Commission (PRC):"&amp;"** Ang mga arkitekto, inhinyero, at iba pang propesyonal na kasangkot sa pagpapaunlad ng condominium ay dapat lisensyado ng PRC upang matiyak ang mga kwalipikasyon.
**Mga Pangunahing Regulasyon:**
* **Republic Act No. 4726 (Condominium Law):** Ito ang pun"&amp;"dasyong batas na namamahala sa mga condominium sa Pilipinas. Tinutukoy nito ang mga condominium, nagtatatag ng awtoridad ng HLURB, at binabalangkas ang mga karapatan at obligasyon para sa mga developer, may-ari ng unit, at mga asosasyon ng mga may-ari ng "&amp;"bahay (HOA).
* **Mga Panuntunan at Regulasyon ng HLURB:** Naglalabas ang HLURB ng mga detalyadong regulasyon na nagbabalangkas sa mga kinakailangan ng developer sa buong proseso. Kabilang dito ang:
* Pagpaplano ng proyekto at mga pamamaraan sa paglilisens"&amp;"ya.
* Itinalagang mga pamantayan para sa disenyo ng gusali, konstruksyon, at amenities.
* Mga regulasyon sa pagbebenta at marketing, kabilang ang kinakailangang prospektus (detalyadong dokumento ng impormasyon ng proyekto) para sa mga developer.
* Pagbubu"&amp;"o at pagpapatakbo ng mga HOA na responsable sa pamamahala ng condominium pagkatapos ng turnover.
**Proseso ng Paglilisensya ng HLURB:**
* Dapat kumuha ang mga developer ng License to Sell mula sa HLURB bago mag-alok ng mga condominium unit para sa pagbebe"&amp;"nta. * Kabilang dito ang pagsusumite ng mga plano ng proyekto, teknikal na dokumento, at patunay ng track record ng developer para sa pagsusuri at pag-apruba ng HLURB.
**Mga Panukala sa Proteksyon ng Consumer:**
* Kasama sa balangkas ang mga hakbang upang"&amp;" protektahan ang mga mamimili ng condominium:
* **Prospectus:** Dapat magbigay ang mga developer ng komprehensibong prospektus na naglalahad ng mga detalye ng proyekto, presyo ng unit, at mga tuntunin sa pagbabayad.
* **HLURB Oversight:** Sinusubaybayan n"&amp;"g HLURB ang proseso ng pagbebenta upang maiwasan ang maling representasyon at matiyak na ang mga karapatan ng consumer ay pinangangalagaan.
**Homeowners' Associations (HOAs):**
* Ang HLURB ay gumaganap ng isang papel sa pagtatatag at pamamahala ng mga HOA"&amp;":
* Ang mga HOA ay may pananagutan sa pagpapanatili ng mga karaniwang lugar at pasilidad sa loob ng pagpapaunlad ng condominium.
* Ang mga regulasyon ng HLURB ay gumagabay sa pagbuo ng HOA, mga halalan ng opisyal, at mga kasanayan sa pamamahala upang itag"&amp;"uyod ang transparency at pananagutan.
**Resolusyon sa Di-pagkakasundo:**
* Ang HLURB ay may mekanismo para sa pagtugon sa mga hindi pagkakaunawaan sa pagitan ng mga developer ng condominium, may-ari ng unit, at mga HOA. * Kasama sa mga opsyon ang pamamagi"&amp;"tan o paghatol sa loob ng HLURB bago pumunta sa mga regular na korte.
**Konklusyon:**
Ang Philippine condominium development regulatory framework ay naglalayon para sa isang maayos na proseso, mula sa pagpaplano hanggang sa pagkumpleto at pamamahala ng pr"&amp;"oyekto. Ang HLURB ay gumaganap ng isang pangunahing papel, at ang pag-unawa sa mga regulasyong ito ay mahalaga para sa parehong mga developer at potensyal na mamimili ng condominium unit.")</f>
        <v>Ang Pilipinas ay may komprehensibong balangkas ng regulasyon para sa pagpapaunlad ng condominium, tinitiyak ang proteksyon ng consumer at wastong pagpapatupad ng proyekto. Narito ang isang breakdown ng mga pangunahing institusyon at regulasyong kasangkot:
**Mga Pangunahing Institusyon:**
* **Housing and Land Use Regulatory Board (HLURB):** Ang HLURB ay ang pangunahing ahensya ng gobyerno na nangangasiwa sa pagpapaunlad ng condominium. Ang kanilang mga responsibilidad ay kinabibilangan ng:
* Pagbibigay ng mga lisensya sa mga developer.
* Pagsusuri sa mga plano ng proyekto at pagpapatupad ng mga pamantayan ng konstruksiyon.
* Pagprotekta sa mga karapatan ng mamimili sa pamamagitan ng mga regulasyon sa pagbebenta at paglutas ng hindi pagkakaunawaan.
* **Securities and Exchange Commission (SEC):** Para sa mga proyekto ng condominium na may securitization (nagbebenta ng mga unit bago makumpleto), kinokontrol ng SEC ang proseso upang pangalagaan ang mga mamumuhunan. * **Professional Regulation Commission (PRC):** Ang mga arkitekto, inhinyero, at iba pang propesyonal na kasangkot sa pagpapaunlad ng condominium ay dapat lisensyado ng PRC upang matiyak ang mga kwalipikasyon.
**Mga Pangunahing Regulasyon:**
* **Republic Act No. 4726 (Condominium Law):** Ito ang pundasyong batas na namamahala sa mga condominium sa Pilipinas. Tinutukoy nito ang mga condominium, nagtatatag ng awtoridad ng HLURB, at binabalangkas ang mga karapatan at obligasyon para sa mga developer, may-ari ng unit, at mga asosasyon ng mga may-ari ng bahay (HOA).
* **Mga Panuntunan at Regulasyon ng HLURB:** Naglalabas ang HLURB ng mga detalyadong regulasyon na nagbabalangkas sa mga kinakailangan ng developer sa buong proseso. Kabilang dito ang:
* Pagpaplano ng proyekto at mga pamamaraan sa paglilisensya.
* Itinalagang mga pamantayan para sa disenyo ng gusali, konstruksyon, at amenities.
* Mga regulasyon sa pagbebenta at marketing, kabilang ang kinakailangang prospektus (detalyadong dokumento ng impormasyon ng proyekto) para sa mga developer.
* Pagbubuo at pagpapatakbo ng mga HOA na responsable sa pamamahala ng condominium pagkatapos ng turnover.
**Proseso ng Paglilisensya ng HLURB:**
* Dapat kumuha ang mga developer ng License to Sell mula sa HLURB bago mag-alok ng mga condominium unit para sa pagbebenta. * Kabilang dito ang pagsusumite ng mga plano ng proyekto, teknikal na dokumento, at patunay ng track record ng developer para sa pagsusuri at pag-apruba ng HLURB.
**Mga Panukala sa Proteksyon ng Consumer:**
* Kasama sa balangkas ang mga hakbang upang protektahan ang mga mamimili ng condominium:
* **Prospectus:** Dapat magbigay ang mga developer ng komprehensibong prospektus na naglalahad ng mga detalye ng proyekto, presyo ng unit, at mga tuntunin sa pagbabayad.
* **HLURB Oversight:** Sinusubaybayan ng HLURB ang proseso ng pagbebenta upang maiwasan ang maling representasyon at matiyak na ang mga karapatan ng consumer ay pinangangalagaan.
**Homeowners' Associations (HOAs):**
* Ang HLURB ay gumaganap ng isang papel sa pagtatatag at pamamahala ng mga HOA:
* Ang mga HOA ay may pananagutan sa pagpapanatili ng mga karaniwang lugar at pasilidad sa loob ng pagpapaunlad ng condominium.
* Ang mga regulasyon ng HLURB ay gumagabay sa pagbuo ng HOA, mga halalan ng opisyal, at mga kasanayan sa pamamahala upang itaguyod ang transparency at pananagutan.
**Resolusyon sa Di-pagkakasundo:**
* Ang HLURB ay may mekanismo para sa pagtugon sa mga hindi pagkakaunawaan sa pagitan ng mga developer ng condominium, may-ari ng unit, at mga HOA. * Kasama sa mga opsyon ang pamamagitan o paghatol sa loob ng HLURB bago pumunta sa mga regular na korte.
**Konklusyon:**
Ang Philippine condominium development regulatory framework ay naglalayon para sa isang maayos na proseso, mula sa pagpaplano hanggang sa pagkumpleto at pamamahala ng proyekto. Ang HLURB ay gumaganap ng isang pangunahing papel, at ang pag-unawa sa mga regulasyong ito ay mahalaga para sa parehong mga developer at potensyal na mamimili ng condominium unit.</v>
      </c>
      <c r="F2759" s="2">
        <f t="shared" si="1"/>
        <v>0</v>
      </c>
      <c r="G2759" s="2"/>
      <c r="H2759" s="2"/>
      <c r="I2759" s="2"/>
      <c r="J2759" s="2"/>
      <c r="K2759" s="2"/>
      <c r="L2759" s="2"/>
      <c r="M2759" s="2"/>
      <c r="N2759" s="2"/>
      <c r="O2759" s="2"/>
      <c r="P2759" s="2"/>
      <c r="Q2759" s="2"/>
      <c r="R2759" s="2"/>
      <c r="S2759" s="2"/>
      <c r="T2759" s="2"/>
      <c r="U2759" s="2"/>
      <c r="V2759" s="2"/>
      <c r="W2759" s="2"/>
      <c r="X2759" s="2"/>
      <c r="Y2759" s="2"/>
      <c r="Z2759" s="2"/>
      <c r="AA2759" s="2"/>
    </row>
    <row r="2760">
      <c r="A2760" s="3" t="s">
        <v>6475</v>
      </c>
      <c r="B2760" s="1" t="s">
        <v>6492</v>
      </c>
      <c r="C2760" s="3" t="s">
        <v>6493</v>
      </c>
      <c r="D2760" s="2" t="str">
        <f>IFERROR(__xludf.DUMMYFUNCTION("GOOGLETRANSLATE(B2760, ""en"", ""TL"")"),"Ano ang mga karapatan at responsibilidad ng mga may-ari ng bahay sa mga gated na komunidad sa ilalim ng batas ng Pilipinas?")</f>
        <v>Ano ang mga karapatan at responsibilidad ng mga may-ari ng bahay sa mga gated na komunidad sa ilalim ng batas ng Pilipinas?</v>
      </c>
      <c r="E2760" s="2" t="str">
        <f>IFERROR(__xludf.DUMMYFUNCTION("GOOGLETRANSLATE(C2760, ""en"", ""TL"")"),"Ang mga may-ari ng bahay sa mga naka-gate na komunidad sa Pilipinas ay may mga partikular na karapatan at responsibilidad na binalangkas ng kumbinasyon ng mga batas, mga panuntunan sa asosasyon ng mga may-ari ng bahay (homeowners' association (HOA), at ku"&amp;"ng minsan ay mga kontrata pa sa developer. Narito ang isang breakdown ng mga pangunahing aspeto:
**Mga Karapatan ng Mga May-ari ng Bahay:**
* **Enjoyment of Amenities and Common Areas:** Ang mga may-ari ng bahay ay may karapatang gamitin at tamasahin ang "&amp;"mga amenity at common area sa loob ng gated community, tulad ng mga swimming pool, gym, at parke, alinsunod sa mga tuntunin at regulasyon ng HOA.
* **Paglahok sa HOA:** Ang mga may-ari ng bahay ay may karapatang lumahok sa mga pulong ng HOA, bumoto sa mga"&amp;" halalan para sa mga opisyal ng HOA, at panagutin ang lupon ng HOA para sa mga desisyon nito. * **Pag-access sa Impormasyon:** Ang mga may-ari ng bahay ay may karapatang i-access ang mga talaan ng HOA at mga pahayag sa pananalapi, sa loob ng makatwirang m"&amp;"ga limitasyon na tinukoy ng mga tuntunin ng HOA.
* **Payapang Pamumuhay na Kapaligiran:** Ang mga may-ari ng bahay ay may karapatang manirahan sa isang ligtas at mapayapang kapaligiran na walang mga hindi makatwirang kaguluhan na dulot ng ibang mga reside"&amp;"nte o ng HOA mismo.
* **Resolusyon sa Di-pagkakasundo:** Ang mga may-ari ng bahay ay may karapatan sa isang patas at malinaw na proseso para sa paglutas ng mga hindi pagkakaunawaan sa HOA o iba pang mga residente, kadalasan sa pamamagitan ng pamamagitan n"&amp;"a inaalok ng HOA o legal na aksyon bilang huling paraan.
**Magna Carta para sa Homeowners and Homebuyers Association (HOAs):**
* Ang batas na ito (hindi isang hiwalay na Magna Carta ngunit mga probisyon sa loob ng mga umiiral na batas) ay nagpoprotekta sa"&amp;" mga karapatan ng mga may-ari ng bahay sa pamamagitan ng pagbabawal sa mga HOA sa pag-alis ng mga miyembro ng mga pangunahing serbisyo sa komunidad o pasilidad kung sila ay nagbayad ng mga dapat bayaran, at pagpigil sa mga HOA na hadlangan ang paglahok sa"&amp;" mga pulong at halalan para sa mga miyembro sa magandang paninindigan.
**Mga Responsibilidad ng Mga May-ari ng Bahay:**
* **Pagbabayad ng mga Dues at Assessment:** Ang mga may-ari ng bahay ay may pananagutan sa pagbabayad ng buwanang mga bayarin sa HOA at"&amp;" mga espesyal na pagtasa gaya ng itinatag ng HOA at inaprubahan ng karamihan ng mga may-ari ng bahay. * **Pagsunod sa Mga Panuntunan ng HOA:** Dapat sumunod ang mga may-ari ng bahay sa mga makatwirang tuntunin at regulasyong itinatag ng HOA tungkol sa pag"&amp;"papanatili ng kanilang ari-arian, paradahan, antas ng ingay, pagmamay-ari ng alagang hayop, atbp.
* **Pagpapanatili ng Ari-arian:** Ang mga may-ari ng bahay ay may pananagutan sa pagpapanatili ng kanilang ari-arian sa loob ng gated na komunidad ayon sa mg"&amp;"a alituntunin ng HOA upang mapanatili ang pangkalahatang aesthetics at halaga ng komunidad.
* **Paglahok sa Mga Aktibidad ng HOA:** Bagama't hindi palaging sapilitan, hinihikayat ang mga may-ari ng bahay na lumahok sa mga aktibidad ng HOA tulad ng mga kag"&amp;"anapan sa komunidad o pagboboluntaryo para sa mga komite, na nagpapalakas sa diwa ng komunidad.
**Paghahanap ng Balanse:**
* Maaaring magkaroon ng tensyon sa pagitan ng mga karapatan ng indibidwal na may-ari ng bahay at ang pangangailangan para sa HOA na "&amp;"mapanatili ang kaayusan sa loob ng komunidad. * Ang pagkakaroon ng balanse sa pamamagitan ng bukas na komunikasyon, pakikilahok sa mga aktibidad ng HOA, at pag-unawa sa legal na balangkas ay napakahalaga.
**Mahalagang Mapagkukunan:**
* **Magna Carta para "&amp;"sa Homeowners and Homebuyers Associations (mga probisyon sa loob ng mga umiiral na batas):** [https://legacy.senate.gov.ph/](https://legacy.senate.gov.ph/)
* **Housing and Land Use Regulatory Board (HLURB):** [https://www.dbm.gov.ph/wp-content/uploads/OPC"&amp;"CB/OPIF2010/OEO/HLURB.pdf](https://www .dbm.gov.ph/wp-content/uploads/OPCCB/OPIF2010/OEO/HLURB.pdf)
**Tandaan:**
* Maaaring mag-iba-iba ang mga partikular na karapatan at responsibilidad depende sa mga dokumentong namamahala ng bawat gated na komunidad, k"&amp;"abilang ang HOA Declaration of Restrictions, Bylaws, at House Rules. * Ang pagkonsulta sa mga dokumentong ito at paghingi ng legal na payo kung kinakailangan ay inirerekomenda upang lubos na maunawaan ang iyong mga karapatan at responsibilidad bilang isan"&amp;"g may-ari ng bahay sa isang gated na komunidad sa Pilipinas.")</f>
        <v>Ang mga may-ari ng bahay sa mga naka-gate na komunidad sa Pilipinas ay may mga partikular na karapatan at responsibilidad na binalangkas ng kumbinasyon ng mga batas, mga panuntunan sa asosasyon ng mga may-ari ng bahay (homeowners' association (HOA), at kung minsan ay mga kontrata pa sa developer. Narito ang isang breakdown ng mga pangunahing aspeto:
**Mga Karapatan ng Mga May-ari ng Bahay:**
* **Enjoyment of Amenities and Common Areas:** Ang mga may-ari ng bahay ay may karapatang gamitin at tamasahin ang mga amenity at common area sa loob ng gated community, tulad ng mga swimming pool, gym, at parke, alinsunod sa mga tuntunin at regulasyon ng HOA.
* **Paglahok sa HOA:** Ang mga may-ari ng bahay ay may karapatang lumahok sa mga pulong ng HOA, bumoto sa mga halalan para sa mga opisyal ng HOA, at panagutin ang lupon ng HOA para sa mga desisyon nito. * **Pag-access sa Impormasyon:** Ang mga may-ari ng bahay ay may karapatang i-access ang mga talaan ng HOA at mga pahayag sa pananalapi, sa loob ng makatwirang mga limitasyon na tinukoy ng mga tuntunin ng HOA.
* **Payapang Pamumuhay na Kapaligiran:** Ang mga may-ari ng bahay ay may karapatang manirahan sa isang ligtas at mapayapang kapaligiran na walang mga hindi makatwirang kaguluhan na dulot ng ibang mga residente o ng HOA mismo.
* **Resolusyon sa Di-pagkakasundo:** Ang mga may-ari ng bahay ay may karapatan sa isang patas at malinaw na proseso para sa paglutas ng mga hindi pagkakaunawaan sa HOA o iba pang mga residente, kadalasan sa pamamagitan ng pamamagitan na inaalok ng HOA o legal na aksyon bilang huling paraan.
**Magna Carta para sa Homeowners and Homebuyers Association (HOAs):**
* Ang batas na ito (hindi isang hiwalay na Magna Carta ngunit mga probisyon sa loob ng mga umiiral na batas) ay nagpoprotekta sa mga karapatan ng mga may-ari ng bahay sa pamamagitan ng pagbabawal sa mga HOA sa pag-alis ng mga miyembro ng mga pangunahing serbisyo sa komunidad o pasilidad kung sila ay nagbayad ng mga dapat bayaran, at pagpigil sa mga HOA na hadlangan ang paglahok sa mga pulong at halalan para sa mga miyembro sa magandang paninindigan.
**Mga Responsibilidad ng Mga May-ari ng Bahay:**
* **Pagbabayad ng mga Dues at Assessment:** Ang mga may-ari ng bahay ay may pananagutan sa pagbabayad ng buwanang mga bayarin sa HOA at mga espesyal na pagtasa gaya ng itinatag ng HOA at inaprubahan ng karamihan ng mga may-ari ng bahay. * **Pagsunod sa Mga Panuntunan ng HOA:** Dapat sumunod ang mga may-ari ng bahay sa mga makatwirang tuntunin at regulasyong itinatag ng HOA tungkol sa pagpapanatili ng kanilang ari-arian, paradahan, antas ng ingay, pagmamay-ari ng alagang hayop, atbp.
* **Pagpapanatili ng Ari-arian:** Ang mga may-ari ng bahay ay may pananagutan sa pagpapanatili ng kanilang ari-arian sa loob ng gated na komunidad ayon sa mga alituntunin ng HOA upang mapanatili ang pangkalahatang aesthetics at halaga ng komunidad.
* **Paglahok sa Mga Aktibidad ng HOA:** Bagama't hindi palaging sapilitan, hinihikayat ang mga may-ari ng bahay na lumahok sa mga aktibidad ng HOA tulad ng mga kaganapan sa komunidad o pagboboluntaryo para sa mga komite, na nagpapalakas sa diwa ng komunidad.
**Paghahanap ng Balanse:**
* Maaaring magkaroon ng tensyon sa pagitan ng mga karapatan ng indibidwal na may-ari ng bahay at ang pangangailangan para sa HOA na mapanatili ang kaayusan sa loob ng komunidad. * Ang pagkakaroon ng balanse sa pamamagitan ng bukas na komunikasyon, pakikilahok sa mga aktibidad ng HOA, at pag-unawa sa legal na balangkas ay napakahalaga.
**Mahalagang Mapagkukunan:**
* **Magna Carta para sa Homeowners and Homebuyers Associations (mga probisyon sa loob ng mga umiiral na batas):** [https://legacy.senate.gov.ph/](https://legacy.senate.gov.ph/)
* **Housing and Land Use Regulatory Board (HLURB):** [https://www.dbm.gov.ph/wp-content/uploads/OPCCB/OPIF2010/OEO/HLURB.pdf](https://www .dbm.gov.ph/wp-content/uploads/OPCCB/OPIF2010/OEO/HLURB.pdf)
**Tandaan:**
* Maaaring mag-iba-iba ang mga partikular na karapatan at responsibilidad depende sa mga dokumentong namamahala ng bawat gated na komunidad, kabilang ang HOA Declaration of Restrictions, Bylaws, at House Rules. * Ang pagkonsulta sa mga dokumentong ito at paghingi ng legal na payo kung kinakailangan ay inirerekomenda upang lubos na maunawaan ang iyong mga karapatan at responsibilidad bilang isang may-ari ng bahay sa isang gated na komunidad sa Pilipinas.</v>
      </c>
      <c r="F2760" s="2">
        <f t="shared" si="1"/>
        <v>0</v>
      </c>
      <c r="G2760" s="2"/>
      <c r="H2760" s="2"/>
      <c r="I2760" s="2"/>
      <c r="J2760" s="2"/>
      <c r="K2760" s="2"/>
      <c r="L2760" s="2"/>
      <c r="M2760" s="2"/>
      <c r="N2760" s="2"/>
      <c r="O2760" s="2"/>
      <c r="P2760" s="2"/>
      <c r="Q2760" s="2"/>
      <c r="R2760" s="2"/>
      <c r="S2760" s="2"/>
      <c r="T2760" s="2"/>
      <c r="U2760" s="2"/>
      <c r="V2760" s="2"/>
      <c r="W2760" s="2"/>
      <c r="X2760" s="2"/>
      <c r="Y2760" s="2"/>
      <c r="Z2760" s="2"/>
      <c r="AA2760" s="2"/>
    </row>
    <row r="2761">
      <c r="A2761" s="3" t="s">
        <v>6475</v>
      </c>
      <c r="B2761" s="1" t="s">
        <v>6494</v>
      </c>
      <c r="C2761" s="3" t="s">
        <v>6495</v>
      </c>
      <c r="D2761" s="2" t="str">
        <f>IFERROR(__xludf.DUMMYFUNCTION("GOOGLETRANSLATE(B2761, ""en"", ""TL"")"),"Talakayin ang tungkulin ng pamahalaan sa pagbibigay ng murang pabahay para sa mga marginalized na komunidad.")</f>
        <v>Talakayin ang tungkulin ng pamahalaan sa pagbibigay ng murang pabahay para sa mga marginalized na komunidad.</v>
      </c>
      <c r="E2761" s="2" t="str">
        <f>IFERROR(__xludf.DUMMYFUNCTION("GOOGLETRANSLATE(C2761, ""en"", ""TL"")"),"Malaki ang papel ng gobyerno ng Pilipinas sa pagbibigay ng murang pabahay para sa mga marginalized na komunidad. Narito ang isang breakdown ng mga pangunahing interbensyon nito at ang mga hamon na kinakaharap:
**Mga Inisyatiba ng Pamahalaan:**
* **Nationa"&amp;"l Housing Authority (NHA):** Ang NHA ay ang pangunahing ahensya ng gobyerno na responsable para sa pagbuo at pagsasaayos ng mga socialized housing project para sa mga pamilyang mababa ang kita. Kabilang dito ang:
* Pagkilala at pagkuha ng lupa para sa soc"&amp;"ialized housing development.
* Pagtatakda ng mga pamantayan at pagbibigay ng mga subsidyo para sa pagtatayo ng mga low-cost housing unit.
* Pakikipagtulungan sa mga pribadong developer para sa pagtatayo ng mga proyekto ng socialized housing.
* **Socialize"&amp;"d Housing Programs:** Nag-aalok ang gobyerno ng iba't ibang programa upang gawing mas madaling ma-access ang pagmamay-ari ng bahay para sa mga mababa ang kita. Ang mga programang ito ay kadalasang kinabibilangan ng:
* Mga subsidy sa mga rate ng interes pa"&amp;"ra sa mga pautang sa pabahay.
* Mga flexible na scheme ng pagbabayad na may mas mahabang termino ng pagbabayad.
* Mga programang mortgage sa komunidad kung saan magkakasamang nag-a-apply ang mga grupo para sa mga pautang sa pabahay.
* **Resettlement Progr"&amp;"ams:** Ang NHA ay kasangkot din sa pagpapatira sa mga pamilyang nawalan ng tirahan dahil sa mga proyektong pang-imprastraktura, natural na sakuna, o iba pang mga pangyayari na nangangailangan ng relokasyon. Kabilang dito ang:
* Pagkilala sa mga relocation"&amp;" site.
* Pagbuo ng mga plano sa resettlement na may pangunahing imprastraktura at amenities.
* Pagbibigay ng mga serbisyo ng suporta sa mga inilipat na pamilya upang matulungan silang umangkop sa kanilang bagong kapaligiran.
**Mga Hamon:**
* **Limitadong "&amp;"Badyet:** Ang pagpopondo ng gobyerno para sa mga programa ng socialized housing ay kadalasang limitado, na humahantong sa kakulangan ng magagamit na mga yunit kumpara sa malawak na pangangailangan.
* **Availability ng Lupa:** Ang pagtukoy ng angkop na lup"&amp;"a sa loob ng mga urban na lugar para sa socialized housing development ay maaaring maging mahirap dahil sa mataas na gastos sa lupa at kompetisyon mula sa mga pribadong developer.
* **Sustainability of Resettlement Programs:** Resettlement programs ay hin"&amp;"di lamang nangangailangan ng pagtatayo ng mga bahay ngunit nagbibigay din ng access sa mga trabaho, mga pagkakataon sa kabuhayan, at mahahalagang serbisyo sa bagong lokasyon para sa pangmatagalang tagumpay.
* **Pagta-target sa Pinaka Mahina:** Ang pagtiya"&amp;"k na ang pinaka-marginalized na mga komunidad na tunay na nangangailangan ng tulong ay natukoy at nabibigyang-priyoridad para sa mga socialized na programa sa pabahay ay maaaring maging kumplikado.
**Ang Papel ng Iba Pang Mga Stakeholder:**
* **Pribadong "&amp;"Sektor:** Ang mga public-private partnership (PPP) ay maaaring gumanap ng papel sa pagpapataas ng supply ng murang pabahay. * **Civil Society Organizations (CSOs):** Ang mga CSO ay maaaring makipagtulungan sa mga komunidad upang itaas ang kamalayan tungko"&amp;"l sa mga programa ng pamahalaan, mapadali ang mga aplikasyon, at bigyang kapangyarihan ang mga komunidad na lumahok sa mga proseso ng pagpaplano.
**Inaasahan:**
Ang papel ng gobyerno ng Pilipinas sa pagbibigay ng murang pabahay ay nananatiling mahalaga pa"&amp;"ra sa pagtugon sa mga pangangailangan ng mga marginalized na komunidad. Ang patuloy na pagsisikap ay kailangan upang:
* **Palakihin ang Pagpopondo:** Galugarin ang mga makabagong mekanismo sa pagpopondo upang mapakinabangan ang mga mapagkukunan para sa mg"&amp;"a programa ng socialized housing.
* **I-promote ang Public-Private Partnerships:** Mang-akit ng pamumuhunan ng pribadong sektor sa murang pagpapaunlad ng pabahay habang tinitiyak ang pagiging affordability para sa mga target na benepisyaryo.
* **Paglahok "&amp;"ng Komunidad:** Tiyakin ang makabuluhang partisipasyon ng mga target na komunidad sa pagpaplano at pagpapatupad ng mga programa sa pabahay upang lumikha ng mga napapanatiling solusyon.
Sa pamamagitan ng pagtugon sa mga hamong ito at pagpapalakas ng pakiki"&amp;"pagtulungan sa iba't ibang stakeholder, maaaring magsikap ang gobyerno ng Pilipinas tungo sa isang kinabukasan kung saan ang disente at abot-kayang pabahay ay isang realidad para sa lahat ng Pilipino.")</f>
        <v>Malaki ang papel ng gobyerno ng Pilipinas sa pagbibigay ng murang pabahay para sa mga marginalized na komunidad. Narito ang isang breakdown ng mga pangunahing interbensyon nito at ang mga hamon na kinakaharap:
**Mga Inisyatiba ng Pamahalaan:**
* **National Housing Authority (NHA):** Ang NHA ay ang pangunahing ahensya ng gobyerno na responsable para sa pagbuo at pagsasaayos ng mga socialized housing project para sa mga pamilyang mababa ang kita. Kabilang dito ang:
* Pagkilala at pagkuha ng lupa para sa socialized housing development.
* Pagtatakda ng mga pamantayan at pagbibigay ng mga subsidyo para sa pagtatayo ng mga low-cost housing unit.
* Pakikipagtulungan sa mga pribadong developer para sa pagtatayo ng mga proyekto ng socialized housing.
* **Socialized Housing Programs:** Nag-aalok ang gobyerno ng iba't ibang programa upang gawing mas madaling ma-access ang pagmamay-ari ng bahay para sa mga mababa ang kita. Ang mga programang ito ay kadalasang kinabibilangan ng:
* Mga subsidy sa mga rate ng interes para sa mga pautang sa pabahay.
* Mga flexible na scheme ng pagbabayad na may mas mahabang termino ng pagbabayad.
* Mga programang mortgage sa komunidad kung saan magkakasamang nag-a-apply ang mga grupo para sa mga pautang sa pabahay.
* **Resettlement Programs:** Ang NHA ay kasangkot din sa pagpapatira sa mga pamilyang nawalan ng tirahan dahil sa mga proyektong pang-imprastraktura, natural na sakuna, o iba pang mga pangyayari na nangangailangan ng relokasyon. Kabilang dito ang:
* Pagkilala sa mga relocation site.
* Pagbuo ng mga plano sa resettlement na may pangunahing imprastraktura at amenities.
* Pagbibigay ng mga serbisyo ng suporta sa mga inilipat na pamilya upang matulungan silang umangkop sa kanilang bagong kapaligiran.
**Mga Hamon:**
* **Limitadong Badyet:** Ang pagpopondo ng gobyerno para sa mga programa ng socialized housing ay kadalasang limitado, na humahantong sa kakulangan ng magagamit na mga yunit kumpara sa malawak na pangangailangan.
* **Availability ng Lupa:** Ang pagtukoy ng angkop na lupa sa loob ng mga urban na lugar para sa socialized housing development ay maaaring maging mahirap dahil sa mataas na gastos sa lupa at kompetisyon mula sa mga pribadong developer.
* **Sustainability of Resettlement Programs:** Resettlement programs ay hindi lamang nangangailangan ng pagtatayo ng mga bahay ngunit nagbibigay din ng access sa mga trabaho, mga pagkakataon sa kabuhayan, at mahahalagang serbisyo sa bagong lokasyon para sa pangmatagalang tagumpay.
* **Pagta-target sa Pinaka Mahina:** Ang pagtiyak na ang pinaka-marginalized na mga komunidad na tunay na nangangailangan ng tulong ay natukoy at nabibigyang-priyoridad para sa mga socialized na programa sa pabahay ay maaaring maging kumplikado.
**Ang Papel ng Iba Pang Mga Stakeholder:**
* **Pribadong Sektor:** Ang mga public-private partnership (PPP) ay maaaring gumanap ng papel sa pagpapataas ng supply ng murang pabahay. * **Civil Society Organizations (CSOs):** Ang mga CSO ay maaaring makipagtulungan sa mga komunidad upang itaas ang kamalayan tungkol sa mga programa ng pamahalaan, mapadali ang mga aplikasyon, at bigyang kapangyarihan ang mga komunidad na lumahok sa mga proseso ng pagpaplano.
**Inaasahan:**
Ang papel ng gobyerno ng Pilipinas sa pagbibigay ng murang pabahay ay nananatiling mahalaga para sa pagtugon sa mga pangangailangan ng mga marginalized na komunidad. Ang patuloy na pagsisikap ay kailangan upang:
* **Palakihin ang Pagpopondo:** Galugarin ang mga makabagong mekanismo sa pagpopondo upang mapakinabangan ang mga mapagkukunan para sa mga programa ng socialized housing.
* **I-promote ang Public-Private Partnerships:** Mang-akit ng pamumuhunan ng pribadong sektor sa murang pagpapaunlad ng pabahay habang tinitiyak ang pagiging affordability para sa mga target na benepisyaryo.
* **Paglahok ng Komunidad:** Tiyakin ang makabuluhang partisipasyon ng mga target na komunidad sa pagpaplano at pagpapatupad ng mga programa sa pabahay upang lumikha ng mga napapanatiling solusyon.
Sa pamamagitan ng pagtugon sa mga hamong ito at pagpapalakas ng pakikipagtulungan sa iba't ibang stakeholder, maaaring magsikap ang gobyerno ng Pilipinas tungo sa isang kinabukasan kung saan ang disente at abot-kayang pabahay ay isang realidad para sa lahat ng Pilipino.</v>
      </c>
      <c r="F2761" s="2">
        <f t="shared" si="1"/>
        <v>0</v>
      </c>
      <c r="G2761" s="2"/>
      <c r="H2761" s="2"/>
      <c r="I2761" s="2"/>
      <c r="J2761" s="2"/>
      <c r="K2761" s="2"/>
      <c r="L2761" s="2"/>
      <c r="M2761" s="2"/>
      <c r="N2761" s="2"/>
      <c r="O2761" s="2"/>
      <c r="P2761" s="2"/>
      <c r="Q2761" s="2"/>
      <c r="R2761" s="2"/>
      <c r="S2761" s="2"/>
      <c r="T2761" s="2"/>
      <c r="U2761" s="2"/>
      <c r="V2761" s="2"/>
      <c r="W2761" s="2"/>
      <c r="X2761" s="2"/>
      <c r="Y2761" s="2"/>
      <c r="Z2761" s="2"/>
      <c r="AA2761" s="2"/>
    </row>
    <row r="2762">
      <c r="A2762" s="3" t="s">
        <v>6475</v>
      </c>
      <c r="B2762" s="1" t="s">
        <v>6496</v>
      </c>
      <c r="C2762" s="3" t="s">
        <v>6497</v>
      </c>
      <c r="D2762" s="2" t="str">
        <f>IFERROR(__xludf.DUMMYFUNCTION("GOOGLETRANSLATE(B2762, ""en"", ""TL"")"),"Ipaliwanag ang mga legal na kinakailangan para sa mga proyekto sa pagpapaunlad ng subdibisyon.")</f>
        <v>Ipaliwanag ang mga legal na kinakailangan para sa mga proyekto sa pagpapaunlad ng subdibisyon.</v>
      </c>
      <c r="E2762" s="2" t="str">
        <f>IFERROR(__xludf.DUMMYFUNCTION("GOOGLETRANSLATE(C2762, ""en"", ""TL"")"),"Ang Pilipinas ay may mahusay na tinukoy na legal na balangkas para sa mga proyekto sa pagpapaunlad ng subdibisyon, na tinitiyak ang wastong pagpaplano, imprastraktura, at proteksyon ng consumer. Narito ang isang breakdown ng mga pangunahing legal na kinak"&amp;"ailangan:
**Paunang Pag-apruba at Paglilisensya:**
* Lahat ng proyekto ng subdivision ay nangangailangan ng paunang pag-apruba at paglilisensya mula sa Housing and Land Use Regulatory Board (HLURB). Tinitiyak nito na ang mga proyekto ay sumusunod sa mga r"&amp;"egulasyon at nag-aambag sa maayos na pag-unlad ng lunsod.
**Lokasyon at Kaangkupan:**
* Ang mga proyekto ay dapat na matatagpuan sa mga itinalagang residential zone o mga lugar na angkop para sa pabahay batay sa zoning ordinance at komprehensibong mga pla"&amp;"no sa paggamit ng lupa. * Ang mga lugar na madaling kapitan ng mga panganib tulad ng pagbaha o pagguho ng lupa ay karaniwang hindi pinapayagan.
**Accessibility at Infrastructure:**
* Ang subdivision ay dapat na madaling mapuntahan mula sa mga ruta ng pamp"&amp;"ublikong transportasyon. * Ang mga panloob na network ng kalsada sa loob ng subdibisyon ay dapat matugunan ang mga tiyak na pamantayan upang matugunan ang inaasahang trapiko at pag-access sa sasakyang pang-emergency.
* Responsable ang developer sa pagbibi"&amp;"gay ng mahahalagang imprastraktura sa loob ng subdivision, tulad ng:
* Sistema ng supply ng tubig
* Sistema ng paagusan
* Sistema ng sanitary disposal
**Minimum na Mga Pamantayan sa Disenyo:**
* Ang layout, laki ng lot, at disenyo ng imprastraktura ay dap"&amp;"at sumunod sa mga minimum na pamantayan ng disenyo ng HLURB. Tinitiyak ng mga pamantayang ito ang sapat na espasyo para sa mga unit ng pabahay, mahahalagang amenities, at mga bukas na lugar.
**Mga Pagsasaalang-alang sa Kapaligiran:**
* Dapat isaalang-alan"&amp;"g ng mga developer ang potensyal na epekto sa kapaligiran ng proyekto at sumunod sa mga regulasyon sa kapaligiran. Maaaring kabilang dito ang pagkuha ng mga clearance mula sa Department of Environment and Natural Resources (DENR) para sa mga proyektong ma"&amp;"y malaking epekto sa kapaligiran.
**Socialized Housing Component:**
* Sa ilang mga kaso, maaaring kailanganin ng mga developer na maglaan ng bahagi ng subdivision para sa mga socialized housing unit, depende sa lokasyon at laki ng proyekto. Itinataguyod n"&amp;"ito ang pagiging inklusibong panlipunan at tumutugon sa mga pangangailangan ng mga komunidad na mababa ang kita.
**Benta at Marketing:**
* Dapat sundin ng mga developer ang mga regulasyon ng HLURB para sa marketing at pagbebenta ng mga subdivision lot. Ka"&amp;"bilang dito ang:
* Paghahanda at pagsusumite ng prospektus - isang detalyadong dokumento na nagbabalangkas sa mga detalye ng proyekto, amenities, at pagpepresyo.
* Pagkuha ng Lisensya para Magbenta mula sa HLURB bago mag-alok ng mga lote para sa pagbebent"&amp;"a.
* Pagbibigay ng tumpak at makatotohanang impormasyon sa mga potensyal na mamimili.
**Homeowners' Association (HOA):**
* Responsable ang developer sa pagtatatag ng Homeowners' Association (HOA) bago ibigay ang subdivision sa mga residente. * Ang HOA ang"&amp;" namamahala sa mga karaniwang lugar, amenities, at nagpapatupad ng mga tuntunin at regulasyon ng subdivision.
**Pagsunod sa Building Codes at Iba Pang Batas:**
* Ang proyektong pagpapaunlad ay dapat sumunod sa National Building Code at iba pang nauugnay n"&amp;"a batas at regulasyon, na tinitiyak ang integridad ng istruktura at kaligtasan ng mga gusali sa loob ng subdivision.
**Pagkuha ng Mga Kinakailangang Pahintulot:**
* Bukod sa pag-apruba ng HLURB, maaaring kailanganin ng mga developer na kumuha ng mga permi"&amp;"t mula sa ibang mga ahensya ng gobyerno depende sa mga detalye ng proyekto. Kasama sa mga halimbawa ang mga permit para sa mga electrical installation, koneksyon ng tubig, at mga sistema ng sanitasyon.
**Mga Parusa para sa Hindi Pagsunod:**
* Ang pagkabig"&amp;"ong sumunod sa mga legal na kinakailangan ay maaaring magresulta sa mga parusa mula sa HLURB, kabilang ang pagsususpinde ng proyekto, mga multa, o pagbawi ng lisensya.
**Konklusyon:**
Ang legal na balangkas para sa mga proyekto sa pagpapaunlad ng subdibis"&amp;"yon ay naglalayong tiyakin ang maayos na pag-unlad, pagkakaloob ng imprastraktura, at proteksyon ng mamimili. Ang pag-unawa sa mga kinakailangang ito ay mahalaga para sa parehong mga developer at potensyal na mamimili ng mga subdivision lot sa Pilipinas.")</f>
        <v>Ang Pilipinas ay may mahusay na tinukoy na legal na balangkas para sa mga proyekto sa pagpapaunlad ng subdibisyon, na tinitiyak ang wastong pagpaplano, imprastraktura, at proteksyon ng consumer. Narito ang isang breakdown ng mga pangunahing legal na kinakailangan:
**Paunang Pag-apruba at Paglilisensya:**
* Lahat ng proyekto ng subdivision ay nangangailangan ng paunang pag-apruba at paglilisensya mula sa Housing and Land Use Regulatory Board (HLURB). Tinitiyak nito na ang mga proyekto ay sumusunod sa mga regulasyon at nag-aambag sa maayos na pag-unlad ng lunsod.
**Lokasyon at Kaangkupan:**
* Ang mga proyekto ay dapat na matatagpuan sa mga itinalagang residential zone o mga lugar na angkop para sa pabahay batay sa zoning ordinance at komprehensibong mga plano sa paggamit ng lupa. * Ang mga lugar na madaling kapitan ng mga panganib tulad ng pagbaha o pagguho ng lupa ay karaniwang hindi pinapayagan.
**Accessibility at Infrastructure:**
* Ang subdivision ay dapat na madaling mapuntahan mula sa mga ruta ng pampublikong transportasyon. * Ang mga panloob na network ng kalsada sa loob ng subdibisyon ay dapat matugunan ang mga tiyak na pamantayan upang matugunan ang inaasahang trapiko at pag-access sa sasakyang pang-emergency.
* Responsable ang developer sa pagbibigay ng mahahalagang imprastraktura sa loob ng subdivision, tulad ng:
* Sistema ng supply ng tubig
* Sistema ng paagusan
* Sistema ng sanitary disposal
**Minimum na Mga Pamantayan sa Disenyo:**
* Ang layout, laki ng lot, at disenyo ng imprastraktura ay dapat sumunod sa mga minimum na pamantayan ng disenyo ng HLURB. Tinitiyak ng mga pamantayang ito ang sapat na espasyo para sa mga unit ng pabahay, mahahalagang amenities, at mga bukas na lugar.
**Mga Pagsasaalang-alang sa Kapaligiran:**
* Dapat isaalang-alang ng mga developer ang potensyal na epekto sa kapaligiran ng proyekto at sumunod sa mga regulasyon sa kapaligiran. Maaaring kabilang dito ang pagkuha ng mga clearance mula sa Department of Environment and Natural Resources (DENR) para sa mga proyektong may malaking epekto sa kapaligiran.
**Socialized Housing Component:**
* Sa ilang mga kaso, maaaring kailanganin ng mga developer na maglaan ng bahagi ng subdivision para sa mga socialized housing unit, depende sa lokasyon at laki ng proyekto. Itinataguyod nito ang pagiging inklusibong panlipunan at tumutugon sa mga pangangailangan ng mga komunidad na mababa ang kita.
**Benta at Marketing:**
* Dapat sundin ng mga developer ang mga regulasyon ng HLURB para sa marketing at pagbebenta ng mga subdivision lot. Kabilang dito ang:
* Paghahanda at pagsusumite ng prospektus - isang detalyadong dokumento na nagbabalangkas sa mga detalye ng proyekto, amenities, at pagpepresyo.
* Pagkuha ng Lisensya para Magbenta mula sa HLURB bago mag-alok ng mga lote para sa pagbebenta.
* Pagbibigay ng tumpak at makatotohanang impormasyon sa mga potensyal na mamimili.
**Homeowners' Association (HOA):**
* Responsable ang developer sa pagtatatag ng Homeowners' Association (HOA) bago ibigay ang subdivision sa mga residente. * Ang HOA ang namamahala sa mga karaniwang lugar, amenities, at nagpapatupad ng mga tuntunin at regulasyon ng subdivision.
**Pagsunod sa Building Codes at Iba Pang Batas:**
* Ang proyektong pagpapaunlad ay dapat sumunod sa National Building Code at iba pang nauugnay na batas at regulasyon, na tinitiyak ang integridad ng istruktura at kaligtasan ng mga gusali sa loob ng subdivision.
**Pagkuha ng Mga Kinakailangang Pahintulot:**
* Bukod sa pag-apruba ng HLURB, maaaring kailanganin ng mga developer na kumuha ng mga permit mula sa ibang mga ahensya ng gobyerno depende sa mga detalye ng proyekto. Kasama sa mga halimbawa ang mga permit para sa mga electrical installation, koneksyon ng tubig, at mga sistema ng sanitasyon.
**Mga Parusa para sa Hindi Pagsunod:**
* Ang pagkabigong sumunod sa mga legal na kinakailangan ay maaaring magresulta sa mga parusa mula sa HLURB, kabilang ang pagsususpinde ng proyekto, mga multa, o pagbawi ng lisensya.
**Konklusyon:**
Ang legal na balangkas para sa mga proyekto sa pagpapaunlad ng subdibisyon ay naglalayong tiyakin ang maayos na pag-unlad, pagkakaloob ng imprastraktura, at proteksyon ng mamimili. Ang pag-unawa sa mga kinakailangang ito ay mahalaga para sa parehong mga developer at potensyal na mamimili ng mga subdivision lot sa Pilipinas.</v>
      </c>
      <c r="F2762" s="2">
        <f t="shared" si="1"/>
        <v>0</v>
      </c>
      <c r="G2762" s="2"/>
      <c r="H2762" s="2"/>
      <c r="I2762" s="2"/>
      <c r="J2762" s="2"/>
      <c r="K2762" s="2"/>
      <c r="L2762" s="2"/>
      <c r="M2762" s="2"/>
      <c r="N2762" s="2"/>
      <c r="O2762" s="2"/>
      <c r="P2762" s="2"/>
      <c r="Q2762" s="2"/>
      <c r="R2762" s="2"/>
      <c r="S2762" s="2"/>
      <c r="T2762" s="2"/>
      <c r="U2762" s="2"/>
      <c r="V2762" s="2"/>
      <c r="W2762" s="2"/>
      <c r="X2762" s="2"/>
      <c r="Y2762" s="2"/>
      <c r="Z2762" s="2"/>
      <c r="AA2762" s="2"/>
    </row>
    <row r="2763">
      <c r="A2763" s="3" t="s">
        <v>6475</v>
      </c>
      <c r="B2763" s="1" t="s">
        <v>6498</v>
      </c>
      <c r="C2763" s="3" t="s">
        <v>6499</v>
      </c>
      <c r="D2763" s="2" t="str">
        <f>IFERROR(__xludf.DUMMYFUNCTION("GOOGLETRANSLATE(B2763, ""en"", ""TL"")"),"Paano tinutugunan ng batas ng Pilipinas ang mga isyu ng urban sprawl at sustainable development?")</f>
        <v>Paano tinutugunan ng batas ng Pilipinas ang mga isyu ng urban sprawl at sustainable development?</v>
      </c>
      <c r="E2763" s="2" t="str">
        <f>IFERROR(__xludf.DUMMYFUNCTION("GOOGLETRANSLATE(C2763, ""en"", ""TL"")"),"Ang Pilipinas ay nahaharap sa mga hamon sa urban sprawl at naglalayong itaguyod ang napapanatiling pag-unlad sa pamamagitan ng kumbinasyon ng mga legal at patakarang hakbang. Narito ang isang pangkalahatang-ideya kung paano tinutugunan ng batas ng Pilipin"&amp;"as ang mga isyung ito:
**Pagpaplano at Pagsona sa Paggamit ng Lupa:**
* **Ang Kodigo ng Lokal na Pamahalaan:** Binibigyan nito ng kapangyarihan ang mga local government units (LGUs) na magpatibay ng mga comprehensive land use plans (CLUPs) na mga ordinans"&amp;"a sa zoning. * **Mga CLUP:** Ang mga planong ito ay nagtatalaga ng mga lugar para sa tirahan, komersyal, pang-industriya, at agrikultural na paggamit. Ginagabayan nito ang pag-unlad patungo sa mga itinalagang lugar at pinipigilan ang pagkalat.
* **Mga Ord"&amp;"inansa sa Pagsona:** Ang mga regulasyong ito ay higit pang tumutukoy sa mga pinahihintulutang paggamit ng lupa sa loob ng bawat sona, na kinokontrol ang mga taas ng gusali, densidad, at mga pag-urong.
**Urban Development and Housing Act (RA 7279):**
* Hin"&amp;"ihikayat ng batas na ito ang compact at sustainable urban development.
* Itinataguyod nito ang densification sa loob ng umiiral na mga urban na lugar sa pamamagitan ng mga hakbang tulad ng:
* Transit-oriented development (TOD): Naghihikayat sa pag-unlad m"&amp;"alapit sa mga sentro ng pampublikong transportasyon.
* Pagtatayo ng patayo na pabahay: Pag-promote ng mga multi-storey na gusali para ma-accommodate ang mas maraming residente sa loob ng limitadong lugar.
**Mga Batas sa Kapaligiran:**
* Ang Philippine Env"&amp;"ironmental Impact Statement System (EIS System) ay nangangailangan ng environmental impact assessments (EIA) para sa mga malalaking proyekto sa pagpapaunlad. * Isinasaalang-alang ng mga EIA ang mga potensyal na epekto sa kapaligiran ng mga proyekto tulad "&amp;"ng sprawl at hinihikayat ang mga kasanayan sa napapanatiling pag-unlad tulad ng pag-iingat ng mapagkukunan at pagpapagaan ng polusyon.
**Mga Programa sa Pag-renew ng Lungsod:**
* Sinusuportahan ng pamahalaan ang mga programa para sa muling pagpapasigla sa"&amp;" mga umiiral na lugar sa kalunsuran. * Ito ay naglalayong bawasan ang presyon sa hindi pa maunlad na lupain sa mga gilid ng lungsod at hikayatin ang infill development sa loob ng itinatag na mga urban na lugar.
**Mga Hamon at Limitasyon:**
* **Mga Isyu sa"&amp;" Pagpapatupad:** Ang mabisang pagpapatupad ng mga plano sa paggamit ng lupa at mga ordinansa sa pagsona ay maaaring maging mahirap dahil sa:
* Kakulangan ng kapasidad sa pagpapatupad ng mga LGU.
* Presyon mula sa mga developer para sa mga conversion ng pa"&amp;"ggamit ng lupa.
* Mga impormal na paninirahan na umiiral sa mga lugar na itinalaga para sa iba pang gamit.
* **Limitadong Pagpopondo:** Ang mga mapagkukunan ng pamahalaan na inilalaan para sa mga inisyatiba ng napapanatiling pag-unlad at mga proyektong pa"&amp;"ng-imprastraktura ay maaaring hadlangan.
**Inaasahan:**
* Ang Pilipinas ay patuloy na bumuo ng kanyang legal na balangkas upang matugunan ang urban sprawl. * Kabilang sa mga kamakailang inisyatiba ang:
* Ang National Urban Development and Housing Framewor"&amp;"k (NUDHF): Isang roadmap para sa napapanatiling urbanisasyon.
* The Streamlining of Permits Processing for Barangay Micro, Small, and Medium Enterprises (BSMMEs): Nilalayon na mapadali ang pag-unlad ng negosyo sa loob ng umiiral na mga urban na lugar.
**K"&amp;"onklusyon:**
Kinikilala ng batas ng Pilipinas ang pangangailangan para sa sustainable development at naglalayong pigilan ang urban sprawl. Habang nananatili ang mga hamon sa pagpapatupad, ang kumbinasyon ng mga legal at patakarang hakbang ay nagbibigay ng"&amp;" isang balangkas para sa mas siksik, mahusay, at may kamalayan sa kapaligiran na pag-unlad ng lunsod.")</f>
        <v>Ang Pilipinas ay nahaharap sa mga hamon sa urban sprawl at naglalayong itaguyod ang napapanatiling pag-unlad sa pamamagitan ng kumbinasyon ng mga legal at patakarang hakbang. Narito ang isang pangkalahatang-ideya kung paano tinutugunan ng batas ng Pilipinas ang mga isyung ito:
**Pagpaplano at Pagsona sa Paggamit ng Lupa:**
* **Ang Kodigo ng Lokal na Pamahalaan:** Binibigyan nito ng kapangyarihan ang mga local government units (LGUs) na magpatibay ng mga comprehensive land use plans (CLUPs) na mga ordinansa sa zoning. * **Mga CLUP:** Ang mga planong ito ay nagtatalaga ng mga lugar para sa tirahan, komersyal, pang-industriya, at agrikultural na paggamit. Ginagabayan nito ang pag-unlad patungo sa mga itinalagang lugar at pinipigilan ang pagkalat.
* **Mga Ordinansa sa Pagsona:** Ang mga regulasyong ito ay higit pang tumutukoy sa mga pinahihintulutang paggamit ng lupa sa loob ng bawat sona, na kinokontrol ang mga taas ng gusali, densidad, at mga pag-urong.
**Urban Development and Housing Act (RA 7279):**
* Hinihikayat ng batas na ito ang compact at sustainable urban development.
* Itinataguyod nito ang densification sa loob ng umiiral na mga urban na lugar sa pamamagitan ng mga hakbang tulad ng:
* Transit-oriented development (TOD): Naghihikayat sa pag-unlad malapit sa mga sentro ng pampublikong transportasyon.
* Pagtatayo ng patayo na pabahay: Pag-promote ng mga multi-storey na gusali para ma-accommodate ang mas maraming residente sa loob ng limitadong lugar.
**Mga Batas sa Kapaligiran:**
* Ang Philippine Environmental Impact Statement System (EIS System) ay nangangailangan ng environmental impact assessments (EIA) para sa mga malalaking proyekto sa pagpapaunlad. * Isinasaalang-alang ng mga EIA ang mga potensyal na epekto sa kapaligiran ng mga proyekto tulad ng sprawl at hinihikayat ang mga kasanayan sa napapanatiling pag-unlad tulad ng pag-iingat ng mapagkukunan at pagpapagaan ng polusyon.
**Mga Programa sa Pag-renew ng Lungsod:**
* Sinusuportahan ng pamahalaan ang mga programa para sa muling pagpapasigla sa mga umiiral na lugar sa kalunsuran. * Ito ay naglalayong bawasan ang presyon sa hindi pa maunlad na lupain sa mga gilid ng lungsod at hikayatin ang infill development sa loob ng itinatag na mga urban na lugar.
**Mga Hamon at Limitasyon:**
* **Mga Isyu sa Pagpapatupad:** Ang mabisang pagpapatupad ng mga plano sa paggamit ng lupa at mga ordinansa sa pagsona ay maaaring maging mahirap dahil sa:
* Kakulangan ng kapasidad sa pagpapatupad ng mga LGU.
* Presyon mula sa mga developer para sa mga conversion ng paggamit ng lupa.
* Mga impormal na paninirahan na umiiral sa mga lugar na itinalaga para sa iba pang gamit.
* **Limitadong Pagpopondo:** Ang mga mapagkukunan ng pamahalaan na inilalaan para sa mga inisyatiba ng napapanatiling pag-unlad at mga proyektong pang-imprastraktura ay maaaring hadlangan.
**Inaasahan:**
* Ang Pilipinas ay patuloy na bumuo ng kanyang legal na balangkas upang matugunan ang urban sprawl. * Kabilang sa mga kamakailang inisyatiba ang:
* Ang National Urban Development and Housing Framework (NUDHF): Isang roadmap para sa napapanatiling urbanisasyon.
* The Streamlining of Permits Processing for Barangay Micro, Small, and Medium Enterprises (BSMMEs): Nilalayon na mapadali ang pag-unlad ng negosyo sa loob ng umiiral na mga urban na lugar.
**Konklusyon:**
Kinikilala ng batas ng Pilipinas ang pangangailangan para sa sustainable development at naglalayong pigilan ang urban sprawl. Habang nananatili ang mga hamon sa pagpapatupad, ang kumbinasyon ng mga legal at patakarang hakbang ay nagbibigay ng isang balangkas para sa mas siksik, mahusay, at may kamalayan sa kapaligiran na pag-unlad ng lunsod.</v>
      </c>
      <c r="F2763" s="2">
        <f t="shared" si="1"/>
        <v>0</v>
      </c>
      <c r="G2763" s="2"/>
      <c r="H2763" s="2"/>
      <c r="I2763" s="2"/>
      <c r="J2763" s="2"/>
      <c r="K2763" s="2"/>
      <c r="L2763" s="2"/>
      <c r="M2763" s="2"/>
      <c r="N2763" s="2"/>
      <c r="O2763" s="2"/>
      <c r="P2763" s="2"/>
      <c r="Q2763" s="2"/>
      <c r="R2763" s="2"/>
      <c r="S2763" s="2"/>
      <c r="T2763" s="2"/>
      <c r="U2763" s="2"/>
      <c r="V2763" s="2"/>
      <c r="W2763" s="2"/>
      <c r="X2763" s="2"/>
      <c r="Y2763" s="2"/>
      <c r="Z2763" s="2"/>
      <c r="AA2763" s="2"/>
    </row>
    <row r="2764">
      <c r="A2764" s="3" t="s">
        <v>6475</v>
      </c>
      <c r="B2764" s="1" t="s">
        <v>6500</v>
      </c>
      <c r="C2764" s="3" t="s">
        <v>6501</v>
      </c>
      <c r="D2764" s="2" t="str">
        <f>IFERROR(__xludf.DUMMYFUNCTION("GOOGLETRANSLATE(B2764, ""en"", ""TL"")"),"Ilarawan ang legal na proseso para sa pagkuha ng pribadong ari-arian para sa pampublikong paggamit.")</f>
        <v>Ilarawan ang legal na proseso para sa pagkuha ng pribadong ari-arian para sa pampublikong paggamit.</v>
      </c>
      <c r="E2764" s="2" t="str">
        <f>IFERROR(__xludf.DUMMYFUNCTION("GOOGLETRANSLATE(C2764, ""en"", ""TL"")"),"Pinaninindigan ng Pilipinas ang prinsipyo na hindi maaaring kunin ang pribadong pag-aari nang walang makatarungang kabayaran. Kung kailangan ng gobyerno ng pribadong lupain para sa pampublikong paggamit, dapat silang sumunod sa isang legal na proseso ng e"&amp;"xpropriation, na kilala rin bilang eminent domain. Narito ang isang breakdown ng mga pangunahing hakbang:
**Pagsisimula:**
1. **Pagtukoy sa Pangangailangan:** Ang ahensya ng gobyerno o entity na nangangailangan ng lupa para sa pampublikong layunin (hal., "&amp;"paggawa ng kalsada, gusali ng paaralan) ang unang nagpasimula ng proseso. 2. **Mga Pagsubok sa Negosasyon:** Maaaring subukan ng pamahalaan na makipag-ayos sa may-ari ng lupa para sa isang boluntaryong kasunduan sa pagbili. Ito ay hindi sapilitan, ngunit "&amp;"maaaring makatipid ng oras at mapagkukunan.
**Paghain ng Reklamo:**
1. **Venue:** Kung mabigo ang mga negosasyon, ang gobyerno ay nagsampa ng reklamo para sa expropriation sa naaangkop na hukuman. Ito ay maaaring ang Regional Trial Court (RTC) kung saan m"&amp;"atatagpuan ang lupain o isang espesyal na hukuman tulad ng Metropolitan Trial Court (MeTC) sa ilang partikular na kaso.
2. **Nilalaman ng Reklamo:** Ang reklamo ay nagdedetalye ng katwiran para sa expropriation, ang pampublikong layunin na inihahain nito,"&amp;" at isang paglalarawan ng ari-arian.
**Mga paglilitis sa korte:**
1. **Paunawa sa May-ari ng Lupa:** Nag-isyu ang korte ng paunawa sa may-ari ng lupa na nagpapaalam sa kanila ng kaso ng expropriation.
2. **Mga Pagdinig:** Ang hukuman ay nagsasagawa ng mga"&amp;" pagdinig sa:
* Tukuyin ang bisa ng pampublikong layunin para sa expropriation.
* Tayahin ang pangangailangan ng pagkuha ng partikular na ari-arian. * Magtatag ng makatarungang kabayaran para sa may-ari ng lupa.
3. **Just Compensation:** Just compensation"&amp;" ay ang patas na market value ng property sa oras ng pagkuha. Isinasaalang-alang ng hukuman ang mga salik tulad ng lokasyon, laki, at potensyal na paggamit upang matukoy ang halaga.
4. **Mga Posibleng Depensa:** Ang may-ari ng lupa ay maaaring magharap ng"&amp;" mga argumento laban sa pag-agaw, gaya ng:
* Ang layunin ay hindi tunay na pampubliko.
* Mayroong hindi gaanong mapanghimasok na alternatibo.
* Hindi sinunod ng gobyerno ang tamang pamamaraan.
**Desisyon ng Korte:**
1. **Pasiyahan:** Ang hukuman ay naglal"&amp;"abas ng desisyon sa kaso. Maaari itong alinman sa:
* **Ibigay ang Expropriation:** Kung inaprubahan ng korte ang expropriation, tinutukoy nito ang makatarungang halaga ng kabayaran.
* **Tanggihan ang Expropriation:** Maaaring tanggihan ng hukuman ang kahi"&amp;"lingan ng pamahalaan kung ang layunin ng publiko ay hindi makatwiran o hindi sinunod ang mga wastong pamamaraan.
2. **Pagbabayad ng Kompensasyon:** Dapat bayaran ng gobyerno ang makatarungang kabayaran na itinakda ng korte sa may-ari ng lupa bago angkinin"&amp;" ang ari-arian. **Pag-aari:**
* Kapag nabayaran na, ang korte ay naglalabas ng utos na nagpapahintulot sa pamahalaan na angkinin ang lupain. **Karapatang Mag-apela:**
* Parehong may karapatan ang gobyerno at ang may-ari ng lupa na iapela ang desisyon ng k"&amp;"orte sa mas mataas na hukuman.
**Mga Karagdagang Pagsasaalang-alang:**
* **Republic Act No. 8974:** Ang batas na ito ay namamahala sa pag-agaw ng pribadong ari-arian para sa mga proyektong imprastraktura ng pambansang pamahalaan. Binabalangkas nito ang mg"&amp;"a partikular na pamamaraan at takdang panahon para sa mga kasong ito. * **Pagpapabilis ng Proseso:** Ang Executive Order No. 100 (2018) ay naglalayong i-streamline ang proseso ng expropriation para sa mga proyekto ng pamahalaan upang mapabilis ang pagpapa"&amp;"tupad.
**Konklusyon:**
Ang legal na proseso para sa pag-agaw ng pribadong ari-arian ay nagsisiguro ng balanse sa pagitan ng karapatan ng pamahalaan na kumuha ng lupa para sa pampublikong paggamit at karapatan ng may-ari ng lupa sa makatarungang kabayaran."&amp;" Ito ay nagsasangkot ng isang serye ng mga hakbang, kabilang ang mga pagdinig sa korte at ang karapatang mag-apela, upang matiyak ang pagiging patas at angkop na proseso.")</f>
        <v>Pinaninindigan ng Pilipinas ang prinsipyo na hindi maaaring kunin ang pribadong pag-aari nang walang makatarungang kabayaran. Kung kailangan ng gobyerno ng pribadong lupain para sa pampublikong paggamit, dapat silang sumunod sa isang legal na proseso ng expropriation, na kilala rin bilang eminent domain. Narito ang isang breakdown ng mga pangunahing hakbang:
**Pagsisimula:**
1. **Pagtukoy sa Pangangailangan:** Ang ahensya ng gobyerno o entity na nangangailangan ng lupa para sa pampublikong layunin (hal., paggawa ng kalsada, gusali ng paaralan) ang unang nagpasimula ng proseso. 2. **Mga Pagsubok sa Negosasyon:** Maaaring subukan ng pamahalaan na makipag-ayos sa may-ari ng lupa para sa isang boluntaryong kasunduan sa pagbili. Ito ay hindi sapilitan, ngunit maaaring makatipid ng oras at mapagkukunan.
**Paghain ng Reklamo:**
1. **Venue:** Kung mabigo ang mga negosasyon, ang gobyerno ay nagsampa ng reklamo para sa expropriation sa naaangkop na hukuman. Ito ay maaaring ang Regional Trial Court (RTC) kung saan matatagpuan ang lupain o isang espesyal na hukuman tulad ng Metropolitan Trial Court (MeTC) sa ilang partikular na kaso.
2. **Nilalaman ng Reklamo:** Ang reklamo ay nagdedetalye ng katwiran para sa expropriation, ang pampublikong layunin na inihahain nito, at isang paglalarawan ng ari-arian.
**Mga paglilitis sa korte:**
1. **Paunawa sa May-ari ng Lupa:** Nag-isyu ang korte ng paunawa sa may-ari ng lupa na nagpapaalam sa kanila ng kaso ng expropriation.
2. **Mga Pagdinig:** Ang hukuman ay nagsasagawa ng mga pagdinig sa:
* Tukuyin ang bisa ng pampublikong layunin para sa expropriation.
* Tayahin ang pangangailangan ng pagkuha ng partikular na ari-arian. * Magtatag ng makatarungang kabayaran para sa may-ari ng lupa.
3. **Just Compensation:** Just compensation ay ang patas na market value ng property sa oras ng pagkuha. Isinasaalang-alang ng hukuman ang mga salik tulad ng lokasyon, laki, at potensyal na paggamit upang matukoy ang halaga.
4. **Mga Posibleng Depensa:** Ang may-ari ng lupa ay maaaring magharap ng mga argumento laban sa pag-agaw, gaya ng:
* Ang layunin ay hindi tunay na pampubliko.
* Mayroong hindi gaanong mapanghimasok na alternatibo.
* Hindi sinunod ng gobyerno ang tamang pamamaraan.
**Desisyon ng Korte:**
1. **Pasiyahan:** Ang hukuman ay naglalabas ng desisyon sa kaso. Maaari itong alinman sa:
* **Ibigay ang Expropriation:** Kung inaprubahan ng korte ang expropriation, tinutukoy nito ang makatarungang halaga ng kabayaran.
* **Tanggihan ang Expropriation:** Maaaring tanggihan ng hukuman ang kahilingan ng pamahalaan kung ang layunin ng publiko ay hindi makatwiran o hindi sinunod ang mga wastong pamamaraan.
2. **Pagbabayad ng Kompensasyon:** Dapat bayaran ng gobyerno ang makatarungang kabayaran na itinakda ng korte sa may-ari ng lupa bago angkinin ang ari-arian. **Pag-aari:**
* Kapag nabayaran na, ang korte ay naglalabas ng utos na nagpapahintulot sa pamahalaan na angkinin ang lupain. **Karapatang Mag-apela:**
* Parehong may karapatan ang gobyerno at ang may-ari ng lupa na iapela ang desisyon ng korte sa mas mataas na hukuman.
**Mga Karagdagang Pagsasaalang-alang:**
* **Republic Act No. 8974:** Ang batas na ito ay namamahala sa pag-agaw ng pribadong ari-arian para sa mga proyektong imprastraktura ng pambansang pamahalaan. Binabalangkas nito ang mga partikular na pamamaraan at takdang panahon para sa mga kasong ito. * **Pagpapabilis ng Proseso:** Ang Executive Order No. 100 (2018) ay naglalayong i-streamline ang proseso ng expropriation para sa mga proyekto ng pamahalaan upang mapabilis ang pagpapatupad.
**Konklusyon:**
Ang legal na proseso para sa pag-agaw ng pribadong ari-arian ay nagsisiguro ng balanse sa pagitan ng karapatan ng pamahalaan na kumuha ng lupa para sa pampublikong paggamit at karapatan ng may-ari ng lupa sa makatarungang kabayaran. Ito ay nagsasangkot ng isang serye ng mga hakbang, kabilang ang mga pagdinig sa korte at ang karapatang mag-apela, upang matiyak ang pagiging patas at angkop na proseso.</v>
      </c>
      <c r="F2764" s="2">
        <f t="shared" si="1"/>
        <v>0</v>
      </c>
      <c r="G2764" s="2"/>
      <c r="H2764" s="2"/>
      <c r="I2764" s="2"/>
      <c r="J2764" s="2"/>
      <c r="K2764" s="2"/>
      <c r="L2764" s="2"/>
      <c r="M2764" s="2"/>
      <c r="N2764" s="2"/>
      <c r="O2764" s="2"/>
      <c r="P2764" s="2"/>
      <c r="Q2764" s="2"/>
      <c r="R2764" s="2"/>
      <c r="S2764" s="2"/>
      <c r="T2764" s="2"/>
      <c r="U2764" s="2"/>
      <c r="V2764" s="2"/>
      <c r="W2764" s="2"/>
      <c r="X2764" s="2"/>
      <c r="Y2764" s="2"/>
      <c r="Z2764" s="2"/>
      <c r="AA2764" s="2"/>
    </row>
    <row r="2765">
      <c r="A2765" s="3" t="s">
        <v>6475</v>
      </c>
      <c r="B2765" s="1" t="s">
        <v>6502</v>
      </c>
      <c r="C2765" s="3" t="s">
        <v>6503</v>
      </c>
      <c r="D2765" s="2" t="str">
        <f>IFERROR(__xludf.DUMMYFUNCTION("GOOGLETRANSLATE(B2765, ""en"", ""TL"")"),"Anong mga hakbang ang ibinibigay ng batas ng Pilipinas para sa pagbabawas ng panganib sa kalamidad at pamamahala sa mga proyektong pang-imprastraktura?")</f>
        <v>Anong mga hakbang ang ibinibigay ng batas ng Pilipinas para sa pagbabawas ng panganib sa kalamidad at pamamahala sa mga proyektong pang-imprastraktura?</v>
      </c>
      <c r="E2765" s="2" t="str">
        <f>IFERROR(__xludf.DUMMYFUNCTION("GOOGLETRANSLATE(C2765, ""en"", ""TL"")"),"Ang Pilipinas, na lubhang madaling kapitan sa mga natural na kalamidad, ay inuuna ang disaster risk reduction and management (DRRM) sa mga proyektong pang-imprastraktura. Narito ang isang breakdown ng mga pangunahing hakbang na nakasaad sa batas ng Pilipi"&amp;"nas:
**Pambansang Balangkas at Mga Patakaran:**
* **Republic Act (RA) 10121 o ang Philippine Disaster Risk Reduction and Management Act of 2010:** Itinatag ng batas na ito ang National Disaster Risk Reduction and Management Framework (NDRRMF) na nagtatagu"&amp;"yod ng isang ""safer, adaptive at disaster-resilient Filipino communities tungo sa sustainable development"". Ipinag-uutos nito ang pagsasama ng DRRM sa lahat ng mga plano at programa sa pagpapaunlad, kabilang ang mga proyektong pang-imprastraktura.
* **N"&amp;"ational Building Code of the Philippines:** Ang code na ito ay nagtatakda ng pinakamababang pamantayan para sa disenyo, konstruksyon, paggamit, occupancy, at pagpapanatili ng lahat ng mga gusali at iba pang istruktura. Ang mga pamantayang ito ay naglalayo"&amp;"ng tiyakin ang integridad ng istruktura sa panahon ng mga sakuna tulad ng lindol at bagyo.
**Mga Tungkulin at Responsibilidad ng Institusyonal:**
* **National Disaster Risk Reduction and Management Council (NDRRMC):** Ang konsehong ito, na pinamumunuan ng"&amp;" Kalihim ng Pambansang Depensa, ay nag-uugnay sa pambansang pagsisikap ng DRRM. Nagtatakda ito ng mga patakaran, nagtatatag ng mga mekanismo para sa pagsubaybay at maagang babala, at naglalaan ng mga mapagkukunan para sa mga inisyatiba ng DRRM. * **Local "&amp;"Government Units (LGUs):** LGUs, partikular na ang City/Provincial Disaster Risk Reduction and Management Councils (CDRRMCs at PDRRMCs), ay gumaganap ng mahalagang papel sa pagpapatupad ng DRRM measures sa lokal na antas. Nagsasagawa sila ng mga pagtatasa"&amp;" ng panganib, naghahanda ng mga plano sa paghahanda sa sakuna, at namamahala ng mga mapagkukunan para sa lokal na pagtugon at mga pagsisikap sa pagbawi.
* **Department of Public Works and Highways (DPWH):** Bilang pangunahing ahensya na responsable para s"&amp;"a pampublikong imprastraktura, isinasama ng DPWH ang mga prinsipyo ng DRRM sa pagpaplano, disenyo, at konstruksyon ng proyektong pang-imprastraktura. Nag-isyu sila ng mga partikular na alituntunin para sa pagsasama ng mga tampok na nababanat sa kalamidad "&amp;"sa iba't ibang uri ng mga proyektong pang-imprastraktura. **Mga Pangunahing Legal na Panukala para sa Mga Proyektong Pang-imprastraktura:**
* **Hazard Mapping at Risk Assessment:** Bago simulan ang anumang proyekto sa imprastraktura, isang komprehensibong"&amp;" hazard mapping at risk assessment ay sapilitan. Tinutukoy nito ang mga potensyal na banta tulad ng mga bagyo, lindol, baha, at pagguho ng lupa sa lugar ng proyekto.
* **Mga Pamantayan sa Disenyo ng Enhinyero:** Ang mga proyekto sa imprastraktura ay dapat"&amp;" sumunod sa mga pamantayan sa disenyo ng engineering na isinasaalang-alang ang mga natukoy na panganib at nagsasama ng mga tampok na lumalaban sa kalamidad. Maaaring kasama sa mga feature na ito ang:
* Mga hakbang na panlaban sa baha para sa mga gusali at"&amp;" kalsada sa mga lugar na madaling bahain.
* Disenyo na lumalaban sa lindol at mga diskarte sa pagtatayo.
* Paggamit ng mga materyal na lumalaban sa sakuna.
* **Environmental Impact Assessment System (EIA System):** Ang mga malalaking proyektong pang-impra"&amp;"straktura ay kadalasang nangangailangan ng EIA upang masuri ang mga potensyal na epekto sa kapaligiran, kabilang ang tumaas na kahinaan sa ilang partikular na sakuna dahil sa pagtatayo ng proyekto. Maaaring kailanganin ang mga hakbang sa pagpapagaan upang"&amp;" matugunan ang mga alalahaning ito.
* **Mga Building Permit at Construction Supervision:** Ang mga LGU ay naglalabas lamang ng mga permiso sa gusali pagkatapos matiyak ang pagsunod sa mga pamantayan sa disenyong nababanat sa kalamidad. Ang konstruksiyon a"&amp;"y pinangangasiwaan din upang matiyak ang pagsunod sa mga naaprubahang plano.
**Mga Hamon at Inaasahan:**
* **Mga Limitasyon sa Pagpopondo:** Ang paglalaan ng sapat na badyet para sa pagsasama ng mga feature ng DRRM sa mga proyektong pang-imprastraktura ay"&amp;" maaaring maging mahirap. * **Pagbuo ng Kapasidad:** Ang pagtiyak ng teknikal na kadalubhasaan ng mga inhinyero, tagaplano, at mga manggagawa sa konstruksyon sa konstruksyon na lumalaban sa kalamidad ay isang patuloy na pagsisikap.
* **Mga Mekanismo ng Pa"&amp;"gpapatupad:** Ang pagpapalakas ng mga mekanismo ng pagpapatupad upang matiyak ang pagsunod sa mga regulasyon ng DRRM ay napakahalaga.
**Konklusyon:**
Binibigyang-diin ng batas ng Pilipinas ang kahalagahan ng DRRM sa mga proyektong pang-imprastraktura. Ang"&amp;" kumbinasyon ng mga legal na utos, mga tungkulin sa institusyon, at mga partikular na hakbang tulad ng hazard mapping at disaster-resilient design standards ay naglalayong lumikha ng mas matatag na imprastraktura na makatiis sa mga natural na sakuna at ma"&amp;"protektahan ang mga komunidad. Ang patuloy na pagsisikap ay kailangan upang matugunan ang mga hadlang sa pagpopondo, pahusayin ang pagbuo ng kapasidad, at palakasin ang pagpapatupad upang gawing mas epektibo ang mga hakbang na ito.")</f>
        <v>Ang Pilipinas, na lubhang madaling kapitan sa mga natural na kalamidad, ay inuuna ang disaster risk reduction and management (DRRM) sa mga proyektong pang-imprastraktura. Narito ang isang breakdown ng mga pangunahing hakbang na nakasaad sa batas ng Pilipinas:
**Pambansang Balangkas at Mga Patakaran:**
* **Republic Act (RA) 10121 o ang Philippine Disaster Risk Reduction and Management Act of 2010:** Itinatag ng batas na ito ang National Disaster Risk Reduction and Management Framework (NDRRMF) na nagtataguyod ng isang "safer, adaptive at disaster-resilient Filipino communities tungo sa sustainable development". Ipinag-uutos nito ang pagsasama ng DRRM sa lahat ng mga plano at programa sa pagpapaunlad, kabilang ang mga proyektong pang-imprastraktura.
* **National Building Code of the Philippines:** Ang code na ito ay nagtatakda ng pinakamababang pamantayan para sa disenyo, konstruksyon, paggamit, occupancy, at pagpapanatili ng lahat ng mga gusali at iba pang istruktura. Ang mga pamantayang ito ay naglalayong tiyakin ang integridad ng istruktura sa panahon ng mga sakuna tulad ng lindol at bagyo.
**Mga Tungkulin at Responsibilidad ng Institusyonal:**
* **National Disaster Risk Reduction and Management Council (NDRRMC):** Ang konsehong ito, na pinamumunuan ng Kalihim ng Pambansang Depensa, ay nag-uugnay sa pambansang pagsisikap ng DRRM. Nagtatakda ito ng mga patakaran, nagtatatag ng mga mekanismo para sa pagsubaybay at maagang babala, at naglalaan ng mga mapagkukunan para sa mga inisyatiba ng DRRM. * **Local Government Units (LGUs):** LGUs, partikular na ang City/Provincial Disaster Risk Reduction and Management Councils (CDRRMCs at PDRRMCs), ay gumaganap ng mahalagang papel sa pagpapatupad ng DRRM measures sa lokal na antas. Nagsasagawa sila ng mga pagtatasa ng panganib, naghahanda ng mga plano sa paghahanda sa sakuna, at namamahala ng mga mapagkukunan para sa lokal na pagtugon at mga pagsisikap sa pagbawi.
* **Department of Public Works and Highways (DPWH):** Bilang pangunahing ahensya na responsable para sa pampublikong imprastraktura, isinasama ng DPWH ang mga prinsipyo ng DRRM sa pagpaplano, disenyo, at konstruksyon ng proyektong pang-imprastraktura. Nag-isyu sila ng mga partikular na alituntunin para sa pagsasama ng mga tampok na nababanat sa kalamidad sa iba't ibang uri ng mga proyektong pang-imprastraktura. **Mga Pangunahing Legal na Panukala para sa Mga Proyektong Pang-imprastraktura:**
* **Hazard Mapping at Risk Assessment:** Bago simulan ang anumang proyekto sa imprastraktura, isang komprehensibong hazard mapping at risk assessment ay sapilitan. Tinutukoy nito ang mga potensyal na banta tulad ng mga bagyo, lindol, baha, at pagguho ng lupa sa lugar ng proyekto.
* **Mga Pamantayan sa Disenyo ng Enhinyero:** Ang mga proyekto sa imprastraktura ay dapat sumunod sa mga pamantayan sa disenyo ng engineering na isinasaalang-alang ang mga natukoy na panganib at nagsasama ng mga tampok na lumalaban sa kalamidad. Maaaring kasama sa mga feature na ito ang:
* Mga hakbang na panlaban sa baha para sa mga gusali at kalsada sa mga lugar na madaling bahain.
* Disenyo na lumalaban sa lindol at mga diskarte sa pagtatayo.
* Paggamit ng mga materyal na lumalaban sa sakuna.
* **Environmental Impact Assessment System (EIA System):** Ang mga malalaking proyektong pang-imprastraktura ay kadalasang nangangailangan ng EIA upang masuri ang mga potensyal na epekto sa kapaligiran, kabilang ang tumaas na kahinaan sa ilang partikular na sakuna dahil sa pagtatayo ng proyekto. Maaaring kailanganin ang mga hakbang sa pagpapagaan upang matugunan ang mga alalahaning ito.
* **Mga Building Permit at Construction Supervision:** Ang mga LGU ay naglalabas lamang ng mga permiso sa gusali pagkatapos matiyak ang pagsunod sa mga pamantayan sa disenyong nababanat sa kalamidad. Ang konstruksiyon ay pinangangasiwaan din upang matiyak ang pagsunod sa mga naaprubahang plano.
**Mga Hamon at Inaasahan:**
* **Mga Limitasyon sa Pagpopondo:** Ang paglalaan ng sapat na badyet para sa pagsasama ng mga feature ng DRRM sa mga proyektong pang-imprastraktura ay maaaring maging mahirap. * **Pagbuo ng Kapasidad:** Ang pagtiyak ng teknikal na kadalubhasaan ng mga inhinyero, tagaplano, at mga manggagawa sa konstruksyon sa konstruksyon na lumalaban sa kalamidad ay isang patuloy na pagsisikap.
* **Mga Mekanismo ng Pagpapatupad:** Ang pagpapalakas ng mga mekanismo ng pagpapatupad upang matiyak ang pagsunod sa mga regulasyon ng DRRM ay napakahalaga.
**Konklusyon:**
Binibigyang-diin ng batas ng Pilipinas ang kahalagahan ng DRRM sa mga proyektong pang-imprastraktura. Ang kumbinasyon ng mga legal na utos, mga tungkulin sa institusyon, at mga partikular na hakbang tulad ng hazard mapping at disaster-resilient design standards ay naglalayong lumikha ng mas matatag na imprastraktura na makatiis sa mga natural na sakuna at maprotektahan ang mga komunidad. Ang patuloy na pagsisikap ay kailangan upang matugunan ang mga hadlang sa pagpopondo, pahusayin ang pagbuo ng kapasidad, at palakasin ang pagpapatupad upang gawing mas epektibo ang mga hakbang na ito.</v>
      </c>
      <c r="F2765" s="2">
        <f t="shared" si="1"/>
        <v>0</v>
      </c>
      <c r="G2765" s="2"/>
      <c r="H2765" s="2"/>
      <c r="I2765" s="2"/>
      <c r="J2765" s="2"/>
      <c r="K2765" s="2"/>
      <c r="L2765" s="2"/>
      <c r="M2765" s="2"/>
      <c r="N2765" s="2"/>
      <c r="O2765" s="2"/>
      <c r="P2765" s="2"/>
      <c r="Q2765" s="2"/>
      <c r="R2765" s="2"/>
      <c r="S2765" s="2"/>
      <c r="T2765" s="2"/>
      <c r="U2765" s="2"/>
      <c r="V2765" s="2"/>
      <c r="W2765" s="2"/>
      <c r="X2765" s="2"/>
      <c r="Y2765" s="2"/>
      <c r="Z2765" s="2"/>
      <c r="AA2765" s="2"/>
    </row>
    <row r="2766">
      <c r="A2766" s="3" t="s">
        <v>6475</v>
      </c>
      <c r="B2766" s="1" t="s">
        <v>6504</v>
      </c>
      <c r="C2766" s="3" t="s">
        <v>6505</v>
      </c>
      <c r="D2766" s="2" t="str">
        <f>IFERROR(__xludf.DUMMYFUNCTION("GOOGLETRANSLATE(B2766, ""en"", ""TL"")"),"Talakayin ang mga legal na pagsasaalang-alang para sa rehabilitasyon ng mga istrukturang pamana sa panahon ng pag-unlad ng lungsod.")</f>
        <v>Talakayin ang mga legal na pagsasaalang-alang para sa rehabilitasyon ng mga istrukturang pamana sa panahon ng pag-unlad ng lungsod.</v>
      </c>
      <c r="E2766" s="2" t="str">
        <f>IFERROR(__xludf.DUMMYFUNCTION("GOOGLETRANSLATE(C2766, ""en"", ""TL"")"),"## Mga Legal na Pagsasaalang-alang para sa Pag-rehabilitate ng Mga Istraktura ng Pamana sa Pag-unlad ng Urban
Ang pagbabalanse ng urban development sa pangangalaga ng heritage structures ay isang komplikadong isyu. Ang Pilipinas ay may legal at regulasyon"&amp;"g mga balangkas upang gabayan ang prosesong ito. Narito ang isang breakdown ng mga pangunahing pagsasaalang-alang:
**Mga Batas at Regulasyon:**
* **Republic Act No. 10066 (National Cultural Heritage Act of 2009):** Ito ang pangunahing batas na nagpoprotek"&amp;"ta sa kultural na pamana sa Pilipinas. Tinutukoy nito ang mga istruktura ng pamana at binabalangkas ang mga responsibilidad ng iba't ibang ahensya ng gobyerno sa kanilang pagkakakilanlan, konserbasyon, at rehabilitasyon.
* **Executive Order No. 115 (2018)"&amp;":** Pinalalakas ng kautusang ito ang papel ng National Commission for Culture and the Arts (NCCA) sa pagsasama ng mga pagsasaalang-alang sa pamana ng kultura sa pagpaplano ng pag-unlad. * **Mga Ordinansa Pangkultura ng Local Government Unit (LGU):** Maram"&amp;"ing LGU ang nagpatupad ng kanilang sariling mga ordinansang pangkultura na umakma sa mga pambansang batas at tumutukoy sa mga partikular na istruktura ng pamana sa loob ng kanilang nasasakupan.
**Mga Tungkulin at Pananagutan:**
* **National Commission for"&amp;" Culture and the Arts (NCCA):** Ang NCCA ay ang pangunahing ahensya ng pamahalaan na responsable para sa pangangalaga ng pamana ng kultura. Tinutukoy nila, nagdodokumento, at naglalabas ng mga clearance para sa mga proyektong rehabilitasyon na kinasasangk"&amp;"utan ng mga istrukturang pamana. * **Local Government Units (LGUs):** Ang mga LGU ay gumaganap ng mahalagang papel sa pagpapatupad ng mga pambansang batas sa pamana ng kultura sa loob ng kanilang nasasakupan. Nag-isyu sila ng mga permit para sa mga proyek"&amp;"to sa pagtatayo at rehabilitasyon at maaaring magbigay ng tulong pinansyal para sa mga pagsisikap sa pangangalaga ng pamana.
* **Mga Pribadong Developer:** Ang mga developer na nagsasagawa ng mga proyekto sa mga lugar na may mga istrukturang pamana ay kai"&amp;"langang sumunod sa mga kaugnay na batas at kumunsulta sa NCCA at LGU upang matiyak ang wastong pagsasama ng mga pagsasaalang-alang sa pamana sa kanilang mga plano sa pagpapaunlad.
**Rehabilitasyon vs. Demolisyon:**
Karaniwang hindi hinihikayat ng batas ng"&amp;" Pilipinas ang demolisyon ng mga istrukturang pamana. Ang rehabilitasyon ay ang gustong diskarte, na may iba't ibang antas depende sa kondisyon at kahalagahan ng istraktura:
* **Pagpapanumbalik:** Nilalayon na ibalik ang istraktura sa orihinal nitong esta"&amp;"do batay sa makasaysayang dokumentasyon.
* **Rehabilitasyon:** Pinapanatili ang mahahalagang makasaysayang tampok habang iniangkop ang istraktura para sa isang bagong paggamit.
* **Pag-iingat:** Nakatuon sa pag-stabilize ng istraktura at pagliit ng pagkas"&amp;"ira.
**Mga Pangunahing Legal na Pagsasaalang-alang:**
* **Heritage Impact Assessment (HIA):** Bago magsagawa ng anumang proyekto sa pagpapaunlad na malapit sa isang heritage structure, dapat magsagawa ng HIA. Tinatasa nito ang mga potensyal na epekto ng p"&amp;"royekto sa halaga ng pamana ng istraktura at nagmumungkahi ng mga hakbang sa pagpapagaan.
* **Adaptive Reuse:** Kapag hindi magagawa ang rehabilitasyon, maaaring isaalang-alang ang adaptive reuse. Kabilang dito ang pag-convert ng istruktura ng pamana para"&amp;" sa isang bagong katugmang paggamit habang pinapanatili ang kahalagahan ng pamana nito.
* **Mga Demolition Permit:** Ang demolisyon ng isang heritage structure ay isang huling paraan at nangangailangan ng espesyal na permit mula sa NCCA. Ibinibigay lamang"&amp;" sa mga pambihirang pagkakataon na may katwiran at walang mabubuhay na alternatibo.
**Mga Hamon at Oportunidad:**
* **Pagbabalanse sa Pag-unlad at Pagpapanatili:** Ang pagkakaroon ng balanse sa pagitan ng mga pangangailangan sa pag-unlad ng ekonomiya at p"&amp;"angangalaga sa pamana ay nananatiling mahirap.
* **Pagpopondo:** Ang pag-secure ng sapat na pondo para sa mga proyekto sa rehabilitasyon ng pamana ay maaaring maging mahirap. * **Public-Private Partnerships (PPPs):** Ang paghikayat sa mga partnership sa p"&amp;"agitan ng gobyerno at pribadong entity ay maaaring magbigay ng pondo at kadalubhasaan para sa rehabilitasyon ng pamana. * **Pakikipag-ugnayan sa Komunidad:** Ang pagsali sa mga lokal na komunidad sa mga pagsusumikap sa pangangalaga sa pamana ay nagdudulot"&amp;" ng kamalayan at nagpapataas ng suporta para sa mga inisyatiba.
**Konklusyon:**
Kinikilala ng Pilipinas ang kahalagahan ng mga istrukturang pamana sa pagpapanatili ng pagkakakilanlang kultural. Mayroong legal na balangkas upang gabayan ang mga pagsisikap "&amp;"sa rehabilitasyon sa panahon ng pag-unlad ng lungsod. Ang pakikipagtulungan sa pagitan ng mga ahensya ng gobyerno, developer, at komunidad ay mahalaga upang matiyak ang pag-unlad ng ekonomiya at pangangalaga ng mayamang pamana ng kultura ng Pilipinas.")</f>
        <v>## Mga Legal na Pagsasaalang-alang para sa Pag-rehabilitate ng Mga Istraktura ng Pamana sa Pag-unlad ng Urban
Ang pagbabalanse ng urban development sa pangangalaga ng heritage structures ay isang komplikadong isyu. Ang Pilipinas ay may legal at regulasyong mga balangkas upang gabayan ang prosesong ito. Narito ang isang breakdown ng mga pangunahing pagsasaalang-alang:
**Mga Batas at Regulasyon:**
* **Republic Act No. 10066 (National Cultural Heritage Act of 2009):** Ito ang pangunahing batas na nagpoprotekta sa kultural na pamana sa Pilipinas. Tinutukoy nito ang mga istruktura ng pamana at binabalangkas ang mga responsibilidad ng iba't ibang ahensya ng gobyerno sa kanilang pagkakakilanlan, konserbasyon, at rehabilitasyon.
* **Executive Order No. 115 (2018):** Pinalalakas ng kautusang ito ang papel ng National Commission for Culture and the Arts (NCCA) sa pagsasama ng mga pagsasaalang-alang sa pamana ng kultura sa pagpaplano ng pag-unlad. * **Mga Ordinansa Pangkultura ng Local Government Unit (LGU):** Maraming LGU ang nagpatupad ng kanilang sariling mga ordinansang pangkultura na umakma sa mga pambansang batas at tumutukoy sa mga partikular na istruktura ng pamana sa loob ng kanilang nasasakupan.
**Mga Tungkulin at Pananagutan:**
* **National Commission for Culture and the Arts (NCCA):** Ang NCCA ay ang pangunahing ahensya ng pamahalaan na responsable para sa pangangalaga ng pamana ng kultura. Tinutukoy nila, nagdodokumento, at naglalabas ng mga clearance para sa mga proyektong rehabilitasyon na kinasasangkutan ng mga istrukturang pamana. * **Local Government Units (LGUs):** Ang mga LGU ay gumaganap ng mahalagang papel sa pagpapatupad ng mga pambansang batas sa pamana ng kultura sa loob ng kanilang nasasakupan. Nag-isyu sila ng mga permit para sa mga proyekto sa pagtatayo at rehabilitasyon at maaaring magbigay ng tulong pinansyal para sa mga pagsisikap sa pangangalaga ng pamana.
* **Mga Pribadong Developer:** Ang mga developer na nagsasagawa ng mga proyekto sa mga lugar na may mga istrukturang pamana ay kailangang sumunod sa mga kaugnay na batas at kumunsulta sa NCCA at LGU upang matiyak ang wastong pagsasama ng mga pagsasaalang-alang sa pamana sa kanilang mga plano sa pagpapaunlad.
**Rehabilitasyon vs. Demolisyon:**
Karaniwang hindi hinihikayat ng batas ng Pilipinas ang demolisyon ng mga istrukturang pamana. Ang rehabilitasyon ay ang gustong diskarte, na may iba't ibang antas depende sa kondisyon at kahalagahan ng istraktura:
* **Pagpapanumbalik:** Nilalayon na ibalik ang istraktura sa orihinal nitong estado batay sa makasaysayang dokumentasyon.
* **Rehabilitasyon:** Pinapanatili ang mahahalagang makasaysayang tampok habang iniangkop ang istraktura para sa isang bagong paggamit.
* **Pag-iingat:** Nakatuon sa pag-stabilize ng istraktura at pagliit ng pagkasira.
**Mga Pangunahing Legal na Pagsasaalang-alang:**
* **Heritage Impact Assessment (HIA):** Bago magsagawa ng anumang proyekto sa pagpapaunlad na malapit sa isang heritage structure, dapat magsagawa ng HIA. Tinatasa nito ang mga potensyal na epekto ng proyekto sa halaga ng pamana ng istraktura at nagmumungkahi ng mga hakbang sa pagpapagaan.
* **Adaptive Reuse:** Kapag hindi magagawa ang rehabilitasyon, maaaring isaalang-alang ang adaptive reuse. Kabilang dito ang pag-convert ng istruktura ng pamana para sa isang bagong katugmang paggamit habang pinapanatili ang kahalagahan ng pamana nito.
* **Mga Demolition Permit:** Ang demolisyon ng isang heritage structure ay isang huling paraan at nangangailangan ng espesyal na permit mula sa NCCA. Ibinibigay lamang sa mga pambihirang pagkakataon na may katwiran at walang mabubuhay na alternatibo.
**Mga Hamon at Oportunidad:**
* **Pagbabalanse sa Pag-unlad at Pagpapanatili:** Ang pagkakaroon ng balanse sa pagitan ng mga pangangailangan sa pag-unlad ng ekonomiya at pangangalaga sa pamana ay nananatiling mahirap.
* **Pagpopondo:** Ang pag-secure ng sapat na pondo para sa mga proyekto sa rehabilitasyon ng pamana ay maaaring maging mahirap. * **Public-Private Partnerships (PPPs):** Ang paghikayat sa mga partnership sa pagitan ng gobyerno at pribadong entity ay maaaring magbigay ng pondo at kadalubhasaan para sa rehabilitasyon ng pamana. * **Pakikipag-ugnayan sa Komunidad:** Ang pagsali sa mga lokal na komunidad sa mga pagsusumikap sa pangangalaga sa pamana ay nagdudulot ng kamalayan at nagpapataas ng suporta para sa mga inisyatiba.
**Konklusyon:**
Kinikilala ng Pilipinas ang kahalagahan ng mga istrukturang pamana sa pagpapanatili ng pagkakakilanlang kultural. Mayroong legal na balangkas upang gabayan ang mga pagsisikap sa rehabilitasyon sa panahon ng pag-unlad ng lungsod. Ang pakikipagtulungan sa pagitan ng mga ahensya ng gobyerno, developer, at komunidad ay mahalaga upang matiyak ang pag-unlad ng ekonomiya at pangangalaga ng mayamang pamana ng kultura ng Pilipinas.</v>
      </c>
      <c r="F2766" s="2">
        <f t="shared" si="1"/>
        <v>0</v>
      </c>
      <c r="G2766" s="2"/>
      <c r="H2766" s="2"/>
      <c r="I2766" s="2"/>
      <c r="J2766" s="2"/>
      <c r="K2766" s="2"/>
      <c r="L2766" s="2"/>
      <c r="M2766" s="2"/>
      <c r="N2766" s="2"/>
      <c r="O2766" s="2"/>
      <c r="P2766" s="2"/>
      <c r="Q2766" s="2"/>
      <c r="R2766" s="2"/>
      <c r="S2766" s="2"/>
      <c r="T2766" s="2"/>
      <c r="U2766" s="2"/>
      <c r="V2766" s="2"/>
      <c r="W2766" s="2"/>
      <c r="X2766" s="2"/>
      <c r="Y2766" s="2"/>
      <c r="Z2766" s="2"/>
      <c r="AA2766" s="2"/>
    </row>
    <row r="2767">
      <c r="A2767" s="3" t="s">
        <v>6475</v>
      </c>
      <c r="B2767" s="1" t="s">
        <v>6506</v>
      </c>
      <c r="C2767" s="3" t="s">
        <v>6507</v>
      </c>
      <c r="D2767" s="2" t="str">
        <f>IFERROR(__xludf.DUMMYFUNCTION("GOOGLETRANSLATE(B2767, ""en"", ""TL"")"),"Ipaliwanag ang tungkulin ng mga barangay sa pamamahala ng mga proyektong pang-imprastraktura ng komunidad.")</f>
        <v>Ipaliwanag ang tungkulin ng mga barangay sa pamamahala ng mga proyektong pang-imprastraktura ng komunidad.</v>
      </c>
      <c r="E2767" s="2" t="str">
        <f>IFERROR(__xludf.DUMMYFUNCTION("GOOGLETRANSLATE(C2767, ""en"", ""TL"")"),"## Ang Papel ng Barangay sa Pamamahala ng mga Proyekto sa Infrastruktura ng Komunidad
Ang mga barangay, ang pinakamaliit na yunit ng lokal na pamahalaan sa Pilipinas, ay gumaganap ng isang makabuluhang papel ngunit sumusuporta sa pamamahala ng mga proyekt"&amp;"o sa imprastraktura ng komunidad. Ang kanilang pakikilahok ay nakatuon sa mga paunang yugto at aspeto ng komunidad ng proyekto, habang ang pagpapatupad ay kadalasang nasa ilalim ng mga pambansang ahensya o local government units (LGUs). Narito ang isang b"&amp;"reakdown ng kanilang mga pangunahing function:
**1. Pagkilala sa mga Pangangailangan at Pag-priyoridad:**
* Tinutukoy ng mga opisyal ng barangay, sa pamamagitan ng mga konsultasyon sa mga residente, ang mga pangunahing pangangailangan sa imprastraktura sa"&amp;" loob ng komunidad. Maaaring kabilang dito ang mga proyekto tulad ng mga pagpapabuti sa mga kalsada, drainage system, supply ng tubig, o mga barangay hall.
* Mga Barangay Development Plan (BDPs): Ang mga barangay ay bumubuo ng mga Barangay Development Pla"&amp;"n (BDPs) na nagbabalangkas ng mga prayoridad sa pagpapaunlad, kabilang ang mga kinakailangang proyektong pang-imprastraktura. **2. Panukala at Pagsusulong ng Proyekto:**
* Ang mga opisyal ng barangay ay maaaring magpasimula ng mga panukala para sa mga pro"&amp;"yektong pang-imprastraktura, kadalasang naghahanap ng pondo mula sa mas mataas na antas ng gobyerno o pribadong donor. * Gumaganap sila ng papel sa pagtataguyod para sa mga proyektong ito kasama ng mga lokal na kinatawan at mga kaugnay na ahensya.
**3. Mo"&amp;"bilisasyon at Pakikilahok ng Komunidad:**
* Maaaring pakilusin ng mga opisyal ng barangay ang mga residente na lumahok sa mga konsultasyon sa komunidad tungkol sa mga proyektong pang-imprastraktura. * Maaari din nilang hikayatin ang mga residente na mag-a"&amp;"mbag sa pamamagitan ng boluntaryong paggawa o pagbabahagi ng mapagkukunan para sa mas maliliit na proyekto.
**4. Pagkilala at Pagsubaybay sa Benepisyaryo:**
* Ang mga opisyal ng barangay ay maaaring gumanap ng papel sa pagtukoy ng mga nilalayong makikinab"&amp;"ang ng mga proyektong pang-imprastraktura upang matiyak na ang proyekto ay nagsisilbi sa mga pangangailangan ng komunidad.
* Maaari din nilang subaybayan ang pag-usad ng proyekto at ipaalam ang anumang alalahanin sa mga kaugnay na awtoridad.
**5. Pagpapan"&amp;"atili at Pagpapanatili:**
* Kapag natapos na ang isang proyekto, maaaring tumulong ang mga barangay sa pagpapakilos sa komunidad upang mapanatili ang imprastraktura at matiyak ang pagpapanatili nito. * Maaaring kabilang dito ang paglilinis ng mga kanal, p"&amp;"ag-uulat ng pinsala, o pagtuturo sa mga residente sa wastong paggamit.
**Mga Limitasyon ng Tungkulin sa Barangay:**
* **Mga Limitadong Mapagkukunan:** Ang mga barangay ay kadalasang may limitadong mapagkukunan ng pananalapi upang magsagawa ng mga makabulu"&amp;"hang proyektong pang-imprastraktura nang mag-isa.
* **Kadalubhasaan sa Teknikal:** Maaaring walang teknikal na kadalubhasaan ang mga opisyal ng barangay na kinakailangan upang pamahalaan ang mga kumplikadong proyektong pang-imprastraktura.
**Ang pakikipag"&amp;"tulungan ay Susi:**
Ang mga barangay ay epektibong namamahala sa mga proyektong pang-imprastraktura ng komunidad sa pamamagitan ng pakikipagtulungan sa:
* **Mataas na Antas ng Pamahalaan:** Humingi ng pondo at tulong teknikal mula sa mga pambansang ahensy"&amp;"a o pamahalaang panlalawigan/munisipal.
* **Pribadong Sektor:** Pakikipagsosyo sa mga NGO o pribadong kumpanya para sa pagpopondo o kadalubhasaan.
* **Mga Miyembro ng Komunidad:** Hinihikayat ang pakikilahok ng mga residente at pagmamay-ari ng proyekto.
*"&amp;"*Konklusyon:**
Bagama't hindi ang mga pangunahing tagapagpatupad, ang mga barangay ay may mahalagang papel na sumusuporta sa pamamahala ng mga proyektong pang-imprastraktura ng komunidad. Ang kanilang mga kontribusyon sa pagkilala sa mga pangangailangan, "&amp;"adbokasiya, pagpapakilos ng komunidad, at pagsubaybay sa proyekto ay tinitiyak na ang mga proyektong ito ay tumutugon sa mga lokal na pangangailangan at ipinapatupad nang may partisipasyon ng komunidad.")</f>
        <v>## Ang Papel ng Barangay sa Pamamahala ng mga Proyekto sa Infrastruktura ng Komunidad
Ang mga barangay, ang pinakamaliit na yunit ng lokal na pamahalaan sa Pilipinas, ay gumaganap ng isang makabuluhang papel ngunit sumusuporta sa pamamahala ng mga proyekto sa imprastraktura ng komunidad. Ang kanilang pakikilahok ay nakatuon sa mga paunang yugto at aspeto ng komunidad ng proyekto, habang ang pagpapatupad ay kadalasang nasa ilalim ng mga pambansang ahensya o local government units (LGUs). Narito ang isang breakdown ng kanilang mga pangunahing function:
**1. Pagkilala sa mga Pangangailangan at Pag-priyoridad:**
* Tinutukoy ng mga opisyal ng barangay, sa pamamagitan ng mga konsultasyon sa mga residente, ang mga pangunahing pangangailangan sa imprastraktura sa loob ng komunidad. Maaaring kabilang dito ang mga proyekto tulad ng mga pagpapabuti sa mga kalsada, drainage system, supply ng tubig, o mga barangay hall.
* Mga Barangay Development Plan (BDPs): Ang mga barangay ay bumubuo ng mga Barangay Development Plan (BDPs) na nagbabalangkas ng mga prayoridad sa pagpapaunlad, kabilang ang mga kinakailangang proyektong pang-imprastraktura. **2. Panukala at Pagsusulong ng Proyekto:**
* Ang mga opisyal ng barangay ay maaaring magpasimula ng mga panukala para sa mga proyektong pang-imprastraktura, kadalasang naghahanap ng pondo mula sa mas mataas na antas ng gobyerno o pribadong donor. * Gumaganap sila ng papel sa pagtataguyod para sa mga proyektong ito kasama ng mga lokal na kinatawan at mga kaugnay na ahensya.
**3. Mobilisasyon at Pakikilahok ng Komunidad:**
* Maaaring pakilusin ng mga opisyal ng barangay ang mga residente na lumahok sa mga konsultasyon sa komunidad tungkol sa mga proyektong pang-imprastraktura. * Maaari din nilang hikayatin ang mga residente na mag-ambag sa pamamagitan ng boluntaryong paggawa o pagbabahagi ng mapagkukunan para sa mas maliliit na proyekto.
**4. Pagkilala at Pagsubaybay sa Benepisyaryo:**
* Ang mga opisyal ng barangay ay maaaring gumanap ng papel sa pagtukoy ng mga nilalayong makikinabang ng mga proyektong pang-imprastraktura upang matiyak na ang proyekto ay nagsisilbi sa mga pangangailangan ng komunidad.
* Maaari din nilang subaybayan ang pag-usad ng proyekto at ipaalam ang anumang alalahanin sa mga kaugnay na awtoridad.
**5. Pagpapanatili at Pagpapanatili:**
* Kapag natapos na ang isang proyekto, maaaring tumulong ang mga barangay sa pagpapakilos sa komunidad upang mapanatili ang imprastraktura at matiyak ang pagpapanatili nito. * Maaaring kabilang dito ang paglilinis ng mga kanal, pag-uulat ng pinsala, o pagtuturo sa mga residente sa wastong paggamit.
**Mga Limitasyon ng Tungkulin sa Barangay:**
* **Mga Limitadong Mapagkukunan:** Ang mga barangay ay kadalasang may limitadong mapagkukunan ng pananalapi upang magsagawa ng mga makabuluhang proyektong pang-imprastraktura nang mag-isa.
* **Kadalubhasaan sa Teknikal:** Maaaring walang teknikal na kadalubhasaan ang mga opisyal ng barangay na kinakailangan upang pamahalaan ang mga kumplikadong proyektong pang-imprastraktura.
**Ang pakikipagtulungan ay Susi:**
Ang mga barangay ay epektibong namamahala sa mga proyektong pang-imprastraktura ng komunidad sa pamamagitan ng pakikipagtulungan sa:
* **Mataas na Antas ng Pamahalaan:** Humingi ng pondo at tulong teknikal mula sa mga pambansang ahensya o pamahalaang panlalawigan/munisipal.
* **Pribadong Sektor:** Pakikipagsosyo sa mga NGO o pribadong kumpanya para sa pagpopondo o kadalubhasaan.
* **Mga Miyembro ng Komunidad:** Hinihikayat ang pakikilahok ng mga residente at pagmamay-ari ng proyekto.
**Konklusyon:**
Bagama't hindi ang mga pangunahing tagapagpatupad, ang mga barangay ay may mahalagang papel na sumusuporta sa pamamahala ng mga proyektong pang-imprastraktura ng komunidad. Ang kanilang mga kontribusyon sa pagkilala sa mga pangangailangan, adbokasiya, pagpapakilos ng komunidad, at pagsubaybay sa proyekto ay tinitiyak na ang mga proyektong ito ay tumutugon sa mga lokal na pangangailangan at ipinapatupad nang may partisipasyon ng komunidad.</v>
      </c>
      <c r="F2767" s="2">
        <f t="shared" si="1"/>
        <v>0</v>
      </c>
      <c r="G2767" s="2"/>
      <c r="H2767" s="2"/>
      <c r="I2767" s="2"/>
      <c r="J2767" s="2"/>
      <c r="K2767" s="2"/>
      <c r="L2767" s="2"/>
      <c r="M2767" s="2"/>
      <c r="N2767" s="2"/>
      <c r="O2767" s="2"/>
      <c r="P2767" s="2"/>
      <c r="Q2767" s="2"/>
      <c r="R2767" s="2"/>
      <c r="S2767" s="2"/>
      <c r="T2767" s="2"/>
      <c r="U2767" s="2"/>
      <c r="V2767" s="2"/>
      <c r="W2767" s="2"/>
      <c r="X2767" s="2"/>
      <c r="Y2767" s="2"/>
      <c r="Z2767" s="2"/>
      <c r="AA2767" s="2"/>
    </row>
    <row r="2768">
      <c r="A2768" s="3" t="s">
        <v>6475</v>
      </c>
      <c r="B2768" s="1" t="s">
        <v>6508</v>
      </c>
      <c r="C2768" s="3" t="s">
        <v>6509</v>
      </c>
      <c r="D2768" s="2" t="str">
        <f>IFERROR(__xludf.DUMMYFUNCTION("GOOGLETRANSLATE(B2768, ""en"", ""TL"")"),"Ano ang mga legal na remedyo na magagamit para sa mga indibidwal na apektado ng iligal na pangangamkam ng lupa?")</f>
        <v>Ano ang mga legal na remedyo na magagamit para sa mga indibidwal na apektado ng iligal na pangangamkam ng lupa?</v>
      </c>
      <c r="E2768" s="2" t="str">
        <f>IFERROR(__xludf.DUMMYFUNCTION("GOOGLETRANSLATE(C2768, ""en"", ""TL"")"),"Ang mga indibidwal na apektado ng iligal na pangangamkam ng lupa sa Pilipinas ay may ilang mga legal na remedyo na magagamit sa kanila. Narito ang isang breakdown ng mga opsyon:
**1. Magsampa ng Kaso sa Department of Agrarian Reform (DAR):**
* Pinangangas"&amp;"iwaan ng DAR ang repormang agraryo at hinahatulan ang mga alitan sa lupa na kinasasangkutan ng lupang pang-agrikultura.
* Kung ang lupang naagaw ay nasa ilalim ng saklaw ng repormang agraryo (hal., pag-aari ng isang benepisyaryo ng magsasaka), maaaring ma"&amp;"gsampa ng reklamo ang mga indibidwal sa lupon ng adjudication ng DAR.
* Ang DAR ay maaaring mag-isyu ng mga utos para sa pagbabalik ng pagmamay-ari sa nararapat na may-ari at magpataw ng mga parusa sa mang-aagaw ng lupa.
**2. Magsampa ng Kaso Sibil sa Kor"&amp;"te:**
* Ang mga indibidwal ay maaaring magsampa ng kasong sibil para sa pagbawi ng pagmamay-ari o pagpapatahimik ng titulo laban sa mang-aagaw ng lupa sa korte.
* Ang isang sibil na kaso ay nakatuon sa pagtatatag ng pagmamay-ari at muling pag-aari ng lupa"&amp;".
* Ang pagpipiliang ito ay maaaring gamitin kahit na ang lupa ay agrikultural o hindi.
**3. Magsampa ng Kasong Kriminal:**
* Depende sa mga kalagayan ng pangangamkam ng lupa, maaaring magsampa ng kasong kriminal laban sa may kasalanan.
* Kabilang sa mga "&amp;"posibleng kasong kriminal ang:
* **Forcible Entry:** Ilegal na pagpasok sa property.
* **Illegal Detainer:** Pagpigil sa pagmamay-ari ng ari-arian mula sa nararapat na may-ari.
* **Estafa:** Panlilinlang na ginamit upang makuha ang ari-arian.
* Ang tagump"&amp;"ay sa isang kasong kriminal ay maaaring humantong sa pagkakulong sa mang-aagaw ng lupa, ngunit hindi awtomatikong ginagarantiyahan ang pagbabalik ng lupa.
**4. Maghain ng Administrative Case sa Housing and Land Use Regulatory Board (HLURB):**
* Kung bahag"&amp;"i ng subdivision o condominium project ang lupang inagaw, maaaring magsampa ng reklamo sa HLURB. * Maaaring imbestigahan ng HLURB at parusahan ang mga developer na nagsasagawa ng mga ilegal na kasanayan sa pagbebenta ng lupa na may kaugnayan sa pangangamk"&amp;"am ng lupa.
**Mga Karagdagang Pagsasaalang-alang:**
* **Legal na Tulong:** Dahil sa pagiging kumplikado ng mga hindi pagkakaunawaan sa lupa, ang paghingi ng legal na tulong mula sa isang abogado na dalubhasa sa batas sa lupa ay lubos na inirerekomenda.
* "&amp;"**Libreng Legal Aid:** Ang mga ahensya ng gobyerno tulad ng Public Attorney's Office (PAO) ay maaaring magbigay ng libreng legal na tulong sa mga kwalipikadong indibidwal.
* **Pagtitipon ng Ebidensya:** Ang matibay na ebidensya na nagdodokumento ng pagmam"&amp;"ay-ari (mga titulo ng lupa, mga resibo, atbp.) at patunay ng ilegal na aktibidad ng mang-aagaw ng lupa ay nagpapatibay sa kaso.
* **Mahabang Proseso:** Ang mga hindi pagkakaunawaan sa lupa ay maaaring tumagal ng mahabang panahon upang malutas sa pamamagit"&amp;"an ng mga legal na paraan. Ang pasensya at tiyaga ay susi.
**Paglahok at Adbokasiya ng Mamamayan:**
* Bukod sa mga legal na remedyo, ang pagsali sa mga organisasyong pangkomunidad na lumalaban sa pangangamkam ng lupa ay maaaring magbigay ng suporta at kol"&amp;"ektibong boses.
* Ang pagtataguyod para sa mas malakas na pagpapatupad ng batas at mga legal na reporma upang hadlangan ang pangangamkam ng lupa ay maaaring isang pangmatagalang diskarte.
**Konklusyon:**
Habang ang iligal na pangangamkam ng lupa ay isang "&amp;"seryosong isyu, ang mga indibidwal ay may mga legal na opsyon upang lumaban. Ang pag-unawa sa mga magagamit na remedyo, paghingi ng legal na tulong, at pangangalap ng ebidensya ay mga mahahalagang hakbang sa muling pag-aari ng lupa at pananagutan ang mga "&amp;"may kasalanan. Ang pakikipagtulungan sa mga komunidad at pagtataguyod para sa reporma ay maaaring mag-ambag sa mas malaking pagsisikap tungo sa pagpigil sa hinaharap na mga insidente ng pangangamkam ng lupa.")</f>
        <v>Ang mga indibidwal na apektado ng iligal na pangangamkam ng lupa sa Pilipinas ay may ilang mga legal na remedyo na magagamit sa kanila. Narito ang isang breakdown ng mga opsyon:
**1. Magsampa ng Kaso sa Department of Agrarian Reform (DAR):**
* Pinangangasiwaan ng DAR ang repormang agraryo at hinahatulan ang mga alitan sa lupa na kinasasangkutan ng lupang pang-agrikultura.
* Kung ang lupang naagaw ay nasa ilalim ng saklaw ng repormang agraryo (hal., pag-aari ng isang benepisyaryo ng magsasaka), maaaring magsampa ng reklamo ang mga indibidwal sa lupon ng adjudication ng DAR.
* Ang DAR ay maaaring mag-isyu ng mga utos para sa pagbabalik ng pagmamay-ari sa nararapat na may-ari at magpataw ng mga parusa sa mang-aagaw ng lupa.
**2. Magsampa ng Kaso Sibil sa Korte:**
* Ang mga indibidwal ay maaaring magsampa ng kasong sibil para sa pagbawi ng pagmamay-ari o pagpapatahimik ng titulo laban sa mang-aagaw ng lupa sa korte.
* Ang isang sibil na kaso ay nakatuon sa pagtatatag ng pagmamay-ari at muling pag-aari ng lupa.
* Ang pagpipiliang ito ay maaaring gamitin kahit na ang lupa ay agrikultural o hindi.
**3. Magsampa ng Kasong Kriminal:**
* Depende sa mga kalagayan ng pangangamkam ng lupa, maaaring magsampa ng kasong kriminal laban sa may kasalanan.
* Kabilang sa mga posibleng kasong kriminal ang:
* **Forcible Entry:** Ilegal na pagpasok sa property.
* **Illegal Detainer:** Pagpigil sa pagmamay-ari ng ari-arian mula sa nararapat na may-ari.
* **Estafa:** Panlilinlang na ginamit upang makuha ang ari-arian.
* Ang tagumpay sa isang kasong kriminal ay maaaring humantong sa pagkakulong sa mang-aagaw ng lupa, ngunit hindi awtomatikong ginagarantiyahan ang pagbabalik ng lupa.
**4. Maghain ng Administrative Case sa Housing and Land Use Regulatory Board (HLURB):**
* Kung bahagi ng subdivision o condominium project ang lupang inagaw, maaaring magsampa ng reklamo sa HLURB. * Maaaring imbestigahan ng HLURB at parusahan ang mga developer na nagsasagawa ng mga ilegal na kasanayan sa pagbebenta ng lupa na may kaugnayan sa pangangamkam ng lupa.
**Mga Karagdagang Pagsasaalang-alang:**
* **Legal na Tulong:** Dahil sa pagiging kumplikado ng mga hindi pagkakaunawaan sa lupa, ang paghingi ng legal na tulong mula sa isang abogado na dalubhasa sa batas sa lupa ay lubos na inirerekomenda.
* **Libreng Legal Aid:** Ang mga ahensya ng gobyerno tulad ng Public Attorney's Office (PAO) ay maaaring magbigay ng libreng legal na tulong sa mga kwalipikadong indibidwal.
* **Pagtitipon ng Ebidensya:** Ang matibay na ebidensya na nagdodokumento ng pagmamay-ari (mga titulo ng lupa, mga resibo, atbp.) at patunay ng ilegal na aktibidad ng mang-aagaw ng lupa ay nagpapatibay sa kaso.
* **Mahabang Proseso:** Ang mga hindi pagkakaunawaan sa lupa ay maaaring tumagal ng mahabang panahon upang malutas sa pamamagitan ng mga legal na paraan. Ang pasensya at tiyaga ay susi.
**Paglahok at Adbokasiya ng Mamamayan:**
* Bukod sa mga legal na remedyo, ang pagsali sa mga organisasyong pangkomunidad na lumalaban sa pangangamkam ng lupa ay maaaring magbigay ng suporta at kolektibong boses.
* Ang pagtataguyod para sa mas malakas na pagpapatupad ng batas at mga legal na reporma upang hadlangan ang pangangamkam ng lupa ay maaaring isang pangmatagalang diskarte.
**Konklusyon:**
Habang ang iligal na pangangamkam ng lupa ay isang seryosong isyu, ang mga indibidwal ay may mga legal na opsyon upang lumaban. Ang pag-unawa sa mga magagamit na remedyo, paghingi ng legal na tulong, at pangangalap ng ebidensya ay mga mahahalagang hakbang sa muling pag-aari ng lupa at pananagutan ang mga may kasalanan. Ang pakikipagtulungan sa mga komunidad at pagtataguyod para sa reporma ay maaaring mag-ambag sa mas malaking pagsisikap tungo sa pagpigil sa hinaharap na mga insidente ng pangangamkam ng lupa.</v>
      </c>
      <c r="F2768" s="2">
        <f t="shared" si="1"/>
        <v>0</v>
      </c>
      <c r="G2768" s="2"/>
      <c r="H2768" s="2"/>
      <c r="I2768" s="2"/>
      <c r="J2768" s="2"/>
      <c r="K2768" s="2"/>
      <c r="L2768" s="2"/>
      <c r="M2768" s="2"/>
      <c r="N2768" s="2"/>
      <c r="O2768" s="2"/>
      <c r="P2768" s="2"/>
      <c r="Q2768" s="2"/>
      <c r="R2768" s="2"/>
      <c r="S2768" s="2"/>
      <c r="T2768" s="2"/>
      <c r="U2768" s="2"/>
      <c r="V2768" s="2"/>
      <c r="W2768" s="2"/>
      <c r="X2768" s="2"/>
      <c r="Y2768" s="2"/>
      <c r="Z2768" s="2"/>
      <c r="AA2768" s="2"/>
    </row>
    <row r="2769">
      <c r="A2769" s="3" t="s">
        <v>6475</v>
      </c>
      <c r="B2769" s="1" t="s">
        <v>6510</v>
      </c>
      <c r="C2769" s="3" t="s">
        <v>6511</v>
      </c>
      <c r="D2769" s="2" t="str">
        <f>IFERROR(__xludf.DUMMYFUNCTION("GOOGLETRANSLATE(B2769, ""en"", ""TL"")"),"Ilarawan ang balangkas ng regulasyon para sa pagpapaunlad ng imprastraktura ng telekomunikasyon sa Pilipinas.")</f>
        <v>Ilarawan ang balangkas ng regulasyon para sa pagpapaunlad ng imprastraktura ng telekomunikasyon sa Pilipinas.</v>
      </c>
      <c r="E2769" s="2" t="str">
        <f>IFERROR(__xludf.DUMMYFUNCTION("GOOGLETRANSLATE(C2769, ""en"", ""TL"")"),"Ang Pilipinas ay may komprehensibong balangkas ng regulasyon para sa pagpapaunlad ng imprastraktura ng telekomunikasyon, na naglalayong balansehin ang pangangailangan para sa pagpapalawak ng network na may patas na kompetisyon at proteksyon ng consumer. N"&amp;"arito ang isang breakdown ng mga pangunahing institusyon at regulasyong kasangkot:
**Mga Pangunahing Institusyon:**
* **Department of Information and Communications Technology (DICT):** Ang DICT ang pangunahing ahensya ng gobyerno na responsable sa pagbal"&amp;"angkas at pagpapatupad ng mga patakaran sa telekomunikasyon. Nakatuon ito sa:
* Pagbuo ng National Telecommunications Development Plan (NTDP) upang gabayan ang pagbuo ng imprastraktura.
* Pag-streamline ng mga proseso ng pagpapahintulot para sa pag-deploy"&amp;" ng imprastraktura.
* **National Telecommunications Commission (NTC):** Ang NTC ay ang regulatory body na nangangasiwa sa sektor ng telekomunikasyon. Kasama sa mga responsibilidad nito ang:
* Pag-isyu ng mga lisensya sa mga kumpanya ng telekomunikasyon.
*"&amp;" Pag-apruba sa mga kasunduan sa interconnection sa pagitan ng iba't ibang mga service provider.
* Pagtitiyak ng patas na kumpetisyon at pagprotekta sa mga karapatan ng mamimili.
* Pagpapatupad ng mga teknikal na pamantayan para sa imprastraktura ng teleko"&amp;"munikasyon. * **Local Government Units (LGUs):** Ang mga LGU, partikular ang mga pamahalaang lungsod at munisipyo, ay may tungkulin sa pagbibigay ng mga permit para sa pagtatayo ng mga cell tower at iba pang imprastraktura ng telekomunikasyon sa loob ng k"&amp;"anilang nasasakupan. **Mga Pangunahing Patakaran at Batas sa Regulasyon:**
* **Republic Act No. 7925 (Public Telecommunications Policy Act of 1995):** Ang batas na ito ay nagtatatag ng legal na balangkas para sa pagpapaunlad at pagpapatakbo ng mga serbisy"&amp;"o ng telekomunikasyon sa Pilipinas. Itinataguyod nito ang:
* Pag-unlad ng isang privatized, mapagkumpitensyang sektor ng telekomunikasyon.
* Pagpapalawak ng mga serbisyo ng telekomunikasyon sa mga lugar na hindi naseserbisyuhan at hindi naseserbisyuhan.
*"&amp;" Proteksyon ng consumer at patas na pagpepresyo.
* **Memorandum Order No. 30 (Serye ng 2016):** Ang patakarang ito ay nag-streamline sa proseso ng pagpapahintulot para sa pag-deploy ng mga imprastraktura ng telekomunikasyon. Layunin nitong bawasan ang bil"&amp;"ang ng mga permit na kailangan at paikliin ang oras ng pagproseso.
* **Common Tower Policy:** Hinihikayat ng NTC ang co-location ng telecommunications equipment sa pamamagitan ng common tower policy. Binabawasan nito ang kalabisan sa pagpapaunlad ng impra"&amp;"straktura at nagtataguyod ng mahusay na paggamit ng mga mapagkukunan.
**Mga Hamon at Oportunidad:**
* **Pagbabalanse sa Mga Pakikipagkumpitensyang Interes:** Ang pagbabalanse sa pangangailangan para sa mabilis na pag-deploy ng imprastraktura na may pagpro"&amp;"tekta sa mga aesthetics, mga alalahanin sa kapaligiran, at kaligtasan ng publiko ay maaaring maging mahirap.
* **Mga Isyu sa Karapatan:** Ang pagkuha ng mga permit at pakikipag-usap sa right-of-way na pag-access sa mga may-ari ng ari-arian ay maaaring maa"&amp;"ntala ang pag-deploy ng imprastraktura.
* **Klima ng Pamumuhunan:** Ang paglikha ng isang matatag at mahuhulaan na kapaligiran ng regulasyon ay mahalaga upang makaakit ng pamumuhunan sa pagpapaunlad ng imprastraktura ng telekomunikasyon.
**Inaasahan:**
Pa"&amp;"tuloy na pinipino ng Pilipinas ang balangkas ng regulasyon nito upang hikayatin ang mabilis at mahusay na pag-deploy ng imprastraktura ng telekomunikasyon. Ang mga pagsisikap ay isinasagawa upang:
* **Higit pang i-streamline ang mga proseso ng pagpapahint"&amp;"ulot.**
* **I-promote ang pamumuhunan sa mga bagong teknolohiya tulad ng fiber optics at 5G.**
* **Tugunan ang mga hamon sa right-of-way sa pamamagitan ng batas.**
**Konklusyon:**
Ang balangkas ng regulasyon ng Pilipinas para sa pagpapaunlad ng imprastrak"&amp;"tura ng telekomunikasyon ay naglalayong lumikha ng isang mapagkumpitensya at dinamikong kapaligiran. Ang pagtutulungan ng mga ahensya ng gobyerno, LGU, at pribadong sektor ay mahalaga upang matiyak ang malawakang pag-access sa maaasahan at abot-kayang ser"&amp;"bisyo ng telekomunikasyon para sa mga Pilipino sa buong bansa.")</f>
        <v>Ang Pilipinas ay may komprehensibong balangkas ng regulasyon para sa pagpapaunlad ng imprastraktura ng telekomunikasyon, na naglalayong balansehin ang pangangailangan para sa pagpapalawak ng network na may patas na kompetisyon at proteksyon ng consumer. Narito ang isang breakdown ng mga pangunahing institusyon at regulasyong kasangkot:
**Mga Pangunahing Institusyon:**
* **Department of Information and Communications Technology (DICT):** Ang DICT ang pangunahing ahensya ng gobyerno na responsable sa pagbalangkas at pagpapatupad ng mga patakaran sa telekomunikasyon. Nakatuon ito sa:
* Pagbuo ng National Telecommunications Development Plan (NTDP) upang gabayan ang pagbuo ng imprastraktura.
* Pag-streamline ng mga proseso ng pagpapahintulot para sa pag-deploy ng imprastraktura.
* **National Telecommunications Commission (NTC):** Ang NTC ay ang regulatory body na nangangasiwa sa sektor ng telekomunikasyon. Kasama sa mga responsibilidad nito ang:
* Pag-isyu ng mga lisensya sa mga kumpanya ng telekomunikasyon.
* Pag-apruba sa mga kasunduan sa interconnection sa pagitan ng iba't ibang mga service provider.
* Pagtitiyak ng patas na kumpetisyon at pagprotekta sa mga karapatan ng mamimili.
* Pagpapatupad ng mga teknikal na pamantayan para sa imprastraktura ng telekomunikasyon. * **Local Government Units (LGUs):** Ang mga LGU, partikular ang mga pamahalaang lungsod at munisipyo, ay may tungkulin sa pagbibigay ng mga permit para sa pagtatayo ng mga cell tower at iba pang imprastraktura ng telekomunikasyon sa loob ng kanilang nasasakupan. **Mga Pangunahing Patakaran at Batas sa Regulasyon:**
* **Republic Act No. 7925 (Public Telecommunications Policy Act of 1995):** Ang batas na ito ay nagtatatag ng legal na balangkas para sa pagpapaunlad at pagpapatakbo ng mga serbisyo ng telekomunikasyon sa Pilipinas. Itinataguyod nito ang:
* Pag-unlad ng isang privatized, mapagkumpitensyang sektor ng telekomunikasyon.
* Pagpapalawak ng mga serbisyo ng telekomunikasyon sa mga lugar na hindi naseserbisyuhan at hindi naseserbisyuhan.
* Proteksyon ng consumer at patas na pagpepresyo.
* **Memorandum Order No. 30 (Serye ng 2016):** Ang patakarang ito ay nag-streamline sa proseso ng pagpapahintulot para sa pag-deploy ng mga imprastraktura ng telekomunikasyon. Layunin nitong bawasan ang bilang ng mga permit na kailangan at paikliin ang oras ng pagproseso.
* **Common Tower Policy:** Hinihikayat ng NTC ang co-location ng telecommunications equipment sa pamamagitan ng common tower policy. Binabawasan nito ang kalabisan sa pagpapaunlad ng imprastraktura at nagtataguyod ng mahusay na paggamit ng mga mapagkukunan.
**Mga Hamon at Oportunidad:**
* **Pagbabalanse sa Mga Pakikipagkumpitensyang Interes:** Ang pagbabalanse sa pangangailangan para sa mabilis na pag-deploy ng imprastraktura na may pagprotekta sa mga aesthetics, mga alalahanin sa kapaligiran, at kaligtasan ng publiko ay maaaring maging mahirap.
* **Mga Isyu sa Karapatan:** Ang pagkuha ng mga permit at pakikipag-usap sa right-of-way na pag-access sa mga may-ari ng ari-arian ay maaaring maantala ang pag-deploy ng imprastraktura.
* **Klima ng Pamumuhunan:** Ang paglikha ng isang matatag at mahuhulaan na kapaligiran ng regulasyon ay mahalaga upang makaakit ng pamumuhunan sa pagpapaunlad ng imprastraktura ng telekomunikasyon.
**Inaasahan:**
Patuloy na pinipino ng Pilipinas ang balangkas ng regulasyon nito upang hikayatin ang mabilis at mahusay na pag-deploy ng imprastraktura ng telekomunikasyon. Ang mga pagsisikap ay isinasagawa upang:
* **Higit pang i-streamline ang mga proseso ng pagpapahintulot.**
* **I-promote ang pamumuhunan sa mga bagong teknolohiya tulad ng fiber optics at 5G.**
* **Tugunan ang mga hamon sa right-of-way sa pamamagitan ng batas.**
**Konklusyon:**
Ang balangkas ng regulasyon ng Pilipinas para sa pagpapaunlad ng imprastraktura ng telekomunikasyon ay naglalayong lumikha ng isang mapagkumpitensya at dinamikong kapaligiran. Ang pagtutulungan ng mga ahensya ng gobyerno, LGU, at pribadong sektor ay mahalaga upang matiyak ang malawakang pag-access sa maaasahan at abot-kayang serbisyo ng telekomunikasyon para sa mga Pilipino sa buong bansa.</v>
      </c>
      <c r="F2769" s="2">
        <f t="shared" si="1"/>
        <v>0</v>
      </c>
      <c r="G2769" s="2"/>
      <c r="H2769" s="2"/>
      <c r="I2769" s="2"/>
      <c r="J2769" s="2"/>
      <c r="K2769" s="2"/>
      <c r="L2769" s="2"/>
      <c r="M2769" s="2"/>
      <c r="N2769" s="2"/>
      <c r="O2769" s="2"/>
      <c r="P2769" s="2"/>
      <c r="Q2769" s="2"/>
      <c r="R2769" s="2"/>
      <c r="S2769" s="2"/>
      <c r="T2769" s="2"/>
      <c r="U2769" s="2"/>
      <c r="V2769" s="2"/>
      <c r="W2769" s="2"/>
      <c r="X2769" s="2"/>
      <c r="Y2769" s="2"/>
      <c r="Z2769" s="2"/>
      <c r="AA2769" s="2"/>
    </row>
    <row r="2770">
      <c r="A2770" s="3" t="s">
        <v>6475</v>
      </c>
      <c r="B2770" s="1" t="s">
        <v>6512</v>
      </c>
      <c r="C2770" s="3" t="s">
        <v>6513</v>
      </c>
      <c r="D2770" s="2" t="str">
        <f>IFERROR(__xludf.DUMMYFUNCTION("GOOGLETRANSLATE(B2770, ""en"", ""TL"")"),"Talakayin ang mga legal na probisyon para sa pagpapanatili at pagkukumpuni ng pampublikong imprastraktura.")</f>
        <v>Talakayin ang mga legal na probisyon para sa pagpapanatili at pagkukumpuni ng pampublikong imprastraktura.</v>
      </c>
      <c r="E2770" s="2" t="str">
        <f>IFERROR(__xludf.DUMMYFUNCTION("GOOGLETRANSLATE(C2770, ""en"", ""TL"")"),"Ang Pilipinas ay may balangkas para sa pagpapanatili at pagkukumpuni ng pampublikong imprastraktura, na nakakalat sa iba't ibang batas, regulasyon, at utos ng ahensya. Narito ang isang breakdown ng mga pangunahing aspeto:
**Pagpopondo at Pananagutan:**
* "&amp;"**Badyet ng Pambansang Pamahalaan:** Ang pambansang pamahalaan ay naglalaan ng mga pondo para sa pagpapanatili at pagkukumpuni ng imprastraktura sa taunang General Appropriations Act (GAA). Ang mga pondong ito ay ipinamamahagi sa iba't ibang ahensya ng go"&amp;"byerno na responsable para sa mga partikular na uri ng imprastraktura (hal., DPWH para sa mga kalsada at tulay).
* **Local Government Unit (LGU) Share:** Ang mga LGU ay tumatanggap ng bahagi ng mga pambansang buwis (Internal Revenue Allotment - IRA) na ma"&amp;"aaring gamitin para sa pagpapanatili ng imprastraktura sa loob ng kanilang nasasakupan. * **Mga Proyektong Build-Operate-Transfer (BOT):** Para sa ilang proyektong pang-imprastraktura na binuo sa ilalim ng mga scheme ng Public-Private Partnership (PPP) tu"&amp;"lad ng BOT, maaaring may pananagutan ang mga pribadong konsesyonaryo para sa pagpapanatili sa panahon ng konsesyon. **Mga Batas at Regulasyon:**
* **Republic Act No. 6957 (An Act Establishing the Department of Public Works and Highways):** Ang batas na it"&amp;"o ay nag-atas sa Department of Public Works and Highways (DPWH) sa ""pagsasagawa ng konstruksyon, pagpapanatili, at pagkukumpuni ng mga pambansang kalsada, tulay, dike, seawall, pampublikong gusali, at iba pang mga pampublikong gawain.""
* **Department of"&amp;" Public Works and Highways (DPWH) Departmental Issuances:** Ang DPWH ay naglalabas ng mga department order at memorandum na nagdedetalye ng mga partikular na patakaran at pamamaraan para sa pagpapanatili ng iba't ibang uri ng imprastraktura sa ilalim ng k"&amp;"anilang saklaw.
* **Mga Ordinansa ng LGU:** Maraming LGU ang nagpapatupad ng mga ordinansa na tumutukoy sa kanilang mga proseso para sa pagtukoy, pagbibigay-priyoridad, at pagpopondo sa mga pangangailangan sa pagpapanatili ng lokal na imprastraktura. **Mg"&amp;"a Istratehiya sa Pagpapanatili:**
* **Preventive Maintenance:** Priyoridad ng gobyerno ang preventive maintenance upang mapalawig ang tagal ng imprastraktura at maiwasan ang magastos na pag-aayos sa ibang pagkakataon. Kabilang dito ang mga regular na insp"&amp;"eksyon, paglilinis, at maliliit na pag-aayos.
* **Corrective Maintenance:** Kapag lumitaw ang mga problema sa imprastraktura, isinasagawa ang corrective maintenance upang matugunan ang pinsala at maibalik ang functionality.
* **Infrastructure Management S"&amp;"ystems (IMS):** Ang mga computerized system na ito ay tumutulong sa pagsubaybay sa kondisyon ng imprastraktura, pagpaplano ng mga aktibidad sa pagpapanatili, at pag-optimize ng paglalaan ng mapagkukunan. **Mga Hamon at Oportunidad:**
* **Limitadong Badyet"&amp;":** Ang badyet na inilalaan para sa pagpapanatili ng imprastraktura ay kadalasang hindi sapat upang matugunan ang lahat ng pangangailangan, na humahantong sa isang backlog ng pag-aayos.
* **Pagpapahalaga:** Ang pagbibigay-priyoridad kung aling mga proyekt"&amp;"ong pang-imprastraktura ang tumatanggap ng mga mapagkukunan ng pagpapanatili ay maaaring maging kumplikado, na nagbabalanse ng pagkaapurahan ng mga pagkukumpuni sa pangkalahatang kondisyon ng network.
* **Public-Private Partnerships (PPPs):** Ang karagdag"&amp;"ang paggamit ng mga PPP ay maaaring makaakit ng pamumuhunan ng pribadong sektor para sa pagpapanatili ng imprastraktura, na nagpapagaan ng pasanin sa badyet ng pamahalaan.
* **Teknolohiya at Innovation:** Ang paggamit ng mga bagong teknolohiya tulad ng dr"&amp;"one inspections at advanced na materyales ay maaaring mapabuti ang kahusayan at mabawasan ang mga gastos sa mga aktibidad sa pagpapanatili.
**Accountability at Transparency:**
* **Commission on Audit (COA):** Ang COA ay nag-audit sa mga ahensya ng gobyern"&amp;"o upang matiyak ang wastong paglalaan at paggamit ng mga pondong inilaan para sa pagpapanatili ng imprastraktura. * **Paglahok ng Mamamayan:** Ang pakikipag-ugnayan sa komunidad ay maaaring managot sa mga ahensya ng gobyerno para sa pagpapanatili ng impra"&amp;"straktura sa kanilang mga lugar.
**Konklusyon:**
Ang pagpapanatili at pag-aayos ng pampublikong imprastraktura ay mahalaga para sa kaligtasan ng publiko, aktibidad sa ekonomiya, at pangkalahatang kalidad ng buhay. Ang legal na balangkas ng Pilipinas ay na"&amp;"gbibigay ng pundasyon para sa mga aktibidad na ito, ngunit ang patuloy na pagsisikap ay kailangan para makakuha ng sapat na pondo, mabisang bigyang-priyoridad, at galugarin ang mga makabagong pamamaraan upang matiyak na ang imprastraktura ng Pilipinas ay "&amp;"nananatiling gumagana at nagsisilbi sa mga pangangailangan ng mga mamamayan nito.")</f>
        <v>Ang Pilipinas ay may balangkas para sa pagpapanatili at pagkukumpuni ng pampublikong imprastraktura, na nakakalat sa iba't ibang batas, regulasyon, at utos ng ahensya. Narito ang isang breakdown ng mga pangunahing aspeto:
**Pagpopondo at Pananagutan:**
* **Badyet ng Pambansang Pamahalaan:** Ang pambansang pamahalaan ay naglalaan ng mga pondo para sa pagpapanatili at pagkukumpuni ng imprastraktura sa taunang General Appropriations Act (GAA). Ang mga pondong ito ay ipinamamahagi sa iba't ibang ahensya ng gobyerno na responsable para sa mga partikular na uri ng imprastraktura (hal., DPWH para sa mga kalsada at tulay).
* **Local Government Unit (LGU) Share:** Ang mga LGU ay tumatanggap ng bahagi ng mga pambansang buwis (Internal Revenue Allotment - IRA) na maaaring gamitin para sa pagpapanatili ng imprastraktura sa loob ng kanilang nasasakupan. * **Mga Proyektong Build-Operate-Transfer (BOT):** Para sa ilang proyektong pang-imprastraktura na binuo sa ilalim ng mga scheme ng Public-Private Partnership (PPP) tulad ng BOT, maaaring may pananagutan ang mga pribadong konsesyonaryo para sa pagpapanatili sa panahon ng konsesyon. **Mga Batas at Regulasyon:**
* **Republic Act No. 6957 (An Act Establishing the Department of Public Works and Highways):** Ang batas na ito ay nag-atas sa Department of Public Works and Highways (DPWH) sa "pagsasagawa ng konstruksyon, pagpapanatili, at pagkukumpuni ng mga pambansang kalsada, tulay, dike, seawall, pampublikong gusali, at iba pang mga pampublikong gawain."
* **Department of Public Works and Highways (DPWH) Departmental Issuances:** Ang DPWH ay naglalabas ng mga department order at memorandum na nagdedetalye ng mga partikular na patakaran at pamamaraan para sa pagpapanatili ng iba't ibang uri ng imprastraktura sa ilalim ng kanilang saklaw.
* **Mga Ordinansa ng LGU:** Maraming LGU ang nagpapatupad ng mga ordinansa na tumutukoy sa kanilang mga proseso para sa pagtukoy, pagbibigay-priyoridad, at pagpopondo sa mga pangangailangan sa pagpapanatili ng lokal na imprastraktura. **Mga Istratehiya sa Pagpapanatili:**
* **Preventive Maintenance:** Priyoridad ng gobyerno ang preventive maintenance upang mapalawig ang tagal ng imprastraktura at maiwasan ang magastos na pag-aayos sa ibang pagkakataon. Kabilang dito ang mga regular na inspeksyon, paglilinis, at maliliit na pag-aayos.
* **Corrective Maintenance:** Kapag lumitaw ang mga problema sa imprastraktura, isinasagawa ang corrective maintenance upang matugunan ang pinsala at maibalik ang functionality.
* **Infrastructure Management Systems (IMS):** Ang mga computerized system na ito ay tumutulong sa pagsubaybay sa kondisyon ng imprastraktura, pagpaplano ng mga aktibidad sa pagpapanatili, at pag-optimize ng paglalaan ng mapagkukunan. **Mga Hamon at Oportunidad:**
* **Limitadong Badyet:** Ang badyet na inilalaan para sa pagpapanatili ng imprastraktura ay kadalasang hindi sapat upang matugunan ang lahat ng pangangailangan, na humahantong sa isang backlog ng pag-aayos.
* **Pagpapahalaga:** Ang pagbibigay-priyoridad kung aling mga proyektong pang-imprastraktura ang tumatanggap ng mga mapagkukunan ng pagpapanatili ay maaaring maging kumplikado, na nagbabalanse ng pagkaapurahan ng mga pagkukumpuni sa pangkalahatang kondisyon ng network.
* **Public-Private Partnerships (PPPs):** Ang karagdagang paggamit ng mga PPP ay maaaring makaakit ng pamumuhunan ng pribadong sektor para sa pagpapanatili ng imprastraktura, na nagpapagaan ng pasanin sa badyet ng pamahalaan.
* **Teknolohiya at Innovation:** Ang paggamit ng mga bagong teknolohiya tulad ng drone inspections at advanced na materyales ay maaaring mapabuti ang kahusayan at mabawasan ang mga gastos sa mga aktibidad sa pagpapanatili.
**Accountability at Transparency:**
* **Commission on Audit (COA):** Ang COA ay nag-audit sa mga ahensya ng gobyerno upang matiyak ang wastong paglalaan at paggamit ng mga pondong inilaan para sa pagpapanatili ng imprastraktura. * **Paglahok ng Mamamayan:** Ang pakikipag-ugnayan sa komunidad ay maaaring managot sa mga ahensya ng gobyerno para sa pagpapanatili ng imprastraktura sa kanilang mga lugar.
**Konklusyon:**
Ang pagpapanatili at pag-aayos ng pampublikong imprastraktura ay mahalaga para sa kaligtasan ng publiko, aktibidad sa ekonomiya, at pangkalahatang kalidad ng buhay. Ang legal na balangkas ng Pilipinas ay nagbibigay ng pundasyon para sa mga aktibidad na ito, ngunit ang patuloy na pagsisikap ay kailangan para makakuha ng sapat na pondo, mabisang bigyang-priyoridad, at galugarin ang mga makabagong pamamaraan upang matiyak na ang imprastraktura ng Pilipinas ay nananatiling gumagana at nagsisilbi sa mga pangangailangan ng mga mamamayan nito.</v>
      </c>
      <c r="F2770" s="2">
        <f t="shared" si="1"/>
        <v>0</v>
      </c>
      <c r="G2770" s="2"/>
      <c r="H2770" s="2"/>
      <c r="I2770" s="2"/>
      <c r="J2770" s="2"/>
      <c r="K2770" s="2"/>
      <c r="L2770" s="2"/>
      <c r="M2770" s="2"/>
      <c r="N2770" s="2"/>
      <c r="O2770" s="2"/>
      <c r="P2770" s="2"/>
      <c r="Q2770" s="2"/>
      <c r="R2770" s="2"/>
      <c r="S2770" s="2"/>
      <c r="T2770" s="2"/>
      <c r="U2770" s="2"/>
      <c r="V2770" s="2"/>
      <c r="W2770" s="2"/>
      <c r="X2770" s="2"/>
      <c r="Y2770" s="2"/>
      <c r="Z2770" s="2"/>
      <c r="AA2770" s="2"/>
    </row>
    <row r="2771">
      <c r="A2771" s="3" t="s">
        <v>6475</v>
      </c>
      <c r="B2771" s="1" t="s">
        <v>6514</v>
      </c>
      <c r="C2771" s="3" t="s">
        <v>6515</v>
      </c>
      <c r="D2771" s="2" t="str">
        <f>IFERROR(__xludf.DUMMYFUNCTION("GOOGLETRANSLATE(B2771, ""en"", ""TL"")"),"Paano tinutugunan ng batas ng Pilipinas ang mga isyu ng mga impormal na pamayanan sa mga kalunsuran?")</f>
        <v>Paano tinutugunan ng batas ng Pilipinas ang mga isyu ng mga impormal na pamayanan sa mga kalunsuran?</v>
      </c>
      <c r="E2771" s="2" t="str">
        <f>IFERROR(__xludf.DUMMYFUNCTION("GOOGLETRANSLATE(C2771, ""en"", ""TL"")"),"Kinikilala ng Pilipinas ang mga hamon ng mga impormal na paninirahan sa mga urban na lugar at mayroong maraming pronged na legal na diskarte upang matugunan ang mga ito:
**Karapatang Konstitusyon sa Pabahay:**
* **Ang 1987 Konstitusyon ng Pilipinas:** Ang"&amp;" Artikulo XIII, Seksyon 11 ay ginagarantiyahan ang karapatan ng lahat ng mamamayan sa ""disenteng pabahay at mga pangunahing serbisyo."" Naglalatag ito ng batayan para sa interbensyon ng gobyerno sa pagtugon sa mga pangangailangan sa pabahay ng mga inform"&amp;"al settlers.
**Urban Development and Housing Act (RA 7279):**
* Ang batas na ito ay nagtatatag ng ""balanseng diskarte"" sa mga impormal na settlement, na naglalayong pareho:
* **Pag-upgrade ng mga kasalukuyang settlement:** Pagbibigay ng mga pangunahing "&amp;"serbisyo tulad ng tubig, sanitasyon, at drainage sa loob ng mga kasalukuyang impormal na settlement.
* **Relokasyon:** Mga programang resettlement upang ilipat ang mga residente sa mga lugar na may mas magandang kondisyon sa pamumuhay, kung hindi magagawa"&amp;" ang pag-upgrade.
**Mga Ahensya ng Pagpapatupad:**
* **Department of Human Settlements and Urban Development (DHSUD):** Ang DHSUD ang nangangasiwa sa mga pambansang patakaran at programa sa pagpapaunlad ng pabahay. * **National Housing Authority (NHA):** "&amp;"Ang NHA ay isang ahensya ng gobyerno na may katungkulan sa pagpapatupad ng mga programa sa socialized housing, kabilang ang mga proyekto ng resettlement para sa mga informal settlers.
* **Local Government Units (LGUs):** LGUs play a crucial role in:
* Pag"&amp;"kilala at pagbibigay-priyoridad sa mga impormal na settlement. * Pagbuo at pagpapatupad ng mga plano sa pagpapaunlad ng lokal na pabahay na tumutugon sa mga impormal na settlement.
* Pakikipagtulungan sa mga pambansang ahensya sa pag-upgrade at mga progra"&amp;"ma sa relokasyon.
**Mga Hamon at Limitasyon:**
* **Limitadong Pagpopondo:** Ang mga mapagkukunan ng pamahalaan na inilaan para sa mga programa sa pabahay ay maaaring hindi sapat upang matugunan ang malaking pangangailangan. * **Availability ng Lupa:** Maa"&amp;"aring maging mahirap ang paghahanap ng angkop na lupa para sa mga proyektong relokasyon, partikular na malapit sa mga sentrong urban kung saan madalas lumitaw ang mga impormal na pamayanan.
* **Paglaban ng Komunidad:** Maaaring tumanggi ang mga impormal n"&amp;"a settler sa paglipat dahil sa mga alalahanin tungkol sa pagkawala ng access sa mga pagkakataon sa kabuhayan o mga social network na itinatag sa kanilang kasalukuyang lokasyon.
**Inaasahan:**
* **Tumutok sa In-Situ Development:** Ang lumalagong trend ay i"&amp;"n-situ development, na nakatutok sa pag-upgrade ng mga kasalukuyang impormal na settlement sa halip na relokasyon. Ito ay maaaring maging mas cost-effective at hindi gaanong nakakagambala para sa mga komunidad.
* **Public-Private Partnerships (PPPs):** Si"&amp;"nasaliksik ng pamahalaan ang mga pakikipagsosyo sa pribadong sektor upang magamit ang mga karagdagang mapagkukunan at kadalubhasaan para sa pagbuo ng mga solusyon sa pabahay para sa mga informal settler.
* **Paglahok ng Komunidad:** Ang pagsali sa mga inf"&amp;"ormal settler na komunidad sa pagpaplano at pagpapatupad ng mga programa sa pabahay ay maaaring mapataas ang kanilang pagmamay-ari at mapabuti ang tagumpay ng mga inisyatiba.
**Konklusyon:**
Kinikilala ng ligal na balangkas ng Pilipinas ang pangangailanga"&amp;"ng tugunan ang mga impormal na settlement at pagbutihin ang mga kondisyon ng pabahay para sa lahat ng mamamayan. Habang nananatili ang mga hamon, ang kumbinasyon ng mga legal na utos, mga ahensya ng gobyerno, at mga pagsisikap na makakuha ng karagdagang p"&amp;"ondo at hikayatin ang pakikilahok ng komunidad ay nagbibigay ng pundasyon para sa pag-unlad.")</f>
        <v>Kinikilala ng Pilipinas ang mga hamon ng mga impormal na paninirahan sa mga urban na lugar at mayroong maraming pronged na legal na diskarte upang matugunan ang mga ito:
**Karapatang Konstitusyon sa Pabahay:**
* **Ang 1987 Konstitusyon ng Pilipinas:** Ang Artikulo XIII, Seksyon 11 ay ginagarantiyahan ang karapatan ng lahat ng mamamayan sa "disenteng pabahay at mga pangunahing serbisyo." Naglalatag ito ng batayan para sa interbensyon ng gobyerno sa pagtugon sa mga pangangailangan sa pabahay ng mga informal settlers.
**Urban Development and Housing Act (RA 7279):**
* Ang batas na ito ay nagtatatag ng "balanseng diskarte" sa mga impormal na settlement, na naglalayong pareho:
* **Pag-upgrade ng mga kasalukuyang settlement:** Pagbibigay ng mga pangunahing serbisyo tulad ng tubig, sanitasyon, at drainage sa loob ng mga kasalukuyang impormal na settlement.
* **Relokasyon:** Mga programang resettlement upang ilipat ang mga residente sa mga lugar na may mas magandang kondisyon sa pamumuhay, kung hindi magagawa ang pag-upgrade.
**Mga Ahensya ng Pagpapatupad:**
* **Department of Human Settlements and Urban Development (DHSUD):** Ang DHSUD ang nangangasiwa sa mga pambansang patakaran at programa sa pagpapaunlad ng pabahay. * **National Housing Authority (NHA):** Ang NHA ay isang ahensya ng gobyerno na may katungkulan sa pagpapatupad ng mga programa sa socialized housing, kabilang ang mga proyekto ng resettlement para sa mga informal settlers.
* **Local Government Units (LGUs):** LGUs play a crucial role in:
* Pagkilala at pagbibigay-priyoridad sa mga impormal na settlement. * Pagbuo at pagpapatupad ng mga plano sa pagpapaunlad ng lokal na pabahay na tumutugon sa mga impormal na settlement.
* Pakikipagtulungan sa mga pambansang ahensya sa pag-upgrade at mga programa sa relokasyon.
**Mga Hamon at Limitasyon:**
* **Limitadong Pagpopondo:** Ang mga mapagkukunan ng pamahalaan na inilaan para sa mga programa sa pabahay ay maaaring hindi sapat upang matugunan ang malaking pangangailangan. * **Availability ng Lupa:** Maaaring maging mahirap ang paghahanap ng angkop na lupa para sa mga proyektong relokasyon, partikular na malapit sa mga sentrong urban kung saan madalas lumitaw ang mga impormal na pamayanan.
* **Paglaban ng Komunidad:** Maaaring tumanggi ang mga impormal na settler sa paglipat dahil sa mga alalahanin tungkol sa pagkawala ng access sa mga pagkakataon sa kabuhayan o mga social network na itinatag sa kanilang kasalukuyang lokasyon.
**Inaasahan:**
* **Tumutok sa In-Situ Development:** Ang lumalagong trend ay in-situ development, na nakatutok sa pag-upgrade ng mga kasalukuyang impormal na settlement sa halip na relokasyon. Ito ay maaaring maging mas cost-effective at hindi gaanong nakakagambala para sa mga komunidad.
* **Public-Private Partnerships (PPPs):** Sinasaliksik ng pamahalaan ang mga pakikipagsosyo sa pribadong sektor upang magamit ang mga karagdagang mapagkukunan at kadalubhasaan para sa pagbuo ng mga solusyon sa pabahay para sa mga informal settler.
* **Paglahok ng Komunidad:** Ang pagsali sa mga informal settler na komunidad sa pagpaplano at pagpapatupad ng mga programa sa pabahay ay maaaring mapataas ang kanilang pagmamay-ari at mapabuti ang tagumpay ng mga inisyatiba.
**Konklusyon:**
Kinikilala ng ligal na balangkas ng Pilipinas ang pangangailangang tugunan ang mga impormal na settlement at pagbutihin ang mga kondisyon ng pabahay para sa lahat ng mamamayan. Habang nananatili ang mga hamon, ang kumbinasyon ng mga legal na utos, mga ahensya ng gobyerno, at mga pagsisikap na makakuha ng karagdagang pondo at hikayatin ang pakikilahok ng komunidad ay nagbibigay ng pundasyon para sa pag-unlad.</v>
      </c>
      <c r="F2771" s="2">
        <f t="shared" si="1"/>
        <v>0</v>
      </c>
      <c r="G2771" s="2"/>
      <c r="H2771" s="2"/>
      <c r="I2771" s="2"/>
      <c r="J2771" s="2"/>
      <c r="K2771" s="2"/>
      <c r="L2771" s="2"/>
      <c r="M2771" s="2"/>
      <c r="N2771" s="2"/>
      <c r="O2771" s="2"/>
      <c r="P2771" s="2"/>
      <c r="Q2771" s="2"/>
      <c r="R2771" s="2"/>
      <c r="S2771" s="2"/>
      <c r="T2771" s="2"/>
      <c r="U2771" s="2"/>
      <c r="V2771" s="2"/>
      <c r="W2771" s="2"/>
      <c r="X2771" s="2"/>
      <c r="Y2771" s="2"/>
      <c r="Z2771" s="2"/>
      <c r="AA2771" s="2"/>
    </row>
    <row r="2772">
      <c r="A2772" s="3" t="s">
        <v>6475</v>
      </c>
      <c r="B2772" s="1" t="s">
        <v>6516</v>
      </c>
      <c r="C2772" s="3" t="s">
        <v>6517</v>
      </c>
      <c r="D2772" s="2" t="str">
        <f>IFERROR(__xludf.DUMMYFUNCTION("GOOGLETRANSLATE(B2772, ""en"", ""TL"")"),"Ipaliwanag ang mga kinakailangan para sa pagkuha ng mga permit para sa pagtatayo ng mga kalsada at tulay.")</f>
        <v>Ipaliwanag ang mga kinakailangan para sa pagkuha ng mga permit para sa pagtatayo ng mga kalsada at tulay.</v>
      </c>
      <c r="E2772" s="2" t="str">
        <f>IFERROR(__xludf.DUMMYFUNCTION("GOOGLETRANSLATE(C2772, ""en"", ""TL"")"),"Ang pagkuha ng mga permit para sa paggawa ng mga kalsada at tulay sa Pilipinas ay nagsasangkot ng maraming hakbang na proseso sa iba't ibang ahensya depende sa sukat at lokasyon ng proyekto. Narito ang isang breakdown ng mga pangunahing kinakailangan:
**P"&amp;"ag-uuri ng Proyekto at Lead Agency:**
* **Skala ng Proyekto:** Ang sukat at layunin ng proyekto sa kalsada o tulay ay tumutukoy sa namumunong ahensya na responsable para sa pagbibigay ng permit.
* **Mga Pambansang Kalsada at Tulay:** Ang Department of Pub"&amp;"lic Works and Highways (DPWH) ang humahawak ng mga permit para sa mga pambansang kalsada at mga pangunahing tulay na tinukoy sa pambansang plano sa pagpapaunlad.
* **Mga Lokal na Kalsada at Tulay:** Ang mga LGU (Local Government Units) ay humahawak ng mga"&amp;" permit para sa mga lokal na kalsada at mas maliliit na tulay sa loob ng kanilang nasasakupan. **Mga Pagsasaalang-alang sa Kapaligiran:**
* **Environmental Impact Assessment System (EIS System):** Karamihan sa mga proyekto sa kalsada at tulay ay nangangai"&amp;"langan ng Environmental Impact Assessment (EIA) na isinasagawa ng isang akreditadong EIA preparer. * Tinutukoy ng EIA ang mga potensyal na epekto sa kapaligiran ng proyekto at nagmumungkahi ng mga hakbang sa pagpapagaan.
* Ang antas ng detalye sa EIA ay d"&amp;"epende sa laki ng proyekto at mga potensyal na panganib sa kapaligiran.
* **Barangay Clearance:** Ang barangay clearance ay karaniwang kinakailangan, na nagpapahiwatig ng kamalayan ng barangay (pinakamaliit na local government unit) at walang pagtutol sa "&amp;"proyekto.
**Pagkuha ng Lupa at Right-of-Way:**
* **Patunay ng Pagmamay-ari ng Lupa o Right-of-Way:** * Para sa mga proyekto sa pribadong lupa, kinakailangan ang patunay ng pagmamay-ari ng lupa o isang napagkasunduang right-of-way na kasunduan sa mga may-a"&amp;"ri ng lupa.
* Maaaring tumulong ang DPWH o LGU sa pagkuha o negosasyon para sa mga proyektong pinondohan ng gobyerno.
* **Pagbabago ng Lupa (kung naaangkop):** Kung ang proyekto ay nagsasangkot ng pag-convert ng lupang pang-agrikultura sa ibang gamit, maa"&amp;"aring mangailangan ng land conversion clearance mula sa Department of Agrarian Reform (DAR).
**Mga Plano at Detalye ng Engineering:**
* **Mga Detalyadong Plano at Detalye ng Engineering (Mga Plano at Mga Detalye):** Ang proponent ng proyekto (ahensiya ng "&amp;"gobyerno o pribadong developer) ay dapat magsumite ng mga detalyadong plano sa engineering at mga detalye na inaprubahan ng isang lisensiyadong civil engineer.
* Ang mga planong ito ay nagdedetalye ng disenyo, mga materyales, at mga paraan ng pagtatayo pa"&amp;"ra sa kalsada o tulay.
**Mga Building Permit at Construction Supervision:**
* **Mga Building Permit:** Kapag nakuha na ang ibang mga permit, ang mga building permit ay ibibigay ng DPWH o LGU depende sa sukat ng proyekto.
* **Construction Supervision:** An"&amp;"g DPWH o LGU ay maaaring magtalaga ng mga construction supervisor upang subaybayan ang pagsunod sa mga inaprubahang plano at mga regulasyong pangkaligtasan sa panahon ng konstruksiyon.
**Mga Karagdagang Pagsasaalang-alang:**
* **Mga Pampublikong Konsultas"&amp;"yon:** Maaaring kailanganin ang mga pampublikong konsultasyon, lalo na para sa malalaking proyekto, upang mangalap ng feedback ng komunidad at matugunan ang mga alalahanin.
* **Cultural Heritage Impact Assessment (CHIA):** Kung ang lugar ng proyekto ay ma"&amp;"y potensyal na makaapekto sa mga cultural heritage site, maaaring mangailangan ng CHIA.
* **Fire Safety Clearance:** Para sa mga tulay na may nakatalagang gamit para sa mga sasakyan, maaaring kailanganin ang fire safety clearance mula sa Bureau of Fire Pr"&amp;"otection (BFP). **Timeline at Bayarin:**
Ang oras ng pagpoproseso at mga bayarin para sa mga permit ay maaaring mag-iba depende sa pagiging kumplikado ng proyekto, mga ahensyang kasangkot, at pagsunod sa mga kinakailangan. **Konklusyon:**
Ang pagkuha ng m"&amp;"ga permit para sa pagtatayo ng kalsada at tulay ay nangangailangan ng maingat na pagpaplano at koordinasyon sa iba't ibang ahensya ng gobyerno. Ang pag-secure ng mga kinakailangang permit ay nagsisiguro na ang proyekto ay sumusunod sa mga regulasyon sa ka"&amp;"paligiran, mga pamantayan sa kaligtasan, at nirerespeto ang mga alalahanin ng komunidad.")</f>
        <v>Ang pagkuha ng mga permit para sa paggawa ng mga kalsada at tulay sa Pilipinas ay nagsasangkot ng maraming hakbang na proseso sa iba't ibang ahensya depende sa sukat at lokasyon ng proyekto. Narito ang isang breakdown ng mga pangunahing kinakailangan:
**Pag-uuri ng Proyekto at Lead Agency:**
* **Skala ng Proyekto:** Ang sukat at layunin ng proyekto sa kalsada o tulay ay tumutukoy sa namumunong ahensya na responsable para sa pagbibigay ng permit.
* **Mga Pambansang Kalsada at Tulay:** Ang Department of Public Works and Highways (DPWH) ang humahawak ng mga permit para sa mga pambansang kalsada at mga pangunahing tulay na tinukoy sa pambansang plano sa pagpapaunlad.
* **Mga Lokal na Kalsada at Tulay:** Ang mga LGU (Local Government Units) ay humahawak ng mga permit para sa mga lokal na kalsada at mas maliliit na tulay sa loob ng kanilang nasasakupan. **Mga Pagsasaalang-alang sa Kapaligiran:**
* **Environmental Impact Assessment System (EIS System):** Karamihan sa mga proyekto sa kalsada at tulay ay nangangailangan ng Environmental Impact Assessment (EIA) na isinasagawa ng isang akreditadong EIA preparer. * Tinutukoy ng EIA ang mga potensyal na epekto sa kapaligiran ng proyekto at nagmumungkahi ng mga hakbang sa pagpapagaan.
* Ang antas ng detalye sa EIA ay depende sa laki ng proyekto at mga potensyal na panganib sa kapaligiran.
* **Barangay Clearance:** Ang barangay clearance ay karaniwang kinakailangan, na nagpapahiwatig ng kamalayan ng barangay (pinakamaliit na local government unit) at walang pagtutol sa proyekto.
**Pagkuha ng Lupa at Right-of-Way:**
* **Patunay ng Pagmamay-ari ng Lupa o Right-of-Way:** * Para sa mga proyekto sa pribadong lupa, kinakailangan ang patunay ng pagmamay-ari ng lupa o isang napagkasunduang right-of-way na kasunduan sa mga may-ari ng lupa.
* Maaaring tumulong ang DPWH o LGU sa pagkuha o negosasyon para sa mga proyektong pinondohan ng gobyerno.
* **Pagbabago ng Lupa (kung naaangkop):** Kung ang proyekto ay nagsasangkot ng pag-convert ng lupang pang-agrikultura sa ibang gamit, maaaring mangailangan ng land conversion clearance mula sa Department of Agrarian Reform (DAR).
**Mga Plano at Detalye ng Engineering:**
* **Mga Detalyadong Plano at Detalye ng Engineering (Mga Plano at Mga Detalye):** Ang proponent ng proyekto (ahensiya ng gobyerno o pribadong developer) ay dapat magsumite ng mga detalyadong plano sa engineering at mga detalye na inaprubahan ng isang lisensiyadong civil engineer.
* Ang mga planong ito ay nagdedetalye ng disenyo, mga materyales, at mga paraan ng pagtatayo para sa kalsada o tulay.
**Mga Building Permit at Construction Supervision:**
* **Mga Building Permit:** Kapag nakuha na ang ibang mga permit, ang mga building permit ay ibibigay ng DPWH o LGU depende sa sukat ng proyekto.
* **Construction Supervision:** Ang DPWH o LGU ay maaaring magtalaga ng mga construction supervisor upang subaybayan ang pagsunod sa mga inaprubahang plano at mga regulasyong pangkaligtasan sa panahon ng konstruksiyon.
**Mga Karagdagang Pagsasaalang-alang:**
* **Mga Pampublikong Konsultasyon:** Maaaring kailanganin ang mga pampublikong konsultasyon, lalo na para sa malalaking proyekto, upang mangalap ng feedback ng komunidad at matugunan ang mga alalahanin.
* **Cultural Heritage Impact Assessment (CHIA):** Kung ang lugar ng proyekto ay may potensyal na makaapekto sa mga cultural heritage site, maaaring mangailangan ng CHIA.
* **Fire Safety Clearance:** Para sa mga tulay na may nakatalagang gamit para sa mga sasakyan, maaaring kailanganin ang fire safety clearance mula sa Bureau of Fire Protection (BFP). **Timeline at Bayarin:**
Ang oras ng pagpoproseso at mga bayarin para sa mga permit ay maaaring mag-iba depende sa pagiging kumplikado ng proyekto, mga ahensyang kasangkot, at pagsunod sa mga kinakailangan. **Konklusyon:**
Ang pagkuha ng mga permit para sa pagtatayo ng kalsada at tulay ay nangangailangan ng maingat na pagpaplano at koordinasyon sa iba't ibang ahensya ng gobyerno. Ang pag-secure ng mga kinakailangang permit ay nagsisiguro na ang proyekto ay sumusunod sa mga regulasyon sa kapaligiran, mga pamantayan sa kaligtasan, at nirerespeto ang mga alalahanin ng komunidad.</v>
      </c>
      <c r="F2772" s="2">
        <f t="shared" si="1"/>
        <v>0</v>
      </c>
      <c r="G2772" s="2"/>
      <c r="H2772" s="2"/>
      <c r="I2772" s="2"/>
      <c r="J2772" s="2"/>
      <c r="K2772" s="2"/>
      <c r="L2772" s="2"/>
      <c r="M2772" s="2"/>
      <c r="N2772" s="2"/>
      <c r="O2772" s="2"/>
      <c r="P2772" s="2"/>
      <c r="Q2772" s="2"/>
      <c r="R2772" s="2"/>
      <c r="S2772" s="2"/>
      <c r="T2772" s="2"/>
      <c r="U2772" s="2"/>
      <c r="V2772" s="2"/>
      <c r="W2772" s="2"/>
      <c r="X2772" s="2"/>
      <c r="Y2772" s="2"/>
      <c r="Z2772" s="2"/>
      <c r="AA2772" s="2"/>
    </row>
    <row r="2773">
      <c r="A2773" s="3" t="s">
        <v>6475</v>
      </c>
      <c r="B2773" s="1" t="s">
        <v>6518</v>
      </c>
      <c r="C2773" s="3" t="s">
        <v>6519</v>
      </c>
      <c r="D2773" s="2" t="str">
        <f>IFERROR(__xludf.DUMMYFUNCTION("GOOGLETRANSLATE(B2773, ""en"", ""TL"")"),"Talakayin ang mga legal na mekanismo para sa pagsasaayos ng paggamit ng lupa sa mga urban na lugar.")</f>
        <v>Talakayin ang mga legal na mekanismo para sa pagsasaayos ng paggamit ng lupa sa mga urban na lugar.</v>
      </c>
      <c r="E2773" s="2" t="str">
        <f>IFERROR(__xludf.DUMMYFUNCTION("GOOGLETRANSLATE(C2773, ""en"", ""TL"")"),"Gumagamit ang Pilipinas ng kumbinasyon ng mga legal na mekanismo para i-regulate ang paggamit ng lupa sa mga urban na lugar, na naglalayong isulong ang maayos na pag-unlad at mahusay na paggamit ng espasyo. Narito ang isang breakdown ng mga pangunahing as"&amp;"peto:
**Pambansang Balangkas ng Patakaran:**
* **Ang 1987 Konstitusyon ng Pilipinas:** Ang Saligang Batas ay naglalatag ng batayan para sa regulasyon sa paggamit ng lupa sa pamamagitan ng pag-uutos sa Estado na ""isulong ang isang makatarungan at dinamiko"&amp;"ng kaayusang panlipunan na magtitiyak sa kaunlaran at kalayaan ng bansa at magagarantiya sa pagtatamasa ng isang kapaki-pakinabang na buhay ng lahat ng mamamayan.""
**Urban Development and Housing Act (RA 7279):**
* Ang batas na ito ay nagtatatag ng legal"&amp;" na balangkas para sa pag-unlad ng kalunsuran sa Pilipinas. Itinataguyod nito ang:
* **Compact at sustainable development:** Hinihikayat ang densification sa loob ng mga umiiral na urban area sa pamamagitan ng mga hakbang tulad ng transit-oriented develop"&amp;"ment (TOD) at vertical housing construction.
* **Pagsasaayos:** Nag-uutos sa paglikha ng mga komprehensibong plano sa paggamit ng lupa (CLUPs) ng mga LGU upang magtalaga ng mga lugar para sa tirahan, komersyal, pang-industriya, at agrikultural na paggamit"&amp;".
**Mga Ahensya ng Pagpapatupad:**
* **Department of Human Settlements and Urban Development (DHSUD):** Ang DHSUD ay bumubuo ng mga pambansang patakaran sa pagpapaunlad ng lungsod at nagbibigay ng teknikal na tulong sa mga LGU para sa pagpaplano ng paggam"&amp;"it ng lupa.
* **Housing and Urban Development Coordinating Council (HUDCC):** Ang inter-agency council na ito ay nag-coordinate ng mga pagsisikap sa pagpapaunlad ng lungsod sa pagitan ng iba't ibang ahensya ng gobyerno.
* **Local Government Units (LGUs):*"&amp;"* Ang mga LGU, partikular na ang mga pamahalaang lungsod at munisipyo, ay gumaganap ng mahalagang papel sa regulasyon sa paggamit ng lupa sa pamamagitan ng:
* **Mga Ordinansa sa Pagsona:** Pagpapatupad ng mga ordinansa sa pagsona upang higit pang tukuyin "&amp;"ang mga pinahihintulutang paggamit ng lupa sa loob ng bawat sona, na kinokontrol ang mga taas ng gusali, densidad, at mga pag-urong.
* **Pag-isyu ng Mga Permit:** Ang mga LGU ay nag-isyu ng mga permit para sa mga proyekto sa pagtatayo batay sa pagsunod sa"&amp;" mga CLUP at mga ordinansa sa pagsona.
* **Pagpapatupad:** Ang mga LGU ay may responsibilidad na ipatupad ang mga regulasyon sa paggamit ng lupa at kumilos laban sa mga paglabag.
**Iba pang Legal na Mekanismo:**
* **National Building Code:** Ang code na i"&amp;"to ay nagtatakda ng pinakamababang pamantayan para sa disenyo, konstruksiyon, occupancy, at pagpapanatili ng lahat ng mga gusali at istruktura. * **Mga Batas sa Kapaligiran:** Maaaring kailanganin ang Environmental Impact Assessment (EIA) para sa ilang pa"&amp;"rtikular na proyekto sa pagpapaunlad upang masuri ang mga potensyal na epekto sa kapaligiran at matiyak ang napapanatiling mga kasanayan sa paggamit ng lupa.
**Mga Hamon at Oportunidad:**
* **Mga Isyu sa Pagpapatupad:** Ang mabisang pagpapatupad ng mga CL"&amp;"UP at mga ordinansa sa pagsona ay maaaring maging mahirap dahil sa:
* Kakulangan ng kapasidad sa pagpapatupad ng mga LGU.
* Presyon mula sa mga developer para sa mga conversion ng paggamit ng lupa.
* Pagkakaroon ng mga impormal na pamayanan sa mga lugar n"&amp;"a itinalaga para sa iba pang gamit.
* **Limitadong Pagpopondo:** Ang paglalaan ng sapat na mapagkukunan para sa mga inisyatiba sa pagpaplano ng lunsod at pagpapaunlad ng imprastraktura ay maaaring maging mahirap.
**Inaasahan:**
* **Mga Proseso ng Pag-stre"&amp;"amline:** Ang mga pagsisikap ay isinasagawa upang i-streamline ang proseso ng pagpapahintulot para sa mga proyekto sa pagtatayo habang pinapanatili ang pagsunod sa mga regulasyon sa paggamit ng lupa.
* **Pampublikong Pakikilahok:** Ang paghikayat sa pakik"&amp;"ilahok ng mamamayan sa proseso ng pagpaplano ng paggamit ng lupa ay maaaring mapabuti ang transparency at pagbili ng komunidad para sa mga plano sa pagpapaunlad.
* **Mga Makabagong Solusyon:** Ang paggalugad ng mga makabagong solusyon tulad ng pinaghalong"&amp;" paggamit ng mga development at transit-oriented na komunidad ay maaaring mag-ambag sa mas mahusay na paggamit ng lupa sa mga urban na lugar.
**Konklusyon:**
Ang legal na balangkas ng Pilipinas para sa pag-regulate ng paggamit ng lupa sa mga urban na luga"&amp;"r ay naglalayong balansehin ang mga pangangailangan sa pag-unlad sa mga napapanatiling kasanayan. Ang pakikipagtulungan sa pagitan ng mga ahensya ng pambansang pamahalaan, mga LGU, at komunidad ay napakahalaga upang matiyak ang epektibong pagpapatupad at "&amp;"makamit ang balanse sa pagitan ng paglago ng ekonomiya at isang matitirahan na kapaligiran sa lunsod.")</f>
        <v>Gumagamit ang Pilipinas ng kumbinasyon ng mga legal na mekanismo para i-regulate ang paggamit ng lupa sa mga urban na lugar, na naglalayong isulong ang maayos na pag-unlad at mahusay na paggamit ng espasyo. Narito ang isang breakdown ng mga pangunahing aspeto:
**Pambansang Balangkas ng Patakaran:**
* **Ang 1987 Konstitusyon ng Pilipinas:** Ang Saligang Batas ay naglalatag ng batayan para sa regulasyon sa paggamit ng lupa sa pamamagitan ng pag-uutos sa Estado na "isulong ang isang makatarungan at dinamikong kaayusang panlipunan na magtitiyak sa kaunlaran at kalayaan ng bansa at magagarantiya sa pagtatamasa ng isang kapaki-pakinabang na buhay ng lahat ng mamamayan."
**Urban Development and Housing Act (RA 7279):**
* Ang batas na ito ay nagtatatag ng legal na balangkas para sa pag-unlad ng kalunsuran sa Pilipinas. Itinataguyod nito ang:
* **Compact at sustainable development:** Hinihikayat ang densification sa loob ng mga umiiral na urban area sa pamamagitan ng mga hakbang tulad ng transit-oriented development (TOD) at vertical housing construction.
* **Pagsasaayos:** Nag-uutos sa paglikha ng mga komprehensibong plano sa paggamit ng lupa (CLUPs) ng mga LGU upang magtalaga ng mga lugar para sa tirahan, komersyal, pang-industriya, at agrikultural na paggamit.
**Mga Ahensya ng Pagpapatupad:**
* **Department of Human Settlements and Urban Development (DHSUD):** Ang DHSUD ay bumubuo ng mga pambansang patakaran sa pagpapaunlad ng lungsod at nagbibigay ng teknikal na tulong sa mga LGU para sa pagpaplano ng paggamit ng lupa.
* **Housing and Urban Development Coordinating Council (HUDCC):** Ang inter-agency council na ito ay nag-coordinate ng mga pagsisikap sa pagpapaunlad ng lungsod sa pagitan ng iba't ibang ahensya ng gobyerno.
* **Local Government Units (LGUs):** Ang mga LGU, partikular na ang mga pamahalaang lungsod at munisipyo, ay gumaganap ng mahalagang papel sa regulasyon sa paggamit ng lupa sa pamamagitan ng:
* **Mga Ordinansa sa Pagsona:** Pagpapatupad ng mga ordinansa sa pagsona upang higit pang tukuyin ang mga pinahihintulutang paggamit ng lupa sa loob ng bawat sona, na kinokontrol ang mga taas ng gusali, densidad, at mga pag-urong.
* **Pag-isyu ng Mga Permit:** Ang mga LGU ay nag-isyu ng mga permit para sa mga proyekto sa pagtatayo batay sa pagsunod sa mga CLUP at mga ordinansa sa pagsona.
* **Pagpapatupad:** Ang mga LGU ay may responsibilidad na ipatupad ang mga regulasyon sa paggamit ng lupa at kumilos laban sa mga paglabag.
**Iba pang Legal na Mekanismo:**
* **National Building Code:** Ang code na ito ay nagtatakda ng pinakamababang pamantayan para sa disenyo, konstruksiyon, occupancy, at pagpapanatili ng lahat ng mga gusali at istruktura. * **Mga Batas sa Kapaligiran:** Maaaring kailanganin ang Environmental Impact Assessment (EIA) para sa ilang partikular na proyekto sa pagpapaunlad upang masuri ang mga potensyal na epekto sa kapaligiran at matiyak ang napapanatiling mga kasanayan sa paggamit ng lupa.
**Mga Hamon at Oportunidad:**
* **Mga Isyu sa Pagpapatupad:** Ang mabisang pagpapatupad ng mga CLUP at mga ordinansa sa pagsona ay maaaring maging mahirap dahil sa:
* Kakulangan ng kapasidad sa pagpapatupad ng mga LGU.
* Presyon mula sa mga developer para sa mga conversion ng paggamit ng lupa.
* Pagkakaroon ng mga impormal na pamayanan sa mga lugar na itinalaga para sa iba pang gamit.
* **Limitadong Pagpopondo:** Ang paglalaan ng sapat na mapagkukunan para sa mga inisyatiba sa pagpaplano ng lunsod at pagpapaunlad ng imprastraktura ay maaaring maging mahirap.
**Inaasahan:**
* **Mga Proseso ng Pag-streamline:** Ang mga pagsisikap ay isinasagawa upang i-streamline ang proseso ng pagpapahintulot para sa mga proyekto sa pagtatayo habang pinapanatili ang pagsunod sa mga regulasyon sa paggamit ng lupa.
* **Pampublikong Pakikilahok:** Ang paghikayat sa pakikilahok ng mamamayan sa proseso ng pagpaplano ng paggamit ng lupa ay maaaring mapabuti ang transparency at pagbili ng komunidad para sa mga plano sa pagpapaunlad.
* **Mga Makabagong Solusyon:** Ang paggalugad ng mga makabagong solusyon tulad ng pinaghalong paggamit ng mga development at transit-oriented na komunidad ay maaaring mag-ambag sa mas mahusay na paggamit ng lupa sa mga urban na lugar.
**Konklusyon:**
Ang legal na balangkas ng Pilipinas para sa pag-regulate ng paggamit ng lupa sa mga urban na lugar ay naglalayong balansehin ang mga pangangailangan sa pag-unlad sa mga napapanatiling kasanayan. Ang pakikipagtulungan sa pagitan ng mga ahensya ng pambansang pamahalaan, mga LGU, at komunidad ay napakahalaga upang matiyak ang epektibong pagpapatupad at makamit ang balanse sa pagitan ng paglago ng ekonomiya at isang matitirahan na kapaligiran sa lunsod.</v>
      </c>
      <c r="F2773" s="2">
        <f t="shared" si="1"/>
        <v>0</v>
      </c>
      <c r="G2773" s="2"/>
      <c r="H2773" s="2"/>
      <c r="I2773" s="2"/>
      <c r="J2773" s="2"/>
      <c r="K2773" s="2"/>
      <c r="L2773" s="2"/>
      <c r="M2773" s="2"/>
      <c r="N2773" s="2"/>
      <c r="O2773" s="2"/>
      <c r="P2773" s="2"/>
      <c r="Q2773" s="2"/>
      <c r="R2773" s="2"/>
      <c r="S2773" s="2"/>
      <c r="T2773" s="2"/>
      <c r="U2773" s="2"/>
      <c r="V2773" s="2"/>
      <c r="W2773" s="2"/>
      <c r="X2773" s="2"/>
      <c r="Y2773" s="2"/>
      <c r="Z2773" s="2"/>
      <c r="AA2773" s="2"/>
    </row>
    <row r="2774">
      <c r="A2774" s="3" t="s">
        <v>6475</v>
      </c>
      <c r="B2774" s="1" t="s">
        <v>6520</v>
      </c>
      <c r="C2774" s="3" t="s">
        <v>6521</v>
      </c>
      <c r="D2774" s="2" t="str">
        <f>IFERROR(__xludf.DUMMYFUNCTION("GOOGLETRANSLATE(B2774, ""en"", ""TL"")"),"Ano ang mga legal na obligasyon ng mga developer tungkol sa pagkakaloob ng mga pangunahing kagamitan sa mga proyekto sa pabahay?")</f>
        <v>Ano ang mga legal na obligasyon ng mga developer tungkol sa pagkakaloob ng mga pangunahing kagamitan sa mga proyekto sa pabahay?</v>
      </c>
      <c r="E2774" s="2" t="str">
        <f>IFERROR(__xludf.DUMMYFUNCTION("GOOGLETRANSLATE(C2774, ""en"", ""TL"")"),"Sa Pilipinas, ang mga developer ay may legal na obligasyon tungkol sa pagbibigay ng mga pangunahing kagamitan sa mga proyektong pabahay. Narito ang isang breakdown ng mga pangunahing punto:
**Mga Batas at Regulasyon:**
* **Urban Development and Housing Ac"&amp;"t (RA 7279):** Ito ang pangunahing batas na namamahala sa pagpapaunlad ng pabahay. Ang Seksyon 21 ng batas na ito ay nagsasaad na ang mga proyekto sa pabahay, lalo na ang sosyalisadong pabahay, ay dapat ipagkaloob ng ""mga pangunahing serbisyo"" na kinabi"&amp;"bilangan ng:
* Maiinom na suplay ng tubig
* Sistema ng pagtatapon ng alkantarilya
* Sistema ng paagusan
* Power supply
* Pag-access sa mga kalsada
* **Revised Rules and Standards for Economic and Socialized Housing Projects (DHSUD Department Order No. 201"&amp;"9-07):** Ang department order na ito ay nagbibigay ng mga detalyadong teknikal na pamantayan para sa socialized housing projects, kabilang ang mga detalye para sa mga pangunahing kagamitan tulad ng water pressure, sewage system capacity , at lapad ng kals"&amp;"ada.
* **Mga Ordinansa ng Local Government Unit (LGU):** Maraming LGU ang nagpapatupad ng mga ordinansang pandagdag sa mga pambansang batas at nagsasaad ng mga kinakailangan para sa mga pangunahing kagamitan sa mga proyektong pabahay sa loob ng kanilang n"&amp;"asasakupan.
**Mga Obligasyon ng Mga Nag-develop:**
* **Pagpaplano at Disenyo:** Dapat isama ng mga developer ang probisyon ng mga pangunahing kagamitan sa pagpaplano at disenyo ng proyekto sa pabahay. Kabilang dito ang paglalaan ng espasyo para sa mga lin"&amp;"ya ng utility at mga pasilidad sa paggamot.
* **Koneksyon sa Mga Pangunahing Linya:** Ang mga developer ay may pananagutan sa pagtiyak na ang proyekto ng pabahay ay kumokonekta sa mga pangunahing linya ng utility na ibinibigay ng mga distrito ng tubig, mg"&amp;"a kooperatiba ng kuryente, o iba pang mga tagapagbigay ng serbisyo. Sa ilang mga kaso, maaaring magtayo ang mga developer ng sarili nilang water treatment plant o sewage treatment facility, depende sa laki at lokasyon ng proyekto.
* **Internal Distributio"&amp;"n System:** Dapat mag-install ang mga developer ng internal distribution system sa loob ng proyekto para maghatid ng mga basic utilities sa indibidwal na housing units. Kabilang dito ang mga pipeline ng tubig, mga linya ng sewerage, mga kable ng kuryente,"&amp;" at mga panloob na kalsada. * **Pag-andar at Pagpapanatili:** Dapat tiyakin ng developer ang paggana ng mga pangunahing kagamitan sa paglilipat ng mga yunit ng pabahay. Sa ilang mga kaso, ang mga developer ay maaaring magkaroon ng mga responsibilidad sa p"&amp;"agpapanatili para sa isang tiyak na panahon bago ibigay ang responsibilidad sa pagpapanatili sa isang asosasyon ng mga may-ari ng bahay.
**Mga Pagsasaalang-alang at Pagbubukod:**
* **Uri at Lokasyon ng Proyekto:** Ang mga partikular na kinakailangan para "&amp;"sa mga pangunahing kagamitan ay maaaring mag-iba depende sa uri ng proyekto sa pabahay (socialized, economic, o high-end) at lokasyon nito. * Sa ilang malalayong lugar, ang pagkonekta sa mga kasalukuyang utility grid ay maaaring hindi magagawa. Maaaring t"&amp;"uklasin ng mga developer ang mga alternatibong solusyon tulad ng mga balon ng tubig o septic tank, na napapailalim sa pag-apruba ng pamahalaan.
* **Mga Yugto ng Pagkumpleto:** Ang pagkakaroon ng lahat ng mga pangunahing kagamitan ay maaaring paisa-isa ayo"&amp;"n sa mga yugto ng pagbuo ng proyekto. **Pagpapatupad:**
* Ang Department of Human Settlements and Urban Development (DHSUD) ay may pananagutan sa pagpapatupad ng pagsunod sa RA 7279 at mga regulasyon sa pagpapatupad nito.
* Ang mga LGU ay gumaganap din ng"&amp;" papel sa pagsubaybay sa mga proyekto ng pabahay at paggawa ng aksyon laban sa mga developer na lumalabag sa mga regulasyon tungkol sa mga pangunahing kagamitan.
**Konklusyon:**
Ang mga developer sa Pilipinas ay may legal na obligasyon na tiyaking ang kan"&amp;"ilang mga proyekto sa pabahay ay nilagyan ng mga pangunahing kagamitan na kinakailangan para sa isang disenteng kapaligiran sa pamumuhay. Ang pagsunod sa mga pambansang batas, regulasyon, at ordinansa ng LGU ay napakahalaga para matupad ang obligasyong it"&amp;"o at maprotektahan ang kapakanan ng mga susunod na residente.")</f>
        <v>Sa Pilipinas, ang mga developer ay may legal na obligasyon tungkol sa pagbibigay ng mga pangunahing kagamitan sa mga proyektong pabahay. Narito ang isang breakdown ng mga pangunahing punto:
**Mga Batas at Regulasyon:**
* **Urban Development and Housing Act (RA 7279):** Ito ang pangunahing batas na namamahala sa pagpapaunlad ng pabahay. Ang Seksyon 21 ng batas na ito ay nagsasaad na ang mga proyekto sa pabahay, lalo na ang sosyalisadong pabahay, ay dapat ipagkaloob ng "mga pangunahing serbisyo" na kinabibilangan ng:
* Maiinom na suplay ng tubig
* Sistema ng pagtatapon ng alkantarilya
* Sistema ng paagusan
* Power supply
* Pag-access sa mga kalsada
* **Revised Rules and Standards for Economic and Socialized Housing Projects (DHSUD Department Order No. 2019-07):** Ang department order na ito ay nagbibigay ng mga detalyadong teknikal na pamantayan para sa socialized housing projects, kabilang ang mga detalye para sa mga pangunahing kagamitan tulad ng water pressure, sewage system capacity , at lapad ng kalsada.
* **Mga Ordinansa ng Local Government Unit (LGU):** Maraming LGU ang nagpapatupad ng mga ordinansang pandagdag sa mga pambansang batas at nagsasaad ng mga kinakailangan para sa mga pangunahing kagamitan sa mga proyektong pabahay sa loob ng kanilang nasasakupan.
**Mga Obligasyon ng Mga Nag-develop:**
* **Pagpaplano at Disenyo:** Dapat isama ng mga developer ang probisyon ng mga pangunahing kagamitan sa pagpaplano at disenyo ng proyekto sa pabahay. Kabilang dito ang paglalaan ng espasyo para sa mga linya ng utility at mga pasilidad sa paggamot.
* **Koneksyon sa Mga Pangunahing Linya:** Ang mga developer ay may pananagutan sa pagtiyak na ang proyekto ng pabahay ay kumokonekta sa mga pangunahing linya ng utility na ibinibigay ng mga distrito ng tubig, mga kooperatiba ng kuryente, o iba pang mga tagapagbigay ng serbisyo. Sa ilang mga kaso, maaaring magtayo ang mga developer ng sarili nilang water treatment plant o sewage treatment facility, depende sa laki at lokasyon ng proyekto.
* **Internal Distribution System:** Dapat mag-install ang mga developer ng internal distribution system sa loob ng proyekto para maghatid ng mga basic utilities sa indibidwal na housing units. Kabilang dito ang mga pipeline ng tubig, mga linya ng sewerage, mga kable ng kuryente, at mga panloob na kalsada. * **Pag-andar at Pagpapanatili:** Dapat tiyakin ng developer ang paggana ng mga pangunahing kagamitan sa paglilipat ng mga yunit ng pabahay. Sa ilang mga kaso, ang mga developer ay maaaring magkaroon ng mga responsibilidad sa pagpapanatili para sa isang tiyak na panahon bago ibigay ang responsibilidad sa pagpapanatili sa isang asosasyon ng mga may-ari ng bahay.
**Mga Pagsasaalang-alang at Pagbubukod:**
* **Uri at Lokasyon ng Proyekto:** Ang mga partikular na kinakailangan para sa mga pangunahing kagamitan ay maaaring mag-iba depende sa uri ng proyekto sa pabahay (socialized, economic, o high-end) at lokasyon nito. * Sa ilang malalayong lugar, ang pagkonekta sa mga kasalukuyang utility grid ay maaaring hindi magagawa. Maaaring tuklasin ng mga developer ang mga alternatibong solusyon tulad ng mga balon ng tubig o septic tank, na napapailalim sa pag-apruba ng pamahalaan.
* **Mga Yugto ng Pagkumpleto:** Ang pagkakaroon ng lahat ng mga pangunahing kagamitan ay maaaring paisa-isa ayon sa mga yugto ng pagbuo ng proyekto. **Pagpapatupad:**
* Ang Department of Human Settlements and Urban Development (DHSUD) ay may pananagutan sa pagpapatupad ng pagsunod sa RA 7279 at mga regulasyon sa pagpapatupad nito.
* Ang mga LGU ay gumaganap din ng papel sa pagsubaybay sa mga proyekto ng pabahay at paggawa ng aksyon laban sa mga developer na lumalabag sa mga regulasyon tungkol sa mga pangunahing kagamitan.
**Konklusyon:**
Ang mga developer sa Pilipinas ay may legal na obligasyon na tiyaking ang kanilang mga proyekto sa pabahay ay nilagyan ng mga pangunahing kagamitan na kinakailangan para sa isang disenteng kapaligiran sa pamumuhay. Ang pagsunod sa mga pambansang batas, regulasyon, at ordinansa ng LGU ay napakahalaga para matupad ang obligasyong ito at maprotektahan ang kapakanan ng mga susunod na residente.</v>
      </c>
      <c r="F2774" s="2">
        <f t="shared" si="1"/>
        <v>0</v>
      </c>
      <c r="G2774" s="2"/>
      <c r="H2774" s="2"/>
      <c r="I2774" s="2"/>
      <c r="J2774" s="2"/>
      <c r="K2774" s="2"/>
      <c r="L2774" s="2"/>
      <c r="M2774" s="2"/>
      <c r="N2774" s="2"/>
      <c r="O2774" s="2"/>
      <c r="P2774" s="2"/>
      <c r="Q2774" s="2"/>
      <c r="R2774" s="2"/>
      <c r="S2774" s="2"/>
      <c r="T2774" s="2"/>
      <c r="U2774" s="2"/>
      <c r="V2774" s="2"/>
      <c r="W2774" s="2"/>
      <c r="X2774" s="2"/>
      <c r="Y2774" s="2"/>
      <c r="Z2774" s="2"/>
      <c r="AA2774" s="2"/>
    </row>
    <row r="2775">
      <c r="A2775" s="3" t="s">
        <v>6475</v>
      </c>
      <c r="B2775" s="1" t="s">
        <v>6522</v>
      </c>
      <c r="C2775" s="3" t="s">
        <v>6523</v>
      </c>
      <c r="D2775" s="2" t="str">
        <f>IFERROR(__xludf.DUMMYFUNCTION("GOOGLETRANSLATE(B2775, ""en"", ""TL"")"),"Ilarawan ang proseso para sa pag-secure ng financing para sa malalaking proyektong imprastraktura sa Pilipinas.")</f>
        <v>Ilarawan ang proseso para sa pag-secure ng financing para sa malalaking proyektong imprastraktura sa Pilipinas.</v>
      </c>
      <c r="E2775" s="2" t="str">
        <f>IFERROR(__xludf.DUMMYFUNCTION("GOOGLETRANSLATE(C2775, ""en"", ""TL"")"),"Ang pag-secure ng financing para sa malalaking proyektong imprastraktura sa Pilipinas ay nagsasangkot ng pag-navigate sa ilang hakbang at mga aktor. Narito ang isang breakdown ng mga pangunahing aspeto:
**Pagbuo at Pagpaplano ng Proyekto:**
1. **Feasibili"&amp;"ty Study:** Ang tagapagtaguyod ng proyekto (ahensiya ng gobyerno o pribadong kumpanya) ay nagsasagawa ng feasibility study upang masuri ang economic viability, teknikal na posibilidad, at epekto sa kapaligiran ng proyekto. 2. **Disenyo at Dokumentasyon ng"&amp;" Proyekto:** Inihanda ang mga detalyadong plano sa engineering, iskedyul ng konstruksiyon, at pagtatantya ng gastos.
**Mga Opsyon sa Pagpopondo:**
Gumagamit ang Pilipinas ng multi-pronged na diskarte sa pagpopondo ng mga proyektong pang-imprastraktura, na"&amp;" may mga opsyon depende sa kalikasan at profile ng panganib ng proyekto:
* **Badyet ng Pamahalaan:** Ang pambansang pamahalaan ay naglalaan ng mga pondo para sa mga priyoridad na proyektong imprastraktura sa taunang General Appropriations Act (GAA). * **O"&amp;"pisyal na Tulong sa Pag-unlad (ODA):** Ang mga pautang at gawad mula sa mga dayuhang pamahalaan o multilateral na institusyon tulad ng World Bank o Asian Development Bank ay maaaring pagmulan ng financing.
* **Public-Private Partnerships (PPPs):** Nakipag"&amp;"tulungan ang pamahalaan sa mga pribadong kumpanya para sa pagpopondo ng proyekto, konstruksiyon, at kung minsan ay pagpapatakbo sa ilalim ng mga scheme tulad ng Build-Operate-Transfer (BOT) o Build-Own-Operate-Transfer (BOOT) .
* **Pamumuhunan sa Pribadon"&amp;"g Sektor:** Maaaring direktang mamuhunan ang mga pribadong kumpanya sa mga proyektong pang-imprastraktura, partikular ang mga may potensyal para sa mga bayarin sa gumagamit o pangongolekta ng toll.
**Proseso ng Pag-apruba sa Pagpopondo:**
Ang partikular n"&amp;"a proseso ng pag-apruba ay nag-iiba depende sa napiling opsyon sa pagpopondo:
* **Pagpopondo ng Pamahalaan:** Ang mga panukala ng proyekto ay nakikipagkumpitensya para sa paglalaan sa pambansang badyet sa pamamagitan ng prosesong pinamamahalaan ng Departm"&amp;"ent of Budget and Management (DBM).
* **Mga Pautang sa ODA:** Nakikipagnegosasyon ang pambansang pamahalaan sa mga tuntunin ng pautang sa mga dayuhang nagpapahiram, tinitiyak ang pagsunod sa mga kasunduan sa pautang. * **Mga PPP:** Ang mga panukala ng pro"&amp;"yekto ay dumaraan sa isang mapagkumpitensyang proseso ng pag-bid na pinamamahalaan ng Public-Private Partnership Center (PPP Center). Ang nanalong bidder ay nag-aayos ng financing batay sa pagiging posible ng proyekto at paglalaan ng panganib sa pagitan n"&amp;"g publiko at pribadong sektor.
**Mga Karagdagang Pagsasaalang-alang:**
* **Mga Garantiya sa Pautang:** Maaaring magbigay ang pamahalaan ng mga garantiya sa pautang upang mabawasan ang panganib para sa mga pribadong nagpapahiram at makaakit ng mas maraming"&amp;" pamumuhunan sa mga proyektong pang-imprastraktura.
* **Mga Kinakailangan sa Collateral:** Depende sa opsyon sa pagpopondo, ang mismong proyekto o mga asset ng pamahalaan ay maaaring magsilbing collateral para sa mga pautang. * **Financial Due Diligence:*"&amp;"* Ang mga nagpapahiram ay nagsasagawa ng angkop na pagsusumikap sa pinansiyal na kakayahang mabuhay ng proyekto bago mag-ipon ng mga pondo.
* **Mga Pangangalaga sa Kapaligiran at Panlipunan:** Ang pagsunod sa pagtatasa ng epekto sa kapaligiran at mga kina"&amp;"kailangan sa pangangalaga sa lipunan ay mahalaga para sa pag-secure ng financing.
**Mga Hamon:**
* **Limitadong Badyet ng Pamahalaan:** Maaaring hindi sapat ang badyet ng pamahalaan para sa mga proyektong pang-imprastraktura upang matugunan ang lahat ng p"&amp;"angangailangan.
* **Pagiging Kumplikado ng Proyekto:** Ang mga malalaking proyekto sa imprastraktura ay maaaring maging kumplikado, na nagpapataas ng mga panganib sa pagpopondo at humahadlang sa pribadong pamumuhunan.
* **Bureaucracy:** Ang pag-navigate s"&amp;"a maraming ahensya ng gobyerno sa panahon ng proseso ng pag-apruba ay maaaring matagal.
**Inaasahan:**
* **Mga Proseso ng Pag-streamline:** Ang mga pagsisikap ay isinasagawa upang i-streamline ang proseso ng pag-apruba ng PPP at pagbutihin ang klima ng pa"&amp;"mumuhunan para sa mga proyektong pang-imprastraktura.
* **Innovation sa Financing:** Ang paggalugad ng mga makabagong modelo ng financing, kabilang ang pinaghalo na pananalapi (pagsasama-sama ng pampubliko at pribadong pondo), ay maaaring pag-iba-ibahin a"&amp;"ng mga mapagkukunan ng pagpopondo.
* **Tumuon sa Sustainability:** Ang pagpopondo ay lalong binibigyang-priyoridad ang mga proyektong isinasaalang-alang ang environmental at social sustainability.
**Konklusyon:**
Ang pag-secure ng financing para sa malala"&amp;"king proyektong imprastraktura sa Pilipinas ay nangangailangan ng maingat na pagpaplano, paggalugad ng iba't ibang opsyon sa pagpopondo, at pag-navigate sa mga regulasyon ng pamahalaan. Ang pagtutulungan sa pagitan ng publiko at pribadong sektor ay mahala"&amp;"ga upang matugunan ang agwat sa imprastraktura at makapag-ambag sa pag-unlad ng ekonomiya ng Pilipinas.")</f>
        <v>Ang pag-secure ng financing para sa malalaking proyektong imprastraktura sa Pilipinas ay nagsasangkot ng pag-navigate sa ilang hakbang at mga aktor. Narito ang isang breakdown ng mga pangunahing aspeto:
**Pagbuo at Pagpaplano ng Proyekto:**
1. **Feasibility Study:** Ang tagapagtaguyod ng proyekto (ahensiya ng gobyerno o pribadong kumpanya) ay nagsasagawa ng feasibility study upang masuri ang economic viability, teknikal na posibilidad, at epekto sa kapaligiran ng proyekto. 2. **Disenyo at Dokumentasyon ng Proyekto:** Inihanda ang mga detalyadong plano sa engineering, iskedyul ng konstruksiyon, at pagtatantya ng gastos.
**Mga Opsyon sa Pagpopondo:**
Gumagamit ang Pilipinas ng multi-pronged na diskarte sa pagpopondo ng mga proyektong pang-imprastraktura, na may mga opsyon depende sa kalikasan at profile ng panganib ng proyekto:
* **Badyet ng Pamahalaan:** Ang pambansang pamahalaan ay naglalaan ng mga pondo para sa mga priyoridad na proyektong imprastraktura sa taunang General Appropriations Act (GAA). * **Opisyal na Tulong sa Pag-unlad (ODA):** Ang mga pautang at gawad mula sa mga dayuhang pamahalaan o multilateral na institusyon tulad ng World Bank o Asian Development Bank ay maaaring pagmulan ng financing.
* **Public-Private Partnerships (PPPs):** Nakipagtulungan ang pamahalaan sa mga pribadong kumpanya para sa pagpopondo ng proyekto, konstruksiyon, at kung minsan ay pagpapatakbo sa ilalim ng mga scheme tulad ng Build-Operate-Transfer (BOT) o Build-Own-Operate-Transfer (BOOT) .
* **Pamumuhunan sa Pribadong Sektor:** Maaaring direktang mamuhunan ang mga pribadong kumpanya sa mga proyektong pang-imprastraktura, partikular ang mga may potensyal para sa mga bayarin sa gumagamit o pangongolekta ng toll.
**Proseso ng Pag-apruba sa Pagpopondo:**
Ang partikular na proseso ng pag-apruba ay nag-iiba depende sa napiling opsyon sa pagpopondo:
* **Pagpopondo ng Pamahalaan:** Ang mga panukala ng proyekto ay nakikipagkumpitensya para sa paglalaan sa pambansang badyet sa pamamagitan ng prosesong pinamamahalaan ng Department of Budget and Management (DBM).
* **Mga Pautang sa ODA:** Nakikipagnegosasyon ang pambansang pamahalaan sa mga tuntunin ng pautang sa mga dayuhang nagpapahiram, tinitiyak ang pagsunod sa mga kasunduan sa pautang. * **Mga PPP:** Ang mga panukala ng proyekto ay dumaraan sa isang mapagkumpitensyang proseso ng pag-bid na pinamamahalaan ng Public-Private Partnership Center (PPP Center). Ang nanalong bidder ay nag-aayos ng financing batay sa pagiging posible ng proyekto at paglalaan ng panganib sa pagitan ng publiko at pribadong sektor.
**Mga Karagdagang Pagsasaalang-alang:**
* **Mga Garantiya sa Pautang:** Maaaring magbigay ang pamahalaan ng mga garantiya sa pautang upang mabawasan ang panganib para sa mga pribadong nagpapahiram at makaakit ng mas maraming pamumuhunan sa mga proyektong pang-imprastraktura.
* **Mga Kinakailangan sa Collateral:** Depende sa opsyon sa pagpopondo, ang mismong proyekto o mga asset ng pamahalaan ay maaaring magsilbing collateral para sa mga pautang. * **Financial Due Diligence:** Ang mga nagpapahiram ay nagsasagawa ng angkop na pagsusumikap sa pinansiyal na kakayahang mabuhay ng proyekto bago mag-ipon ng mga pondo.
* **Mga Pangangalaga sa Kapaligiran at Panlipunan:** Ang pagsunod sa pagtatasa ng epekto sa kapaligiran at mga kinakailangan sa pangangalaga sa lipunan ay mahalaga para sa pag-secure ng financing.
**Mga Hamon:**
* **Limitadong Badyet ng Pamahalaan:** Maaaring hindi sapat ang badyet ng pamahalaan para sa mga proyektong pang-imprastraktura upang matugunan ang lahat ng pangangailangan.
* **Pagiging Kumplikado ng Proyekto:** Ang mga malalaking proyekto sa imprastraktura ay maaaring maging kumplikado, na nagpapataas ng mga panganib sa pagpopondo at humahadlang sa pribadong pamumuhunan.
* **Bureaucracy:** Ang pag-navigate sa maraming ahensya ng gobyerno sa panahon ng proseso ng pag-apruba ay maaaring matagal.
**Inaasahan:**
* **Mga Proseso ng Pag-streamline:** Ang mga pagsisikap ay isinasagawa upang i-streamline ang proseso ng pag-apruba ng PPP at pagbutihin ang klima ng pamumuhunan para sa mga proyektong pang-imprastraktura.
* **Innovation sa Financing:** Ang paggalugad ng mga makabagong modelo ng financing, kabilang ang pinaghalo na pananalapi (pagsasama-sama ng pampubliko at pribadong pondo), ay maaaring pag-iba-ibahin ang mga mapagkukunan ng pagpopondo.
* **Tumuon sa Sustainability:** Ang pagpopondo ay lalong binibigyang-priyoridad ang mga proyektong isinasaalang-alang ang environmental at social sustainability.
**Konklusyon:**
Ang pag-secure ng financing para sa malalaking proyektong imprastraktura sa Pilipinas ay nangangailangan ng maingat na pagpaplano, paggalugad ng iba't ibang opsyon sa pagpopondo, at pag-navigate sa mga regulasyon ng pamahalaan. Ang pagtutulungan sa pagitan ng publiko at pribadong sektor ay mahalaga upang matugunan ang agwat sa imprastraktura at makapag-ambag sa pag-unlad ng ekonomiya ng Pilipinas.</v>
      </c>
      <c r="F2775" s="2">
        <f t="shared" si="1"/>
        <v>0</v>
      </c>
      <c r="G2775" s="2"/>
      <c r="H2775" s="2"/>
      <c r="I2775" s="2"/>
      <c r="J2775" s="2"/>
      <c r="K2775" s="2"/>
      <c r="L2775" s="2"/>
      <c r="M2775" s="2"/>
      <c r="N2775" s="2"/>
      <c r="O2775" s="2"/>
      <c r="P2775" s="2"/>
      <c r="Q2775" s="2"/>
      <c r="R2775" s="2"/>
      <c r="S2775" s="2"/>
      <c r="T2775" s="2"/>
      <c r="U2775" s="2"/>
      <c r="V2775" s="2"/>
      <c r="W2775" s="2"/>
      <c r="X2775" s="2"/>
      <c r="Y2775" s="2"/>
      <c r="Z2775" s="2"/>
      <c r="AA2775" s="2"/>
    </row>
    <row r="2776">
      <c r="A2776" s="3" t="s">
        <v>6475</v>
      </c>
      <c r="B2776" s="1" t="s">
        <v>6524</v>
      </c>
      <c r="C2776" s="3" t="s">
        <v>6525</v>
      </c>
      <c r="D2776" s="2" t="str">
        <f>IFERROR(__xludf.DUMMYFUNCTION("GOOGLETRANSLATE(B2776, ""en"", ""TL"")"),"Ipaliwanag ang mga legal na prinsipyo na namamahala sa pagpapatitulo at pagpaparehistro ng lupa sa konteksto ng pagpapaunlad ng pabahay.")</f>
        <v>Ipaliwanag ang mga legal na prinsipyo na namamahala sa pagpapatitulo at pagpaparehistro ng lupa sa konteksto ng pagpapaunlad ng pabahay.</v>
      </c>
      <c r="E2776" s="2" t="str">
        <f>IFERROR(__xludf.DUMMYFUNCTION("GOOGLETRANSLATE(C2776, ""en"", ""TL"")"),"Sa Pilipinas, ang pagpapatitulo at pagpaparehistro ng lupa ay may mahalagang papel sa pagpapaunlad ng pabahay. Narito ang isang breakdown ng mga pangunahing legal na prinsipyo:
**Sistema ng Pagpaparehistro ng Lupa:**
* **Torrens System:** Ginagamit ng Pil"&amp;"ipinas ang Torrens system ng pagpaparehistro ng lupa, batay sa isang sertipiko ng titulo bilang tiyak na patunay ng pagmamay-ari.
* **Mga Benepisyo:** Ang titulong Torrens ay nagbibigay ng seguridad sa panunungkulan para sa mga may-ari ng lupa at mga deve"&amp;"loper, na nagpapadali sa mga transaksyon tulad ng pag-secure ng mga pautang para sa mga proyekto sa pabahay.
**Proseso ng Pagtitulo ng Lupa para sa Pagpapaunlad ng Pabahay:**
* **Pagpapatunay ng Pagmamay-ari ng Lupa:** Dapat i-verify ng mga developer ang "&amp;"pagmamay-ari ng lupang inilaan para sa proyekto. * Maaaring kabilang dito ang pagkuha ng lupa na may mga kasalukuyang titulo ng Torrens o sumasailalim sa pagpaparehistro ng lupa kung hindi rehistrado ang lupa.
* **Pagpaparehistro ng Lupa (kung kinakailang"&amp;"an):** Para sa hindi rehistradong lupa, ang developer ay dapat maghain ng aplikasyon sa tamang hukuman para sa orihinal na pagpaparehistro ng titulo sa ilalim ng Land Registration Act. * Ang prosesong ito ay nagsasangkot ng pagtatatag ng pagmamay-ari, pag"&amp;"lalathala ng mga abiso, at paglilitis sa korte upang kumpirmahin ang pamagat.
* **Mga Batas sa Subdivision at Condominium:** Ang mga developer na naghahati sa lupa o nagtatayo ng mga condominium ay dapat sumunod sa mga partikular na batas:
* **Subdivision"&amp;" and Condominium Buyers Protective Act (RA 6552):** Pinoprotektahan ang mga mamimili sa pamamagitan ng pag-aatas sa mga developer na magrehistro ng mga proyekto at magbunyag ng mahahalagang impormasyon tulad ng pagmamay-ari ng lupa at mga detalye ng proye"&amp;"kto.
* ** Condominium Corporation Law (RA 6446):** Namamahala sa paglikha, pamamahala, at pagpapatakbo ng mga proyekto ng condominium.
**Pagpapatitulo para sa Indibidwal na Housing Units:**
* **Mga Subdivision:** Sa pagtatapos ng proyekto, hinahati ng dev"&amp;"eloper ang lupa at nag-isyu ng mga indibidwal na titulo sa mga bumibili ng bahay. * Maaaring direktang maibigay ang mga titulo sa mga bumibili ng bahay sa buong pagbabayad, o itago sa escrow hanggang sa matugunan ang ilang partikular na kundisyon (hal., g"&amp;"anap na pag-unlad ng subdivision).
* **Mga Condominium:** Ang mga bumibili ng bahay sa mga condominium ay hindi nagmamay-ari ng lupa ngunit nakakakuha ng pagmamay-ari ng isang unit sa loob ng development. * Nakatanggap sila ng Certificate of Condominium O"&amp;"wnership (CCO) na nagsisilbing patunay ng pagmamay-ari ng unit at bahagi ng pagmamay-ari sa mga karaniwang lugar ng condominium project.
**Mga Pagsasaalang-alang sa Mortgage:**
* **Ang pagpapatitulo ng lupa ay napakahalaga para sa pag-secure ng mga mortga"&amp;"ge** mula sa mga bangko o iba pang institusyon ng pagpapautang para sa mga bumibili ng bahay.
* **Ang mga bangko ay umaasa sa Torrens title** bilang collateral para sa housing loan.
**Mga Kasangkot na Ahensya ng Pamahalaan:**
* **Land Registration Authori"&amp;"ty (LRA):** Pinapanatili ang pambansang pagpaparehistro ng pagpapatitulo ng lupa at pinoproseso ang mga aplikasyon sa pagpaparehistro ng lupa.
* **Housing and Urban Development Coordinating Council (HUDCC):** Pinangangasiwaan ang mga patakaran sa pagpapau"&amp;"nlad ng pabahay at tinitiyak ang pagsunod sa Subdivision at Condominium Buyers Protective Act.
* **Securities and Exchange Commission (SEC):** Nagrerehistro ng mga developer at nangangasiwa sa pagbebenta ng mga condominium unit.
**Mga Hamon:**
* **Backlog"&amp;"s in Land Titling:** Ang Pilipinas ay nahaharap sa backlog sa land titling, na maaaring makapagpaantala ng mga proyekto sa pagpapaunlad ng pabahay.
* **Mga Impormal na Settlement:** Ang pagkakaroon ng mga impormal na settlement sa lupang nilalayon para sa"&amp;" pagpapaunlad ay maaaring makapagpalubha sa proseso ng pagpapatitulo ng lupa.
* **Mga Mapanlinlang na Pamagat ng Lupa:** Bagama't hindi karaniwan, ang mga pagkakataon ng mapanlinlang na mga titulo ng lupa ay maaaring magdulot ng mga panganib para sa mga d"&amp;"eveloper at bumibili ng bahay.
**Konklusyon:**
Ang isang maayos na sistema ng pagpapatitulo ng lupa ay mahalaga para sa pagpapaunlad ng pabahay sa Pilipinas. Ang pag-unawa sa mga legal na prinsipyo na namamahala sa mga batas sa pagpaparehistro ng lupa, su"&amp;"bdivision at condominium, at ang mga tungkulin ng mga kaugnay na ahensya ng gobyerno ay nagbibigay ng kapangyarihan sa mga developer at bumibili ng bahay na mag-navigate sa proseso nang ligtas at mahusay.")</f>
        <v>Sa Pilipinas, ang pagpapatitulo at pagpaparehistro ng lupa ay may mahalagang papel sa pagpapaunlad ng pabahay. Narito ang isang breakdown ng mga pangunahing legal na prinsipyo:
**Sistema ng Pagpaparehistro ng Lupa:**
* **Torrens System:** Ginagamit ng Pilipinas ang Torrens system ng pagpaparehistro ng lupa, batay sa isang sertipiko ng titulo bilang tiyak na patunay ng pagmamay-ari.
* **Mga Benepisyo:** Ang titulong Torrens ay nagbibigay ng seguridad sa panunungkulan para sa mga may-ari ng lupa at mga developer, na nagpapadali sa mga transaksyon tulad ng pag-secure ng mga pautang para sa mga proyekto sa pabahay.
**Proseso ng Pagtitulo ng Lupa para sa Pagpapaunlad ng Pabahay:**
* **Pagpapatunay ng Pagmamay-ari ng Lupa:** Dapat i-verify ng mga developer ang pagmamay-ari ng lupang inilaan para sa proyekto. * Maaaring kabilang dito ang pagkuha ng lupa na may mga kasalukuyang titulo ng Torrens o sumasailalim sa pagpaparehistro ng lupa kung hindi rehistrado ang lupa.
* **Pagpaparehistro ng Lupa (kung kinakailangan):** Para sa hindi rehistradong lupa, ang developer ay dapat maghain ng aplikasyon sa tamang hukuman para sa orihinal na pagpaparehistro ng titulo sa ilalim ng Land Registration Act. * Ang prosesong ito ay nagsasangkot ng pagtatatag ng pagmamay-ari, paglalathala ng mga abiso, at paglilitis sa korte upang kumpirmahin ang pamagat.
* **Mga Batas sa Subdivision at Condominium:** Ang mga developer na naghahati sa lupa o nagtatayo ng mga condominium ay dapat sumunod sa mga partikular na batas:
* **Subdivision and Condominium Buyers Protective Act (RA 6552):** Pinoprotektahan ang mga mamimili sa pamamagitan ng pag-aatas sa mga developer na magrehistro ng mga proyekto at magbunyag ng mahahalagang impormasyon tulad ng pagmamay-ari ng lupa at mga detalye ng proyekto.
* ** Condominium Corporation Law (RA 6446):** Namamahala sa paglikha, pamamahala, at pagpapatakbo ng mga proyekto ng condominium.
**Pagpapatitulo para sa Indibidwal na Housing Units:**
* **Mga Subdivision:** Sa pagtatapos ng proyekto, hinahati ng developer ang lupa at nag-isyu ng mga indibidwal na titulo sa mga bumibili ng bahay. * Maaaring direktang maibigay ang mga titulo sa mga bumibili ng bahay sa buong pagbabayad, o itago sa escrow hanggang sa matugunan ang ilang partikular na kundisyon (hal., ganap na pag-unlad ng subdivision).
* **Mga Condominium:** Ang mga bumibili ng bahay sa mga condominium ay hindi nagmamay-ari ng lupa ngunit nakakakuha ng pagmamay-ari ng isang unit sa loob ng development. * Nakatanggap sila ng Certificate of Condominium Ownership (CCO) na nagsisilbing patunay ng pagmamay-ari ng unit at bahagi ng pagmamay-ari sa mga karaniwang lugar ng condominium project.
**Mga Pagsasaalang-alang sa Mortgage:**
* **Ang pagpapatitulo ng lupa ay napakahalaga para sa pag-secure ng mga mortgage** mula sa mga bangko o iba pang institusyon ng pagpapautang para sa mga bumibili ng bahay.
* **Ang mga bangko ay umaasa sa Torrens title** bilang collateral para sa housing loan.
**Mga Kasangkot na Ahensya ng Pamahalaan:**
* **Land Registration Authority (LRA):** Pinapanatili ang pambansang pagpaparehistro ng pagpapatitulo ng lupa at pinoproseso ang mga aplikasyon sa pagpaparehistro ng lupa.
* **Housing and Urban Development Coordinating Council (HUDCC):** Pinangangasiwaan ang mga patakaran sa pagpapaunlad ng pabahay at tinitiyak ang pagsunod sa Subdivision at Condominium Buyers Protective Act.
* **Securities and Exchange Commission (SEC):** Nagrerehistro ng mga developer at nangangasiwa sa pagbebenta ng mga condominium unit.
**Mga Hamon:**
* **Backlogs in Land Titling:** Ang Pilipinas ay nahaharap sa backlog sa land titling, na maaaring makapagpaantala ng mga proyekto sa pagpapaunlad ng pabahay.
* **Mga Impormal na Settlement:** Ang pagkakaroon ng mga impormal na settlement sa lupang nilalayon para sa pagpapaunlad ay maaaring makapagpalubha sa proseso ng pagpapatitulo ng lupa.
* **Mga Mapanlinlang na Pamagat ng Lupa:** Bagama't hindi karaniwan, ang mga pagkakataon ng mapanlinlang na mga titulo ng lupa ay maaaring magdulot ng mga panganib para sa mga developer at bumibili ng bahay.
**Konklusyon:**
Ang isang maayos na sistema ng pagpapatitulo ng lupa ay mahalaga para sa pagpapaunlad ng pabahay sa Pilipinas. Ang pag-unawa sa mga legal na prinsipyo na namamahala sa mga batas sa pagpaparehistro ng lupa, subdivision at condominium, at ang mga tungkulin ng mga kaugnay na ahensya ng gobyerno ay nagbibigay ng kapangyarihan sa mga developer at bumibili ng bahay na mag-navigate sa proseso nang ligtas at mahusay.</v>
      </c>
      <c r="F2776" s="2">
        <f t="shared" si="1"/>
        <v>0</v>
      </c>
      <c r="G2776" s="2"/>
      <c r="H2776" s="2"/>
      <c r="I2776" s="2"/>
      <c r="J2776" s="2"/>
      <c r="K2776" s="2"/>
      <c r="L2776" s="2"/>
      <c r="M2776" s="2"/>
      <c r="N2776" s="2"/>
      <c r="O2776" s="2"/>
      <c r="P2776" s="2"/>
      <c r="Q2776" s="2"/>
      <c r="R2776" s="2"/>
      <c r="S2776" s="2"/>
      <c r="T2776" s="2"/>
      <c r="U2776" s="2"/>
      <c r="V2776" s="2"/>
      <c r="W2776" s="2"/>
      <c r="X2776" s="2"/>
      <c r="Y2776" s="2"/>
      <c r="Z2776" s="2"/>
      <c r="AA2776" s="2"/>
    </row>
    <row r="2777">
      <c r="A2777" s="3" t="s">
        <v>6475</v>
      </c>
      <c r="B2777" s="1" t="s">
        <v>6526</v>
      </c>
      <c r="C2777" s="3" t="s">
        <v>6527</v>
      </c>
      <c r="D2777" s="2" t="str">
        <f>IFERROR(__xludf.DUMMYFUNCTION("GOOGLETRANSLATE(B2777, ""en"", ""TL"")"),"Talakayin ang papel ng Department of Public Works and Highways sa pagbuo at pamamahala ng imprastraktura.")</f>
        <v>Talakayin ang papel ng Department of Public Works and Highways sa pagbuo at pamamahala ng imprastraktura.</v>
      </c>
      <c r="E2777" s="2" t="str">
        <f>IFERROR(__xludf.DUMMYFUNCTION("GOOGLETRANSLATE(C2777, ""en"", ""TL"")"),"Ang Department of Public Works and Highways (DPWH) ay gumaganap ng kritikal na papel sa pagpapaunlad at pamamahala ng imprastraktura ng Pilipinas. Narito ang isang breakdown ng mga pangunahing function nito:
**Pagpaplano at Disenyo:**
* **Pambansang Pagpa"&amp;"paunlad ng Imprastraktura:** Ang DPWH ay bumalangkas at nagpapatupad ng pambansang plano sa pagpapaunlad ng imprastraktura, na naaayon sa pangkalahatang mga layunin ng pag-unlad ng ekonomiya at panlipunan ng bansa.
* **Project Feasibility Studies:** Ang D"&amp;"PWH ay nagsasagawa ng mga feasibility study upang masuri ang teknikal at pang-ekonomiyang posibilidad ng mga potensyal na proyektong pang-imprastraktura bago magsimula ang konstruksiyon. * **Engineering Design:** Ang DPWH ay may mga engineering bureaus na"&amp;" responsable sa pagdidisenyo ng mga pambansang kalsada, tulay, flood control system, at iba pang mga proyekto sa pampublikong gawain. **Paggawa at Pagpapatupad:**
* **Pagbi-bid at Pagkontrata:** Nagsasagawa ang DPWH ng mga proseso ng pampublikong bidding "&amp;"upang pumili ng mga kuwalipikadong kontratista na magsagawa ng pagtatayo ng mga proyektong imprastraktura na pinondohan ng pamahalaan.
* **Pamamahala ng Proyekto:** Ang DPWH ang nangangasiwa sa pagtatayo ng mga pambansang kalsada, tulay, at iba pang mga p"&amp;"royektong pang-imprastraktura, tinitiyak ang pagsunod sa mga plano, detalye, at badyet.
* **Pagkontrol sa Kalidad:** Ang DPWH ay nagpapatupad ng mga hakbang sa pagkontrol sa kalidad upang matiyak ang tibay at kaligtasan ng mga imprastraktura na ginawa.
**"&amp;"Pagpapanatili at Rehabilitasyon:**
* **Preventative Maintenance:** Ang DPWH ay nagsasagawa ng mga regular na inspeksyon at mga aktibidad sa pagpapanatili upang mapalawig ang habang-buhay ng mga kasalukuyang imprastraktura at maiwasan ang magastos na pagku"&amp;"kumpuni.
* **Corrective Maintenance:** Tinutugunan ng DPWH ang pagkasira ng imprastraktura sa pamamagitan ng mga gawaing pagkukumpuni at rehabilitasyon.
* **Paglalaan ng Badyet:** Ang DPWH ay nagtataguyod ng paglalaan ng badyet para sa mga aktibidad sa pa"&amp;"gpapanatili ng imprastraktura sa taunang General Appropriations Act (GAA).
**Regulasyon at Pamantayan:**
* **Mga Teknikal na Pamantayan:** Ang DPWH ay nagtatatag ng mga teknikal na pamantayan para sa mga materyales sa pagtatayo, mga kasanayan sa disenyo, "&amp;"at pagkakagawa para sa mga proyektong pang-imprastraktura.
* **Construction Permitting:** Ang DPWH ay nag-isyu ng mga permit para sa pagtatayo ng ilang mga proyektong pang-imprastraktura, na tinitiyak ang pagsunod sa mga teknikal na pamantayan at mga regu"&amp;"lasyon sa kaligtasan.
**Pagtutulungan:**
* **Local Government Units (LGUs):** Ang DPWH ay nakikipagtulungan sa mga LGU sa mga proyektong pang-imprastraktura sa kanilang nasasakupan, na nagbibigay ng teknikal na tulong at pagpopondo para sa mga lokal na ka"&amp;"lsada at iba pang pampublikong gawain.
* **Pribadong Sektor:** Nakikipagtulungan ang DPWH sa pribadong sektor sa pamamagitan ng mga iskema ng Public-Private Partnership (PPP) upang magamit ang pamumuhunan ng pribadong sektor para sa pagpapaunlad ng impras"&amp;"traktura.
**Mga Hamon:**
* **Limitadong Badyet:** Ang badyet na inilaan para sa pagpapaunlad ng imprastraktura ay kadalasang hindi sapat upang matugunan ang lahat ng pangangailangan, na humahantong sa isang backlog ng mga proyekto.
* **Mga Hamon sa Heogra"&amp;"piya:** Ang archipelagic na heograpiya ng Pilipinas ay nagpapakita ng mga hamon sa pagtatayo at pagpapanatili ng imprastraktura sa mga isla.
* **Disaster Resilience:** Kailangang balansehin ng DPWH ang mga pangangailangan sa pag-unlad sa pagtiyak na makat"&amp;"iis ang imprastraktura sa mga natural na sakuna tulad ng mga bagyo at lindol.
**Konklusyon:**
Ang DPWH ay gumaganap ng isang kailangang-kailangan na papel sa pagpapaunlad at pamamahala ng imprastraktura ng Pilipinas. Sa pamamagitan ng pagpaplano, pagdidis"&amp;"enyo, pagtatayo, pagpapanatili, at pagsasaayos ng imprastraktura, ang DPWH ay nag-aambag sa paglago ng ekonomiya, pagpapabuti ng koneksyon, at pinahusay na pamantayan ng pamumuhay para sa mga Pilipino sa buong bansa.")</f>
        <v>Ang Department of Public Works and Highways (DPWH) ay gumaganap ng kritikal na papel sa pagpapaunlad at pamamahala ng imprastraktura ng Pilipinas. Narito ang isang breakdown ng mga pangunahing function nito:
**Pagpaplano at Disenyo:**
* **Pambansang Pagpapaunlad ng Imprastraktura:** Ang DPWH ay bumalangkas at nagpapatupad ng pambansang plano sa pagpapaunlad ng imprastraktura, na naaayon sa pangkalahatang mga layunin ng pag-unlad ng ekonomiya at panlipunan ng bansa.
* **Project Feasibility Studies:** Ang DPWH ay nagsasagawa ng mga feasibility study upang masuri ang teknikal at pang-ekonomiyang posibilidad ng mga potensyal na proyektong pang-imprastraktura bago magsimula ang konstruksiyon. * **Engineering Design:** Ang DPWH ay may mga engineering bureaus na responsable sa pagdidisenyo ng mga pambansang kalsada, tulay, flood control system, at iba pang mga proyekto sa pampublikong gawain. **Paggawa at Pagpapatupad:**
* **Pagbi-bid at Pagkontrata:** Nagsasagawa ang DPWH ng mga proseso ng pampublikong bidding upang pumili ng mga kuwalipikadong kontratista na magsagawa ng pagtatayo ng mga proyektong imprastraktura na pinondohan ng pamahalaan.
* **Pamamahala ng Proyekto:** Ang DPWH ang nangangasiwa sa pagtatayo ng mga pambansang kalsada, tulay, at iba pang mga proyektong pang-imprastraktura, tinitiyak ang pagsunod sa mga plano, detalye, at badyet.
* **Pagkontrol sa Kalidad:** Ang DPWH ay nagpapatupad ng mga hakbang sa pagkontrol sa kalidad upang matiyak ang tibay at kaligtasan ng mga imprastraktura na ginawa.
**Pagpapanatili at Rehabilitasyon:**
* **Preventative Maintenance:** Ang DPWH ay nagsasagawa ng mga regular na inspeksyon at mga aktibidad sa pagpapanatili upang mapalawig ang habang-buhay ng mga kasalukuyang imprastraktura at maiwasan ang magastos na pagkukumpuni.
* **Corrective Maintenance:** Tinutugunan ng DPWH ang pagkasira ng imprastraktura sa pamamagitan ng mga gawaing pagkukumpuni at rehabilitasyon.
* **Paglalaan ng Badyet:** Ang DPWH ay nagtataguyod ng paglalaan ng badyet para sa mga aktibidad sa pagpapanatili ng imprastraktura sa taunang General Appropriations Act (GAA).
**Regulasyon at Pamantayan:**
* **Mga Teknikal na Pamantayan:** Ang DPWH ay nagtatatag ng mga teknikal na pamantayan para sa mga materyales sa pagtatayo, mga kasanayan sa disenyo, at pagkakagawa para sa mga proyektong pang-imprastraktura.
* **Construction Permitting:** Ang DPWH ay nag-isyu ng mga permit para sa pagtatayo ng ilang mga proyektong pang-imprastraktura, na tinitiyak ang pagsunod sa mga teknikal na pamantayan at mga regulasyon sa kaligtasan.
**Pagtutulungan:**
* **Local Government Units (LGUs):** Ang DPWH ay nakikipagtulungan sa mga LGU sa mga proyektong pang-imprastraktura sa kanilang nasasakupan, na nagbibigay ng teknikal na tulong at pagpopondo para sa mga lokal na kalsada at iba pang pampublikong gawain.
* **Pribadong Sektor:** Nakikipagtulungan ang DPWH sa pribadong sektor sa pamamagitan ng mga iskema ng Public-Private Partnership (PPP) upang magamit ang pamumuhunan ng pribadong sektor para sa pagpapaunlad ng imprastraktura.
**Mga Hamon:**
* **Limitadong Badyet:** Ang badyet na inilaan para sa pagpapaunlad ng imprastraktura ay kadalasang hindi sapat upang matugunan ang lahat ng pangangailangan, na humahantong sa isang backlog ng mga proyekto.
* **Mga Hamon sa Heograpiya:** Ang archipelagic na heograpiya ng Pilipinas ay nagpapakita ng mga hamon sa pagtatayo at pagpapanatili ng imprastraktura sa mga isla.
* **Disaster Resilience:** Kailangang balansehin ng DPWH ang mga pangangailangan sa pag-unlad sa pagtiyak na makatiis ang imprastraktura sa mga natural na sakuna tulad ng mga bagyo at lindol.
**Konklusyon:**
Ang DPWH ay gumaganap ng isang kailangang-kailangan na papel sa pagpapaunlad at pamamahala ng imprastraktura ng Pilipinas. Sa pamamagitan ng pagpaplano, pagdidisenyo, pagtatayo, pagpapanatili, at pagsasaayos ng imprastraktura, ang DPWH ay nag-aambag sa paglago ng ekonomiya, pagpapabuti ng koneksyon, at pinahusay na pamantayan ng pamumuhay para sa mga Pilipino sa buong bansa.</v>
      </c>
      <c r="F2777" s="2">
        <f t="shared" si="1"/>
        <v>0</v>
      </c>
      <c r="G2777" s="2"/>
      <c r="H2777" s="2"/>
      <c r="I2777" s="2"/>
      <c r="J2777" s="2"/>
      <c r="K2777" s="2"/>
      <c r="L2777" s="2"/>
      <c r="M2777" s="2"/>
      <c r="N2777" s="2"/>
      <c r="O2777" s="2"/>
      <c r="P2777" s="2"/>
      <c r="Q2777" s="2"/>
      <c r="R2777" s="2"/>
      <c r="S2777" s="2"/>
      <c r="T2777" s="2"/>
      <c r="U2777" s="2"/>
      <c r="V2777" s="2"/>
      <c r="W2777" s="2"/>
      <c r="X2777" s="2"/>
      <c r="Y2777" s="2"/>
      <c r="Z2777" s="2"/>
      <c r="AA2777" s="2"/>
    </row>
    <row r="2778">
      <c r="A2778" s="3" t="s">
        <v>6475</v>
      </c>
      <c r="B2778" s="1" t="s">
        <v>6528</v>
      </c>
      <c r="C2778" s="3" t="s">
        <v>6529</v>
      </c>
      <c r="D2778" s="2" t="str">
        <f>IFERROR(__xludf.DUMMYFUNCTION("GOOGLETRANSLATE(B2778, ""en"", ""TL"")"),"Anong mga legal na proteksyon ang inilalagay para sa mga nangungupahan sa paupahang pabahay?")</f>
        <v>Anong mga legal na proteksyon ang inilalagay para sa mga nangungupahan sa paupahang pabahay?</v>
      </c>
      <c r="E2778" s="2" t="str">
        <f>IFERROR(__xludf.DUMMYFUNCTION("GOOGLETRANSLATE(C2778, ""en"", ""TL"")"),"Ang Pilipinas ay may ilang legal na proteksyon na inilagay para sa mga nangungupahan sa paupahang pabahay, na pangunahing itinatag sa **Rent Control Act of 2009 (Republic Act No. 9653)**. Narito ang isang breakdown ng mga pangunahing proteksyon:
**Segurid"&amp;"ad ng Panunungkulan:**
* **Karapatan sa Mapayapang Pag-aari:** Ang mga nangungupahan ay may karapatan na sakupin ang paupahang ari-arian nang mapayapa at walang abala mula sa may-ari sa panahon ng pag-upa.
* **Mga Kinakailangan sa Pagpapaalis:** Hindi maa"&amp;"aring paalisin ng mga may-ari ang mga nangungupahan nang walang wastong dahilan at angkop na proseso. Ang pagpapalayas ay maaari lamang mangyari sa pamamagitan ng utos ng hukuman batay sa mga batayan na nakabalangkas sa batas, tulad ng hindi pagbabayad ng"&amp;" upa, pinsala sa ari-arian, o intensyon ng may-ari na personal na gamitin ang ari-arian.
**Regulasyon sa Pagrenta:**
* **Mga Pagtaas ng Renta:** Ang mga pagtaas ng upa ay nililimitahan ng Rent Control Act. Ang partikular na pinahihintulutang pagtaas ay de"&amp;"pende sa lokasyon at uri ng pabahay:
* **Metro Manila at Highly Urbanized Cities:** Ang mga pagtaas ay karaniwang limitado sa mga pagsasaayos batay sa isang iniresetang index ng presyo ng pabahay. * **Iba pang mga Lugar:** Maaaring makipag-ayos ang mga pa"&amp;"gtaas ng upa sa pagitan ng may-ari at nangungupahan, ngunit maaaring hamunin sa korte ang mga labis na pagtaas. * **Maximum Advance Rent and Deposit:** Ang mga landlord ay maaari lamang humiling ng maximum na dalawang buwang advance na upa at isang buwang"&amp;" security deposit mula sa mga nangungupahan. **Mga Karapatan Tungkol sa Pag-aayos at Pagpapanatili:**
* **Responsibilidad ng Nagpapaupa para sa Mga Pagkukumpuni:** Ang may-ari ng lupa ay karaniwang responsable para sa mga pangunahing pagkukumpuni na kaila"&amp;"ngan upang mapanatili ang pagiging matitirahan ng ari-arian. * **Ang Pananagutan ng Nangungupahan para sa Maliliit na Pag-aayos:** Ang mga nangungupahan ay karaniwang may pananagutan para sa maliliit na pagkukumpuni na dulot ng kanilang kapabayaan o ordin"&amp;"aryong pagkasira.
**Mga Karagdagang Proteksyon:**
* **Karapatang Mag-withhold ng Renta:** Sa ilang mga kaso, ang mga nangungupahan ay maaaring mag-withhold ng upa kung ang landlord ay nabigo na gumawa ng mga kinakailangang pag-aayos na nakompromiso ang ti"&amp;"rahan ng ari-arian.
* **Pagbabawal sa Diskriminasyon:** Ang mga panginoong maylupa ay ipinagbabawal na magdiskrimina laban sa mga nangungupahan batay sa mga salik tulad ng lahi, relihiyon, o katayuan sa pag-aasawa.
**Mga Mekanismo ng Pagpapatupad:**
* **H"&amp;"ousing and Urban Development Regulatory Commission (HUDRC):** Ang HUDRC ay responsable para sa paghatol sa mga hindi pagkakaunawaan sa pag-upa sa pagitan ng mga panginoong maylupa at mga nangungupahan. * **Legal na Aksyon:** Ang mga nangungupahan ay maaar"&amp;"ing magsampa ng kaso sa korte kung ang kanilang mga karapatan ay nilabag.
**Mahalagang tandaan:**
* Pangunahing naaangkop ang mga proteksyong ito sa pabahay na inuupahan ng tirahan, hindi sa mga komersyal na espasyo.
* Maaaring mag-iba ang mga partikular "&amp;"na detalye depende sa uri ng kasunduan sa pagpapaupa sa pagitan ng may-ari at nangungupahan.
* Responsable ang mga nangungupahan sa pagtupad sa kanilang mga obligasyon sa ilalim ng kasunduan sa pag-upa, tulad ng pagbabayad ng upa sa oras at pag-aalaga sa "&amp;"ari-arian.
**Konklusyon:**
Ang Rent Control Act at iba pang mga legal na probisyon ay nagbibigay ng balangkas upang protektahan ang mga nangungupahan mula sa hindi patas na pagtrato at matiyak ang balanse sa pagitan ng mga karapatan ng mga panginoong mayl"&amp;"upa at mga nangungupahan sa merkado ng paupahang pabahay ng Pilipinas. Ang pag-alam sa mga proteksyong ito ay nagbibigay ng kapangyarihan sa mga nangungupahan na isulong ang kanilang mga karapatan at tamasahin ang isang ligtas at matitirahan na kapaligira"&amp;"n sa pamumuhay.")</f>
        <v>Ang Pilipinas ay may ilang legal na proteksyon na inilagay para sa mga nangungupahan sa paupahang pabahay, na pangunahing itinatag sa **Rent Control Act of 2009 (Republic Act No. 9653)**. Narito ang isang breakdown ng mga pangunahing proteksyon:
**Seguridad ng Panunungkulan:**
* **Karapatan sa Mapayapang Pag-aari:** Ang mga nangungupahan ay may karapatan na sakupin ang paupahang ari-arian nang mapayapa at walang abala mula sa may-ari sa panahon ng pag-upa.
* **Mga Kinakailangan sa Pagpapaalis:** Hindi maaaring paalisin ng mga may-ari ang mga nangungupahan nang walang wastong dahilan at angkop na proseso. Ang pagpapalayas ay maaari lamang mangyari sa pamamagitan ng utos ng hukuman batay sa mga batayan na nakabalangkas sa batas, tulad ng hindi pagbabayad ng upa, pinsala sa ari-arian, o intensyon ng may-ari na personal na gamitin ang ari-arian.
**Regulasyon sa Pagrenta:**
* **Mga Pagtaas ng Renta:** Ang mga pagtaas ng upa ay nililimitahan ng Rent Control Act. Ang partikular na pinahihintulutang pagtaas ay depende sa lokasyon at uri ng pabahay:
* **Metro Manila at Highly Urbanized Cities:** Ang mga pagtaas ay karaniwang limitado sa mga pagsasaayos batay sa isang iniresetang index ng presyo ng pabahay. * **Iba pang mga Lugar:** Maaaring makipag-ayos ang mga pagtaas ng upa sa pagitan ng may-ari at nangungupahan, ngunit maaaring hamunin sa korte ang mga labis na pagtaas. * **Maximum Advance Rent and Deposit:** Ang mga landlord ay maaari lamang humiling ng maximum na dalawang buwang advance na upa at isang buwang security deposit mula sa mga nangungupahan. **Mga Karapatan Tungkol sa Pag-aayos at Pagpapanatili:**
* **Responsibilidad ng Nagpapaupa para sa Mga Pagkukumpuni:** Ang may-ari ng lupa ay karaniwang responsable para sa mga pangunahing pagkukumpuni na kailangan upang mapanatili ang pagiging matitirahan ng ari-arian. * **Ang Pananagutan ng Nangungupahan para sa Maliliit na Pag-aayos:** Ang mga nangungupahan ay karaniwang may pananagutan para sa maliliit na pagkukumpuni na dulot ng kanilang kapabayaan o ordinaryong pagkasira.
**Mga Karagdagang Proteksyon:**
* **Karapatang Mag-withhold ng Renta:** Sa ilang mga kaso, ang mga nangungupahan ay maaaring mag-withhold ng upa kung ang landlord ay nabigo na gumawa ng mga kinakailangang pag-aayos na nakompromiso ang tirahan ng ari-arian.
* **Pagbabawal sa Diskriminasyon:** Ang mga panginoong maylupa ay ipinagbabawal na magdiskrimina laban sa mga nangungupahan batay sa mga salik tulad ng lahi, relihiyon, o katayuan sa pag-aasawa.
**Mga Mekanismo ng Pagpapatupad:**
* **Housing and Urban Development Regulatory Commission (HUDRC):** Ang HUDRC ay responsable para sa paghatol sa mga hindi pagkakaunawaan sa pag-upa sa pagitan ng mga panginoong maylupa at mga nangungupahan. * **Legal na Aksyon:** Ang mga nangungupahan ay maaaring magsampa ng kaso sa korte kung ang kanilang mga karapatan ay nilabag.
**Mahalagang tandaan:**
* Pangunahing naaangkop ang mga proteksyong ito sa pabahay na inuupahan ng tirahan, hindi sa mga komersyal na espasyo.
* Maaaring mag-iba ang mga partikular na detalye depende sa uri ng kasunduan sa pagpapaupa sa pagitan ng may-ari at nangungupahan.
* Responsable ang mga nangungupahan sa pagtupad sa kanilang mga obligasyon sa ilalim ng kasunduan sa pag-upa, tulad ng pagbabayad ng upa sa oras at pag-aalaga sa ari-arian.
**Konklusyon:**
Ang Rent Control Act at iba pang mga legal na probisyon ay nagbibigay ng balangkas upang protektahan ang mga nangungupahan mula sa hindi patas na pagtrato at matiyak ang balanse sa pagitan ng mga karapatan ng mga panginoong maylupa at mga nangungupahan sa merkado ng paupahang pabahay ng Pilipinas. Ang pag-alam sa mga proteksyong ito ay nagbibigay ng kapangyarihan sa mga nangungupahan na isulong ang kanilang mga karapatan at tamasahin ang isang ligtas at matitirahan na kapaligiran sa pamumuhay.</v>
      </c>
      <c r="F2778" s="2">
        <f t="shared" si="1"/>
        <v>0</v>
      </c>
      <c r="G2778" s="2"/>
      <c r="H2778" s="2"/>
      <c r="I2778" s="2"/>
      <c r="J2778" s="2"/>
      <c r="K2778" s="2"/>
      <c r="L2778" s="2"/>
      <c r="M2778" s="2"/>
      <c r="N2778" s="2"/>
      <c r="O2778" s="2"/>
      <c r="P2778" s="2"/>
      <c r="Q2778" s="2"/>
      <c r="R2778" s="2"/>
      <c r="S2778" s="2"/>
      <c r="T2778" s="2"/>
      <c r="U2778" s="2"/>
      <c r="V2778" s="2"/>
      <c r="W2778" s="2"/>
      <c r="X2778" s="2"/>
      <c r="Y2778" s="2"/>
      <c r="Z2778" s="2"/>
      <c r="AA2778" s="2"/>
    </row>
    <row r="2779">
      <c r="A2779" s="3" t="s">
        <v>6475</v>
      </c>
      <c r="B2779" s="1" t="s">
        <v>6530</v>
      </c>
      <c r="C2779" s="3" t="s">
        <v>6531</v>
      </c>
      <c r="D2779" s="2" t="str">
        <f>IFERROR(__xludf.DUMMYFUNCTION("GOOGLETRANSLATE(B2779, ""en"", ""TL"")"),"Ipaliwanag ang mga kinakailangan para sa pagkuha ng mga environmental clearance para sa mga proyektong pang-imprastraktura.")</f>
        <v>Ipaliwanag ang mga kinakailangan para sa pagkuha ng mga environmental clearance para sa mga proyektong pang-imprastraktura.</v>
      </c>
      <c r="E2779" s="2" t="str">
        <f>IFERROR(__xludf.DUMMYFUNCTION("GOOGLETRANSLATE(C2779, ""en"", ""TL"")"),"Ang pag-secure ng mga environmental clearance ay mahalaga para sa mga proyektong pang-imprastraktura sa Pilipinas. Ang proseso ay nagsasangkot ng iba't ibang mga dokumento, pag-apruba, at pagsunod sa mga regulasyon sa kapaligiran. Narito ang isang breakdo"&amp;"wn ng mga pangunahing kinakailangan:
**Environmental Impact Assessment (EIA) System:**
* Sinusunod ng Pilipinas ang isang mandatoryong Environmental Impact Assessment (EIA) System na pinamamahalaan ng Department of Environment and Natural Resources (DENR)"&amp;" sa pamamagitan ng Environmental Management Bureau (EMB).
* Ang sistema ng EIA ay naglalayong tukuyin, tasahin, at pagaanin ang mga potensyal na epekto sa kapaligiran ng mga iminungkahing proyektong pang-imprastraktura.
**Pag-uuri ng Proyekto at Lead Agen"&amp;"cy:**
* **Skala at Kahalagahan ng Proyekto:** Tinutukoy ng sukat at potensyal na epekto sa kapaligiran ng proyekto ang namumunong ahensya na responsable sa pagrepaso sa ulat ng EIA at pagbibigay ng mga clearance.
* **Major Infrastructure Projects:** Ang E"&amp;"MB ng DENR ay nagsisilbing nangungunang ahensya para sa mga malalaking proyekto na may potensyal na makabuluhang epekto sa kapaligiran.
* **Maliliit na Proyekto:** Maaaring italaga ng EMB ang pagsusuri sa Environmental Impact Statement (EIS) at pagpapalab"&amp;"as ng clearance sa mga akreditadong Environmental Impact Assessment Review Committee (EIARCs) na tumatakbo sa antas ng rehiyon. **Paghahanda ng Environmental Impact Statement (EIS):**
* Ang proponent ng proyekto (ahensiya ng gobyerno o pribadong developer"&amp;") ay dapat mag-utos ng isang akreditadong tagapaghanda ng EIA upang magsagawa ng pagtatasa ng epekto sa kapaligiran at maghanda ng isang komprehensibong ulat ng Environmental Impact Statement (EIS).
* Ang ulat ng EIS ay dapat magdetalye:
* Paglalarawan ng"&amp;" proyekto at lokasyon
* Mga potensyal na epekto sa kapaligiran (hangin, tubig, lupa, biodiversity)
* Mga hakbang sa pagpapagaan upang matugunan ang mga negatibong epekto
* Environmental Management Plan (EMP) na nagbabalangkas ng mga aksyon upang mabawasan"&amp;" at pamahalaan ang mga panganib sa kapaligiran sa panahon ng konstruksiyon at operasyon
**Pampublikong Paglahok:**
* Ang mga pampublikong konsultasyon ay ipinag-uutos na mangalap ng feedback mula sa mga apektadong komunidad at isama ang kanilang mga alala"&amp;"hanin sa proseso ng EIA.
**Proseso ng Clearance:**
* Kapag nakumpleto na, isusumite ang ulat ng EIS sa nangungunang ahensya kasama ng iba pang kinakailangang dokumento tulad ng pag-aaral sa pagiging posible ng proyekto at mga plano sa engineering.
* Ang n"&amp;"angungunang ahensya ay nagsasagawa ng teknikal na pagsusuri sa ulat ng EIS at maaaring humiling ng karagdagang impormasyon o mga pagbabago.
* Maaaring magsagawa ng mga pampublikong pagdinig upang matugunan ang mga alalahanin ng publiko at matiyak ang tran"&amp;"sparency.
* Sa kasiya-siyang pagsusuri, ang nangungunang ahensya ay magbibigay ng Environmental Compliance Certificate (ECC) o Certificate of Non-Coverage (CNC) depende sa epekto sa kapaligiran ng proyekto:
* **Environmental Compliance Certificate (ECC):*"&amp;"* Inisyu para sa mga proyektong may potensyal na epekto sa kapaligiran na maaaring mabawasan sa pamamagitan ng mga iminungkahing hakbang sa pagpapagaan na nakabalangkas sa ulat ng EIS at Environmental Management Plan (EMP).
* **Certificate of Non-Coverage"&amp;" (CNC):** Inisyu para sa mga proyektong itinuturing na may kaunting epekto sa kapaligiran.
**Mga Karagdagang Pahintulot at Pagsasaalang-alang:**
* Bukod sa ECC o CNC, maaaring kailanganin ang iba pang mga permit na nauugnay sa mga partikular na aspetong p"&amp;"angkapaligiran, tulad ng:
* **Mga permit sa paggugubat** para sa mga proyektong may kinalaman sa paggamit ng lupa sa kagubatan.
* **Mga water permit** para sa mga proyektong nakakaapekto sa mga yamang tubig.
* **Clearance mula sa National Commission on In"&amp;"digenous Peoples (NCIP)** para sa mga proyekto sa ancestral domains.
**Pagsubaybay sa Pagsunod:**
* Ang DENR ay nagsasagawa ng mga aktibidad sa pagsubaybay sa pagsunod upang matiyak ang pagsunod sa mga hakbang sa pagpapagaan na nakabalangkas sa inaprubaha"&amp;"ng EIS at EMP. **Konklusyon:**
Ang pagkuha ng mga environmental clearance ay isang mahalagang hakbang para matiyak na ang mga proyektong pang-imprastraktura sa Pilipinas ay may pananagutan sa kapaligiran. Hinihikayat ng EIA System ang napapanatiling pag-u"&amp;"nlad sa pamamagitan ng pagtukoy at pagtugon sa mga potensyal na epekto sa kapaligiran bago, habang, at pagkatapos ng konstruksiyon.")</f>
        <v>Ang pag-secure ng mga environmental clearance ay mahalaga para sa mga proyektong pang-imprastraktura sa Pilipinas. Ang proseso ay nagsasangkot ng iba't ibang mga dokumento, pag-apruba, at pagsunod sa mga regulasyon sa kapaligiran. Narito ang isang breakdown ng mga pangunahing kinakailangan:
**Environmental Impact Assessment (EIA) System:**
* Sinusunod ng Pilipinas ang isang mandatoryong Environmental Impact Assessment (EIA) System na pinamamahalaan ng Department of Environment and Natural Resources (DENR) sa pamamagitan ng Environmental Management Bureau (EMB).
* Ang sistema ng EIA ay naglalayong tukuyin, tasahin, at pagaanin ang mga potensyal na epekto sa kapaligiran ng mga iminungkahing proyektong pang-imprastraktura.
**Pag-uuri ng Proyekto at Lead Agency:**
* **Skala at Kahalagahan ng Proyekto:** Tinutukoy ng sukat at potensyal na epekto sa kapaligiran ng proyekto ang namumunong ahensya na responsable sa pagrepaso sa ulat ng EIA at pagbibigay ng mga clearance.
* **Major Infrastructure Projects:** Ang EMB ng DENR ay nagsisilbing nangungunang ahensya para sa mga malalaking proyekto na may potensyal na makabuluhang epekto sa kapaligiran.
* **Maliliit na Proyekto:** Maaaring italaga ng EMB ang pagsusuri sa Environmental Impact Statement (EIS) at pagpapalabas ng clearance sa mga akreditadong Environmental Impact Assessment Review Committee (EIARCs) na tumatakbo sa antas ng rehiyon. **Paghahanda ng Environmental Impact Statement (EIS):**
* Ang proponent ng proyekto (ahensiya ng gobyerno o pribadong developer) ay dapat mag-utos ng isang akreditadong tagapaghanda ng EIA upang magsagawa ng pagtatasa ng epekto sa kapaligiran at maghanda ng isang komprehensibong ulat ng Environmental Impact Statement (EIS).
* Ang ulat ng EIS ay dapat magdetalye:
* Paglalarawan ng proyekto at lokasyon
* Mga potensyal na epekto sa kapaligiran (hangin, tubig, lupa, biodiversity)
* Mga hakbang sa pagpapagaan upang matugunan ang mga negatibong epekto
* Environmental Management Plan (EMP) na nagbabalangkas ng mga aksyon upang mabawasan at pamahalaan ang mga panganib sa kapaligiran sa panahon ng konstruksiyon at operasyon
**Pampublikong Paglahok:**
* Ang mga pampublikong konsultasyon ay ipinag-uutos na mangalap ng feedback mula sa mga apektadong komunidad at isama ang kanilang mga alalahanin sa proseso ng EIA.
**Proseso ng Clearance:**
* Kapag nakumpleto na, isusumite ang ulat ng EIS sa nangungunang ahensya kasama ng iba pang kinakailangang dokumento tulad ng pag-aaral sa pagiging posible ng proyekto at mga plano sa engineering.
* Ang nangungunang ahensya ay nagsasagawa ng teknikal na pagsusuri sa ulat ng EIS at maaaring humiling ng karagdagang impormasyon o mga pagbabago.
* Maaaring magsagawa ng mga pampublikong pagdinig upang matugunan ang mga alalahanin ng publiko at matiyak ang transparency.
* Sa kasiya-siyang pagsusuri, ang nangungunang ahensya ay magbibigay ng Environmental Compliance Certificate (ECC) o Certificate of Non-Coverage (CNC) depende sa epekto sa kapaligiran ng proyekto:
* **Environmental Compliance Certificate (ECC):** Inisyu para sa mga proyektong may potensyal na epekto sa kapaligiran na maaaring mabawasan sa pamamagitan ng mga iminungkahing hakbang sa pagpapagaan na nakabalangkas sa ulat ng EIS at Environmental Management Plan (EMP).
* **Certificate of Non-Coverage (CNC):** Inisyu para sa mga proyektong itinuturing na may kaunting epekto sa kapaligiran.
**Mga Karagdagang Pahintulot at Pagsasaalang-alang:**
* Bukod sa ECC o CNC, maaaring kailanganin ang iba pang mga permit na nauugnay sa mga partikular na aspetong pangkapaligiran, tulad ng:
* **Mga permit sa paggugubat** para sa mga proyektong may kinalaman sa paggamit ng lupa sa kagubatan.
* **Mga water permit** para sa mga proyektong nakakaapekto sa mga yamang tubig.
* **Clearance mula sa National Commission on Indigenous Peoples (NCIP)** para sa mga proyekto sa ancestral domains.
**Pagsubaybay sa Pagsunod:**
* Ang DENR ay nagsasagawa ng mga aktibidad sa pagsubaybay sa pagsunod upang matiyak ang pagsunod sa mga hakbang sa pagpapagaan na nakabalangkas sa inaprubahang EIS at EMP. **Konklusyon:**
Ang pagkuha ng mga environmental clearance ay isang mahalagang hakbang para matiyak na ang mga proyektong pang-imprastraktura sa Pilipinas ay may pananagutan sa kapaligiran. Hinihikayat ng EIA System ang napapanatiling pag-unlad sa pamamagitan ng pagtukoy at pagtugon sa mga potensyal na epekto sa kapaligiran bago, habang, at pagkatapos ng konstruksiyon.</v>
      </c>
      <c r="F2779" s="2">
        <f t="shared" si="1"/>
        <v>0</v>
      </c>
      <c r="G2779" s="2"/>
      <c r="H2779" s="2"/>
      <c r="I2779" s="2"/>
      <c r="J2779" s="2"/>
      <c r="K2779" s="2"/>
      <c r="L2779" s="2"/>
      <c r="M2779" s="2"/>
      <c r="N2779" s="2"/>
      <c r="O2779" s="2"/>
      <c r="P2779" s="2"/>
      <c r="Q2779" s="2"/>
      <c r="R2779" s="2"/>
      <c r="S2779" s="2"/>
      <c r="T2779" s="2"/>
      <c r="U2779" s="2"/>
      <c r="V2779" s="2"/>
      <c r="W2779" s="2"/>
      <c r="X2779" s="2"/>
      <c r="Y2779" s="2"/>
      <c r="Z2779" s="2"/>
      <c r="AA2779" s="2"/>
    </row>
    <row r="2780">
      <c r="A2780" s="3" t="s">
        <v>6475</v>
      </c>
      <c r="B2780" s="1" t="s">
        <v>6532</v>
      </c>
      <c r="C2780" s="3" t="s">
        <v>6533</v>
      </c>
      <c r="D2780" s="2" t="str">
        <f>IFERROR(__xludf.DUMMYFUNCTION("GOOGLETRANSLATE(B2780, ""en"", ""TL"")"),"Talakayin ang mga legal na probisyon para sa resettlement ng mga komunidad na apektado ng pagbuo ng imprastraktura.")</f>
        <v>Talakayin ang mga legal na probisyon para sa resettlement ng mga komunidad na apektado ng pagbuo ng imprastraktura.</v>
      </c>
      <c r="E2780" s="2" t="str">
        <f>IFERROR(__xludf.DUMMYFUNCTION("GOOGLETRANSLATE(C2780, ""en"", ""TL"")"),"Ang Pilipinas ay may ilang mga legal na probisyon na nakalagay upang tugunan ang resettlement ng mga komunidad na inilipat ng mga proyekto sa pagpapaunlad ng imprastraktura. Narito ang isang breakdown ng mga pangunahing punto:
**Karapatan sa Disenteng Res"&amp;"ettlement:**
* Kinikilala ng Konstitusyon ng Pilipinas ang karapatan sa isang disenteng antas ng pamumuhay, na kinabibilangan ng ligtas at sapat na pabahay. Ang prinsipyong ito ay bumubuo ng pundasyon para sa mga legal na proteksyon tungkol sa resettlemen"&amp;"t.
**Urban Development and Housing Act (RA 7279):**
* Ang batas na ito ay nagtatatag ng isang balangkas para sa pagpapatira ng mga taong naninirahan sa mga mapanganib na lugar o mga lugar na apektado ng mga proyektong pang-imprastraktura ng pamahalaan. * "&amp;"Binibigyang-diin nito ang pagpaplano at konsultasyon sa mga apektadong komunidad upang matiyak ang isang marangal na proseso ng resettlement.
**Mga Pangunahing Kinakailangan:**
* **Sosyal na Paghahanda at Konsultasyon:** Ang mga tagapagtaguyod ng proyekto"&amp;" ay dapat magsagawa ng makabuluhang konsultasyon sa mga apektadong komunidad sa buong proseso ng resettlement. Kabilang dito ang pagpapaalam sa mga residente tungkol sa kanilang mga karapatan, pangangalap ng feedback sa kanilang mga pangangailangan at kag"&amp;"ustuhan, at pagsali sa kanila sa pagpaplano ng resettlement.
* **Imbentaryo at Pagpapahalaga ng mga Apektadong Ari-arian:** Ang isang patas at malinaw na imbentaryo at pagpapahalaga ng mga apektadong ari-arian (lupa at mga istruktura) ay dapat isagawa upa"&amp;"ng matukoy ang kabayaran para sa mga taong lumikas.
* **Kapalit na Pabahay:** Ang mga plano sa muling pagpapatira ay dapat magsama ng probisyon ng mga kapalit na yunit ng pabahay na nakakatugon sa pinakamababang disenteng pamantayan ng pamumuhay. * Maaari"&amp;"ng kasangkot dito ang paglipat sa mga proyektong pabahay na itinayo ng pamahalaan o pagbibigay ng tulong pinansyal upang payagan ang mga residente na bumili o magtayo ng kanilang sariling kapalit na pabahay.
* **Tulong sa Kabuhayan:** Ang proseso ng reset"&amp;"tlement ay dapat isaalang-alang ang kabuhayan ng mga apektadong komunidad at magbigay ng tulong sa pagpapanumbalik o pagbuo ng mga bagong pagkakataong kumikita sa resettlement site.
* **Imprastraktura at Serbisyong Panlipunan:** Ang mga resettlement site "&amp;"ay dapat na nilagyan ng mga pangunahing imprastraktura at serbisyong panlipunan tulad ng supply ng tubig, kalinisan, mga paaralan, at mga pasilidad sa pangangalagang pangkalusugan.
**Ibang Kaugnay na Batas:**
* **Right-of-Way Act (RA 10752):** Ang batas n"&amp;"a ito ay nag-uutos ng makatarungang kabayaran para sa lupang nakuha ng gobyerno para sa mga proyektong pang-imprastraktura. * **Local Government Code (RA 7160):** Nagbibigay ng kapangyarihan sa mga LGU (Local Government Units) na lumahok sa pagpaplano at "&amp;"pagpapatupad ng resettlement sa loob ng kanilang nasasakupan.
**Mga Hamon at Pagpapatupad:**
* **Limitadong Badyet:** Maaaring limitado ang pagpopondo ng pamahalaan para sa resettlement, na nakakaapekto sa pagkakaloob ng sapat na kabayaran at kapalit na p"&amp;"abahay.
* **Paglahok ng Komunidad:** Ang pagtiyak ng makabuluhang partisipasyon ng mga apektadong komunidad sa proseso ng pagpaplano ay maaaring maging mahirap.
* **Pagsubaybay at Pagwawasto sa Karaingan:** Ang epektibong pagsubaybay sa pagpapatupad ng re"&amp;"settlement at mga mekanismo para sa pagtugon sa mga hinaing ng mga lumikas na komunidad ay mahalaga.
**Pasulong:**
* **Public-Private Partnerships (PPPs):** Ang mga PPP ay maaaring potensyal na magbigay ng mga karagdagang mapagkukunan para sa mga programa"&amp;" sa resettlement.
* **Pagpapalakas ng Komunidad:** Ang pagbibigay ng kapangyarihan sa mga apektadong komunidad sa pamamagitan ng pagpapalaki ng kapasidad at tulong legal ay maaaring mapabuti ang kanilang pakikilahok sa proseso ng resettlement.
* **Social "&amp;"Impact Assessment:** Ang pagsasanib ng social impact assessment sa pagpaplano ng proyekto sa imprastraktura ay maaaring makatulong na matukoy ang mga potensyal na pangangailangan sa resettlement nang maaga.
**Konklusyon:**
Kinikilala ng ligal na balangkas"&amp;" ng Pilipinas ang pangangailangan para sa makatarungan at makataong resettlement ng mga komunidad na apektado ng pagpapaunlad ng imprastraktura. Ang pagtiyak sa pagsunod sa mga umiiral na batas at pagpapalakas ng mga mekanismo ng pagpapatupad ay mahalaga "&amp;"upang makamit ang marangal na mga resulta ng resettlement na nagpapaliit sa panlipunang pagkagambala at nagtataguyod ng pangmatagalang kagalingan ng mga nawalan ng tirahan.")</f>
        <v>Ang Pilipinas ay may ilang mga legal na probisyon na nakalagay upang tugunan ang resettlement ng mga komunidad na inilipat ng mga proyekto sa pagpapaunlad ng imprastraktura. Narito ang isang breakdown ng mga pangunahing punto:
**Karapatan sa Disenteng Resettlement:**
* Kinikilala ng Konstitusyon ng Pilipinas ang karapatan sa isang disenteng antas ng pamumuhay, na kinabibilangan ng ligtas at sapat na pabahay. Ang prinsipyong ito ay bumubuo ng pundasyon para sa mga legal na proteksyon tungkol sa resettlement.
**Urban Development and Housing Act (RA 7279):**
* Ang batas na ito ay nagtatatag ng isang balangkas para sa pagpapatira ng mga taong naninirahan sa mga mapanganib na lugar o mga lugar na apektado ng mga proyektong pang-imprastraktura ng pamahalaan. * Binibigyang-diin nito ang pagpaplano at konsultasyon sa mga apektadong komunidad upang matiyak ang isang marangal na proseso ng resettlement.
**Mga Pangunahing Kinakailangan:**
* **Sosyal na Paghahanda at Konsultasyon:** Ang mga tagapagtaguyod ng proyekto ay dapat magsagawa ng makabuluhang konsultasyon sa mga apektadong komunidad sa buong proseso ng resettlement. Kabilang dito ang pagpapaalam sa mga residente tungkol sa kanilang mga karapatan, pangangalap ng feedback sa kanilang mga pangangailangan at kagustuhan, at pagsali sa kanila sa pagpaplano ng resettlement.
* **Imbentaryo at Pagpapahalaga ng mga Apektadong Ari-arian:** Ang isang patas at malinaw na imbentaryo at pagpapahalaga ng mga apektadong ari-arian (lupa at mga istruktura) ay dapat isagawa upang matukoy ang kabayaran para sa mga taong lumikas.
* **Kapalit na Pabahay:** Ang mga plano sa muling pagpapatira ay dapat magsama ng probisyon ng mga kapalit na yunit ng pabahay na nakakatugon sa pinakamababang disenteng pamantayan ng pamumuhay. * Maaaring kasangkot dito ang paglipat sa mga proyektong pabahay na itinayo ng pamahalaan o pagbibigay ng tulong pinansyal upang payagan ang mga residente na bumili o magtayo ng kanilang sariling kapalit na pabahay.
* **Tulong sa Kabuhayan:** Ang proseso ng resettlement ay dapat isaalang-alang ang kabuhayan ng mga apektadong komunidad at magbigay ng tulong sa pagpapanumbalik o pagbuo ng mga bagong pagkakataong kumikita sa resettlement site.
* **Imprastraktura at Serbisyong Panlipunan:** Ang mga resettlement site ay dapat na nilagyan ng mga pangunahing imprastraktura at serbisyong panlipunan tulad ng supply ng tubig, kalinisan, mga paaralan, at mga pasilidad sa pangangalagang pangkalusugan.
**Ibang Kaugnay na Batas:**
* **Right-of-Way Act (RA 10752):** Ang batas na ito ay nag-uutos ng makatarungang kabayaran para sa lupang nakuha ng gobyerno para sa mga proyektong pang-imprastraktura. * **Local Government Code (RA 7160):** Nagbibigay ng kapangyarihan sa mga LGU (Local Government Units) na lumahok sa pagpaplano at pagpapatupad ng resettlement sa loob ng kanilang nasasakupan.
**Mga Hamon at Pagpapatupad:**
* **Limitadong Badyet:** Maaaring limitado ang pagpopondo ng pamahalaan para sa resettlement, na nakakaapekto sa pagkakaloob ng sapat na kabayaran at kapalit na pabahay.
* **Paglahok ng Komunidad:** Ang pagtiyak ng makabuluhang partisipasyon ng mga apektadong komunidad sa proseso ng pagpaplano ay maaaring maging mahirap.
* **Pagsubaybay at Pagwawasto sa Karaingan:** Ang epektibong pagsubaybay sa pagpapatupad ng resettlement at mga mekanismo para sa pagtugon sa mga hinaing ng mga lumikas na komunidad ay mahalaga.
**Pasulong:**
* **Public-Private Partnerships (PPPs):** Ang mga PPP ay maaaring potensyal na magbigay ng mga karagdagang mapagkukunan para sa mga programa sa resettlement.
* **Pagpapalakas ng Komunidad:** Ang pagbibigay ng kapangyarihan sa mga apektadong komunidad sa pamamagitan ng pagpapalaki ng kapasidad at tulong legal ay maaaring mapabuti ang kanilang pakikilahok sa proseso ng resettlement.
* **Social Impact Assessment:** Ang pagsasanib ng social impact assessment sa pagpaplano ng proyekto sa imprastraktura ay maaaring makatulong na matukoy ang mga potensyal na pangangailangan sa resettlement nang maaga.
**Konklusyon:**
Kinikilala ng ligal na balangkas ng Pilipinas ang pangangailangan para sa makatarungan at makataong resettlement ng mga komunidad na apektado ng pagpapaunlad ng imprastraktura. Ang pagtiyak sa pagsunod sa mga umiiral na batas at pagpapalakas ng mga mekanismo ng pagpapatupad ay mahalaga upang makamit ang marangal na mga resulta ng resettlement na nagpapaliit sa panlipunang pagkagambala at nagtataguyod ng pangmatagalang kagalingan ng mga nawalan ng tirahan.</v>
      </c>
      <c r="F2780" s="2">
        <f t="shared" si="1"/>
        <v>0</v>
      </c>
      <c r="G2780" s="2"/>
      <c r="H2780" s="2"/>
      <c r="I2780" s="2"/>
      <c r="J2780" s="2"/>
      <c r="K2780" s="2"/>
      <c r="L2780" s="2"/>
      <c r="M2780" s="2"/>
      <c r="N2780" s="2"/>
      <c r="O2780" s="2"/>
      <c r="P2780" s="2"/>
      <c r="Q2780" s="2"/>
      <c r="R2780" s="2"/>
      <c r="S2780" s="2"/>
      <c r="T2780" s="2"/>
      <c r="U2780" s="2"/>
      <c r="V2780" s="2"/>
      <c r="W2780" s="2"/>
      <c r="X2780" s="2"/>
      <c r="Y2780" s="2"/>
      <c r="Z2780" s="2"/>
      <c r="AA2780" s="2"/>
    </row>
    <row r="2781">
      <c r="A2781" s="3" t="s">
        <v>6475</v>
      </c>
      <c r="B2781" s="1" t="s">
        <v>6534</v>
      </c>
      <c r="C2781" s="3" t="s">
        <v>6535</v>
      </c>
      <c r="D2781" s="2" t="str">
        <f>IFERROR(__xludf.DUMMYFUNCTION("GOOGLETRANSLATE(B2781, ""en"", ""TL"")"),"Ilarawan ang legal na balangkas para sa pagtatayo at pagpapatakbo ng mga paliparan at daungan sa Pilipinas.")</f>
        <v>Ilarawan ang legal na balangkas para sa pagtatayo at pagpapatakbo ng mga paliparan at daungan sa Pilipinas.</v>
      </c>
      <c r="E2781" s="2" t="str">
        <f>IFERROR(__xludf.DUMMYFUNCTION("GOOGLETRANSLATE(C2781, ""en"", ""TL"")"),"Ang Pilipinas ay may maraming aspetong legal na balangkas na namamahala sa pagtatayo at pagpapatakbo ng mga paliparan at daungan. Narito ang isang breakdown ng mga pangunahing aspeto:
**Mga Regulatoryong Katawan:**
* **Department of Transportation (DOTr):"&amp;"** Ang DOTr ang may hawak ng pangkalahatang responsibilidad para sa sektor ng transportasyon, kabilang ang mga paliparan at daungan. * Bumubuo ito ng mga patakaran, nagtatakda ng mga pamantayan, at nangangasiwa sa pagganap ng mga kalakip na ahensya.
* **C"&amp;"ivil Aviation Authority of the Philippines (CAAP):** Ang CAAP ay responsable para sa regulasyon ng civil aviation sa Pilipinas. * Nag-iisyu ito ng mga permit para sa pagtatayo at pagpapatakbo ng mga paliparan, nagpapatunay sa mga airline at sasakyang pang"&amp;"himpapawid, at tinitiyak ang pagsunod sa mga regulasyon sa kaligtasan ng aviation.
* **Maritime Industry Authority (MARINA):** MARINA ang kinokontrol ang maritime industry sa Pilipinas. * Nag-iisyu ito ng mga permit para sa pagtatayo at pagpapatakbo ng mg"&amp;"a daungan, pagbibigay ng lisensya sa mga barko at marino, at nagpapatupad ng mga regulasyong pangkaligtasan sa dagat.
**Legal na Balangkas:**
* **Konstitusyon ng Pilipinas:** Ang Konstitusyon ay nagbibigay sa pamahalaan ng kapangyarihang magtatag, magpata"&amp;"kbo, at magpanatili ng mga pasilidad sa transportasyong panghimpapawid at dagat.
* **Air Transportation Office Act (RA 6776):** Itinatag ng batas na ito ang CAAP at tinutukoy ang mga kapangyarihan at tungkulin nito tungkol sa regulasyon sa paliparan.
* **"&amp;"Mga Espesyal na Batas para sa Mga Pangunahing Paliparan:** Ang ilang pangunahing paliparan sa Pilipinas ay maaaring may mga espesyal na batas na pinagtibay upang pamahalaan ang kanilang pag-unlad at pagpapatakbo (hal., Mactan-Cebu International Airport Au"&amp;"thority Act).
* **Philippine Ports Authority Act (RA 6173):** Lumilikha ang batas na ito ng Philippine Ports Authority (PPA), na responsable para sa pagtatayo, pagpapaunlad, pagpapatakbo, at pagpapanatili ng mga pambansang daungan.
* **Local Government Co"&amp;"de (RA 7160):** Binibigyan ng kapangyarihan ang mga LGU (Local Government Units) na bumuo, magpatakbo, at magpanatili ng maliliit na domestic port sa loob ng kanilang nasasakupan.
**Mga Pangunahing Kinakailangan para sa Konstruksyon at Operasyon:**
* **Pa"&amp;"gkuha ng Lupa:** Ang mga tagapagtaguyod ng proyekto ay dapat mag-secure ng lupa sa pamamagitan ng pagbili, negosasyon, o paggamit ng mga kilalang kapangyarihan sa domain na ipinagkaloob ng pamahalaan.
* **Environmental Impact Assessment (EIA):** Karamihan"&amp;" sa mga proyekto sa paliparan at daungan ay nangangailangan ng EIA upang masuri ang mga potensyal na epekto sa kapaligiran at magpatupad ng mga hakbang sa pagpapagaan.
* **Mga Permit at Lisensya:** Ang pagkuha ng mga kinakailangang permit mula sa DOTr, CA"&amp;"AP (para sa mga paliparan), o MARINA (para sa mga daungan) ay sapilitan para sa pagtatayo at pagpapatakbo.
* **Mga Regulasyon sa Kaligtasan:** Ang pagsunod sa mga mahigpit na regulasyon sa kaligtasan na itinakda ng CAAP para sa mga paliparan at MARINA par"&amp;"a sa mga daungan ay mahalaga.
* **Mga Panukala sa Seguridad:** Ang pagpapatupad ng mga plano sa seguridad upang matiyak ang kaligtasan ng pasahero at kargamento ay isang priyoridad.
**Public-Private Partnerships (PPPs):**
* Hinihikayat ng gobyerno ang mga"&amp;" PPP na gamitin ang pamumuhunan ng pribadong sektor para sa pagpapaunlad at pagpapatakbo ng mga bagong paliparan at modernisasyon ng mga kasalukuyang paliparan.
**Konklusyon:**
Ang ligal na balangkas ng Pilipinas ay naglalayong tiyakin ang ligtas, mahusay"&amp;", at may kamalayan sa kapaligiran na pag-unlad ng mga paliparan at daungan. Ang pakikipagtulungan sa pagitan ng iba't ibang ahensya ng gobyerno, pagsunod sa mga regulasyon, at pagsasaalang-alang sa partisipasyon ng pribadong sektor ay mahalaga para sa isa"&amp;"ng modernized na network ng transportasyon na sumusuporta sa paglago ng ekonomiya ng Pilipinas.")</f>
        <v>Ang Pilipinas ay may maraming aspetong legal na balangkas na namamahala sa pagtatayo at pagpapatakbo ng mga paliparan at daungan. Narito ang isang breakdown ng mga pangunahing aspeto:
**Mga Regulatoryong Katawan:**
* **Department of Transportation (DOTr):** Ang DOTr ang may hawak ng pangkalahatang responsibilidad para sa sektor ng transportasyon, kabilang ang mga paliparan at daungan. * Bumubuo ito ng mga patakaran, nagtatakda ng mga pamantayan, at nangangasiwa sa pagganap ng mga kalakip na ahensya.
* **Civil Aviation Authority of the Philippines (CAAP):** Ang CAAP ay responsable para sa regulasyon ng civil aviation sa Pilipinas. * Nag-iisyu ito ng mga permit para sa pagtatayo at pagpapatakbo ng mga paliparan, nagpapatunay sa mga airline at sasakyang panghimpapawid, at tinitiyak ang pagsunod sa mga regulasyon sa kaligtasan ng aviation.
* **Maritime Industry Authority (MARINA):** MARINA ang kinokontrol ang maritime industry sa Pilipinas. * Nag-iisyu ito ng mga permit para sa pagtatayo at pagpapatakbo ng mga daungan, pagbibigay ng lisensya sa mga barko at marino, at nagpapatupad ng mga regulasyong pangkaligtasan sa dagat.
**Legal na Balangkas:**
* **Konstitusyon ng Pilipinas:** Ang Konstitusyon ay nagbibigay sa pamahalaan ng kapangyarihang magtatag, magpatakbo, at magpanatili ng mga pasilidad sa transportasyong panghimpapawid at dagat.
* **Air Transportation Office Act (RA 6776):** Itinatag ng batas na ito ang CAAP at tinutukoy ang mga kapangyarihan at tungkulin nito tungkol sa regulasyon sa paliparan.
* **Mga Espesyal na Batas para sa Mga Pangunahing Paliparan:** Ang ilang pangunahing paliparan sa Pilipinas ay maaaring may mga espesyal na batas na pinagtibay upang pamahalaan ang kanilang pag-unlad at pagpapatakbo (hal., Mactan-Cebu International Airport Authority Act).
* **Philippine Ports Authority Act (RA 6173):** Lumilikha ang batas na ito ng Philippine Ports Authority (PPA), na responsable para sa pagtatayo, pagpapaunlad, pagpapatakbo, at pagpapanatili ng mga pambansang daungan.
* **Local Government Code (RA 7160):** Binibigyan ng kapangyarihan ang mga LGU (Local Government Units) na bumuo, magpatakbo, at magpanatili ng maliliit na domestic port sa loob ng kanilang nasasakupan.
**Mga Pangunahing Kinakailangan para sa Konstruksyon at Operasyon:**
* **Pagkuha ng Lupa:** Ang mga tagapagtaguyod ng proyekto ay dapat mag-secure ng lupa sa pamamagitan ng pagbili, negosasyon, o paggamit ng mga kilalang kapangyarihan sa domain na ipinagkaloob ng pamahalaan.
* **Environmental Impact Assessment (EIA):** Karamihan sa mga proyekto sa paliparan at daungan ay nangangailangan ng EIA upang masuri ang mga potensyal na epekto sa kapaligiran at magpatupad ng mga hakbang sa pagpapagaan.
* **Mga Permit at Lisensya:** Ang pagkuha ng mga kinakailangang permit mula sa DOTr, CAAP (para sa mga paliparan), o MARINA (para sa mga daungan) ay sapilitan para sa pagtatayo at pagpapatakbo.
* **Mga Regulasyon sa Kaligtasan:** Ang pagsunod sa mga mahigpit na regulasyon sa kaligtasan na itinakda ng CAAP para sa mga paliparan at MARINA para sa mga daungan ay mahalaga.
* **Mga Panukala sa Seguridad:** Ang pagpapatupad ng mga plano sa seguridad upang matiyak ang kaligtasan ng pasahero at kargamento ay isang priyoridad.
**Public-Private Partnerships (PPPs):**
* Hinihikayat ng gobyerno ang mga PPP na gamitin ang pamumuhunan ng pribadong sektor para sa pagpapaunlad at pagpapatakbo ng mga bagong paliparan at modernisasyon ng mga kasalukuyang paliparan.
**Konklusyon:**
Ang ligal na balangkas ng Pilipinas ay naglalayong tiyakin ang ligtas, mahusay, at may kamalayan sa kapaligiran na pag-unlad ng mga paliparan at daungan. Ang pakikipagtulungan sa pagitan ng iba't ibang ahensya ng gobyerno, pagsunod sa mga regulasyon, at pagsasaalang-alang sa partisipasyon ng pribadong sektor ay mahalaga para sa isang modernized na network ng transportasyon na sumusuporta sa paglago ng ekonomiya ng Pilipinas.</v>
      </c>
      <c r="F2781" s="2">
        <f t="shared" si="1"/>
        <v>0</v>
      </c>
      <c r="G2781" s="2"/>
      <c r="H2781" s="2"/>
      <c r="I2781" s="2"/>
      <c r="J2781" s="2"/>
      <c r="K2781" s="2"/>
      <c r="L2781" s="2"/>
      <c r="M2781" s="2"/>
      <c r="N2781" s="2"/>
      <c r="O2781" s="2"/>
      <c r="P2781" s="2"/>
      <c r="Q2781" s="2"/>
      <c r="R2781" s="2"/>
      <c r="S2781" s="2"/>
      <c r="T2781" s="2"/>
      <c r="U2781" s="2"/>
      <c r="V2781" s="2"/>
      <c r="W2781" s="2"/>
      <c r="X2781" s="2"/>
      <c r="Y2781" s="2"/>
      <c r="Z2781" s="2"/>
      <c r="AA2781" s="2"/>
    </row>
    <row r="2782">
      <c r="A2782" s="3" t="s">
        <v>6475</v>
      </c>
      <c r="B2782" s="1" t="s">
        <v>6536</v>
      </c>
      <c r="C2782" s="3" t="s">
        <v>6537</v>
      </c>
      <c r="D2782" s="2" t="str">
        <f>IFERROR(__xludf.DUMMYFUNCTION("GOOGLETRANSLATE(B2782, ""en"", ""TL"")"),"Isa kang developer na nagpaplanong magtayo ng residential condominium complex. Anong mga legal na hakbang ang kailangan mong gawin upang matiyak ang pagsunod sa mga regulasyon ng Pilipinas?")</f>
        <v>Isa kang developer na nagpaplanong magtayo ng residential condominium complex. Anong mga legal na hakbang ang kailangan mong gawin upang matiyak ang pagsunod sa mga regulasyon ng Pilipinas?</v>
      </c>
      <c r="E2782" s="2" t="str">
        <f>IFERROR(__xludf.DUMMYFUNCTION("GOOGLETRANSLATE(C2782, ""en"", ""TL"")"),"Upang matiyak ang pagsunod sa mga regulasyon ng Pilipinas kapag nagtatayo ng isang residential condominium complex, narito ang mga pangunahing legal na hakbang na kakailanganin mong gawin:
**Pre-Development:**
1. **Pagkuha ng Lupa at Pag-verify:**
* I-sec"&amp;"ure ang lupa para sa iyong proyekto. Maaaring kabilang dito ang pagbili ng lupa na may kasalukuyang Torrens Title o sumasailalim sa pagpaparehistro ng lupa kung ang lupa ay walang titulo. * I-verify ang pagmamay-ari ng lupa sa pamamagitan ng wastong dokum"&amp;"entasyon at paghahanap ng titulo.
2. **Pag-aaral at Pagpaplano ng Feasibility ng Proyekto:**
* Magsagawa ng feasibility study para masuri ang financial viability, technical feasibility, at epekto sa kapaligiran ng proyekto.
* Bumuo ng mga detalyadong plan"&amp;"o sa engineering, mga iskedyul ng konstruksiyon, at mga pagtatantya ng gastos para sa condominium complex.
3. **Pagpaparehistro sa Housing and Urban Development Coordinating Council (HUDCC):**
* Irehistro ang iyong proyekto sa HUDCC upang sumunod sa Subdi"&amp;"vision and Condominium Buyers Protective Act (RA 6552).
* Nangangailangan ito ng pagsusumite ng mga detalye ng proyekto, mga plano sa arkitektura, at mga dokumento sa pagsisiwalat para sa pagsusuri at pag-apruba.
4. **Environmental Impact Assessment (EIA)"&amp;" kung kinakailangan:**
* Depende sa laki at lokasyon ng proyekto, maaaring kailanganin ang isang EIA upang matukoy at mabawasan ang mga potensyal na epekto sa kapaligiran. I-secure ang mga kinakailangang clearance mula sa Department of Environment and Nat"&amp;"ural Resources (DENR).
**Yugto ng Pag-unlad:**
5. **Mga Building Permit at Lisensya:**
* Kumuha ng mga building permit at lisensya mula sa mga kaukulang awtoridad, karaniwang ang Local Government Unit (LGU) Engineering Office, batay sa mga inaprubahang pl"&amp;"ano at pagsunod sa National Building Code.
6. **Paggawa ayon sa mga Regulasyon:**
* Tiyakin na ang konstruksiyon ay sumusunod sa National Building Code, na nakatuon sa integridad ng istruktura, mga pamantayan sa kaligtasan, accessibility, at mga hakbang s"&amp;"a kaligtasan ng sunog.
7. **Pag-secure ng Mga Utility at Serbisyo:**
* Makipag-ugnayan sa mga tagapagbigay ng utility upang ikonekta ang condominium complex sa mga mahahalagang serbisyo tulad ng tubig, kuryente, at mga sistema ng dumi sa alkantarilya. **P"&amp;"re-Selling at Sales Phase:**
8. **Pagpaparehistro sa Securities and Exchange Commission (SEC):** * Irehistro ang iyong proyekto sa SEC bilang isang developer na nagbebenta ng mga condominium unit. Kabilang dito ang pagsusumite ng mga dokumento ng proyekto"&amp;" at mga materyales sa marketing para sa pag-apruba. 9. **Pagsunod sa Pagbebenta at Marketing:**
* Tiyakin na ang lahat ng materyal sa marketing at pagbebenta ay tumpak na kumakatawan sa proyekto at sumusunod sa Subdivision and Condominium Buyers Protectiv"&amp;"e Act. Ibunyag ang mahahalagang detalye tulad ng mga amenity, laki ng unit, tuntunin sa pagbabayad, at potensyal na panganib.
10. **Karaniwang Kontrata sa Pagbebenta ng Condominium:**
* Gumamit ng karaniwang kontrata sa pagbebenta ng condominium na inapru"&amp;"bahan ng HUDCC, na binabalangkas ang mga karapatan at obligasyon ng developer at ng bumibili.
11. **Escrow Account Management:** * Magtatag ng isang escrow account sa isang kagalang-galang na bangko upang hawakan ang mga pagbabayad ng mamimili hanggang sa"&amp;" matugunan ang mga partikular na milestone sa pagtatayo, na nagpoprotekta sa mga pamumuhunan ng mamimili. **Pagkatapos ng Konstruksyon:**
12. **Turnover ng mga Yunit at Pagbuo ng Homeowners Association:**
* Sa pagkumpleto, maghatid ng mga unit sa mga mami"&amp;"mili at padaliin ang pagbuo ng Homeowners Association (HOA) ayon sa mandato ng Condominium Corporation Law (RA 6446). * Ang HOA ay magiging responsable para sa pangangasiwa, pagpapanatili, at pag-aayos ng mga karaniwang lugar sa condominium complex.
13. *"&amp;"*Pag-isyu ng Condominium Certificates of Ownership (CCOs):**
* Kapag natanggap na ang buong bayad para sa isang unit, mag-isyu ng indibidwal na Condominium Certificates of Ownership (CCOs) sa mga mamimili, na nagpapatunay sa kanilang pagmamay-ari ng isang"&amp;" partikular na unit at bahagi ng pagmamay-ari sa mga karaniwang lugar.
**Patuloy na Pagsunod:**
* Panatilihin ang bukas na komunikasyon sa HOA at tugunan ang anumang mga alalahanin tungkol sa pagpapanatili o karaniwang mga lugar. * Sumunod sa mga regulasy"&amp;"on sa hinaharap at mga pagbabago sa mga nauugnay na batas.
**Mga Karagdagang Pagsasaalang-alang:**
* Kumonsulta sa isang abogado na dalubhasa sa real estate at batas sa pagtatayo sa buong proseso ng pag-unlad upang matiyak ang pagsunod sa mga legal na kin"&amp;"akailangan.
* I-secure ang kinakailangang saklaw ng insurance para sa mga panganib sa pagtatayo at mga potensyal na pananagutan.
Sa pamamagitan ng pagsunod sa mga legal na hakbang na ito, maaari mong bawasan ang mga panganib, protektahan ang mga interes n"&amp;"g mga susunod na residente, at matiyak ang maayos na proseso ng pag-unlad para sa iyong residential condominium complex sa Pilipinas.")</f>
        <v>Upang matiyak ang pagsunod sa mga regulasyon ng Pilipinas kapag nagtatayo ng isang residential condominium complex, narito ang mga pangunahing legal na hakbang na kakailanganin mong gawin:
**Pre-Development:**
1. **Pagkuha ng Lupa at Pag-verify:**
* I-secure ang lupa para sa iyong proyekto. Maaaring kabilang dito ang pagbili ng lupa na may kasalukuyang Torrens Title o sumasailalim sa pagpaparehistro ng lupa kung ang lupa ay walang titulo. * I-verify ang pagmamay-ari ng lupa sa pamamagitan ng wastong dokumentasyon at paghahanap ng titulo.
2. **Pag-aaral at Pagpaplano ng Feasibility ng Proyekto:**
* Magsagawa ng feasibility study para masuri ang financial viability, technical feasibility, at epekto sa kapaligiran ng proyekto.
* Bumuo ng mga detalyadong plano sa engineering, mga iskedyul ng konstruksiyon, at mga pagtatantya ng gastos para sa condominium complex.
3. **Pagpaparehistro sa Housing and Urban Development Coordinating Council (HUDCC):**
* Irehistro ang iyong proyekto sa HUDCC upang sumunod sa Subdivision and Condominium Buyers Protective Act (RA 6552).
* Nangangailangan ito ng pagsusumite ng mga detalye ng proyekto, mga plano sa arkitektura, at mga dokumento sa pagsisiwalat para sa pagsusuri at pag-apruba.
4. **Environmental Impact Assessment (EIA) kung kinakailangan:**
* Depende sa laki at lokasyon ng proyekto, maaaring kailanganin ang isang EIA upang matukoy at mabawasan ang mga potensyal na epekto sa kapaligiran. I-secure ang mga kinakailangang clearance mula sa Department of Environment and Natural Resources (DENR).
**Yugto ng Pag-unlad:**
5. **Mga Building Permit at Lisensya:**
* Kumuha ng mga building permit at lisensya mula sa mga kaukulang awtoridad, karaniwang ang Local Government Unit (LGU) Engineering Office, batay sa mga inaprubahang plano at pagsunod sa National Building Code.
6. **Paggawa ayon sa mga Regulasyon:**
* Tiyakin na ang konstruksiyon ay sumusunod sa National Building Code, na nakatuon sa integridad ng istruktura, mga pamantayan sa kaligtasan, accessibility, at mga hakbang sa kaligtasan ng sunog.
7. **Pag-secure ng Mga Utility at Serbisyo:**
* Makipag-ugnayan sa mga tagapagbigay ng utility upang ikonekta ang condominium complex sa mga mahahalagang serbisyo tulad ng tubig, kuryente, at mga sistema ng dumi sa alkantarilya. **Pre-Selling at Sales Phase:**
8. **Pagpaparehistro sa Securities and Exchange Commission (SEC):** * Irehistro ang iyong proyekto sa SEC bilang isang developer na nagbebenta ng mga condominium unit. Kabilang dito ang pagsusumite ng mga dokumento ng proyekto at mga materyales sa marketing para sa pag-apruba. 9. **Pagsunod sa Pagbebenta at Marketing:**
* Tiyakin na ang lahat ng materyal sa marketing at pagbebenta ay tumpak na kumakatawan sa proyekto at sumusunod sa Subdivision and Condominium Buyers Protective Act. Ibunyag ang mahahalagang detalye tulad ng mga amenity, laki ng unit, tuntunin sa pagbabayad, at potensyal na panganib.
10. **Karaniwang Kontrata sa Pagbebenta ng Condominium:**
* Gumamit ng karaniwang kontrata sa pagbebenta ng condominium na inaprubahan ng HUDCC, na binabalangkas ang mga karapatan at obligasyon ng developer at ng bumibili.
11. **Escrow Account Management:** * Magtatag ng isang escrow account sa isang kagalang-galang na bangko upang hawakan ang mga pagbabayad ng mamimili hanggang sa matugunan ang mga partikular na milestone sa pagtatayo, na nagpoprotekta sa mga pamumuhunan ng mamimili. **Pagkatapos ng Konstruksyon:**
12. **Turnover ng mga Yunit at Pagbuo ng Homeowners Association:**
* Sa pagkumpleto, maghatid ng mga unit sa mga mamimili at padaliin ang pagbuo ng Homeowners Association (HOA) ayon sa mandato ng Condominium Corporation Law (RA 6446). * Ang HOA ay magiging responsable para sa pangangasiwa, pagpapanatili, at pag-aayos ng mga karaniwang lugar sa condominium complex.
13. **Pag-isyu ng Condominium Certificates of Ownership (CCOs):**
* Kapag natanggap na ang buong bayad para sa isang unit, mag-isyu ng indibidwal na Condominium Certificates of Ownership (CCOs) sa mga mamimili, na nagpapatunay sa kanilang pagmamay-ari ng isang partikular na unit at bahagi ng pagmamay-ari sa mga karaniwang lugar.
**Patuloy na Pagsunod:**
* Panatilihin ang bukas na komunikasyon sa HOA at tugunan ang anumang mga alalahanin tungkol sa pagpapanatili o karaniwang mga lugar. * Sumunod sa mga regulasyon sa hinaharap at mga pagbabago sa mga nauugnay na batas.
**Mga Karagdagang Pagsasaalang-alang:**
* Kumonsulta sa isang abogado na dalubhasa sa real estate at batas sa pagtatayo sa buong proseso ng pag-unlad upang matiyak ang pagsunod sa mga legal na kinakailangan.
* I-secure ang kinakailangang saklaw ng insurance para sa mga panganib sa pagtatayo at mga potensyal na pananagutan.
Sa pamamagitan ng pagsunod sa mga legal na hakbang na ito, maaari mong bawasan ang mga panganib, protektahan ang mga interes ng mga susunod na residente, at matiyak ang maayos na proseso ng pag-unlad para sa iyong residential condominium complex sa Pilipinas.</v>
      </c>
      <c r="F2782" s="2">
        <f t="shared" si="1"/>
        <v>0</v>
      </c>
      <c r="G2782" s="2"/>
      <c r="H2782" s="2"/>
      <c r="I2782" s="2"/>
      <c r="J2782" s="2"/>
      <c r="K2782" s="2"/>
      <c r="L2782" s="2"/>
      <c r="M2782" s="2"/>
      <c r="N2782" s="2"/>
      <c r="O2782" s="2"/>
      <c r="P2782" s="2"/>
      <c r="Q2782" s="2"/>
      <c r="R2782" s="2"/>
      <c r="S2782" s="2"/>
      <c r="T2782" s="2"/>
      <c r="U2782" s="2"/>
      <c r="V2782" s="2"/>
      <c r="W2782" s="2"/>
      <c r="X2782" s="2"/>
      <c r="Y2782" s="2"/>
      <c r="Z2782" s="2"/>
      <c r="AA2782" s="2"/>
    </row>
    <row r="2783">
      <c r="A2783" s="3" t="s">
        <v>6475</v>
      </c>
      <c r="B2783" s="1" t="s">
        <v>6538</v>
      </c>
      <c r="C2783" s="3" t="s">
        <v>6539</v>
      </c>
      <c r="D2783" s="2" t="str">
        <f>IFERROR(__xludf.DUMMYFUNCTION("GOOGLETRANSLATE(B2783, ""en"", ""TL"")"),"Bilang isang opisyal ng lokal na pamahalaan, paano mo tutugunan ang mga reklamo ng mga residente tungkol sa hindi sapat na imprastraktura ng pampublikong transportasyon?")</f>
        <v>Bilang isang opisyal ng lokal na pamahalaan, paano mo tutugunan ang mga reklamo ng mga residente tungkol sa hindi sapat na imprastraktura ng pampublikong transportasyon?</v>
      </c>
      <c r="E2783" s="2" t="str">
        <f>IFERROR(__xludf.DUMMYFUNCTION("GOOGLETRANSLATE(C2783, ""en"", ""TL"")"),"Bilang isang opisyal ng lokal na pamahalaan na tumutugon sa mga reklamo ng residente tungkol sa hindi sapat na pampublikong transportasyon, narito ang isang multi-pronged na diskarte na maaari mong isaalang-alang:
**1. Magtipon ng Impormasyon at Suriin an"&amp;"g Sitwasyon:**
* **Ayusin ang mga Pampublikong Forum:** Magdaos ng mga bukas na forum o mga pulong sa bulwagan ng bayan upang marinig ang mga partikular na hinaing ng mga residente. * **Pagkolekta ng Data:** Magsagawa ng mga survey o kasosyo sa mga ahensy"&amp;"a ng transportasyon upang suriin ang data ng ridership, pagtukoy sa mga lugar na may limitadong access o mga puwang sa serbisyo.
* **Kilalanin ang Mga Root Cause:** Suriin ang impormasyong nakalap upang maunawaan ang ugat ng mga isyu. Kakulangan ba ng mga"&amp;" bus/tren? Mga hindi mahusay na ruta? Hindi maaasahang mga iskedyul? Hindi angkop na imprastraktura (hal., makikitid na kalsada)?
**2. Bumuo ng Multi-Faceted Strategy:**
* **Short-Term Solutions:** * **I-optimize ang Mga Umiiral na Ruta:** Makipagtulungan"&amp;" sa mga ahensya ng transportasyon upang isaayos ang mga ruta para mas mahusay na makapagsilbi sa mga lugar na may mataas na demand o isaalang-alang ang pag-rerouting ng mga hindi gaanong ginagamit na ruta. * **Pahabain ang Mga Oras ng Operasyon:** Kung ma"&amp;"gagawa, isulong ang pagpapalawig ng mga oras ng pagpapatakbo ng pampublikong sasakyan upang matugunan ang mga commuter ng madaling araw o hating-gabi.
* **Pagbutihin ang Pagpapalaganap ng Impormasyon:** Tiyaking malinaw at naa-access ang mga iskedyul ay i"&amp;"pinapakita sa mga hintuan ng bus at online. Isaalang-alang ang mga real-time na app sa pagsubaybay kung maaari.
* **Mga Mid-Term Solutions:**
* **Tuklasin ang Mga Alternatibong Mode:** Siyasatin ang pagiging posible ng pagpapakilala ng mga alternatibong o"&amp;"psyon sa transportasyon tulad ng mga programa sa pagbabahagi ng bisikleta, modernisasyon ng jeepney, o maayos na pinapanatili, itinalagang mga ruta ng tricycle.
* **Mga Pagpapahusay sa Imprastraktura:** Itaguyod ang mga pagpapabuti sa kasalukuyang imprast"&amp;"raktura tulad ng mga nakalaang bus lane, mas malalawak na kalsada, o mga walkway na may maliwanag na ilaw upang mapabuti ang kaligtasan at kahusayan.
* **Mga Pangmatagalang Solusyon:**
* **Public-Private Partnerships (PPPs):** Galugarin ang mga PPP upang "&amp;"makaakit ng pribadong pamumuhunan para sa pagbuo ng bagong imprastraktura ng transportasyon tulad ng mga light rail system o bus rapid transit (BRT) na mga linya. * **Sustainable Urban Planning:** Isama ang mga pangangailangan sa pampublikong transportasy"&amp;"on sa hinaharap na mga proyekto sa pagpaplano ng lunsod upang lumikha ng mga komunidad na madaling lakarin at bike-friendly na may madaling access sa mga pampublikong transit hub.
**3. Komunikasyon at Transparency:**
* **Mga Regular na Update:** Panatilih"&amp;"in ang kaalaman sa mga residente tungkol sa patuloy na pagsisikap na tugunan ang kanilang mga alalahanin sa pamamagitan ng mga pagpupulong sa komunidad, social media, o mga lokal na publikasyon.
* **Pamahalaan ang mga Inaasahan:** Maging transparent tungk"&amp;"ol sa mga timeline at limitasyon, na nagpapaliwanag sa mga kumplikado ng mga proyektong pang-imprastraktura at mga potensyal na hadlang sa pagpopondo.
* **Buksan ang Mga Channel ng Komunikasyon:** Magtatag ng mga malinaw na channel para sa mga residente u"&amp;"pang mag-ulat ng mga isyu, magtanong, at magbigay ng feedback sa buong proseso.
**4. Pakikipagtulungan at Adbokasiya:**
* **Makipagtulungan sa Mga Ahensya ng Transportasyon:** Makipagtulungan sa mga ahensya ng transportasyon sa rehiyon upang matiyak na an"&amp;"g mga pangangailangan ng iyong lungsod ay isinasaalang-alang sa kanilang pagpaplano at paglalaan ng mapagkukunan.
* **Pagtataguyod ng Pambansang Pamahalaan:** Lobby ang mga ahensya ng pambansang pamahalaan para sa pagpopondo upang suportahan ang mga proye"&amp;"kto sa pagpapaunlad ng imprastraktura ng lokal na pampublikong sasakyan.
* **Private Sector Partnerships:** Galugarin ang mga partnership sa mga pribadong kumpanya upang potensyal na mag-sponsor ng mga pagpapahusay sa imprastraktura o mag-subsidize ng mga"&amp;" pamasahe sa pampublikong sasakyan.
**5. Pagsubaybay at Pagsusuri:**
* **Subaybayan ang Pag-unlad:** Regular na subaybayan ang pagiging epektibo ng mga ipinatupad na solusyon, sinusuri ang data ng ridership at feedback ng residente upang sukatin ang pagpa"&amp;"pabuti. * **Be Adaptable:** Maging handa sa pagsasaayos ng mga diskarte batay sa data at feedback ng residente. Maaaring umunlad ang mga pangangailangan sa pampublikong transportasyon, at maaaring mangailangan ng patuloy na pagbabago ang mga solusyon.
Sa "&amp;"pamamagitan ng pagsasagawa ng komprehensibong diskarte na nagbibigay-priyoridad sa pangangalap ng impormasyon, pagbuo ng isang multi-faceted na diskarte, transparent na komunikasyon, pakikipagtulungan, at patuloy na pagsusuri, maaari mong ipakita ang pang"&amp;"ako sa pagpapabuti ng imprastraktura ng pampublikong transportasyon para sa iyong mga residente. Tandaan, ito ay maaaring isang pangmatagalang proseso, ngunit sa pamamagitan ng pare-parehong pagsisikap at pakikipag-ugnayan ng mga residente, maaari kang ma"&amp;"gtrabaho tungo sa isang mas naa-access at mahusay na sistema ng pampublikong transportasyon.")</f>
        <v>Bilang isang opisyal ng lokal na pamahalaan na tumutugon sa mga reklamo ng residente tungkol sa hindi sapat na pampublikong transportasyon, narito ang isang multi-pronged na diskarte na maaari mong isaalang-alang:
**1. Magtipon ng Impormasyon at Suriin ang Sitwasyon:**
* **Ayusin ang mga Pampublikong Forum:** Magdaos ng mga bukas na forum o mga pulong sa bulwagan ng bayan upang marinig ang mga partikular na hinaing ng mga residente. * **Pagkolekta ng Data:** Magsagawa ng mga survey o kasosyo sa mga ahensya ng transportasyon upang suriin ang data ng ridership, pagtukoy sa mga lugar na may limitadong access o mga puwang sa serbisyo.
* **Kilalanin ang Mga Root Cause:** Suriin ang impormasyong nakalap upang maunawaan ang ugat ng mga isyu. Kakulangan ba ng mga bus/tren? Mga hindi mahusay na ruta? Hindi maaasahang mga iskedyul? Hindi angkop na imprastraktura (hal., makikitid na kalsada)?
**2. Bumuo ng Multi-Faceted Strategy:**
* **Short-Term Solutions:** * **I-optimize ang Mga Umiiral na Ruta:** Makipagtulungan sa mga ahensya ng transportasyon upang isaayos ang mga ruta para mas mahusay na makapagsilbi sa mga lugar na may mataas na demand o isaalang-alang ang pag-rerouting ng mga hindi gaanong ginagamit na ruta. * **Pahabain ang Mga Oras ng Operasyon:** Kung magagawa, isulong ang pagpapalawig ng mga oras ng pagpapatakbo ng pampublikong sasakyan upang matugunan ang mga commuter ng madaling araw o hating-gabi.
* **Pagbutihin ang Pagpapalaganap ng Impormasyon:** Tiyaking malinaw at naa-access ang mga iskedyul ay ipinapakita sa mga hintuan ng bus at online. Isaalang-alang ang mga real-time na app sa pagsubaybay kung maaari.
* **Mga Mid-Term Solutions:**
* **Tuklasin ang Mga Alternatibong Mode:** Siyasatin ang pagiging posible ng pagpapakilala ng mga alternatibong opsyon sa transportasyon tulad ng mga programa sa pagbabahagi ng bisikleta, modernisasyon ng jeepney, o maayos na pinapanatili, itinalagang mga ruta ng tricycle.
* **Mga Pagpapahusay sa Imprastraktura:** Itaguyod ang mga pagpapabuti sa kasalukuyang imprastraktura tulad ng mga nakalaang bus lane, mas malalawak na kalsada, o mga walkway na may maliwanag na ilaw upang mapabuti ang kaligtasan at kahusayan.
* **Mga Pangmatagalang Solusyon:**
* **Public-Private Partnerships (PPPs):** Galugarin ang mga PPP upang makaakit ng pribadong pamumuhunan para sa pagbuo ng bagong imprastraktura ng transportasyon tulad ng mga light rail system o bus rapid transit (BRT) na mga linya. * **Sustainable Urban Planning:** Isama ang mga pangangailangan sa pampublikong transportasyon sa hinaharap na mga proyekto sa pagpaplano ng lunsod upang lumikha ng mga komunidad na madaling lakarin at bike-friendly na may madaling access sa mga pampublikong transit hub.
**3. Komunikasyon at Transparency:**
* **Mga Regular na Update:** Panatilihin ang kaalaman sa mga residente tungkol sa patuloy na pagsisikap na tugunan ang kanilang mga alalahanin sa pamamagitan ng mga pagpupulong sa komunidad, social media, o mga lokal na publikasyon.
* **Pamahalaan ang mga Inaasahan:** Maging transparent tungkol sa mga timeline at limitasyon, na nagpapaliwanag sa mga kumplikado ng mga proyektong pang-imprastraktura at mga potensyal na hadlang sa pagpopondo.
* **Buksan ang Mga Channel ng Komunikasyon:** Magtatag ng mga malinaw na channel para sa mga residente upang mag-ulat ng mga isyu, magtanong, at magbigay ng feedback sa buong proseso.
**4. Pakikipagtulungan at Adbokasiya:**
* **Makipagtulungan sa Mga Ahensya ng Transportasyon:** Makipagtulungan sa mga ahensya ng transportasyon sa rehiyon upang matiyak na ang mga pangangailangan ng iyong lungsod ay isinasaalang-alang sa kanilang pagpaplano at paglalaan ng mapagkukunan.
* **Pagtataguyod ng Pambansang Pamahalaan:** Lobby ang mga ahensya ng pambansang pamahalaan para sa pagpopondo upang suportahan ang mga proyekto sa pagpapaunlad ng imprastraktura ng lokal na pampublikong sasakyan.
* **Private Sector Partnerships:** Galugarin ang mga partnership sa mga pribadong kumpanya upang potensyal na mag-sponsor ng mga pagpapahusay sa imprastraktura o mag-subsidize ng mga pamasahe sa pampublikong sasakyan.
**5. Pagsubaybay at Pagsusuri:**
* **Subaybayan ang Pag-unlad:** Regular na subaybayan ang pagiging epektibo ng mga ipinatupad na solusyon, sinusuri ang data ng ridership at feedback ng residente upang sukatin ang pagpapabuti. * **Be Adaptable:** Maging handa sa pagsasaayos ng mga diskarte batay sa data at feedback ng residente. Maaaring umunlad ang mga pangangailangan sa pampublikong transportasyon, at maaaring mangailangan ng patuloy na pagbabago ang mga solusyon.
Sa pamamagitan ng pagsasagawa ng komprehensibong diskarte na nagbibigay-priyoridad sa pangangalap ng impormasyon, pagbuo ng isang multi-faceted na diskarte, transparent na komunikasyon, pakikipagtulungan, at patuloy na pagsusuri, maaari mong ipakita ang pangako sa pagpapabuti ng imprastraktura ng pampublikong transportasyon para sa iyong mga residente. Tandaan, ito ay maaaring isang pangmatagalang proseso, ngunit sa pamamagitan ng pare-parehong pagsisikap at pakikipag-ugnayan ng mga residente, maaari kang magtrabaho tungo sa isang mas naa-access at mahusay na sistema ng pampublikong transportasyon.</v>
      </c>
      <c r="F2783" s="2">
        <f t="shared" si="1"/>
        <v>0</v>
      </c>
      <c r="G2783" s="2"/>
      <c r="H2783" s="2"/>
      <c r="I2783" s="2"/>
      <c r="J2783" s="2"/>
      <c r="K2783" s="2"/>
      <c r="L2783" s="2"/>
      <c r="M2783" s="2"/>
      <c r="N2783" s="2"/>
      <c r="O2783" s="2"/>
      <c r="P2783" s="2"/>
      <c r="Q2783" s="2"/>
      <c r="R2783" s="2"/>
      <c r="S2783" s="2"/>
      <c r="T2783" s="2"/>
      <c r="U2783" s="2"/>
      <c r="V2783" s="2"/>
      <c r="W2783" s="2"/>
      <c r="X2783" s="2"/>
      <c r="Y2783" s="2"/>
      <c r="Z2783" s="2"/>
      <c r="AA2783" s="2"/>
    </row>
    <row r="2784">
      <c r="A2784" s="3" t="s">
        <v>6475</v>
      </c>
      <c r="B2784" s="1" t="s">
        <v>6540</v>
      </c>
      <c r="C2784" s="3" t="s">
        <v>6541</v>
      </c>
      <c r="D2784" s="2" t="str">
        <f>IFERROR(__xludf.DUMMYFUNCTION("GOOGLETRANSLATE(B2784, ""en"", ""TL"")"),"Ikaw ay isang abogado na kumakatawan sa isang komunidad na nahaharap sa pagpapalayas dahil sa isang proyekto ng imprastraktura ng pamahalaan. Anong mga legal na argumento ang iyong ihaharap upang protektahan ang kanilang mga karapatan?")</f>
        <v>Ikaw ay isang abogado na kumakatawan sa isang komunidad na nahaharap sa pagpapalayas dahil sa isang proyekto ng imprastraktura ng pamahalaan. Anong mga legal na argumento ang iyong ihaharap upang protektahan ang kanilang mga karapatan?</v>
      </c>
      <c r="E2784" s="2" t="str">
        <f>IFERROR(__xludf.DUMMYFUNCTION("GOOGLETRANSLATE(C2784, ""en"", ""TL"")"),"Bilang isang abogado na kumakatawan sa isang komunidad na nahaharap sa pagpapalayas dahil sa isang proyekto sa imprastraktura ng pamahalaan, narito ang ilang mga legal na argumento na maaari mong iharap upang protektahan ang kanilang mga karapatan:
**Kara"&amp;"patan sa Disenteng Resettlement:**
* Kinikilala ng Konstitusyon ng Pilipinas ang karapatan sa isang disenteng antas ng pamumuhay, na kinabibilangan ng ligtas at sapat na pabahay. Ito ang bumubuo ng pundasyon para sa pagtatalo laban sa sapilitang pagpapaal"&amp;"is nang walang wastong resettlement.
* **Urban Development and Housing Act (RA 7279):** Ang batas na ito ay nag-uutos ng pagpaplano at konsultasyon sa mga apektadong komunidad upang matiyak ang isang marangal na proseso ng resettlement, kabilang ang:
* **"&amp;"Patas na Kabayaran:** Ang mga residente ay may karapatan sa patas na kabayaran para sa kanilang mga tahanan at ari-arian na nawala dahil sa proyekto. * **Kapalit na Pabahay:** Ang pamahalaan ay dapat magbigay ng mga kapalit na yunit ng pabahay na nakakatu"&amp;"gon sa pinakamababang disenteng pamantayan ng pamumuhay. * **Tulong sa Kabuhayan:** Dapat isaalang-alang ng plano ng resettlement ang kabuhayan ng mga apektadong komunidad at magbigay ng tulong sa pagpapanumbalik o pagbuo ng mga bagong pagkakataong kumiki"&amp;"ta sa resettlement site.
* **Imprastraktura at Serbisyong Panlipunan:** Ang mga resettlement site ay dapat na nilagyan ng pangunahing imprastraktura tulad ng supply ng tubig, sanitasyon, mga paaralan, at mga pasilidad sa pangangalagang pangkalusugan.
**Pr"&amp;"ocedural Fairness at Consultation:**
* **Kakulangan ng Makabuluhang Konsultasyon:** Maaari mong ipangatuwiran na ang gobyerno ay nabigo na magsagawa ng makabuluhang konsultasyon sa komunidad bago magpasya sa pagpapaalis. * Ang konsultasyon na ito ay dapat"&amp;" na may kasamang pagpapaalam sa mga residente ng kanilang mga karapatan, pangangalap ng feedback sa kanilang mga pangangailangan at kagustuhan, at pagsasama sa kanila sa proseso ng pagpaplano ng resettlement.
* **Right-of-Way Act (RA 10752):** Ang batas n"&amp;"a ito ay nag-uutos ng makatarungang kabayaran para sa lupang nakuha ng gobyerno para sa mga proyektong pang-imprastraktura. Maaari kang magtaltalan na ang inaalok na kabayaran ay hindi sapat o hindi nagpapakita ng tunay na halaga ng mga ari-arian.
**Mga A"&amp;"lalahanin sa Environmental Impact Assessment (EIA):**
* **Mga Alternatibong Lokasyon:** Kung ang proseso ng EIA ay natukoy ang mga alternatibong lokasyon na may hindi gaanong epekto sa lipunan, maaari kang magtaltalan na ang napiling lokasyon ay hindi pan"&amp;"tay na nagpapabigat sa komunidad.
**Iba pang Legal na Argumento:**
* **Pag-alis ng Ari-arian Nang Walang Nararapat na Proseso:** Ang pagpapalayas nang walang wastong kabayaran at pagpapatira ay maaaring ituring bilang isang paglabag sa mga karapatan sa an"&amp;"gkop na proseso.
* **International Law:** Maaari mong tuklasin ang pagtukoy sa internasyonal na batas sa karapatang pantao tungkol sa sapat na pabahay at proteksyon mula sa sapilitang pagpapaalis.
**Kurso ng Pagkilos:**
* **Negosasyon:** Ang pagtatangkang"&amp;" makipagnegosasyon sa gobyerno upang mapabuti ang mga tuntunin sa resettlement ay kadalasang unang hakbang.
* **Legal na Aksyon:** Kung mabigo ang mga negosasyon, maaaring kailanganin ang paghahain ng petisyon sa korte para hamunin ang pagpapaalis o humil"&amp;"ing ng patas na kabayaran at mga benepisyo sa pagpapatira.
**Mga Karagdagang Pagsasaalang-alang:**
* **Magtipon ng Ebidensya:** Idokumento ang katayuan ng paninirahan ng komunidad, pagmamay-ari ng ari-arian, at anumang mga pangako na ginawa ng mga opisyal"&amp;" ng pamahalaan tungkol sa resettlement.
* **Pagpapakilos ng Komunidad:** Bigyan ng kapangyarihan ang komunidad na isulong ang kanilang mga karapatan sa pamamagitan ng mapayapang mga protesta, petisyon, at pakikipag-ugnayan sa media.
Sa pamamagitan ng pagl"&amp;"alahad ng mga argumentong ito at paggawa ng madiskarteng aksyon, maaari mong dagdagan ang mga pagkakataon ng isang patas na resulta para sa komunidad na nahaharap sa pagpapalayas. Tandaan, ang mga partikular na legal na argumento ay magdedepende sa mga na"&amp;"tatanging kalagayan ng kaso.")</f>
        <v>Bilang isang abogado na kumakatawan sa isang komunidad na nahaharap sa pagpapalayas dahil sa isang proyekto sa imprastraktura ng pamahalaan, narito ang ilang mga legal na argumento na maaari mong iharap upang protektahan ang kanilang mga karapatan:
**Karapatan sa Disenteng Resettlement:**
* Kinikilala ng Konstitusyon ng Pilipinas ang karapatan sa isang disenteng antas ng pamumuhay, na kinabibilangan ng ligtas at sapat na pabahay. Ito ang bumubuo ng pundasyon para sa pagtatalo laban sa sapilitang pagpapaalis nang walang wastong resettlement.
* **Urban Development and Housing Act (RA 7279):** Ang batas na ito ay nag-uutos ng pagpaplano at konsultasyon sa mga apektadong komunidad upang matiyak ang isang marangal na proseso ng resettlement, kabilang ang:
* **Patas na Kabayaran:** Ang mga residente ay may karapatan sa patas na kabayaran para sa kanilang mga tahanan at ari-arian na nawala dahil sa proyekto. * **Kapalit na Pabahay:** Ang pamahalaan ay dapat magbigay ng mga kapalit na yunit ng pabahay na nakakatugon sa pinakamababang disenteng pamantayan ng pamumuhay. * **Tulong sa Kabuhayan:** Dapat isaalang-alang ng plano ng resettlement ang kabuhayan ng mga apektadong komunidad at magbigay ng tulong sa pagpapanumbalik o pagbuo ng mga bagong pagkakataong kumikita sa resettlement site.
* **Imprastraktura at Serbisyong Panlipunan:** Ang mga resettlement site ay dapat na nilagyan ng pangunahing imprastraktura tulad ng supply ng tubig, sanitasyon, mga paaralan, at mga pasilidad sa pangangalagang pangkalusugan.
**Procedural Fairness at Consultation:**
* **Kakulangan ng Makabuluhang Konsultasyon:** Maaari mong ipangatuwiran na ang gobyerno ay nabigo na magsagawa ng makabuluhang konsultasyon sa komunidad bago magpasya sa pagpapaalis. * Ang konsultasyon na ito ay dapat na may kasamang pagpapaalam sa mga residente ng kanilang mga karapatan, pangangalap ng feedback sa kanilang mga pangangailangan at kagustuhan, at pagsasama sa kanila sa proseso ng pagpaplano ng resettlement.
* **Right-of-Way Act (RA 10752):** Ang batas na ito ay nag-uutos ng makatarungang kabayaran para sa lupang nakuha ng gobyerno para sa mga proyektong pang-imprastraktura. Maaari kang magtaltalan na ang inaalok na kabayaran ay hindi sapat o hindi nagpapakita ng tunay na halaga ng mga ari-arian.
**Mga Alalahanin sa Environmental Impact Assessment (EIA):**
* **Mga Alternatibong Lokasyon:** Kung ang proseso ng EIA ay natukoy ang mga alternatibong lokasyon na may hindi gaanong epekto sa lipunan, maaari kang magtaltalan na ang napiling lokasyon ay hindi pantay na nagpapabigat sa komunidad.
**Iba pang Legal na Argumento:**
* **Pag-alis ng Ari-arian Nang Walang Nararapat na Proseso:** Ang pagpapalayas nang walang wastong kabayaran at pagpapatira ay maaaring ituring bilang isang paglabag sa mga karapatan sa angkop na proseso.
* **International Law:** Maaari mong tuklasin ang pagtukoy sa internasyonal na batas sa karapatang pantao tungkol sa sapat na pabahay at proteksyon mula sa sapilitang pagpapaalis.
**Kurso ng Pagkilos:**
* **Negosasyon:** Ang pagtatangkang makipagnegosasyon sa gobyerno upang mapabuti ang mga tuntunin sa resettlement ay kadalasang unang hakbang.
* **Legal na Aksyon:** Kung mabigo ang mga negosasyon, maaaring kailanganin ang paghahain ng petisyon sa korte para hamunin ang pagpapaalis o humiling ng patas na kabayaran at mga benepisyo sa pagpapatira.
**Mga Karagdagang Pagsasaalang-alang:**
* **Magtipon ng Ebidensya:** Idokumento ang katayuan ng paninirahan ng komunidad, pagmamay-ari ng ari-arian, at anumang mga pangako na ginawa ng mga opisyal ng pamahalaan tungkol sa resettlement.
* **Pagpapakilos ng Komunidad:** Bigyan ng kapangyarihan ang komunidad na isulong ang kanilang mga karapatan sa pamamagitan ng mapayapang mga protesta, petisyon, at pakikipag-ugnayan sa media.
Sa pamamagitan ng paglalahad ng mga argumentong ito at paggawa ng madiskarteng aksyon, maaari mong dagdagan ang mga pagkakataon ng isang patas na resulta para sa komunidad na nahaharap sa pagpapalayas. Tandaan, ang mga partikular na legal na argumento ay magdedepende sa mga natatanging kalagayan ng kaso.</v>
      </c>
      <c r="F2784" s="2">
        <f t="shared" si="1"/>
        <v>0</v>
      </c>
      <c r="G2784" s="2"/>
      <c r="H2784" s="2"/>
      <c r="I2784" s="2"/>
      <c r="J2784" s="2"/>
      <c r="K2784" s="2"/>
      <c r="L2784" s="2"/>
      <c r="M2784" s="2"/>
      <c r="N2784" s="2"/>
      <c r="O2784" s="2"/>
      <c r="P2784" s="2"/>
      <c r="Q2784" s="2"/>
      <c r="R2784" s="2"/>
      <c r="S2784" s="2"/>
      <c r="T2784" s="2"/>
      <c r="U2784" s="2"/>
      <c r="V2784" s="2"/>
      <c r="W2784" s="2"/>
      <c r="X2784" s="2"/>
      <c r="Y2784" s="2"/>
      <c r="Z2784" s="2"/>
      <c r="AA2784" s="2"/>
    </row>
    <row r="2785">
      <c r="A2785" s="3" t="s">
        <v>6475</v>
      </c>
      <c r="B2785" s="1" t="s">
        <v>6542</v>
      </c>
      <c r="C2785" s="3" t="s">
        <v>6543</v>
      </c>
      <c r="D2785" s="2" t="str">
        <f>IFERROR(__xludf.DUMMYFUNCTION("GOOGLETRANSLATE(B2785, ""en"", ""TL"")"),"Bilang isang hukom, paano mo babalansehin ang pangangailangan para sa pag-unlad ng lungsod sa proteksyon ng mga cultural heritage site sa isang landmark na kaso?")</f>
        <v>Bilang isang hukom, paano mo babalansehin ang pangangailangan para sa pag-unlad ng lungsod sa proteksyon ng mga cultural heritage site sa isang landmark na kaso?</v>
      </c>
      <c r="E2785" s="2" t="str">
        <f>IFERROR(__xludf.DUMMYFUNCTION("GOOGLETRANSLATE(C2785, ""en"", ""TL"")"),"Bilang isang hukom na namumuno sa isang mahalagang kaso na nagbabalanse sa pag-unlad ng lunsod at proteksyon sa pamana ng kultura, magsusumikap ako para sa isang solusyon na isinasaalang-alang ang magkabilang panig habang inuuna ang pampublikong interes. "&amp;"Narito ang isang balangkas para sa pagharap sa kumplikadong isyu na ito:
**1. Pagsusuri sa Kahalagahan ng Magkabilang Panig:**
* **Urban Development Project:** Suriin ang pang-ekonomiya at panlipunang mga benepisyo ng iminungkahing proyekto sa pagpapaunla"&amp;"d. Isaalang-alang ang mga salik tulad ng paglikha ng trabaho, pagpapabuti ng imprastraktura, at potensyal para sa muling pagpapasigla sa nakapaligid na lugar.
* **Cultural Heritage Significance:** Tayahin ang historikal, kultural, at arkitektura na kahala"&amp;"gahan ng heritage site. Maaaring kabilang dito ang pagsasaalang-alang sa edad nito, nakaraang paggamit, simbolikong halaga sa komunidad, at mga potensyal na benepisyong pang-edukasyon.
**2. Paggalugad ng mga Alternatibo:**
* **Redesign ng Proyekto:** Isaa"&amp;"lang-alang kung ang proyekto sa pagpapaunlad ay maaaring muling idisenyo upang mabawasan ang epekto sa heritage site. I-explore ang mga opsyon tulad ng:
* Pagbabago sa footprint ng proyekto upang maiwasan ang direktang epekto.
* Pagsasama ng heritage site"&amp;" sa development plan sa isang magalang na paraan.
* Paggamit ng underground construction techniques kung saan posible.
* **Paglilipat ng Proyekto:** Kung hindi mabubuhay ang muling pagdidisenyo, suriin ang posibilidad ng paglipat ng proyekto sa pagpapaunl"&amp;"ad sa isang lugar na hindi gaanong mahalaga sa kultura, isinasaalang-alang ang pagiging posible sa ekonomiya at mga potensyal na alternatibong lugar.
**3. Mga Pagbabawas:**
* **Pagre-record at Pagpapanatili ng Data:** Kung hindi maiiwasan ang ilang epekto"&amp;" sa heritage site, i-utos ang masusing pag-record ng data ng site sa pamamagitan ng mga archaeological survey, architectural documentation, at photographic record. * **Pag-iingat ng Artifact at Materyal:** Tiyakin ang wastong pagsagip at pag-iingat ng anu"&amp;"mang mga artifact o materyales na natuklasan sa panahon ng pagtatayo. Ang mga ito ay maaaring itago sa mga museo o gamitin para sa mga layuning pang-edukasyon.
* **Public Education and Interpretation:** Bumuo ng mga programang pang-edukasyon at signage up"&amp;"ang ipaliwanag ang makasaysayang kahalagahan ng heritage site at ang mga hakbang sa pagpapagaan na ginawa sa panahon ng pag-unlad. **4. Pampublikong Interes at Transparency:**
* **Input ng Komunidad:** Isaalang-alang ang mga testimonya mula sa mga history"&amp;"ador, arkitekto, at miyembro ng komunidad tungkol sa halaga ng heritage site at ang potensyal na epekto ng proyekto sa pagpapaunlad.
* **Transparency sa Paggawa ng Desisyon:** Malinaw na ipahayag ang pangangatwiran sa likod ng pinal na desisyon, na nagpap"&amp;"akita ng patas na pagsasaalang-alang sa lahat ng interes na kasangkot.
**5. Legal na Balangkas:**
* **Mga Batas sa Pambansang Pamanang Kultural:** Itaguyod ang mga pambansang batas at regulasyon na nagpoprotekta sa mga lugar ng pamana ng kultura. Ang Pili"&amp;"pinas ay may mga batas tulad ng Republic Act 10066 (National Cultural Heritage Act) na gumagabay sa mga pagsisikap sa konserbasyon.
* **Balancing Test:** Mag-apply ng balancing test upang timbangin ang mga benepisyo ng pag-unlad laban sa hindi maibabalik "&amp;"na pinsala sa cultural heritage site. **Pamumuno at Pangmatagalang Pagsasaalang-alang:**
Ang pangwakas na pasya ay dapat magpakita ng isang pangako sa napapanatiling pag-unlad na nagbabalanse sa paglago ng ekonomiya sa pangangalaga ng pamana ng kultura. M"&amp;"aaaring kabilang dito ang mga takda para sa pagsubaybay sa proseso ng konstruksiyon upang matiyak na ang mga hakbang sa pagpapagaan ay sinusunod at mga potensyal na parusa para sa hindi pagsunod. Ang kaso ay dapat magsilbi bilang isang precedent para sa m"&amp;"ga desisyon sa hinaharap, na naghihikayat sa mga developer na isama ang mga pagsasaalang-alang sa pamana ng kultura sa pagpaplano ng proyekto mula sa simula. Sa pamamagitan ng pagbibigay-priyoridad sa pagkamalikhain at mga makabagong solusyon, ang pag-unl"&amp;"ad ng lunsod ay maaaring magkasabay sa pangangalaga ng hindi mapapalitang pamana ng kultura para sa mga susunod na henerasyon.")</f>
        <v>Bilang isang hukom na namumuno sa isang mahalagang kaso na nagbabalanse sa pag-unlad ng lunsod at proteksyon sa pamana ng kultura, magsusumikap ako para sa isang solusyon na isinasaalang-alang ang magkabilang panig habang inuuna ang pampublikong interes. Narito ang isang balangkas para sa pagharap sa kumplikadong isyu na ito:
**1. Pagsusuri sa Kahalagahan ng Magkabilang Panig:**
* **Urban Development Project:** Suriin ang pang-ekonomiya at panlipunang mga benepisyo ng iminungkahing proyekto sa pagpapaunlad. Isaalang-alang ang mga salik tulad ng paglikha ng trabaho, pagpapabuti ng imprastraktura, at potensyal para sa muling pagpapasigla sa nakapaligid na lugar.
* **Cultural Heritage Significance:** Tayahin ang historikal, kultural, at arkitektura na kahalagahan ng heritage site. Maaaring kabilang dito ang pagsasaalang-alang sa edad nito, nakaraang paggamit, simbolikong halaga sa komunidad, at mga potensyal na benepisyong pang-edukasyon.
**2. Paggalugad ng mga Alternatibo:**
* **Redesign ng Proyekto:** Isaalang-alang kung ang proyekto sa pagpapaunlad ay maaaring muling idisenyo upang mabawasan ang epekto sa heritage site. I-explore ang mga opsyon tulad ng:
* Pagbabago sa footprint ng proyekto upang maiwasan ang direktang epekto.
* Pagsasama ng heritage site sa development plan sa isang magalang na paraan.
* Paggamit ng underground construction techniques kung saan posible.
* **Paglilipat ng Proyekto:** Kung hindi mabubuhay ang muling pagdidisenyo, suriin ang posibilidad ng paglipat ng proyekto sa pagpapaunlad sa isang lugar na hindi gaanong mahalaga sa kultura, isinasaalang-alang ang pagiging posible sa ekonomiya at mga potensyal na alternatibong lugar.
**3. Mga Pagbabawas:**
* **Pagre-record at Pagpapanatili ng Data:** Kung hindi maiiwasan ang ilang epekto sa heritage site, i-utos ang masusing pag-record ng data ng site sa pamamagitan ng mga archaeological survey, architectural documentation, at photographic record. * **Pag-iingat ng Artifact at Materyal:** Tiyakin ang wastong pagsagip at pag-iingat ng anumang mga artifact o materyales na natuklasan sa panahon ng pagtatayo. Ang mga ito ay maaaring itago sa mga museo o gamitin para sa mga layuning pang-edukasyon.
* **Public Education and Interpretation:** Bumuo ng mga programang pang-edukasyon at signage upang ipaliwanag ang makasaysayang kahalagahan ng heritage site at ang mga hakbang sa pagpapagaan na ginawa sa panahon ng pag-unlad. **4. Pampublikong Interes at Transparency:**
* **Input ng Komunidad:** Isaalang-alang ang mga testimonya mula sa mga historyador, arkitekto, at miyembro ng komunidad tungkol sa halaga ng heritage site at ang potensyal na epekto ng proyekto sa pagpapaunlad.
* **Transparency sa Paggawa ng Desisyon:** Malinaw na ipahayag ang pangangatwiran sa likod ng pinal na desisyon, na nagpapakita ng patas na pagsasaalang-alang sa lahat ng interes na kasangkot.
**5. Legal na Balangkas:**
* **Mga Batas sa Pambansang Pamanang Kultural:** Itaguyod ang mga pambansang batas at regulasyon na nagpoprotekta sa mga lugar ng pamana ng kultura. Ang Pilipinas ay may mga batas tulad ng Republic Act 10066 (National Cultural Heritage Act) na gumagabay sa mga pagsisikap sa konserbasyon.
* **Balancing Test:** Mag-apply ng balancing test upang timbangin ang mga benepisyo ng pag-unlad laban sa hindi maibabalik na pinsala sa cultural heritage site. **Pamumuno at Pangmatagalang Pagsasaalang-alang:**
Ang pangwakas na pasya ay dapat magpakita ng isang pangako sa napapanatiling pag-unlad na nagbabalanse sa paglago ng ekonomiya sa pangangalaga ng pamana ng kultura. Maaaring kabilang dito ang mga takda para sa pagsubaybay sa proseso ng konstruksiyon upang matiyak na ang mga hakbang sa pagpapagaan ay sinusunod at mga potensyal na parusa para sa hindi pagsunod. Ang kaso ay dapat magsilbi bilang isang precedent para sa mga desisyon sa hinaharap, na naghihikayat sa mga developer na isama ang mga pagsasaalang-alang sa pamana ng kultura sa pagpaplano ng proyekto mula sa simula. Sa pamamagitan ng pagbibigay-priyoridad sa pagkamalikhain at mga makabagong solusyon, ang pag-unlad ng lunsod ay maaaring magkasabay sa pangangalaga ng hindi mapapalitang pamana ng kultura para sa mga susunod na henerasyon.</v>
      </c>
      <c r="F2785" s="2">
        <f t="shared" si="1"/>
        <v>0</v>
      </c>
      <c r="G2785" s="2"/>
      <c r="H2785" s="2"/>
      <c r="I2785" s="2"/>
      <c r="J2785" s="2"/>
      <c r="K2785" s="2"/>
      <c r="L2785" s="2"/>
      <c r="M2785" s="2"/>
      <c r="N2785" s="2"/>
      <c r="O2785" s="2"/>
      <c r="P2785" s="2"/>
      <c r="Q2785" s="2"/>
      <c r="R2785" s="2"/>
      <c r="S2785" s="2"/>
      <c r="T2785" s="2"/>
      <c r="U2785" s="2"/>
      <c r="V2785" s="2"/>
      <c r="W2785" s="2"/>
      <c r="X2785" s="2"/>
      <c r="Y2785" s="2"/>
      <c r="Z2785" s="2"/>
      <c r="AA2785" s="2"/>
    </row>
    <row r="2786">
      <c r="A2786" s="3" t="s">
        <v>6475</v>
      </c>
      <c r="B2786" s="1" t="s">
        <v>6544</v>
      </c>
      <c r="C2786" s="3" t="s">
        <v>6545</v>
      </c>
      <c r="D2786" s="2" t="str">
        <f>IFERROR(__xludf.DUMMYFUNCTION("GOOGLETRANSLATE(B2786, ""en"", ""TL"")"),"Isa kang opisyal ng gobyerno na inatasang mangasiwa sa isang public-private partnership para sa pagtatayo ng isang pangunahing highway. Paano mo matitiyak ang transparency at pananagutan sa proyekto?")</f>
        <v>Isa kang opisyal ng gobyerno na inatasang mangasiwa sa isang public-private partnership para sa pagtatayo ng isang pangunahing highway. Paano mo matitiyak ang transparency at pananagutan sa proyekto?</v>
      </c>
      <c r="E2786" s="2" t="str">
        <f>IFERROR(__xludf.DUMMYFUNCTION("GOOGLETRANSLATE(C2786, ""en"", ""TL"")"),"Narito kung paano ako, bilang isang opisyal ng gobyerno na nangangasiwa sa isang public-private partnership (PPP) para sa isang pangunahing proyekto sa pagtatayo ng highway, ay titiyakin ang transparency at pananagutan:
**Yugto ng Pre-Bidding:**
* **I-cle"&amp;"ar ang Depinisyon at Saklaw ng Proyekto:** Malinaw na tukuyin ang mga layunin ng proyekto, teknikal na detalye, at inaasahang maihahatid. Nagtatatag ito ng benchmark para sa pagsusuri ng mga panukala at pagsubaybay sa pag-unlad.
* **Bukas at Mapagkumpiten"&amp;"syang Proseso ng Pag-bid:** I-advertise ang proyekto ng PPP nang hayagan, na nag-iimbita ng malawak na hanay ng mga kuwalipikadong kumpanya ng pribadong sektor na lumahok sa proseso ng pag-bid. Pinapalakas nito ang kumpetisyon at posibleng mabawasan ang m"&amp;"ga gastos.
* **Pagbubunyag ng Mga Dokumento sa Pag-bid:** Gawing available sa publiko ang mga dokumento sa pag-bid, na nagpapahintulot sa pagsisiyasat ng publiko, media, at mga organisasyon ng civil society. Pinipigilan nito ang paboritismo at nagtataguyo"&amp;"d ng pagiging patas.
**Yugto ng Bidding at Award:**
* **Mga Pamantayan sa Pagsusuri:** Magtatag ng malinaw at layunin na pamantayan sa pagsusuri para sa mga panukala sa pag-bid. Ang mga pamantayang ito ay dapat na higit pa sa presyo at isaalang-alang ang "&amp;"mga salik tulad ng teknikal na kadalubhasaan, karanasan sa mga katulad na proyekto, at lakas ng pananalapi.
* **Transparency ng Proseso ng Pagpili:** Ipahayag sa publiko ang mga naka-shortlist na bidder at ang katwiran sa likod ng huling pagpili ng nanalo"&amp;"ng consortium. Pinahuhusay nito ang tiwala ng publiko sa proseso ng paggawa ng desisyon.
**Yugto ng Pagpapatupad ng Proyekto:**
* **Project Monitoring Committee:** Magtatag ng Project Monitoring Committee na binubuo ng mga kinatawan mula sa mga ahensya ng"&amp;" gobyerno, civil society organizations, at mga independiyenteng eksperto. Dapat pangasiwaan ng komiteng ito ang pagpapatupad ng proyekto, subaybayan ang pagsunod sa mga tuntuning kontraktwal, at tukuyin ang mga potensyal na isyu.
* **Regular na Pag-uulat:"&amp;"** Atasan ang kasosyo ng pribadong sektor na magsumite ng mga regular na ulat sa pag-unlad na nagdedetalye ng mga milestone sa konstruksyon na nakamit, mga paggasta, at anumang mga hamon na nakaharap. Ang mga ulat na ito ay dapat gawing available sa publi"&amp;"ko hangga't maaari.
* **Mekanismo ng Pagwawasto ng Karaingan:** Magtatag ng isang malinaw na mekanismo ng pagtugon sa karaingan para sa mga apektadong komunidad o stakeholder upang ipahayag ang mga alalahanin tungkol sa epekto sa kapaligiran, mga gawi sa "&amp;"paggawa, o iba pang mga isyu na nauugnay sa proyekto.
**Teknolohiya at Komunikasyon:**
* **Website ng Proyekto:** Lumikha ng isang nakatuong website ng proyekto upang ipalaganap ang impormasyon tungkol sa proyekto ng PPP, kabilang ang mga detalye ng kontr"&amp;"ata, mga update sa konstruksiyon, mga pagtatasa sa epekto sa kapaligiran, at impormasyon sa pakikipag-ugnayan para sa Project Monitoring Committee. * **Mga Public Forum at Town Hall Meetings:** Ayusin ang mga regular na pampublikong forum at mga pulong ng"&amp;" town hall upang makipag-ugnayan sa mga apektadong komunidad at tugunan ang kanilang mga alalahanin sa buong proseso ng konstruksiyon.
**Yugto Pagkatapos ng Konstruksyon:**
* **Mga Pag-audit sa Pagganap:** Magsagawa ng mga independiyenteng pag-audit sa pa"&amp;"gganap pagkatapos makumpleto ang proyekto upang masuri kung naabot ng PPP ang mga nilalayon nitong layunin at naghatid ng halaga para sa pera.
* **Pagbabahagi ng Kaalaman:** Idokumento ang mga aral na natutunan sa panahon ng proyekto ng PPP at ibahagi ang"&amp;" mga pinakamahuhusay na kagawian na ito sa iba pang ahensya ng gobyerno upang mapabuti ang mga inisyatiba sa pagpapaunlad ng imprastraktura sa hinaharap.
Sa pamamagitan ng pagpapatupad ng mga hakbang na ito, maaari akong magsumikap para sa isang transpare"&amp;"nt at accountable na proyekto ng PPP. Pinapalakas nito ang tiwala ng publiko sa paggamit ng pamahalaan ng mga pampublikong pondo at mapagkukunan, umaakit ng mga kwalipikadong kasosyo sa pribadong sektor, at pinapataas ang posibilidad ng isang matagumpay a"&amp;"t napapanatiling proyektong pang-imprastraktura.")</f>
        <v>Narito kung paano ako, bilang isang opisyal ng gobyerno na nangangasiwa sa isang public-private partnership (PPP) para sa isang pangunahing proyekto sa pagtatayo ng highway, ay titiyakin ang transparency at pananagutan:
**Yugto ng Pre-Bidding:**
* **I-clear ang Depinisyon at Saklaw ng Proyekto:** Malinaw na tukuyin ang mga layunin ng proyekto, teknikal na detalye, at inaasahang maihahatid. Nagtatatag ito ng benchmark para sa pagsusuri ng mga panukala at pagsubaybay sa pag-unlad.
* **Bukas at Mapagkumpitensyang Proseso ng Pag-bid:** I-advertise ang proyekto ng PPP nang hayagan, na nag-iimbita ng malawak na hanay ng mga kuwalipikadong kumpanya ng pribadong sektor na lumahok sa proseso ng pag-bid. Pinapalakas nito ang kumpetisyon at posibleng mabawasan ang mga gastos.
* **Pagbubunyag ng Mga Dokumento sa Pag-bid:** Gawing available sa publiko ang mga dokumento sa pag-bid, na nagpapahintulot sa pagsisiyasat ng publiko, media, at mga organisasyon ng civil society. Pinipigilan nito ang paboritismo at nagtataguyod ng pagiging patas.
**Yugto ng Bidding at Award:**
* **Mga Pamantayan sa Pagsusuri:** Magtatag ng malinaw at layunin na pamantayan sa pagsusuri para sa mga panukala sa pag-bid. Ang mga pamantayang ito ay dapat na higit pa sa presyo at isaalang-alang ang mga salik tulad ng teknikal na kadalubhasaan, karanasan sa mga katulad na proyekto, at lakas ng pananalapi.
* **Transparency ng Proseso ng Pagpili:** Ipahayag sa publiko ang mga naka-shortlist na bidder at ang katwiran sa likod ng huling pagpili ng nanalong consortium. Pinahuhusay nito ang tiwala ng publiko sa proseso ng paggawa ng desisyon.
**Yugto ng Pagpapatupad ng Proyekto:**
* **Project Monitoring Committee:** Magtatag ng Project Monitoring Committee na binubuo ng mga kinatawan mula sa mga ahensya ng gobyerno, civil society organizations, at mga independiyenteng eksperto. Dapat pangasiwaan ng komiteng ito ang pagpapatupad ng proyekto, subaybayan ang pagsunod sa mga tuntuning kontraktwal, at tukuyin ang mga potensyal na isyu.
* **Regular na Pag-uulat:** Atasan ang kasosyo ng pribadong sektor na magsumite ng mga regular na ulat sa pag-unlad na nagdedetalye ng mga milestone sa konstruksyon na nakamit, mga paggasta, at anumang mga hamon na nakaharap. Ang mga ulat na ito ay dapat gawing available sa publiko hangga't maaari.
* **Mekanismo ng Pagwawasto ng Karaingan:** Magtatag ng isang malinaw na mekanismo ng pagtugon sa karaingan para sa mga apektadong komunidad o stakeholder upang ipahayag ang mga alalahanin tungkol sa epekto sa kapaligiran, mga gawi sa paggawa, o iba pang mga isyu na nauugnay sa proyekto.
**Teknolohiya at Komunikasyon:**
* **Website ng Proyekto:** Lumikha ng isang nakatuong website ng proyekto upang ipalaganap ang impormasyon tungkol sa proyekto ng PPP, kabilang ang mga detalye ng kontrata, mga update sa konstruksiyon, mga pagtatasa sa epekto sa kapaligiran, at impormasyon sa pakikipag-ugnayan para sa Project Monitoring Committee. * **Mga Public Forum at Town Hall Meetings:** Ayusin ang mga regular na pampublikong forum at mga pulong ng town hall upang makipag-ugnayan sa mga apektadong komunidad at tugunan ang kanilang mga alalahanin sa buong proseso ng konstruksiyon.
**Yugto Pagkatapos ng Konstruksyon:**
* **Mga Pag-audit sa Pagganap:** Magsagawa ng mga independiyenteng pag-audit sa pagganap pagkatapos makumpleto ang proyekto upang masuri kung naabot ng PPP ang mga nilalayon nitong layunin at naghatid ng halaga para sa pera.
* **Pagbabahagi ng Kaalaman:** Idokumento ang mga aral na natutunan sa panahon ng proyekto ng PPP at ibahagi ang mga pinakamahuhusay na kagawian na ito sa iba pang ahensya ng gobyerno upang mapabuti ang mga inisyatiba sa pagpapaunlad ng imprastraktura sa hinaharap.
Sa pamamagitan ng pagpapatupad ng mga hakbang na ito, maaari akong magsumikap para sa isang transparent at accountable na proyekto ng PPP. Pinapalakas nito ang tiwala ng publiko sa paggamit ng pamahalaan ng mga pampublikong pondo at mapagkukunan, umaakit ng mga kwalipikadong kasosyo sa pribadong sektor, at pinapataas ang posibilidad ng isang matagumpay at napapanatiling proyektong pang-imprastraktura.</v>
      </c>
      <c r="F2786" s="2">
        <f t="shared" si="1"/>
        <v>0</v>
      </c>
      <c r="G2786" s="2"/>
      <c r="H2786" s="2"/>
      <c r="I2786" s="2"/>
      <c r="J2786" s="2"/>
      <c r="K2786" s="2"/>
      <c r="L2786" s="2"/>
      <c r="M2786" s="2"/>
      <c r="N2786" s="2"/>
      <c r="O2786" s="2"/>
      <c r="P2786" s="2"/>
      <c r="Q2786" s="2"/>
      <c r="R2786" s="2"/>
      <c r="S2786" s="2"/>
      <c r="T2786" s="2"/>
      <c r="U2786" s="2"/>
      <c r="V2786" s="2"/>
      <c r="W2786" s="2"/>
      <c r="X2786" s="2"/>
      <c r="Y2786" s="2"/>
      <c r="Z2786" s="2"/>
      <c r="AA2786" s="2"/>
    </row>
    <row r="2787">
      <c r="A2787" s="3" t="s">
        <v>6475</v>
      </c>
      <c r="B2787" s="1" t="s">
        <v>6546</v>
      </c>
      <c r="C2787" s="3" t="s">
        <v>6547</v>
      </c>
      <c r="D2787" s="2" t="str">
        <f>IFERROR(__xludf.DUMMYFUNCTION("GOOGLETRANSLATE(B2787, ""en"", ""TL"")"),"Bilang isang may-ari ng bahay sa isang subdivision, anong legal na paraan ang mayroon ka kung nabigo ang developer na magbigay ng mga ipinangakong amenities?")</f>
        <v>Bilang isang may-ari ng bahay sa isang subdivision, anong legal na paraan ang mayroon ka kung nabigo ang developer na magbigay ng mga ipinangakong amenities?</v>
      </c>
      <c r="E2787" s="2" t="str">
        <f>IFERROR(__xludf.DUMMYFUNCTION("GOOGLETRANSLATE(C2787, ""en"", ""TL"")"),"Kung isa kang may-ari ng bahay sa isang subdivision kung saan nabigo ang developer na maghatid ng mga ipinangakong amenities, mayroon kang ilang mga opsyon sa legal na recourse sa Pilipinas:
**1. Suriin ang iyong Kasunduan sa Pagbebenta at Pagbili:**
* Bi"&amp;"nabalangkas ng dokumentong ito ang mga napagkasunduang tuntunin sa pagitan mo at ng developer, kasama ang paglalarawan ng mga ipinangakong amenities. Ito ay nagsisilbing patunay ng obligasyon ng developer na ibigay ang mga amenity na ito.
**2. Demand Lett"&amp;"er:**
* Magsimula sa pamamagitan ng pagpapadala ng demand letter sa developer, na malinaw na nagsasaad ng hindi natutupad na mga pangako tungkol sa amenities. Magtakda ng isang makatwirang timeframe para sa developer upang malutas ang sitwasyon at simulan"&amp;" ang pagtatayo o pagkumpleto ng mga ipinangakong amenities.
**3. Homeowners Association (HOA):**
* Kung ang iyong subdivision ay may homeowners association (HOA), makipagtulungan sa ibang mga residenteng nahaharap sa parehong isyu. Maaaring gamitin ng HOA"&amp;" ang kolektibong kapangyarihan nito upang harapin ang developer at maghanap ng mga solusyon.
**4. Reklamo sa Housing and Urban Development Regulatory Commission (HUDCC):**
* Pinamamahalaan ng HUDCC ang regulasyon, paglilisensya, at pagsubaybay ng mga deve"&amp;"loper at proyekto ng subdivision sa Pilipinas. Maaari kang maghain ng pormal na reklamo sa HUDCC na nagdedetalye sa kabiguan ng developer na maghatid ng mga ipinangakong amenities. Maaaring imbestigahan ng HUDCC ang reklamo at magbigay ng mga direktiba sa"&amp;" developer upang sumunod sa kanilang mga obligasyon.
**5. Legal na Aksyon:**
* Kung mananatiling hindi tumutugon ang developer pagkatapos ng demand letter at reklamo ng HUDCC, isaalang-alang ang pagsasampa ng kasong sibil laban sa kanila. Maaaring magpayo"&amp;" ang isang abogado sa mga partikular na legal na batayan para sa iyong kaso, tulad ng paglabag sa kontrata o maling representasyon. **Potensyal na Legal na Claim:**
* **Paglabag sa Kontrata:** Kung nabigo ang developer na maghatid ng mga amenity na tahasa"&amp;"ng nakasaad sa Kasunduan sa Pagbebenta at Pagbili, ito ay isang paglabag sa kontrata. Maaari kang humingi ng mga utos ng hukuman upang pilitin ang developer na kumpletuhin ang mga amenities o mabigyan ng mga pinsala para sa mga hindi natupad na pangako.
*"&amp;" **Misrepresentation:** Kung gumamit ang developer ng mga amenities bilang selling point para hikayatin kang bumili ng property at pagkatapos ay hindi maihatid ang mga ito, maaari itong ituring na maling representasyon. Maaari kang humingi ng pagpapawalan"&amp;"g-bisa sa kontrata (nagbibigay-daan sa iyong kanselahin ang pagbili) o mga pinsala para sa maling representasyon.
**Mga Karagdagang Tip:**
* **Magtipon ng Ebidensya:** Panatilihin ang mga kopya ng iyong Kasunduan sa Pagbebenta at Pagbili, mga materyales s"&amp;"a marketing na nagha-highlight sa mga amenities, at anumang pakikipag-ugnayan sa developer tungkol sa mga hindi natutupad na pangako.
* **Humingi ng Legal na Payo:** Kumonsulta sa isang abogado na dalubhasa sa real estate upang maunawaan ang iyong mga leg"&amp;"al na opsyon at ang lakas ng iyong kaso batay sa mga partikular na detalye ng iyong sitwasyon.
Sa pamamagitan ng pagsunod sa mga hakbang na ito at paggalugad sa iyong mga legal na opsyon, maaari mong dagdagan ang iyong mga pagkakataong panagutin ang devel"&amp;"oper at ma-secure ang mga ipinangakong amenities para sa iyong subdivision. Tandaan, ang sama-samang pagkilos sa pamamagitan ng HOA ay maaaring maging isang mahusay na tool sa pakikipag-ayos sa developer.")</f>
        <v>Kung isa kang may-ari ng bahay sa isang subdivision kung saan nabigo ang developer na maghatid ng mga ipinangakong amenities, mayroon kang ilang mga opsyon sa legal na recourse sa Pilipinas:
**1. Suriin ang iyong Kasunduan sa Pagbebenta at Pagbili:**
* Binabalangkas ng dokumentong ito ang mga napagkasunduang tuntunin sa pagitan mo at ng developer, kasama ang paglalarawan ng mga ipinangakong amenities. Ito ay nagsisilbing patunay ng obligasyon ng developer na ibigay ang mga amenity na ito.
**2. Demand Letter:**
* Magsimula sa pamamagitan ng pagpapadala ng demand letter sa developer, na malinaw na nagsasaad ng hindi natutupad na mga pangako tungkol sa amenities. Magtakda ng isang makatwirang timeframe para sa developer upang malutas ang sitwasyon at simulan ang pagtatayo o pagkumpleto ng mga ipinangakong amenities.
**3. Homeowners Association (HOA):**
* Kung ang iyong subdivision ay may homeowners association (HOA), makipagtulungan sa ibang mga residenteng nahaharap sa parehong isyu. Maaaring gamitin ng HOA ang kolektibong kapangyarihan nito upang harapin ang developer at maghanap ng mga solusyon.
**4. Reklamo sa Housing and Urban Development Regulatory Commission (HUDCC):**
* Pinamamahalaan ng HUDCC ang regulasyon, paglilisensya, at pagsubaybay ng mga developer at proyekto ng subdivision sa Pilipinas. Maaari kang maghain ng pormal na reklamo sa HUDCC na nagdedetalye sa kabiguan ng developer na maghatid ng mga ipinangakong amenities. Maaaring imbestigahan ng HUDCC ang reklamo at magbigay ng mga direktiba sa developer upang sumunod sa kanilang mga obligasyon.
**5. Legal na Aksyon:**
* Kung mananatiling hindi tumutugon ang developer pagkatapos ng demand letter at reklamo ng HUDCC, isaalang-alang ang pagsasampa ng kasong sibil laban sa kanila. Maaaring magpayo ang isang abogado sa mga partikular na legal na batayan para sa iyong kaso, tulad ng paglabag sa kontrata o maling representasyon. **Potensyal na Legal na Claim:**
* **Paglabag sa Kontrata:** Kung nabigo ang developer na maghatid ng mga amenity na tahasang nakasaad sa Kasunduan sa Pagbebenta at Pagbili, ito ay isang paglabag sa kontrata. Maaari kang humingi ng mga utos ng hukuman upang pilitin ang developer na kumpletuhin ang mga amenities o mabigyan ng mga pinsala para sa mga hindi natupad na pangako.
* **Misrepresentation:** Kung gumamit ang developer ng mga amenities bilang selling point para hikayatin kang bumili ng property at pagkatapos ay hindi maihatid ang mga ito, maaari itong ituring na maling representasyon. Maaari kang humingi ng pagpapawalang-bisa sa kontrata (nagbibigay-daan sa iyong kanselahin ang pagbili) o mga pinsala para sa maling representasyon.
**Mga Karagdagang Tip:**
* **Magtipon ng Ebidensya:** Panatilihin ang mga kopya ng iyong Kasunduan sa Pagbebenta at Pagbili, mga materyales sa marketing na nagha-highlight sa mga amenities, at anumang pakikipag-ugnayan sa developer tungkol sa mga hindi natutupad na pangako.
* **Humingi ng Legal na Payo:** Kumonsulta sa isang abogado na dalubhasa sa real estate upang maunawaan ang iyong mga legal na opsyon at ang lakas ng iyong kaso batay sa mga partikular na detalye ng iyong sitwasyon.
Sa pamamagitan ng pagsunod sa mga hakbang na ito at paggalugad sa iyong mga legal na opsyon, maaari mong dagdagan ang iyong mga pagkakataong panagutin ang developer at ma-secure ang mga ipinangakong amenities para sa iyong subdivision. Tandaan, ang sama-samang pagkilos sa pamamagitan ng HOA ay maaaring maging isang mahusay na tool sa pakikipag-ayos sa developer.</v>
      </c>
      <c r="F2787" s="2">
        <f t="shared" si="1"/>
        <v>0</v>
      </c>
      <c r="G2787" s="2"/>
      <c r="H2787" s="2"/>
      <c r="I2787" s="2"/>
      <c r="J2787" s="2"/>
      <c r="K2787" s="2"/>
      <c r="L2787" s="2"/>
      <c r="M2787" s="2"/>
      <c r="N2787" s="2"/>
      <c r="O2787" s="2"/>
      <c r="P2787" s="2"/>
      <c r="Q2787" s="2"/>
      <c r="R2787" s="2"/>
      <c r="S2787" s="2"/>
      <c r="T2787" s="2"/>
      <c r="U2787" s="2"/>
      <c r="V2787" s="2"/>
      <c r="W2787" s="2"/>
      <c r="X2787" s="2"/>
      <c r="Y2787" s="2"/>
      <c r="Z2787" s="2"/>
      <c r="AA2787" s="2"/>
    </row>
    <row r="2788">
      <c r="A2788" s="3" t="s">
        <v>6475</v>
      </c>
      <c r="B2788" s="1" t="s">
        <v>6548</v>
      </c>
      <c r="C2788" s="3" t="s">
        <v>6549</v>
      </c>
      <c r="D2788" s="2" t="str">
        <f>IFERROR(__xludf.DUMMYFUNCTION("GOOGLETRANSLATE(B2788, ""en"", ""TL"")"),"Isa kang legal na tagapayo sa isang kumpanya ng telekomunikasyon na nagpaplanong palawakin ang imprastraktura ng network nito. Anong mga legal na hamon ang maaari mong asahan, at paano mo ito tutugunan?")</f>
        <v>Isa kang legal na tagapayo sa isang kumpanya ng telekomunikasyon na nagpaplanong palawakin ang imprastraktura ng network nito. Anong mga legal na hamon ang maaari mong asahan, at paano mo ito tutugunan?</v>
      </c>
      <c r="E2788" s="2" t="str">
        <f>IFERROR(__xludf.DUMMYFUNCTION("GOOGLETRANSLATE(C2788, ""en"", ""TL"")"),"Bilang legal na tagapayo sa isang kumpanya ng telekomunikasyon na nagpaplano ng pagpapalawak ng imprastraktura ng network, narito ang ilang potensyal na legal na hamon na maaari mong asahan at kung paano tugunan ang mga ito:
**1. Mga Isyu sa Pagpapahintul"&amp;"ot at Karapatan:**
* **Hamon:** Ang pagkuha ng mga permit mula sa iba't ibang ahensya ng gobyerno (LGUs, DOTr, CAAP/MARINA para sa mga partikular na lokasyon) at pag-secure ng right-of-way (ROW) ay maaaring matagal at kumplikado.
* **Solusyon:** Aktibong "&amp;"makipag-ugnayan sa mga kaugnay na ahensya ng gobyerno sa maagang yugto ng pagpaplano. Unawain ang kanilang mga partikular na kinakailangan at timeline para sa mga aplikasyon ng permit. Makipagtulungan sa mga may-ari ng lupa o mga yunit ng lokal na pamahal"&amp;"aan upang makakuha ng mga permit para sa pagtatayo ng cell tower o paglalagay ng mga kable sa ilalim ng lupa sa mga pampubliko o pribadong pag-aari. Pag-isipang mag-alok ng kabayaran para sa paggamit ng pribadong ROW. **2. Environmental Impact Assessment "&amp;"(EIA):**
* **Hamon:** Depende sa sukat at lokasyon ng proyekto, maaaring kailanganin ang isang EIA. Maaari itong magdagdag ng oras at gastos sa proyekto.
* **Solusyon:** Magsagawa ng paunang pagtatasa sa kapaligiran upang matukoy kung kinakailangan ang is"&amp;"ang buong EIA. Kung kinakailangan, makipagtulungan sa mga kwalipikadong consultant sa kapaligiran upang maghanda ng isang komprehensibong ulat ng EIA at makakuha ng mga kinakailangang clearance mula sa DENR.
**3. Mga Alalahanin sa Cultural Heritage:**
* *"&amp;"*Hamon:** Maaaring makagambala sa mga cultural heritage site ang bagong imprastraktura o makaapekto sa mga lugar na may kahalagahang arkeolohiko.
* **Solusyon:** Magsagawa ng masusing due diligence tungkol sa pagkakaroon ng mga cultural heritage site sa m"&amp;"ga pinaplanong lugar ng pagpapalawak. Kung kinakailangan, kumunsulta sa National Commission on Culture and Arts (NCCA) at ayusin ang mga plano upang mabawasan ang epekto.
**4. Oposisyon at Negosasyon ng Komunidad:**
* **Hamon:** Ang mga residente ay maaar"&amp;"ing magpahayag ng mga alalahanin tungkol sa mga panganib sa kalusugan na nauugnay sa mga cell tower o pagkagambala na dulot ng mga aktibidad sa pagtatayo.
* **Solusyon:** Aktibong makipag-ugnayan sa mga komunidad sa pamamagitan ng mga pampublikong konsult"&amp;"asyon at mga sesyon ng impormasyon. Tugunan ang mga alalahanin ng mga residente gamit ang makatotohanang impormasyon tungkol sa mga pamantayan sa kaligtasan at mga potensyal na benepisyo ng pinahusay na koneksyon. Makipag-usap sa mga solusyong pinagkasund"&amp;"uang dalawa gaya ng mga pagsasaalang-alang sa paglalagay ng tore o mga hakbangin sa pagpapaunlad ng komunidad.
**5. Mga Legal na Hindi pagkakaunawaan sa mga Umiiral na Provider:**
* **Hamon:** Maaaring hamunin ng mga kasalukuyang provider ng telecom ang k"&amp;"arapatan ng iyong kumpanya na palawakin sa kanilang teritoryo o akusahan ka ng mga kasanayang laban sa kompetisyon.
* **Solusyon:** Tiyakin ang pagsunod sa mga batas sa kompetisyon na itinakda ng National Telecommunications Commission (NTC). Panatilihin a"&amp;"ng malinaw na mga kasanayan sa negosyo at iwasan ang mga aksyon na maaaring ituring na nakakapigil sa kompetisyon. Kung may mga hindi pagkakaunawaan, humingi ng pamamagitan sa pamamagitan ng NTC o mga korte.
**Mga Karagdagang Pagsasaalang-alang:**
* **Pri"&amp;"vacy ng Data:** Tiyakin ang pagsunod sa Data Privacy Act (DPA) tungkol sa pangongolekta, storage, at seguridad ng data ng user sa buong proseso ng pagpapalawak ng network.
* **Mga Batas sa Paggawa at Pagtatrabaho:** Sumunod sa mga batas sa paggawa at trab"&amp;"aho kapag kumukontrata ng mga manggagawa para sa mga aktibidad sa konstruksiyon at pagpapanatili. * **Pananatiling Alam:** Subaybayan ang mga pagbabago sa mga regulasyon ng pamahalaan at pinakamahuhusay na kagawian sa industriya na nauugnay sa pagpapaunla"&amp;"d ng imprastraktura ng telekomunikasyon.
Sa pamamagitan ng pag-asa sa mga potensyal na legal na hamong ito at maagap na pagtugon sa mga ito, ang iyong kumpanya ay maaaring mag-navigate sa proseso ng pagpapalawak ng network ng telekomunikasyon nang mas mah"&amp;"usay at mabawasan ang mga legal na panganib. Tandaan, ang bukas na komunikasyon sa mga stakeholder, pagsunod sa mga regulasyon, at isang pangako sa responsableng mga kasanayan sa pag-unlad ay susi sa matagumpay na pagpapalawak ng network.")</f>
        <v>Bilang legal na tagapayo sa isang kumpanya ng telekomunikasyon na nagpaplano ng pagpapalawak ng imprastraktura ng network, narito ang ilang potensyal na legal na hamon na maaari mong asahan at kung paano tugunan ang mga ito:
**1. Mga Isyu sa Pagpapahintulot at Karapatan:**
* **Hamon:** Ang pagkuha ng mga permit mula sa iba't ibang ahensya ng gobyerno (LGUs, DOTr, CAAP/MARINA para sa mga partikular na lokasyon) at pag-secure ng right-of-way (ROW) ay maaaring matagal at kumplikado.
* **Solusyon:** Aktibong makipag-ugnayan sa mga kaugnay na ahensya ng gobyerno sa maagang yugto ng pagpaplano. Unawain ang kanilang mga partikular na kinakailangan at timeline para sa mga aplikasyon ng permit. Makipagtulungan sa mga may-ari ng lupa o mga yunit ng lokal na pamahalaan upang makakuha ng mga permit para sa pagtatayo ng cell tower o paglalagay ng mga kable sa ilalim ng lupa sa mga pampubliko o pribadong pag-aari. Pag-isipang mag-alok ng kabayaran para sa paggamit ng pribadong ROW. **2. Environmental Impact Assessment (EIA):**
* **Hamon:** Depende sa sukat at lokasyon ng proyekto, maaaring kailanganin ang isang EIA. Maaari itong magdagdag ng oras at gastos sa proyekto.
* **Solusyon:** Magsagawa ng paunang pagtatasa sa kapaligiran upang matukoy kung kinakailangan ang isang buong EIA. Kung kinakailangan, makipagtulungan sa mga kwalipikadong consultant sa kapaligiran upang maghanda ng isang komprehensibong ulat ng EIA at makakuha ng mga kinakailangang clearance mula sa DENR.
**3. Mga Alalahanin sa Cultural Heritage:**
* **Hamon:** Maaaring makagambala sa mga cultural heritage site ang bagong imprastraktura o makaapekto sa mga lugar na may kahalagahang arkeolohiko.
* **Solusyon:** Magsagawa ng masusing due diligence tungkol sa pagkakaroon ng mga cultural heritage site sa mga pinaplanong lugar ng pagpapalawak. Kung kinakailangan, kumunsulta sa National Commission on Culture and Arts (NCCA) at ayusin ang mga plano upang mabawasan ang epekto.
**4. Oposisyon at Negosasyon ng Komunidad:**
* **Hamon:** Ang mga residente ay maaaring magpahayag ng mga alalahanin tungkol sa mga panganib sa kalusugan na nauugnay sa mga cell tower o pagkagambala na dulot ng mga aktibidad sa pagtatayo.
* **Solusyon:** Aktibong makipag-ugnayan sa mga komunidad sa pamamagitan ng mga pampublikong konsultasyon at mga sesyon ng impormasyon. Tugunan ang mga alalahanin ng mga residente gamit ang makatotohanang impormasyon tungkol sa mga pamantayan sa kaligtasan at mga potensyal na benepisyo ng pinahusay na koneksyon. Makipag-usap sa mga solusyong pinagkasunduang dalawa gaya ng mga pagsasaalang-alang sa paglalagay ng tore o mga hakbangin sa pagpapaunlad ng komunidad.
**5. Mga Legal na Hindi pagkakaunawaan sa mga Umiiral na Provider:**
* **Hamon:** Maaaring hamunin ng mga kasalukuyang provider ng telecom ang karapatan ng iyong kumpanya na palawakin sa kanilang teritoryo o akusahan ka ng mga kasanayang laban sa kompetisyon.
* **Solusyon:** Tiyakin ang pagsunod sa mga batas sa kompetisyon na itinakda ng National Telecommunications Commission (NTC). Panatilihin ang malinaw na mga kasanayan sa negosyo at iwasan ang mga aksyon na maaaring ituring na nakakapigil sa kompetisyon. Kung may mga hindi pagkakaunawaan, humingi ng pamamagitan sa pamamagitan ng NTC o mga korte.
**Mga Karagdagang Pagsasaalang-alang:**
* **Privacy ng Data:** Tiyakin ang pagsunod sa Data Privacy Act (DPA) tungkol sa pangongolekta, storage, at seguridad ng data ng user sa buong proseso ng pagpapalawak ng network.
* **Mga Batas sa Paggawa at Pagtatrabaho:** Sumunod sa mga batas sa paggawa at trabaho kapag kumukontrata ng mga manggagawa para sa mga aktibidad sa konstruksiyon at pagpapanatili. * **Pananatiling Alam:** Subaybayan ang mga pagbabago sa mga regulasyon ng pamahalaan at pinakamahuhusay na kagawian sa industriya na nauugnay sa pagpapaunlad ng imprastraktura ng telekomunikasyon.
Sa pamamagitan ng pag-asa sa mga potensyal na legal na hamong ito at maagap na pagtugon sa mga ito, ang iyong kumpanya ay maaaring mag-navigate sa proseso ng pagpapalawak ng network ng telekomunikasyon nang mas mahusay at mabawasan ang mga legal na panganib. Tandaan, ang bukas na komunikasyon sa mga stakeholder, pagsunod sa mga regulasyon, at isang pangako sa responsableng mga kasanayan sa pag-unlad ay susi sa matagumpay na pagpapalawak ng network.</v>
      </c>
      <c r="F2788" s="2">
        <f t="shared" si="1"/>
        <v>0</v>
      </c>
      <c r="G2788" s="2"/>
      <c r="H2788" s="2"/>
      <c r="I2788" s="2"/>
      <c r="J2788" s="2"/>
      <c r="K2788" s="2"/>
      <c r="L2788" s="2"/>
      <c r="M2788" s="2"/>
      <c r="N2788" s="2"/>
      <c r="O2788" s="2"/>
      <c r="P2788" s="2"/>
      <c r="Q2788" s="2"/>
      <c r="R2788" s="2"/>
      <c r="S2788" s="2"/>
      <c r="T2788" s="2"/>
      <c r="U2788" s="2"/>
      <c r="V2788" s="2"/>
      <c r="W2788" s="2"/>
      <c r="X2788" s="2"/>
      <c r="Y2788" s="2"/>
      <c r="Z2788" s="2"/>
      <c r="AA2788" s="2"/>
    </row>
    <row r="2789">
      <c r="A2789" s="3" t="s">
        <v>6475</v>
      </c>
      <c r="B2789" s="1" t="s">
        <v>6550</v>
      </c>
      <c r="C2789" s="3" t="s">
        <v>6551</v>
      </c>
      <c r="D2789" s="2" t="str">
        <f>IFERROR(__xludf.DUMMYFUNCTION("GOOGLETRANSLATE(B2789, ""en"", ""TL"")"),"Bilang isang mambabatas, paano mo ipapanukala ang batas upang matugunan ang lumalaking problema ng mga impormal na pamayanan sa mga urban na lugar?")</f>
        <v>Bilang isang mambabatas, paano mo ipapanukala ang batas upang matugunan ang lumalaking problema ng mga impormal na pamayanan sa mga urban na lugar?</v>
      </c>
      <c r="E2789" s="2" t="str">
        <f>IFERROR(__xludf.DUMMYFUNCTION("GOOGLETRANSLATE(C2789, ""en"", ""TL"")"),"## Pagtugon sa Mga Impormal na Settlement: Isang Multi-Pronged Legislative Approach
Ang mga impormal na settlement, habang nagbibigay ng mga hamon, ay kumakatawan sa isang kumplikadong isyu na may pinagbabatayan na mga sanhi tulad ng kahirapan, kakulangan"&amp;" ng mga opsyon sa abot-kayang pabahay, at paglipat sa kanayunan-urban. Bilang isang mambabatas, nagmumungkahi ako ng isang pambatasan na diskarte na tumutugon kapwa sa mga kagyat na pangangailangan ng mga residente sa mga impormal na pamayanan at ang pang"&amp;"matagalang layunin ng paglikha ng isang mas napapanatiling kapaligiran sa lunsod. Narito ang ilang pangunahing panukala:
**1. Pag-upgrade at Regularisasyon:**
* **National Upgrading Program:** Magtatag ng isang pambansang programa upang tukuyin at unahin "&amp;"ang mga impormal na settlement para sa pag-upgrade. Ang programang ito ay magbibigay ng pondo at teknikal na tulong para sa pangunahing pagpapaunlad ng imprastraktura tulad ng supply ng tubig, kalinisan, at pamamahala ng basura.
* **Seguridad ng Panunungk"&amp;"ulan:** Magsabatas ng batas para magbigay ng seguridad sa panunungkulan sa mga kwalipikadong residente ng mga impormal na paninirahan. Ito ay magbibigay sa kanila ng higit na proteksyon laban sa pagpapaalis at maghihikayat ng pamumuhunan sa kanilang mga t"&amp;"ahanan. * **Incremental Upgrading:** I-promote ang isang ""incremental upgrading"" na diskarte, na nagpapahintulot sa mga residente na pahusayin ang kanilang mga tirahan nang progresibong may teknikal na patnubay at access sa abot-kayang mga materyales sa"&amp;" gusali.
**2. Abot-kayang Pabahay:**
* **Public-Private Partnerships (PPPs):** Hikayatin ang mga PPP na bumuo ng mga proyektong abot-kayang pabahay malapit sa mga sentro ng trabaho at mga sentro ng pampublikong transportasyon. * **Socialized Housing Progr"&amp;"ams:** Dagdagan ang pondo para sa socialized housing programs na naka-target sa mga pamilyang may mababang kita na naninirahan sa mga impormal na settlement.
* **Inclusionary Zoning:** Ipatupad ang mga patakaran sa inclusionary zoning na nag-uutos sa mga "&amp;"developer na maglaan ng partikular na porsyento ng mga unit sa mga bagong proyekto para sa abot-kayang pabahay.
**3. Mga Serbisyong Panlipunan at Mga Oportunidad sa Kabuhayan:**
* **Pinahusay na Serbisyong Panlipunan:** Palawakin ang access sa mga panguna"&amp;"hing serbisyong panlipunan tulad ng pangangalagang pangkalusugan, edukasyon, at pangangalaga sa bata sa loob o malapit sa mga impormal na settlement.
* **Mga Programa sa Pagsasanay sa Mga Kasanayan:** Nag-aalok ng mga programa sa pagsasanay sa kasanayan s"&amp;"a mga residente ng mga impormal na pamayanan upang mapahusay ang kanilang kakayahang magtrabaho at mga pagkakataong kumikita.
* **Mga Inisyatiba sa Microfinance:** Pangasiwaan ang mga hakbangin sa microfinance upang mabigyan ang mga residente ng access sa"&amp;" mga pautang para sa pagsisimula ng maliliit na negosyo at pagpapabuti ng kanilang kabuhayan.
**4. Pamamahala ng Lupa at Pagpaplano ng Lunsod:**
* **Reporma sa Lupa ng Lungsod:** Isaalang-alang ang batas na nagtataguyod ng reporma sa lupa sa kalunsuran up"&amp;"ang matugunan ang hindi pantay na pamamahagi ng lupa at gawing mas madaling mapuntahan ang lupa para sa pagpapaunlad ng abot-kayang pabahay.
* **Integrated Urban Planning:** Bumuo ng pinagsama-samang mga patakaran sa pagpaplano ng lungsod na nagsasama ng "&amp;"mga impormal na settlement sa hinaharap na mga plano sa pagpapaunlad ng lungsod. * **Pagpaplano sa Pagbabawas ng Panganib sa Sakuna:** Isama ang mga diskarte sa pagbabawas ng panganib sa sakuna sa mga programa sa pag-upgrade ng slum upang mapabuti ang kat"&amp;"atagan sa mga impormal na paninirahan na madaling kapitan ng mga natural na sakuna.
**5. Pakikilahok at Transparency ng Komunidad:**
* **Pakikipag-ugnayan sa Komunidad:** Tiyakin ang makabuluhang pakikipag-ugnayan ng komunidad sa buong proseso ng pag-upgr"&amp;"ade ng mga impormal na settlement. Ang mga residente ay dapat magkaroon ng boses sa paggawa ng desisyon na nakakaapekto sa kanilang mga komunidad.
* **Transparency at Pananagutan:** Panatilihin ang transparency at pananagutan sa paglalaan at paggamit ng m"&amp;"ga pondo para sa mga programa sa slum upgrading. Ang regular na pagsubaybay at pagsusuri ay mahalaga para matiyak ang pagiging epektibo.
**Konklusyon:**
Ang mabisang pagtugon sa mga impormal na settlement ay nangangailangan ng isang multi-faceted na diska"&amp;"rte na nakatuon sa parehong pag-upgrade ng mga kasalukuyang kondisyon at pagpigil sa paglaki ng mga bago. Sa pamamagitan ng pagsasama-sama ng mga panukalang pambatas na ito sa pakikipagtulungan sa pagitan ng pambansa at lokal na pamahalaan, mga organisasy"&amp;"ong pangkomunidad, at pribadong sektor, makakagawa tayo tungo sa paglikha ng higit na inklusibo at napapanatiling mga kapaligiran sa lunsod para sa lahat.")</f>
        <v>## Pagtugon sa Mga Impormal na Settlement: Isang Multi-Pronged Legislative Approach
Ang mga impormal na settlement, habang nagbibigay ng mga hamon, ay kumakatawan sa isang kumplikadong isyu na may pinagbabatayan na mga sanhi tulad ng kahirapan, kakulangan ng mga opsyon sa abot-kayang pabahay, at paglipat sa kanayunan-urban. Bilang isang mambabatas, nagmumungkahi ako ng isang pambatasan na diskarte na tumutugon kapwa sa mga kagyat na pangangailangan ng mga residente sa mga impormal na pamayanan at ang pangmatagalang layunin ng paglikha ng isang mas napapanatiling kapaligiran sa lunsod. Narito ang ilang pangunahing panukala:
**1. Pag-upgrade at Regularisasyon:**
* **National Upgrading Program:** Magtatag ng isang pambansang programa upang tukuyin at unahin ang mga impormal na settlement para sa pag-upgrade. Ang programang ito ay magbibigay ng pondo at teknikal na tulong para sa pangunahing pagpapaunlad ng imprastraktura tulad ng supply ng tubig, kalinisan, at pamamahala ng basura.
* **Seguridad ng Panunungkulan:** Magsabatas ng batas para magbigay ng seguridad sa panunungkulan sa mga kwalipikadong residente ng mga impormal na paninirahan. Ito ay magbibigay sa kanila ng higit na proteksyon laban sa pagpapaalis at maghihikayat ng pamumuhunan sa kanilang mga tahanan. * **Incremental Upgrading:** I-promote ang isang "incremental upgrading" na diskarte, na nagpapahintulot sa mga residente na pahusayin ang kanilang mga tirahan nang progresibong may teknikal na patnubay at access sa abot-kayang mga materyales sa gusali.
**2. Abot-kayang Pabahay:**
* **Public-Private Partnerships (PPPs):** Hikayatin ang mga PPP na bumuo ng mga proyektong abot-kayang pabahay malapit sa mga sentro ng trabaho at mga sentro ng pampublikong transportasyon. * **Socialized Housing Programs:** Dagdagan ang pondo para sa socialized housing programs na naka-target sa mga pamilyang may mababang kita na naninirahan sa mga impormal na settlement.
* **Inclusionary Zoning:** Ipatupad ang mga patakaran sa inclusionary zoning na nag-uutos sa mga developer na maglaan ng partikular na porsyento ng mga unit sa mga bagong proyekto para sa abot-kayang pabahay.
**3. Mga Serbisyong Panlipunan at Mga Oportunidad sa Kabuhayan:**
* **Pinahusay na Serbisyong Panlipunan:** Palawakin ang access sa mga pangunahing serbisyong panlipunan tulad ng pangangalagang pangkalusugan, edukasyon, at pangangalaga sa bata sa loob o malapit sa mga impormal na settlement.
* **Mga Programa sa Pagsasanay sa Mga Kasanayan:** Nag-aalok ng mga programa sa pagsasanay sa kasanayan sa mga residente ng mga impormal na pamayanan upang mapahusay ang kanilang kakayahang magtrabaho at mga pagkakataong kumikita.
* **Mga Inisyatiba sa Microfinance:** Pangasiwaan ang mga hakbangin sa microfinance upang mabigyan ang mga residente ng access sa mga pautang para sa pagsisimula ng maliliit na negosyo at pagpapabuti ng kanilang kabuhayan.
**4. Pamamahala ng Lupa at Pagpaplano ng Lunsod:**
* **Reporma sa Lupa ng Lungsod:** Isaalang-alang ang batas na nagtataguyod ng reporma sa lupa sa kalunsuran upang matugunan ang hindi pantay na pamamahagi ng lupa at gawing mas madaling mapuntahan ang lupa para sa pagpapaunlad ng abot-kayang pabahay.
* **Integrated Urban Planning:** Bumuo ng pinagsama-samang mga patakaran sa pagpaplano ng lungsod na nagsasama ng mga impormal na settlement sa hinaharap na mga plano sa pagpapaunlad ng lungsod. * **Pagpaplano sa Pagbabawas ng Panganib sa Sakuna:** Isama ang mga diskarte sa pagbabawas ng panganib sa sakuna sa mga programa sa pag-upgrade ng slum upang mapabuti ang katatagan sa mga impormal na paninirahan na madaling kapitan ng mga natural na sakuna.
**5. Pakikilahok at Transparency ng Komunidad:**
* **Pakikipag-ugnayan sa Komunidad:** Tiyakin ang makabuluhang pakikipag-ugnayan ng komunidad sa buong proseso ng pag-upgrade ng mga impormal na settlement. Ang mga residente ay dapat magkaroon ng boses sa paggawa ng desisyon na nakakaapekto sa kanilang mga komunidad.
* **Transparency at Pananagutan:** Panatilihin ang transparency at pananagutan sa paglalaan at paggamit ng mga pondo para sa mga programa sa slum upgrading. Ang regular na pagsubaybay at pagsusuri ay mahalaga para matiyak ang pagiging epektibo.
**Konklusyon:**
Ang mabisang pagtugon sa mga impormal na settlement ay nangangailangan ng isang multi-faceted na diskarte na nakatuon sa parehong pag-upgrade ng mga kasalukuyang kondisyon at pagpigil sa paglaki ng mga bago. Sa pamamagitan ng pagsasama-sama ng mga panukalang pambatas na ito sa pakikipagtulungan sa pagitan ng pambansa at lokal na pamahalaan, mga organisasyong pangkomunidad, at pribadong sektor, makakagawa tayo tungo sa paglikha ng higit na inklusibo at napapanatiling mga kapaligiran sa lunsod para sa lahat.</v>
      </c>
      <c r="F2789" s="2">
        <f t="shared" si="1"/>
        <v>0</v>
      </c>
      <c r="G2789" s="2"/>
      <c r="H2789" s="2"/>
      <c r="I2789" s="2"/>
      <c r="J2789" s="2"/>
      <c r="K2789" s="2"/>
      <c r="L2789" s="2"/>
      <c r="M2789" s="2"/>
      <c r="N2789" s="2"/>
      <c r="O2789" s="2"/>
      <c r="P2789" s="2"/>
      <c r="Q2789" s="2"/>
      <c r="R2789" s="2"/>
      <c r="S2789" s="2"/>
      <c r="T2789" s="2"/>
      <c r="U2789" s="2"/>
      <c r="V2789" s="2"/>
      <c r="W2789" s="2"/>
      <c r="X2789" s="2"/>
      <c r="Y2789" s="2"/>
      <c r="Z2789" s="2"/>
      <c r="AA2789" s="2"/>
    </row>
    <row r="2790">
      <c r="A2790" s="3" t="s">
        <v>6475</v>
      </c>
      <c r="B2790" s="1" t="s">
        <v>6552</v>
      </c>
      <c r="C2790" s="3" t="s">
        <v>6553</v>
      </c>
      <c r="D2790" s="2" t="str">
        <f>IFERROR(__xludf.DUMMYFUNCTION("GOOGLETRANSLATE(B2790, ""en"", ""TL"")"),"Isa kang hukom na namumuno sa isang kaso na kinasasangkutan ng mga paratang ng katiwalian sa isang pangunahing proyektong pang-imprastraktura. Paano mo masisiguro ang isang patas na paglilitis at itaguyod ang tuntunin ng batas?")</f>
        <v>Isa kang hukom na namumuno sa isang kaso na kinasasangkutan ng mga paratang ng katiwalian sa isang pangunahing proyektong pang-imprastraktura. Paano mo masisiguro ang isang patas na paglilitis at itaguyod ang tuntunin ng batas?</v>
      </c>
      <c r="E2790" s="2" t="str">
        <f>IFERROR(__xludf.DUMMYFUNCTION("GOOGLETRANSLATE(C2790, ""en"", ""TL"")"),"Narito kung paano ako, bilang isang hukom na namumuno sa isang kaso na kinasasangkutan ng mga paratang ng katiwalian sa isang pangunahing proyekto sa imprastraktura, ay titiyakin ang isang patas na paglilitis at itaguyod ang tuntunin ng batas:
**Yugto ng "&amp;"Pre-Trial:**
* **Presumption of Innocence:** Paalalahanan ang lahat ng partidong kasangkot (prosekusyon, depensa, at publiko) na ang mga nasasakdal ay ipagpalagay na inosente hanggang sa mapatunayang nagkasala nang walang makatwirang pagdududa.
* **Pagsis"&amp;"iwalat ng Ebidensya:** Tiyaking ang prosekusyon at depensa ay may ganap na pagbubunyag ng lahat ng nauugnay na ebidensya upang bigyang-daan ang tamang paghahanda at cross-examination.
* **Pagpipili ng isang Walang Kinikilingang Hurado:** Mamuno sa isang p"&amp;"atas at malinaw na proseso ng pagpili ng hurado upang matiyak na ang mga napiling hurado ay walang kinikilingan at walang mga salungatan ng interes.
* **Malinaw na Tagubilin sa Mga Tungkulin ng Hurado:** Magbigay ng malinaw na tagubilin sa hurado sa kanil"&amp;"ang mga responsibilidad, kabilang ang pasanin ng patunay, ang mga pamantayan ng ebidensya, at ang kahalagahan ng pagsunod sa batas sa panahon ng kanilang mga deliberasyon.
**Yugto ng Pagsubok:**
* **Pagtataguyod ng Mga Panuntunan ng Katibayan:** Mahigpit "&amp;"na itaguyod ang mga tuntunin ng ebidensya upang matiyak na ang mga tinatanggap na ebidensya lamang ang ipapakita sa hurado. Pinoprotektahan nito ang mga karapatan ng parehong partido at pinipigilan ang hindi patas na pagtatangi.
* **Patas at Nararapat na "&amp;"Proseso:** Tiyakin na ang lahat ng partido ay may patas na pagkakataon na iharap ang kanilang kaso at hamunin ang ebidensya ng kalabang panig sa pamamagitan ng cross-examination.
* **Pagpapanatili ng Kaayusan at Dekorum:** Panatilihin ang kaayusan at kaga"&amp;"ndahang-asal sa silid ng hukuman, na pumipigil sa mga emosyonal na pagsabog o pakikialam sa mga saksi. Ang isang kontroladong kapaligiran ay nagbibigay-daan para sa mga makatwirang legal na argumento na maiharap.
**Yugto Pagkatapos ng Pagsubok:**
* **Mali"&amp;"naw at Walang Kinikilingang Hatol:** Maghatid ng malinaw at walang kinikilingan na hatol na nakabatay lamang sa ebidensyang iniharap sa korte at sa batas na inilapat sa kaso. * **Karapatang Mag-apela:** Ipaalam sa mga partido ang kanilang karapatang iapel"&amp;"a ang desisyon, na tinitiyak ang pag-access sa mas matataas na hukuman kung kinakailangan.
**Mga Karagdagang Panukala:**
* **Proteksyon ng mga Saksi:** Kung kinakailangan, magbigay ng proteksyon para sa mga saksi na maaaring natatakot sa paghihiganti para"&amp;" sa pagharap ng impormasyon tungkol sa katiwalian.
* **Transparency in Proceedings:** Isulong ang transparency sa mga paglilitis sa hukuman sa lawak na pinapayagan ng batas. Nagbubuo ito ng tiwala ng publiko sa kakayahan ng sistemang hudikatura na itaguyo"&amp;"d ang panuntunan ng batas.
Sa pamamagitan ng pagsunod sa mga prinsipyong ito, maaari akong magsumikap na tiyakin ang isang patas na paglilitis at itaguyod ang tuntunin ng batas. Ang isang makatarungang resulta sa kasong ito ay nagpapadala ng isang makapan"&amp;"gyarihang mensahe na ang katiwalian ay hindi kukunsintihin, anuman ang mga indibidwal na kasangkot o ang laki ng proyekto. Pinalalakas din nito ang kumpiyansa ng publiko sa sistema ng hudikatura bilang isang maaasahang tagapagtanggol ng pananagutan at hus"&amp;"tisya.")</f>
        <v>Narito kung paano ako, bilang isang hukom na namumuno sa isang kaso na kinasasangkutan ng mga paratang ng katiwalian sa isang pangunahing proyekto sa imprastraktura, ay titiyakin ang isang patas na paglilitis at itaguyod ang tuntunin ng batas:
**Yugto ng Pre-Trial:**
* **Presumption of Innocence:** Paalalahanan ang lahat ng partidong kasangkot (prosekusyon, depensa, at publiko) na ang mga nasasakdal ay ipagpalagay na inosente hanggang sa mapatunayang nagkasala nang walang makatwirang pagdududa.
* **Pagsisiwalat ng Ebidensya:** Tiyaking ang prosekusyon at depensa ay may ganap na pagbubunyag ng lahat ng nauugnay na ebidensya upang bigyang-daan ang tamang paghahanda at cross-examination.
* **Pagpipili ng isang Walang Kinikilingang Hurado:** Mamuno sa isang patas at malinaw na proseso ng pagpili ng hurado upang matiyak na ang mga napiling hurado ay walang kinikilingan at walang mga salungatan ng interes.
* **Malinaw na Tagubilin sa Mga Tungkulin ng Hurado:** Magbigay ng malinaw na tagubilin sa hurado sa kanilang mga responsibilidad, kabilang ang pasanin ng patunay, ang mga pamantayan ng ebidensya, at ang kahalagahan ng pagsunod sa batas sa panahon ng kanilang mga deliberasyon.
**Yugto ng Pagsubok:**
* **Pagtataguyod ng Mga Panuntunan ng Katibayan:** Mahigpit na itaguyod ang mga tuntunin ng ebidensya upang matiyak na ang mga tinatanggap na ebidensya lamang ang ipapakita sa hurado. Pinoprotektahan nito ang mga karapatan ng parehong partido at pinipigilan ang hindi patas na pagtatangi.
* **Patas at Nararapat na Proseso:** Tiyakin na ang lahat ng partido ay may patas na pagkakataon na iharap ang kanilang kaso at hamunin ang ebidensya ng kalabang panig sa pamamagitan ng cross-examination.
* **Pagpapanatili ng Kaayusan at Dekorum:** Panatilihin ang kaayusan at kagandahang-asal sa silid ng hukuman, na pumipigil sa mga emosyonal na pagsabog o pakikialam sa mga saksi. Ang isang kontroladong kapaligiran ay nagbibigay-daan para sa mga makatwirang legal na argumento na maiharap.
**Yugto Pagkatapos ng Pagsubok:**
* **Malinaw at Walang Kinikilingang Hatol:** Maghatid ng malinaw at walang kinikilingan na hatol na nakabatay lamang sa ebidensyang iniharap sa korte at sa batas na inilapat sa kaso. * **Karapatang Mag-apela:** Ipaalam sa mga partido ang kanilang karapatang iapela ang desisyon, na tinitiyak ang pag-access sa mas matataas na hukuman kung kinakailangan.
**Mga Karagdagang Panukala:**
* **Proteksyon ng mga Saksi:** Kung kinakailangan, magbigay ng proteksyon para sa mga saksi na maaaring natatakot sa paghihiganti para sa pagharap ng impormasyon tungkol sa katiwalian.
* **Transparency in Proceedings:** Isulong ang transparency sa mga paglilitis sa hukuman sa lawak na pinapayagan ng batas. Nagbubuo ito ng tiwala ng publiko sa kakayahan ng sistemang hudikatura na itaguyod ang panuntunan ng batas.
Sa pamamagitan ng pagsunod sa mga prinsipyong ito, maaari akong magsumikap na tiyakin ang isang patas na paglilitis at itaguyod ang tuntunin ng batas. Ang isang makatarungang resulta sa kasong ito ay nagpapadala ng isang makapangyarihang mensahe na ang katiwalian ay hindi kukunsintihin, anuman ang mga indibidwal na kasangkot o ang laki ng proyekto. Pinalalakas din nito ang kumpiyansa ng publiko sa sistema ng hudikatura bilang isang maaasahang tagapagtanggol ng pananagutan at hustisya.</v>
      </c>
      <c r="F2790" s="2">
        <f t="shared" si="1"/>
        <v>0</v>
      </c>
      <c r="G2790" s="2"/>
      <c r="H2790" s="2"/>
      <c r="I2790" s="2"/>
      <c r="J2790" s="2"/>
      <c r="K2790" s="2"/>
      <c r="L2790" s="2"/>
      <c r="M2790" s="2"/>
      <c r="N2790" s="2"/>
      <c r="O2790" s="2"/>
      <c r="P2790" s="2"/>
      <c r="Q2790" s="2"/>
      <c r="R2790" s="2"/>
      <c r="S2790" s="2"/>
      <c r="T2790" s="2"/>
      <c r="U2790" s="2"/>
      <c r="V2790" s="2"/>
      <c r="W2790" s="2"/>
      <c r="X2790" s="2"/>
      <c r="Y2790" s="2"/>
      <c r="Z2790" s="2"/>
      <c r="AA2790" s="2"/>
    </row>
    <row r="2791">
      <c r="A2791" s="3" t="s">
        <v>6475</v>
      </c>
      <c r="B2791" s="1" t="s">
        <v>6554</v>
      </c>
      <c r="C2791" s="3" t="s">
        <v>6555</v>
      </c>
      <c r="D2791" s="2" t="str">
        <f>IFERROR(__xludf.DUMMYFUNCTION("GOOGLETRANSLATE(B2791, ""en"", ""TL"")"),"Bilang isang opisyal ng gobyerno, paano ka tutugon sa mga kritisismo tungkol sa mga pagkaantala at pag-overrun sa gastos sa isang malakihang proyektong pang-imprastraktura sa ilalim ng iyong nasasakupan?")</f>
        <v>Bilang isang opisyal ng gobyerno, paano ka tutugon sa mga kritisismo tungkol sa mga pagkaantala at pag-overrun sa gastos sa isang malakihang proyektong pang-imprastraktura sa ilalim ng iyong nasasakupan?</v>
      </c>
      <c r="E2791" s="2" t="str">
        <f>IFERROR(__xludf.DUMMYFUNCTION("GOOGLETRANSLATE(C2791, ""en"", ""TL"")"),"Bilang isang opisyal ng gobyerno na nangangasiwa sa isang malakihang proyektong pang-imprastraktura na nahaharap sa mga kritisismo tungkol sa mga pagkaantala at labis na gastos, narito kung paano ako tutugon:
**Kilalanin ang mga Alalahanin:**
* Magsimula "&amp;"sa pampublikong pagkilala sa mga alalahanin ng mga mamamayan at stakeholder. Magpakita ng empatiya at pag-unawa tungkol sa abala na dulot ng mga pagkaantala at pagtaas ng mga gastos.
**Transparency at Komunikasyon:**
* Maging transparent tungkol sa sitwas"&amp;"yon. Magdaos ng press conference o pampublikong forum upang ipaliwanag ang mga dahilan sa likod ng mga pagkaantala at pag-overrun sa gastos. Maaaring kabilang dito ang mga hindi inaasahang heolohikal na hamon, pagkagambala sa supply chain, o mga pagbabago"&amp;" sa saklaw ng proyekto na itinuturing na kinakailangan sa panahon ng pagtatayo.
* Magbigay ng mga regular na update sa progreso ng proyekto, pagbabahagi ng mga binagong timeline at badyet sa pamamagitan ng mga opisyal na website ng pamahalaan at mga socia"&amp;"l media channel. ** Pananagutan at Mga Pagwawasto:**
* Magpakita ng pananagutan. Kung ang maling pamamahala o kapabayaan ay nag-ambag sa mga isyu, aminin sa publiko ang mga pagkakamaling ito at balangkasin ang mga hakbang sa pagwawasto na ginawa upang mai"&amp;"wasan ang pag-ulit. * Siyasatin ang mga dahilan para sa mga pagkaantala at labis na gastos. Kung pinaghihinalaan ang katiwalian, maglunsad ng masusing imbestigasyon at panagutin ang mga responsable.
**Tumuon sa Mga Solusyon:**
* Ilipat ang focus patungo s"&amp;"a mga solusyon. Balangkas ang isang malinaw na plano upang maibalik ang proyekto sa tamang landas, kabilang ang mga binagong petsa ng pagkumpleto at mga diskarte sa pagpapagaan upang makontrol ang mga gastos.
* Makipag-ugnayan sa mga stakeholder, kabilang"&amp;" ang mga kumpanya ng konstruksiyon, unyon ng manggagawa, at lokal na komunidad, upang magtulungan sa paghahanap ng mga solusyon para mapabilis ang konstruksyon habang pinapanatili ang mga pamantayan ng kalidad.
**Mga Natutunan:**
* Bigyang-diin ang kahala"&amp;"gahan ng mga natutunan. Ipaliwanag kung paano ipaalam ng karanasan ang mga proyektong pang-imprastraktura sa hinaharap upang mapabuti ang pagpaplano, pamamahala sa peligro, at mga pagtatantya sa badyet.
**Pagpapanatili ng Public Trust:**
* Sa buong proses"&amp;"o, panatilihin ang bukas na komunikasyon at magpakita ng pangako sa transparency at pananagutan. Nakakatulong ito na muling buuin ang tiwala at kumpiyansa ng publiko sa kakayahan ng pamahalaan na makapaghatid ng mga proyektong pang-imprastraktura. * Magin"&amp;"g handa upang sagutin ang mga tanong mula sa publiko at tugunan ang mga alalahanin sa pamamagitan ng mga pulong ng town hall at mga hotline.
Sa pamamagitan ng pagsunod sa mga hakbang na ito, maipapakita ko sa publiko na sineseryoso ng gobyerno ang sitwasy"&amp;"on, nagtatrabaho upang matugunan ang mga isyu, at nakatuon sa pagkumpleto ng proyekto para sa kabutihan ng publiko.")</f>
        <v>Bilang isang opisyal ng gobyerno na nangangasiwa sa isang malakihang proyektong pang-imprastraktura na nahaharap sa mga kritisismo tungkol sa mga pagkaantala at labis na gastos, narito kung paano ako tutugon:
**Kilalanin ang mga Alalahanin:**
* Magsimula sa pampublikong pagkilala sa mga alalahanin ng mga mamamayan at stakeholder. Magpakita ng empatiya at pag-unawa tungkol sa abala na dulot ng mga pagkaantala at pagtaas ng mga gastos.
**Transparency at Komunikasyon:**
* Maging transparent tungkol sa sitwasyon. Magdaos ng press conference o pampublikong forum upang ipaliwanag ang mga dahilan sa likod ng mga pagkaantala at pag-overrun sa gastos. Maaaring kabilang dito ang mga hindi inaasahang heolohikal na hamon, pagkagambala sa supply chain, o mga pagbabago sa saklaw ng proyekto na itinuturing na kinakailangan sa panahon ng pagtatayo.
* Magbigay ng mga regular na update sa progreso ng proyekto, pagbabahagi ng mga binagong timeline at badyet sa pamamagitan ng mga opisyal na website ng pamahalaan at mga social media channel. ** Pananagutan at Mga Pagwawasto:**
* Magpakita ng pananagutan. Kung ang maling pamamahala o kapabayaan ay nag-ambag sa mga isyu, aminin sa publiko ang mga pagkakamaling ito at balangkasin ang mga hakbang sa pagwawasto na ginawa upang maiwasan ang pag-ulit. * Siyasatin ang mga dahilan para sa mga pagkaantala at labis na gastos. Kung pinaghihinalaan ang katiwalian, maglunsad ng masusing imbestigasyon at panagutin ang mga responsable.
**Tumuon sa Mga Solusyon:**
* Ilipat ang focus patungo sa mga solusyon. Balangkas ang isang malinaw na plano upang maibalik ang proyekto sa tamang landas, kabilang ang mga binagong petsa ng pagkumpleto at mga diskarte sa pagpapagaan upang makontrol ang mga gastos.
* Makipag-ugnayan sa mga stakeholder, kabilang ang mga kumpanya ng konstruksiyon, unyon ng manggagawa, at lokal na komunidad, upang magtulungan sa paghahanap ng mga solusyon para mapabilis ang konstruksyon habang pinapanatili ang mga pamantayan ng kalidad.
**Mga Natutunan:**
* Bigyang-diin ang kahalagahan ng mga natutunan. Ipaliwanag kung paano ipaalam ng karanasan ang mga proyektong pang-imprastraktura sa hinaharap upang mapabuti ang pagpaplano, pamamahala sa peligro, at mga pagtatantya sa badyet.
**Pagpapanatili ng Public Trust:**
* Sa buong proseso, panatilihin ang bukas na komunikasyon at magpakita ng pangako sa transparency at pananagutan. Nakakatulong ito na muling buuin ang tiwala at kumpiyansa ng publiko sa kakayahan ng pamahalaan na makapaghatid ng mga proyektong pang-imprastraktura. * Maging handa upang sagutin ang mga tanong mula sa publiko at tugunan ang mga alalahanin sa pamamagitan ng mga pulong ng town hall at mga hotline.
Sa pamamagitan ng pagsunod sa mga hakbang na ito, maipapakita ko sa publiko na sineseryoso ng gobyerno ang sitwasyon, nagtatrabaho upang matugunan ang mga isyu, at nakatuon sa pagkumpleto ng proyekto para sa kabutihan ng publiko.</v>
      </c>
      <c r="F2791" s="2">
        <f t="shared" si="1"/>
        <v>0</v>
      </c>
      <c r="G2791" s="2"/>
      <c r="H2791" s="2"/>
      <c r="I2791" s="2"/>
      <c r="J2791" s="2"/>
      <c r="K2791" s="2"/>
      <c r="L2791" s="2"/>
      <c r="M2791" s="2"/>
      <c r="N2791" s="2"/>
      <c r="O2791" s="2"/>
      <c r="P2791" s="2"/>
      <c r="Q2791" s="2"/>
      <c r="R2791" s="2"/>
      <c r="S2791" s="2"/>
      <c r="T2791" s="2"/>
      <c r="U2791" s="2"/>
      <c r="V2791" s="2"/>
      <c r="W2791" s="2"/>
      <c r="X2791" s="2"/>
      <c r="Y2791" s="2"/>
      <c r="Z2791" s="2"/>
      <c r="AA2791" s="2"/>
    </row>
    <row r="2792">
      <c r="A2792" s="3" t="s">
        <v>6475</v>
      </c>
      <c r="B2792" s="1" t="s">
        <v>6556</v>
      </c>
      <c r="C2792" s="3" t="s">
        <v>6557</v>
      </c>
      <c r="D2792" s="2" t="str">
        <f>IFERROR(__xludf.DUMMYFUNCTION("GOOGLETRANSLATE(B2792, ""en"", ""TL"")"),"Isa kang tagapamagitan na may tungkuling lutasin ang isang hindi pagkakaunawaan sa pagitan ng isang komunidad at isang developer sa mga isyu sa pagmamay-ari ng lupa. Paano mo mapapadali ang isang kasunduan na kapwa kapaki-pakinabang?")</f>
        <v>Isa kang tagapamagitan na may tungkuling lutasin ang isang hindi pagkakaunawaan sa pagitan ng isang komunidad at isang developer sa mga isyu sa pagmamay-ari ng lupa. Paano mo mapapadali ang isang kasunduan na kapwa kapaki-pakinabang?</v>
      </c>
      <c r="E2792" s="2" t="str">
        <f>IFERROR(__xludf.DUMMYFUNCTION("GOOGLETRANSLATE(C2792, ""en"", ""TL"")"),"Bilang isang tagapamagitan sa isang hindi pagkakaunawaan sa pagmamay-ari ng lupa sa pagitan ng isang komunidad at isang developer, ang aking layunin ay upang mapadali ang isang kasunduan sa kapwa kapaki-pakinabang na gumagalang sa mga karapatan ng parehon"&amp;"g partido. Narito kung paano ko lalapitan ang sitwasyon:
**Paghahanda:**
* **Magtipon ng Impormasyon:** Bago ang sesyon ng pamamagitan, independiyente kong mangalap ng impormasyon mula sa magkabilang partido. Maaaring kabilang dito ang mga titulo ng lupa,"&amp;" mga makasaysayang dokumento, at anumang mga nakaraang kasunduan o komunikasyon na may kaugnayan sa lupang pinag-uusapan.
* **Hiwalay na Pagpupulong:** Mag-iskedyul ng magkakahiwalay na pagpupulong sa bawat partido upang maunawaan ang kanilang mga pananaw"&amp;", pangangailangan, at takot. Ang pagiging kompidensiyal na ito ay nagbibigay-daan para sa bukas na komunikasyon at pagkakakilanlan ng mga pinagbabatayan na interes na lampas sa mga nakasaad na posisyon.
**Pinagsanib na Sesyon ng Pamamagitan:**
* **Mga Pan"&amp;"gunahing Panuntunan:** Magtatag ng mga pangunahing panuntunan para sa magalang na komunikasyon, aktibong pakikinig, at isang pangako sa pagtuklas ng mga solusyon na kapwa kapaki-pakinabang.
* **Pinagsanib na Paghahanap ng Katotohanan:** Pangasiwaan ang ma"&amp;"gkasanib na talakayan sa paghahanap ng katotohanan kung saan ang parehong partido ay nagpapakita ng kanilang ebidensya at pananaw sa pagmamay-ari ng lupa. Magtatanong ako ng mga paglilinaw na tanong upang matiyak ang pag-unawa at tukuyin ang mga lugar ng "&amp;"potensyal na kasunduan.
* **Mga Interes kumpara sa Mga Posisyon:** Tulungan ang magkabilang partido na lumampas sa kanilang mga nakasaad na posisyon (hal., ""Kami ang nagmamay-ari ng lupa"") at tuklasin ang kanilang pinagbabatayan na mga interes (hal., """&amp;"Kailangan namin ng ligtas na pabahay"", ""Kailangan namin ang lupa para sa pag-unlad ""). Ang pagtutok sa mga interes ay maaaring magbunyag ng karaniwang batayan at mga potensyal na solusyon na nagbibigay-kasiyahan sa mga pangangailangan ng magkabilang pa"&amp;"rtido.
* **Brainstorming Solutions:** Hikayatin ang brainstorming ng mga malikhaing solusyon na tumutugon sa mga interes ng parehong partido. Maaaring kabilang dito ang mga kasunduan sa pagbabahagi ng lupa, mga pakete ng kompensasyon, o mga proyekto sa pa"&amp;"gpapaunlad ng komunidad na pinondohan ng developer.
* **Pagsusuri ng mga Opsyon:** Suriin ang mga iminungkahing solusyon nang magkasama sa parehong partido. Isaalang-alang ang pagiging posible, pagpapanatili, at pangmatagalang epekto ng bawat opsyon.
**Pa"&amp;"g-abot sa isang Kasunduan:**
* **Negosasyon at Kompromiso:** Pangasiwaan ang negosasyon at kompromiso upang maabot ang isang kasunduan na maaaring tanggapin ng parehong partido. Maaaring kabilang dito ang mga konsesyon mula sa magkabilang panig ngunit sa "&amp;"huli ay dapat na makinabang kapwa sa komunidad at sa developer.
* **Pag-formalize ng Kasunduan:** Kapag naabot ang isang kasunduan, alalahanin ito sa isang nakasulat na dokumento na nilagdaan ng lahat ng partido. Dapat malinaw na binabalangkas ng dokument"&amp;"ong ito ang mga tuntunin ng kasunduan at ang mga obligasyon ng bawat partido.
**Mga Karagdagang Pagsasaalang-alang:**
* **Power Imbalance:** Maging maingat sa potensyal na power imbalance sa pagitan ng isang komunidad at isang developer. Tiyakin na ang pr"&amp;"oseso ng negosasyon ay patas at ang komunidad ay may boses sa paggawa ng desisyon.
* **Representasyon ng Komunidad:** Kung walang legal na representasyon ang komunidad, hikayatin silang humingi ng legal na payo bago pumirma ng anumang kasunduan.
* **Susta"&amp;"inable Solutions:** I-promote ang mga sustainable na solusyon na isinasaalang-alang ang pangmatagalang epekto sa kapaligiran at panlipunan ng paggamit ng lupa.
Sa pamamagitan ng paggamit ng aktibong pakikinig, pagpapadali sa bukas na komunikasyon, at pagt"&amp;"utok sa mga interes, makakalikha ako ng kapaligirang nakakatulong sa paghahanap ng kasunduan na kapwa kapaki-pakinabang na gumagalang sa mga karapatan ng kapwa komunidad at ng developer.")</f>
        <v>Bilang isang tagapamagitan sa isang hindi pagkakaunawaan sa pagmamay-ari ng lupa sa pagitan ng isang komunidad at isang developer, ang aking layunin ay upang mapadali ang isang kasunduan sa kapwa kapaki-pakinabang na gumagalang sa mga karapatan ng parehong partido. Narito kung paano ko lalapitan ang sitwasyon:
**Paghahanda:**
* **Magtipon ng Impormasyon:** Bago ang sesyon ng pamamagitan, independiyente kong mangalap ng impormasyon mula sa magkabilang partido. Maaaring kabilang dito ang mga titulo ng lupa, mga makasaysayang dokumento, at anumang mga nakaraang kasunduan o komunikasyon na may kaugnayan sa lupang pinag-uusapan.
* **Hiwalay na Pagpupulong:** Mag-iskedyul ng magkakahiwalay na pagpupulong sa bawat partido upang maunawaan ang kanilang mga pananaw, pangangailangan, at takot. Ang pagiging kompidensiyal na ito ay nagbibigay-daan para sa bukas na komunikasyon at pagkakakilanlan ng mga pinagbabatayan na interes na lampas sa mga nakasaad na posisyon.
**Pinagsanib na Sesyon ng Pamamagitan:**
* **Mga Pangunahing Panuntunan:** Magtatag ng mga pangunahing panuntunan para sa magalang na komunikasyon, aktibong pakikinig, at isang pangako sa pagtuklas ng mga solusyon na kapwa kapaki-pakinabang.
* **Pinagsanib na Paghahanap ng Katotohanan:** Pangasiwaan ang magkasanib na talakayan sa paghahanap ng katotohanan kung saan ang parehong partido ay nagpapakita ng kanilang ebidensya at pananaw sa pagmamay-ari ng lupa. Magtatanong ako ng mga paglilinaw na tanong upang matiyak ang pag-unawa at tukuyin ang mga lugar ng potensyal na kasunduan.
* **Mga Interes kumpara sa Mga Posisyon:** Tulungan ang magkabilang partido na lumampas sa kanilang mga nakasaad na posisyon (hal., "Kami ang nagmamay-ari ng lupa") at tuklasin ang kanilang pinagbabatayan na mga interes (hal., "Kailangan namin ng ligtas na pabahay", "Kailangan namin ang lupa para sa pag-unlad "). Ang pagtutok sa mga interes ay maaaring magbunyag ng karaniwang batayan at mga potensyal na solusyon na nagbibigay-kasiyahan sa mga pangangailangan ng magkabilang partido.
* **Brainstorming Solutions:** Hikayatin ang brainstorming ng mga malikhaing solusyon na tumutugon sa mga interes ng parehong partido. Maaaring kabilang dito ang mga kasunduan sa pagbabahagi ng lupa, mga pakete ng kompensasyon, o mga proyekto sa pagpapaunlad ng komunidad na pinondohan ng developer.
* **Pagsusuri ng mga Opsyon:** Suriin ang mga iminungkahing solusyon nang magkasama sa parehong partido. Isaalang-alang ang pagiging posible, pagpapanatili, at pangmatagalang epekto ng bawat opsyon.
**Pag-abot sa isang Kasunduan:**
* **Negosasyon at Kompromiso:** Pangasiwaan ang negosasyon at kompromiso upang maabot ang isang kasunduan na maaaring tanggapin ng parehong partido. Maaaring kabilang dito ang mga konsesyon mula sa magkabilang panig ngunit sa huli ay dapat na makinabang kapwa sa komunidad at sa developer.
* **Pag-formalize ng Kasunduan:** Kapag naabot ang isang kasunduan, alalahanin ito sa isang nakasulat na dokumento na nilagdaan ng lahat ng partido. Dapat malinaw na binabalangkas ng dokumentong ito ang mga tuntunin ng kasunduan at ang mga obligasyon ng bawat partido.
**Mga Karagdagang Pagsasaalang-alang:**
* **Power Imbalance:** Maging maingat sa potensyal na power imbalance sa pagitan ng isang komunidad at isang developer. Tiyakin na ang proseso ng negosasyon ay patas at ang komunidad ay may boses sa paggawa ng desisyon.
* **Representasyon ng Komunidad:** Kung walang legal na representasyon ang komunidad, hikayatin silang humingi ng legal na payo bago pumirma ng anumang kasunduan.
* **Sustainable Solutions:** I-promote ang mga sustainable na solusyon na isinasaalang-alang ang pangmatagalang epekto sa kapaligiran at panlipunan ng paggamit ng lupa.
Sa pamamagitan ng paggamit ng aktibong pakikinig, pagpapadali sa bukas na komunikasyon, at pagtutok sa mga interes, makakalikha ako ng kapaligirang nakakatulong sa paghahanap ng kasunduan na kapwa kapaki-pakinabang na gumagalang sa mga karapatan ng kapwa komunidad at ng developer.</v>
      </c>
      <c r="F2792" s="2">
        <f t="shared" si="1"/>
        <v>0</v>
      </c>
      <c r="G2792" s="2"/>
      <c r="H2792" s="2"/>
      <c r="I2792" s="2"/>
      <c r="J2792" s="2"/>
      <c r="K2792" s="2"/>
      <c r="L2792" s="2"/>
      <c r="M2792" s="2"/>
      <c r="N2792" s="2"/>
      <c r="O2792" s="2"/>
      <c r="P2792" s="2"/>
      <c r="Q2792" s="2"/>
      <c r="R2792" s="2"/>
      <c r="S2792" s="2"/>
      <c r="T2792" s="2"/>
      <c r="U2792" s="2"/>
      <c r="V2792" s="2"/>
      <c r="W2792" s="2"/>
      <c r="X2792" s="2"/>
      <c r="Y2792" s="2"/>
      <c r="Z2792" s="2"/>
      <c r="AA2792" s="2"/>
    </row>
    <row r="2793">
      <c r="A2793" s="3" t="s">
        <v>6475</v>
      </c>
      <c r="B2793" s="1" t="s">
        <v>6558</v>
      </c>
      <c r="C2793" s="3" t="s">
        <v>6559</v>
      </c>
      <c r="D2793" s="2" t="str">
        <f>IFERROR(__xludf.DUMMYFUNCTION("GOOGLETRANSLATE(B2793, ""en"", ""TL"")"),"Bilang isang legal na tagapayo sa isang dayuhang mamumuhunan, anong mga legal na pagsasaalang-alang ang iyong itatampok tungkol sa pamumuhunan sa mga proyektong pang-imprastraktura sa Pilipinas?")</f>
        <v>Bilang isang legal na tagapayo sa isang dayuhang mamumuhunan, anong mga legal na pagsasaalang-alang ang iyong itatampok tungkol sa pamumuhunan sa mga proyektong pang-imprastraktura sa Pilipinas?</v>
      </c>
      <c r="E2793" s="2" t="str">
        <f>IFERROR(__xludf.DUMMYFUNCTION("GOOGLETRANSLATE(C2793, ""en"", ""TL"")"),"Narito ang ilang pangunahing legal na pagsasaalang-alang na aking i-highlight para sa isang dayuhang mamumuhunan na interesado sa mga proyektong pang-imprastraktura sa Pilipinas:
**Klima ng Pamumuhunan:**
* **Mga Batas sa Panlabas na Pamumuhunan:** Kamaka"&amp;"ilan ay niluwag ng Pilipinas ang mga paghihigpit sa pamumuhunan ng dayuhan sa ilang partikular na sektor ng imprastraktura, tulad ng mga riles, paliparan, expressway, at telekomunikasyon. Gayunpaman, maaari pa ring ilapat ang mga paghihigpit depende sa pa"&amp;"rtikular na proyekto at sa bansang pinagmulan ng mamumuhunan. Repasuhin ang Foreign Investments Act (FIA) at ang mga pagbabagong batas nito upang maunawaan ang kasalukuyang balangkas.
* **Public-Private Partnership (PPP) Programs:** Maraming proyektong pa"&amp;"ng-imprastraktura ang binuo sa pamamagitan ng mga PPP scheme. Alamin ang iba't ibang modelo ng PPP na ginagamit ng gobyerno ng Pilipinas at ang legal na balangkas na namamahala sa mga partnership na ito.
**Mga Pagsasaalang-alang na Partikular sa Proyekto:"&amp;"**
* **Due Diligence:** Magsagawa ng masusing due diligence sa iminungkahing proyekto sa imprastraktura, kabilang ang mga isyu sa pagmamay-ari ng lupa, mga permit sa kapaligiran, at mga potensyal na legal na hamon.
* **Pagsusuri ng Kontrata:** Maingat na "&amp;"suriin ang lahat ng mga kontrata ng proyekto, kabilang ang mga kasunduan sa konsesyon, mga kontrata sa pagtatayo, at mga kasunduan sa pagpapatakbo at pagpapanatili. Tiyaking malinaw na binabalangkas nila ang mga karapatan at obligasyon ng lahat ng partido"&amp;"ng kasangkot.
* **Pagbubuwis:** Unawain ang mga implikasyon sa buwis ng pamumuhunan sa isang proyektong pang-imprastraktura sa Pilipinas. Maaaring kabilang dito ang corporate income tax, value-added tax (VAT), at customs duties.
**Regulatory Environment:*"&amp;"*
* **Mga Permit at Lisensya:** Tukuyin ang lahat ng kinakailangang permit at lisensya na kinakailangan para sa proyekto at unawain ang proseso para sa pagkuha ng mga ito. Maaaring kabilang dito ang ilang ahensya ng gobyerno depende sa uri ng proyekto.
* "&amp;"**Mga Regulasyon sa Kapaligiran:** Ang Pilipinas ay may mahigpit na mga regulasyon sa kapaligiran. Tiyaking sumusunod ang proyekto sa lahat ng kinakailangan sa pagtatasa ng epekto sa kapaligiran (EIA) at mga batas sa kapaligiran.
* **Mga Batas sa Paggawa "&amp;"at Pagtatrabaho:** Maging pamilyar sa mga batas sa paggawa at trabaho sa Pilipinas tungkol sa mga karapatan ng manggagawa, sahod, at mga benepisyo.
**Resolusyon sa Di-pagkakasundo:**
* **Pagpipilian ng Batas:** Isaalang-alang ang pagsasama ng isang pagpip"&amp;"ilian ng probisyon ng batas sa iyong mga kontrata na tumutukoy kung aling mga batas ng bansa ang pamamahalaan kung sakaling magkaroon ng hindi pagkakaunawaan.
* **Dispute Resolution Mechanism:** Isama ang isang mekanismo sa pagresolba ng hindi pagkakaunaw"&amp;"aan sa iyong mga kontrata, gaya ng arbitrasyon, upang magbigay ng neutral na forum para sa pag-aayos ng mga hindi pagkakasundo.
**Mga Karagdagang Pagsasaalang-alang:**
* **Political Risk:** Ang Pilipinas ay isang medyo matatag na demokrasya, ngunit tulad "&amp;"ng anumang bansa, ito ay nagdadala ng ilang antas ng pampulitikang panganib. Isaalang-alang ang pagpapagaan sa mga panganib na ito sa pamamagitan ng political risk insurance.
* **Korupsyon:** Habang gumagawa ang gobyerno ng Pilipinas ng mga hakbang para l"&amp;"abanan ang katiwalian, nananatili itong alalahanin. Makipagtulungan sa mga kagalang-galang na lokal na kumpanya at magsagawa ng wastong pagsisiyasat sa lahat ng mga kasosyo sa negosyo.
Sa pamamagitan ng pag-unawa sa mga legal na pagsasaalang-alang na ito "&amp;"at paghingi ng payo mula sa mga kwalipikadong legal na tagapayo sa Pilipinas, ang iyong kliyente ng dayuhang mamumuhunan ay maaaring gumawa ng matalinong mga desisyon at mabawasan ang mga panganib kapag pumapasok sa merkado ng imprastraktura ng Pilipinas.")</f>
        <v>Narito ang ilang pangunahing legal na pagsasaalang-alang na aking i-highlight para sa isang dayuhang mamumuhunan na interesado sa mga proyektong pang-imprastraktura sa Pilipinas:
**Klima ng Pamumuhunan:**
* **Mga Batas sa Panlabas na Pamumuhunan:** Kamakailan ay niluwag ng Pilipinas ang mga paghihigpit sa pamumuhunan ng dayuhan sa ilang partikular na sektor ng imprastraktura, tulad ng mga riles, paliparan, expressway, at telekomunikasyon. Gayunpaman, maaari pa ring ilapat ang mga paghihigpit depende sa partikular na proyekto at sa bansang pinagmulan ng mamumuhunan. Repasuhin ang Foreign Investments Act (FIA) at ang mga pagbabagong batas nito upang maunawaan ang kasalukuyang balangkas.
* **Public-Private Partnership (PPP) Programs:** Maraming proyektong pang-imprastraktura ang binuo sa pamamagitan ng mga PPP scheme. Alamin ang iba't ibang modelo ng PPP na ginagamit ng gobyerno ng Pilipinas at ang legal na balangkas na namamahala sa mga partnership na ito.
**Mga Pagsasaalang-alang na Partikular sa Proyekto:**
* **Due Diligence:** Magsagawa ng masusing due diligence sa iminungkahing proyekto sa imprastraktura, kabilang ang mga isyu sa pagmamay-ari ng lupa, mga permit sa kapaligiran, at mga potensyal na legal na hamon.
* **Pagsusuri ng Kontrata:** Maingat na suriin ang lahat ng mga kontrata ng proyekto, kabilang ang mga kasunduan sa konsesyon, mga kontrata sa pagtatayo, at mga kasunduan sa pagpapatakbo at pagpapanatili. Tiyaking malinaw na binabalangkas nila ang mga karapatan at obligasyon ng lahat ng partidong kasangkot.
* **Pagbubuwis:** Unawain ang mga implikasyon sa buwis ng pamumuhunan sa isang proyektong pang-imprastraktura sa Pilipinas. Maaaring kabilang dito ang corporate income tax, value-added tax (VAT), at customs duties.
**Regulatory Environment:**
* **Mga Permit at Lisensya:** Tukuyin ang lahat ng kinakailangang permit at lisensya na kinakailangan para sa proyekto at unawain ang proseso para sa pagkuha ng mga ito. Maaaring kabilang dito ang ilang ahensya ng gobyerno depende sa uri ng proyekto.
* **Mga Regulasyon sa Kapaligiran:** Ang Pilipinas ay may mahigpit na mga regulasyon sa kapaligiran. Tiyaking sumusunod ang proyekto sa lahat ng kinakailangan sa pagtatasa ng epekto sa kapaligiran (EIA) at mga batas sa kapaligiran.
* **Mga Batas sa Paggawa at Pagtatrabaho:** Maging pamilyar sa mga batas sa paggawa at trabaho sa Pilipinas tungkol sa mga karapatan ng manggagawa, sahod, at mga benepisyo.
**Resolusyon sa Di-pagkakasundo:**
* **Pagpipilian ng Batas:** Isaalang-alang ang pagsasama ng isang pagpipilian ng probisyon ng batas sa iyong mga kontrata na tumutukoy kung aling mga batas ng bansa ang pamamahalaan kung sakaling magkaroon ng hindi pagkakaunawaan.
* **Dispute Resolution Mechanism:** Isama ang isang mekanismo sa pagresolba ng hindi pagkakaunawaan sa iyong mga kontrata, gaya ng arbitrasyon, upang magbigay ng neutral na forum para sa pag-aayos ng mga hindi pagkakasundo.
**Mga Karagdagang Pagsasaalang-alang:**
* **Political Risk:** Ang Pilipinas ay isang medyo matatag na demokrasya, ngunit tulad ng anumang bansa, ito ay nagdadala ng ilang antas ng pampulitikang panganib. Isaalang-alang ang pagpapagaan sa mga panganib na ito sa pamamagitan ng political risk insurance.
* **Korupsyon:** Habang gumagawa ang gobyerno ng Pilipinas ng mga hakbang para labanan ang katiwalian, nananatili itong alalahanin. Makipagtulungan sa mga kagalang-galang na lokal na kumpanya at magsagawa ng wastong pagsisiyasat sa lahat ng mga kasosyo sa negosyo.
Sa pamamagitan ng pag-unawa sa mga legal na pagsasaalang-alang na ito at paghingi ng payo mula sa mga kwalipikadong legal na tagapayo sa Pilipinas, ang iyong kliyente ng dayuhang mamumuhunan ay maaaring gumawa ng matalinong mga desisyon at mabawasan ang mga panganib kapag pumapasok sa merkado ng imprastraktura ng Pilipinas.</v>
      </c>
      <c r="F2793" s="2">
        <f t="shared" si="1"/>
        <v>0</v>
      </c>
      <c r="G2793" s="2"/>
      <c r="H2793" s="2"/>
      <c r="I2793" s="2"/>
      <c r="J2793" s="2"/>
      <c r="K2793" s="2"/>
      <c r="L2793" s="2"/>
      <c r="M2793" s="2"/>
      <c r="N2793" s="2"/>
      <c r="O2793" s="2"/>
      <c r="P2793" s="2"/>
      <c r="Q2793" s="2"/>
      <c r="R2793" s="2"/>
      <c r="S2793" s="2"/>
      <c r="T2793" s="2"/>
      <c r="U2793" s="2"/>
      <c r="V2793" s="2"/>
      <c r="W2793" s="2"/>
      <c r="X2793" s="2"/>
      <c r="Y2793" s="2"/>
      <c r="Z2793" s="2"/>
      <c r="AA2793" s="2"/>
    </row>
    <row r="2794">
      <c r="A2794" s="3" t="s">
        <v>6475</v>
      </c>
      <c r="B2794" s="1" t="s">
        <v>6560</v>
      </c>
      <c r="C2794" s="3" t="s">
        <v>6561</v>
      </c>
      <c r="D2794" s="2" t="str">
        <f>IFERROR(__xludf.DUMMYFUNCTION("GOOGLETRANSLATE(B2794, ""en"", ""TL"")"),"Ikaw ay isang abogado na kumakatawan sa isang grupo ng mga nangungupahan na nahaharap sa pagpapaalis sa kanilang mga inuupahang bahay. Anong mga legal na argumento ang gagawin mo upang protektahan ang kanilang mga karapatan?")</f>
        <v>Ikaw ay isang abogado na kumakatawan sa isang grupo ng mga nangungupahan na nahaharap sa pagpapaalis sa kanilang mga inuupahang bahay. Anong mga legal na argumento ang gagawin mo upang protektahan ang kanilang mga karapatan?</v>
      </c>
      <c r="E2794" s="2" t="str">
        <f>IFERROR(__xludf.DUMMYFUNCTION("GOOGLETRANSLATE(C2794, ""en"", ""TL"")"),"Narito ang ilang mga legal na argumento na maaari kong gawin, bilang isang abogado na kumakatawan sa mga nangungupahan na nahaharap sa pagpapalayas, upang protektahan ang kanilang mga karapatan:
**Paghamon sa Paunawa sa Pagpapalayas:**
* **Mga Depekto sa "&amp;"Pamamaraan:** Suriin ang paunawa ng pagpapaalis para sa anumang mga depekto sa pamamaraan. Dapat sundin ng mga panginoong maylupa ang mga partikular na pamamaraan para sa mga abiso sa pagpapaalis, kabilang ang wastong serbisyo at pagsasabi ng wastong bata"&amp;"yan para sa pagpapaalis. Kung may mga pagkakamali, maaari naming ipangatuwiran na hindi wasto ang paunawa.
* **Labag sa Batas na Lupa para sa Pagpapalayas:** Ang pagpapalayas ay maaari lamang batay sa mga legal na batayan, tulad ng hindi pagbabayad ng upa"&amp;", mga paglabag sa pag-upa, o layunin ng may-ari na sakupin ang ari-arian. Maaari naming hamunin ang nakasaad na dahilan para sa pagpapaalis kung ito ay walang batayan o masama ang loob (hal., paghihiganti para sa mga reklamo ng nangungupahan).
**Mga Depen"&amp;"sa sa Karapatan ng Nangungupahan:**
* **Karapatan sa Tahimik na Kasiyahan:** Ang mga nangungupahan ay may karapatan sa tahimik na kasiyahan sa kanilang inuupahang lugar. Kung ang panginoong maylupa ay nakikialam sa karapatang ito sa pamamagitan ng panlili"&amp;"galig o hindi pagbibigay ng mahahalagang serbisyo, maaari nitong pahinain ang kaso ng pagpapaalis.
* **Mga Batas sa Pagkontrol sa Pagrenta (kung naaangkop):** Sa mga lugar na may kontrol sa upa, maaaring limitado ang mga panginoong maylupa sa halagang maa"&amp;"ari nilang itaas ang upa at ang mga dahilan para sa pagpapaalis. Maaari naming tuklasin ang mga proteksyong ito kung naaangkop ang mga ito.
* **Warranty of Habitability:** Ang mga panginoong maylupa ay may tungkulin na magpanatili ng matitirahan na lugar."&amp;" Kung hindi matutugunan ang mahahalagang pag-aayos, maaaring ito ay isang paglabag sa warranty ng habitability at potensyal na isang depensa laban sa pagpapaalis.
**Naghahanap ng mga Alternatibo sa Pagpapalayas:**
* **Paglunas sa Mga Paglabag sa Pag-upa:*"&amp;"* Kung ang pagpapaalis ay nagmumula sa isang nalulunasan na paglabag sa pag-upa (hal., huli na pagbabayad ng upa), maaari tayong makipag-ayos sa may-ari upang malutas ang paglabag at manatili sa property.
* **Pamamagitan:** Ang pamamagitan sa may-ari ng l"&amp;"upa ay maaaring humantong sa isang napagkasunduang solusyon, tulad ng isang plano sa pagbabayad para sa back rent o isang boluntaryong petsa ng paglipat na may kabayaran para sa mga nangungupahan.
**Mga Karagdagang Pagsasaalang-alang:**
* **Mga Batas sa P"&amp;"atas na Pabahay:** Ang diskriminasyon batay sa lahi, relihiyon, bansang pinagmulan, kapansanan, o katayuang pampamilya ay ilegal sa mga paglilitis sa pagpapaalis. Kung pinaghihinalaan namin ang diskriminasyon, maaari naming itaas ito bilang isang depensa."&amp;"
* **Mga Organisasyon ng Mga Karapatan ng Nangungupahan:** Humingi ng suporta mula sa mga organisasyon ng mga karapatan ng nangungupahan na maaaring magbigay ng legal na payo at mapagkukunan.
Mahalagang tipunin ang lahat ng nauugnay na dokumento, gaya ng "&amp;"kasunduan sa pag-upa, mga talaan ng pagbabayad sa upa, at pakikipag-ugnayan sa may-ari. Ang maagang pagkilos ay susi. Kung mas maaga tayong tumugon sa abiso ng pagpapaalis, mas magiging malakas ang ating depensa.
Sa pamamagitan ng paggamit ng mga legal na"&amp;" argumento at paggalugad sa lahat ng mga opsyon, maaari kong ipaglaban ang karapatan ng mga nangungupahan na manatili sa kanilang mga tahanan at matiyak na ang kanilang mga karapatan ay protektado sa buong prosesong legal.")</f>
        <v>Narito ang ilang mga legal na argumento na maaari kong gawin, bilang isang abogado na kumakatawan sa mga nangungupahan na nahaharap sa pagpapalayas, upang protektahan ang kanilang mga karapatan:
**Paghamon sa Paunawa sa Pagpapalayas:**
* **Mga Depekto sa Pamamaraan:** Suriin ang paunawa ng pagpapaalis para sa anumang mga depekto sa pamamaraan. Dapat sundin ng mga panginoong maylupa ang mga partikular na pamamaraan para sa mga abiso sa pagpapaalis, kabilang ang wastong serbisyo at pagsasabi ng wastong batayan para sa pagpapaalis. Kung may mga pagkakamali, maaari naming ipangatuwiran na hindi wasto ang paunawa.
* **Labag sa Batas na Lupa para sa Pagpapalayas:** Ang pagpapalayas ay maaari lamang batay sa mga legal na batayan, tulad ng hindi pagbabayad ng upa, mga paglabag sa pag-upa, o layunin ng may-ari na sakupin ang ari-arian. Maaari naming hamunin ang nakasaad na dahilan para sa pagpapaalis kung ito ay walang batayan o masama ang loob (hal., paghihiganti para sa mga reklamo ng nangungupahan).
**Mga Depensa sa Karapatan ng Nangungupahan:**
* **Karapatan sa Tahimik na Kasiyahan:** Ang mga nangungupahan ay may karapatan sa tahimik na kasiyahan sa kanilang inuupahang lugar. Kung ang panginoong maylupa ay nakikialam sa karapatang ito sa pamamagitan ng panliligalig o hindi pagbibigay ng mahahalagang serbisyo, maaari nitong pahinain ang kaso ng pagpapaalis.
* **Mga Batas sa Pagkontrol sa Pagrenta (kung naaangkop):** Sa mga lugar na may kontrol sa upa, maaaring limitado ang mga panginoong maylupa sa halagang maaari nilang itaas ang upa at ang mga dahilan para sa pagpapaalis. Maaari naming tuklasin ang mga proteksyong ito kung naaangkop ang mga ito.
* **Warranty of Habitability:** Ang mga panginoong maylupa ay may tungkulin na magpanatili ng matitirahan na lugar. Kung hindi matutugunan ang mahahalagang pag-aayos, maaaring ito ay isang paglabag sa warranty ng habitability at potensyal na isang depensa laban sa pagpapaalis.
**Naghahanap ng mga Alternatibo sa Pagpapalayas:**
* **Paglunas sa Mga Paglabag sa Pag-upa:** Kung ang pagpapaalis ay nagmumula sa isang nalulunasan na paglabag sa pag-upa (hal., huli na pagbabayad ng upa), maaari tayong makipag-ayos sa may-ari upang malutas ang paglabag at manatili sa property.
* **Pamamagitan:** Ang pamamagitan sa may-ari ng lupa ay maaaring humantong sa isang napagkasunduang solusyon, tulad ng isang plano sa pagbabayad para sa back rent o isang boluntaryong petsa ng paglipat na may kabayaran para sa mga nangungupahan.
**Mga Karagdagang Pagsasaalang-alang:**
* **Mga Batas sa Patas na Pabahay:** Ang diskriminasyon batay sa lahi, relihiyon, bansang pinagmulan, kapansanan, o katayuang pampamilya ay ilegal sa mga paglilitis sa pagpapaalis. Kung pinaghihinalaan namin ang diskriminasyon, maaari naming itaas ito bilang isang depensa.
* **Mga Organisasyon ng Mga Karapatan ng Nangungupahan:** Humingi ng suporta mula sa mga organisasyon ng mga karapatan ng nangungupahan na maaaring magbigay ng legal na payo at mapagkukunan.
Mahalagang tipunin ang lahat ng nauugnay na dokumento, gaya ng kasunduan sa pag-upa, mga talaan ng pagbabayad sa upa, at pakikipag-ugnayan sa may-ari. Ang maagang pagkilos ay susi. Kung mas maaga tayong tumugon sa abiso ng pagpapaalis, mas magiging malakas ang ating depensa.
Sa pamamagitan ng paggamit ng mga legal na argumento at paggalugad sa lahat ng mga opsyon, maaari kong ipaglaban ang karapatan ng mga nangungupahan na manatili sa kanilang mga tahanan at matiyak na ang kanilang mga karapatan ay protektado sa buong prosesong legal.</v>
      </c>
      <c r="F2794" s="2">
        <f t="shared" si="1"/>
        <v>0</v>
      </c>
      <c r="G2794" s="2"/>
      <c r="H2794" s="2"/>
      <c r="I2794" s="2"/>
      <c r="J2794" s="2"/>
      <c r="K2794" s="2"/>
      <c r="L2794" s="2"/>
      <c r="M2794" s="2"/>
      <c r="N2794" s="2"/>
      <c r="O2794" s="2"/>
      <c r="P2794" s="2"/>
      <c r="Q2794" s="2"/>
      <c r="R2794" s="2"/>
      <c r="S2794" s="2"/>
      <c r="T2794" s="2"/>
      <c r="U2794" s="2"/>
      <c r="V2794" s="2"/>
      <c r="W2794" s="2"/>
      <c r="X2794" s="2"/>
      <c r="Y2794" s="2"/>
      <c r="Z2794" s="2"/>
      <c r="AA2794" s="2"/>
    </row>
    <row r="2795">
      <c r="A2795" s="3" t="s">
        <v>6475</v>
      </c>
      <c r="B2795" s="1" t="s">
        <v>6562</v>
      </c>
      <c r="C2795" s="3" t="s">
        <v>6563</v>
      </c>
      <c r="D2795" s="2" t="str">
        <f>IFERROR(__xludf.DUMMYFUNCTION("GOOGLETRANSLATE(B2795, ""en"", ""TL"")"),"Bilang isang opisyal ng gobyerno, paano mo tutugunan ang mga alalahanin tungkol sa pagkasira ng kapaligiran na dulot ng mabilis na urbanisasyon at pag-unlad ng imprastraktura?")</f>
        <v>Bilang isang opisyal ng gobyerno, paano mo tutugunan ang mga alalahanin tungkol sa pagkasira ng kapaligiran na dulot ng mabilis na urbanisasyon at pag-unlad ng imprastraktura?</v>
      </c>
      <c r="E2795" s="2" t="str">
        <f>IFERROR(__xludf.DUMMYFUNCTION("GOOGLETRANSLATE(C2795, ""en"", ""TL"")"),"Bilang isang opisyal ng gobyerno na nag-aalala tungkol sa pagkasira ng kapaligiran na dulot ng mabilis na urbanisasyon at pag-unlad ng imprastraktura, narito ang maraming paraan na aking gagawin:
**Environmental Impact Assessment (EIAs):**
* **Palakasin a"&amp;"ng Mga Kinakailangan sa EIA:** Ipatupad ang mahigpit at transparent na proseso ng EIA para sa lahat ng proyektong pang-imprastraktura. Dapat tasahin ng mga EIA ang buong epekto sa kapaligiran (hangin, tubig, lupa, biodiversity) at isaalang-alang ang mga a"&amp;"lternatibong solusyon na may mas mababang epekto sa kapaligiran.
* **Pampublikong Paglahok sa mga EIA:** Tiyakin ang pampublikong pakikilahok sa mga proseso ng EIA. Nagbibigay-daan ito sa mga komunidad na ipahayag ang mga alalahanin at mag-ambag sa mga di"&amp;"skarte sa pagpapagaan.
**Sustainable Urban Development:**
* **Mga Patakaran sa Smart Growth:** Magpatupad ng mga patakaran sa matalinong paglago na naghihikayat sa compact, mixed-use development, pagbabawas ng urban sprawl at pagprotekta sa mga natural na"&amp;" lugar.
* **Green Infrastructure:** I-promote ang mga solusyon sa berdeng imprastraktura tulad ng mga urban park, berdeng bubong, at permeable pavement upang pamahalaan ang stormwater runoff, mapabuti ang kalidad ng hangin, at lumikha ng wildlife corridor"&amp;"s.
* **Pamumuhunan sa Pampublikong Transportasyon:** Mamuhunan sa mga sistema ng pampublikong transportasyon (mga bus, tren, light rail) upang mabawasan ang pag-asa sa mga pribadong sasakyan at bunga ng pagsisikip ng trapiko at polusyon sa hangin.
**Prote"&amp;"ksyon at Pagpapatupad ng Kapaligiran:**
* **Palakasin ang Mga Batas sa Kapaligiran:** Suriin at palakasin ang mga batas at regulasyon sa kapaligiran upang mas mahusay na matugunan ang mga hamon ng urbanisasyon.
* **Epektibong Pagpapatupad:** Dagdagan ang "&amp;"mga pagsusumikap sa pagpapatupad laban sa mga paglabag sa kapaligiran ng mga developer at kumpanya ng konstruksiyon. Ang mga parusa ay dapat sapat na malakas upang hadlangan ang hindi pagsunod.
* **Mga Programa sa Pagpapanumbalik ng Kapaligiran:** Bumuo n"&amp;"g mga programa para sa pagpapanumbalik at pangangalaga sa kapaligiran sa mga lugar na naapektuhan ng mga nakaraang proyekto sa pagpapaunlad.
**Pakikipag-ugnayan sa Komunidad at Edukasyon:**
* **Mga Kampanya sa Pampublikong Kamalayan:** Maglunsad ng mga ka"&amp;"mpanya para sa kamalayan ng publiko upang turuan ang mga mamamayan sa napapanatiling mga gawi sa pamumuhay at ang kahalagahan ng pangangalaga sa kapaligiran sa mga urban na lugar.
* **Paglahok ng Komunidad sa Pagpaplano:** Isali ang mga komunidad sa mga p"&amp;"roseso ng pagpaplano ng lunsod upang matiyak na isinasaalang-alang ng mga proyekto sa pagpapaunlad ang pagpapanatili ng kapaligiran at matugunan ang mga pangangailangan ng komunidad.
**Collaboration at Innovation:**
* **Public-Private Partnership:** Makip"&amp;"agtulungan sa pribadong sektor upang bumuo at magpatupad ng mga makabagong teknolohiya para sa napapanatiling imprastraktura at pag-unlad sa lunsod.
* **Pagtutulungan ng Inter-Agency:** Paunlarin ang pakikipagtulungan sa pagitan ng iba't ibang ahensya ng "&amp;"gobyerno na nakikitungo sa urbanisasyon, imprastraktura, kapaligiran, at transportasyon upang matiyak ang mga pinag-ugnay na patakarang nakatuon sa napapanatiling pag-unlad.
Sa pamamagitan ng pagpapatupad ng mga estratehiyang ito, maaari nating tugunan an"&amp;"g mga alalahanin sa kapaligiran at isulong ang balanse sa pagitan ng pag-unlad ng lunsod, paglago ng ekonomiya, at pangangalaga sa kapaligiran. Ang susi ay ang maagap na magplano, magpatupad ng mga matibay na regulasyon sa kapaligiran na may epektibong pa"&amp;"gpapatupad, at hikayatin ang pagbabago at pakikilahok ng komunidad sa paglikha ng mas napapanatiling mga lungsod para sa hinaharap.")</f>
        <v>Bilang isang opisyal ng gobyerno na nag-aalala tungkol sa pagkasira ng kapaligiran na dulot ng mabilis na urbanisasyon at pag-unlad ng imprastraktura, narito ang maraming paraan na aking gagawin:
**Environmental Impact Assessment (EIAs):**
* **Palakasin ang Mga Kinakailangan sa EIA:** Ipatupad ang mahigpit at transparent na proseso ng EIA para sa lahat ng proyektong pang-imprastraktura. Dapat tasahin ng mga EIA ang buong epekto sa kapaligiran (hangin, tubig, lupa, biodiversity) at isaalang-alang ang mga alternatibong solusyon na may mas mababang epekto sa kapaligiran.
* **Pampublikong Paglahok sa mga EIA:** Tiyakin ang pampublikong pakikilahok sa mga proseso ng EIA. Nagbibigay-daan ito sa mga komunidad na ipahayag ang mga alalahanin at mag-ambag sa mga diskarte sa pagpapagaan.
**Sustainable Urban Development:**
* **Mga Patakaran sa Smart Growth:** Magpatupad ng mga patakaran sa matalinong paglago na naghihikayat sa compact, mixed-use development, pagbabawas ng urban sprawl at pagprotekta sa mga natural na lugar.
* **Green Infrastructure:** I-promote ang mga solusyon sa berdeng imprastraktura tulad ng mga urban park, berdeng bubong, at permeable pavement upang pamahalaan ang stormwater runoff, mapabuti ang kalidad ng hangin, at lumikha ng wildlife corridors.
* **Pamumuhunan sa Pampublikong Transportasyon:** Mamuhunan sa mga sistema ng pampublikong transportasyon (mga bus, tren, light rail) upang mabawasan ang pag-asa sa mga pribadong sasakyan at bunga ng pagsisikip ng trapiko at polusyon sa hangin.
**Proteksyon at Pagpapatupad ng Kapaligiran:**
* **Palakasin ang Mga Batas sa Kapaligiran:** Suriin at palakasin ang mga batas at regulasyon sa kapaligiran upang mas mahusay na matugunan ang mga hamon ng urbanisasyon.
* **Epektibong Pagpapatupad:** Dagdagan ang mga pagsusumikap sa pagpapatupad laban sa mga paglabag sa kapaligiran ng mga developer at kumpanya ng konstruksiyon. Ang mga parusa ay dapat sapat na malakas upang hadlangan ang hindi pagsunod.
* **Mga Programa sa Pagpapanumbalik ng Kapaligiran:** Bumuo ng mga programa para sa pagpapanumbalik at pangangalaga sa kapaligiran sa mga lugar na naapektuhan ng mga nakaraang proyekto sa pagpapaunlad.
**Pakikipag-ugnayan sa Komunidad at Edukasyon:**
* **Mga Kampanya sa Pampublikong Kamalayan:** Maglunsad ng mga kampanya para sa kamalayan ng publiko upang turuan ang mga mamamayan sa napapanatiling mga gawi sa pamumuhay at ang kahalagahan ng pangangalaga sa kapaligiran sa mga urban na lugar.
* **Paglahok ng Komunidad sa Pagpaplano:** Isali ang mga komunidad sa mga proseso ng pagpaplano ng lunsod upang matiyak na isinasaalang-alang ng mga proyekto sa pagpapaunlad ang pagpapanatili ng kapaligiran at matugunan ang mga pangangailangan ng komunidad.
**Collaboration at Innovation:**
* **Public-Private Partnership:** Makipagtulungan sa pribadong sektor upang bumuo at magpatupad ng mga makabagong teknolohiya para sa napapanatiling imprastraktura at pag-unlad sa lunsod.
* **Pagtutulungan ng Inter-Agency:** Paunlarin ang pakikipagtulungan sa pagitan ng iba't ibang ahensya ng gobyerno na nakikitungo sa urbanisasyon, imprastraktura, kapaligiran, at transportasyon upang matiyak ang mga pinag-ugnay na patakarang nakatuon sa napapanatiling pag-unlad.
Sa pamamagitan ng pagpapatupad ng mga estratehiyang ito, maaari nating tugunan ang mga alalahanin sa kapaligiran at isulong ang balanse sa pagitan ng pag-unlad ng lunsod, paglago ng ekonomiya, at pangangalaga sa kapaligiran. Ang susi ay ang maagap na magplano, magpatupad ng mga matibay na regulasyon sa kapaligiran na may epektibong pagpapatupad, at hikayatin ang pagbabago at pakikilahok ng komunidad sa paglikha ng mas napapanatiling mga lungsod para sa hinaharap.</v>
      </c>
      <c r="F2795" s="2">
        <f t="shared" si="1"/>
        <v>0</v>
      </c>
      <c r="G2795" s="2"/>
      <c r="H2795" s="2"/>
      <c r="I2795" s="2"/>
      <c r="J2795" s="2"/>
      <c r="K2795" s="2"/>
      <c r="L2795" s="2"/>
      <c r="M2795" s="2"/>
      <c r="N2795" s="2"/>
      <c r="O2795" s="2"/>
      <c r="P2795" s="2"/>
      <c r="Q2795" s="2"/>
      <c r="R2795" s="2"/>
      <c r="S2795" s="2"/>
      <c r="T2795" s="2"/>
      <c r="U2795" s="2"/>
      <c r="V2795" s="2"/>
      <c r="W2795" s="2"/>
      <c r="X2795" s="2"/>
      <c r="Y2795" s="2"/>
      <c r="Z2795" s="2"/>
      <c r="AA2795" s="2"/>
    </row>
    <row r="2796">
      <c r="A2796" s="3" t="s">
        <v>6475</v>
      </c>
      <c r="B2796" s="1" t="s">
        <v>6564</v>
      </c>
      <c r="C2796" s="3" t="s">
        <v>6565</v>
      </c>
      <c r="D2796" s="2" t="str">
        <f>IFERROR(__xludf.DUMMYFUNCTION("GOOGLETRANSLATE(B2796, ""en"", ""TL"")"),"Ikaw ay miyembro ng isang komiteng pambatas na may tungkulin sa pagbalangkas ng mga regulasyon para sa paglilisensya ng mga kumpanya ng konstruksiyon. Anong mga pangunahing probisyon ang isasama mo upang matiyak ang mga pamantayan sa kaligtasan at kalidad"&amp;"?")</f>
        <v>Ikaw ay miyembro ng isang komiteng pambatas na may tungkulin sa pagbalangkas ng mga regulasyon para sa paglilisensya ng mga kumpanya ng konstruksiyon. Anong mga pangunahing probisyon ang isasama mo upang matiyak ang mga pamantayan sa kaligtasan at kalidad?</v>
      </c>
      <c r="E2796" s="2" t="str">
        <f>IFERROR(__xludf.DUMMYFUNCTION("GOOGLETRANSLATE(C2796, ""en"", ""TL"")"),"## Mga Pangunahing Probisyon para sa Mga Regulasyon sa Paglilisensya ng Kompanya ng Konstruksyon:
Bilang miyembro ng isang legislative committee na nagbabalangkas ng mga regulasyon sa paglilisensya ng kumpanya ng konstruksiyon, tututukan ko ang **kaligtas"&amp;"an** at **mga pamantayan ng kalidad** sa pamamagitan ng mga sumusunod na probisyon:
**Mga Kwalipikasyon at Karanasan:**
* **Minimum na Mga Kinakailangan sa Paglilisensya:** Magtatag ng minimum na mga kinakailangan sa karanasan para sa mga pangunahing tauh"&amp;"an tulad ng mga tagapamahala ng proyekto, mga inhinyero, at mga opisyal ng kaligtasan. Ang mga kinakailangang ito ay maaaring mag-iba batay sa pagiging kumplikado ng mga proyektong nais gawin ng kumpanya.
* **Katibayan ng Mga Propesyonal na Kwalipikasyon:"&amp;"** Nangangailangan ng patunay ng mga propesyonal na kwalipikasyon sa pamamagitan ng paglilisensya o sertipikasyon mula sa mga nauugnay na katawan ng inhinyero para sa mga pangunahing tauhan.
* **Patuloy na Edukasyon:** Mag-utos ng mga kinakailangan sa pat"&amp;"uloy na edukasyon para sa mga pangunahing tauhan upang matiyak na mananatili silang up-to-date sa mga pinakabagong code ng gusali, mga protocol sa kaligtasan, at mga teknolohiya. **Mga Kasanayan at Pamamaraan ng Kumpanya:**
* **Plano sa Pamamahala ng Kali"&amp;"gtasan:** Atasan ang mga kumpanya ng konstruksiyon na bumuo at magpatupad ng isang komprehensibong plano sa pamamahala ng kaligtasan na tumutukoy sa mga potensyal na panganib, nagtatatag ng mga pamamaraan sa kaligtasan, at nagbabalangkas ng mga protocol s"&amp;"a pagtugon sa emerhensiya.
* **Programa sa Pagkontrol ng Kalidad:** Mag-utos ng isang programa sa pagkontrol sa kalidad upang matiyak na ang mga aktibidad sa pagtatayo ay nakakatugon sa mga code ng gusali, mga detalye, at mga pamantayan ng industriya. Dap"&amp;"at itong isama ang mga regular na inspeksyon at pagsubok ng mga materyales at pagkakagawa.
* **Katatagan ng Pinansyal:** Isaalang-alang ang pag-aatas sa mga kumpanya ng konstruksiyon na magpakita ng isang partikular na antas ng katatagan ng pananalapi upa"&amp;"ng matiyak na mayroon silang mga mapagkukunan upang makumpleto ang mga proyekto nang ligtas at ayon sa mga detalye.
**Mga Lisensya at Klasipikasyon:**
* **Tiered Licensing System:** Magtatag ng isang tiered na sistema ng paglilisensya na may iba't ibang m"&amp;"ga klasipikasyon batay sa laki, pagiging kumplikado, at uri ng mga proyekto na isang kumpanya ng konstruksiyon ay kwalipikadong magsagawa.
* **Regular na Pag-renew ng Lisensya:** Mangangailangan ng regular na pag-renew ng mga lisensya na may mga pana-pana"&amp;"hong pagsusuri upang matiyak na ang mga kumpanya ay patuloy na nakakatugon sa kwalipikasyon at mga pamantayan sa kaligtasan.
* **Pagkilos sa Pagdidisiplina:** Magbalangkas ng isang malinaw na proseso para sa aksyong pandisiplina laban sa mga kumpanyang lu"&amp;"malabag sa mga regulasyon sa kaligtasan o hindi nakakatugon sa mga pamantayan ng kalidad. Maaaring kabilang dito ang mga multa, pagsususpinde ng lisensya, o pagbawi.
**Transparency at Pampublikong Kaligtasan:**
* **Impormasyon sa Paglilisensya na Magagami"&amp;"t ng Publiko:** Panatilihin ang isang database na naa-access ng publiko ng mga lisensyadong kumpanya ng konstruksiyon na kinabibilangan ng impormasyon tungkol sa kanilang pag-uuri, saklaw ng insurance, at kasaysayan ng pagdidisiplina (kung mayroon man).
*"&amp;" **Mandatoryong Pag-uulat ng Mga Insidente sa Kaligtasan:** Mag-atas sa mga kumpanya ng konstruksiyon na iulat ang lahat ng insidente sa kaligtasan sa isang sentral na awtoridad para sa pagsisiyasat at pagsusuri upang matukoy ang mga pattern at magpatupad"&amp;" ng mga hakbang sa pag-iwas. **Mga Karagdagang Pagsasaalang-alang:**
* **Mga Regulasyon sa Kapaligiran:** Isaalang-alang ang pagsasama ng mga regulasyon sa kapaligiran sa proseso ng paglilisensya upang matiyak na alam ng mga kumpanya ng konstruksiyon at s"&amp;"umusunod sa mga kinakailangan sa pangangalaga sa kapaligiran.
* **Pagsasanay sa Kaligtasan ng Manggagawa:** Isulong ang mga programa sa pagsasanay sa kaligtasan ng manggagawa upang mabigyan ng kaalaman at kasanayan ang mga manggagawa sa konstruksiyon upan"&amp;"g ligtas na magtrabaho sa mga lugar ng konstruksiyon.
Sa pamamagitan ng pagsasama ng mga probisyong ito, makakalikha ang komite ng isang matatag na sistema ng paglilisensya na inuuna ang kaligtasan at kalidad sa industriya ng konstruksiyon. Poprotektahan "&amp;"nito ang mga manggagawa, ang publiko, at sisiguraduhin na ang mga proyekto sa pagtatayo ay nakumpleto sa isang mataas na pamantayan.")</f>
        <v>## Mga Pangunahing Probisyon para sa Mga Regulasyon sa Paglilisensya ng Kompanya ng Konstruksyon:
Bilang miyembro ng isang legislative committee na nagbabalangkas ng mga regulasyon sa paglilisensya ng kumpanya ng konstruksiyon, tututukan ko ang **kaligtasan** at **mga pamantayan ng kalidad** sa pamamagitan ng mga sumusunod na probisyon:
**Mga Kwalipikasyon at Karanasan:**
* **Minimum na Mga Kinakailangan sa Paglilisensya:** Magtatag ng minimum na mga kinakailangan sa karanasan para sa mga pangunahing tauhan tulad ng mga tagapamahala ng proyekto, mga inhinyero, at mga opisyal ng kaligtasan. Ang mga kinakailangang ito ay maaaring mag-iba batay sa pagiging kumplikado ng mga proyektong nais gawin ng kumpanya.
* **Katibayan ng Mga Propesyonal na Kwalipikasyon:** Nangangailangan ng patunay ng mga propesyonal na kwalipikasyon sa pamamagitan ng paglilisensya o sertipikasyon mula sa mga nauugnay na katawan ng inhinyero para sa mga pangunahing tauhan.
* **Patuloy na Edukasyon:** Mag-utos ng mga kinakailangan sa patuloy na edukasyon para sa mga pangunahing tauhan upang matiyak na mananatili silang up-to-date sa mga pinakabagong code ng gusali, mga protocol sa kaligtasan, at mga teknolohiya. **Mga Kasanayan at Pamamaraan ng Kumpanya:**
* **Plano sa Pamamahala ng Kaligtasan:** Atasan ang mga kumpanya ng konstruksiyon na bumuo at magpatupad ng isang komprehensibong plano sa pamamahala ng kaligtasan na tumutukoy sa mga potensyal na panganib, nagtatatag ng mga pamamaraan sa kaligtasan, at nagbabalangkas ng mga protocol sa pagtugon sa emerhensiya.
* **Programa sa Pagkontrol ng Kalidad:** Mag-utos ng isang programa sa pagkontrol sa kalidad upang matiyak na ang mga aktibidad sa pagtatayo ay nakakatugon sa mga code ng gusali, mga detalye, at mga pamantayan ng industriya. Dapat itong isama ang mga regular na inspeksyon at pagsubok ng mga materyales at pagkakagawa.
* **Katatagan ng Pinansyal:** Isaalang-alang ang pag-aatas sa mga kumpanya ng konstruksiyon na magpakita ng isang partikular na antas ng katatagan ng pananalapi upang matiyak na mayroon silang mga mapagkukunan upang makumpleto ang mga proyekto nang ligtas at ayon sa mga detalye.
**Mga Lisensya at Klasipikasyon:**
* **Tiered Licensing System:** Magtatag ng isang tiered na sistema ng paglilisensya na may iba't ibang mga klasipikasyon batay sa laki, pagiging kumplikado, at uri ng mga proyekto na isang kumpanya ng konstruksiyon ay kwalipikadong magsagawa.
* **Regular na Pag-renew ng Lisensya:** Mangangailangan ng regular na pag-renew ng mga lisensya na may mga pana-panahong pagsusuri upang matiyak na ang mga kumpanya ay patuloy na nakakatugon sa kwalipikasyon at mga pamantayan sa kaligtasan.
* **Pagkilos sa Pagdidisiplina:** Magbalangkas ng isang malinaw na proseso para sa aksyong pandisiplina laban sa mga kumpanyang lumalabag sa mga regulasyon sa kaligtasan o hindi nakakatugon sa mga pamantayan ng kalidad. Maaaring kabilang dito ang mga multa, pagsususpinde ng lisensya, o pagbawi.
**Transparency at Pampublikong Kaligtasan:**
* **Impormasyon sa Paglilisensya na Magagamit ng Publiko:** Panatilihin ang isang database na naa-access ng publiko ng mga lisensyadong kumpanya ng konstruksiyon na kinabibilangan ng impormasyon tungkol sa kanilang pag-uuri, saklaw ng insurance, at kasaysayan ng pagdidisiplina (kung mayroon man).
* **Mandatoryong Pag-uulat ng Mga Insidente sa Kaligtasan:** Mag-atas sa mga kumpanya ng konstruksiyon na iulat ang lahat ng insidente sa kaligtasan sa isang sentral na awtoridad para sa pagsisiyasat at pagsusuri upang matukoy ang mga pattern at magpatupad ng mga hakbang sa pag-iwas. **Mga Karagdagang Pagsasaalang-alang:**
* **Mga Regulasyon sa Kapaligiran:** Isaalang-alang ang pagsasama ng mga regulasyon sa kapaligiran sa proseso ng paglilisensya upang matiyak na alam ng mga kumpanya ng konstruksiyon at sumusunod sa mga kinakailangan sa pangangalaga sa kapaligiran.
* **Pagsasanay sa Kaligtasan ng Manggagawa:** Isulong ang mga programa sa pagsasanay sa kaligtasan ng manggagawa upang mabigyan ng kaalaman at kasanayan ang mga manggagawa sa konstruksiyon upang ligtas na magtrabaho sa mga lugar ng konstruksiyon.
Sa pamamagitan ng pagsasama ng mga probisyong ito, makakalikha ang komite ng isang matatag na sistema ng paglilisensya na inuuna ang kaligtasan at kalidad sa industriya ng konstruksiyon. Poprotektahan nito ang mga manggagawa, ang publiko, at sisiguraduhin na ang mga proyekto sa pagtatayo ay nakumpleto sa isang mataas na pamantayan.</v>
      </c>
      <c r="F2796" s="2">
        <f t="shared" si="1"/>
        <v>0</v>
      </c>
      <c r="G2796" s="2"/>
      <c r="H2796" s="2"/>
      <c r="I2796" s="2"/>
      <c r="J2796" s="2"/>
      <c r="K2796" s="2"/>
      <c r="L2796" s="2"/>
      <c r="M2796" s="2"/>
      <c r="N2796" s="2"/>
      <c r="O2796" s="2"/>
      <c r="P2796" s="2"/>
      <c r="Q2796" s="2"/>
      <c r="R2796" s="2"/>
      <c r="S2796" s="2"/>
      <c r="T2796" s="2"/>
      <c r="U2796" s="2"/>
      <c r="V2796" s="2"/>
      <c r="W2796" s="2"/>
      <c r="X2796" s="2"/>
      <c r="Y2796" s="2"/>
      <c r="Z2796" s="2"/>
      <c r="AA2796" s="2"/>
    </row>
    <row r="2797">
      <c r="A2797" s="3" t="s">
        <v>6475</v>
      </c>
      <c r="B2797" s="1" t="s">
        <v>6566</v>
      </c>
      <c r="C2797" s="3" t="s">
        <v>6567</v>
      </c>
      <c r="D2797" s="2" t="str">
        <f>IFERROR(__xludf.DUMMYFUNCTION("GOOGLETRANSLATE(B2797, ""en"", ""TL"")"),"Bilang isang hukom, paano mo bibigyang-kahulugan ang mga hindi malinaw na probisyon sa isang kontrata para sa pampublikong-pribadong pakikipagsosyo sa pagpapaunlad ng imprastraktura?")</f>
        <v>Bilang isang hukom, paano mo bibigyang-kahulugan ang mga hindi malinaw na probisyon sa isang kontrata para sa pampublikong-pribadong pakikipagsosyo sa pagpapaunlad ng imprastraktura?</v>
      </c>
      <c r="E2797" s="2" t="str">
        <f>IFERROR(__xludf.DUMMYFUNCTION("GOOGLETRANSLATE(C2797, ""en"", ""TL"")"),"Bilang isang hukom na nagpapakahulugan sa mga hindi malinaw na probisyon sa isang kontrata ng PPP para sa pagpapaunlad ng imprastraktura, ang aking pangunahing layunin ay ang **matukoy ang layunin ng mga partido** na kasangkot kapag sila ay pumasok sa kas"&amp;"unduan. Narito ang isang balangkas na susundin ko:
1. **Tingnan ang Kontrata Mismo:**
* **Konteksto:** Una, maingat kong isasaalang-alang ang hindi maliwanag na probisyon sa konteksto ng buong kontrata. Nangangahulugan ito na basahin ang hindi malinaw na "&amp;"probisyon kasabay ng nakapalibot na mga sugnay at isinasaalang-alang ang pangkalahatang layunin at layunin ng kasunduan.
* **Mga Depinisyon:** Susuriin ko kung ang kontrata ay may kasamang seksyon ng mga kahulugan na tumutukoy sa mga pangunahing terminong"&amp;" ginamit sa buong dokumento. Maaaring malutas ng isang malinaw na kahulugan ang mga ambiguity na nauugnay sa mga partikular na termino.
* **Plain Meaning Rule:** Kung walang malinaw na kahulugan, ilalapat ko ang ""plain meaning rule."" Ang tuntuning ito a"&amp;"y nagsasaad na ang malabo na wika ay dapat bigyang-kahulugan ayon sa karaniwang kahulugan at karaniwang paggamit nito.
2. **Isaalang-alang ang Extrinsic Evidence (kung kinakailangan):**
* **Kasaysayan ng Negosasyon:** Kung magpapatuloy ang kalabuan pagkat"&amp;"apos suriin ang mismong kontrata, maaari kong isaalang-alang ang panlabas na ebidensya, gaya ng kasaysayan ng negosasyon sa pagitan ng mga partido. Maaaring kabilang dito ang mga minuto ng pagpupulong, email, o iba pang mga dokumento na nagbibigay-liwanag"&amp;" sa orihinal na layunin ng mga partido sa panahon ng pagbuo ng kontrata.
* **Mga Pamantayan sa Industriya:** Maaari ko ring isaalang-alang ang mga itinatag na pamantayan ng industriya at kaugalian na nauugnay sa mga proyektong pang-imprastraktura ng PPP. "&amp;"Ang mga pamantayang ito ay maaaring magbigay ng konteksto para sa pagbibigay-kahulugan sa malabong wika.
3. **Pagiging Makatarungan at Katuwiran:**
* **Paglalaan ng Panganib:** Kapag posible ang maraming interpretasyon, isasaalang-alang ko kung aling inte"&amp;"rpretasyon ang pinakamahusay na sumasalamin sa patas na paglalaan ng mga panganib at responsibilidad sa pagitan ng pampubliko at pribadong mga kasosyo. Ang paglalaan ng panganib ay dapat na naaayon sa pangkalahatang istruktura ng kasunduan sa PPP.
* **Pam"&amp;"publikong Interes:** Sa mga kaso kung saan ang hindi malinaw na probisyon ay nakakaapekto sa pampublikong interes, bibigyan ko ng bigat ang isang interpretasyon na pinakamahusay na nagsisilbi sa kabutihan ng publiko at ang matagumpay na pagkumpleto ng pro"&amp;"yektong pang-imprastraktura.
**Mga Karagdagang Pagsasaalang-alang:**
* **Mga Precedent:** Kumokonsulta ako sa mga nauugnay na legal na pamarisan at mga desisyon ng korte na may kaugnayan sa mga kontrata ng PPP upang makita kung paano nabigyang-kahulugan a"&amp;"ng mga katulad na kalabuan sa nakaraan.
* **Patotoo ng Eksperto:** Sa mga kumplikadong kaso, maaari akong magtalaga ng mga ekspertong saksi upang ipaliwanag ang mga teknikal na termino o mga kasanayan sa industriya na nauugnay sa hindi malinaw na probisyo"&amp;"n.
Sa pamamagitan ng pagsunod sa balangkas na ito, maaari kong sikaping bigyang-kahulugan ang mga hindi malinaw na probisyon sa isang kontrata ng PPP sa isang patas, makatwiran, at layunin na paraan na sumasalamin sa layunin ng mga partido at nagsisilbi s"&amp;"a interes ng publiko. Mahalagang tandaan na ang interpretasyon ng kontrata ay maaaring maging partikular sa katotohanan, at ang tiyak na bigat na ibinibigay sa bawat salik ay maaaring mag-iba depende sa mga natatanging kalagayan ng kaso.")</f>
        <v>Bilang isang hukom na nagpapakahulugan sa mga hindi malinaw na probisyon sa isang kontrata ng PPP para sa pagpapaunlad ng imprastraktura, ang aking pangunahing layunin ay ang **matukoy ang layunin ng mga partido** na kasangkot kapag sila ay pumasok sa kasunduan. Narito ang isang balangkas na susundin ko:
1. **Tingnan ang Kontrata Mismo:**
* **Konteksto:** Una, maingat kong isasaalang-alang ang hindi maliwanag na probisyon sa konteksto ng buong kontrata. Nangangahulugan ito na basahin ang hindi malinaw na probisyon kasabay ng nakapalibot na mga sugnay at isinasaalang-alang ang pangkalahatang layunin at layunin ng kasunduan.
* **Mga Depinisyon:** Susuriin ko kung ang kontrata ay may kasamang seksyon ng mga kahulugan na tumutukoy sa mga pangunahing terminong ginamit sa buong dokumento. Maaaring malutas ng isang malinaw na kahulugan ang mga ambiguity na nauugnay sa mga partikular na termino.
* **Plain Meaning Rule:** Kung walang malinaw na kahulugan, ilalapat ko ang "plain meaning rule." Ang tuntuning ito ay nagsasaad na ang malabo na wika ay dapat bigyang-kahulugan ayon sa karaniwang kahulugan at karaniwang paggamit nito.
2. **Isaalang-alang ang Extrinsic Evidence (kung kinakailangan):**
* **Kasaysayan ng Negosasyon:** Kung magpapatuloy ang kalabuan pagkatapos suriin ang mismong kontrata, maaari kong isaalang-alang ang panlabas na ebidensya, gaya ng kasaysayan ng negosasyon sa pagitan ng mga partido. Maaaring kabilang dito ang mga minuto ng pagpupulong, email, o iba pang mga dokumento na nagbibigay-liwanag sa orihinal na layunin ng mga partido sa panahon ng pagbuo ng kontrata.
* **Mga Pamantayan sa Industriya:** Maaari ko ring isaalang-alang ang mga itinatag na pamantayan ng industriya at kaugalian na nauugnay sa mga proyektong pang-imprastraktura ng PPP. Ang mga pamantayang ito ay maaaring magbigay ng konteksto para sa pagbibigay-kahulugan sa malabong wika.
3. **Pagiging Makatarungan at Katuwiran:**
* **Paglalaan ng Panganib:** Kapag posible ang maraming interpretasyon, isasaalang-alang ko kung aling interpretasyon ang pinakamahusay na sumasalamin sa patas na paglalaan ng mga panganib at responsibilidad sa pagitan ng pampubliko at pribadong mga kasosyo. Ang paglalaan ng panganib ay dapat na naaayon sa pangkalahatang istruktura ng kasunduan sa PPP.
* **Pampublikong Interes:** Sa mga kaso kung saan ang hindi malinaw na probisyon ay nakakaapekto sa pampublikong interes, bibigyan ko ng bigat ang isang interpretasyon na pinakamahusay na nagsisilbi sa kabutihan ng publiko at ang matagumpay na pagkumpleto ng proyektong pang-imprastraktura.
**Mga Karagdagang Pagsasaalang-alang:**
* **Mga Precedent:** Kumokonsulta ako sa mga nauugnay na legal na pamarisan at mga desisyon ng korte na may kaugnayan sa mga kontrata ng PPP upang makita kung paano nabigyang-kahulugan ang mga katulad na kalabuan sa nakaraan.
* **Patotoo ng Eksperto:** Sa mga kumplikadong kaso, maaari akong magtalaga ng mga ekspertong saksi upang ipaliwanag ang mga teknikal na termino o mga kasanayan sa industriya na nauugnay sa hindi malinaw na probisyon.
Sa pamamagitan ng pagsunod sa balangkas na ito, maaari kong sikaping bigyang-kahulugan ang mga hindi malinaw na probisyon sa isang kontrata ng PPP sa isang patas, makatwiran, at layunin na paraan na sumasalamin sa layunin ng mga partido at nagsisilbi sa interes ng publiko. Mahalagang tandaan na ang interpretasyon ng kontrata ay maaaring maging partikular sa katotohanan, at ang tiyak na bigat na ibinibigay sa bawat salik ay maaaring mag-iba depende sa mga natatanging kalagayan ng kaso.</v>
      </c>
      <c r="F2797" s="2">
        <f t="shared" si="1"/>
        <v>0</v>
      </c>
      <c r="G2797" s="2"/>
      <c r="H2797" s="2"/>
      <c r="I2797" s="2"/>
      <c r="J2797" s="2"/>
      <c r="K2797" s="2"/>
      <c r="L2797" s="2"/>
      <c r="M2797" s="2"/>
      <c r="N2797" s="2"/>
      <c r="O2797" s="2"/>
      <c r="P2797" s="2"/>
      <c r="Q2797" s="2"/>
      <c r="R2797" s="2"/>
      <c r="S2797" s="2"/>
      <c r="T2797" s="2"/>
      <c r="U2797" s="2"/>
      <c r="V2797" s="2"/>
      <c r="W2797" s="2"/>
      <c r="X2797" s="2"/>
      <c r="Y2797" s="2"/>
      <c r="Z2797" s="2"/>
      <c r="AA2797" s="2"/>
    </row>
    <row r="2798">
      <c r="A2798" s="3" t="s">
        <v>6475</v>
      </c>
      <c r="B2798" s="1" t="s">
        <v>6568</v>
      </c>
      <c r="C2798" s="3" t="s">
        <v>6569</v>
      </c>
      <c r="D2798" s="2" t="str">
        <f>IFERROR(__xludf.DUMMYFUNCTION("GOOGLETRANSLATE(B2798, ""en"", ""TL"")"),"Isa kang legal consultant na nagpapayo sa isang komunidad na apektado ng pagbaha dulot ng hindi sapat na imprastraktura ng drainage. Anong mga legal na aksyon ang maaari nilang gawin laban sa mga responsableng partido?")</f>
        <v>Isa kang legal consultant na nagpapayo sa isang komunidad na apektado ng pagbaha dulot ng hindi sapat na imprastraktura ng drainage. Anong mga legal na aksyon ang maaari nilang gawin laban sa mga responsableng partido?</v>
      </c>
      <c r="E2798" s="2" t="str">
        <f>IFERROR(__xludf.DUMMYFUNCTION("GOOGLETRANSLATE(C2798, ""en"", ""TL"")"),"Narito ang ilang legal na aksyon na maaaring gawin ng komunidad na apektado ng pagbaha dulot ng hindi sapat na imprastraktura ng drainage laban sa mga responsableng partido:
**1. Pagkilala sa Responsableng Partido:**
* **Mga Ahensya ng Gobyerno:** Ang pin"&amp;"aka-malamang na responsableng partido ay ang ahensya ng gobyerno na responsable sa pagpapanatili ng imprastraktura ng drainage sa lugar. Ito ay maaaring isang departamento ng lokal na pamahalaan, isang distrito ng drainage, o isang awtoridad sa pamamahala"&amp;" ng tubig.
* **Mga Pribadong Developer:** Sa ilang mga kaso, maaaring may pananagutan ang mga pribadong developer para sa mga drainage system sa loob ng kanilang mga development. Kung ang pagbaha ay sanhi ng hindi sapat na drainage sa loob ng isang partik"&amp;"ular na development, ang developer ay maaaring managot.
**2. Mga Legal na Pagpipilian:**
* **Administrative Reklamo:** Ang komunidad ay maaaring magsampa ng administratibong reklamo sa may-katuturang ahensya ng pamahalaan na responsable para sa imprastrak"&amp;"tura ng drainage. Ang reklamo ay dapat magdetalye ng mga isyu sa pagbaha at humingi ng aksyon upang mapabuti ang drainage system.
* **Paghahabla:** Kung ang reklamong administratibo ay hindi matagumpay, maaaring isaalang-alang ng komunidad na magsampa ng "&amp;"kaso laban sa responsableng partido. May ilang potensyal na claim na maaari nilang ituloy:
* **Kapabayaan:** Maaaring magtaltalan ang komunidad na nabigo ang responsableng partido na mapanatili nang maayos ang imprastraktura ng drainage, na humantong sa p"&amp;"agbaha at nagresulta sa pinsala.
* **Istorbo:** Kung ang pagbaha ay isang paulit-ulit na problema na makabuluhang nakakaapekto sa kalidad ng buhay ng komunidad, maaari silang magdemanda ng istorbo.
* **Baliktad na Pagkondena:** Sa ilang hurisdiksyon, maaa"&amp;"ring magdemanda ang isang komunidad para sa kabaligtaran na pagkondena kung ang kabiguan ng pamahalaan sa pagpapanatili ng drainage system ay bumubuo ng isang ""pagkuha"" ng kanilang halaga ng ari-arian.
**3. Pagpapalakas ng Kaso:**
* **Pagtitipon ng Ebid"&amp;"ensya:** Ang komunidad ay dapat mangalap ng ebidensya upang suportahan ang kanilang kaso. Maaaring kabilang dito ang mga larawan at video ng pagbaha, mga ulat ng pinsala, at patotoo ng eksperto mula sa mga inhinyero o hydrologist.
* **Paglahok ng Komunida"&amp;"d:** Ang isang malakas na komunidad na nagpapakita ng suporta para sa legal na aksyon ay magpapakita ng lawak ng problema at ang epekto sa mga residente.
**Mga Karagdagang Pagsasaalang-alang:**
* **Gastos at Oras:** Ang pagsasagawa ng legal na aksyon ay m"&amp;"aaaring magastos at nakakaubos ng oras. Dapat maingat na timbangin ng komunidad ang mga gastos at benepisyo bago magpasyang magpatuloy.
* **Alternative Dispute Resolution (ADR):** Sa ilang mga kaso, maaaring malutas ng komunidad ang isyu sa pamamagitan ng"&amp;" ADR, gaya ng pamamagitan o arbitrasyon. Ito ay maaaring isang mas mabilis at mas murang paraan upang maabot ang isang settlement.
**Naghahanap ng Legal na Payo:**
Ito ay lubos na maipapayo para sa komunidad na kumunsulta sa isang abogadong may karanasan "&amp;"sa batas sa kapaligiran at pananagutan ng pamahalaan upang talakayin ang kanilang mga legal na opsyon at ang pinakamahusay na paraan ng pagkilos para sa kanilang partikular na sitwasyon.")</f>
        <v>Narito ang ilang legal na aksyon na maaaring gawin ng komunidad na apektado ng pagbaha dulot ng hindi sapat na imprastraktura ng drainage laban sa mga responsableng partido:
**1. Pagkilala sa Responsableng Partido:**
* **Mga Ahensya ng Gobyerno:** Ang pinaka-malamang na responsableng partido ay ang ahensya ng gobyerno na responsable sa pagpapanatili ng imprastraktura ng drainage sa lugar. Ito ay maaaring isang departamento ng lokal na pamahalaan, isang distrito ng drainage, o isang awtoridad sa pamamahala ng tubig.
* **Mga Pribadong Developer:** Sa ilang mga kaso, maaaring may pananagutan ang mga pribadong developer para sa mga drainage system sa loob ng kanilang mga development. Kung ang pagbaha ay sanhi ng hindi sapat na drainage sa loob ng isang partikular na development, ang developer ay maaaring managot.
**2. Mga Legal na Pagpipilian:**
* **Administrative Reklamo:** Ang komunidad ay maaaring magsampa ng administratibong reklamo sa may-katuturang ahensya ng pamahalaan na responsable para sa imprastraktura ng drainage. Ang reklamo ay dapat magdetalye ng mga isyu sa pagbaha at humingi ng aksyon upang mapabuti ang drainage system.
* **Paghahabla:** Kung ang reklamong administratibo ay hindi matagumpay, maaaring isaalang-alang ng komunidad na magsampa ng kaso laban sa responsableng partido. May ilang potensyal na claim na maaari nilang ituloy:
* **Kapabayaan:** Maaaring magtaltalan ang komunidad na nabigo ang responsableng partido na mapanatili nang maayos ang imprastraktura ng drainage, na humantong sa pagbaha at nagresulta sa pinsala.
* **Istorbo:** Kung ang pagbaha ay isang paulit-ulit na problema na makabuluhang nakakaapekto sa kalidad ng buhay ng komunidad, maaari silang magdemanda ng istorbo.
* **Baliktad na Pagkondena:** Sa ilang hurisdiksyon, maaaring magdemanda ang isang komunidad para sa kabaligtaran na pagkondena kung ang kabiguan ng pamahalaan sa pagpapanatili ng drainage system ay bumubuo ng isang "pagkuha" ng kanilang halaga ng ari-arian.
**3. Pagpapalakas ng Kaso:**
* **Pagtitipon ng Ebidensya:** Ang komunidad ay dapat mangalap ng ebidensya upang suportahan ang kanilang kaso. Maaaring kabilang dito ang mga larawan at video ng pagbaha, mga ulat ng pinsala, at patotoo ng eksperto mula sa mga inhinyero o hydrologist.
* **Paglahok ng Komunidad:** Ang isang malakas na komunidad na nagpapakita ng suporta para sa legal na aksyon ay magpapakita ng lawak ng problema at ang epekto sa mga residente.
**Mga Karagdagang Pagsasaalang-alang:**
* **Gastos at Oras:** Ang pagsasagawa ng legal na aksyon ay maaaring magastos at nakakaubos ng oras. Dapat maingat na timbangin ng komunidad ang mga gastos at benepisyo bago magpasyang magpatuloy.
* **Alternative Dispute Resolution (ADR):** Sa ilang mga kaso, maaaring malutas ng komunidad ang isyu sa pamamagitan ng ADR, gaya ng pamamagitan o arbitrasyon. Ito ay maaaring isang mas mabilis at mas murang paraan upang maabot ang isang settlement.
**Naghahanap ng Legal na Payo:**
Ito ay lubos na maipapayo para sa komunidad na kumunsulta sa isang abogadong may karanasan sa batas sa kapaligiran at pananagutan ng pamahalaan upang talakayin ang kanilang mga legal na opsyon at ang pinakamahusay na paraan ng pagkilos para sa kanilang partikular na sitwasyon.</v>
      </c>
      <c r="F2798" s="2">
        <f t="shared" si="1"/>
        <v>0</v>
      </c>
      <c r="G2798" s="2"/>
      <c r="H2798" s="2"/>
      <c r="I2798" s="2"/>
      <c r="J2798" s="2"/>
      <c r="K2798" s="2"/>
      <c r="L2798" s="2"/>
      <c r="M2798" s="2"/>
      <c r="N2798" s="2"/>
      <c r="O2798" s="2"/>
      <c r="P2798" s="2"/>
      <c r="Q2798" s="2"/>
      <c r="R2798" s="2"/>
      <c r="S2798" s="2"/>
      <c r="T2798" s="2"/>
      <c r="U2798" s="2"/>
      <c r="V2798" s="2"/>
      <c r="W2798" s="2"/>
      <c r="X2798" s="2"/>
      <c r="Y2798" s="2"/>
      <c r="Z2798" s="2"/>
      <c r="AA2798" s="2"/>
    </row>
    <row r="2799">
      <c r="A2799" s="3" t="s">
        <v>6475</v>
      </c>
      <c r="B2799" s="1" t="s">
        <v>6570</v>
      </c>
      <c r="C2799" s="3" t="s">
        <v>6571</v>
      </c>
      <c r="D2799" s="2" t="str">
        <f>IFERROR(__xludf.DUMMYFUNCTION("GOOGLETRANSLATE(B2799, ""en"", ""TL"")"),"Bilang isang mambabatas, paano mo imumungkahi ang batas upang magbigay ng insentibo sa pribadong pamumuhunan sa mga proyektong abot-kayang pabahay?")</f>
        <v>Bilang isang mambabatas, paano mo imumungkahi ang batas upang magbigay ng insentibo sa pribadong pamumuhunan sa mga proyektong abot-kayang pabahay?</v>
      </c>
      <c r="E2799" s="2" t="str">
        <f>IFERROR(__xludf.DUMMYFUNCTION("GOOGLETRANSLATE(C2799, ""en"", ""TL"")"),"Narito ang ilang batas na imumungkahi ko, bilang isang mambabatas, na magbigay ng insentibo sa pribadong pamumuhunan sa mga proyektong abot-kayang pabahay:
**Mga Insentibo sa Buwis:**
* **Low-Income Housing Tax Credits (LIHTC):** Palawakin at palawigin an"&amp;"g programa ng LIHTC, na nagbibigay ng mga kredito sa buwis sa mga developer na nagtatayo ng abot-kayang mga yunit ng pabahay. Isaalang-alang ang pagtaas ng mga halaga ng kredito o pag-streamline ng proseso ng aplikasyon upang gawing mas kaakit-akit ang LI"&amp;"HTC sa mga mamumuhunan.
* **Tax-Exempt Bonds:** Dagdagan ang pagpapalabas ng tax-exempt bond para sa mga proyektong abot-kayang pabahay. Ang mga bono na ito ay nagpapahintulot sa mga mamumuhunan na kumita ng interes na hindi kasama sa federal income tax, "&amp;"na ginagawang mas mapagkumpitensya ang mga proyektong abot-kayang pabahay sa ibang mga pamumuhunan.
* **Pagbabawas ng Buwis sa Ari-arian:** Pahintulutan ang mga lokal na pamahalaan na mag-alok ng mga pagbabawas ng buwis sa ari-arian para sa mga pagpapaunl"&amp;"ad ng abot-kayang pabahay. Mababawasan nito ang mga gastos sa pagpapatakbo para sa mga developer at posibleng mapataas ang mga margin ng kita.
**Mga Pinansyal na Insentibo:**
* **Mga Direktang Grant at Subsidy:** Maglaan ng mga gawad at subsidyo sa mga de"&amp;"veloper ng abot-kayang proyekto sa pabahay. Ang mga pondong ito ay maaaring makatulong na mabawi ang mga gastos sa pagtatayo at gawing mas mabubuhay sa pananalapi ang mga proyekto.
* **Mga Programang Garantiya sa Pautang:** Magtatag ng mga programang gara"&amp;"ntiya sa pautang para sa mga proyektong abot-kayang pabahay. Ang mga programang ito ay magbabawas ng panganib para sa mga nagpapahiram at hinihikayat silang magbigay ng financing para sa mga pagpapaunlad ng abot-kayang pabahay.
* **Mga Grant sa Pagpapaunl"&amp;"ad ng Infrastruktura:** Magbigay ng mga gawad upang suportahan ang pagpapaunlad ng imprastraktura sa paligid ng mga proyektong abot-kayang pabahay. Maaaring kabilang dito ang pagpopondo para sa mga kalsada, imburnal, at mga paaralan, na ginagawang mas kaa"&amp;"kit-akit sa mga residente ang mga pagpapaunlad ng abot-kayang pabahay.
**Regulatory Streamlining:**
* **Mga Ekspedisyon sa Pagpapahintulot:** Pabilisin ang proseso ng pagpapahintulot para sa mga proyektong abot-kayang pabahay. Mababawasan nito ang mga gas"&amp;"tos sa pagpapaunlad at oras sa merkado para sa mga mamumuhunan.
* **Zoning Reform:** Hikayatin ang zoning reform upang bigyang-daan ang mas mataas na density ng pagbuo sa ilang mga lugar. Dadagdagan nito ang bilang ng mga abot-kayang yunit ng pabahay na m"&amp;"aaaring itayo sa isang kapirasong lupa.
* **Bawasang Bayad:** Bawasan o alisin ang ilang partikular na bayarin na nauugnay sa abot-kayang pagpapaunlad ng pabahay, gaya ng mga bayarin sa epekto at mga bayarin sa inspeksyon.
**Mga Karagdagang Istratehiya:**"&amp;"
* **Public-Private Partnerships (PPPs):** Hikayatin ang mga PPP sa pagitan ng pampublikong sektor at pribadong developer na pondohan at bumuo ng mga proyektong abot-kayang pabahay.
* **Community Development Financial Institutions (CDFIs):** Magbigay ng s"&amp;"uporta sa mga CDFI na dalubhasa sa pagpopondo ng mga proyektong abot-kayang pabahay sa mga komunidad na kulang sa serbisyo.
* **Data at Pananaliksik:** Mangolekta at magpakalat ng data sa merkado ng abot-kayang pabahay upang matulungan ang mga mamumuhunan"&amp;" na matukoy ang mga pagkakataon at gumawa ng matalinong mga desisyon.
Sa pamamagitan ng pagpapatupad ng kumbinasyon ng mga insentibong ito, makakalikha tayo ng mas kanais-nais na kapaligiran para sa pribadong pamumuhunan sa abot-kayang pabahay. Dadagdagan"&amp;" nito ang supply ng abot-kayang mga yunit ng pabahay at makakatulong na matugunan ang mga pangangailangan ng mga pamilya at indibidwal na mababa ang kita at katamtaman ang kita.")</f>
        <v>Narito ang ilang batas na imumungkahi ko, bilang isang mambabatas, na magbigay ng insentibo sa pribadong pamumuhunan sa mga proyektong abot-kayang pabahay:
**Mga Insentibo sa Buwis:**
* **Low-Income Housing Tax Credits (LIHTC):** Palawakin at palawigin ang programa ng LIHTC, na nagbibigay ng mga kredito sa buwis sa mga developer na nagtatayo ng abot-kayang mga yunit ng pabahay. Isaalang-alang ang pagtaas ng mga halaga ng kredito o pag-streamline ng proseso ng aplikasyon upang gawing mas kaakit-akit ang LIHTC sa mga mamumuhunan.
* **Tax-Exempt Bonds:** Dagdagan ang pagpapalabas ng tax-exempt bond para sa mga proyektong abot-kayang pabahay. Ang mga bono na ito ay nagpapahintulot sa mga mamumuhunan na kumita ng interes na hindi kasama sa federal income tax, na ginagawang mas mapagkumpitensya ang mga proyektong abot-kayang pabahay sa ibang mga pamumuhunan.
* **Pagbabawas ng Buwis sa Ari-arian:** Pahintulutan ang mga lokal na pamahalaan na mag-alok ng mga pagbabawas ng buwis sa ari-arian para sa mga pagpapaunlad ng abot-kayang pabahay. Mababawasan nito ang mga gastos sa pagpapatakbo para sa mga developer at posibleng mapataas ang mga margin ng kita.
**Mga Pinansyal na Insentibo:**
* **Mga Direktang Grant at Subsidy:** Maglaan ng mga gawad at subsidyo sa mga developer ng abot-kayang proyekto sa pabahay. Ang mga pondong ito ay maaaring makatulong na mabawi ang mga gastos sa pagtatayo at gawing mas mabubuhay sa pananalapi ang mga proyekto.
* **Mga Programang Garantiya sa Pautang:** Magtatag ng mga programang garantiya sa pautang para sa mga proyektong abot-kayang pabahay. Ang mga programang ito ay magbabawas ng panganib para sa mga nagpapahiram at hinihikayat silang magbigay ng financing para sa mga pagpapaunlad ng abot-kayang pabahay.
* **Mga Grant sa Pagpapaunlad ng Infrastruktura:** Magbigay ng mga gawad upang suportahan ang pagpapaunlad ng imprastraktura sa paligid ng mga proyektong abot-kayang pabahay. Maaaring kabilang dito ang pagpopondo para sa mga kalsada, imburnal, at mga paaralan, na ginagawang mas kaakit-akit sa mga residente ang mga pagpapaunlad ng abot-kayang pabahay.
**Regulatory Streamlining:**
* **Mga Ekspedisyon sa Pagpapahintulot:** Pabilisin ang proseso ng pagpapahintulot para sa mga proyektong abot-kayang pabahay. Mababawasan nito ang mga gastos sa pagpapaunlad at oras sa merkado para sa mga mamumuhunan.
* **Zoning Reform:** Hikayatin ang zoning reform upang bigyang-daan ang mas mataas na density ng pagbuo sa ilang mga lugar. Dadagdagan nito ang bilang ng mga abot-kayang yunit ng pabahay na maaaring itayo sa isang kapirasong lupa.
* **Bawasang Bayad:** Bawasan o alisin ang ilang partikular na bayarin na nauugnay sa abot-kayang pagpapaunlad ng pabahay, gaya ng mga bayarin sa epekto at mga bayarin sa inspeksyon.
**Mga Karagdagang Istratehiya:**
* **Public-Private Partnerships (PPPs):** Hikayatin ang mga PPP sa pagitan ng pampublikong sektor at pribadong developer na pondohan at bumuo ng mga proyektong abot-kayang pabahay.
* **Community Development Financial Institutions (CDFIs):** Magbigay ng suporta sa mga CDFI na dalubhasa sa pagpopondo ng mga proyektong abot-kayang pabahay sa mga komunidad na kulang sa serbisyo.
* **Data at Pananaliksik:** Mangolekta at magpakalat ng data sa merkado ng abot-kayang pabahay upang matulungan ang mga mamumuhunan na matukoy ang mga pagkakataon at gumawa ng matalinong mga desisyon.
Sa pamamagitan ng pagpapatupad ng kumbinasyon ng mga insentibong ito, makakalikha tayo ng mas kanais-nais na kapaligiran para sa pribadong pamumuhunan sa abot-kayang pabahay. Dadagdagan nito ang supply ng abot-kayang mga yunit ng pabahay at makakatulong na matugunan ang mga pangangailangan ng mga pamilya at indibidwal na mababa ang kita at katamtaman ang kita.</v>
      </c>
      <c r="F2799" s="2">
        <f t="shared" si="1"/>
        <v>0</v>
      </c>
      <c r="G2799" s="2"/>
      <c r="H2799" s="2"/>
      <c r="I2799" s="2"/>
      <c r="J2799" s="2"/>
      <c r="K2799" s="2"/>
      <c r="L2799" s="2"/>
      <c r="M2799" s="2"/>
      <c r="N2799" s="2"/>
      <c r="O2799" s="2"/>
      <c r="P2799" s="2"/>
      <c r="Q2799" s="2"/>
      <c r="R2799" s="2"/>
      <c r="S2799" s="2"/>
      <c r="T2799" s="2"/>
      <c r="U2799" s="2"/>
      <c r="V2799" s="2"/>
      <c r="W2799" s="2"/>
      <c r="X2799" s="2"/>
      <c r="Y2799" s="2"/>
      <c r="Z2799" s="2"/>
      <c r="AA2799" s="2"/>
    </row>
    <row r="2800">
      <c r="A2800" s="3" t="s">
        <v>6475</v>
      </c>
      <c r="B2800" s="1" t="s">
        <v>6572</v>
      </c>
      <c r="C2800" s="3" t="s">
        <v>6573</v>
      </c>
      <c r="D2800" s="2" t="str">
        <f>IFERROR(__xludf.DUMMYFUNCTION("GOOGLETRANSLATE(B2800, ""en"", ""TL"")"),"Isa kang opisyal ng gobyerno na nangangasiwa sa isang proyekto para i-upgrade ang imprastraktura ng pampublikong transportasyon. Paano mo tutugunan ang mga alalahanin tungkol sa accessibility para sa mga taong may kapansanan?")</f>
        <v>Isa kang opisyal ng gobyerno na nangangasiwa sa isang proyekto para i-upgrade ang imprastraktura ng pampublikong transportasyon. Paano mo tutugunan ang mga alalahanin tungkol sa accessibility para sa mga taong may kapansanan?</v>
      </c>
      <c r="E2800" s="2" t="str">
        <f>IFERROR(__xludf.DUMMYFUNCTION("GOOGLETRANSLATE(C2800, ""en"", ""TL"")"),"Bilang isang opisyal ng gobyerno na nangangasiwa sa isang proyekto sa pag-upgrade ng imprastraktura ng pampublikong transportasyon, narito kung paano ko tutugunan ang mga alalahanin tungkol sa accessibility para sa mga taong may mga kapansanan:
**Pagpapla"&amp;"no at Disenyo:**
* **Maagang Pakikipagtulungan:** Isama ang mga kinatawan mula sa mga grupo ng advocacy para sa kapansanan at mga eksperto sa accessibility mula sa mga yugto ng pagpaplano ng proyekto. Ang kanilang input ay kritikal sa pagdidisenyo ng isan"&amp;"g tunay na accessible na sistema.
* **Mga Prinsipyo ng Pangkalahatang Disenyo:** Sumunod sa mga prinsipyo ng Pangkalahatang Disenyo upang lumikha ng isang sistema na magagamit ng lahat, anuman ang kakayahan. Nangangahulugan ito na isinasaalang-alang ang m"&amp;"ga pangangailangan ng mga taong may kapansanan sa paningin, mga kapansanan sa pandinig, mga limitasyon sa paggalaw, at mga pagkakaiba sa pag-iisip.
* **Accessibility Standards:** Tiyaking ang lahat ng upgrade ay sumusunod sa pambansa at internasyonal na m"&amp;"ga pamantayan sa accessibility gaya ng Americans with Disabilities Act (ADA) Accessibility Guidelines para sa Transportation Vehicles o mga nauugnay na lokal na regulasyon. **Mga Partikular na Feature ng Accessibility:**
* **Pisikal na Accessibility:** Ka"&amp;"bilang dito ang mga bus na mababa ang palapag o mga sasakyan na may mga rampa na naa-access, access sa elevator sa mga istasyon, malalawak na pintuan, at mga itinalagang seating area para sa mga wheelchair at mobility aid.
* **Auditory at Visual Aids:** M"&amp;"ag-install ng mga naririnig na anunsyo para sa mga pagdating at pag-alis ng istasyon, mga visual na display na may real-time na impormasyon, at braille signage para sa mga may kapansanan sa paningin.
* **Tactile Guidance:** Magpatupad ng mga naka-texture "&amp;"na surface sa walking surface upang bigyan ng babala ang mga paparating na panganib tulad ng mga gilid ng platform o pagbabago sa elevation para sa mga may kapansanan sa paningin.
* **Mga Pantulong na Teknolohiya:** I-explore ang pagsasama-sama ng mga pan"&amp;"tulong na teknolohiya tulad ng touchscreen information kiosk na may mga feature ng accessibility o induction loop para sa mga hearing aid sa mga istasyon at sasakyan.
**Impormasyon at Komunikasyon:**
* **Naa-access na Impormasyon:** Magbigay ng impormasyo"&amp;"n tungkol sa mga ruta, iskedyul, at feature ng pagiging naa-access sa maraming format, kabilang ang text, audio, at sign language. * **Real-time na Impormasyon:** Mag-alok ng real-time na impormasyon sa mga pagkaantala at pagkaantala ng serbisyo sa pamama"&amp;"gitan ng mga naa-access na channel tulad ng mga alerto sa text, mga mobile app na may mga feature ng pagiging naa-access, at mga naa-access na sistema ng pampublikong anunsyo.
* **Pagsasanay ng mga Tauhan:** Sanayin ang mga kawani ng pampublikong transpor"&amp;"tasyon sa pagbibigay ng tulong sa mga pasaherong may mga kapansanan. Kabilang dito ang pagsasanay sa pagiging sensitibo at pagtuturo sa paggamit ng mga pantulong na kagamitan tulad ng mga wheelchair lift.
**Pagsubaybay at Pagsusuri:**
* **Pagmamanman ng P"&amp;"agganap:** Patuloy na subaybayan ang pagiging epektibo ng mga feature ng pagiging naa-access at tukuyin ang mga lugar para sa pagpapabuti. Magtipon ng feedback mula sa mga rider na may mga kapansanan upang matiyak na natutugunan ang kanilang mga pangangai"&amp;"langan.
* **Pagpapanatili at Pag-aayos:** Unahin ang pagpapanatili at pag-aayos ng mga feature ng accessibility tulad ng mga elevator o ramp para matiyak ang patuloy na accessibility.
Sa pamamagitan ng pagpapatupad ng mga estratehiyang ito, masisiguro nat"&amp;"ing ang ating proyekto sa pag-upgrade ng imprastraktura ng pampublikong transportasyon ay tunay na nagsisilbi sa lahat sa komunidad, kabilang ang mga taong may kapansanan. Ito ay magtataguyod ng higit na kalayaan at pagsasama para sa lahat ng mga mamamaya"&amp;"n.")</f>
        <v>Bilang isang opisyal ng gobyerno na nangangasiwa sa isang proyekto sa pag-upgrade ng imprastraktura ng pampublikong transportasyon, narito kung paano ko tutugunan ang mga alalahanin tungkol sa accessibility para sa mga taong may mga kapansanan:
**Pagpaplano at Disenyo:**
* **Maagang Pakikipagtulungan:** Isama ang mga kinatawan mula sa mga grupo ng advocacy para sa kapansanan at mga eksperto sa accessibility mula sa mga yugto ng pagpaplano ng proyekto. Ang kanilang input ay kritikal sa pagdidisenyo ng isang tunay na accessible na sistema.
* **Mga Prinsipyo ng Pangkalahatang Disenyo:** Sumunod sa mga prinsipyo ng Pangkalahatang Disenyo upang lumikha ng isang sistema na magagamit ng lahat, anuman ang kakayahan. Nangangahulugan ito na isinasaalang-alang ang mga pangangailangan ng mga taong may kapansanan sa paningin, mga kapansanan sa pandinig, mga limitasyon sa paggalaw, at mga pagkakaiba sa pag-iisip.
* **Accessibility Standards:** Tiyaking ang lahat ng upgrade ay sumusunod sa pambansa at internasyonal na mga pamantayan sa accessibility gaya ng Americans with Disabilities Act (ADA) Accessibility Guidelines para sa Transportation Vehicles o mga nauugnay na lokal na regulasyon. **Mga Partikular na Feature ng Accessibility:**
* **Pisikal na Accessibility:** Kabilang dito ang mga bus na mababa ang palapag o mga sasakyan na may mga rampa na naa-access, access sa elevator sa mga istasyon, malalawak na pintuan, at mga itinalagang seating area para sa mga wheelchair at mobility aid.
* **Auditory at Visual Aids:** Mag-install ng mga naririnig na anunsyo para sa mga pagdating at pag-alis ng istasyon, mga visual na display na may real-time na impormasyon, at braille signage para sa mga may kapansanan sa paningin.
* **Tactile Guidance:** Magpatupad ng mga naka-texture na surface sa walking surface upang bigyan ng babala ang mga paparating na panganib tulad ng mga gilid ng platform o pagbabago sa elevation para sa mga may kapansanan sa paningin.
* **Mga Pantulong na Teknolohiya:** I-explore ang pagsasama-sama ng mga pantulong na teknolohiya tulad ng touchscreen information kiosk na may mga feature ng accessibility o induction loop para sa mga hearing aid sa mga istasyon at sasakyan.
**Impormasyon at Komunikasyon:**
* **Naa-access na Impormasyon:** Magbigay ng impormasyon tungkol sa mga ruta, iskedyul, at feature ng pagiging naa-access sa maraming format, kabilang ang text, audio, at sign language. * **Real-time na Impormasyon:** Mag-alok ng real-time na impormasyon sa mga pagkaantala at pagkaantala ng serbisyo sa pamamagitan ng mga naa-access na channel tulad ng mga alerto sa text, mga mobile app na may mga feature ng pagiging naa-access, at mga naa-access na sistema ng pampublikong anunsyo.
* **Pagsasanay ng mga Tauhan:** Sanayin ang mga kawani ng pampublikong transportasyon sa pagbibigay ng tulong sa mga pasaherong may mga kapansanan. Kabilang dito ang pagsasanay sa pagiging sensitibo at pagtuturo sa paggamit ng mga pantulong na kagamitan tulad ng mga wheelchair lift.
**Pagsubaybay at Pagsusuri:**
* **Pagmamanman ng Pagganap:** Patuloy na subaybayan ang pagiging epektibo ng mga feature ng pagiging naa-access at tukuyin ang mga lugar para sa pagpapabuti. Magtipon ng feedback mula sa mga rider na may mga kapansanan upang matiyak na natutugunan ang kanilang mga pangangailangan.
* **Pagpapanatili at Pag-aayos:** Unahin ang pagpapanatili at pag-aayos ng mga feature ng accessibility tulad ng mga elevator o ramp para matiyak ang patuloy na accessibility.
Sa pamamagitan ng pagpapatupad ng mga estratehiyang ito, masisiguro nating ang ating proyekto sa pag-upgrade ng imprastraktura ng pampublikong transportasyon ay tunay na nagsisilbi sa lahat sa komunidad, kabilang ang mga taong may kapansanan. Ito ay magtataguyod ng higit na kalayaan at pagsasama para sa lahat ng mga mamamayan.</v>
      </c>
      <c r="F2800" s="2">
        <f t="shared" si="1"/>
        <v>0</v>
      </c>
      <c r="G2800" s="2"/>
      <c r="H2800" s="2"/>
      <c r="I2800" s="2"/>
      <c r="J2800" s="2"/>
      <c r="K2800" s="2"/>
      <c r="L2800" s="2"/>
      <c r="M2800" s="2"/>
      <c r="N2800" s="2"/>
      <c r="O2800" s="2"/>
      <c r="P2800" s="2"/>
      <c r="Q2800" s="2"/>
      <c r="R2800" s="2"/>
      <c r="S2800" s="2"/>
      <c r="T2800" s="2"/>
      <c r="U2800" s="2"/>
      <c r="V2800" s="2"/>
      <c r="W2800" s="2"/>
      <c r="X2800" s="2"/>
      <c r="Y2800" s="2"/>
      <c r="Z2800" s="2"/>
      <c r="AA2800" s="2"/>
    </row>
    <row r="2801">
      <c r="A2801" s="3" t="s">
        <v>6475</v>
      </c>
      <c r="B2801" s="1" t="s">
        <v>6574</v>
      </c>
      <c r="C2801" s="3" t="s">
        <v>6575</v>
      </c>
      <c r="D2801" s="2" t="str">
        <f>IFERROR(__xludf.DUMMYFUNCTION("GOOGLETRANSLATE(B2801, ""en"", ""TL"")"),"Ikaw ay isang tagapamagitan na nangangasiwa sa mga negosasyon sa pagitan ng isang ahensya ng gobyerno at isang pribadong may-ari ng lupa para sa pagkuha ng lupa para sa isang pambansang highway. Paano mo matitiyak ang isang patas at kapwa kapaki-pakinaban"&amp;"g na kasunduan?")</f>
        <v>Ikaw ay isang tagapamagitan na nangangasiwa sa mga negosasyon sa pagitan ng isang ahensya ng gobyerno at isang pribadong may-ari ng lupa para sa pagkuha ng lupa para sa isang pambansang highway. Paano mo matitiyak ang isang patas at kapwa kapaki-pakinabang na kasunduan?</v>
      </c>
      <c r="E2801" s="2" t="str">
        <f>IFERROR(__xludf.DUMMYFUNCTION("GOOGLETRANSLATE(C2801, ""en"", ""TL"")"),"Bilang isang tagapamagitan na nangangasiwa sa mga negosasyon sa pagitan ng isang ahensya ng gobyerno at isang pribadong may-ari ng lupa para sa isang proyekto sa highway, ang aking layunin ay tiyakin ang isang **patas at kapwa kapaki-pakinabang na kasundu"&amp;"an**. Narito kung paano ko lalapitan ang proseso ng negosasyon:
**Paghahanda:**
* **Magtipon ng Impormasyon:** Bago magsimula ang negosasyon, kukuha ako ng impormasyon mula sa magkabilang panig. Kabilang dito ang mga pangangailangan ng ahensya ng gobyerno"&amp;" para sa lupa, pagtatasa ng halaga ng ari-arian ng may-ari, at anumang potensyal na epekto sa mga operasyon ng may-ari ng lupa (kung naaangkop).
* **Magtakda ng Ground Rules:** Magtatag ng mga ground rules para sa negosasyon upang matiyak ang isang magala"&amp;"ng at produktibong talakayan. Maaaring kabilang sa mga panuntunang ito ang aktibong pakikinig, pag-iwas sa mga pagkaantala, at pagtutok sa mga interes sa halip na mga posisyon.
**Pagpapadali:**
* **Hiwalay na Pagpupulong:** Maaari akong magsagawa ng hiwal"&amp;"ay na pagpupulong sa bawat partido sa simula upang maunawaan ang kanilang mga indibidwal na pangangailangan at alalahanin. Ang kumpidensyal na espasyong ito ay nagbibigay-daan para sa bukas na komunikasyon at pagkakakilanlan ng mga pinagbabatayan na inter"&amp;"es.
* **Mga Pinagsanib na Talakayan:** Kapag mas naunawaan ko na ang posisyon ng bawat partido, papadaliin ko ang magkasanib na mga talakayan upang hikayatin ang nakabubuo na pag-uusap. Gagamit ako ng mga aktibong kasanayan sa pakikinig upang ibuod ang mg"&amp;"a posisyon at i-reframe ang mga ito upang makahanap ng karaniwang batayan.
* **Mga Malikhaing Opsyon:** Tuklasin ko ang mga malikhaing solusyon na makikinabang sa magkabilang panig. Maaaring kabilang dito ang land swaps, conservation easement, o phased ac"&amp;"quisition ng lupa kung magagawa.
**Komunikasyon:**
* **Malinaw na Komunikasyon:** Sisiguraduhin ko ang malinaw na komunikasyon sa pagitan ng mga partido sa buong proseso ng negosasyon. Nangangahulugan ito ng pagpapaliwanag ng mga kumplikadong konsepto sa "&amp;"naiintindihan na wika at pag-iwas sa mga legal na jargon.
* **Transparency:** Hikayatin ko ang parehong partido na maging transparent tungkol sa kanilang mga pangangailangan at interes. Ang bukas na komunikasyon ay mahalaga para sa pagbuo ng tiwala at pag"&amp;"hahanap ng mga solusyong napagkasunduan sa isa't isa.
**Pagsusuri at Kasunduan:**
* **Kilalanin ang BATNA (Pinakamahusay na Alternatibong Sa isang Napagkasunduan na Kasunduan):** Tutulungan ko ang bawat partido na matukoy ang kanilang BATNA. Ito ang kanil"&amp;"ang pinakamahusay na alternatibo kung walang napagkasunduan. Ang pag-alam sa kanilang BATNA ay hihikayat sa mga makatotohanang alok at kompromiso.
* **I-formalize ang Kasunduan:** Kapag naabot ang isang kasunduan, tutulungan ko itong gawing pormal sa isan"&amp;"g nakasulat na kontrata na malinaw na nagbabalangkas sa mga tuntunin ng pagkuha, kabilang ang kompensasyon, timeline, at mga karapatan sa pag-access (kung mayroon man).
**Mga Karagdagang Pagsasaalang-alang:**
* **Patas na Halaga sa Pamilihan:** Ang kabaya"&amp;"rang inaalok sa may-ari ng lupa ay dapat na nakabatay sa isang patas na pagtatasa ng halaga sa pamilihan ng lupa.
* **Independence ng Appraiser:** Kung kailangan ang mga appraisal, irerekomenda ko ang paggamit ng mga independyente at kwalipikadong apprais"&amp;"er upang matiyak ang pagiging patas at maiwasan ang pagkiling.
* **Tulong sa Relokasyon:** Kung inilipat ng pagkuha ng lupa ang may-ari ng lupa o ang kanilang negosyo, dapat isaalang-alang ng ahensya ng gobyerno ang pagbibigay ng tulong sa relokasyon.
Sa "&amp;"pamamagitan ng pagsunod sa mga hakbang na ito, mapapadali ko ang isang proseso ng negosasyon na patas, magalang, at humahantong sa isang kasunduan na kapwa kapaki-pakinabang sa pagitan ng ahensya ng gobyerno at ng pribadong may-ari ng lupa.")</f>
        <v>Bilang isang tagapamagitan na nangangasiwa sa mga negosasyon sa pagitan ng isang ahensya ng gobyerno at isang pribadong may-ari ng lupa para sa isang proyekto sa highway, ang aking layunin ay tiyakin ang isang **patas at kapwa kapaki-pakinabang na kasunduan**. Narito kung paano ko lalapitan ang proseso ng negosasyon:
**Paghahanda:**
* **Magtipon ng Impormasyon:** Bago magsimula ang negosasyon, kukuha ako ng impormasyon mula sa magkabilang panig. Kabilang dito ang mga pangangailangan ng ahensya ng gobyerno para sa lupa, pagtatasa ng halaga ng ari-arian ng may-ari, at anumang potensyal na epekto sa mga operasyon ng may-ari ng lupa (kung naaangkop).
* **Magtakda ng Ground Rules:** Magtatag ng mga ground rules para sa negosasyon upang matiyak ang isang magalang at produktibong talakayan. Maaaring kabilang sa mga panuntunang ito ang aktibong pakikinig, pag-iwas sa mga pagkaantala, at pagtutok sa mga interes sa halip na mga posisyon.
**Pagpapadali:**
* **Hiwalay na Pagpupulong:** Maaari akong magsagawa ng hiwalay na pagpupulong sa bawat partido sa simula upang maunawaan ang kanilang mga indibidwal na pangangailangan at alalahanin. Ang kumpidensyal na espasyong ito ay nagbibigay-daan para sa bukas na komunikasyon at pagkakakilanlan ng mga pinagbabatayan na interes.
* **Mga Pinagsanib na Talakayan:** Kapag mas naunawaan ko na ang posisyon ng bawat partido, papadaliin ko ang magkasanib na mga talakayan upang hikayatin ang nakabubuo na pag-uusap. Gagamit ako ng mga aktibong kasanayan sa pakikinig upang ibuod ang mga posisyon at i-reframe ang mga ito upang makahanap ng karaniwang batayan.
* **Mga Malikhaing Opsyon:** Tuklasin ko ang mga malikhaing solusyon na makikinabang sa magkabilang panig. Maaaring kabilang dito ang land swaps, conservation easement, o phased acquisition ng lupa kung magagawa.
**Komunikasyon:**
* **Malinaw na Komunikasyon:** Sisiguraduhin ko ang malinaw na komunikasyon sa pagitan ng mga partido sa buong proseso ng negosasyon. Nangangahulugan ito ng pagpapaliwanag ng mga kumplikadong konsepto sa naiintindihan na wika at pag-iwas sa mga legal na jargon.
* **Transparency:** Hikayatin ko ang parehong partido na maging transparent tungkol sa kanilang mga pangangailangan at interes. Ang bukas na komunikasyon ay mahalaga para sa pagbuo ng tiwala at paghahanap ng mga solusyong napagkasunduan sa isa't isa.
**Pagsusuri at Kasunduan:**
* **Kilalanin ang BATNA (Pinakamahusay na Alternatibong Sa isang Napagkasunduan na Kasunduan):** Tutulungan ko ang bawat partido na matukoy ang kanilang BATNA. Ito ang kanilang pinakamahusay na alternatibo kung walang napagkasunduan. Ang pag-alam sa kanilang BATNA ay hihikayat sa mga makatotohanang alok at kompromiso.
* **I-formalize ang Kasunduan:** Kapag naabot ang isang kasunduan, tutulungan ko itong gawing pormal sa isang nakasulat na kontrata na malinaw na nagbabalangkas sa mga tuntunin ng pagkuha, kabilang ang kompensasyon, timeline, at mga karapatan sa pag-access (kung mayroon man).
**Mga Karagdagang Pagsasaalang-alang:**
* **Patas na Halaga sa Pamilihan:** Ang kabayarang inaalok sa may-ari ng lupa ay dapat na nakabatay sa isang patas na pagtatasa ng halaga sa pamilihan ng lupa.
* **Independence ng Appraiser:** Kung kailangan ang mga appraisal, irerekomenda ko ang paggamit ng mga independyente at kwalipikadong appraiser upang matiyak ang pagiging patas at maiwasan ang pagkiling.
* **Tulong sa Relokasyon:** Kung inilipat ng pagkuha ng lupa ang may-ari ng lupa o ang kanilang negosyo, dapat isaalang-alang ng ahensya ng gobyerno ang pagbibigay ng tulong sa relokasyon.
Sa pamamagitan ng pagsunod sa mga hakbang na ito, mapapadali ko ang isang proseso ng negosasyon na patas, magalang, at humahantong sa isang kasunduan na kapwa kapaki-pakinabang sa pagitan ng ahensya ng gobyerno at ng pribadong may-ari ng lupa.</v>
      </c>
      <c r="F2801" s="2">
        <f t="shared" si="1"/>
        <v>0</v>
      </c>
      <c r="G2801" s="2"/>
      <c r="H2801" s="2"/>
      <c r="I2801" s="2"/>
      <c r="J2801" s="2"/>
      <c r="K2801" s="2"/>
      <c r="L2801" s="2"/>
      <c r="M2801" s="2"/>
      <c r="N2801" s="2"/>
      <c r="O2801" s="2"/>
      <c r="P2801" s="2"/>
      <c r="Q2801" s="2"/>
      <c r="R2801" s="2"/>
      <c r="S2801" s="2"/>
      <c r="T2801" s="2"/>
      <c r="U2801" s="2"/>
      <c r="V2801" s="2"/>
      <c r="W2801" s="2"/>
      <c r="X2801" s="2"/>
      <c r="Y2801" s="2"/>
      <c r="Z2801" s="2"/>
      <c r="AA2801" s="2"/>
    </row>
    <row r="2802">
      <c r="A2802" s="3" t="s">
        <v>6475</v>
      </c>
      <c r="B2802" s="1" t="s">
        <v>6576</v>
      </c>
      <c r="C2802" s="3" t="s">
        <v>6577</v>
      </c>
      <c r="D2802" s="2" t="str">
        <f>IFERROR(__xludf.DUMMYFUNCTION("GOOGLETRANSLATE(B2802, ""en"", ""TL"")"),"Bilang isang abogado, paano mo mapapayo ang isang kliyente na gustong hamunin ang konstitusyonalidad ng isang batas na nagpapahintulot sa pagkuha ng pribadong ari-arian para sa mga proyektong pang-imprastraktura?")</f>
        <v>Bilang isang abogado, paano mo mapapayo ang isang kliyente na gustong hamunin ang konstitusyonalidad ng isang batas na nagpapahintulot sa pagkuha ng pribadong ari-arian para sa mga proyektong pang-imprastraktura?</v>
      </c>
      <c r="E2802" s="2" t="str">
        <f>IFERROR(__xludf.DUMMYFUNCTION("GOOGLETRANSLATE(C2802, ""en"", ""TL"")"),"Kung nilapitan ako ng isang kliyente na gustong hamunin ang isang batas na nagpapahintulot sa pag-agaw ng pribadong ari-arian para sa mga proyektong pang-imprastraktura sa mga batayan ng labag sa konstitusyon, narito kung paano ko sila ipapayo:
**Paunang "&amp;"Pagsusuri:**
1. **Suriin ang Batas:** Una, susuriin kong mabuti ang partikular na batas na gustong hamunin ng iyong kliyente. Kabilang dito ang pagtukoy sa mga probisyon na may kaugnayan sa expropriation at pag-unawa sa prosesong nakabalangkas sa batas.
2"&amp;". **Mga Batayan sa Konstitusyon:** Pagkatapos ay tutuklasin natin ang mga potensyal na batayan ng konstitusyon para sa hamon. Ang pinakakaraniwang mga hamon sa mga batas sa expropriation ay nauugnay sa:
* **Paglabag sa Nararapat na Proseso:** Nagbibigay b"&amp;"a ang batas ng patas at makatwirang proseso para hamunin ng mga may-ari ng lupa ang pag-agaw? Ginagarantiya ba nito ang karapatang marinig at magpakita ng ebidensya?
* **Sugnay sa Pampublikong Paggamit:** Ang nakasaad ba na layunin ng pag-agaw ay tunay na"&amp;" para sa ""pampublikong paggamit""? Maaari bang ipakita ng gobyerno ang isang lehitimong benepisyo ng publiko mula sa proyektong pang-imprastraktura?
* **Makatarungang Kompensasyon:** Tinitiyak ba ng batas na ang may-ari ng lupa ay makakatanggap ng ""maka"&amp;"tarungang kabayaran"" para sa kanilang ari-arian? Ito ay karaniwang nangangahulugan ng patas na halaga sa pamilihan sa oras ng pagkuha.
**Pagbuo ng Kaso:**
1. **Magtipon ng Ebidensya:** Kung matukoy namin ang mga potensyal na batayan para sa paghamon, kak"&amp;"ailanganin naming mangalap ng ebidensya upang suportahan ang aming kaso. Maaaring kabilang dito ang:
* **Mga Opinyon ng Eksperto:** Patotoo mula sa mga eksperto sa batas sa kilalang domain at batas sa konstitusyon.
* **Mga Pagtatasa:** Mga independiyenten"&amp;"g pagtatasa ng lupa upang ipakita ang patas na halaga sa pamilihan.
* **Mga Pag-aaral sa Epekto:** Katibayan na nagpapakita ng kawalan ng nakakahimok na pampublikong layunin o labis na pinsalang idinulot sa may-ari ng lupa.
**Mga Madiskarteng Opsyon:**
1."&amp;" **Negosasyon:** Depende sa partikular na mga pangyayari, maaari naming isaalang-alang ang pakikipagnegosasyon sa ahensya ng gobyerno na responsable para sa proyektong pang-imprastraktura. Ito ay maaaring humantong sa isang kasunduang solusyon na umiiwas "&amp;"sa paglilitis.
2. **Litigation:** Kung hindi matagumpay ang negosasyon, malamang na magsampa kami ng kaso na hinahamon ang konstitusyonalidad ng batas. Maaaring mahaba at magastos ang prosesong ito, kaya maingat naming titimbangin ang mga gastos at benepi"&amp;"syo bago magpatuloy.
**Mahahalagang Pagsasaalang-alang:**
* **Likelihood ng Tagumpay:** Ipapayo ko sa aking kliyente ang posibilidad na magtagumpay batay sa mga legal na precedent na nauugnay sa mga hamon sa expropriation. Ang mga desisyon ng korte sa mga"&amp;" katulad na kaso ay maaaring magpahiwatig kung paano maaaring mamuno ang isang hukom sa kaso ng iyong kliyente.
* **Mga Alternatibong remedyo:** Tuklasin namin kung may mga alternatibong remedyo na magagamit sa iyong kliyente bago ituloy ang isang hamon s"&amp;"a konstitusyon. Maaaring kabilang dito ang mga administratibong apela sa loob mismo ng proseso ng expropriation.
Ang batas sa expropriation ay kumplikado, at ang tagumpay ng isang hamon sa konstitusyon ay nakasalalay sa partikular na batas at mga katotoha"&amp;"nan ng kaso. Napakahalaga na magkaroon ng isang kwalipikadong abogado na suriin ang sitwasyon at payuhan ang iyong kliyente sa pinakamahusay na paraan ng pagkilos.")</f>
        <v>Kung nilapitan ako ng isang kliyente na gustong hamunin ang isang batas na nagpapahintulot sa pag-agaw ng pribadong ari-arian para sa mga proyektong pang-imprastraktura sa mga batayan ng labag sa konstitusyon, narito kung paano ko sila ipapayo:
**Paunang Pagsusuri:**
1. **Suriin ang Batas:** Una, susuriin kong mabuti ang partikular na batas na gustong hamunin ng iyong kliyente. Kabilang dito ang pagtukoy sa mga probisyon na may kaugnayan sa expropriation at pag-unawa sa prosesong nakabalangkas sa batas.
2. **Mga Batayan sa Konstitusyon:** Pagkatapos ay tutuklasin natin ang mga potensyal na batayan ng konstitusyon para sa hamon. Ang pinakakaraniwang mga hamon sa mga batas sa expropriation ay nauugnay sa:
* **Paglabag sa Nararapat na Proseso:** Nagbibigay ba ang batas ng patas at makatwirang proseso para hamunin ng mga may-ari ng lupa ang pag-agaw? Ginagarantiya ba nito ang karapatang marinig at magpakita ng ebidensya?
* **Sugnay sa Pampublikong Paggamit:** Ang nakasaad ba na layunin ng pag-agaw ay tunay na para sa "pampublikong paggamit"? Maaari bang ipakita ng gobyerno ang isang lehitimong benepisyo ng publiko mula sa proyektong pang-imprastraktura?
* **Makatarungang Kompensasyon:** Tinitiyak ba ng batas na ang may-ari ng lupa ay makakatanggap ng "makatarungang kabayaran" para sa kanilang ari-arian? Ito ay karaniwang nangangahulugan ng patas na halaga sa pamilihan sa oras ng pagkuha.
**Pagbuo ng Kaso:**
1. **Magtipon ng Ebidensya:** Kung matukoy namin ang mga potensyal na batayan para sa paghamon, kakailanganin naming mangalap ng ebidensya upang suportahan ang aming kaso. Maaaring kabilang dito ang:
* **Mga Opinyon ng Eksperto:** Patotoo mula sa mga eksperto sa batas sa kilalang domain at batas sa konstitusyon.
* **Mga Pagtatasa:** Mga independiyenteng pagtatasa ng lupa upang ipakita ang patas na halaga sa pamilihan.
* **Mga Pag-aaral sa Epekto:** Katibayan na nagpapakita ng kawalan ng nakakahimok na pampublikong layunin o labis na pinsalang idinulot sa may-ari ng lupa.
**Mga Madiskarteng Opsyon:**
1. **Negosasyon:** Depende sa partikular na mga pangyayari, maaari naming isaalang-alang ang pakikipagnegosasyon sa ahensya ng gobyerno na responsable para sa proyektong pang-imprastraktura. Ito ay maaaring humantong sa isang kasunduang solusyon na umiiwas sa paglilitis.
2. **Litigation:** Kung hindi matagumpay ang negosasyon, malamang na magsampa kami ng kaso na hinahamon ang konstitusyonalidad ng batas. Maaaring mahaba at magastos ang prosesong ito, kaya maingat naming titimbangin ang mga gastos at benepisyo bago magpatuloy.
**Mahahalagang Pagsasaalang-alang:**
* **Likelihood ng Tagumpay:** Ipapayo ko sa aking kliyente ang posibilidad na magtagumpay batay sa mga legal na precedent na nauugnay sa mga hamon sa expropriation. Ang mga desisyon ng korte sa mga katulad na kaso ay maaaring magpahiwatig kung paano maaaring mamuno ang isang hukom sa kaso ng iyong kliyente.
* **Mga Alternatibong remedyo:** Tuklasin namin kung may mga alternatibong remedyo na magagamit sa iyong kliyente bago ituloy ang isang hamon sa konstitusyon. Maaaring kabilang dito ang mga administratibong apela sa loob mismo ng proseso ng expropriation.
Ang batas sa expropriation ay kumplikado, at ang tagumpay ng isang hamon sa konstitusyon ay nakasalalay sa partikular na batas at mga katotohanan ng kaso. Napakahalaga na magkaroon ng isang kwalipikadong abogado na suriin ang sitwasyon at payuhan ang iyong kliyente sa pinakamahusay na paraan ng pagkilos.</v>
      </c>
      <c r="F2802" s="2">
        <f t="shared" si="1"/>
        <v>0</v>
      </c>
      <c r="G2802" s="2"/>
      <c r="H2802" s="2"/>
      <c r="I2802" s="2"/>
      <c r="J2802" s="2"/>
      <c r="K2802" s="2"/>
      <c r="L2802" s="2"/>
      <c r="M2802" s="2"/>
      <c r="N2802" s="2"/>
      <c r="O2802" s="2"/>
      <c r="P2802" s="2"/>
      <c r="Q2802" s="2"/>
      <c r="R2802" s="2"/>
      <c r="S2802" s="2"/>
      <c r="T2802" s="2"/>
      <c r="U2802" s="2"/>
      <c r="V2802" s="2"/>
      <c r="W2802" s="2"/>
      <c r="X2802" s="2"/>
      <c r="Y2802" s="2"/>
      <c r="Z2802" s="2"/>
      <c r="AA2802" s="2"/>
    </row>
    <row r="2803">
      <c r="A2803" s="3" t="s">
        <v>6475</v>
      </c>
      <c r="B2803" s="1" t="s">
        <v>6578</v>
      </c>
      <c r="C2803" s="3" t="s">
        <v>6579</v>
      </c>
      <c r="D2803" s="2" t="str">
        <f>IFERROR(__xludf.DUMMYFUNCTION("GOOGLETRANSLATE(B2803, ""en"", ""TL"")"),"Miyembro ka ng task force ng gobyerno na responsable sa pag-uugnay sa pagtugon sa sakuna at mga pagsisikap sa pagbawi pagkatapos ng malaking pagbagsak ng imprastraktura. Anong mga legal na hakbang ang iyong uunahin upang matiyak ang mabilis at epektibong "&amp;"aksyon?")</f>
        <v>Miyembro ka ng task force ng gobyerno na responsable sa pag-uugnay sa pagtugon sa sakuna at mga pagsisikap sa pagbawi pagkatapos ng malaking pagbagsak ng imprastraktura. Anong mga legal na hakbang ang iyong uunahin upang matiyak ang mabilis at epektibong aksyon?</v>
      </c>
      <c r="E2803" s="2" t="str">
        <f>IFERROR(__xludf.DUMMYFUNCTION("GOOGLETRANSLATE(C2803, ""en"", ""TL"")"),"Bilang miyembro ng task force ng gobyerno na nag-uugnay sa pagtugon at pagbawi sa kalamidad kasunod ng malaking pagbagsak ng imprastraktura, narito ang ilang legal na hakbang na uunahin ko upang matiyak ang mabilis at epektibong pagkilos:
**Emergency na T"&amp;"ugon:**
* **Mga Kautusang Pang-emergency:** Maaaring kailanganin ng pamahalaan na mag-isyu ng mga kautusang pang-emergency upang suspindihin ang mga normal na regulasyon at pamamaraan upang mapadali ang mga pagsisikap sa mabilis na pagtugon. Maaaring kabi"&amp;"lang dito ang mga hakbang tulad ng pagpapabilis ng mga pamamaraan ng pagkontrata para sa pag-alis ng mga labi at pag-aayos ng emergency.
* **Mga Kasunduan sa Mutual Aid:** I-activate ang mga kasunduan sa mutual aid sa mga kalapit na hurisdiksyon para maka"&amp;"kuha ng karagdagang emergency personnel at mga mapagkukunang kailangan para sa paghahanap at pagsagip, pangangalagang medikal, at probisyon ng tirahan.
**Resource Mobilization:**
* **Emerhensiyang Pagpopondo:** Pahintulutan ang emergency na pagpopondo upa"&amp;"ng suportahan ang agarang pagtugon sa mga aktibidad at pagkuha ng mahahalagang suplay. Maaaring kabilang dito ang paglalaan ng mga pondo mula sa mga badyet sa pagtulong sa kalamidad o paghingi ng tulong na pederal.
* **Eminent Domain:** Isaalang-alang ang"&amp;" paggamit ng eminent domain bilang isang huling paraan upang mabilis na makakuha ng pribadong ari-arian na kailangan para sa mga kritikal na pag-aayos ng imprastraktura o pansamantalang solusyon sa pabahay, na tinitiyak na makatarungang kabayaran ang ibib"&amp;"igay sa mga may-ari ng ari-arian.
**Pampublikong Kaligtasan at Kaayusan:**
* **Mga Curfew at Paglisan:** Magpatupad ng mga curfew at mandatoryong paglikas sa mga lugar na itinuturing na hindi ligtas dahil sa pinsala sa istruktura o mga panganib tulad ng p"&amp;"agtagas ng gas o potensyal na pagbaha.
* **Pag-iwas sa Pagtaas ng Presyo:** Magpatupad ng mga pansamantalang paghihigpit sa pagtaas ng presyo sa mga mahahalagang produkto tulad ng pagkain, tubig, at mga suplay na medikal upang maprotektahan ang mga reside"&amp;"nteng nasalanta ng kalamidad mula sa pagsasamantala.
**Pang-matagalang Pagbawi:**
* **Pagsusuri ng Kodigo ng Pagbuo:** Magsimula ng masusing pagsusuri ng mga code ng gusali at mga pamantayan sa imprastraktura upang matukoy ang mga lugar para sa pagpapabut"&amp;"i at maiwasan ang mga katulad na sakuna sa hinaharap.
* **Mga Regulasyon sa Kapaligiran:** Tiyakin ang pagsunod sa mga regulasyon sa kapaligiran sa panahon ng mga aktibidad sa pagtatanggal ng mga labi at muling pagtatayo upang mabawasan ang pinsala sa kap"&amp;"aligiran.
* **Pangmatagalang Pagpopondo at Tulong:** Magtatag ng pangmatagalang mekanismo ng pagpopondo para sa mga pagsisikap sa pagbawi, kabilang ang mga indibidwal na programa ng tulong para sa pag-aayos ng pabahay at pagbawi ng negosyo.
**Transparency"&amp;" at Komunikasyon:**
* **Pampublikong Impormasyon:** Regular na ipaalam ang mahahalagang impormasyon sa publiko tungkol sa sitwasyon, magagamit na mga mapagkukunan, at pag-unlad ng pagbawi sa pamamagitan ng maraming channel, kabilang ang mga press conferen"&amp;"ce, emergency alert system, at mga isinaling materyal.
* **Mga Debris Removal and Disposal Plans:** Malinaw na ipaalam ang mga plano para sa pag-alis at pagtatapon ng mga labi upang mabawasan ang kalituhan at matiyak ang transparency sa proseso.
** Panana"&amp;"gutan at Pangangasiwa:**
* **Independiyenteng Pagsusuri:** Magtatag ng isang independiyenteng komite sa pagsusuri upang siyasatin ang sanhi ng pagbagsak ng imprastraktura at tukuyin ang mga lugar para sa pagpapabuti sa paghahanda sa sakuna at mga estrateh"&amp;"iya sa pag-iwas.
* **Pag-audit ng Emergency Funds:** Magsagawa ng malinaw na pag-audit ng mga pondong pang-emergency na inilaan para sa pagtugon at pagbawi sa sakuna upang matiyak ang pananagutan at maiwasan ang maling paggamit ng mga mapagkukunan.
Sa pam"&amp;"amagitan ng pagbibigay-priyoridad sa mga legal na hakbang na ito, ang task force ay maaaring lumikha ng isang balangkas para sa mabilis at epektibong pagtugon at pagbawi sa sakuna. Ang pagsunod sa mga hakbang na ito ay makakatulong na mabawasan ang epekto"&amp;" ng kalamidad sa mga mamamayan at mapadali ang isang maayos na paglipat tungo sa pangmatagalang pagbawi at muling pagtatayo. Mahalagang tandaan na ang mga partikular na legal na hakbang ay maaaring mag-iba depende sa kalubhaan ng sakuna, mga kasalukuyang "&amp;"legal na balangkas, at mga mapagkukunang magagamit.")</f>
        <v>Bilang miyembro ng task force ng gobyerno na nag-uugnay sa pagtugon at pagbawi sa kalamidad kasunod ng malaking pagbagsak ng imprastraktura, narito ang ilang legal na hakbang na uunahin ko upang matiyak ang mabilis at epektibong pagkilos:
**Emergency na Tugon:**
* **Mga Kautusang Pang-emergency:** Maaaring kailanganin ng pamahalaan na mag-isyu ng mga kautusang pang-emergency upang suspindihin ang mga normal na regulasyon at pamamaraan upang mapadali ang mga pagsisikap sa mabilis na pagtugon. Maaaring kabilang dito ang mga hakbang tulad ng pagpapabilis ng mga pamamaraan ng pagkontrata para sa pag-alis ng mga labi at pag-aayos ng emergency.
* **Mga Kasunduan sa Mutual Aid:** I-activate ang mga kasunduan sa mutual aid sa mga kalapit na hurisdiksyon para makakuha ng karagdagang emergency personnel at mga mapagkukunang kailangan para sa paghahanap at pagsagip, pangangalagang medikal, at probisyon ng tirahan.
**Resource Mobilization:**
* **Emerhensiyang Pagpopondo:** Pahintulutan ang emergency na pagpopondo upang suportahan ang agarang pagtugon sa mga aktibidad at pagkuha ng mahahalagang suplay. Maaaring kabilang dito ang paglalaan ng mga pondo mula sa mga badyet sa pagtulong sa kalamidad o paghingi ng tulong na pederal.
* **Eminent Domain:** Isaalang-alang ang paggamit ng eminent domain bilang isang huling paraan upang mabilis na makakuha ng pribadong ari-arian na kailangan para sa mga kritikal na pag-aayos ng imprastraktura o pansamantalang solusyon sa pabahay, na tinitiyak na makatarungang kabayaran ang ibibigay sa mga may-ari ng ari-arian.
**Pampublikong Kaligtasan at Kaayusan:**
* **Mga Curfew at Paglisan:** Magpatupad ng mga curfew at mandatoryong paglikas sa mga lugar na itinuturing na hindi ligtas dahil sa pinsala sa istruktura o mga panganib tulad ng pagtagas ng gas o potensyal na pagbaha.
* **Pag-iwas sa Pagtaas ng Presyo:** Magpatupad ng mga pansamantalang paghihigpit sa pagtaas ng presyo sa mga mahahalagang produkto tulad ng pagkain, tubig, at mga suplay na medikal upang maprotektahan ang mga residenteng nasalanta ng kalamidad mula sa pagsasamantala.
**Pang-matagalang Pagbawi:**
* **Pagsusuri ng Kodigo ng Pagbuo:** Magsimula ng masusing pagsusuri ng mga code ng gusali at mga pamantayan sa imprastraktura upang matukoy ang mga lugar para sa pagpapabuti at maiwasan ang mga katulad na sakuna sa hinaharap.
* **Mga Regulasyon sa Kapaligiran:** Tiyakin ang pagsunod sa mga regulasyon sa kapaligiran sa panahon ng mga aktibidad sa pagtatanggal ng mga labi at muling pagtatayo upang mabawasan ang pinsala sa kapaligiran.
* **Pangmatagalang Pagpopondo at Tulong:** Magtatag ng pangmatagalang mekanismo ng pagpopondo para sa mga pagsisikap sa pagbawi, kabilang ang mga indibidwal na programa ng tulong para sa pag-aayos ng pabahay at pagbawi ng negosyo.
**Transparency at Komunikasyon:**
* **Pampublikong Impormasyon:** Regular na ipaalam ang mahahalagang impormasyon sa publiko tungkol sa sitwasyon, magagamit na mga mapagkukunan, at pag-unlad ng pagbawi sa pamamagitan ng maraming channel, kabilang ang mga press conference, emergency alert system, at mga isinaling materyal.
* **Mga Debris Removal and Disposal Plans:** Malinaw na ipaalam ang mga plano para sa pag-alis at pagtatapon ng mga labi upang mabawasan ang kalituhan at matiyak ang transparency sa proseso.
** Pananagutan at Pangangasiwa:**
* **Independiyenteng Pagsusuri:** Magtatag ng isang independiyenteng komite sa pagsusuri upang siyasatin ang sanhi ng pagbagsak ng imprastraktura at tukuyin ang mga lugar para sa pagpapabuti sa paghahanda sa sakuna at mga estratehiya sa pag-iwas.
* **Pag-audit ng Emergency Funds:** Magsagawa ng malinaw na pag-audit ng mga pondong pang-emergency na inilaan para sa pagtugon at pagbawi sa sakuna upang matiyak ang pananagutan at maiwasan ang maling paggamit ng mga mapagkukunan.
Sa pamamagitan ng pagbibigay-priyoridad sa mga legal na hakbang na ito, ang task force ay maaaring lumikha ng isang balangkas para sa mabilis at epektibong pagtugon at pagbawi sa sakuna. Ang pagsunod sa mga hakbang na ito ay makakatulong na mabawasan ang epekto ng kalamidad sa mga mamamayan at mapadali ang isang maayos na paglipat tungo sa pangmatagalang pagbawi at muling pagtatayo. Mahalagang tandaan na ang mga partikular na legal na hakbang ay maaaring mag-iba depende sa kalubhaan ng sakuna, mga kasalukuyang legal na balangkas, at mga mapagkukunang magagamit.</v>
      </c>
      <c r="F2803" s="2">
        <f t="shared" si="1"/>
        <v>0</v>
      </c>
      <c r="G2803" s="2"/>
      <c r="H2803" s="2"/>
      <c r="I2803" s="2"/>
      <c r="J2803" s="2"/>
      <c r="K2803" s="2"/>
      <c r="L2803" s="2"/>
      <c r="M2803" s="2"/>
      <c r="N2803" s="2"/>
      <c r="O2803" s="2"/>
      <c r="P2803" s="2"/>
      <c r="Q2803" s="2"/>
      <c r="R2803" s="2"/>
      <c r="S2803" s="2"/>
      <c r="T2803" s="2"/>
      <c r="U2803" s="2"/>
      <c r="V2803" s="2"/>
      <c r="W2803" s="2"/>
      <c r="X2803" s="2"/>
      <c r="Y2803" s="2"/>
      <c r="Z2803" s="2"/>
      <c r="AA2803" s="2"/>
    </row>
    <row r="2804">
      <c r="A2804" s="3" t="s">
        <v>6475</v>
      </c>
      <c r="B2804" s="1" t="s">
        <v>6580</v>
      </c>
      <c r="C2804" s="3" t="s">
        <v>6581</v>
      </c>
      <c r="D2804" s="2" t="str">
        <f>IFERROR(__xludf.DUMMYFUNCTION("GOOGLETRANSLATE(B2804, ""en"", ""TL"")"),"Bilang isang opisyal ng gobyerno, paano mo babalansehin ang pangangailangan para sa pag-unlad ng lungsod sa pag-iingat ng lupang pang-agrikultura para sa seguridad ng pagkain?")</f>
        <v>Bilang isang opisyal ng gobyerno, paano mo babalansehin ang pangangailangan para sa pag-unlad ng lungsod sa pag-iingat ng lupang pang-agrikultura para sa seguridad ng pagkain?</v>
      </c>
      <c r="E2804" s="2" t="str">
        <f>IFERROR(__xludf.DUMMYFUNCTION("GOOGLETRANSLATE(C2804, ""en"", ""TL"")"),"Ang pagbabalanse ng urban development sa pagpreserba ng lupang pang-agrikultura para sa food security ay isang masalimuot na hamon. Narito ang isang multi-pronged approach na gagawin ko, bilang isang opisyal ng gobyerno:
**Pagpaplanong Batay sa Data:**
1."&amp;" **Imbentaryo at Pagsusuri ng Lupa:** Magsagawa ng komprehensibong imbentaryo ng mga yamang lupa sa loob ng rehiyon. Dapat isaalang-alang ng pagsusuring ito ang kalidad ng lupa, produktibidad ng agrikultura, mga kasalukuyang lugar sa kalunsuran, at mga pa"&amp;"ngangailangan sa imprastraktura.
2. **Urban Growth Projection:** Bumuo ng makatotohanang mga projection ng hinaharap na paglago ng urban batay sa mga trend ng populasyon at mga pagtataya sa ekonomiya. Makakatulong ito na matukoy ang mga lugar kung saan an"&amp;"g pressure sa pag-unlad ay malamang na mangyari.
**Pagpapahalaga at Pagprotekta sa Lupang Pang-agrikultura:**
1. **Agricultural Land Zoning:** Ipatupad ang mga regulasyong pang-agricultural land zoning upang pigilan ang pag-unlad na hindi pang-agrikultura"&amp;" sa pangunahing lupang sakahan. Pinoprotektahan nito ang pinaka produktibong mga lupa para sa produksyon ng pagkain.
2. **Pagbili ng Mga Karapatan sa Pagpapaunlad (PDRs):** Magtatag ng mga programang PDR kung saan binibili ng pamahalaan ang mga karapatan "&amp;"sa pagpapaunlad mula sa mga may-ari ng lupa. Ito ay nagpapahintulot sa mga magsasaka na mapanatili ang pagmamay-ari ng kanilang lupa habang nililimitahan ang potensyal na pag-unlad nito.
3. **Mga Hangganan ng Paglago ng Lungsod:** Italaga ang mga hanggana"&amp;"n ng paglago sa lungsod upang ituon ang pag-unlad sa loob ng mga partikular na lugar at i-channel ang paglago palayo sa mahalagang lupang pang-agrikultura. **Paghihikayat sa mga Sustainable na Kasanayan:**
1. **Urban Agriculture:** Isulong ang mga inisyat"&amp;"iba sa urban agriculture tulad ng rooftop gardening at vertical farming upang mapataas ang produksyon ng pagkain sa loob ng mga urban na lugar.
2. **Precision Agriculture:** Suportahan ang pag-aampon ng precision agriculture na teknolohiya ng mga magsasak"&amp;"a. Ang mga teknolohiyang ito ay nagbibigay-daan para sa mas mahusay na paggamit ng tubig, mga abono, at mga pestisidyo, na maaaring tumaas ang mga ani sa umiiral na lupang pang-agrikultura.
3. **Pagbabawas ng Basura ng Pagkain:** Magpatupad ng mga hakbang"&amp;"in upang mabawasan ang basura ng pagkain sa buong supply chain. Maaari nitong bawasan ang pangkalahatang pangangailangan para sa lupang pang-agrikultura upang makagawa ng pagkain.
**Mga Pang-ekonomiyang Insentibo:**
1. **Mga Tax Break at Subsidies:** Magb"&amp;"igay ng mga tax break at subsidies sa mga magsasaka na nagsasagawa ng napapanatiling pamamaraan ng agrikultura at nag-iingat ng lupang pang-agrikultura.
2. **Mga Pamilihan ng Magsasaka at Lokal na Sistema ng Pagkain:** Suportahan ang pagbuo ng mga pamilih"&amp;"an ng magsasaka at mga lokal na sistema ng pagkain upang ikonekta ang mga mamimili sa mga lokal na prodyuser. Maaari nitong mapataas ang kita ng sakahan at makapagbigay ng insentibo sa patuloy na paggamit ng lupa sa agrikultura.
**Pagtutulungan at Pampubl"&amp;"ikong Pakikipag-ugnayan:**
1. **Stakeholder Engagement:** Paunlarin ang pakikipagtulungan sa pagitan ng mga ahensya ng gobyerno, developer, magsasaka, mga grupong pangkalikasan, at publiko upang bumuo ng isang komprehensibong plano para sa balanseng pag-u"&amp;"nlad.
2. **Public Education:** Ituro sa publiko ang tungkol sa kahalagahan ng seguridad sa pagkain at ang mga epekto sa kapaligiran ng urban sprawl. Maaari itong bumuo ng pampublikong suporta para sa mga patakarang nagpoprotekta sa lupang pang-agrikultura"&amp;".
Sa pamamagitan ng pagpapatupad ng mga estratehiyang ito, maaari tayong magsumikap na makamit ang balanse sa pagitan ng pagtugon sa mga pangangailangan ng lumalaking populasyon sa lunsod at pagpepreserba ng mahalagang lupang pang-agrikultura para sa pang"&amp;"matagalang seguridad sa pagkain. Ito ay isang patuloy na proseso na nangangailangan ng maingat na pagpaplano, pakikipagtulungan, at isang pangako sa napapanatiling pag-unlad.")</f>
        <v>Ang pagbabalanse ng urban development sa pagpreserba ng lupang pang-agrikultura para sa food security ay isang masalimuot na hamon. Narito ang isang multi-pronged approach na gagawin ko, bilang isang opisyal ng gobyerno:
**Pagpaplanong Batay sa Data:**
1. **Imbentaryo at Pagsusuri ng Lupa:** Magsagawa ng komprehensibong imbentaryo ng mga yamang lupa sa loob ng rehiyon. Dapat isaalang-alang ng pagsusuring ito ang kalidad ng lupa, produktibidad ng agrikultura, mga kasalukuyang lugar sa kalunsuran, at mga pangangailangan sa imprastraktura.
2. **Urban Growth Projection:** Bumuo ng makatotohanang mga projection ng hinaharap na paglago ng urban batay sa mga trend ng populasyon at mga pagtataya sa ekonomiya. Makakatulong ito na matukoy ang mga lugar kung saan ang pressure sa pag-unlad ay malamang na mangyari.
**Pagpapahalaga at Pagprotekta sa Lupang Pang-agrikultura:**
1. **Agricultural Land Zoning:** Ipatupad ang mga regulasyong pang-agricultural land zoning upang pigilan ang pag-unlad na hindi pang-agrikultura sa pangunahing lupang sakahan. Pinoprotektahan nito ang pinaka produktibong mga lupa para sa produksyon ng pagkain.
2. **Pagbili ng Mga Karapatan sa Pagpapaunlad (PDRs):** Magtatag ng mga programang PDR kung saan binibili ng pamahalaan ang mga karapatan sa pagpapaunlad mula sa mga may-ari ng lupa. Ito ay nagpapahintulot sa mga magsasaka na mapanatili ang pagmamay-ari ng kanilang lupa habang nililimitahan ang potensyal na pag-unlad nito.
3. **Mga Hangganan ng Paglago ng Lungsod:** Italaga ang mga hangganan ng paglago sa lungsod upang ituon ang pag-unlad sa loob ng mga partikular na lugar at i-channel ang paglago palayo sa mahalagang lupang pang-agrikultura. **Paghihikayat sa mga Sustainable na Kasanayan:**
1. **Urban Agriculture:** Isulong ang mga inisyatiba sa urban agriculture tulad ng rooftop gardening at vertical farming upang mapataas ang produksyon ng pagkain sa loob ng mga urban na lugar.
2. **Precision Agriculture:** Suportahan ang pag-aampon ng precision agriculture na teknolohiya ng mga magsasaka. Ang mga teknolohiyang ito ay nagbibigay-daan para sa mas mahusay na paggamit ng tubig, mga abono, at mga pestisidyo, na maaaring tumaas ang mga ani sa umiiral na lupang pang-agrikultura.
3. **Pagbabawas ng Basura ng Pagkain:** Magpatupad ng mga hakbangin upang mabawasan ang basura ng pagkain sa buong supply chain. Maaari nitong bawasan ang pangkalahatang pangangailangan para sa lupang pang-agrikultura upang makagawa ng pagkain.
**Mga Pang-ekonomiyang Insentibo:**
1. **Mga Tax Break at Subsidies:** Magbigay ng mga tax break at subsidies sa mga magsasaka na nagsasagawa ng napapanatiling pamamaraan ng agrikultura at nag-iingat ng lupang pang-agrikultura.
2. **Mga Pamilihan ng Magsasaka at Lokal na Sistema ng Pagkain:** Suportahan ang pagbuo ng mga pamilihan ng magsasaka at mga lokal na sistema ng pagkain upang ikonekta ang mga mamimili sa mga lokal na prodyuser. Maaari nitong mapataas ang kita ng sakahan at makapagbigay ng insentibo sa patuloy na paggamit ng lupa sa agrikultura.
**Pagtutulungan at Pampublikong Pakikipag-ugnayan:**
1. **Stakeholder Engagement:** Paunlarin ang pakikipagtulungan sa pagitan ng mga ahensya ng gobyerno, developer, magsasaka, mga grupong pangkalikasan, at publiko upang bumuo ng isang komprehensibong plano para sa balanseng pag-unlad.
2. **Public Education:** Ituro sa publiko ang tungkol sa kahalagahan ng seguridad sa pagkain at ang mga epekto sa kapaligiran ng urban sprawl. Maaari itong bumuo ng pampublikong suporta para sa mga patakarang nagpoprotekta sa lupang pang-agrikultura.
Sa pamamagitan ng pagpapatupad ng mga estratehiyang ito, maaari tayong magsumikap na makamit ang balanse sa pagitan ng pagtugon sa mga pangangailangan ng lumalaking populasyon sa lunsod at pagpepreserba ng mahalagang lupang pang-agrikultura para sa pangmatagalang seguridad sa pagkain. Ito ay isang patuloy na proseso na nangangailangan ng maingat na pagpaplano, pakikipagtulungan, at isang pangako sa napapanatiling pag-unlad.</v>
      </c>
      <c r="F2804" s="2">
        <f t="shared" si="1"/>
        <v>0</v>
      </c>
      <c r="G2804" s="2"/>
      <c r="H2804" s="2"/>
      <c r="I2804" s="2"/>
      <c r="J2804" s="2"/>
      <c r="K2804" s="2"/>
      <c r="L2804" s="2"/>
      <c r="M2804" s="2"/>
      <c r="N2804" s="2"/>
      <c r="O2804" s="2"/>
      <c r="P2804" s="2"/>
      <c r="Q2804" s="2"/>
      <c r="R2804" s="2"/>
      <c r="S2804" s="2"/>
      <c r="T2804" s="2"/>
      <c r="U2804" s="2"/>
      <c r="V2804" s="2"/>
      <c r="W2804" s="2"/>
      <c r="X2804" s="2"/>
      <c r="Y2804" s="2"/>
      <c r="Z2804" s="2"/>
      <c r="AA2804" s="2"/>
    </row>
    <row r="2805">
      <c r="A2805" s="3" t="s">
        <v>6475</v>
      </c>
      <c r="B2805" s="1" t="s">
        <v>6582</v>
      </c>
      <c r="C2805" s="3" t="s">
        <v>6583</v>
      </c>
      <c r="D2805" s="2" t="str">
        <f>IFERROR(__xludf.DUMMYFUNCTION("GOOGLETRANSLATE(B2805, ""en"", ""TL"")"),"Isa kang legal na tagapayo sa isang non-profit na organisasyon na nagtataguyod para sa mga karapatan ng mga informal settler. Anong mga legal na estratehiya ang irerekomenda mo upang isulong ang kanilang layunin?")</f>
        <v>Isa kang legal na tagapayo sa isang non-profit na organisasyon na nagtataguyod para sa mga karapatan ng mga informal settler. Anong mga legal na estratehiya ang irerekomenda mo upang isulong ang kanilang layunin?</v>
      </c>
      <c r="E2805" s="2" t="str">
        <f>IFERROR(__xludf.DUMMYFUNCTION("GOOGLETRANSLATE(C2805, ""en"", ""TL"")"),"Bilang isang legal na tagapayo sa isang non-profit na pagtataguyod para sa mga informal settler, narito ang ilang mga legal na estratehiya na irerekomenda ko:
**Legal na Representasyon at Adbokasiya:**
* **Indibidwal na Legal Aid:** Magbigay ng legal na t"&amp;"ulong sa mga informal settler na nahaharap sa pagpapaalis o demolisyon sa kanilang mga tahanan. Hamunin ang mga utos ng pagpapaalis sa korte kung hindi sinunod ang angkop na proseso o hindi ibinigay ang alternatibong pabahay.
* **Paglilitis sa Pampublikon"&amp;"g Interes:** Magsampa ng mga kaso ng paglilitis sa pampublikong interes upang hamunin ang mga batas at patakarang may diskriminasyon na nakakapinsala sa mga impormal na settler. Ito ay maaaring tumuon sa paghihigpit sa mga batas sa pag-zoning o kawalan ng"&amp;" access sa mga pangunahing serbisyo tulad ng tubig at sanitasyon.
* **Lobbying at Reporma sa Batas:** Lobby ang mga opisyal ng gobyerno upang magpatibay ng mga batas na nagpoprotekta sa mga karapatan ng mga informal settler. Itaguyod ang inclusive na mga "&amp;"patakaran sa pabahay na kumikilala sa mga impormal na settlement at nagbibigay ng landas sa seguridad ng panunungkulan.
**Pagpapalakas ng Komunidad at Legal na Edukasyon:**
* **Mga Workshop ng Alamin ang Iyong Mga Karapatan:** Mag-organisa ng mga workshop"&amp;" upang turuan ang mga impormal na settler tungkol sa kanilang mga legal na karapatan, kabilang ang mga karapatan at karapatan ng nangungupahan na may kaugnayan sa mga proseso ng pagpapaalis.
* **Pag-oorganisa at Negosasyon ng Komunidad:** Suportahan ang m"&amp;"ga pagsisikap sa pag-oorganisa ng komunidad upang bigyan ng kapangyarihan ang mga impormal na settler na sama-samang isulong ang kanilang mga karapatan. Sanayin ang mga residente sa mga kasanayan sa pakikipagnegosasyon upang makipagkasundo sa mga may-ari "&amp;"ng lupa o ahensya ng gobyerno para sa pinabuting kalagayan ng pamumuhay o regularisasyon ng pagmamay-ari ng lupa.
* **Documentation of Land Use and Eviction Practices:** Tulungan ang mga residente sa pagdokumento ng kanilang kasaysayan ng paninirahan sa i"&amp;"mpormal na paninirahan. Ang dokumentasyong ito ay maaaring maging mahalagang ebidensiya sa mga kaso ng hukuman na humahamon sa pagpapaalis.
**Madiskarteng Paggamit ng Internasyonal na Batas:**
* **International Human Rights Law:** Advocate for the applica"&amp;"tion of international human rights law, gaya ng karapatan sa sapat na pabahay. Maaari itong maglagay ng panggigipit sa mga pamahalaan na mapabuti ang kalagayan ng pamumuhay sa mga impormal na pamayanan.
* **UN Guiding Principles on Business and Human Righ"&amp;"ts:** Panagutin ang mga pribadong kumpanya para sa kanilang mga epekto sa mga impormal na pakikipag-ayos. Binabalangkas ng UN Guiding Principles on Business and Human Rights ang responsibilidad ng korporasyon na igalang ang mga karapatang pantao sa kabuua"&amp;"n ng kanilang mga operasyon.
**Public Awareness at Media Advocacy:**
* **Mga Kampanya sa Public Relations:** Itaas ang kamalayan ng publiko tungkol sa kalagayan ng mga impormal na settler at ang kahalagahan ng pagkilala sa kanilang mga karapatan sa pabaha"&amp;"y at seguridad ng panunungkulan.
* **Media Advocacy:** Makipagtulungan sa media upang bigyang-pansin ang mga isyung kinakaharap ng mga impormal na pakikipag-ayos, tulad ng sapilitang pagpapaalis, kakulangan ng mga pangunahing serbisyo, at diskriminasyon.
"&amp;"Ito ay ilan lamang sa mga legal na estratehiya na maaaring gamitin ng isang non-profit upang itaguyod ang mga karapatan ng mga informal settler. Ang partikular na diskarte ay depende sa lokal na konteksto at sa mga pangangailangan ng komunidad. Mahalagang"&amp;" makipagtulungan nang malapit sa komunidad upang bumuo ng isang diskarte na epektibo at napapanatiling.")</f>
        <v>Bilang isang legal na tagapayo sa isang non-profit na pagtataguyod para sa mga informal settler, narito ang ilang mga legal na estratehiya na irerekomenda ko:
**Legal na Representasyon at Adbokasiya:**
* **Indibidwal na Legal Aid:** Magbigay ng legal na tulong sa mga informal settler na nahaharap sa pagpapaalis o demolisyon sa kanilang mga tahanan. Hamunin ang mga utos ng pagpapaalis sa korte kung hindi sinunod ang angkop na proseso o hindi ibinigay ang alternatibong pabahay.
* **Paglilitis sa Pampublikong Interes:** Magsampa ng mga kaso ng paglilitis sa pampublikong interes upang hamunin ang mga batas at patakarang may diskriminasyon na nakakapinsala sa mga impormal na settler. Ito ay maaaring tumuon sa paghihigpit sa mga batas sa pag-zoning o kawalan ng access sa mga pangunahing serbisyo tulad ng tubig at sanitasyon.
* **Lobbying at Reporma sa Batas:** Lobby ang mga opisyal ng gobyerno upang magpatibay ng mga batas na nagpoprotekta sa mga karapatan ng mga informal settler. Itaguyod ang inclusive na mga patakaran sa pabahay na kumikilala sa mga impormal na settlement at nagbibigay ng landas sa seguridad ng panunungkulan.
**Pagpapalakas ng Komunidad at Legal na Edukasyon:**
* **Mga Workshop ng Alamin ang Iyong Mga Karapatan:** Mag-organisa ng mga workshop upang turuan ang mga impormal na settler tungkol sa kanilang mga legal na karapatan, kabilang ang mga karapatan at karapatan ng nangungupahan na may kaugnayan sa mga proseso ng pagpapaalis.
* **Pag-oorganisa at Negosasyon ng Komunidad:** Suportahan ang mga pagsisikap sa pag-oorganisa ng komunidad upang bigyan ng kapangyarihan ang mga impormal na settler na sama-samang isulong ang kanilang mga karapatan. Sanayin ang mga residente sa mga kasanayan sa pakikipagnegosasyon upang makipagkasundo sa mga may-ari ng lupa o ahensya ng gobyerno para sa pinabuting kalagayan ng pamumuhay o regularisasyon ng pagmamay-ari ng lupa.
* **Documentation of Land Use and Eviction Practices:** Tulungan ang mga residente sa pagdokumento ng kanilang kasaysayan ng paninirahan sa impormal na paninirahan. Ang dokumentasyong ito ay maaaring maging mahalagang ebidensiya sa mga kaso ng hukuman na humahamon sa pagpapaalis.
**Madiskarteng Paggamit ng Internasyonal na Batas:**
* **International Human Rights Law:** Advocate for the application of international human rights law, gaya ng karapatan sa sapat na pabahay. Maaari itong maglagay ng panggigipit sa mga pamahalaan na mapabuti ang kalagayan ng pamumuhay sa mga impormal na pamayanan.
* **UN Guiding Principles on Business and Human Rights:** Panagutin ang mga pribadong kumpanya para sa kanilang mga epekto sa mga impormal na pakikipag-ayos. Binabalangkas ng UN Guiding Principles on Business and Human Rights ang responsibilidad ng korporasyon na igalang ang mga karapatang pantao sa kabuuan ng kanilang mga operasyon.
**Public Awareness at Media Advocacy:**
* **Mga Kampanya sa Public Relations:** Itaas ang kamalayan ng publiko tungkol sa kalagayan ng mga impormal na settler at ang kahalagahan ng pagkilala sa kanilang mga karapatan sa pabahay at seguridad ng panunungkulan.
* **Media Advocacy:** Makipagtulungan sa media upang bigyang-pansin ang mga isyung kinakaharap ng mga impormal na pakikipag-ayos, tulad ng sapilitang pagpapaalis, kakulangan ng mga pangunahing serbisyo, at diskriminasyon.
Ito ay ilan lamang sa mga legal na estratehiya na maaaring gamitin ng isang non-profit upang itaguyod ang mga karapatan ng mga informal settler. Ang partikular na diskarte ay depende sa lokal na konteksto at sa mga pangangailangan ng komunidad. Mahalagang makipagtulungan nang malapit sa komunidad upang bumuo ng isang diskarte na epektibo at napapanatiling.</v>
      </c>
      <c r="F2805" s="2">
        <f t="shared" si="1"/>
        <v>0</v>
      </c>
      <c r="G2805" s="2"/>
      <c r="H2805" s="2"/>
      <c r="I2805" s="2"/>
      <c r="J2805" s="2"/>
      <c r="K2805" s="2"/>
      <c r="L2805" s="2"/>
      <c r="M2805" s="2"/>
      <c r="N2805" s="2"/>
      <c r="O2805" s="2"/>
      <c r="P2805" s="2"/>
      <c r="Q2805" s="2"/>
      <c r="R2805" s="2"/>
      <c r="S2805" s="2"/>
      <c r="T2805" s="2"/>
      <c r="U2805" s="2"/>
      <c r="V2805" s="2"/>
      <c r="W2805" s="2"/>
      <c r="X2805" s="2"/>
      <c r="Y2805" s="2"/>
      <c r="Z2805" s="2"/>
      <c r="AA2805" s="2"/>
    </row>
    <row r="2806">
      <c r="A2806" s="3" t="s">
        <v>6475</v>
      </c>
      <c r="B2806" s="1" t="s">
        <v>6584</v>
      </c>
      <c r="C2806" s="3" t="s">
        <v>6585</v>
      </c>
      <c r="D2806" s="2" t="str">
        <f>IFERROR(__xludf.DUMMYFUNCTION("GOOGLETRANSLATE(B2806, ""en"", ""TL"")"),"Bilang isang mambabatas, paano mo imumungkahi ang batas upang tugunan ang kakulangan ng mga opsyon sa abot-kayang pabahay para sa mga pamilyang mababa ang kita?")</f>
        <v>Bilang isang mambabatas, paano mo imumungkahi ang batas upang tugunan ang kakulangan ng mga opsyon sa abot-kayang pabahay para sa mga pamilyang mababa ang kita?</v>
      </c>
      <c r="E2806" s="2" t="str">
        <f>IFERROR(__xludf.DUMMYFUNCTION("GOOGLETRANSLATE(C2806, ""en"", ""TL"")"),"Narito ang ilang batas na imumungkahi ko, bilang isang mambabatas, na tugunan ang kakulangan ng mga opsyon sa abot-kayang pabahay para sa mga pamilyang mababa ang kita:
**Pagtaas ng Supply:**
* **Inclusionary Zoning:** Mag-atas sa mga developer ng malalak"&amp;"ing residential projects na magtabi ng porsyento ng mga unit bilang abot-kayang pabahay. Pinapataas nito ang supply ng mga abot-kayang unit sa mga kanais-nais na lokasyon.
* **Pagpapaunlad ng Pampublikong Lupa:** Maglaan ng hindi gaanong ginagamit na pamp"&amp;"ublikong lupa para sa pagpapaunlad ng mga proyektong abot-kayang pabahay. Ang pakikipagtulungan sa mga non-profit na organisasyon sa pabahay ay maaaring mapadali ang mahusay na pag-unlad.
* **Low-Income Housing Tax Credits (LIHTC):** Palawakin at palawigi"&amp;"n ang programa ng LIHTC, na nagbibigay ng mga kredito sa buwis sa mga developer na nagtatayo ng abot-kayang mga yunit ng pabahay. Isaalang-alang ang pagtaas ng mga halaga ng kredito o pag-streamline ng proseso ng aplikasyon upang gawing mas kaakit-akit an"&amp;"g LIHTC sa mga mamumuhunan.
**Pinapanatili ang Umiiral na Stock:**
* **Rental Assistance Programs:** Dagdagan ang pagpopondo para sa mga programa ng tulong sa pagrenta tulad ng Housing Choice Voucher, na tumutulong sa mga pamilyang mababa ang kita na maka"&amp;"bayad ng renta sa pribadong merkado.
* **Mga Programa sa Pag-iwas sa Foreclosure:** Magbigay ng pagpapayo sa pananalapi at mga programa sa pagbabago ng pautang upang matulungan ang mga nasa panganib na may-ari ng bahay na maiwasan ang pagreremata. Pinapan"&amp;"atili nito ang kasalukuyang stock ng abot-kayang pabahay.
**Mga Pinansyal na Insentibo para sa mga Nangungupahan at Nagpapaupa:**
* **Mga Grant sa Rehabilitasyon ng Nangungupahan:** Nag-aalok ng mga gawad sa mga nangungupahan na mababa ang kita upang mags"&amp;"agawa ng mga pagkukumpuni at pagpapahusay sa kanilang mga unit ng inuupahan. Mapapabuti nito ang mga kondisyon ng pamumuhay at mahikayat ang mga panginoong maylupa na mapanatili ang abot-kayang pabahay.
* **Pagbabawas ng Buwis sa Ari-arian:** Pahintulutan"&amp;" ang pagbabawas ng buwis sa ari-arian para sa mga panginoong maylupa na nagpapanatiling abot-kaya ang mga renta para sa mga nangungupahan na mababa ang kita. Binabawasan nito ang mga gastos sa pagpapatakbo para sa mga panginoong maylupa at hinihikayat sil"&amp;"ang lumahok sa mga programang abot-kayang pabahay.
**Pagtugon sa Zoning at Regulasyon:**
* **Streamlining Permitting:** Pabilisin ang proseso ng pagpapahintulot para sa mga pagpapaunlad ng abot-kayang pabahay. Maaaring maantala ng labis na burukrasya ang "&amp;"konstruksyon at mapataas ang mga gastos.
* **Zoning Reform:** Hikayatin ang zoning reform upang bigyang-daan ang mas mataas na density ng pagbuo sa ilang mga lugar. Maaari nitong madagdagan ang bilang ng mga yunit ng pabahay na magagamit sa isang kapiraso"&amp;"ng lupa.
**Data at Pananaliksik:**
* **National Housing Trust Fund:** Magtatag ng pambansang pondo ng tiwala sa pabahay upang magkaloob ng pangmatagalang pagpopondo para sa mga inisyatiba ng abot-kayang pabahay. * **Pagkolekta at Pagsusuri ng Data:** Mang"&amp;"olekta at magpakalat ng data sa merkado ng abot-kayang pabahay upang makatulong na ipaalam ang mga desisyon sa patakaran at mabisang i-target ang mga mapagkukunan.
**Pagtugon sa Mga Isyu sa Pag-alis:**
* **Mga Panukala laban sa Pag-alis:** Isama ang mga h"&amp;"akbang laban sa paglilipat sa batas sa abot-kayang pabahay upang protektahan ang mga kasalukuyang residente mula sa pagtaas ng upa o pagpapaalis dahil sa muling pagpapaunlad ng kapitbahayan.
* **Tulong sa Relokasyon:** Magbigay ng tulong sa relokasyon sa "&amp;"mga pamilyang may mababang kita na lumikas dahil sa mga proyektong pangkaunlaran. Makakatulong ito sa kanila na makahanap ng mga bagong opsyon sa abot-kayang pabahay.
Sa pamamagitan ng pagpapatupad ng kumbinasyon ng mga estratehiyang ito, maaari nating da"&amp;"gdagan ang suplay ng abot-kayang pabahay, mapangalagaan ang kasalukuyang stock, at gawing mas abot-kaya ang pabahay para sa mga pamilyang mababa ang kita. Makakatulong ito na matiyak na ang lahat ay may access sa ligtas, disente, at abot-kayang pabahay.")</f>
        <v>Narito ang ilang batas na imumungkahi ko, bilang isang mambabatas, na tugunan ang kakulangan ng mga opsyon sa abot-kayang pabahay para sa mga pamilyang mababa ang kita:
**Pagtaas ng Supply:**
* **Inclusionary Zoning:** Mag-atas sa mga developer ng malalaking residential projects na magtabi ng porsyento ng mga unit bilang abot-kayang pabahay. Pinapataas nito ang supply ng mga abot-kayang unit sa mga kanais-nais na lokasyon.
* **Pagpapaunlad ng Pampublikong Lupa:** Maglaan ng hindi gaanong ginagamit na pampublikong lupa para sa pagpapaunlad ng mga proyektong abot-kayang pabahay. Ang pakikipagtulungan sa mga non-profit na organisasyon sa pabahay ay maaaring mapadali ang mahusay na pag-unlad.
* **Low-Income Housing Tax Credits (LIHTC):** Palawakin at palawigin ang programa ng LIHTC, na nagbibigay ng mga kredito sa buwis sa mga developer na nagtatayo ng abot-kayang mga yunit ng pabahay. Isaalang-alang ang pagtaas ng mga halaga ng kredito o pag-streamline ng proseso ng aplikasyon upang gawing mas kaakit-akit ang LIHTC sa mga mamumuhunan.
**Pinapanatili ang Umiiral na Stock:**
* **Rental Assistance Programs:** Dagdagan ang pagpopondo para sa mga programa ng tulong sa pagrenta tulad ng Housing Choice Voucher, na tumutulong sa mga pamilyang mababa ang kita na makabayad ng renta sa pribadong merkado.
* **Mga Programa sa Pag-iwas sa Foreclosure:** Magbigay ng pagpapayo sa pananalapi at mga programa sa pagbabago ng pautang upang matulungan ang mga nasa panganib na may-ari ng bahay na maiwasan ang pagreremata. Pinapanatili nito ang kasalukuyang stock ng abot-kayang pabahay.
**Mga Pinansyal na Insentibo para sa mga Nangungupahan at Nagpapaupa:**
* **Mga Grant sa Rehabilitasyon ng Nangungupahan:** Nag-aalok ng mga gawad sa mga nangungupahan na mababa ang kita upang magsagawa ng mga pagkukumpuni at pagpapahusay sa kanilang mga unit ng inuupahan. Mapapabuti nito ang mga kondisyon ng pamumuhay at mahikayat ang mga panginoong maylupa na mapanatili ang abot-kayang pabahay.
* **Pagbabawas ng Buwis sa Ari-arian:** Pahintulutan ang pagbabawas ng buwis sa ari-arian para sa mga panginoong maylupa na nagpapanatiling abot-kaya ang mga renta para sa mga nangungupahan na mababa ang kita. Binabawasan nito ang mga gastos sa pagpapatakbo para sa mga panginoong maylupa at hinihikayat silang lumahok sa mga programang abot-kayang pabahay.
**Pagtugon sa Zoning at Regulasyon:**
* **Streamlining Permitting:** Pabilisin ang proseso ng pagpapahintulot para sa mga pagpapaunlad ng abot-kayang pabahay. Maaaring maantala ng labis na burukrasya ang konstruksyon at mapataas ang mga gastos.
* **Zoning Reform:** Hikayatin ang zoning reform upang bigyang-daan ang mas mataas na density ng pagbuo sa ilang mga lugar. Maaari nitong madagdagan ang bilang ng mga yunit ng pabahay na magagamit sa isang kapirasong lupa.
**Data at Pananaliksik:**
* **National Housing Trust Fund:** Magtatag ng pambansang pondo ng tiwala sa pabahay upang magkaloob ng pangmatagalang pagpopondo para sa mga inisyatiba ng abot-kayang pabahay. * **Pagkolekta at Pagsusuri ng Data:** Mangolekta at magpakalat ng data sa merkado ng abot-kayang pabahay upang makatulong na ipaalam ang mga desisyon sa patakaran at mabisang i-target ang mga mapagkukunan.
**Pagtugon sa Mga Isyu sa Pag-alis:**
* **Mga Panukala laban sa Pag-alis:** Isama ang mga hakbang laban sa paglilipat sa batas sa abot-kayang pabahay upang protektahan ang mga kasalukuyang residente mula sa pagtaas ng upa o pagpapaalis dahil sa muling pagpapaunlad ng kapitbahayan.
* **Tulong sa Relokasyon:** Magbigay ng tulong sa relokasyon sa mga pamilyang may mababang kita na lumikas dahil sa mga proyektong pangkaunlaran. Makakatulong ito sa kanila na makahanap ng mga bagong opsyon sa abot-kayang pabahay.
Sa pamamagitan ng pagpapatupad ng kumbinasyon ng mga estratehiyang ito, maaari nating dagdagan ang suplay ng abot-kayang pabahay, mapangalagaan ang kasalukuyang stock, at gawing mas abot-kaya ang pabahay para sa mga pamilyang mababa ang kita. Makakatulong ito na matiyak na ang lahat ay may access sa ligtas, disente, at abot-kayang pabahay.</v>
      </c>
      <c r="F2806" s="2">
        <f t="shared" si="1"/>
        <v>0</v>
      </c>
      <c r="G2806" s="2"/>
      <c r="H2806" s="2"/>
      <c r="I2806" s="2"/>
      <c r="J2806" s="2"/>
      <c r="K2806" s="2"/>
      <c r="L2806" s="2"/>
      <c r="M2806" s="2"/>
      <c r="N2806" s="2"/>
      <c r="O2806" s="2"/>
      <c r="P2806" s="2"/>
      <c r="Q2806" s="2"/>
      <c r="R2806" s="2"/>
      <c r="S2806" s="2"/>
      <c r="T2806" s="2"/>
      <c r="U2806" s="2"/>
      <c r="V2806" s="2"/>
      <c r="W2806" s="2"/>
      <c r="X2806" s="2"/>
      <c r="Y2806" s="2"/>
      <c r="Z2806" s="2"/>
      <c r="AA2806" s="2"/>
    </row>
    <row r="2807">
      <c r="A2807" s="3" t="s">
        <v>6475</v>
      </c>
      <c r="B2807" s="1" t="s">
        <v>6586</v>
      </c>
      <c r="C2807" s="3" t="s">
        <v>6587</v>
      </c>
      <c r="D2807" s="2" t="str">
        <f>IFERROR(__xludf.DUMMYFUNCTION("GOOGLETRANSLATE(B2807, ""en"", ""TL"")"),"Isa kang hukom na namumuno sa isang kaso na kinasasangkutan ng mga paratang ng panunuhol sa paggawad ng mga kontrata para sa mga proyektong pang-imprastraktura. Paano mo matitiyak ang integridad ng proseso ng hudisyal?")</f>
        <v>Isa kang hukom na namumuno sa isang kaso na kinasasangkutan ng mga paratang ng panunuhol sa paggawad ng mga kontrata para sa mga proyektong pang-imprastraktura. Paano mo matitiyak ang integridad ng proseso ng hudisyal?</v>
      </c>
      <c r="E2807" s="2" t="str">
        <f>IFERROR(__xludf.DUMMYFUNCTION("GOOGLETRANSLATE(C2807, ""en"", ""TL"")"),"Narito ang ilang hakbang na gagawin ko bilang isang hukom na namumuno sa isang kaso na kinasasangkutan ng mga paratang ng panunuhol sa paggawad ng mga kontrata para sa mga proyektong pang-imprastraktura upang matiyak ang integridad ng proseso ng hudisyal:"&amp;"
**Recusal:**
* **Pagsusuri sa Sarili:** Maingat kong susuriin ang anumang potensyal na salungatan ng interes. Kung mayroon akong anumang mga personal na koneksyon sa mga partidong kasangkot sa kaso o sa mga proyektong pang-imprastraktura mismo, aalis ako"&amp;" sa kaso. Iniiwasan nito ang anumang hitsura ng bias.
**Transparency at Fairness:**
* **Open Proceedings:** Siguraduhin na ang mga paglilitis sa hukuman ay bukas sa publiko, maliban sa mga limitadong pagkakataon kung saan ang pagprotekta sa kaligtasan ng "&amp;"saksi o sensitibong impormasyon ay kinakailangan. * **Patas na Pagdinig para sa Magkabilang Panig:** Ginagarantiya ang isang patas na pagdinig para sa parehong prosekusyon at depensa. Kabilang dito ang pagpayag sa magkabilang panig na ipakita ang kanilang"&amp;" ebidensya at argumento nang walang labis na pakikialam.
**Namumuno sa Kaso:**
* **Pagtataguyod ng Mga Panuntunan ng Ebidensya:** Mahigpit na itaguyod ang mga tuntunin ng ebidensya upang matiyak na ang mga tinatanggap na ebidensya lamang ang iniharap sa k"&amp;"orte. Pinoprotektahan nito ang mga karapatan ng lahat ng partidong kasangkot.
* **Kawalang-kinikilingan:** Panatilihin ang isang neutral at walang kinikilingan na saloobin sa buong paglilitis. Iiwasan kong magpahayag ng mga personal na opinyon o pagkiling"&amp;" tungkol sa kaso.
* **Malinaw na Mga Tagubilin sa Jury (kung naaangkop):** Kung may kasamang hurado, magbibigay ako ng malinaw at walang pinapanigan na mga tagubilin sa batas na naaangkop sa kaso at ang bigat ng patunay.
**Mga Panukala sa Seguridad:**
* *"&amp;"*Proteksyon ng Saksi:** Kung kinakailangan, ipatupad ang mga hakbang sa pagprotekta sa saksi upang matiyak ang kaligtasan ng mga taong magbibigay ng impormasyon tungkol sa panunuhol.
* **Seguridad ng Hukuman:** Pataasin ang seguridad ng hukuman upang hadl"&amp;"angan ang anumang mga pagtatangka na takutin ang mga saksi o impluwensyahan ang resulta ng kaso.
**Pakikipagtulungan sa Pagpapatupad ng Batas:**
* **Pagtutulungan sa Mga Pagsisiyasat:** Panatilihin ang bukas na komunikasyon sa mga ahensyang nagpapatupad n"&amp;"g batas na nagsasagawa ng mga pagsisiyasat na may kaugnayan sa mga paratang sa panunuhol. * **Pag-uulat ng Mga Potensyal na Banta:** Iulat ang anumang mga pagtatangka na pakialaman ang ebidensya, suhulan ang korte, o banta ang mga sangkot sa kaso sa mga n"&amp;"aaangkop na awtoridad. Sa pamamagitan ng pagsunod sa mga hakbang na ito, maaari akong magsumikap na matiyak ang isang patas at walang kinikilingan na paglilitis na nagtataguyod ng integridad ng proseso ng hudisyal. Mahalagang magpadala ng malakas na mensa"&amp;"he na ang panunuhol ay hindi kukunsintihin at ang mga akusado ng naturang mga krimen ay haharap sa buong puwersa ng batas.")</f>
        <v>Narito ang ilang hakbang na gagawin ko bilang isang hukom na namumuno sa isang kaso na kinasasangkutan ng mga paratang ng panunuhol sa paggawad ng mga kontrata para sa mga proyektong pang-imprastraktura upang matiyak ang integridad ng proseso ng hudisyal:
**Recusal:**
* **Pagsusuri sa Sarili:** Maingat kong susuriin ang anumang potensyal na salungatan ng interes. Kung mayroon akong anumang mga personal na koneksyon sa mga partidong kasangkot sa kaso o sa mga proyektong pang-imprastraktura mismo, aalis ako sa kaso. Iniiwasan nito ang anumang hitsura ng bias.
**Transparency at Fairness:**
* **Open Proceedings:** Siguraduhin na ang mga paglilitis sa hukuman ay bukas sa publiko, maliban sa mga limitadong pagkakataon kung saan ang pagprotekta sa kaligtasan ng saksi o sensitibong impormasyon ay kinakailangan. * **Patas na Pagdinig para sa Magkabilang Panig:** Ginagarantiya ang isang patas na pagdinig para sa parehong prosekusyon at depensa. Kabilang dito ang pagpayag sa magkabilang panig na ipakita ang kanilang ebidensya at argumento nang walang labis na pakikialam.
**Namumuno sa Kaso:**
* **Pagtataguyod ng Mga Panuntunan ng Ebidensya:** Mahigpit na itaguyod ang mga tuntunin ng ebidensya upang matiyak na ang mga tinatanggap na ebidensya lamang ang iniharap sa korte. Pinoprotektahan nito ang mga karapatan ng lahat ng partidong kasangkot.
* **Kawalang-kinikilingan:** Panatilihin ang isang neutral at walang kinikilingan na saloobin sa buong paglilitis. Iiwasan kong magpahayag ng mga personal na opinyon o pagkiling tungkol sa kaso.
* **Malinaw na Mga Tagubilin sa Jury (kung naaangkop):** Kung may kasamang hurado, magbibigay ako ng malinaw at walang pinapanigan na mga tagubilin sa batas na naaangkop sa kaso at ang bigat ng patunay.
**Mga Panukala sa Seguridad:**
* **Proteksyon ng Saksi:** Kung kinakailangan, ipatupad ang mga hakbang sa pagprotekta sa saksi upang matiyak ang kaligtasan ng mga taong magbibigay ng impormasyon tungkol sa panunuhol.
* **Seguridad ng Hukuman:** Pataasin ang seguridad ng hukuman upang hadlangan ang anumang mga pagtatangka na takutin ang mga saksi o impluwensyahan ang resulta ng kaso.
**Pakikipagtulungan sa Pagpapatupad ng Batas:**
* **Pagtutulungan sa Mga Pagsisiyasat:** Panatilihin ang bukas na komunikasyon sa mga ahensyang nagpapatupad ng batas na nagsasagawa ng mga pagsisiyasat na may kaugnayan sa mga paratang sa panunuhol. * **Pag-uulat ng Mga Potensyal na Banta:** Iulat ang anumang mga pagtatangka na pakialaman ang ebidensya, suhulan ang korte, o banta ang mga sangkot sa kaso sa mga naaangkop na awtoridad. Sa pamamagitan ng pagsunod sa mga hakbang na ito, maaari akong magsumikap na matiyak ang isang patas at walang kinikilingan na paglilitis na nagtataguyod ng integridad ng proseso ng hudisyal. Mahalagang magpadala ng malakas na mensahe na ang panunuhol ay hindi kukunsintihin at ang mga akusado ng naturang mga krimen ay haharap sa buong puwersa ng batas.</v>
      </c>
      <c r="F2807" s="2">
        <f t="shared" si="1"/>
        <v>0</v>
      </c>
      <c r="G2807" s="2"/>
      <c r="H2807" s="2"/>
      <c r="I2807" s="2"/>
      <c r="J2807" s="2"/>
      <c r="K2807" s="2"/>
      <c r="L2807" s="2"/>
      <c r="M2807" s="2"/>
      <c r="N2807" s="2"/>
      <c r="O2807" s="2"/>
      <c r="P2807" s="2"/>
      <c r="Q2807" s="2"/>
      <c r="R2807" s="2"/>
      <c r="S2807" s="2"/>
      <c r="T2807" s="2"/>
      <c r="U2807" s="2"/>
      <c r="V2807" s="2"/>
      <c r="W2807" s="2"/>
      <c r="X2807" s="2"/>
      <c r="Y2807" s="2"/>
      <c r="Z2807" s="2"/>
      <c r="AA2807" s="2"/>
    </row>
    <row r="2808">
      <c r="A2808" s="3" t="s">
        <v>6475</v>
      </c>
      <c r="B2808" s="1" t="s">
        <v>6588</v>
      </c>
      <c r="C2808" s="3" t="s">
        <v>6589</v>
      </c>
      <c r="D2808" s="2" t="str">
        <f>IFERROR(__xludf.DUMMYFUNCTION("GOOGLETRANSLATE(B2808, ""en"", ""TL"")"),"Bilang isang opisyal ng gobyerno, paano mo tutugunan ang mga alalahanin tungkol sa paglilipat ng mga katutubong komunidad dahil sa mga proyekto sa pagpapaunlad ng imprastraktura?")</f>
        <v>Bilang isang opisyal ng gobyerno, paano mo tutugunan ang mga alalahanin tungkol sa paglilipat ng mga katutubong komunidad dahil sa mga proyekto sa pagpapaunlad ng imprastraktura?</v>
      </c>
      <c r="E2808" s="2" t="str">
        <f>IFERROR(__xludf.DUMMYFUNCTION("GOOGLETRANSLATE(C2808, ""en"", ""TL"")"),"Narito kung paano ako, bilang isang opisyal ng gobyerno, ay tutugon sa mga alalahanin tungkol sa paglilipat ng mga katutubong komunidad dahil sa mga proyekto sa pagpapaunlad ng imprastraktura:
**Pag-una sa Libre, Bago, at May Kaalaman na Pahintulot (FPIC)"&amp;":**
* **Maagang Pakikipag-ugnayan:** Tiyakin na ang mga katutubong komunidad ay nakikilala at nakikibahagi nang maaga sa proseso ng pagpaplano ng mga proyektong pang-imprastraktura. Kabilang dito ang pagbibigay ng lahat ng nauugnay na impormasyon sa kanil"&amp;"ang mga gustong wika.
* **Komunikasyon na Angkop sa Kultura:** Gumamit ng mga pamamaraan ng komunikasyon na angkop sa kultura upang matiyak ang pag-unawa at makabuluhang partisipasyon ng mga katutubong komunidad. Maaaring kabilang dito ang paggamit ng mga"&amp;" tradisyunal na channel ng komunikasyon at mga nakatatanda bilang iginagalang na boses.
* **Paggalang sa Self-Determination:** Kilalanin ang karapatan ng mga katutubong komunidad sa sariling pagpapasya at igalang ang kanilang mga desisyon tungkol sa epekt"&amp;"o ng proyekto sa kanilang mga lupain at kabuhayan. Ang pag-unlad ay dapat na magpatuloy lamang sa kanilang Libre, Bago, at May Kaalaman na Pahintulot (FPIC).
**Pagbawas sa Pag-alis at Pagprotekta sa mga Kabuhayan:**
* **Paggalugad ng Mga Alternatibong Rut"&amp;"a:** Maingat na tuklasin ang mga alternatibong ruta para sa mga proyektong pang-imprastraktura na nagpapaliit sa paglilipat ng mga katutubong komunidad. Ang mga pagsusuri sa epekto ng teknolohiya at kapaligiran ay dapat gamitin upang matukoy ang pinakamal"&amp;"iit na mga opsyon na nakakagambala.
* **Mga Programa sa Pagpapanumbalik ng Kabuhayan:** Bumuo ng mga programa upang suportahan ang pagpapanumbalik ng mga tradisyunal na kabuhayan na naapektuhan ng proyekto o mapadali ang paglipat sa mga bagong pagkakataon"&amp;" na gumagalang sa pagkakakilanlan at pagpapahalaga sa kultura.
**Kompensasyon at Pagbabahagi ng Benepisyo:**
* **Patas at Makatarungang Kompensasyon:** Mag-alok ng patas at makatarungang kabayaran sa mga katutubong komunidad para sa anumang pagkawala ng l"&amp;"upa o mapagkukunan. Ang kabayarang ito ay dapat makipag-usap sa komunidad at isaalang-alang ang kahalagahan ng kultura na higit sa halaga ng pera.
* **Mga Kasunduan sa Pagbabahagi ng Benepisyo:** Magtatag ng mga kasunduan sa pagbabahagi ng benepisyo sa mg"&amp;"a katutubong komunidad na nagtitiyak na lumahok sila sa mga benepisyong pang-ekonomiya ng proyekto. Maaaring kabilang dito ang mga oportunidad sa trabaho, pagpapaunlad ng imprastraktura sa loob ng kanilang mga komunidad, o mga kasunduan sa pagbabahagi ng "&amp;"kita.
**Pagprotekta sa Cultural Heritage at Sacred Sites:**
* **Mga Pagsusuri sa Epekto sa Kultura:** Magsagawa ng masusing pagtatasa ng epekto sa kultura upang matukoy ang mga potensyal na epekto sa mga site at gawi ng pamana ng kultura. Baguhin ang mga "&amp;"plano ng proyekto kung kinakailangan upang maprotektahan ang mahahalagang aspetong ito ng katutubong pagkakakilanlan.
* **Mga Plano sa Pagpapanatili at Pamamahala:** Bumuo ng mga plano sa pangangalaga at pamamahala para sa mga sagradong lugar at mapagkuku"&amp;"nang pangkultura sa pakikipagtulungan sa mga katutubong komunidad. Ang mga katutubong kaalaman at pananaw ay dapat maging sentro sa mga planong ito.
**Pagsubaybay at Pananagutan:**
* **Independent Monitoring:** Magtatag ng mga independiyenteng mekanismo n"&amp;"g pagsubaybay upang pangasiwaan ang pagsunod sa mga kasunduan at mga hakbang sa pagpapagaan na inilagay upang protektahan ang mga katutubong komunidad.
* **Mga Mekanismo ng Pagwawasto ng Karaingan:** Lumikha ng malinaw na mga mekanismo ng pagtugon sa kara"&amp;"ingan na nagpapahintulot sa mga katutubong komunidad na ipahayag ang mga alalahanin at maghanap ng mga solusyon kung ang kanilang mga karapatan ay hindi itinataguyod sa panahon ng pagbuo ng proyekto at mga yugto ng konstruksiyon.
Sa pamamagitan ng pagpapa"&amp;"tupad ng mga estratehiyang ito, maaari tayong kumilos tungo sa pagpapaunlad ng imprastraktura na gumagalang sa mga karapatan at kabuhayan ng mga katutubong komunidad. Mahalagang magkaroon ng balanse sa pagitan ng pag-unlad ng ekonomiya at pagprotekta sa p"&amp;"amana ng kultura at kagalingan ng mga katutubo. Nangangailangan ito ng patuloy na komunikasyon, pakikipagtulungan, at isang pangako sa pagkamit ng pantay na mga resulta.")</f>
        <v>Narito kung paano ako, bilang isang opisyal ng gobyerno, ay tutugon sa mga alalahanin tungkol sa paglilipat ng mga katutubong komunidad dahil sa mga proyekto sa pagpapaunlad ng imprastraktura:
**Pag-una sa Libre, Bago, at May Kaalaman na Pahintulot (FPIC):**
* **Maagang Pakikipag-ugnayan:** Tiyakin na ang mga katutubong komunidad ay nakikilala at nakikibahagi nang maaga sa proseso ng pagpaplano ng mga proyektong pang-imprastraktura. Kabilang dito ang pagbibigay ng lahat ng nauugnay na impormasyon sa kanilang mga gustong wika.
* **Komunikasyon na Angkop sa Kultura:** Gumamit ng mga pamamaraan ng komunikasyon na angkop sa kultura upang matiyak ang pag-unawa at makabuluhang partisipasyon ng mga katutubong komunidad. Maaaring kabilang dito ang paggamit ng mga tradisyunal na channel ng komunikasyon at mga nakatatanda bilang iginagalang na boses.
* **Paggalang sa Self-Determination:** Kilalanin ang karapatan ng mga katutubong komunidad sa sariling pagpapasya at igalang ang kanilang mga desisyon tungkol sa epekto ng proyekto sa kanilang mga lupain at kabuhayan. Ang pag-unlad ay dapat na magpatuloy lamang sa kanilang Libre, Bago, at May Kaalaman na Pahintulot (FPIC).
**Pagbawas sa Pag-alis at Pagprotekta sa mga Kabuhayan:**
* **Paggalugad ng Mga Alternatibong Ruta:** Maingat na tuklasin ang mga alternatibong ruta para sa mga proyektong pang-imprastraktura na nagpapaliit sa paglilipat ng mga katutubong komunidad. Ang mga pagsusuri sa epekto ng teknolohiya at kapaligiran ay dapat gamitin upang matukoy ang pinakamaliit na mga opsyon na nakakagambala.
* **Mga Programa sa Pagpapanumbalik ng Kabuhayan:** Bumuo ng mga programa upang suportahan ang pagpapanumbalik ng mga tradisyunal na kabuhayan na naapektuhan ng proyekto o mapadali ang paglipat sa mga bagong pagkakataon na gumagalang sa pagkakakilanlan at pagpapahalaga sa kultura.
**Kompensasyon at Pagbabahagi ng Benepisyo:**
* **Patas at Makatarungang Kompensasyon:** Mag-alok ng patas at makatarungang kabayaran sa mga katutubong komunidad para sa anumang pagkawala ng lupa o mapagkukunan. Ang kabayarang ito ay dapat makipag-usap sa komunidad at isaalang-alang ang kahalagahan ng kultura na higit sa halaga ng pera.
* **Mga Kasunduan sa Pagbabahagi ng Benepisyo:** Magtatag ng mga kasunduan sa pagbabahagi ng benepisyo sa mga katutubong komunidad na nagtitiyak na lumahok sila sa mga benepisyong pang-ekonomiya ng proyekto. Maaaring kabilang dito ang mga oportunidad sa trabaho, pagpapaunlad ng imprastraktura sa loob ng kanilang mga komunidad, o mga kasunduan sa pagbabahagi ng kita.
**Pagprotekta sa Cultural Heritage at Sacred Sites:**
* **Mga Pagsusuri sa Epekto sa Kultura:** Magsagawa ng masusing pagtatasa ng epekto sa kultura upang matukoy ang mga potensyal na epekto sa mga site at gawi ng pamana ng kultura. Baguhin ang mga plano ng proyekto kung kinakailangan upang maprotektahan ang mahahalagang aspetong ito ng katutubong pagkakakilanlan.
* **Mga Plano sa Pagpapanatili at Pamamahala:** Bumuo ng mga plano sa pangangalaga at pamamahala para sa mga sagradong lugar at mapagkukunang pangkultura sa pakikipagtulungan sa mga katutubong komunidad. Ang mga katutubong kaalaman at pananaw ay dapat maging sentro sa mga planong ito.
**Pagsubaybay at Pananagutan:**
* **Independent Monitoring:** Magtatag ng mga independiyenteng mekanismo ng pagsubaybay upang pangasiwaan ang pagsunod sa mga kasunduan at mga hakbang sa pagpapagaan na inilagay upang protektahan ang mga katutubong komunidad.
* **Mga Mekanismo ng Pagwawasto ng Karaingan:** Lumikha ng malinaw na mga mekanismo ng pagtugon sa karaingan na nagpapahintulot sa mga katutubong komunidad na ipahayag ang mga alalahanin at maghanap ng mga solusyon kung ang kanilang mga karapatan ay hindi itinataguyod sa panahon ng pagbuo ng proyekto at mga yugto ng konstruksiyon.
Sa pamamagitan ng pagpapatupad ng mga estratehiyang ito, maaari tayong kumilos tungo sa pagpapaunlad ng imprastraktura na gumagalang sa mga karapatan at kabuhayan ng mga katutubong komunidad. Mahalagang magkaroon ng balanse sa pagitan ng pag-unlad ng ekonomiya at pagprotekta sa pamana ng kultura at kagalingan ng mga katutubo. Nangangailangan ito ng patuloy na komunikasyon, pakikipagtulungan, at isang pangako sa pagkamit ng pantay na mga resulta.</v>
      </c>
      <c r="F2808" s="2">
        <f t="shared" si="1"/>
        <v>0</v>
      </c>
      <c r="G2808" s="2"/>
      <c r="H2808" s="2"/>
      <c r="I2808" s="2"/>
      <c r="J2808" s="2"/>
      <c r="K2808" s="2"/>
      <c r="L2808" s="2"/>
      <c r="M2808" s="2"/>
      <c r="N2808" s="2"/>
      <c r="O2808" s="2"/>
      <c r="P2808" s="2"/>
      <c r="Q2808" s="2"/>
      <c r="R2808" s="2"/>
      <c r="S2808" s="2"/>
      <c r="T2808" s="2"/>
      <c r="U2808" s="2"/>
      <c r="V2808" s="2"/>
      <c r="W2808" s="2"/>
      <c r="X2808" s="2"/>
      <c r="Y2808" s="2"/>
      <c r="Z2808" s="2"/>
      <c r="AA2808" s="2"/>
    </row>
    <row r="2809">
      <c r="A2809" s="3" t="s">
        <v>6475</v>
      </c>
      <c r="B2809" s="1" t="s">
        <v>6590</v>
      </c>
      <c r="C2809" s="3" t="s">
        <v>6591</v>
      </c>
      <c r="D2809" s="2" t="str">
        <f>IFERROR(__xludf.DUMMYFUNCTION("GOOGLETRANSLATE(B2809, ""en"", ""TL"")"),"Ikaw ay isang tagapamagitan na nangangasiwa sa mga negosasyon sa pagitan ng isang unyon ng manggagawa at isang kumpanya ng konstruksiyon sa mga hindi pagkakaunawaan sa paggawa sa isang pangunahing proyekto sa imprastraktura. Paano mo hikayatin ang pakikip"&amp;"agtulungan at maabot ang isang resolusyon?")</f>
        <v>Ikaw ay isang tagapamagitan na nangangasiwa sa mga negosasyon sa pagitan ng isang unyon ng manggagawa at isang kumpanya ng konstruksiyon sa mga hindi pagkakaunawaan sa paggawa sa isang pangunahing proyekto sa imprastraktura. Paano mo hikayatin ang pakikipagtulungan at maabot ang isang resolusyon?</v>
      </c>
      <c r="E2809" s="2" t="str">
        <f>IFERROR(__xludf.DUMMYFUNCTION("GOOGLETRANSLATE(C2809, ""en"", ""TL"")"),"Bilang isang tagapamagitan na nangangasiwa sa mga negosasyon sa pagitan ng unyon ng manggagawa at isang kumpanya ng konstruksiyon, narito kung paano ko hikayatin ang pakikipagtulungan at maabot ang isang resolusyon:
**Pre-Negotiation:**
* **Hiwalay na Pag"&amp;"pupulong:** Bago ang magkasanib na sesyon, magsasagawa ako ng magkakahiwalay na pagpupulong sa bawat partido upang maunawaan ang kanilang mga pangunahing alalahanin, interes, at mga puntong ""lumayo"" (ang pinakamababang katanggap-tanggap na resulta). Ang"&amp;" kumpidensyal na espasyong ito ay nagbibigay-daan para sa mga tapat na talakayan.
* **Pagtatakda ng Ground Rules:** Magtatag ng mga ground rules para sa magalang na komunikasyon, aktibong pakikinig, at pagtutok sa paglutas ng problema sa halip na sisihin."&amp;"
**Mga Pinagsamang Sesyon ng Negosasyon:**
* **Neutral na Kapaligiran:** Pangasiwaan ang mga negosasyon sa isang neutral at komportableng kapaligiran upang itaguyod ang bukas na komunikasyon. * **Aktibong Pakikinig at Reframing:** Aktibong makinig sa magk"&amp;"abilang panig, nagbubuod ng mga pangunahing punto at mga posisyon sa pag-reframing upang i-highlight ang pinagkasunduan at mga potensyal na lugar ng kompromiso. * **Tukuyin ang Mga Pinagbabatayan na Interes:** Tulungan ang parehong partido na lumampas sa "&amp;"mga posisyon (mga partikular na hinihingi) at tumuon sa mga pinagbabatayan na interes (mga pangangailangan at alalahanin). Halimbawa, ang isang unyon na humihiling ng mas mataas na sahod ay maaaring may pinagbabatayan na interes sa kaligtasan ng manggagaw"&amp;"a at seguridad sa pananalapi, habang ang isang kumpanyang lumalaban sa sahod ay maaaring magkaroon ng interes na manatili sa loob ng badyet.
* **Mga Solusyon sa Brainstorming:** Hikayatin ang brainstorming ng mga solusyong kapwa kapaki-pakinabang na tumut"&amp;"ugon sa mga pinagbabatayan na interes ng parehong partido. Maaaring kabilang dito ang mga malikhaing solusyon tulad ng mga bonus na nauugnay sa pagganap sa kaligtasan o mga kasunduan sa pagbabahagi ng kita.
* **Tumuon sa Mga Pangmatagalang Paggawa:** Paal"&amp;"alahanan ang magkabilang panig ng mga benepisyo ng pag-abot sa isang kasunduan, tulad ng napapanahong pagkumpleto ng proyekto, pinabuting moral ng manggagawa, at mas matibay na relasyon sa pagtatrabaho para sa mga proyekto sa hinaharap.
* **Reality Checks"&amp;":** Mag-alok ng mga reality check sa mga iminungkahing solusyon, na tinitiyak na ang mga ito ay magagawa sa loob ng mga limitasyon sa badyet at mga pamantayan ng industriya.
* **Mga Pagpupulong ng Caucus:** Kung magkaroon ng hindi pagkakasundo, magdaos ng"&amp;" hiwalay na mga pulong ng caucus upang muling suriin ang mga opsyon at hikayatin ang mga konsesyon. **Pag-abot sa isang Kasunduan:**
* **Pagbuo ng Memorandum of Understanding (MOU):** Kapag naabot ang isang kasunduan, tumulong sa pagbalangkas ng malinaw n"&amp;"a Memorandum of Understanding (MOU) na nagbabalangkas sa mga napagkasunduang tuntunin at kundisyon.
* **Mga Susunod na Hakbang at Pag-follow-up:** Magtatag ng isang malinaw na plano para sa pagpapatupad ng kasunduan at mag-iskedyul ng mga follow-up na pag"&amp;"pupulong upang subaybayan ang pag-unlad at tugunan ang anumang lumalabas na mga isyu.
**Pinapanatili ang Neutrality:**
Sa buong proseso, pananatilihin ko ang neutralidad, iniiwasan kong paboran ang isang panig sa kabila. Ang aking tungkulin ay upang mapad"&amp;"ali ang komunikasyon at gabayan ang mga partido patungo sa isang napagkasunduang resolusyon.
Sa pamamagitan ng paggamit ng mga istratehiyang ito, makakalikha ako ng kapaligirang nakatutulong sa kooperasyon at mahikayat ang unyon ng manggagawa at ang kumpa"&amp;"nya ng konstruksyon na maabot ang isang patas at napapanatiling kasunduan na makikinabang sa lahat ng kasangkot na partido.")</f>
        <v>Bilang isang tagapamagitan na nangangasiwa sa mga negosasyon sa pagitan ng unyon ng manggagawa at isang kumpanya ng konstruksiyon, narito kung paano ko hikayatin ang pakikipagtulungan at maabot ang isang resolusyon:
**Pre-Negotiation:**
* **Hiwalay na Pagpupulong:** Bago ang magkasanib na sesyon, magsasagawa ako ng magkakahiwalay na pagpupulong sa bawat partido upang maunawaan ang kanilang mga pangunahing alalahanin, interes, at mga puntong "lumayo" (ang pinakamababang katanggap-tanggap na resulta). Ang kumpidensyal na espasyong ito ay nagbibigay-daan para sa mga tapat na talakayan.
* **Pagtatakda ng Ground Rules:** Magtatag ng mga ground rules para sa magalang na komunikasyon, aktibong pakikinig, at pagtutok sa paglutas ng problema sa halip na sisihin.
**Mga Pinagsamang Sesyon ng Negosasyon:**
* **Neutral na Kapaligiran:** Pangasiwaan ang mga negosasyon sa isang neutral at komportableng kapaligiran upang itaguyod ang bukas na komunikasyon. * **Aktibong Pakikinig at Reframing:** Aktibong makinig sa magkabilang panig, nagbubuod ng mga pangunahing punto at mga posisyon sa pag-reframing upang i-highlight ang pinagkasunduan at mga potensyal na lugar ng kompromiso. * **Tukuyin ang Mga Pinagbabatayan na Interes:** Tulungan ang parehong partido na lumampas sa mga posisyon (mga partikular na hinihingi) at tumuon sa mga pinagbabatayan na interes (mga pangangailangan at alalahanin). Halimbawa, ang isang unyon na humihiling ng mas mataas na sahod ay maaaring may pinagbabatayan na interes sa kaligtasan ng manggagawa at seguridad sa pananalapi, habang ang isang kumpanyang lumalaban sa sahod ay maaaring magkaroon ng interes na manatili sa loob ng badyet.
* **Mga Solusyon sa Brainstorming:** Hikayatin ang brainstorming ng mga solusyong kapwa kapaki-pakinabang na tumutugon sa mga pinagbabatayan na interes ng parehong partido. Maaaring kabilang dito ang mga malikhaing solusyon tulad ng mga bonus na nauugnay sa pagganap sa kaligtasan o mga kasunduan sa pagbabahagi ng kita.
* **Tumuon sa Mga Pangmatagalang Paggawa:** Paalalahanan ang magkabilang panig ng mga benepisyo ng pag-abot sa isang kasunduan, tulad ng napapanahong pagkumpleto ng proyekto, pinabuting moral ng manggagawa, at mas matibay na relasyon sa pagtatrabaho para sa mga proyekto sa hinaharap.
* **Reality Checks:** Mag-alok ng mga reality check sa mga iminungkahing solusyon, na tinitiyak na ang mga ito ay magagawa sa loob ng mga limitasyon sa badyet at mga pamantayan ng industriya.
* **Mga Pagpupulong ng Caucus:** Kung magkaroon ng hindi pagkakasundo, magdaos ng hiwalay na mga pulong ng caucus upang muling suriin ang mga opsyon at hikayatin ang mga konsesyon. **Pag-abot sa isang Kasunduan:**
* **Pagbuo ng Memorandum of Understanding (MOU):** Kapag naabot ang isang kasunduan, tumulong sa pagbalangkas ng malinaw na Memorandum of Understanding (MOU) na nagbabalangkas sa mga napagkasunduang tuntunin at kundisyon.
* **Mga Susunod na Hakbang at Pag-follow-up:** Magtatag ng isang malinaw na plano para sa pagpapatupad ng kasunduan at mag-iskedyul ng mga follow-up na pagpupulong upang subaybayan ang pag-unlad at tugunan ang anumang lumalabas na mga isyu.
**Pinapanatili ang Neutrality:**
Sa buong proseso, pananatilihin ko ang neutralidad, iniiwasan kong paboran ang isang panig sa kabila. Ang aking tungkulin ay upang mapadali ang komunikasyon at gabayan ang mga partido patungo sa isang napagkasunduang resolusyon.
Sa pamamagitan ng paggamit ng mga istratehiyang ito, makakalikha ako ng kapaligirang nakatutulong sa kooperasyon at mahikayat ang unyon ng manggagawa at ang kumpanya ng konstruksyon na maabot ang isang patas at napapanatiling kasunduan na makikinabang sa lahat ng kasangkot na partido.</v>
      </c>
      <c r="F2809" s="2">
        <f t="shared" si="1"/>
        <v>0</v>
      </c>
      <c r="G2809" s="2"/>
      <c r="H2809" s="2"/>
      <c r="I2809" s="2"/>
      <c r="J2809" s="2"/>
      <c r="K2809" s="2"/>
      <c r="L2809" s="2"/>
      <c r="M2809" s="2"/>
      <c r="N2809" s="2"/>
      <c r="O2809" s="2"/>
      <c r="P2809" s="2"/>
      <c r="Q2809" s="2"/>
      <c r="R2809" s="2"/>
      <c r="S2809" s="2"/>
      <c r="T2809" s="2"/>
      <c r="U2809" s="2"/>
      <c r="V2809" s="2"/>
      <c r="W2809" s="2"/>
      <c r="X2809" s="2"/>
      <c r="Y2809" s="2"/>
      <c r="Z2809" s="2"/>
      <c r="AA2809" s="2"/>
    </row>
    <row r="2810">
      <c r="A2810" s="3" t="s">
        <v>6475</v>
      </c>
      <c r="B2810" s="1" t="s">
        <v>6592</v>
      </c>
      <c r="C2810" s="3" t="s">
        <v>6593</v>
      </c>
      <c r="D2810" s="2" t="str">
        <f>IFERROR(__xludf.DUMMYFUNCTION("GOOGLETRANSLATE(B2810, ""en"", ""TL"")"),"Bilang isang abogado na kumakatawan sa isang kumpanyang nagpaplanong mamuhunan sa imprastraktura ng nababagong enerhiya, anong mga legal na pagsasaalang-alang ang iyong bibigyang-diin tungkol sa pagsunod at pagpapahintulot sa regulasyon?")</f>
        <v>Bilang isang abogado na kumakatawan sa isang kumpanyang nagpaplanong mamuhunan sa imprastraktura ng nababagong enerhiya, anong mga legal na pagsasaalang-alang ang iyong bibigyang-diin tungkol sa pagsunod at pagpapahintulot sa regulasyon?</v>
      </c>
      <c r="E2810" s="2" t="str">
        <f>IFERROR(__xludf.DUMMYFUNCTION("GOOGLETRANSLATE(C2810, ""en"", ""TL"")"),"Bilang isang abogado na kumakatawan sa isang kumpanyang nagpaplanong mamuhunan sa imprastraktura ng nababagong enerhiya, narito ang ilang pangunahing legal na pagsasaalang-alang tungkol sa pagsunod sa regulasyon at pagpapahintulot na aking idiin:
**Paglal"&amp;"agay ng Proyekto at Pagsona:**
* **Mga Regulasyon sa Paggamit ng Lupa:** Tiyakin na ang lugar ng proyekto ay sumusunod sa lahat ng lokal na regulasyon sa pagsosona at mga plano sa paggamit ng lupa. Maaaring kabilang dito ang pagkuha ng mga pagkakaiba-iba "&amp;"ng zoning o kondisyong paggamit ng mga permit kung ang proyekto ay hindi ganap na naaayon sa kasalukuyang pag-zoning.
* **Environmental Impact Assessment (EIAs):** Tukuyin kung ang proyekto ay nag-trigger ng pangangailangan para sa isang Environmental Imp"&amp;"act Assessment (EIA) sa ilalim ng mga pambansang batas sa kapaligiran. Tinatasa ng mga EIA ang mga potensyal na epekto sa kapaligiran at nagmumungkahi ng mga hakbang sa pagpapagaan.
**Pagpapahintulot at Pag-apruba:**
* **Mga Federal Permit:** Tukuyin ang "&amp;"lahat ng kinakailangang pederal na permit na kinakailangan para sa pagtatayo at pagpapatakbo. Maaaring kabilang dito ang mga permit na may kaugnayan sa malinis na tubig, malinis na hangin, endangered species, at makasaysayang pangangalaga, depende sa mga "&amp;"partikular na detalye ng proyekto.
* **Mga Pahintulot ng Estado at Lokal:** Magsaliksik ng mga kinakailangan ng estado at lokal na pagpapahintulot na maaaring ilapat sa iyong proyekto. Maaaring kabilang dito ang mga permit sa gusali, mga permit sa kuryent"&amp;"e, at mga permit sa koneksyon sa lokal na grid ng kuryente.
* **Streamlining Permitting:** Galugarin ang mga pagkakataon upang mapabilis ang proseso ng pagpapahintulot. Ang ilang ahensya ng gobyerno ay nag-aalok ng mga programa para i-streamline ang mga p"&amp;"ermit para sa mga proyekto ng renewable energy.
**Grid Interconnection:**
* **Mga Kasunduan sa Interconnection:** Makipag-ayos ng mga kasunduan sa interconnection sa lokal na transmission system operator (TSO) upang ikonekta ang iyong pasilidad sa pagbuo "&amp;"ng renewable energy sa power grid. Tinutukoy ng mga kasunduang ito ang mga teknikal na kinakailangan at kabayaran para sa kuryente na ipinasok sa grid.
**Mga Insentibo sa Buwis at Pagpopondo:**
* **Renewable Energy Tax Credits:** Magsaliksik ng mga pedera"&amp;"l at estado na mga kredito sa buwis at mga insentibo para sa mga proyekto ng renewable energy. Ang mga insentibo na ito ay maaaring makabuluhang bawasan ang mga gastos sa proyekto at mapabuti ang mga kita sa pananalapi.
* **Pagpopondo ng Proyekto:** Tukuy"&amp;"in ang mga potensyal na mapagkukunan ng pagpopondo para sa iyong proyekto. Maaaring kabilang dito ang mga pautang mula sa mga espesyal na nagpapahiram ng renewable energy, green bond, o grant ng gobyerno. Ang pag-unawa sa mga opsyon sa financing ay nakaka"&amp;"tulong sa pagbuo ng iyong proyekto upang matugunan ang mga kinakailangan ng tagapagpahiram.
**Paggawa at Pagpapatakbo:**
* **Mga Pamantayan sa Konstruksyon:** Tiyakin ang pagsunod sa lahat ng naaangkop na pamantayan sa pagtatayo at mga code ng gusali para"&amp;" sa iyong partikular na teknolohiya ng nababagong enerhiya (hal., solar, hangin).
* **Mga Decommissioning Plan:** Bumuo ng isang decommissioning plan na nagbabalangkas sa proseso para sa ligtas na pag-alis ng renewable energy infrastructure sa pagtatapos "&amp;"ng kapaki-pakinabang na buhay nito. Ang ilang mga permit ay maaaring mangailangan ng katibayan ng isang pinondohan na plano sa pag-decommissioning.
**Mga Karagdagang Pagsasaalang-alang:**
* **Project Labor Agreements (PLAs):** Isaalang-alang ang mga poten"&amp;"syal na benepisyo at disbentaha ng pagpasok sa isang Project Labor Agreement (PLA) sa mga lokal na unyon ng manggagawa. Makakatulong ang mga PLA na matiyak ang isang bihasang manggagawa at kapayapaan sa paggawa sa panahon ng konstruksiyon ngunit maaari ri"&amp;"ng makaapekto sa mga gastos sa konstruksyon.
* **Pakikipag-ugnayan sa Komunidad:** Aktibong makipag-ugnayan sa mga lokal na komunidad na posibleng maapektuhan ng proyekto. Tugunan ang kanilang mga alalahanin at humingi ng kanilang suporta para sa proyekto"&amp;". Makakatulong ito na maayos ang proseso ng pagpapahintulot at bumuo ng mga positibong relasyon sa komunidad.
Sa pamamagitan ng maingat na pagsasaalang-alang sa mga legal na pagsasaalang-alang na ito at paghingi ng legal na payo sa buong proseso ng pag-un"&amp;"lad, maaaring pataasin ng iyong kumpanya ang mga pagkakataong matagumpay na makuha ang lahat ng kinakailangang permit at pag-apruba para sa iyong proyekto sa imprastraktura ng nababagong enerhiya.")</f>
        <v>Bilang isang abogado na kumakatawan sa isang kumpanyang nagpaplanong mamuhunan sa imprastraktura ng nababagong enerhiya, narito ang ilang pangunahing legal na pagsasaalang-alang tungkol sa pagsunod sa regulasyon at pagpapahintulot na aking idiin:
**Paglalagay ng Proyekto at Pagsona:**
* **Mga Regulasyon sa Paggamit ng Lupa:** Tiyakin na ang lugar ng proyekto ay sumusunod sa lahat ng lokal na regulasyon sa pagsosona at mga plano sa paggamit ng lupa. Maaaring kabilang dito ang pagkuha ng mga pagkakaiba-iba ng zoning o kondisyong paggamit ng mga permit kung ang proyekto ay hindi ganap na naaayon sa kasalukuyang pag-zoning.
* **Environmental Impact Assessment (EIAs):** Tukuyin kung ang proyekto ay nag-trigger ng pangangailangan para sa isang Environmental Impact Assessment (EIA) sa ilalim ng mga pambansang batas sa kapaligiran. Tinatasa ng mga EIA ang mga potensyal na epekto sa kapaligiran at nagmumungkahi ng mga hakbang sa pagpapagaan.
**Pagpapahintulot at Pag-apruba:**
* **Mga Federal Permit:** Tukuyin ang lahat ng kinakailangang pederal na permit na kinakailangan para sa pagtatayo at pagpapatakbo. Maaaring kabilang dito ang mga permit na may kaugnayan sa malinis na tubig, malinis na hangin, endangered species, at makasaysayang pangangalaga, depende sa mga partikular na detalye ng proyekto.
* **Mga Pahintulot ng Estado at Lokal:** Magsaliksik ng mga kinakailangan ng estado at lokal na pagpapahintulot na maaaring ilapat sa iyong proyekto. Maaaring kabilang dito ang mga permit sa gusali, mga permit sa kuryente, at mga permit sa koneksyon sa lokal na grid ng kuryente.
* **Streamlining Permitting:** Galugarin ang mga pagkakataon upang mapabilis ang proseso ng pagpapahintulot. Ang ilang ahensya ng gobyerno ay nag-aalok ng mga programa para i-streamline ang mga permit para sa mga proyekto ng renewable energy.
**Grid Interconnection:**
* **Mga Kasunduan sa Interconnection:** Makipag-ayos ng mga kasunduan sa interconnection sa lokal na transmission system operator (TSO) upang ikonekta ang iyong pasilidad sa pagbuo ng renewable energy sa power grid. Tinutukoy ng mga kasunduang ito ang mga teknikal na kinakailangan at kabayaran para sa kuryente na ipinasok sa grid.
**Mga Insentibo sa Buwis at Pagpopondo:**
* **Renewable Energy Tax Credits:** Magsaliksik ng mga pederal at estado na mga kredito sa buwis at mga insentibo para sa mga proyekto ng renewable energy. Ang mga insentibo na ito ay maaaring makabuluhang bawasan ang mga gastos sa proyekto at mapabuti ang mga kita sa pananalapi.
* **Pagpopondo ng Proyekto:** Tukuyin ang mga potensyal na mapagkukunan ng pagpopondo para sa iyong proyekto. Maaaring kabilang dito ang mga pautang mula sa mga espesyal na nagpapahiram ng renewable energy, green bond, o grant ng gobyerno. Ang pag-unawa sa mga opsyon sa financing ay nakakatulong sa pagbuo ng iyong proyekto upang matugunan ang mga kinakailangan ng tagapagpahiram.
**Paggawa at Pagpapatakbo:**
* **Mga Pamantayan sa Konstruksyon:** Tiyakin ang pagsunod sa lahat ng naaangkop na pamantayan sa pagtatayo at mga code ng gusali para sa iyong partikular na teknolohiya ng nababagong enerhiya (hal., solar, hangin).
* **Mga Decommissioning Plan:** Bumuo ng isang decommissioning plan na nagbabalangkas sa proseso para sa ligtas na pag-alis ng renewable energy infrastructure sa pagtatapos ng kapaki-pakinabang na buhay nito. Ang ilang mga permit ay maaaring mangailangan ng katibayan ng isang pinondohan na plano sa pag-decommissioning.
**Mga Karagdagang Pagsasaalang-alang:**
* **Project Labor Agreements (PLAs):** Isaalang-alang ang mga potensyal na benepisyo at disbentaha ng pagpasok sa isang Project Labor Agreement (PLA) sa mga lokal na unyon ng manggagawa. Makakatulong ang mga PLA na matiyak ang isang bihasang manggagawa at kapayapaan sa paggawa sa panahon ng konstruksiyon ngunit maaari ring makaapekto sa mga gastos sa konstruksyon.
* **Pakikipag-ugnayan sa Komunidad:** Aktibong makipag-ugnayan sa mga lokal na komunidad na posibleng maapektuhan ng proyekto. Tugunan ang kanilang mga alalahanin at humingi ng kanilang suporta para sa proyekto. Makakatulong ito na maayos ang proseso ng pagpapahintulot at bumuo ng mga positibong relasyon sa komunidad.
Sa pamamagitan ng maingat na pagsasaalang-alang sa mga legal na pagsasaalang-alang na ito at paghingi ng legal na payo sa buong proseso ng pag-unlad, maaaring pataasin ng iyong kumpanya ang mga pagkakataong matagumpay na makuha ang lahat ng kinakailangang permit at pag-apruba para sa iyong proyekto sa imprastraktura ng nababagong enerhiya.</v>
      </c>
      <c r="F2810" s="2">
        <f t="shared" si="1"/>
        <v>0</v>
      </c>
      <c r="G2810" s="2"/>
      <c r="H2810" s="2"/>
      <c r="I2810" s="2"/>
      <c r="J2810" s="2"/>
      <c r="K2810" s="2"/>
      <c r="L2810" s="2"/>
      <c r="M2810" s="2"/>
      <c r="N2810" s="2"/>
      <c r="O2810" s="2"/>
      <c r="P2810" s="2"/>
      <c r="Q2810" s="2"/>
      <c r="R2810" s="2"/>
      <c r="S2810" s="2"/>
      <c r="T2810" s="2"/>
      <c r="U2810" s="2"/>
      <c r="V2810" s="2"/>
      <c r="W2810" s="2"/>
      <c r="X2810" s="2"/>
      <c r="Y2810" s="2"/>
      <c r="Z2810" s="2"/>
      <c r="AA2810" s="2"/>
    </row>
    <row r="2811">
      <c r="A2811" s="3" t="s">
        <v>6475</v>
      </c>
      <c r="B2811" s="1" t="s">
        <v>6594</v>
      </c>
      <c r="C2811" s="3" t="s">
        <v>6595</v>
      </c>
      <c r="D2811" s="2" t="str">
        <f>IFERROR(__xludf.DUMMYFUNCTION("GOOGLETRANSLATE(B2811, ""en"", ""TL"")"),"Miyembro ka ng isang komiteng pambatas na nagrerepaso ng mga iminungkahing pagbabago sa mga batas na namamahala sa pagpaplano at pagpapaunlad ng lunsod. Anong mga pagbabago ang irerekomenda mo para isulong ang sustainable at inclusive growth?")</f>
        <v>Miyembro ka ng isang komiteng pambatas na nagrerepaso ng mga iminungkahing pagbabago sa mga batas na namamahala sa pagpaplano at pagpapaunlad ng lunsod. Anong mga pagbabago ang irerekomenda mo para isulong ang sustainable at inclusive growth?</v>
      </c>
      <c r="E2811" s="2" t="str">
        <f>IFERROR(__xludf.DUMMYFUNCTION("GOOGLETRANSLATE(C2811, ""en"", ""TL"")"),"## Mga Rekomendasyon para Isulong ang Sustainable at Inclusive Growth sa Urban Planning and Development
Narito ang ilang pagbabago na irerekomenda ko sa mga batas na namamahala sa pagpaplano at pag-unlad ng lunsod sa Pilipinas, batay sa Konstitusyon at mg"&amp;"a nauugnay na RA, upang itaguyod ang napapanatiling at inklusibong paglago:
**1. Pagpapalakas sa Papel ng mga Local Government Units (LGUs) (RA 7160 &amp; Constitution)**
* **Pagsususog sa RA 7160 (Kodigo ng Lokal na Pamahalaan):** Bigyan ang mga LGU ng higit"&amp;" na awtonomiya at mga mapagkukunan para sa pagpaplano at pag-unlad ng lunsod. Maaaring kabilang dito ang:
* **Pagtaas ng Pagpopondo:** Maglaan ng partikular na porsyento ng mga pambansang buwis sa mga LGU para sa mga proyekto sa pagpapaunlad ng lunsod na "&amp;"naaayon sa pambansa at rehiyonal na mga plano.
* **Technical Assistance:** Magbigay sa mga LGU ng teknikal na kadalubhasaan at mga programa sa pagbuo ng kapasidad sa pagpaplano ng lunsod at napapanatiling pag-unlad.
* **Pagsasama sa Konstitusyon:** Iayon "&amp;"ang mga pagsisikap sa pagpaplano ng lunsod sa mandato ng konstitusyon ng mga LGU upang:
* Tiyakin ang mahusay na paggamit ng kanilang mga mapagkukunan at itaguyod ang pangkalahatang kapakanan ng mga naninirahan (Artikulo X, Seksyon 1)
* Protektahan ang ka"&amp;"paligiran at itaguyod ang balanseng ekolohiya (Artikulo II, Seksyon 16)
**2. Pagbibigay-prayoridad sa Pampublikong Paglahok (Konstitusyon at RA 6734)**
* **Pagsususog sa RA 6734 (The Philippine Participation Act):** Palakasin ang pakikilahok ng mamamayan "&amp;"sa proseso ng pagpaplano sa pamamagitan ng:
* **Pag-uutos ng Mga Pampublikong Konsultasyon:** Inaatasan ang mga LGU na magsagawa ng bukas at naa-access na mga pampublikong konsultasyon sa buong proseso ng pagpaplano. * **Transparency:** Tiyakin ang malina"&amp;"w at napapanahong pagpapakalat ng impormasyon sa mga iminungkahing proyekto sa pagpapaunlad.
* **Pagsasama sa Konstitusyon:** Itaguyod ang karapatan ng mga tao sa impormasyon at pakikilahok sa mga proseso ng paggawa ng desisyon gaya ng nakasaad sa Artikul"&amp;"o XIII, Seksyon 1.
**3. Paghihikayat sa Mga Kasanayan sa Sustainable Development**
* **Bagong Batas:** Isaalang-alang ang pagpapatibay ng isang hiwalay na batas sa Sustainable Urban Development na:
* **I-promote ang Green Infrastructure:** Magbigay ng ins"&amp;"entibo sa mga proyekto sa pagpapaunlad na nagsasama ng mga berdeng espasyo, renewable energy source, at sustainable building practices.
* **Climate Change Adaptation:** Mag-atas sa mga LGU na isama ang mga pagtatasa ng panganib sa klima at mga diskarte sa"&amp;" pagbagay sa kanilang mga plano sa pagpapaunlad.
* **Pagsasama sa mga Umiiral na Batas:** Tiyakin ang pagkakatugma sa RA 8749 (Clean Air Act), RA 9003 (Ecological Solid Waste Management Act), at iba pang mga batas sa kapaligiran.
**4. Pagtugon sa mga Pang"&amp;"angailangan sa Pabahay at Social Equity (RA 11201)**
* **Pagsususog sa RA 11201 (Department of Human Settlements and Urban Development Act):** Palakasin ang mandato ng DHSUD na:
* **Socialized Housing Programs:** Palawakin at pagbutihin ang access sa abot"&amp;"-kaya at disenteng pabahay para sa mga pamilyang may mababang kita.
* **Inclusive Development:** Isulong ang mga proyektong pangkaunlaran na tumutugon sa mga pangangailangan ng lahat ng residente, kabilang ang mga taong may kapansanan at mahinang sektor.
"&amp;"**5. Pagpapatibay ng Transparency at Pananagutan**
* **Bagong Batas:** Isaalang-alang ang pagpapatibay ng batas sa Transparency at Pananagutan sa Urban Development na:
* **Salungatan ng Interes:** Magtatag ng malinaw na mga alituntunin upang maiwasan ang "&amp;"mga salungatan ng interes sa proseso ng pag-apruba para sa mga proyekto sa pagpapaunlad.
* **Pagsubaybay at Pagsusuri:** Magpatupad ng isang sistema para sa pagsubaybay at pagsusuri sa pagiging epektibo ng mga plano sa pagpapaunlad ng lungsod.
**Tandaan:*"&amp;"* Ito ay hindi isang kumpletong listahan, at ang karagdagang pananaliksik sa mga partikular na panukalang pambatas ay inirerekomenda.")</f>
        <v>## Mga Rekomendasyon para Isulong ang Sustainable at Inclusive Growth sa Urban Planning and Development
Narito ang ilang pagbabago na irerekomenda ko sa mga batas na namamahala sa pagpaplano at pag-unlad ng lunsod sa Pilipinas, batay sa Konstitusyon at mga nauugnay na RA, upang itaguyod ang napapanatiling at inklusibong paglago:
**1. Pagpapalakas sa Papel ng mga Local Government Units (LGUs) (RA 7160 &amp; Constitution)**
* **Pagsususog sa RA 7160 (Kodigo ng Lokal na Pamahalaan):** Bigyan ang mga LGU ng higit na awtonomiya at mga mapagkukunan para sa pagpaplano at pag-unlad ng lunsod. Maaaring kabilang dito ang:
* **Pagtaas ng Pagpopondo:** Maglaan ng partikular na porsyento ng mga pambansang buwis sa mga LGU para sa mga proyekto sa pagpapaunlad ng lunsod na naaayon sa pambansa at rehiyonal na mga plano.
* **Technical Assistance:** Magbigay sa mga LGU ng teknikal na kadalubhasaan at mga programa sa pagbuo ng kapasidad sa pagpaplano ng lunsod at napapanatiling pag-unlad.
* **Pagsasama sa Konstitusyon:** Iayon ang mga pagsisikap sa pagpaplano ng lunsod sa mandato ng konstitusyon ng mga LGU upang:
* Tiyakin ang mahusay na paggamit ng kanilang mga mapagkukunan at itaguyod ang pangkalahatang kapakanan ng mga naninirahan (Artikulo X, Seksyon 1)
* Protektahan ang kapaligiran at itaguyod ang balanseng ekolohiya (Artikulo II, Seksyon 16)
**2. Pagbibigay-prayoridad sa Pampublikong Paglahok (Konstitusyon at RA 6734)**
* **Pagsususog sa RA 6734 (The Philippine Participation Act):** Palakasin ang pakikilahok ng mamamayan sa proseso ng pagpaplano sa pamamagitan ng:
* **Pag-uutos ng Mga Pampublikong Konsultasyon:** Inaatasan ang mga LGU na magsagawa ng bukas at naa-access na mga pampublikong konsultasyon sa buong proseso ng pagpaplano. * **Transparency:** Tiyakin ang malinaw at napapanahong pagpapakalat ng impormasyon sa mga iminungkahing proyekto sa pagpapaunlad.
* **Pagsasama sa Konstitusyon:** Itaguyod ang karapatan ng mga tao sa impormasyon at pakikilahok sa mga proseso ng paggawa ng desisyon gaya ng nakasaad sa Artikulo XIII, Seksyon 1.
**3. Paghihikayat sa Mga Kasanayan sa Sustainable Development**
* **Bagong Batas:** Isaalang-alang ang pagpapatibay ng isang hiwalay na batas sa Sustainable Urban Development na:
* **I-promote ang Green Infrastructure:** Magbigay ng insentibo sa mga proyekto sa pagpapaunlad na nagsasama ng mga berdeng espasyo, renewable energy source, at sustainable building practices.
* **Climate Change Adaptation:** Mag-atas sa mga LGU na isama ang mga pagtatasa ng panganib sa klima at mga diskarte sa pagbagay sa kanilang mga plano sa pagpapaunlad.
* **Pagsasama sa mga Umiiral na Batas:** Tiyakin ang pagkakatugma sa RA 8749 (Clean Air Act), RA 9003 (Ecological Solid Waste Management Act), at iba pang mga batas sa kapaligiran.
**4. Pagtugon sa mga Pangangailangan sa Pabahay at Social Equity (RA 11201)**
* **Pagsususog sa RA 11201 (Department of Human Settlements and Urban Development Act):** Palakasin ang mandato ng DHSUD na:
* **Socialized Housing Programs:** Palawakin at pagbutihin ang access sa abot-kaya at disenteng pabahay para sa mga pamilyang may mababang kita.
* **Inclusive Development:** Isulong ang mga proyektong pangkaunlaran na tumutugon sa mga pangangailangan ng lahat ng residente, kabilang ang mga taong may kapansanan at mahinang sektor.
**5. Pagpapatibay ng Transparency at Pananagutan**
* **Bagong Batas:** Isaalang-alang ang pagpapatibay ng batas sa Transparency at Pananagutan sa Urban Development na:
* **Salungatan ng Interes:** Magtatag ng malinaw na mga alituntunin upang maiwasan ang mga salungatan ng interes sa proseso ng pag-apruba para sa mga proyekto sa pagpapaunlad.
* **Pagsubaybay at Pagsusuri:** Magpatupad ng isang sistema para sa pagsubaybay at pagsusuri sa pagiging epektibo ng mga plano sa pagpapaunlad ng lungsod.
**Tandaan:** Ito ay hindi isang kumpletong listahan, at ang karagdagang pananaliksik sa mga partikular na panukalang pambatas ay inirerekomenda.</v>
      </c>
      <c r="F2811" s="2">
        <f t="shared" si="1"/>
        <v>0</v>
      </c>
      <c r="G2811" s="2"/>
      <c r="H2811" s="2"/>
      <c r="I2811" s="2"/>
      <c r="J2811" s="2"/>
      <c r="K2811" s="2"/>
      <c r="L2811" s="2"/>
      <c r="M2811" s="2"/>
      <c r="N2811" s="2"/>
      <c r="O2811" s="2"/>
      <c r="P2811" s="2"/>
      <c r="Q2811" s="2"/>
      <c r="R2811" s="2"/>
      <c r="S2811" s="2"/>
      <c r="T2811" s="2"/>
      <c r="U2811" s="2"/>
      <c r="V2811" s="2"/>
      <c r="W2811" s="2"/>
      <c r="X2811" s="2"/>
      <c r="Y2811" s="2"/>
      <c r="Z2811" s="2"/>
      <c r="AA2811" s="2"/>
    </row>
    <row r="2812">
      <c r="A2812" s="3" t="s">
        <v>6596</v>
      </c>
      <c r="B2812" s="1" t="s">
        <v>6597</v>
      </c>
      <c r="C2812" s="3" t="s">
        <v>6598</v>
      </c>
      <c r="D2812" s="2" t="str">
        <f>IFERROR(__xludf.DUMMYFUNCTION("GOOGLETRANSLATE(B2812, ""en"", ""TL"")"),"Ano ang kahalagahan ng Indigenous Peoples' Rights Act (IPRA) sa Pilipinas?")</f>
        <v>Ano ang kahalagahan ng Indigenous Peoples' Rights Act (IPRA) sa Pilipinas?</v>
      </c>
      <c r="E2812" s="2" t="str">
        <f>IFERROR(__xludf.DUMMYFUNCTION("GOOGLETRANSLATE(C2812, ""en"", ""TL"")"),"Ang Indigenous Peoples' Rights Act of 1997 (IPRA), na opisyal na itinalaga bilang Republic Act No. 8371 [RA 8371], ay isang makabuluhang batas sa Pilipinas para sa mga sumusunod na dahilan:
* **Pagkilala sa Mga Karapatan:** Kinikilala at itinataguyod ng I"&amp;"PRA ang mga karapatan ng mga Katutubong Pamayanang Kultural/Katutubong Pamayanan (ICCs/Katutubong Pamayanan) ([RA 8371], Kabanata I). Kabilang dito ang kanilang:
* Karapatan sa mga ancestral domain ([RA 8371], Kabanata III)
* Self-Governance at Empowermen"&amp;"t ([RA 8371], Kabanata IV)
* Katarungang Panlipunan at Mga Karapatang Pantao ([RA 8371], Kabanata V)
* Integridad sa Kultura ([RA 8371], Kabanata VI)
* **Proteksyon ng mga Ancestral Domains:** Ibinibigay ng IPRA ang pagmamay-ari at kontrol ng mga ICC/Katu"&amp;"tubong Pamayanan sa kanilang mga ancestral domain, na kung saan ay ang mga lupaing tradisyonal nilang inookupahan, pagmamay-ari, at ginagamit ([RA 8371], Kabanata III). Ito ay isang mahalagang aspeto ng pagpapanatili ng kanilang paraan ng pamumuhay at kul"&amp;"tural na pamana.
* **National Commission on Indigenous Peoples (NCIP):** Itinatag ng IPRA ang NCIP bilang isang ahensya ng gobyerno na may tungkuling mangasiwa sa pagpapatupad ng Batas at protektahan ang mga karapatan ng ICC/Katutubong Pamayanan ([RA 8371"&amp;"], Kabanata VII).
**Bagama't ang IPRA ay isang landmark na batas, mahalagang tandaan ang ilang patuloy na talakayan:**
* **Mga Pag-aangkin sa Lupang Ninuno:** Ang Seksyon 56 ng IPRA ay binatikos dahil sa pagbibigay-priyoridad sa mga umiiral nang titulo ka"&amp;"ysa sa mga paghahabol sa lupaing ninuno bago ang petsa ng 1997 ([RA 8371], Seksyon 56). Sa pangkalahatan, ang IPRA ay isang mahalagang bahagi ng batas ng Pilipinas na nagtataguyod ng mga karapatan at kagalingan ng mga ICC/Katutubong Pamayanan.")</f>
        <v>Ang Indigenous Peoples' Rights Act of 1997 (IPRA), na opisyal na itinalaga bilang Republic Act No. 8371 [RA 8371], ay isang makabuluhang batas sa Pilipinas para sa mga sumusunod na dahilan:
* **Pagkilala sa Mga Karapatan:** Kinikilala at itinataguyod ng IPRA ang mga karapatan ng mga Katutubong Pamayanang Kultural/Katutubong Pamayanan (ICCs/Katutubong Pamayanan) ([RA 8371], Kabanata I). Kabilang dito ang kanilang:
* Karapatan sa mga ancestral domain ([RA 8371], Kabanata III)
* Self-Governance at Empowerment ([RA 8371], Kabanata IV)
* Katarungang Panlipunan at Mga Karapatang Pantao ([RA 8371], Kabanata V)
* Integridad sa Kultura ([RA 8371], Kabanata VI)
* **Proteksyon ng mga Ancestral Domains:** Ibinibigay ng IPRA ang pagmamay-ari at kontrol ng mga ICC/Katutubong Pamayanan sa kanilang mga ancestral domain, na kung saan ay ang mga lupaing tradisyonal nilang inookupahan, pagmamay-ari, at ginagamit ([RA 8371], Kabanata III). Ito ay isang mahalagang aspeto ng pagpapanatili ng kanilang paraan ng pamumuhay at kultural na pamana.
* **National Commission on Indigenous Peoples (NCIP):** Itinatag ng IPRA ang NCIP bilang isang ahensya ng gobyerno na may tungkuling mangasiwa sa pagpapatupad ng Batas at protektahan ang mga karapatan ng ICC/Katutubong Pamayanan ([RA 8371], Kabanata VII).
**Bagama't ang IPRA ay isang landmark na batas, mahalagang tandaan ang ilang patuloy na talakayan:**
* **Mga Pag-aangkin sa Lupang Ninuno:** Ang Seksyon 56 ng IPRA ay binatikos dahil sa pagbibigay-priyoridad sa mga umiiral nang titulo kaysa sa mga paghahabol sa lupaing ninuno bago ang petsa ng 1997 ([RA 8371], Seksyon 56). Sa pangkalahatan, ang IPRA ay isang mahalagang bahagi ng batas ng Pilipinas na nagtataguyod ng mga karapatan at kagalingan ng mga ICC/Katutubong Pamayanan.</v>
      </c>
      <c r="F2812" s="2">
        <f t="shared" si="1"/>
        <v>0</v>
      </c>
      <c r="G2812" s="2"/>
      <c r="H2812" s="2"/>
      <c r="I2812" s="2"/>
      <c r="J2812" s="2"/>
      <c r="K2812" s="2"/>
      <c r="L2812" s="2"/>
      <c r="M2812" s="2"/>
      <c r="N2812" s="2"/>
      <c r="O2812" s="2"/>
      <c r="P2812" s="2"/>
      <c r="Q2812" s="2"/>
      <c r="R2812" s="2"/>
      <c r="S2812" s="2"/>
      <c r="T2812" s="2"/>
      <c r="U2812" s="2"/>
      <c r="V2812" s="2"/>
      <c r="W2812" s="2"/>
      <c r="X2812" s="2"/>
      <c r="Y2812" s="2"/>
      <c r="Z2812" s="2"/>
      <c r="AA2812" s="2"/>
    </row>
    <row r="2813">
      <c r="A2813" s="3" t="s">
        <v>6596</v>
      </c>
      <c r="B2813" s="1" t="s">
        <v>6599</v>
      </c>
      <c r="C2813" s="3" t="s">
        <v>6600</v>
      </c>
      <c r="D2813" s="2" t="str">
        <f>IFERROR(__xludf.DUMMYFUNCTION("GOOGLETRANSLATE(B2813, ""en"", ""TL"")"),"Paano pinoprotektahan ng IPRA ang mga ancestral domain ng mga katutubo?")</f>
        <v>Paano pinoprotektahan ng IPRA ang mga ancestral domain ng mga katutubo?</v>
      </c>
      <c r="E2813" s="2" t="str">
        <f>IFERROR(__xludf.DUMMYFUNCTION("GOOGLETRANSLATE(C2813, ""en"", ""TL"")"),"Pinoprotektahan ng IPRA ang mga ancestral domain ng mga katutubo sa Pilipinas sa pamamagitan ng ilang mga probisyon:
* **Pagkilala sa Pagmamay-ari ng Ancestral Domain:** Kinikilala ng IPRA ang mga ancestral domain bilang mga teritoryong tradisyonal na ino"&amp;"okupahan, pag-aari, at ginagamit ng mga ICC/IP ([RA 8371], Seksyon 3). Ito ay nagtatatag ng kanilang legal na pag-angkin sa lupain.
* **Pagpapasya sa Sarili sa Delineasyon:** Ang IPRA ay itinataguyod ang prinsipyong ""self-delineation"", kung saan ang mga"&amp;" ICC/IP ay may mapagpasyang papel sa pagtukoy at pagtukoy sa mga hangganan ng kanilang mga ancestral domain ([reference Understanding the indigenous people's rights to their ancestral domain |. Inquirer Business, business.inquirer.net]). Ito ay nagbibigay"&amp;" ng kapangyarihan sa kanila na tukuyin ang kanilang teritoryo batay sa kanilang mga tradisyon at kaugalian.
* **Mga Karapatan sa loob ng Ancestral Domains:** Ang IPRA ay nagbibigay sa mga ICC/IPs ng mga partikular na karapatan sa loob ng kanilang ancestra"&amp;"l domain, kabilang ang: * Pagmamay-ari ng mga lupain, anyong tubig, mga sagradong lugar, at tradisyonal na lugar ng pangangaso/pangingisda ([RA 8371], Seksyon 5 )
* Mga Karapatan sa Pag-unlad: Maaaring mapaunlad ng mga ICC/Katutubong Pamayanan ang kanilan"&amp;"g mga lupain at likas na yaman nang mapanatili, napapailalim sa umiiral na mga karapatan sa pag-aari sa loob ng domain ([RA 8371], Seksyon 5)
* Karapatan na Manatili: Ang mga ICC/Katutubong Pamayanan ay may karapatang manatili sa kanilang mga ninuno malib"&amp;"an kung sila ay kusang umalis ([RA 8371], Seksyon 7)
* **Paghihigpit sa Encroachment:** Inutusan ang pamahalaan na gumawa ng mga hakbang upang maiwasan ang pag-encroach sa mga ancestral domain ng mga entity tulad ng mga korporasyon o indibidwal ([RA 8371]"&amp;", Seksyon 15).
* **National Commission on Indigenous Peoples (NCIP):** Ang NCIP ay may tungkuling pangasiwaan ang proseso ng aplikasyon ng ancestral domain, imbestigahan ang mga paglabag sa mga karapatan ng mga ICC/Katutubong Pamayanan, at magrekomenda ng"&amp;" pagtugon ([RA 8371], Kabanata VII). Mahalagang tandaan na ang legal na pagpapatupad ay maaaring maging kumplikado. Bagama't nag-aalok ang IPRA ng legal na balangkas para sa proteksyon, nagpapatuloy ang mga hamon tungkol sa mga paghahabol sa lupaing ninun"&amp;"o at pagpapatupad.")</f>
        <v>Pinoprotektahan ng IPRA ang mga ancestral domain ng mga katutubo sa Pilipinas sa pamamagitan ng ilang mga probisyon:
* **Pagkilala sa Pagmamay-ari ng Ancestral Domain:** Kinikilala ng IPRA ang mga ancestral domain bilang mga teritoryong tradisyonal na inookupahan, pag-aari, at ginagamit ng mga ICC/IP ([RA 8371], Seksyon 3). Ito ay nagtatatag ng kanilang legal na pag-angkin sa lupain.
* **Pagpapasya sa Sarili sa Delineasyon:** Ang IPRA ay itinataguyod ang prinsipyong "self-delineation", kung saan ang mga ICC/IP ay may mapagpasyang papel sa pagtukoy at pagtukoy sa mga hangganan ng kanilang mga ancestral domain ([reference Understanding the indigenous people's rights to their ancestral domain |. Inquirer Business, business.inquirer.net]). Ito ay nagbibigay ng kapangyarihan sa kanila na tukuyin ang kanilang teritoryo batay sa kanilang mga tradisyon at kaugalian.
* **Mga Karapatan sa loob ng Ancestral Domains:** Ang IPRA ay nagbibigay sa mga ICC/IPs ng mga partikular na karapatan sa loob ng kanilang ancestral domain, kabilang ang: * Pagmamay-ari ng mga lupain, anyong tubig, mga sagradong lugar, at tradisyonal na lugar ng pangangaso/pangingisda ([RA 8371], Seksyon 5 )
* Mga Karapatan sa Pag-unlad: Maaaring mapaunlad ng mga ICC/Katutubong Pamayanan ang kanilang mga lupain at likas na yaman nang mapanatili, napapailalim sa umiiral na mga karapatan sa pag-aari sa loob ng domain ([RA 8371], Seksyon 5)
* Karapatan na Manatili: Ang mga ICC/Katutubong Pamayanan ay may karapatang manatili sa kanilang mga ninuno maliban kung sila ay kusang umalis ([RA 8371], Seksyon 7)
* **Paghihigpit sa Encroachment:** Inutusan ang pamahalaan na gumawa ng mga hakbang upang maiwasan ang pag-encroach sa mga ancestral domain ng mga entity tulad ng mga korporasyon o indibidwal ([RA 8371], Seksyon 15).
* **National Commission on Indigenous Peoples (NCIP):** Ang NCIP ay may tungkuling pangasiwaan ang proseso ng aplikasyon ng ancestral domain, imbestigahan ang mga paglabag sa mga karapatan ng mga ICC/Katutubong Pamayanan, at magrekomenda ng pagtugon ([RA 8371], Kabanata VII). Mahalagang tandaan na ang legal na pagpapatupad ay maaaring maging kumplikado. Bagama't nag-aalok ang IPRA ng legal na balangkas para sa proteksyon, nagpapatuloy ang mga hamon tungkol sa mga paghahabol sa lupaing ninuno at pagpapatupad.</v>
      </c>
      <c r="F2813" s="2">
        <f t="shared" si="1"/>
        <v>0</v>
      </c>
      <c r="G2813" s="2"/>
      <c r="H2813" s="2"/>
      <c r="I2813" s="2"/>
      <c r="J2813" s="2"/>
      <c r="K2813" s="2"/>
      <c r="L2813" s="2"/>
      <c r="M2813" s="2"/>
      <c r="N2813" s="2"/>
      <c r="O2813" s="2"/>
      <c r="P2813" s="2"/>
      <c r="Q2813" s="2"/>
      <c r="R2813" s="2"/>
      <c r="S2813" s="2"/>
      <c r="T2813" s="2"/>
      <c r="U2813" s="2"/>
      <c r="V2813" s="2"/>
      <c r="W2813" s="2"/>
      <c r="X2813" s="2"/>
      <c r="Y2813" s="2"/>
      <c r="Z2813" s="2"/>
      <c r="AA2813" s="2"/>
    </row>
    <row r="2814">
      <c r="A2814" s="3" t="s">
        <v>6596</v>
      </c>
      <c r="B2814" s="1" t="s">
        <v>6601</v>
      </c>
      <c r="C2814" s="3" t="s">
        <v>6602</v>
      </c>
      <c r="D2814" s="2" t="str">
        <f>IFERROR(__xludf.DUMMYFUNCTION("GOOGLETRANSLATE(B2814, ""en"", ""TL"")"),"Ano ang mga legal na mekanismo na inilalagay para sa mga katutubong komunidad upang matiyak ang kanilang mga karapatan sa lupaing ninuno?")</f>
        <v>Ano ang mga legal na mekanismo na inilalagay para sa mga katutubong komunidad upang matiyak ang kanilang mga karapatan sa lupaing ninuno?</v>
      </c>
      <c r="E2814" s="2" t="str">
        <f>IFERROR(__xludf.DUMMYFUNCTION("GOOGLETRANSLATE(C2814, ""en"", ""TL"")"),"Narito ang isang breakdown ng mga legal na mekanismo sa IPRA para sa pag-secure ng mga karapatan sa lupaing ninuno:
**1. Proseso ng Claim ng Ancestral Domain:**
* **Initiation:** Maaaring simulan ng mga katutubong komunidad ang proseso sa pamamagitan ng p"&amp;"aghahain ng claim sa National Commission on Indigenous Peoples (NCIP) ([RA 8371], Seksyon 38).
* **Self-Delineation:** Ang komunidad ay gumaganap ng isang mahalagang papel sa pagtukoy at pagtukoy sa mga hangganan ng ancestral domain batay sa kanilang trad"&amp;"isyonal na kaalaman at mga kaugaliang gawi ([reference Understanding the indigenous people's rights to their ancestral domain | Inquirer Business, business.inquirer .net]).
* **Pagpapatunay at Pagpapatunay:** Ang NCIP ay nagpapatunay at nagpapatunay sa pa"&amp;"ghahabol sa ancestral domain sa pamamagitan ng mga konsultasyon sa komunidad, mga teknikal na survey, at makasaysayang pananaliksik ([RA 8371], Seksyon 39).
* **Ancestral Domain Sustainable Development and Protection Plan (ADSDPP):** Ang komunidad ay bubu"&amp;"o ng plano na nagbabalangkas kung paano nila pangasiwaan at gagamitin ang kanilang ancestral domain nang sustainable ([RA 8371], Seksyon 40).
* **Pag-isyu ng Ancestral Domain Title (CADT):** Sa matagumpay na pagkumpleto ng proseso, ang NCIP ay naglalabas "&amp;"ng Certificate of Ancestral Domain Title (CADT) na opisyal na kumikilala sa mga karapatan sa pagmamay-ari ng komunidad ([RA 8371], Seksyon 41).
**2. Alternatibong Mekanismo: Certificate of Ancestral Land Title (CALT):**
* Nag-aalok ang IPRA ng alternatibo"&amp;"ng mekanismo para sa mga indibidwal na miyembro ng ICC/IP na maaaring patunayan ang patuloy na pagmamay-ari at pag-okupa ng mga partikular na lupain sa loob ng ancestral domain ([RA 8371], Seksyon 12).
* Ang mga indibidwal na ito ay maaaring makakuha ng C"&amp;"ertificate of Ancestral Land Title (CALT) sa ilalim ng umiiral na mga batas sa pagpaparehistro ng lupa ([RA 8371], Seksyon 12). **3. Mga Mekanismo ng Proteksyon:**
* **Pagmamasid sa NCIP:** Ang NCIP ay gumaganap ng isang mahalagang papel sa pagprotekta sa"&amp;" mga ancestral domain sa pamamagitan ng:
* Pag-iimbestiga at namamagitan sa mga hindi pagkakaunawaan na may kaugnayan sa mga paghahabol sa lupaing ninuno ([RA 8371], Seksyon 47)
* Nagrerekomenda ng mga parusa para sa mga paglabag sa mga karapatan ng mga I"&amp;"CC/IP ([RA 8371], Seksyon 50)
* **Paghihigpit sa Encroachment:** Inutusan ang pamahalaan na pigilan ang pagpasok ng mga tagalabas sa pamamagitan ng mga hakbang tulad ng:
* Zoning at mga paghihigpit sa paggamit ng lupaing ninuno ([RA 8371], Seksyon 14)
* M"&amp;"ga kinakailangan sa Environmental Impact Assessment para sa mga proyekto sa loob ng ancestral domain ([RA 8371], Seksyon 16)
**Tandaan:**
* Ang legal na pagpapatupad ay maaaring maging kumplikado, at maaaring lumitaw ang mga hindi pagkakaunawaan sa paghah"&amp;"abol sa lupaing ninuno.
* Ang pagkonsulta sa mga legal na propesyonal na dalubhasa sa mga karapatan ng mga katutubo ay inirerekomenda para sa pag-navigate sa mga partikular na sitwasyon.")</f>
        <v>Narito ang isang breakdown ng mga legal na mekanismo sa IPRA para sa pag-secure ng mga karapatan sa lupaing ninuno:
**1. Proseso ng Claim ng Ancestral Domain:**
* **Initiation:** Maaaring simulan ng mga katutubong komunidad ang proseso sa pamamagitan ng paghahain ng claim sa National Commission on Indigenous Peoples (NCIP) ([RA 8371], Seksyon 38).
* **Self-Delineation:** Ang komunidad ay gumaganap ng isang mahalagang papel sa pagtukoy at pagtukoy sa mga hangganan ng ancestral domain batay sa kanilang tradisyonal na kaalaman at mga kaugaliang gawi ([reference Understanding the indigenous people's rights to their ancestral domain | Inquirer Business, business.inquirer .net]).
* **Pagpapatunay at Pagpapatunay:** Ang NCIP ay nagpapatunay at nagpapatunay sa paghahabol sa ancestral domain sa pamamagitan ng mga konsultasyon sa komunidad, mga teknikal na survey, at makasaysayang pananaliksik ([RA 8371], Seksyon 39).
* **Ancestral Domain Sustainable Development and Protection Plan (ADSDPP):** Ang komunidad ay bubuo ng plano na nagbabalangkas kung paano nila pangasiwaan at gagamitin ang kanilang ancestral domain nang sustainable ([RA 8371], Seksyon 40).
* **Pag-isyu ng Ancestral Domain Title (CADT):** Sa matagumpay na pagkumpleto ng proseso, ang NCIP ay naglalabas ng Certificate of Ancestral Domain Title (CADT) na opisyal na kumikilala sa mga karapatan sa pagmamay-ari ng komunidad ([RA 8371], Seksyon 41).
**2. Alternatibong Mekanismo: Certificate of Ancestral Land Title (CALT):**
* Nag-aalok ang IPRA ng alternatibong mekanismo para sa mga indibidwal na miyembro ng ICC/IP na maaaring patunayan ang patuloy na pagmamay-ari at pag-okupa ng mga partikular na lupain sa loob ng ancestral domain ([RA 8371], Seksyon 12).
* Ang mga indibidwal na ito ay maaaring makakuha ng Certificate of Ancestral Land Title (CALT) sa ilalim ng umiiral na mga batas sa pagpaparehistro ng lupa ([RA 8371], Seksyon 12). **3. Mga Mekanismo ng Proteksyon:**
* **Pagmamasid sa NCIP:** Ang NCIP ay gumaganap ng isang mahalagang papel sa pagprotekta sa mga ancestral domain sa pamamagitan ng:
* Pag-iimbestiga at namamagitan sa mga hindi pagkakaunawaan na may kaugnayan sa mga paghahabol sa lupaing ninuno ([RA 8371], Seksyon 47)
* Nagrerekomenda ng mga parusa para sa mga paglabag sa mga karapatan ng mga ICC/IP ([RA 8371], Seksyon 50)
* **Paghihigpit sa Encroachment:** Inutusan ang pamahalaan na pigilan ang pagpasok ng mga tagalabas sa pamamagitan ng mga hakbang tulad ng:
* Zoning at mga paghihigpit sa paggamit ng lupaing ninuno ([RA 8371], Seksyon 14)
* Mga kinakailangan sa Environmental Impact Assessment para sa mga proyekto sa loob ng ancestral domain ([RA 8371], Seksyon 16)
**Tandaan:**
* Ang legal na pagpapatupad ay maaaring maging kumplikado, at maaaring lumitaw ang mga hindi pagkakaunawaan sa paghahabol sa lupaing ninuno.
* Ang pagkonsulta sa mga legal na propesyonal na dalubhasa sa mga karapatan ng mga katutubo ay inirerekomenda para sa pag-navigate sa mga partikular na sitwasyon.</v>
      </c>
      <c r="F2814" s="2">
        <f t="shared" si="1"/>
        <v>0</v>
      </c>
      <c r="G2814" s="2"/>
      <c r="H2814" s="2"/>
      <c r="I2814" s="2"/>
      <c r="J2814" s="2"/>
      <c r="K2814" s="2"/>
      <c r="L2814" s="2"/>
      <c r="M2814" s="2"/>
      <c r="N2814" s="2"/>
      <c r="O2814" s="2"/>
      <c r="P2814" s="2"/>
      <c r="Q2814" s="2"/>
      <c r="R2814" s="2"/>
      <c r="S2814" s="2"/>
      <c r="T2814" s="2"/>
      <c r="U2814" s="2"/>
      <c r="V2814" s="2"/>
      <c r="W2814" s="2"/>
      <c r="X2814" s="2"/>
      <c r="Y2814" s="2"/>
      <c r="Z2814" s="2"/>
      <c r="AA2814" s="2"/>
    </row>
    <row r="2815">
      <c r="A2815" s="3" t="s">
        <v>6596</v>
      </c>
      <c r="B2815" s="1" t="s">
        <v>6603</v>
      </c>
      <c r="C2815" s="3" t="s">
        <v>6604</v>
      </c>
      <c r="D2815" s="2" t="str">
        <f>IFERROR(__xludf.DUMMYFUNCTION("GOOGLETRANSLATE(B2815, ""en"", ""TL"")"),"Ano ang proseso para sa pagkuha ng Free, Prior, and Informed Consent (FPIC) mula sa mga katutubong komunidad para sa mga proyektong pangkaunlaran?")</f>
        <v>Ano ang proseso para sa pagkuha ng Free, Prior, and Informed Consent (FPIC) mula sa mga katutubong komunidad para sa mga proyektong pangkaunlaran?</v>
      </c>
      <c r="E2815" s="2" t="str">
        <f>IFERROR(__xludf.DUMMYFUNCTION("GOOGLETRANSLATE(C2815, ""en"", ""TL"")"),"Habang ang IPRA mismo ay hindi tahasang binabalangkas ang proseso ng FPIC, kinikilala nito ang konsepto ([RA 8371], Seksyon 2). Narito ang maaari nating makuha mula sa mga nauugnay na mapagkukunan:
**Mga Pangkalahatang Prinsipyo:**
* **Libre:** Ang pahint"&amp;"ulot ay dapat ibigay nang walang pamimilit o manipulasyon.
* **Prior:** Ang mga ICC/IP ay dapat konsultahin at ipaalam bago magsimula ang anumang proyekto sa kanilang ancestral domain.
* **Napag-alaman:** Ang mga ICC/IP ay dapat magkaroon ng access sa lah"&amp;"at ng may-katuturang impormasyon tungkol sa iminungkahing proyekto, kabilang ang mga potensyal na panganib at benepisyo, sa wikang naiintindihan nila. **Sumusunod sa Mga Alituntunin ng NCIP:**
Ang National Commission on Indigenous Peoples (NCIP) ay gumaga"&amp;"nap ng mahalagang papel sa pagpapadali sa proseso ng FPIC. Bagama't maaaring wala ang isang partikular na batas, naglabas ang NCIP ng mga alituntunin na dapat sundin ([reference NCIP Administrative Order No. 3, Series of 2010]). Ang mga alituntuning ito a"&amp;"y malamang na kasama ang mga hakbang tulad ng:
1. **Pagsisimula:** Ang tagapagtaguyod ng proyekto ay lumalapit sa NCIP at sa apektadong komunidad ng ICC/IP.
2. **Pagpapakilos ng Komunidad:** Pinapadali ng NCIP ang mga pagpupulong at pagpapakalat ng imporm"&amp;"asyon upang matiyak na alam ng lahat ng miyembro ng komunidad ang proyekto.
3. **Pagbabahagi ng Impormasyon:** Ang nagsusulong ay nagpapakita ng detalyadong impormasyon tungkol sa proyekto, kabilang ang mga potensyal na epekto sa lipunan, kultura, at kapa"&amp;"ligiran, sa isang wikang naiintindihan ng komunidad.
4. **Dialogue and Negotiation:** Ang mga bukas na talakayan ay ginaganap upang matugunan ang mga alalahanin ng komunidad at makipag-ayos sa mga kasunduan na kapwa kapaki-pakinabang. 5. **Pagtitipon ng P"&amp;"ahintulot:** Ang komunidad ay nagpapahayag ng kanilang pahintulot o pagtanggi sa proyekto sa pamamagitan ng isang libre at matalinong proseso ng paggawa ng desisyon. **Mga Rekomendasyon:**
* Ang proseso ng FPIC ay dapat na angkop sa kultura at magalang sa"&amp;" mga tradisyon ng ICC/IP.
* Dapat maglaan ng sapat na oras para maunawaan ng komunidad ang proyekto at gumawa ng matalinong mga desisyon.
**Mahalagang tandaan:**
* Ang FPIC ay isang patuloy na proseso, hindi isang beses na kaganapan. * May karapatan ang m"&amp;"ga ICC/IP na bawiin ang kanilang pahintulot sa anumang yugto ng proyekto.
Tandaan, ang pagkonsulta sa mga legal na propesyonal na dalubhasa sa mga karapatan ng mga katutubo ay maaaring magbigay ng mas tiyak na patnubay para sa pag-navigate sa proseso ng F"&amp;"PIC.")</f>
        <v>Habang ang IPRA mismo ay hindi tahasang binabalangkas ang proseso ng FPIC, kinikilala nito ang konsepto ([RA 8371], Seksyon 2). Narito ang maaari nating makuha mula sa mga nauugnay na mapagkukunan:
**Mga Pangkalahatang Prinsipyo:**
* **Libre:** Ang pahintulot ay dapat ibigay nang walang pamimilit o manipulasyon.
* **Prior:** Ang mga ICC/IP ay dapat konsultahin at ipaalam bago magsimula ang anumang proyekto sa kanilang ancestral domain.
* **Napag-alaman:** Ang mga ICC/IP ay dapat magkaroon ng access sa lahat ng may-katuturang impormasyon tungkol sa iminungkahing proyekto, kabilang ang mga potensyal na panganib at benepisyo, sa wikang naiintindihan nila. **Sumusunod sa Mga Alituntunin ng NCIP:**
Ang National Commission on Indigenous Peoples (NCIP) ay gumaganap ng mahalagang papel sa pagpapadali sa proseso ng FPIC. Bagama't maaaring wala ang isang partikular na batas, naglabas ang NCIP ng mga alituntunin na dapat sundin ([reference NCIP Administrative Order No. 3, Series of 2010]). Ang mga alituntuning ito ay malamang na kasama ang mga hakbang tulad ng:
1. **Pagsisimula:** Ang tagapagtaguyod ng proyekto ay lumalapit sa NCIP at sa apektadong komunidad ng ICC/IP.
2. **Pagpapakilos ng Komunidad:** Pinapadali ng NCIP ang mga pagpupulong at pagpapakalat ng impormasyon upang matiyak na alam ng lahat ng miyembro ng komunidad ang proyekto.
3. **Pagbabahagi ng Impormasyon:** Ang nagsusulong ay nagpapakita ng detalyadong impormasyon tungkol sa proyekto, kabilang ang mga potensyal na epekto sa lipunan, kultura, at kapaligiran, sa isang wikang naiintindihan ng komunidad.
4. **Dialogue and Negotiation:** Ang mga bukas na talakayan ay ginaganap upang matugunan ang mga alalahanin ng komunidad at makipag-ayos sa mga kasunduan na kapwa kapaki-pakinabang. 5. **Pagtitipon ng Pahintulot:** Ang komunidad ay nagpapahayag ng kanilang pahintulot o pagtanggi sa proyekto sa pamamagitan ng isang libre at matalinong proseso ng paggawa ng desisyon. **Mga Rekomendasyon:**
* Ang proseso ng FPIC ay dapat na angkop sa kultura at magalang sa mga tradisyon ng ICC/IP.
* Dapat maglaan ng sapat na oras para maunawaan ng komunidad ang proyekto at gumawa ng matalinong mga desisyon.
**Mahalagang tandaan:**
* Ang FPIC ay isang patuloy na proseso, hindi isang beses na kaganapan. * May karapatan ang mga ICC/IP na bawiin ang kanilang pahintulot sa anumang yugto ng proyekto.
Tandaan, ang pagkonsulta sa mga legal na propesyonal na dalubhasa sa mga karapatan ng mga katutubo ay maaaring magbigay ng mas tiyak na patnubay para sa pag-navigate sa proseso ng FPIC.</v>
      </c>
      <c r="F2815" s="2">
        <f t="shared" si="1"/>
        <v>0</v>
      </c>
      <c r="G2815" s="2"/>
      <c r="H2815" s="2"/>
      <c r="I2815" s="2"/>
      <c r="J2815" s="2"/>
      <c r="K2815" s="2"/>
      <c r="L2815" s="2"/>
      <c r="M2815" s="2"/>
      <c r="N2815" s="2"/>
      <c r="O2815" s="2"/>
      <c r="P2815" s="2"/>
      <c r="Q2815" s="2"/>
      <c r="R2815" s="2"/>
      <c r="S2815" s="2"/>
      <c r="T2815" s="2"/>
      <c r="U2815" s="2"/>
      <c r="V2815" s="2"/>
      <c r="W2815" s="2"/>
      <c r="X2815" s="2"/>
      <c r="Y2815" s="2"/>
      <c r="Z2815" s="2"/>
      <c r="AA2815" s="2"/>
    </row>
    <row r="2816">
      <c r="A2816" s="3" t="s">
        <v>6596</v>
      </c>
      <c r="B2816" s="1" t="s">
        <v>6605</v>
      </c>
      <c r="C2816" s="3" t="s">
        <v>6606</v>
      </c>
      <c r="D2816" s="2" t="str">
        <f>IFERROR(__xludf.DUMMYFUNCTION("GOOGLETRANSLATE(B2816, ""en"", ""TL"")"),"Paano tinutugunan ng IPRA ang isyu ng katutubong pamanang kultura at mga karapatan sa intelektwal na ari-arian?")</f>
        <v>Paano tinutugunan ng IPRA ang isyu ng katutubong pamanang kultura at mga karapatan sa intelektwal na ari-arian?</v>
      </c>
      <c r="E2816" s="2" t="str">
        <f>IFERROR(__xludf.DUMMYFUNCTION("GOOGLETRANSLATE(C2816, ""en"", ""TL"")"),"Kinikilala ng IPRA ang kahalagahan ng katutubong pamana ng kultura ngunit hindi nagbibigay ng mga partikular na probisyon para sa pagprotekta sa mismong ari-arian ng kultura tulad ng mga likhang sining o tradisyonal na kaalaman. Gayunpaman, ang batas ay n"&amp;"aglalatag ng batayan para sa hinaharap na batas sa pamamagitan ng pagkilala sa ""mga karapatang intelektwal ng komunidad"" ([RA 8371], Seksyon 32).
Narito ang isang breakdown ng kung paano lumalapit ang IPRA sa katutubong pamana ng kultura at intelektwal "&amp;"na ari-arian:
* **Karapatan sa Pagpapanatili ng Kultura:** Kinikilala ng IPRA ang karapatan ng mga ICC/Katutubong Pamayanan na ""magsanay at buhayin ang kanilang sariling mga kultural na tradisyon at kaugalian"" ([RA 8371], Seksyon 32). Kabilang dito ang "&amp;"kanilang mga wika, musika, kwento, masining na pagpapahayag, at tradisyonal na mga sistema ng kaalaman.
* **Mga Karapatan sa Intelektwal ng Komunidad:** Ang konsepto ng ""mga karapatang intelektwal ng komunidad"" ay ipinakilala, na itinatampok ang sama-sa"&amp;"mang pagmamay-ari at kontrol ng mga ICC/Katutubong Pamayanan sa kanilang kultural na pamana ([RA 8371], Seksyon 32).
* **Proteksyon mula sa Pagsasamantala:** Ipinagbabawal ng IPRA ang ""pagsira, pag-alis o pagsira ng mga artifact na napakahalaga sa mga IC"&amp;"C/Katutubong Pamayanan para sa pangangalaga ng kanilang kultural na pamana"" nang walang pahintulot nila ([RA 8371], Seksyon 32) . **Mga Limitasyon at Pangangailangan para sa Karagdagang Batas:**
* Hindi tinutugunan ng IPRA ang maling paggamit ng pamana n"&amp;"g kultura ng mga tagalabas na maaaring komersyal na pagsasamantalahan ang katutubong kaalaman, disenyo, o ekspresyon.
* Ang konsepto ng ""mga karapatang intelektwal ng komunidad"" ay walang malinaw na legal na balangkas para sa pagpapatupad.
**Ang Pasulon"&amp;"g:**
* Kasalukuyang isinasaalang-alang ng Pilipinas ang batas na partikular na nakatuon sa pagprotekta sa pamana ng katutubong kultura at mga karapatan sa intelektwal na ari-arian. * Ang mga pagsisikap na ito ay naglalayong bigyan ang mga ICC/Katutubong P"&amp;"amayanan ng higit na kontrol sa kanilang kultural na pamana at tiyaking makikinabang sila sa paggamit nito.
**Sa Konklusyon:**
Inilalatag ng IPRA ang pundasyon para sa pagprotekta sa katutubong kultural na pamana, ngunit kailangan ang karagdagang legal na"&amp;" pag-unlad upang magbigay ng mas matatag na balangkas para sa mga karapatan sa intelektwal na ari-arian sa loob ng konteksto ng mga katutubong komunidad.")</f>
        <v>Kinikilala ng IPRA ang kahalagahan ng katutubong pamana ng kultura ngunit hindi nagbibigay ng mga partikular na probisyon para sa pagprotekta sa mismong ari-arian ng kultura tulad ng mga likhang sining o tradisyonal na kaalaman. Gayunpaman, ang batas ay naglalatag ng batayan para sa hinaharap na batas sa pamamagitan ng pagkilala sa "mga karapatang intelektwal ng komunidad" ([RA 8371], Seksyon 32).
Narito ang isang breakdown ng kung paano lumalapit ang IPRA sa katutubong pamana ng kultura at intelektwal na ari-arian:
* **Karapatan sa Pagpapanatili ng Kultura:** Kinikilala ng IPRA ang karapatan ng mga ICC/Katutubong Pamayanan na "magsanay at buhayin ang kanilang sariling mga kultural na tradisyon at kaugalian" ([RA 8371], Seksyon 32). Kabilang dito ang kanilang mga wika, musika, kwento, masining na pagpapahayag, at tradisyonal na mga sistema ng kaalaman.
* **Mga Karapatan sa Intelektwal ng Komunidad:** Ang konsepto ng "mga karapatang intelektwal ng komunidad" ay ipinakilala, na itinatampok ang sama-samang pagmamay-ari at kontrol ng mga ICC/Katutubong Pamayanan sa kanilang kultural na pamana ([RA 8371], Seksyon 32).
* **Proteksyon mula sa Pagsasamantala:** Ipinagbabawal ng IPRA ang "pagsira, pag-alis o pagsira ng mga artifact na napakahalaga sa mga ICC/Katutubong Pamayanan para sa pangangalaga ng kanilang kultural na pamana" nang walang pahintulot nila ([RA 8371], Seksyon 32) . **Mga Limitasyon at Pangangailangan para sa Karagdagang Batas:**
* Hindi tinutugunan ng IPRA ang maling paggamit ng pamana ng kultura ng mga tagalabas na maaaring komersyal na pagsasamantalahan ang katutubong kaalaman, disenyo, o ekspresyon.
* Ang konsepto ng "mga karapatang intelektwal ng komunidad" ay walang malinaw na legal na balangkas para sa pagpapatupad.
**Ang Pasulong:**
* Kasalukuyang isinasaalang-alang ng Pilipinas ang batas na partikular na nakatuon sa pagprotekta sa pamana ng katutubong kultura at mga karapatan sa intelektwal na ari-arian. * Ang mga pagsisikap na ito ay naglalayong bigyan ang mga ICC/Katutubong Pamayanan ng higit na kontrol sa kanilang kultural na pamana at tiyaking makikinabang sila sa paggamit nito.
**Sa Konklusyon:**
Inilalatag ng IPRA ang pundasyon para sa pagprotekta sa katutubong kultural na pamana, ngunit kailangan ang karagdagang legal na pag-unlad upang magbigay ng mas matatag na balangkas para sa mga karapatan sa intelektwal na ari-arian sa loob ng konteksto ng mga katutubong komunidad.</v>
      </c>
      <c r="F2816" s="2">
        <f t="shared" si="1"/>
        <v>0</v>
      </c>
      <c r="G2816" s="2"/>
      <c r="H2816" s="2"/>
      <c r="I2816" s="2"/>
      <c r="J2816" s="2"/>
      <c r="K2816" s="2"/>
      <c r="L2816" s="2"/>
      <c r="M2816" s="2"/>
      <c r="N2816" s="2"/>
      <c r="O2816" s="2"/>
      <c r="P2816" s="2"/>
      <c r="Q2816" s="2"/>
      <c r="R2816" s="2"/>
      <c r="S2816" s="2"/>
      <c r="T2816" s="2"/>
      <c r="U2816" s="2"/>
      <c r="V2816" s="2"/>
      <c r="W2816" s="2"/>
      <c r="X2816" s="2"/>
      <c r="Y2816" s="2"/>
      <c r="Z2816" s="2"/>
      <c r="AA2816" s="2"/>
    </row>
    <row r="2817">
      <c r="A2817" s="3" t="s">
        <v>6596</v>
      </c>
      <c r="B2817" s="1" t="s">
        <v>6607</v>
      </c>
      <c r="C2817" s="3" t="s">
        <v>6608</v>
      </c>
      <c r="D2817" s="2" t="str">
        <f>IFERROR(__xludf.DUMMYFUNCTION("GOOGLETRANSLATE(B2817, ""en"", ""TL"")"),"Ano ang mga parusa sa paglabag sa mga karapatan ng mga katutubo sa ilalim ng IPRA?")</f>
        <v>Ano ang mga parusa sa paglabag sa mga karapatan ng mga katutubo sa ilalim ng IPRA?</v>
      </c>
      <c r="E2817" s="2" t="str">
        <f>IFERROR(__xludf.DUMMYFUNCTION("GOOGLETRANSLATE(C2817, ""en"", ""TL"")"),"Binabalangkas ng IPRA ang mga parusa para sa paglabag sa mga karapatan ng mga katutubo, ngunit ang mga partikular na epekto ay maaaring mag-iba depende sa uri ng pagkakasala. Narito ang isang breakdown ng kung ano ang kasama ng batas:
**Sugnay ng Pangkala"&amp;"hatang Parusa:**
* Ang Seksyon 10 ng IPRA ay nagsasaad na ""hindi awtorisado at labag sa batas na panghihimasok sa, o paggamit ng anumang bahagi ng ancestral domain, o anumang paglabag sa mga karapatan dito bago binanggit, ay dapat parusahan sa ilalim ng "&amp;"batas na ito"" ([RA 8371], Seksyon 10).
**Mga Uri ng Parusa:**
1. **Mga multa:** Ang National Commission on Indigenous Peoples (NCIP) ay may awtoridad na magpataw ng mga multa para sa mga paglabag na tinukoy sa ilalim ng IPRA. Ang halaga ay maaaring mula "&amp;"sa **hindi bababa sa Limang Daang Libo (P500,000) o higit sa Isang Milyon Limang Daang Libo (P1,500,000)** ([reference MARI~~CY S. BINAY - Senado ng Pilipinas , legacy.senate.gov.ph]).
2. **Mga Parusa sa Customary Law:** Pinahihintulutan ng IPRA ang mga I"&amp;"CC/IP na magpatupad ng mga parusa batay sa kanilang mga nakagawiang batas para sa mga paglabag na nagaganap sa loob ng kanilang mga ancestral domain. Gayunpaman, ang mga parusang ito ay hindi maaaring maging malupit, nakakababa, hindi makatao, o may kinal"&amp;"aman sa parusang kamatayan o labis na multa ([RA 8371], Seksyon 72).
3. **Pagkansela ng mga Permit/Lisensya:** Para sa mga paglabag na ginawa ng mga entity na may mga permit ng gobyerno o mga lisensya para gumana sa loob ng ancestral domain, pinapayagan n"&amp;"g IPRA ang pagkansela ng mga permit/lisensya na iyon ([RA 8371], Seksyon 51).
**Mahahalagang Pagsasaalang-alang:**
* Ang uri ng parusang ipinataw ay depende sa kalubhaan ng paglabag.
* Ang NCIP ay gumaganap ng isang mahalagang papel sa pagsisiyasat ng mga"&amp;" paglabag, paghatol sa mga reklamo, at pagrekomenda ng mga parusa.
* Ang mga ICC/IP ay maaari ring ituloy ang mga kasong sibil upang humingi ng kabayaran para sa mga pinsalang dulot ng mga paglabag sa karapatan.
**Mahalagang tandaan:**
* Ang mga legal na "&amp;"pamamaraan ay maaaring maging kumplikado, at ang paghingi ng legal na payo mula sa isang propesyonal na dalubhasa sa mga karapatan ng mga katutubo ay inirerekomenda para sa pag-navigate sa mga partikular na sitwasyon.
Habang nagtatatag ang IPRA ng balangk"&amp;"as para sa mga parusa, umiiral ang mga patuloy na hamon sa pagtiyak ng epektibong pagpapatupad at pagprotekta sa mga katutubong komunidad mula sa mga paglabag sa karapatan.")</f>
        <v>Binabalangkas ng IPRA ang mga parusa para sa paglabag sa mga karapatan ng mga katutubo, ngunit ang mga partikular na epekto ay maaaring mag-iba depende sa uri ng pagkakasala. Narito ang isang breakdown ng kung ano ang kasama ng batas:
**Sugnay ng Pangkalahatang Parusa:**
* Ang Seksyon 10 ng IPRA ay nagsasaad na "hindi awtorisado at labag sa batas na panghihimasok sa, o paggamit ng anumang bahagi ng ancestral domain, o anumang paglabag sa mga karapatan dito bago binanggit, ay dapat parusahan sa ilalim ng batas na ito" ([RA 8371], Seksyon 10).
**Mga Uri ng Parusa:**
1. **Mga multa:** Ang National Commission on Indigenous Peoples (NCIP) ay may awtoridad na magpataw ng mga multa para sa mga paglabag na tinukoy sa ilalim ng IPRA. Ang halaga ay maaaring mula sa **hindi bababa sa Limang Daang Libo (P500,000) o higit sa Isang Milyon Limang Daang Libo (P1,500,000)** ([reference MARI~~CY S. BINAY - Senado ng Pilipinas , legacy.senate.gov.ph]).
2. **Mga Parusa sa Customary Law:** Pinahihintulutan ng IPRA ang mga ICC/IP na magpatupad ng mga parusa batay sa kanilang mga nakagawiang batas para sa mga paglabag na nagaganap sa loob ng kanilang mga ancestral domain. Gayunpaman, ang mga parusang ito ay hindi maaaring maging malupit, nakakababa, hindi makatao, o may kinalaman sa parusang kamatayan o labis na multa ([RA 8371], Seksyon 72).
3. **Pagkansela ng mga Permit/Lisensya:** Para sa mga paglabag na ginawa ng mga entity na may mga permit ng gobyerno o mga lisensya para gumana sa loob ng ancestral domain, pinapayagan ng IPRA ang pagkansela ng mga permit/lisensya na iyon ([RA 8371], Seksyon 51).
**Mahahalagang Pagsasaalang-alang:**
* Ang uri ng parusang ipinataw ay depende sa kalubhaan ng paglabag.
* Ang NCIP ay gumaganap ng isang mahalagang papel sa pagsisiyasat ng mga paglabag, paghatol sa mga reklamo, at pagrekomenda ng mga parusa.
* Ang mga ICC/IP ay maaari ring ituloy ang mga kasong sibil upang humingi ng kabayaran para sa mga pinsalang dulot ng mga paglabag sa karapatan.
**Mahalagang tandaan:**
* Ang mga legal na pamamaraan ay maaaring maging kumplikado, at ang paghingi ng legal na payo mula sa isang propesyonal na dalubhasa sa mga karapatan ng mga katutubo ay inirerekomenda para sa pag-navigate sa mga partikular na sitwasyon.
Habang nagtatatag ang IPRA ng balangkas para sa mga parusa, umiiral ang mga patuloy na hamon sa pagtiyak ng epektibong pagpapatupad at pagprotekta sa mga katutubong komunidad mula sa mga paglabag sa karapatan.</v>
      </c>
      <c r="F2817" s="2">
        <f t="shared" si="1"/>
        <v>0</v>
      </c>
      <c r="G2817" s="2"/>
      <c r="H2817" s="2"/>
      <c r="I2817" s="2"/>
      <c r="J2817" s="2"/>
      <c r="K2817" s="2"/>
      <c r="L2817" s="2"/>
      <c r="M2817" s="2"/>
      <c r="N2817" s="2"/>
      <c r="O2817" s="2"/>
      <c r="P2817" s="2"/>
      <c r="Q2817" s="2"/>
      <c r="R2817" s="2"/>
      <c r="S2817" s="2"/>
      <c r="T2817" s="2"/>
      <c r="U2817" s="2"/>
      <c r="V2817" s="2"/>
      <c r="W2817" s="2"/>
      <c r="X2817" s="2"/>
      <c r="Y2817" s="2"/>
      <c r="Z2817" s="2"/>
      <c r="AA2817" s="2"/>
    </row>
    <row r="2818">
      <c r="A2818" s="3" t="s">
        <v>6596</v>
      </c>
      <c r="B2818" s="1" t="s">
        <v>6609</v>
      </c>
      <c r="C2818" s="3" t="s">
        <v>6610</v>
      </c>
      <c r="D2818" s="2" t="str">
        <f>IFERROR(__xludf.DUMMYFUNCTION("GOOGLETRANSLATE(B2818, ""en"", ""TL"")"),"Paano itinataguyod ng IPRA ang sariling pamamahala ng mga katutubong komunidad?")</f>
        <v>Paano itinataguyod ng IPRA ang sariling pamamahala ng mga katutubong komunidad?</v>
      </c>
      <c r="E2818" s="2" t="str">
        <f>IFERROR(__xludf.DUMMYFUNCTION("GOOGLETRANSLATE(C2818, ""en"", ""TL"")"),"Ang Indigenous Peoples' Rights Act (IPRA) ay nagtataguyod ng sariling pamamahala ng mga katutubong komunidad sa Pilipinas sa pamamagitan ng ilang mahahalagang probisyon:
**Pagkilala sa mga Katutubong Istrukturang Pampulitika:**
* Kinikilala ng IPRA ang li"&amp;"kas na karapatan ng mga ICC/Katutubong Pamamahala sa sariling pamamahala at pagpapasya sa sarili ([RA 8371], Seksyon 14). Pinapatunayan nito ang kanilang mga tradisyonal na istrukturang pampulitika at mga proseso ng paggawa ng desisyon.
**Mga Karapatan sa"&amp;" Ancestral Domain:**
* Ang pagbibigay ng pagmamay-ari at kontrol sa mga ancestral domain ay nagbibigay ng kapangyarihan sa mga ICC/Katutubong Pamahalaan na pamahalaan ang kanilang mga lupain at mapagkukunan ayon sa kanilang mga nakaugaliang batas at gawi "&amp;"([RA 8371], Kabanata III). Nagbibigay-daan ito sa kanila na gumawa ng mga desisyon tungkol sa pag-unlad, paggamit ng mapagkukunan, at pangangalaga sa kapaligiran sa loob ng kanilang mga teritoryo.
**Customary Law Recognition:**
* Kinikilala ng IPRA ang bi"&amp;"sa ng mga kaugaliang batas na namamahala sa mga karapatan sa ari-arian at mga ugnayang panlipunan sa loob ng mga komunidad ng ICC/IP ([RA 8371], Seksyon 18). Ito ay nagpapahintulot sa kanila na ipatupad ang kanilang sariling mga legal na sistema kasama ng"&amp;" mga pambansang batas, na nagsusulong ng sariling pamamahala sa mga panloob na usapin.
**Representasyon at Pakikilahok:**
* Ang IPRA ay nagtatatag ng mga mekanismo para sa representasyon ng ICC/IP sa mga proseso ng gobyerno na nakakaapekto sa kanilang mga"&amp;" karapatan at interes. Kabilang dito ang mga nakareserbang puwesto para sa mga katutubo sa Kapulungan ng mga Kinatawan ([RA 8371], Seksyon 14) at mga mandatoryong konsultasyon sa mga ICC/Katutubong Pamayanan bago ipatupad ang mga proyektong pangkaunlaran "&amp;"sa kanilang mga ninuno. **National Commission on Indigenous Peoples (NCIP):**
* Bagama't hindi isang self-governing body, ang NCIP ay gumaganap ng isang mahalagang papel sa pagsuporta at pagpapadali sa sariling pamamahala ng ICC/IPs. Ginagawa nila ito sa "&amp;"pamamagitan ng:
* Pagtataguyod sa mga karapatan ng ICC/IP at pag-aayos ng mga hindi pagkakaunawaan ([RA 8371], Kabanata VII)
* Pagbibigay ng teknikal na tulong at pagbuo ng kapasidad para sa mga komunidad ng ICC/IP
* Pagsusulong at pagprotekta sa mga katu"&amp;"tubong kultura at tradisyon
**Mga Limitasyon at Hamon:**
* Ang lawak ng sariling pamamahala ay nag-iiba depende sa partikular na komunidad ng ICC/IP at ang kanilang mga kasalukuyang istruktura ng pamamahala.
* Maaaring maging kumplikado ang pagsasama ng m"&amp;"ga kaugalian na batas sa mga pambansang legal na sistema.
* Ang pagtitiyak ng epektibong pakikilahok sa mga pambansang proseso ay nangangailangan ng patuloy na pagsisikap na tulay ang mga puwang sa komunikasyon at bigyang kapangyarihan ang mga ICC/Katutub"&amp;"ong Pamayanan.
**Kabuuan:**
Ang IPRA ay nagbibigay ng balangkas para sa sariling pamamahala ng mga katutubong komunidad sa Pilipinas. Kinikilala nito ang kanilang likas na karapatan sa pagpapasya sa sarili at binibigyang kapangyarihan sila na pamahalaan a"&amp;"ng kanilang sariling mga gawain sa loob ng kanilang mga ninuno. Gayunpaman, ang mga patuloy na hamon ay nangangailangan ng patuloy na pagsisikap na palakasin ang mga mekanismo ng pamamahala sa sarili at tiyakin ang ganap na pakikilahok sa mga pambansang p"&amp;"roseso ng paggawa ng desisyon.")</f>
        <v>Ang Indigenous Peoples' Rights Act (IPRA) ay nagtataguyod ng sariling pamamahala ng mga katutubong komunidad sa Pilipinas sa pamamagitan ng ilang mahahalagang probisyon:
**Pagkilala sa mga Katutubong Istrukturang Pampulitika:**
* Kinikilala ng IPRA ang likas na karapatan ng mga ICC/Katutubong Pamamahala sa sariling pamamahala at pagpapasya sa sarili ([RA 8371], Seksyon 14). Pinapatunayan nito ang kanilang mga tradisyonal na istrukturang pampulitika at mga proseso ng paggawa ng desisyon.
**Mga Karapatan sa Ancestral Domain:**
* Ang pagbibigay ng pagmamay-ari at kontrol sa mga ancestral domain ay nagbibigay ng kapangyarihan sa mga ICC/Katutubong Pamahalaan na pamahalaan ang kanilang mga lupain at mapagkukunan ayon sa kanilang mga nakaugaliang batas at gawi ([RA 8371], Kabanata III). Nagbibigay-daan ito sa kanila na gumawa ng mga desisyon tungkol sa pag-unlad, paggamit ng mapagkukunan, at pangangalaga sa kapaligiran sa loob ng kanilang mga teritoryo.
**Customary Law Recognition:**
* Kinikilala ng IPRA ang bisa ng mga kaugaliang batas na namamahala sa mga karapatan sa ari-arian at mga ugnayang panlipunan sa loob ng mga komunidad ng ICC/IP ([RA 8371], Seksyon 18). Ito ay nagpapahintulot sa kanila na ipatupad ang kanilang sariling mga legal na sistema kasama ng mga pambansang batas, na nagsusulong ng sariling pamamahala sa mga panloob na usapin.
**Representasyon at Pakikilahok:**
* Ang IPRA ay nagtatatag ng mga mekanismo para sa representasyon ng ICC/IP sa mga proseso ng gobyerno na nakakaapekto sa kanilang mga karapatan at interes. Kabilang dito ang mga nakareserbang puwesto para sa mga katutubo sa Kapulungan ng mga Kinatawan ([RA 8371], Seksyon 14) at mga mandatoryong konsultasyon sa mga ICC/Katutubong Pamayanan bago ipatupad ang mga proyektong pangkaunlaran sa kanilang mga ninuno. **National Commission on Indigenous Peoples (NCIP):**
* Bagama't hindi isang self-governing body, ang NCIP ay gumaganap ng isang mahalagang papel sa pagsuporta at pagpapadali sa sariling pamamahala ng ICC/IPs. Ginagawa nila ito sa pamamagitan ng:
* Pagtataguyod sa mga karapatan ng ICC/IP at pag-aayos ng mga hindi pagkakaunawaan ([RA 8371], Kabanata VII)
* Pagbibigay ng teknikal na tulong at pagbuo ng kapasidad para sa mga komunidad ng ICC/IP
* Pagsusulong at pagprotekta sa mga katutubong kultura at tradisyon
**Mga Limitasyon at Hamon:**
* Ang lawak ng sariling pamamahala ay nag-iiba depende sa partikular na komunidad ng ICC/IP at ang kanilang mga kasalukuyang istruktura ng pamamahala.
* Maaaring maging kumplikado ang pagsasama ng mga kaugalian na batas sa mga pambansang legal na sistema.
* Ang pagtitiyak ng epektibong pakikilahok sa mga pambansang proseso ay nangangailangan ng patuloy na pagsisikap na tulay ang mga puwang sa komunikasyon at bigyang kapangyarihan ang mga ICC/Katutubong Pamayanan.
**Kabuuan:**
Ang IPRA ay nagbibigay ng balangkas para sa sariling pamamahala ng mga katutubong komunidad sa Pilipinas. Kinikilala nito ang kanilang likas na karapatan sa pagpapasya sa sarili at binibigyang kapangyarihan sila na pamahalaan ang kanilang sariling mga gawain sa loob ng kanilang mga ninuno. Gayunpaman, ang mga patuloy na hamon ay nangangailangan ng patuloy na pagsisikap na palakasin ang mga mekanismo ng pamamahala sa sarili at tiyakin ang ganap na pakikilahok sa mga pambansang proseso ng paggawa ng desisyon.</v>
      </c>
      <c r="F2818" s="2">
        <f t="shared" si="1"/>
        <v>0</v>
      </c>
      <c r="G2818" s="2"/>
      <c r="H2818" s="2"/>
      <c r="I2818" s="2"/>
      <c r="J2818" s="2"/>
      <c r="K2818" s="2"/>
      <c r="L2818" s="2"/>
      <c r="M2818" s="2"/>
      <c r="N2818" s="2"/>
      <c r="O2818" s="2"/>
      <c r="P2818" s="2"/>
      <c r="Q2818" s="2"/>
      <c r="R2818" s="2"/>
      <c r="S2818" s="2"/>
      <c r="T2818" s="2"/>
      <c r="U2818" s="2"/>
      <c r="V2818" s="2"/>
      <c r="W2818" s="2"/>
      <c r="X2818" s="2"/>
      <c r="Y2818" s="2"/>
      <c r="Z2818" s="2"/>
      <c r="AA2818" s="2"/>
    </row>
    <row r="2819">
      <c r="A2819" s="3" t="s">
        <v>6596</v>
      </c>
      <c r="B2819" s="1" t="s">
        <v>6611</v>
      </c>
      <c r="C2819" s="3" t="s">
        <v>6612</v>
      </c>
      <c r="D2819" s="2" t="str">
        <f>IFERROR(__xludf.DUMMYFUNCTION("GOOGLETRANSLATE(B2819, ""en"", ""TL"")"),"Ano ang mga karapatan ng mga katutubo sa aspeto ng edukasyon at pangangalaga sa kultura ayon sa batas ng Pilipinas?")</f>
        <v>Ano ang mga karapatan ng mga katutubo sa aspeto ng edukasyon at pangangalaga sa kultura ayon sa batas ng Pilipinas?</v>
      </c>
      <c r="E2819" s="2" t="str">
        <f>IFERROR(__xludf.DUMMYFUNCTION("GOOGLETRANSLATE(C2819, ""en"", ""TL"")"),"Ang Konstitusyon ng Pilipinas at ang Indigenous Peoples' Rights Act (IPRA) ay nagtutulungan upang garantiyahan ang mga karapatan ng mga katutubo sa mga tuntunin ng edukasyon at pangangalaga sa kultura. Narito ang isang breakdown ng mga pangunahing punto:
"&amp;"**1. Ang 1987 Konstitusyon ng Pilipinas:**
* **Artikulo XIV, Seksyon 17:** Kinikilala, iginagalang, at pinoprotektahan ng Estado ang mga karapatan ng mga katutubong pamayanang pangkultura (ICC) na pangalagaan at paunlarin ang kanilang mga kultura, tradisy"&amp;"on, at institusyon. Nagtatatag ito ng pundasyon para sa pangangalaga at edukasyon ng kultura na gumagalang sa mga katutubong paraan ng pag-alam at pagkatuto.
* **Artikulo XIV, Seksyon 18(1):** Tinitiyak ng Estado ang pantay na pag-access sa mga kultural n"&amp;"a pagkakataon sa pamamagitan ng sistema ng edukasyon. Tinitiyak nito na ang mga ICC/Katutubong Pamayanan ay may access sa edukasyon na isinasama ang kanilang kultural na pamana.
**2. Batas sa Karapatan ng mga Katutubo (IPRA) - Republic Act No. 8371:**
* *"&amp;"*Kabanata VI - Integridad sa Kultura:** Nakatuon ang kabanatang ito sa pagprotekta at pagtataguyod ng mga katutubong kultura.
* **Seksyon 29:** Kinikilala at pinoprotektahan ang karapatan ng mga ICC/Katutubong Pamayanan na pangalagaan at protektahan ang k"&amp;"anilang kultura, tradisyon, at institusyon.
* **Seksyon 30:** Nagbibigay para sa:
* **Pantay na pag-access sa mga pagkakataong pangkultura sa pamamagitan ng edukasyon:** Ang mga ICC/Katutubong Pamayanan ay may karapatang makakuha ng edukasyon sa kanilang "&amp;"sariling wika at sa pamamagitan ng mga pamamaraang angkop sa kanilang mga kultural na tradisyon. * **Karapatang magtatag at kontrolin ang kanilang mga sistemang pang-edukasyon:** Ang mga ICC/Katutubong Pamayanan ay maaaring bumuo ng kanilang sariling mga "&amp;"sistemang pang-edukasyon na sumasalamin sa kanilang mga kultural na halaga at kaalaman.
**Mga Pangunahing Punto sa Edukasyon at Pagpapanatili ng Kultura:**
* **Tumutok sa Kaugnayan sa Kultura:** Ang edukasyon ay dapat na may kaugnayan sa kultura, kasama a"&amp;"ng mga katutubong wika, mga sistema ng kaalaman, at mga pamamaraan ng pagtuturo.
* **Karapatang Magpasya sa Sarili:** Ang mga ICC/Katutubong Pamayanan ay may karapatang magpasya kung paano pinangangalagaan at naipapasa ang kanilang mga kultura sa pamamagi"&amp;"tan ng edukasyon.
* **Pantay na Pag-access:** Dapat tiyakin ng pamahalaan ang pantay na pag-access sa edukasyon para sa mga ICC/Katutubong Pamayanan, kabilang ang mga pagkakataon para sa mas mataas na edukasyon at pag-aaral sa kultura.
**Mga Hamon at Pags"&amp;"asaalang-alang:**
* **Pagpapatupad:** Ang pagtiyak ng epektibong pagpapatupad ng mga karapatang ito ay nangangailangan ng sapat na mapagkukunan, pagsasanay ng guro, at pakikipagtulungan sa pagitan ng mga ahensya ng gobyerno at mga komunidad ng ICC/IP.
* *"&amp;"*Pagpopondo:** Kailangan ng sapat na pagpopondo upang suportahan ang mga programa sa edukasyon na may kaugnayan sa kultura at mga mapagkukunan para sa mga komunidad ng ICC/IP.
* **Paggalang sa Pagkakaiba-iba:** Ang magkakaibang kultura at pangangailangang"&amp;" pang-edukasyon ng iba't ibang ICC/IP ay kailangang isaalang-alang kapag bumubuo ng mga programang pang-edukasyon.
**Sa Konklusyon:**
Kinikilala ng batas ng Pilipinas ang kahalagahan ng edukasyon at pangangalaga ng kultura para sa mga katutubo. Ang IPRA a"&amp;"y nagbibigay ng balangkas para sa pagtiyak na ang mga ICC/IP ay may access sa edukasyong may kaugnayan sa kultura at makokontrol kung paano naipapasa ang kanilang mga kultura sa pamamagitan ng mga sistemang pang-edukasyon. Gayunpaman, kailangan ang patulo"&amp;"y na pagsisikap upang malampasan ang mga hamon sa pagpapatupad at tiyaking ganap na maisakatuparan ang mga karapatang ito para sa lahat ng katutubong komunidad.")</f>
        <v>Ang Konstitusyon ng Pilipinas at ang Indigenous Peoples' Rights Act (IPRA) ay nagtutulungan upang garantiyahan ang mga karapatan ng mga katutubo sa mga tuntunin ng edukasyon at pangangalaga sa kultura. Narito ang isang breakdown ng mga pangunahing punto:
**1. Ang 1987 Konstitusyon ng Pilipinas:**
* **Artikulo XIV, Seksyon 17:** Kinikilala, iginagalang, at pinoprotektahan ng Estado ang mga karapatan ng mga katutubong pamayanang pangkultura (ICC) na pangalagaan at paunlarin ang kanilang mga kultura, tradisyon, at institusyon. Nagtatatag ito ng pundasyon para sa pangangalaga at edukasyon ng kultura na gumagalang sa mga katutubong paraan ng pag-alam at pagkatuto.
* **Artikulo XIV, Seksyon 18(1):** Tinitiyak ng Estado ang pantay na pag-access sa mga kultural na pagkakataon sa pamamagitan ng sistema ng edukasyon. Tinitiyak nito na ang mga ICC/Katutubong Pamayanan ay may access sa edukasyon na isinasama ang kanilang kultural na pamana.
**2. Batas sa Karapatan ng mga Katutubo (IPRA) - Republic Act No. 8371:**
* **Kabanata VI - Integridad sa Kultura:** Nakatuon ang kabanatang ito sa pagprotekta at pagtataguyod ng mga katutubong kultura.
* **Seksyon 29:** Kinikilala at pinoprotektahan ang karapatan ng mga ICC/Katutubong Pamayanan na pangalagaan at protektahan ang kanilang kultura, tradisyon, at institusyon.
* **Seksyon 30:** Nagbibigay para sa:
* **Pantay na pag-access sa mga pagkakataong pangkultura sa pamamagitan ng edukasyon:** Ang mga ICC/Katutubong Pamayanan ay may karapatang makakuha ng edukasyon sa kanilang sariling wika at sa pamamagitan ng mga pamamaraang angkop sa kanilang mga kultural na tradisyon. * **Karapatang magtatag at kontrolin ang kanilang mga sistemang pang-edukasyon:** Ang mga ICC/Katutubong Pamayanan ay maaaring bumuo ng kanilang sariling mga sistemang pang-edukasyon na sumasalamin sa kanilang mga kultural na halaga at kaalaman.
**Mga Pangunahing Punto sa Edukasyon at Pagpapanatili ng Kultura:**
* **Tumutok sa Kaugnayan sa Kultura:** Ang edukasyon ay dapat na may kaugnayan sa kultura, kasama ang mga katutubong wika, mga sistema ng kaalaman, at mga pamamaraan ng pagtuturo.
* **Karapatang Magpasya sa Sarili:** Ang mga ICC/Katutubong Pamayanan ay may karapatang magpasya kung paano pinangangalagaan at naipapasa ang kanilang mga kultura sa pamamagitan ng edukasyon.
* **Pantay na Pag-access:** Dapat tiyakin ng pamahalaan ang pantay na pag-access sa edukasyon para sa mga ICC/Katutubong Pamayanan, kabilang ang mga pagkakataon para sa mas mataas na edukasyon at pag-aaral sa kultura.
**Mga Hamon at Pagsasaalang-alang:**
* **Pagpapatupad:** Ang pagtiyak ng epektibong pagpapatupad ng mga karapatang ito ay nangangailangan ng sapat na mapagkukunan, pagsasanay ng guro, at pakikipagtulungan sa pagitan ng mga ahensya ng gobyerno at mga komunidad ng ICC/IP.
* **Pagpopondo:** Kailangan ng sapat na pagpopondo upang suportahan ang mga programa sa edukasyon na may kaugnayan sa kultura at mga mapagkukunan para sa mga komunidad ng ICC/IP.
* **Paggalang sa Pagkakaiba-iba:** Ang magkakaibang kultura at pangangailangang pang-edukasyon ng iba't ibang ICC/IP ay kailangang isaalang-alang kapag bumubuo ng mga programang pang-edukasyon.
**Sa Konklusyon:**
Kinikilala ng batas ng Pilipinas ang kahalagahan ng edukasyon at pangangalaga ng kultura para sa mga katutubo. Ang IPRA ay nagbibigay ng balangkas para sa pagtiyak na ang mga ICC/IP ay may access sa edukasyong may kaugnayan sa kultura at makokontrol kung paano naipapasa ang kanilang mga kultura sa pamamagitan ng mga sistemang pang-edukasyon. Gayunpaman, kailangan ang patuloy na pagsisikap upang malampasan ang mga hamon sa pagpapatupad at tiyaking ganap na maisakatuparan ang mga karapatang ito para sa lahat ng katutubong komunidad.</v>
      </c>
      <c r="F2819" s="2">
        <f t="shared" si="1"/>
        <v>0</v>
      </c>
      <c r="G2819" s="2"/>
      <c r="H2819" s="2"/>
      <c r="I2819" s="2"/>
      <c r="J2819" s="2"/>
      <c r="K2819" s="2"/>
      <c r="L2819" s="2"/>
      <c r="M2819" s="2"/>
      <c r="N2819" s="2"/>
      <c r="O2819" s="2"/>
      <c r="P2819" s="2"/>
      <c r="Q2819" s="2"/>
      <c r="R2819" s="2"/>
      <c r="S2819" s="2"/>
      <c r="T2819" s="2"/>
      <c r="U2819" s="2"/>
      <c r="V2819" s="2"/>
      <c r="W2819" s="2"/>
      <c r="X2819" s="2"/>
      <c r="Y2819" s="2"/>
      <c r="Z2819" s="2"/>
      <c r="AA2819" s="2"/>
    </row>
    <row r="2820">
      <c r="A2820" s="3" t="s">
        <v>6596</v>
      </c>
      <c r="B2820" s="1" t="s">
        <v>6613</v>
      </c>
      <c r="C2820" s="3" t="s">
        <v>6614</v>
      </c>
      <c r="D2820" s="2" t="str">
        <f>IFERROR(__xludf.DUMMYFUNCTION("GOOGLETRANSLATE(B2820, ""en"", ""TL"")"),"Paano tinutugunan ng IPRA ang isyu ng pakikilahok ng mga katutubo sa mga proseso ng paggawa ng desisyon na nakakaapekto sa kanilang mga komunidad?")</f>
        <v>Paano tinutugunan ng IPRA ang isyu ng pakikilahok ng mga katutubo sa mga proseso ng paggawa ng desisyon na nakakaapekto sa kanilang mga komunidad?</v>
      </c>
      <c r="E2820" s="2" t="str">
        <f>IFERROR(__xludf.DUMMYFUNCTION("GOOGLETRANSLATE(C2820, ""en"", ""TL"")"),"Kinikilala ng Indigenous Peoples' Rights Act (IPRA) ang kritikal na papel ng mga katutubo sa mga proseso ng paggawa ng desisyon na nakakaapekto sa kanilang mga komunidad. Narito ang isang breakdown ng mga pangunahing mekanismo:
**1. Self-governance at Sel"&amp;"f-Determination:**
* Kinikilala ng IPRA ang likas na karapatan ng mga ICC/Katutubong Pamamahala sa sariling pamamahala at pagpapasya sa sarili ([RA 8371], Seksyon 14). Nagbibigay ito ng kapangyarihan sa kanila na gumawa ng mga desisyon tungkol sa kanilang"&amp;" sariling pag-unlad, mapagkukunan, at tradisyonal na mga kasanayan sa loob ng kanilang mga ninuno.
**2. Delineation at Pamamahala ng Ancestral Domain:**
* Ang mga ICC/Katutubong Pamayanan ay gumaganap ng isang sentral na papel sa pagtukoy at pagtukoy sa m"&amp;"ga hangganan ng kanilang mga ancestral domain ([reference Understanding the indigenous people's rights to their ancestral domain | Inquirer Business, business.inquirer.net]). Tinitiyak nito na maririnig ang kanilang mga boses tungkol sa pamamahala at pagg"&amp;"amit ng kanilang mga lupain at mga mapagkukunan. **3. Libre, Bago at May Kaalaman na Pahintulot (FPIC):**
* Kinikilala ng IPRA ang konsepto ng FPIC, bagama't wala itong partikular na batas na naglalatag ng proseso. Binibigyang-diin ng mga alituntunin ng N"&amp;"CIP ang FPIC bilang isang mahalagang hakbang bago ipatupad ang anumang proyekto sa pagpapaunlad sa loob ng mga ancestral domain ([reference NCIP Administrative Order No. 3, Series of 2010]). Sa pamamagitan ng FPIC, ang mga ICC/Katutubong Pamayanan ay may "&amp;"karapatang mabigyan ng kaalaman, konsultahin, at magbigay ng kanilang pahintulot hinggil sa mga proyektong maaaring makaapekto sa kanilang mga komunidad.
**4. Kinatawan sa Pamahalaan:**
* Ang IPRA ay nagtatatag ng mga mekanismo para sa katutubong represen"&amp;"tasyon sa mga proseso ng gobyerno na nakakaapekto sa kanila. * Ang mga nakareserbang puwesto para sa mga IP sa Kapulungan ng mga Kinatawan ay nagpapahintulot sa kanila na direktang lumahok sa pambansang paggawa ng batas ([RA 8371], Seksyon 14).
* Kinakail"&amp;"angan ang mga mandatoryong konsultasyon sa mga ICC/IP bago ipatupad ang mga batas, patakaran, at programa na nakakaapekto sa kanilang mga karapatan at ancestral domain ([RA 8371], Seksyon 37).
**5. National Commission on Indigenous Peoples (NCIP):**
* Ang"&amp;" NCIP ay kumikilos bilang isang facilitator para sa pakikilahok ng ICC/IP sa paggawa ng desisyon. Ginagawa nila ito sa pamamagitan ng:
* Pagtataguyod sa mga karapatan ng ICC/IP at pagtiyak na ang kanilang mga boses ay maririnig sa mga konsultasyon ([RA 83"&amp;"71], Kabanata VII).
* Pagbibigay ng teknikal na tulong sa mga ICC/IP sa pag-unawa sa mga kumplikadong isyu at paghahanda para sa mga negosasyon.
* Pamamagitan sa mga hindi pagkakaunawaan na maaaring lumitaw sa panahon ng mga proseso ng paggawa ng desisyon"&amp;".
**Mga Hamon at Pagsasaalang-alang:**
* **Epektibong Pagpapatupad:** Ang pagtiyak ng tunay na pakikilahok ay nangangailangan ng pagtagumpayan sa mga agwat sa komunikasyon, kultural na pagkasensitibo, at kawalan ng timbang sa kapangyarihan sa pagitan ng m"&amp;"ga ICC/IP at mga katawan ng pamahalaan.
* **Pagbuo ng Kapasidad:** Ang pagbibigay kapangyarihan sa mga ICC/IP sa pamamagitan ng mga programa sa pagbuo ng kapasidad ay maaaring mapahusay ang kanilang kakayahan na epektibong lumahok sa mga proseso ng paggaw"&amp;"a ng desisyon.
* **Paggalang sa Pagkakaiba-iba:** Ang magkakaibang istrukturang pampulitika at mga proseso ng paggawa ng desisyon ng iba't ibang komunidad ng ICC/IP ay nangangailangan ng mga flexible approach upang matiyak ang kanilang makabuluhang partis"&amp;"ipasyon. **Kabuuan:**
Ang IPRA ay nagtatatag ng isang balangkas para sa katutubong pakikilahok sa paggawa ng desisyon. Gayunpaman, ang patuloy na pagsisikap ay kailangan upang tulay ang mga puwang sa komunikasyon, palakasin ang mga kapasidad ng ICC/IP, at"&amp;" matiyak na ang kanilang mga boses ay tunay na isinasaalang-alang sa mga prosesong nakakaapekto sa kanilang buhay at kapakanan.")</f>
        <v>Kinikilala ng Indigenous Peoples' Rights Act (IPRA) ang kritikal na papel ng mga katutubo sa mga proseso ng paggawa ng desisyon na nakakaapekto sa kanilang mga komunidad. Narito ang isang breakdown ng mga pangunahing mekanismo:
**1. Self-governance at Self-Determination:**
* Kinikilala ng IPRA ang likas na karapatan ng mga ICC/Katutubong Pamamahala sa sariling pamamahala at pagpapasya sa sarili ([RA 8371], Seksyon 14). Nagbibigay ito ng kapangyarihan sa kanila na gumawa ng mga desisyon tungkol sa kanilang sariling pag-unlad, mapagkukunan, at tradisyonal na mga kasanayan sa loob ng kanilang mga ninuno.
**2. Delineation at Pamamahala ng Ancestral Domain:**
* Ang mga ICC/Katutubong Pamayanan ay gumaganap ng isang sentral na papel sa pagtukoy at pagtukoy sa mga hangganan ng kanilang mga ancestral domain ([reference Understanding the indigenous people's rights to their ancestral domain | Inquirer Business, business.inquirer.net]). Tinitiyak nito na maririnig ang kanilang mga boses tungkol sa pamamahala at paggamit ng kanilang mga lupain at mga mapagkukunan. **3. Libre, Bago at May Kaalaman na Pahintulot (FPIC):**
* Kinikilala ng IPRA ang konsepto ng FPIC, bagama't wala itong partikular na batas na naglalatag ng proseso. Binibigyang-diin ng mga alituntunin ng NCIP ang FPIC bilang isang mahalagang hakbang bago ipatupad ang anumang proyekto sa pagpapaunlad sa loob ng mga ancestral domain ([reference NCIP Administrative Order No. 3, Series of 2010]). Sa pamamagitan ng FPIC, ang mga ICC/Katutubong Pamayanan ay may karapatang mabigyan ng kaalaman, konsultahin, at magbigay ng kanilang pahintulot hinggil sa mga proyektong maaaring makaapekto sa kanilang mga komunidad.
**4. Kinatawan sa Pamahalaan:**
* Ang IPRA ay nagtatatag ng mga mekanismo para sa katutubong representasyon sa mga proseso ng gobyerno na nakakaapekto sa kanila. * Ang mga nakareserbang puwesto para sa mga IP sa Kapulungan ng mga Kinatawan ay nagpapahintulot sa kanila na direktang lumahok sa pambansang paggawa ng batas ([RA 8371], Seksyon 14).
* Kinakailangan ang mga mandatoryong konsultasyon sa mga ICC/IP bago ipatupad ang mga batas, patakaran, at programa na nakakaapekto sa kanilang mga karapatan at ancestral domain ([RA 8371], Seksyon 37).
**5. National Commission on Indigenous Peoples (NCIP):**
* Ang NCIP ay kumikilos bilang isang facilitator para sa pakikilahok ng ICC/IP sa paggawa ng desisyon. Ginagawa nila ito sa pamamagitan ng:
* Pagtataguyod sa mga karapatan ng ICC/IP at pagtiyak na ang kanilang mga boses ay maririnig sa mga konsultasyon ([RA 8371], Kabanata VII).
* Pagbibigay ng teknikal na tulong sa mga ICC/IP sa pag-unawa sa mga kumplikadong isyu at paghahanda para sa mga negosasyon.
* Pamamagitan sa mga hindi pagkakaunawaan na maaaring lumitaw sa panahon ng mga proseso ng paggawa ng desisyon.
**Mga Hamon at Pagsasaalang-alang:**
* **Epektibong Pagpapatupad:** Ang pagtiyak ng tunay na pakikilahok ay nangangailangan ng pagtagumpayan sa mga agwat sa komunikasyon, kultural na pagkasensitibo, at kawalan ng timbang sa kapangyarihan sa pagitan ng mga ICC/IP at mga katawan ng pamahalaan.
* **Pagbuo ng Kapasidad:** Ang pagbibigay kapangyarihan sa mga ICC/IP sa pamamagitan ng mga programa sa pagbuo ng kapasidad ay maaaring mapahusay ang kanilang kakayahan na epektibong lumahok sa mga proseso ng paggawa ng desisyon.
* **Paggalang sa Pagkakaiba-iba:** Ang magkakaibang istrukturang pampulitika at mga proseso ng paggawa ng desisyon ng iba't ibang komunidad ng ICC/IP ay nangangailangan ng mga flexible approach upang matiyak ang kanilang makabuluhang partisipasyon. **Kabuuan:**
Ang IPRA ay nagtatatag ng isang balangkas para sa katutubong pakikilahok sa paggawa ng desisyon. Gayunpaman, ang patuloy na pagsisikap ay kailangan upang tulay ang mga puwang sa komunikasyon, palakasin ang mga kapasidad ng ICC/IP, at matiyak na ang kanilang mga boses ay tunay na isinasaalang-alang sa mga prosesong nakakaapekto sa kanilang buhay at kapakanan.</v>
      </c>
      <c r="F2820" s="2">
        <f t="shared" si="1"/>
        <v>0</v>
      </c>
      <c r="G2820" s="2"/>
      <c r="H2820" s="2"/>
      <c r="I2820" s="2"/>
      <c r="J2820" s="2"/>
      <c r="K2820" s="2"/>
      <c r="L2820" s="2"/>
      <c r="M2820" s="2"/>
      <c r="N2820" s="2"/>
      <c r="O2820" s="2"/>
      <c r="P2820" s="2"/>
      <c r="Q2820" s="2"/>
      <c r="R2820" s="2"/>
      <c r="S2820" s="2"/>
      <c r="T2820" s="2"/>
      <c r="U2820" s="2"/>
      <c r="V2820" s="2"/>
      <c r="W2820" s="2"/>
      <c r="X2820" s="2"/>
      <c r="Y2820" s="2"/>
      <c r="Z2820" s="2"/>
      <c r="AA2820" s="2"/>
    </row>
    <row r="2821">
      <c r="A2821" s="3" t="s">
        <v>6596</v>
      </c>
      <c r="B2821" s="1" t="s">
        <v>6615</v>
      </c>
      <c r="C2821" s="3" t="s">
        <v>6616</v>
      </c>
      <c r="D2821" s="2" t="str">
        <f>IFERROR(__xludf.DUMMYFUNCTION("GOOGLETRANSLATE(B2821, ""en"", ""TL"")"),"Ano ang mga mekanismo para sa paglutas ng mga hindi pagkakaunawaan sa loob ng mga katutubong komunidad sa ilalim ng IPRA?")</f>
        <v>Ano ang mga mekanismo para sa paglutas ng mga hindi pagkakaunawaan sa loob ng mga katutubong komunidad sa ilalim ng IPRA?</v>
      </c>
      <c r="E2821" s="2" t="str">
        <f>IFERROR(__xludf.DUMMYFUNCTION("GOOGLETRANSLATE(C2821, ""en"", ""TL"")"),"Ang Indigenous Peoples' Rights Act (IPRA) ay inuuna ang pagresolba ng mga hindi pagkakaunawaan sa loob ng mga katutubong komunidad sa pamamagitan ng mga kaugaliang batas at tradisyonal na mekanismo ([RA 8371], Seksyon 8.d). Narito ang isang breakdown kung"&amp;" paano nilalapitan ng IPRA ang paglutas ng hindi pagkakaunawaan para sa mga ICC/IP:
**1. Pagbibigay-diin sa Customary Law:**
* Kinikilala ng IPRA ang bisa ng mga kaugaliang batas sa paglutas ng mga hindi pagkakaunawaan na may kaugnayan sa mga karapatan sa"&amp;" ari-arian, mana, at iba pang mga bagay sa loob ng mga ancestral domain ([RA 8371], Seksyon 18). Nagbibigay ito ng kapangyarihan sa mga komunidad na gamitin ang kanilang tradisyonal na mga proseso sa paglutas ng salungatan.
**2. Tungkulin ng mga Matatanda"&amp;" at Tradisyonal na Pinuno:**
* Ang paglutas ng hindi pagkakaunawaan ay kadalasang kinasasangkutan ng mga nakatatanda, tradisyonal na pinuno, o mga iginagalang na indibidwal sa loob ng komunidad na nagsisilbing mga tagapamagitan at facilitator batay sa mga"&amp;" nakaugaliang batas at gawi.
**3. Ang Papel ng National Commission on Indigenous Peoples (NCIP):**
* Itinatag ng IPRA ang NCIP bilang pangunahing manlalaro sa pagpapadali sa paglutas ng hindi pagkakaunawaan para sa mga ICC/IP ([RA 8371], Kabanata VII). * "&amp;"**Mediation at Conciliation:** Ang NCIP ay nagbibigay-priyoridad sa pamamagitan ng mga hindi pagkakaunawaan at pagpapadali sa mga pag-aayos batay sa mga nakagawiang batas at mga tuntuning pinagkasunduang dalawa. * **Paggalang sa Mga Customary na Proseso:*"&amp;"* Iginagalang ng NCIP ang awtonomiya ng mga ICC/IP at iniiwasan ang pagpapataw ng mga panlabas na solusyon sa kanilang mga hindi pagkakaunawaan.
**4. Amicable Settlement and Court System (bilang huling paraan):**
* Binabalangkas ng IPRA ang mga alternatib"&amp;"ong opsyon kung nabigo ang paglutas ng nakagawiang batas. * Maaaring subukan ng mga partido na ayusin ang mga hindi pagkakaunawaan nang maayos sa pamamagitan ng mga negosasyon sa tulong ng NCIP.
* Kung hindi gagana ang maayos na pag-aayos, magiging opsyon"&amp;" ang legal na sistema, ngunit bilang huling paraan lamang pagkatapos maubos ang lahat ng pagsisikap upang malutas ang hindi pagkakaunawaan sa loob ng komunidad o sa pamamagitan ng NCIP. **Mga Pakinabang ng Customary Law-Based Resolution:**
* **Angkop sa K"&amp;"ultura:** Ang paggamit ng mga nakaugaliang batas ay nagsisiguro na ang mga hindi pagkakaunawaan ay nareresolba sa paraang isinasaalang-alang ang mga tradisyonal na halaga at gawi.
* **Mga Solusyon na Batay sa Komunidad:** Nagbibigay ng kapangyarihan sa mg"&amp;"a komunidad na makahanap ng mga solusyon na nauugnay sa kanilang partikular na konteksto at panlipunang tela.
* **Nagtataguyod ng Pagkakasundo:** Nakatuon sa pagpapanumbalik ng pagkakaisa sa loob ng komunidad sa halip na sa parusa lamang.
**Mga Hamon at P"&amp;"agsasaalang-alang:**
* **Limitadong Saklaw:** Maaaring hindi tugunan ng mga kaugalian na batas ang lahat ng kontemporaryong isyu na kinakaharap ng mga komunidad.
* **Power Dynamics:** Ang pagtiyak ng pagiging patas ay nangangailangan ng pagbabantay laban "&amp;"sa mga kawalan ng timbang sa kapangyarihan sa loob ng mga komunidad.
* **Pag-access sa Hustisya:** Ang mga ICC/Katutubong Pamayanan ay dapat pa ring magkaroon ng access sa pambansang legal na sistema para sa mabibigat na pagkakasala na lampas sa saklaw ng"&amp;" nakagawiang batas. **Konklusyon:**
Ang IPRA ay inuuna ang pagresolba sa mga hindi pagkakaunawaan sa loob ng mga katutubong komunidad sa pamamagitan ng kaugaliang batas at tradisyonal na mga mekanismo. Ang NCIP ay gumaganap ng isang mahalagang papel sa pa"&amp;"gpapadali ng pamamagitan at pagtataguyod ng awtonomiya ng mga ICC/IP sa paglutas ng salungatan. Gayunpaman, kailangan ang patuloy na pagsisikap upang matugunan ang mga limitasyon at matiyak ang pagiging patas sa loob ng mga nakagawiang proseso, habang gin"&amp;"agarantiyahan pa rin ang pag-access sa pambansang sistema ng hustisya kung kinakailangan.")</f>
        <v>Ang Indigenous Peoples' Rights Act (IPRA) ay inuuna ang pagresolba ng mga hindi pagkakaunawaan sa loob ng mga katutubong komunidad sa pamamagitan ng mga kaugaliang batas at tradisyonal na mekanismo ([RA 8371], Seksyon 8.d). Narito ang isang breakdown kung paano nilalapitan ng IPRA ang paglutas ng hindi pagkakaunawaan para sa mga ICC/IP:
**1. Pagbibigay-diin sa Customary Law:**
* Kinikilala ng IPRA ang bisa ng mga kaugaliang batas sa paglutas ng mga hindi pagkakaunawaan na may kaugnayan sa mga karapatan sa ari-arian, mana, at iba pang mga bagay sa loob ng mga ancestral domain ([RA 8371], Seksyon 18). Nagbibigay ito ng kapangyarihan sa mga komunidad na gamitin ang kanilang tradisyonal na mga proseso sa paglutas ng salungatan.
**2. Tungkulin ng mga Matatanda at Tradisyonal na Pinuno:**
* Ang paglutas ng hindi pagkakaunawaan ay kadalasang kinasasangkutan ng mga nakatatanda, tradisyonal na pinuno, o mga iginagalang na indibidwal sa loob ng komunidad na nagsisilbing mga tagapamagitan at facilitator batay sa mga nakaugaliang batas at gawi.
**3. Ang Papel ng National Commission on Indigenous Peoples (NCIP):**
* Itinatag ng IPRA ang NCIP bilang pangunahing manlalaro sa pagpapadali sa paglutas ng hindi pagkakaunawaan para sa mga ICC/IP ([RA 8371], Kabanata VII). * **Mediation at Conciliation:** Ang NCIP ay nagbibigay-priyoridad sa pamamagitan ng mga hindi pagkakaunawaan at pagpapadali sa mga pag-aayos batay sa mga nakagawiang batas at mga tuntuning pinagkasunduang dalawa. * **Paggalang sa Mga Customary na Proseso:** Iginagalang ng NCIP ang awtonomiya ng mga ICC/IP at iniiwasan ang pagpapataw ng mga panlabas na solusyon sa kanilang mga hindi pagkakaunawaan.
**4. Amicable Settlement and Court System (bilang huling paraan):**
* Binabalangkas ng IPRA ang mga alternatibong opsyon kung nabigo ang paglutas ng nakagawiang batas. * Maaaring subukan ng mga partido na ayusin ang mga hindi pagkakaunawaan nang maayos sa pamamagitan ng mga negosasyon sa tulong ng NCIP.
* Kung hindi gagana ang maayos na pag-aayos, magiging opsyon ang legal na sistema, ngunit bilang huling paraan lamang pagkatapos maubos ang lahat ng pagsisikap upang malutas ang hindi pagkakaunawaan sa loob ng komunidad o sa pamamagitan ng NCIP. **Mga Pakinabang ng Customary Law-Based Resolution:**
* **Angkop sa Kultura:** Ang paggamit ng mga nakaugaliang batas ay nagsisiguro na ang mga hindi pagkakaunawaan ay nareresolba sa paraang isinasaalang-alang ang mga tradisyonal na halaga at gawi.
* **Mga Solusyon na Batay sa Komunidad:** Nagbibigay ng kapangyarihan sa mga komunidad na makahanap ng mga solusyon na nauugnay sa kanilang partikular na konteksto at panlipunang tela.
* **Nagtataguyod ng Pagkakasundo:** Nakatuon sa pagpapanumbalik ng pagkakaisa sa loob ng komunidad sa halip na sa parusa lamang.
**Mga Hamon at Pagsasaalang-alang:**
* **Limitadong Saklaw:** Maaaring hindi tugunan ng mga kaugalian na batas ang lahat ng kontemporaryong isyu na kinakaharap ng mga komunidad.
* **Power Dynamics:** Ang pagtiyak ng pagiging patas ay nangangailangan ng pagbabantay laban sa mga kawalan ng timbang sa kapangyarihan sa loob ng mga komunidad.
* **Pag-access sa Hustisya:** Ang mga ICC/Katutubong Pamayanan ay dapat pa ring magkaroon ng access sa pambansang legal na sistema para sa mabibigat na pagkakasala na lampas sa saklaw ng nakagawiang batas. **Konklusyon:**
Ang IPRA ay inuuna ang pagresolba sa mga hindi pagkakaunawaan sa loob ng mga katutubong komunidad sa pamamagitan ng kaugaliang batas at tradisyonal na mga mekanismo. Ang NCIP ay gumaganap ng isang mahalagang papel sa pagpapadali ng pamamagitan at pagtataguyod ng awtonomiya ng mga ICC/IP sa paglutas ng salungatan. Gayunpaman, kailangan ang patuloy na pagsisikap upang matugunan ang mga limitasyon at matiyak ang pagiging patas sa loob ng mga nakagawiang proseso, habang ginagarantiyahan pa rin ang pag-access sa pambansang sistema ng hustisya kung kinakailangan.</v>
      </c>
      <c r="F2821" s="2">
        <f t="shared" si="1"/>
        <v>0</v>
      </c>
      <c r="G2821" s="2"/>
      <c r="H2821" s="2"/>
      <c r="I2821" s="2"/>
      <c r="J2821" s="2"/>
      <c r="K2821" s="2"/>
      <c r="L2821" s="2"/>
      <c r="M2821" s="2"/>
      <c r="N2821" s="2"/>
      <c r="O2821" s="2"/>
      <c r="P2821" s="2"/>
      <c r="Q2821" s="2"/>
      <c r="R2821" s="2"/>
      <c r="S2821" s="2"/>
      <c r="T2821" s="2"/>
      <c r="U2821" s="2"/>
      <c r="V2821" s="2"/>
      <c r="W2821" s="2"/>
      <c r="X2821" s="2"/>
      <c r="Y2821" s="2"/>
      <c r="Z2821" s="2"/>
      <c r="AA2821" s="2"/>
    </row>
    <row r="2822">
      <c r="A2822" s="3" t="s">
        <v>6596</v>
      </c>
      <c r="B2822" s="1" t="s">
        <v>6617</v>
      </c>
      <c r="C2822" s="3" t="s">
        <v>6618</v>
      </c>
      <c r="D2822" s="2" t="str">
        <f>IFERROR(__xludf.DUMMYFUNCTION("GOOGLETRANSLATE(B2822, ""en"", ""TL"")"),"Ano ang kahalagahan ng Konstitusyon ng Pilipinas sa sistemang legal?")</f>
        <v>Ano ang kahalagahan ng Konstitusyon ng Pilipinas sa sistemang legal?</v>
      </c>
      <c r="E2822" s="2" t="str">
        <f>IFERROR(__xludf.DUMMYFUNCTION("GOOGLETRANSLATE(C2822, ""en"", ""TL"")"),"Ang Konstitusyon ng Pilipinas ng 1987 ay ang **supreme law of the land** sa Pilipinas. Sinasakop nito ang **pinakamataas na posisyon** sa loob ng hierarchy ng mga batas ng Pilipinas. Narito kung bakit ito ay napakahalaga:
* **Foundation for All Laws:** An"&amp;"g Konstitusyon ay nagsisilbing **pundasyon** kung saan nakabatay ang lahat ng iba pang batas sa Pilipinas. Anumang batas na sumasalungat sa Konstitusyon ay itinuturing na **di-wasto**.
* **Paggarantiya ng Mga Pangunahing Karapatan:** Tinutukoy ng Konstitu"&amp;"syon ang **pangunahing karapatan** ng mga mamamayang Pilipino, kabilang ang kalayaan sa pagsasalita, relihiyon, at pagpupulong. Nagtatatag ito ng balangkas upang protektahan ang mga karapatang ito at tiyakin ang isang makatarungan at makataong lipunan. * "&amp;"**Istruktura ng Pamahalaan:** Binabalangkas ng Konstitusyon ang **istruktura ng pamahalaan ng Pilipinas**. Tinutukoy nito ang **tatlong sangay** (Executive, Legislative, at Judiciary) at nagtatatag ng isang sistema ng checks and balances upang pigilan ang"&amp;" alinmang sangay na maging masyadong makapangyarihan.
* **Mga Prinsipyo ng Pamamahala:** Ang Konstitusyon ay nagtataglay ng **mga prinsipyo ng pamamahala** gaya ng demokrasya, republikanismo, at paghihiwalay ng mga kapangyarihan. Ang mga prinsipyong ito a"&amp;"y gumagabay sa kung paano pinapatakbo at itinataguyod ng pamahalaan ang tuntunin ng batas.
* **Pagsususog sa Konstitusyon:** Ang Konstitusyon mismo ay nagtatatag ng **proseso para sa mga pagbabago**. Tinitiyak nito na ang dokumento ay maaaring umunlad upa"&amp;"ng matugunan ang mga nagbabagong pangangailangan ng bansa habang pinapanatili ang mga pangunahing prinsipyo nito.
**Narito ang isang pagkakatulad:** Isipin ang Konstitusyon ng Pilipinas bilang **blueprint** para sa bansa. Tinutukoy nito ang mga pundasyon,"&amp;" pader, at istruktura ng sistemang legal at pamahalaan ng Pilipinas. Ang lahat ng iba pang mga batas ay dapat sumunod sa blueprint na ito upang matiyak ang isang matatag at makatarungang lipunan.")</f>
        <v>Ang Konstitusyon ng Pilipinas ng 1987 ay ang **supreme law of the land** sa Pilipinas. Sinasakop nito ang **pinakamataas na posisyon** sa loob ng hierarchy ng mga batas ng Pilipinas. Narito kung bakit ito ay napakahalaga:
* **Foundation for All Laws:** Ang Konstitusyon ay nagsisilbing **pundasyon** kung saan nakabatay ang lahat ng iba pang batas sa Pilipinas. Anumang batas na sumasalungat sa Konstitusyon ay itinuturing na **di-wasto**.
* **Paggarantiya ng Mga Pangunahing Karapatan:** Tinutukoy ng Konstitusyon ang **pangunahing karapatan** ng mga mamamayang Pilipino, kabilang ang kalayaan sa pagsasalita, relihiyon, at pagpupulong. Nagtatatag ito ng balangkas upang protektahan ang mga karapatang ito at tiyakin ang isang makatarungan at makataong lipunan. * **Istruktura ng Pamahalaan:** Binabalangkas ng Konstitusyon ang **istruktura ng pamahalaan ng Pilipinas**. Tinutukoy nito ang **tatlong sangay** (Executive, Legislative, at Judiciary) at nagtatatag ng isang sistema ng checks and balances upang pigilan ang alinmang sangay na maging masyadong makapangyarihan.
* **Mga Prinsipyo ng Pamamahala:** Ang Konstitusyon ay nagtataglay ng **mga prinsipyo ng pamamahala** gaya ng demokrasya, republikanismo, at paghihiwalay ng mga kapangyarihan. Ang mga prinsipyong ito ay gumagabay sa kung paano pinapatakbo at itinataguyod ng pamahalaan ang tuntunin ng batas.
* **Pagsususog sa Konstitusyon:** Ang Konstitusyon mismo ay nagtatatag ng **proseso para sa mga pagbabago**. Tinitiyak nito na ang dokumento ay maaaring umunlad upang matugunan ang mga nagbabagong pangangailangan ng bansa habang pinapanatili ang mga pangunahing prinsipyo nito.
**Narito ang isang pagkakatulad:** Isipin ang Konstitusyon ng Pilipinas bilang **blueprint** para sa bansa. Tinutukoy nito ang mga pundasyon, pader, at istruktura ng sistemang legal at pamahalaan ng Pilipinas. Ang lahat ng iba pang mga batas ay dapat sumunod sa blueprint na ito upang matiyak ang isang matatag at makatarungang lipunan.</v>
      </c>
      <c r="F2822" s="2">
        <f t="shared" si="1"/>
        <v>0</v>
      </c>
      <c r="G2822" s="2"/>
      <c r="H2822" s="2"/>
      <c r="I2822" s="2"/>
      <c r="J2822" s="2"/>
      <c r="K2822" s="2"/>
      <c r="L2822" s="2"/>
      <c r="M2822" s="2"/>
      <c r="N2822" s="2"/>
      <c r="O2822" s="2"/>
      <c r="P2822" s="2"/>
      <c r="Q2822" s="2"/>
      <c r="R2822" s="2"/>
      <c r="S2822" s="2"/>
      <c r="T2822" s="2"/>
      <c r="U2822" s="2"/>
      <c r="V2822" s="2"/>
      <c r="W2822" s="2"/>
      <c r="X2822" s="2"/>
      <c r="Y2822" s="2"/>
      <c r="Z2822" s="2"/>
      <c r="AA2822" s="2"/>
    </row>
    <row r="2823">
      <c r="A2823" s="3" t="s">
        <v>6596</v>
      </c>
      <c r="B2823" s="3" t="s">
        <v>6619</v>
      </c>
      <c r="C2823" s="3" t="s">
        <v>6620</v>
      </c>
      <c r="D2823" s="2" t="str">
        <f>IFERROR(__xludf.DUMMYFUNCTION("GOOGLETRANSLATE(B2823, ""en"", ""TL"")"),"Paano tinutugunan ng sistemang legal ng Pilipinas ang proteksyon ng mga karapatan ng mga katutubo sa kanilang mga ninuno sa harap ng mga proyektong pangkaunlaran na pinasimulan ng mga pribadong entidad o ng gobyerno?")</f>
        <v>Paano tinutugunan ng sistemang legal ng Pilipinas ang proteksyon ng mga karapatan ng mga katutubo sa kanilang mga ninuno sa harap ng mga proyektong pangkaunlaran na pinasimulan ng mga pribadong entidad o ng gobyerno?</v>
      </c>
      <c r="E2823" s="2" t="str">
        <f>IFERROR(__xludf.DUMMYFUNCTION("GOOGLETRANSLATE(C2823, ""en"", ""TL"")"),"Tinutugunan ng sistemang legal ng Pilipinas ang proteksyon ng mga karapatan ng mga katutubo sa kanilang mga ninuno sa harap ng mga proyektong pangkaunlaran sa pamamagitan ng kumbinasyon ng Konstitusyon ng Pilipinas at Republic Act No. 8371, na kilala rin "&amp;"bilang Indigenous Peoples' Rights Act (IPRA). Narito ang isang breakdown ng mga pangunahing mekanismo:
**1. Pagkilala sa Mga Karapatan ng Ancestral Domain:**
* Kinikilala ng 1987 Konstitusyon ng Pilipinas ang mga karapatan ng mga katutubong pamayanang kul"&amp;"tural/katutubo (ICCs/Katutubong Pamayanan) sa kanilang mga ninuno ([Konstitusyon], Artikulo XIV, Seksyon 17).
* Itinayo ito ng IPRA sa pamamagitan ng pagkilala at pagprotekta sa mga karapatan ng mga ICC/Katutubong Pamayanan sa pagmamay-ari at kontrol sa k"&amp;"anilang mga ancestral domain ([RA 8371], Kabanata III). Nagtatatag ito ng legal na pundasyon para sa kanilang mga pag-aangkin sa lupa.
**2. Libre, Bago at May Kaalaman na Pahintulot (FPIC):**
* Habang ang IPRA ay walang partikular na batas na nagbabalangk"&amp;"as sa proseso ng FPIC, kinikilala nito ang konsepto ([RA 8371], Seksyon 2). Binibigyang-diin ng mga alituntunin ng NCIP ang FPIC bilang isang mahalagang hakbang bago ang mga proyekto sa pagpapaunlad ([sanggunian NCIP Administrative Order No. 3, Series of "&amp;"2010]). Ang mga ICC/IP ay may karapatang mabigyan ng kaalaman tungkol sa mga iminungkahing proyekto, maunawaan ang mga potensyal na epekto, at malayang magbigay ng kanilang pahintulot bago magpatuloy ang mga proyekto sa loob ng kanilang mga ninuno.
**3. A"&amp;"ncestral Domain Sustainable Development and Protection Plan (ADSDPP):**
* Ang mga ICC/Katutubong Pamayanan ay may tungkulin sa paghubog ng pag-unlad sa loob ng kanilang mga ancestral domain. Kinakailangan ng IPRA ang pagbuo ng isang ADSDP na nagbabalangka"&amp;"s kung paano pinaplano ng komunidad na pangasiwaan at gamitin ang kanilang lupain nang mapanatili ([RA 8371], Seksyon 40). **4. National Commission on Indigenous Peoples (NCIP):**
* Ang NCIP ay gumaganap ng isang mahalagang papel sa pagprotekta sa mga kar"&amp;"apatan ng mga ICC/Katutubong Pamayanan sa panahon ng mga proyektong pangkaunlaran. Pinapadali nila ang mga konsultasyon sa mga ICC/Katutubong Pamayanan, tinitiyak ang pagsunod sa mga prinsipyo ng FPIC, at namamagitan sa anumang mga hindi pagkakaunawaan na"&amp;" maaaring lumitaw ([RA 8371], Kabanata VII).
**5. Mga Legal na Hamon at Pagpapatupad:**
* Maaaring kailanganin ng mga katutubong komunidad na magsagawa ng legal na aksyon kung ang kanilang mga karapatan ay nilabag sa panahon ng mga proyektong pangkaunlara"&amp;"n. * Ang legal na proseso ay maaaring kumplikado, at ang pag-access sa legal na representasyon ay maaaring maging isang hamon para sa maraming ICC/IP.
**Mga Hamon at Gaps:**
* **Balanse sa Pagitan ng Pag-unlad at Mga Karapatan:** Nananatiling isang hamon "&amp;"ang pagkakaroon ng balanse sa pagitan ng mga pangangailangan sa pagpapaunlad ng ekonomiya at pagprotekta sa mga karapatang katutubo.
* **Mga Limitadong Mapagkukunan:** Maaaring kulang ang NCIP ng mga mapagkukunan upang mabisang masubaybayan ang mga proyek"&amp;"to sa pagpapaunlad at matiyak ang pagsunod sa IPRA. * **Backlog sa Pag-aangkin sa Lupaing Ninuno:** Ang proseso ng pagkilala at pagtitulo sa mga ancestral domain ay maaaring maging mabagal at masalimuot, na nag-iiwan sa ilang ICC/IP na mahina sa panahon n"&amp;"g mga proyektong pang-develop.
**Konklusyon:**
Ang sistemang legal ng Pilipinas ay nag-aalok ng balangkas para sa pagprotekta sa mga karapatan ng mga katutubo sa kanilang mga ninuno sa panahon ng mga proyektong pangkaunlaran. Gayunpaman, kailangan ang pat"&amp;"uloy na pagsisikap upang palakasin ang mga mekanismo ng pagpapatupad, pagbutihin ang pag-access sa mga legal na mapagkukunan para sa mga ICC/IP, at matiyak na ang FPIC ay isinasagawa nang makabuluhan at sa paraang iginagalang ang mga katutubong kultura at"&amp;" proseso ng paggawa ng desisyon.")</f>
        <v>Tinutugunan ng sistemang legal ng Pilipinas ang proteksyon ng mga karapatan ng mga katutubo sa kanilang mga ninuno sa harap ng mga proyektong pangkaunlaran sa pamamagitan ng kumbinasyon ng Konstitusyon ng Pilipinas at Republic Act No. 8371, na kilala rin bilang Indigenous Peoples' Rights Act (IPRA). Narito ang isang breakdown ng mga pangunahing mekanismo:
**1. Pagkilala sa Mga Karapatan ng Ancestral Domain:**
* Kinikilala ng 1987 Konstitusyon ng Pilipinas ang mga karapatan ng mga katutubong pamayanang kultural/katutubo (ICCs/Katutubong Pamayanan) sa kanilang mga ninuno ([Konstitusyon], Artikulo XIV, Seksyon 17).
* Itinayo ito ng IPRA sa pamamagitan ng pagkilala at pagprotekta sa mga karapatan ng mga ICC/Katutubong Pamayanan sa pagmamay-ari at kontrol sa kanilang mga ancestral domain ([RA 8371], Kabanata III). Nagtatatag ito ng legal na pundasyon para sa kanilang mga pag-aangkin sa lupa.
**2. Libre, Bago at May Kaalaman na Pahintulot (FPIC):**
* Habang ang IPRA ay walang partikular na batas na nagbabalangkas sa proseso ng FPIC, kinikilala nito ang konsepto ([RA 8371], Seksyon 2). Binibigyang-diin ng mga alituntunin ng NCIP ang FPIC bilang isang mahalagang hakbang bago ang mga proyekto sa pagpapaunlad ([sanggunian NCIP Administrative Order No. 3, Series of 2010]). Ang mga ICC/IP ay may karapatang mabigyan ng kaalaman tungkol sa mga iminungkahing proyekto, maunawaan ang mga potensyal na epekto, at malayang magbigay ng kanilang pahintulot bago magpatuloy ang mga proyekto sa loob ng kanilang mga ninuno.
**3. Ancestral Domain Sustainable Development and Protection Plan (ADSDPP):**
* Ang mga ICC/Katutubong Pamayanan ay may tungkulin sa paghubog ng pag-unlad sa loob ng kanilang mga ancestral domain. Kinakailangan ng IPRA ang pagbuo ng isang ADSDP na nagbabalangkas kung paano pinaplano ng komunidad na pangasiwaan at gamitin ang kanilang lupain nang mapanatili ([RA 8371], Seksyon 40). **4. National Commission on Indigenous Peoples (NCIP):**
* Ang NCIP ay gumaganap ng isang mahalagang papel sa pagprotekta sa mga karapatan ng mga ICC/Katutubong Pamayanan sa panahon ng mga proyektong pangkaunlaran. Pinapadali nila ang mga konsultasyon sa mga ICC/Katutubong Pamayanan, tinitiyak ang pagsunod sa mga prinsipyo ng FPIC, at namamagitan sa anumang mga hindi pagkakaunawaan na maaaring lumitaw ([RA 8371], Kabanata VII).
**5. Mga Legal na Hamon at Pagpapatupad:**
* Maaaring kailanganin ng mga katutubong komunidad na magsagawa ng legal na aksyon kung ang kanilang mga karapatan ay nilabag sa panahon ng mga proyektong pangkaunlaran. * Ang legal na proseso ay maaaring kumplikado, at ang pag-access sa legal na representasyon ay maaaring maging isang hamon para sa maraming ICC/IP.
**Mga Hamon at Gaps:**
* **Balanse sa Pagitan ng Pag-unlad at Mga Karapatan:** Nananatiling isang hamon ang pagkakaroon ng balanse sa pagitan ng mga pangangailangan sa pagpapaunlad ng ekonomiya at pagprotekta sa mga karapatang katutubo.
* **Mga Limitadong Mapagkukunan:** Maaaring kulang ang NCIP ng mga mapagkukunan upang mabisang masubaybayan ang mga proyekto sa pagpapaunlad at matiyak ang pagsunod sa IPRA. * **Backlog sa Pag-aangkin sa Lupaing Ninuno:** Ang proseso ng pagkilala at pagtitulo sa mga ancestral domain ay maaaring maging mabagal at masalimuot, na nag-iiwan sa ilang ICC/IP na mahina sa panahon ng mga proyektong pang-develop.
**Konklusyon:**
Ang sistemang legal ng Pilipinas ay nag-aalok ng balangkas para sa pagprotekta sa mga karapatan ng mga katutubo sa kanilang mga ninuno sa panahon ng mga proyektong pangkaunlaran. Gayunpaman, kailangan ang patuloy na pagsisikap upang palakasin ang mga mekanismo ng pagpapatupad, pagbutihin ang pag-access sa mga legal na mapagkukunan para sa mga ICC/IP, at matiyak na ang FPIC ay isinasagawa nang makabuluhan at sa paraang iginagalang ang mga katutubong kultura at proseso ng paggawa ng desisyon.</v>
      </c>
      <c r="F2823" s="2">
        <f t="shared" si="1"/>
        <v>0</v>
      </c>
      <c r="G2823" s="2"/>
      <c r="H2823" s="2"/>
      <c r="I2823" s="2"/>
      <c r="J2823" s="2"/>
      <c r="K2823" s="2"/>
      <c r="L2823" s="2"/>
      <c r="M2823" s="2"/>
      <c r="N2823" s="2"/>
      <c r="O2823" s="2"/>
      <c r="P2823" s="2"/>
      <c r="Q2823" s="2"/>
      <c r="R2823" s="2"/>
      <c r="S2823" s="2"/>
      <c r="T2823" s="2"/>
      <c r="U2823" s="2"/>
      <c r="V2823" s="2"/>
      <c r="W2823" s="2"/>
      <c r="X2823" s="2"/>
      <c r="Y2823" s="2"/>
      <c r="Z2823" s="2"/>
      <c r="AA2823" s="2"/>
    </row>
    <row r="2824">
      <c r="A2824" s="3" t="s">
        <v>6596</v>
      </c>
      <c r="B2824" s="1" t="s">
        <v>6621</v>
      </c>
      <c r="C2824" s="3" t="s">
        <v>6622</v>
      </c>
      <c r="D2824" s="2" t="str">
        <f>IFERROR(__xludf.DUMMYFUNCTION("GOOGLETRANSLATE(B2824, ""en"", ""TL"")"),"Paano naisabatas ang mga batas sa Pilipinas?")</f>
        <v>Paano naisabatas ang mga batas sa Pilipinas?</v>
      </c>
      <c r="E2824" s="2" t="str">
        <f>IFERROR(__xludf.DUMMYFUNCTION("GOOGLETRANSLATE(C2824, ""en"", ""TL"")"),"Ang Pilipinas ay sumusunod sa isang bicameral system, ibig sabihin mayroong dalawang kapulungan sa Kongreso na nag-iisip at nag-aapruba ng mga panukalang batas bago ito maging batas. Narito ang isang breakdown ng proseso ng paggawa ng batas:
1. **Initiati"&amp;"on:** Ang isang panukalang batas ay maaaring ihain ng alinman sa Senado o ng Kapulungan ng mga Kinatawan. Ang mga Senador, Kinatawan, o mga awtorisadong komite ay maaaring magpakilala ng mga panukalang batas.
2. **Mga Pagdinig ng Komite:** Ang panukalang "&amp;"batas ay itinalaga sa isang may-katuturang komite sa pinagmulang bahay. Ang komite ay nagsasagawa ng mga pagdinig upang mangalap ng pampublikong input, mga opinyon ng eksperto, at masuri ang mga merito ng panukalang batas. Maaaring magrekomenda ang komite"&amp;" ng mga rebisyon, i-endorso ang panukalang batas para sa karagdagang pagsasaalang-alang, o tanggihan ito.
3. **Mga Debate sa Plenaryo:** Kung ineendorso ng komite ang panukalang batas, ito ay pupunta sa sahig ng pinanggalingang bahay para sa mga debate. A"&amp;"ng mga mambabatas ay maaaring magmungkahi ng mga susog, debate sa mga probisyon ng panukalang batas, at bumoto sa pag-apruba nito. Tatlong pagbabasa ang kailangan, na may pagboto pagkatapos ng bawat pagbabasa.
4. **Paghahatid sa Ibang Bahay:** Pagkatapos "&amp;"ng pag-apruba ng pinagmulang bahay, ang kuwenta ay ipinadala sa kabilang bahay para sa kanilang pagsasaalang-alang. Ang proseso sa ikalawang kapulungan ay sumasalamin sa unang kapulungan, na may mga pagdinig sa komite, mga debate sa plenaryo, at pagboto.
"&amp;"5. **Pag-apruba ng Bi-cameral:** Kung aprubahan ng dalawang kapulungan ang panukalang batas na may magkaparehong bersyon, handa na itong isumite sa Pangulo para sa kanyang lagda.
6. **Presidential Action:** Ang Pangulo ay may tatlong opsyon:
* **Lagda sa "&amp;"Bill:** Kung pinirmahan ng Pangulo ang panukalang batas, ito ay magiging batas pagkatapos mailathala sa Opisyal na Gazette.
* **Veto the Bill:** Maaaring i-veto ng Pangulo ang buong panukalang batas o mga partikular na probisyon, ibabalik ito sa Kongreso "&amp;"kasama ang kanyang mga pagtutol. Maaaring i-override ng Kongreso ang isang veto sa pamamagitan ng dalawang-ikatlong boto sa parehong kapulungan. * **Pocket Veto:** Kung walang ginawa ang Pangulo sa loob ng 30 araw mula sa pagtanggap (hindi kasama ang Ling"&amp;"go at mga pista opisyal), ang panukalang batas ay mawawala sa batas.
**Mga Karagdagang Punto:**
* **Originating House:** Ang ilang mga bill ay nagtalaga ng mga pinagmulang bahay batay sa kanilang paksa. Halimbawa, ang mga bayarin sa buwis ay karaniwang na"&amp;"gmumula sa Kapulungan ng mga Kinatawan.
* **Mga Kasabay na Resolusyon:** Ang mga resolusyong ito ay nagpapahayag ng damdamin ng parehong kapulungan sa isang partikular na isyu ngunit hindi nagiging batas. * **Tungkulin ng Hudikatura:** Ang sistema ng hudi"&amp;"katura ng Pilipinas, partikular ang Korte Suprema, ay gumaganap ng mahalagang papel sa pagbibigay-kahulugan sa mga batas at pagtiyak na umaayon ang mga ito sa Konstitusyon. Ang Korte Suprema ay maaaring magdeklara ng mga batas na labag sa konstitusyon sa "&amp;"pamamagitan ng proseso ng judicial review. Sa pamamagitan ng pagsunod sa mga hakbang na ito, ang mga panukalang batas ay maingat na isinasaalang-alang at pinagtatalunan bago maging mga batas sa Pilipinas. Ang prosesong ito ay nakakatulong na matiyak na an"&amp;"g mga batas ay mahusay na ginawa, tumutugon sa mga pangangailangan ng mga tao, at sumusunod sa Konstitusyon ng bansa.")</f>
        <v>Ang Pilipinas ay sumusunod sa isang bicameral system, ibig sabihin mayroong dalawang kapulungan sa Kongreso na nag-iisip at nag-aapruba ng mga panukalang batas bago ito maging batas. Narito ang isang breakdown ng proseso ng paggawa ng batas:
1. **Initiation:** Ang isang panukalang batas ay maaaring ihain ng alinman sa Senado o ng Kapulungan ng mga Kinatawan. Ang mga Senador, Kinatawan, o mga awtorisadong komite ay maaaring magpakilala ng mga panukalang batas.
2. **Mga Pagdinig ng Komite:** Ang panukalang batas ay itinalaga sa isang may-katuturang komite sa pinagmulang bahay. Ang komite ay nagsasagawa ng mga pagdinig upang mangalap ng pampublikong input, mga opinyon ng eksperto, at masuri ang mga merito ng panukalang batas. Maaaring magrekomenda ang komite ng mga rebisyon, i-endorso ang panukalang batas para sa karagdagang pagsasaalang-alang, o tanggihan ito.
3. **Mga Debate sa Plenaryo:** Kung ineendorso ng komite ang panukalang batas, ito ay pupunta sa sahig ng pinanggalingang bahay para sa mga debate. Ang mga mambabatas ay maaaring magmungkahi ng mga susog, debate sa mga probisyon ng panukalang batas, at bumoto sa pag-apruba nito. Tatlong pagbabasa ang kailangan, na may pagboto pagkatapos ng bawat pagbabasa.
4. **Paghahatid sa Ibang Bahay:** Pagkatapos ng pag-apruba ng pinagmulang bahay, ang kuwenta ay ipinadala sa kabilang bahay para sa kanilang pagsasaalang-alang. Ang proseso sa ikalawang kapulungan ay sumasalamin sa unang kapulungan, na may mga pagdinig sa komite, mga debate sa plenaryo, at pagboto.
5. **Pag-apruba ng Bi-cameral:** Kung aprubahan ng dalawang kapulungan ang panukalang batas na may magkaparehong bersyon, handa na itong isumite sa Pangulo para sa kanyang lagda.
6. **Presidential Action:** Ang Pangulo ay may tatlong opsyon:
* **Lagda sa Bill:** Kung pinirmahan ng Pangulo ang panukalang batas, ito ay magiging batas pagkatapos mailathala sa Opisyal na Gazette.
* **Veto the Bill:** Maaaring i-veto ng Pangulo ang buong panukalang batas o mga partikular na probisyon, ibabalik ito sa Kongreso kasama ang kanyang mga pagtutol. Maaaring i-override ng Kongreso ang isang veto sa pamamagitan ng dalawang-ikatlong boto sa parehong kapulungan. * **Pocket Veto:** Kung walang ginawa ang Pangulo sa loob ng 30 araw mula sa pagtanggap (hindi kasama ang Linggo at mga pista opisyal), ang panukalang batas ay mawawala sa batas.
**Mga Karagdagang Punto:**
* **Originating House:** Ang ilang mga bill ay nagtalaga ng mga pinagmulang bahay batay sa kanilang paksa. Halimbawa, ang mga bayarin sa buwis ay karaniwang nagmumula sa Kapulungan ng mga Kinatawan.
* **Mga Kasabay na Resolusyon:** Ang mga resolusyong ito ay nagpapahayag ng damdamin ng parehong kapulungan sa isang partikular na isyu ngunit hindi nagiging batas. * **Tungkulin ng Hudikatura:** Ang sistema ng hudikatura ng Pilipinas, partikular ang Korte Suprema, ay gumaganap ng mahalagang papel sa pagbibigay-kahulugan sa mga batas at pagtiyak na umaayon ang mga ito sa Konstitusyon. Ang Korte Suprema ay maaaring magdeklara ng mga batas na labag sa konstitusyon sa pamamagitan ng proseso ng judicial review. Sa pamamagitan ng pagsunod sa mga hakbang na ito, ang mga panukalang batas ay maingat na isinasaalang-alang at pinagtatalunan bago maging mga batas sa Pilipinas. Ang prosesong ito ay nakakatulong na matiyak na ang mga batas ay mahusay na ginawa, tumutugon sa mga pangangailangan ng mga tao, at sumusunod sa Konstitusyon ng bansa.</v>
      </c>
      <c r="F2824" s="2">
        <f t="shared" si="1"/>
        <v>0</v>
      </c>
      <c r="G2824" s="2"/>
      <c r="H2824" s="2"/>
      <c r="I2824" s="2"/>
      <c r="J2824" s="2"/>
      <c r="K2824" s="2"/>
      <c r="L2824" s="2"/>
      <c r="M2824" s="2"/>
      <c r="N2824" s="2"/>
      <c r="O2824" s="2"/>
      <c r="P2824" s="2"/>
      <c r="Q2824" s="2"/>
      <c r="R2824" s="2"/>
      <c r="S2824" s="2"/>
      <c r="T2824" s="2"/>
      <c r="U2824" s="2"/>
      <c r="V2824" s="2"/>
      <c r="W2824" s="2"/>
      <c r="X2824" s="2"/>
      <c r="Y2824" s="2"/>
      <c r="Z2824" s="2"/>
      <c r="AA2824" s="2"/>
    </row>
    <row r="2825">
      <c r="A2825" s="3" t="s">
        <v>6596</v>
      </c>
      <c r="B2825" s="1" t="s">
        <v>6623</v>
      </c>
      <c r="C2825" s="3" t="s">
        <v>6624</v>
      </c>
      <c r="D2825" s="2" t="str">
        <f>IFERROR(__xludf.DUMMYFUNCTION("GOOGLETRANSLATE(B2825, ""en"", ""TL"")"),"Ano ang pagkakaiba sa pagitan ng isang batas at isang regulasyon sa batas ng Pilipinas?")</f>
        <v>Ano ang pagkakaiba sa pagitan ng isang batas at isang regulasyon sa batas ng Pilipinas?</v>
      </c>
      <c r="E2825" s="2" t="str">
        <f>IFERROR(__xludf.DUMMYFUNCTION("GOOGLETRANSLATE(C2825, ""en"", ""TL"")"),"Sa Pilipinas, parehong may papel ang mga batas at regulasyon sa paghubog ng legal na tanawin, ngunit magkaiba ang mga ito sa kanilang pinagmulan at awtoridad. Narito ang isang breakdown ng mga pangunahing pagkakaiba:
**Mga Batas:**
* **Source:** Pinagtiba"&amp;"y ng Kongreso ng Pilipinas sa pamamagitan ng bicameral process na tinalakay natin kanina (House of Representatives and Senate) (reference How are laws enacted in the Philippines?: your previous answer).
* **Mas Mataas na Awtoridad:** Kinakatawan ng mga ba"&amp;"tas ang pinakamataas na anyo ng batas, na direktang itinatag ng sangay ng pambatasan ng pamahalaan.
* **Malawak na Saklaw:** Ang mga batas ay kadalasang nagtatakda ng malawak na mga legal na prinsipyo, patakaran, at balangkas na namamahala sa mga partikul"&amp;"ar na lugar. Kabilang sa mga halimbawa ang Family Code, ang Revised Penal Code, at ang Indigenous Peoples' Rights Act (IPRA).
**Mga Regulasyon:**
* **Source:** Inisyu ng mga executive department, ahensya, o local government unit **alinsunod sa isang parti"&amp;"kular na batas**. Ang awtoridad na lumikha ng mga regulasyon ay **delegado** ng Kongreso sa pamamagitan ng mga nagbibigay-daan na probisyon na makikita sa loob ng mga batas.
* **Mababang Awtoridad:** Ang mga regulasyon ay dapat sumunod sa mga kasalukuyang"&amp;" batas at hindi maaaring sumalungat sa mga ito. Nagbibigay ang mga ito ng mas tiyak na mga detalye at patnubay para sa pagpapatupad ng mas malawak na mga prinsipyong inilatag sa mga batas.
* **Mga Halimbawa:** Maaaring maglabas ang Kagawaran ng Edukasyon "&amp;"ng mga regulasyon sa kurikulum para sa mga elementarya batay sa Education Act. Ang Securities and Exchange Commission ay maaaring lumikha ng mga regulasyon sa mga kinakailangan sa paghahayag ng stock market batay sa Securities Regulation Code.
**Analogy:*"&amp;"*
Isipin ang **mga batas** bilang **pundasyon** ng isang bahay. Itinatag nila ang pangunahing istraktura at mga haligi. Ang **Regulasyon** ay parang **bricks and mortar** na pumupuno sa mga puwang at nagbibigay ng mga partikular na detalyeng kailangan par"&amp;"a sa isang gumaganang gusali. **Sa Konklusyon:**
Itinatakda ng mga batas ang mas malawak na legal na balangkas, habang ang mga regulasyon ay nagbibigay ng mga partikular na detalye para sa pagpapatupad. Ang pag-unawa sa pagkakaiba sa pagitan ng dalawang l"&amp;"egal na pinagmumulan na ito ay mahalaga para sa pag-navigate sa sistemang legal ng Pilipinas.")</f>
        <v>Sa Pilipinas, parehong may papel ang mga batas at regulasyon sa paghubog ng legal na tanawin, ngunit magkaiba ang mga ito sa kanilang pinagmulan at awtoridad. Narito ang isang breakdown ng mga pangunahing pagkakaiba:
**Mga Batas:**
* **Source:** Pinagtibay ng Kongreso ng Pilipinas sa pamamagitan ng bicameral process na tinalakay natin kanina (House of Representatives and Senate) (reference How are laws enacted in the Philippines?: your previous answer).
* **Mas Mataas na Awtoridad:** Kinakatawan ng mga batas ang pinakamataas na anyo ng batas, na direktang itinatag ng sangay ng pambatasan ng pamahalaan.
* **Malawak na Saklaw:** Ang mga batas ay kadalasang nagtatakda ng malawak na mga legal na prinsipyo, patakaran, at balangkas na namamahala sa mga partikular na lugar. Kabilang sa mga halimbawa ang Family Code, ang Revised Penal Code, at ang Indigenous Peoples' Rights Act (IPRA).
**Mga Regulasyon:**
* **Source:** Inisyu ng mga executive department, ahensya, o local government unit **alinsunod sa isang partikular na batas**. Ang awtoridad na lumikha ng mga regulasyon ay **delegado** ng Kongreso sa pamamagitan ng mga nagbibigay-daan na probisyon na makikita sa loob ng mga batas.
* **Mababang Awtoridad:** Ang mga regulasyon ay dapat sumunod sa mga kasalukuyang batas at hindi maaaring sumalungat sa mga ito. Nagbibigay ang mga ito ng mas tiyak na mga detalye at patnubay para sa pagpapatupad ng mas malawak na mga prinsipyong inilatag sa mga batas.
* **Mga Halimbawa:** Maaaring maglabas ang Kagawaran ng Edukasyon ng mga regulasyon sa kurikulum para sa mga elementarya batay sa Education Act. Ang Securities and Exchange Commission ay maaaring lumikha ng mga regulasyon sa mga kinakailangan sa paghahayag ng stock market batay sa Securities Regulation Code.
**Analogy:**
Isipin ang **mga batas** bilang **pundasyon** ng isang bahay. Itinatag nila ang pangunahing istraktura at mga haligi. Ang **Regulasyon** ay parang **bricks and mortar** na pumupuno sa mga puwang at nagbibigay ng mga partikular na detalyeng kailangan para sa isang gumaganang gusali. **Sa Konklusyon:**
Itinatakda ng mga batas ang mas malawak na legal na balangkas, habang ang mga regulasyon ay nagbibigay ng mga partikular na detalye para sa pagpapatupad. Ang pag-unawa sa pagkakaiba sa pagitan ng dalawang legal na pinagmumulan na ito ay mahalaga para sa pag-navigate sa sistemang legal ng Pilipinas.</v>
      </c>
      <c r="F2825" s="2">
        <f t="shared" si="1"/>
        <v>0</v>
      </c>
      <c r="G2825" s="2"/>
      <c r="H2825" s="2"/>
      <c r="I2825" s="2"/>
      <c r="J2825" s="2"/>
      <c r="K2825" s="2"/>
      <c r="L2825" s="2"/>
      <c r="M2825" s="2"/>
      <c r="N2825" s="2"/>
      <c r="O2825" s="2"/>
      <c r="P2825" s="2"/>
      <c r="Q2825" s="2"/>
      <c r="R2825" s="2"/>
      <c r="S2825" s="2"/>
      <c r="T2825" s="2"/>
      <c r="U2825" s="2"/>
      <c r="V2825" s="2"/>
      <c r="W2825" s="2"/>
      <c r="X2825" s="2"/>
      <c r="Y2825" s="2"/>
      <c r="Z2825" s="2"/>
      <c r="AA2825" s="2"/>
    </row>
    <row r="2826">
      <c r="A2826" s="3" t="s">
        <v>6596</v>
      </c>
      <c r="B2826" s="1" t="s">
        <v>6625</v>
      </c>
      <c r="C2826" s="3" t="s">
        <v>6626</v>
      </c>
      <c r="D2826" s="2" t="str">
        <f>IFERROR(__xludf.DUMMYFUNCTION("GOOGLETRANSLATE(B2826, ""en"", ""TL"")"),"Paano nalalapat ang doktrina ng stare decisis sa sistemang legal ng Pilipinas?")</f>
        <v>Paano nalalapat ang doktrina ng stare decisis sa sistemang legal ng Pilipinas?</v>
      </c>
      <c r="E2826" s="2" t="str">
        <f>IFERROR(__xludf.DUMMYFUNCTION("GOOGLETRANSLATE(C2826, ""en"", ""TL"")"),"Ang doktrina ng stare decisis ay isang pangunahing prinsipyo sa sistemang legal ng Pilipinas. Isinasalin ito sa ""upang panindigan ang mga bagay na napagpasyahan"" at binibigyang-diin ang kahalagahan ng pagsunod sa hudikatura na itinakda ng mga nakaraang "&amp;"desisyon ng korte. Narito kung paano ito gumagana:
**Sumusunod sa Precedent:**
* Ang mga mas mababang hukuman ay karaniwang nakatali sa mga desisyon ng mas matataas na hukuman sa mga katulad na kaso. * Ito ay nagtataguyod ng pagkakapare-pareho at predicta"&amp;"bility sa mga legal na resulta. **Hierarchy of Courts:**
* Ang Pilipinas ay may hierarchy ng hukuman, na ang Korte Suprema sa tuktok. Ang mga mababang hukuman (Court of Appeals, Regional Trial Courts, atbp.) ay dapat sumunod sa mga precedent na itinatag n"&amp;"g mas matataas na hukuman sa kanilang hurisdiksyon kapag nakikitungo sa mga katulad na legal na isyu.
**Hindi Mahigpit na Panuntunan:**
* Ang stare decisis ay hindi isang mekanikal na formula. Ang mga korte ay maaaring umalis mula sa nauna sa ilalim ng il"&amp;"ang mga pangyayari, tulad ng:
* **Malaking Pagbabago sa mga Sirkumstansya:** Kung ang mga kondisyong panlipunan, pang-ekonomiya, o legal ay makabuluhang nagbago mula noong itinakda ang orihinal na pamarisan, maaaring muling isaalang-alang ng hukuman ang d"&amp;"esisyon.
* **Erroneous Precedent:** Kung nalaman ng korte na malinaw na nakabatay sa error ang isang nakaraang desisyon, maaari nitong piliing bawiin ito.
* **Bagong Isyu ng Batas:** Kapag lumitaw ang isang nobelang legal na isyu na hindi natugunan sa mga"&amp;" nakaraang nauna, kailangang magtatag ng bagong jurisprudence ang hukuman.
**Kahalagahan ng Stare Decisis:**
* **Kakayahang mahulaan:** Ang mga negosyo at indibidwal ay maaaring gumawa ng matalinong mga pagpapasya batay sa isang medyo predictable na legal"&amp;" na kapaligiran.
* **Katatagan:** Ang stare decisis ay nagtataguyod ng katatagan sa legal na sistema sa pamamagitan ng pag-iwas sa mga madalas na pagbabago sa mga legal na interpretasyon.
* **Kahusayan:** Maaaring lutasin ng mga korte ang mga kaso nang ma"&amp;"s mahusay sa pamamagitan ng pag-asa sa mga naitatag na alinsunod sa halip na muling litigasyon ang parehong mga isyu nang paulit-ulit.
**Paghahanap ng Precedent:**
* Ang mga abogado at hukom ay nagsasaliksik ng mga legal na nauna gamit ang mga desisyon ng"&amp;" korte na inilathala sa mga opisyal na ulat at online na legal na database. * Inilalathala ng Korte Suprema ang mga desisyon nito sa ""Opisyal na Pahayagan"" at sa website ng Korte Suprema.
**Sa Konklusyon:**
Ang stare decisis ay may mahalagang papel sa p"&amp;"agtiyak ng pare-pareho at predictability sa loob ng legal na sistema ng Pilipinas. Bagama't iginagalang ang precedent, pinananatili ng mga korte ang pagpapasya na umalis dito sa ilalim ng makatwirang mga pangyayari.")</f>
        <v>Ang doktrina ng stare decisis ay isang pangunahing prinsipyo sa sistemang legal ng Pilipinas. Isinasalin ito sa "upang panindigan ang mga bagay na napagpasyahan" at binibigyang-diin ang kahalagahan ng pagsunod sa hudikatura na itinakda ng mga nakaraang desisyon ng korte. Narito kung paano ito gumagana:
**Sumusunod sa Precedent:**
* Ang mga mas mababang hukuman ay karaniwang nakatali sa mga desisyon ng mas matataas na hukuman sa mga katulad na kaso. * Ito ay nagtataguyod ng pagkakapare-pareho at predictability sa mga legal na resulta. **Hierarchy of Courts:**
* Ang Pilipinas ay may hierarchy ng hukuman, na ang Korte Suprema sa tuktok. Ang mga mababang hukuman (Court of Appeals, Regional Trial Courts, atbp.) ay dapat sumunod sa mga precedent na itinatag ng mas matataas na hukuman sa kanilang hurisdiksyon kapag nakikitungo sa mga katulad na legal na isyu.
**Hindi Mahigpit na Panuntunan:**
* Ang stare decisis ay hindi isang mekanikal na formula. Ang mga korte ay maaaring umalis mula sa nauna sa ilalim ng ilang mga pangyayari, tulad ng:
* **Malaking Pagbabago sa mga Sirkumstansya:** Kung ang mga kondisyong panlipunan, pang-ekonomiya, o legal ay makabuluhang nagbago mula noong itinakda ang orihinal na pamarisan, maaaring muling isaalang-alang ng hukuman ang desisyon.
* **Erroneous Precedent:** Kung nalaman ng korte na malinaw na nakabatay sa error ang isang nakaraang desisyon, maaari nitong piliing bawiin ito.
* **Bagong Isyu ng Batas:** Kapag lumitaw ang isang nobelang legal na isyu na hindi natugunan sa mga nakaraang nauna, kailangang magtatag ng bagong jurisprudence ang hukuman.
**Kahalagahan ng Stare Decisis:**
* **Kakayahang mahulaan:** Ang mga negosyo at indibidwal ay maaaring gumawa ng matalinong mga pagpapasya batay sa isang medyo predictable na legal na kapaligiran.
* **Katatagan:** Ang stare decisis ay nagtataguyod ng katatagan sa legal na sistema sa pamamagitan ng pag-iwas sa mga madalas na pagbabago sa mga legal na interpretasyon.
* **Kahusayan:** Maaaring lutasin ng mga korte ang mga kaso nang mas mahusay sa pamamagitan ng pag-asa sa mga naitatag na alinsunod sa halip na muling litigasyon ang parehong mga isyu nang paulit-ulit.
**Paghahanap ng Precedent:**
* Ang mga abogado at hukom ay nagsasaliksik ng mga legal na nauna gamit ang mga desisyon ng korte na inilathala sa mga opisyal na ulat at online na legal na database. * Inilalathala ng Korte Suprema ang mga desisyon nito sa "Opisyal na Pahayagan" at sa website ng Korte Suprema.
**Sa Konklusyon:**
Ang stare decisis ay may mahalagang papel sa pagtiyak ng pare-pareho at predictability sa loob ng legal na sistema ng Pilipinas. Bagama't iginagalang ang precedent, pinananatili ng mga korte ang pagpapasya na umalis dito sa ilalim ng makatwirang mga pangyayari.</v>
      </c>
      <c r="F2826" s="2">
        <f t="shared" si="1"/>
        <v>0</v>
      </c>
      <c r="G2826" s="2"/>
      <c r="H2826" s="2"/>
      <c r="I2826" s="2"/>
      <c r="J2826" s="2"/>
      <c r="K2826" s="2"/>
      <c r="L2826" s="2"/>
      <c r="M2826" s="2"/>
      <c r="N2826" s="2"/>
      <c r="O2826" s="2"/>
      <c r="P2826" s="2"/>
      <c r="Q2826" s="2"/>
      <c r="R2826" s="2"/>
      <c r="S2826" s="2"/>
      <c r="T2826" s="2"/>
      <c r="U2826" s="2"/>
      <c r="V2826" s="2"/>
      <c r="W2826" s="2"/>
      <c r="X2826" s="2"/>
      <c r="Y2826" s="2"/>
      <c r="Z2826" s="2"/>
      <c r="AA2826" s="2"/>
    </row>
    <row r="2827">
      <c r="A2827" s="3" t="s">
        <v>6596</v>
      </c>
      <c r="B2827" s="1" t="s">
        <v>6627</v>
      </c>
      <c r="C2827" s="3" t="s">
        <v>6628</v>
      </c>
      <c r="D2827" s="2" t="str">
        <f>IFERROR(__xludf.DUMMYFUNCTION("GOOGLETRANSLATE(B2827, ""en"", ""TL"")"),"Ano ang mga karapatang protektado sa ilalim ng Bill of Rights sa Konstitusyon ng Pilipinas?")</f>
        <v>Ano ang mga karapatang protektado sa ilalim ng Bill of Rights sa Konstitusyon ng Pilipinas?</v>
      </c>
      <c r="E2827" s="2" t="str">
        <f>IFERROR(__xludf.DUMMYFUNCTION("GOOGLETRANSLATE(C2827, ""en"", ""TL"")"),"Ang Bill of Rights, na nakasaad sa Artikulo III ng 1987 Konstitusyon ng Pilipinas, ay ginagarantiyahan ang malawak na hanay ng mga pangunahing karapatan at kalayaan para sa mga mamamayang Pilipino. Narito ang isang breakdown ng ilang pangunahing proteksyo"&amp;"n:
**Karapatan sa Buhay, Kalayaan, at Seguridad ng Tao:**
* Ito ang pundasyon ng Bill of Rights. Pinoprotektahan nito ang mga indibidwal mula sa pagkakaitan ng buhay, kalayaan, o ari-arian nang walang angkop na proseso ng batas. **Nararapat na Proseso:**
"&amp;"* Tinitiyak ng angkop na proseso ang pagiging patas sa mga legal na paglilitis. Nangangailangan ito ng wastong paunawa, karapatang marinig, at pagkakataong ipagtanggol ang sarili bago bawian ng buhay, kalayaan, o ari-arian.
**Pantay na Proteksyon ng mga B"&amp;"atas:**
* Ang gobyerno ay hindi maaaring magdiskrimina sa mga indibidwal o grupo nang walang wastong dahilan. Ang bawat isa ay may karapatan sa pantay na pagtrato sa ilalim ng batas.
**Karapatan sa Privacy:**
* Pinoprotektahan ng Konstitusyon ang privacy "&amp;"ng komunikasyon at pagsusulatan. Ipinagbabawal din ang mga hindi makatwirang paghahanap at pag-agaw.
**Kalayaan sa Pagsasalita, Relihiyon, at Asembleya:**
* Ang mga Pilipino ay may karapatang ipahayag ang kanilang mga pananaw at opinyon nang malaya, isaga"&amp;"wa ang kanilang relihiyon nang walang panghihimasok ng pamahalaan, at mapayapang magtipon upang magpetisyon sa pamahalaan.
**Karapatan sa Impormasyon:**
* Obligado ang gobyerno na magbigay ng access sa impormasyon, maliban sa mga kaso ng pambansang seguri"&amp;"dad, kaayusan ng publiko, o kaligtasan ng publiko. **Karapatang Maglakbay:**
* Ang mga Pilipino ay malayang makapaglakbay sa loob ng Pilipinas at maaaring umalis ng bansa maliban kung limitado ng batas o kinakailangan upang protektahan ang pambansang segu"&amp;"ridad, kaligtasan ng publiko, o kalusugan ng publiko.
**Proteksyon Laban sa Pagsasama-sama sa Sarili:**
* Walang sinuman ang maaaring pilitin na maging saksi laban sa kanilang sarili sa isang kasong kriminal.
**Karapatang Magpiyansa:**
* Ang karapatang ma"&amp;"kapagpiyansa ay karaniwang ginagarantiyahan, maliban sa mga partikular na kaso tulad ng mga paglabag sa kamatayan (mga krimen na may parusang kamatayan).
**Proteksyon Laban sa Malupit, Hindi Makatao, o Mapang-abusong Pagtrato:**
* Ipinagbabawal ang pagpap"&amp;"ahirap, malupit o hindi makataong pagtrato, at iba pang nakakahiyang mga parusa.
**Karapatan sa Habeas Corpus:**
* Nagbibigay-daan ito sa mga indibidwal na hamunin ang kanilang pagkakakulong at humingi ng kalayaan kung ito ay labag sa batas.
**Writ of Amp"&amp;"aro:**
* Isang espesyal na remedyo upang protektahan ang mga indibidwal na ang karapatan sa buhay, kalayaan, at seguridad ay nilabag o pinagbantaan ng isang opisyal ng ehekutibo, ahente ng tagapagpatupad ng batas, o mga elementong walang batas.
**Karapata"&amp;"n sa Mabilis na Pagsubok:**
* Ang mga akusado na indibidwal ay may karapatan sa isang mabilis at walang kinikilingan na paglilitis.
**Karapatang Pumili ng Kinatawan ng Isa:**
* Ginagarantiya nito ang karapatang bumoto at lumahok sa mga halalan.
**Ito ang "&amp;"ilan sa mga pangunahing karapatang protektado sa ilalim ng Bill of Rights. Mahalagang tandaan na hindi ito isang kumpletong listahan, at kasama sa Konstitusyon ang iba pang mahahalagang garantiya.**
Ang pag-unawa sa mga karapatang ito ay nagbibigay ng kap"&amp;"angyarihan sa mga mamamayang Pilipino at nagsisilbing benchmark para sa makatarungang pamamahala.")</f>
        <v>Ang Bill of Rights, na nakasaad sa Artikulo III ng 1987 Konstitusyon ng Pilipinas, ay ginagarantiyahan ang malawak na hanay ng mga pangunahing karapatan at kalayaan para sa mga mamamayang Pilipino. Narito ang isang breakdown ng ilang pangunahing proteksyon:
**Karapatan sa Buhay, Kalayaan, at Seguridad ng Tao:**
* Ito ang pundasyon ng Bill of Rights. Pinoprotektahan nito ang mga indibidwal mula sa pagkakaitan ng buhay, kalayaan, o ari-arian nang walang angkop na proseso ng batas. **Nararapat na Proseso:**
* Tinitiyak ng angkop na proseso ang pagiging patas sa mga legal na paglilitis. Nangangailangan ito ng wastong paunawa, karapatang marinig, at pagkakataong ipagtanggol ang sarili bago bawian ng buhay, kalayaan, o ari-arian.
**Pantay na Proteksyon ng mga Batas:**
* Ang gobyerno ay hindi maaaring magdiskrimina sa mga indibidwal o grupo nang walang wastong dahilan. Ang bawat isa ay may karapatan sa pantay na pagtrato sa ilalim ng batas.
**Karapatan sa Privacy:**
* Pinoprotektahan ng Konstitusyon ang privacy ng komunikasyon at pagsusulatan. Ipinagbabawal din ang mga hindi makatwirang paghahanap at pag-agaw.
**Kalayaan sa Pagsasalita, Relihiyon, at Asembleya:**
* Ang mga Pilipino ay may karapatang ipahayag ang kanilang mga pananaw at opinyon nang malaya, isagawa ang kanilang relihiyon nang walang panghihimasok ng pamahalaan, at mapayapang magtipon upang magpetisyon sa pamahalaan.
**Karapatan sa Impormasyon:**
* Obligado ang gobyerno na magbigay ng access sa impormasyon, maliban sa mga kaso ng pambansang seguridad, kaayusan ng publiko, o kaligtasan ng publiko. **Karapatang Maglakbay:**
* Ang mga Pilipino ay malayang makapaglakbay sa loob ng Pilipinas at maaaring umalis ng bansa maliban kung limitado ng batas o kinakailangan upang protektahan ang pambansang seguridad, kaligtasan ng publiko, o kalusugan ng publiko.
**Proteksyon Laban sa Pagsasama-sama sa Sarili:**
* Walang sinuman ang maaaring pilitin na maging saksi laban sa kanilang sarili sa isang kasong kriminal.
**Karapatang Magpiyansa:**
* Ang karapatang makapagpiyansa ay karaniwang ginagarantiyahan, maliban sa mga partikular na kaso tulad ng mga paglabag sa kamatayan (mga krimen na may parusang kamatayan).
**Proteksyon Laban sa Malupit, Hindi Makatao, o Mapang-abusong Pagtrato:**
* Ipinagbabawal ang pagpapahirap, malupit o hindi makataong pagtrato, at iba pang nakakahiyang mga parusa.
**Karapatan sa Habeas Corpus:**
* Nagbibigay-daan ito sa mga indibidwal na hamunin ang kanilang pagkakakulong at humingi ng kalayaan kung ito ay labag sa batas.
**Writ of Amparo:**
* Isang espesyal na remedyo upang protektahan ang mga indibidwal na ang karapatan sa buhay, kalayaan, at seguridad ay nilabag o pinagbantaan ng isang opisyal ng ehekutibo, ahente ng tagapagpatupad ng batas, o mga elementong walang batas.
**Karapatan sa Mabilis na Pagsubok:**
* Ang mga akusado na indibidwal ay may karapatan sa isang mabilis at walang kinikilingan na paglilitis.
**Karapatang Pumili ng Kinatawan ng Isa:**
* Ginagarantiya nito ang karapatang bumoto at lumahok sa mga halalan.
**Ito ang ilan sa mga pangunahing karapatang protektado sa ilalim ng Bill of Rights. Mahalagang tandaan na hindi ito isang kumpletong listahan, at kasama sa Konstitusyon ang iba pang mahahalagang garantiya.**
Ang pag-unawa sa mga karapatang ito ay nagbibigay ng kapangyarihan sa mga mamamayang Pilipino at nagsisilbing benchmark para sa makatarungang pamamahala.</v>
      </c>
      <c r="F2827" s="2">
        <f t="shared" si="1"/>
        <v>0</v>
      </c>
      <c r="G2827" s="2"/>
      <c r="H2827" s="2"/>
      <c r="I2827" s="2"/>
      <c r="J2827" s="2"/>
      <c r="K2827" s="2"/>
      <c r="L2827" s="2"/>
      <c r="M2827" s="2"/>
      <c r="N2827" s="2"/>
      <c r="O2827" s="2"/>
      <c r="P2827" s="2"/>
      <c r="Q2827" s="2"/>
      <c r="R2827" s="2"/>
      <c r="S2827" s="2"/>
      <c r="T2827" s="2"/>
      <c r="U2827" s="2"/>
      <c r="V2827" s="2"/>
      <c r="W2827" s="2"/>
      <c r="X2827" s="2"/>
      <c r="Y2827" s="2"/>
      <c r="Z2827" s="2"/>
      <c r="AA2827" s="2"/>
    </row>
    <row r="2828">
      <c r="A2828" s="3" t="s">
        <v>6596</v>
      </c>
      <c r="B2828" s="1" t="s">
        <v>6629</v>
      </c>
      <c r="C2828" s="3" t="s">
        <v>6630</v>
      </c>
      <c r="D2828" s="2" t="str">
        <f>IFERROR(__xludf.DUMMYFUNCTION("GOOGLETRANSLATE(B2828, ""en"", ""TL"")"),"Ano ang proseso sa pag-amyenda sa Konstitusyon ng Pilipinas?")</f>
        <v>Ano ang proseso sa pag-amyenda sa Konstitusyon ng Pilipinas?</v>
      </c>
      <c r="E2828" s="2" t="str">
        <f>IFERROR(__xludf.DUMMYFUNCTION("GOOGLETRANSLATE(C2828, ""en"", ""TL"")"),"Ang pag-amyenda sa Konstitusyon ng Pilipinas ay isang masalimuot na proseso na idinisenyo upang matiyak ang katatagan habang pinapayagan ang mga kinakailangang pagbabago. Narito ang isang breakdown ng dalawang paraan para sa pagmumungkahi ng mga pagbabago"&amp;":
**1. Kongreso:**
* **Three-fourths Vote:** Ang isang panukala para sa pag-amyenda ay maaaring simulan ng Kongreso sa pamamagitan ng boto ng hindi bababa sa tatlong-fourths (3/4) ng lahat ng miyembro ng parehong Senado at Kapulungan ng mga Kinatawan ([Ko"&amp;"nstitusyon], Artikulo XVII, Seksyon 1). Ang mataas na threshold na ito ay nagpapahiwatig ng kabigatan ng pag-amyenda sa pangunahing batas.
**2. Constitutional Convention:**
* **Two-thirds Vote o People's Initiative:** Ang isang constitutional convention a"&amp;"y maaaring tawagin sa dalawang paraan:
* Isang boto ng dalawang-katlo (2/3) ng lahat ng miyembro ng Kongreso ([Konstitusyon], Artikulo XVII, Seksyon 3).
* Isang petisyon ng hindi bababa sa labindalawang porsyento (12%) ng kabuuang bilang ng mga rehistrado"&amp;"ng botante, na ang bawat distritong pambatas ay kinakatawan ng hindi bababa sa tatlong porsyento (3%) ng mga rehistradong botante nito ([Konstitusyon], Artikulo XVII, Seksyon 2). Ang pamamaraang ito ay nagbibigay-daan para sa pakikilahok ng mamamayan sa p"&amp;"agmumungkahi ng mga susog.
**Kasunod ng alinmang paraan, ang mga iminungkahing pagbabago ay dumaan sa mga sumusunod na yugto:**
* **Paglalathala:** Ang mga iminungkahing pagbabago ay dapat na mailathala sa loob ng tatlong buwan bago sila maboto sa ([Konst"&amp;"itusyon], Artikulo XVII, Seksyon 4). Ito ay nagbibigay-daan para sa pampublikong kamalayan at talakayan.
* **Plebisito:** Pagkatapos ng publikasyon, gaganapin ang isang pambansang plebisito (ratipikasyon ng mga tao). Para mapagtibay ang mga pag-amyenda, a"&amp;"ng karamihan sa mga boto ay dapat na **nagpapatibay** ([Konstitusyon], Artikulo XVII, Seksyon 4).
**Mahahalagang Pagsasaalang-alang:**
* **Mga Paghihigpit:** Ang ilang partikular na probisyon ng Saligang Batas **ay hindi** maaaring amyendahan. Kabilang di"&amp;"to ang mga artikulo sa pambansang teritoryo, ang Bill of Rights, at ang mga probisyon sa paghihiwalay ng Simbahan at Estado ([Konstitusyon], Artikulo XVIII).
* **Makomplikadong Proseso:** Ang pag-amyenda sa Konstitusyon ay isang **mahaba at mapaghamong** "&amp;"na proseso dahil sa matataas na mga limitasyon at kinakailangan sa pagboto. * **Paglahok ng Mamamayan:** Bagama't ang mga tao ay maaaring hindi direktang magmungkahi ng mga pagbabago sa pamamagitan ng isang petisyon para sa isang constitutional convention"&amp;", ang pag-amyenda sa Konstitusyon ay nananatiling pangunahing **desisyon ng Kongreso**.
**Sa Konklusyon:**
Ang Konstitusyon ng Pilipinas ay nagtatatag ng isang sinasadyang proseso para sa mga pagbabago, na binabalanse ang pangangailangan para sa katatagan"&amp;" sa posibilidad na umangkop sa nagbabagong mga pangyayari. Ang pag-unawa sa prosesong ito ay mahalaga para sa sinumang interesado sa kung paano gumagana at umuunlad ang gobyerno ng Pilipinas.")</f>
        <v>Ang pag-amyenda sa Konstitusyon ng Pilipinas ay isang masalimuot na proseso na idinisenyo upang matiyak ang katatagan habang pinapayagan ang mga kinakailangang pagbabago. Narito ang isang breakdown ng dalawang paraan para sa pagmumungkahi ng mga pagbabago:
**1. Kongreso:**
* **Three-fourths Vote:** Ang isang panukala para sa pag-amyenda ay maaaring simulan ng Kongreso sa pamamagitan ng boto ng hindi bababa sa tatlong-fourths (3/4) ng lahat ng miyembro ng parehong Senado at Kapulungan ng mga Kinatawan ([Konstitusyon], Artikulo XVII, Seksyon 1). Ang mataas na threshold na ito ay nagpapahiwatig ng kabigatan ng pag-amyenda sa pangunahing batas.
**2. Constitutional Convention:**
* **Two-thirds Vote o People's Initiative:** Ang isang constitutional convention ay maaaring tawagin sa dalawang paraan:
* Isang boto ng dalawang-katlo (2/3) ng lahat ng miyembro ng Kongreso ([Konstitusyon], Artikulo XVII, Seksyon 3).
* Isang petisyon ng hindi bababa sa labindalawang porsyento (12%) ng kabuuang bilang ng mga rehistradong botante, na ang bawat distritong pambatas ay kinakatawan ng hindi bababa sa tatlong porsyento (3%) ng mga rehistradong botante nito ([Konstitusyon], Artikulo XVII, Seksyon 2). Ang pamamaraang ito ay nagbibigay-daan para sa pakikilahok ng mamamayan sa pagmumungkahi ng mga susog.
**Kasunod ng alinmang paraan, ang mga iminungkahing pagbabago ay dumaan sa mga sumusunod na yugto:**
* **Paglalathala:** Ang mga iminungkahing pagbabago ay dapat na mailathala sa loob ng tatlong buwan bago sila maboto sa ([Konstitusyon], Artikulo XVII, Seksyon 4). Ito ay nagbibigay-daan para sa pampublikong kamalayan at talakayan.
* **Plebisito:** Pagkatapos ng publikasyon, gaganapin ang isang pambansang plebisito (ratipikasyon ng mga tao). Para mapagtibay ang mga pag-amyenda, ang karamihan sa mga boto ay dapat na **nagpapatibay** ([Konstitusyon], Artikulo XVII, Seksyon 4).
**Mahahalagang Pagsasaalang-alang:**
* **Mga Paghihigpit:** Ang ilang partikular na probisyon ng Saligang Batas **ay hindi** maaaring amyendahan. Kabilang dito ang mga artikulo sa pambansang teritoryo, ang Bill of Rights, at ang mga probisyon sa paghihiwalay ng Simbahan at Estado ([Konstitusyon], Artikulo XVIII).
* **Makomplikadong Proseso:** Ang pag-amyenda sa Konstitusyon ay isang **mahaba at mapaghamong** na proseso dahil sa matataas na mga limitasyon at kinakailangan sa pagboto. * **Paglahok ng Mamamayan:** Bagama't ang mga tao ay maaaring hindi direktang magmungkahi ng mga pagbabago sa pamamagitan ng isang petisyon para sa isang constitutional convention, ang pag-amyenda sa Konstitusyon ay nananatiling pangunahing **desisyon ng Kongreso**.
**Sa Konklusyon:**
Ang Konstitusyon ng Pilipinas ay nagtatatag ng isang sinasadyang proseso para sa mga pagbabago, na binabalanse ang pangangailangan para sa katatagan sa posibilidad na umangkop sa nagbabagong mga pangyayari. Ang pag-unawa sa prosesong ito ay mahalaga para sa sinumang interesado sa kung paano gumagana at umuunlad ang gobyerno ng Pilipinas.</v>
      </c>
      <c r="F2828" s="2">
        <f t="shared" si="1"/>
        <v>0</v>
      </c>
      <c r="G2828" s="2"/>
      <c r="H2828" s="2"/>
      <c r="I2828" s="2"/>
      <c r="J2828" s="2"/>
      <c r="K2828" s="2"/>
      <c r="L2828" s="2"/>
      <c r="M2828" s="2"/>
      <c r="N2828" s="2"/>
      <c r="O2828" s="2"/>
      <c r="P2828" s="2"/>
      <c r="Q2828" s="2"/>
      <c r="R2828" s="2"/>
      <c r="S2828" s="2"/>
      <c r="T2828" s="2"/>
      <c r="U2828" s="2"/>
      <c r="V2828" s="2"/>
      <c r="W2828" s="2"/>
      <c r="X2828" s="2"/>
      <c r="Y2828" s="2"/>
      <c r="Z2828" s="2"/>
      <c r="AA2828" s="2"/>
    </row>
    <row r="2829">
      <c r="A2829" s="3" t="s">
        <v>6596</v>
      </c>
      <c r="B2829" s="1" t="s">
        <v>6631</v>
      </c>
      <c r="C2829" s="3" t="s">
        <v>6632</v>
      </c>
      <c r="D2829" s="2" t="str">
        <f>IFERROR(__xludf.DUMMYFUNCTION("GOOGLETRANSLATE(B2829, ""en"", ""TL"")"),"Paano itinalaga ang mga hukom sa Pilipinas?")</f>
        <v>Paano itinalaga ang mga hukom sa Pilipinas?</v>
      </c>
      <c r="E2829" s="2" t="str">
        <f>IFERROR(__xludf.DUMMYFUNCTION("GOOGLETRANSLATE(C2829, ""en"", ""TL"")"),"Ang mga hukom sa Pilipinas ay hinirang sa pamamagitan ng isang merit-based na sistema na may dalawang pangunahing manlalaro:
1. **Judicial and Bar Council (JBC):** Ang katawan na ito ay **responsable sa pagrekomenda ng mga kwalipikadong nominado** para sa"&amp;" mga bakante sa hudikatura ([Konstitusyon], Artikulo VIII, Seksyon 8). Ang JBC ay binubuo ng:
* Punong Mahistrado (Tagapangulo)
* Kalihim ng Katarungan (ex-officio member)
* Mga Kinatawan ng Kongreso (mga miyembrong ex-officio)
* Isang kinatawan ng Integr"&amp;"ated Bar of the Philippines
* Isang propesor ng batas
* Isang retiradong miyembro ng Korte Suprema
* Isang kinatawan ng pribadong sektor
2. **Pangulo ng Pilipinas:** Ang Pangulo ay may kapangyarihang humirang ng mga hukom **mula sa listahan ng hindi babab"&amp;"a sa tatlong nominado** na isinumite ng JBC para sa bawat bakante ([Konstitusyon], Artikulo VIII, Seksyon 9). Ang Pangulo **ay hindi nangangailangan ng pag-apruba** mula sa Senado o anumang iba pang katawan upang tapusin ang appointment.
Narito ang isang "&amp;"breakdown ng proseso ng pagpili:
* **Ang JBC ay Tumatanggap ng mga Aplikasyon:** Ang mga kwalipikadong abogado ay maaaring mag-aplay para sa mga bakante na inanunsyo ng JBC.
* **Pagsusuri at Pagsusuri ng JBC:** Ang JBC ay lubusang sinusuri ang mga kwalipi"&amp;"kasyon ng bawat aplikante, kabilang ang kanilang legal na karanasan, integridad, kakayahan, at pagganap.
* **Shortlisting at Pampublikong Pagdinig:** Ang JBC ay nag-shortlist ng mga pinaka-kwalipikadong aplikante at nagsasagawa ng mga pampublikong pagdini"&amp;"g upang masuri ang kanilang mga kwalipikasyon at pagiging angkop para sa posisyon.
* **Rekomendasyon sa Pangulo:** Ang JBC ay nagsusumite ng listahan ng hindi bababa sa tatlong nominado sa Pangulo, na niraranggo ayon sa kanilang mga kwalipikasyon.
* **Pag"&amp;"hirang sa Pangulo:** Ang Pangulo ay pumipili ng isang nominado mula sa listahan at hinihirang sila bilang hukom.
**Sistema na Nakabatay sa Merit:**
Ang paglahok ng JBC, na binubuo ng mga eksperto sa batas at mga kinatawan mula sa iba't ibang sektor, ay na"&amp;"glalayong tiyakin ang isang **meritocratic selection process**. **Pagpapasya ng Pangulo:**
Bagama't limitado ang Presidente sa pagpili mula sa shortlist ng JBC, mayroon pa rin silang **discretion** sa pagpili ng final appointee.
** Pananagutan:**
Ang Comm"&amp;"ission on Appointments, isang katawan na binubuo ng mga miyembro ng Kongreso, ay maaaring **impeach** ang mga hukom para sa pagtataksil sa tiwala ng publiko, katiwalian, o iba pang mga pagkakasala. Gayunpaman, ang impeachment ay isang kumplikadong proseso"&amp;", at ang pag-alis ng isang hukom sa rutang ito ay medyo bihira.
**Sa pangkalahatan, ang proseso ng paghirang ng hudisyal ng Pilipinas ay may balanse sa pagitan ng meritocratic selection at presidential power. Ang JBC ay gumaganap ng isang mahalagang papel"&amp;" sa pagrekomenda ng mga kwalipikadong indibidwal, habang ang Pangulo ay nananatili ang pinakamataas na awtoridad sa paggawa ng mga huling appointment.**")</f>
        <v>Ang mga hukom sa Pilipinas ay hinirang sa pamamagitan ng isang merit-based na sistema na may dalawang pangunahing manlalaro:
1. **Judicial and Bar Council (JBC):** Ang katawan na ito ay **responsable sa pagrekomenda ng mga kwalipikadong nominado** para sa mga bakante sa hudikatura ([Konstitusyon], Artikulo VIII, Seksyon 8). Ang JBC ay binubuo ng:
* Punong Mahistrado (Tagapangulo)
* Kalihim ng Katarungan (ex-officio member)
* Mga Kinatawan ng Kongreso (mga miyembrong ex-officio)
* Isang kinatawan ng Integrated Bar of the Philippines
* Isang propesor ng batas
* Isang retiradong miyembro ng Korte Suprema
* Isang kinatawan ng pribadong sektor
2. **Pangulo ng Pilipinas:** Ang Pangulo ay may kapangyarihang humirang ng mga hukom **mula sa listahan ng hindi bababa sa tatlong nominado** na isinumite ng JBC para sa bawat bakante ([Konstitusyon], Artikulo VIII, Seksyon 9). Ang Pangulo **ay hindi nangangailangan ng pag-apruba** mula sa Senado o anumang iba pang katawan upang tapusin ang appointment.
Narito ang isang breakdown ng proseso ng pagpili:
* **Ang JBC ay Tumatanggap ng mga Aplikasyon:** Ang mga kwalipikadong abogado ay maaaring mag-aplay para sa mga bakante na inanunsyo ng JBC.
* **Pagsusuri at Pagsusuri ng JBC:** Ang JBC ay lubusang sinusuri ang mga kwalipikasyon ng bawat aplikante, kabilang ang kanilang legal na karanasan, integridad, kakayahan, at pagganap.
* **Shortlisting at Pampublikong Pagdinig:** Ang JBC ay nag-shortlist ng mga pinaka-kwalipikadong aplikante at nagsasagawa ng mga pampublikong pagdinig upang masuri ang kanilang mga kwalipikasyon at pagiging angkop para sa posisyon.
* **Rekomendasyon sa Pangulo:** Ang JBC ay nagsusumite ng listahan ng hindi bababa sa tatlong nominado sa Pangulo, na niraranggo ayon sa kanilang mga kwalipikasyon.
* **Paghirang sa Pangulo:** Ang Pangulo ay pumipili ng isang nominado mula sa listahan at hinihirang sila bilang hukom.
**Sistema na Nakabatay sa Merit:**
Ang paglahok ng JBC, na binubuo ng mga eksperto sa batas at mga kinatawan mula sa iba't ibang sektor, ay naglalayong tiyakin ang isang **meritocratic selection process**. **Pagpapasya ng Pangulo:**
Bagama't limitado ang Presidente sa pagpili mula sa shortlist ng JBC, mayroon pa rin silang **discretion** sa pagpili ng final appointee.
** Pananagutan:**
Ang Commission on Appointments, isang katawan na binubuo ng mga miyembro ng Kongreso, ay maaaring **impeach** ang mga hukom para sa pagtataksil sa tiwala ng publiko, katiwalian, o iba pang mga pagkakasala. Gayunpaman, ang impeachment ay isang kumplikadong proseso, at ang pag-alis ng isang hukom sa rutang ito ay medyo bihira.
**Sa pangkalahatan, ang proseso ng paghirang ng hudisyal ng Pilipinas ay may balanse sa pagitan ng meritocratic selection at presidential power. Ang JBC ay gumaganap ng isang mahalagang papel sa pagrekomenda ng mga kwalipikadong indibidwal, habang ang Pangulo ay nananatili ang pinakamataas na awtoridad sa paggawa ng mga huling appointment.**</v>
      </c>
      <c r="F2829" s="2">
        <f t="shared" si="1"/>
        <v>0</v>
      </c>
      <c r="G2829" s="2"/>
      <c r="H2829" s="2"/>
      <c r="I2829" s="2"/>
      <c r="J2829" s="2"/>
      <c r="K2829" s="2"/>
      <c r="L2829" s="2"/>
      <c r="M2829" s="2"/>
      <c r="N2829" s="2"/>
      <c r="O2829" s="2"/>
      <c r="P2829" s="2"/>
      <c r="Q2829" s="2"/>
      <c r="R2829" s="2"/>
      <c r="S2829" s="2"/>
      <c r="T2829" s="2"/>
      <c r="U2829" s="2"/>
      <c r="V2829" s="2"/>
      <c r="W2829" s="2"/>
      <c r="X2829" s="2"/>
      <c r="Y2829" s="2"/>
      <c r="Z2829" s="2"/>
      <c r="AA2829" s="2"/>
    </row>
    <row r="2830">
      <c r="A2830" s="3" t="s">
        <v>6596</v>
      </c>
      <c r="B2830" s="1" t="s">
        <v>6633</v>
      </c>
      <c r="C2830" s="3" t="s">
        <v>6634</v>
      </c>
      <c r="D2830" s="2" t="str">
        <f>IFERROR(__xludf.DUMMYFUNCTION("GOOGLETRANSLATE(B2830, ""en"", ""TL"")"),"Ano ang hurisdiksyon ng Korte Suprema ng Pilipinas?")</f>
        <v>Ano ang hurisdiksyon ng Korte Suprema ng Pilipinas?</v>
      </c>
      <c r="E2830" s="2" t="str">
        <f>IFERROR(__xludf.DUMMYFUNCTION("GOOGLETRANSLATE(C2830, ""en"", ""TL"")"),"Ang Korte Suprema ng Pilipinas ay ang pinakamataas na hukuman sa sistema ng hudikatura at may hawak na **malawak na hurisdiksyon**, ibig sabihin ay maaari itong dumirinig ng malawak na hanay ng mga kaso. Narito ang isang breakdown ng mga pangunahing awtor"&amp;"idad nito:
**Orihinal na Jurisdiction:**
* **Mga Kaso na Nakakaapekto sa mga Ambassador at Iba Pang Diplomats:** Ang Korte Suprema ay may **eksklusibong hurisdiksyon** sa mga legal na kaso na kinasasangkutan ng mga ambassador, iba pang pampublikong minist"&amp;"ro, at konsul na kinikilala sa Pilipinas.
* **Petitions for Writs:** Ang Korte Suprema ay maaaring direktang dinggin ang mga petisyon para sa mga writ tulad ng certiorari, prohibition, mandamus, quo warranto, at habeas corpus. Hinahamon ng mga kasulatang "&amp;"ito ang legalidad ng mga aksyong ginawa ng mga mababang hukuman o mga entidad ng gobyerno. * **Mga Karagdagang Sulat:** Ang Saligang Batas ay nagbibigay ng kapangyarihan sa Korte Suprema na mag-isyu ng iba pang writ na kinakailangan upang **ipatupad ang h"&amp;"urisdiksyon nito** o **protektahan ang mga pangunahing karapatan**. Kabilang sa mga halimbawa ang writ of amparo (pagprotekta sa mga karapatan laban sa labag sa batas na gawain) at ang writ of kalikasan (pagprotekta sa kapaligiran).
**Jurisdiction ng Appe"&amp;"llate:**
* **Pagsusuri sa mga Desisyon sa Mababang Korte:** Ang Korte Suprema ay nagsusuri, nagre-rebisa, nagbabago, nagpapatunay, o binabaligtad ang mga pinal na desisyon at mga utos mula sa mga mababang hukuman sa buong Pilipinas. Tinitiyak nito ang pag"&amp;"kakapare-pareho sa mga legal na interpretasyon at itinatama ang mga potensyal na pagkakamali na ginawa ng mga mababang hukuman.
**Sa partikular, dinidinig ng Korte Suprema ang mga apela sa:**
* **Constitutionality of Laws:** Mga kaso kung saan ang konstit"&amp;"usyonalidad o bisa ng anumang batas, presidential decree, o regulasyon ay kinukuwestiyon.
* **Pagbubuwis:** Mga kaso na kinasasangkutan ng legalidad ng anumang buwis, impost, pagtatasa, o toll.
* **Jurisdiction of Lower Courts:** Mga kaso kung saan ang hu"&amp;"risdiksyon ng alinmang mababang hukuman ay pinagtatalunan.
* **Mga Malubhang Kaso ng Kriminal:** Mga kasong kriminal na may parusang reclusion perpetua (pagkakulong nang hindi bababa sa 20 taon at 1 araw) o mas mataas.
* **Mga Tanong sa Batas:** Mga kaso "&amp;"kung saan isang pagkakamali o tanong ng batas lang ang nasasangkot.
**Mga Limitasyon:**
* **Generally Doesn't Hear Facts-Based Appeals:** Ang Korte Suprema ay karaniwang tumutuon sa mga legal na katanungan at hindi muling sinusuri ang mga natuklasan ng ka"&amp;"totohanang ginawa ng mga mababang hukuman maliban kung napatunayang malinaw na mali.
**Kahalagahan ng Korte Suprema:**
Ang Korte Suprema ay gumaganap ng kritikal na papel sa **pagbibigay-kahulugan sa Konstitusyon**, tinitiyak ang **katarungan** sa pamamag"&amp;"itan ng pag-apela nito, at pangangalaga sa **pangunahing karapatan** sa pamamagitan ng orihinal na hurisdiksyon sa mga writ. Ang mga desisyon nito ay nagtatakda ng mga legal na pamarisan na nagbubuklod sa mga mababang hukuman at humuhubog sa legal na tana"&amp;"win ng Pilipinas.")</f>
        <v>Ang Korte Suprema ng Pilipinas ay ang pinakamataas na hukuman sa sistema ng hudikatura at may hawak na **malawak na hurisdiksyon**, ibig sabihin ay maaari itong dumirinig ng malawak na hanay ng mga kaso. Narito ang isang breakdown ng mga pangunahing awtoridad nito:
**Orihinal na Jurisdiction:**
* **Mga Kaso na Nakakaapekto sa mga Ambassador at Iba Pang Diplomats:** Ang Korte Suprema ay may **eksklusibong hurisdiksyon** sa mga legal na kaso na kinasasangkutan ng mga ambassador, iba pang pampublikong ministro, at konsul na kinikilala sa Pilipinas.
* **Petitions for Writs:** Ang Korte Suprema ay maaaring direktang dinggin ang mga petisyon para sa mga writ tulad ng certiorari, prohibition, mandamus, quo warranto, at habeas corpus. Hinahamon ng mga kasulatang ito ang legalidad ng mga aksyong ginawa ng mga mababang hukuman o mga entidad ng gobyerno. * **Mga Karagdagang Sulat:** Ang Saligang Batas ay nagbibigay ng kapangyarihan sa Korte Suprema na mag-isyu ng iba pang writ na kinakailangan upang **ipatupad ang hurisdiksyon nito** o **protektahan ang mga pangunahing karapatan**. Kabilang sa mga halimbawa ang writ of amparo (pagprotekta sa mga karapatan laban sa labag sa batas na gawain) at ang writ of kalikasan (pagprotekta sa kapaligiran).
**Jurisdiction ng Appellate:**
* **Pagsusuri sa mga Desisyon sa Mababang Korte:** Ang Korte Suprema ay nagsusuri, nagre-rebisa, nagbabago, nagpapatunay, o binabaligtad ang mga pinal na desisyon at mga utos mula sa mga mababang hukuman sa buong Pilipinas. Tinitiyak nito ang pagkakapare-pareho sa mga legal na interpretasyon at itinatama ang mga potensyal na pagkakamali na ginawa ng mga mababang hukuman.
**Sa partikular, dinidinig ng Korte Suprema ang mga apela sa:**
* **Constitutionality of Laws:** Mga kaso kung saan ang konstitusyonalidad o bisa ng anumang batas, presidential decree, o regulasyon ay kinukuwestiyon.
* **Pagbubuwis:** Mga kaso na kinasasangkutan ng legalidad ng anumang buwis, impost, pagtatasa, o toll.
* **Jurisdiction of Lower Courts:** Mga kaso kung saan ang hurisdiksyon ng alinmang mababang hukuman ay pinagtatalunan.
* **Mga Malubhang Kaso ng Kriminal:** Mga kasong kriminal na may parusang reclusion perpetua (pagkakulong nang hindi bababa sa 20 taon at 1 araw) o mas mataas.
* **Mga Tanong sa Batas:** Mga kaso kung saan isang pagkakamali o tanong ng batas lang ang nasasangkot.
**Mga Limitasyon:**
* **Generally Doesn't Hear Facts-Based Appeals:** Ang Korte Suprema ay karaniwang tumutuon sa mga legal na katanungan at hindi muling sinusuri ang mga natuklasan ng katotohanang ginawa ng mga mababang hukuman maliban kung napatunayang malinaw na mali.
**Kahalagahan ng Korte Suprema:**
Ang Korte Suprema ay gumaganap ng kritikal na papel sa **pagbibigay-kahulugan sa Konstitusyon**, tinitiyak ang **katarungan** sa pamamagitan ng pag-apela nito, at pangangalaga sa **pangunahing karapatan** sa pamamagitan ng orihinal na hurisdiksyon sa mga writ. Ang mga desisyon nito ay nagtatakda ng mga legal na pamarisan na nagbubuklod sa mga mababang hukuman at humuhubog sa legal na tanawin ng Pilipinas.</v>
      </c>
      <c r="F2830" s="2">
        <f t="shared" si="1"/>
        <v>0</v>
      </c>
      <c r="G2830" s="2"/>
      <c r="H2830" s="2"/>
      <c r="I2830" s="2"/>
      <c r="J2830" s="2"/>
      <c r="K2830" s="2"/>
      <c r="L2830" s="2"/>
      <c r="M2830" s="2"/>
      <c r="N2830" s="2"/>
      <c r="O2830" s="2"/>
      <c r="P2830" s="2"/>
      <c r="Q2830" s="2"/>
      <c r="R2830" s="2"/>
      <c r="S2830" s="2"/>
      <c r="T2830" s="2"/>
      <c r="U2830" s="2"/>
      <c r="V2830" s="2"/>
      <c r="W2830" s="2"/>
      <c r="X2830" s="2"/>
      <c r="Y2830" s="2"/>
      <c r="Z2830" s="2"/>
      <c r="AA2830" s="2"/>
    </row>
    <row r="2831">
      <c r="A2831" s="3" t="s">
        <v>6596</v>
      </c>
      <c r="B2831" s="1" t="s">
        <v>6635</v>
      </c>
      <c r="C2831" s="3" t="s">
        <v>6636</v>
      </c>
      <c r="D2831" s="2" t="str">
        <f>IFERROR(__xludf.DUMMYFUNCTION("GOOGLETRANSLATE(B2831, ""en"", ""TL"")"),"Ano ang pagkakaiba ng batas sibil at kriminal sa Pilipinas?")</f>
        <v>Ano ang pagkakaiba ng batas sibil at kriminal sa Pilipinas?</v>
      </c>
      <c r="E2831" s="2" t="str">
        <f>IFERROR(__xludf.DUMMYFUNCTION("GOOGLETRANSLATE(C2831, ""en"", ""TL"")"),"Ang sistemang legal ng Pilipinas ay ikinakategorya ang mga kaso sa batas sibil at batas kriminal, na may natatanging layunin at pamamaraan. Narito ang isang breakdown ng mga pangunahing pagkakaiba:
**Katangian ng Hindi pagkakaunawaan:**
* **Batas Sibil:**"&amp;" Nakikitungo sa mga hindi pagkakaunawaan sa pagitan ng mga pribadong indibidwal, organisasyon, o pareho. Ang mga pagtatalo na ito ay kadalasang nagsasangkot ng mga hindi pagkakasundo sa mga karapatan, obligasyon, o kabayaran para sa mga pinsala. Kasama sa"&amp;" mga halimbawa ang paglabag sa kontrata, mga hindi pagkakaunawaan sa ari-arian, at mga usapin sa batas ng pamilya.
* **Batas Kriminal:** Nakatuon sa mga pagkakasala laban sa estado at lipunan. Kasama sa mga kasong kriminal ang pag-uusig ng gobyerno sa mga"&amp;" indibidwal na di-umano'y nakagawa ng mga krimen tulad ng pagnanakaw, pag-atake, o pagkakaroon ng ilegal na droga. **Layunin:**
* **Batas Sibil:** Nilalayon na lutasin ang mga hindi pagkakaunawaan, ibalik ang mga karapatan, at magbigay ng kabayaran sa mga"&amp;" napinsalang partido. Sa ilang mga kaso, maaari rin itong maglayon na pilitin ang isang partikular na aksyon, tulad ng pagtupad sa isang obligasyong kontraktwal.
* **Batas Kriminal:** Pinapanatili ang kaayusan ng publiko, pinipigilan ang krimen, at pinapa"&amp;"rusahan ang mga nagkasala. Maaaring kabilang sa mga parusang kriminal ang pagkakulong, multa, o serbisyo sa komunidad.
**Pasan ng Patunay:**
* **Batas Sibil:** Ang pasanin ng patunay ay nakasalalay sa **nagsasakdal** (ang partidong nagsasampa ng kaso) upa"&amp;"ng patunayan ang kanilang mga pag-aangkin sa pamamagitan ng **maramihang ebidensya** (mas malamang kaysa hindi totoo).
* **Batas Kriminal:** Ang pasanin ng patunay ay nakasalalay sa **prosekusyon** (kumakatawan sa estado). Dapat nilang patunayan ang pagka"&amp;"kasala ng nasasakdal **beyond a reasonable doubt**. Ito ay mas mataas na pamantayan, na nangangailangan ng napakalakas na kaso laban sa akusado.
**Mga Kasangkot na Partido:**
* **Batas Sibil:** Ang mga kasangkot na partido ay karaniwang ang **nagsasakdal*"&amp;"* at ang **nakasakdal**. Sa ilang mga kaso, maaaring may mga karagdagang partido na may stake sa resulta.
* **Batas Kriminal:** Ang mga kasangkot na partido ay ang **pag-uusig** na kumakatawan sa estado at ang **nakasakdal**. Ang biktima ay maaring sangko"&amp;"t din sa kaso ngunit walang parehong legal na katayuan gaya ng prosekusyon.
**Mga kinalabasan:**
* **Batas Sibil:** Maaaring may kinalaman ang mga resulta ng pera (mga pinsala), mga utos na sumunod sa mga kasunduan, o mga dibisyon ng ari-arian.
* **Batas "&amp;"sa Kriminal:** Maaaring kabilang sa mga resulta ang pagkakulong, multa, probasyon, o serbisyo sa komunidad. Ang isang nasasakdal na napatunayang hindi nagkasala ay hindi nahaharap sa parusa. **Narito ang isang pagkakatulad:**
Isipin ang batas sibil bilang"&amp;" isang paraan upang **malutas ang mga hindi pagkakasundo** sa pagitan ng magkapitbahay (mga pribadong indibidwal). Ang batas ng kriminal ay gumagana tulad ng **puwersa ng pulisya**, na nagtataguyod ng kaayusan ng publiko at nagpaparusa sa mga lumalabag sa"&amp;" batas.
**Sa Konklusyon:**
Ang pag-unawa sa pagkakaiba sa pagitan ng batas sibil at kriminal ay napakahalaga para sa pag-navigate sa sistemang legal ng Pilipinas. Nakatuon ang batas sibil sa paglutas ng mga hindi pagkakaunawaan sa pagitan ng mga pribadong"&amp;" partido, habang ang batas ng kriminal ay tumutugon sa mga pagkakasala laban sa estado at lipunan.")</f>
        <v>Ang sistemang legal ng Pilipinas ay ikinakategorya ang mga kaso sa batas sibil at batas kriminal, na may natatanging layunin at pamamaraan. Narito ang isang breakdown ng mga pangunahing pagkakaiba:
**Katangian ng Hindi pagkakaunawaan:**
* **Batas Sibil:** Nakikitungo sa mga hindi pagkakaunawaan sa pagitan ng mga pribadong indibidwal, organisasyon, o pareho. Ang mga pagtatalo na ito ay kadalasang nagsasangkot ng mga hindi pagkakasundo sa mga karapatan, obligasyon, o kabayaran para sa mga pinsala. Kasama sa mga halimbawa ang paglabag sa kontrata, mga hindi pagkakaunawaan sa ari-arian, at mga usapin sa batas ng pamilya.
* **Batas Kriminal:** Nakatuon sa mga pagkakasala laban sa estado at lipunan. Kasama sa mga kasong kriminal ang pag-uusig ng gobyerno sa mga indibidwal na di-umano'y nakagawa ng mga krimen tulad ng pagnanakaw, pag-atake, o pagkakaroon ng ilegal na droga. **Layunin:**
* **Batas Sibil:** Nilalayon na lutasin ang mga hindi pagkakaunawaan, ibalik ang mga karapatan, at magbigay ng kabayaran sa mga napinsalang partido. Sa ilang mga kaso, maaari rin itong maglayon na pilitin ang isang partikular na aksyon, tulad ng pagtupad sa isang obligasyong kontraktwal.
* **Batas Kriminal:** Pinapanatili ang kaayusan ng publiko, pinipigilan ang krimen, at pinaparusahan ang mga nagkasala. Maaaring kabilang sa mga parusang kriminal ang pagkakulong, multa, o serbisyo sa komunidad.
**Pasan ng Patunay:**
* **Batas Sibil:** Ang pasanin ng patunay ay nakasalalay sa **nagsasakdal** (ang partidong nagsasampa ng kaso) upang patunayan ang kanilang mga pag-aangkin sa pamamagitan ng **maramihang ebidensya** (mas malamang kaysa hindi totoo).
* **Batas Kriminal:** Ang pasanin ng patunay ay nakasalalay sa **prosekusyon** (kumakatawan sa estado). Dapat nilang patunayan ang pagkakasala ng nasasakdal **beyond a reasonable doubt**. Ito ay mas mataas na pamantayan, na nangangailangan ng napakalakas na kaso laban sa akusado.
**Mga Kasangkot na Partido:**
* **Batas Sibil:** Ang mga kasangkot na partido ay karaniwang ang **nagsasakdal** at ang **nakasakdal**. Sa ilang mga kaso, maaaring may mga karagdagang partido na may stake sa resulta.
* **Batas Kriminal:** Ang mga kasangkot na partido ay ang **pag-uusig** na kumakatawan sa estado at ang **nakasakdal**. Ang biktima ay maaring sangkot din sa kaso ngunit walang parehong legal na katayuan gaya ng prosekusyon.
**Mga kinalabasan:**
* **Batas Sibil:** Maaaring may kinalaman ang mga resulta ng pera (mga pinsala), mga utos na sumunod sa mga kasunduan, o mga dibisyon ng ari-arian.
* **Batas sa Kriminal:** Maaaring kabilang sa mga resulta ang pagkakulong, multa, probasyon, o serbisyo sa komunidad. Ang isang nasasakdal na napatunayang hindi nagkasala ay hindi nahaharap sa parusa. **Narito ang isang pagkakatulad:**
Isipin ang batas sibil bilang isang paraan upang **malutas ang mga hindi pagkakasundo** sa pagitan ng magkapitbahay (mga pribadong indibidwal). Ang batas ng kriminal ay gumagana tulad ng **puwersa ng pulisya**, na nagtataguyod ng kaayusan ng publiko at nagpaparusa sa mga lumalabag sa batas.
**Sa Konklusyon:**
Ang pag-unawa sa pagkakaiba sa pagitan ng batas sibil at kriminal ay napakahalaga para sa pag-navigate sa sistemang legal ng Pilipinas. Nakatuon ang batas sibil sa paglutas ng mga hindi pagkakaunawaan sa pagitan ng mga pribadong partido, habang ang batas ng kriminal ay tumutugon sa mga pagkakasala laban sa estado at lipunan.</v>
      </c>
      <c r="F2831" s="2">
        <f t="shared" si="1"/>
        <v>0</v>
      </c>
      <c r="G2831" s="2"/>
      <c r="H2831" s="2"/>
      <c r="I2831" s="2"/>
      <c r="J2831" s="2"/>
      <c r="K2831" s="2"/>
      <c r="L2831" s="2"/>
      <c r="M2831" s="2"/>
      <c r="N2831" s="2"/>
      <c r="O2831" s="2"/>
      <c r="P2831" s="2"/>
      <c r="Q2831" s="2"/>
      <c r="R2831" s="2"/>
      <c r="S2831" s="2"/>
      <c r="T2831" s="2"/>
      <c r="U2831" s="2"/>
      <c r="V2831" s="2"/>
      <c r="W2831" s="2"/>
      <c r="X2831" s="2"/>
      <c r="Y2831" s="2"/>
      <c r="Z2831" s="2"/>
      <c r="AA2831" s="2"/>
    </row>
    <row r="2832">
      <c r="A2832" s="3" t="s">
        <v>6596</v>
      </c>
      <c r="B2832" s="1" t="s">
        <v>6637</v>
      </c>
      <c r="C2832" s="3" t="s">
        <v>6638</v>
      </c>
      <c r="D2832" s="2" t="str">
        <f>IFERROR(__xludf.DUMMYFUNCTION("GOOGLETRANSLATE(B2832, ""en"", ""TL"")"),"Paano pinangangasiwaan ng sistemang legal ng Pilipinas ang mga kaso na kinasasangkutan ng mga menor de edad?")</f>
        <v>Paano pinangangasiwaan ng sistemang legal ng Pilipinas ang mga kaso na kinasasangkutan ng mga menor de edad?</v>
      </c>
      <c r="E2832" s="2" t="str">
        <f>IFERROR(__xludf.DUMMYFUNCTION("GOOGLETRANSLATE(C2832, ""en"", ""TL"")"),"Ang sistemang legal ng Pilipinas ay humahawak ng mga kaso na kinasasangkutan ng mga menor de edad sa pamamagitan ng dalawang pangunahing mekanismo:
1. **Mga Espesyal na Pamamaraan at Korte:**
* **Juvenile Justice and Welfare System (JJWS):** Itinatag ng R"&amp;"epublic Act No. 9344 (RA 9344), na kilala rin bilang ""Juvenile Justice Act,"" ang sistemang ito **naglilihis sa mga batang sumasalungat sa batas (CICLs) ** mula sa regular na sistema ng hustisyang kriminal at nakatutok sa **rehabilitasyon at muling pagsa"&amp;"sama**.
* **Jurisdiction ng Court:** Regional Trial Courts (RTCs), Family Courts (kung saan available), at Metropolitan Trial Courts (MeTCs) na itinalaga bilang Juvenile Courts ang humahawak ng mga kaso sa ilalim ng RA 9344.
* **Tumutok sa Rehabilitasyon:"&amp;"** Ang JJWS ay inuuna ang **mga programa ng interbensyon** na tumutugon sa **mga ugat na sanhi** ng pagkadelingkuwensya ng isang menor de edad. Ang mga programang ito ay naglalayong tulungan ang mga menor de edad na muling makasama sa lipunan bilang mga p"&amp;"roduktibong mamamayan.
2. **Exemption mula sa Criminal Liability at Edad na Pagsasaalang-alang:**
* **Minimum Age of Criminal Responsibility (MACR):** Sa kasalukuyan, ang Pilipinas **ay walang tinukoy na MACR**. Ito ay isang punto ng patuloy na debate at "&amp;"mga panukalang pambatas.
* **Exemption Batay sa Edad:** Ang RA 9344 ay naglilibre sa isang bata **mas mababa sa 15 taong gulang** mula sa pananagutan sa kriminal. Ang mga naturang bata ay itinuturing na **napabayaan** at maaaring isailalim sa mga programa"&amp;" ng interbensyon sa ilalim ng JJWS.
* **Exemption Batay sa Discernment:** Ang isang bata **sa pagitan ng 15 at 18 taong gulang** ay maaaring ma-exempt sa criminal liability kung kumilos sila **nang walang discernment**. Ang discernment ay tumutukoy sa men"&amp;"tal at emosyonal na kakayahan ng isang bata na maunawaan ang mga kahihinatnan ng kanilang mga aksyon. * **Pagsusuri para sa Pag-unawa:** Sinusuri ng mga korte ang pag-unawa ng isang bata sa pamamagitan ng mga sikolohikal na pagtatasa at isinasaalang-alang"&amp;" ang mga partikular na kalagayan ng kaso.
**Mga Karagdagang Pagsasaalang-alang:**
* **Mga Karapatan ng Menor de edad:** Ginagarantiyahan ng Konstitusyon ng Pilipinas at RA 9344 ang mga karapatan ng mga menor de edad na sangkot sa sistemang legal. Kasama s"&amp;"a mga karapatang ito ang karapatan sa legal na tagapayo, ang karapatang maabisuhan ng mga kaso, at ang karapatan sa mabilis na paglilitis. * **Proteksyon mula sa Pagsasamantala:** Nilalayon ng legal na sistema na protektahan ang mga menor de edad mula sa "&amp;"pagsasamantala sa panahon ng legal na proseso. Maaaring sundin ang mga espesyal na pamamaraan upang mabawasan ang trauma at matiyak ang pagiging patas.
* **Pagiging Kumpidensyal:** Ang mga paglilitis sa korte ng kabataan ay karaniwang kumpidensyal upang p"&amp;"rotektahan ang privacy ng menor de edad at mga pagkakataon sa hinaharap.
**Sa pangkalahatan, kinikilala ng sistemang legal ng Pilipinas ang mga yugto ng pag-unlad ng mga menor de edad** at sinusubukang balansehin ang pananagutan sa rehabilitasyon kapag na"&amp;"kikitungo sa mga batang sangkot sa mga legal na isyu.")</f>
        <v>Ang sistemang legal ng Pilipinas ay humahawak ng mga kaso na kinasasangkutan ng mga menor de edad sa pamamagitan ng dalawang pangunahing mekanismo:
1. **Mga Espesyal na Pamamaraan at Korte:**
* **Juvenile Justice and Welfare System (JJWS):** Itinatag ng Republic Act No. 9344 (RA 9344), na kilala rin bilang "Juvenile Justice Act," ang sistemang ito **naglilihis sa mga batang sumasalungat sa batas (CICLs) ** mula sa regular na sistema ng hustisyang kriminal at nakatutok sa **rehabilitasyon at muling pagsasama**.
* **Jurisdiction ng Court:** Regional Trial Courts (RTCs), Family Courts (kung saan available), at Metropolitan Trial Courts (MeTCs) na itinalaga bilang Juvenile Courts ang humahawak ng mga kaso sa ilalim ng RA 9344.
* **Tumutok sa Rehabilitasyon:** Ang JJWS ay inuuna ang **mga programa ng interbensyon** na tumutugon sa **mga ugat na sanhi** ng pagkadelingkuwensya ng isang menor de edad. Ang mga programang ito ay naglalayong tulungan ang mga menor de edad na muling makasama sa lipunan bilang mga produktibong mamamayan.
2. **Exemption mula sa Criminal Liability at Edad na Pagsasaalang-alang:**
* **Minimum Age of Criminal Responsibility (MACR):** Sa kasalukuyan, ang Pilipinas **ay walang tinukoy na MACR**. Ito ay isang punto ng patuloy na debate at mga panukalang pambatas.
* **Exemption Batay sa Edad:** Ang RA 9344 ay naglilibre sa isang bata **mas mababa sa 15 taong gulang** mula sa pananagutan sa kriminal. Ang mga naturang bata ay itinuturing na **napabayaan** at maaaring isailalim sa mga programa ng interbensyon sa ilalim ng JJWS.
* **Exemption Batay sa Discernment:** Ang isang bata **sa pagitan ng 15 at 18 taong gulang** ay maaaring ma-exempt sa criminal liability kung kumilos sila **nang walang discernment**. Ang discernment ay tumutukoy sa mental at emosyonal na kakayahan ng isang bata na maunawaan ang mga kahihinatnan ng kanilang mga aksyon. * **Pagsusuri para sa Pag-unawa:** Sinusuri ng mga korte ang pag-unawa ng isang bata sa pamamagitan ng mga sikolohikal na pagtatasa at isinasaalang-alang ang mga partikular na kalagayan ng kaso.
**Mga Karagdagang Pagsasaalang-alang:**
* **Mga Karapatan ng Menor de edad:** Ginagarantiyahan ng Konstitusyon ng Pilipinas at RA 9344 ang mga karapatan ng mga menor de edad na sangkot sa sistemang legal. Kasama sa mga karapatang ito ang karapatan sa legal na tagapayo, ang karapatang maabisuhan ng mga kaso, at ang karapatan sa mabilis na paglilitis. * **Proteksyon mula sa Pagsasamantala:** Nilalayon ng legal na sistema na protektahan ang mga menor de edad mula sa pagsasamantala sa panahon ng legal na proseso. Maaaring sundin ang mga espesyal na pamamaraan upang mabawasan ang trauma at matiyak ang pagiging patas.
* **Pagiging Kumpidensyal:** Ang mga paglilitis sa korte ng kabataan ay karaniwang kumpidensyal upang protektahan ang privacy ng menor de edad at mga pagkakataon sa hinaharap.
**Sa pangkalahatan, kinikilala ng sistemang legal ng Pilipinas ang mga yugto ng pag-unlad ng mga menor de edad** at sinusubukang balansehin ang pananagutan sa rehabilitasyon kapag nakikitungo sa mga batang sangkot sa mga legal na isyu.</v>
      </c>
      <c r="F2832" s="2">
        <f t="shared" si="1"/>
        <v>0</v>
      </c>
      <c r="G2832" s="2"/>
      <c r="H2832" s="2"/>
      <c r="I2832" s="2"/>
      <c r="J2832" s="2"/>
      <c r="K2832" s="2"/>
      <c r="L2832" s="2"/>
      <c r="M2832" s="2"/>
      <c r="N2832" s="2"/>
      <c r="O2832" s="2"/>
      <c r="P2832" s="2"/>
      <c r="Q2832" s="2"/>
      <c r="R2832" s="2"/>
      <c r="S2832" s="2"/>
      <c r="T2832" s="2"/>
      <c r="U2832" s="2"/>
      <c r="V2832" s="2"/>
      <c r="W2832" s="2"/>
      <c r="X2832" s="2"/>
      <c r="Y2832" s="2"/>
      <c r="Z2832" s="2"/>
      <c r="AA2832" s="2"/>
    </row>
    <row r="2833">
      <c r="A2833" s="3" t="s">
        <v>6596</v>
      </c>
      <c r="B2833" s="1" t="s">
        <v>6639</v>
      </c>
      <c r="C2833" s="3" t="s">
        <v>6640</v>
      </c>
      <c r="D2833" s="2" t="str">
        <f>IFERROR(__xludf.DUMMYFUNCTION("GOOGLETRANSLATE(B2833, ""en"", ""TL"")"),"Ipagpalagay na ang isang kumpanya ng pagmimina ay nais na gumana sa isang lugar na inaangkin ng isang katutubong komunidad. Anong mga legal na hakbang ang dapat gawin ng kumpanya para matiyak ang pagsunod sa IPRA?")</f>
        <v>Ipagpalagay na ang isang kumpanya ng pagmimina ay nais na gumana sa isang lugar na inaangkin ng isang katutubong komunidad. Anong mga legal na hakbang ang dapat gawin ng kumpanya para matiyak ang pagsunod sa IPRA?</v>
      </c>
      <c r="E2833" s="2" t="str">
        <f>IFERROR(__xludf.DUMMYFUNCTION("GOOGLETRANSLATE(C2833, ""en"", ""TL"")"),"Narito ang mga legal na hakbang na dapat gawin ng kumpanya ng pagmimina upang matiyak ang pagsunod sa Indigenous Peoples' Rights Act (IPRA) kung nais nilang gumana sa isang lugar na inaangkin ng isang katutubong komunidad:
**1. Pag-verify at Claim ng Ance"&amp;"stral Domain:**
* Dapat munang **beripikahin ng kumpanya kung ang target na lugar ay nasa loob ng ancestral domain** na inaangkin ng isang katutubong komunidad. Magagawa ito sa pamamagitan ng mga titulo ng ancestral domain, certificates of ancestral land "&amp;"claim (CALC), o mga sertipikasyon na inisyu ng National Commission on Indigenous Peoples (NCIP).
**2. Free and Prior Informed Consent (FPIC):**
* Kung ang lugar ay nasa loob ng ancestral domain, ang kumpanya **ay dapat kumuha ng Free and Prior Informed Co"&amp;"nsent (FPIC)** ng apektadong katutubong komunidad. Ito ay isang pundasyong prinsipyo ng IPRA.
* **Makahulugang Diyalogo:** Ang kumpanya ay dapat makisali sa **makabuluhang diyalogo** sa katutubong komunidad upang ipaliwanag ang iminungkahing proyekto sa p"&amp;"agmimina sa isang wikang naiintindihan nila. Kabilang dito ang pagpapaliwanag sa mga potensyal na benepisyo at panganib na nauugnay sa proyekto.
* **Paggawa ng Desisyon ng Komunidad:** Ang proseso ng FPIC ay dapat igalang ang **tradisyonal na proseso ng p"&amp;"aggawa ng desisyon** ng katutubong komunidad. Maaaring kabilang dito ang mga konsultasyon sa mga elder, tribal council, at general assemblies. * **Karapatang Tumanggi:** Ang katutubong komunidad ay may **karapatan na tanggihan** ang kanilang pagsang-ayon "&amp;"sa proyekto ng pagmimina. Hindi maaaring pilitin o manipulahin ng kumpanya ang kanilang desisyon.
**3. Pag-apruba ng NCIP:**
* Ang NCIP ay gumaganap ng isang mahalagang papel sa **pangasiwaan ang proseso ng FPIC** at pagtiyak na ito ay sumusunod sa mga re"&amp;"gulasyon ng IPRA. Dapat makuha ng kumpanya ang **pag-apruba** ng NCIP sa proseso ng FPIC at ang resultang kasunduan sa katutubong komunidad.
**4. Environmental Impact Assessment (EIA):**
* Higit pa sa pagsunod sa IPRA, ang kumpanya ay dapat ding magsagawa"&amp;" ng **Environmental Impact Assessment (EIA)** ayon sa ipinag-uutos ng batas ng Pilipinas. Tinatasa nito ang mga potensyal na epekto sa kapaligiran at panlipunan ng proyekto ng pagmimina.
**5. Social Development and Management Plan (SDMP):**
* Dapat bumuo "&amp;"ang kumpanya ng **Social Development and Management Plan (SDMP)** sa konsultasyon sa katutubong komunidad. Ang planong ito ay dapat magbalangkas ng mga hakbang upang matugunan ang mga panlipunang epekto ng proyekto at isulong ang napapanatiling pag-unlad "&amp;"ng komunidad.
**Ang pagsunod sa mga hakbang na ito ay nakakatulong na matiyak ang paggalang sa mga karapatan ng mga katutubo** at nagtataguyod ng mga responsableng gawi sa pagmimina sa Pilipinas. **Mga Karagdagang Pagsasaalang-alang:**
* **Paggalang sa Ka"&amp;"tutubong Kultura:** Dapat ipakita ng mga kumpanya ang paggalang sa kultura ng katutubong pamayanan at mga tradisyonal na gawi sa buong proseso.
* **Transparency at Komunikasyon:** Ang bukas at tapat na komunikasyon ay mahalaga para sa pagbuo ng tiwala sa "&amp;"katutubong komunidad.
* **Resolusyon sa Salungatan:** Dapat na may mga mekanismo upang matugunan ang anumang mga salungatan na maaaring lumitaw sa panahon ng proseso ng FPIC o mismong operasyon ng pagmimina.
Sa pamamagitan ng pagsunod sa isang legal at et"&amp;"ikal na diskarte, ang mga kumpanya ng pagmimina ay maaaring gumana sa ancestral domain habang iginagalang ang mga karapatan at kagalingan ng mga katutubong komunidad.")</f>
        <v>Narito ang mga legal na hakbang na dapat gawin ng kumpanya ng pagmimina upang matiyak ang pagsunod sa Indigenous Peoples' Rights Act (IPRA) kung nais nilang gumana sa isang lugar na inaangkin ng isang katutubong komunidad:
**1. Pag-verify at Claim ng Ancestral Domain:**
* Dapat munang **beripikahin ng kumpanya kung ang target na lugar ay nasa loob ng ancestral domain** na inaangkin ng isang katutubong komunidad. Magagawa ito sa pamamagitan ng mga titulo ng ancestral domain, certificates of ancestral land claim (CALC), o mga sertipikasyon na inisyu ng National Commission on Indigenous Peoples (NCIP).
**2. Free and Prior Informed Consent (FPIC):**
* Kung ang lugar ay nasa loob ng ancestral domain, ang kumpanya **ay dapat kumuha ng Free and Prior Informed Consent (FPIC)** ng apektadong katutubong komunidad. Ito ay isang pundasyong prinsipyo ng IPRA.
* **Makahulugang Diyalogo:** Ang kumpanya ay dapat makisali sa **makabuluhang diyalogo** sa katutubong komunidad upang ipaliwanag ang iminungkahing proyekto sa pagmimina sa isang wikang naiintindihan nila. Kabilang dito ang pagpapaliwanag sa mga potensyal na benepisyo at panganib na nauugnay sa proyekto.
* **Paggawa ng Desisyon ng Komunidad:** Ang proseso ng FPIC ay dapat igalang ang **tradisyonal na proseso ng paggawa ng desisyon** ng katutubong komunidad. Maaaring kabilang dito ang mga konsultasyon sa mga elder, tribal council, at general assemblies. * **Karapatang Tumanggi:** Ang katutubong komunidad ay may **karapatan na tanggihan** ang kanilang pagsang-ayon sa proyekto ng pagmimina. Hindi maaaring pilitin o manipulahin ng kumpanya ang kanilang desisyon.
**3. Pag-apruba ng NCIP:**
* Ang NCIP ay gumaganap ng isang mahalagang papel sa **pangasiwaan ang proseso ng FPIC** at pagtiyak na ito ay sumusunod sa mga regulasyon ng IPRA. Dapat makuha ng kumpanya ang **pag-apruba** ng NCIP sa proseso ng FPIC at ang resultang kasunduan sa katutubong komunidad.
**4. Environmental Impact Assessment (EIA):**
* Higit pa sa pagsunod sa IPRA, ang kumpanya ay dapat ding magsagawa ng **Environmental Impact Assessment (EIA)** ayon sa ipinag-uutos ng batas ng Pilipinas. Tinatasa nito ang mga potensyal na epekto sa kapaligiran at panlipunan ng proyekto ng pagmimina.
**5. Social Development and Management Plan (SDMP):**
* Dapat bumuo ang kumpanya ng **Social Development and Management Plan (SDMP)** sa konsultasyon sa katutubong komunidad. Ang planong ito ay dapat magbalangkas ng mga hakbang upang matugunan ang mga panlipunang epekto ng proyekto at isulong ang napapanatiling pag-unlad ng komunidad.
**Ang pagsunod sa mga hakbang na ito ay nakakatulong na matiyak ang paggalang sa mga karapatan ng mga katutubo** at nagtataguyod ng mga responsableng gawi sa pagmimina sa Pilipinas. **Mga Karagdagang Pagsasaalang-alang:**
* **Paggalang sa Katutubong Kultura:** Dapat ipakita ng mga kumpanya ang paggalang sa kultura ng katutubong pamayanan at mga tradisyonal na gawi sa buong proseso.
* **Transparency at Komunikasyon:** Ang bukas at tapat na komunikasyon ay mahalaga para sa pagbuo ng tiwala sa katutubong komunidad.
* **Resolusyon sa Salungatan:** Dapat na may mga mekanismo upang matugunan ang anumang mga salungatan na maaaring lumitaw sa panahon ng proseso ng FPIC o mismong operasyon ng pagmimina.
Sa pamamagitan ng pagsunod sa isang legal at etikal na diskarte, ang mga kumpanya ng pagmimina ay maaaring gumana sa ancestral domain habang iginagalang ang mga karapatan at kagalingan ng mga katutubong komunidad.</v>
      </c>
      <c r="F2833" s="2">
        <f t="shared" si="1"/>
        <v>0</v>
      </c>
      <c r="G2833" s="2"/>
      <c r="H2833" s="2"/>
      <c r="I2833" s="2"/>
      <c r="J2833" s="2"/>
      <c r="K2833" s="2"/>
      <c r="L2833" s="2"/>
      <c r="M2833" s="2"/>
      <c r="N2833" s="2"/>
      <c r="O2833" s="2"/>
      <c r="P2833" s="2"/>
      <c r="Q2833" s="2"/>
      <c r="R2833" s="2"/>
      <c r="S2833" s="2"/>
      <c r="T2833" s="2"/>
      <c r="U2833" s="2"/>
      <c r="V2833" s="2"/>
      <c r="W2833" s="2"/>
      <c r="X2833" s="2"/>
      <c r="Y2833" s="2"/>
      <c r="Z2833" s="2"/>
      <c r="AA2833" s="2"/>
    </row>
    <row r="2834">
      <c r="A2834" s="3" t="s">
        <v>6596</v>
      </c>
      <c r="B2834" s="3" t="s">
        <v>6641</v>
      </c>
      <c r="C2834" s="3" t="s">
        <v>6642</v>
      </c>
      <c r="D2834" s="2" t="str">
        <f>IFERROR(__xludf.DUMMYFUNCTION("GOOGLETRANSLATE(B2834, ""en"", ""TL"")"),"Anong mga legal na mekanismo ang inilalagay sa Pilipinas upang matiyak ang partisipasyon ng mga katutubo sa mga proseso ng paggawa ng desisyon na nakakaapekto sa kanilang mga karapatan at kapakanan, partikular sa mga bagay na may kinalaman sa pamamahala n"&amp;"g mapagkukunan at mga proyektong pangkaunlaran sa kanilang mga lupaing ninuno?")</f>
        <v>Anong mga legal na mekanismo ang inilalagay sa Pilipinas upang matiyak ang partisipasyon ng mga katutubo sa mga proseso ng paggawa ng desisyon na nakakaapekto sa kanilang mga karapatan at kapakanan, partikular sa mga bagay na may kinalaman sa pamamahala ng mapagkukunan at mga proyektong pangkaunlaran sa kanilang mga lupaing ninuno?</v>
      </c>
      <c r="E2834" s="2" t="str">
        <f>IFERROR(__xludf.DUMMYFUNCTION("GOOGLETRANSLATE(C2834, ""en"", ""TL"")"),"Ang Pilipinas ay may ilang mga legal na mekanismo upang matiyak ang pakikilahok ng mga katutubo sa mga proseso ng paggawa ng desisyon, partikular na tungkol sa mga proyekto sa pagpapaunlad ng mapagkukunan sa kanilang mga lupaing ninuno. Narito ang mga sus"&amp;"i:
**1. Batas sa Karapatan ng mga Katutubo (IPRA):**
* **Cornerstone Legislation:** Ang **Indigenous Peoples' Rights Act of 1997 (Republic Act No. 8371)** ay ang sentral na legal na balangkas na nagpoprotekta sa mga karapatan ng mga katutubo sa Pilipinas."&amp;" * **Right to Self-Determination:** Kinikilala ng IPRA ang **karapatan ng mga katutubo sa sariling pagpapasya** (Seksyon 3, Artikulo XIII). Kabilang dito ang karapatang lumahok sa mga desisyon na nakakaapekto sa kanilang mga lupain, mapagkukunan, at pag-u"&amp;"nlad.
* **Free and Prior Informed Consent (FPIC):** Ang isang pundasyong prinsipyo ng IPRA ay **Free and Prior Informed Consent (FPIC)** (Seksyon 2, Artikulo XIII). Ipinag-uutos nito ang pagkuha ng pahintulot ng mga katutubong komunidad bago magsagawa ng "&amp;"anumang proyektong makakaapekto sa kanilang mga ninuno. Ang proseso ng FPIC ay dapat na makabuluhan at iginagalang ang kanilang mga tradisyonal na proseso ng paggawa ng desisyon.
**2. National Commission on Indigenous Peoples (NCIP):**
* **Ahensiya ng Gob"&amp;"yerno:** Ang **National Commission on Indigenous Peoples (NCIP)** ay isang ahensya ng gobyerno na responsable sa pagtataguyod ng mga karapatan at kapakanan ng mga katutubong kultural na komunidad (ICCs) sa Pilipinas.
* **Pagpapadali sa FPIC:** Ang NCIP ay"&amp;" gumaganap ng isang mahalagang papel sa **pangasiwaan ang proseso ng FPIC** sa pagitan ng mga katutubong komunidad at mga tagapagtaguyod ng mga proyektong pangkaunlaran (Seksyon 5, Artikulo XIV). * **Pagtitiyak ng Pagsunod:** Ang NCIP **sinusubaybayan ang"&amp;" pagsunod** sa mga probisyon ng IPRA at tinitiyak na ang proseso ng FPIC ay isinasagawa nang patas at alinsunod sa batas.
**3. Ancestral Domain Sustainable Development and Protection Plan (ADSDPP):**
* **Community-Driven Development:** Ang **Ancestral Dom"&amp;"ain Sustainable Development and Protection Plan (ADSDPP)** ay isang community-driven na plano na binuo ng mga katutubong komunidad na may teknikal na tulong mula sa NCIP.
* **Pagtukoy sa Mga Priyoridad sa Pag-unlad:** Tinutukoy ng ADSDPP ang **mga priyori"&amp;"dad sa pag-unlad** at mga adhikain ng katutubong komunidad para sa kanilang ancestral domain. Ang planong ito ay nagsisilbing gabay para sa pamamahala ng mapagkukunan at mga proyekto sa pagpapaunlad sa loob ng ancestral domain.
**4. Plano sa Pamamahala ng"&amp;" Ancestral Domain (ADMAP):**
* **Project-Specific Plan:** Bilang karagdagan sa ADSDPP sa buong komunidad, ang mga partikular na proyekto sa pagpapaunlad ay maaaring mangailangan ng **Ancestral Domain Management Plan (ADMAP)**.
* **Detalyadong Disenyo ng P"&amp;"royekto:** Ang ADMAP ay nagbibigay ng mas detalyadong plano para sa isang partikular na proyekto sa pagpapaunlad ng mapagkukunan sa loob ng isang ancestral domain. Dapat itong paunlarin sa partisipasyon ng apektadong katutubong komunidad.
**5. Mga Legal n"&amp;"a Hamon at Kahalagahan ng Pagpapatupad:**
* **Hindi pantay na Power Dynamics:** Sa kabila ng mga mekanismong ito, nananatiling isang hamon ang pagtiyak ng makabuluhang pakikilahok ng mga katutubo. Ang mga katutubong komunidad ay madalas na nahaharap sa hi"&amp;"ndi pantay na dinamika ng kapangyarihan kumpara sa mga ahensya ng gobyerno at mga kumpanya sa pagpapaunlad ng mapagkukunan.
* **Kahalagahan ng Pagpapatupad:** Ang mahigpit na pagpapatupad ng mga probisyon ng IPRA ng NCIP at ng mga korte ay kritikal upang "&amp;"matiyak na ang pakikilahok ng mga katutubo ay hindi lamang isang pormalidad sa pamamaraan kundi isang mahalagang karapatan na humahantong sa mga positibong resulta para sa mga katutubong komunidad.
**Sa Konklusyon:**
Kinikilala ng legal na balangkas ng Pi"&amp;"lipinas ang karapatan ng mga katutubong komunidad na lumahok sa mga desisyon na nakakaapekto sa kanilang mga lupaing ninuno at mga mapagkukunan. Gayunpaman, kailangan ang patuloy na pagsisikap upang matiyak ang epektibong pagpapatupad at pagpapatupad ng m"&amp;"ga mekanismong ito upang matiyak ang makabuluhang pakikilahok at protektahan ang mga karapatan ng mga katutubo sa Pilipinas.")</f>
        <v>Ang Pilipinas ay may ilang mga legal na mekanismo upang matiyak ang pakikilahok ng mga katutubo sa mga proseso ng paggawa ng desisyon, partikular na tungkol sa mga proyekto sa pagpapaunlad ng mapagkukunan sa kanilang mga lupaing ninuno. Narito ang mga susi:
**1. Batas sa Karapatan ng mga Katutubo (IPRA):**
* **Cornerstone Legislation:** Ang **Indigenous Peoples' Rights Act of 1997 (Republic Act No. 8371)** ay ang sentral na legal na balangkas na nagpoprotekta sa mga karapatan ng mga katutubo sa Pilipinas. * **Right to Self-Determination:** Kinikilala ng IPRA ang **karapatan ng mga katutubo sa sariling pagpapasya** (Seksyon 3, Artikulo XIII). Kabilang dito ang karapatang lumahok sa mga desisyon na nakakaapekto sa kanilang mga lupain, mapagkukunan, at pag-unlad.
* **Free and Prior Informed Consent (FPIC):** Ang isang pundasyong prinsipyo ng IPRA ay **Free and Prior Informed Consent (FPIC)** (Seksyon 2, Artikulo XIII). Ipinag-uutos nito ang pagkuha ng pahintulot ng mga katutubong komunidad bago magsagawa ng anumang proyektong makakaapekto sa kanilang mga ninuno. Ang proseso ng FPIC ay dapat na makabuluhan at iginagalang ang kanilang mga tradisyonal na proseso ng paggawa ng desisyon.
**2. National Commission on Indigenous Peoples (NCIP):**
* **Ahensiya ng Gobyerno:** Ang **National Commission on Indigenous Peoples (NCIP)** ay isang ahensya ng gobyerno na responsable sa pagtataguyod ng mga karapatan at kapakanan ng mga katutubong kultural na komunidad (ICCs) sa Pilipinas.
* **Pagpapadali sa FPIC:** Ang NCIP ay gumaganap ng isang mahalagang papel sa **pangasiwaan ang proseso ng FPIC** sa pagitan ng mga katutubong komunidad at mga tagapagtaguyod ng mga proyektong pangkaunlaran (Seksyon 5, Artikulo XIV). * **Pagtitiyak ng Pagsunod:** Ang NCIP **sinusubaybayan ang pagsunod** sa mga probisyon ng IPRA at tinitiyak na ang proseso ng FPIC ay isinasagawa nang patas at alinsunod sa batas.
**3. Ancestral Domain Sustainable Development and Protection Plan (ADSDPP):**
* **Community-Driven Development:** Ang **Ancestral Domain Sustainable Development and Protection Plan (ADSDPP)** ay isang community-driven na plano na binuo ng mga katutubong komunidad na may teknikal na tulong mula sa NCIP.
* **Pagtukoy sa Mga Priyoridad sa Pag-unlad:** Tinutukoy ng ADSDPP ang **mga priyoridad sa pag-unlad** at mga adhikain ng katutubong komunidad para sa kanilang ancestral domain. Ang planong ito ay nagsisilbing gabay para sa pamamahala ng mapagkukunan at mga proyekto sa pagpapaunlad sa loob ng ancestral domain.
**4. Plano sa Pamamahala ng Ancestral Domain (ADMAP):**
* **Project-Specific Plan:** Bilang karagdagan sa ADSDPP sa buong komunidad, ang mga partikular na proyekto sa pagpapaunlad ay maaaring mangailangan ng **Ancestral Domain Management Plan (ADMAP)**.
* **Detalyadong Disenyo ng Proyekto:** Ang ADMAP ay nagbibigay ng mas detalyadong plano para sa isang partikular na proyekto sa pagpapaunlad ng mapagkukunan sa loob ng isang ancestral domain. Dapat itong paunlarin sa partisipasyon ng apektadong katutubong komunidad.
**5. Mga Legal na Hamon at Kahalagahan ng Pagpapatupad:**
* **Hindi pantay na Power Dynamics:** Sa kabila ng mga mekanismong ito, nananatiling isang hamon ang pagtiyak ng makabuluhang pakikilahok ng mga katutubo. Ang mga katutubong komunidad ay madalas na nahaharap sa hindi pantay na dinamika ng kapangyarihan kumpara sa mga ahensya ng gobyerno at mga kumpanya sa pagpapaunlad ng mapagkukunan.
* **Kahalagahan ng Pagpapatupad:** Ang mahigpit na pagpapatupad ng mga probisyon ng IPRA ng NCIP at ng mga korte ay kritikal upang matiyak na ang pakikilahok ng mga katutubo ay hindi lamang isang pormalidad sa pamamaraan kundi isang mahalagang karapatan na humahantong sa mga positibong resulta para sa mga katutubong komunidad.
**Sa Konklusyon:**
Kinikilala ng legal na balangkas ng Pilipinas ang karapatan ng mga katutubong komunidad na lumahok sa mga desisyon na nakakaapekto sa kanilang mga lupaing ninuno at mga mapagkukunan. Gayunpaman, kailangan ang patuloy na pagsisikap upang matiyak ang epektibong pagpapatupad at pagpapatupad ng mga mekanismong ito upang matiyak ang makabuluhang pakikilahok at protektahan ang mga karapatan ng mga katutubo sa Pilipinas.</v>
      </c>
      <c r="F2834" s="2">
        <f t="shared" si="1"/>
        <v>0</v>
      </c>
      <c r="G2834" s="2"/>
      <c r="H2834" s="2"/>
      <c r="I2834" s="2"/>
      <c r="J2834" s="2"/>
      <c r="K2834" s="2"/>
      <c r="L2834" s="2"/>
      <c r="M2834" s="2"/>
      <c r="N2834" s="2"/>
      <c r="O2834" s="2"/>
      <c r="P2834" s="2"/>
      <c r="Q2834" s="2"/>
      <c r="R2834" s="2"/>
      <c r="S2834" s="2"/>
      <c r="T2834" s="2"/>
      <c r="U2834" s="2"/>
      <c r="V2834" s="2"/>
      <c r="W2834" s="2"/>
      <c r="X2834" s="2"/>
      <c r="Y2834" s="2"/>
      <c r="Z2834" s="2"/>
      <c r="AA2834" s="2"/>
    </row>
    <row r="2835">
      <c r="A2835" s="3" t="s">
        <v>6596</v>
      </c>
      <c r="B2835" s="1" t="s">
        <v>6643</v>
      </c>
      <c r="C2835" s="3" t="s">
        <v>6644</v>
      </c>
      <c r="D2835" s="2" t="str">
        <f>IFERROR(__xludf.DUMMYFUNCTION("GOOGLETRANSLATE(B2835, ""en"", ""TL"")"),"Isipin ang isang sitwasyon kung saan ang isang proyekto sa imprastraktura ng gobyerno ay nagbabanta sa lupaing ninuno ng isang katutubong grupo. Anong legal na paraan ang mayroon ang mga katutubo sa ilalim ng IPRA?")</f>
        <v>Isipin ang isang sitwasyon kung saan ang isang proyekto sa imprastraktura ng gobyerno ay nagbabanta sa lupaing ninuno ng isang katutubong grupo. Anong legal na paraan ang mayroon ang mga katutubo sa ilalim ng IPRA?</v>
      </c>
      <c r="E2835" s="2" t="str">
        <f>IFERROR(__xludf.DUMMYFUNCTION("GOOGLETRANSLATE(C2835, ""en"", ""TL"")"),"Narito kung paano magagamit ng isang katutubong komunidad ang IPRA kung ang isang proyekto sa imprastraktura ng pamahalaan ay nagbabanta sa kanilang lupaing ninuno:
**1. Igiit ang Claim ng Ancestral Domain:**
* Dapat munang itatag ng katutubong komunidad "&amp;"ang kanilang pag-angkin sa lupaing ninuno na naapektuhan ng proyekto. Ito ay maipapakita sa pamamagitan ng mga titulo ng ancestral domain, certificates of ancestral land claim (CALC), o mga sertipikasyon na inisyu ng National Commission on Indigenous Peop"&amp;"les (NCIP).
**2. I-verify ang Pagsunod sa FPIC:**
* Siyasatin kung isinagawa ng ahensya ng gobyerno ang prosesong **Free and Prior Informed Consent (FPIC)** ayon sa mandato ng IPRA (Seksyon 2, Artikulo XIII). Ang prosesong ito ay nangangailangan ng:
* **M"&amp;"akahulugang Diyalogo:** Dapat ay ipinaliwanag ng ahensya ng gobyerno ang mga detalye ng proyekto sa wikang naiintindihan ng komunidad, kabilang ang mga potensyal na benepisyo at panganib.
* **Paggawa ng Desisyon ng Komunidad:** Ang proseso ng FPIC ay dapa"&amp;"t na iginagalang ang mga tradisyonal na proseso ng paggawa ng desisyon ng komunidad (mga konsultasyon sa mga matatanda, mga konseho ng tribo, mga pangkalahatang pagtitipon).
* **Karapatang Tumanggi:** Ang komunidad ay may karapatang tumanggi sa pahintulot"&amp;" para sa proyekto. **3. Mga Legal na Pagpipilian kung Nilabag ang FPIC:**
* Kung naniniwala ang komunidad na ang proseso ng FPIC **ay hindi naisagawa nang maayos o hindi nakuha ang kanilang pahintulot**, mayroon silang ilang legal na opsyon:
* **Negosasyo"&amp;"n at Pamamagitan:** Maaaring subukan ng komunidad na makipag-ayos sa ahensya ng gobyerno upang matugunan ang kanilang mga alalahanin at posibleng magkaroon ng kasunduan. Mapapadali ng NCIP ang mga pagsisikap sa pamamagitan.
* **Legal na Aksyon:** Ang komu"&amp;"nidad ay maaaring magsampa ng legal na reklamo sa NCIP o humingi ng judicial review sa pamamagitan ng sistema ng hukuman. Maaari silang mangatuwiran na ang proyekto ay lumalabag sa kanilang mga karapatan sa ilalim ng IPRA at ng Konstitusyon ng Pilipinas.
"&amp;"**4. Karapatan sa Kabayaran:**
* Kahit na nakuha ang tamang FPIC, ang komunidad ay maaari pa ring magkaroon ng **makatarungang kabayaran** para sa anumang pagkawala ng lupa o mapagkukunan dahil sa proyekto (Seksyon 19, Artikulo XIII). Ang halaga ng kabaya"&amp;"ran ay dapat pag-usapan sa pamamagitan ng proseso ng FPIC.
**5. Ancestral Domain Sustainable Development and Protection Plan (ADSDPP):**
* Maaaring sumangguni ang komunidad sa kanilang **Ancestral Domain Sustainable Development and Protection Plan (ADSDPP"&amp;")** na binuo sa tulong ng NCIP. Dapat ipakita ng planong ito ang kanilang mga priyoridad sa pagpapaunlad at mga pananaw para sa kanilang ancestral domain, na posibleng makaimpluwensya kung paano idinisenyo at ipinapatupad ang proyektong pang-imprastraktur"&amp;"a.
**Tungkulin ng NCIP:**
* Ang **National Commission on Indigenous Peoples (NCIP)** ay gumaganap ng mahalagang papel sa pagsuporta sa mga katutubong komunidad sa buong prosesong ito. Maaari silang:
* **I-verify ang Pagsunod sa FPIC:** Siyasatin ang mga p"&amp;"aratang ng mga hindi wastong pamamaraan ng FPIC.
* **Padaliin ang Negosasyon at Pamamagitan:** Tulungan ang magkabilang panig sa pag-abot ng isang mapayapang solusyon.
* **Legal na Tulong:** Magbigay ng legal na payo at representasyon sa mga katutubong ko"&amp;"munidad na nagsasagawa ng legal na aksyon.
**Mga Hamon at Kahalagahan ng Pagpapatupad:**
* **Hindi pantay na Power Dynamics:** Ang mga katutubong komunidad ay madalas na nahaharap sa hindi pantay na dynamics ng kapangyarihan kumpara sa mga ahensya ng goby"&amp;"erno. Maaaring kailanganin ang malakas na adbokasiya at legal na suporta.
* **Kahalagahan ng Pagpapatupad:** Ang epektibong pagpapatupad ng mga probisyon ng IPRA ng NCIP at mga korte ay kritikal upang matiyak na ang legal na paraan na nakabalangkas sa ita"&amp;"as ay isasalin sa makabuluhang proteksyon para sa mga katutubong komunidad at kanilang mga lupaing ninuno.
Sa pamamagitan ng pag-unawa sa kanilang mga karapatan sa ilalim ng IPRA at paggamit ng mga magagamit na legal na mekanismo, ang mga katutubong komun"&amp;"idad ay maaaring magkaroon ng mas malakas na boses sa pagprotekta sa kanilang mga lupaing ninuno mula sa mga proyektong pang-imprastraktura ng pamahalaan.")</f>
        <v>Narito kung paano magagamit ng isang katutubong komunidad ang IPRA kung ang isang proyekto sa imprastraktura ng pamahalaan ay nagbabanta sa kanilang lupaing ninuno:
**1. Igiit ang Claim ng Ancestral Domain:**
* Dapat munang itatag ng katutubong komunidad ang kanilang pag-angkin sa lupaing ninuno na naapektuhan ng proyekto. Ito ay maipapakita sa pamamagitan ng mga titulo ng ancestral domain, certificates of ancestral land claim (CALC), o mga sertipikasyon na inisyu ng National Commission on Indigenous Peoples (NCIP).
**2. I-verify ang Pagsunod sa FPIC:**
* Siyasatin kung isinagawa ng ahensya ng gobyerno ang prosesong **Free and Prior Informed Consent (FPIC)** ayon sa mandato ng IPRA (Seksyon 2, Artikulo XIII). Ang prosesong ito ay nangangailangan ng:
* **Makahulugang Diyalogo:** Dapat ay ipinaliwanag ng ahensya ng gobyerno ang mga detalye ng proyekto sa wikang naiintindihan ng komunidad, kabilang ang mga potensyal na benepisyo at panganib.
* **Paggawa ng Desisyon ng Komunidad:** Ang proseso ng FPIC ay dapat na iginagalang ang mga tradisyonal na proseso ng paggawa ng desisyon ng komunidad (mga konsultasyon sa mga matatanda, mga konseho ng tribo, mga pangkalahatang pagtitipon).
* **Karapatang Tumanggi:** Ang komunidad ay may karapatang tumanggi sa pahintulot para sa proyekto. **3. Mga Legal na Pagpipilian kung Nilabag ang FPIC:**
* Kung naniniwala ang komunidad na ang proseso ng FPIC **ay hindi naisagawa nang maayos o hindi nakuha ang kanilang pahintulot**, mayroon silang ilang legal na opsyon:
* **Negosasyon at Pamamagitan:** Maaaring subukan ng komunidad na makipag-ayos sa ahensya ng gobyerno upang matugunan ang kanilang mga alalahanin at posibleng magkaroon ng kasunduan. Mapapadali ng NCIP ang mga pagsisikap sa pamamagitan.
* **Legal na Aksyon:** Ang komunidad ay maaaring magsampa ng legal na reklamo sa NCIP o humingi ng judicial review sa pamamagitan ng sistema ng hukuman. Maaari silang mangatuwiran na ang proyekto ay lumalabag sa kanilang mga karapatan sa ilalim ng IPRA at ng Konstitusyon ng Pilipinas.
**4. Karapatan sa Kabayaran:**
* Kahit na nakuha ang tamang FPIC, ang komunidad ay maaari pa ring magkaroon ng **makatarungang kabayaran** para sa anumang pagkawala ng lupa o mapagkukunan dahil sa proyekto (Seksyon 19, Artikulo XIII). Ang halaga ng kabayaran ay dapat pag-usapan sa pamamagitan ng proseso ng FPIC.
**5. Ancestral Domain Sustainable Development and Protection Plan (ADSDPP):**
* Maaaring sumangguni ang komunidad sa kanilang **Ancestral Domain Sustainable Development and Protection Plan (ADSDPP)** na binuo sa tulong ng NCIP. Dapat ipakita ng planong ito ang kanilang mga priyoridad sa pagpapaunlad at mga pananaw para sa kanilang ancestral domain, na posibleng makaimpluwensya kung paano idinisenyo at ipinapatupad ang proyektong pang-imprastraktura.
**Tungkulin ng NCIP:**
* Ang **National Commission on Indigenous Peoples (NCIP)** ay gumaganap ng mahalagang papel sa pagsuporta sa mga katutubong komunidad sa buong prosesong ito. Maaari silang:
* **I-verify ang Pagsunod sa FPIC:** Siyasatin ang mga paratang ng mga hindi wastong pamamaraan ng FPIC.
* **Padaliin ang Negosasyon at Pamamagitan:** Tulungan ang magkabilang panig sa pag-abot ng isang mapayapang solusyon.
* **Legal na Tulong:** Magbigay ng legal na payo at representasyon sa mga katutubong komunidad na nagsasagawa ng legal na aksyon.
**Mga Hamon at Kahalagahan ng Pagpapatupad:**
* **Hindi pantay na Power Dynamics:** Ang mga katutubong komunidad ay madalas na nahaharap sa hindi pantay na dynamics ng kapangyarihan kumpara sa mga ahensya ng gobyerno. Maaaring kailanganin ang malakas na adbokasiya at legal na suporta.
* **Kahalagahan ng Pagpapatupad:** Ang epektibong pagpapatupad ng mga probisyon ng IPRA ng NCIP at mga korte ay kritikal upang matiyak na ang legal na paraan na nakabalangkas sa itaas ay isasalin sa makabuluhang proteksyon para sa mga katutubong komunidad at kanilang mga lupaing ninuno.
Sa pamamagitan ng pag-unawa sa kanilang mga karapatan sa ilalim ng IPRA at paggamit ng mga magagamit na legal na mekanismo, ang mga katutubong komunidad ay maaaring magkaroon ng mas malakas na boses sa pagprotekta sa kanilang mga lupaing ninuno mula sa mga proyektong pang-imprastraktura ng pamahalaan.</v>
      </c>
      <c r="F2835" s="2">
        <f t="shared" si="1"/>
        <v>0</v>
      </c>
      <c r="G2835" s="2"/>
      <c r="H2835" s="2"/>
      <c r="I2835" s="2"/>
      <c r="J2835" s="2"/>
      <c r="K2835" s="2"/>
      <c r="L2835" s="2"/>
      <c r="M2835" s="2"/>
      <c r="N2835" s="2"/>
      <c r="O2835" s="2"/>
      <c r="P2835" s="2"/>
      <c r="Q2835" s="2"/>
      <c r="R2835" s="2"/>
      <c r="S2835" s="2"/>
      <c r="T2835" s="2"/>
      <c r="U2835" s="2"/>
      <c r="V2835" s="2"/>
      <c r="W2835" s="2"/>
      <c r="X2835" s="2"/>
      <c r="Y2835" s="2"/>
      <c r="Z2835" s="2"/>
      <c r="AA2835" s="2"/>
    </row>
    <row r="2836">
      <c r="A2836" s="3" t="s">
        <v>6596</v>
      </c>
      <c r="B2836" s="1" t="s">
        <v>6645</v>
      </c>
      <c r="C2836" s="3" t="s">
        <v>6646</v>
      </c>
      <c r="D2836" s="2" t="str">
        <f>IFERROR(__xludf.DUMMYFUNCTION("GOOGLETRANSLATE(B2836, ""en"", ""TL"")"),"Kung plano ng developer na magtayo ng resort sa lupang ninuno, paano nila matitiyak na makakakuha sila ng wastong pahintulot mula sa katutubong komunidad sa ilalim ng IPRA?")</f>
        <v>Kung plano ng developer na magtayo ng resort sa lupang ninuno, paano nila matitiyak na makakakuha sila ng wastong pahintulot mula sa katutubong komunidad sa ilalim ng IPRA?</v>
      </c>
      <c r="E2836" s="2" t="str">
        <f>IFERROR(__xludf.DUMMYFUNCTION("GOOGLETRANSLATE(C2836, ""en"", ""TL"")"),"Narito kung paano matitiyak ng isang developer na makakakuha sila ng wastong pahintulot mula sa isang katutubong komunidad para sa isang proyekto ng resort sa kanilang lupaing ninuno, na sumusunod sa Indigenous Peoples' Rights Act (IPRA):
**1. Pagpapatuna"&amp;"y ng Claim ng Ancestral Domain:**
* Bago magpatuloy, dapat **i-verify ng developer kung ang target na lugar ay nasa loob ng ancestral domain** na inaangkin ng isang katutubong komunidad. Magagawa ito sa pamamagitan ng pagsuri sa mga titulo ng ancestral do"&amp;"main, certificates of ancestral land claim (CALC), o mga sertipikasyon na inisyu ng National Commission on Indigenous Peoples (NCIP).
**2. Free and Prior Informed Consent (FPIC):**
* Ipinag-uutos ng IPRA ang pagkuha ng **Free and Prior Informed Consent (F"&amp;"PIC)** mula sa apektadong katutubong komunidad para sa anumang proyekto sa kanilang lupaing ninuno (Seksyon 2, Artikulo XIII). Ito ay isang mahalagang hakbang upang matiyak ang paggalang sa kanilang mga karapatan at pagpapasya sa sarili.
**Makahulugang Di"&amp;"alogue:**
* Dapat makisali ang developer sa **makabuluhang pag-uusap** sa komunidad sa buong proseso ng FPIC. Kabilang dito ang:
* **Malinaw na Komunikasyon:** Pagpapaliwanag sa **mga detalye ng proyekto ng resort** sa isang wikang naiintindihan ng komuni"&amp;"dad. Kabilang dito ang pagpapaliwanag sa mga potensyal na benepisyo (hal., mga trabaho, pagpapaunlad ng imprastraktura) at mga panganib (hal., epekto sa kapaligiran, pagkagambala sa kultura) na nauugnay sa proyekto.
* **Cultural Sensitivity:** Pagpapakita"&amp;" **paggalang sa kultura ng katutubong komunidad at mga tradisyonal na gawi**.
* **Pagtugon sa mga Alalahanin:** Aktibong pakikinig sa mga alalahanin ng komunidad at pagtugon sa mga ito sa isang malinaw na paraan.
**Paggalang sa Mga Proseso sa Paggawa ng D"&amp;"esisyon:**
* Dapat igalang ng proseso ng FPIC ang **tradisyonal na proseso ng paggawa ng desisyon** ng komunidad. Maaaring kabilang dito ang mga konsultasyon sa mga elder, tribal council, at general assemblies. Hindi dapat lampasan ng developer ang mga na"&amp;"itatag na istrukturang ito.
**Karapatang Tumanggi:**
* Napakahalagang maunawaan na ang komunidad ay may **karapatan na tanggihan** ang pahintulot para sa proyekto ng resort. Hindi maaaring pilitin o manipulahin ng developer ang kanilang desisyon.
**3. NCI"&amp;"P Facilitation and Approval:**
* Ang NCIP ay gumaganap ng isang mahalagang papel sa **pangasiwaan ang proseso ng FPIC** at pagtiyak na ito ay sumusunod sa mga regulasyon ng IPRA. Ang developer ay dapat makipagtulungan nang malapit sa NCIP sa buong yugtong"&amp;" ito.
* Kapag nakumpleto na ang proseso ng FPIC, susuriin ito ng NCIP at ibibigay ang **pag-apruba** nito. Ang pag-apruba na ito ay nagpapahiwatig na kinikilala ng NCIP ang FPIC ay nakuha sa pamamagitan ng isang patas at malinaw na proseso.
**4. Mga Karag"&amp;"dagang Pagsasaalang-alang:**
* **Social Development and Management Plan (SDMP):** Ang developer, sa konsultasyon sa komunidad, ay dapat bumuo ng **Social Development and Management Plan (SDMP)**. Ang planong ito ay dapat magbalangkas ng mga hakbang upang "&amp;"matugunan ang mga epekto sa lipunan ng proyekto ng resort at isulong ang napapanatiling pag-unlad ng komunidad. * **Environmental Impact Assessment (EIA):** Higit pa sa pagsunod sa IPRA, dapat ding magsagawa ang developer ng **Environmental Impact Assessm"&amp;"ent (EIA)** ayon sa ipinag-uutos ng batas ng Pilipinas. Tinatasa nito ang mga potensyal na epekto sa kapaligiran at panlipunan ng proyekto ng resort.
Sa pamamagitan ng pagsunod sa mga hakbang na ito, ipinapakita ng developer ang **paggalang sa mga karapat"&amp;"an ng katutubong komunidad** at pinapataas ang posibilidad na makuha ang kanilang wastong pahintulot para sa proyekto ng resort. Ang pamamaraang ito ay maaari ding makatulong sa pagbuo ng tiwala at pagyamanin ang isang mas napapanatiling pag-unlad na rela"&amp;"syon sa komunidad.
**Tandaan:**
* **Tumutok sa Mga Benepisyo at Pag-unlad ng Komunidad:** Ang proyekto ay dapat magpakita ng mga nasasalat na benepisyo para sa komunidad, tulad ng mga pagkakataon sa trabaho, pagpapaunlad ng imprastraktura, at suporta para"&amp;" sa mga proyekto ng komunidad.
* **Long-Term Partnership:** Ang isang matagumpay na proyekto ng resort sa lupaing ninuno ay nangangailangan ng pangmatagalan")</f>
        <v>Narito kung paano matitiyak ng isang developer na makakakuha sila ng wastong pahintulot mula sa isang katutubong komunidad para sa isang proyekto ng resort sa kanilang lupaing ninuno, na sumusunod sa Indigenous Peoples' Rights Act (IPRA):
**1. Pagpapatunay ng Claim ng Ancestral Domain:**
* Bago magpatuloy, dapat **i-verify ng developer kung ang target na lugar ay nasa loob ng ancestral domain** na inaangkin ng isang katutubong komunidad. Magagawa ito sa pamamagitan ng pagsuri sa mga titulo ng ancestral domain, certificates of ancestral land claim (CALC), o mga sertipikasyon na inisyu ng National Commission on Indigenous Peoples (NCIP).
**2. Free and Prior Informed Consent (FPIC):**
* Ipinag-uutos ng IPRA ang pagkuha ng **Free and Prior Informed Consent (FPIC)** mula sa apektadong katutubong komunidad para sa anumang proyekto sa kanilang lupaing ninuno (Seksyon 2, Artikulo XIII). Ito ay isang mahalagang hakbang upang matiyak ang paggalang sa kanilang mga karapatan at pagpapasya sa sarili.
**Makahulugang Dialogue:**
* Dapat makisali ang developer sa **makabuluhang pag-uusap** sa komunidad sa buong proseso ng FPIC. Kabilang dito ang:
* **Malinaw na Komunikasyon:** Pagpapaliwanag sa **mga detalye ng proyekto ng resort** sa isang wikang naiintindihan ng komunidad. Kabilang dito ang pagpapaliwanag sa mga potensyal na benepisyo (hal., mga trabaho, pagpapaunlad ng imprastraktura) at mga panganib (hal., epekto sa kapaligiran, pagkagambala sa kultura) na nauugnay sa proyekto.
* **Cultural Sensitivity:** Pagpapakita **paggalang sa kultura ng katutubong komunidad at mga tradisyonal na gawi**.
* **Pagtugon sa mga Alalahanin:** Aktibong pakikinig sa mga alalahanin ng komunidad at pagtugon sa mga ito sa isang malinaw na paraan.
**Paggalang sa Mga Proseso sa Paggawa ng Desisyon:**
* Dapat igalang ng proseso ng FPIC ang **tradisyonal na proseso ng paggawa ng desisyon** ng komunidad. Maaaring kabilang dito ang mga konsultasyon sa mga elder, tribal council, at general assemblies. Hindi dapat lampasan ng developer ang mga naitatag na istrukturang ito.
**Karapatang Tumanggi:**
* Napakahalagang maunawaan na ang komunidad ay may **karapatan na tanggihan** ang pahintulot para sa proyekto ng resort. Hindi maaaring pilitin o manipulahin ng developer ang kanilang desisyon.
**3. NCIP Facilitation and Approval:**
* Ang NCIP ay gumaganap ng isang mahalagang papel sa **pangasiwaan ang proseso ng FPIC** at pagtiyak na ito ay sumusunod sa mga regulasyon ng IPRA. Ang developer ay dapat makipagtulungan nang malapit sa NCIP sa buong yugtong ito.
* Kapag nakumpleto na ang proseso ng FPIC, susuriin ito ng NCIP at ibibigay ang **pag-apruba** nito. Ang pag-apruba na ito ay nagpapahiwatig na kinikilala ng NCIP ang FPIC ay nakuha sa pamamagitan ng isang patas at malinaw na proseso.
**4. Mga Karagdagang Pagsasaalang-alang:**
* **Social Development and Management Plan (SDMP):** Ang developer, sa konsultasyon sa komunidad, ay dapat bumuo ng **Social Development and Management Plan (SDMP)**. Ang planong ito ay dapat magbalangkas ng mga hakbang upang matugunan ang mga epekto sa lipunan ng proyekto ng resort at isulong ang napapanatiling pag-unlad ng komunidad. * **Environmental Impact Assessment (EIA):** Higit pa sa pagsunod sa IPRA, dapat ding magsagawa ang developer ng **Environmental Impact Assessment (EIA)** ayon sa ipinag-uutos ng batas ng Pilipinas. Tinatasa nito ang mga potensyal na epekto sa kapaligiran at panlipunan ng proyekto ng resort.
Sa pamamagitan ng pagsunod sa mga hakbang na ito, ipinapakita ng developer ang **paggalang sa mga karapatan ng katutubong komunidad** at pinapataas ang posibilidad na makuha ang kanilang wastong pahintulot para sa proyekto ng resort. Ang pamamaraang ito ay maaari ding makatulong sa pagbuo ng tiwala at pagyamanin ang isang mas napapanatiling pag-unlad na relasyon sa komunidad.
**Tandaan:**
* **Tumutok sa Mga Benepisyo at Pag-unlad ng Komunidad:** Ang proyekto ay dapat magpakita ng mga nasasalat na benepisyo para sa komunidad, tulad ng mga pagkakataon sa trabaho, pagpapaunlad ng imprastraktura, at suporta para sa mga proyekto ng komunidad.
* **Long-Term Partnership:** Ang isang matagumpay na proyekto ng resort sa lupaing ninuno ay nangangailangan ng pangmatagalan</v>
      </c>
      <c r="F2836" s="2">
        <f t="shared" si="1"/>
        <v>0</v>
      </c>
      <c r="G2836" s="2"/>
      <c r="H2836" s="2"/>
      <c r="I2836" s="2"/>
      <c r="J2836" s="2"/>
      <c r="K2836" s="2"/>
      <c r="L2836" s="2"/>
      <c r="M2836" s="2"/>
      <c r="N2836" s="2"/>
      <c r="O2836" s="2"/>
      <c r="P2836" s="2"/>
      <c r="Q2836" s="2"/>
      <c r="R2836" s="2"/>
      <c r="S2836" s="2"/>
      <c r="T2836" s="2"/>
      <c r="U2836" s="2"/>
      <c r="V2836" s="2"/>
      <c r="W2836" s="2"/>
      <c r="X2836" s="2"/>
      <c r="Y2836" s="2"/>
      <c r="Z2836" s="2"/>
      <c r="AA2836" s="2"/>
    </row>
    <row r="2837">
      <c r="A2837" s="3" t="s">
        <v>6596</v>
      </c>
      <c r="B2837" s="1" t="s">
        <v>6647</v>
      </c>
      <c r="C2837" s="3" t="s">
        <v>6648</v>
      </c>
      <c r="D2837" s="2" t="str">
        <f>IFERROR(__xludf.DUMMYFUNCTION("GOOGLETRANSLATE(B2837, ""en"", ""TL"")"),"Sa isang senaryo kung saan ang isang kumpanya ng pagtotroso ay inakusahan ng panghihimasok sa katutubong teritoryo, anong mga legal na paraan ang magagamit para sa apektadong komunidad upang humingi ng lunas?")</f>
        <v>Sa isang senaryo kung saan ang isang kumpanya ng pagtotroso ay inakusahan ng panghihimasok sa katutubong teritoryo, anong mga legal na paraan ang magagamit para sa apektadong komunidad upang humingi ng lunas?</v>
      </c>
      <c r="E2837" s="2" t="str">
        <f>IFERROR(__xludf.DUMMYFUNCTION("GOOGLETRANSLATE(C2837, ""en"", ""TL"")"),"Narito ang mga legal na paraan na magagamit para sa isang katutubong komunidad upang humingi ng lunas kung ang isang kumpanya ng pagtotroso ay inakusahan ng panghihimasok sa kanilang teritoryo sa Pilipinas:
**1. Administrative Action kasama ang NCIP:**
* "&amp;"Ang **National Commission on Indigenous Peoples (NCIP)** ay ang pangunahing ahensiya ng pamahalaan na inatasang itaguyod ang mga karapatan at kapakanan ng mga katutubong kultural na komunidad (ICCs) sa Pilipinas.
* **Paghahain ng Reklamo:** Ang komunidad "&amp;"ay maaaring magsampa ng pormal na **reklamo sa NCIP** na inaakusahan ang kumpanya ng pagtotroso ng pag-encroach sa kanilang ancestral domain. Sisiyasatin ng NCIP ang paratang at mangangalap ng ebidensya.
* **Mediation at Negotiation:** Maaaring subukan ng"&amp;" NCIP na pangasiwaan ang **mediation at negotiation** sa pagitan ng komunidad at ng kumpanya ng pagtotroso upang maabot ang isang maayos na pakikipag-ayos. Maaaring kabilang dito ang pagtigil ng kumpanya ng pagtotroso sa mga operasyon at posibleng magbiga"&amp;"y ng kabayaran sa komunidad.
* **Cease and Desist Order (CDO):** Kung kinumpirma ng imbestigasyon ang encroachment, ang NCIP ay maaaring mag-isyu ng **Cease and Desist Order (CDO)** laban sa kumpanya ng pagtotroso. Ang kautusang ito ay nag-uutos sa kumpan"&amp;"ya na ihinto ang mga aktibidad sa pag-log sa loob ng ancestral domain.
**2. Legal na Aksyon sa Korte:**
* **Civil Klage:** Ang komunidad ay maaaring magsampa ng kasong sibil laban sa kumpanya ng pagtotroso para sa **illegal logging** at **trespassing** sa"&amp;" kanilang lupang ninuno. Ang kaso na ito ay maaaring humingi ng kabayaran para sa mga pinsala sa kapaligiran at mga mapagkukunan ng komunidad.
* **Temporary Environmental Protection Order (TEPO):** Ang komunidad ay maaaring magpetisyon sa korte para sa is"&amp;"ang **Temporary Environmental Protection Order (TEPO)**. Maaaring ihinto ng kautusang ito ang mga aktibidad sa pag-log habang nagpapatuloy ang legal na kaso.
* **Kaso ng Ancestral Domain Title (ADT):** Kung ang komunidad ay walang kinikilalang Ancestral D"&amp;"omain Title (ADT), maaari silang magsampa ng kaso sa korte upang opisyal na kilalanin at pamagat ang kanilang ancestral domain. Pinalalakas nito ang kanilang pag-aangkin sa lupa sa hinaharap na mga legal na hindi pagkakaunawaan.
**3. Mga Pagsingil sa Krim"&amp;"inal:**
* Depende sa kalubhaan ng panghihimasok at pinsala sa kapaligiran, maaaring isaalang-alang ng komunidad ang pagsasampa ng **mga kasong kriminal** laban sa kumpanya ng pagtotroso at mga indibidwal na kasangkot. Maaaring kabilang sa mga singil na it"&amp;"o ang iligal na pagtotroso, pagsira ng ari-arian, o paglabag sa mga batas sa kapaligiran.
**Naghahanap ng Legal na Tulong:**
* Dahil sa pagiging kumplikado ng mga batas ng ancestral domain at mga regulasyon sa kapaligiran, ipinapayong ang katutubong komun"&amp;"idad na humingi ng legal na tulong mula sa mga abogadong may karanasan sa mga karapatang katutubo at batas sa kapaligiran. **Kahalagahan ng Ebidensya:**
* Ang pangangalap ng matibay na ebidensya ay napakahalaga para sa kaso ng komunidad. Maaaring kasama s"&amp;"a ebidensyang ito ang mga titulo ng ancestral domain, mapa, testimonya ng saksi, larawan at video na nagdodokumento ng mga aktibidad sa pag-log sa loob ng kanilang teritoryo.
**Mga Hamon at Adbokasiya:**
* Ang mga katutubong komunidad ay kadalasang nahaha"&amp;"rap sa mga hamon sa mga legal na labanan laban sa mga makapangyarihang kumpanya. Ang pagbuo ng mga alyansa sa mga environmental NGO at advocacy group ay maaaring magbigay ng suporta at mapagkukunan para sa kanilang legal na hangarin.
Sa pamamagitan ng pag"&amp;"gamit ng mga legal na paraan na ito at paghingi ng naaangkop na suporta, ang mga katutubong komunidad ay maaaring ipaglaban ang kanilang mga karapatan at panagutin ang mga kumpanya ng pagtotroso para sa panghihimasok sa kanilang mga ninuno na teritoryo.")</f>
        <v>Narito ang mga legal na paraan na magagamit para sa isang katutubong komunidad upang humingi ng lunas kung ang isang kumpanya ng pagtotroso ay inakusahan ng panghihimasok sa kanilang teritoryo sa Pilipinas:
**1. Administrative Action kasama ang NCIP:**
* Ang **National Commission on Indigenous Peoples (NCIP)** ay ang pangunahing ahensiya ng pamahalaan na inatasang itaguyod ang mga karapatan at kapakanan ng mga katutubong kultural na komunidad (ICCs) sa Pilipinas.
* **Paghahain ng Reklamo:** Ang komunidad ay maaaring magsampa ng pormal na **reklamo sa NCIP** na inaakusahan ang kumpanya ng pagtotroso ng pag-encroach sa kanilang ancestral domain. Sisiyasatin ng NCIP ang paratang at mangangalap ng ebidensya.
* **Mediation at Negotiation:** Maaaring subukan ng NCIP na pangasiwaan ang **mediation at negotiation** sa pagitan ng komunidad at ng kumpanya ng pagtotroso upang maabot ang isang maayos na pakikipag-ayos. Maaaring kabilang dito ang pagtigil ng kumpanya ng pagtotroso sa mga operasyon at posibleng magbigay ng kabayaran sa komunidad.
* **Cease and Desist Order (CDO):** Kung kinumpirma ng imbestigasyon ang encroachment, ang NCIP ay maaaring mag-isyu ng **Cease and Desist Order (CDO)** laban sa kumpanya ng pagtotroso. Ang kautusang ito ay nag-uutos sa kumpanya na ihinto ang mga aktibidad sa pag-log sa loob ng ancestral domain.
**2. Legal na Aksyon sa Korte:**
* **Civil Klage:** Ang komunidad ay maaaring magsampa ng kasong sibil laban sa kumpanya ng pagtotroso para sa **illegal logging** at **trespassing** sa kanilang lupang ninuno. Ang kaso na ito ay maaaring humingi ng kabayaran para sa mga pinsala sa kapaligiran at mga mapagkukunan ng komunidad.
* **Temporary Environmental Protection Order (TEPO):** Ang komunidad ay maaaring magpetisyon sa korte para sa isang **Temporary Environmental Protection Order (TEPO)**. Maaaring ihinto ng kautusang ito ang mga aktibidad sa pag-log habang nagpapatuloy ang legal na kaso.
* **Kaso ng Ancestral Domain Title (ADT):** Kung ang komunidad ay walang kinikilalang Ancestral Domain Title (ADT), maaari silang magsampa ng kaso sa korte upang opisyal na kilalanin at pamagat ang kanilang ancestral domain. Pinalalakas nito ang kanilang pag-aangkin sa lupa sa hinaharap na mga legal na hindi pagkakaunawaan.
**3. Mga Pagsingil sa Kriminal:**
* Depende sa kalubhaan ng panghihimasok at pinsala sa kapaligiran, maaaring isaalang-alang ng komunidad ang pagsasampa ng **mga kasong kriminal** laban sa kumpanya ng pagtotroso at mga indibidwal na kasangkot. Maaaring kabilang sa mga singil na ito ang iligal na pagtotroso, pagsira ng ari-arian, o paglabag sa mga batas sa kapaligiran.
**Naghahanap ng Legal na Tulong:**
* Dahil sa pagiging kumplikado ng mga batas ng ancestral domain at mga regulasyon sa kapaligiran, ipinapayong ang katutubong komunidad na humingi ng legal na tulong mula sa mga abogadong may karanasan sa mga karapatang katutubo at batas sa kapaligiran. **Kahalagahan ng Ebidensya:**
* Ang pangangalap ng matibay na ebidensya ay napakahalaga para sa kaso ng komunidad. Maaaring kasama sa ebidensyang ito ang mga titulo ng ancestral domain, mapa, testimonya ng saksi, larawan at video na nagdodokumento ng mga aktibidad sa pag-log sa loob ng kanilang teritoryo.
**Mga Hamon at Adbokasiya:**
* Ang mga katutubong komunidad ay kadalasang nahaharap sa mga hamon sa mga legal na labanan laban sa mga makapangyarihang kumpanya. Ang pagbuo ng mga alyansa sa mga environmental NGO at advocacy group ay maaaring magbigay ng suporta at mapagkukunan para sa kanilang legal na hangarin.
Sa pamamagitan ng paggamit ng mga legal na paraan na ito at paghingi ng naaangkop na suporta, ang mga katutubong komunidad ay maaaring ipaglaban ang kanilang mga karapatan at panagutin ang mga kumpanya ng pagtotroso para sa panghihimasok sa kanilang mga ninuno na teritoryo.</v>
      </c>
      <c r="F2837" s="2">
        <f t="shared" si="1"/>
        <v>0</v>
      </c>
      <c r="G2837" s="2"/>
      <c r="H2837" s="2"/>
      <c r="I2837" s="2"/>
      <c r="J2837" s="2"/>
      <c r="K2837" s="2"/>
      <c r="L2837" s="2"/>
      <c r="M2837" s="2"/>
      <c r="N2837" s="2"/>
      <c r="O2837" s="2"/>
      <c r="P2837" s="2"/>
      <c r="Q2837" s="2"/>
      <c r="R2837" s="2"/>
      <c r="S2837" s="2"/>
      <c r="T2837" s="2"/>
      <c r="U2837" s="2"/>
      <c r="V2837" s="2"/>
      <c r="W2837" s="2"/>
      <c r="X2837" s="2"/>
      <c r="Y2837" s="2"/>
      <c r="Z2837" s="2"/>
      <c r="AA2837" s="2"/>
    </row>
    <row r="2838">
      <c r="A2838" s="3" t="s">
        <v>6596</v>
      </c>
      <c r="B2838" s="1" t="s">
        <v>6649</v>
      </c>
      <c r="C2838" s="3" t="s">
        <v>6650</v>
      </c>
      <c r="D2838" s="2" t="str">
        <f>IFERROR(__xludf.DUMMYFUNCTION("GOOGLETRANSLATE(B2838, ""en"", ""TL"")"),"Ipagpalagay na ang isang katutubong grupo ay nag-aangkin ng pagmamay-ari sa isang piraso ng lupa na may titulo sa ibang indibidwal o entity. Paano malulutas ang alitan na ito sa ilalim ng batas ng Pilipinas?")</f>
        <v>Ipagpalagay na ang isang katutubong grupo ay nag-aangkin ng pagmamay-ari sa isang piraso ng lupa na may titulo sa ibang indibidwal o entity. Paano malulutas ang alitan na ito sa ilalim ng batas ng Pilipinas?</v>
      </c>
      <c r="E2838" s="2" t="str">
        <f>IFERROR(__xludf.DUMMYFUNCTION("GOOGLETRANSLATE(C2838, ""en"", ""TL"")"),"Ang batas ng Pilipinas ay nagbibigay ng mga mekanismo upang malutas ang mga alitan sa lupa na kinasasangkutan ng mga paghahabol sa ancestral domain, kahit na ang ibang partido ay may hawak na titulo. Narito kung paano matutugunan ang ganitong sitwasyon:
*"&amp;"*1. Pag-verify sa Claim ng Ancestral Domain:**
* Dapat munang itatag ng grupong katutubo ang kanilang pag-angkin sa lupa bilang bahagi ng kanilang ancestral domain. Ang ebidensya para dito ay maaaring kabilang ang:
* **Ancestral Domain Title (ADT):** Kung"&amp;" ang komunidad ay nagtataglay ng kinikilalang ADT, mahigpit nitong sinusuportahan ang kanilang claim.
* **Mga Sertipiko ng Ancestral Land Claim (CALC):** Kung walang ADT, isang CALC na inisyu ng National Commission on Indigenous Peoples (NCIP) ay maaaring"&amp;" magsilbing ebidensya.
* **Historical and Cultural Ties:** Ang pagpapakita ng mahabang kasaysayan ng trabaho, tradisyunal na kasanayan, at kultural na kahalagahan na nakalakip sa lupain ay nagpapatibay sa kanilang pag-aangkin.
**2. Negosasyon at Dialogue:"&amp;"**
* Mapapadali ng NCIP ang **negosasyon at diyalogo** sa pagitan ng katutubong komunidad at ng kasalukuyang may hawak ng titulo ng lupa. Ito ay maaaring humantong sa isang kasunduang solusyon, tulad ng:
* **Kasunduan sa Pagbabahagi ng Lupa:** Maaaring ma"&amp;"gkasundo ang mga partido sa pagbabahagi ng paggamit at mga benepisyo ng lupa.
* **Kasunduan sa Kompensasyon:** Ang kasalukuyang may hawak ng titulo ay maaaring sumang-ayon na bitiwan ang lupa bilang kapalit ng kabayaran.
**3. Mga Legal na Proseso:**
* Kun"&amp;"g mabigo ang negosasyon, maaaring ituloy ng alinmang partido ang mga legal na opsyon:
* **Katutubong Pamayanan:** Maaari silang maghain ng petisyon sa korte para **kanselahin ang umiiral na titulo ng lupa** batay sa kanilang paghahabol sa ancestral domain"&amp;". Maaaring kasama sa prosesong ito ang pagpapakita ng ebidensya ng trabaho ng mga ninuno bago ang paglabas ng kasalukuyang titulo.
* **Kasalukuyang May-hawak ng Titulo sa Lupa:** Maaari nilang ipagtanggol ang kanilang titulo at hamunin ang paghahabol sa a"&amp;"ncestral domain sa korte.
**4. Tungkulin ng NCIP:**
* Ang NCIP ay gumaganap ng isang mahalagang papel sa mga hindi pagkakaunawaan sa pamamagitan ng:
* **Technical Assistance:** Pagbibigay ng teknikal na tulong sa mga katutubong komunidad sa paghahanda ng "&amp;"kanilang ancestral domain claims.
* **Legal na Representasyon:** Sa ilang mga kaso, ang NCIP ay maaaring magbigay ng legal na representasyon sa mga katutubong komunidad na humahabol sa kanilang mga paghahabol sa ancestral domain.
**5. Kahalagahan ng Ebide"&amp;"nsya:**
* Ang matibay na ebidensya ay kritikal para sa parehong partido. Ang katutubong komunidad ay dapat mangalap ng mga makasaysayang dokumento, antropolohikal na pag-aaral, at mga patotoo ng saksi na sumusuporta sa kanilang ugnayang ninuno sa lupain. "&amp;"Ang kasalukuyang may hawak ng titulo ay dapat magpakita ng patunay ng isang legal na proseso ng pagkuha para sa kanilang titulo.
**Mga Pagsasaalang-alang sa Oras:**
* Ang pagresolba sa mga alitan sa lupa ay maaaring maging isang mahabang proseso sa legal "&amp;"na sistema ng Pilipinas. Ang pasensya at tiyaga ay mahalaga para sa magkabilang panig. **Sa pangkalahatan, ang pagresolba sa mga hindi pagkakaunawaan sa lupa na kinasasangkutan ng mga paghahabol sa ancestral domain ay nangangailangan ng maingat na pagsasa"&amp;"alang-alang ng makasaysayang ebidensya, mga legal na pamamaraan, at ang potensyal para sa napagkasunduan na mga pag-aayos. Ang NCIP ay gumaganap ng isang mahalagang papel sa pagtulong sa mga katutubong komunidad sa paggigiit ng kanilang mga karapatan.**")</f>
        <v>Ang batas ng Pilipinas ay nagbibigay ng mga mekanismo upang malutas ang mga alitan sa lupa na kinasasangkutan ng mga paghahabol sa ancestral domain, kahit na ang ibang partido ay may hawak na titulo. Narito kung paano matutugunan ang ganitong sitwasyon:
**1. Pag-verify sa Claim ng Ancestral Domain:**
* Dapat munang itatag ng grupong katutubo ang kanilang pag-angkin sa lupa bilang bahagi ng kanilang ancestral domain. Ang ebidensya para dito ay maaaring kabilang ang:
* **Ancestral Domain Title (ADT):** Kung ang komunidad ay nagtataglay ng kinikilalang ADT, mahigpit nitong sinusuportahan ang kanilang claim.
* **Mga Sertipiko ng Ancestral Land Claim (CALC):** Kung walang ADT, isang CALC na inisyu ng National Commission on Indigenous Peoples (NCIP) ay maaaring magsilbing ebidensya.
* **Historical and Cultural Ties:** Ang pagpapakita ng mahabang kasaysayan ng trabaho, tradisyunal na kasanayan, at kultural na kahalagahan na nakalakip sa lupain ay nagpapatibay sa kanilang pag-aangkin.
**2. Negosasyon at Dialogue:**
* Mapapadali ng NCIP ang **negosasyon at diyalogo** sa pagitan ng katutubong komunidad at ng kasalukuyang may hawak ng titulo ng lupa. Ito ay maaaring humantong sa isang kasunduang solusyon, tulad ng:
* **Kasunduan sa Pagbabahagi ng Lupa:** Maaaring magkasundo ang mga partido sa pagbabahagi ng paggamit at mga benepisyo ng lupa.
* **Kasunduan sa Kompensasyon:** Ang kasalukuyang may hawak ng titulo ay maaaring sumang-ayon na bitiwan ang lupa bilang kapalit ng kabayaran.
**3. Mga Legal na Proseso:**
* Kung mabigo ang negosasyon, maaaring ituloy ng alinmang partido ang mga legal na opsyon:
* **Katutubong Pamayanan:** Maaari silang maghain ng petisyon sa korte para **kanselahin ang umiiral na titulo ng lupa** batay sa kanilang paghahabol sa ancestral domain. Maaaring kasama sa prosesong ito ang pagpapakita ng ebidensya ng trabaho ng mga ninuno bago ang paglabas ng kasalukuyang titulo.
* **Kasalukuyang May-hawak ng Titulo sa Lupa:** Maaari nilang ipagtanggol ang kanilang titulo at hamunin ang paghahabol sa ancestral domain sa korte.
**4. Tungkulin ng NCIP:**
* Ang NCIP ay gumaganap ng isang mahalagang papel sa mga hindi pagkakaunawaan sa pamamagitan ng:
* **Technical Assistance:** Pagbibigay ng teknikal na tulong sa mga katutubong komunidad sa paghahanda ng kanilang ancestral domain claims.
* **Legal na Representasyon:** Sa ilang mga kaso, ang NCIP ay maaaring magbigay ng legal na representasyon sa mga katutubong komunidad na humahabol sa kanilang mga paghahabol sa ancestral domain.
**5. Kahalagahan ng Ebidensya:**
* Ang matibay na ebidensya ay kritikal para sa parehong partido. Ang katutubong komunidad ay dapat mangalap ng mga makasaysayang dokumento, antropolohikal na pag-aaral, at mga patotoo ng saksi na sumusuporta sa kanilang ugnayang ninuno sa lupain. Ang kasalukuyang may hawak ng titulo ay dapat magpakita ng patunay ng isang legal na proseso ng pagkuha para sa kanilang titulo.
**Mga Pagsasaalang-alang sa Oras:**
* Ang pagresolba sa mga alitan sa lupa ay maaaring maging isang mahabang proseso sa legal na sistema ng Pilipinas. Ang pasensya at tiyaga ay mahalaga para sa magkabilang panig. **Sa pangkalahatan, ang pagresolba sa mga hindi pagkakaunawaan sa lupa na kinasasangkutan ng mga paghahabol sa ancestral domain ay nangangailangan ng maingat na pagsasaalang-alang ng makasaysayang ebidensya, mga legal na pamamaraan, at ang potensyal para sa napagkasunduan na mga pag-aayos. Ang NCIP ay gumaganap ng isang mahalagang papel sa pagtulong sa mga katutubong komunidad sa paggigiit ng kanilang mga karapatan.**</v>
      </c>
      <c r="F2838" s="2">
        <f t="shared" si="1"/>
        <v>0</v>
      </c>
      <c r="G2838" s="2"/>
      <c r="H2838" s="2"/>
      <c r="I2838" s="2"/>
      <c r="J2838" s="2"/>
      <c r="K2838" s="2"/>
      <c r="L2838" s="2"/>
      <c r="M2838" s="2"/>
      <c r="N2838" s="2"/>
      <c r="O2838" s="2"/>
      <c r="P2838" s="2"/>
      <c r="Q2838" s="2"/>
      <c r="R2838" s="2"/>
      <c r="S2838" s="2"/>
      <c r="T2838" s="2"/>
      <c r="U2838" s="2"/>
      <c r="V2838" s="2"/>
      <c r="W2838" s="2"/>
      <c r="X2838" s="2"/>
      <c r="Y2838" s="2"/>
      <c r="Z2838" s="2"/>
      <c r="AA2838" s="2"/>
    </row>
    <row r="2839">
      <c r="A2839" s="3" t="s">
        <v>6596</v>
      </c>
      <c r="B2839" s="1" t="s">
        <v>6651</v>
      </c>
      <c r="C2839" s="3" t="s">
        <v>6652</v>
      </c>
      <c r="D2839" s="2" t="str">
        <f>IFERROR(__xludf.DUMMYFUNCTION("GOOGLETRANSLATE(B2839, ""en"", ""TL"")"),"Kung ang isang multinasyunal na korporasyon ay nagnanais na magsagawa ng siyentipikong pananaliksik sa isang katutubong teritoryo, anong mga legal na pagsasaalang-alang ang dapat tugunan tungkol sa mga karapatan ng komunidad?")</f>
        <v>Kung ang isang multinasyunal na korporasyon ay nagnanais na magsagawa ng siyentipikong pananaliksik sa isang katutubong teritoryo, anong mga legal na pagsasaalang-alang ang dapat tugunan tungkol sa mga karapatan ng komunidad?</v>
      </c>
      <c r="E2839" s="2" t="str">
        <f>IFERROR(__xludf.DUMMYFUNCTION("GOOGLETRANSLATE(C2839, ""en"", ""TL"")"),"Narito ang mga pangunahing legal na pagsasaalang-alang na dapat tugunan ng isang multinasyunal na korporasyon tungkol sa mga karapatan ng isang katutubong komunidad kapag nagsasagawa ng siyentipikong pananaliksik sa kanilang teritoryo:
**1. Free and Prior"&amp;" Informed Consent (FPIC):**
* Ang **Indigenous Peoples' Rights Act (IPRA)** ay nag-uutos ng pagkuha ng **Free and Prior Informed Consent (FPIC)** mula sa apektadong katutubong komunidad para sa anumang aktibidad na nakakaapekto sa kanilang ancestral domai"&amp;"n (Seksyon 2, Artikulo XIII). Kabilang dito ang siyentipikong pananaliksik.
**Makahulugang Dialogue:**
* Ang korporasyon ay dapat makisali sa **makabuluhang diyalogo** sa komunidad sa buong proseso ng FPIC. Kabilang dito ang:
* **Pagpapaliwanag sa Pananal"&amp;"iksik:** Malinaw na pagpapaliwanag sa **layunin at pamamaraan ng siyentipikong pananaliksik** sa wikang naiintindihan ng komunidad. Kabilang dito ang pagpapaliwanag ng mga potensyal na benepisyo at panganib na nauugnay sa pananaliksik.
* **Cultural Sensit"&amp;"ivity:** Pagpapakita **paggalang sa kultura ng katutubong komunidad at mga tradisyonal na gawi**. Maaaring kabilang dito ang paghingi ng pahintulot para sa mga aktibidad sa pananaliksik na maaaring makaapekto sa mga sagradong site o tradisyonal na kaalama"&amp;"n.
* **Pagbabahagi ng Benepisyo:** Pagtalakay sa mga potensyal na **mga kasunduan sa pagbabahagi ng mga benepisyo** sa komunidad. Maaaring kabilang dito ang pagbabahagi ng mga natuklasan sa pananaliksik, mga programa sa pagbuo ng kapasidad, o mga pamumuhu"&amp;"nan sa mga proyekto sa pagpapaunlad ng komunidad.
**Paggalang sa Mga Proseso sa Paggawa ng Desisyon:**
* Dapat igalang ng proseso ng FPIC ang **tradisyonal na proseso ng paggawa ng desisyon** ng komunidad. Maaaring kabilang dito ang mga konsultasyon sa mg"&amp;"a elder, tribal council, at general assemblies. Hindi dapat lampasan ng korporasyon ang mga naitatag na istrukturang ito.
**Karapatang Tumanggi:**
* Napakahalagang maunawaan na ang komunidad ay may **karapatan na tumanggi** ng pahintulot para sa siyentipi"&amp;"kong pananaliksik. Hindi maaaring pilitin o manipulahin ng korporasyon ang kanilang desisyon.
**2. NCIP Facilitation and Approval:**
* Ang NCIP ay gumaganap ng isang mahalagang papel sa **pangasiwaan ang proseso ng FPIC** at pagtiyak na ito ay sumusunod s"&amp;"a mga regulasyon ng IPRA. Ang korporasyon ay dapat makipagtulungan nang malapit sa NCIP sa buong yugtong ito.
* Kapag nakumpleto na ang proseso ng FPIC, susuriin ito ng NCIP at ibibigay ang **pag-apruba** nito. Ang pag-apruba na ito ay nagpapahiwatig na k"&amp;"inikilala ng NCIP ang FPIC ay nakuha sa pamamagitan ng isang patas at malinaw na proseso.
**3. Nagoya Protocol on Access to Genetic Resources:**
* Ang Pilipinas ay isang partido sa **Nagoya Protocol on Access to Genetic Resources and the Fair and Equitabl"&amp;"e Sharing of Benefits Arising from their Utilization** (Nagoya Protocol). Ang protocol na ito ay nagtataguyod ng patas at patas na pagbabahagi ng mga benepisyo na nagmumula sa paggamit ng mga genetic resources na matatagpuan sa mga katutubong teritoryo.
*"&amp;" Ang korporasyon ay dapat sumunod sa Nagoya Protocol sa pamamagitan ng pakikipag-usap sa **mga kasunduan sa pagbabahagi ng benepisyo** sa katutubong komunidad kung ang pananaliksik ay nagsasangkot ng pag-access sa mga mapagkukunang genetic sa loob ng kani"&amp;"lang ancestral domain.
**4. Mga Karapatan sa Intelektwal na Ari-arian at Tradisyonal na Kaalaman:**
* Dapat alalahanin ng korporasyon ang **mga karapatan sa intelektwal na ari-arian** ng komunidad na nauugnay sa kanilang tradisyonal na kaalaman. * Ang mga"&amp;" aktibidad sa pananaliksik ay hindi dapat maling gamitin ang mga katutubong sistema ng kaalaman. Ang mga kasunduan tungkol sa mga karapatan sa intelektwal na pag-aari at potensyal na magkasanib na pagmamay-ari ng mga natuklasan sa pananaliksik ay maaaring"&amp;" makipag-ayos sa komunidad. **5. Transparency at Capacity Building:**
* Dapat panatilihin ng korporasyon ang **transparency sa buong proseso ng pananaliksik**. Kabilang dito ang pagbabahagi ng mga natuklasan sa pananaliksik sa komunidad sa paraang naaangk"&amp;"op sa kultura at pagbuo ng kapasidad sa loob ng komunidad na maunawaan ang pananaliksik at ang mga implikasyon nito.
**Sa pamamagitan ng pagtugon sa mga legal na pagsasaalang-alang na ito at pagpapakita ng paggalang sa mga karapatan ng katutubong komunida"&amp;"d, ang mga multinasyunal na korporasyon ay maaaring magsagawa ng etikal at matagumpay na siyentipikong pananaliksik sa mga teritoryong ninuno.**
**Mga Karagdagang Pagsasaalang-alang:**
* **Environmental Impact Assessment (EIA):** Higit pa sa pagsunod sa I"&amp;"PRA, ang korporasyon ay maaaring")</f>
        <v>Narito ang mga pangunahing legal na pagsasaalang-alang na dapat tugunan ng isang multinasyunal na korporasyon tungkol sa mga karapatan ng isang katutubong komunidad kapag nagsasagawa ng siyentipikong pananaliksik sa kanilang teritoryo:
**1. Free and Prior Informed Consent (FPIC):**
* Ang **Indigenous Peoples' Rights Act (IPRA)** ay nag-uutos ng pagkuha ng **Free and Prior Informed Consent (FPIC)** mula sa apektadong katutubong komunidad para sa anumang aktibidad na nakakaapekto sa kanilang ancestral domain (Seksyon 2, Artikulo XIII). Kabilang dito ang siyentipikong pananaliksik.
**Makahulugang Dialogue:**
* Ang korporasyon ay dapat makisali sa **makabuluhang diyalogo** sa komunidad sa buong proseso ng FPIC. Kabilang dito ang:
* **Pagpapaliwanag sa Pananaliksik:** Malinaw na pagpapaliwanag sa **layunin at pamamaraan ng siyentipikong pananaliksik** sa wikang naiintindihan ng komunidad. Kabilang dito ang pagpapaliwanag ng mga potensyal na benepisyo at panganib na nauugnay sa pananaliksik.
* **Cultural Sensitivity:** Pagpapakita **paggalang sa kultura ng katutubong komunidad at mga tradisyonal na gawi**. Maaaring kabilang dito ang paghingi ng pahintulot para sa mga aktibidad sa pananaliksik na maaaring makaapekto sa mga sagradong site o tradisyonal na kaalaman.
* **Pagbabahagi ng Benepisyo:** Pagtalakay sa mga potensyal na **mga kasunduan sa pagbabahagi ng mga benepisyo** sa komunidad. Maaaring kabilang dito ang pagbabahagi ng mga natuklasan sa pananaliksik, mga programa sa pagbuo ng kapasidad, o mga pamumuhunan sa mga proyekto sa pagpapaunlad ng komunidad.
**Paggalang sa Mga Proseso sa Paggawa ng Desisyon:**
* Dapat igalang ng proseso ng FPIC ang **tradisyonal na proseso ng paggawa ng desisyon** ng komunidad. Maaaring kabilang dito ang mga konsultasyon sa mga elder, tribal council, at general assemblies. Hindi dapat lampasan ng korporasyon ang mga naitatag na istrukturang ito.
**Karapatang Tumanggi:**
* Napakahalagang maunawaan na ang komunidad ay may **karapatan na tumanggi** ng pahintulot para sa siyentipikong pananaliksik. Hindi maaaring pilitin o manipulahin ng korporasyon ang kanilang desisyon.
**2. NCIP Facilitation and Approval:**
* Ang NCIP ay gumaganap ng isang mahalagang papel sa **pangasiwaan ang proseso ng FPIC** at pagtiyak na ito ay sumusunod sa mga regulasyon ng IPRA. Ang korporasyon ay dapat makipagtulungan nang malapit sa NCIP sa buong yugtong ito.
* Kapag nakumpleto na ang proseso ng FPIC, susuriin ito ng NCIP at ibibigay ang **pag-apruba** nito. Ang pag-apruba na ito ay nagpapahiwatig na kinikilala ng NCIP ang FPIC ay nakuha sa pamamagitan ng isang patas at malinaw na proseso.
**3. Nagoya Protocol on Access to Genetic Resources:**
* Ang Pilipinas ay isang partido sa **Nagoya Protocol on Access to Genetic Resources and the Fair and Equitable Sharing of Benefits Arising from their Utilization** (Nagoya Protocol). Ang protocol na ito ay nagtataguyod ng patas at patas na pagbabahagi ng mga benepisyo na nagmumula sa paggamit ng mga genetic resources na matatagpuan sa mga katutubong teritoryo.
* Ang korporasyon ay dapat sumunod sa Nagoya Protocol sa pamamagitan ng pakikipag-usap sa **mga kasunduan sa pagbabahagi ng benepisyo** sa katutubong komunidad kung ang pananaliksik ay nagsasangkot ng pag-access sa mga mapagkukunang genetic sa loob ng kanilang ancestral domain.
**4. Mga Karapatan sa Intelektwal na Ari-arian at Tradisyonal na Kaalaman:**
* Dapat alalahanin ng korporasyon ang **mga karapatan sa intelektwal na ari-arian** ng komunidad na nauugnay sa kanilang tradisyonal na kaalaman. * Ang mga aktibidad sa pananaliksik ay hindi dapat maling gamitin ang mga katutubong sistema ng kaalaman. Ang mga kasunduan tungkol sa mga karapatan sa intelektwal na pag-aari at potensyal na magkasanib na pagmamay-ari ng mga natuklasan sa pananaliksik ay maaaring makipag-ayos sa komunidad. **5. Transparency at Capacity Building:**
* Dapat panatilihin ng korporasyon ang **transparency sa buong proseso ng pananaliksik**. Kabilang dito ang pagbabahagi ng mga natuklasan sa pananaliksik sa komunidad sa paraang naaangkop sa kultura at pagbuo ng kapasidad sa loob ng komunidad na maunawaan ang pananaliksik at ang mga implikasyon nito.
**Sa pamamagitan ng pagtugon sa mga legal na pagsasaalang-alang na ito at pagpapakita ng paggalang sa mga karapatan ng katutubong komunidad, ang mga multinasyunal na korporasyon ay maaaring magsagawa ng etikal at matagumpay na siyentipikong pananaliksik sa mga teritoryong ninuno.**
**Mga Karagdagang Pagsasaalang-alang:**
* **Environmental Impact Assessment (EIA):** Higit pa sa pagsunod sa IPRA, ang korporasyon ay maaaring</v>
      </c>
      <c r="F2839" s="2">
        <f t="shared" si="1"/>
        <v>0</v>
      </c>
      <c r="G2839" s="2"/>
      <c r="H2839" s="2"/>
      <c r="I2839" s="2"/>
      <c r="J2839" s="2"/>
      <c r="K2839" s="2"/>
      <c r="L2839" s="2"/>
      <c r="M2839" s="2"/>
      <c r="N2839" s="2"/>
      <c r="O2839" s="2"/>
      <c r="P2839" s="2"/>
      <c r="Q2839" s="2"/>
      <c r="R2839" s="2"/>
      <c r="S2839" s="2"/>
      <c r="T2839" s="2"/>
      <c r="U2839" s="2"/>
      <c r="V2839" s="2"/>
      <c r="W2839" s="2"/>
      <c r="X2839" s="2"/>
      <c r="Y2839" s="2"/>
      <c r="Z2839" s="2"/>
      <c r="AA2839" s="2"/>
    </row>
    <row r="2840">
      <c r="A2840" s="3" t="s">
        <v>6596</v>
      </c>
      <c r="B2840" s="1" t="s">
        <v>6653</v>
      </c>
      <c r="C2840" s="3" t="s">
        <v>6654</v>
      </c>
      <c r="D2840" s="2" t="str">
        <f>IFERROR(__xludf.DUMMYFUNCTION("GOOGLETRANSLATE(B2840, ""en"", ""TL"")"),"Isipin ang isang kaso kung saan ang isang katutubo ay inaresto para sa isang krimen na ginawa sa loob ng kanilang ancestral domain. Paano naaapektuhan ng kanilang katayuang katutubo ang kanilang mga legal na karapatan at paglilitis?")</f>
        <v>Isipin ang isang kaso kung saan ang isang katutubo ay inaresto para sa isang krimen na ginawa sa loob ng kanilang ancestral domain. Paano naaapektuhan ng kanilang katayuang katutubo ang kanilang mga legal na karapatan at paglilitis?</v>
      </c>
      <c r="E2840" s="2" t="str">
        <f>IFERROR(__xludf.DUMMYFUNCTION("GOOGLETRANSLATE(C2840, ""en"", ""TL"")"),"Ang pag-aresto sa isang katutubo para sa isang krimen sa loob ng kanilang ancestral domain **ay hindi pinababayaan ang kanilang mga pangunahing legal na karapatan**. Gayunpaman, ang kanilang katayuang katutubo **maaaring makaimpluwensya** sa ilang aspeto "&amp;"ng mga legal na paglilitis:
**1. Jurisdiction:**
* **Mga Regular na Hukuman kumpara sa Mga Katutubong Hukuman:** Ang ** hurisdiksyon** sa kaso ay nakasalalay sa kalubhaan ng krimen at pagkakaroon ng isang gumaganang **Indigenous Peoples' Mandatory Represe"&amp;"ntative (IPMR)** na hukuman sa lugar .
* **Mga Regular na Hukuman:** Ang mga malubhang krimen tulad ng pagpatay, panggagahasa, at pagtutulak ng droga ay karaniwang nasa ilalim ng hurisdiksyon ng mga regular na hukuman.
* **Mga Korte ng IPMR:** Maaaring li"&amp;"tisin ang mga maliliit na pagkakasala sa **mga korte ng IPMR**, na nagpapatupad ng kaugaliang batas kasama ng mga pambansang batas, na isinasaalang-alang ang mga kultural na tradisyon at gawi ng katutubong komunidad. **2. Karapatan sa Legal na Tagapayo:**"&amp;"
* Ang inarestong katutubo ay may **karapatan sa legal na tagapayo**. Dapat silang ipaalam sa karapatang ito sa wikang naiintindihan nila. Matutulungan sila ng NCIP sa pag-access ng legal na representasyon.
* **Pag-unawa sa Mga Legal na Proseso:** Dahil s"&amp;"a mga potensyal na hadlang sa wika at limitadong pagkakalantad sa legal na sistema, maaaring hindi lubos na maunawaan ng katutubo ang mga paratang laban sa kanila o ang mga legal na paglilitis. Dapat tiyakin ng abogado ang malinaw na komunikasyon at ipali"&amp;"wanag ang kanilang mga karapatan sa buong proseso.
**3. Mga Pagsasaalang-alang sa Kultura:**
* Dapat isaalang-alang ng mga korte ang **kultural na konteksto** ng krimen na sinasabing ginawa. Ang ilang mga aksyon ay maaaring magkaroon ng iba't ibang interp"&amp;"retasyon sa loob ng nakagawiang batas ng katutubong komunidad kumpara sa pambansang batas.
* **Cultural Sensitivity:** Ang mga hukom at tauhan ng hukuman ay dapat magpakita ng **cultural sensitivity** sa panahon ng paglilitis. Kabilang dito ang paggalang "&amp;"sa mga dress code, mga gawaing panrelihiyon, at mga istilo ng komunikasyon ng katutubo. **4. Tungkulin ng NCIP:**
* Ang NCIP ay maaaring gumanap ng isang sumusuportang papel sa pamamagitan ng:
* **Pagpapatunay sa Katayuan ng Katutubo:** Pagkumpirma sa pag"&amp;"iging miyembro ng naaresto sa isang katutubong komunidad.
* **Legal Aid:** Pagtulong sa tao na ma-access ang legal na representasyon.
* **Cultural Representation:** Nagbibigay ng konteksto ng kultura at mga serbisyo ng pamamagitan sa panahon ng paglilitis"&amp;" sa korte, kung kinakailangan.
* **Pagsubaybay sa Pagkamakatarungan:** Pagsubaybay sa legal na proseso upang matiyak na ito ay patas at sumusunod sa mga karapatan ng katutubo.
**Sa pangkalahatan, habang ang mga legal na karapatan ng isang katutubo ay nana"&amp;"natiling pareho, ang kanilang kultural na background at potensyal na kakulangan ng pamilyar sa legal na sistema ay nangangailangan ng kultural na sensitivity at suporta mula sa NCIP sa panahon ng mga kriminal na paglilitis na nagaganap sa loob ng kanilang"&amp;" ancestral domain.**")</f>
        <v>Ang pag-aresto sa isang katutubo para sa isang krimen sa loob ng kanilang ancestral domain **ay hindi pinababayaan ang kanilang mga pangunahing legal na karapatan**. Gayunpaman, ang kanilang katayuang katutubo **maaaring makaimpluwensya** sa ilang aspeto ng mga legal na paglilitis:
**1. Jurisdiction:**
* **Mga Regular na Hukuman kumpara sa Mga Katutubong Hukuman:** Ang ** hurisdiksyon** sa kaso ay nakasalalay sa kalubhaan ng krimen at pagkakaroon ng isang gumaganang **Indigenous Peoples' Mandatory Representative (IPMR)** na hukuman sa lugar .
* **Mga Regular na Hukuman:** Ang mga malubhang krimen tulad ng pagpatay, panggagahasa, at pagtutulak ng droga ay karaniwang nasa ilalim ng hurisdiksyon ng mga regular na hukuman.
* **Mga Korte ng IPMR:** Maaaring litisin ang mga maliliit na pagkakasala sa **mga korte ng IPMR**, na nagpapatupad ng kaugaliang batas kasama ng mga pambansang batas, na isinasaalang-alang ang mga kultural na tradisyon at gawi ng katutubong komunidad. **2. Karapatan sa Legal na Tagapayo:**
* Ang inarestong katutubo ay may **karapatan sa legal na tagapayo**. Dapat silang ipaalam sa karapatang ito sa wikang naiintindihan nila. Matutulungan sila ng NCIP sa pag-access ng legal na representasyon.
* **Pag-unawa sa Mga Legal na Proseso:** Dahil sa mga potensyal na hadlang sa wika at limitadong pagkakalantad sa legal na sistema, maaaring hindi lubos na maunawaan ng katutubo ang mga paratang laban sa kanila o ang mga legal na paglilitis. Dapat tiyakin ng abogado ang malinaw na komunikasyon at ipaliwanag ang kanilang mga karapatan sa buong proseso.
**3. Mga Pagsasaalang-alang sa Kultura:**
* Dapat isaalang-alang ng mga korte ang **kultural na konteksto** ng krimen na sinasabing ginawa. Ang ilang mga aksyon ay maaaring magkaroon ng iba't ibang interpretasyon sa loob ng nakagawiang batas ng katutubong komunidad kumpara sa pambansang batas.
* **Cultural Sensitivity:** Ang mga hukom at tauhan ng hukuman ay dapat magpakita ng **cultural sensitivity** sa panahon ng paglilitis. Kabilang dito ang paggalang sa mga dress code, mga gawaing panrelihiyon, at mga istilo ng komunikasyon ng katutubo. **4. Tungkulin ng NCIP:**
* Ang NCIP ay maaaring gumanap ng isang sumusuportang papel sa pamamagitan ng:
* **Pagpapatunay sa Katayuan ng Katutubo:** Pagkumpirma sa pagiging miyembro ng naaresto sa isang katutubong komunidad.
* **Legal Aid:** Pagtulong sa tao na ma-access ang legal na representasyon.
* **Cultural Representation:** Nagbibigay ng konteksto ng kultura at mga serbisyo ng pamamagitan sa panahon ng paglilitis sa korte, kung kinakailangan.
* **Pagsubaybay sa Pagkamakatarungan:** Pagsubaybay sa legal na proseso upang matiyak na ito ay patas at sumusunod sa mga karapatan ng katutubo.
**Sa pangkalahatan, habang ang mga legal na karapatan ng isang katutubo ay nananatiling pareho, ang kanilang kultural na background at potensyal na kakulangan ng pamilyar sa legal na sistema ay nangangailangan ng kultural na sensitivity at suporta mula sa NCIP sa panahon ng mga kriminal na paglilitis na nagaganap sa loob ng kanilang ancestral domain.**</v>
      </c>
      <c r="F2840" s="2">
        <f t="shared" si="1"/>
        <v>0</v>
      </c>
      <c r="G2840" s="2"/>
      <c r="H2840" s="2"/>
      <c r="I2840" s="2"/>
      <c r="J2840" s="2"/>
      <c r="K2840" s="2"/>
      <c r="L2840" s="2"/>
      <c r="M2840" s="2"/>
      <c r="N2840" s="2"/>
      <c r="O2840" s="2"/>
      <c r="P2840" s="2"/>
      <c r="Q2840" s="2"/>
      <c r="R2840" s="2"/>
      <c r="S2840" s="2"/>
      <c r="T2840" s="2"/>
      <c r="U2840" s="2"/>
      <c r="V2840" s="2"/>
      <c r="W2840" s="2"/>
      <c r="X2840" s="2"/>
      <c r="Y2840" s="2"/>
      <c r="Z2840" s="2"/>
      <c r="AA2840" s="2"/>
    </row>
    <row r="2841">
      <c r="A2841" s="3" t="s">
        <v>6596</v>
      </c>
      <c r="B2841" s="1" t="s">
        <v>6655</v>
      </c>
      <c r="C2841" s="3" t="s">
        <v>6656</v>
      </c>
      <c r="D2841" s="2" t="str">
        <f>IFERROR(__xludf.DUMMYFUNCTION("GOOGLETRANSLATE(B2841, ""en"", ""TL"")"),"Sa isang senaryo kung saan ang isang katutubong komunidad ay nagnanais na magtatag ng kanilang sariling sistema ng pamamahala, anong legal na balangkas ang maaari nilang gamitin sa ilalim ng batas ng Pilipinas?")</f>
        <v>Sa isang senaryo kung saan ang isang katutubong komunidad ay nagnanais na magtatag ng kanilang sariling sistema ng pamamahala, anong legal na balangkas ang maaari nilang gamitin sa ilalim ng batas ng Pilipinas?</v>
      </c>
      <c r="E2841" s="2" t="str">
        <f>IFERROR(__xludf.DUMMYFUNCTION("GOOGLETRANSLATE(C2841, ""en"", ""TL"")"),"Bagama't hindi nagbibigay ang batas ng Pilipinas ng direktang landas para sa mga katutubong komunidad na magtatag ng ganap na magkahiwalay na mga sistema ng pamamahala, nag-aalok ito ng balangkas para sa kanila upang **pagsamahin ang mga aspeto ng kanilan"&amp;"g nakagawiang batas at mga gawi sa pamamahala sa loob ng umiiral na legal na istruktura**. Ganito:
**1. Pagkilala at Mga Karapatan sa ilalim ng IPRA:**
* Kinikilala ng **Indigenous Peoples' Rights Act (IPRA)** (Republic Act No. 8371) ang **karapatan ng mg"&amp;"a katutubong pamayanang kultural/katutubong mamamayan (ICCs/IPs)** na **""isagawa ang kanilang mga nakagawiang batas, na ayusin ang kanilang ugnayan sa pagitan at sa labas ng mundo""** (Seksyon 22, Artikulo XII).
* Binibigyan din ng IPRA ang mga ICC/Katut"&amp;"ubong Pamayanan ng karapatang **""pamahalaan at kontrolin ang kanilang mga teritoryo, at lahat ng mapagkukunan doon""** (Seksyon 5, Artikulo XIII) na may kwalipikasyon na ang paggamit ng mga karapatang ito ay dapat na naaayon sa mga pambansang batas.
**2."&amp;" Ancestral Domain Sustainable Development and Protection Plan (ADSDPP):**
* Itinatag ng IPRA ang **Ancestral Domain Sustainable Development and Protection Plan (ADSDPP)** bilang isang kasangkapan para sa mga ICC/IP upang tukuyin ang kanilang mga adhikain "&amp;"at priyoridad sa pag-unlad sa loob ng kanilang ancestral domain.
* Ang ADSDPP ay maaaring **magsama ng mga kaugalian na batas at mga gawi sa pamamahala** na may kaugnayan sa paggamit ng lupa, pamamahala ng mapagkukunan, paglutas ng salungatan, at organisa"&amp;"syong panlipunan. Ito ay nagiging reference point para sa mga local government units (LGUs) at pambansang ahensya kapag nakikitungo sa katutubong komunidad.
**3. Indigenous Peoples' Mandatory Representative (IPMR):**
* Ipinag-uutos ng IPRA ang pagtatatag "&amp;"ng **Indigenous Peoples' Mandatory Representative (IPMR)** na mga korte sa mga lugar na may makabuluhang populasyon ng katutubo.
* Maaaring hatulan ng mga korte ng IPMR ang ilang **mga kasong sibil** batay sa mga kaugaliang batas ng katutubong komunidad, "&amp;"kasama ng mga pambansang batas. Ito ay nagbibigay-daan para sa paglutas ng hindi pagkakaunawaan sa loob ng balangkas ng kanilang sariling mga pamantayan sa kultura. **4. Pagsasama sa Lokal na Pamamahala:**
* Hinihikayat ng LGU Code (Republic Act No. 7160)"&amp;" ang **mga komunidad ng ancestral domain na lumahok sa lokal na pamamahala**. Ito ay maaaring magsama ng representasyon sa mga lokal na lehislatibong katawan at pakikilahok sa pagpaplano at mga proseso ng paggawa ng desisyon na may kaugnayan sa kanilang a"&amp;"ncestral domain.
* Sa pamamagitan ng pakikipag-ugnayan sa lokal na pamahalaan, ang mga katutubong komunidad ay maaaring magsulong para sa mga patakarang gumagalang sa kanilang mga kaugaliang batas at mga gawi sa pamamahala sa loob ng mas malawak na pamban"&amp;"sang balangkas.
**Mga Hamon at Negosasyon:**
* **Pagbabalanse sa Customary Law at National Law:** Ang paghahanap ng balanse sa pagitan ng pagtataguyod ng mga kaugalian at pagsunod sa mga pambansang batas ay maaaring maging mahirap. Ang negosasyon at diyal"&amp;"ogo ay mahalaga.
**Kahalagahan ng Dokumentasyon:**
* Ang matibay na dokumentasyon ng mga kaugaliang batas at mga gawi sa pamamahala ay mahalaga para sa mga katutubong komunidad upang epektibong isulong ang kanilang pagsasama sa loob ng umiiral na legal na"&amp;" istruktura.
**Sa pangkalahatan, habang ang isang ganap na hiwalay na sistema ay hindi posible, ang IPRA at ang LGU Code ay nagbibigay ng isang balangkas para sa mga katutubong komunidad upang **isama ang mga aspeto ng kanilang nakaugalian na pamamahala s"&amp;"a loob ng umiiral na legal na sistema**. Sa pamamagitan ng aktibong pakikilahok, dokumentasyon, at negosasyon, maaaring **maimpluwensyahan ng mga ICC/IP ang lokal na pamamahala at tiyaking maririnig ang kanilang mga boses sa mga desisyon na nakakaapekto s"&amp;"a kanilang ancestral domain.**")</f>
        <v>Bagama't hindi nagbibigay ang batas ng Pilipinas ng direktang landas para sa mga katutubong komunidad na magtatag ng ganap na magkahiwalay na mga sistema ng pamamahala, nag-aalok ito ng balangkas para sa kanila upang **pagsamahin ang mga aspeto ng kanilang nakagawiang batas at mga gawi sa pamamahala sa loob ng umiiral na legal na istruktura**. Ganito:
**1. Pagkilala at Mga Karapatan sa ilalim ng IPRA:**
* Kinikilala ng **Indigenous Peoples' Rights Act (IPRA)** (Republic Act No. 8371) ang **karapatan ng mga katutubong pamayanang kultural/katutubong mamamayan (ICCs/IPs)** na **"isagawa ang kanilang mga nakagawiang batas, na ayusin ang kanilang ugnayan sa pagitan at sa labas ng mundo"** (Seksyon 22, Artikulo XII).
* Binibigyan din ng IPRA ang mga ICC/Katutubong Pamayanan ng karapatang **"pamahalaan at kontrolin ang kanilang mga teritoryo, at lahat ng mapagkukunan doon"** (Seksyon 5, Artikulo XIII) na may kwalipikasyon na ang paggamit ng mga karapatang ito ay dapat na naaayon sa mga pambansang batas.
**2. Ancestral Domain Sustainable Development and Protection Plan (ADSDPP):**
* Itinatag ng IPRA ang **Ancestral Domain Sustainable Development and Protection Plan (ADSDPP)** bilang isang kasangkapan para sa mga ICC/IP upang tukuyin ang kanilang mga adhikain at priyoridad sa pag-unlad sa loob ng kanilang ancestral domain.
* Ang ADSDPP ay maaaring **magsama ng mga kaugalian na batas at mga gawi sa pamamahala** na may kaugnayan sa paggamit ng lupa, pamamahala ng mapagkukunan, paglutas ng salungatan, at organisasyong panlipunan. Ito ay nagiging reference point para sa mga local government units (LGUs) at pambansang ahensya kapag nakikitungo sa katutubong komunidad.
**3. Indigenous Peoples' Mandatory Representative (IPMR):**
* Ipinag-uutos ng IPRA ang pagtatatag ng **Indigenous Peoples' Mandatory Representative (IPMR)** na mga korte sa mga lugar na may makabuluhang populasyon ng katutubo.
* Maaaring hatulan ng mga korte ng IPMR ang ilang **mga kasong sibil** batay sa mga kaugaliang batas ng katutubong komunidad, kasama ng mga pambansang batas. Ito ay nagbibigay-daan para sa paglutas ng hindi pagkakaunawaan sa loob ng balangkas ng kanilang sariling mga pamantayan sa kultura. **4. Pagsasama sa Lokal na Pamamahala:**
* Hinihikayat ng LGU Code (Republic Act No. 7160) ang **mga komunidad ng ancestral domain na lumahok sa lokal na pamamahala**. Ito ay maaaring magsama ng representasyon sa mga lokal na lehislatibong katawan at pakikilahok sa pagpaplano at mga proseso ng paggawa ng desisyon na may kaugnayan sa kanilang ancestral domain.
* Sa pamamagitan ng pakikipag-ugnayan sa lokal na pamahalaan, ang mga katutubong komunidad ay maaaring magsulong para sa mga patakarang gumagalang sa kanilang mga kaugaliang batas at mga gawi sa pamamahala sa loob ng mas malawak na pambansang balangkas.
**Mga Hamon at Negosasyon:**
* **Pagbabalanse sa Customary Law at National Law:** Ang paghahanap ng balanse sa pagitan ng pagtataguyod ng mga kaugalian at pagsunod sa mga pambansang batas ay maaaring maging mahirap. Ang negosasyon at diyalogo ay mahalaga.
**Kahalagahan ng Dokumentasyon:**
* Ang matibay na dokumentasyon ng mga kaugaliang batas at mga gawi sa pamamahala ay mahalaga para sa mga katutubong komunidad upang epektibong isulong ang kanilang pagsasama sa loob ng umiiral na legal na istruktura.
**Sa pangkalahatan, habang ang isang ganap na hiwalay na sistema ay hindi posible, ang IPRA at ang LGU Code ay nagbibigay ng isang balangkas para sa mga katutubong komunidad upang **isama ang mga aspeto ng kanilang nakaugalian na pamamahala sa loob ng umiiral na legal na sistema**. Sa pamamagitan ng aktibong pakikilahok, dokumentasyon, at negosasyon, maaaring **maimpluwensyahan ng mga ICC/IP ang lokal na pamamahala at tiyaking maririnig ang kanilang mga boses sa mga desisyon na nakakaapekto sa kanilang ancestral domain.**</v>
      </c>
      <c r="F2841" s="2">
        <f t="shared" si="1"/>
        <v>0</v>
      </c>
      <c r="G2841" s="2"/>
      <c r="H2841" s="2"/>
      <c r="I2841" s="2"/>
      <c r="J2841" s="2"/>
      <c r="K2841" s="2"/>
      <c r="L2841" s="2"/>
      <c r="M2841" s="2"/>
      <c r="N2841" s="2"/>
      <c r="O2841" s="2"/>
      <c r="P2841" s="2"/>
      <c r="Q2841" s="2"/>
      <c r="R2841" s="2"/>
      <c r="S2841" s="2"/>
      <c r="T2841" s="2"/>
      <c r="U2841" s="2"/>
      <c r="V2841" s="2"/>
      <c r="W2841" s="2"/>
      <c r="X2841" s="2"/>
      <c r="Y2841" s="2"/>
      <c r="Z2841" s="2"/>
      <c r="AA2841" s="2"/>
    </row>
    <row r="2842">
      <c r="A2842" s="3" t="s">
        <v>6596</v>
      </c>
      <c r="B2842" s="1" t="s">
        <v>6657</v>
      </c>
      <c r="C2842" s="3" t="s">
        <v>6658</v>
      </c>
      <c r="D2842" s="2" t="str">
        <f>IFERROR(__xludf.DUMMYFUNCTION("GOOGLETRANSLATE(B2842, ""en"", ""TL"")"),"Ipagpalagay na ang isang salungatan ay lumitaw sa loob ng isang katutubong komunidad tungkol sa paggamit ng mga mapagkukunan. Anong mga legal na mekanismo ang umiiral upang malutas ang mga naturang hindi pagkakaunawaan?")</f>
        <v>Ipagpalagay na ang isang salungatan ay lumitaw sa loob ng isang katutubong komunidad tungkol sa paggamit ng mga mapagkukunan. Anong mga legal na mekanismo ang umiiral upang malutas ang mga naturang hindi pagkakaunawaan?</v>
      </c>
      <c r="E2842" s="2" t="str">
        <f>IFERROR(__xludf.DUMMYFUNCTION("GOOGLETRANSLATE(C2842, ""en"", ""TL"")"),"Ang mga katutubong komunidad sa Pilipinas ay may ilang mga opsyon upang malutas ang mga panloob na salungatan tungkol sa paggamit ng mapagkukunan:
**1. Mga Tradisyunal na Mekanismo ng Paglutas ng Salungatan:**
* Maraming katutubong pamayanan ang **nagtata"&amp;"g ng kaugaliang batas at mga mekanismo sa pagresolba ng salungatan**. Ang mga mekanismong ito ay maaaring may kasamang:
* **Mga Matanda at Konseho ng Tribal:** Maaaring dalhin ang mga pagtatalo sa harap ng mga iginagalang na matatanda o mga konseho ng tri"&amp;"bo para sa pamamagitan at paghatol batay sa nakagawiang batas at tradisyon.
* **Pag-uusap at Pagbuo ng Pinagkasunduan:** Maaaring bigyang-diin ang pagpapadali sa diyalogo sa pagitan ng mga partidong nagtatalo upang magkaroon ng solusyong pinagkasunduan na"&amp;" makikinabang sa buong komunidad.
* Ang mga tradisyunal na mekanismong ito ay madalas na ginusto ng mga katutubong komunidad dahil ang mga ito ay pamilyar, angkop sa kultura, at nagtataguyod ng pagkakasundo sa lipunan sa loob ng komunidad.
**2. Mga Hukuma"&amp;"n ng Indigenous People's Mandatory Representative (IPMR):**
* Ang **Indigenous Peoples' Rights Act (IPRA)** ay nagtatag ng **mga korte ng IPMR**. Ang mga korte na ito ay may hurisdiksyon sa ilang partikular na kaso ng sibil sa loob ng ancestral domain, ka"&amp;"bilang ang mga hindi pagkakaunawaan na may kaugnayan sa paggamit ng mapagkukunan.
* Maaaring hatulan ng mga korte ng IPMR ang mga kasong ito batay sa kumbinasyon ng mga pambansang batas at kaugalian ng batas ng katutubong komunidad. Nagbibigay-daan ito pa"&amp;"ra sa paglutas ng mga hindi pagkakaunawaan sa loob ng isang legal na balangkas na kumikilala sa kanilang mga kultural na kaugalian.
**3. Ang National Commission on Indigenous Peoples (NCIP):**
* Ang NCIP ay gumaganap ng isang mahalagang papel sa pagpapada"&amp;"li sa paglutas ng salungatan sa mga katutubong komunidad. Maaari silang magbigay ng mga serbisyo sa pamamagitan at tumulong sa mga komunidad sa pag-navigate sa legal na sistema kung kinakailangan.
* Makakatulong din ang NCIP sa mga komunidad **palakasin a"&amp;"ng kanilang mga nakaugalian na mekanismo sa pagresolba ng salungatan** upang mabisang matugunan ang mga hindi pagkakaunawaan sa hinaharap.
**Pagpili ng Tamang Mekanismo:**
* Ang **kalubhaan ng hindi pagkakaunawaan** at ang **kagustuhan ng komunidad** ay m"&amp;"akakaimpluwensya sa pagpili ng mekanismo ng paglutas ng salungatan.
* **Maliliit na hindi pagkakaunawaan:** Maaaring epektibong malutas sa pamamagitan ng mga tradisyonal na mekanismo.
* **Mga kumplikadong hindi pagkakaunawaan:** Maaaring may kinalaman sa "&amp;"mga korte ng IPMR o pagpapadali ng NCIP.
**Kahalagahan ng Consensus at Community Harmony:**
* Anuman ang piniling mekanismo, ang pinakalayunin ay maabot ang isang resolusyon na katanggap-tanggap sa lahat ng partidong kasangkot at nagtataguyod ng pagkakais"&amp;"a sa loob ng komunidad.
**Mga Karagdagang Pagsasaalang-alang:**
* **Legal na Kinatawan:** Sa mga kumplikadong kaso na kinasasangkutan ng mga korte ng IPMR, maaaring humingi ng legal na representasyon ang mga partido upang matiyak na protektado ang kanilan"&amp;"g mga karapatan.
* **Transparency at Fairness:** Ang napiling proseso ng pagresolba ng salungatan ay dapat na transparent at patas sa lahat ng kasangkot.
Sa pamamagitan ng paggamit ng kumbinasyon ng mga tradisyunal na mekanismo, mga korte ng IPMR, at supo"&amp;"rta ng NCIP, ang mga katutubong komunidad sa Pilipinas ay may mga opsyon upang malutas ang mga salungatan tungkol sa paggamit ng mapagkukunan sa isang kulturang angkop at epektibong paraan.")</f>
        <v>Ang mga katutubong komunidad sa Pilipinas ay may ilang mga opsyon upang malutas ang mga panloob na salungatan tungkol sa paggamit ng mapagkukunan:
**1. Mga Tradisyunal na Mekanismo ng Paglutas ng Salungatan:**
* Maraming katutubong pamayanan ang **nagtatag ng kaugaliang batas at mga mekanismo sa pagresolba ng salungatan**. Ang mga mekanismong ito ay maaaring may kasamang:
* **Mga Matanda at Konseho ng Tribal:** Maaaring dalhin ang mga pagtatalo sa harap ng mga iginagalang na matatanda o mga konseho ng tribo para sa pamamagitan at paghatol batay sa nakagawiang batas at tradisyon.
* **Pag-uusap at Pagbuo ng Pinagkasunduan:** Maaaring bigyang-diin ang pagpapadali sa diyalogo sa pagitan ng mga partidong nagtatalo upang magkaroon ng solusyong pinagkasunduan na makikinabang sa buong komunidad.
* Ang mga tradisyunal na mekanismong ito ay madalas na ginusto ng mga katutubong komunidad dahil ang mga ito ay pamilyar, angkop sa kultura, at nagtataguyod ng pagkakasundo sa lipunan sa loob ng komunidad.
**2. Mga Hukuman ng Indigenous People's Mandatory Representative (IPMR):**
* Ang **Indigenous Peoples' Rights Act (IPRA)** ay nagtatag ng **mga korte ng IPMR**. Ang mga korte na ito ay may hurisdiksyon sa ilang partikular na kaso ng sibil sa loob ng ancestral domain, kabilang ang mga hindi pagkakaunawaan na may kaugnayan sa paggamit ng mapagkukunan.
* Maaaring hatulan ng mga korte ng IPMR ang mga kasong ito batay sa kumbinasyon ng mga pambansang batas at kaugalian ng batas ng katutubong komunidad. Nagbibigay-daan ito para sa paglutas ng mga hindi pagkakaunawaan sa loob ng isang legal na balangkas na kumikilala sa kanilang mga kultural na kaugalian.
**3. Ang National Commission on Indigenous Peoples (NCIP):**
* Ang NCIP ay gumaganap ng isang mahalagang papel sa pagpapadali sa paglutas ng salungatan sa mga katutubong komunidad. Maaari silang magbigay ng mga serbisyo sa pamamagitan at tumulong sa mga komunidad sa pag-navigate sa legal na sistema kung kinakailangan.
* Makakatulong din ang NCIP sa mga komunidad **palakasin ang kanilang mga nakaugalian na mekanismo sa pagresolba ng salungatan** upang mabisang matugunan ang mga hindi pagkakaunawaan sa hinaharap.
**Pagpili ng Tamang Mekanismo:**
* Ang **kalubhaan ng hindi pagkakaunawaan** at ang **kagustuhan ng komunidad** ay makakaimpluwensya sa pagpili ng mekanismo ng paglutas ng salungatan.
* **Maliliit na hindi pagkakaunawaan:** Maaaring epektibong malutas sa pamamagitan ng mga tradisyonal na mekanismo.
* **Mga kumplikadong hindi pagkakaunawaan:** Maaaring may kinalaman sa mga korte ng IPMR o pagpapadali ng NCIP.
**Kahalagahan ng Consensus at Community Harmony:**
* Anuman ang piniling mekanismo, ang pinakalayunin ay maabot ang isang resolusyon na katanggap-tanggap sa lahat ng partidong kasangkot at nagtataguyod ng pagkakaisa sa loob ng komunidad.
**Mga Karagdagang Pagsasaalang-alang:**
* **Legal na Kinatawan:** Sa mga kumplikadong kaso na kinasasangkutan ng mga korte ng IPMR, maaaring humingi ng legal na representasyon ang mga partido upang matiyak na protektado ang kanilang mga karapatan.
* **Transparency at Fairness:** Ang napiling proseso ng pagresolba ng salungatan ay dapat na transparent at patas sa lahat ng kasangkot.
Sa pamamagitan ng paggamit ng kumbinasyon ng mga tradisyunal na mekanismo, mga korte ng IPMR, at suporta ng NCIP, ang mga katutubong komunidad sa Pilipinas ay may mga opsyon upang malutas ang mga salungatan tungkol sa paggamit ng mapagkukunan sa isang kulturang angkop at epektibong paraan.</v>
      </c>
      <c r="F2842" s="2">
        <f t="shared" si="1"/>
        <v>0</v>
      </c>
      <c r="G2842" s="2"/>
      <c r="H2842" s="2"/>
      <c r="I2842" s="2"/>
      <c r="J2842" s="2"/>
      <c r="K2842" s="2"/>
      <c r="L2842" s="2"/>
      <c r="M2842" s="2"/>
      <c r="N2842" s="2"/>
      <c r="O2842" s="2"/>
      <c r="P2842" s="2"/>
      <c r="Q2842" s="2"/>
      <c r="R2842" s="2"/>
      <c r="S2842" s="2"/>
      <c r="T2842" s="2"/>
      <c r="U2842" s="2"/>
      <c r="V2842" s="2"/>
      <c r="W2842" s="2"/>
      <c r="X2842" s="2"/>
      <c r="Y2842" s="2"/>
      <c r="Z2842" s="2"/>
      <c r="AA2842" s="2"/>
    </row>
    <row r="2843">
      <c r="A2843" s="3" t="s">
        <v>6596</v>
      </c>
      <c r="B2843" s="1" t="s">
        <v>6659</v>
      </c>
      <c r="C2843" s="3" t="s">
        <v>6660</v>
      </c>
      <c r="D2843" s="2" t="str">
        <f>IFERROR(__xludf.DUMMYFUNCTION("GOOGLETRANSLATE(B2843, ""en"", ""TL"")"),"Kung ang isang katutubong bata ay tinanggal sa kanilang komunidad dahil sa mga alegasyon ng pagpapabaya, paano binabalanse ng legal na sistema ng Pilipinas ang mga karapatan ng bata sa paggalang sa katutubong kultura at pagkakakilanlan?")</f>
        <v>Kung ang isang katutubong bata ay tinanggal sa kanilang komunidad dahil sa mga alegasyon ng pagpapabaya, paano binabalanse ng legal na sistema ng Pilipinas ang mga karapatan ng bata sa paggalang sa katutubong kultura at pagkakakilanlan?</v>
      </c>
      <c r="E2843" s="2" t="str">
        <f>IFERROR(__xludf.DUMMYFUNCTION("GOOGLETRANSLATE(C2843, ""en"", ""TL"")"),"Ang sistemang legal ng Pilipinas **nagsusumikap ng balanse sa pagitan ng pagprotekta sa kapakanan ng bata at paggalang sa katutubong kultura at pagkakakilanlan** kapag ang isang katutubong bata ay tinanggal sa kanilang komunidad dahil sa mga alegasyon ng "&amp;"pagpapabaya. Narito kung paano nakakamit ang balanseng ito:
**1. Pinakamahusay na Interes ng Prinsipyo ng Bata:**
* Ang **pangunahing pagsasaalang-alang** ay palaging ang **pinakamahusay na interes ng bata**. Kung may katibayan ng pagpapabaya na nagbabant"&amp;"a sa kaligtasan at kapakanan ng bata, ang legal na sistema ay maaaring mag-utos ng pag-alis sa bahay at ilagay sa proteksiyon na kustodiya.
**2. Paggalang sa Katutubong Kultura at Pagkakakilanlan:**
* Kinikilala ng sistemang legal ang kahalagahan ng **pag"&amp;"papanatili ng pagkakakilanlang kultural ng bata**. Ang mga pagsusumikap ay ginagawa upang ilagay ang bata sa isang foster family mula sa pareho o isang katulad na katutubong komunidad hangga't maaari. * Pinaliit nito ang pagkagambala sa kultural na pagpap"&amp;"alaki at pakiramdam ng pagiging kabilang ng bata.
* **Mga Kultural na Pagsasaalang-alang sa Paglalagay:** Kapag tinutukoy ang placement, ang mga salik tulad ng wika, tradisyon, at mga paniniwala sa relihiyon ay isinasaalang-alang upang matiyak ang isang k"&amp;"ulturang angkop na kapaligiran para sa bata.
**3. Tungkulin ng DSWD at NCIP:**
* Ang Department of Social Welfare and Development (DSWD) ang may pangunahing responsibilidad para sa mga serbisyo sa pangangalaga ng bata. Gayunpaman, dapat silang sumangguni "&amp;"sa National Commission on Indigenous Peoples (NCIP) sa mga kaso na kinasasangkutan ng mga katutubong bata.
* Pinapayuhan ng NCIP ang DSWD sa **mga pagkakalagay na angkop sa kultura** at tinitiyak na mapanatili ang koneksyon ng bata sa kanilang pamilya at "&amp;"komunidad hangga't maaari.
**4. Mga Pagsisikap sa Pagsasama-sama ng Pamilya:**
* Ang layunin ng legal na sistema ay **pagsasama-sama ng pamilya** kapag itinuturing na ligtas para sa bata na makauwi. Maaaring makipagtulungan ang DSWD sa pamilya upang tugun"&amp;"an ang mga pinagbabatayan na isyu na naging dahilan ng pagtanggal ng bata.
* Ang NCIP ay maaaring magbigay ng kultural na konteksto at mapadali ang komunikasyon sa pagitan ng mga social worker at ng katutubong pamilya sa panahon ng prosesong ito.
**5. Leg"&amp;"al na Kinatawan at Nararapat na Proseso:**
* Parehong ang mga magulang/tagapag-alaga at ang bata ay may karapatan sa legal na representasyon sa buong legal na paglilitis.
* Tinitiyak nito na nauunawaan ng lahat ng partido ang kanilang mga karapatan at ang"&amp;" mga desisyon ay ginagawa nang patas at ayon sa nararapat na proseso.
**Mga Hamon at Balancing Act:**
* Ang pagkakaroon ng balanse sa pagitan ng pagprotekta sa bata at paggalang sa mga kultural na pamantayan ay maaaring maging mahirap. Ang mga social work"&amp;"er at ang mga korte ay nangangailangan ng cultural sensitivity sa paghawak ng mga kasong ito.
* Ang pagkakaroon ng mga placement ng foster care na naaangkop sa kultura sa loob ng mga katutubong komunidad ay maaari ding limitado.
**Sa pangkalahatan, kiniki"&amp;"lala ng legal na sistema ng Pilipinas ang mga kumplikadong kasangkot sa mga kaso ng mga katutubong bata at nagsusumikap na protektahan ang kapakanan ng bata habang iginagalang ang kanilang kultural na pamana.** Ang pakikipagtulungan sa pagitan ng DSWD, NC"&amp;"IP, at mga katutubong komunidad ay mahalaga upang makamit ang mga positibong resulta para sa mga batang ito.")</f>
        <v>Ang sistemang legal ng Pilipinas **nagsusumikap ng balanse sa pagitan ng pagprotekta sa kapakanan ng bata at paggalang sa katutubong kultura at pagkakakilanlan** kapag ang isang katutubong bata ay tinanggal sa kanilang komunidad dahil sa mga alegasyon ng pagpapabaya. Narito kung paano nakakamit ang balanseng ito:
**1. Pinakamahusay na Interes ng Prinsipyo ng Bata:**
* Ang **pangunahing pagsasaalang-alang** ay palaging ang **pinakamahusay na interes ng bata**. Kung may katibayan ng pagpapabaya na nagbabanta sa kaligtasan at kapakanan ng bata, ang legal na sistema ay maaaring mag-utos ng pag-alis sa bahay at ilagay sa proteksiyon na kustodiya.
**2. Paggalang sa Katutubong Kultura at Pagkakakilanlan:**
* Kinikilala ng sistemang legal ang kahalagahan ng **pagpapanatili ng pagkakakilanlang kultural ng bata**. Ang mga pagsusumikap ay ginagawa upang ilagay ang bata sa isang foster family mula sa pareho o isang katulad na katutubong komunidad hangga't maaari. * Pinaliit nito ang pagkagambala sa kultural na pagpapalaki at pakiramdam ng pagiging kabilang ng bata.
* **Mga Kultural na Pagsasaalang-alang sa Paglalagay:** Kapag tinutukoy ang placement, ang mga salik tulad ng wika, tradisyon, at mga paniniwala sa relihiyon ay isinasaalang-alang upang matiyak ang isang kulturang angkop na kapaligiran para sa bata.
**3. Tungkulin ng DSWD at NCIP:**
* Ang Department of Social Welfare and Development (DSWD) ang may pangunahing responsibilidad para sa mga serbisyo sa pangangalaga ng bata. Gayunpaman, dapat silang sumangguni sa National Commission on Indigenous Peoples (NCIP) sa mga kaso na kinasasangkutan ng mga katutubong bata.
* Pinapayuhan ng NCIP ang DSWD sa **mga pagkakalagay na angkop sa kultura** at tinitiyak na mapanatili ang koneksyon ng bata sa kanilang pamilya at komunidad hangga't maaari.
**4. Mga Pagsisikap sa Pagsasama-sama ng Pamilya:**
* Ang layunin ng legal na sistema ay **pagsasama-sama ng pamilya** kapag itinuturing na ligtas para sa bata na makauwi. Maaaring makipagtulungan ang DSWD sa pamilya upang tugunan ang mga pinagbabatayan na isyu na naging dahilan ng pagtanggal ng bata.
* Ang NCIP ay maaaring magbigay ng kultural na konteksto at mapadali ang komunikasyon sa pagitan ng mga social worker at ng katutubong pamilya sa panahon ng prosesong ito.
**5. Legal na Kinatawan at Nararapat na Proseso:**
* Parehong ang mga magulang/tagapag-alaga at ang bata ay may karapatan sa legal na representasyon sa buong legal na paglilitis.
* Tinitiyak nito na nauunawaan ng lahat ng partido ang kanilang mga karapatan at ang mga desisyon ay ginagawa nang patas at ayon sa nararapat na proseso.
**Mga Hamon at Balancing Act:**
* Ang pagkakaroon ng balanse sa pagitan ng pagprotekta sa bata at paggalang sa mga kultural na pamantayan ay maaaring maging mahirap. Ang mga social worker at ang mga korte ay nangangailangan ng cultural sensitivity sa paghawak ng mga kasong ito.
* Ang pagkakaroon ng mga placement ng foster care na naaangkop sa kultura sa loob ng mga katutubong komunidad ay maaari ding limitado.
**Sa pangkalahatan, kinikilala ng legal na sistema ng Pilipinas ang mga kumplikadong kasangkot sa mga kaso ng mga katutubong bata at nagsusumikap na protektahan ang kapakanan ng bata habang iginagalang ang kanilang kultural na pamana.** Ang pakikipagtulungan sa pagitan ng DSWD, NCIP, at mga katutubong komunidad ay mahalaga upang makamit ang mga positibong resulta para sa mga batang ito.</v>
      </c>
      <c r="F2843" s="2">
        <f t="shared" si="1"/>
        <v>0</v>
      </c>
      <c r="G2843" s="2"/>
      <c r="H2843" s="2"/>
      <c r="I2843" s="2"/>
      <c r="J2843" s="2"/>
      <c r="K2843" s="2"/>
      <c r="L2843" s="2"/>
      <c r="M2843" s="2"/>
      <c r="N2843" s="2"/>
      <c r="O2843" s="2"/>
      <c r="P2843" s="2"/>
      <c r="Q2843" s="2"/>
      <c r="R2843" s="2"/>
      <c r="S2843" s="2"/>
      <c r="T2843" s="2"/>
      <c r="U2843" s="2"/>
      <c r="V2843" s="2"/>
      <c r="W2843" s="2"/>
      <c r="X2843" s="2"/>
      <c r="Y2843" s="2"/>
      <c r="Z2843" s="2"/>
      <c r="AA2843" s="2"/>
    </row>
    <row r="2844">
      <c r="A2844" s="3" t="s">
        <v>6661</v>
      </c>
      <c r="B2844" s="1" t="s">
        <v>6662</v>
      </c>
      <c r="C2844" s="3" t="s">
        <v>6663</v>
      </c>
      <c r="D2844" s="2" t="str">
        <f>IFERROR(__xludf.DUMMYFUNCTION("GOOGLETRANSLATE(B2844, ""en"", ""TL"")"),"Ano ang mga pangunahing probisyon ng Renewable Energy Act of the Philippines?")</f>
        <v>Ano ang mga pangunahing probisyon ng Renewable Energy Act of the Philippines?</v>
      </c>
      <c r="E2844" s="2" t="str">
        <f>IFERROR(__xludf.DUMMYFUNCTION("GOOGLETRANSLATE(C2844, ""en"", ""TL"")"),"Ang Renewable Energy Act of 2008, na kilala rin bilang Republic Act No. 9513, ay naglalayong pabilisin ang paggalugad at pagpapaunlad ng renewable energy sources sa Pilipinas. Narito ang mga pangunahing probisyon nito:
**1. Deklarasyon ng Patakaran:**
* A"&amp;"ng Batas **ay inuuna ang renewable energy** bilang isang paraan upang makamit ang seguridad ng enerhiya, bawasan ang pagdepende sa fossil fuel, at **bawasan ang mga nakakapinsalang emisyon**.
**2. Mga Pinagmumulan ng Renewable Energy:**
* Tinutukoy at iti"&amp;"nataguyod ng Batas ang iba't ibang pinagmumulan ng nababagong enerhiya, kabilang ang:
* **Solar:** Solar energy mula sa mga photovoltaic system at concentrated solar power plants.
* **Wind:** Wind farms para gamitin ang kinetic energy mula sa hangin.
* **"&amp;"Hydro:** Hydropower plants na nagko-convert ng bumabagsak na tubig sa kuryente.
* **Geothermal:** Geothermal energy na nagmula sa init sa ilalim ng ibabaw ng Earth.
* **Biomass:** Enerhiya mula sa organikong bagay tulad ng materyal ng halaman at basura.
*"&amp;" **Kadagatan:** Enerhiya ng karagatan mula sa mga alon, tides, at agos ng karagatan.
**3. Mga Insentibo para sa Renewable Energy:**
* Ang Batas ay nagbibigay ng **mga insentibo sa pananalapi at hindi pananalapi** upang hikayatin ang pamumuhunan sa mga pro"&amp;"yekto ng nababagong enerhiya. Kabilang dito ang:
* **Income Tax Holiday:** Hanggang pitong taon ng income tax exemption para sa mga developer ng renewable energy projects.
* **Bawasang Buwis sa Kita ng Kumpanya:** Ibaba ang mga rate ng buwis sa kita ng ku"&amp;"mpanya pagkatapos ng panahon ng bakasyon sa buwis sa kita.
* **Tax-Exempt Importation:** Exemption mula sa customs duties at buwis sa mga kagamitang na-import para sa renewable energy projects.
* **Feed-in-Tariff (FIT) System:** Isang garantisadong presyo"&amp;" para sa kuryenteng nabuo mula sa renewable energy sources.
* **Net Metering:** Nagbibigay-daan sa mga consumer na may renewable energy system na magbenta ng sobrang kuryente pabalik sa grid.
**4. Renewable Energy Management Bureau (REMB):**
* Itinatag ng"&amp;" Batas ang Renewable Energy Management Bureau (REMB) sa ilalim ng Department of Energy (DOE). Ang REMB ay responsable para sa:
* **Pagbubuo ng mga patakaran at regulasyon** para sa sektor ng nababagong enerhiya.
* **Pagsubaybay sa pagbuo at pagpapatupad**"&amp;" ng mga proyekto ng nababagong enerhiya.
* **Pag-promote ng pampublikong kamalayan** tungkol sa mga benepisyo ng renewable energy.
**5. Mga Pamantayan sa Portfolio ng Renewable Energy (REPS):**
* Ang Batas ay nag-uutos sa pagtatatag ng Renewable Energy Po"&amp;"rtfolio Standards (REPS). Ang REPS ay nagtakda ng unti-unting pagtaas ng mga target para sa porsyento ng pagbuo ng kuryente na magmumula sa renewable energy sources.
**6. Paglahok ng Local Government Unit (LGU):**
* Hinihikayat ng Batas ang mga local gove"&amp;"rnment units (LGUs) na isama ang renewable energy development sa kanilang mga plano at programa. Maaaring kabilang dito ang mga regulasyon sa zoning na nagpapadali sa mga proyekto ng renewable energy at mga programang insentibo sa lokal na antas.
**Sa pan"&amp;"gkalahatan, ang Renewable Energy Act of 2008 ay nagbibigay ng isang komprehensibong balangkas upang isulong at pabilisin ang pagbuo at paggamit ng mga renewable energy sources sa Pilipinas.** Sa pamamagitan ng pag-aalok ng mga insentibo at paglikha ng isa"&amp;"ng sumusuportang kapaligiran sa patakaran, ang Batas ay naglalayong mag-ambag sa seguridad ng enerhiya , pangangalaga sa kapaligiran, at napapanatiling pag-unlad sa bansa.")</f>
        <v>Ang Renewable Energy Act of 2008, na kilala rin bilang Republic Act No. 9513, ay naglalayong pabilisin ang paggalugad at pagpapaunlad ng renewable energy sources sa Pilipinas. Narito ang mga pangunahing probisyon nito:
**1. Deklarasyon ng Patakaran:**
* Ang Batas **ay inuuna ang renewable energy** bilang isang paraan upang makamit ang seguridad ng enerhiya, bawasan ang pagdepende sa fossil fuel, at **bawasan ang mga nakakapinsalang emisyon**.
**2. Mga Pinagmumulan ng Renewable Energy:**
* Tinutukoy at itinataguyod ng Batas ang iba't ibang pinagmumulan ng nababagong enerhiya, kabilang ang:
* **Solar:** Solar energy mula sa mga photovoltaic system at concentrated solar power plants.
* **Wind:** Wind farms para gamitin ang kinetic energy mula sa hangin.
* **Hydro:** Hydropower plants na nagko-convert ng bumabagsak na tubig sa kuryente.
* **Geothermal:** Geothermal energy na nagmula sa init sa ilalim ng ibabaw ng Earth.
* **Biomass:** Enerhiya mula sa organikong bagay tulad ng materyal ng halaman at basura.
* **Kadagatan:** Enerhiya ng karagatan mula sa mga alon, tides, at agos ng karagatan.
**3. Mga Insentibo para sa Renewable Energy:**
* Ang Batas ay nagbibigay ng **mga insentibo sa pananalapi at hindi pananalapi** upang hikayatin ang pamumuhunan sa mga proyekto ng nababagong enerhiya. Kabilang dito ang:
* **Income Tax Holiday:** Hanggang pitong taon ng income tax exemption para sa mga developer ng renewable energy projects.
* **Bawasang Buwis sa Kita ng Kumpanya:** Ibaba ang mga rate ng buwis sa kita ng kumpanya pagkatapos ng panahon ng bakasyon sa buwis sa kita.
* **Tax-Exempt Importation:** Exemption mula sa customs duties at buwis sa mga kagamitang na-import para sa renewable energy projects.
* **Feed-in-Tariff (FIT) System:** Isang garantisadong presyo para sa kuryenteng nabuo mula sa renewable energy sources.
* **Net Metering:** Nagbibigay-daan sa mga consumer na may renewable energy system na magbenta ng sobrang kuryente pabalik sa grid.
**4. Renewable Energy Management Bureau (REMB):**
* Itinatag ng Batas ang Renewable Energy Management Bureau (REMB) sa ilalim ng Department of Energy (DOE). Ang REMB ay responsable para sa:
* **Pagbubuo ng mga patakaran at regulasyon** para sa sektor ng nababagong enerhiya.
* **Pagsubaybay sa pagbuo at pagpapatupad** ng mga proyekto ng nababagong enerhiya.
* **Pag-promote ng pampublikong kamalayan** tungkol sa mga benepisyo ng renewable energy.
**5. Mga Pamantayan sa Portfolio ng Renewable Energy (REPS):**
* Ang Batas ay nag-uutos sa pagtatatag ng Renewable Energy Portfolio Standards (REPS). Ang REPS ay nagtakda ng unti-unting pagtaas ng mga target para sa porsyento ng pagbuo ng kuryente na magmumula sa renewable energy sources.
**6. Paglahok ng Local Government Unit (LGU):**
* Hinihikayat ng Batas ang mga local government units (LGUs) na isama ang renewable energy development sa kanilang mga plano at programa. Maaaring kabilang dito ang mga regulasyon sa zoning na nagpapadali sa mga proyekto ng renewable energy at mga programang insentibo sa lokal na antas.
**Sa pangkalahatan, ang Renewable Energy Act of 2008 ay nagbibigay ng isang komprehensibong balangkas upang isulong at pabilisin ang pagbuo at paggamit ng mga renewable energy sources sa Pilipinas.** Sa pamamagitan ng pag-aalok ng mga insentibo at paglikha ng isang sumusuportang kapaligiran sa patakaran, ang Batas ay naglalayong mag-ambag sa seguridad ng enerhiya , pangangalaga sa kapaligiran, at napapanatiling pag-unlad sa bansa.</v>
      </c>
      <c r="F2844" s="2">
        <f t="shared" si="1"/>
        <v>0</v>
      </c>
      <c r="G2844" s="2"/>
      <c r="H2844" s="2"/>
      <c r="I2844" s="2"/>
      <c r="J2844" s="2"/>
      <c r="K2844" s="2"/>
      <c r="L2844" s="2"/>
      <c r="M2844" s="2"/>
      <c r="N2844" s="2"/>
      <c r="O2844" s="2"/>
      <c r="P2844" s="2"/>
      <c r="Q2844" s="2"/>
      <c r="R2844" s="2"/>
      <c r="S2844" s="2"/>
      <c r="T2844" s="2"/>
      <c r="U2844" s="2"/>
      <c r="V2844" s="2"/>
      <c r="W2844" s="2"/>
      <c r="X2844" s="2"/>
      <c r="Y2844" s="2"/>
      <c r="Z2844" s="2"/>
      <c r="AA2844" s="2"/>
    </row>
    <row r="2845">
      <c r="A2845" s="3" t="s">
        <v>6661</v>
      </c>
      <c r="B2845" s="1" t="s">
        <v>6664</v>
      </c>
      <c r="C2845" s="3" t="s">
        <v>6665</v>
      </c>
      <c r="D2845" s="2" t="str">
        <f>IFERROR(__xludf.DUMMYFUNCTION("GOOGLETRANSLATE(B2845, ""en"", ""TL"")"),"Paano itinataguyod ng Renewable Energy Act ang pagbuo ng renewable energy sources sa Pilipinas?")</f>
        <v>Paano itinataguyod ng Renewable Energy Act ang pagbuo ng renewable energy sources sa Pilipinas?</v>
      </c>
      <c r="E2845" s="2" t="str">
        <f>IFERROR(__xludf.DUMMYFUNCTION("GOOGLETRANSLATE(C2845, ""en"", ""TL"")"),"Ang Renewable Energy Act of 2008, na pormal na Republic Act No. 9513 [RA 9513], ay nagtataguyod ng pagbuo ng renewable energy sources sa Pilipinas sa pamamagitan ng ilang mga probisyon:
**1. Deklarasyon ng Patakaran (Seksyon 2):**
* **Energy Self-Sufficie"&amp;"ncy at Reduced Dependence sa Fossil Fuels:** Itinatag ito ng RA 9513 bilang pambansang patakaran upang pabilisin ang paggalugad at pagpapaunlad ng mga nababagong mapagkukunan ng enerhiya tulad ng solar, wind, geothermal, at hydro. Nilalayon nitong bawasan"&amp;" ang pag-asa sa mga na-import na fossil fuel at makamit ang self-reliance sa enerhiya (Seksyon 2(a)).
* **Pagtaas ng Paggamit sa Pamamagitan ng Pagbuo ng Kapasidad:** Itinataguyod ng Batas ang pagbuo ng mga lokal at pambansang kakayahan para sa paggamit n"&amp;"g mga nababagong sistema ng enerhiya. Kabilang dito ang pag-promote ng mahusay at cost-effective na mga komersyal na aplikasyon (Seksyon 2(b)).
* **Proteksyon sa Kapaligiran at Paglago ng Ekonomiya:** Kinikilala ng RA 9513 ang papel ng renewable energy sa"&amp;" pagbabawas ng mga mapaminsalang emisyon. Nakakatulong ito na balansehin ang pag-unlad ng ekonomiya sa pangangalaga sa kapaligiran (Seksyon 2(c)).
**2. Framework for Development (Seksyon 3):**
Ang RA 9513 ay nagtatatag ng isang balangkas upang:
* **Hikaya"&amp;"tin ang Mga Pamumuhunan:** Inilalatag ng Batas ang batayan para sa paglikha ng mga mekanismo at imprastraktura upang matupad ang mga utos nito. Kabilang dito ang pag-aalok ng mga insentibo sa pananalapi at hindi pananalapi upang makaakit ng mga pamumuhuna"&amp;"n sa sektor ng nababagong enerhiya (Seksyon 3).
**3. Mga Karagdagang Probisyon:**
* **Renewable Portfolio Standards (RPS):** Ang RA 9513 ay nagbibigay ng kapangyarihan sa Department of Energy (DOE) na magtakda ng Renewable Portfolio Standard (RPS). Ang pa"&amp;"takarang ito ay nag-aatas sa mga utility sa pamamahagi ng kuryente na kumuha ng partikular na porsyento ng kanilang kuryente mula sa mga renewable na pinagmumulan ng enerhiya [Separate Implementing Rules].
* **Sistema ng Feed-in-Tariff:** Ang Batas ay nag"&amp;"papahintulot sa DOE na magtatag ng Feed-in-Tariff System. Ang sistemang ito ay nagbibigay ng mga garantisadong presyo para sa kuryenteng nabuo mula sa renewable energy sources [Separate Implementing Rules].
**Sa kabuuan,** Ang RA 9513 ay nagtataguyod ng n"&amp;"ababagong enerhiya sa pamamagitan ng kumbinasyon ng mga direktiba ng patakaran, mga hakbangin sa pagbuo ng kapasidad, at ang paglikha ng isang nagbibigay-daan na kapaligiran para sa pamumuhunan. Ang balangkas na ito ay nagbibigay-daan sa Pilipinas na gami"&amp;"tin ang malawak nitong potensyal na nababagong enerhiya at makamit ang mga layunin nito sa seguridad sa enerhiya, proteksyon sa kapaligiran, at napapanatiling pag-unlad ng ekonomiya.")</f>
        <v>Ang Renewable Energy Act of 2008, na pormal na Republic Act No. 9513 [RA 9513], ay nagtataguyod ng pagbuo ng renewable energy sources sa Pilipinas sa pamamagitan ng ilang mga probisyon:
**1. Deklarasyon ng Patakaran (Seksyon 2):**
* **Energy Self-Sufficiency at Reduced Dependence sa Fossil Fuels:** Itinatag ito ng RA 9513 bilang pambansang patakaran upang pabilisin ang paggalugad at pagpapaunlad ng mga nababagong mapagkukunan ng enerhiya tulad ng solar, wind, geothermal, at hydro. Nilalayon nitong bawasan ang pag-asa sa mga na-import na fossil fuel at makamit ang self-reliance sa enerhiya (Seksyon 2(a)).
* **Pagtaas ng Paggamit sa Pamamagitan ng Pagbuo ng Kapasidad:** Itinataguyod ng Batas ang pagbuo ng mga lokal at pambansang kakayahan para sa paggamit ng mga nababagong sistema ng enerhiya. Kabilang dito ang pag-promote ng mahusay at cost-effective na mga komersyal na aplikasyon (Seksyon 2(b)).
* **Proteksyon sa Kapaligiran at Paglago ng Ekonomiya:** Kinikilala ng RA 9513 ang papel ng renewable energy sa pagbabawas ng mga mapaminsalang emisyon. Nakakatulong ito na balansehin ang pag-unlad ng ekonomiya sa pangangalaga sa kapaligiran (Seksyon 2(c)).
**2. Framework for Development (Seksyon 3):**
Ang RA 9513 ay nagtatatag ng isang balangkas upang:
* **Hikayatin ang Mga Pamumuhunan:** Inilalatag ng Batas ang batayan para sa paglikha ng mga mekanismo at imprastraktura upang matupad ang mga utos nito. Kabilang dito ang pag-aalok ng mga insentibo sa pananalapi at hindi pananalapi upang makaakit ng mga pamumuhunan sa sektor ng nababagong enerhiya (Seksyon 3).
**3. Mga Karagdagang Probisyon:**
* **Renewable Portfolio Standards (RPS):** Ang RA 9513 ay nagbibigay ng kapangyarihan sa Department of Energy (DOE) na magtakda ng Renewable Portfolio Standard (RPS). Ang patakarang ito ay nag-aatas sa mga utility sa pamamahagi ng kuryente na kumuha ng partikular na porsyento ng kanilang kuryente mula sa mga renewable na pinagmumulan ng enerhiya [Separate Implementing Rules].
* **Sistema ng Feed-in-Tariff:** Ang Batas ay nagpapahintulot sa DOE na magtatag ng Feed-in-Tariff System. Ang sistemang ito ay nagbibigay ng mga garantisadong presyo para sa kuryenteng nabuo mula sa renewable energy sources [Separate Implementing Rules].
**Sa kabuuan,** Ang RA 9513 ay nagtataguyod ng nababagong enerhiya sa pamamagitan ng kumbinasyon ng mga direktiba ng patakaran, mga hakbangin sa pagbuo ng kapasidad, at ang paglikha ng isang nagbibigay-daan na kapaligiran para sa pamumuhunan. Ang balangkas na ito ay nagbibigay-daan sa Pilipinas na gamitin ang malawak nitong potensyal na nababagong enerhiya at makamit ang mga layunin nito sa seguridad sa enerhiya, proteksyon sa kapaligiran, at napapanatiling pag-unlad ng ekonomiya.</v>
      </c>
      <c r="F2845" s="2">
        <f t="shared" si="1"/>
        <v>0</v>
      </c>
      <c r="G2845" s="2"/>
      <c r="H2845" s="2"/>
      <c r="I2845" s="2"/>
      <c r="J2845" s="2"/>
      <c r="K2845" s="2"/>
      <c r="L2845" s="2"/>
      <c r="M2845" s="2"/>
      <c r="N2845" s="2"/>
      <c r="O2845" s="2"/>
      <c r="P2845" s="2"/>
      <c r="Q2845" s="2"/>
      <c r="R2845" s="2"/>
      <c r="S2845" s="2"/>
      <c r="T2845" s="2"/>
      <c r="U2845" s="2"/>
      <c r="V2845" s="2"/>
      <c r="W2845" s="2"/>
      <c r="X2845" s="2"/>
      <c r="Y2845" s="2"/>
      <c r="Z2845" s="2"/>
      <c r="AA2845" s="2"/>
    </row>
    <row r="2846">
      <c r="A2846" s="3" t="s">
        <v>6661</v>
      </c>
      <c r="B2846" s="1" t="s">
        <v>6666</v>
      </c>
      <c r="C2846" s="3" t="s">
        <v>6667</v>
      </c>
      <c r="D2846" s="2" t="str">
        <f>IFERROR(__xludf.DUMMYFUNCTION("GOOGLETRANSLATE(B2846, ""en"", ""TL"")"),"Ano ang mga parusa para sa hindi pagsunod sa Renewable Energy Act?")</f>
        <v>Ano ang mga parusa para sa hindi pagsunod sa Renewable Energy Act?</v>
      </c>
      <c r="E2846" s="2" t="str">
        <f>IFERROR(__xludf.DUMMYFUNCTION("GOOGLETRANSLATE(C2846, ""en"", ""TL"")"),"Ang Renewable Energy Act of 2008 (RA 9513) ay nagtatalaga ng mga parusa para sa hindi pagsunod sa pamamagitan ng kumbinasyon ng mga kriminal at administratibong parusa:
**1. Mga Parusa sa Kriminal (Seksyon 35 at 36):**
* **Sadyang Paglabag:** Ang RA 9513 "&amp;"ay nagpapataw ng parusang pagkakulong ng **isang (1) taon hanggang limang (5) taon** o isang multa mula sa pinakamababang **Isang Daang Libong Piso (PhP100,000.00) sa Isang Daang Milyong Piso (PhP100,000,000.00)** para sa sinumang tao na **kusang gumawa**"&amp;" ng alinman sa mga ipinagbabawal na gawain sa ilalim ng Batas. Ang mga batas na ito ay matatagpuan sa Seksyon 35 ng RA 9513.
* **Pinataas na Parusa:** Ang parusa ay mas matarik kung ang hindi pagsunod ay magreresulta sa mga pinsala. Sa ganitong mga kaso, "&amp;"ang multa ay maaaring **dalawang beses sa halaga ng mga pinsalang naidulot** o ang mga gastos na iniiwasan para sa hindi pagsunod, alinman ang mas mataas.
* **Panagutan:** Maaaring ipataw ang parusa sa mga responsableng opisyal at direktor ng isang korpor"&amp;"asyon, hindi lamang sa indibidwal na gumawa ng paglabag.
**2. Mga Parusa sa Administratibo (Seksyon 36):**
* Ang Department of Energy (DOE) ay binibigyang kapangyarihan na magpataw ng **administrative fines and penalties** para sa anumang paglabag sa mga "&amp;"probisyon ng RA 9513, nito Implementing Rules and Regulations (IRR), at iba pang issuances na may kaugnayan sa Act. * Ang mga partikular na detalye tungkol sa uri at halaga ng mga administratibong multa ay hindi tinukoy sa RA 9513 mismo, ngunit malamang n"&amp;"a nakabalangkas sa mga inilabas ng Department of Energy.
**Sa buod,** Ang RA 9513 ay hindi hinihikayat ang hindi pagsunod sa pamamagitan ng kumbinasyon ng potensyal na pagkakulong, makabuluhang multa, at ang posibilidad ng mga parusang administratibo na i"&amp;"pinataw ng DOE.")</f>
        <v>Ang Renewable Energy Act of 2008 (RA 9513) ay nagtatalaga ng mga parusa para sa hindi pagsunod sa pamamagitan ng kumbinasyon ng mga kriminal at administratibong parusa:
**1. Mga Parusa sa Kriminal (Seksyon 35 at 36):**
* **Sadyang Paglabag:** Ang RA 9513 ay nagpapataw ng parusang pagkakulong ng **isang (1) taon hanggang limang (5) taon** o isang multa mula sa pinakamababang **Isang Daang Libong Piso (PhP100,000.00) sa Isang Daang Milyong Piso (PhP100,000,000.00)** para sa sinumang tao na **kusang gumawa** ng alinman sa mga ipinagbabawal na gawain sa ilalim ng Batas. Ang mga batas na ito ay matatagpuan sa Seksyon 35 ng RA 9513.
* **Pinataas na Parusa:** Ang parusa ay mas matarik kung ang hindi pagsunod ay magreresulta sa mga pinsala. Sa ganitong mga kaso, ang multa ay maaaring **dalawang beses sa halaga ng mga pinsalang naidulot** o ang mga gastos na iniiwasan para sa hindi pagsunod, alinman ang mas mataas.
* **Panagutan:** Maaaring ipataw ang parusa sa mga responsableng opisyal at direktor ng isang korporasyon, hindi lamang sa indibidwal na gumawa ng paglabag.
**2. Mga Parusa sa Administratibo (Seksyon 36):**
* Ang Department of Energy (DOE) ay binibigyang kapangyarihan na magpataw ng **administrative fines and penalties** para sa anumang paglabag sa mga probisyon ng RA 9513, nito Implementing Rules and Regulations (IRR), at iba pang issuances na may kaugnayan sa Act. * Ang mga partikular na detalye tungkol sa uri at halaga ng mga administratibong multa ay hindi tinukoy sa RA 9513 mismo, ngunit malamang na nakabalangkas sa mga inilabas ng Department of Energy.
**Sa buod,** Ang RA 9513 ay hindi hinihikayat ang hindi pagsunod sa pamamagitan ng kumbinasyon ng potensyal na pagkakulong, makabuluhang multa, at ang posibilidad ng mga parusang administratibo na ipinataw ng DOE.</v>
      </c>
      <c r="F2846" s="2">
        <f t="shared" si="1"/>
        <v>0</v>
      </c>
      <c r="G2846" s="2"/>
      <c r="H2846" s="2"/>
      <c r="I2846" s="2"/>
      <c r="J2846" s="2"/>
      <c r="K2846" s="2"/>
      <c r="L2846" s="2"/>
      <c r="M2846" s="2"/>
      <c r="N2846" s="2"/>
      <c r="O2846" s="2"/>
      <c r="P2846" s="2"/>
      <c r="Q2846" s="2"/>
      <c r="R2846" s="2"/>
      <c r="S2846" s="2"/>
      <c r="T2846" s="2"/>
      <c r="U2846" s="2"/>
      <c r="V2846" s="2"/>
      <c r="W2846" s="2"/>
      <c r="X2846" s="2"/>
      <c r="Y2846" s="2"/>
      <c r="Z2846" s="2"/>
      <c r="AA2846" s="2"/>
    </row>
    <row r="2847">
      <c r="A2847" s="3" t="s">
        <v>6661</v>
      </c>
      <c r="B2847" s="1" t="s">
        <v>6668</v>
      </c>
      <c r="C2847" s="3" t="s">
        <v>6669</v>
      </c>
      <c r="D2847" s="2" t="str">
        <f>IFERROR(__xludf.DUMMYFUNCTION("GOOGLETRANSLATE(B2847, ""en"", ""TL"")"),"Paano nakakatulong ang Energy Efficiency and Conservation Act sa pagpapanatili ng enerhiya sa Pilipinas?")</f>
        <v>Paano nakakatulong ang Energy Efficiency and Conservation Act sa pagpapanatili ng enerhiya sa Pilipinas?</v>
      </c>
      <c r="E2847" s="2" t="str">
        <f>IFERROR(__xludf.DUMMYFUNCTION("GOOGLETRANSLATE(C2847, ""en"", ""TL"")"),"Ang Energy Efficiency and Conservation Act (RA 11285) ay nag-aambag sa pagpapanatili ng enerhiya sa Pilipinas sa pamamagitan ng iba't ibang probisyon na naglalayong isulong ang mahusay na paggamit ng enerhiya at bawasan ang kabuuang paggamit ng enerhiya. "&amp;"Narito kung paano itinataguyod ng Batas ang pagpapanatili:
**1. Pagpapahalaga sa Kahusayan (Seksyon 3):**
* **Brangkas ng Patakaran:** Ang RA 11285 ay nagtatatag ng isang balangkas ng patakaran para sa pagtataguyod ng kahusayan at pagtitipid ng enerhiya ("&amp;"EEC) bilang isang pambansang paraan ng pamumuhay. Inuuna nito ang mahusay na paggamit ng enerhiya sa lahat ng sektor (Seksyon 3).
**2. Pagtatakda ng mga Pamantayan (Seksyon 6 at 7):**
* **Mga Pamantayan sa Pagganap:** Ang Department of Energy (DOE) ay ina"&amp;"tasan na bumuo at magpatupad ng mga pamantayan sa pagganap at pag-label para sa mga appliances, kagamitan, at mga gusali. Hinihikayat ng mga pamantayang ito ang paggawa, pag-import, at paggamit ng mas matipid sa enerhiya na mga produkto (Seksyon 6 at 7).
"&amp;"**3. Pamumuno ng Pamahalaan (Seksyon 8):**
* **Government-wide EEC Program (GEMP):** Ang RA 11285 ay nagtatatag ng isang GEMP upang bawasan ang pagkonsumo ng enerhiya sa mga opisina ng gobyerno sa pamamagitan ng mahusay na mga kasanayan at paggamit ng ren"&amp;"ewable energy (Seksyon 8). Nagbibigay ito ng halimbawa para sa pribadong sektor.
**4. Mga Insentibo para sa Kahusayan (Seksyon 13 at 14):**
* **Mga Insentibo sa Pananalapi at Hindi Pananalapi:** Ang Batas ay nagbibigay ng iba't ibang mga insentibo para sa"&amp;" mga entidad na namumuhunan at gumagamit ng mga teknolohiya at kasanayang matipid sa enerhiya. Maaaring kabilang sa mga insentibong ito ang mga tax break, subsidyo, at mga naka-streamline na proseso ng pagpapahintulot (Seksyon 13 at 14).
**5. Kapasidad ng"&amp;" Pagbuo (Seksyon 15):**
* **Pagpapaunlad ng Kasanayan:** Binibigyang-diin ng RA 11285 ang kahalagahan ng pagsasanay at pagpapaunlad ng mga kasanayan na may kaugnayan sa mga teknolohiya at kasanayan ng EEC. Binibigyan nito ng kapangyarihan ang mga Pilipino"&amp;" na mag-ambag sa mas matipid sa enerhiya na kinabukasan (Seksyon 15).
**6. Impormasyon at Kamalayan (Seksyon 16):**
* **Pampublikong Edukasyon:** Ang Batas ay nag-uutos sa mga ahensya ng gobyerno na isulong ang pampublikong kamalayan at edukasyon tungkol "&amp;"sa EEC. Hinihikayat nito ang mga Pilipino na gamitin ang mga pag-uugaling nagtitipid ng enerhiya sa kanilang pang-araw-araw na buhay (Seksyon 16).
**Sa esensya,** Ang RA 11285 ay nagtataguyod ng pagpapanatili ng enerhiya sa pamamagitan ng:
* **Pagbabawas "&amp;"ng Demand:** Sa pamamagitan ng paggawa ng mas mahusay na paggamit ng enerhiya, binabawasan ng Batas ang pangkalahatang pangangailangan para sa mga mapagkukunan ng enerhiya, binabawasan ang presyon sa kapaligiran at ang aming pag-asa sa mga imported na gas"&amp;"olina.
* **Pag-promote ng Innovation:** Ang pagtuon sa mga pamantayan at mga insentibo ay naghihikayat sa pagbuo at paggamit ng mga bagong teknolohiyang matipid sa enerhiya, na nagbibigay daan para sa isang mas napapanatiling enerhiya sa hinaharap.
Sa pam"&amp;"amagitan ng pagpapatupad ng mga estratehiyang ito, malaki ang naiaambag ng RA 11285 sa layunin ng Pilipinas na makamit ang seguridad sa enerhiya, paglago ng ekonomiya, at pangangalaga sa kapaligiran.")</f>
        <v>Ang Energy Efficiency and Conservation Act (RA 11285) ay nag-aambag sa pagpapanatili ng enerhiya sa Pilipinas sa pamamagitan ng iba't ibang probisyon na naglalayong isulong ang mahusay na paggamit ng enerhiya at bawasan ang kabuuang paggamit ng enerhiya. Narito kung paano itinataguyod ng Batas ang pagpapanatili:
**1. Pagpapahalaga sa Kahusayan (Seksyon 3):**
* **Brangkas ng Patakaran:** Ang RA 11285 ay nagtatatag ng isang balangkas ng patakaran para sa pagtataguyod ng kahusayan at pagtitipid ng enerhiya (EEC) bilang isang pambansang paraan ng pamumuhay. Inuuna nito ang mahusay na paggamit ng enerhiya sa lahat ng sektor (Seksyon 3).
**2. Pagtatakda ng mga Pamantayan (Seksyon 6 at 7):**
* **Mga Pamantayan sa Pagganap:** Ang Department of Energy (DOE) ay inatasan na bumuo at magpatupad ng mga pamantayan sa pagganap at pag-label para sa mga appliances, kagamitan, at mga gusali. Hinihikayat ng mga pamantayang ito ang paggawa, pag-import, at paggamit ng mas matipid sa enerhiya na mga produkto (Seksyon 6 at 7).
**3. Pamumuno ng Pamahalaan (Seksyon 8):**
* **Government-wide EEC Program (GEMP):** Ang RA 11285 ay nagtatatag ng isang GEMP upang bawasan ang pagkonsumo ng enerhiya sa mga opisina ng gobyerno sa pamamagitan ng mahusay na mga kasanayan at paggamit ng renewable energy (Seksyon 8). Nagbibigay ito ng halimbawa para sa pribadong sektor.
**4. Mga Insentibo para sa Kahusayan (Seksyon 13 at 14):**
* **Mga Insentibo sa Pananalapi at Hindi Pananalapi:** Ang Batas ay nagbibigay ng iba't ibang mga insentibo para sa mga entidad na namumuhunan at gumagamit ng mga teknolohiya at kasanayang matipid sa enerhiya. Maaaring kabilang sa mga insentibong ito ang mga tax break, subsidyo, at mga naka-streamline na proseso ng pagpapahintulot (Seksyon 13 at 14).
**5. Kapasidad ng Pagbuo (Seksyon 15):**
* **Pagpapaunlad ng Kasanayan:** Binibigyang-diin ng RA 11285 ang kahalagahan ng pagsasanay at pagpapaunlad ng mga kasanayan na may kaugnayan sa mga teknolohiya at kasanayan ng EEC. Binibigyan nito ng kapangyarihan ang mga Pilipino na mag-ambag sa mas matipid sa enerhiya na kinabukasan (Seksyon 15).
**6. Impormasyon at Kamalayan (Seksyon 16):**
* **Pampublikong Edukasyon:** Ang Batas ay nag-uutos sa mga ahensya ng gobyerno na isulong ang pampublikong kamalayan at edukasyon tungkol sa EEC. Hinihikayat nito ang mga Pilipino na gamitin ang mga pag-uugaling nagtitipid ng enerhiya sa kanilang pang-araw-araw na buhay (Seksyon 16).
**Sa esensya,** Ang RA 11285 ay nagtataguyod ng pagpapanatili ng enerhiya sa pamamagitan ng:
* **Pagbabawas ng Demand:** Sa pamamagitan ng paggawa ng mas mahusay na paggamit ng enerhiya, binabawasan ng Batas ang pangkalahatang pangangailangan para sa mga mapagkukunan ng enerhiya, binabawasan ang presyon sa kapaligiran at ang aming pag-asa sa mga imported na gasolina.
* **Pag-promote ng Innovation:** Ang pagtuon sa mga pamantayan at mga insentibo ay naghihikayat sa pagbuo at paggamit ng mga bagong teknolohiyang matipid sa enerhiya, na nagbibigay daan para sa isang mas napapanatiling enerhiya sa hinaharap.
Sa pamamagitan ng pagpapatupad ng mga estratehiyang ito, malaki ang naiaambag ng RA 11285 sa layunin ng Pilipinas na makamit ang seguridad sa enerhiya, paglago ng ekonomiya, at pangangalaga sa kapaligiran.</v>
      </c>
      <c r="F2847" s="2">
        <f t="shared" si="1"/>
        <v>0</v>
      </c>
      <c r="G2847" s="2"/>
      <c r="H2847" s="2"/>
      <c r="I2847" s="2"/>
      <c r="J2847" s="2"/>
      <c r="K2847" s="2"/>
      <c r="L2847" s="2"/>
      <c r="M2847" s="2"/>
      <c r="N2847" s="2"/>
      <c r="O2847" s="2"/>
      <c r="P2847" s="2"/>
      <c r="Q2847" s="2"/>
      <c r="R2847" s="2"/>
      <c r="S2847" s="2"/>
      <c r="T2847" s="2"/>
      <c r="U2847" s="2"/>
      <c r="V2847" s="2"/>
      <c r="W2847" s="2"/>
      <c r="X2847" s="2"/>
      <c r="Y2847" s="2"/>
      <c r="Z2847" s="2"/>
      <c r="AA2847" s="2"/>
    </row>
    <row r="2848">
      <c r="A2848" s="3" t="s">
        <v>6661</v>
      </c>
      <c r="B2848" s="1" t="s">
        <v>6670</v>
      </c>
      <c r="C2848" s="3" t="s">
        <v>6671</v>
      </c>
      <c r="D2848" s="2" t="str">
        <f>IFERROR(__xludf.DUMMYFUNCTION("GOOGLETRANSLATE(B2848, ""en"", ""TL"")"),"Ipaliwanag ang mga tungkulin at responsibilidad ng Kagawaran ng Enerhiya sa pagtataguyod ng pagpapanatili ng enerhiya.")</f>
        <v>Ipaliwanag ang mga tungkulin at responsibilidad ng Kagawaran ng Enerhiya sa pagtataguyod ng pagpapanatili ng enerhiya.</v>
      </c>
      <c r="E2848" s="2" t="str">
        <f>IFERROR(__xludf.DUMMYFUNCTION("GOOGLETRANSLATE(C2848, ""en"", ""TL"")"),"Ang Department of Energy (DOE) ay gumaganap ng isang mahalagang papel sa pagtataguyod ng energy sustainability sa Pilipinas sa pamamagitan ng multi-pronged approach na itinatag ng iba't ibang batas, kabilang ang Renewable Energy Act (RA 9513) at ang Energ"&amp;"y Efficiency and Conservation Act (RA 11285). Narito ang isang breakdown ng mga pangunahing responsibilidad ng DOE:
**1. Pagbuo at Pagpapatupad ng Patakaran (RA 9513 &amp; RA 11285):**
* Nangunguna ang DOE sa pagbalangkas at pagpapatupad ng mga pambansang pat"&amp;"akaran at programa na may kaugnayan sa renewable energy (RE) at energy efficiency and conservation (EEC) (RA 9513 &amp; RA 11285). * Kabilang dito ang pagtatakda ng mga target, pagbuo ng mga roadmap, at pagpapalabas ng mga patakaran at regulasyon sa pagpapatu"&amp;"pad upang matiyak ang epektibong pagpapatupad ng mga patakarang ito.
**2. Promosyon ng Renewable Energy (RA 9513):**
* Aktibong itinataguyod ng DOE ang pagbuo at paggamit ng renewable energy sources tulad ng solar, wind, geothermal, at hydro. * Kabilang d"&amp;"ito ang paglikha ng isang kaakit-akit na kapaligiran para sa mga pamumuhunan sa sektor ng RE sa pamamagitan ng mga mekanismo tulad ng:
* **Skema ng Feed-in-Tariff:** Pagtatatag ng isang sistema para sa mga garantisadong presyo para sa kuryenteng nabuo mul"&amp;"a sa mga nababagong pinagkukunan.
* **Renewable Portfolio Standards (RPS):** Pagpapatupad ng isang patakaran na nangangailangan ng mga tagapagbigay ng kuryente na kumuha ng partikular na porsyento ng kanilang kuryente mula sa mga nababagong pinagkukunan.
"&amp;"* **Fiscal at Non-Fiscal Incentives:** Nag-aalok ng mga tax break, grant, at streamline na proseso ng pagpapahintulot upang bigyang-insentibo ang mga RE investment.
**3. Enerhiya Efficiency at Conservation (RA 11285):**
* Ang DOE ay nangunguna sa mga inis"&amp;"yatiba upang itaguyod ang mahusay na paggamit ng enerhiya sa lahat ng sektor. Kabilang dito ang:
* **Pagtatakda ng Mga Pamantayan sa Pagganap:** Pagbuo at pagpapatupad ng mga mandatoryong pamantayan sa kahusayan ng enerhiya para sa mga appliances, kagamit"&amp;"an, at mga gusali.
* **Government-wide EEC Program (GEMP):** Nangunguna sa pamamagitan ng halimbawa sa pamamagitan ng pagpapatupad ng mga hakbang sa pagtitipid ng enerhiya at paggamit ng nababagong enerhiya sa mga tanggapan ng pamahalaan.
* **Mga Programa"&amp;" sa Insentibo:** Pangangasiwa ng mga programang nagbibigay ng mga insentibo sa pananalapi at hindi pinansyal para sa mga entity na gumagamit ng mga teknolohiya at kasanayang matipid sa enerhiya.
**4. Pagbuo ng Kapasidad at Kamalayan (RA 9513 &amp; RA 11285):*"&amp;"*
* Kinikilala ng DOE ang kahalagahan ng pagbuo ng isang bihasang manggagawa at pagpapataas ng kamalayan ng publiko sa pagkamit ng pagpapanatili ng enerhiya. Kabilang dito ang:
* **Pagpapaunlad ng Kasanayan:** Pagsuporta sa mga programa sa pagsasanay para"&amp;" sa mga propesyonal at technician sa mga larangan ng RE at EEC.
* **Pampublikong Edukasyon:** Pagpapatupad ng mga kampanya para sa kamalayan ng publiko upang turuan ang mga Pilipino tungkol sa mga benepisyo at kasanayan ng paggamit ng enerhiya nang mahusa"&amp;"y at paggamit ng mga pinagkukunan ng nababagong enerhiya.
**5. Pagsubaybay at Pagpapatupad (RA 9513 &amp; RA 11285):**
* Sinusubaybayan ng DOE ang pagsunod sa mga patakaran ng RE at EEC at nagpapatupad ng mga kaugnay na batas at regulasyon. Kabilang dito ang "&amp;"pagpataw ng mga parusa para sa hindi pagsunod.
**Sa buod,** ang DOE ay gumaganap bilang isang sentral na driver para sa isang napapanatiling enerhiya sa hinaharap sa Pilipinas. Sa pamamagitan ng pagbabalangkas ng mga patakaran, pagtataguyod ng malinis na "&amp;"pinagkukunan ng enerhiya, paghikayat sa kahusayan, at pagpapaunlad ng kamalayan ng publiko, sinisikap ng departamento na balansehin ang mga pangangailangan sa enerhiya ng bansa sa pangangalaga sa kapaligiran at pag-unlad ng ekonomiya.")</f>
        <v>Ang Department of Energy (DOE) ay gumaganap ng isang mahalagang papel sa pagtataguyod ng energy sustainability sa Pilipinas sa pamamagitan ng multi-pronged approach na itinatag ng iba't ibang batas, kabilang ang Renewable Energy Act (RA 9513) at ang Energy Efficiency and Conservation Act (RA 11285). Narito ang isang breakdown ng mga pangunahing responsibilidad ng DOE:
**1. Pagbuo at Pagpapatupad ng Patakaran (RA 9513 &amp; RA 11285):**
* Nangunguna ang DOE sa pagbalangkas at pagpapatupad ng mga pambansang patakaran at programa na may kaugnayan sa renewable energy (RE) at energy efficiency and conservation (EEC) (RA 9513 &amp; RA 11285). * Kabilang dito ang pagtatakda ng mga target, pagbuo ng mga roadmap, at pagpapalabas ng mga patakaran at regulasyon sa pagpapatupad upang matiyak ang epektibong pagpapatupad ng mga patakarang ito.
**2. Promosyon ng Renewable Energy (RA 9513):**
* Aktibong itinataguyod ng DOE ang pagbuo at paggamit ng renewable energy sources tulad ng solar, wind, geothermal, at hydro. * Kabilang dito ang paglikha ng isang kaakit-akit na kapaligiran para sa mga pamumuhunan sa sektor ng RE sa pamamagitan ng mga mekanismo tulad ng:
* **Skema ng Feed-in-Tariff:** Pagtatatag ng isang sistema para sa mga garantisadong presyo para sa kuryenteng nabuo mula sa mga nababagong pinagkukunan.
* **Renewable Portfolio Standards (RPS):** Pagpapatupad ng isang patakaran na nangangailangan ng mga tagapagbigay ng kuryente na kumuha ng partikular na porsyento ng kanilang kuryente mula sa mga nababagong pinagkukunan.
* **Fiscal at Non-Fiscal Incentives:** Nag-aalok ng mga tax break, grant, at streamline na proseso ng pagpapahintulot upang bigyang-insentibo ang mga RE investment.
**3. Enerhiya Efficiency at Conservation (RA 11285):**
* Ang DOE ay nangunguna sa mga inisyatiba upang itaguyod ang mahusay na paggamit ng enerhiya sa lahat ng sektor. Kabilang dito ang:
* **Pagtatakda ng Mga Pamantayan sa Pagganap:** Pagbuo at pagpapatupad ng mga mandatoryong pamantayan sa kahusayan ng enerhiya para sa mga appliances, kagamitan, at mga gusali.
* **Government-wide EEC Program (GEMP):** Nangunguna sa pamamagitan ng halimbawa sa pamamagitan ng pagpapatupad ng mga hakbang sa pagtitipid ng enerhiya at paggamit ng nababagong enerhiya sa mga tanggapan ng pamahalaan.
* **Mga Programa sa Insentibo:** Pangangasiwa ng mga programang nagbibigay ng mga insentibo sa pananalapi at hindi pinansyal para sa mga entity na gumagamit ng mga teknolohiya at kasanayang matipid sa enerhiya.
**4. Pagbuo ng Kapasidad at Kamalayan (RA 9513 &amp; RA 11285):**
* Kinikilala ng DOE ang kahalagahan ng pagbuo ng isang bihasang manggagawa at pagpapataas ng kamalayan ng publiko sa pagkamit ng pagpapanatili ng enerhiya. Kabilang dito ang:
* **Pagpapaunlad ng Kasanayan:** Pagsuporta sa mga programa sa pagsasanay para sa mga propesyonal at technician sa mga larangan ng RE at EEC.
* **Pampublikong Edukasyon:** Pagpapatupad ng mga kampanya para sa kamalayan ng publiko upang turuan ang mga Pilipino tungkol sa mga benepisyo at kasanayan ng paggamit ng enerhiya nang mahusay at paggamit ng mga pinagkukunan ng nababagong enerhiya.
**5. Pagsubaybay at Pagpapatupad (RA 9513 &amp; RA 11285):**
* Sinusubaybayan ng DOE ang pagsunod sa mga patakaran ng RE at EEC at nagpapatupad ng mga kaugnay na batas at regulasyon. Kabilang dito ang pagpataw ng mga parusa para sa hindi pagsunod.
**Sa buod,** ang DOE ay gumaganap bilang isang sentral na driver para sa isang napapanatiling enerhiya sa hinaharap sa Pilipinas. Sa pamamagitan ng pagbabalangkas ng mga patakaran, pagtataguyod ng malinis na pinagkukunan ng enerhiya, paghikayat sa kahusayan, at pagpapaunlad ng kamalayan ng publiko, sinisikap ng departamento na balansehin ang mga pangangailangan sa enerhiya ng bansa sa pangangalaga sa kapaligiran at pag-unlad ng ekonomiya.</v>
      </c>
      <c r="F2848" s="2">
        <f t="shared" si="1"/>
        <v>0</v>
      </c>
      <c r="G2848" s="2"/>
      <c r="H2848" s="2"/>
      <c r="I2848" s="2"/>
      <c r="J2848" s="2"/>
      <c r="K2848" s="2"/>
      <c r="L2848" s="2"/>
      <c r="M2848" s="2"/>
      <c r="N2848" s="2"/>
      <c r="O2848" s="2"/>
      <c r="P2848" s="2"/>
      <c r="Q2848" s="2"/>
      <c r="R2848" s="2"/>
      <c r="S2848" s="2"/>
      <c r="T2848" s="2"/>
      <c r="U2848" s="2"/>
      <c r="V2848" s="2"/>
      <c r="W2848" s="2"/>
      <c r="X2848" s="2"/>
      <c r="Y2848" s="2"/>
      <c r="Z2848" s="2"/>
      <c r="AA2848" s="2"/>
    </row>
    <row r="2849">
      <c r="A2849" s="3" t="s">
        <v>6661</v>
      </c>
      <c r="B2849" s="1" t="s">
        <v>6672</v>
      </c>
      <c r="C2849" s="3" t="s">
        <v>6673</v>
      </c>
      <c r="D2849" s="2" t="str">
        <f>IFERROR(__xludf.DUMMYFUNCTION("GOOGLETRANSLATE(B2849, ""en"", ""TL"")"),"Paano hinihikayat ng Pilipinas ang dayuhang pamumuhunan sa mga proyekto ng renewable energy?")</f>
        <v>Paano hinihikayat ng Pilipinas ang dayuhang pamumuhunan sa mga proyekto ng renewable energy?</v>
      </c>
      <c r="E2849" s="2" t="str">
        <f>IFERROR(__xludf.DUMMYFUNCTION("GOOGLETRANSLATE(C2849, ""en"", ""TL"")"),"Ang Pilipinas ay gumawa ng mga makabuluhang hakbang upang maakit ang dayuhang pamumuhunan sa mga proyekto ng renewable energy. Narito ang isang breakdown ng mga pangunahing diskarte:
**1. Buong Pagmamay-ari ng Dayuhan (RA No. 11659 &amp; DOE Circular 2022-11-"&amp;"0034):**
* Isang malaking reporma ang dumating sa pamamagitan ng Republic Act No. 11659, na muling tinukoy ang ""mga pampublikong kagamitan."" Ang pagbabagong ito ay nagbibigay-daan sa **100% dayuhang pagmamay-ari** sa mga partikular na sektor ng renewabl"&amp;"e energy tulad ng solar, wind, hydro, at karagatan o tidal na enerhiya (dating napapailalim sa mga limitasyon). * Ang patakarang ito, na ipinatupad sa pamamagitan ng Department of Energy (DOE) Circular 2022-11-0034, ay naglalayong gawing mas kaakit-akit a"&amp;"ng Pilipinas sa mga dayuhang mamumuhunan na may higit na kontrol sa kanilang mga proyekto.
**2. Fiscal at Non-Fiscal Incentives (RA 9513 &amp; SIPP):**
* Ang Renewable Energy Act (RA 9513) ay naglalatag ng batayan para sa pag-aalok ng mga insentibo upang maak"&amp;"it ang mga dayuhang mamumuhunan. * Ang Strategic Investment Priority Plan (SIPP) ay higit pang binibigyang-kategorya ang mga proyektong nababagong enerhiya bilang isang **priyoridad na sektor**, na ginagawang kwalipikado ang mga ito para sa iba't ibang be"&amp;"nepisyo tulad ng:
* **Income Tax Holidays (ITH):** Partial o buong exemption mula sa mga income tax para sa isang partikular na panahon.
* **Reduced Corporate Income Tax (RCIT):** Mas mababang mga rate ng buwis sa kita na nabuo ng proyekto.
* **Duty-Free "&amp;"Importation ng Equipment:** Exemption sa customs duties para sa pag-import ng mga makinarya at kagamitan na kailangan para sa proyekto.
* **Pinasimpleng Proseso ng Pagpapahintulot:** Mga naka-streamline na pamamaraan para sa pagkuha ng mga permit at lisen"&amp;"sya.
**3. Matatag na Regulatory Environment:**
* Ang pamahalaan ay naglalayon na magbigay ng isang matatag at predictable na kapaligiran ng regulasyon para sa renewable energy investments. Kabilang dito ang malinaw at malinaw na mga patakaran, mahusay na "&amp;"mekanismo sa pagresolba ng hindi pagkakaunawaan, at isang pangako sa paggalang sa mga kasalukuyang kasunduan.
**4. Malakas na Renewable Energy Potensyal:**
* Ipinagmamalaki ng Pilipinas ang masaganang likas na yaman para sa pagbuo ng nababagong enerhiya, "&amp;"kabilang ang sikat ng araw, hangin, potensyal na geothermal, at malalawak na baybayin para sa paggamit ng alon at tidal na enerhiya. Ang malakas na potensyal na ito ay nag-aalok ng mga dayuhang mamumuhunan na nangangako ng mga pagkakataon para sa pagbuo n"&amp;"g proyekto. **Sa konklusyon,** ang Pilipinas ay lalong naging bukas sa dayuhang pamumuhunan sa renewable energy. Sa pamamagitan ng kumbinasyon ng mga nakakarelaks na paghihigpit sa pagmamay-ari, mga kaakit-akit na insentibo, at isang pangako sa isang mata"&amp;"tag na kapaligiran ng regulasyon, ang bansa ay aktibong naghahanap ng mga dayuhang pakikipagsosyo upang makamit ang mga layunin ng malinis na enerhiya.")</f>
        <v>Ang Pilipinas ay gumawa ng mga makabuluhang hakbang upang maakit ang dayuhang pamumuhunan sa mga proyekto ng renewable energy. Narito ang isang breakdown ng mga pangunahing diskarte:
**1. Buong Pagmamay-ari ng Dayuhan (RA No. 11659 &amp; DOE Circular 2022-11-0034):**
* Isang malaking reporma ang dumating sa pamamagitan ng Republic Act No. 11659, na muling tinukoy ang "mga pampublikong kagamitan." Ang pagbabagong ito ay nagbibigay-daan sa **100% dayuhang pagmamay-ari** sa mga partikular na sektor ng renewable energy tulad ng solar, wind, hydro, at karagatan o tidal na enerhiya (dating napapailalim sa mga limitasyon). * Ang patakarang ito, na ipinatupad sa pamamagitan ng Department of Energy (DOE) Circular 2022-11-0034, ay naglalayong gawing mas kaakit-akit ang Pilipinas sa mga dayuhang mamumuhunan na may higit na kontrol sa kanilang mga proyekto.
**2. Fiscal at Non-Fiscal Incentives (RA 9513 &amp; SIPP):**
* Ang Renewable Energy Act (RA 9513) ay naglalatag ng batayan para sa pag-aalok ng mga insentibo upang maakit ang mga dayuhang mamumuhunan. * Ang Strategic Investment Priority Plan (SIPP) ay higit pang binibigyang-kategorya ang mga proyektong nababagong enerhiya bilang isang **priyoridad na sektor**, na ginagawang kwalipikado ang mga ito para sa iba't ibang benepisyo tulad ng:
* **Income Tax Holidays (ITH):** Partial o buong exemption mula sa mga income tax para sa isang partikular na panahon.
* **Reduced Corporate Income Tax (RCIT):** Mas mababang mga rate ng buwis sa kita na nabuo ng proyekto.
* **Duty-Free Importation ng Equipment:** Exemption sa customs duties para sa pag-import ng mga makinarya at kagamitan na kailangan para sa proyekto.
* **Pinasimpleng Proseso ng Pagpapahintulot:** Mga naka-streamline na pamamaraan para sa pagkuha ng mga permit at lisensya.
**3. Matatag na Regulatory Environment:**
* Ang pamahalaan ay naglalayon na magbigay ng isang matatag at predictable na kapaligiran ng regulasyon para sa renewable energy investments. Kabilang dito ang malinaw at malinaw na mga patakaran, mahusay na mekanismo sa pagresolba ng hindi pagkakaunawaan, at isang pangako sa paggalang sa mga kasalukuyang kasunduan.
**4. Malakas na Renewable Energy Potensyal:**
* Ipinagmamalaki ng Pilipinas ang masaganang likas na yaman para sa pagbuo ng nababagong enerhiya, kabilang ang sikat ng araw, hangin, potensyal na geothermal, at malalawak na baybayin para sa paggamit ng alon at tidal na enerhiya. Ang malakas na potensyal na ito ay nag-aalok ng mga dayuhang mamumuhunan na nangangako ng mga pagkakataon para sa pagbuo ng proyekto. **Sa konklusyon,** ang Pilipinas ay lalong naging bukas sa dayuhang pamumuhunan sa renewable energy. Sa pamamagitan ng kumbinasyon ng mga nakakarelaks na paghihigpit sa pagmamay-ari, mga kaakit-akit na insentibo, at isang pangako sa isang matatag na kapaligiran ng regulasyon, ang bansa ay aktibong naghahanap ng mga dayuhang pakikipagsosyo upang makamit ang mga layunin ng malinis na enerhiya.</v>
      </c>
      <c r="F2849" s="2">
        <f t="shared" si="1"/>
        <v>0</v>
      </c>
      <c r="G2849" s="2"/>
      <c r="H2849" s="2"/>
      <c r="I2849" s="2"/>
      <c r="J2849" s="2"/>
      <c r="K2849" s="2"/>
      <c r="L2849" s="2"/>
      <c r="M2849" s="2"/>
      <c r="N2849" s="2"/>
      <c r="O2849" s="2"/>
      <c r="P2849" s="2"/>
      <c r="Q2849" s="2"/>
      <c r="R2849" s="2"/>
      <c r="S2849" s="2"/>
      <c r="T2849" s="2"/>
      <c r="U2849" s="2"/>
      <c r="V2849" s="2"/>
      <c r="W2849" s="2"/>
      <c r="X2849" s="2"/>
      <c r="Y2849" s="2"/>
      <c r="Z2849" s="2"/>
      <c r="AA2849" s="2"/>
    </row>
    <row r="2850">
      <c r="A2850" s="3" t="s">
        <v>6661</v>
      </c>
      <c r="B2850" s="1" t="s">
        <v>6674</v>
      </c>
      <c r="C2850" s="3" t="s">
        <v>6675</v>
      </c>
      <c r="D2850" s="2" t="str">
        <f>IFERROR(__xludf.DUMMYFUNCTION("GOOGLETRANSLATE(B2850, ""en"", ""TL"")"),"Anong mga mekanismo ang inilalagay upang maisulong ang kahusayan ng enerhiya sa mga industriya sa Pilipinas?")</f>
        <v>Anong mga mekanismo ang inilalagay upang maisulong ang kahusayan ng enerhiya sa mga industriya sa Pilipinas?</v>
      </c>
      <c r="E2850" s="2" t="str">
        <f>IFERROR(__xludf.DUMMYFUNCTION("GOOGLETRANSLATE(C2850, ""en"", ""TL"")"),"Gumagamit ang Pilipinas ng multi-pronged approach para isulong ang energy efficiency sa mga industriya, ayon sa mandato ng Energy Efficiency and Conservation Act (RA 11285). Narito ang isang pagtingin sa ilang pangunahing mekanismo:
**1. Pagtatakda ng Mga"&amp;" Pamantayan at Pag-label (RA 11285):**
* Ang Department of Energy (DOE) ay nagtatatag ng mandatory **minimum energy performance standards (MEPS)** para sa mga appliances at equipment na karaniwang ginagamit sa mga industriya. Ang mga pamantayang ito ay na"&amp;"glalayong alisin ang mga hindi mahusay na modelo at hikayatin ang pag-aampon ng higit pang mga teknolohiyang nagtitipid sa enerhiya [Hiwalay na Mga Panuntunan sa Pagpapatupad].
* Ang DOE ay nagpapatupad din ng **energy labeling** na mga programa. Ang mga "&amp;"label na ito ay nagbibigay ng impormasyon sa pagkonsumo ng enerhiya ng mga kagamitan, na nagpapahintulot sa mga industriya na gumawa ng matalinong mga pagpipilian at bigyang-priyoridad ang mga pagpipiliang matipid sa enerhiya.
**2. Fiscal at Non-Fiscal In"&amp;"centives (RA 11285):**
* Ang gobyerno ay nag-aalok ng iba't ibang mga insentibo upang hikayatin ang mga industriya na mamuhunan sa mga teknolohiya at kasanayan na matipid sa enerhiya. Maaaring kabilang sa mga insentibong ito ang:
* **Mga pagbawas sa buwis"&amp;" sa kita** para sa mga kumpanyang nagpapatupad ng mga hakbang sa pagtitipid ng enerhiya.
* **Accelerated depreciation** allowances para sa pamumuhunan sa energy-efficient equipment.
* **Grant at subsidies** upang suportahan ang mga pag-audit ng enerhiya a"&amp;"t pag-aaral ng pagiging posible para sa mga proyektong pang-industriya na kahusayan sa enerhiya.
* **Mga naka-streamline na proseso ng pagpapahintulot** para sa mga industriyang gumagamit ng malinis na teknolohiya.
**3. Mga Programang Green Building:**
* "&amp;"Hinihikayat ng Philippine Green Building Program ang pagtatayo at pagpapatakbo ng mga pasilidad na pang-industriya na matipid sa enerhiya. Ang programang ito ay nagbibigay ng sertipikasyon para sa mga gusaling nakakatugon sa mga partikular na pamantayan n"&amp;"g berdeng gusali, na posibleng humahantong sa:
* **Mas mababang gastos sa pagpapatakbo** dahil sa pinababang pagkonsumo ng enerhiya.
* **Pinahusay na imahe ng tatak** para sa mga kumpanyang nagpapakita ng responsibilidad sa kapaligiran.
**4. Mga Mekanismo"&amp;" sa Pagpopondo sa Enerhiya:**
* Ang gobyerno, sa pakikipagtulungan sa mga institusyong pampinansyal, ay nagtataguyod ng mga mekanismo ng pagpopondo upang mapagaan ang paunang pasanin sa gastos na nauugnay sa mga upgrade sa kahusayan ng enerhiya. Maaaring "&amp;"kabilang sa mga mekanismong ito ang:
* **Mga berdeng programa sa pautang** na may mas mababang mga rate ng interes para sa mga proyekto ng kahusayan sa enerhiya.
* **Energy performance contracting (EPC)**, kung saan ang isang third party ay nagpopondo at "&amp;"nagpapatupad ng mga hakbang sa pagtitipid ng enerhiya, na nagbabahagi ng pagtitipid sa gastos sa industriya.
**5. Mga Programa sa Pagbuo ng Kapasidad at Awareness (RA 11285):**
* Ang DOE at iba pang mga ahensya ay nagsasagawa ng mga programa sa pagsasanay"&amp;" at mga workshop upang bigyan ang mga propesyonal sa industriya ng kaalaman at kasanayan upang makilala at ipatupad ang mga estratehiya sa pagtitipid ng enerhiya sa loob ng kanilang mga pasilidad.
* Hinihikayat ng mga kampanya ng pampublikong kamalayan an"&amp;"g isang kultura ng kahusayan sa enerhiya sa loob ng mga industriya, na nagsusulong ng pakikilahok ng empleyado sa mga pagsisikap sa konserbasyon.
**6. Industrial Energy Management System (EnMS):**
* Itinataguyod ng DOE ang pagpapatibay ng **ISO 50001** - "&amp;"isang pamantayang kinikilala sa buong mundo para sa mga sistema ng pamamahala ng enerhiya (EnMS). Ang pagpapatupad ng EnMS ay tumutulong sa mga industriya na magtatag ng isang sistematikong diskarte sa pamamahala ng paggamit ng enerhiya, na humahantong sa"&amp;" patuloy na pagpapabuti sa kahusayan ng enerhiya.
Sa pamamagitan ng pagpapatupad ng mga mekanismong ito, layunin ng Pilipinas na lumikha ng isang kaaya-ayang kapaligiran para sa mga industriya upang yakapin ang mga kasanayang matipid sa enerhiya. Hindi la"&amp;"mang nito binabawasan ang pagkonsumo ng enerhiya at mga gastos ngunit nag-aambag din ito sa isang mas malinis at mas napapanatiling kinabukasan para sa bansa.")</f>
        <v>Gumagamit ang Pilipinas ng multi-pronged approach para isulong ang energy efficiency sa mga industriya, ayon sa mandato ng Energy Efficiency and Conservation Act (RA 11285). Narito ang isang pagtingin sa ilang pangunahing mekanismo:
**1. Pagtatakda ng Mga Pamantayan at Pag-label (RA 11285):**
* Ang Department of Energy (DOE) ay nagtatatag ng mandatory **minimum energy performance standards (MEPS)** para sa mga appliances at equipment na karaniwang ginagamit sa mga industriya. Ang mga pamantayang ito ay naglalayong alisin ang mga hindi mahusay na modelo at hikayatin ang pag-aampon ng higit pang mga teknolohiyang nagtitipid sa enerhiya [Hiwalay na Mga Panuntunan sa Pagpapatupad].
* Ang DOE ay nagpapatupad din ng **energy labeling** na mga programa. Ang mga label na ito ay nagbibigay ng impormasyon sa pagkonsumo ng enerhiya ng mga kagamitan, na nagpapahintulot sa mga industriya na gumawa ng matalinong mga pagpipilian at bigyang-priyoridad ang mga pagpipiliang matipid sa enerhiya.
**2. Fiscal at Non-Fiscal Incentives (RA 11285):**
* Ang gobyerno ay nag-aalok ng iba't ibang mga insentibo upang hikayatin ang mga industriya na mamuhunan sa mga teknolohiya at kasanayan na matipid sa enerhiya. Maaaring kabilang sa mga insentibong ito ang:
* **Mga pagbawas sa buwis sa kita** para sa mga kumpanyang nagpapatupad ng mga hakbang sa pagtitipid ng enerhiya.
* **Accelerated depreciation** allowances para sa pamumuhunan sa energy-efficient equipment.
* **Grant at subsidies** upang suportahan ang mga pag-audit ng enerhiya at pag-aaral ng pagiging posible para sa mga proyektong pang-industriya na kahusayan sa enerhiya.
* **Mga naka-streamline na proseso ng pagpapahintulot** para sa mga industriyang gumagamit ng malinis na teknolohiya.
**3. Mga Programang Green Building:**
* Hinihikayat ng Philippine Green Building Program ang pagtatayo at pagpapatakbo ng mga pasilidad na pang-industriya na matipid sa enerhiya. Ang programang ito ay nagbibigay ng sertipikasyon para sa mga gusaling nakakatugon sa mga partikular na pamantayan ng berdeng gusali, na posibleng humahantong sa:
* **Mas mababang gastos sa pagpapatakbo** dahil sa pinababang pagkonsumo ng enerhiya.
* **Pinahusay na imahe ng tatak** para sa mga kumpanyang nagpapakita ng responsibilidad sa kapaligiran.
**4. Mga Mekanismo sa Pagpopondo sa Enerhiya:**
* Ang gobyerno, sa pakikipagtulungan sa mga institusyong pampinansyal, ay nagtataguyod ng mga mekanismo ng pagpopondo upang mapagaan ang paunang pasanin sa gastos na nauugnay sa mga upgrade sa kahusayan ng enerhiya. Maaaring kabilang sa mga mekanismong ito ang:
* **Mga berdeng programa sa pautang** na may mas mababang mga rate ng interes para sa mga proyekto ng kahusayan sa enerhiya.
* **Energy performance contracting (EPC)**, kung saan ang isang third party ay nagpopondo at nagpapatupad ng mga hakbang sa pagtitipid ng enerhiya, na nagbabahagi ng pagtitipid sa gastos sa industriya.
**5. Mga Programa sa Pagbuo ng Kapasidad at Awareness (RA 11285):**
* Ang DOE at iba pang mga ahensya ay nagsasagawa ng mga programa sa pagsasanay at mga workshop upang bigyan ang mga propesyonal sa industriya ng kaalaman at kasanayan upang makilala at ipatupad ang mga estratehiya sa pagtitipid ng enerhiya sa loob ng kanilang mga pasilidad.
* Hinihikayat ng mga kampanya ng pampublikong kamalayan ang isang kultura ng kahusayan sa enerhiya sa loob ng mga industriya, na nagsusulong ng pakikilahok ng empleyado sa mga pagsisikap sa konserbasyon.
**6. Industrial Energy Management System (EnMS):**
* Itinataguyod ng DOE ang pagpapatibay ng **ISO 50001** - isang pamantayang kinikilala sa buong mundo para sa mga sistema ng pamamahala ng enerhiya (EnMS). Ang pagpapatupad ng EnMS ay tumutulong sa mga industriya na magtatag ng isang sistematikong diskarte sa pamamahala ng paggamit ng enerhiya, na humahantong sa patuloy na pagpapabuti sa kahusayan ng enerhiya.
Sa pamamagitan ng pagpapatupad ng mga mekanismong ito, layunin ng Pilipinas na lumikha ng isang kaaya-ayang kapaligiran para sa mga industriya upang yakapin ang mga kasanayang matipid sa enerhiya. Hindi lamang nito binabawasan ang pagkonsumo ng enerhiya at mga gastos ngunit nag-aambag din ito sa isang mas malinis at mas napapanatiling kinabukasan para sa bansa.</v>
      </c>
      <c r="F2850" s="2">
        <f t="shared" si="1"/>
        <v>0</v>
      </c>
      <c r="G2850" s="2"/>
      <c r="H2850" s="2"/>
      <c r="I2850" s="2"/>
      <c r="J2850" s="2"/>
      <c r="K2850" s="2"/>
      <c r="L2850" s="2"/>
      <c r="M2850" s="2"/>
      <c r="N2850" s="2"/>
      <c r="O2850" s="2"/>
      <c r="P2850" s="2"/>
      <c r="Q2850" s="2"/>
      <c r="R2850" s="2"/>
      <c r="S2850" s="2"/>
      <c r="T2850" s="2"/>
      <c r="U2850" s="2"/>
      <c r="V2850" s="2"/>
      <c r="W2850" s="2"/>
      <c r="X2850" s="2"/>
      <c r="Y2850" s="2"/>
      <c r="Z2850" s="2"/>
      <c r="AA2850" s="2"/>
    </row>
    <row r="2851">
      <c r="A2851" s="3" t="s">
        <v>6661</v>
      </c>
      <c r="B2851" s="1" t="s">
        <v>6676</v>
      </c>
      <c r="C2851" s="3" t="s">
        <v>6677</v>
      </c>
      <c r="D2851" s="2" t="str">
        <f>IFERROR(__xludf.DUMMYFUNCTION("GOOGLETRANSLATE(B2851, ""en"", ""TL"")"),"Talakayin ang mga insentibo na ibinigay sa mga negosyo para sa paggamit ng mga teknolohiyang matipid sa enerhiya.")</f>
        <v>Talakayin ang mga insentibo na ibinigay sa mga negosyo para sa paggamit ng mga teknolohiyang matipid sa enerhiya.</v>
      </c>
      <c r="E2851" s="2" t="str">
        <f>IFERROR(__xludf.DUMMYFUNCTION("GOOGLETRANSLATE(C2851, ""en"", ""TL"")"),"Nag-aalok ang Pilipinas ng isang hanay ng mga insentibo sa mga negosyong gumagamit ng mga teknolohiyang matipid sa enerhiya, na naglalayong gawing mas kaakit-akit ang mga pagpipilian sa pagtitipid sa enerhiya sa pananalapi at estratehikong paraan. Narito "&amp;"ang isang breakdown ng mga pangunahing kategorya ng insentibo:
**1. Mga Insentibo sa Pananalapi:**
* **Mga Income Tax Break:** Ang mga negosyo ay maaaring maging kwalipikado para sa **mga pagbabawas ng buwis sa kita** o kahit **mga pista opisyal sa buwis "&amp;"sa kita (ITH)** para sa isang partikular na panahon. Isinasalin ito sa makabuluhang pagtitipid sa kanilang mga obligasyon sa buwis sa kita ng korporasyon.
* **Reduced Corporate Income Tax (RCIT):** Maaaring mag-alok ang gobyerno ng mas mababang rate ng bu"&amp;"wis sa kita na nabuo ng mga proyektong gumagamit ng mga teknolohiyang matipid sa enerhiya. * **Accelerated Depreciation:** Ang mga negosyo ay maaaring mag-claim ng depreciation sa energy-efficient equipment sa mas mabilis na rate, na nagpapahintulot sa ka"&amp;"nila na mabawi ang kanilang mga paunang gastos sa pamumuhunan nang mas mabilis at makinabang mula sa mga bawas sa buwis.
**2. Non-Fiscal Incentives:**
* **Duty-Free Importation:** Mae-enjoy ng mga negosyo ang exemption mula sa customs duties kapag nag-imp"&amp;"ort ng makinarya at kagamitan na partikular na idinisenyo para sa mga operasyong matipid sa enerhiya. Binabawasan nito ang paunang halaga ng paggamit ng mga teknolohiyang ito.
* **Pinasimpleng Proseso sa Pagpapahintulot:** Maaaring i-streamline ng pamahal"&amp;"aan ang proseso para sa pagkuha ng mga permit at lisensya na kailangan para mag-install at magpatakbo ng mga teknolohiyang matipid sa enerhiya. Makakatipid ito ng oras at mga mapagkukunan ng negosyo na nauugnay sa pag-navigate sa mga bureaucratic na pamam"&amp;"araan.
* **Green Building Certification:** Ang mga negosyong nagtatayo o nagre-renovate ng mga pasilidad upang matugunan ang mga partikular na pamantayan ng berdeng gusali ay maaaring makamit ang sertipikasyon. Ang sertipikasyong ito ay maaaring humantong"&amp;" sa:
* **Mas mababang gastos sa pagpapatakbo:** dahil sa mga tampok na nakakatipid sa enerhiya ng gusali.
* **Mga benepisyo sa marketing at pagba-brand:** sa pamamagitan ng pagpapakita ng kanilang pangako sa pagpapanatili ng kapaligiran.
**3. Mga Mekanism"&amp;"ong Pananalapi:**
* **Green Loan Programs:** Ang mga institusyong pampinansyal, kadalasan sa pakikipagtulungan sa gobyerno, ay nag-aalok ng mga programa sa pautang na may mas mababang rate ng interes partikular para sa mga proyektong may kinalaman sa pagg"&amp;"amit ng mga teknolohiyang matipid sa enerhiya. Ginagawa nitong mas naa-access para sa mga negosyo ang mga upgrade ng enerhiya sa pagpopondo.
* **Energy Performance Contracting (EPC):** Sa ilalim ng kaayusan na ito, ang isang third-party na kumpanya ay nag"&amp;"tutustos, nag-i-install, at nagpapanatili ng mga hakbang sa pagtitipid ng enerhiya sa isang pasilidad ng negosyo. Ibinabahagi ng negosyo ang pagtitipid sa gastos na nakamit sa pamamagitan ng pinababang pagkonsumo ng enerhiya sa EPC provider. Binibigyang-d"&amp;"aan ng modelong ito ang mga negosyo na makinabang mula sa mga pagpapabuti ng kahusayan sa enerhiya nang walang malaking pamumuhunan.
**4. Mga Karagdagang Pagsasaalang-alang:**
* **Mga Partikular na Programa:** Maaaring mag-iba ang availability at mga deta"&amp;"lye ng mga insentibo depende sa partikular na industriya, teknolohiyang pinagtibay, at sukat ng proyekto. Hinihikayat ang mga negosyo na sumangguni sa mga kaugnay na ahensya ng gobyerno tulad ng Department of Energy (DOE) upang matukoy ang pinaka-naaangko"&amp;"p na mga programa sa insentibo.
* **Lampas sa Gastos:** Bagama't may mahalagang papel ang mga insentibo sa pananalapi, dapat ding isaalang-alang ng mga negosyo ang mga pangmatagalang benepisyo ng kahusayan sa enerhiya, gaya ng:
* **Mga Pinababang Gastos s"&amp;"a Operating:** Ang mas mababang singil sa enerhiya ay humahantong sa pinahusay na kakayahang kumita sa paglipas ng panahon.
* **Pinahusay na Imahe ng Brand:** Ang mga mamimili ay lalong naaakit sa mga kumpanyang nagpapakita ng responsibilidad sa kapaligir"&amp;"an.
* **Pagsunod sa Mga Regulasyon:** Ang mga pamantayan sa kahusayan sa enerhiya ay nagiging mas mahigpit, at ang paggamit ng mga teknolohiyang ito ngayon ay makakatulong sa mga negosyo na maiwasan ang mga isyu sa hindi pagsunod sa hinaharap.
Sa pamamagi"&amp;"tan ng pagpapatupad ng mga programang ito ng insentibo, layunin ng Pilipinas na lumikha ng isang matibay na pundasyon para sa mga negosyo upang tanggapin ang mga kasanayang matipid sa enerhiya. Ang mga insentibong ito ay hindi lamang nakikinabang sa mga k"&amp;"umpanya sa pananalapi ngunit nag-aambag din sa pangkalahatang layunin ng bansa ng isang mas napapanatiling at enerhiya-independiyenteng hinaharap.")</f>
        <v>Nag-aalok ang Pilipinas ng isang hanay ng mga insentibo sa mga negosyong gumagamit ng mga teknolohiyang matipid sa enerhiya, na naglalayong gawing mas kaakit-akit ang mga pagpipilian sa pagtitipid sa enerhiya sa pananalapi at estratehikong paraan. Narito ang isang breakdown ng mga pangunahing kategorya ng insentibo:
**1. Mga Insentibo sa Pananalapi:**
* **Mga Income Tax Break:** Ang mga negosyo ay maaaring maging kwalipikado para sa **mga pagbabawas ng buwis sa kita** o kahit **mga pista opisyal sa buwis sa kita (ITH)** para sa isang partikular na panahon. Isinasalin ito sa makabuluhang pagtitipid sa kanilang mga obligasyon sa buwis sa kita ng korporasyon.
* **Reduced Corporate Income Tax (RCIT):** Maaaring mag-alok ang gobyerno ng mas mababang rate ng buwis sa kita na nabuo ng mga proyektong gumagamit ng mga teknolohiyang matipid sa enerhiya. * **Accelerated Depreciation:** Ang mga negosyo ay maaaring mag-claim ng depreciation sa energy-efficient equipment sa mas mabilis na rate, na nagpapahintulot sa kanila na mabawi ang kanilang mga paunang gastos sa pamumuhunan nang mas mabilis at makinabang mula sa mga bawas sa buwis.
**2. Non-Fiscal Incentives:**
* **Duty-Free Importation:** Mae-enjoy ng mga negosyo ang exemption mula sa customs duties kapag nag-import ng makinarya at kagamitan na partikular na idinisenyo para sa mga operasyong matipid sa enerhiya. Binabawasan nito ang paunang halaga ng paggamit ng mga teknolohiyang ito.
* **Pinasimpleng Proseso sa Pagpapahintulot:** Maaaring i-streamline ng pamahalaan ang proseso para sa pagkuha ng mga permit at lisensya na kailangan para mag-install at magpatakbo ng mga teknolohiyang matipid sa enerhiya. Makakatipid ito ng oras at mga mapagkukunan ng negosyo na nauugnay sa pag-navigate sa mga bureaucratic na pamamaraan.
* **Green Building Certification:** Ang mga negosyong nagtatayo o nagre-renovate ng mga pasilidad upang matugunan ang mga partikular na pamantayan ng berdeng gusali ay maaaring makamit ang sertipikasyon. Ang sertipikasyong ito ay maaaring humantong sa:
* **Mas mababang gastos sa pagpapatakbo:** dahil sa mga tampok na nakakatipid sa enerhiya ng gusali.
* **Mga benepisyo sa marketing at pagba-brand:** sa pamamagitan ng pagpapakita ng kanilang pangako sa pagpapanatili ng kapaligiran.
**3. Mga Mekanismong Pananalapi:**
* **Green Loan Programs:** Ang mga institusyong pampinansyal, kadalasan sa pakikipagtulungan sa gobyerno, ay nag-aalok ng mga programa sa pautang na may mas mababang rate ng interes partikular para sa mga proyektong may kinalaman sa paggamit ng mga teknolohiyang matipid sa enerhiya. Ginagawa nitong mas naa-access para sa mga negosyo ang mga upgrade ng enerhiya sa pagpopondo.
* **Energy Performance Contracting (EPC):** Sa ilalim ng kaayusan na ito, ang isang third-party na kumpanya ay nagtutustos, nag-i-install, at nagpapanatili ng mga hakbang sa pagtitipid ng enerhiya sa isang pasilidad ng negosyo. Ibinabahagi ng negosyo ang pagtitipid sa gastos na nakamit sa pamamagitan ng pinababang pagkonsumo ng enerhiya sa EPC provider. Binibigyang-daan ng modelong ito ang mga negosyo na makinabang mula sa mga pagpapabuti ng kahusayan sa enerhiya nang walang malaking pamumuhunan.
**4. Mga Karagdagang Pagsasaalang-alang:**
* **Mga Partikular na Programa:** Maaaring mag-iba ang availability at mga detalye ng mga insentibo depende sa partikular na industriya, teknolohiyang pinagtibay, at sukat ng proyekto. Hinihikayat ang mga negosyo na sumangguni sa mga kaugnay na ahensya ng gobyerno tulad ng Department of Energy (DOE) upang matukoy ang pinaka-naaangkop na mga programa sa insentibo.
* **Lampas sa Gastos:** Bagama't may mahalagang papel ang mga insentibo sa pananalapi, dapat ding isaalang-alang ng mga negosyo ang mga pangmatagalang benepisyo ng kahusayan sa enerhiya, gaya ng:
* **Mga Pinababang Gastos sa Operating:** Ang mas mababang singil sa enerhiya ay humahantong sa pinahusay na kakayahang kumita sa paglipas ng panahon.
* **Pinahusay na Imahe ng Brand:** Ang mga mamimili ay lalong naaakit sa mga kumpanyang nagpapakita ng responsibilidad sa kapaligiran.
* **Pagsunod sa Mga Regulasyon:** Ang mga pamantayan sa kahusayan sa enerhiya ay nagiging mas mahigpit, at ang paggamit ng mga teknolohiyang ito ngayon ay makakatulong sa mga negosyo na maiwasan ang mga isyu sa hindi pagsunod sa hinaharap.
Sa pamamagitan ng pagpapatupad ng mga programang ito ng insentibo, layunin ng Pilipinas na lumikha ng isang matibay na pundasyon para sa mga negosyo upang tanggapin ang mga kasanayang matipid sa enerhiya. Ang mga insentibong ito ay hindi lamang nakikinabang sa mga kumpanya sa pananalapi ngunit nag-aambag din sa pangkalahatang layunin ng bansa ng isang mas napapanatiling at enerhiya-independiyenteng hinaharap.</v>
      </c>
      <c r="F2851" s="2">
        <f t="shared" si="1"/>
        <v>0</v>
      </c>
      <c r="G2851" s="2"/>
      <c r="H2851" s="2"/>
      <c r="I2851" s="2"/>
      <c r="J2851" s="2"/>
      <c r="K2851" s="2"/>
      <c r="L2851" s="2"/>
      <c r="M2851" s="2"/>
      <c r="N2851" s="2"/>
      <c r="O2851" s="2"/>
      <c r="P2851" s="2"/>
      <c r="Q2851" s="2"/>
      <c r="R2851" s="2"/>
      <c r="S2851" s="2"/>
      <c r="T2851" s="2"/>
      <c r="U2851" s="2"/>
      <c r="V2851" s="2"/>
      <c r="W2851" s="2"/>
      <c r="X2851" s="2"/>
      <c r="Y2851" s="2"/>
      <c r="Z2851" s="2"/>
      <c r="AA2851" s="2"/>
    </row>
    <row r="2852">
      <c r="A2852" s="3" t="s">
        <v>6661</v>
      </c>
      <c r="B2852" s="1" t="s">
        <v>6678</v>
      </c>
      <c r="C2852" s="3" t="s">
        <v>6679</v>
      </c>
      <c r="D2852" s="2" t="str">
        <f>IFERROR(__xludf.DUMMYFUNCTION("GOOGLETRANSLATE(B2852, ""en"", ""TL"")"),"Anong mga regulasyon ang namamahala sa paggalugad at pagpapaunlad ng geothermal energy sa Pilipinas?")</f>
        <v>Anong mga regulasyon ang namamahala sa paggalugad at pagpapaunlad ng geothermal energy sa Pilipinas?</v>
      </c>
      <c r="E2852" s="2" t="str">
        <f>IFERROR(__xludf.DUMMYFUNCTION("GOOGLETRANSLATE(C2852, ""en"", ""TL"")"),"Narito ang isang breakdown ng mga pangunahing regulasyon na namamahala sa geothermal exploration at development sa Pilipinas:
**1. Republic Act No. 5092 (An Act to Promote and Regulate the Exploration, Development, Exploitation and Utilization of Geotherm"&amp;"al Energy, Natural Gas and Methane Gas):**
* Ang Batas na ito, na kilala rin bilang ""Geothermal Act"", ay nagtatatag ng legal na balangkas para sa geothermal exploration at development. Tinutukoy nito ang geothermal energy at binabalangkas ang proseso ng"&amp;" pagpapahintulot para sa paggalugad at paggamit.
* **Mga Pahintulot:** Ang Batas ay nag-aatas na ang mga aktibidad sa pagsaliksik at pagpapaunlad ay isasagawa sa ilalim ng mga permit o pagpapaupa na ipinagkaloob ng pamahalaan. Tinukoy ng mga permit na ito"&amp;" ang lugar na sakop, ang tagal ng paggalugad, at ang mga karapatan at obligasyon ng may hawak ng permit. * **Mga Pahintulot sa Paggalugad:** Ang mga permit na ito ay nagbibigay sa may hawak ng eksklusibong karapatang tuklasin ang isang partikular na bloke"&amp;" ng lupa para sa mga mapagkukunang geothermal. Ang mga aktibidad ay karaniwang may kasamang geological at geophysical survey, at ilang exploratory drilling.
* **Geothermal Service Contracts (GSCs) o Geothermal Resource Operating Contracts (GREOCs):** Sa m"&amp;"atagumpay na paggalugad, maaaring mag-apply ang mga kumpanya para sa mga kontratang ito, na nagbibigay sa kanila ng eksklusibong karapatang bumuo at gumamit ng geothermal resources sa loob ng itinalagang lugar para sa isang partikular na panahon, na may p"&amp;"osibilidad ng pag-renew. **2. Mga Regulasyon ng Department of Energy (DOE):**
* Ang DOE, bilang pangunahing ahensya ng gobyerno na responsable para sa geothermal energy, ay naglalabas ng iba't ibang mga regulasyon na nagbibigay ng mas detalyadong mga alit"&amp;"untunin para sa:
* **Mga Teknikal na Kinakailangan:** Tinutukoy ng mga regulasyong ito ang mga teknikal na pamantayan para sa mga aktibidad sa pagsaliksik tulad ng pagbabarena, pagtatayo ng balon, at mga hakbang sa pangangalaga sa kapaligiran.
* **Mga Reg"&amp;"ulasyon sa Kaligtasan:** Ang mga regulasyong ito ay nagtatatag ng mga protocol sa kaligtasan para sa mga geothermal na operasyon upang maprotektahan ang mga manggagawa at ang kapaligiran mula sa mga potensyal na panganib tulad ng mga blowout o nakakalason"&amp;" na emisyon. * **Proseso ng Environmental Impact Assessment (EIA):** Ang DOE ay nag-uutos sa pagsasagawa ng mga EIA upang tasahin ang potensyal na epekto sa kapaligiran ng mga proyektong geothermal at magpatupad ng mga hakbang sa pagpapagaan.
**3. Iba pan"&amp;"g Mga Kaugnay na Batas:**
* **Konstitusyon ng Pilipinas:** Ginagarantiyahan ng Konstitusyon ang karapatan sa isang malusog na kapaligiran at nag-uutos sa estado na protektahan ito (Artikulo II, Seksyon 16). Ang mga proyekto sa pagpapaunlad ng geothermal a"&amp;"y dapat sumunod sa mga probisyong ito ng konstitusyon.
* **Environmental Impact Statement System Act (EIS Law - Presidential Decree No. 1586):** Ang batas na ito ay nangangailangan ng mga proyektong may potensyal na makabuluhang epekto sa kapaligiran na s"&amp;"umailalim sa isang buong proseso ng Environmental Impact Statement (EIS) bago kumuha ng mga permit.
**4. Mga Internasyonal na Kasunduan:**
* Ang Pilipinas ay maaari ding maging isang partido sa mga internasyonal na kasunduan na may kaugnayan sa geothermal"&amp;" energy development, tulad ng tungkol sa pangangalaga sa kapaligiran o napapanatiling pamamahala ng mapagkukunan. Ang mga kasunduang ito ay maaaring magdagdag ng isa pang patong ng mga regulasyon na kailangang sundin ng mga geothermal na proyekto.
**Sa ka"&amp;"buuan,** ang geothermal exploration at development sa Pilipinas ay pinamamahalaan ng kumbinasyon ng mga batas, regulasyon, at internasyonal na kasunduan. Itinatag ng Geothermal Act ang pangkalahatang balangkas, habang ang mga regulasyon ng DOE ay nagbibig"&amp;"ay ng mga detalyadong kinakailangan sa teknikal at kaligtasan. Ang mga pagsasaalang-alang sa kapaligiran ay mahalaga, na nangangailangan ng pagsunod sa Konstitusyon, EIS Law, at potensyal na nauugnay na mga internasyonal na kasunduan.")</f>
        <v>Narito ang isang breakdown ng mga pangunahing regulasyon na namamahala sa geothermal exploration at development sa Pilipinas:
**1. Republic Act No. 5092 (An Act to Promote and Regulate the Exploration, Development, Exploitation and Utilization of Geothermal Energy, Natural Gas and Methane Gas):**
* Ang Batas na ito, na kilala rin bilang "Geothermal Act", ay nagtatatag ng legal na balangkas para sa geothermal exploration at development. Tinutukoy nito ang geothermal energy at binabalangkas ang proseso ng pagpapahintulot para sa paggalugad at paggamit.
* **Mga Pahintulot:** Ang Batas ay nag-aatas na ang mga aktibidad sa pagsaliksik at pagpapaunlad ay isasagawa sa ilalim ng mga permit o pagpapaupa na ipinagkaloob ng pamahalaan. Tinukoy ng mga permit na ito ang lugar na sakop, ang tagal ng paggalugad, at ang mga karapatan at obligasyon ng may hawak ng permit. * **Mga Pahintulot sa Paggalugad:** Ang mga permit na ito ay nagbibigay sa may hawak ng eksklusibong karapatang tuklasin ang isang partikular na bloke ng lupa para sa mga mapagkukunang geothermal. Ang mga aktibidad ay karaniwang may kasamang geological at geophysical survey, at ilang exploratory drilling.
* **Geothermal Service Contracts (GSCs) o Geothermal Resource Operating Contracts (GREOCs):** Sa matagumpay na paggalugad, maaaring mag-apply ang mga kumpanya para sa mga kontratang ito, na nagbibigay sa kanila ng eksklusibong karapatang bumuo at gumamit ng geothermal resources sa loob ng itinalagang lugar para sa isang partikular na panahon, na may posibilidad ng pag-renew. **2. Mga Regulasyon ng Department of Energy (DOE):**
* Ang DOE, bilang pangunahing ahensya ng gobyerno na responsable para sa geothermal energy, ay naglalabas ng iba't ibang mga regulasyon na nagbibigay ng mas detalyadong mga alituntunin para sa:
* **Mga Teknikal na Kinakailangan:** Tinutukoy ng mga regulasyong ito ang mga teknikal na pamantayan para sa mga aktibidad sa pagsaliksik tulad ng pagbabarena, pagtatayo ng balon, at mga hakbang sa pangangalaga sa kapaligiran.
* **Mga Regulasyon sa Kaligtasan:** Ang mga regulasyong ito ay nagtatatag ng mga protocol sa kaligtasan para sa mga geothermal na operasyon upang maprotektahan ang mga manggagawa at ang kapaligiran mula sa mga potensyal na panganib tulad ng mga blowout o nakakalason na emisyon. * **Proseso ng Environmental Impact Assessment (EIA):** Ang DOE ay nag-uutos sa pagsasagawa ng mga EIA upang tasahin ang potensyal na epekto sa kapaligiran ng mga proyektong geothermal at magpatupad ng mga hakbang sa pagpapagaan.
**3. Iba pang Mga Kaugnay na Batas:**
* **Konstitusyon ng Pilipinas:** Ginagarantiyahan ng Konstitusyon ang karapatan sa isang malusog na kapaligiran at nag-uutos sa estado na protektahan ito (Artikulo II, Seksyon 16). Ang mga proyekto sa pagpapaunlad ng geothermal ay dapat sumunod sa mga probisyong ito ng konstitusyon.
* **Environmental Impact Statement System Act (EIS Law - Presidential Decree No. 1586):** Ang batas na ito ay nangangailangan ng mga proyektong may potensyal na makabuluhang epekto sa kapaligiran na sumailalim sa isang buong proseso ng Environmental Impact Statement (EIS) bago kumuha ng mga permit.
**4. Mga Internasyonal na Kasunduan:**
* Ang Pilipinas ay maaari ding maging isang partido sa mga internasyonal na kasunduan na may kaugnayan sa geothermal energy development, tulad ng tungkol sa pangangalaga sa kapaligiran o napapanatiling pamamahala ng mapagkukunan. Ang mga kasunduang ito ay maaaring magdagdag ng isa pang patong ng mga regulasyon na kailangang sundin ng mga geothermal na proyekto.
**Sa kabuuan,** ang geothermal exploration at development sa Pilipinas ay pinamamahalaan ng kumbinasyon ng mga batas, regulasyon, at internasyonal na kasunduan. Itinatag ng Geothermal Act ang pangkalahatang balangkas, habang ang mga regulasyon ng DOE ay nagbibigay ng mga detalyadong kinakailangan sa teknikal at kaligtasan. Ang mga pagsasaalang-alang sa kapaligiran ay mahalaga, na nangangailangan ng pagsunod sa Konstitusyon, EIS Law, at potensyal na nauugnay na mga internasyonal na kasunduan.</v>
      </c>
      <c r="F2852" s="2">
        <f t="shared" si="1"/>
        <v>0</v>
      </c>
      <c r="G2852" s="2"/>
      <c r="H2852" s="2"/>
      <c r="I2852" s="2"/>
      <c r="J2852" s="2"/>
      <c r="K2852" s="2"/>
      <c r="L2852" s="2"/>
      <c r="M2852" s="2"/>
      <c r="N2852" s="2"/>
      <c r="O2852" s="2"/>
      <c r="P2852" s="2"/>
      <c r="Q2852" s="2"/>
      <c r="R2852" s="2"/>
      <c r="S2852" s="2"/>
      <c r="T2852" s="2"/>
      <c r="U2852" s="2"/>
      <c r="V2852" s="2"/>
      <c r="W2852" s="2"/>
      <c r="X2852" s="2"/>
      <c r="Y2852" s="2"/>
      <c r="Z2852" s="2"/>
      <c r="AA2852" s="2"/>
    </row>
    <row r="2853">
      <c r="A2853" s="3" t="s">
        <v>6661</v>
      </c>
      <c r="B2853" s="1" t="s">
        <v>6680</v>
      </c>
      <c r="C2853" s="3" t="s">
        <v>6681</v>
      </c>
      <c r="D2853" s="2" t="str">
        <f>IFERROR(__xludf.DUMMYFUNCTION("GOOGLETRANSLATE(B2853, ""en"", ""TL"")"),"Paano tinutugunan ng Pilipinas ang mga alalahanin sa kapaligiran na may kaugnayan sa produksyon ng enerhiya, partikular sa mga proyekto ng renewable energy?")</f>
        <v>Paano tinutugunan ng Pilipinas ang mga alalahanin sa kapaligiran na may kaugnayan sa produksyon ng enerhiya, partikular sa mga proyekto ng renewable energy?</v>
      </c>
      <c r="E2853" s="2" t="str">
        <f>IFERROR(__xludf.DUMMYFUNCTION("GOOGLETRANSLATE(C2853, ""en"", ""TL"")"),"Kinikilala ng Pilipinas ang mga benepisyo sa kapaligiran ng renewable energy ngunit kinikilalang mayroon pa ring mga potensyal na downsides. Narito kung paano tinutugunan ng bansa ang mga alalahanin sa kapaligiran na may kaugnayan sa mga proyekto ng renew"&amp;"able energy:
**1. Proseso ng Environmental Impact Assessment (EIA):**
* Isang pundasyong regulasyon ay ang Environmental Impact Statement System Act (EIS Law - Presidential Decree No. 1586). Ang batas na ito ay nag-uutos na ang mga proyekto ng renewable e"&amp;"nergy na may potensyal na makabuluhang epekto sa kapaligiran ay sumailalim sa isang mahigpit na proseso ng EIA bago kumuha ng mga permit.
* Ang proseso ng EIA ay kinabibilangan ng:
* **Scoping:** Pagkilala sa mga potensyal na epekto sa kapaligiran ng proy"&amp;"ekto.
* **Baseline Studies:** Pagtatasa sa mga kasalukuyang kondisyon sa kapaligiran sa lugar ng proyekto.
* **Pagsusuri sa Epekto:** Pagsusuri sa mga potensyal na negatibong epekto ng proyekto sa hangin, tubig, lupa, flora, fauna, at sosyo-ekonomikong as"&amp;"peto.
* **Plano sa Pamamahala ng Kapaligiran (EMP):** Pagbuo ng isang plano upang mabawasan ang mga natukoy na negatibong epekto at mapahusay ang mga positibo.
* Ang pakikilahok ng publiko ay isang mahalagang elemento ng proseso ng EIA. Ang mga komunidad "&amp;"na naninirahan malapit sa lugar ng proyekto ay may karapatang malaman at ipahayag ang kanilang mga alalahanin.
**2. Regulatory Framework:**
* Ang Kagawaran ng Kapaligiran at Likas na Yaman (DENR) ay nagtatakda ng mga regulasyon sa kapaligiran para sa mga "&amp;"proyektong nababagong enerhiya. Tinutugunan ng mga regulasyong ito ang mga alalahaning partikular sa bawat teknolohiya, gaya ng:
* **Hydropower:** Maaaring tumuon ang mga regulasyon sa pagliit ng mga epekto sa daloy ng tubig, pangisdaan, at mga komunidad "&amp;"sa ibaba ng agos.
* **Geothermal:** Maaaring tugunan ng mga regulasyon ang pagtatapon ng wastewater, mga emisyon ng hangin, at potensyal para sa induced seismicity.
* **Solar at Hangin:** Maaaring isaalang-alang ng mga regulasyon ang mga pagbabago sa pagg"&amp;"amit ng lupa, pagkagambala sa tirahan para sa mga ibon at paniki, at mga potensyal na epekto sa paningin.
**3. Spatial Planning at Zoning:**
* Itinataguyod ng pamahalaan ang mga hakbang sa pagpaplano at pagsona upang matukoy ang mga angkop na lugar para s"&amp;"a pagpapaunlad ng nababagong enerhiya habang pinapaliit ang mga epekto sa kapaligiran at panlipunan. Ito ay maaaring may kasamang:
* Pagkilala sa mga lugar na may mataas na potensyal na mapagkukunan at minimal na panganib sa kapaligiran.
* Pagtatatag ng m"&amp;"ga buffer zone sa paligid ng mga protektadong lugar at sensitibong ecosystem.
**4. Mga Pagsulong sa Teknolohikal:**
* Hinihikayat ng Pilipinas ang paggamit ng mga advanced renewable energy technologies na may mas mababang environmental footprint. Kasama s"&amp;"a mga halimbawa ang:
* **Mga solar panel na may mataas na kahusayan:** Ang mga ito ay nangangailangan ng mas kaunting lugar ng lupa upang makabuo ng parehong dami ng enerhiya.
* **Floating solar farm:** Pinaliit nito ang mga epekto sa paggamit ng lupa sa "&amp;"pamamagitan ng paggamit ng mga reservoir o anyong tubig.
* **Closed-loop geothermal system:** Binabawasan nito ang paggamit ng tubig at pinapaliit ang panganib ng kontaminasyon.
**5. Pagsusulong ng Paglahok ng Mamamayan:**
* Kinikilala ng pamahalaan ang k"&amp;"ahalagahan ng kamalayan ng publiko at pakikilahok sa pagtiyak sa responsableng kapaligiran na pagpapaunlad ng nababagong enerhiya. Ito ay maaaring may kasamang:
* **Mga konsultasyon sa komunidad:** Pagtiyak na nauunawaan ng mga lokal na komunidad ang mga "&amp;"proyekto at may masasabi sa paggawa ng desisyon.
* **Mga programa sa edukasyon sa kapaligiran:** Pagpapalaki ng kamalayan tungkol sa mga potensyal na epekto sa kapaligiran ng nababagong enerhiya at kung paano pagaanin ang mga ito.
**Sa konklusyon,** nagsu"&amp;"sumikap ang Pilipinas na balansehin ang mga benepisyo ng renewable energy sa pangangalaga sa kapaligiran. Ang proseso ng EIA, balangkas ng regulasyon, pagpaplano ng spatial, mga pagsulong sa teknolohiya, at pakikilahok ng mamamayan ay lahat ay may papel s"&amp;"a patuloy na pagsisikap na ito.")</f>
        <v>Kinikilala ng Pilipinas ang mga benepisyo sa kapaligiran ng renewable energy ngunit kinikilalang mayroon pa ring mga potensyal na downsides. Narito kung paano tinutugunan ng bansa ang mga alalahanin sa kapaligiran na may kaugnayan sa mga proyekto ng renewable energy:
**1. Proseso ng Environmental Impact Assessment (EIA):**
* Isang pundasyong regulasyon ay ang Environmental Impact Statement System Act (EIS Law - Presidential Decree No. 1586). Ang batas na ito ay nag-uutos na ang mga proyekto ng renewable energy na may potensyal na makabuluhang epekto sa kapaligiran ay sumailalim sa isang mahigpit na proseso ng EIA bago kumuha ng mga permit.
* Ang proseso ng EIA ay kinabibilangan ng:
* **Scoping:** Pagkilala sa mga potensyal na epekto sa kapaligiran ng proyekto.
* **Baseline Studies:** Pagtatasa sa mga kasalukuyang kondisyon sa kapaligiran sa lugar ng proyekto.
* **Pagsusuri sa Epekto:** Pagsusuri sa mga potensyal na negatibong epekto ng proyekto sa hangin, tubig, lupa, flora, fauna, at sosyo-ekonomikong aspeto.
* **Plano sa Pamamahala ng Kapaligiran (EMP):** Pagbuo ng isang plano upang mabawasan ang mga natukoy na negatibong epekto at mapahusay ang mga positibo.
* Ang pakikilahok ng publiko ay isang mahalagang elemento ng proseso ng EIA. Ang mga komunidad na naninirahan malapit sa lugar ng proyekto ay may karapatang malaman at ipahayag ang kanilang mga alalahanin.
**2. Regulatory Framework:**
* Ang Kagawaran ng Kapaligiran at Likas na Yaman (DENR) ay nagtatakda ng mga regulasyon sa kapaligiran para sa mga proyektong nababagong enerhiya. Tinutugunan ng mga regulasyong ito ang mga alalahaning partikular sa bawat teknolohiya, gaya ng:
* **Hydropower:** Maaaring tumuon ang mga regulasyon sa pagliit ng mga epekto sa daloy ng tubig, pangisdaan, at mga komunidad sa ibaba ng agos.
* **Geothermal:** Maaaring tugunan ng mga regulasyon ang pagtatapon ng wastewater, mga emisyon ng hangin, at potensyal para sa induced seismicity.
* **Solar at Hangin:** Maaaring isaalang-alang ng mga regulasyon ang mga pagbabago sa paggamit ng lupa, pagkagambala sa tirahan para sa mga ibon at paniki, at mga potensyal na epekto sa paningin.
**3. Spatial Planning at Zoning:**
* Itinataguyod ng pamahalaan ang mga hakbang sa pagpaplano at pagsona upang matukoy ang mga angkop na lugar para sa pagpapaunlad ng nababagong enerhiya habang pinapaliit ang mga epekto sa kapaligiran at panlipunan. Ito ay maaaring may kasamang:
* Pagkilala sa mga lugar na may mataas na potensyal na mapagkukunan at minimal na panganib sa kapaligiran.
* Pagtatatag ng mga buffer zone sa paligid ng mga protektadong lugar at sensitibong ecosystem.
**4. Mga Pagsulong sa Teknolohikal:**
* Hinihikayat ng Pilipinas ang paggamit ng mga advanced renewable energy technologies na may mas mababang environmental footprint. Kasama sa mga halimbawa ang:
* **Mga solar panel na may mataas na kahusayan:** Ang mga ito ay nangangailangan ng mas kaunting lugar ng lupa upang makabuo ng parehong dami ng enerhiya.
* **Floating solar farm:** Pinaliit nito ang mga epekto sa paggamit ng lupa sa pamamagitan ng paggamit ng mga reservoir o anyong tubig.
* **Closed-loop geothermal system:** Binabawasan nito ang paggamit ng tubig at pinapaliit ang panganib ng kontaminasyon.
**5. Pagsusulong ng Paglahok ng Mamamayan:**
* Kinikilala ng pamahalaan ang kahalagahan ng kamalayan ng publiko at pakikilahok sa pagtiyak sa responsableng kapaligiran na pagpapaunlad ng nababagong enerhiya. Ito ay maaaring may kasamang:
* **Mga konsultasyon sa komunidad:** Pagtiyak na nauunawaan ng mga lokal na komunidad ang mga proyekto at may masasabi sa paggawa ng desisyon.
* **Mga programa sa edukasyon sa kapaligiran:** Pagpapalaki ng kamalayan tungkol sa mga potensyal na epekto sa kapaligiran ng nababagong enerhiya at kung paano pagaanin ang mga ito.
**Sa konklusyon,** nagsusumikap ang Pilipinas na balansehin ang mga benepisyo ng renewable energy sa pangangalaga sa kapaligiran. Ang proseso ng EIA, balangkas ng regulasyon, pagpaplano ng spatial, mga pagsulong sa teknolohiya, at pakikilahok ng mamamayan ay lahat ay may papel sa patuloy na pagsisikap na ito.</v>
      </c>
      <c r="F2853" s="2">
        <f t="shared" si="1"/>
        <v>0</v>
      </c>
      <c r="G2853" s="2"/>
      <c r="H2853" s="2"/>
      <c r="I2853" s="2"/>
      <c r="J2853" s="2"/>
      <c r="K2853" s="2"/>
      <c r="L2853" s="2"/>
      <c r="M2853" s="2"/>
      <c r="N2853" s="2"/>
      <c r="O2853" s="2"/>
      <c r="P2853" s="2"/>
      <c r="Q2853" s="2"/>
      <c r="R2853" s="2"/>
      <c r="S2853" s="2"/>
      <c r="T2853" s="2"/>
      <c r="U2853" s="2"/>
      <c r="V2853" s="2"/>
      <c r="W2853" s="2"/>
      <c r="X2853" s="2"/>
      <c r="Y2853" s="2"/>
      <c r="Z2853" s="2"/>
      <c r="AA2853" s="2"/>
    </row>
    <row r="2854">
      <c r="A2854" s="3" t="s">
        <v>6661</v>
      </c>
      <c r="B2854" s="1" t="s">
        <v>6682</v>
      </c>
      <c r="C2854" s="3" t="s">
        <v>6683</v>
      </c>
      <c r="D2854" s="2" t="str">
        <f>IFERROR(__xludf.DUMMYFUNCTION("GOOGLETRANSLATE(B2854, ""en"", ""TL"")"),"Ipaliwanag ang Feed-in Tariff system at ang papel nito sa pagtataguyod ng mga proyekto ng renewable energy.")</f>
        <v>Ipaliwanag ang Feed-in Tariff system at ang papel nito sa pagtataguyod ng mga proyekto ng renewable energy.</v>
      </c>
      <c r="E2854" s="2" t="str">
        <f>IFERROR(__xludf.DUMMYFUNCTION("GOOGLETRANSLATE(C2854, ""en"", ""TL"")"),"Ang Feed-in Tariff (FIT) system ay isang mekanismo ng patakaran na idinisenyo upang mapabilis ang pagbuo at pag-aampon ng mga nababagong mapagkukunan ng enerhiya. Gumagana ito sa pamamagitan ng pag-aalok ng **mga garantisadong presyo** sa mga producer ng "&amp;"kuryente para sa malinis na enerhiya na kanilang nabubuo at ipinapasok sa power grid. Narito kung paano ito gumagana at ang papel nito sa pagtataguyod ng renewable energy:
**Paano ito Gumagana:**
1. **Ang Pamahalaan ay Nagtatakda ng Mga Rate:** Ang pamaha"&amp;"laan, kadalasan sa pamamagitan ng Department of Energy (DOE), ay nagtatakda ng mga rate ng FIT para sa iba't ibang pinagmumulan ng nababagong enerhiya tulad ng solar, wind, geothermal, o hydro. Ang mga rate na ito ay karaniwang mas mataas kaysa sa umiiral"&amp;" na presyo sa merkado para sa kuryente.
2. **Ang mga Power Producers ay Pumirma ng Mga Kontrata:** Ang mga developer ng proyekto ng nababagong enerhiya ay maaaring pumasok sa mga pangmatagalang kontrata (karaniwang 10-20 taon) na may mga utility ng kuryen"&amp;"te o isang itinalagang entity na off-taking. Ginagarantiyahan ng mga kontratang ito ang halaga ng FIT para sa kuryenteng ginawa ng proyekto.
3. **Ang mga Producer ay Nagpapakain ng Malinis na Enerhiya sa Grid:** Ang mga proyekto ng nababagong enerhiya ay "&amp;"bumubuo ng kuryente at nagbibigay nito sa grid. Ang malinis na enerhiyang ito ay nakakatulong na pag-iba-ibahin ang pinaghalong enerhiya at bawasan ang pag-asa sa mga fossil fuel.
4. **Pagbili at Pamamahagi ng Mga Utility:** Binibili ng mga utility ng kur"&amp;"yente ang kuryenteng nabuo ng mga proyekto ng nababagong enerhiya sa paunang natukoy na rate ng FIT. Ang biniling malinis na enerhiya na ito ay ipinamamahagi sa mga mamimili sa pamamagitan ng power grid.
5. **Cost Recovery:** Ang karagdagang gastos ng FIT"&amp;" program ay maaaring mabawi sa iba't ibang paraan, depende sa partikular na disenyo. Kasama sa mga karaniwang pamamaraan ang:
* **May idinagdag na surcharge sa mga singil sa kuryente ng lahat ng consumer.**
* **Mga subsidyo ng gobyerno upang tulungan ang "&amp;"agwat sa pagitan ng mga rate ng FIT at mga presyo sa merkado.**
**Tungkulin sa Pagsusulong ng Renewable Energy:**
* **Nabawasan ang Panganib sa Pamumuhunan:** Ang garantisadong, pangmatagalang mga rate ng FIT ay nagbibigay ng pinansiyal na seguridad para "&amp;"sa mga developer ng proyekto ng renewable energy. Ginagawa nitong mas kaakit-akit na pamumuhunan ang mga proyekto ng nababagong enerhiya sa pamamagitan ng pagpapababa sa nakikitang panganib. * **Pinataas na Viability ng Proyekto:** Ang mas mataas na mga r"&amp;"ate ng FIT kumpara sa mga presyo sa merkado ay nagpapabuti sa kakayahang mabuhay sa pananalapi ng mga proyekto ng nababagong enerhiya, na ginagawang mas mapagkumpitensya ang mga ito sa tradisyonal na pagbuo ng fossil fuel.
* **Pag-akit ng Pamumuhunan:** N"&amp;"akakatulong ang FIT system na maakit ang pamumuhunan ng pribadong sektor sa sektor ng renewable energy, na mahalaga para sa malakihang pag-unlad at pag-deploy ng mga teknolohiyang malinis na enerhiya.
* **Market Signal:** Sa pamamagitan ng pagtatatag ng m"&amp;"as mataas na presyo para sa malinis na enerhiya, ang FIT system ay nagpapadala ng signal sa merkado na ang nababagong enerhiya ay isang mahalagang kalakal. Nagbibigay ito ng insentibo sa pagbabago at mga pagbawas sa gastos sa sektor ng nababagong enerhiya"&amp;".
* **Stable at Predictable na Kapaligiran:** Ang mga pangmatagalang kontrata na inaalok sa pamamagitan ng mga programa ng FIT ay nagbibigay ng matatag at predictable na kapaligiran para sa renewable energy developer, na nagpapadali sa pangmatagalang pagp"&amp;"aplano at pagbuo ng proyekto.
**Habang nag-aalok ang FIT system ng mga makabuluhang pakinabang, mahalagang isaalang-alang ang mga potensyal na disbentaha:**
* **Pagtaas ng Gastos sa Elektrisidad:** Ang programa ng FIT ay maaaring humantong sa mas mataas n"&amp;"a gastos sa kuryente para sa mga consumer dahil sa mga surcharge o subsidies na kailangan upang mabayaran ang mga gastos ng programa.
* **Market Distortion:** Ang garantisadong mga rate ng FIT ay maaaring potensyal na masira ang merkado ng kuryente sa pam"&amp;"amagitan ng paggawa ng renewable energy na artipisyal na mapagkumpitensya kumpara sa pabagu-bagong mga presyo sa merkado.
* **Pang-administratibong Pasan:** Ang pagdidisenyo at pagpapatupad ng isang epektibong sistema ng FIT ay maaaring maging kumplikado "&amp;"sa administratibo para sa pamahalaan.
**Sa konklusyon,** ang Feed-in Tariff system ay nagsisilbing isang mahalagang tool para sa pagtataguyod ng renewable energy development. Sa pamamagitan ng pag-aalok ng mga insentibo sa pananalapi at pagbabawas ng mga "&amp;"panganib sa pamumuhunan, hinihikayat nito ang pribadong sektor na lumahok sa paglipat ng malinis na enerhiya. Gayunpaman, ang maingat na disenyo at patuloy na pagsusuri ay mahalaga upang matiyak na ang programa ay mananatiling sustainable at cost-effectiv"&amp;"e sa katagalan.")</f>
        <v>Ang Feed-in Tariff (FIT) system ay isang mekanismo ng patakaran na idinisenyo upang mapabilis ang pagbuo at pag-aampon ng mga nababagong mapagkukunan ng enerhiya. Gumagana ito sa pamamagitan ng pag-aalok ng **mga garantisadong presyo** sa mga producer ng kuryente para sa malinis na enerhiya na kanilang nabubuo at ipinapasok sa power grid. Narito kung paano ito gumagana at ang papel nito sa pagtataguyod ng renewable energy:
**Paano ito Gumagana:**
1. **Ang Pamahalaan ay Nagtatakda ng Mga Rate:** Ang pamahalaan, kadalasan sa pamamagitan ng Department of Energy (DOE), ay nagtatakda ng mga rate ng FIT para sa iba't ibang pinagmumulan ng nababagong enerhiya tulad ng solar, wind, geothermal, o hydro. Ang mga rate na ito ay karaniwang mas mataas kaysa sa umiiral na presyo sa merkado para sa kuryente.
2. **Ang mga Power Producers ay Pumirma ng Mga Kontrata:** Ang mga developer ng proyekto ng nababagong enerhiya ay maaaring pumasok sa mga pangmatagalang kontrata (karaniwang 10-20 taon) na may mga utility ng kuryente o isang itinalagang entity na off-taking. Ginagarantiyahan ng mga kontratang ito ang halaga ng FIT para sa kuryenteng ginawa ng proyekto.
3. **Ang mga Producer ay Nagpapakain ng Malinis na Enerhiya sa Grid:** Ang mga proyekto ng nababagong enerhiya ay bumubuo ng kuryente at nagbibigay nito sa grid. Ang malinis na enerhiyang ito ay nakakatulong na pag-iba-ibahin ang pinaghalong enerhiya at bawasan ang pag-asa sa mga fossil fuel.
4. **Pagbili at Pamamahagi ng Mga Utility:** Binibili ng mga utility ng kuryente ang kuryenteng nabuo ng mga proyekto ng nababagong enerhiya sa paunang natukoy na rate ng FIT. Ang biniling malinis na enerhiya na ito ay ipinamamahagi sa mga mamimili sa pamamagitan ng power grid.
5. **Cost Recovery:** Ang karagdagang gastos ng FIT program ay maaaring mabawi sa iba't ibang paraan, depende sa partikular na disenyo. Kasama sa mga karaniwang pamamaraan ang:
* **May idinagdag na surcharge sa mga singil sa kuryente ng lahat ng consumer.**
* **Mga subsidyo ng gobyerno upang tulungan ang agwat sa pagitan ng mga rate ng FIT at mga presyo sa merkado.**
**Tungkulin sa Pagsusulong ng Renewable Energy:**
* **Nabawasan ang Panganib sa Pamumuhunan:** Ang garantisadong, pangmatagalang mga rate ng FIT ay nagbibigay ng pinansiyal na seguridad para sa mga developer ng proyekto ng renewable energy. Ginagawa nitong mas kaakit-akit na pamumuhunan ang mga proyekto ng nababagong enerhiya sa pamamagitan ng pagpapababa sa nakikitang panganib. * **Pinataas na Viability ng Proyekto:** Ang mas mataas na mga rate ng FIT kumpara sa mga presyo sa merkado ay nagpapabuti sa kakayahang mabuhay sa pananalapi ng mga proyekto ng nababagong enerhiya, na ginagawang mas mapagkumpitensya ang mga ito sa tradisyonal na pagbuo ng fossil fuel.
* **Pag-akit ng Pamumuhunan:** Nakakatulong ang FIT system na maakit ang pamumuhunan ng pribadong sektor sa sektor ng renewable energy, na mahalaga para sa malakihang pag-unlad at pag-deploy ng mga teknolohiyang malinis na enerhiya.
* **Market Signal:** Sa pamamagitan ng pagtatatag ng mas mataas na presyo para sa malinis na enerhiya, ang FIT system ay nagpapadala ng signal sa merkado na ang nababagong enerhiya ay isang mahalagang kalakal. Nagbibigay ito ng insentibo sa pagbabago at mga pagbawas sa gastos sa sektor ng nababagong enerhiya.
* **Stable at Predictable na Kapaligiran:** Ang mga pangmatagalang kontrata na inaalok sa pamamagitan ng mga programa ng FIT ay nagbibigay ng matatag at predictable na kapaligiran para sa renewable energy developer, na nagpapadali sa pangmatagalang pagpaplano at pagbuo ng proyekto.
**Habang nag-aalok ang FIT system ng mga makabuluhang pakinabang, mahalagang isaalang-alang ang mga potensyal na disbentaha:**
* **Pagtaas ng Gastos sa Elektrisidad:** Ang programa ng FIT ay maaaring humantong sa mas mataas na gastos sa kuryente para sa mga consumer dahil sa mga surcharge o subsidies na kailangan upang mabayaran ang mga gastos ng programa.
* **Market Distortion:** Ang garantisadong mga rate ng FIT ay maaaring potensyal na masira ang merkado ng kuryente sa pamamagitan ng paggawa ng renewable energy na artipisyal na mapagkumpitensya kumpara sa pabagu-bagong mga presyo sa merkado.
* **Pang-administratibong Pasan:** Ang pagdidisenyo at pagpapatupad ng isang epektibong sistema ng FIT ay maaaring maging kumplikado sa administratibo para sa pamahalaan.
**Sa konklusyon,** ang Feed-in Tariff system ay nagsisilbing isang mahalagang tool para sa pagtataguyod ng renewable energy development. Sa pamamagitan ng pag-aalok ng mga insentibo sa pananalapi at pagbabawas ng mga panganib sa pamumuhunan, hinihikayat nito ang pribadong sektor na lumahok sa paglipat ng malinis na enerhiya. Gayunpaman, ang maingat na disenyo at patuloy na pagsusuri ay mahalaga upang matiyak na ang programa ay mananatiling sustainable at cost-effective sa katagalan.</v>
      </c>
      <c r="F2854" s="2">
        <f t="shared" si="1"/>
        <v>0</v>
      </c>
      <c r="G2854" s="2"/>
      <c r="H2854" s="2"/>
      <c r="I2854" s="2"/>
      <c r="J2854" s="2"/>
      <c r="K2854" s="2"/>
      <c r="L2854" s="2"/>
      <c r="M2854" s="2"/>
      <c r="N2854" s="2"/>
      <c r="O2854" s="2"/>
      <c r="P2854" s="2"/>
      <c r="Q2854" s="2"/>
      <c r="R2854" s="2"/>
      <c r="S2854" s="2"/>
      <c r="T2854" s="2"/>
      <c r="U2854" s="2"/>
      <c r="V2854" s="2"/>
      <c r="W2854" s="2"/>
      <c r="X2854" s="2"/>
      <c r="Y2854" s="2"/>
      <c r="Z2854" s="2"/>
      <c r="AA2854" s="2"/>
    </row>
    <row r="2855">
      <c r="A2855" s="3" t="s">
        <v>6661</v>
      </c>
      <c r="B2855" s="1" t="s">
        <v>6684</v>
      </c>
      <c r="C2855" s="3" t="s">
        <v>6685</v>
      </c>
      <c r="D2855" s="2" t="str">
        <f>IFERROR(__xludf.DUMMYFUNCTION("GOOGLETRANSLATE(B2855, ""en"", ""TL"")"),"Anong mga legal na balangkas ang inilalagay upang matiyak ang pagsasama ng nababagong enerhiya sa pambansang grid?")</f>
        <v>Anong mga legal na balangkas ang inilalagay upang matiyak ang pagsasama ng nababagong enerhiya sa pambansang grid?</v>
      </c>
      <c r="E2855" s="2" t="str">
        <f>IFERROR(__xludf.DUMMYFUNCTION("GOOGLETRANSLATE(C2855, ""en"", ""TL"")"),"Nagtatag ang Pilipinas ng ilang legal na balangkas upang matiyak ang maayos na pagsasama ng renewable energy (RE) sa pambansang grid. Narito ang isang breakdown ng mga pangunahing mekanismo:
**1. Renewable Portfolio Standards (RPS) - Republic Act No. 9"&amp;"513 (RA 9513):**
* Ang Renewable Energy Act (RA 9513) ay nagbibigay ng kapangyarihan sa Department of Energy (DOE) na magtatag ng Renewable Portfolio Standards (RPS).  Ang mga pamantayang ito ay nag-uutos sa mga electricity distribution utilities (DUs)"&amp;" na kumuha ng partikular na porsyento ng kanilang suplay ng kuryente mula sa mga kwalipikadong renewable energy sources. 
* Lumilikha ang patakaran ng RPS ng garantisadong merkado para sa nababagong enerhiya sa pamamagitan ng pag-aatas sa mga DU na bumil"&amp;"i ng malinis na enerhiya. Nagbibigay ito ng insentibo sa mga developer ng RE project na mamuhunan sa pagbuo ng bagong renewable energy capacity.
**2. Pag-aaral at Pagpaplano ng Pagsasama ng Grid - DOE at National Transmission Corporation (TransCo):**
"&amp;"
* Ang DOE, sa pakikipagtulungan ng National Transmission Corporation (TransCo), ang operator ng Philippine power grid, ay nagsasagawa ng mga pag-aaral upang masuri ang kapasidad ng grid na pagsamahin ang tumataas na halaga ng RE. Nakakatulong ang mga pa"&amp;"g-aaral na ito na matukoy ang mga potensyal na bottleneck ng grid at bumuo ng mga diskarte para sa modernisasyon ng grid upang matugunan ang variable na katangian ng ilang renewable energy source tulad ng solar at wind.
**3. Grid Code at Dispatch Proto"&amp;"cols - Department of Energy (DOE):**
* Ang DOE ay nagtatatag ng mga grid code at mga dispatch protocol na namamahala sa pagpapatakbo ng power grid. Tinitiyak ng mga regulasyong ito ang ligtas, maaasahan, at mahusay na pagsasama ng mga mapagkukunan ng R"&amp;"E. 
* Maaaring tugunan ng mga grid code ang mga teknikal na kinakailangan para sa pagkonekta ng mga renewable energy plant sa grid, pamamahala sa mga pagbabago-bago ng kuryente mula sa mga variable na pinagmulan, at pagtiyak ng katatagan ng system.
* It"&amp;"inatag ng mga protocol ng pagpapadala ang pagkakasunud-sunod kung saan tinawag ang mga power plant upang makabuo ng kuryente, na isinasaalang-alang ang mga salik tulad ng gastos, kahusayan, at real-time na mga kondisyon ng grid.  
**4. Renewable Energy"&amp;" Certificates (RECs) - Department of Energy (DOE):**
* Maaaring magpatupad ang DOE ng Renewable Energy Certificate (REC) scheme.  Ang mga REC ay mga nabibiling instrumento na kumakatawan sa mga benepisyong pangkapaligiran na nauugnay sa isang yunit ng "&amp;"kuryente na nabuo mula sa isang pinagmumulan ng nababagong enerhiya.
* Habang hindi pa ganap na ipinapatupad sa Pilipinas, ang mga REC ay maaaring magbigay ng insentibo sa pagpapaunlad ng RE sa pamamagitan ng paglikha ng isang merkado para sa mga katangi"&amp;"ang pangkapaligiran ng malinis na enerhiya. Ang mga DU na hindi direktang pinagkukunan ang kanilang pangangailangan sa RPS mula sa mga proyekto ng renewable energy ay maaaring makabili ng mga REC upang matugunan ang kanilang mga obligasyon sa pagsunod.
"&amp;"
**5. Wheeling Arrangements:**
* Ang legal na balangkas ay nagbibigay-daan para sa ""wheeling arrangements"" kung saan ang kuryenteng nabuo mula sa renewable energy plants na matatagpuan sa malalayong lugar ay maaaring maipadala sa malalayong distansya"&amp;" sa mga sentro ng populasyon. Pinapadali nito ang paggamit ng RE resources kahit na hindi sila matatagpuan malapit sa mga pangunahing load center.  
**Sa konklusyon,** ang Pilipinas ay gumagamit ng kumbinasyon ng mga legal na balangkas upang matiyak an"&amp;"g matagumpay na pagsasama ng nababagong enerhiya sa pambansang grid. Ang patakaran ng RPS ay lumilikha ng isang merkado para sa malinis na enerhiya, ang mga pag-aaral ng grid ay gumagabay sa mga kinakailangang pag-upgrade, ang mga code ng grid ay nagsisig"&amp;"uro ng maayos na operasyon, at ang mga REC (kapag ipinatupad) ay nagbibigay ng mga karagdagang mekanismo sa merkado.  Ang mga pag-aayos ng pag-ikot ay nagbibigay-daan sa mga mapagkukunang RE na nahahati sa heograpiya upang mag-ambag sa pambansang grid.  S"&amp;"a pamamagitan ng pagpapatupad ng mga balangkas na ito, nilalayon ng bansa na makamit ang isang mas napapanatiling at ligtas na hinaharap ng enerhiya.
")</f>
        <v>Nagtatag ang Pilipinas ng ilang legal na balangkas upang matiyak ang maayos na pagsasama ng renewable energy (RE) sa pambansang grid. Narito ang isang breakdown ng mga pangunahing mekanismo:
**1. Renewable Portfolio Standards (RPS) - Republic Act No. 9513 (RA 9513):**
* Ang Renewable Energy Act (RA 9513) ay nagbibigay ng kapangyarihan sa Department of Energy (DOE) na magtatag ng Renewable Portfolio Standards (RPS).  Ang mga pamantayang ito ay nag-uutos sa mga electricity distribution utilities (DUs) na kumuha ng partikular na porsyento ng kanilang suplay ng kuryente mula sa mga kwalipikadong renewable energy sources. 
* Lumilikha ang patakaran ng RPS ng garantisadong merkado para sa nababagong enerhiya sa pamamagitan ng pag-aatas sa mga DU na bumili ng malinis na enerhiya. Nagbibigay ito ng insentibo sa mga developer ng RE project na mamuhunan sa pagbuo ng bagong renewable energy capacity.
**2. Pag-aaral at Pagpaplano ng Pagsasama ng Grid - DOE at National Transmission Corporation (TransCo):**
* Ang DOE, sa pakikipagtulungan ng National Transmission Corporation (TransCo), ang operator ng Philippine power grid, ay nagsasagawa ng mga pag-aaral upang masuri ang kapasidad ng grid na pagsamahin ang tumataas na halaga ng RE. Nakakatulong ang mga pag-aaral na ito na matukoy ang mga potensyal na bottleneck ng grid at bumuo ng mga diskarte para sa modernisasyon ng grid upang matugunan ang variable na katangian ng ilang renewable energy source tulad ng solar at wind.
**3. Grid Code at Dispatch Protocols - Department of Energy (DOE):**
* Ang DOE ay nagtatatag ng mga grid code at mga dispatch protocol na namamahala sa pagpapatakbo ng power grid. Tinitiyak ng mga regulasyong ito ang ligtas, maaasahan, at mahusay na pagsasama ng mga mapagkukunan ng RE. 
* Maaaring tugunan ng mga grid code ang mga teknikal na kinakailangan para sa pagkonekta ng mga renewable energy plant sa grid, pamamahala sa mga pagbabago-bago ng kuryente mula sa mga variable na pinagmulan, at pagtiyak ng katatagan ng system.
* Itinatag ng mga protocol ng pagpapadala ang pagkakasunud-sunod kung saan tinawag ang mga power plant upang makabuo ng kuryente, na isinasaalang-alang ang mga salik tulad ng gastos, kahusayan, at real-time na mga kondisyon ng grid.  
**4. Renewable Energy Certificates (RECs) - Department of Energy (DOE):**
* Maaaring magpatupad ang DOE ng Renewable Energy Certificate (REC) scheme.  Ang mga REC ay mga nabibiling instrumento na kumakatawan sa mga benepisyong pangkapaligiran na nauugnay sa isang yunit ng kuryente na nabuo mula sa isang pinagmumulan ng nababagong enerhiya.
* Habang hindi pa ganap na ipinapatupad sa Pilipinas, ang mga REC ay maaaring magbigay ng insentibo sa pagpapaunlad ng RE sa pamamagitan ng paglikha ng isang merkado para sa mga katangiang pangkapaligiran ng malinis na enerhiya. Ang mga DU na hindi direktang pinagkukunan ang kanilang pangangailangan sa RPS mula sa mga proyekto ng renewable energy ay maaaring makabili ng mga REC upang matugunan ang kanilang mga obligasyon sa pagsunod.
**5. Wheeling Arrangements:**
* Ang legal na balangkas ay nagbibigay-daan para sa "wheeling arrangements" kung saan ang kuryenteng nabuo mula sa renewable energy plants na matatagpuan sa malalayong lugar ay maaaring maipadala sa malalayong distansya sa mga sentro ng populasyon. Pinapadali nito ang paggamit ng RE resources kahit na hindi sila matatagpuan malapit sa mga pangunahing load center.  
**Sa konklusyon,** ang Pilipinas ay gumagamit ng kumbinasyon ng mga legal na balangkas upang matiyak ang matagumpay na pagsasama ng nababagong enerhiya sa pambansang grid. Ang patakaran ng RPS ay lumilikha ng isang merkado para sa malinis na enerhiya, ang mga pag-aaral ng grid ay gumagabay sa mga kinakailangang pag-upgrade, ang mga code ng grid ay nagsisiguro ng maayos na operasyon, at ang mga REC (kapag ipinatupad) ay nagbibigay ng mga karagdagang mekanismo sa merkado.  Ang mga pag-aayos ng pag-ikot ay nagbibigay-daan sa mga mapagkukunang RE na nahahati sa heograpiya upang mag-ambag sa pambansang grid.  Sa pamamagitan ng pagpapatupad ng mga balangkas na ito, nilalayon ng bansa na makamit ang isang mas napapanatiling at ligtas na hinaharap ng enerhiya.
</v>
      </c>
      <c r="F2855" s="2">
        <f t="shared" si="1"/>
        <v>0</v>
      </c>
      <c r="G2855" s="2"/>
      <c r="H2855" s="2"/>
      <c r="I2855" s="2"/>
      <c r="J2855" s="2"/>
      <c r="K2855" s="2"/>
      <c r="L2855" s="2"/>
      <c r="M2855" s="2"/>
      <c r="N2855" s="2"/>
      <c r="O2855" s="2"/>
      <c r="P2855" s="2"/>
      <c r="Q2855" s="2"/>
      <c r="R2855" s="2"/>
      <c r="S2855" s="2"/>
      <c r="T2855" s="2"/>
      <c r="U2855" s="2"/>
      <c r="V2855" s="2"/>
      <c r="W2855" s="2"/>
      <c r="X2855" s="2"/>
      <c r="Y2855" s="2"/>
      <c r="Z2855" s="2"/>
      <c r="AA2855" s="2"/>
    </row>
    <row r="2856">
      <c r="A2856" s="3" t="s">
        <v>6661</v>
      </c>
      <c r="B2856" s="1" t="s">
        <v>6686</v>
      </c>
      <c r="C2856" s="3" t="s">
        <v>6687</v>
      </c>
      <c r="D2856" s="2" t="str">
        <f>IFERROR(__xludf.DUMMYFUNCTION("GOOGLETRANSLATE(B2856, ""en"", ""TL"")"),"Talakayin ang mga kinakailangan sa pagtatasa ng epekto sa kapaligiran para sa mga proyekto ng enerhiya sa Pilipinas.")</f>
        <v>Talakayin ang mga kinakailangan sa pagtatasa ng epekto sa kapaligiran para sa mga proyekto ng enerhiya sa Pilipinas.</v>
      </c>
      <c r="E2856" s="2" t="str">
        <f>IFERROR(__xludf.DUMMYFUNCTION("GOOGLETRANSLATE(C2856, ""en"", ""TL"")"),"Sumusunod ang Pilipinas sa isang mahigpit na proseso ng Environmental Impact Assessment (EIA) para sa mga proyekto ng enerhiya, na kinikilala ang mga potensyal na epekto sa kapaligiran ng parehong tradisyonal at renewable na pinagkukunan ng enerhiya. Nari"&amp;"to ang isang breakdown ng mga pangunahing kinakailangan:
**Pangunahing Legal na Balangkas:**
* Ang pundasyong batas ay ang **Environmental Impact Statement System Act** (Presidential Decree No. 1586), na kilala rin bilang **EIS Law**. Ang batas na i"&amp;"to ay nag-uutos na ang mga proyektong may potensyal na makabuluhang epekto sa kapaligiran ay sumailalim sa isang komprehensibong EIA bago kumuha ng mga permit.
**Ahensiya ng Pagpapatupad:**
* Ang **Department of Environment and Natural Resources (DE"&amp;"NR)**, sa pamamagitan ng Environmental Management Bureau (EMB), ang pangunahing ahensya ng gobyerno na responsable sa pangangasiwa sa proseso ng EIA para sa mga proyekto ng enerhiya.
**Mga Kategorya ng Proyekto at Mga Kinakailangan sa EIA:**
* Kinak"&amp;"ategorya ng DENR ang mga proyekto batay sa kanilang sukat, lokasyon, at potensyal na epekto sa kapaligiran. Tinutukoy ng kategoryang ito ang antas ng kinakailangan ng EIA:
    * **Kategorya A:** Ang mga proyektong may potensyal na makabuluhang masamang e"&amp;"pekto sa kapaligiran ay nangangailangan ng buong **Environmental Impact Statement (EIS)**. Ito ang pinakakomprehensibong antas ng pagtatasa, na kinasasangkutan ng mga detalyadong pag-aaral at pampublikong konsultasyon. Kasama sa mga halimbawa ang malalaki"&amp;"ng hydropower dam, geothermal na proyekto, at malakihang solar farm na may makabuluhang pagbabago sa paggamit ng lupa.
    * **Kategorya B:** Ang mga proyektong may potensyal na katamtamang epekto sa kapaligiran ay maaaring mangailangan ng **Initial Envi"&amp;"ronmental Examination (IEE)** o mas simpleng anyo ng EIA depende sa partikular na proyekto at pagpapasiya ng DENR.  Ito ay isang hindi gaanong detalyadong pagtatasa kumpara sa isang buong EIS. Kabilang sa mga halimbawa ang mas maliliit na hydropower plant"&amp;", wind farm na may kaunting epekto sa ekolohiya, at mga proyekto ng biomass na enerhiya gamit ang napapanatiling feedstock.
    * **Kategorya C:** Ang mga proyektong may kaunti o walang makabuluhang epekto sa kapaligiran ay maaaring hindi kasama sa isang"&amp;" pormal na EIA ngunit maaari pa ring mangailangan ng mga permit at clearance mula sa mga nauugnay na ahensya ng gobyerno. Kasama sa mga halimbawa ang maliliit na solar rooftop installation o menor de edad na pag-upgrade sa kasalukuyang imprastraktura ng e"&amp;"nerhiya.
**Mga Mahahalagang Yugto ng Proseso ng EIA:**
1. **Abiso ng Proyekto:** Ang tagapagtaguyod ng proyekto ay nagsusumite ng paglalarawan ng proyekto at paunang impormasyon sa kapaligiran sa DENR.
2. **Scoping:** Ang DENR, sa konsultasyon sa m"&amp;"ga stakeholder, ay tumutukoy sa mga pangunahing isyu sa kapaligiran na kailangang tugunan sa pag-aaral ng EIA.
3. **Paghahanda ng Environmental Impact Study (EIS) o Initial Environmental Examination (IEE):** Ang proponent ng proyekto ay nagsasagawa ng mg"&amp;"a pag-aaral sa kapaligiran at inihahanda ang kinakailangang ulat ng EIA (EIS o IEE) batay sa proseso ng scoping.
4. **Pampublikong Paglahok:** Ang mga pagkakataon ay ibinibigay para sa publiko na suriin ang ulat ng EIA at ipahayag ang kanilang mga alalah"&amp;"anin sa panahon ng mga pampublikong pagdinig.
5. **Pagsusuri at Pagsusuri:** Nire-review ng DENR ang ulat ng EIA at isinasaalang-alang ang mga pampublikong komento bago mag-isyu ng Environmental Compliance Certificate (ECC) o irekomenda ang pagtanggi nit"&amp;"o.
6. **Environmental Compliance Certificate (ECC):** Kung ang proyekto ay itinuturing na katanggap-tanggap sa kapaligiran na may naaangkop na mga hakbang sa pagpapagaan, ang DENR ay naglalabas ng ECC. Pinahihintulutan ng sertipiko na ito ang proyekto na"&amp;" magpatuloy sa pagtatayo at pagpapatakbo sa ilalim ng kondisyon na ang tagapagtaguyod ng proyekto ay sumusunod sa pangangalaga sa kapaligiran at plano sa pamamahala na nakabalangkas sa ulat ng EIA.
**Mga Karagdagang Pagsasaalang-alang para sa Mga Parti"&amp;"kular na Pinagmumulan ng Enerhiya:**
* Habang nalalapat ang pangkalahatang proseso ng EIA, ang mga partikular na regulasyong inilabas ng DENR ay maaaring magdagdag ng mga karagdagang kinakailangan para sa ilang partikular na mapagkukunan ng enerhiya.  "&amp;"Ang mga ito ay maaaring tumugon sa mga partikular na alalahanin sa kapaligiran na nauugnay sa:
    * Hydropower - Tumutok sa mga epekto sa daloy ng tubig, pangisdaan, at mga komunidad sa ibaba ng agos.
    * Geothermal - I-address ang wastewater disposa"&amp;"l, air emissions, at potensyal para sa induced seismicity.
    * Solar at Wind - Isaalang-alang ang mga pagbabago sa paggamit ng lupa, pagkagambala sa tirahan para sa mga ibon at paniki, at mga potensyal na epekto sa paningin.
**Sa konklusyon,** ang p"&amp;"roseso ng EIA sa Pilipinas ay gumaganap ng mahalagang papel sa pagtiyak na ang mga proyekto ng enerhiya ay binuo at pinapatakbo sa paraang responsable sa kapaligiran.  Sa pamamagitan ng pag-aatas ng komprehensibong pagtatasa ng epekto, pakikilahok ng publ"&amp;"iko, at pagsunod sa mga hakbang sa pagpapagaan, sinisikap ng Pilipinas na balansehin ang mga pangangailangan nito sa enerhiya sa pangangalaga sa kapaligiran.
")</f>
        <v>Sumusunod ang Pilipinas sa isang mahigpit na proseso ng Environmental Impact Assessment (EIA) para sa mga proyekto ng enerhiya, na kinikilala ang mga potensyal na epekto sa kapaligiran ng parehong tradisyonal at renewable na pinagkukunan ng enerhiya. Narito ang isang breakdown ng mga pangunahing kinakailangan:
**Pangunahing Legal na Balangkas:**
* Ang pundasyong batas ay ang **Environmental Impact Statement System Act** (Presidential Decree No. 1586), na kilala rin bilang **EIS Law**. Ang batas na ito ay nag-uutos na ang mga proyektong may potensyal na makabuluhang epekto sa kapaligiran ay sumailalim sa isang komprehensibong EIA bago kumuha ng mga permit.
**Ahensiya ng Pagpapatupad:**
* Ang **Department of Environment and Natural Resources (DENR)**, sa pamamagitan ng Environmental Management Bureau (EMB), ang pangunahing ahensya ng gobyerno na responsable sa pangangasiwa sa proseso ng EIA para sa mga proyekto ng enerhiya.
**Mga Kategorya ng Proyekto at Mga Kinakailangan sa EIA:**
* Kinakategorya ng DENR ang mga proyekto batay sa kanilang sukat, lokasyon, at potensyal na epekto sa kapaligiran. Tinutukoy ng kategoryang ito ang antas ng kinakailangan ng EIA:
    * **Kategorya A:** Ang mga proyektong may potensyal na makabuluhang masamang epekto sa kapaligiran ay nangangailangan ng buong **Environmental Impact Statement (EIS)**. Ito ang pinakakomprehensibong antas ng pagtatasa, na kinasasangkutan ng mga detalyadong pag-aaral at pampublikong konsultasyon. Kasama sa mga halimbawa ang malalaking hydropower dam, geothermal na proyekto, at malakihang solar farm na may makabuluhang pagbabago sa paggamit ng lupa.
    * **Kategorya B:** Ang mga proyektong may potensyal na katamtamang epekto sa kapaligiran ay maaaring mangailangan ng **Initial Environmental Examination (IEE)** o mas simpleng anyo ng EIA depende sa partikular na proyekto at pagpapasiya ng DENR.  Ito ay isang hindi gaanong detalyadong pagtatasa kumpara sa isang buong EIS. Kabilang sa mga halimbawa ang mas maliliit na hydropower plant, wind farm na may kaunting epekto sa ekolohiya, at mga proyekto ng biomass na enerhiya gamit ang napapanatiling feedstock.
    * **Kategorya C:** Ang mga proyektong may kaunti o walang makabuluhang epekto sa kapaligiran ay maaaring hindi kasama sa isang pormal na EIA ngunit maaari pa ring mangailangan ng mga permit at clearance mula sa mga nauugnay na ahensya ng gobyerno. Kasama sa mga halimbawa ang maliliit na solar rooftop installation o menor de edad na pag-upgrade sa kasalukuyang imprastraktura ng enerhiya.
**Mga Mahahalagang Yugto ng Proseso ng EIA:**
1. **Abiso ng Proyekto:** Ang tagapagtaguyod ng proyekto ay nagsusumite ng paglalarawan ng proyekto at paunang impormasyon sa kapaligiran sa DENR.
2. **Scoping:** Ang DENR, sa konsultasyon sa mga stakeholder, ay tumutukoy sa mga pangunahing isyu sa kapaligiran na kailangang tugunan sa pag-aaral ng EIA.
3. **Paghahanda ng Environmental Impact Study (EIS) o Initial Environmental Examination (IEE):** Ang proponent ng proyekto ay nagsasagawa ng mga pag-aaral sa kapaligiran at inihahanda ang kinakailangang ulat ng EIA (EIS o IEE) batay sa proseso ng scoping.
4. **Pampublikong Paglahok:** Ang mga pagkakataon ay ibinibigay para sa publiko na suriin ang ulat ng EIA at ipahayag ang kanilang mga alalahanin sa panahon ng mga pampublikong pagdinig.
5. **Pagsusuri at Pagsusuri:** Nire-review ng DENR ang ulat ng EIA at isinasaalang-alang ang mga pampublikong komento bago mag-isyu ng Environmental Compliance Certificate (ECC) o irekomenda ang pagtanggi nito.
6. **Environmental Compliance Certificate (ECC):** Kung ang proyekto ay itinuturing na katanggap-tanggap sa kapaligiran na may naaangkop na mga hakbang sa pagpapagaan, ang DENR ay naglalabas ng ECC. Pinahihintulutan ng sertipiko na ito ang proyekto na magpatuloy sa pagtatayo at pagpapatakbo sa ilalim ng kondisyon na ang tagapagtaguyod ng proyekto ay sumusunod sa pangangalaga sa kapaligiran at plano sa pamamahala na nakabalangkas sa ulat ng EIA.
**Mga Karagdagang Pagsasaalang-alang para sa Mga Partikular na Pinagmumulan ng Enerhiya:**
* Habang nalalapat ang pangkalahatang proseso ng EIA, ang mga partikular na regulasyong inilabas ng DENR ay maaaring magdagdag ng mga karagdagang kinakailangan para sa ilang partikular na mapagkukunan ng enerhiya.  Ang mga ito ay maaaring tumugon sa mga partikular na alalahanin sa kapaligiran na nauugnay sa:
    * Hydropower - Tumutok sa mga epekto sa daloy ng tubig, pangisdaan, at mga komunidad sa ibaba ng agos.
    * Geothermal - I-address ang wastewater disposal, air emissions, at potensyal para sa induced seismicity.
    * Solar at Wind - Isaalang-alang ang mga pagbabago sa paggamit ng lupa, pagkagambala sa tirahan para sa mga ibon at paniki, at mga potensyal na epekto sa paningin.
**Sa konklusyon,** ang proseso ng EIA sa Pilipinas ay gumaganap ng mahalagang papel sa pagtiyak na ang mga proyekto ng enerhiya ay binuo at pinapatakbo sa paraang responsable sa kapaligiran.  Sa pamamagitan ng pag-aatas ng komprehensibong pagtatasa ng epekto, pakikilahok ng publiko, at pagsunod sa mga hakbang sa pagpapagaan, sinisikap ng Pilipinas na balansehin ang mga pangangailangan nito sa enerhiya sa pangangalaga sa kapaligiran.
</v>
      </c>
      <c r="F2856" s="2">
        <f t="shared" si="1"/>
        <v>0</v>
      </c>
      <c r="G2856" s="2"/>
      <c r="H2856" s="2"/>
      <c r="I2856" s="2"/>
      <c r="J2856" s="2"/>
      <c r="K2856" s="2"/>
      <c r="L2856" s="2"/>
      <c r="M2856" s="2"/>
      <c r="N2856" s="2"/>
      <c r="O2856" s="2"/>
      <c r="P2856" s="2"/>
      <c r="Q2856" s="2"/>
      <c r="R2856" s="2"/>
      <c r="S2856" s="2"/>
      <c r="T2856" s="2"/>
      <c r="U2856" s="2"/>
      <c r="V2856" s="2"/>
      <c r="W2856" s="2"/>
      <c r="X2856" s="2"/>
      <c r="Y2856" s="2"/>
      <c r="Z2856" s="2"/>
      <c r="AA2856" s="2"/>
    </row>
    <row r="2857">
      <c r="A2857" s="3" t="s">
        <v>6661</v>
      </c>
      <c r="B2857" s="1" t="s">
        <v>6688</v>
      </c>
      <c r="C2857" s="3" t="s">
        <v>6689</v>
      </c>
      <c r="D2857" s="2" t="str">
        <f>IFERROR(__xludf.DUMMYFUNCTION("GOOGLETRANSLATE(B2857, ""en"", ""TL"")"),"Paano isinusulong ng Pilipinas ang paggamit ng malinis at napapanatiling panggatong sa transportasyon?")</f>
        <v>Paano isinusulong ng Pilipinas ang paggamit ng malinis at napapanatiling panggatong sa transportasyon?</v>
      </c>
      <c r="E2857" s="2" t="str">
        <f>IFERROR(__xludf.DUMMYFUNCTION("GOOGLETRANSLATE(C2857, ""en"", ""TL"")"),"Ang Pilipinas ay nagpapatupad ng isang multi-pronged na diskarte upang itaguyod ang malinis at napapanatiling mga gasolina sa transportasyon, na naglalayong bawasan ang pag-asa sa mga fossil fuel at polusyon sa hangin. Narito ang isang breakdown ng mga pa"&amp;"ngunahing diskarte:
**1. Biofuels Act (RA 8479):**
* Ang batas na ito ay nagtatatag ng isang balangkas para sa pagbuo, produksyon, at paggamit ng mga biofuels. Nag-uutos ito ng **Biofuels Blend Mandate** na nangangailangan ng pinakamababang porsyent"&amp;"o ng biofuels na ihalo sa gasolina at diesel. Lumilikha ito ng garantisadong merkado para sa bioethanol at biodiesel, na nagbibigay-insentibo sa kanilang produksyon.
* Ang kasalukuyang mandato ng timpla ay nangangailangan ng minimum na 10% bioethanol (E1"&amp;"0) para sa gasolina at 5% biodiesel (B5) para sa diesel. Maaaring isaayos ng gobyerno ang mga porsyentong ito batay sa mga salik tulad ng pagkakaroon ng biofuel at mga pagsasaalang-alang sa ekonomiya.
**2. Alternatibong Fuels and Vehicles Program (AFVL"&amp;"P):**
* Ang Department of Energy (DOE), sa pakikipagtulungan ng iba pang ahensya ng gobyerno, ay nangunguna sa Alternative Fuels and Vehicles Program (AFVLP). Ang programang ito ay nag-aalok ng iba't ibang mga insentibo upang hikayatin ang paggamit ng "&amp;"mga alternatibong sasakyang panggatong at imprastraktura. Maaaring kabilang sa mga insentibo ang:
    * **Mga insentibo sa pananalapi:** Binawasan ang mga excise tax at mga tungkulin sa pag-import sa mga malinis na sasakyan tulad ng mga electric vehicle "&amp;"(EVs) at hybrid electric vehicle (HEVs).
    * **Mga non-fiscal na insentibo:** Naka-streamline na mga proseso ng pagpaparehistro, nakalaang mga puwang ng paradahan, at exemption mula sa mga scheme ng coding ng sasakyan para sa mga malinis na sasakyan.
"&amp;"    * **Suporta para sa pagpapaunlad ng imprastraktura:** Mga gawad at subsidyo para sa pagtatatag ng mga istasyon ng pagsingil para sa mga EV at mga istasyon ng paglalagay ng gasolina para sa mga alternatibong gasolina.
**3. Public Utility Vehicle Mod"&amp;"ernization Program (PUVMP):**
* Layunin ng PUVMP na gawing moderno ang sistema ng pampublikong transportasyon sa pamamagitan ng pag-phase out ng mga luma at maruming jeepney (public utility vehicles). Itinataguyod ng programa ang paggamit ng mas malini"&amp;"s at mas mahusay na mga alternatibo tulad ng:
    * **Euro-4 standard diesel jeepneys:** Ang mga mas bagong modelong ito ay may mas mahigpit na emission standards kumpara sa mga mas lumang jeepney.
    * **Mga de-koryenteng jeepney (e-jeepney):** Ang mg"&amp;"a zero-emission na sasakyang ito ay makabuluhang binabawasan ang mga emisyon ng tailpipe at nakakatulong sa mas malinis na kalidad ng hangin.
    * **Hybrid electric jeepney (HEV jeepneys):** Pinagsasama ng mga ito ang isang de-koryenteng motor sa isang "&amp;"makina ng gasolina, na nag-aalok ng pinabuting tipid sa gasolina at mas mababang emisyon kumpara sa mga tradisyonal na jeepney.
**4. Pananaliksik at Pagpapaunlad (R&amp;D):**
* Sinusuportahan ng gobyerno ang mga pagsisikap sa pagsasaliksik at pagpapaunl"&amp;"ad para sa mga advanced na biofuels at alternatibong teknolohiya ng gasolina. Kabilang dito ang paggalugad ng mga opsyon tulad ng pangalawang henerasyong biofuel na hinango mula sa mga mapagkukunang hindi pagkain at teknolohiya ng hydrogen fuel cell.
*"&amp;"*5. Mga Kampanya sa Pampublikong Kamalayan:**
* Ang gobyerno at mga grupo ng adbokasiya ay nagsasagawa ng mga kampanya sa kamalayan sa publiko upang turuan ang mga Pilipino tungkol sa mga benepisyo ng malinis na gasolina sa transportasyon.  Ang mga kam"&amp;"panyang ito ay naglalayong:
    * Ipaalam sa publiko ang tungkol sa kapaligiran at kalusugan na mga pakinabang ng malinis na panggatong.
    * Isulong ang mga benepisyo sa ekonomiya ng paggamit ng mas malinis at mas mahusay na mga sasakyan.
    * Tugun"&amp;"an ang mga potensyal na alalahanin tungkol sa gastos o pagkakaroon ng malinis na gasolina at malinis na sasakyan.
**Mga Hamon at Pagsasaalang-alang:**
* **Sustainability ng Biofuel:** Nananatiling isang hamon ang pagtiyak na ang produksyon ng biofue"&amp;"l ay sustainable at hindi humahantong sa deforestation o kompetisyon sa produksyon ng pagkain.
* **Cost Competitiveness:** Ang mga malinis na sasakyan at alternatibong gasolina ay maaaring minsan ay mas mahal kaysa sa tradisyonal na mga opsyon.  Ang mga "&amp;"insentibo ng gobyerno at ang pagbagsak ng mga gastos sa baterya para sa mga EV ay nakakatulong na matugunan ang agwat na ito.
* **Infrastructure Development:** Ang pagpapalawak ng network ng mga charging station para sa mga EV at refueling station para s"&amp;"a mga alternatibong gasolina ay mahalaga para sa mas malawak na paggamit.
**Sa konklusyon,** ang Pilipinas ay aktibong nagpo-promote ng malinis at napapanatiling mga gasolina sa transportasyon sa pamamagitan ng kumbinasyon ng mga patakaran, insentibo, "&amp;"at pagpapaunlad ng imprastraktura.  Ang Biofuels Act, AFVLP, PUVMP, at R&amp;D na mga hakbangin ay nagpapakita ng pangako ng pamahalaan sa isang mas malinis at mas napapanatiling sektor ng transportasyon. Ang pagtagumpayan sa mga hamon sa pagiging mapagkumpit"&amp;"ensya sa gastos at pagtiyak sa pagpapanatili ng biofuel ay nangangailangan ng patuloy na pagsisikap, ngunit ang Pilipinas ay gumagawa ng mga hakbang tungo sa isang mas berdeng hinaharap na transportasyon. ")</f>
        <v>Ang Pilipinas ay nagpapatupad ng isang multi-pronged na diskarte upang itaguyod ang malinis at napapanatiling mga gasolina sa transportasyon, na naglalayong bawasan ang pag-asa sa mga fossil fuel at polusyon sa hangin. Narito ang isang breakdown ng mga pangunahing diskarte:
**1. Biofuels Act (RA 8479):**
* Ang batas na ito ay nagtatatag ng isang balangkas para sa pagbuo, produksyon, at paggamit ng mga biofuels. Nag-uutos ito ng **Biofuels Blend Mandate** na nangangailangan ng pinakamababang porsyento ng biofuels na ihalo sa gasolina at diesel. Lumilikha ito ng garantisadong merkado para sa bioethanol at biodiesel, na nagbibigay-insentibo sa kanilang produksyon.
* Ang kasalukuyang mandato ng timpla ay nangangailangan ng minimum na 10% bioethanol (E10) para sa gasolina at 5% biodiesel (B5) para sa diesel. Maaaring isaayos ng gobyerno ang mga porsyentong ito batay sa mga salik tulad ng pagkakaroon ng biofuel at mga pagsasaalang-alang sa ekonomiya.
**2. Alternatibong Fuels and Vehicles Program (AFVLP):**
* Ang Department of Energy (DOE), sa pakikipagtulungan ng iba pang ahensya ng gobyerno, ay nangunguna sa Alternative Fuels and Vehicles Program (AFVLP). Ang programang ito ay nag-aalok ng iba't ibang mga insentibo upang hikayatin ang paggamit ng mga alternatibong sasakyang panggatong at imprastraktura. Maaaring kabilang sa mga insentibo ang:
    * **Mga insentibo sa pananalapi:** Binawasan ang mga excise tax at mga tungkulin sa pag-import sa mga malinis na sasakyan tulad ng mga electric vehicle (EVs) at hybrid electric vehicle (HEVs).
    * **Mga non-fiscal na insentibo:** Naka-streamline na mga proseso ng pagpaparehistro, nakalaang mga puwang ng paradahan, at exemption mula sa mga scheme ng coding ng sasakyan para sa mga malinis na sasakyan.
    * **Suporta para sa pagpapaunlad ng imprastraktura:** Mga gawad at subsidyo para sa pagtatatag ng mga istasyon ng pagsingil para sa mga EV at mga istasyon ng paglalagay ng gasolina para sa mga alternatibong gasolina.
**3. Public Utility Vehicle Modernization Program (PUVMP):**
* Layunin ng PUVMP na gawing moderno ang sistema ng pampublikong transportasyon sa pamamagitan ng pag-phase out ng mga luma at maruming jeepney (public utility vehicles). Itinataguyod ng programa ang paggamit ng mas malinis at mas mahusay na mga alternatibo tulad ng:
    * **Euro-4 standard diesel jeepneys:** Ang mga mas bagong modelong ito ay may mas mahigpit na emission standards kumpara sa mga mas lumang jeepney.
    * **Mga de-koryenteng jeepney (e-jeepney):** Ang mga zero-emission na sasakyang ito ay makabuluhang binabawasan ang mga emisyon ng tailpipe at nakakatulong sa mas malinis na kalidad ng hangin.
    * **Hybrid electric jeepney (HEV jeepneys):** Pinagsasama ng mga ito ang isang de-koryenteng motor sa isang makina ng gasolina, na nag-aalok ng pinabuting tipid sa gasolina at mas mababang emisyon kumpara sa mga tradisyonal na jeepney.
**4. Pananaliksik at Pagpapaunlad (R&amp;D):**
* Sinusuportahan ng gobyerno ang mga pagsisikap sa pagsasaliksik at pagpapaunlad para sa mga advanced na biofuels at alternatibong teknolohiya ng gasolina. Kabilang dito ang paggalugad ng mga opsyon tulad ng pangalawang henerasyong biofuel na hinango mula sa mga mapagkukunang hindi pagkain at teknolohiya ng hydrogen fuel cell.
**5. Mga Kampanya sa Pampublikong Kamalayan:**
* Ang gobyerno at mga grupo ng adbokasiya ay nagsasagawa ng mga kampanya sa kamalayan sa publiko upang turuan ang mga Pilipino tungkol sa mga benepisyo ng malinis na gasolina sa transportasyon.  Ang mga kampanyang ito ay naglalayong:
    * Ipaalam sa publiko ang tungkol sa kapaligiran at kalusugan na mga pakinabang ng malinis na panggatong.
    * Isulong ang mga benepisyo sa ekonomiya ng paggamit ng mas malinis at mas mahusay na mga sasakyan.
    * Tugunan ang mga potensyal na alalahanin tungkol sa gastos o pagkakaroon ng malinis na gasolina at malinis na sasakyan.
**Mga Hamon at Pagsasaalang-alang:**
* **Sustainability ng Biofuel:** Nananatiling isang hamon ang pagtiyak na ang produksyon ng biofuel ay sustainable at hindi humahantong sa deforestation o kompetisyon sa produksyon ng pagkain.
* **Cost Competitiveness:** Ang mga malinis na sasakyan at alternatibong gasolina ay maaaring minsan ay mas mahal kaysa sa tradisyonal na mga opsyon.  Ang mga insentibo ng gobyerno at ang pagbagsak ng mga gastos sa baterya para sa mga EV ay nakakatulong na matugunan ang agwat na ito.
* **Infrastructure Development:** Ang pagpapalawak ng network ng mga charging station para sa mga EV at refueling station para sa mga alternatibong gasolina ay mahalaga para sa mas malawak na paggamit.
**Sa konklusyon,** ang Pilipinas ay aktibong nagpo-promote ng malinis at napapanatiling mga gasolina sa transportasyon sa pamamagitan ng kumbinasyon ng mga patakaran, insentibo, at pagpapaunlad ng imprastraktura.  Ang Biofuels Act, AFVLP, PUVMP, at R&amp;D na mga hakbangin ay nagpapakita ng pangako ng pamahalaan sa isang mas malinis at mas napapanatiling sektor ng transportasyon. Ang pagtagumpayan sa mga hamon sa pagiging mapagkumpitensya sa gastos at pagtiyak sa pagpapanatili ng biofuel ay nangangailangan ng patuloy na pagsisikap, ngunit ang Pilipinas ay gumagawa ng mga hakbang tungo sa isang mas berdeng hinaharap na transportasyon. </v>
      </c>
      <c r="F2857" s="2">
        <f t="shared" si="1"/>
        <v>0</v>
      </c>
      <c r="G2857" s="2"/>
      <c r="H2857" s="2"/>
      <c r="I2857" s="2"/>
      <c r="J2857" s="2"/>
      <c r="K2857" s="2"/>
      <c r="L2857" s="2"/>
      <c r="M2857" s="2"/>
      <c r="N2857" s="2"/>
      <c r="O2857" s="2"/>
      <c r="P2857" s="2"/>
      <c r="Q2857" s="2"/>
      <c r="R2857" s="2"/>
      <c r="S2857" s="2"/>
      <c r="T2857" s="2"/>
      <c r="U2857" s="2"/>
      <c r="V2857" s="2"/>
      <c r="W2857" s="2"/>
      <c r="X2857" s="2"/>
      <c r="Y2857" s="2"/>
      <c r="Z2857" s="2"/>
      <c r="AA2857" s="2"/>
    </row>
    <row r="2858">
      <c r="A2858" s="3" t="s">
        <v>6661</v>
      </c>
      <c r="B2858" s="1" t="s">
        <v>6690</v>
      </c>
      <c r="C2858" s="3" t="s">
        <v>6691</v>
      </c>
      <c r="D2858" s="2" t="str">
        <f>IFERROR(__xludf.DUMMYFUNCTION("GOOGLETRANSLATE(B2858, ""en"", ""TL"")"),"Ipaliwanag ang patakaran sa net metering at ang kahalagahan nito para sa pagpapanatili ng enerhiya.")</f>
        <v>Ipaliwanag ang patakaran sa net metering at ang kahalagahan nito para sa pagpapanatili ng enerhiya.</v>
      </c>
      <c r="E2858" s="2" t="str">
        <f>IFERROR(__xludf.DUMMYFUNCTION("GOOGLETRANSLATE(C2858, ""en"", ""TL"")"),"Ang net metering ay isang mekanismo ng patakaran na idinisenyo upang bigyan ng insentibo ang paggamit ng distributed renewable energy generation, partikular na ang solar power. Narito kung paano ito gumagana at ang papel nito sa pagtataguyod ng pagpapanat"&amp;"ili ng enerhiya:
**Paano Gumagana ang Net Metering:**
1. **Pag-install ng Solar Panel:** Ang isang customer ay nag-install ng solar photovoltaic (PV) system sa kanilang ari-arian upang makabuo ng kuryente.
2. **Bi-Directional Meter:** Isang espesya"&amp;"l na bi-directional meter ang naka-install upang subaybayan ang parehong kuryenteng nakonsumo mula sa grid at ang sobrang kuryente na na-export pabalik sa grid ng mga solar panel.
3. **Pagkonsumo at Pagbuo ng Enerhiya:** Ginagamit ng customer ang solar e"&amp;"nergy na nabuo sa araw. Kapag hindi sapat ang solar generation, kumukuha sila ng kuryente mula sa grid.
4. **Net Metering Billing:** Sa pagtatapos ng panahon ng pagsingil, ang netong pagkakaiba sa pagitan ng kuryenteng nakonsumo mula sa grid at ang sobra"&amp;"ng kuryente na na-export pabalik sa grid ay ginagamit para sa pagsingil.
    * Kung ang kostumer ay gumagawa ng mas maraming kuryente kaysa sa kanilang nakonsumo (net generation), sila ay tumatanggap ng mga kredito sa kanilang singil sa kuryente para sa "&amp;"labis na kuryente na na-export.
    * Kung ang customer ay kumonsumo ng mas maraming kuryente kaysa sa kanilang nagagawa (net consumption), sila ay sisingilin para sa netong halaga na ginamit mula sa grid, na binawasan ang anumang mga kredito na nakuha m"&amp;"ula sa mga nakaraang surplus.
**Kahalagahan para sa Pagpapanatili ng Enerhiya:**
Nag-aalok ang net metering ng ilang benepisyo na nakakatulong sa pagpapanatili ng enerhiya:
* **Pagtaas ng Renewable Energy Generation:** Sa pamamagitan ng pagbibiga"&amp;"y-insentibo sa mga solar installation, ang net metering ay nagtataguyod ng paglaki ng distributed renewable energy sources. Binabawasan nito ang pag-asa sa mga planta ng kuryente na nakabatay sa fossil fuel at nag-aambag sa isang mas malinis na halo ng en"&amp;"erhiya.
* **Mga Pinababang Greenhouse Gas Emissions:** Habang mas maraming solar energy ang nabubuo at ginagamit, ang pangkalahatang greenhouse gas emissions mula sa power sector ay bumababa. Nakakatulong ito na mabawasan ang pagbabago ng klima.
* **Red"&amp;"uced Peak Demand:** Ang pagbuo ng solar energy ay karaniwang tumataas sa araw, na kasabay ng pinakamataas na panahon ng pangangailangan sa kuryente. Makakatulong ito na mabawasan ang strain sa grid sa mga peak hours.
* **Pagtaas ng Kalayaan sa Enerhiya:*"&amp;"* Ang mga tahanan at negosyong may mga solar panel ay nagiging hindi gaanong umaasa sa tradisyunal na grid para sa kanilang mga pangangailangan sa kuryente, na nagpapaunlad ng isang mas desentralisado at nababanat na sistema ng enerhiya.
* **Pagtitipid s"&amp;"a Gastos para sa Mga Consumer:** Ang net metering ay nagbibigay-daan sa mga consumer na i-offset ang kanilang mga singil sa kuryente gamit ang mga credit na nakuha mula sa sobrang solar generation. Maaari itong humantong sa makabuluhang pagtitipid sa gast"&amp;"os sa paglipas ng panahon.
**Potensyal na Hamon:**
* **Halaga ng Pag-install ng Solar Panel:** Ang paunang halaga ng pag-install ng solar PV system ay maaaring maging hadlang para sa ilang mga mamimili. Gayunpaman, ang mga insentibo ng gobyerno at a"&amp;"ng pagbagsak ng mga presyo ng solar panel ay ginagawang mas madaling naa-access ang solar.
* **Mga Limitadong Benepisyo sa Net Metering para sa Mga User na Mataas ang Enerhiya:** Ang mga benepisyo ng net metering ay pinalaki para sa mga customer na makak"&amp;"abuo ng sapat na solar energy upang mabawi ang kanilang pagkonsumo.  Ang mga gumagamit na may mataas na enerhiya ay maaaring hindi makakita ng makabuluhang pagtitipid sa gastos.
* **Mga Alalahanin sa Pamamahala ng Grid:** Ang isang malaking bilang ng mga"&amp;" distributed solar generator ay maaaring potensyal na magdulot ng mga hamon para sa katatagan ng grid.  Maaaring kailanganin ng mga utility na magpatupad ng mga hakbang upang pamahalaan ang pasulput-sulpot na katangian ng pagbuo ng solar energy.
**Sa p"&amp;"angkalahatan, ang net metering ay isang mahalagang tool sa patakaran para sa pagtataguyod ng pagpapanatili ng enerhiya. Sa pamamagitan ng pagbibigay-insentibo sa pag-aampon ng nababagong enerhiya at paghikayat sa pagtitipid ng enerhiya, nagbibigay ito ng "&amp;"daan para sa isang mas malinis at mas desentralisadong hinaharap ng enerhiya. Gayunpaman, ang pagtugon sa mga hadlang sa gastos at pagtiyak sa katatagan ng grid ay mahahalagang pagsasaalang-alang para sa pag-maximize ng mga benepisyo ng net metering.** ")</f>
        <v>Ang net metering ay isang mekanismo ng patakaran na idinisenyo upang bigyan ng insentibo ang paggamit ng distributed renewable energy generation, partikular na ang solar power. Narito kung paano ito gumagana at ang papel nito sa pagtataguyod ng pagpapanatili ng enerhiya:
**Paano Gumagana ang Net Metering:**
1. **Pag-install ng Solar Panel:** Ang isang customer ay nag-install ng solar photovoltaic (PV) system sa kanilang ari-arian upang makabuo ng kuryente.
2. **Bi-Directional Meter:** Isang espesyal na bi-directional meter ang naka-install upang subaybayan ang parehong kuryenteng nakonsumo mula sa grid at ang sobrang kuryente na na-export pabalik sa grid ng mga solar panel.
3. **Pagkonsumo at Pagbuo ng Enerhiya:** Ginagamit ng customer ang solar energy na nabuo sa araw. Kapag hindi sapat ang solar generation, kumukuha sila ng kuryente mula sa grid.
4. **Net Metering Billing:** Sa pagtatapos ng panahon ng pagsingil, ang netong pagkakaiba sa pagitan ng kuryenteng nakonsumo mula sa grid at ang sobrang kuryente na na-export pabalik sa grid ay ginagamit para sa pagsingil.
    * Kung ang kostumer ay gumagawa ng mas maraming kuryente kaysa sa kanilang nakonsumo (net generation), sila ay tumatanggap ng mga kredito sa kanilang singil sa kuryente para sa labis na kuryente na na-export.
    * Kung ang customer ay kumonsumo ng mas maraming kuryente kaysa sa kanilang nagagawa (net consumption), sila ay sisingilin para sa netong halaga na ginamit mula sa grid, na binawasan ang anumang mga kredito na nakuha mula sa mga nakaraang surplus.
**Kahalagahan para sa Pagpapanatili ng Enerhiya:**
Nag-aalok ang net metering ng ilang benepisyo na nakakatulong sa pagpapanatili ng enerhiya:
* **Pagtaas ng Renewable Energy Generation:** Sa pamamagitan ng pagbibigay-insentibo sa mga solar installation, ang net metering ay nagtataguyod ng paglaki ng distributed renewable energy sources. Binabawasan nito ang pag-asa sa mga planta ng kuryente na nakabatay sa fossil fuel at nag-aambag sa isang mas malinis na halo ng enerhiya.
* **Mga Pinababang Greenhouse Gas Emissions:** Habang mas maraming solar energy ang nabubuo at ginagamit, ang pangkalahatang greenhouse gas emissions mula sa power sector ay bumababa. Nakakatulong ito na mabawasan ang pagbabago ng klima.
* **Reduced Peak Demand:** Ang pagbuo ng solar energy ay karaniwang tumataas sa araw, na kasabay ng pinakamataas na panahon ng pangangailangan sa kuryente. Makakatulong ito na mabawasan ang strain sa grid sa mga peak hours.
* **Pagtaas ng Kalayaan sa Enerhiya:** Ang mga tahanan at negosyong may mga solar panel ay nagiging hindi gaanong umaasa sa tradisyunal na grid para sa kanilang mga pangangailangan sa kuryente, na nagpapaunlad ng isang mas desentralisado at nababanat na sistema ng enerhiya.
* **Pagtitipid sa Gastos para sa Mga Consumer:** Ang net metering ay nagbibigay-daan sa mga consumer na i-offset ang kanilang mga singil sa kuryente gamit ang mga credit na nakuha mula sa sobrang solar generation. Maaari itong humantong sa makabuluhang pagtitipid sa gastos sa paglipas ng panahon.
**Potensyal na Hamon:**
* **Halaga ng Pag-install ng Solar Panel:** Ang paunang halaga ng pag-install ng solar PV system ay maaaring maging hadlang para sa ilang mga mamimili. Gayunpaman, ang mga insentibo ng gobyerno at ang pagbagsak ng mga presyo ng solar panel ay ginagawang mas madaling naa-access ang solar.
* **Mga Limitadong Benepisyo sa Net Metering para sa Mga User na Mataas ang Enerhiya:** Ang mga benepisyo ng net metering ay pinalaki para sa mga customer na makakabuo ng sapat na solar energy upang mabawi ang kanilang pagkonsumo.  Ang mga gumagamit na may mataas na enerhiya ay maaaring hindi makakita ng makabuluhang pagtitipid sa gastos.
* **Mga Alalahanin sa Pamamahala ng Grid:** Ang isang malaking bilang ng mga distributed solar generator ay maaaring potensyal na magdulot ng mga hamon para sa katatagan ng grid.  Maaaring kailanganin ng mga utility na magpatupad ng mga hakbang upang pamahalaan ang pasulput-sulpot na katangian ng pagbuo ng solar energy.
**Sa pangkalahatan, ang net metering ay isang mahalagang tool sa patakaran para sa pagtataguyod ng pagpapanatili ng enerhiya. Sa pamamagitan ng pagbibigay-insentibo sa pag-aampon ng nababagong enerhiya at paghikayat sa pagtitipid ng enerhiya, nagbibigay ito ng daan para sa isang mas malinis at mas desentralisadong hinaharap ng enerhiya. Gayunpaman, ang pagtugon sa mga hadlang sa gastos at pagtiyak sa katatagan ng grid ay mahahalagang pagsasaalang-alang para sa pag-maximize ng mga benepisyo ng net metering.** </v>
      </c>
      <c r="F2858" s="2">
        <f t="shared" si="1"/>
        <v>0</v>
      </c>
      <c r="G2858" s="2"/>
      <c r="H2858" s="2"/>
      <c r="I2858" s="2"/>
      <c r="J2858" s="2"/>
      <c r="K2858" s="2"/>
      <c r="L2858" s="2"/>
      <c r="M2858" s="2"/>
      <c r="N2858" s="2"/>
      <c r="O2858" s="2"/>
      <c r="P2858" s="2"/>
      <c r="Q2858" s="2"/>
      <c r="R2858" s="2"/>
      <c r="S2858" s="2"/>
      <c r="T2858" s="2"/>
      <c r="U2858" s="2"/>
      <c r="V2858" s="2"/>
      <c r="W2858" s="2"/>
      <c r="X2858" s="2"/>
      <c r="Y2858" s="2"/>
      <c r="Z2858" s="2"/>
      <c r="AA2858" s="2"/>
    </row>
    <row r="2859">
      <c r="A2859" s="3" t="s">
        <v>6661</v>
      </c>
      <c r="B2859" s="1" t="s">
        <v>6692</v>
      </c>
      <c r="C2859" s="3" t="s">
        <v>6693</v>
      </c>
      <c r="D2859" s="2" t="str">
        <f>IFERROR(__xludf.DUMMYFUNCTION("GOOGLETRANSLATE(B2859, ""en"", ""TL"")"),"Ano ang mga legal na probisyon para sa pagtatatag ng mga kooperatiba ng enerhiya sa Pilipinas?")</f>
        <v>Ano ang mga legal na probisyon para sa pagtatatag ng mga kooperatiba ng enerhiya sa Pilipinas?</v>
      </c>
      <c r="E2859" s="2" t="str">
        <f>IFERROR(__xludf.DUMMYFUNCTION("GOOGLETRANSLATE(C2859, ""en"", ""TL"")"),"Ang pagtatatag ng mga kooperatiba ng enerhiya sa Pilipinas ay pangunahing pinamamahalaan ng dalawang pangunahing bahagi ng batas:
1. **Republic Act No. 9520 (Philippine Cooperative Code of 2008):**
   Itinatag ng Batas na ito ang pangkalahatang bala"&amp;"ngkas para sa mga kooperatiba sa Pilipinas, kabilang ang mga kooperatiba sa enerhiya. Tinutukoy nito ang mga prinsipyo, uri, organisasyon, at operasyon ng mga kooperatiba. Narito ang ilang mahahalagang probisyon na may kaugnayan sa mga kooperatiba ng ener"&amp;"hiya:
    * **Deklarasyon ng Patakaran:** Itinataguyod ng Batas ang paglikha at paglago ng mga kooperatiba, kabilang ang mga sangkot sa paggawa at pamamahagi ng enerhiya.
    * **Mga Uri ng Kooperatiba:** Kinikilala ng Batas ang iba't ibang uri ng koo"&amp;"peratiba, at ang mga kooperatiba ng enerhiya ay karaniwang nasa ilalim ng kategorya ng ""mga kooperatiba ng producer"" o ""mga kooperatiba ng serbisyo.""
    * **Pagmimiyembro:** Tinutukoy ng Batas ang mga kinakailangan para sa pagiging miyembro sa mga k"&amp;"ooperatiba, kabilang ang pinakamababang edad, paninirahan, at mga kwalipikasyon ng karakter.
    * **Mga Kinakailangan sa Organisasyon:** Binabalangkas ng Batas ang proseso para sa pag-oorganisa ng isang kooperatiba, kabilang ang paghahanda ng Mga Artiku"&amp;"lo ng Kooperasyon at By-Laws. Tinutukoy ng mga dokumentong ito ang layunin, istruktura, pamamahala, at mga karapatan at obligasyon ng pagiging kasapi ng kooperatiba.
    * **Pagpaparehistro:** Ang Batas ay nag-uutos ng pagpaparehistro ng mga kooperatiba "&amp;"sa Cooperative Development Authority (CDA), ang ahensya ng gobyerno na responsable sa pangangasiwa sa sektor ng kooperatiba.
2. **Presidential Decree No. 269 (Cooperative Non-Stock, Non-Profit Membership Corporations na Nakikibahagi sa Supply ng Electr"&amp;"ic Light and Power):**
   Ang kautusang ito, habang mas matanda kaysa sa Philippine Cooperative Code, ay nananatiling may kaugnayan sa pagtatatag ng mga kooperatiba ng enerhiya. Nagbibigay ito ng mga tiyak na regulasyon para sa mga kooperatiba na kasan"&amp;"gkot sa pagbibigay at pagtataguyod ng kuryente. Kabilang sa mga pangunahing probisyon ang:
    * **Layunin:** Nakatuon ang dekreto sa pagbuo at pagpapatakbo ng mga kooperatiba para sa pagbibigay ng kuryente sa mga miyembro at pagtataguyod ng elektripik"&amp;"asyon sa kanilang mga lugar ng serbisyo.
    * **Istruktura at Pamamahala:** Binabalangkas ng dekreto ang inirerekomendang istruktura para sa mga kooperatiba ng enerhiya, kabilang ang isang Lupon ng mga Direktor at pangkat ng pamamahala.
    * **Franchi"&amp;"sing:** Ang dekreto ay nagtatatag ng proseso para sa mga kooperatiba ng enerhiya upang makakuha ng mga prangkisa mula sa pamahalaan para sa pamamahagi ng kuryente sa loob ng isang partikular na teritoryo.  (Tandaan: Ang proseso ng franchising na ito ay ma"&amp;"aaring sumailalim sa karagdagang mga regulasyon o update).
    * **Pagbabago ng mga Umiiral na Kooperatiba:** Ang dekreto ay nagpapahintulot sa mga umiiral na hindi pang-agrikulturang kooperatiba na mag-convert sa mga electric cooperative sa ilalim ng mg"&amp;"a probisyon ng atas na ito.
**Mga Karagdagang Pagsasaalang-alang:**
* **Iba Pang Mga Kaugnay na Batas at Regulasyon:** Depende sa partikular na saklaw ng mga aktibidad ng kooperatiba ng enerhiya, maaaring mag-apply ang mga karagdagang batas at regul"&amp;"asyon.  Maaaring kabilang dito ang mga regulasyong nauugnay sa pagtatasa ng epekto sa kapaligiran, mga pamantayan sa kaligtasan para sa pagbuo o pamamahagi ng kuryente, o mga patakaran sa renewable energy.
* **Konsultasyon sa CDA at DOE:** Lubos na inire"&amp;"rekomenda para sa mga naghahangad na kooperatiba ng enerhiya na kumonsulta sa Cooperative Development Authority (CDA) at Department of Energy (DOE) sa panahon ng proseso ng pagpaplano at pagtatatag. Ang mga ahensyang ito ay maaaring magbigay ng gabay sa p"&amp;"ag-navigate sa mga legal na kinakailangan, pagkuha ng mga kinakailangang permit, at pagtiyak ng pagsunod sa mga nauugnay na regulasyon.
Sa pamamagitan ng pag-unawa sa mga legal na probisyon na ito at paghingi ng patnubay mula sa mga kaugnay na ahensya "&amp;"ng gobyerno, ang mga indibidwal na interesado sa pagtatatag ng mga kooperatiba ng enerhiya sa Pilipinas ay maaaring mag-navigate sa proseso nang epektibo at mag-ambag sa isang mas desentralisado at potensyal na mas demokratikong sektor ng enerhiya.")</f>
        <v>Ang pagtatatag ng mga kooperatiba ng enerhiya sa Pilipinas ay pangunahing pinamamahalaan ng dalawang pangunahing bahagi ng batas:
1. **Republic Act No. 9520 (Philippine Cooperative Code of 2008):**
   Itinatag ng Batas na ito ang pangkalahatang balangkas para sa mga kooperatiba sa Pilipinas, kabilang ang mga kooperatiba sa enerhiya. Tinutukoy nito ang mga prinsipyo, uri, organisasyon, at operasyon ng mga kooperatiba. Narito ang ilang mahahalagang probisyon na may kaugnayan sa mga kooperatiba ng enerhiya:
    * **Deklarasyon ng Patakaran:** Itinataguyod ng Batas ang paglikha at paglago ng mga kooperatiba, kabilang ang mga sangkot sa paggawa at pamamahagi ng enerhiya.
    * **Mga Uri ng Kooperatiba:** Kinikilala ng Batas ang iba't ibang uri ng kooperatiba, at ang mga kooperatiba ng enerhiya ay karaniwang nasa ilalim ng kategorya ng "mga kooperatiba ng producer" o "mga kooperatiba ng serbisyo."
    * **Pagmimiyembro:** Tinutukoy ng Batas ang mga kinakailangan para sa pagiging miyembro sa mga kooperatiba, kabilang ang pinakamababang edad, paninirahan, at mga kwalipikasyon ng karakter.
    * **Mga Kinakailangan sa Organisasyon:** Binabalangkas ng Batas ang proseso para sa pag-oorganisa ng isang kooperatiba, kabilang ang paghahanda ng Mga Artikulo ng Kooperasyon at By-Laws. Tinutukoy ng mga dokumentong ito ang layunin, istruktura, pamamahala, at mga karapatan at obligasyon ng pagiging kasapi ng kooperatiba.
    * **Pagpaparehistro:** Ang Batas ay nag-uutos ng pagpaparehistro ng mga kooperatiba sa Cooperative Development Authority (CDA), ang ahensya ng gobyerno na responsable sa pangangasiwa sa sektor ng kooperatiba.
2. **Presidential Decree No. 269 (Cooperative Non-Stock, Non-Profit Membership Corporations na Nakikibahagi sa Supply ng Electric Light and Power):**
   Ang kautusang ito, habang mas matanda kaysa sa Philippine Cooperative Code, ay nananatiling may kaugnayan sa pagtatatag ng mga kooperatiba ng enerhiya. Nagbibigay ito ng mga tiyak na regulasyon para sa mga kooperatiba na kasangkot sa pagbibigay at pagtataguyod ng kuryente. Kabilang sa mga pangunahing probisyon ang:
    * **Layunin:** Nakatuon ang dekreto sa pagbuo at pagpapatakbo ng mga kooperatiba para sa pagbibigay ng kuryente sa mga miyembro at pagtataguyod ng elektripikasyon sa kanilang mga lugar ng serbisyo.
    * **Istruktura at Pamamahala:** Binabalangkas ng dekreto ang inirerekomendang istruktura para sa mga kooperatiba ng enerhiya, kabilang ang isang Lupon ng mga Direktor at pangkat ng pamamahala.
    * **Franchising:** Ang dekreto ay nagtatatag ng proseso para sa mga kooperatiba ng enerhiya upang makakuha ng mga prangkisa mula sa pamahalaan para sa pamamahagi ng kuryente sa loob ng isang partikular na teritoryo.  (Tandaan: Ang proseso ng franchising na ito ay maaaring sumailalim sa karagdagang mga regulasyon o update).
    * **Pagbabago ng mga Umiiral na Kooperatiba:** Ang dekreto ay nagpapahintulot sa mga umiiral na hindi pang-agrikulturang kooperatiba na mag-convert sa mga electric cooperative sa ilalim ng mga probisyon ng atas na ito.
**Mga Karagdagang Pagsasaalang-alang:**
* **Iba Pang Mga Kaugnay na Batas at Regulasyon:** Depende sa partikular na saklaw ng mga aktibidad ng kooperatiba ng enerhiya, maaaring mag-apply ang mga karagdagang batas at regulasyon.  Maaaring kabilang dito ang mga regulasyong nauugnay sa pagtatasa ng epekto sa kapaligiran, mga pamantayan sa kaligtasan para sa pagbuo o pamamahagi ng kuryente, o mga patakaran sa renewable energy.
* **Konsultasyon sa CDA at DOE:** Lubos na inirerekomenda para sa mga naghahangad na kooperatiba ng enerhiya na kumonsulta sa Cooperative Development Authority (CDA) at Department of Energy (DOE) sa panahon ng proseso ng pagpaplano at pagtatatag. Ang mga ahensyang ito ay maaaring magbigay ng gabay sa pag-navigate sa mga legal na kinakailangan, pagkuha ng mga kinakailangang permit, at pagtiyak ng pagsunod sa mga nauugnay na regulasyon.
Sa pamamagitan ng pag-unawa sa mga legal na probisyon na ito at paghingi ng patnubay mula sa mga kaugnay na ahensya ng gobyerno, ang mga indibidwal na interesado sa pagtatatag ng mga kooperatiba ng enerhiya sa Pilipinas ay maaaring mag-navigate sa proseso nang epektibo at mag-ambag sa isang mas desentralisado at potensyal na mas demokratikong sektor ng enerhiya.</v>
      </c>
      <c r="F2859" s="2">
        <f t="shared" si="1"/>
        <v>0</v>
      </c>
      <c r="G2859" s="2"/>
      <c r="H2859" s="2"/>
      <c r="I2859" s="2"/>
      <c r="J2859" s="2"/>
      <c r="K2859" s="2"/>
      <c r="L2859" s="2"/>
      <c r="M2859" s="2"/>
      <c r="N2859" s="2"/>
      <c r="O2859" s="2"/>
      <c r="P2859" s="2"/>
      <c r="Q2859" s="2"/>
      <c r="R2859" s="2"/>
      <c r="S2859" s="2"/>
      <c r="T2859" s="2"/>
      <c r="U2859" s="2"/>
      <c r="V2859" s="2"/>
      <c r="W2859" s="2"/>
      <c r="X2859" s="2"/>
      <c r="Y2859" s="2"/>
      <c r="Z2859" s="2"/>
      <c r="AA2859" s="2"/>
    </row>
    <row r="2860">
      <c r="A2860" s="3" t="s">
        <v>6661</v>
      </c>
      <c r="B2860" s="1" t="s">
        <v>6694</v>
      </c>
      <c r="C2860" s="3" t="s">
        <v>6695</v>
      </c>
      <c r="D2860" s="2" t="str">
        <f>IFERROR(__xludf.DUMMYFUNCTION("GOOGLETRANSLATE(B2860, ""en"", ""TL"")"),"Talakayin ang mga hamon na kinakaharap ng Pilipinas sa pagkamit ng mga layunin sa pagpapanatili ng enerhiya.")</f>
        <v>Talakayin ang mga hamon na kinakaharap ng Pilipinas sa pagkamit ng mga layunin sa pagpapanatili ng enerhiya.</v>
      </c>
      <c r="E2860" s="2" t="str">
        <f>IFERROR(__xludf.DUMMYFUNCTION("GOOGLETRANSLATE(C2860, ""en"", ""TL"")"),"Ang Pilipinas ay nahaharap sa isang kumplikadong hanay ng mga hamon sa paghahangad nito ng pagpapanatili ng enerhiya. Narito ang isang breakdown ng ilan sa mga pangunahing hadlang:
**1. Pag-asa sa Fossil Fuels:**
* Ang Pilipinas ay nananatiling lubo"&amp;"s na umaasa sa fossil fuels, partikular na ang imported coal, para sa power generation nito. Ang pag-asa na ito sa fossil fuel ay nag-aambag sa mga greenhouse gas emissions at polusyon sa hangin. 
* Ang paglipat sa mas malinis na pinagmumulan ng enerhiya"&amp;" tulad ng mga renewable ay nangangailangan ng malaking pamumuhunan sa imprastraktura at grid modernization upang ma-accommodate ang kanilang pasulput-sulpot na kalikasan.
**2. Limitadong Renewable Energy Capacity:**
* Habang ang Pilipinas ay may mal"&amp;"akas na renewable energy potential, partikular sa solar at geothermal, ang kasalukuyang naka-install na kapasidad ay hindi sapat upang matugunan ang lumalaking pangangailangan ng enerhiya ng bansa.
* Ang pag-scale ng renewable energy deployment ay nangan"&amp;"gailangan ng pagtagumpayan ng mga hamon na nauugnay sa:
    * **Pagpopondo:** Pag-secure ng sapat na pagpopondo para sa malalaking proyekto ng renewable energy.
    * **Pagpapahintulot:** Pag-streamline ng proseso ng pagpapahintulot para sa mga proyekto"&amp;" ng renewable energy upang mabawasan ang mga pagkaantala.
    * **Pagsasama-sama ng Grid:** Pag-upgrade ng power grid upang mahawakan ang variable na katangian ng mga renewable energy source.
**3. Kahirapan sa Enerhiya:**
* Malaking bahagi ng popul"&amp;"asyon ng Pilipinas ay kulang pa rin ng access sa maaasahan at abot-kayang kuryente. Ang kahirapan sa enerhiya na ito ay humahadlang sa pag-unlad ng ekonomiya at nililimitahan ang mga oportunidad para sa mga Pilipino, partikular sa mga kanayunan.
* Ang pa"&amp;"gpapalawak ng access sa malinis at abot-kayang enerhiya habang tinitiyak ang pagiging affordability para sa mga sambahayan na mababa ang kita ay nananatiling isang hamon.
**4. Kawalang-katiyakan sa Patakaran at Regulatoryo:**
* Ang mga hindi pagkaka"&amp;"pare-pareho o madalas na pagbabago sa mga patakaran at regulasyon ng pamahalaan ay maaaring lumikha ng kawalan ng katiyakan para sa mga namumuhunan sa sektor ng nababagong enerhiya. 
* Napakahalaga ng isang matatag at mahuhulaan na kapaligiran ng patakar"&amp;"an upang maakit ang mga pangmatagalang pamumuhunan at itaguyod ang patuloy na paglago ng sektor ng nababagong enerhiya.
**5. Pampublikong Pagdama at Kamalayan:**
* Ang limitadong kamalayan ng publiko tungkol sa mga benepisyo ng malinis na enerhiya a"&amp;"t kahusayan sa enerhiya ay maaaring makahadlang sa mas malawak na paggamit ng mga solusyong ito.
* Ang pagpapataas ng kamalayan ng publiko at pagtataguyod ng mga pagbabago sa pag-uugali tungo sa mas napapanatiling mga pattern ng pagkonsumo ng enerhiya ay"&amp;" mahalaga para sa pangmatagalang tagumpay. 
**6. Mga Natural na Sakuna:**
* Ang Pilipinas ay lubhang mahina sa mga natural na sakuna tulad ng mga bagyo at lindol. Ang mga kaganapang ito ay maaaring makapinsala sa imprastraktura ng enerhiya at makaga"&amp;"mbala sa suplay ng kuryente.
* Ang pagbuo ng climate-resilient na imprastraktura ng enerhiya ay mahalaga upang matiyak ang seguridad ng enerhiya sa harap ng mga hamong ito.
**Sa kabila ng mga hamong ito, ang Pilipinas ay gumagawa ng mga hakbang upang "&amp;"matugunan ang mga ito.** Ang pamahalaan ay nagpatupad ng mga patakaran at programa na nagtataguyod ng renewable energy development, energy efficiency, at pinahusay na grid management. Bukod pa rito, lumalaki ang kamalayan ng publiko tungkol sa kahalagahan"&amp;" ng pagpapanatili ng kapaligiran.
**Ni:**
* **Pag-iba-iba ng pinaghalong enerhiya:** Namumuhunan sa mas maraming renewable na pinagmumulan ng enerhiya tulad ng solar, wind, geothermal, at hydro.
* **Pagpapabuti ng kahusayan sa enerhiya:** Pagsusulo"&amp;"ng ng mga teknolohiya at kasanayan sa pagtitipid ng enerhiya sa mga sambahayan, negosyo, at industriya.
* **Pagpapalawak ng access sa grid:** Pagkonekta ng mas maraming Pilipino sa isang maaasahan at abot-kayang grid ng kuryente.
* **Pagpapahusay ng mga"&amp;" balangkas ng patakaran at regulasyon:** Nagbibigay ng matatag at mahuhulaan na kapaligiran para sa mga pamumuhunan sa nababagong enerhiya.
* **Pag-invest sa climate-resilient infrastructure:** Pagbuo ng mga sistema ng enerhiya na makatiis sa mga natural"&amp;" na sakuna.
* **Pagpapalaki ng kamalayan ng publiko:** Pagtuturo sa mga Pilipino tungkol sa mga benepisyo ng malinis na enerhiya at pagtitipid ng enerhiya.
Ang Pilipinas ay maaaring magtala ng isang landas patungo sa isang mas napapanatiling enerhiya "&amp;"sa hinaharap. Ang pagtagumpayan sa mga hamong ito ay mangangailangan ng multi-pronged approach na kinasasangkutan ng mga inisyatiba ng gobyerno, pamumuhunan ng pribadong sektor, at partisipasyon ng publiko. ")</f>
        <v>Ang Pilipinas ay nahaharap sa isang kumplikadong hanay ng mga hamon sa paghahangad nito ng pagpapanatili ng enerhiya. Narito ang isang breakdown ng ilan sa mga pangunahing hadlang:
**1. Pag-asa sa Fossil Fuels:**
* Ang Pilipinas ay nananatiling lubos na umaasa sa fossil fuels, partikular na ang imported coal, para sa power generation nito. Ang pag-asa na ito sa fossil fuel ay nag-aambag sa mga greenhouse gas emissions at polusyon sa hangin. 
* Ang paglipat sa mas malinis na pinagmumulan ng enerhiya tulad ng mga renewable ay nangangailangan ng malaking pamumuhunan sa imprastraktura at grid modernization upang ma-accommodate ang kanilang pasulput-sulpot na kalikasan.
**2. Limitadong Renewable Energy Capacity:**
* Habang ang Pilipinas ay may malakas na renewable energy potential, partikular sa solar at geothermal, ang kasalukuyang naka-install na kapasidad ay hindi sapat upang matugunan ang lumalaking pangangailangan ng enerhiya ng bansa.
* Ang pag-scale ng renewable energy deployment ay nangangailangan ng pagtagumpayan ng mga hamon na nauugnay sa:
    * **Pagpopondo:** Pag-secure ng sapat na pagpopondo para sa malalaking proyekto ng renewable energy.
    * **Pagpapahintulot:** Pag-streamline ng proseso ng pagpapahintulot para sa mga proyekto ng renewable energy upang mabawasan ang mga pagkaantala.
    * **Pagsasama-sama ng Grid:** Pag-upgrade ng power grid upang mahawakan ang variable na katangian ng mga renewable energy source.
**3. Kahirapan sa Enerhiya:**
* Malaking bahagi ng populasyon ng Pilipinas ay kulang pa rin ng access sa maaasahan at abot-kayang kuryente. Ang kahirapan sa enerhiya na ito ay humahadlang sa pag-unlad ng ekonomiya at nililimitahan ang mga oportunidad para sa mga Pilipino, partikular sa mga kanayunan.
* Ang pagpapalawak ng access sa malinis at abot-kayang enerhiya habang tinitiyak ang pagiging affordability para sa mga sambahayan na mababa ang kita ay nananatiling isang hamon.
**4. Kawalang-katiyakan sa Patakaran at Regulatoryo:**
* Ang mga hindi pagkakapare-pareho o madalas na pagbabago sa mga patakaran at regulasyon ng pamahalaan ay maaaring lumikha ng kawalan ng katiyakan para sa mga namumuhunan sa sektor ng nababagong enerhiya. 
* Napakahalaga ng isang matatag at mahuhulaan na kapaligiran ng patakaran upang maakit ang mga pangmatagalang pamumuhunan at itaguyod ang patuloy na paglago ng sektor ng nababagong enerhiya.
**5. Pampublikong Pagdama at Kamalayan:**
* Ang limitadong kamalayan ng publiko tungkol sa mga benepisyo ng malinis na enerhiya at kahusayan sa enerhiya ay maaaring makahadlang sa mas malawak na paggamit ng mga solusyong ito.
* Ang pagpapataas ng kamalayan ng publiko at pagtataguyod ng mga pagbabago sa pag-uugali tungo sa mas napapanatiling mga pattern ng pagkonsumo ng enerhiya ay mahalaga para sa pangmatagalang tagumpay. 
**6. Mga Natural na Sakuna:**
* Ang Pilipinas ay lubhang mahina sa mga natural na sakuna tulad ng mga bagyo at lindol. Ang mga kaganapang ito ay maaaring makapinsala sa imprastraktura ng enerhiya at makagambala sa suplay ng kuryente.
* Ang pagbuo ng climate-resilient na imprastraktura ng enerhiya ay mahalaga upang matiyak ang seguridad ng enerhiya sa harap ng mga hamong ito.
**Sa kabila ng mga hamong ito, ang Pilipinas ay gumagawa ng mga hakbang upang matugunan ang mga ito.** Ang pamahalaan ay nagpatupad ng mga patakaran at programa na nagtataguyod ng renewable energy development, energy efficiency, at pinahusay na grid management. Bukod pa rito, lumalaki ang kamalayan ng publiko tungkol sa kahalagahan ng pagpapanatili ng kapaligiran.
**Ni:**
* **Pag-iba-iba ng pinaghalong enerhiya:** Namumuhunan sa mas maraming renewable na pinagmumulan ng enerhiya tulad ng solar, wind, geothermal, at hydro.
* **Pagpapabuti ng kahusayan sa enerhiya:** Pagsusulong ng mga teknolohiya at kasanayan sa pagtitipid ng enerhiya sa mga sambahayan, negosyo, at industriya.
* **Pagpapalawak ng access sa grid:** Pagkonekta ng mas maraming Pilipino sa isang maaasahan at abot-kayang grid ng kuryente.
* **Pagpapahusay ng mga balangkas ng patakaran at regulasyon:** Nagbibigay ng matatag at mahuhulaan na kapaligiran para sa mga pamumuhunan sa nababagong enerhiya.
* **Pag-invest sa climate-resilient infrastructure:** Pagbuo ng mga sistema ng enerhiya na makatiis sa mga natural na sakuna.
* **Pagpapalaki ng kamalayan ng publiko:** Pagtuturo sa mga Pilipino tungkol sa mga benepisyo ng malinis na enerhiya at pagtitipid ng enerhiya.
Ang Pilipinas ay maaaring magtala ng isang landas patungo sa isang mas napapanatiling enerhiya sa hinaharap. Ang pagtagumpayan sa mga hamong ito ay mangangailangan ng multi-pronged approach na kinasasangkutan ng mga inisyatiba ng gobyerno, pamumuhunan ng pribadong sektor, at partisipasyon ng publiko. </v>
      </c>
      <c r="F2860" s="2">
        <f t="shared" si="1"/>
        <v>0</v>
      </c>
      <c r="G2860" s="2"/>
      <c r="H2860" s="2"/>
      <c r="I2860" s="2"/>
      <c r="J2860" s="2"/>
      <c r="K2860" s="2"/>
      <c r="L2860" s="2"/>
      <c r="M2860" s="2"/>
      <c r="N2860" s="2"/>
      <c r="O2860" s="2"/>
      <c r="P2860" s="2"/>
      <c r="Q2860" s="2"/>
      <c r="R2860" s="2"/>
      <c r="S2860" s="2"/>
      <c r="T2860" s="2"/>
      <c r="U2860" s="2"/>
      <c r="V2860" s="2"/>
      <c r="W2860" s="2"/>
      <c r="X2860" s="2"/>
      <c r="Y2860" s="2"/>
      <c r="Z2860" s="2"/>
      <c r="AA2860" s="2"/>
    </row>
    <row r="2861">
      <c r="A2861" s="3" t="s">
        <v>6661</v>
      </c>
      <c r="B2861" s="1" t="s">
        <v>6696</v>
      </c>
      <c r="C2861" s="3" t="s">
        <v>6697</v>
      </c>
      <c r="D2861" s="2" t="str">
        <f>IFERROR(__xludf.DUMMYFUNCTION("GOOGLETRANSLATE(B2861, ""en"", ""TL"")"),"Paano kinokontrol ng gobyerno ang produksyon at pamamahagi ng biofuels sa Pilipinas?")</f>
        <v>Paano kinokontrol ng gobyerno ang produksyon at pamamahagi ng biofuels sa Pilipinas?</v>
      </c>
      <c r="E2861" s="2" t="str">
        <f>IFERROR(__xludf.DUMMYFUNCTION("GOOGLETRANSLATE(C2861, ""en"", ""TL"")"),"Kinokontrol ng Pilipinas ang produksyon at pamamahagi ng biofuel sa pamamagitan ng kumbinasyon ng mga batas, mga patakaran, at mga regulasyon sa pagpapatupad na inilabas ng iba't ibang ahensya ng gobyerno. Narito ang isang breakdown ng pangunahing balangk"&amp;"as ng regulasyon:
**Legal na Balangkas:**
* **Biofuels Act of 2006 (Republic Act No. 9367):** Ang Batas na ito ay nagsisilbing pundasyong batas para sa pagpapaunlad at paggamit ng biofuels sa Pilipinas. Ipinag-uutos nito ang **Biofuels Blend Mandate"&amp;"**, na nangangailangan ng pinakamababang porsyento ng biofuels na ihalo sa gasolina at diesel. Itinatag din ng Batas ang **National Biofuels Board (NBB)**, na responsable sa pagbuo at pagpapatupad ng biofuels program.
* **Mga Circular ng Department of En"&amp;"ergy (DOE):** Ang DOE ay naglalabas ng iba't ibang mga sirkular upang magbigay ng mga detalyadong regulasyon sa pagpapatupad para sa Biofuels Act. Tinutugunan ng mga regulasyong ito ang mga aspeto tulad ng:
    * **Pagkuha ng Feedstock:** Maaaring tukuyi"&amp;"n ng mga regulasyon ang pamantayan sa pagpapanatili para sa biofuel feedstock upang matiyak na hindi ito nakakatulong sa deforestation o kumpetisyon sa produksyon ng pagkain.
    * **Mga Pamantayan sa Produksyon:** Maaaring magtatag ang mga regulasyon ng"&amp;" mga pamantayan sa kalidad at kaligtasan para sa mga biofuel upang matiyak na nakakatugon ang mga ito sa partikular na pamantayan sa pagganap at hindi makapinsala sa mga makina o sa kapaligiran.
    * **Mga Kinakailangan sa Paghahalo:** Idinetalye ng mga"&amp;" regulasyon ang pinakamababang porsyento ng bioethanol na ihahalo sa gasolina (kasalukuyang E10) at biodiesel na ihahalo sa diesel (kasalukuyang B5). Ang mga porsyentong ito ay maaaring isaayos ng gobyerno batay sa mga salik tulad ng pagkakaroon ng biofue"&amp;"l at mga pagsasaalang-alang sa ekonomiya.
    * **Paglilisensya at Akreditasyon:** Maaaring balangkasin ng mga regulasyon ang mga proseso ng paglilisensya at akreditasyon para sa mga producer, blender, at retailer ng biofuel upang matiyak na sumusunod si"&amp;"la sa mga itinatag na pamantayan.
**Mga Pangunahing Ahensiya ng Regulasyon:**
* **Department of Energy (DOE):** Ang DOE ang pangunahing ahensya ng gobyerno na responsable sa pangangasiwa sa programa ng biofuels. Ito ay bumubuo ng mga patakaran, nagl"&amp;"alabas ng mga regulasyon, at sinusubaybayan ang pagpapatupad ng Biofuels Act.
* **National Biofuels Board (NBB):** Itinatag sa ilalim ng Biofuels Act, ang NBB ay isang inter-agency body na inatasan sa pagbuo at pagpapatupad ng biofuels program. Inirereko"&amp;"menda nito ang mga pagsasaayos sa Biofuels Blend Mandate, nagsasagawa ng mga aktibidad sa pananaliksik at pagpapaunlad, at nagtataguyod ng paggamit ng biofuel.
* **Department of Agriculture (DA):** Ang DA ay gumaganap ng isang papel sa pagsasaayos ng bio"&amp;"fuel feedstock production, tinitiyak ang pananatili nito at pagsunod sa mga regulasyon sa agrikultura.
* **Bureau of Customs (BOC):** Ang BOC ay nagpapatupad ng mga regulasyon sa customs na may kaugnayan sa pag-import at pag-export ng biofuels at biofuel"&amp;" feedstock.
**Mga Mekanismo ng Pagpapatupad:**
* Ang pamahalaan ay maaaring magsagawa ng mga inspeksyon ng mga pasilidad sa paggawa ng biofuel, mga pasilidad ng blending, at mga istasyon ng tingi upang matiyak ang pagsunod sa mga regulasyon.
* Maaa"&amp;"ring magpataw ng mga parusa para sa mga paglabag sa Biofuels Act at mga regulasyon sa pagpapatupad nito, kabilang ang mga multa at pagsususpinde o pagkansela ng mga lisensya.
**Sa konklusyon,** ang gobyerno ng Pilipinas ay nagpapanatili ng komprehensib"&amp;"ong balangkas ng regulasyon para sa produksyon at pamamahagi ng biofuel. Ang balangkas na ito ay naglalayong tiyakin ang napapanatiling pag-unlad ng industriya ng biofuels, protektahan ang mga mamimili at ang kapaligiran, at makamit ang mga layunin na nak"&amp;"abalangkas sa Biofuels Act. ")</f>
        <v>Kinokontrol ng Pilipinas ang produksyon at pamamahagi ng biofuel sa pamamagitan ng kumbinasyon ng mga batas, mga patakaran, at mga regulasyon sa pagpapatupad na inilabas ng iba't ibang ahensya ng gobyerno. Narito ang isang breakdown ng pangunahing balangkas ng regulasyon:
**Legal na Balangkas:**
* **Biofuels Act of 2006 (Republic Act No. 9367):** Ang Batas na ito ay nagsisilbing pundasyong batas para sa pagpapaunlad at paggamit ng biofuels sa Pilipinas. Ipinag-uutos nito ang **Biofuels Blend Mandate**, na nangangailangan ng pinakamababang porsyento ng biofuels na ihalo sa gasolina at diesel. Itinatag din ng Batas ang **National Biofuels Board (NBB)**, na responsable sa pagbuo at pagpapatupad ng biofuels program.
* **Mga Circular ng Department of Energy (DOE):** Ang DOE ay naglalabas ng iba't ibang mga sirkular upang magbigay ng mga detalyadong regulasyon sa pagpapatupad para sa Biofuels Act. Tinutugunan ng mga regulasyong ito ang mga aspeto tulad ng:
    * **Pagkuha ng Feedstock:** Maaaring tukuyin ng mga regulasyon ang pamantayan sa pagpapanatili para sa biofuel feedstock upang matiyak na hindi ito nakakatulong sa deforestation o kumpetisyon sa produksyon ng pagkain.
    * **Mga Pamantayan sa Produksyon:** Maaaring magtatag ang mga regulasyon ng mga pamantayan sa kalidad at kaligtasan para sa mga biofuel upang matiyak na nakakatugon ang mga ito sa partikular na pamantayan sa pagganap at hindi makapinsala sa mga makina o sa kapaligiran.
    * **Mga Kinakailangan sa Paghahalo:** Idinetalye ng mga regulasyon ang pinakamababang porsyento ng bioethanol na ihahalo sa gasolina (kasalukuyang E10) at biodiesel na ihahalo sa diesel (kasalukuyang B5). Ang mga porsyentong ito ay maaaring isaayos ng gobyerno batay sa mga salik tulad ng pagkakaroon ng biofuel at mga pagsasaalang-alang sa ekonomiya.
    * **Paglilisensya at Akreditasyon:** Maaaring balangkasin ng mga regulasyon ang mga proseso ng paglilisensya at akreditasyon para sa mga producer, blender, at retailer ng biofuel upang matiyak na sumusunod sila sa mga itinatag na pamantayan.
**Mga Pangunahing Ahensiya ng Regulasyon:**
* **Department of Energy (DOE):** Ang DOE ang pangunahing ahensya ng gobyerno na responsable sa pangangasiwa sa programa ng biofuels. Ito ay bumubuo ng mga patakaran, naglalabas ng mga regulasyon, at sinusubaybayan ang pagpapatupad ng Biofuels Act.
* **National Biofuels Board (NBB):** Itinatag sa ilalim ng Biofuels Act, ang NBB ay isang inter-agency body na inatasan sa pagbuo at pagpapatupad ng biofuels program. Inirerekomenda nito ang mga pagsasaayos sa Biofuels Blend Mandate, nagsasagawa ng mga aktibidad sa pananaliksik at pagpapaunlad, at nagtataguyod ng paggamit ng biofuel.
* **Department of Agriculture (DA):** Ang DA ay gumaganap ng isang papel sa pagsasaayos ng biofuel feedstock production, tinitiyak ang pananatili nito at pagsunod sa mga regulasyon sa agrikultura.
* **Bureau of Customs (BOC):** Ang BOC ay nagpapatupad ng mga regulasyon sa customs na may kaugnayan sa pag-import at pag-export ng biofuels at biofuel feedstock.
**Mga Mekanismo ng Pagpapatupad:**
* Ang pamahalaan ay maaaring magsagawa ng mga inspeksyon ng mga pasilidad sa paggawa ng biofuel, mga pasilidad ng blending, at mga istasyon ng tingi upang matiyak ang pagsunod sa mga regulasyon.
* Maaaring magpataw ng mga parusa para sa mga paglabag sa Biofuels Act at mga regulasyon sa pagpapatupad nito, kabilang ang mga multa at pagsususpinde o pagkansela ng mga lisensya.
**Sa konklusyon,** ang gobyerno ng Pilipinas ay nagpapanatili ng komprehensibong balangkas ng regulasyon para sa produksyon at pamamahagi ng biofuel. Ang balangkas na ito ay naglalayong tiyakin ang napapanatiling pag-unlad ng industriya ng biofuels, protektahan ang mga mamimili at ang kapaligiran, at makamit ang mga layunin na nakabalangkas sa Biofuels Act. </v>
      </c>
      <c r="F2861" s="2">
        <f t="shared" si="1"/>
        <v>0</v>
      </c>
      <c r="G2861" s="2"/>
      <c r="H2861" s="2"/>
      <c r="I2861" s="2"/>
      <c r="J2861" s="2"/>
      <c r="K2861" s="2"/>
      <c r="L2861" s="2"/>
      <c r="M2861" s="2"/>
      <c r="N2861" s="2"/>
      <c r="O2861" s="2"/>
      <c r="P2861" s="2"/>
      <c r="Q2861" s="2"/>
      <c r="R2861" s="2"/>
      <c r="S2861" s="2"/>
      <c r="T2861" s="2"/>
      <c r="U2861" s="2"/>
      <c r="V2861" s="2"/>
      <c r="W2861" s="2"/>
      <c r="X2861" s="2"/>
      <c r="Y2861" s="2"/>
      <c r="Z2861" s="2"/>
      <c r="AA2861" s="2"/>
    </row>
    <row r="2862">
      <c r="A2862" s="3" t="s">
        <v>6661</v>
      </c>
      <c r="B2862" s="1" t="s">
        <v>6698</v>
      </c>
      <c r="C2862" s="3" t="s">
        <v>6699</v>
      </c>
      <c r="D2862" s="2" t="str">
        <f>IFERROR(__xludf.DUMMYFUNCTION("GOOGLETRANSLATE(B2862, ""en"", ""TL"")"),"Ipaliwanag ang papel ng mga yunit ng lokal na pamahalaan sa pagtataguyod ng mga hakbangin sa pagpapanatili ng enerhiya.")</f>
        <v>Ipaliwanag ang papel ng mga yunit ng lokal na pamahalaan sa pagtataguyod ng mga hakbangin sa pagpapanatili ng enerhiya.</v>
      </c>
      <c r="E2862" s="2" t="str">
        <f>IFERROR(__xludf.DUMMYFUNCTION("GOOGLETRANSLATE(C2862, ""en"", ""TL"")"),"Ang mga local government units (LGUs) sa Pilipinas ay gumaganap ng mahalagang papel sa pagtataguyod ng mga hakbangin sa pagpapanatili ng enerhiya sa antas ng katutubo. Ang kanilang kalapitan sa mga komunidad at pag-unawa sa mga lokal na pangangailangan ay"&amp;" nagbibigay ng kapangyarihan sa kanila na ipatupad ang mga naka-target na programa at maimpluwensyahan ang pag-uugali ng mga residente. Narito kung paano nag-aambag ang mga LGU sa mas napapanatiling enerhiya sa hinaharap:
**1. Patakaran at Pagpaplano:*"&amp;"*
* **Pagpaplano sa Paggamit ng Lupa:** Maaaring isama ng mga LGU ang mga pagsasaalang-alang sa pagpapanatili ng enerhiya sa pagpaplano ng paggamit ng lupa. Maaaring kabilang dito ang mga regulasyon sa pag-zoning na pumapabor sa mga gusaling matipid sa"&amp;" enerhiya, paglalaan ng espasyo para sa mga instalasyon ng nababagong enerhiya tulad ng mga solar panel, at pagtataguyod ng mga compact at walkable na komunidad na nagbabawas ng pag-asa sa mga pribadong sasakyan.
* **Mga Building Code:** Ang mga LGU ay m"&amp;"aaaring magpatibay ng mas mahigpit na mga code ng gusali na nag-uutos ng mga feature na matipid sa enerhiya sa mga bagong construction. Maaaring kabilang dito ang mga kinakailangan para sa pagkakabukod, pag-iilaw at mga appliances na matipid sa enerhiya, "&amp;"at mga pamamaraan ng passive cooling.
* **Pamamahala ng Basura:** Ang mga LGU ay maaaring bumuo at magpatupad ng mga epektibong plano sa pamamahala ng basura na nagtataguyod ng mga solusyon sa waste-to-energy. Makakatulong ito na mabawasan ang pag-asa sa"&amp;" mga landfill at potensyal na makabuo ng nababagong enerhiya mula sa mga organikong basura.
**2. Pagpapatupad at Pagpopondo ng Proyekto:**
* **Renewable Energy Microgrids:** Mapapadali ng mga LGU ang pagbuo ng renewable energy microgrids sa mga mala"&amp;"layong lugar na hindi konektado sa national grid. Makakapagbigay ito ng malinis at maaasahang kuryente sa mga komunidad na ito.
* **Energy Efficiency Programs:** Ang mga LGU ay maaaring maglunsad ng mga inisyatiba upang isulong ang kahusayan sa enerhiya "&amp;"sa mga sambahayan at negosyo. Maaaring kabilang dito ang mga kampanya ng pampublikong kamalayan, mga subsidyo para sa mga kasangkapang matipid sa enerhiya, at mga programa sa pag-retrofitting para sa mga kasalukuyang gusali.
* **Public-Private Partnershi"&amp;"ps:** Ang mga LGU ay maaaring makipagtulungan sa pribadong sektor upang magtulungang magpinansya at magpatupad ng mga proyekto sa pagpapanatili ng enerhiya. Maaari nitong gamitin ang kadalubhasaan at mapagkukunan ng pribadong sektor para sa mas malalaking"&amp;" hakbangin.
**3. Pakikipag-ugnayan sa Komunidad at Pagbuo ng Kapasidad:**
* **Mga Kampanya sa Pampublikong Kamalayan:** Maaaring itaas ng mga LGU ang kamalayan ng publiko tungkol sa kahalagahan ng pagtitipid ng enerhiya at ang mga benepisyo ng nabab"&amp;"agong enerhiya. Maaari nitong hikayatin ang mga residente na magpatibay ng mga napapanatiling gawi sa kanilang pang-araw-araw na buhay.
* **Pagpapakilos ng Komunidad:** Maaaring pakilusin ng mga LGU ang pakikilahok ng komunidad sa mga hakbangin sa pagpap"&amp;"anatili ng enerhiya.  Maaaring kabilang dito ang mga programa tulad ng mga hardin ng komunidad na nagtataguyod ng lokal na produksyon ng pagkain at nagbabawas ng pag-asa sa transportasyon para sa mga grocery.
* **Pagpapaunlad ng Kasanayan:** Maaaring sup"&amp;"ortahan ng mga LGU ang mga programa sa pagpapaunlad ng mga kasanayan upang sanayin ang mga lokal na residente sa mga lugar tulad ng pag-install ng solar panel o pag-audit ng enerhiya. Maaari itong lumikha ng mga berdeng trabaho at bigyang kapangyarihan an"&amp;"g mga komunidad na lumahok sa paglipat ng malinis na enerhiya.
**4. Regulasyon at Pagpapatupad:**
* **Energy Efficiency Building Codes:** LGUs ay maaaring magpatupad ng mas mahigpit na energy efficiency code para sa mga bagong construction at posibl"&amp;"eng magbigay ng insentibo sa mga retrofit para sa mga kasalukuyang gusali.
* **Mga Pag-install ng Renewable Energy:** Maaaring i-streamline ng mga LGU ang mga proseso ng pagpapahintulot para sa pag-install ng mga rooftop solar panel o small-scale renewab"&amp;"le energy system sa mga tahanan at negosyo.
* **Sustainable Practices:** Ang mga LGU ay maaaring magsulong ng mga sustainable practices sa loob ng kanilang sariling mga operasyon sa pamamagitan ng paggamit ng energy-efficient na teknolohiya at mga kasana"&amp;"yan sa mga pampublikong gusali at pasilidad.
**Mga Hamon at Oportunidad:**
* **Limited Resources:** Ang mga LGU ay kadalasang nahaharap sa limitadong pinansiyal at human resources upang ipatupad ang mga komprehensibong hakbangin sa pagpapanatili ng "&amp;"enerhiya. 
* **Pagpapaunlad ng Kapasidad:** Ang pagbuo ng teknikal na kadalubhasaan sa loob ng mga LGU upang epektibong magplano at pamahalaan ang mga programa sa pagpapanatili ng enerhiya ay mahalaga.
* **Pampublikong Paglahok:** Ang paghikayat sa komu"&amp;"nidad na buy-in at aktibong pakikilahok sa mga hakbangin sa pagpapanatili ay nangangailangan ng patuloy na pakikipag-ugnayan at mga pagsisikap sa pakikipag-ugnayan.
**Sa kabila ng mga hamon na ito, ang mga LGU sa Pilipinas ay may potensyal na maging ma"&amp;"kapangyarihang mga driver ng pagbabago tungo sa mas napapanatiling enerhiya sa hinaharap. Sa pamamagitan ng paggamit ng kanilang natatanging posisyon, pagpapalakas ng pakikipagtulungan sa iba't ibang stakeholder, at pagpapatupad ng mga makabagong solusyon"&amp;", makakagawa sila ng malaking kontribusyon sa isang mas malinis at mas ligtas sa enerhiya na Pilipinas.**")</f>
        <v>Ang mga local government units (LGUs) sa Pilipinas ay gumaganap ng mahalagang papel sa pagtataguyod ng mga hakbangin sa pagpapanatili ng enerhiya sa antas ng katutubo. Ang kanilang kalapitan sa mga komunidad at pag-unawa sa mga lokal na pangangailangan ay nagbibigay ng kapangyarihan sa kanila na ipatupad ang mga naka-target na programa at maimpluwensyahan ang pag-uugali ng mga residente. Narito kung paano nag-aambag ang mga LGU sa mas napapanatiling enerhiya sa hinaharap:
**1. Patakaran at Pagpaplano:**
* **Pagpaplano sa Paggamit ng Lupa:** Maaaring isama ng mga LGU ang mga pagsasaalang-alang sa pagpapanatili ng enerhiya sa pagpaplano ng paggamit ng lupa. Maaaring kabilang dito ang mga regulasyon sa pag-zoning na pumapabor sa mga gusaling matipid sa enerhiya, paglalaan ng espasyo para sa mga instalasyon ng nababagong enerhiya tulad ng mga solar panel, at pagtataguyod ng mga compact at walkable na komunidad na nagbabawas ng pag-asa sa mga pribadong sasakyan.
* **Mga Building Code:** Ang mga LGU ay maaaring magpatibay ng mas mahigpit na mga code ng gusali na nag-uutos ng mga feature na matipid sa enerhiya sa mga bagong construction. Maaaring kabilang dito ang mga kinakailangan para sa pagkakabukod, pag-iilaw at mga appliances na matipid sa enerhiya, at mga pamamaraan ng passive cooling.
* **Pamamahala ng Basura:** Ang mga LGU ay maaaring bumuo at magpatupad ng mga epektibong plano sa pamamahala ng basura na nagtataguyod ng mga solusyon sa waste-to-energy. Makakatulong ito na mabawasan ang pag-asa sa mga landfill at potensyal na makabuo ng nababagong enerhiya mula sa mga organikong basura.
**2. Pagpapatupad at Pagpopondo ng Proyekto:**
* **Renewable Energy Microgrids:** Mapapadali ng mga LGU ang pagbuo ng renewable energy microgrids sa mga malalayong lugar na hindi konektado sa national grid. Makakapagbigay ito ng malinis at maaasahang kuryente sa mga komunidad na ito.
* **Energy Efficiency Programs:** Ang mga LGU ay maaaring maglunsad ng mga inisyatiba upang isulong ang kahusayan sa enerhiya sa mga sambahayan at negosyo. Maaaring kabilang dito ang mga kampanya ng pampublikong kamalayan, mga subsidyo para sa mga kasangkapang matipid sa enerhiya, at mga programa sa pag-retrofitting para sa mga kasalukuyang gusali.
* **Public-Private Partnerships:** Ang mga LGU ay maaaring makipagtulungan sa pribadong sektor upang magtulungang magpinansya at magpatupad ng mga proyekto sa pagpapanatili ng enerhiya. Maaari nitong gamitin ang kadalubhasaan at mapagkukunan ng pribadong sektor para sa mas malalaking hakbangin.
**3. Pakikipag-ugnayan sa Komunidad at Pagbuo ng Kapasidad:**
* **Mga Kampanya sa Pampublikong Kamalayan:** Maaaring itaas ng mga LGU ang kamalayan ng publiko tungkol sa kahalagahan ng pagtitipid ng enerhiya at ang mga benepisyo ng nababagong enerhiya. Maaari nitong hikayatin ang mga residente na magpatibay ng mga napapanatiling gawi sa kanilang pang-araw-araw na buhay.
* **Pagpapakilos ng Komunidad:** Maaaring pakilusin ng mga LGU ang pakikilahok ng komunidad sa mga hakbangin sa pagpapanatili ng enerhiya.  Maaaring kabilang dito ang mga programa tulad ng mga hardin ng komunidad na nagtataguyod ng lokal na produksyon ng pagkain at nagbabawas ng pag-asa sa transportasyon para sa mga grocery.
* **Pagpapaunlad ng Kasanayan:** Maaaring suportahan ng mga LGU ang mga programa sa pagpapaunlad ng mga kasanayan upang sanayin ang mga lokal na residente sa mga lugar tulad ng pag-install ng solar panel o pag-audit ng enerhiya. Maaari itong lumikha ng mga berdeng trabaho at bigyang kapangyarihan ang mga komunidad na lumahok sa paglipat ng malinis na enerhiya.
**4. Regulasyon at Pagpapatupad:**
* **Energy Efficiency Building Codes:** LGUs ay maaaring magpatupad ng mas mahigpit na energy efficiency code para sa mga bagong construction at posibleng magbigay ng insentibo sa mga retrofit para sa mga kasalukuyang gusali.
* **Mga Pag-install ng Renewable Energy:** Maaaring i-streamline ng mga LGU ang mga proseso ng pagpapahintulot para sa pag-install ng mga rooftop solar panel o small-scale renewable energy system sa mga tahanan at negosyo.
* **Sustainable Practices:** Ang mga LGU ay maaaring magsulong ng mga sustainable practices sa loob ng kanilang sariling mga operasyon sa pamamagitan ng paggamit ng energy-efficient na teknolohiya at mga kasanayan sa mga pampublikong gusali at pasilidad.
**Mga Hamon at Oportunidad:**
* **Limited Resources:** Ang mga LGU ay kadalasang nahaharap sa limitadong pinansiyal at human resources upang ipatupad ang mga komprehensibong hakbangin sa pagpapanatili ng enerhiya. 
* **Pagpapaunlad ng Kapasidad:** Ang pagbuo ng teknikal na kadalubhasaan sa loob ng mga LGU upang epektibong magplano at pamahalaan ang mga programa sa pagpapanatili ng enerhiya ay mahalaga.
* **Pampublikong Paglahok:** Ang paghikayat sa komunidad na buy-in at aktibong pakikilahok sa mga hakbangin sa pagpapanatili ay nangangailangan ng patuloy na pakikipag-ugnayan at mga pagsisikap sa pakikipag-ugnayan.
**Sa kabila ng mga hamon na ito, ang mga LGU sa Pilipinas ay may potensyal na maging makapangyarihang mga driver ng pagbabago tungo sa mas napapanatiling enerhiya sa hinaharap. Sa pamamagitan ng paggamit ng kanilang natatanging posisyon, pagpapalakas ng pakikipagtulungan sa iba't ibang stakeholder, at pagpapatupad ng mga makabagong solusyon, makakagawa sila ng malaking kontribusyon sa isang mas malinis at mas ligtas sa enerhiya na Pilipinas.**</v>
      </c>
      <c r="F2862" s="2">
        <f t="shared" si="1"/>
        <v>0</v>
      </c>
      <c r="G2862" s="2"/>
      <c r="H2862" s="2"/>
      <c r="I2862" s="2"/>
      <c r="J2862" s="2"/>
      <c r="K2862" s="2"/>
      <c r="L2862" s="2"/>
      <c r="M2862" s="2"/>
      <c r="N2862" s="2"/>
      <c r="O2862" s="2"/>
      <c r="P2862" s="2"/>
      <c r="Q2862" s="2"/>
      <c r="R2862" s="2"/>
      <c r="S2862" s="2"/>
      <c r="T2862" s="2"/>
      <c r="U2862" s="2"/>
      <c r="V2862" s="2"/>
      <c r="W2862" s="2"/>
      <c r="X2862" s="2"/>
      <c r="Y2862" s="2"/>
      <c r="Z2862" s="2"/>
      <c r="AA2862" s="2"/>
    </row>
    <row r="2863">
      <c r="A2863" s="3" t="s">
        <v>6661</v>
      </c>
      <c r="B2863" s="1" t="s">
        <v>6700</v>
      </c>
      <c r="C2863" s="3" t="s">
        <v>6701</v>
      </c>
      <c r="D2863" s="2" t="str">
        <f>IFERROR(__xludf.DUMMYFUNCTION("GOOGLETRANSLATE(B2863, ""en"", ""TL"")"),"Talakayin ang mga legal na balangkas para sa pagtataguyod ng pagtitipid ng enerhiya sa mga gusali ng tirahan.")</f>
        <v>Talakayin ang mga legal na balangkas para sa pagtataguyod ng pagtitipid ng enerhiya sa mga gusali ng tirahan.</v>
      </c>
      <c r="E2863" s="2" t="str">
        <f>IFERROR(__xludf.DUMMYFUNCTION("GOOGLETRANSLATE(C2863, ""en"", ""TL"")"),"Ang Pilipinas ay may bahagyang itinatag na legal na balangkas para sa pagtataguyod ng pagtitipid ng enerhiya sa mga gusali ng tirahan. Bagama't walang nag-iisang, komprehensibong batas, maraming patakaran at regulasyon ang nagtutulungan upang mahikayat at"&amp;" hikayatin ang mga residente tungo sa higit pang mga kasanayang matipid sa enerhiya. Narito ang isang breakdown ng mga pangunahing elemento:
**1. Mga Code at Pamantayan ng Building:**
* **National Building Code of the Philippines (NBCP):** Ang NBCP "&amp;"ay nagtatakda ng pinakamababang pamantayan para sa disenyo, pagtatayo, at kaligtasan ng mga gusali sa Pilipinas. Kabilang dito ang ilang probisyon na hindi direktang nagtataguyod ng pagtitipid ng enerhiya, gaya ng:
    * **Mga Kinakailangan sa Sobre sa P"&amp;"agbuo:** Maaaring tukuyin nito ang mga pamantayan ng pagkakabukod para sa mga dingding at bubong upang mabawasan ang paglipat ng init at bawasan ang pag-asa sa mga sistema ng pag-init o pagpapalamig.
    * **Disenyo ng Natural na Bentilasyon at Pag-iilaw"&amp;":** Maaaring hikayatin ng code ang mga pagsasaalang-alang sa disenyo na nagpapalaki ng natural na bentilasyon at liwanag ng araw upang mabawasan ang pagdepende sa artipisyal na pag-iilaw at air conditioning.
**2. Mga Regulasyon ng Department of Energy "&amp;"(DOE):**
* Ang DOE ay naglalabas ng mga regulasyon at alituntunin na nagtataguyod ng kahusayan sa enerhiya sa mga gusali. Maaaring kabilang dito ang:
    * **Energy Efficiency Design Standards para sa mga Bagong Gusali:** Ang mga pamantayang ito ay ma"&amp;"aaring tukuyin ang pinakamababang kinakailangan sa pagganap ng enerhiya para sa mga bagong gusaling tirahan.  Habang hindi pa ganap na naipapatupad, ang mga ito ay nasa ilalim ng pag-unlad.
    * **Green Building Rating System:** Maaaring hikayatin ng DO"&amp;"E ang pag-aampon ng mga boluntaryong sistema ng rating ng berdeng gusali tulad ng Leadership in Energy and Environmental Design (LEED) para sa mga bagong construction. Ang mga sistemang ito ay nagbibigay ng balangkas para sa pagdidisenyo at pagtatayo ng m"&amp;"ga gusaling napakatipid sa enerhiya.
**3. Mga Inisyatibo ng Local Government Unit (LGU):**
* **LGU Building Codes:** Ang ilang mga progresibong LGU ay maaaring magpatibay ng mas mahigpit na mga building code na lumampas sa minimum na mga kinakailang"&amp;"an ng NBCP.  Maaaring kabilang sa mga ito ang mas mahigpit na mga probisyon sa kahusayan ng enerhiya.
* **Mga Programa sa Insentibo:** Maaaring mag-alok ang mga LGU ng mga insentibo tulad ng pagpapahintulot sa pagpapabilis o pagbabawas ng buwis para sa m"&amp;"ga bagong konstruksyon ng tirahan na nakakatugon sa ilang partikular na pamantayan ng kahusayan sa enerhiya.
**4. Mga Programa sa Loan at Financing:**
* **Mga Institusyon ng Pinansyal ng Gobyerno (GFIs):** Maaaring mag-alok ang ilang institusyong pa"&amp;"mpinansyal ng pamahalaan ng mga programa sa pautang na may mas mababang rate ng interes para sa pagbili ng mga kasangkapang matipid sa enerhiya o pag-retrofitting ng mga bahay na may mga teknolohiyang nakakatipid sa enerhiya. 
* **Green Bond Market:** An"&amp;"g pagbuo ng green bond market sa Pilipinas ay maaaring magbigay ng financing para sa enerhiya-efficient residential projects, bagama't ang market na ito ay nasa maagang yugto pa lamang.
**Mga Hamon at Oportunidad:**
* **Limitadong Saklaw:** Ang umii"&amp;"ral na balangkas ay walang komprehensibo at mandatoryong diskarte sa pagtitipid ng enerhiya sa lahat ng mga gusali ng tirahan.
* **Mga Mekanismo ng Pagpapatupad:** Ang pagpapatupad ng umiiral na mga code ng gusali at mga pamantayan na nauugnay sa kahusay"&amp;"an sa enerhiya ay maaaring mahina, lalo na para sa mga indibidwal na tahanan.
* **Public Awareness:** Maaaring hindi lubos na alam ng mga may-ari ng bahay ang mga benepisyo ng mga teknolohiyang matipid sa enerhiya o ang pangmatagalang pagtitipid sa gasto"&amp;"s na inaalok nila.
**Sa kabila ng mga hamong ito, may pagkakataong palakasin ang legal na balangkas para sa pagtataguyod ng pagtitipid ng enerhiya sa mga gusali ng tirahan.  Narito ang ilang potensyal na pagpapabuti:**
* **Mandatory Energy Efficienc"&amp;"y Standards:** Ang pagpapatupad ng mandatoryong mga pamantayan sa kahusayan ng enerhiya para sa mga bagong gusali ng tirahan ay makabuluhang magpapahusay sa pangkalahatang pagganap ng stock ng gusali.
* **Programa sa Pag-label ng Gusali:** Maaaring i-rat"&amp;"e ng isang pambansang programa sa pag-label ng gusali ang kahusayan sa enerhiya ng mga kasalukuyan at bagong tahanan, na nagbibigay ng mahalagang impormasyon sa mga may-ari ng bahay at mga potensyal na mamimili.
* **Mga Kampanya sa Pampublikong Kamalayan"&amp;":** Ang pagpapataas ng kamalayan ng publiko tungkol sa mga benepisyo ng mga teknolohiya at kasanayan sa pagtitipid ng enerhiya ay maaaring makahikayat ng mas malaking pamumuhunan sa mga upgrade sa kahusayan.
* **Mga Mekanismo ng Pagpopondo:** Ang pagpapa"&amp;"lawak ng access sa mga opsyon sa pagpopondo para sa mga pagbabago at teknolohiyang matipid sa enerhiya ay maaaring gawing mas abot-kaya ang mga ito para sa mga may-ari ng bahay.
Sa pamamagitan ng pagtugon sa mga hamong ito at paghahangad ng mga pagpapa"&amp;"husay na ito, ang Pilipinas ay maaaring lumikha ng isang mas matatag na legal na balangkas na epektibong nagtataguyod ng pagtitipid ng enerhiya sa mga gusali ng tirahan, na humahantong sa isang mas napapanatiling at ligtas sa enerhiya na hinaharap.
")</f>
        <v>Ang Pilipinas ay may bahagyang itinatag na legal na balangkas para sa pagtataguyod ng pagtitipid ng enerhiya sa mga gusali ng tirahan. Bagama't walang nag-iisang, komprehensibong batas, maraming patakaran at regulasyon ang nagtutulungan upang mahikayat at hikayatin ang mga residente tungo sa higit pang mga kasanayang matipid sa enerhiya. Narito ang isang breakdown ng mga pangunahing elemento:
**1. Mga Code at Pamantayan ng Building:**
* **National Building Code of the Philippines (NBCP):** Ang NBCP ay nagtatakda ng pinakamababang pamantayan para sa disenyo, pagtatayo, at kaligtasan ng mga gusali sa Pilipinas. Kabilang dito ang ilang probisyon na hindi direktang nagtataguyod ng pagtitipid ng enerhiya, gaya ng:
    * **Mga Kinakailangan sa Sobre sa Pagbuo:** Maaaring tukuyin nito ang mga pamantayan ng pagkakabukod para sa mga dingding at bubong upang mabawasan ang paglipat ng init at bawasan ang pag-asa sa mga sistema ng pag-init o pagpapalamig.
    * **Disenyo ng Natural na Bentilasyon at Pag-iilaw:** Maaaring hikayatin ng code ang mga pagsasaalang-alang sa disenyo na nagpapalaki ng natural na bentilasyon at liwanag ng araw upang mabawasan ang pagdepende sa artipisyal na pag-iilaw at air conditioning.
**2. Mga Regulasyon ng Department of Energy (DOE):**
* Ang DOE ay naglalabas ng mga regulasyon at alituntunin na nagtataguyod ng kahusayan sa enerhiya sa mga gusali. Maaaring kabilang dito ang:
    * **Energy Efficiency Design Standards para sa mga Bagong Gusali:** Ang mga pamantayang ito ay maaaring tukuyin ang pinakamababang kinakailangan sa pagganap ng enerhiya para sa mga bagong gusaling tirahan.  Habang hindi pa ganap na naipapatupad, ang mga ito ay nasa ilalim ng pag-unlad.
    * **Green Building Rating System:** Maaaring hikayatin ng DOE ang pag-aampon ng mga boluntaryong sistema ng rating ng berdeng gusali tulad ng Leadership in Energy and Environmental Design (LEED) para sa mga bagong construction. Ang mga sistemang ito ay nagbibigay ng balangkas para sa pagdidisenyo at pagtatayo ng mga gusaling napakatipid sa enerhiya.
**3. Mga Inisyatibo ng Local Government Unit (LGU):**
* **LGU Building Codes:** Ang ilang mga progresibong LGU ay maaaring magpatibay ng mas mahigpit na mga building code na lumampas sa minimum na mga kinakailangan ng NBCP.  Maaaring kabilang sa mga ito ang mas mahigpit na mga probisyon sa kahusayan ng enerhiya.
* **Mga Programa sa Insentibo:** Maaaring mag-alok ang mga LGU ng mga insentibo tulad ng pagpapahintulot sa pagpapabilis o pagbabawas ng buwis para sa mga bagong konstruksyon ng tirahan na nakakatugon sa ilang partikular na pamantayan ng kahusayan sa enerhiya.
**4. Mga Programa sa Loan at Financing:**
* **Mga Institusyon ng Pinansyal ng Gobyerno (GFIs):** Maaaring mag-alok ang ilang institusyong pampinansyal ng pamahalaan ng mga programa sa pautang na may mas mababang rate ng interes para sa pagbili ng mga kasangkapang matipid sa enerhiya o pag-retrofitting ng mga bahay na may mga teknolohiyang nakakatipid sa enerhiya. 
* **Green Bond Market:** Ang pagbuo ng green bond market sa Pilipinas ay maaaring magbigay ng financing para sa enerhiya-efficient residential projects, bagama't ang market na ito ay nasa maagang yugto pa lamang.
**Mga Hamon at Oportunidad:**
* **Limitadong Saklaw:** Ang umiiral na balangkas ay walang komprehensibo at mandatoryong diskarte sa pagtitipid ng enerhiya sa lahat ng mga gusali ng tirahan.
* **Mga Mekanismo ng Pagpapatupad:** Ang pagpapatupad ng umiiral na mga code ng gusali at mga pamantayan na nauugnay sa kahusayan sa enerhiya ay maaaring mahina, lalo na para sa mga indibidwal na tahanan.
* **Public Awareness:** Maaaring hindi lubos na alam ng mga may-ari ng bahay ang mga benepisyo ng mga teknolohiyang matipid sa enerhiya o ang pangmatagalang pagtitipid sa gastos na inaalok nila.
**Sa kabila ng mga hamong ito, may pagkakataong palakasin ang legal na balangkas para sa pagtataguyod ng pagtitipid ng enerhiya sa mga gusali ng tirahan.  Narito ang ilang potensyal na pagpapabuti:**
* **Mandatory Energy Efficiency Standards:** Ang pagpapatupad ng mandatoryong mga pamantayan sa kahusayan ng enerhiya para sa mga bagong gusali ng tirahan ay makabuluhang magpapahusay sa pangkalahatang pagganap ng stock ng gusali.
* **Programa sa Pag-label ng Gusali:** Maaaring i-rate ng isang pambansang programa sa pag-label ng gusali ang kahusayan sa enerhiya ng mga kasalukuyan at bagong tahanan, na nagbibigay ng mahalagang impormasyon sa mga may-ari ng bahay at mga potensyal na mamimili.
* **Mga Kampanya sa Pampublikong Kamalayan:** Ang pagpapataas ng kamalayan ng publiko tungkol sa mga benepisyo ng mga teknolohiya at kasanayan sa pagtitipid ng enerhiya ay maaaring makahikayat ng mas malaking pamumuhunan sa mga upgrade sa kahusayan.
* **Mga Mekanismo ng Pagpopondo:** Ang pagpapalawak ng access sa mga opsyon sa pagpopondo para sa mga pagbabago at teknolohiyang matipid sa enerhiya ay maaaring gawing mas abot-kaya ang mga ito para sa mga may-ari ng bahay.
Sa pamamagitan ng pagtugon sa mga hamong ito at paghahangad ng mga pagpapahusay na ito, ang Pilipinas ay maaaring lumikha ng isang mas matatag na legal na balangkas na epektibong nagtataguyod ng pagtitipid ng enerhiya sa mga gusali ng tirahan, na humahantong sa isang mas napapanatiling at ligtas sa enerhiya na hinaharap.
</v>
      </c>
      <c r="F2863" s="2">
        <f t="shared" si="1"/>
        <v>0</v>
      </c>
      <c r="G2863" s="2"/>
      <c r="H2863" s="2"/>
      <c r="I2863" s="2"/>
      <c r="J2863" s="2"/>
      <c r="K2863" s="2"/>
      <c r="L2863" s="2"/>
      <c r="M2863" s="2"/>
      <c r="N2863" s="2"/>
      <c r="O2863" s="2"/>
      <c r="P2863" s="2"/>
      <c r="Q2863" s="2"/>
      <c r="R2863" s="2"/>
      <c r="S2863" s="2"/>
      <c r="T2863" s="2"/>
      <c r="U2863" s="2"/>
      <c r="V2863" s="2"/>
      <c r="W2863" s="2"/>
      <c r="X2863" s="2"/>
      <c r="Y2863" s="2"/>
      <c r="Z2863" s="2"/>
      <c r="AA2863" s="2"/>
    </row>
    <row r="2864">
      <c r="A2864" s="3" t="s">
        <v>6661</v>
      </c>
      <c r="B2864" s="1" t="s">
        <v>6702</v>
      </c>
      <c r="C2864" s="3" t="s">
        <v>6703</v>
      </c>
      <c r="D2864" s="2" t="str">
        <f>IFERROR(__xludf.DUMMYFUNCTION("GOOGLETRANSLATE(B2864, ""en"", ""TL"")"),"Anong mga hakbang ang inilalagay upang matiyak ang proteksyon ng mga katutubong komunidad sa mga proyekto sa pagpapaunlad ng enerhiya?")</f>
        <v>Anong mga hakbang ang inilalagay upang matiyak ang proteksyon ng mga katutubong komunidad sa mga proyekto sa pagpapaunlad ng enerhiya?</v>
      </c>
      <c r="E2864" s="2" t="str">
        <f>IFERROR(__xludf.DUMMYFUNCTION("GOOGLETRANSLATE(C2864, ""en"", ""TL"")"),"Ang Pilipinas ay may ilang mga hakbang upang protektahan ang mga katutubong komunidad (ICs) sa panahon ng mga proyekto sa pagpapaunlad ng enerhiya, ngunit nananatili ang mga hamon sa pagtiyak ng buo at epektibong pagpapatupad. Narito ang isang breakdown n"&amp;"g mga pangunahing aspeto:
**Legal na Balangkas:**
* **The Indigenous Peoples Rights Act (IPRA) - Republic Act No. 8371:** Kinikilala at pinoprotektahan ng landmark na batas na ito ang mga karapatan ng ancestral domain ng mga IP, kabilang ang kanilan"&amp;"g karapatang maabisuhan, lumahok, at magbigay o magpigil ng kanilang libreng at prior informed consent (FPIC) sa mga proyektong nakakaapekto sa kanilang mga lupain at mapagkukunan.
* **Proseso ng Environmental Impact Assessment (EIA):** Ang proseso ng EI"&amp;"A, na ipinag-uutos ng Presidential Decree No. 1586, ay nangangailangan ng pagsasaalang-alang sa mga potensyal na panlipunan at pangkulturang epekto sa mga komunidad, kabilang ang mga IP. Ang mga pampublikong konsultasyon ay bahagi ng proseso.
**Mga Ahe"&amp;"nsya ng Pamahalaan:**
* **National Commission on Indigenous Peoples (NCIP):** Ang NCIP ay ang pangunahing ahensya ng pamahalaan na responsable sa pagtataguyod ng mga karapatan at kapakanan ng mga IP. Sila ay gumaganap ng isang mahalagang papel sa:
   "&amp;" * **Delineation at Titling ng Ancestral Domain:** Pagtanggal ng mga ancestral domain at pag-isyu ng mga sertipiko ng titulo ng ancestral land (CALTs) sa mga IP, na nagpapatibay sa kanilang pag-angkin sa kanilang lupain.
    * **Pagpapadali sa FPIC:** An"&amp;"g NCIP ay gumaganap ng isang mahalagang papel sa pagpapadali sa proseso ng FPIC, na tinitiyak na ang mga IP ay nauunawaan ang mga potensyal na epekto ng mga proyekto at maaaring gumawa ng matalinong mga desisyon.
**Mga Hamon at Pagsasaalang-alang:**
"&amp;"
* **Backlog ng Pamagat ng Ancestral Domain:** Mayroong malaking backlog sa pagtitulo ng ancestral domain, na nag-iiwan sa maraming IP na walang pormal na dokumentasyon upang ganap na igiit ang kanilang mga karapatan.
* **Power Imbalances and Coercion:**"&amp;" Ang power imbalances sa pagitan ng mga developer ng proyekto at mga IC ay maaaring maging mahirap para sa mga komunidad na magbigay ng tunay na libre at naunang may kaalamang pahintulot.
* **Mga Kasunduan sa Pagbabahagi ng Benepisyo:** Ang pakikipag-ayo"&amp;"s sa mga patas na kasunduan sa pagbabahagi ng benepisyo sa mga IC upang matiyak na makakatanggap sila ng makatarungang bahagi ng mga benepisyo ng proyekto ay nangangailangan ng transparency at partisipasyon ng komunidad.
* **Pagbuo ng Kapasidad para sa m"&amp;"ga IP:** Ang pagpapalakas ng kapasidad ng mga IC na maunawaan ang kumplikadong teknikal na impormasyon at epektibong lumahok sa mga proseso ng paggawa ng desisyon ay napakahalaga.
**Pasulong:**
* **Epektibong Pagpapatupad ng IPRA:** Ang pagtiyak ng "&amp;"mahigpit na pagsunod sa IPRA at pagtataguyod ng karapatan sa FPIC ay kritikal para sa pagprotekta sa mga katutubong komunidad.
* **Pagpapalakas ng NCIP:** Ang pagbibigay sa NCIP ng sapat na mapagkukunan at kapasidad upang epektibong matupad ang mandato n"&amp;"ito ay mahalaga.
* **Pagpapalaki ng Kamalayan:** Pagpapalaki ng kamalayan sa mga ahensya ng gobyerno, mga developer ng proyekto, at mga IP mismo tungkol sa mga karapatan, proseso, at pinakamahusay na kagawian para sa pagtiyak ng makabuluhang partisipasyo"&amp;"n ng mga IC sa mga proyekto sa pagpapaunlad ng enerhiya.
Sa pamamagitan ng pagtugon sa mga hamong ito at pagpapalakas sa umiiral na balangkas, ang Pilipinas ay maaaring magsikap tungo sa isang mas makatarungan at napapanatiling diskarte sa pagpapaunlad"&amp;" ng enerhiya na gumagalang sa mga karapatan at interes ng mga katutubong komunidad. ")</f>
        <v>Ang Pilipinas ay may ilang mga hakbang upang protektahan ang mga katutubong komunidad (ICs) sa panahon ng mga proyekto sa pagpapaunlad ng enerhiya, ngunit nananatili ang mga hamon sa pagtiyak ng buo at epektibong pagpapatupad. Narito ang isang breakdown ng mga pangunahing aspeto:
**Legal na Balangkas:**
* **The Indigenous Peoples Rights Act (IPRA) - Republic Act No. 8371:** Kinikilala at pinoprotektahan ng landmark na batas na ito ang mga karapatan ng ancestral domain ng mga IP, kabilang ang kanilang karapatang maabisuhan, lumahok, at magbigay o magpigil ng kanilang libreng at prior informed consent (FPIC) sa mga proyektong nakakaapekto sa kanilang mga lupain at mapagkukunan.
* **Proseso ng Environmental Impact Assessment (EIA):** Ang proseso ng EIA, na ipinag-uutos ng Presidential Decree No. 1586, ay nangangailangan ng pagsasaalang-alang sa mga potensyal na panlipunan at pangkulturang epekto sa mga komunidad, kabilang ang mga IP. Ang mga pampublikong konsultasyon ay bahagi ng proseso.
**Mga Ahensya ng Pamahalaan:**
* **National Commission on Indigenous Peoples (NCIP):** Ang NCIP ay ang pangunahing ahensya ng pamahalaan na responsable sa pagtataguyod ng mga karapatan at kapakanan ng mga IP. Sila ay gumaganap ng isang mahalagang papel sa:
    * **Delineation at Titling ng Ancestral Domain:** Pagtanggal ng mga ancestral domain at pag-isyu ng mga sertipiko ng titulo ng ancestral land (CALTs) sa mga IP, na nagpapatibay sa kanilang pag-angkin sa kanilang lupain.
    * **Pagpapadali sa FPIC:** Ang NCIP ay gumaganap ng isang mahalagang papel sa pagpapadali sa proseso ng FPIC, na tinitiyak na ang mga IP ay nauunawaan ang mga potensyal na epekto ng mga proyekto at maaaring gumawa ng matalinong mga desisyon.
**Mga Hamon at Pagsasaalang-alang:**
* **Backlog ng Pamagat ng Ancestral Domain:** Mayroong malaking backlog sa pagtitulo ng ancestral domain, na nag-iiwan sa maraming IP na walang pormal na dokumentasyon upang ganap na igiit ang kanilang mga karapatan.
* **Power Imbalances and Coercion:** Ang power imbalances sa pagitan ng mga developer ng proyekto at mga IC ay maaaring maging mahirap para sa mga komunidad na magbigay ng tunay na libre at naunang may kaalamang pahintulot.
* **Mga Kasunduan sa Pagbabahagi ng Benepisyo:** Ang pakikipag-ayos sa mga patas na kasunduan sa pagbabahagi ng benepisyo sa mga IC upang matiyak na makakatanggap sila ng makatarungang bahagi ng mga benepisyo ng proyekto ay nangangailangan ng transparency at partisipasyon ng komunidad.
* **Pagbuo ng Kapasidad para sa mga IP:** Ang pagpapalakas ng kapasidad ng mga IC na maunawaan ang kumplikadong teknikal na impormasyon at epektibong lumahok sa mga proseso ng paggawa ng desisyon ay napakahalaga.
**Pasulong:**
* **Epektibong Pagpapatupad ng IPRA:** Ang pagtiyak ng mahigpit na pagsunod sa IPRA at pagtataguyod ng karapatan sa FPIC ay kritikal para sa pagprotekta sa mga katutubong komunidad.
* **Pagpapalakas ng NCIP:** Ang pagbibigay sa NCIP ng sapat na mapagkukunan at kapasidad upang epektibong matupad ang mandato nito ay mahalaga.
* **Pagpapalaki ng Kamalayan:** Pagpapalaki ng kamalayan sa mga ahensya ng gobyerno, mga developer ng proyekto, at mga IP mismo tungkol sa mga karapatan, proseso, at pinakamahusay na kagawian para sa pagtiyak ng makabuluhang partisipasyon ng mga IC sa mga proyekto sa pagpapaunlad ng enerhiya.
Sa pamamagitan ng pagtugon sa mga hamong ito at pagpapalakas sa umiiral na balangkas, ang Pilipinas ay maaaring magsikap tungo sa isang mas makatarungan at napapanatiling diskarte sa pagpapaunlad ng enerhiya na gumagalang sa mga karapatan at interes ng mga katutubong komunidad. </v>
      </c>
      <c r="F2864" s="2">
        <f t="shared" si="1"/>
        <v>0</v>
      </c>
      <c r="G2864" s="2"/>
      <c r="H2864" s="2"/>
      <c r="I2864" s="2"/>
      <c r="J2864" s="2"/>
      <c r="K2864" s="2"/>
      <c r="L2864" s="2"/>
      <c r="M2864" s="2"/>
      <c r="N2864" s="2"/>
      <c r="O2864" s="2"/>
      <c r="P2864" s="2"/>
      <c r="Q2864" s="2"/>
      <c r="R2864" s="2"/>
      <c r="S2864" s="2"/>
      <c r="T2864" s="2"/>
      <c r="U2864" s="2"/>
      <c r="V2864" s="2"/>
      <c r="W2864" s="2"/>
      <c r="X2864" s="2"/>
      <c r="Y2864" s="2"/>
      <c r="Z2864" s="2"/>
      <c r="AA2864" s="2"/>
    </row>
    <row r="2865">
      <c r="A2865" s="3" t="s">
        <v>6661</v>
      </c>
      <c r="B2865" s="1" t="s">
        <v>6704</v>
      </c>
      <c r="C2865" s="3" t="s">
        <v>6705</v>
      </c>
      <c r="D2865" s="2" t="str">
        <f>IFERROR(__xludf.DUMMYFUNCTION("GOOGLETRANSLATE(B2865, ""en"", ""TL"")"),"Ipaliwanag ang mga legal na mekanismo para sa pagtataguyod ng kahusayan sa enerhiya sa mga ahensya ng gobyerno.")</f>
        <v>Ipaliwanag ang mga legal na mekanismo para sa pagtataguyod ng kahusayan sa enerhiya sa mga ahensya ng gobyerno.</v>
      </c>
      <c r="E2865" s="2" t="str">
        <f>IFERROR(__xludf.DUMMYFUNCTION("GOOGLETRANSLATE(C2865, ""en"", ""TL"")"),"Gumagamit ang Pilipinas ng kumbinasyon ng mga legal na mekanismo para isulong ang kahusayan sa enerhiya sa loob ng mga ahensya ng gobyerno. Narito ang isang breakdown ng mga pangunahing instrumento:
**1. Mga Batas at Patakaran:**
* **Republic Act No"&amp;". 11285 (Energy Efficiency and Conservation Act):** Ang Batas na ito ay nagtatatag ng pambansang balangkas para sa pagtataguyod ng kahusayan sa enerhiya sa lahat ng sektor, kabilang ang pamahalaan. Ipinag-uutos nito ang paglikha ng isang **Energy Efficien"&amp;"cy and Conservation (EE&amp;C) Master Plan** na nagbabalangkas ng mga estratehiya at mga target para makamit ng mga ahensya ng gobyerno.
* **Executive Order No. 26 (Enhancing Energy Efficiency and Conservation in Government Operations):** Ang Executive Order"&amp;" na ito ay nagpapatibay sa pagpapatupad ng mga kasanayan sa kahusayan ng enerhiya sa mga ahensya ng gobyerno. Nag-uutos ito ng mga aksyon tulad ng:
    * **Energy Audits:** Nangangailangan ng regular na pag-audit ng enerhiya ng mga gusali ng pamahalaan u"&amp;"pang matukoy ang mga lugar para sa pagpapabuti.
    * **Energy Performance Contracting (EPC):** Hinihikayat ang mga ahensya ng gobyerno na galugarin ang mga proyekto ng EPC, kung saan namumuhunan ang mga pribadong kumpanya sa pag-upgrade ng imprastraktur"&amp;"a ng enerhiya at ibahagi ang mga natitipid sa gastos.
    * **Pagkuha ng Energy-Efficient Equipment:** Pag-uutos sa mga ahensya ng gobyerno na unahin ang energy-efficient na kagamitan at appliances kapag bibili ng mga bagong pagbili.
**2. Mga Ahensya "&amp;"sa Pagreregula:**
* **Department of Energy (DOE):** Ang DOE ay gumaganap ng isang pangunahing papel sa pagtataguyod ng kahusayan sa enerhiya sa pamahalaan. ito:
    * Bumubuo at nagpapatupad ng pambansang EE&amp;C Master Plan para sa mga ahensya ng gobyer"&amp;"no.
    * Nagbibigay ng teknikal na tulong at mga programa sa pagbuo ng kapasidad sa mga ahensya ng gobyerno sa mga kasanayan sa pamamahala ng enerhiya.
    * Sinusubaybayan at sinusuri ang progreso ng mga ahensya ng gobyerno sa pagkamit ng mga target s"&amp;"a kahusayan sa enerhiya.
* **Commission on Audit (COA):** Isinasama ng COA ang mga pagsasaalang-alang sa kahusayan ng enerhiya sa mga proseso ng pag-audit nito para sa mga ahensya ng gobyerno. Hinihikayat nito ang responsableng pamamahala ng mapagkukunan"&amp;" at tinutukoy ang mga lugar para sa pagpapabuti.
**3. Mga Sistema sa Pamamahala ng Pagganap:**
* **Sistema ng Pamamahala ng Pagganap ng Pamahalaan (GPMS):** Ang sistema ng GPMP ay isinasama ang kahusayan sa enerhiya bilang tagapagpahiwatig ng paggan"&amp;"ap para sa mga ahensya ng gobyerno. Pinapanagot nito ang mga ahensya para sa pagkamit ng mga partikular na target sa pagtitipid ng enerhiya.
**4. Mga Pagsasaalang-alang sa Badyet:**
* **Mga Alokasyon sa Badyet:** Maaaring maglaan ang pamahalaan ng m"&amp;"ga badyet partikular para sa mga proyektong tipid sa enerhiya sa loob ng mga ahensya ng gobyerno. Maaaring kabilang dito ang mga pondo para sa pagsasaayos ng mga gusali, pagbili ng kagamitang matipid sa enerhiya, o pamumuhunan sa mga pinagkukunan ng nabab"&amp;"agong enerhiya.
* **Cost Savings Reinvestment:** Ang mga ahensyang nakakamit ng makabuluhang pagtitipid sa gastos sa enerhiya ay maaaring payagang muling mamuhunan ng isang bahagi ng mga matitipid na ito sa karagdagang pag-upgrade ng kahusayan sa enerhiy"&amp;"a, na lumilikha ng positibong feedback loop.
**Mga Hamon at Oportunidad:**
* **Mga Limitadong Mapagkukunan:** Maaaring harapin ng mga ahensya ng gobyerno ang mga limitadong badyet upang mamuhunan sa mga paunang gastos na nauugnay sa mga upgrade sa k"&amp;"ahusayan sa enerhiya.
* **Kadalubhasaan sa Teknikal:** Ang pagbuo ng kapasidad sa loob ng mga ahensya ng gobyerno upang ipatupad at pamahalaan ang mga programang pang-episyente sa enerhiya ay nangangailangan ng patuloy na pagsasanay at suporta.
* **Pags"&amp;"ubaybay at Pagsusuri:** Ang mga epektibong sistema ng pagsubaybay at pagsusuri ay mahalaga upang masubaybayan ang pag-unlad at matukoy ang mga lugar para sa pagpapabuti.
**Sa kabila ng mga hamong ito, ang Pilipinas ay may legal na balangkas na nakalaga"&amp;"y upang isulong ang kahusayan sa enerhiya sa mga ahensya ng gobyerno. Sa pamamagitan ng pagpapalakas ng pagpapatupad, pagbuo ng kapasidad, at pagtiyak ng sapat na pagpopondo, ang pamahalaan ay maaaring mamuno sa pamamagitan ng halimbawa at makabuluhang ma"&amp;"g-ambag sa mga pangkalahatang layunin ng kahusayan sa enerhiya.** ")</f>
        <v>Gumagamit ang Pilipinas ng kumbinasyon ng mga legal na mekanismo para isulong ang kahusayan sa enerhiya sa loob ng mga ahensya ng gobyerno. Narito ang isang breakdown ng mga pangunahing instrumento:
**1. Mga Batas at Patakaran:**
* **Republic Act No. 11285 (Energy Efficiency and Conservation Act):** Ang Batas na ito ay nagtatatag ng pambansang balangkas para sa pagtataguyod ng kahusayan sa enerhiya sa lahat ng sektor, kabilang ang pamahalaan. Ipinag-uutos nito ang paglikha ng isang **Energy Efficiency and Conservation (EE&amp;C) Master Plan** na nagbabalangkas ng mga estratehiya at mga target para makamit ng mga ahensya ng gobyerno.
* **Executive Order No. 26 (Enhancing Energy Efficiency and Conservation in Government Operations):** Ang Executive Order na ito ay nagpapatibay sa pagpapatupad ng mga kasanayan sa kahusayan ng enerhiya sa mga ahensya ng gobyerno. Nag-uutos ito ng mga aksyon tulad ng:
    * **Energy Audits:** Nangangailangan ng regular na pag-audit ng enerhiya ng mga gusali ng pamahalaan upang matukoy ang mga lugar para sa pagpapabuti.
    * **Energy Performance Contracting (EPC):** Hinihikayat ang mga ahensya ng gobyerno na galugarin ang mga proyekto ng EPC, kung saan namumuhunan ang mga pribadong kumpanya sa pag-upgrade ng imprastraktura ng enerhiya at ibahagi ang mga natitipid sa gastos.
    * **Pagkuha ng Energy-Efficient Equipment:** Pag-uutos sa mga ahensya ng gobyerno na unahin ang energy-efficient na kagamitan at appliances kapag bibili ng mga bagong pagbili.
**2. Mga Ahensya sa Pagreregula:**
* **Department of Energy (DOE):** Ang DOE ay gumaganap ng isang pangunahing papel sa pagtataguyod ng kahusayan sa enerhiya sa pamahalaan. ito:
    * Bumubuo at nagpapatupad ng pambansang EE&amp;C Master Plan para sa mga ahensya ng gobyerno.
    * Nagbibigay ng teknikal na tulong at mga programa sa pagbuo ng kapasidad sa mga ahensya ng gobyerno sa mga kasanayan sa pamamahala ng enerhiya.
    * Sinusubaybayan at sinusuri ang progreso ng mga ahensya ng gobyerno sa pagkamit ng mga target sa kahusayan sa enerhiya.
* **Commission on Audit (COA):** Isinasama ng COA ang mga pagsasaalang-alang sa kahusayan ng enerhiya sa mga proseso ng pag-audit nito para sa mga ahensya ng gobyerno. Hinihikayat nito ang responsableng pamamahala ng mapagkukunan at tinutukoy ang mga lugar para sa pagpapabuti.
**3. Mga Sistema sa Pamamahala ng Pagganap:**
* **Sistema ng Pamamahala ng Pagganap ng Pamahalaan (GPMS):** Ang sistema ng GPMP ay isinasama ang kahusayan sa enerhiya bilang tagapagpahiwatig ng pagganap para sa mga ahensya ng gobyerno. Pinapanagot nito ang mga ahensya para sa pagkamit ng mga partikular na target sa pagtitipid ng enerhiya.
**4. Mga Pagsasaalang-alang sa Badyet:**
* **Mga Alokasyon sa Badyet:** Maaaring maglaan ang pamahalaan ng mga badyet partikular para sa mga proyektong tipid sa enerhiya sa loob ng mga ahensya ng gobyerno. Maaaring kabilang dito ang mga pondo para sa pagsasaayos ng mga gusali, pagbili ng kagamitang matipid sa enerhiya, o pamumuhunan sa mga pinagkukunan ng nababagong enerhiya.
* **Cost Savings Reinvestment:** Ang mga ahensyang nakakamit ng makabuluhang pagtitipid sa gastos sa enerhiya ay maaaring payagang muling mamuhunan ng isang bahagi ng mga matitipid na ito sa karagdagang pag-upgrade ng kahusayan sa enerhiya, na lumilikha ng positibong feedback loop.
**Mga Hamon at Oportunidad:**
* **Mga Limitadong Mapagkukunan:** Maaaring harapin ng mga ahensya ng gobyerno ang mga limitadong badyet upang mamuhunan sa mga paunang gastos na nauugnay sa mga upgrade sa kahusayan sa enerhiya.
* **Kadalubhasaan sa Teknikal:** Ang pagbuo ng kapasidad sa loob ng mga ahensya ng gobyerno upang ipatupad at pamahalaan ang mga programang pang-episyente sa enerhiya ay nangangailangan ng patuloy na pagsasanay at suporta.
* **Pagsubaybay at Pagsusuri:** Ang mga epektibong sistema ng pagsubaybay at pagsusuri ay mahalaga upang masubaybayan ang pag-unlad at matukoy ang mga lugar para sa pagpapabuti.
**Sa kabila ng mga hamong ito, ang Pilipinas ay may legal na balangkas na nakalagay upang isulong ang kahusayan sa enerhiya sa mga ahensya ng gobyerno. Sa pamamagitan ng pagpapalakas ng pagpapatupad, pagbuo ng kapasidad, at pagtiyak ng sapat na pagpopondo, ang pamahalaan ay maaaring mamuno sa pamamagitan ng halimbawa at makabuluhang mag-ambag sa mga pangkalahatang layunin ng kahusayan sa enerhiya.** </v>
      </c>
      <c r="F2865" s="2">
        <f t="shared" si="1"/>
        <v>0</v>
      </c>
      <c r="G2865" s="2"/>
      <c r="H2865" s="2"/>
      <c r="I2865" s="2"/>
      <c r="J2865" s="2"/>
      <c r="K2865" s="2"/>
      <c r="L2865" s="2"/>
      <c r="M2865" s="2"/>
      <c r="N2865" s="2"/>
      <c r="O2865" s="2"/>
      <c r="P2865" s="2"/>
      <c r="Q2865" s="2"/>
      <c r="R2865" s="2"/>
      <c r="S2865" s="2"/>
      <c r="T2865" s="2"/>
      <c r="U2865" s="2"/>
      <c r="V2865" s="2"/>
      <c r="W2865" s="2"/>
      <c r="X2865" s="2"/>
      <c r="Y2865" s="2"/>
      <c r="Z2865" s="2"/>
      <c r="AA2865" s="2"/>
    </row>
    <row r="2866">
      <c r="A2866" s="3" t="s">
        <v>6661</v>
      </c>
      <c r="B2866" s="1" t="s">
        <v>6706</v>
      </c>
      <c r="C2866" s="3" t="s">
        <v>6707</v>
      </c>
      <c r="D2866" s="2" t="str">
        <f>IFERROR(__xludf.DUMMYFUNCTION("GOOGLETRANSLATE(B2866, ""en"", ""TL"")"),"Talakayin ang papel ng public-private partnership sa pagsusulong ng mga layunin sa pagpapanatili ng enerhiya.")</f>
        <v>Talakayin ang papel ng public-private partnership sa pagsusulong ng mga layunin sa pagpapanatili ng enerhiya.</v>
      </c>
      <c r="E2866" s="2" t="str">
        <f>IFERROR(__xludf.DUMMYFUNCTION("GOOGLETRANSLATE(C2866, ""en"", ""TL"")"),"Bagama't hindi tahasang tinutugunan ng batas ng Pilipinas ang mga public-private partnership (PPP) para sa pagpapanatili ng enerhiya, ang Konstitusyon at ilang Republic Acts ay nagbibigay ng balangkas na nagbibigay-daan sa kanila. Ganito:
**Konstitusyo"&amp;"n**
* **Artikulo XII, Seksyon 2**: Kinikilala ng seksyong ito ang ""mahahalagang papel ng pribadong sektor sa pagbibigay ng mga serbisyong panlipunan at pagtataguyod ng produktibidad."" Binubuksan nito ang pinto para sa mga pribadong kumpanya na lumaho"&amp;"k sa mga inisyatiba na tumutugon sa mga pambansang pangangailangan, tulad ng pagpapanatili ng enerhiya.
* **Artikulo XVI, Seksyon 9**: Dapat bigyang-priyoridad ng Estado ang ""pag-unlad ng isang self-reliant at independiyenteng pambansang ekonomiya na ep"&amp;"ektibong isinama sa pandaigdigang pamilihan.""  Ito ay maaaring bigyang-kahulugan na isama ang pagpapatibay ng pampublikong-pribadong pakikipagsosyo upang makamit ang seguridad at pagpapanatili ng enerhiya sa pamamagitan ng pagbabago at pakikipagtulungan."&amp;"
**Mga Potensyal na May Kaugnayang Republic Acts**
* **Republic Act No. 6938 - The Department of Energy Act of 1992**: Itinatag ng RA na ito ang Department of Energy (DOE) at binibigyang kapangyarihan ito na ""magbalangkas, magrekomenda, at magpatup"&amp;"ad ng mga patakaran, plano at programa para sa buong sektor ng enerhiya ."" Maaaring gamitin ng DOE ang mga PPP bilang isang diskarte upang makamit ang mga layunin sa pagpapanatili ng enerhiya na nakabalangkas sa kanilang mga plano at programa.  
* **Rep"&amp;"ublic Act No. 9514 - The Renewable Energy Act of 2008**: Ang RA na ito ay nagtataguyod ng pagbuo, paggamit, at komersyalisasyon ng mga nababagong pinagkukunan ng enerhiya. Lumilikha ito ng mga insentibo para sa mga pribadong kumpanya na mamuhunan sa mga p"&amp;"royekto ng nababagong enerhiya, na nagpapatibay ng isang posibleng kapaligiran para sa mga PPP.
**Sa pangkalahatan, pinapayagan ng batas ng Pilipinas ang public-private partnership na gumanap ng papel sa pagsusulong ng mga layunin sa pagpapanatili ng e"&amp;"nerhiya, ngunit maaaring wala pang partikular na legal na balangkas na namamahala sa mga ito.**
Narito ang ilang potensyal na benepisyo ng mga PPP para sa pagpapanatili ng enerhiya batay sa mga pangkalahatang prinsipyo:
* **Pagtaas ng Pamumuhunan:**"&amp;" Ang pagpopondo ng pribadong sektor ay maaaring makadagdag sa mga mapagkukunan ng pamahalaan para sa mga proyektong nababagong enerhiya.
* **Technological Innovation:** Ang mga pribadong kumpanya ay kadalasang may kadalubhasaan at mapagkukunan upang bumu"&amp;"o at magpatupad ng mga bagong teknolohiya para sa malinis na enerhiya.
* **Kahusayan at Dalubhasa:** Maaaring gamitin ng pakikipagtulungan ang mga lakas ng parehong pampubliko at pribadong sektor para sa mahusay na pagpapatupad ng proyekto.
**Mahalaga"&amp;"ng tandaan na ang mga PPP ay mayroon ding mga potensyal na disbentaha na nangangailangan ng maingat na pagsasaalang-alang:**
* **Profit Motive vs. Public Good:** Maaaring unahin ng mga pribadong kumpanya ang tubo kaysa sa mga pangmatagalang layunin sa "&amp;"pagpapanatili.
* **Transparency at Pananagutan:** Ang mga malinaw na alituntunin ay kailangan upang matiyak ang transparency at pananagutan sa mga kasunduan sa PPP.
* **Equity at Accessibility:** Ang mga PPP ay dapat na idinisenyo upang matiyak na mapap"&amp;"anatili ng enerhiya ang mga benepisyo ng lahat ng Pilipino, hindi lamang ng ilang piling.
Para sa isang mas komprehensibong pag-unawa kung paano maipapatupad ang mga PPP sa loob ng legal na balangkas ng Pilipinas para sa pagsusulong ng pagpapanatili ng"&amp;" enerhiya, maaaring kailanganin ang karagdagang pananaliksik sa mga partikular na programa o legal na pag-unlad na nauugnay sa mga PPP sa sektor ng enerhiya. ")</f>
        <v>Bagama't hindi tahasang tinutugunan ng batas ng Pilipinas ang mga public-private partnership (PPP) para sa pagpapanatili ng enerhiya, ang Konstitusyon at ilang Republic Acts ay nagbibigay ng balangkas na nagbibigay-daan sa kanila. Ganito:
**Konstitusyon**
* **Artikulo XII, Seksyon 2**: Kinikilala ng seksyong ito ang "mahahalagang papel ng pribadong sektor sa pagbibigay ng mga serbisyong panlipunan at pagtataguyod ng produktibidad." Binubuksan nito ang pinto para sa mga pribadong kumpanya na lumahok sa mga inisyatiba na tumutugon sa mga pambansang pangangailangan, tulad ng pagpapanatili ng enerhiya.
* **Artikulo XVI, Seksyon 9**: Dapat bigyang-priyoridad ng Estado ang "pag-unlad ng isang self-reliant at independiyenteng pambansang ekonomiya na epektibong isinama sa pandaigdigang pamilihan."  Ito ay maaaring bigyang-kahulugan na isama ang pagpapatibay ng pampublikong-pribadong pakikipagsosyo upang makamit ang seguridad at pagpapanatili ng enerhiya sa pamamagitan ng pagbabago at pakikipagtulungan.
**Mga Potensyal na May Kaugnayang Republic Acts**
* **Republic Act No. 6938 - The Department of Energy Act of 1992**: Itinatag ng RA na ito ang Department of Energy (DOE) at binibigyang kapangyarihan ito na "magbalangkas, magrekomenda, at magpatupad ng mga patakaran, plano at programa para sa buong sektor ng enerhiya ." Maaaring gamitin ng DOE ang mga PPP bilang isang diskarte upang makamit ang mga layunin sa pagpapanatili ng enerhiya na nakabalangkas sa kanilang mga plano at programa.  
* **Republic Act No. 9514 - The Renewable Energy Act of 2008**: Ang RA na ito ay nagtataguyod ng pagbuo, paggamit, at komersyalisasyon ng mga nababagong pinagkukunan ng enerhiya. Lumilikha ito ng mga insentibo para sa mga pribadong kumpanya na mamuhunan sa mga proyekto ng nababagong enerhiya, na nagpapatibay ng isang posibleng kapaligiran para sa mga PPP.
**Sa pangkalahatan, pinapayagan ng batas ng Pilipinas ang public-private partnership na gumanap ng papel sa pagsusulong ng mga layunin sa pagpapanatili ng enerhiya, ngunit maaaring wala pang partikular na legal na balangkas na namamahala sa mga ito.**
Narito ang ilang potensyal na benepisyo ng mga PPP para sa pagpapanatili ng enerhiya batay sa mga pangkalahatang prinsipyo:
* **Pagtaas ng Pamumuhunan:** Ang pagpopondo ng pribadong sektor ay maaaring makadagdag sa mga mapagkukunan ng pamahalaan para sa mga proyektong nababagong enerhiya.
* **Technological Innovation:** Ang mga pribadong kumpanya ay kadalasang may kadalubhasaan at mapagkukunan upang bumuo at magpatupad ng mga bagong teknolohiya para sa malinis na enerhiya.
* **Kahusayan at Dalubhasa:** Maaaring gamitin ng pakikipagtulungan ang mga lakas ng parehong pampubliko at pribadong sektor para sa mahusay na pagpapatupad ng proyekto.
**Mahalagang tandaan na ang mga PPP ay mayroon ding mga potensyal na disbentaha na nangangailangan ng maingat na pagsasaalang-alang:**
* **Profit Motive vs. Public Good:** Maaaring unahin ng mga pribadong kumpanya ang tubo kaysa sa mga pangmatagalang layunin sa pagpapanatili.
* **Transparency at Pananagutan:** Ang mga malinaw na alituntunin ay kailangan upang matiyak ang transparency at pananagutan sa mga kasunduan sa PPP.
* **Equity at Accessibility:** Ang mga PPP ay dapat na idinisenyo upang matiyak na mapapanatili ng enerhiya ang mga benepisyo ng lahat ng Pilipino, hindi lamang ng ilang piling.
Para sa isang mas komprehensibong pag-unawa kung paano maipapatupad ang mga PPP sa loob ng legal na balangkas ng Pilipinas para sa pagsusulong ng pagpapanatili ng enerhiya, maaaring kailanganin ang karagdagang pananaliksik sa mga partikular na programa o legal na pag-unlad na nauugnay sa mga PPP sa sektor ng enerhiya. </v>
      </c>
      <c r="F2866" s="2">
        <f t="shared" si="1"/>
        <v>0</v>
      </c>
      <c r="G2866" s="2"/>
      <c r="H2866" s="2"/>
      <c r="I2866" s="2"/>
      <c r="J2866" s="2"/>
      <c r="K2866" s="2"/>
      <c r="L2866" s="2"/>
      <c r="M2866" s="2"/>
      <c r="N2866" s="2"/>
      <c r="O2866" s="2"/>
      <c r="P2866" s="2"/>
      <c r="Q2866" s="2"/>
      <c r="R2866" s="2"/>
      <c r="S2866" s="2"/>
      <c r="T2866" s="2"/>
      <c r="U2866" s="2"/>
      <c r="V2866" s="2"/>
      <c r="W2866" s="2"/>
      <c r="X2866" s="2"/>
      <c r="Y2866" s="2"/>
      <c r="Z2866" s="2"/>
      <c r="AA2866" s="2"/>
    </row>
    <row r="2867">
      <c r="A2867" s="3" t="s">
        <v>6661</v>
      </c>
      <c r="B2867" s="1" t="s">
        <v>6708</v>
      </c>
      <c r="C2867" s="3" t="s">
        <v>6709</v>
      </c>
      <c r="D2867" s="2" t="str">
        <f>IFERROR(__xludf.DUMMYFUNCTION("GOOGLETRANSLATE(B2867, ""en"", ""TL"")"),"Paano tinutugunan ng Pilipinas ang mga isyu ng kahirapan sa enerhiya at access sa kuryente sa mga malalayong lugar?")</f>
        <v>Paano tinutugunan ng Pilipinas ang mga isyu ng kahirapan sa enerhiya at access sa kuryente sa mga malalayong lugar?</v>
      </c>
      <c r="E2867" s="2" t="str">
        <f>IFERROR(__xludf.DUMMYFUNCTION("GOOGLETRANSLATE(C2867, ""en"", ""TL"")"),"Ang Pilipinas ay humaharap sa kahirapan sa enerhiya at liblib na lugar na elektripikasyon sa pamamagitan ng kumbinasyon ng mga legal na balangkas at mga programa ng pamahalaan. Narito ang isang breakdown batay sa batas ng Pilipinas:
**Konstitusyon ng P"&amp;"ilipinas**
* **Artikulo XII, Seksyon 16**: Ang seksiyong ito ay nag-uutos sa Estado na ""isulong ang katangi-tanging paggamit ng mga pinagmumulan ng nababagong enerhiya, kabilang ang hydro, wind, geothermal, biomass, solar at tidal energies sa pagpapau"&amp;"nlad ng likas na yaman ng bansa.""  Ang probisyon ng konstitusyon na ito ay naglalatag ng batayan para sa pagbibigay-priyoridad sa malinis at napapanatiling mga pinagkukunan ng enerhiya na posibleng mas madaling mapuntahan sa mga malalayong lugar.
**Re"&amp;"public Acts**
* **Republic Act No. 9136 - Ang Electric Power Industry Reform Act of 2001 (EPIRA)**: Binago ng batas na ito ang sektor ng kuryente, na lumikha ng isang mapagkumpitensyang kapaligiran sa pamilihan.  Bagama't hindi direktang tinutugunan ng"&amp;" EPIRA ang mga malalayong lugar, nagbibigay ito ng balangkas para sa potensyal na pamumuhunan ng pribadong sektor sa mga solusyon sa nababagong enerhiya para sa mga rehiyong ito.
* **Republic Act No. 7832 - The Expanded Rural Electrification Act of 1995*"&amp;"*: Ang RA na ito ay isang mahalagang piraso ng batas para sa pagtugon sa elektripikasyon sa mga malalayong lugar. Itinatag nito ang Expanded Rural Electrification Board (ERB) na naatasang bumalangkas ng mga patakaran at programa para magdala ng kuryente s"&amp;"a mga lugar na hindi naseserbisyuhan at kulang sa serbisyo.
* **Republic Act No. 9514 - The Renewable Energy Act of 2008**: Gaya ng nabanggit kanina, ang RA na ito ay nagtataguyod ng renewable energy development.  Ito ay maaaring maging instrumento sa pa"&amp;"gbibigay ng napapanatiling at potensyal na mas abot-kayang mga solusyon sa kuryente para sa mga malalayong komunidad kung saan ang extension ng grid ay maaaring hindi magagawa.
**Mga Programa ng Pamahalaan**
* **Ang Department of Energy (DOE)**, na "&amp;"nilikha sa ilalim ng RA 6938, ay gumaganap ng isang mahalagang papel. Ang DOE, kasama ang ERB, ay nagpapatupad ng iba't ibang programa para makamit ang elektripikasyon sa mga malalayong lugar. Maaaring kabilang sa mga programang ito ang:
    * Magbigay n"&amp;"g mga subsidyo para sa mga teknolohiyang nababagong enerhiya tulad ng mga solar panel.
    * Pagbuo ng mga microgrids – mas maliit, naka-localize na mga sistema ng kuryente na pinapagana ng mga renewable source – na angkop para sa malalayong komunidad.
"&amp;"    * Pakikipagtulungan sa mga local government units (LGUs) para tukuyin at bigyang prayoridad ang mga proyekto ng elektripikasyon sa mga malalayong lugar. 
**Sa pangkalahatan, kinikilala ng batas ng Pilipinas ang pangangailangan para sa elektripikasy"&amp;"on sa mga malalayong lugar at nagbibigay ng balangkas para sa interbensyon ng gobyerno at public-private partnership para makamit ang layuning ito.** Ang pagtuon sa renewable energy sa pamamagitan ng Konstitusyon at Renewable Energy Act ay partikular na n"&amp;"auugnay para sa napapanatiling solusyon sa malalayong lokasyon.
**Narito ang ilang limitasyon na dapat isaalang-alang**
* Ang mga hadlang sa pagpopondo ay maaaring makahadlang sa bilis ng elektripikasyon sa mga malalayong lugar.
* Ang mga heograpik"&amp;"al na hamon at nagkalat na populasyon ay maaaring gawing mahal at hindi praktikal ang extension ng grid sa ilang mga kaso.
* Ang pagtiyak sa pagiging abot-kaya at pangmatagalang pagpapanatili ng mga solusyon sa enerhiya para sa mga sambahayan na mababa a"&amp;"ng kita sa malalayong lugar ay nananatiling isang patuloy na hamon.
Ang Pilipinas ay patuloy na bumuo ng kanyang legal at programmatic na balangkas upang matugunan ang mga hamong ito at makamit ang layunin nitong ganap na elektripikasyon. ")</f>
        <v>Ang Pilipinas ay humaharap sa kahirapan sa enerhiya at liblib na lugar na elektripikasyon sa pamamagitan ng kumbinasyon ng mga legal na balangkas at mga programa ng pamahalaan. Narito ang isang breakdown batay sa batas ng Pilipinas:
**Konstitusyon ng Pilipinas**
* **Artikulo XII, Seksyon 16**: Ang seksiyong ito ay nag-uutos sa Estado na "isulong ang katangi-tanging paggamit ng mga pinagmumulan ng nababagong enerhiya, kabilang ang hydro, wind, geothermal, biomass, solar at tidal energies sa pagpapaunlad ng likas na yaman ng bansa."  Ang probisyon ng konstitusyon na ito ay naglalatag ng batayan para sa pagbibigay-priyoridad sa malinis at napapanatiling mga pinagkukunan ng enerhiya na posibleng mas madaling mapuntahan sa mga malalayong lugar.
**Republic Acts**
* **Republic Act No. 9136 - Ang Electric Power Industry Reform Act of 2001 (EPIRA)**: Binago ng batas na ito ang sektor ng kuryente, na lumikha ng isang mapagkumpitensyang kapaligiran sa pamilihan.  Bagama't hindi direktang tinutugunan ng EPIRA ang mga malalayong lugar, nagbibigay ito ng balangkas para sa potensyal na pamumuhunan ng pribadong sektor sa mga solusyon sa nababagong enerhiya para sa mga rehiyong ito.
* **Republic Act No. 7832 - The Expanded Rural Electrification Act of 1995**: Ang RA na ito ay isang mahalagang piraso ng batas para sa pagtugon sa elektripikasyon sa mga malalayong lugar. Itinatag nito ang Expanded Rural Electrification Board (ERB) na naatasang bumalangkas ng mga patakaran at programa para magdala ng kuryente sa mga lugar na hindi naseserbisyuhan at kulang sa serbisyo.
* **Republic Act No. 9514 - The Renewable Energy Act of 2008**: Gaya ng nabanggit kanina, ang RA na ito ay nagtataguyod ng renewable energy development.  Ito ay maaaring maging instrumento sa pagbibigay ng napapanatiling at potensyal na mas abot-kayang mga solusyon sa kuryente para sa mga malalayong komunidad kung saan ang extension ng grid ay maaaring hindi magagawa.
**Mga Programa ng Pamahalaan**
* **Ang Department of Energy (DOE)**, na nilikha sa ilalim ng RA 6938, ay gumaganap ng isang mahalagang papel. Ang DOE, kasama ang ERB, ay nagpapatupad ng iba't ibang programa para makamit ang elektripikasyon sa mga malalayong lugar. Maaaring kabilang sa mga programang ito ang:
    * Magbigay ng mga subsidyo para sa mga teknolohiyang nababagong enerhiya tulad ng mga solar panel.
    * Pagbuo ng mga microgrids – mas maliit, naka-localize na mga sistema ng kuryente na pinapagana ng mga renewable source – na angkop para sa malalayong komunidad.
    * Pakikipagtulungan sa mga local government units (LGUs) para tukuyin at bigyang prayoridad ang mga proyekto ng elektripikasyon sa mga malalayong lugar. 
**Sa pangkalahatan, kinikilala ng batas ng Pilipinas ang pangangailangan para sa elektripikasyon sa mga malalayong lugar at nagbibigay ng balangkas para sa interbensyon ng gobyerno at public-private partnership para makamit ang layuning ito.** Ang pagtuon sa renewable energy sa pamamagitan ng Konstitusyon at Renewable Energy Act ay partikular na nauugnay para sa napapanatiling solusyon sa malalayong lokasyon.
**Narito ang ilang limitasyon na dapat isaalang-alang**
* Ang mga hadlang sa pagpopondo ay maaaring makahadlang sa bilis ng elektripikasyon sa mga malalayong lugar.
* Ang mga heograpikal na hamon at nagkalat na populasyon ay maaaring gawing mahal at hindi praktikal ang extension ng grid sa ilang mga kaso.
* Ang pagtiyak sa pagiging abot-kaya at pangmatagalang pagpapanatili ng mga solusyon sa enerhiya para sa mga sambahayan na mababa ang kita sa malalayong lugar ay nananatiling isang patuloy na hamon.
Ang Pilipinas ay patuloy na bumuo ng kanyang legal at programmatic na balangkas upang matugunan ang mga hamong ito at makamit ang layunin nitong ganap na elektripikasyon. </v>
      </c>
      <c r="F2867" s="2">
        <f t="shared" si="1"/>
        <v>0</v>
      </c>
      <c r="G2867" s="2"/>
      <c r="H2867" s="2"/>
      <c r="I2867" s="2"/>
      <c r="J2867" s="2"/>
      <c r="K2867" s="2"/>
      <c r="L2867" s="2"/>
      <c r="M2867" s="2"/>
      <c r="N2867" s="2"/>
      <c r="O2867" s="2"/>
      <c r="P2867" s="2"/>
      <c r="Q2867" s="2"/>
      <c r="R2867" s="2"/>
      <c r="S2867" s="2"/>
      <c r="T2867" s="2"/>
      <c r="U2867" s="2"/>
      <c r="V2867" s="2"/>
      <c r="W2867" s="2"/>
      <c r="X2867" s="2"/>
      <c r="Y2867" s="2"/>
      <c r="Z2867" s="2"/>
      <c r="AA2867" s="2"/>
    </row>
    <row r="2868">
      <c r="A2868" s="3" t="s">
        <v>6661</v>
      </c>
      <c r="B2868" s="1" t="s">
        <v>6710</v>
      </c>
      <c r="C2868" s="3" t="s">
        <v>6711</v>
      </c>
      <c r="D2868" s="2" t="str">
        <f>IFERROR(__xludf.DUMMYFUNCTION("GOOGLETRANSLATE(B2868, ""en"", ""TL"")"),"Anong mga legal na probisyon ang namamahala sa paggamit ng solar energy sa mga gusaling tirahan at komersyal?")</f>
        <v>Anong mga legal na probisyon ang namamahala sa paggamit ng solar energy sa mga gusaling tirahan at komersyal?</v>
      </c>
      <c r="E2868" s="2" t="str">
        <f>IFERROR(__xludf.DUMMYFUNCTION("GOOGLETRANSLATE(C2868, ""en"", ""TL"")"),"Ang Pilipinas ay gumagamit ng dalawang pangunahing Republic Acts (RA) upang pamahalaan ang paggamit ng solar energy sa mga gusaling tirahan at komersyal:
**1. Republic Act No. 9513 - The Renewable Energy Act of 2008 (RA 9513)**
* Ang RA na ito ay na"&amp;"glalatag ng batayan para sa pagtataguyod ng pagbuo, paggamit, at komersyalisasyon ng mga nababagong mapagkukunan ng enerhiya, kabilang ang solar energy. 
* Lumilikha ito ng balangkas para sa pagbibigay ng mga insentibo para sa paggamit ng solar power, tu"&amp;"lad ng mga feed-in-tariff (FITs) na nagpapahintulot sa mga indibidwal at negosyo na makakuha ng mga kredito sa pamamagitan ng pagpapakain ng labis na solar energy pabalik sa grid.
* Makakakita ka ng higit pang mga detalye tungkol sa RA 9513 sa Official G"&amp;"azette website [https://www.officialgazette.gov.ph/2008/12/16/republic-act-no-9513/](https://www.officialgazette .gov.ph/2008/12/16/republic-act-no-9513/).
**2. Republic Act No. 11285 - The Energy Efficiency and Conservation Act of 2018 (RA 11285)**
"&amp;"
* Ang RA na ito ay mas bago at nakatutok sa pagtataguyod ng kahusayan sa enerhiya at pagtitipid sa mga gusali.
* Ang Seksyon 18 ng RA 11285 ay nag-uutos na ang mga bagong gusali at imprastraktura ay dapat sumunod sa isang kinakailangan upang pagmulan **"&amp;"kahit 1% ng kanilang kabuuang pangangailangan ng kuryente mula sa renewable energy**, na maaaring kabilang ang solar power.
* Hinihikayat ng probisyong ito ang pagsasama ng mga solar energy system sa mga bagong construction.
* Mahahanap mo ang RA 11285 "&amp;"sa website ng Philippine eLibrary [https://elibrary.judiciary.gov.ph/](https://elibrary.judiciary.gov.ph/).
**Mga Karagdagang Punto**
* Ang Kagawaran ng Enerhiya (DOE) ay nag-isyu ng pagpapatupad ng mga tuntunin at regulasyon para sa mga RA na ito. "&amp;"Ang mga regulasyong ito ay nagbibigay ng mas tiyak na mga alituntunin kung paano sumunod sa mga legal na kinakailangan at mag-avail ng mga insentibo para sa paggamit ng solar energy. 
* Ang mga local government units (LGUs) ay maaari ding magkaroon ng sa"&amp;"rili nilang mga ordinansa o regulasyon na may kaugnayan sa solar energy installations. Maipapayo na suriin sa iyong lokal na departamento ng gusali para sa anumang karagdagang mga kinakailangan sa iyong lugar.
**Habang ang mga RA na ito ay nagbibigay n"&amp;"g pangunahing legal na balangkas, mahalagang kumunsulta sa isang kwalipikadong propesyonal para sa partikular na payo sa pag-install ng mga solar panel sa iyong tirahan o komersyal na gusali.** Makakatulong sila sa iyo na mag-navigate sa mga legal na kina"&amp;"kailangan, matukoy ang pinakamahusay na sistema para sa iyong pangangailangan, at tiyaking sumusunod ang iyong pag-install sa lahat ng naaangkop na regulasyon.
")</f>
        <v>Ang Pilipinas ay gumagamit ng dalawang pangunahing Republic Acts (RA) upang pamahalaan ang paggamit ng solar energy sa mga gusaling tirahan at komersyal:
**1. Republic Act No. 9513 - The Renewable Energy Act of 2008 (RA 9513)**
* Ang RA na ito ay naglalatag ng batayan para sa pagtataguyod ng pagbuo, paggamit, at komersyalisasyon ng mga nababagong mapagkukunan ng enerhiya, kabilang ang solar energy. 
* Lumilikha ito ng balangkas para sa pagbibigay ng mga insentibo para sa paggamit ng solar power, tulad ng mga feed-in-tariff (FITs) na nagpapahintulot sa mga indibidwal at negosyo na makakuha ng mga kredito sa pamamagitan ng pagpapakain ng labis na solar energy pabalik sa grid.
* Makakakita ka ng higit pang mga detalye tungkol sa RA 9513 sa Official Gazette website [https://www.officialgazette.gov.ph/2008/12/16/republic-act-no-9513/](https://www.officialgazette .gov.ph/2008/12/16/republic-act-no-9513/).
**2. Republic Act No. 11285 - The Energy Efficiency and Conservation Act of 2018 (RA 11285)**
* Ang RA na ito ay mas bago at nakatutok sa pagtataguyod ng kahusayan sa enerhiya at pagtitipid sa mga gusali.
* Ang Seksyon 18 ng RA 11285 ay nag-uutos na ang mga bagong gusali at imprastraktura ay dapat sumunod sa isang kinakailangan upang pagmulan **kahit 1% ng kanilang kabuuang pangangailangan ng kuryente mula sa renewable energy**, na maaaring kabilang ang solar power.
* Hinihikayat ng probisyong ito ang pagsasama ng mga solar energy system sa mga bagong construction.
* Mahahanap mo ang RA 11285 sa website ng Philippine eLibrary [https://elibrary.judiciary.gov.ph/](https://elibrary.judiciary.gov.ph/).
**Mga Karagdagang Punto**
* Ang Kagawaran ng Enerhiya (DOE) ay nag-isyu ng pagpapatupad ng mga tuntunin at regulasyon para sa mga RA na ito. Ang mga regulasyong ito ay nagbibigay ng mas tiyak na mga alituntunin kung paano sumunod sa mga legal na kinakailangan at mag-avail ng mga insentibo para sa paggamit ng solar energy. 
* Ang mga local government units (LGUs) ay maaari ding magkaroon ng sarili nilang mga ordinansa o regulasyon na may kaugnayan sa solar energy installations. Maipapayo na suriin sa iyong lokal na departamento ng gusali para sa anumang karagdagang mga kinakailangan sa iyong lugar.
**Habang ang mga RA na ito ay nagbibigay ng pangunahing legal na balangkas, mahalagang kumunsulta sa isang kwalipikadong propesyonal para sa partikular na payo sa pag-install ng mga solar panel sa iyong tirahan o komersyal na gusali.** Makakatulong sila sa iyo na mag-navigate sa mga legal na kinakailangan, matukoy ang pinakamahusay na sistema para sa iyong pangangailangan, at tiyaking sumusunod ang iyong pag-install sa lahat ng naaangkop na regulasyon.
</v>
      </c>
      <c r="F2868" s="2">
        <f t="shared" si="1"/>
        <v>0</v>
      </c>
      <c r="G2868" s="2"/>
      <c r="H2868" s="2"/>
      <c r="I2868" s="2"/>
      <c r="J2868" s="2"/>
      <c r="K2868" s="2"/>
      <c r="L2868" s="2"/>
      <c r="M2868" s="2"/>
      <c r="N2868" s="2"/>
      <c r="O2868" s="2"/>
      <c r="P2868" s="2"/>
      <c r="Q2868" s="2"/>
      <c r="R2868" s="2"/>
      <c r="S2868" s="2"/>
      <c r="T2868" s="2"/>
      <c r="U2868" s="2"/>
      <c r="V2868" s="2"/>
      <c r="W2868" s="2"/>
      <c r="X2868" s="2"/>
      <c r="Y2868" s="2"/>
      <c r="Z2868" s="2"/>
      <c r="AA2868" s="2"/>
    </row>
    <row r="2869">
      <c r="A2869" s="3" t="s">
        <v>6661</v>
      </c>
      <c r="B2869" s="1" t="s">
        <v>6712</v>
      </c>
      <c r="C2869" s="3" t="s">
        <v>6713</v>
      </c>
      <c r="D2869" s="2" t="str">
        <f>IFERROR(__xludf.DUMMYFUNCTION("GOOGLETRANSLATE(B2869, ""en"", ""TL"")"),"Ipagpalagay na ang isang proyekto ng renewable energy ay nahaharap sa oposisyon mula sa mga katutubong komunidad dahil sa mga alalahanin tungkol sa mga karapatan sa lupa. Paano mo maipapayo ang gobyerno na tugunan ang sitwasyong ito nang legal?")</f>
        <v>Ipagpalagay na ang isang proyekto ng renewable energy ay nahaharap sa oposisyon mula sa mga katutubong komunidad dahil sa mga alalahanin tungkol sa mga karapatan sa lupa. Paano mo maipapayo ang gobyerno na tugunan ang sitwasyong ito nang legal?</v>
      </c>
      <c r="E2869" s="2" t="str">
        <f>IFERROR(__xludf.DUMMYFUNCTION("GOOGLETRANSLATE(C2869, ""en"", ""TL"")"),"Narito kung paano ko ipapayo sa gobyerno na tugunan ang isang sitwasyon kung saan ang isang proyekto ng renewable energy ay nahaharap sa oposisyon mula sa mga katutubong komunidad dahil sa mga alalahanin sa mga karapatan sa lupa, kasunod ng batas ng Pilip"&amp;"inas:
**1. Unahin ang Libre, Bago at May Kaalaman na Pahintulot (FPIC)**
* Ang Pilipinas ay isang signatory sa United Nations Declaration on the Rights of Indigenous Peoples (UNDRIP), na nagbibigay-diin sa FPIC. 
* Kahit na walang partikular na lok"&amp;"al na batas na nag-uutos sa FPIC, ang pamahalaan ay dapat kumilos nang may mabuting loob at itaguyod ang diwa ng UNDRIP.
**2. Buksan ang Komunikasyon at Dialogue**
* Magsimula ng bukas at magalang na pag-uusap sa mga kinatawan ng katutubong komunida"&amp;"d. 
* Aktibong makinig sa kanilang mga alalahanin tungkol sa mga karapatan sa lupa at mga potensyal na epekto ng proyekto sa kanilang tradisyonal na paraan ng pamumuhay.
**3. Legal na Balangkas**
* Isaalang-alang ang mga sumusunod na legal na probi"&amp;"syon:
    * Ang Indigenous Peoples Rights Act (Republic Act No. 8371) ay nagpoprotekta sa mga karapatan at kapakanan ng mga katutubong pamayanang kultural. 
    * Kinikilala ng Ancestral Domain Code (Republic Act No. 8371) ang mga karapatan ng mga katut"&amp;"ubo sa kanilang ancestral domain.
**4. Mga Potensyal na Solusyon**
* Galugarin ang mga opsyon na tumutugon sa mga alalahanin ng komunidad:
    * Mga plano sa relokasyon at kompensasyon kung kinakailangan.
    * Mga pagbabago sa proyekto upang maba"&amp;"wasan ang epekto sa mga tradisyonal na kasanayan.
    * Mga kasunduan sa pagbabahagi ng benepisyo na nagtitiyak na ang katutubong komunidad ay nakakakuha ng patas na bahagi ng mga benepisyo ng proyekto.
**5. Mga Legal na Proseso**
* Kung hindi maab"&amp;"ot ang isang pinagkasunduan, maaaring kailanganin ng pamahalaan na isaalang-alang ang mga legal na paraan:
    * Negosasyon sa pamamagitan ng National Commission on Indigenous Peoples (NCIP).
    * Ang paglilitis sa korte bilang isang huling paraan, ngu"&amp;"nit dapat itong iwasan kung maaari dahil sa potensyal para sa mahabang pagkaantala at mga nasirang relasyon.
**Mga Karagdagang Pagsasaalang-alang**
* Transparency ay susi. Magbahagi ng malinaw at naa-access na impormasyon tungkol sa layunin ng proye"&amp;"kto, mga potensyal na epekto, at mga iminungkahing hakbang sa pagpapagaan.
* Tiyakin ang patas at angkop sa kultura na mga proseso ng komunikasyon na gumagalang sa katutubong kaalaman at mga istruktura sa paggawa ng desisyon.
* Magsagawa ng masusing env"&amp;"ironmental impact assessment (EIA) na isinasaalang-alang ang epekto ng proyekto sa kapaligiran at paraan ng pamumuhay ng katutubong komunidad.
Sa pamamagitan ng pagbibigay-priyoridad sa FPIC, bukas na diyalogo, at pagtuklas ng mga solusyon sa loob ng l"&amp;"egal na balangkas, madaragdagan ng pamahalaan ang mga pagkakataon ng isang matagumpay at napapanatiling proyekto ng nababagong enerhiya na gumagalang sa mga karapatan ng mga katutubong komunidad.
")</f>
        <v>Narito kung paano ko ipapayo sa gobyerno na tugunan ang isang sitwasyon kung saan ang isang proyekto ng renewable energy ay nahaharap sa oposisyon mula sa mga katutubong komunidad dahil sa mga alalahanin sa mga karapatan sa lupa, kasunod ng batas ng Pilipinas:
**1. Unahin ang Libre, Bago at May Kaalaman na Pahintulot (FPIC)**
* Ang Pilipinas ay isang signatory sa United Nations Declaration on the Rights of Indigenous Peoples (UNDRIP), na nagbibigay-diin sa FPIC. 
* Kahit na walang partikular na lokal na batas na nag-uutos sa FPIC, ang pamahalaan ay dapat kumilos nang may mabuting loob at itaguyod ang diwa ng UNDRIP.
**2. Buksan ang Komunikasyon at Dialogue**
* Magsimula ng bukas at magalang na pag-uusap sa mga kinatawan ng katutubong komunidad. 
* Aktibong makinig sa kanilang mga alalahanin tungkol sa mga karapatan sa lupa at mga potensyal na epekto ng proyekto sa kanilang tradisyonal na paraan ng pamumuhay.
**3. Legal na Balangkas**
* Isaalang-alang ang mga sumusunod na legal na probisyon:
    * Ang Indigenous Peoples Rights Act (Republic Act No. 8371) ay nagpoprotekta sa mga karapatan at kapakanan ng mga katutubong pamayanang kultural. 
    * Kinikilala ng Ancestral Domain Code (Republic Act No. 8371) ang mga karapatan ng mga katutubo sa kanilang ancestral domain.
**4. Mga Potensyal na Solusyon**
* Galugarin ang mga opsyon na tumutugon sa mga alalahanin ng komunidad:
    * Mga plano sa relokasyon at kompensasyon kung kinakailangan.
    * Mga pagbabago sa proyekto upang mabawasan ang epekto sa mga tradisyonal na kasanayan.
    * Mga kasunduan sa pagbabahagi ng benepisyo na nagtitiyak na ang katutubong komunidad ay nakakakuha ng patas na bahagi ng mga benepisyo ng proyekto.
**5. Mga Legal na Proseso**
* Kung hindi maabot ang isang pinagkasunduan, maaaring kailanganin ng pamahalaan na isaalang-alang ang mga legal na paraan:
    * Negosasyon sa pamamagitan ng National Commission on Indigenous Peoples (NCIP).
    * Ang paglilitis sa korte bilang isang huling paraan, ngunit dapat itong iwasan kung maaari dahil sa potensyal para sa mahabang pagkaantala at mga nasirang relasyon.
**Mga Karagdagang Pagsasaalang-alang**
* Transparency ay susi. Magbahagi ng malinaw at naa-access na impormasyon tungkol sa layunin ng proyekto, mga potensyal na epekto, at mga iminungkahing hakbang sa pagpapagaan.
* Tiyakin ang patas at angkop sa kultura na mga proseso ng komunikasyon na gumagalang sa katutubong kaalaman at mga istruktura sa paggawa ng desisyon.
* Magsagawa ng masusing environmental impact assessment (EIA) na isinasaalang-alang ang epekto ng proyekto sa kapaligiran at paraan ng pamumuhay ng katutubong komunidad.
Sa pamamagitan ng pagbibigay-priyoridad sa FPIC, bukas na diyalogo, at pagtuklas ng mga solusyon sa loob ng legal na balangkas, madaragdagan ng pamahalaan ang mga pagkakataon ng isang matagumpay at napapanatiling proyekto ng nababagong enerhiya na gumagalang sa mga karapatan ng mga katutubong komunidad.
</v>
      </c>
      <c r="F2869" s="2">
        <f t="shared" si="1"/>
        <v>0</v>
      </c>
      <c r="G2869" s="2"/>
      <c r="H2869" s="2"/>
      <c r="I2869" s="2"/>
      <c r="J2869" s="2"/>
      <c r="K2869" s="2"/>
      <c r="L2869" s="2"/>
      <c r="M2869" s="2"/>
      <c r="N2869" s="2"/>
      <c r="O2869" s="2"/>
      <c r="P2869" s="2"/>
      <c r="Q2869" s="2"/>
      <c r="R2869" s="2"/>
      <c r="S2869" s="2"/>
      <c r="T2869" s="2"/>
      <c r="U2869" s="2"/>
      <c r="V2869" s="2"/>
      <c r="W2869" s="2"/>
      <c r="X2869" s="2"/>
      <c r="Y2869" s="2"/>
      <c r="Z2869" s="2"/>
      <c r="AA2869" s="2"/>
    </row>
    <row r="2870">
      <c r="A2870" s="3" t="s">
        <v>6661</v>
      </c>
      <c r="B2870" s="1" t="s">
        <v>6714</v>
      </c>
      <c r="C2870" s="3" t="s">
        <v>6715</v>
      </c>
      <c r="D2870" s="2" t="str">
        <f>IFERROR(__xludf.DUMMYFUNCTION("GOOGLETRANSLATE(B2870, ""en"", ""TL"")"),"Isipin ang isang senaryo kung saan ang isang kumpanya ay natagpuang lumalabag sa mga regulasyon sa kapaligiran sa mga proseso ng paggawa ng enerhiya nito. Anong mga legal na aksyon ang maaaring gawin laban sa kumpanya?")</f>
        <v>Isipin ang isang senaryo kung saan ang isang kumpanya ay natagpuang lumalabag sa mga regulasyon sa kapaligiran sa mga proseso ng paggawa ng enerhiya nito. Anong mga legal na aksyon ang maaaring gawin laban sa kumpanya?</v>
      </c>
      <c r="E2870" s="2" t="str">
        <f>IFERROR(__xludf.DUMMYFUNCTION("GOOGLETRANSLATE(C2870, ""en"", ""TL"")"),"Maaaring magsagawa ng ilang legal na aksyon laban sa isang kumpanyang napatunayang lumalabag sa mga regulasyong pangkalikasan sa Pilipinas:
**1. Administrative Actions ng Department of Environment and Natural Resources (DENR):**
* Ang DENR ang pangu"&amp;"nahing ahensya ng gobyerno na may tungkuling ipatupad ang mga batas sa kapaligiran. 
* Sa pagtuklas ng isang paglabag, ang DENR ay maaaring maglabas ng Notice of Violation (NOV) na nagdedetalye sa mga partikular na regulasyong nilabag.
* Ang kumpanya ay"&amp;" magkakaroon ng pagkakataong tumugon at ayusin ang paglabag. 
* Kung magpapatuloy ang paglabag, ang DENR ay maaaring magpataw ng iba't ibang administratibong parusa, kabilang ang:
    * Mga multa 
    * Pagsuspinde o pagkansela ng mga permit sa kapalig"&amp;"iran
    * Pagtigil-at-pagtigil ng mga utos para sa mga partikular na aktibidad ng polusyon
**2. Mga Paghahabla sa Sibil:**
* Ang mga indibidwal o grupong apektado ng paglabag sa kapaligiran ay maaaring magsampa ng kasong sibil laban sa kumpanya. 
"&amp;"
* Ang kaso na ito ay maaaring humingi ng:
    * Mga pinsala para sa pinsalang dulot ng ari-arian, kalusugan, o kabuhayan.
    * Isang utos upang ihinto ang aktibidad ng polusyon.
**3. Mga Pagsingil sa Kriminal:**
* Depende sa kalubhaan ng paglaba"&amp;"g, ang DENR o iba pang kinauukulang ahensya ay maaaring magsampa ng mga kasong kriminal laban sa kumpanya o sa mga responsableng opisyal nito. 
* Ang mga posibleng kriminal na pagkakasala ay kinabibilangan ng:
    * Paglabag sa Philippine Ecological Sol"&amp;"id Waste Management Act (RA 9003)
    * Paglabag sa Clean Air Act (RA 8749)
    * Paglabag sa Clean Water Act (RA 9275)
**4. Citizen suit:**
* Pinahihintulutan ng batas ng Pilipinas ang mga demanda ng mamamayan sa ilalim ng ilang mga kundisyon. 
"&amp;"* Ang mga concerned citizen o NGO ay maaaring magsampa ng kaso laban sa gobyerno dahil sa hindi pagtupad ng mga batas sa kapaligiran o laban sa kumpanya sa paglabag nito.
**Mga Karagdagang Pagsasaalang-alang:**
* Ang mga partikular na legal na aksyo"&amp;"n na gagawin ay depende sa uri at kalubhaan ng paglabag sa kapaligiran.
* Ang pangangalap ng ebidensya ay mahalaga. Maaaring kabilang dito ang pagkolekta ng data sa mga emisyon, pagdodokumento ng pinsala sa kapaligiran, at pagkuha ng mga testimonya ng sa"&amp;"ksi.
* Ang pagkonsulta sa isang environmental lawyer ay lubos na inirerekomenda para sa epektibong pag-navigate sa legal na proseso.
Sa paggamit ng mga legal na paraan na ito, layunin ng Pilipinas na panagutin ang mga kumpanya para sa mga paglabag sa "&amp;"kapaligiran at hadlangan ang pinsala sa hinaharap.
")</f>
        <v>Maaaring magsagawa ng ilang legal na aksyon laban sa isang kumpanyang napatunayang lumalabag sa mga regulasyong pangkalikasan sa Pilipinas:
**1. Administrative Actions ng Department of Environment and Natural Resources (DENR):**
* Ang DENR ang pangunahing ahensya ng gobyerno na may tungkuling ipatupad ang mga batas sa kapaligiran. 
* Sa pagtuklas ng isang paglabag, ang DENR ay maaaring maglabas ng Notice of Violation (NOV) na nagdedetalye sa mga partikular na regulasyong nilabag.
* Ang kumpanya ay magkakaroon ng pagkakataong tumugon at ayusin ang paglabag. 
* Kung magpapatuloy ang paglabag, ang DENR ay maaaring magpataw ng iba't ibang administratibong parusa, kabilang ang:
    * Mga multa 
    * Pagsuspinde o pagkansela ng mga permit sa kapaligiran
    * Pagtigil-at-pagtigil ng mga utos para sa mga partikular na aktibidad ng polusyon
**2. Mga Paghahabla sa Sibil:**
* Ang mga indibidwal o grupong apektado ng paglabag sa kapaligiran ay maaaring magsampa ng kasong sibil laban sa kumpanya. 
* Ang kaso na ito ay maaaring humingi ng:
    * Mga pinsala para sa pinsalang dulot ng ari-arian, kalusugan, o kabuhayan.
    * Isang utos upang ihinto ang aktibidad ng polusyon.
**3. Mga Pagsingil sa Kriminal:**
* Depende sa kalubhaan ng paglabag, ang DENR o iba pang kinauukulang ahensya ay maaaring magsampa ng mga kasong kriminal laban sa kumpanya o sa mga responsableng opisyal nito. 
* Ang mga posibleng kriminal na pagkakasala ay kinabibilangan ng:
    * Paglabag sa Philippine Ecological Solid Waste Management Act (RA 9003)
    * Paglabag sa Clean Air Act (RA 8749)
    * Paglabag sa Clean Water Act (RA 9275)
**4. Citizen suit:**
* Pinahihintulutan ng batas ng Pilipinas ang mga demanda ng mamamayan sa ilalim ng ilang mga kundisyon. 
* Ang mga concerned citizen o NGO ay maaaring magsampa ng kaso laban sa gobyerno dahil sa hindi pagtupad ng mga batas sa kapaligiran o laban sa kumpanya sa paglabag nito.
**Mga Karagdagang Pagsasaalang-alang:**
* Ang mga partikular na legal na aksyon na gagawin ay depende sa uri at kalubhaan ng paglabag sa kapaligiran.
* Ang pangangalap ng ebidensya ay mahalaga. Maaaring kabilang dito ang pagkolekta ng data sa mga emisyon, pagdodokumento ng pinsala sa kapaligiran, at pagkuha ng mga testimonya ng saksi.
* Ang pagkonsulta sa isang environmental lawyer ay lubos na inirerekomenda para sa epektibong pag-navigate sa legal na proseso.
Sa paggamit ng mga legal na paraan na ito, layunin ng Pilipinas na panagutin ang mga kumpanya para sa mga paglabag sa kapaligiran at hadlangan ang pinsala sa hinaharap.
</v>
      </c>
      <c r="F2870" s="2">
        <f t="shared" si="1"/>
        <v>0</v>
      </c>
      <c r="G2870" s="2"/>
      <c r="H2870" s="2"/>
      <c r="I2870" s="2"/>
      <c r="J2870" s="2"/>
      <c r="K2870" s="2"/>
      <c r="L2870" s="2"/>
      <c r="M2870" s="2"/>
      <c r="N2870" s="2"/>
      <c r="O2870" s="2"/>
      <c r="P2870" s="2"/>
      <c r="Q2870" s="2"/>
      <c r="R2870" s="2"/>
      <c r="S2870" s="2"/>
      <c r="T2870" s="2"/>
      <c r="U2870" s="2"/>
      <c r="V2870" s="2"/>
      <c r="W2870" s="2"/>
      <c r="X2870" s="2"/>
      <c r="Y2870" s="2"/>
      <c r="Z2870" s="2"/>
      <c r="AA2870" s="2"/>
    </row>
    <row r="2871">
      <c r="A2871" s="3" t="s">
        <v>6661</v>
      </c>
      <c r="B2871" s="1" t="s">
        <v>6716</v>
      </c>
      <c r="C2871" s="3" t="s">
        <v>6717</v>
      </c>
      <c r="D2871" s="2" t="str">
        <f>IFERROR(__xludf.DUMMYFUNCTION("GOOGLETRANSLATE(B2871, ""en"", ""TL"")"),"Isa kang legal na tagapayo sa isang lokal na yunit ng pamahalaan na interesado sa pagpapatupad ng mga hakbang sa pagtitipid ng enerhiya. Balangkas ang mga legal na hakbang na kailangan nilang gawin upang magpatibay ng mga nauugnay na patakaran.")</f>
        <v>Isa kang legal na tagapayo sa isang lokal na yunit ng pamahalaan na interesado sa pagpapatupad ng mga hakbang sa pagtitipid ng enerhiya. Balangkas ang mga legal na hakbang na kailangan nilang gawin upang magpatibay ng mga nauugnay na patakaran.</v>
      </c>
      <c r="E2871" s="2" t="str">
        <f>IFERROR(__xludf.DUMMYFUNCTION("GOOGLETRANSLATE(C2871, ""en"", ""TL"")"),"## Mga Legal na Hakbang para sa Pagpapatupad ng Mga Panukala sa Pagtitipid ng Enerhiya sa isang LGU
Bilang iyong legal na tagapayo, narito ang roadmap para sa iyong LGU na magpatupad ng mga nauugnay na patakaran para sa pagtitipid ng enerhiya:
**1. "&amp;"Pananaliksik at Pagpaplano:**
* **Suriin ang mga Pambansang Batas at Patakaran:** Kilalanin ang iyong sarili sa mga umiiral nang pambansang balangkas tulad ng:
    * **Philippine Energy Independence Strategy (PEIS)** 
    * **National Energy Efficien"&amp;"cy and Conservation Plan (NEECP)** 
    * **Republic Act No. 11285 (Energy Efficiency and Conservation Act of 2018)** 
    * **Guidebook para sa Local Government Units on Formulating the Local Energy Efficiency and Conservation Plan (LEECP)** ng Departm"&amp;"ent of Energy (DOE) ([https://www.doe.gov.ph/](https:// www.doe.gov.ph/))
* **Kilalanin ang Lokal na Konteksto:** Suriin ang mga pattern ng pagkonsumo ng enerhiya ng iyong LGU sa mga gusali, streetlight, at pampublikong pasilidad. 
* **Priyoridad na Mga"&amp;" Panukala:** Isaalang-alang ang pagiging epektibo sa gastos, epekto sa kapaligiran, at pagiging posible ng pagpapatupad. Kasama sa mga halimbawa ang:
    * Pagsusulong ng mga kasangkapang matipid sa enerhiya at ilaw sa mga gusali ng pamahalaan.
    * Pa"&amp;"gpapatupad ng mga code ng ""Green Building"" para sa mga bagong construction.
    * Mga kampanya ng pampublikong kamalayan upang hikayatin ang mga kasanayan sa pagtitipid ng enerhiya sa mga sambahayan.
    * Namumuhunan sa renewable energy sources tulad"&amp;" ng mga solar panel para sa mga pasilidad ng gobyerno.
**2. Bumuo ng Local Energy Efficiency and Conservation Plan (LEECP):**
* Binabalangkas ng planong ito ang mga tiyak na layunin at estratehiya sa pagtitipid ng enerhiya ng iyong LGU. 
* Ang Gaba"&amp;"y na Aklat ng DOE ay nagbibigay ng balangkas para sa pagbuo ng LEECP.
* Isali ang mga stakeholder tulad ng mga ahensya ng gobyerno, negosyo, at civil society organization sa proseso ng pagpaplano.
**3. Legal na Framework para sa Pagsasabatas ng Pataka"&amp;"ran:**
* **Mga Ordenansa:** Ito ang mga pangunahing legal na instrumento para sa iyong LGU na magpatupad ng mga hakbang sa pagtitipid ng enerhiya. 
    * **Mga Mandatoryong Panukala:** Ang mga ordinansa ay maaaring mag-utos ng mga partikular na aksyon"&amp;", tulad ng pag-aatas ng mga kasangkapang matipid sa enerhiya sa mga gusali ng pamahalaan.
    * **Mga Panukala na Nakabatay sa Insentibo:** Nag-aalok ng mga tax break o rebate para sa mga residente at negosyong gumagamit ng mga kasanayan sa pagtitipid ng"&amp;" enerhiya.
* **Mga Resolusyon:** Maaaring ipahayag ng mga ito ang direksyon ng patakaran ng LGU sa pagtitipid ng enerhiya nang hindi legal na may bisa.
**4. Proseso ng Pagpapatibay:**
* **I-draft ang Ordinansa/Resolusyon:** Ang iyong legal na kopon"&amp;"an ay bubalangkas ng dokumentong nagbabalangkas sa mga partikular na hakbang at mekanismo ng pagpapatupad.
* **Mga Pampublikong Konsultasyon:** Magsagawa ng mga pampublikong pagdinig upang makatanggap ng feedback sa iminungkahing ordinansa/resolution mul"&amp;"a sa mga stakeholder. 
* **Pag-apruba ng Sanggunian ng LGU:** Iharap ang ordinansa/resolution sa Sangguniang Bayan/Panlungsod para sa deliberasyon at pag-apruba.
* **Paglalathala ng Ordinansa:** Kapag naaprubahan, i-publish ang ordinansa sa isang lokal "&amp;"na pahayagan o website para sa kaalaman ng publiko.
**5. Pagpapatupad at Pagsubaybay:**
* Magtatag ng LGU unit o task force na responsable sa pagpapatupad ng plano sa pagtitipid ng enerhiya.
* Bumuo ng isang sistema ng pagsubaybay at pagsusuri upan"&amp;"g subaybayan ang pag-unlad at tukuyin ang mga lugar para sa pagpapabuti.
* Magsagawa ng mga regular na kampanya ng impormasyon upang turuan ang publiko tungkol sa kahalagahan ng pagtitipid ng enerhiya.
**Mga Karagdagang Pagsasaalang-alang:**
* **Pa"&amp;"gpopondo:** Galugarin ang mga potensyal na mapagkukunan ng pagpopondo tulad ng mga grant ng pambansang pamahalaan o public-private partnership (PPP).
* **Pagpapatupad:** Malinaw na tukuyin ang mga parusa para sa mga paglabag sa mga hakbang sa pagtitipid "&amp;"ng enerhiya.
* **Pagbuo ng Kapasidad:** Sanayin ang mga tauhan ng LGU sa pagpapatupad ng plano at pagpapatupad ng mga regulasyon.
Sa pamamagitan ng pagsunod sa mga hakbang na ito at pakikipagtulungan sa mga stakeholder, ang iyong LGU ay maaaring lumik"&amp;"ha at magpatupad ng epektibong mga patakaran sa pagtitipid ng enerhiya para sa isang mas napapanatiling hinaharap.
")</f>
        <v>## Mga Legal na Hakbang para sa Pagpapatupad ng Mga Panukala sa Pagtitipid ng Enerhiya sa isang LGU
Bilang iyong legal na tagapayo, narito ang roadmap para sa iyong LGU na magpatupad ng mga nauugnay na patakaran para sa pagtitipid ng enerhiya:
**1. Pananaliksik at Pagpaplano:**
* **Suriin ang mga Pambansang Batas at Patakaran:** Kilalanin ang iyong sarili sa mga umiiral nang pambansang balangkas tulad ng:
    * **Philippine Energy Independence Strategy (PEIS)** 
    * **National Energy Efficiency and Conservation Plan (NEECP)** 
    * **Republic Act No. 11285 (Energy Efficiency and Conservation Act of 2018)** 
    * **Guidebook para sa Local Government Units on Formulating the Local Energy Efficiency and Conservation Plan (LEECP)** ng Department of Energy (DOE) ([https://www.doe.gov.ph/](https:// www.doe.gov.ph/))
* **Kilalanin ang Lokal na Konteksto:** Suriin ang mga pattern ng pagkonsumo ng enerhiya ng iyong LGU sa mga gusali, streetlight, at pampublikong pasilidad. 
* **Priyoridad na Mga Panukala:** Isaalang-alang ang pagiging epektibo sa gastos, epekto sa kapaligiran, at pagiging posible ng pagpapatupad. Kasama sa mga halimbawa ang:
    * Pagsusulong ng mga kasangkapang matipid sa enerhiya at ilaw sa mga gusali ng pamahalaan.
    * Pagpapatupad ng mga code ng "Green Building" para sa mga bagong construction.
    * Mga kampanya ng pampublikong kamalayan upang hikayatin ang mga kasanayan sa pagtitipid ng enerhiya sa mga sambahayan.
    * Namumuhunan sa renewable energy sources tulad ng mga solar panel para sa mga pasilidad ng gobyerno.
**2. Bumuo ng Local Energy Efficiency and Conservation Plan (LEECP):**
* Binabalangkas ng planong ito ang mga tiyak na layunin at estratehiya sa pagtitipid ng enerhiya ng iyong LGU. 
* Ang Gabay na Aklat ng DOE ay nagbibigay ng balangkas para sa pagbuo ng LEECP.
* Isali ang mga stakeholder tulad ng mga ahensya ng gobyerno, negosyo, at civil society organization sa proseso ng pagpaplano.
**3. Legal na Framework para sa Pagsasabatas ng Patakaran:**
* **Mga Ordenansa:** Ito ang mga pangunahing legal na instrumento para sa iyong LGU na magpatupad ng mga hakbang sa pagtitipid ng enerhiya. 
    * **Mga Mandatoryong Panukala:** Ang mga ordinansa ay maaaring mag-utos ng mga partikular na aksyon, tulad ng pag-aatas ng mga kasangkapang matipid sa enerhiya sa mga gusali ng pamahalaan.
    * **Mga Panukala na Nakabatay sa Insentibo:** Nag-aalok ng mga tax break o rebate para sa mga residente at negosyong gumagamit ng mga kasanayan sa pagtitipid ng enerhiya.
* **Mga Resolusyon:** Maaaring ipahayag ng mga ito ang direksyon ng patakaran ng LGU sa pagtitipid ng enerhiya nang hindi legal na may bisa.
**4. Proseso ng Pagpapatibay:**
* **I-draft ang Ordinansa/Resolusyon:** Ang iyong legal na koponan ay bubalangkas ng dokumentong nagbabalangkas sa mga partikular na hakbang at mekanismo ng pagpapatupad.
* **Mga Pampublikong Konsultasyon:** Magsagawa ng mga pampublikong pagdinig upang makatanggap ng feedback sa iminungkahing ordinansa/resolution mula sa mga stakeholder. 
* **Pag-apruba ng Sanggunian ng LGU:** Iharap ang ordinansa/resolution sa Sangguniang Bayan/Panlungsod para sa deliberasyon at pag-apruba.
* **Paglalathala ng Ordinansa:** Kapag naaprubahan, i-publish ang ordinansa sa isang lokal na pahayagan o website para sa kaalaman ng publiko.
**5. Pagpapatupad at Pagsubaybay:**
* Magtatag ng LGU unit o task force na responsable sa pagpapatupad ng plano sa pagtitipid ng enerhiya.
* Bumuo ng isang sistema ng pagsubaybay at pagsusuri upang subaybayan ang pag-unlad at tukuyin ang mga lugar para sa pagpapabuti.
* Magsagawa ng mga regular na kampanya ng impormasyon upang turuan ang publiko tungkol sa kahalagahan ng pagtitipid ng enerhiya.
**Mga Karagdagang Pagsasaalang-alang:**
* **Pagpopondo:** Galugarin ang mga potensyal na mapagkukunan ng pagpopondo tulad ng mga grant ng pambansang pamahalaan o public-private partnership (PPP).
* **Pagpapatupad:** Malinaw na tukuyin ang mga parusa para sa mga paglabag sa mga hakbang sa pagtitipid ng enerhiya.
* **Pagbuo ng Kapasidad:** Sanayin ang mga tauhan ng LGU sa pagpapatupad ng plano at pagpapatupad ng mga regulasyon.
Sa pamamagitan ng pagsunod sa mga hakbang na ito at pakikipagtulungan sa mga stakeholder, ang iyong LGU ay maaaring lumikha at magpatupad ng epektibong mga patakaran sa pagtitipid ng enerhiya para sa isang mas napapanatiling hinaharap.
</v>
      </c>
      <c r="F2871" s="2">
        <f t="shared" si="1"/>
        <v>0</v>
      </c>
      <c r="G2871" s="2"/>
      <c r="H2871" s="2"/>
      <c r="I2871" s="2"/>
      <c r="J2871" s="2"/>
      <c r="K2871" s="2"/>
      <c r="L2871" s="2"/>
      <c r="M2871" s="2"/>
      <c r="N2871" s="2"/>
      <c r="O2871" s="2"/>
      <c r="P2871" s="2"/>
      <c r="Q2871" s="2"/>
      <c r="R2871" s="2"/>
      <c r="S2871" s="2"/>
      <c r="T2871" s="2"/>
      <c r="U2871" s="2"/>
      <c r="V2871" s="2"/>
      <c r="W2871" s="2"/>
      <c r="X2871" s="2"/>
      <c r="Y2871" s="2"/>
      <c r="Z2871" s="2"/>
      <c r="AA2871" s="2"/>
    </row>
    <row r="2872">
      <c r="A2872" s="3" t="s">
        <v>6661</v>
      </c>
      <c r="B2872" s="1" t="s">
        <v>6718</v>
      </c>
      <c r="C2872" s="3" t="s">
        <v>6719</v>
      </c>
      <c r="D2872" s="2" t="str">
        <f>IFERROR(__xludf.DUMMYFUNCTION("GOOGLETRANSLATE(B2872, ""en"", ""TL"")"),"Nais ng isang dayuhang mamumuhunan na magtatag ng solar energy farm sa isang rural na lugar. Anong mga legal na kinakailangan at permit ang kailangan para magpatuloy ang proyekto?")</f>
        <v>Nais ng isang dayuhang mamumuhunan na magtatag ng solar energy farm sa isang rural na lugar. Anong mga legal na kinakailangan at permit ang kailangan para magpatuloy ang proyekto?</v>
      </c>
      <c r="E2872" s="2" t="str">
        <f>IFERROR(__xludf.DUMMYFUNCTION("GOOGLETRANSLATE(C2872, ""en"", ""TL"")"),"Narito ang isang breakdown ng mga legal na kinakailangan at mga pahintulot na kailangan ng isang dayuhang mamumuhunan upang makakuha ng isang solar energy farm sa isang rural na lugar ng Pilipinas:
**1. Pagpaparehistro ng Negosyo:**
* Kailangang ire"&amp;"histro ng investor ang kanilang business entity sa Securities and Exchange Commission (SEC) o magrehistro ng branch office kung ang kumpanya ay umiiral na sa ibang bansa.
* Ang prosesong ito ay nagsasangkot ng pagsusumite ng mga kinakailangang dokumento "&amp;"at pagbabayad ng mga bayarin sa pagpaparehistro.
**2. Mga Regulasyon sa Foreign Investment:**
* Ang Board of Investments (BOI) ang nangangasiwa sa mga dayuhang pamumuhunan sa Pilipinas. 
* Maaaring kailanganin ng mamumuhunan na magparehistro sa BOI"&amp;" depende sa laki at saklaw ng proyekto. Maaaring may kasama itong mga karagdagang kinakailangan at insentibo depende sa kategorya ng pagpaparehistro ng BOI.
**3. Pagkuha ng Lupa:**
* Ang dayuhang mamumuhunan ay hindi direktang nagmamay-ari ng lupa s"&amp;"a Pilipinas. 
* Kasama sa mga opsyon ang:
    * **Mga Pangmatagalang Kasunduan sa Pagpapaupa:** Paglalagay ng mga kasunduan sa pagpapaupa sa mga may-ari ng lupa para sa lugar ng proyekto. Tiyakin ang pagsunod sa mga regulasyon sa paggamit ng lupa at pag"&amp;"kuha ng mga kinakailangang permit mula sa local government unit (LGU).
    * **Mga Joint Venture Agreements:** Pakikipagsosyo sa isang kumpanyang Pilipino na maaaring magmay-ari ng lupa. Nangangailangan ito ng maingat na negosasyon at mga legal na kasund"&amp;"uan.
**4. Mga Pahintulot at Lisensya:**
* **Kagawaran ng Enerhiya (DOE):**
    * Mag-secure ng Renewable Energy (RE) Permit mula sa DOE. Nagbibigay-daan ito sa proyekto na kumonekta sa pambansang grid o magpatakbo ng off-grid.
    * Depende sa lak"&amp;"i ng proyekto, maaaring kailanganin ang mga karagdagang permit mula sa DOE, tulad ng Generation License o Wholesale Electricity Supplier (WES) License.
* **Local Government Unit (LGU):**
    * Kumuha ng mga permit mula sa LGU kung saan matatagpuan ang p"&amp;"royekto. Maaaring kabilang dito ang:
        * Zoning Permit - pagtiyak na ang proyekto ay sumusunod sa mga regulasyon sa zoning sa paggamit ng lupa.
        * Building Permit - para sa pagtatayo ng anumang mga gusali o suportang istruktura.
        * "&amp;"Environmental Compliance Certificate (ECC) - mula sa Department of Environment and Natural Resources (DENR) sa pamamagitan ng LGU. Tinatasa nito ang epekto sa kapaligiran ng proyekto.
    * Maaaring kailanganin ang mga karagdagang permit mula sa LGU depe"&amp;"nde sa mga partikular na lokal na regulasyon.
**5. Iba pang mga pagsasaalang-alang:**
* **Pagbubuwis:** Ang mga dayuhang kumpanya ay napapailalim sa buwis sa kita ng korporasyon sa Pilipinas. Maaaring may mga insentibo sa buwis para sa mga proyekto "&amp;"ng nababagong enerhiya depende sa pagpaparehistro ng BOI o iba pang mga programa ng pamahalaan.
* **Mga Ugnayan sa Komunidad:** Makipag-ugnayan sa lokal na komunidad at tugunan ang anumang mga alalahanin na maaaring mayroon sila tungkol sa proyekto. Ang "&amp;"transparency at social responsibility na mga inisyatiba ay maaaring magpaunlad ng mga positibong relasyon.
**Ang pagkonsulta sa isang kwalipikadong abogado na dalubhasa sa dayuhang pamumuhunan at mga renewable na proyekto ng enerhiya sa Pilipinas ay lu"&amp;"bos na inirerekomenda.** Maaari nilang gabayan ang mamumuhunan sa pamamagitan ng mga partikular na legal na kinakailangan at proseso ng aplikasyon, na tinitiyak ang maayos at sumusunod na pagbuo ng proyekto. ")</f>
        <v>Narito ang isang breakdown ng mga legal na kinakailangan at mga pahintulot na kailangan ng isang dayuhang mamumuhunan upang makakuha ng isang solar energy farm sa isang rural na lugar ng Pilipinas:
**1. Pagpaparehistro ng Negosyo:**
* Kailangang irehistro ng investor ang kanilang business entity sa Securities and Exchange Commission (SEC) o magrehistro ng branch office kung ang kumpanya ay umiiral na sa ibang bansa.
* Ang prosesong ito ay nagsasangkot ng pagsusumite ng mga kinakailangang dokumento at pagbabayad ng mga bayarin sa pagpaparehistro.
**2. Mga Regulasyon sa Foreign Investment:**
* Ang Board of Investments (BOI) ang nangangasiwa sa mga dayuhang pamumuhunan sa Pilipinas. 
* Maaaring kailanganin ng mamumuhunan na magparehistro sa BOI depende sa laki at saklaw ng proyekto. Maaaring may kasama itong mga karagdagang kinakailangan at insentibo depende sa kategorya ng pagpaparehistro ng BOI.
**3. Pagkuha ng Lupa:**
* Ang dayuhang mamumuhunan ay hindi direktang nagmamay-ari ng lupa sa Pilipinas. 
* Kasama sa mga opsyon ang:
    * **Mga Pangmatagalang Kasunduan sa Pagpapaupa:** Paglalagay ng mga kasunduan sa pagpapaupa sa mga may-ari ng lupa para sa lugar ng proyekto. Tiyakin ang pagsunod sa mga regulasyon sa paggamit ng lupa at pagkuha ng mga kinakailangang permit mula sa local government unit (LGU).
    * **Mga Joint Venture Agreements:** Pakikipagsosyo sa isang kumpanyang Pilipino na maaaring magmay-ari ng lupa. Nangangailangan ito ng maingat na negosasyon at mga legal na kasunduan.
**4. Mga Pahintulot at Lisensya:**
* **Kagawaran ng Enerhiya (DOE):**
    * Mag-secure ng Renewable Energy (RE) Permit mula sa DOE. Nagbibigay-daan ito sa proyekto na kumonekta sa pambansang grid o magpatakbo ng off-grid.
    * Depende sa laki ng proyekto, maaaring kailanganin ang mga karagdagang permit mula sa DOE, tulad ng Generation License o Wholesale Electricity Supplier (WES) License.
* **Local Government Unit (LGU):**
    * Kumuha ng mga permit mula sa LGU kung saan matatagpuan ang proyekto. Maaaring kabilang dito ang:
        * Zoning Permit - pagtiyak na ang proyekto ay sumusunod sa mga regulasyon sa zoning sa paggamit ng lupa.
        * Building Permit - para sa pagtatayo ng anumang mga gusali o suportang istruktura.
        * Environmental Compliance Certificate (ECC) - mula sa Department of Environment and Natural Resources (DENR) sa pamamagitan ng LGU. Tinatasa nito ang epekto sa kapaligiran ng proyekto.
    * Maaaring kailanganin ang mga karagdagang permit mula sa LGU depende sa mga partikular na lokal na regulasyon.
**5. Iba pang mga pagsasaalang-alang:**
* **Pagbubuwis:** Ang mga dayuhang kumpanya ay napapailalim sa buwis sa kita ng korporasyon sa Pilipinas. Maaaring may mga insentibo sa buwis para sa mga proyekto ng nababagong enerhiya depende sa pagpaparehistro ng BOI o iba pang mga programa ng pamahalaan.
* **Mga Ugnayan sa Komunidad:** Makipag-ugnayan sa lokal na komunidad at tugunan ang anumang mga alalahanin na maaaring mayroon sila tungkol sa proyekto. Ang transparency at social responsibility na mga inisyatiba ay maaaring magpaunlad ng mga positibong relasyon.
**Ang pagkonsulta sa isang kwalipikadong abogado na dalubhasa sa dayuhang pamumuhunan at mga renewable na proyekto ng enerhiya sa Pilipinas ay lubos na inirerekomenda.** Maaari nilang gabayan ang mamumuhunan sa pamamagitan ng mga partikular na legal na kinakailangan at proseso ng aplikasyon, na tinitiyak ang maayos at sumusunod na pagbuo ng proyekto. </v>
      </c>
      <c r="F2872" s="2">
        <f t="shared" si="1"/>
        <v>0</v>
      </c>
      <c r="G2872" s="2"/>
      <c r="H2872" s="2"/>
      <c r="I2872" s="2"/>
      <c r="J2872" s="2"/>
      <c r="K2872" s="2"/>
      <c r="L2872" s="2"/>
      <c r="M2872" s="2"/>
      <c r="N2872" s="2"/>
      <c r="O2872" s="2"/>
      <c r="P2872" s="2"/>
      <c r="Q2872" s="2"/>
      <c r="R2872" s="2"/>
      <c r="S2872" s="2"/>
      <c r="T2872" s="2"/>
      <c r="U2872" s="2"/>
      <c r="V2872" s="2"/>
      <c r="W2872" s="2"/>
      <c r="X2872" s="2"/>
      <c r="Y2872" s="2"/>
      <c r="Z2872" s="2"/>
      <c r="AA2872" s="2"/>
    </row>
    <row r="2873">
      <c r="A2873" s="3" t="s">
        <v>6661</v>
      </c>
      <c r="B2873" s="1" t="s">
        <v>6720</v>
      </c>
      <c r="C2873" s="3" t="s">
        <v>6721</v>
      </c>
      <c r="D2873" s="2" t="str">
        <f>IFERROR(__xludf.DUMMYFUNCTION("GOOGLETRANSLATE(B2873, ""en"", ""TL"")"),"Ipagpalagay na ang isang kumpanya ay nag-claim na nakabuo ng isang groundbreaking na teknolohiya sa pagtitipid ng enerhiya. Anong mga legal na proteksyon ang maaari nilang hangarin upang pangalagaan ang kanilang mga karapatan sa intelektwal na ari-arian?")</f>
        <v>Ipagpalagay na ang isang kumpanya ay nag-claim na nakabuo ng isang groundbreaking na teknolohiya sa pagtitipid ng enerhiya. Anong mga legal na proteksyon ang maaari nilang hangarin upang pangalagaan ang kanilang mga karapatan sa intelektwal na ari-arian?</v>
      </c>
      <c r="E2873" s="2" t="str">
        <f>IFERROR(__xludf.DUMMYFUNCTION("GOOGLETRANSLATE(C2873, ""en"", ""TL"")"),"Nag-aalok ang Pilipinas ng ilang legal na paraan para sa isang kumpanyang may makabagong teknolohiya sa pagtitipid ng enerhiya upang maprotektahan ang kanilang intelektwal na ari-arian (IP):
**1. Mga Patent:**
* Binibigyan ng mga patent ang may-ari "&amp;"ng mga eksklusibong karapatan upang pigilan ang iba sa paggawa, paggamit, pagbebenta, pag-aalok na ibenta, o pag-import ng iyong imbensyon sa loob ng limitadong panahon (karaniwang 20 taon). 
* Pinangangasiwaan ng Philippine Intellectual Property Office "&amp;"(IPO) ang sistema ng patent. 
* Upang maging kwalipikado para sa isang patent, ang iyong imbensyon ay dapat na:
    * Bago - hindi kilala o ibinunyag sa publiko bago maghain ng aplikasyon ng patent.
    * Inventive - hindi halata sa isang taong may kas"&amp;"anayan sa nauugnay na larangan.
    * Industrially Applicable - kayang gawin o gamitin sa industriya.
**2. Mga Utility Models:**
* Ang mga modelo ng utility ay nag-aalok ng mas mabilis at mas murang paraan upang protektahan ang mga imbensyon na may"&amp;" mas mababang hakbang sa pag-imbento kumpara sa mga patent. 
* Ang panahon ng proteksyon para sa mga modelo ng utility ay karaniwang 10 taon.
* Maaaring angkop ang opsyong ito para sa mga maliliit na pagpapabuti o pagbabago sa mga kasalukuyang teknolohi"&amp;"ya.
**3. Mga Disenyong Pang-industriya:**
* Kung ang iyong teknolohiya sa pagtitipid ng enerhiya ay may natatanging visual na anyo, maaari mong isaalang-alang ang pagpaparehistro ng disenyong pang-industriya. 
* Pinoprotektahan nito ang mga ornamen"&amp;"tal o aesthetic na aspeto ng isang produkto, hindi ang functionality nito.
**4. Mga Lihim sa Kalakalan:**
* Ang mga lihim ng kalakalan ay kumpidensyal na impormasyon na nagbibigay sa iyong kumpanya ng competitive na kalamangan. 
* Upang maging kuwa"&amp;"lipikado bilang isang trade secret, ang impormasyon ay dapat na:
    * Mahalaga sa komersyo dahil hindi ito karaniwang kilala o madaling matiyak.
    * Napapailalim sa makatwirang pagsisikap na panatilihin ang lihim nito.
**Narito ang isang breakdown"&amp;" ng mga kalamangan at kahinaan ng bawat opsyon na isasaalang-alang:**
| Mekanismo ng Proteksyon | Mga Pros | Cons |
|---|---|---|
| Mga Patent | Pinakamatibay na proteksyon, tumatagal ng 20 taon | Mahal kunin at ipatupad, mahabang proseso ng aplikasy"&amp;"on |
| Mga Utility Models | Mas mabilis at mas mura kaysa sa mga patent | Mas mahinang proteksyon, mas maikling tagal (10 taon) |
| Mga Disenyong Pang-industriya | Pinoprotektahan ang natatanging visual na anyo | Hindi pinoprotektahan ang functionality "&amp;"ng teknolohiya |
| Mga Lihim sa Kalakalan | Walang mga bayarin sa pagpaparehistro, walang hanggang proteksyon kung pinananatili ang lihim | Mahirap ipatupad kung ang impormasyon ay na-leak |
**Mga Karagdagang Pagsasaalang-alang:**
* **Ang website n"&amp;"g Philippine IPO ([https://www.ipophil.gov.ph/](https://www.ipophil.gov.ph/))** ay nagbibigay ng mga mapagkukunan at impormasyon sa proseso ng aplikasyon para sa bawat uri ng proteksyon ng IP.
* **Ang pagkonsulta sa isang patent attorney** ay napakahalag"&amp;"a. Maaari silang magpayo sa pinakamahusay na paraan ng pagkilos para sa iyong partikular na teknolohiya at tiyaking natutugunan ng iyong aplikasyon ang mga legal na kinakailangan.
* **Isaalang-alang ang internasyonal na proteksyon:** Kung plano mong i-ma"&amp;"rket ang iyong teknolohiya sa buong mundo, maaaring kailanganin mong mag-file ng mga patent application sa ibang mga bansa.
Sa pamamagitan ng pag-unawa sa mga legal na opsyong ito at paghanap ng propesyonal na patnubay, masisiguro ng kumpanya ang naaan"&amp;"gkop na proteksyon para sa kanilang makabagong teknolohiyang nagtitipid ng enerhiya. ")</f>
        <v>Nag-aalok ang Pilipinas ng ilang legal na paraan para sa isang kumpanyang may makabagong teknolohiya sa pagtitipid ng enerhiya upang maprotektahan ang kanilang intelektwal na ari-arian (IP):
**1. Mga Patent:**
* Binibigyan ng mga patent ang may-ari ng mga eksklusibong karapatan upang pigilan ang iba sa paggawa, paggamit, pagbebenta, pag-aalok na ibenta, o pag-import ng iyong imbensyon sa loob ng limitadong panahon (karaniwang 20 taon). 
* Pinangangasiwaan ng Philippine Intellectual Property Office (IPO) ang sistema ng patent. 
* Upang maging kwalipikado para sa isang patent, ang iyong imbensyon ay dapat na:
    * Bago - hindi kilala o ibinunyag sa publiko bago maghain ng aplikasyon ng patent.
    * Inventive - hindi halata sa isang taong may kasanayan sa nauugnay na larangan.
    * Industrially Applicable - kayang gawin o gamitin sa industriya.
**2. Mga Utility Models:**
* Ang mga modelo ng utility ay nag-aalok ng mas mabilis at mas murang paraan upang protektahan ang mga imbensyon na may mas mababang hakbang sa pag-imbento kumpara sa mga patent. 
* Ang panahon ng proteksyon para sa mga modelo ng utility ay karaniwang 10 taon.
* Maaaring angkop ang opsyong ito para sa mga maliliit na pagpapabuti o pagbabago sa mga kasalukuyang teknolohiya.
**3. Mga Disenyong Pang-industriya:**
* Kung ang iyong teknolohiya sa pagtitipid ng enerhiya ay may natatanging visual na anyo, maaari mong isaalang-alang ang pagpaparehistro ng disenyong pang-industriya. 
* Pinoprotektahan nito ang mga ornamental o aesthetic na aspeto ng isang produkto, hindi ang functionality nito.
**4. Mga Lihim sa Kalakalan:**
* Ang mga lihim ng kalakalan ay kumpidensyal na impormasyon na nagbibigay sa iyong kumpanya ng competitive na kalamangan. 
* Upang maging kuwalipikado bilang isang trade secret, ang impormasyon ay dapat na:
    * Mahalaga sa komersyo dahil hindi ito karaniwang kilala o madaling matiyak.
    * Napapailalim sa makatwirang pagsisikap na panatilihin ang lihim nito.
**Narito ang isang breakdown ng mga kalamangan at kahinaan ng bawat opsyon na isasaalang-alang:**
| Mekanismo ng Proteksyon | Mga Pros | Cons |
|---|---|---|
| Mga Patent | Pinakamatibay na proteksyon, tumatagal ng 20 taon | Mahal kunin at ipatupad, mahabang proseso ng aplikasyon |
| Mga Utility Models | Mas mabilis at mas mura kaysa sa mga patent | Mas mahinang proteksyon, mas maikling tagal (10 taon) |
| Mga Disenyong Pang-industriya | Pinoprotektahan ang natatanging visual na anyo | Hindi pinoprotektahan ang functionality ng teknolohiya |
| Mga Lihim sa Kalakalan | Walang mga bayarin sa pagpaparehistro, walang hanggang proteksyon kung pinananatili ang lihim | Mahirap ipatupad kung ang impormasyon ay na-leak |
**Mga Karagdagang Pagsasaalang-alang:**
* **Ang website ng Philippine IPO ([https://www.ipophil.gov.ph/](https://www.ipophil.gov.ph/))** ay nagbibigay ng mga mapagkukunan at impormasyon sa proseso ng aplikasyon para sa bawat uri ng proteksyon ng IP.
* **Ang pagkonsulta sa isang patent attorney** ay napakahalaga. Maaari silang magpayo sa pinakamahusay na paraan ng pagkilos para sa iyong partikular na teknolohiya at tiyaking natutugunan ng iyong aplikasyon ang mga legal na kinakailangan.
* **Isaalang-alang ang internasyonal na proteksyon:** Kung plano mong i-market ang iyong teknolohiya sa buong mundo, maaaring kailanganin mong mag-file ng mga patent application sa ibang mga bansa.
Sa pamamagitan ng pag-unawa sa mga legal na opsyong ito at paghanap ng propesyonal na patnubay, masisiguro ng kumpanya ang naaangkop na proteksyon para sa kanilang makabagong teknolohiyang nagtitipid ng enerhiya. </v>
      </c>
      <c r="F2873" s="2">
        <f t="shared" si="1"/>
        <v>0</v>
      </c>
      <c r="G2873" s="2"/>
      <c r="H2873" s="2"/>
      <c r="I2873" s="2"/>
      <c r="J2873" s="2"/>
      <c r="K2873" s="2"/>
      <c r="L2873" s="2"/>
      <c r="M2873" s="2"/>
      <c r="N2873" s="2"/>
      <c r="O2873" s="2"/>
      <c r="P2873" s="2"/>
      <c r="Q2873" s="2"/>
      <c r="R2873" s="2"/>
      <c r="S2873" s="2"/>
      <c r="T2873" s="2"/>
      <c r="U2873" s="2"/>
      <c r="V2873" s="2"/>
      <c r="W2873" s="2"/>
      <c r="X2873" s="2"/>
      <c r="Y2873" s="2"/>
      <c r="Z2873" s="2"/>
      <c r="AA2873" s="2"/>
    </row>
    <row r="2874">
      <c r="A2874" s="3" t="s">
        <v>6661</v>
      </c>
      <c r="B2874" s="1" t="s">
        <v>6722</v>
      </c>
      <c r="C2874" s="3" t="s">
        <v>6723</v>
      </c>
      <c r="D2874" s="2" t="str">
        <f>IFERROR(__xludf.DUMMYFUNCTION("GOOGLETRANSLATE(B2874, ""en"", ""TL"")"),"Isipin ang isang sitwasyon kung saan ang isang kumpanya ng renewable energy ay nahaharap sa mga problema sa pananalapi. Anong mga legal na opsyon ang magagamit upang muling ayusin ang mga operasyon at utang nito?")</f>
        <v>Isipin ang isang sitwasyon kung saan ang isang kumpanya ng renewable energy ay nahaharap sa mga problema sa pananalapi. Anong mga legal na opsyon ang magagamit upang muling ayusin ang mga operasyon at utang nito?</v>
      </c>
      <c r="E2874" s="2" t="str">
        <f>IFERROR(__xludf.DUMMYFUNCTION("GOOGLETRANSLATE(C2874, ""en"", ""TL"")"),"Ang Pilipinas ay nag-aalok ng isang legal na balangkas para sa mga kumpanyang nahaharap sa kahirapan sa pananalapi upang muling ayusin ang kanilang mga operasyon at mga utang. Narito ang ilang opsyon na maaaring tuklasin ng isang kumpanya ng renewable ene"&amp;"rgy sa problema sa pananalapi:
**1. Negosasyon at Pagsasanay:**
* Ito ang pinakakaraniwang diskarte. Direktang nakikipagnegosasyon ang kumpanya sa mga nagpapautang nito, tulad ng mga bangko o nagpapahiram, para magkaroon ng kasunduan sa muling pagsa"&amp;"saayos ng utang. 
* Maaaring kabilang dito ang:
    * Pagpapalawig ng mga panahon ng pagbabayad.
    * Pagbabawas ng mga rate ng interes.
    * Pag-convert ng utang sa equity (mga nagpapautang ay nagiging bahagyang may-ari).
    * Pagsasama-sama ng m"&amp;"ga opsyong ito para sa isang komprehensibong plano sa muling pagsasaayos.
**2. Pre-Negotiation Conference kasama ang Department of Trade and Industry (DTI):**
* Maaaring pangasiwaan ng DTI ang isang pre-negotiation conference sa pagitan ng kumpanya "&amp;"at mga pinagkakautangan nito. 
* Maaari itong maging isang kapaki-pakinabang na paunang hakbang upang tuklasin ang mga opsyon at makahanap ng karaniwang batayan bago ang pormal na paglilitis.
**3. Corporate Rehabilitation:**
* Kung mabigo ang mga n"&amp;"egosasyon, ang kumpanya ay maaaring maghain ng petisyon para sa corporate rehabilitation sa mga korte. 
* Ang prosesong ito ay nagpapahintulot sa kumpanya na magpatuloy sa pagpapatakbo sa ilalim ng pangangasiwa ng korte habang gumagawa ito ng plano sa re"&amp;"habilitasyon upang bayaran ang mga utang nito. 
* Maaaring kabilang sa plano ang:
    * Pagbebenta ng asset upang makabuo ng mga pondo para sa mga nagpapautang.
    * Bagong puhunan upang muling buhayin ang kumpanya.
    * Pagpapatawad sa utang o muli"&amp;"ng pagsasaayos.
**4. Receivership o Insolvency Proceedings:**
* Bilang isang huling paraan, ang kumpanya o ang mga pinagkakautangan nito ay maaaring mag-file para sa mga paglilitis sa receivership o insolvency. 
* Ang hukuman ay humirang ng isang r"&amp;"eceiver upang pamahalaan ang mga ari-arian ng kumpanya at ipamahagi ang mga ito sa mga nagpapautang ayon sa isang priority scheme. 
* Ang opsyong ito ay karaniwang nagreresulta sa pagpapahinto ng kumpanya sa mga operasyon.
**Narito ang ilang karagdaga"&amp;"ng salik na dapat isaalang-alang para sa kumpanya ng renewable energy:**
* **Mga Programa sa Tulong ng Gobyerno:** Maaaring mag-alok ang pamahalaan ng mga programa o insentibo upang suportahan ang mga kumpanya ng renewable energy na may problema sa pan"&amp;"analapi. Maipapayo na magsaliksik ng anumang mga kaugnay na programa mula sa Department of Energy (DOE) o iba pang ahensya ng gobyerno.
* **Epekto sa mga Investor at Stakeholder:** Dapat na maingat na isaalang-alang ng kumpanya ang epekto ng mga opsyon s"&amp;"a muling pagsasaayos sa mga mamumuhunan, empleyado, at iba pang stakeholder. Ang transparency at malinaw na komunikasyon ay mahalaga sa buong proseso.
* **Legal Counsel:** Ang pagkonsulta sa isang abogado na dalubhasa sa corporate restructuring at insolv"&amp;"ency ay mahalaga. Maaari silang magpayo sa pinakaangkop na legal na opsyon, mag-navigate sa legal na proseso, at protektahan ang mga interes ng kumpanya.
Sa pamamagitan ng paggalugad sa mga opsyong ito at paghanap ng propesyonal na patnubay, ang kumpan"&amp;"ya ng renewable energy ay maaaring magtagumpay sa mga problemang pinansyal nito, muling ayusin ang mga operasyon nito, at makamit ang isang napapanatiling hinaharap.")</f>
        <v>Ang Pilipinas ay nag-aalok ng isang legal na balangkas para sa mga kumpanyang nahaharap sa kahirapan sa pananalapi upang muling ayusin ang kanilang mga operasyon at mga utang. Narito ang ilang opsyon na maaaring tuklasin ng isang kumpanya ng renewable energy sa problema sa pananalapi:
**1. Negosasyon at Pagsasanay:**
* Ito ang pinakakaraniwang diskarte. Direktang nakikipagnegosasyon ang kumpanya sa mga nagpapautang nito, tulad ng mga bangko o nagpapahiram, para magkaroon ng kasunduan sa muling pagsasaayos ng utang. 
* Maaaring kabilang dito ang:
    * Pagpapalawig ng mga panahon ng pagbabayad.
    * Pagbabawas ng mga rate ng interes.
    * Pag-convert ng utang sa equity (mga nagpapautang ay nagiging bahagyang may-ari).
    * Pagsasama-sama ng mga opsyong ito para sa isang komprehensibong plano sa muling pagsasaayos.
**2. Pre-Negotiation Conference kasama ang Department of Trade and Industry (DTI):**
* Maaaring pangasiwaan ng DTI ang isang pre-negotiation conference sa pagitan ng kumpanya at mga pinagkakautangan nito. 
* Maaari itong maging isang kapaki-pakinabang na paunang hakbang upang tuklasin ang mga opsyon at makahanap ng karaniwang batayan bago ang pormal na paglilitis.
**3. Corporate Rehabilitation:**
* Kung mabigo ang mga negosasyon, ang kumpanya ay maaaring maghain ng petisyon para sa corporate rehabilitation sa mga korte. 
* Ang prosesong ito ay nagpapahintulot sa kumpanya na magpatuloy sa pagpapatakbo sa ilalim ng pangangasiwa ng korte habang gumagawa ito ng plano sa rehabilitasyon upang bayaran ang mga utang nito. 
* Maaaring kabilang sa plano ang:
    * Pagbebenta ng asset upang makabuo ng mga pondo para sa mga nagpapautang.
    * Bagong puhunan upang muling buhayin ang kumpanya.
    * Pagpapatawad sa utang o muling pagsasaayos.
**4. Receivership o Insolvency Proceedings:**
* Bilang isang huling paraan, ang kumpanya o ang mga pinagkakautangan nito ay maaaring mag-file para sa mga paglilitis sa receivership o insolvency. 
* Ang hukuman ay humirang ng isang receiver upang pamahalaan ang mga ari-arian ng kumpanya at ipamahagi ang mga ito sa mga nagpapautang ayon sa isang priority scheme. 
* Ang opsyong ito ay karaniwang nagreresulta sa pagpapahinto ng kumpanya sa mga operasyon.
**Narito ang ilang karagdagang salik na dapat isaalang-alang para sa kumpanya ng renewable energy:**
* **Mga Programa sa Tulong ng Gobyerno:** Maaaring mag-alok ang pamahalaan ng mga programa o insentibo upang suportahan ang mga kumpanya ng renewable energy na may problema sa pananalapi. Maipapayo na magsaliksik ng anumang mga kaugnay na programa mula sa Department of Energy (DOE) o iba pang ahensya ng gobyerno.
* **Epekto sa mga Investor at Stakeholder:** Dapat na maingat na isaalang-alang ng kumpanya ang epekto ng mga opsyon sa muling pagsasaayos sa mga mamumuhunan, empleyado, at iba pang stakeholder. Ang transparency at malinaw na komunikasyon ay mahalaga sa buong proseso.
* **Legal Counsel:** Ang pagkonsulta sa isang abogado na dalubhasa sa corporate restructuring at insolvency ay mahalaga. Maaari silang magpayo sa pinakaangkop na legal na opsyon, mag-navigate sa legal na proseso, at protektahan ang mga interes ng kumpanya.
Sa pamamagitan ng paggalugad sa mga opsyong ito at paghanap ng propesyonal na patnubay, ang kumpanya ng renewable energy ay maaaring magtagumpay sa mga problemang pinansyal nito, muling ayusin ang mga operasyon nito, at makamit ang isang napapanatiling hinaharap.</v>
      </c>
      <c r="F2874" s="2">
        <f t="shared" si="1"/>
        <v>0</v>
      </c>
      <c r="G2874" s="2"/>
      <c r="H2874" s="2"/>
      <c r="I2874" s="2"/>
      <c r="J2874" s="2"/>
      <c r="K2874" s="2"/>
      <c r="L2874" s="2"/>
      <c r="M2874" s="2"/>
      <c r="N2874" s="2"/>
      <c r="O2874" s="2"/>
      <c r="P2874" s="2"/>
      <c r="Q2874" s="2"/>
      <c r="R2874" s="2"/>
      <c r="S2874" s="2"/>
      <c r="T2874" s="2"/>
      <c r="U2874" s="2"/>
      <c r="V2874" s="2"/>
      <c r="W2874" s="2"/>
      <c r="X2874" s="2"/>
      <c r="Y2874" s="2"/>
      <c r="Z2874" s="2"/>
      <c r="AA2874" s="2"/>
    </row>
    <row r="2875">
      <c r="A2875" s="3" t="s">
        <v>6661</v>
      </c>
      <c r="B2875" s="1" t="s">
        <v>6724</v>
      </c>
      <c r="C2875" s="3" t="s">
        <v>6725</v>
      </c>
      <c r="D2875" s="2" t="str">
        <f>IFERROR(__xludf.DUMMYFUNCTION("GOOGLETRANSLATE(B2875, ""en"", ""TL"")"),"Kinakatawan mo ang isang grupo ng mga mamimili na naniniwalang sila ay labis na sinisingil para sa kuryente. Anong legal recourse ang mayroon sila laban sa utility company?")</f>
        <v>Kinakatawan mo ang isang grupo ng mga mamimili na naniniwalang sila ay labis na sinisingil para sa kuryente. Anong legal recourse ang mayroon sila laban sa utility company?</v>
      </c>
      <c r="E2875" s="2" t="str">
        <f>IFERROR(__xludf.DUMMYFUNCTION("GOOGLETRANSLATE(C2875, ""en"", ""TL"")"),"Narito ang ilang mga legal na opsyon na maaaring tuklasin ng iyong grupo ng mga consumer kung naniniwala kang labis kang sinisingil para sa kuryente sa Pilipinas:
**1. Reklamo sa Distribution Utility (DU):**
* Ang unang hakbang ay maghain ng pormal "&amp;"na reklamo sa customer service department ng iyong partikular na distribution utility (DU). 
* Malinaw na ibalangkas ang iyong alalahanin tungkol sa labis na pagsingil at magbigay ng anumang sumusuportang ebidensya, tulad ng mga kopya ng iyong mga singil"&amp;" sa kuryente.
* Obligado ang DU na siyasatin ang iyong reklamo at tumugon sa loob ng isang partikular na takdang panahon (karaniwang 30 araw).
**2. Pamamagitan sa Department of Energy (DOE):**
* Kung hindi kasiya-siya ang tugon ng DU, maaari kang h"&amp;"umiling ng pamamagitan sa Consumer Affairs Service (CAS) ng DOE. 
* Ang pamamagitan ay isang libre at kumpidensyal na proseso kung saan ang isang neutral na ikatlong partido ay tumutulong sa magkabilang partido na maabot ang isang solusyong pinagkasundua"&amp;"ng dalawa.
**3. Reklamo sa Energy Regulatory Commission (ERC):**
* Kung nabigo ang pamamagitan, maaari kang maghain ng pormal na reklamo sa Energy Regulatory Commission (ERC). 
* Ang ERC ay isang independiyenteng regulatory body na nangangasiwa sa "&amp;"pagpepresyo ng kuryente at mga karapatan ng consumer sa sektor ng kuryente.  
* Dapat idetalye ng iyong reklamo ang isyu sa sobrang pagsingil at ipaliwanag kung bakit hindi nagtagumpay ang tugon ng DU o ang proseso ng pamamagitan.  
* May mga nauugnay n"&amp;"a bayad sa paghahain para sa mga reklamo sa ERC.
**4. Legal na Aksyon:**
* Bilang huling paraan, maaaring isaalang-alang ng iyong grupo ang pagsasampa ng kaso laban sa DU sa korte. 
* Ito ay isang masalimuot at mahal na opsyon, kaya ipinapayong kum"&amp;"unsulta sa isang abogado na dalubhasa sa mga karapatan ng consumer at batas sa enerhiya upang masuri ang pagiging posible at mga potensyal na gastos na kasangkot.
**Narito ang ilang karagdagang tip para sa iyong grupo:**
* **Magtipon ng Ebidensya:**"&amp;" Panatilihin ang mga kopya ng iyong mga singil sa kuryente, mga talaan ng komunikasyon sa DU, at anumang iba pang nauugnay na dokumentasyon upang suportahan ang iyong paghahabol.
* **Ayusin bilang isang Grupo:** Ang sama-samang paghahain ng reklamo ay ma"&amp;"aaring magbigay sa iyong grupo ng mas malakas na boses at posibleng humantong sa mas mabilis na paglutas.  
* **Consumer Rights Groups:** Consumer rights groups o NGOs ay maaaring magbigay ng gabay at suporta sa pag-navigate sa proseso ng reklamo. 
* **"&amp;"Legal na Konsultasyon:** Ang pagkonsulta sa isang abogado na dalubhasa sa batas ng enerhiya ay maaaring maging kapaki-pakinabang, lalo na para sa pag-navigate sa mga kumplikadong legal na pamamaraan o pagsasaalang-alang ng isang demanda.
Sa pamamagitan"&amp;" ng pagsunod sa mga hakbang na ito at pagtutulungan, ang iyong grupo ng mga consumer ay maaaring gumawa ng legal na aksyon upang matugunan ang isyu sa sobrang pagsingil at matiyak ang patas na pagpepresyo ng kuryente.")</f>
        <v>Narito ang ilang mga legal na opsyon na maaaring tuklasin ng iyong grupo ng mga consumer kung naniniwala kang labis kang sinisingil para sa kuryente sa Pilipinas:
**1. Reklamo sa Distribution Utility (DU):**
* Ang unang hakbang ay maghain ng pormal na reklamo sa customer service department ng iyong partikular na distribution utility (DU). 
* Malinaw na ibalangkas ang iyong alalahanin tungkol sa labis na pagsingil at magbigay ng anumang sumusuportang ebidensya, tulad ng mga kopya ng iyong mga singil sa kuryente.
* Obligado ang DU na siyasatin ang iyong reklamo at tumugon sa loob ng isang partikular na takdang panahon (karaniwang 30 araw).
**2. Pamamagitan sa Department of Energy (DOE):**
* Kung hindi kasiya-siya ang tugon ng DU, maaari kang humiling ng pamamagitan sa Consumer Affairs Service (CAS) ng DOE. 
* Ang pamamagitan ay isang libre at kumpidensyal na proseso kung saan ang isang neutral na ikatlong partido ay tumutulong sa magkabilang partido na maabot ang isang solusyong pinagkasunduang dalawa.
**3. Reklamo sa Energy Regulatory Commission (ERC):**
* Kung nabigo ang pamamagitan, maaari kang maghain ng pormal na reklamo sa Energy Regulatory Commission (ERC). 
* Ang ERC ay isang independiyenteng regulatory body na nangangasiwa sa pagpepresyo ng kuryente at mga karapatan ng consumer sa sektor ng kuryente.  
* Dapat idetalye ng iyong reklamo ang isyu sa sobrang pagsingil at ipaliwanag kung bakit hindi nagtagumpay ang tugon ng DU o ang proseso ng pamamagitan.  
* May mga nauugnay na bayad sa paghahain para sa mga reklamo sa ERC.
**4. Legal na Aksyon:**
* Bilang huling paraan, maaaring isaalang-alang ng iyong grupo ang pagsasampa ng kaso laban sa DU sa korte. 
* Ito ay isang masalimuot at mahal na opsyon, kaya ipinapayong kumunsulta sa isang abogado na dalubhasa sa mga karapatan ng consumer at batas sa enerhiya upang masuri ang pagiging posible at mga potensyal na gastos na kasangkot.
**Narito ang ilang karagdagang tip para sa iyong grupo:**
* **Magtipon ng Ebidensya:** Panatilihin ang mga kopya ng iyong mga singil sa kuryente, mga talaan ng komunikasyon sa DU, at anumang iba pang nauugnay na dokumentasyon upang suportahan ang iyong paghahabol.
* **Ayusin bilang isang Grupo:** Ang sama-samang paghahain ng reklamo ay maaaring magbigay sa iyong grupo ng mas malakas na boses at posibleng humantong sa mas mabilis na paglutas.  
* **Consumer Rights Groups:** Consumer rights groups o NGOs ay maaaring magbigay ng gabay at suporta sa pag-navigate sa proseso ng reklamo. 
* **Legal na Konsultasyon:** Ang pagkonsulta sa isang abogado na dalubhasa sa batas ng enerhiya ay maaaring maging kapaki-pakinabang, lalo na para sa pag-navigate sa mga kumplikadong legal na pamamaraan o pagsasaalang-alang ng isang demanda.
Sa pamamagitan ng pagsunod sa mga hakbang na ito at pagtutulungan, ang iyong grupo ng mga consumer ay maaaring gumawa ng legal na aksyon upang matugunan ang isyu sa sobrang pagsingil at matiyak ang patas na pagpepresyo ng kuryente.</v>
      </c>
      <c r="F2875" s="2">
        <f t="shared" si="1"/>
        <v>0</v>
      </c>
      <c r="G2875" s="2"/>
      <c r="H2875" s="2"/>
      <c r="I2875" s="2"/>
      <c r="J2875" s="2"/>
      <c r="K2875" s="2"/>
      <c r="L2875" s="2"/>
      <c r="M2875" s="2"/>
      <c r="N2875" s="2"/>
      <c r="O2875" s="2"/>
      <c r="P2875" s="2"/>
      <c r="Q2875" s="2"/>
      <c r="R2875" s="2"/>
      <c r="S2875" s="2"/>
      <c r="T2875" s="2"/>
      <c r="U2875" s="2"/>
      <c r="V2875" s="2"/>
      <c r="W2875" s="2"/>
      <c r="X2875" s="2"/>
      <c r="Y2875" s="2"/>
      <c r="Z2875" s="2"/>
      <c r="AA2875" s="2"/>
    </row>
    <row r="2876">
      <c r="A2876" s="3" t="s">
        <v>6661</v>
      </c>
      <c r="B2876" s="1" t="s">
        <v>6726</v>
      </c>
      <c r="C2876" s="3" t="s">
        <v>6727</v>
      </c>
      <c r="D2876" s="2" t="str">
        <f>IFERROR(__xludf.DUMMYFUNCTION("GOOGLETRANSLATE(B2876, ""en"", ""TL"")"),"Ang isang pagtatalo ay lumitaw sa pagitan ng dalawang magkalapit na may-ari ng lupa tungkol sa pag-install ng mga wind turbine malapit sa kanilang mga ari-arian. Paano malulutas ang hindi pagkakaunawaan na ito nang legal?")</f>
        <v>Ang isang pagtatalo ay lumitaw sa pagitan ng dalawang magkalapit na may-ari ng lupa tungkol sa pag-install ng mga wind turbine malapit sa kanilang mga ari-arian. Paano malulutas ang hindi pagkakaunawaan na ito nang legal?</v>
      </c>
      <c r="E2876" s="2" t="str">
        <f>IFERROR(__xludf.DUMMYFUNCTION("GOOGLETRANSLATE(C2876, ""en"", ""TL"")"),"Narito ang ilang legal na paraan para sa pagresolba ng hindi pagkakaunawaan sa pagitan ng mga kalapit na may-ari ng lupa tungkol sa pag-install ng wind turbine sa Pilipinas:
**1. Negosasyon at Amicable Settlement:**
* Ito ay madalas na ang ginustong"&amp;" at pinaka-cost-effective na diskarte. 
* Maaaring subukan ng mga may-ari ng lupa ang direktang negosasyon upang maabot ang isang kompromiso. Maaaring kabilang dito ang:
    * Pagbabago sa paglalagay ng mga wind turbine upang mabawasan ang epekto sa kal"&amp;"apit na ari-arian.
    * Nag-aalok ng pinansiyal na kabayaran sa kalapit na may-ari ng lupa para sa anumang potensyal na pagbaba sa halaga ng ari-arian o iba pang mga alalahanin.
    * Paggalugad ng magkasanib na mga benepisyo, tulad ng pagbabahagi ng i"&amp;"lan sa nabuong kuryente sa kapitbahay.
**2. Pamamagitan:**
* Kung mabibigo ang mga negosasyon, ang pamamagitan ay maaaring maging isang magandang opsyon. 
* Ang isang neutral na ikatlong partido, tulad ng isang abogado o isang kinatawan mula sa Dep"&amp;"artment of Justice (DOJ), ay nagpapadali sa isang talakayan upang matulungan ang magkabilang partido na maabot ang isang solusyong napagkasunduan sa isa't isa.  
* Ang pamamagitan ay karaniwang mas mabilis at mas mura kaysa sa paglilitis.
**3. Baranga"&amp;"y Justice System (Katarungan Pambarangay):**
* Ang Pilipinas ay mayroong Sistema ng Katarungan ng Barangay para sa pag-aayos ng mga maliliit na alitan sa antas ng komunidad. 
* Kung ang proyekto ng wind turbine ay medyo maliit at ang hindi pagkakasund"&amp;"o ay naisalokal, maaaring subukan ng Barangay Captain na mamagitan sa isang resolusyon. 
**4. Litigation:**
* Kung mabibigo ang lahat ng iba pang opsyon, maaaring magsampa ng kaso ang alinman sa may-ari ng lupa sa korte. 
* Ito ang pinakakalaban at"&amp;" mahal na opsyon, at maaaring tumagal ito ng mahabang panahon upang malutas. 
* Maaaring tumuon ang demanda sa mga claim ng:
    * Istorbo - kung ang wind turbine ay lumikha ng labis na ingay, vibrations, o visual obstruction. 
    * Trespass - kung an"&amp;"g wind turbine o ang kanilang mga gawain sa pagtatayo ay nakapasok sa kalapit na ari-arian.
    * Kapabayaan - kung ang paglalagay o pagtatayo ng mga wind turbine ay nagdudulot ng panganib sa kaligtasan.  
**Narito ang ilang karagdagang salik na dapat"&amp;" isaalang-alang:**
* **Mga Regulasyon sa Paggamit ng Lupa:** Ang mga regulasyon sa pag-zone at mga permit na nauugnay sa mga instalasyon ng wind turbine ay maaaring may papel sa hindi pagkakaunawaan. 
* **Environmental Impact Assessment (EIA):** Ang u"&amp;"lat ng EIA ng proyekto ng wind turbine ay dapat suriin upang masuri ang mga potensyal na epekto sa kalapit na ari-arian.
* **Mga Opinyon ng Eksperto:** Ang pagkonsulta sa mga inhinyero o eksperto sa kapaligiran ay maaaring magbigay ng ebidensya upang sup"&amp;"ortahan ang kaso ng bawat may-ari ng lupa.
* **Legal na Tagapayo:** Ang pagkakaroon ng isang abogado na may karanasan sa mga hindi pagkakaunawaan sa ari-arian at batas sa kapaligiran ay lubos na inirerekomenda para sa parehong partido. Maaari silang magp"&amp;"ayo sa pinakaangkop na legal na diskarte at epektibong kumatawan sa mga interes ng kanilang kliyente.
Sa pamamagitan ng paggalugad sa mga opsyong ito at paghanap ng propesyonal na patnubay, madaragdagan ng mga may-ari ng lupa ang kanilang mga pagkakata"&amp;"ong malutas nang patas at mahusay ang pagtatalo sa wind turbine. ")</f>
        <v>Narito ang ilang legal na paraan para sa pagresolba ng hindi pagkakaunawaan sa pagitan ng mga kalapit na may-ari ng lupa tungkol sa pag-install ng wind turbine sa Pilipinas:
**1. Negosasyon at Amicable Settlement:**
* Ito ay madalas na ang ginustong at pinaka-cost-effective na diskarte. 
* Maaaring subukan ng mga may-ari ng lupa ang direktang negosasyon upang maabot ang isang kompromiso. Maaaring kabilang dito ang:
    * Pagbabago sa paglalagay ng mga wind turbine upang mabawasan ang epekto sa kalapit na ari-arian.
    * Nag-aalok ng pinansiyal na kabayaran sa kalapit na may-ari ng lupa para sa anumang potensyal na pagbaba sa halaga ng ari-arian o iba pang mga alalahanin.
    * Paggalugad ng magkasanib na mga benepisyo, tulad ng pagbabahagi ng ilan sa nabuong kuryente sa kapitbahay.
**2. Pamamagitan:**
* Kung mabibigo ang mga negosasyon, ang pamamagitan ay maaaring maging isang magandang opsyon. 
* Ang isang neutral na ikatlong partido, tulad ng isang abogado o isang kinatawan mula sa Department of Justice (DOJ), ay nagpapadali sa isang talakayan upang matulungan ang magkabilang partido na maabot ang isang solusyong napagkasunduan sa isa't isa.  
* Ang pamamagitan ay karaniwang mas mabilis at mas mura kaysa sa paglilitis.
**3. Barangay Justice System (Katarungan Pambarangay):**
* Ang Pilipinas ay mayroong Sistema ng Katarungan ng Barangay para sa pag-aayos ng mga maliliit na alitan sa antas ng komunidad. 
* Kung ang proyekto ng wind turbine ay medyo maliit at ang hindi pagkakasundo ay naisalokal, maaaring subukan ng Barangay Captain na mamagitan sa isang resolusyon. 
**4. Litigation:**
* Kung mabibigo ang lahat ng iba pang opsyon, maaaring magsampa ng kaso ang alinman sa may-ari ng lupa sa korte. 
* Ito ang pinakakalaban at mahal na opsyon, at maaaring tumagal ito ng mahabang panahon upang malutas. 
* Maaaring tumuon ang demanda sa mga claim ng:
    * Istorbo - kung ang wind turbine ay lumikha ng labis na ingay, vibrations, o visual obstruction. 
    * Trespass - kung ang wind turbine o ang kanilang mga gawain sa pagtatayo ay nakapasok sa kalapit na ari-arian.
    * Kapabayaan - kung ang paglalagay o pagtatayo ng mga wind turbine ay nagdudulot ng panganib sa kaligtasan.  
**Narito ang ilang karagdagang salik na dapat isaalang-alang:**
* **Mga Regulasyon sa Paggamit ng Lupa:** Ang mga regulasyon sa pag-zone at mga permit na nauugnay sa mga instalasyon ng wind turbine ay maaaring may papel sa hindi pagkakaunawaan. 
* **Environmental Impact Assessment (EIA):** Ang ulat ng EIA ng proyekto ng wind turbine ay dapat suriin upang masuri ang mga potensyal na epekto sa kalapit na ari-arian.
* **Mga Opinyon ng Eksperto:** Ang pagkonsulta sa mga inhinyero o eksperto sa kapaligiran ay maaaring magbigay ng ebidensya upang suportahan ang kaso ng bawat may-ari ng lupa.
* **Legal na Tagapayo:** Ang pagkakaroon ng isang abogado na may karanasan sa mga hindi pagkakaunawaan sa ari-arian at batas sa kapaligiran ay lubos na inirerekomenda para sa parehong partido. Maaari silang magpayo sa pinakaangkop na legal na diskarte at epektibong kumatawan sa mga interes ng kanilang kliyente.
Sa pamamagitan ng paggalugad sa mga opsyong ito at paghanap ng propesyonal na patnubay, madaragdagan ng mga may-ari ng lupa ang kanilang mga pagkakataong malutas nang patas at mahusay ang pagtatalo sa wind turbine. </v>
      </c>
      <c r="F2876" s="2">
        <f t="shared" si="1"/>
        <v>0</v>
      </c>
      <c r="G2876" s="2"/>
      <c r="H2876" s="2"/>
      <c r="I2876" s="2"/>
      <c r="J2876" s="2"/>
      <c r="K2876" s="2"/>
      <c r="L2876" s="2"/>
      <c r="M2876" s="2"/>
      <c r="N2876" s="2"/>
      <c r="O2876" s="2"/>
      <c r="P2876" s="2"/>
      <c r="Q2876" s="2"/>
      <c r="R2876" s="2"/>
      <c r="S2876" s="2"/>
      <c r="T2876" s="2"/>
      <c r="U2876" s="2"/>
      <c r="V2876" s="2"/>
      <c r="W2876" s="2"/>
      <c r="X2876" s="2"/>
      <c r="Y2876" s="2"/>
      <c r="Z2876" s="2"/>
      <c r="AA2876" s="2"/>
    </row>
    <row r="2877">
      <c r="A2877" s="3" t="s">
        <v>6661</v>
      </c>
      <c r="B2877" s="1" t="s">
        <v>6728</v>
      </c>
      <c r="C2877" s="3" t="s">
        <v>6729</v>
      </c>
      <c r="D2877" s="2" t="str">
        <f>IFERROR(__xludf.DUMMYFUNCTION("GOOGLETRANSLATE(B2877, ""en"", ""TL"")"),"Ipagpalagay na ang isang ahensya ng gobyerno ay inakusahan ng katiwalian sa paggawad ng mga kontrata para sa mga proyekto ng enerhiya. Anong mga legal na mekanismo ang maaaring gamitin upang imbestigahan at usigin ang mga may kasalanan?")</f>
        <v>Ipagpalagay na ang isang ahensya ng gobyerno ay inakusahan ng katiwalian sa paggawad ng mga kontrata para sa mga proyekto ng enerhiya. Anong mga legal na mekanismo ang maaaring gamitin upang imbestigahan at usigin ang mga may kasalanan?</v>
      </c>
      <c r="E2877" s="2" t="str">
        <f>IFERROR(__xludf.DUMMYFUNCTION("GOOGLETRANSLATE(C2877, ""en"", ""TL"")"),"Ang Pilipinas ay may ilang legal na mekanismo para imbestigahan at usigin ang katiwalian sa paggawad ng mga kontrata para sa mga proyekto ng enerhiya. Narito ang isang breakdown ng mga opsyon:
**1. Ang Ombudsman:**
* Ang Opisina ng Ombudsman ay isan"&amp;"g independiyenteng katawan ng konstitusyon na may hurisdiksyon sa mga pampublikong opisyal at empleyado. 
* Maaari nilang imbestigahan ang mga alegasyon ng graft and corruption, kabilang ang bid-rigging at iba pang malpractice sa paggawad ng mga kontrata"&amp;" ng gobyerno.
* Ang mga mamamayang Pilipino ay maaaring magsampa ng pormal na reklamo sa Ombudsman na nagdedetalye ng mga paratang at anumang sumusuportang ebidensya.
**2. Commission on Audit (COA):**
* Ang COA ay ang pangunahing auditing body ng g"&amp;"obyerno. 
* Maaari silang magsagawa ng mga pag-audit ng mga ahensya ng gobyerno, kabilang ang mga proseso ng pagkuha, upang matukoy ang mga iregularidad o potensyal na katiwalian.
* Maaaring mag-isyu ang COA ng mga ulat sa pag-audit na may mga rekomenda"&amp;"syon para sa pagwawasto o ang pagsasampa ng mga kasong kriminal sa mga kaukulang awtoridad.
**3. Sandiganbayan:**
* Ang Sandiganbayan ay isang espesyal na anti-graft court na may hurisdiksyon sa mga kasong kriminal laban sa mga opisyal ng gobyerno n"&amp;"a inakusahan ng mga paglabag tulad ng panunuhol, malversation ng pampublikong pondo, at iba pang mga paglabag sa katiwalian.
* Ang Ombudsman o iba pang investigative body ay maaaring magsampa ng mga kasong kriminal sa Sandiganbayan batay sa kanilang mga "&amp;"natuklasan.
**4. Proteksyon sa Whistleblower:**
* Ang Pilipinas ay mayroong Whistleblower Protection Program. 
* Hinihikayat ng programang ito ang mga indibidwal na may kaalaman sa katiwalian sa gobyerno na lumapit at iulat ito nang walang takot sa"&amp;" paghihiganti.
* Ang mga whistleblower ay maaaring mag-ulat nang hindi nagpapakilala sa iba't ibang ahensya, kabilang ang Tanggapan ng Ombudsman o COA.
**5. Mga Samahan ng Sibil na Lipunan (CSO):**
* Ang mga CSO ay maaaring gumanap ng isang mahalag"&amp;"ang papel sa pagsisiyasat at paglalantad ng katiwalian. 
* Maaari silang magsagawa ng independiyenteng pananaliksik, mangalap ng ebidensya, at magsulong ng transparency at pananagutan sa mga proseso ng pagkuha ng pamahalaan.
* Maaaring makipagtulungan a"&amp;"ng mga CSO sa mga investigative body at media para bigyang pansin ang mga kaso ng katiwalian. 
**Mga Karagdagang Pagsasaalang-alang:**
* **Pagtitipon ng Ebidensya:** Ang matibay na ebidensya ay mahalaga para sa matagumpay na pagsisiyasat at pag-uusi"&amp;"g. Maaaring kabilang dito ang mga dokumento, testimonya ng saksi, at mga elektronikong rekord.
* **Legal Counsel:** Ang pagkonsulta sa isang abogado na dalubhasa sa batas laban sa katiwalian ay maaaring maging kapaki-pakinabang, lalo na para sa mga whist"&amp;"leblower o sa mga nagsampa ng mga pormal na reklamo.
* **Atensyon sa Media:** Ang kamalayan ng publiko sa pamamagitan ng mga ulat sa media ay maaaring magbigay ng presyon sa mga awtoridad na kumilos at tiyakin ang isang patas na pagsisiyasat.
Sa pamam"&amp;"agitan ng paggamit ng mga legal na mekanismong ito at pagpapaunlad ng kultura ng transparency at pananagutan, layunin ng Pilipinas na hadlangan ang katiwalian at tiyakin ang patas at malinaw na pagbibigay ng mga kontrata para sa mga proyekto sa enerhiya.
"&amp;"
")</f>
        <v>Ang Pilipinas ay may ilang legal na mekanismo para imbestigahan at usigin ang katiwalian sa paggawad ng mga kontrata para sa mga proyekto ng enerhiya. Narito ang isang breakdown ng mga opsyon:
**1. Ang Ombudsman:**
* Ang Opisina ng Ombudsman ay isang independiyenteng katawan ng konstitusyon na may hurisdiksyon sa mga pampublikong opisyal at empleyado. 
* Maaari nilang imbestigahan ang mga alegasyon ng graft and corruption, kabilang ang bid-rigging at iba pang malpractice sa paggawad ng mga kontrata ng gobyerno.
* Ang mga mamamayang Pilipino ay maaaring magsampa ng pormal na reklamo sa Ombudsman na nagdedetalye ng mga paratang at anumang sumusuportang ebidensya.
**2. Commission on Audit (COA):**
* Ang COA ay ang pangunahing auditing body ng gobyerno. 
* Maaari silang magsagawa ng mga pag-audit ng mga ahensya ng gobyerno, kabilang ang mga proseso ng pagkuha, upang matukoy ang mga iregularidad o potensyal na katiwalian.
* Maaaring mag-isyu ang COA ng mga ulat sa pag-audit na may mga rekomendasyon para sa pagwawasto o ang pagsasampa ng mga kasong kriminal sa mga kaukulang awtoridad.
**3. Sandiganbayan:**
* Ang Sandiganbayan ay isang espesyal na anti-graft court na may hurisdiksyon sa mga kasong kriminal laban sa mga opisyal ng gobyerno na inakusahan ng mga paglabag tulad ng panunuhol, malversation ng pampublikong pondo, at iba pang mga paglabag sa katiwalian.
* Ang Ombudsman o iba pang investigative body ay maaaring magsampa ng mga kasong kriminal sa Sandiganbayan batay sa kanilang mga natuklasan.
**4. Proteksyon sa Whistleblower:**
* Ang Pilipinas ay mayroong Whistleblower Protection Program. 
* Hinihikayat ng programang ito ang mga indibidwal na may kaalaman sa katiwalian sa gobyerno na lumapit at iulat ito nang walang takot sa paghihiganti.
* Ang mga whistleblower ay maaaring mag-ulat nang hindi nagpapakilala sa iba't ibang ahensya, kabilang ang Tanggapan ng Ombudsman o COA.
**5. Mga Samahan ng Sibil na Lipunan (CSO):**
* Ang mga CSO ay maaaring gumanap ng isang mahalagang papel sa pagsisiyasat at paglalantad ng katiwalian. 
* Maaari silang magsagawa ng independiyenteng pananaliksik, mangalap ng ebidensya, at magsulong ng transparency at pananagutan sa mga proseso ng pagkuha ng pamahalaan.
* Maaaring makipagtulungan ang mga CSO sa mga investigative body at media para bigyang pansin ang mga kaso ng katiwalian. 
**Mga Karagdagang Pagsasaalang-alang:**
* **Pagtitipon ng Ebidensya:** Ang matibay na ebidensya ay mahalaga para sa matagumpay na pagsisiyasat at pag-uusig. Maaaring kabilang dito ang mga dokumento, testimonya ng saksi, at mga elektronikong rekord.
* **Legal Counsel:** Ang pagkonsulta sa isang abogado na dalubhasa sa batas laban sa katiwalian ay maaaring maging kapaki-pakinabang, lalo na para sa mga whistleblower o sa mga nagsampa ng mga pormal na reklamo.
* **Atensyon sa Media:** Ang kamalayan ng publiko sa pamamagitan ng mga ulat sa media ay maaaring magbigay ng presyon sa mga awtoridad na kumilos at tiyakin ang isang patas na pagsisiyasat.
Sa pamamagitan ng paggamit ng mga legal na mekanismong ito at pagpapaunlad ng kultura ng transparency at pananagutan, layunin ng Pilipinas na hadlangan ang katiwalian at tiyakin ang patas at malinaw na pagbibigay ng mga kontrata para sa mga proyekto sa enerhiya.
</v>
      </c>
      <c r="F2877" s="2">
        <f t="shared" si="1"/>
        <v>0</v>
      </c>
      <c r="G2877" s="2"/>
      <c r="H2877" s="2"/>
      <c r="I2877" s="2"/>
      <c r="J2877" s="2"/>
      <c r="K2877" s="2"/>
      <c r="L2877" s="2"/>
      <c r="M2877" s="2"/>
      <c r="N2877" s="2"/>
      <c r="O2877" s="2"/>
      <c r="P2877" s="2"/>
      <c r="Q2877" s="2"/>
      <c r="R2877" s="2"/>
      <c r="S2877" s="2"/>
      <c r="T2877" s="2"/>
      <c r="U2877" s="2"/>
      <c r="V2877" s="2"/>
      <c r="W2877" s="2"/>
      <c r="X2877" s="2"/>
      <c r="Y2877" s="2"/>
      <c r="Z2877" s="2"/>
      <c r="AA2877" s="2"/>
    </row>
    <row r="2878">
      <c r="A2878" s="3" t="s">
        <v>6661</v>
      </c>
      <c r="B2878" s="1" t="s">
        <v>6730</v>
      </c>
      <c r="C2878" s="3" t="s">
        <v>6731</v>
      </c>
      <c r="D2878" s="2" t="str">
        <f>IFERROR(__xludf.DUMMYFUNCTION("GOOGLETRANSLATE(B2878, ""en"", ""TL"")"),"Pinapayuhan mo ang isang multinasyunal na korporasyon na interesadong mamuhunan sa mga proyekto ng renewable energy sa Pilipinas. Anong mga legal na panganib ang dapat nilang isaalang-alang, at paano nila mapapagaan ang mga ito?")</f>
        <v>Pinapayuhan mo ang isang multinasyunal na korporasyon na interesadong mamuhunan sa mga proyekto ng renewable energy sa Pilipinas. Anong mga legal na panganib ang dapat nilang isaalang-alang, at paano nila mapapagaan ang mga ito?</v>
      </c>
      <c r="E2878" s="2" t="str">
        <f>IFERROR(__xludf.DUMMYFUNCTION("GOOGLETRANSLATE(C2878, ""en"", ""TL"")"),"## Mga Legal na Panganib para sa Mga Multinasyunal na Korporasyon sa Mga Proyekto ng Renewable Energy sa Pilipinas
Nag-aalok ang Pilipinas ng magandang merkado para sa renewable energy, ngunit may mga legal na panganib na dapat isaalang-alang. Narito a"&amp;"ng isang breakdown ng ilang mga pangunahing lugar at kung paano pagaanin ang mga ito:
**1. Kawalang-katiyakan sa Regulatoryo:**
* **Peligro:** Mga madalas na pagbabago o pagkaantala sa mga regulasyon na nakakaapekto sa mga timeline at gastos ng proy"&amp;"ekto. 
* **Konstitusyon ng Pilipinas:** Ang Artikulo XVIII, Seksyon 20 ay ginagarantiyahan ang karapatan ng Estado na i-regulate ang pagsaliksik, pagpapaunlad, at paggamit ng likas na yaman. Gayunpaman, binibigyang-diin din nito ang balanseng ekolohikal "&amp;"at napapanatiling pag-unlad (Seksyon 16). 
* **Mga Kaugnay na RA:** Ang Renewable Energy Act (RA 6969) ay nagtatatag ng balangkas para sa renewable energy development. Gayunpaman, ang pagpapatupad ng mga tuntunin at regulasyon ay maaaring magbago. 
* **"&amp;"Pagbabawas:**
    * Magsagawa ng masusing due diligence sa mga kasalukuyang regulasyon at patakaran.
    * Subaybayan ang mga pagpapaunlad ng regulasyon at makipag-ugnayan sa mga kaugnay na ahensya ng gobyerno.
    * Istruktura ang mga kasunduan na m"&amp;"ay kakayahang umangkop upang umangkop sa mga pagbabago sa regulasyon sa hinaharap (sa loob ng mga legal na hangganan).
**2. Pagkuha ng Lupa at Pagpapahintulot:**
* **Peligro:** Mga pagkaantala at kahirapan sa pagkuha ng mga karapatan sa lupa at pagk"&amp;"uha ng mga kinakailangang permit.
* **Konstitusyon ng Pilipinas:** Pinoprotektahan ng Artikulo XII ang karapatang magkaroon ng ari-arian. Gayunpaman, maaaring kontrolin ng Estado ang pagmamay-ari at paggamit ng lupa para sa kabutihang panlahat (Seksyon 6"&amp;"). 
* **Mga Kaugnay na RA:** Ang Kodigo ng Lokal na Pamahalaan (RA 7160) ay nagbibigay ng kapangyarihan sa mga local government units (LGUs) na i-regulate ang paggamit ng lupa sa loob ng kanilang nasasakupan. 
* **Pagbabawas:**
    * Makipagtulungan "&amp;"sa mga bihasang lokal na developer upang mag-navigate sa mga proseso ng pagkuha ng lupa.
    * Secure permit maaga sa yugto ng pagbuo ng proyekto.
    * Isaalang-alang ang mga alternatibong lokasyon ng proyekto na may hindi gaanong kumplikadong mga istr"&amp;"aktura ng pagmamay-ari ng lupa. 
**3. Pagbabago ng Currency at Force Majeure Events:**
* **Peligro:** Ang pagbabagu-bago sa Philippine Peso (PHP) ay maaaring makaapekto sa kakayahang kumita ng proyekto. Ang mga natural na sakuna o kawalang-tatag sa "&amp;"pulitika ay maaaring makagambala sa mga operasyon.
* **Saligang-Batas ng Pilipinas:** Dapat itaguyod ng Estado ang katangi-tanging karapatan ng mga mamamayang Pilipino sa pambansang ekonomiya at ang balanseng pamamahagi ng pagmamay-ari (Artikulo XII, Sek"&amp;"syon 14). Gayunpaman, tinatanggap din ang mga dayuhang pamumuhunan. 
* **Mga nauugnay na RA:** Ginagarantiyahan ng Foreign Investments Act (RA 7042) ang patas na pagtrato para sa mga dayuhang mamumuhunan. 
* **Pagbabawas:**
    * Gumamit ng mga instr"&amp;"umento sa pananalapi upang mag-hedge laban sa mga pagbabago sa currency.
    * Isama ang malinaw na force majeure clause sa mga kontrata ng proyekto na nagbabalangkas ng mga karapatan at obligasyon sa kaso ng mga hindi inaasahang pangyayari.
    * Isaal"&amp;"ang-alang ang pagkuha ng naaangkop na saklaw ng seguro para sa mga panganib sa proyekto.
**4. Mga Hamon sa Pagsasama ng Grid at Pagpapadala:**
* **Peligro:** Ang limitadong kapasidad o inefficiencies sa power grid ay maaaring makahadlang sa viabilit"&amp;"y ng proyekto.
* **Konstitusyon ng Pilipinas:** Dapat tiyakin ng Estado ang partisipasyon ng pribadong sektor sa pagbibigay ng mahahalagang serbisyo publiko (Artikulo XII, Seksyon 17). 
* **Mga Kaugnay na RA:** Ang Electric Power Industry Reform Act (EP"&amp;"IRA) (RA 9136) ay nag-uutos ng bukas na access sa transmission grid. Gayunpaman, maaari pa ring umiral ang mga limitasyon sa grid.  
* **Pagbabawas:**
    * Suriin ang kapasidad ng grid sa target na lokasyon ng proyekto.
    * Galugarin ang mga opsyo"&amp;"n para sa on-site na pag-iimbak ng enerhiya o mga alternatibong linya ng transmission (napapailalim sa pag-apruba ng regulasyon).
    * Makipag-ugnayan sa mga nauugnay na stakeholder tulad ng Department of Energy (DOE) at mga operator ng grid upang mauna"&amp;"waan ang mga plano sa pagbuo ng grid.
**5. Ugnayan sa Komunidad at Karapatan ng mga Katutubo:**
* **Peligro:** Ang salungatan sa lipunan sa mga lokal na komunidad o mga isyung nauugnay sa mga paghahabol sa ancestral domain ng mga katutubo ay maaar"&amp;"ing maantala o mahinto ang mga proyekto.
* **Konstitusyon ng Pilipinas:** Kinikilala ng Artikulo II, Seksyon 19 ang karapatan ng mga tao sa isang balanse at malusog na ekolohiya. Ang Artikulo XIV, Seksyon 17 ay nagtataguyod ng mga karapatan at kapakanan "&amp;"ng mga katutubong pamayanang kultural. 
* **Mga Kaugnay na RA:** Ginagarantiyahan ng Indigenous Peoples' Rights Act (IPRA) (RA 8371) ang mga karapatan sa lupaing ninuno ng mga katutubong komunidad. 
* **Pagbabawas:**
    * Magsagawa ng mga pagsusuri "&amp;"sa epekto sa lipunan at bumuo ng mga plano sa pakikipag-ugnayan sa komunidad.
    * Igalang ang karapatan ng mga katutubo sa libre at naunang kaalamang pahintulot (FPIC) ayon sa ipinag-uutos ng IPRA.
    * Makipagtulungan sa mga lokal na komunidad para "&amp;"sa mga benepisyo ng proyekto at tiyakin ang napapanatiling mga kasanayan sa pag-unlad. 
Tandaan, hindi ito isang kumpletong listahan, at ang paghingi ng propesyonal na legal na payo na partikular sa iyong proyekto ay lubos na inirerekomenda. ")</f>
        <v>## Mga Legal na Panganib para sa Mga Multinasyunal na Korporasyon sa Mga Proyekto ng Renewable Energy sa Pilipinas
Nag-aalok ang Pilipinas ng magandang merkado para sa renewable energy, ngunit may mga legal na panganib na dapat isaalang-alang. Narito ang isang breakdown ng ilang mga pangunahing lugar at kung paano pagaanin ang mga ito:
**1. Kawalang-katiyakan sa Regulatoryo:**
* **Peligro:** Mga madalas na pagbabago o pagkaantala sa mga regulasyon na nakakaapekto sa mga timeline at gastos ng proyekto. 
* **Konstitusyon ng Pilipinas:** Ang Artikulo XVIII, Seksyon 20 ay ginagarantiyahan ang karapatan ng Estado na i-regulate ang pagsaliksik, pagpapaunlad, at paggamit ng likas na yaman. Gayunpaman, binibigyang-diin din nito ang balanseng ekolohikal at napapanatiling pag-unlad (Seksyon 16). 
* **Mga Kaugnay na RA:** Ang Renewable Energy Act (RA 6969) ay nagtatatag ng balangkas para sa renewable energy development. Gayunpaman, ang pagpapatupad ng mga tuntunin at regulasyon ay maaaring magbago. 
* **Pagbabawas:**
    * Magsagawa ng masusing due diligence sa mga kasalukuyang regulasyon at patakaran.
    * Subaybayan ang mga pagpapaunlad ng regulasyon at makipag-ugnayan sa mga kaugnay na ahensya ng gobyerno.
    * Istruktura ang mga kasunduan na may kakayahang umangkop upang umangkop sa mga pagbabago sa regulasyon sa hinaharap (sa loob ng mga legal na hangganan).
**2. Pagkuha ng Lupa at Pagpapahintulot:**
* **Peligro:** Mga pagkaantala at kahirapan sa pagkuha ng mga karapatan sa lupa at pagkuha ng mga kinakailangang permit.
* **Konstitusyon ng Pilipinas:** Pinoprotektahan ng Artikulo XII ang karapatang magkaroon ng ari-arian. Gayunpaman, maaaring kontrolin ng Estado ang pagmamay-ari at paggamit ng lupa para sa kabutihang panlahat (Seksyon 6). 
* **Mga Kaugnay na RA:** Ang Kodigo ng Lokal na Pamahalaan (RA 7160) ay nagbibigay ng kapangyarihan sa mga local government units (LGUs) na i-regulate ang paggamit ng lupa sa loob ng kanilang nasasakupan. 
* **Pagbabawas:**
    * Makipagtulungan sa mga bihasang lokal na developer upang mag-navigate sa mga proseso ng pagkuha ng lupa.
    * Secure permit maaga sa yugto ng pagbuo ng proyekto.
    * Isaalang-alang ang mga alternatibong lokasyon ng proyekto na may hindi gaanong kumplikadong mga istraktura ng pagmamay-ari ng lupa. 
**3. Pagbabago ng Currency at Force Majeure Events:**
* **Peligro:** Ang pagbabagu-bago sa Philippine Peso (PHP) ay maaaring makaapekto sa kakayahang kumita ng proyekto. Ang mga natural na sakuna o kawalang-tatag sa pulitika ay maaaring makagambala sa mga operasyon.
* **Saligang-Batas ng Pilipinas:** Dapat itaguyod ng Estado ang katangi-tanging karapatan ng mga mamamayang Pilipino sa pambansang ekonomiya at ang balanseng pamamahagi ng pagmamay-ari (Artikulo XII, Seksyon 14). Gayunpaman, tinatanggap din ang mga dayuhang pamumuhunan. 
* **Mga nauugnay na RA:** Ginagarantiyahan ng Foreign Investments Act (RA 7042) ang patas na pagtrato para sa mga dayuhang mamumuhunan. 
* **Pagbabawas:**
    * Gumamit ng mga instrumento sa pananalapi upang mag-hedge laban sa mga pagbabago sa currency.
    * Isama ang malinaw na force majeure clause sa mga kontrata ng proyekto na nagbabalangkas ng mga karapatan at obligasyon sa kaso ng mga hindi inaasahang pangyayari.
    * Isaalang-alang ang pagkuha ng naaangkop na saklaw ng seguro para sa mga panganib sa proyekto.
**4. Mga Hamon sa Pagsasama ng Grid at Pagpapadala:**
* **Peligro:** Ang limitadong kapasidad o inefficiencies sa power grid ay maaaring makahadlang sa viability ng proyekto.
* **Konstitusyon ng Pilipinas:** Dapat tiyakin ng Estado ang partisipasyon ng pribadong sektor sa pagbibigay ng mahahalagang serbisyo publiko (Artikulo XII, Seksyon 17). 
* **Mga Kaugnay na RA:** Ang Electric Power Industry Reform Act (EPIRA) (RA 9136) ay nag-uutos ng bukas na access sa transmission grid. Gayunpaman, maaari pa ring umiral ang mga limitasyon sa grid.  
* **Pagbabawas:**
    * Suriin ang kapasidad ng grid sa target na lokasyon ng proyekto.
    * Galugarin ang mga opsyon para sa on-site na pag-iimbak ng enerhiya o mga alternatibong linya ng transmission (napapailalim sa pag-apruba ng regulasyon).
    * Makipag-ugnayan sa mga nauugnay na stakeholder tulad ng Department of Energy (DOE) at mga operator ng grid upang maunawaan ang mga plano sa pagbuo ng grid.
**5. Ugnayan sa Komunidad at Karapatan ng mga Katutubo:**
* **Peligro:** Ang salungatan sa lipunan sa mga lokal na komunidad o mga isyung nauugnay sa mga paghahabol sa ancestral domain ng mga katutubo ay maaaring maantala o mahinto ang mga proyekto.
* **Konstitusyon ng Pilipinas:** Kinikilala ng Artikulo II, Seksyon 19 ang karapatan ng mga tao sa isang balanse at malusog na ekolohiya. Ang Artikulo XIV, Seksyon 17 ay nagtataguyod ng mga karapatan at kapakanan ng mga katutubong pamayanang kultural. 
* **Mga Kaugnay na RA:** Ginagarantiyahan ng Indigenous Peoples' Rights Act (IPRA) (RA 8371) ang mga karapatan sa lupaing ninuno ng mga katutubong komunidad. 
* **Pagbabawas:**
    * Magsagawa ng mga pagsusuri sa epekto sa lipunan at bumuo ng mga plano sa pakikipag-ugnayan sa komunidad.
    * Igalang ang karapatan ng mga katutubo sa libre at naunang kaalamang pahintulot (FPIC) ayon sa ipinag-uutos ng IPRA.
    * Makipagtulungan sa mga lokal na komunidad para sa mga benepisyo ng proyekto at tiyakin ang napapanatiling mga kasanayan sa pag-unlad. 
Tandaan, hindi ito isang kumpletong listahan, at ang paghingi ng propesyonal na legal na payo na partikular sa iyong proyekto ay lubos na inirerekomenda. </v>
      </c>
      <c r="F2878" s="2">
        <f t="shared" si="1"/>
        <v>0</v>
      </c>
      <c r="G2878" s="2"/>
      <c r="H2878" s="2"/>
      <c r="I2878" s="2"/>
      <c r="J2878" s="2"/>
      <c r="K2878" s="2"/>
      <c r="L2878" s="2"/>
      <c r="M2878" s="2"/>
      <c r="N2878" s="2"/>
      <c r="O2878" s="2"/>
      <c r="P2878" s="2"/>
      <c r="Q2878" s="2"/>
      <c r="R2878" s="2"/>
      <c r="S2878" s="2"/>
      <c r="T2878" s="2"/>
      <c r="U2878" s="2"/>
      <c r="V2878" s="2"/>
      <c r="W2878" s="2"/>
      <c r="X2878" s="2"/>
      <c r="Y2878" s="2"/>
      <c r="Z2878" s="2"/>
      <c r="AA2878" s="2"/>
    </row>
    <row r="2879">
      <c r="A2879" s="3" t="s">
        <v>6661</v>
      </c>
      <c r="B2879" s="1" t="s">
        <v>6732</v>
      </c>
      <c r="C2879" s="3" t="s">
        <v>6733</v>
      </c>
      <c r="D2879" s="2" t="str">
        <f>IFERROR(__xludf.DUMMYFUNCTION("GOOGLETRANSLATE(B2879, ""en"", ""TL"")"),"Isipin ang isang senaryo kung saan ang isang kumpanya ng renewable energy ay inakusahan na nagdulot ng pinsala sa kapaligiran sa panahon ng pagtatayo ng isang hydroelectric dam. Anong mga legal na pananagutan ang kinakaharap nila?")</f>
        <v>Isipin ang isang senaryo kung saan ang isang kumpanya ng renewable energy ay inakusahan na nagdulot ng pinsala sa kapaligiran sa panahon ng pagtatayo ng isang hydroelectric dam. Anong mga legal na pananagutan ang kinakaharap nila?</v>
      </c>
      <c r="E2879" s="2" t="str">
        <f>IFERROR(__xludf.DUMMYFUNCTION("GOOGLETRANSLATE(C2879, ""en"", ""TL"")"),"## Mga Legal na Pananagutan para sa Pagkasira ng Kapaligiran mula sa Konstruksyon ng Hydroelectric Dam
Kung ang isang kumpanya ng renewable energy ay inakusahan na nagdudulot ng pinsala sa kapaligiran sa panahon ng isang hydroelectric dam project sa Pi"&amp;"lipinas, maaari silang humarap sa mga legal na pananagutan sa ilalim ng ilang batas:
**1. Konstitusyon ng Pilipinas:**
* **Artikulo II, Seksyon 16:** Ginagarantiya ang karapatan sa isang balanse at malusog na ekolohiya. Maaaring managot ang kumpanya"&amp;" sa paglabag sa karapatang ito kung ang kanilang mga aksyon ay nagdulot ng malaki at pangmatagalang pinsala sa ekolohiya.
* **Artikulo XVIII, Seksyon 20:** Ang Estado ay may karapatang pangasiwaan ang paggalugad, pagpapaunlad, at paggamit ng likas na yam"&amp;"an. Maaaring managot ang kumpanya para sa paglabag sa anumang mga regulasyong pangkapaligiran o mga permit na ibinigay para sa proyekto.
**2. Mga Kaugnay na Republic Acts (RA):**
* **Environmental Impact Assessment System Act (EIA Law) (RA 1658):** "&amp;"Ang batas na ito ay nag-uutos ng environmental impact assessments (EIAs) para sa mga proyektong may potensyal na makabuluhang epekto sa kapaligiran. Maaaring managot ang kumpanya kung nabigo silang sumunod sa proseso ng EIA o kung lumihis ang kanilang mga"&amp;" aksyon mula sa naaprubahang plano ng EIA.
* **The Clean Water Act (RA 3977):** Ipinagbabawal ang paglabas ng mga pollutant sa tubig ng Pilipinas. Ang kumpanya ay maaaring managot kung ang mga aktibidad sa pagtatayo ay nagdudumi sa mga ilog o daluyan ng "&amp;"tubig.
* **Ang Kodigo sa Panggugubat ng Pilipinas (RA 7161):** Kinokontrol ang paggamit at pangangalaga ng mga lupang kagubatan. Maaaring managot ang kumpanya kung ang mga aktibidad sa pagtatayo ay nagdulot ng deforestation o pinsala sa mga protektadong "&amp;"kagubatan.
* **The Fisheries Code (RA 8550):** Nilalayon na pangalagaan at protektahan ang mga yamang pangisdaan at tubig. Maaaring managot ang kumpanya kung ang pagtatayo ng dam ay nakagambala sa mga pattern ng paglipat ng isda o napinsala ang mga aquat"&amp;"ic ecosystem.
**3. Iba pang Potensyal na Pananagutan:**
* **Batas Sibil:** Ang mga apektadong indibidwal o komunidad ay maaaring magsampa ng mga kasong sibil na humihingi ng kabayaran para sa mga pinsala sa kanilang ari-arian, kabuhayan, o kalusugan"&amp;" na dulot ng pinsala sa kapaligiran.
* **Batas sa Kriminal:** Depende sa kalubhaan ng pinsala sa kapaligiran, ang kumpanya o mga kinatawan nito ay maaaring humarap sa mga kasong kriminal sa ilalim ng mga batas sa kapaligiran.
**Mahahalagang Pagsasaala"&amp;"ng-alang:**
* Ang mga tiyak na pananagutan ay depende sa kalikasan at lawak ng pinsalang dulot ng kapaligiran.
* Ang mga ahensya ng gobyerno na responsable para sa pangangalaga sa kapaligiran, tulad ng Department of Environment and Natural Resources ("&amp;"DENR), ay maaaring magsagawa ng mga pagsisiyasat at magpataw ng mga administratibong parusa.
* Maaaring harapin ng kumpanya ang pampublikong presyon at pinsala sa reputasyon dahil sa mga akusasyon.
**Mga Rekomendasyon:**
* Dapat makipagtulungan ang"&amp;" kumpanya sa anumang pagsisiyasat ng mga ahensya ng gobyerno.
* Dapat silang magpanatili ng kwalipikadong legal na tagapayo upang payuhan sila sa kanilang mga legal na pananagutan at mga potensyal na depensa.
* Ang pakikipag-ugnayan sa mga apektadong ko"&amp;"munidad at pagpapakita ng pangako sa responsibilidad sa kapaligiran ay makakatulong na mabawasan ang mga pinsala at muling buuin ang tiwala.
")</f>
        <v>## Mga Legal na Pananagutan para sa Pagkasira ng Kapaligiran mula sa Konstruksyon ng Hydroelectric Dam
Kung ang isang kumpanya ng renewable energy ay inakusahan na nagdudulot ng pinsala sa kapaligiran sa panahon ng isang hydroelectric dam project sa Pilipinas, maaari silang humarap sa mga legal na pananagutan sa ilalim ng ilang batas:
**1. Konstitusyon ng Pilipinas:**
* **Artikulo II, Seksyon 16:** Ginagarantiya ang karapatan sa isang balanse at malusog na ekolohiya. Maaaring managot ang kumpanya sa paglabag sa karapatang ito kung ang kanilang mga aksyon ay nagdulot ng malaki at pangmatagalang pinsala sa ekolohiya.
* **Artikulo XVIII, Seksyon 20:** Ang Estado ay may karapatang pangasiwaan ang paggalugad, pagpapaunlad, at paggamit ng likas na yaman. Maaaring managot ang kumpanya para sa paglabag sa anumang mga regulasyong pangkapaligiran o mga permit na ibinigay para sa proyekto.
**2. Mga Kaugnay na Republic Acts (RA):**
* **Environmental Impact Assessment System Act (EIA Law) (RA 1658):** Ang batas na ito ay nag-uutos ng environmental impact assessments (EIAs) para sa mga proyektong may potensyal na makabuluhang epekto sa kapaligiran. Maaaring managot ang kumpanya kung nabigo silang sumunod sa proseso ng EIA o kung lumihis ang kanilang mga aksyon mula sa naaprubahang plano ng EIA.
* **The Clean Water Act (RA 3977):** Ipinagbabawal ang paglabas ng mga pollutant sa tubig ng Pilipinas. Ang kumpanya ay maaaring managot kung ang mga aktibidad sa pagtatayo ay nagdudumi sa mga ilog o daluyan ng tubig.
* **Ang Kodigo sa Panggugubat ng Pilipinas (RA 7161):** Kinokontrol ang paggamit at pangangalaga ng mga lupang kagubatan. Maaaring managot ang kumpanya kung ang mga aktibidad sa pagtatayo ay nagdulot ng deforestation o pinsala sa mga protektadong kagubatan.
* **The Fisheries Code (RA 8550):** Nilalayon na pangalagaan at protektahan ang mga yamang pangisdaan at tubig. Maaaring managot ang kumpanya kung ang pagtatayo ng dam ay nakagambala sa mga pattern ng paglipat ng isda o napinsala ang mga aquatic ecosystem.
**3. Iba pang Potensyal na Pananagutan:**
* **Batas Sibil:** Ang mga apektadong indibidwal o komunidad ay maaaring magsampa ng mga kasong sibil na humihingi ng kabayaran para sa mga pinsala sa kanilang ari-arian, kabuhayan, o kalusugan na dulot ng pinsala sa kapaligiran.
* **Batas sa Kriminal:** Depende sa kalubhaan ng pinsala sa kapaligiran, ang kumpanya o mga kinatawan nito ay maaaring humarap sa mga kasong kriminal sa ilalim ng mga batas sa kapaligiran.
**Mahahalagang Pagsasaalang-alang:**
* Ang mga tiyak na pananagutan ay depende sa kalikasan at lawak ng pinsalang dulot ng kapaligiran.
* Ang mga ahensya ng gobyerno na responsable para sa pangangalaga sa kapaligiran, tulad ng Department of Environment and Natural Resources (DENR), ay maaaring magsagawa ng mga pagsisiyasat at magpataw ng mga administratibong parusa.
* Maaaring harapin ng kumpanya ang pampublikong presyon at pinsala sa reputasyon dahil sa mga akusasyon.
**Mga Rekomendasyon:**
* Dapat makipagtulungan ang kumpanya sa anumang pagsisiyasat ng mga ahensya ng gobyerno.
* Dapat silang magpanatili ng kwalipikadong legal na tagapayo upang payuhan sila sa kanilang mga legal na pananagutan at mga potensyal na depensa.
* Ang pakikipag-ugnayan sa mga apektadong komunidad at pagpapakita ng pangako sa responsibilidad sa kapaligiran ay makakatulong na mabawasan ang mga pinsala at muling buuin ang tiwala.
</v>
      </c>
      <c r="F2879" s="2">
        <f t="shared" si="1"/>
        <v>0</v>
      </c>
      <c r="G2879" s="2"/>
      <c r="H2879" s="2"/>
      <c r="I2879" s="2"/>
      <c r="J2879" s="2"/>
      <c r="K2879" s="2"/>
      <c r="L2879" s="2"/>
      <c r="M2879" s="2"/>
      <c r="N2879" s="2"/>
      <c r="O2879" s="2"/>
      <c r="P2879" s="2"/>
      <c r="Q2879" s="2"/>
      <c r="R2879" s="2"/>
      <c r="S2879" s="2"/>
      <c r="T2879" s="2"/>
      <c r="U2879" s="2"/>
      <c r="V2879" s="2"/>
      <c r="W2879" s="2"/>
      <c r="X2879" s="2"/>
      <c r="Y2879" s="2"/>
      <c r="Z2879" s="2"/>
      <c r="AA2879" s="2"/>
    </row>
    <row r="2880">
      <c r="A2880" s="3" t="s">
        <v>6661</v>
      </c>
      <c r="B2880" s="1" t="s">
        <v>6734</v>
      </c>
      <c r="C2880" s="3" t="s">
        <v>6735</v>
      </c>
      <c r="D2880" s="2" t="str">
        <f>IFERROR(__xludf.DUMMYFUNCTION("GOOGLETRANSLATE(B2880, ""en"", ""TL"")"),"Plano ng isang grupo ng mga environmental activist na hamunin ang pag-apruba ng gobyerno sa isang coal-fired power plant. Anong mga legal na paraan ang maaari nilang ituloy upang ihinto ang proyekto?")</f>
        <v>Plano ng isang grupo ng mga environmental activist na hamunin ang pag-apruba ng gobyerno sa isang coal-fired power plant. Anong mga legal na paraan ang maaari nilang ituloy upang ihinto ang proyekto?</v>
      </c>
      <c r="E2880" s="2" t="str">
        <f>IFERROR(__xludf.DUMMYFUNCTION("GOOGLETRANSLATE(C2880, ""en"", ""TL"")"),"Narito ang ilang mga legal na paraan na maaaring isagawa ng mga aktibistang pangkalikasan sa Pilipinas upang hamunin ang pag-apruba ng gobyerno sa isang planta ng kuryente na pinapagana ng karbon:
**1. Petisyon para sa Certiorari sa ilalim ng Rule 65 n"&amp;"g Rules of Court:**
* Hinahamon nito ang legalidad ng desisyon ng ahensya ng gobyerno na aprubahan ang proyekto. Maaaring magtaltalan ang mga aktibista na ang proseso ng pag-apruba ay lumabag sa mga kinakailangan sa pamamaraan o nabigo ang ahensya na i"&amp;"saalang-alang ang mga nauugnay na batas sa kapaligiran. 
**2. Mandamus Petition sa ilalim ng Rule 60 of the Rules of Court:**
* Pinipilit nito ang isang ahensya ng gobyerno na gampanan ang isang legal na tungkulin, tulad ng pagsasagawa ng wastong en"&amp;"vironmental impact assessment (EIA) ayon sa ipinag-uutos ng **Environmental Impact Assessment System Act (EIA Law) (RA 1658)**.
**3. Petisyon ng Pagbabawal sa ilalim ng Rule 60 ng Rules of Court:**
* Ito ay naglalayong maiwasan ang isang napipintong"&amp;" ilegal na pagkilos, tulad ng pagtatayo ng planta ng kuryente kung ito ay mapapatunayang lumalabag sa mga batas sa kapaligiran o mapanganib sa kalusugan ng publiko.
**4. Mga Hamon sa Pamamaraan Batay sa Konstitusyon ng Pilipinas:**
* Maaaring ipanga"&amp;"tuwiran ng mga aktibista na ang pag-apruba ng proyekto ay lumabag sa karapatan sa balanse at malusog na ekolohiya na nakasaad sa **Artikulo II, Seksyon 16** ng Konstitusyon.
**Sumusuporta sa kanilang Kaso:**
* Maaaring palakasin ng mga aktibista ang"&amp;" kanilang kaso sa pamamagitan ng:
    * Pagbibigay ng ebidensya ng potensyal na pinsala sa kapaligiran mula sa coal-fired plant.
    * Pagha-highlight ng mga depekto sa pamamaraan sa proseso ng pag-apruba.
    * Pagpapakita ng kakulangan ng tamang pamp"&amp;"ublikong konsultasyon na kinakailangan ng batas.
**Mga Karagdagang Pagsasaalang-alang:**
* Ang mga legal na hamon ay maaaring magastos at nakakaubos ng oras. Ang pagkonsulta sa isang abogadong may karanasan sa batas sa kapaligiran ay mahalaga.
* Ma"&amp;"aari ding tuklasin ng mga aktibista ang mga hindi legal na paraan tulad ng mga kampanya sa kamalayan ng publiko at pakikipag-ugnayan sa mga gumagawa ng patakaran upang pilitin silang muling isaalang-alang ang proyekto.
Tandaan, ito ay ilan lamang sa mg"&amp;"a potensyal na legal na paraan. Ang pinakaepektibong diskarte ay nakasalalay sa mga partikular na detalye ng pag-apruba ng proyekto at ang mga mapagkukunang magagamit ng mga aktibista.
")</f>
        <v>Narito ang ilang mga legal na paraan na maaaring isagawa ng mga aktibistang pangkalikasan sa Pilipinas upang hamunin ang pag-apruba ng gobyerno sa isang planta ng kuryente na pinapagana ng karbon:
**1. Petisyon para sa Certiorari sa ilalim ng Rule 65 ng Rules of Court:**
* Hinahamon nito ang legalidad ng desisyon ng ahensya ng gobyerno na aprubahan ang proyekto. Maaaring magtaltalan ang mga aktibista na ang proseso ng pag-apruba ay lumabag sa mga kinakailangan sa pamamaraan o nabigo ang ahensya na isaalang-alang ang mga nauugnay na batas sa kapaligiran. 
**2. Mandamus Petition sa ilalim ng Rule 60 of the Rules of Court:**
* Pinipilit nito ang isang ahensya ng gobyerno na gampanan ang isang legal na tungkulin, tulad ng pagsasagawa ng wastong environmental impact assessment (EIA) ayon sa ipinag-uutos ng **Environmental Impact Assessment System Act (EIA Law) (RA 1658)**.
**3. Petisyon ng Pagbabawal sa ilalim ng Rule 60 ng Rules of Court:**
* Ito ay naglalayong maiwasan ang isang napipintong ilegal na pagkilos, tulad ng pagtatayo ng planta ng kuryente kung ito ay mapapatunayang lumalabag sa mga batas sa kapaligiran o mapanganib sa kalusugan ng publiko.
**4. Mga Hamon sa Pamamaraan Batay sa Konstitusyon ng Pilipinas:**
* Maaaring ipangatuwiran ng mga aktibista na ang pag-apruba ng proyekto ay lumabag sa karapatan sa balanse at malusog na ekolohiya na nakasaad sa **Artikulo II, Seksyon 16** ng Konstitusyon.
**Sumusuporta sa kanilang Kaso:**
* Maaaring palakasin ng mga aktibista ang kanilang kaso sa pamamagitan ng:
    * Pagbibigay ng ebidensya ng potensyal na pinsala sa kapaligiran mula sa coal-fired plant.
    * Pagha-highlight ng mga depekto sa pamamaraan sa proseso ng pag-apruba.
    * Pagpapakita ng kakulangan ng tamang pampublikong konsultasyon na kinakailangan ng batas.
**Mga Karagdagang Pagsasaalang-alang:**
* Ang mga legal na hamon ay maaaring magastos at nakakaubos ng oras. Ang pagkonsulta sa isang abogadong may karanasan sa batas sa kapaligiran ay mahalaga.
* Maaari ding tuklasin ng mga aktibista ang mga hindi legal na paraan tulad ng mga kampanya sa kamalayan ng publiko at pakikipag-ugnayan sa mga gumagawa ng patakaran upang pilitin silang muling isaalang-alang ang proyekto.
Tandaan, ito ay ilan lamang sa mga potensyal na legal na paraan. Ang pinakaepektibong diskarte ay nakasalalay sa mga partikular na detalye ng pag-apruba ng proyekto at ang mga mapagkukunang magagamit ng mga aktibista.
</v>
      </c>
      <c r="F2880" s="2">
        <f t="shared" si="1"/>
        <v>0</v>
      </c>
      <c r="G2880" s="2"/>
      <c r="H2880" s="2"/>
      <c r="I2880" s="2"/>
      <c r="J2880" s="2"/>
      <c r="K2880" s="2"/>
      <c r="L2880" s="2"/>
      <c r="M2880" s="2"/>
      <c r="N2880" s="2"/>
      <c r="O2880" s="2"/>
      <c r="P2880" s="2"/>
      <c r="Q2880" s="2"/>
      <c r="R2880" s="2"/>
      <c r="S2880" s="2"/>
      <c r="T2880" s="2"/>
      <c r="U2880" s="2"/>
      <c r="V2880" s="2"/>
      <c r="W2880" s="2"/>
      <c r="X2880" s="2"/>
      <c r="Y2880" s="2"/>
      <c r="Z2880" s="2"/>
      <c r="AA2880" s="2"/>
    </row>
    <row r="2881">
      <c r="A2881" s="3" t="s">
        <v>6661</v>
      </c>
      <c r="B2881" s="1" t="s">
        <v>6736</v>
      </c>
      <c r="C2881" s="3" t="s">
        <v>6737</v>
      </c>
      <c r="D2881" s="2" t="str">
        <f>IFERROR(__xludf.DUMMYFUNCTION("GOOGLETRANSLATE(B2881, ""en"", ""TL"")"),"Kinakatawan mo ang isang komunidad na apektado ng pagtatayo ng isang nuclear power plant. Anong mga legal na estratehiya ang maaaring gamitin upang humingi ng kompensasyon at tulong sa relokasyon?")</f>
        <v>Kinakatawan mo ang isang komunidad na apektado ng pagtatayo ng isang nuclear power plant. Anong mga legal na estratehiya ang maaaring gamitin upang humingi ng kompensasyon at tulong sa relokasyon?</v>
      </c>
      <c r="E2881" s="2" t="str">
        <f>IFERROR(__xludf.DUMMYFUNCTION("GOOGLETRANSLATE(C2881, ""en"", ""TL"")"),"Narito ang ilang legal na estratehiya na maaaring galugarin ng iyong komunidad para humingi ng kompensasyon at tulong sa relokasyon dahil sa pagtatayo ng isang nuclear power plant:
**1. Negosasyon:**
* Ito ang madalas na gustong unang hakbang. Lumap"&amp;"it sa ahensya ng gobyerno na responsable para sa proyekto at sa kumpanyang nagtatayo ng planta. Makipag-ayos ng isang patas na pakete ng kabayaran na isinasaalang-alang:
    * Pagkawala ng halaga ng ari-arian dahil sa malapit sa planta.
    * Pagkawala "&amp;"ng kabuhayan kung ang mga tradisyunal na aktibidad ay naapektuhan ng mga alalahanin sa pagtatayo o kaligtasan.
    * Mga gastos sa relokasyon kung kinakailangan.
    * Mga potensyal na panganib sa kalusugan at pangmatagalang alalahanin sa kapaligiran.
"&amp;"
**2. Mga Legal na Hamon batay sa Republic Acts (RA):**
* **Konstitusyon ng Pilipinas:** Ang Artikulo II, Seksyon 16 ay ginagarantiyahan ang karapatan sa isang balanse at malusog na ekolohiya. Maaari mong ipangatuwiran na ang halaman ay nagdudulot ng "&amp;"panganib sa kalusugan at kapaligiran ng komunidad.
* **Ang Philippine Nuclear Regulations Act (RA 5207):** Ang batas na ito ay kinokontrol ang pagtatayo at pagpapatakbo ng mga nuclear power plant. Maaari mong hamunin ang proyekto kung nabigo itong sumuno"&amp;"d sa mga regulasyong pangkaligtasan o kung ang komunidad ay hindi wastong naabisuhan tungkol sa mga potensyal na panganib.
* **Ang Land Acquisition and Resettlement Act (RA 7161):** Ang batas na ito ay nag-uutos ng patas na kompensasyon at tulong sa relo"&amp;"kasyon para sa mga inilikas ng mga proyektong pang-imprastraktura. Maaari kang magtaltalan na ang pagtatayo ng nuclear plant ay kwalipikado bilang isang proyekto sa paglilipat. 
**3. Mga Legal na Hamon batay sa Mga Isyu sa Pamamaraan:**
* **Environm"&amp;"ental Impact Assessment System Act (EIA Law) (RA 1658):** Maaari mong ipangatuwiran na ang proseso ng EIA ay may depekto, hindi sapat na masuri ang epekto ng proyekto sa komunidad o hindi kinasasangkutan ng wastong pampublikong konsultasyon.
**4. Sibil"&amp;" na Paghahabla:**
* Kung mabigo ang mga negosasyon at ang komunidad ay dumanas ng maipakitang pinsala (pinsala sa ari-arian, mga isyu sa kalusugan, atbp.), maaari kang magsampa ng kasong sibil laban sa ahensya ng gobyerno o sa kumpanya para sa:
    * "&amp;"Kompensasyon lamang para sa mga pinsala.
    * Injunction na ihinto ang konstruksiyon kung ang mga alalahanin sa kaligtasan ay pinakamahalaga.
**Mga Karagdagang Pagsasaalang-alang:**
* Legal na representasyon: Humingi ng legal na tagapayo na may ka"&amp;"ranasan sa batas sa kapaligiran at mga karapatan ng komunidad upang epektibong mag-navigate sa legal na proseso.
* Pagtitipon ng ebidensya: Idokumento ang anumang negatibong epekto sa komunidad, mga halaga ng ari-arian, o kabuhayan.
* Pagpapakilos ng ko"&amp;"munidad: Ang pagbuo ng isang malakas, nagkakaisang boses ng komunidad ay magpapalaki sa iyong pagkilos sa mga negosasyon at makakalap ng suporta ng publiko. 
**Tandaan:** Ang mga legal na laban ay maaaring mahaba at magastos. Timbangin ang mga gastos a"&amp;"t potensyal na benepisyo bago ituloy ang legal na aksyon. Pag-isipang tuklasin ang mga alternatibong proseso ng paglutas ng hindi pagkakaunawaan sa gobyerno at kumpanya kung available.
")</f>
        <v>Narito ang ilang legal na estratehiya na maaaring galugarin ng iyong komunidad para humingi ng kompensasyon at tulong sa relokasyon dahil sa pagtatayo ng isang nuclear power plant:
**1. Negosasyon:**
* Ito ang madalas na gustong unang hakbang. Lumapit sa ahensya ng gobyerno na responsable para sa proyekto at sa kumpanyang nagtatayo ng planta. Makipag-ayos ng isang patas na pakete ng kabayaran na isinasaalang-alang:
    * Pagkawala ng halaga ng ari-arian dahil sa malapit sa planta.
    * Pagkawala ng kabuhayan kung ang mga tradisyunal na aktibidad ay naapektuhan ng mga alalahanin sa pagtatayo o kaligtasan.
    * Mga gastos sa relokasyon kung kinakailangan.
    * Mga potensyal na panganib sa kalusugan at pangmatagalang alalahanin sa kapaligiran.
**2. Mga Legal na Hamon batay sa Republic Acts (RA):**
* **Konstitusyon ng Pilipinas:** Ang Artikulo II, Seksyon 16 ay ginagarantiyahan ang karapatan sa isang balanse at malusog na ekolohiya. Maaari mong ipangatuwiran na ang halaman ay nagdudulot ng panganib sa kalusugan at kapaligiran ng komunidad.
* **Ang Philippine Nuclear Regulations Act (RA 5207):** Ang batas na ito ay kinokontrol ang pagtatayo at pagpapatakbo ng mga nuclear power plant. Maaari mong hamunin ang proyekto kung nabigo itong sumunod sa mga regulasyong pangkaligtasan o kung ang komunidad ay hindi wastong naabisuhan tungkol sa mga potensyal na panganib.
* **Ang Land Acquisition and Resettlement Act (RA 7161):** Ang batas na ito ay nag-uutos ng patas na kompensasyon at tulong sa relokasyon para sa mga inilikas ng mga proyektong pang-imprastraktura. Maaari kang magtaltalan na ang pagtatayo ng nuclear plant ay kwalipikado bilang isang proyekto sa paglilipat. 
**3. Mga Legal na Hamon batay sa Mga Isyu sa Pamamaraan:**
* **Environmental Impact Assessment System Act (EIA Law) (RA 1658):** Maaari mong ipangatuwiran na ang proseso ng EIA ay may depekto, hindi sapat na masuri ang epekto ng proyekto sa komunidad o hindi kinasasangkutan ng wastong pampublikong konsultasyon.
**4. Sibil na Paghahabla:**
* Kung mabigo ang mga negosasyon at ang komunidad ay dumanas ng maipakitang pinsala (pinsala sa ari-arian, mga isyu sa kalusugan, atbp.), maaari kang magsampa ng kasong sibil laban sa ahensya ng gobyerno o sa kumpanya para sa:
    * Kompensasyon lamang para sa mga pinsala.
    * Injunction na ihinto ang konstruksiyon kung ang mga alalahanin sa kaligtasan ay pinakamahalaga.
**Mga Karagdagang Pagsasaalang-alang:**
* Legal na representasyon: Humingi ng legal na tagapayo na may karanasan sa batas sa kapaligiran at mga karapatan ng komunidad upang epektibong mag-navigate sa legal na proseso.
* Pagtitipon ng ebidensya: Idokumento ang anumang negatibong epekto sa komunidad, mga halaga ng ari-arian, o kabuhayan.
* Pagpapakilos ng komunidad: Ang pagbuo ng isang malakas, nagkakaisang boses ng komunidad ay magpapalaki sa iyong pagkilos sa mga negosasyon at makakalap ng suporta ng publiko. 
**Tandaan:** Ang mga legal na laban ay maaaring mahaba at magastos. Timbangin ang mga gastos at potensyal na benepisyo bago ituloy ang legal na aksyon. Pag-isipang tuklasin ang mga alternatibong proseso ng paglutas ng hindi pagkakaunawaan sa gobyerno at kumpanya kung available.
</v>
      </c>
      <c r="F2881" s="2">
        <f t="shared" si="1"/>
        <v>0</v>
      </c>
      <c r="G2881" s="2"/>
      <c r="H2881" s="2"/>
      <c r="I2881" s="2"/>
      <c r="J2881" s="2"/>
      <c r="K2881" s="2"/>
      <c r="L2881" s="2"/>
      <c r="M2881" s="2"/>
      <c r="N2881" s="2"/>
      <c r="O2881" s="2"/>
      <c r="P2881" s="2"/>
      <c r="Q2881" s="2"/>
      <c r="R2881" s="2"/>
      <c r="S2881" s="2"/>
      <c r="T2881" s="2"/>
      <c r="U2881" s="2"/>
      <c r="V2881" s="2"/>
      <c r="W2881" s="2"/>
      <c r="X2881" s="2"/>
      <c r="Y2881" s="2"/>
      <c r="Z2881" s="2"/>
      <c r="AA2881" s="2"/>
    </row>
    <row r="2882">
      <c r="A2882" s="3" t="s">
        <v>6661</v>
      </c>
      <c r="B2882" s="1" t="s">
        <v>6738</v>
      </c>
      <c r="C2882" s="3" t="s">
        <v>6739</v>
      </c>
      <c r="D2882" s="2" t="str">
        <f>IFERROR(__xludf.DUMMYFUNCTION("GOOGLETRANSLATE(B2882, ""en"", ""TL"")"),"Ipagpalagay na ang isang kumpanyang nagpapatakbo ng geothermal energy plant ay inakusahan ng paglabag sa mga regulasyon sa kaligtasan ng manggagawa. Anong mga legal na aksyon ang maaaring gawin ng mga apektadong empleyado?")</f>
        <v>Ipagpalagay na ang isang kumpanyang nagpapatakbo ng geothermal energy plant ay inakusahan ng paglabag sa mga regulasyon sa kaligtasan ng manggagawa. Anong mga legal na aksyon ang maaaring gawin ng mga apektadong empleyado?</v>
      </c>
      <c r="E2882" s="2" t="str">
        <f>IFERROR(__xludf.DUMMYFUNCTION("GOOGLETRANSLATE(C2882, ""en"", ""TL"")"),"Narito ang ilang legal na aksyon na maaaring gawin ng mga apektadong empleyado kung ang isang geothermal energy plant sa Pilipinas ay inakusahan ng paglabag sa mga regulasyon sa kaligtasan ng manggagawa:
**1. Maghain ng Reklamo sa Department of Labor a"&amp;"nd Employment (DOLE):**
* Ang DOLE ang pangunahing ahensya ng gobyerno na responsable sa pagpapatupad ng mga pamantayan sa kaligtasan at kalusugan sa trabaho.  Ang mga empleyado ay maaaring magsampa ng reklamo sa kanilang pinakamalapit na DOLE regional"&amp;" office. Dapat idetalye ng reklamo ang mga partikular na paglabag sa kaligtasan at anumang pinsala o sakit na natamo dahil sa mga paglabag na ito.
* Sisiyasatin ng DOLE ang reklamo at maaaring maglabas ng utos na mag-aatas sa kumpanya na ayusin ang mga p"&amp;"aglabag at posibleng magpataw ng multa.
**2. Ituloy ang Mga Benepisyo ng Philippine Social Security System (SSS):**
* Kung ang isang manggagawa ay nasugatan o nagkasakit dahil sa isang paglabag sa kaligtasan na nauugnay sa trabaho, maaari silang mag"&amp;"ing karapat-dapat para sa mga benepisyo ng SSS tulad ng:
    * Mga Benepisyo sa Pagkakasakit o Pinsala
    * Mga Benepisyo ng Permanenteng Kabuuang Kapansanan
    * Mga benepisyo ng PhilHealth (sa pamamagitan ng SSS) para mabayaran ang mga gastusing me"&amp;"dikal
**3. Maghain ng Kaso sa National Labor Relations Commission (NLRC):**
* Kung gumanti ang kumpanya sa isang empleyado para sa paghahain ng reklamong pangkaligtasan o kung naniniwala sila na mali silang tinanggal dahil sa mga alalahanin sa kalig"&amp;"tasan, maaari silang magsampa ng kasong iligal na dismissal sa NLRC. Tutukuyin ng NLRC kung wasto ang dismissal at maaaring mag-utos ng reinstatement na may back wages. 
**4. Sibil na Paghahabla:**
* Bilang huling paraan, ang mga empleyado ay maaari"&amp;"ng magsampa ng kasong sibil laban sa kumpanya na humihingi ng kabayaran para sa mga pinsala, kabilang ang:
    * Mga gastos sa medikal
    * Nawalan ng sahod
    * Sakit at pagdurusa
**Mahahalagang Pagsasaalang-alang:**
* **Ebidensya:** Dapat man"&amp;"galap ng ebidensya ang mga empleyado upang suportahan ang kanilang mga paghahabol, tulad ng mga pahayag ng saksi, mga medikal na rekord, at dokumentasyon ng mga paglabag sa kaligtasan.
* **Legal na Representasyon:** Ang pagkonsulta sa isang abogadong may"&amp;" karanasan sa batas sa paggawa ay maaaring maging kapaki-pakinabang, lalo na para sa pag-navigate sa mga kumplikadong kaso o paghahain ng mga kaso.
* **Mga Unyon sa Paggawa:** Kung ang kumpanya ay may kinikilalang unyon ng manggagawa, maaari itong kumata"&amp;"wan sa mga empleyado sa mga negosasyon sa kumpanya at posibleng sa panahon ng mga legal na paglilitis.
**Mga Batas at Regulasyon ng Pilipinas:**
Maraming batas at regulasyon sa Pilipinas ang namamahala sa kaligtasan ng manggagawa sa mga geothermal p"&amp;"lant, kabilang ang:
* **Occupational Safety and Health Standards (OSHS) para sa Geothermal Industry (DOLE Department Order No. 164, Series of 2013):** Itong Department Order ay nagbabalangkas ng mga partikular na kinakailangan sa kaligtasan para sa geo"&amp;"thermal facility.
* **Labor Code of the Philippines (RA 4444):** Ginagarantiyahan ng batas na ito ang karapatan ng mga manggagawa sa ligtas at malusog na kondisyon sa pagtatrabaho.
Sa pamamagitan ng pagsunod sa mga legal na aksyong ito, maaaring panag"&amp;"utin ng mga empleyado ang kumpanya para sa mga paglabag sa kaligtasan at matiyak ang isang mas ligtas na kapaligiran sa trabaho para sa kanilang sarili at sa kanilang mga kasamahan.")</f>
        <v>Narito ang ilang legal na aksyon na maaaring gawin ng mga apektadong empleyado kung ang isang geothermal energy plant sa Pilipinas ay inakusahan ng paglabag sa mga regulasyon sa kaligtasan ng manggagawa:
**1. Maghain ng Reklamo sa Department of Labor and Employment (DOLE):**
* Ang DOLE ang pangunahing ahensya ng gobyerno na responsable sa pagpapatupad ng mga pamantayan sa kaligtasan at kalusugan sa trabaho.  Ang mga empleyado ay maaaring magsampa ng reklamo sa kanilang pinakamalapit na DOLE regional office. Dapat idetalye ng reklamo ang mga partikular na paglabag sa kaligtasan at anumang pinsala o sakit na natamo dahil sa mga paglabag na ito.
* Sisiyasatin ng DOLE ang reklamo at maaaring maglabas ng utos na mag-aatas sa kumpanya na ayusin ang mga paglabag at posibleng magpataw ng multa.
**2. Ituloy ang Mga Benepisyo ng Philippine Social Security System (SSS):**
* Kung ang isang manggagawa ay nasugatan o nagkasakit dahil sa isang paglabag sa kaligtasan na nauugnay sa trabaho, maaari silang maging karapat-dapat para sa mga benepisyo ng SSS tulad ng:
    * Mga Benepisyo sa Pagkakasakit o Pinsala
    * Mga Benepisyo ng Permanenteng Kabuuang Kapansanan
    * Mga benepisyo ng PhilHealth (sa pamamagitan ng SSS) para mabayaran ang mga gastusing medikal
**3. Maghain ng Kaso sa National Labor Relations Commission (NLRC):**
* Kung gumanti ang kumpanya sa isang empleyado para sa paghahain ng reklamong pangkaligtasan o kung naniniwala sila na mali silang tinanggal dahil sa mga alalahanin sa kaligtasan, maaari silang magsampa ng kasong iligal na dismissal sa NLRC. Tutukuyin ng NLRC kung wasto ang dismissal at maaaring mag-utos ng reinstatement na may back wages. 
**4. Sibil na Paghahabla:**
* Bilang huling paraan, ang mga empleyado ay maaaring magsampa ng kasong sibil laban sa kumpanya na humihingi ng kabayaran para sa mga pinsala, kabilang ang:
    * Mga gastos sa medikal
    * Nawalan ng sahod
    * Sakit at pagdurusa
**Mahahalagang Pagsasaalang-alang:**
* **Ebidensya:** Dapat mangalap ng ebidensya ang mga empleyado upang suportahan ang kanilang mga paghahabol, tulad ng mga pahayag ng saksi, mga medikal na rekord, at dokumentasyon ng mga paglabag sa kaligtasan.
* **Legal na Representasyon:** Ang pagkonsulta sa isang abogadong may karanasan sa batas sa paggawa ay maaaring maging kapaki-pakinabang, lalo na para sa pag-navigate sa mga kumplikadong kaso o paghahain ng mga kaso.
* **Mga Unyon sa Paggawa:** Kung ang kumpanya ay may kinikilalang unyon ng manggagawa, maaari itong kumatawan sa mga empleyado sa mga negosasyon sa kumpanya at posibleng sa panahon ng mga legal na paglilitis.
**Mga Batas at Regulasyon ng Pilipinas:**
Maraming batas at regulasyon sa Pilipinas ang namamahala sa kaligtasan ng manggagawa sa mga geothermal plant, kabilang ang:
* **Occupational Safety and Health Standards (OSHS) para sa Geothermal Industry (DOLE Department Order No. 164, Series of 2013):** Itong Department Order ay nagbabalangkas ng mga partikular na kinakailangan sa kaligtasan para sa geothermal facility.
* **Labor Code of the Philippines (RA 4444):** Ginagarantiyahan ng batas na ito ang karapatan ng mga manggagawa sa ligtas at malusog na kondisyon sa pagtatrabaho.
Sa pamamagitan ng pagsunod sa mga legal na aksyong ito, maaaring panagutin ng mga empleyado ang kumpanya para sa mga paglabag sa kaligtasan at matiyak ang isang mas ligtas na kapaligiran sa trabaho para sa kanilang sarili at sa kanilang mga kasamahan.</v>
      </c>
      <c r="F2882" s="2">
        <f t="shared" si="1"/>
        <v>0</v>
      </c>
      <c r="G2882" s="2"/>
      <c r="H2882" s="2"/>
      <c r="I2882" s="2"/>
      <c r="J2882" s="2"/>
      <c r="K2882" s="2"/>
      <c r="L2882" s="2"/>
      <c r="M2882" s="2"/>
      <c r="N2882" s="2"/>
      <c r="O2882" s="2"/>
      <c r="P2882" s="2"/>
      <c r="Q2882" s="2"/>
      <c r="R2882" s="2"/>
      <c r="S2882" s="2"/>
      <c r="T2882" s="2"/>
      <c r="U2882" s="2"/>
      <c r="V2882" s="2"/>
      <c r="W2882" s="2"/>
      <c r="X2882" s="2"/>
      <c r="Y2882" s="2"/>
      <c r="Z2882" s="2"/>
      <c r="AA2882" s="2"/>
    </row>
    <row r="2883">
      <c r="A2883" s="3" t="s">
        <v>6661</v>
      </c>
      <c r="B2883" s="1" t="s">
        <v>6740</v>
      </c>
      <c r="C2883" s="3" t="s">
        <v>6741</v>
      </c>
      <c r="D2883" s="2" t="str">
        <f>IFERROR(__xludf.DUMMYFUNCTION("GOOGLETRANSLATE(B2883, ""en"", ""TL"")"),"Ang isang ahensya ng gobyerno ay nagmumungkahi na i-auction ang mga karapatan sa pagmimina sa isang lugar na may potensyal para sa renewable energy development. Anong mga legal na argumento ang maaaring gawin laban sa desisyong ito?")</f>
        <v>Ang isang ahensya ng gobyerno ay nagmumungkahi na i-auction ang mga karapatan sa pagmimina sa isang lugar na may potensyal para sa renewable energy development. Anong mga legal na argumento ang maaaring gawin laban sa desisyong ito?</v>
      </c>
      <c r="E2883" s="2" t="str">
        <f>IFERROR(__xludf.DUMMYFUNCTION("GOOGLETRANSLATE(C2883, ""en"", ""TL"")"),"Narito ang ilang legal na argumento laban sa pag-auction ng mga karapatan sa pagmimina sa isang lugar na may potensyal para sa renewable energy development:
**1. Priyoridad ng Sustainable Development (Konstitusyon ng Pilipinas):**
* **Artikulo II, S"&amp;"eksyon 16:** Ginagarantiyahan ng seksyong ito ang karapatan sa isang balanse at malusog na ekolohiya. Maaari kang magtaltalan na ang pagmimina ay nagdudulot ng mas malaking banta sa kapaligiran kumpara sa renewable energy development, na lumalabag sa kara"&amp;"patang ito. 
* **Artikulo XII, Seksyon 1:** Dapat pangalagaan at protektahan ng Estado ang mga likas na yaman nito. Ang pagbibigay ng mga karapatan sa pagmimina ay maaaring humantong sa hindi maibabalik na pinsala sa kapaligiran, na sumasalungat sa utos "&amp;"na ito.
**2.  Salungat sa mga Umiiral na Batas at Patakaran (Republic Acts):**
* **Ang Renewable Energy Act (RA 6969):** Ang batas na ito ay nagtataguyod ng pagbuo at paggamit ng mga renewable energy sources. Ang pagbibigay ng mga karapatan sa pagmi"&amp;"mina ay maaaring makahadlang sa pagpapaunlad ng nababagong enerhiya sa lugar na iyon.
* **Ang Ecological Solid Waste Management Act (RA 9003):** Ang batas na ito ay naglalayon na bawasan ang pagbuo ng basura at isulong ang mga kasanayan sa kapaligiran. A"&amp;"ng mga aktibidad sa pagmimina ay kadalasang lumilikha ng malaking basura at polusyon.
**3. Pagkabigong Magsagawa ng Wastong Pagsusuri sa Kapaligiran:**
* **Ang Environmental Impact Assessment System Act (EIA Law) (RA 1658):** Ang batas na ito ay nag"&amp;"-uutos sa mga EIA para sa mga proyektong may potensyal na makabuluhang epekto sa kapaligiran. 
   * Maaari kang magtaltalan na dapat unahin ng gobyerno ang isang EIA para sa renewable energy development bago isaalang-alang ang pagmimina. 
   * Kung nags"&amp;"agawa ng EIA, maaari mong hamunin ang kasapatan nito kung hindi nito isasaalang-alang nang maayos ang potensyal na epekto sa kapaligiran ng pagmimina kumpara sa nababagong enerhiya. 
**4.  Karapatan sa Pampublikong Paglahok (Local Government Code &amp; RA "&amp;"1658):**
* **Local Government Code (RA 7160):** Ang batas na ito ay nagbibigay ng kapangyarihan sa mga local government units (LGUs) na lumahok sa pagpaplano at pagpapaunlad ng kanilang mga lugar. Maaaring gumawa ng argumento na dapat konsultahin ang L"&amp;"GU at isaalang-alang ang kanilang mga plano sa pagpapaunlad bago magpasya sa mga karapatan sa pagmimina.
* **Ang EIA Law (RA 1658):** Ang batas na ito ay nag-uutos ng pampublikong pakikilahok sa proseso ng EIA. Maaari kang magtaltalan na ang publiko ay h"&amp;"indi sapat na nalaman o nakonsulta tungkol sa mga potensyal na epekto ng pagmimina at ang mga benepisyo ng renewable energy development.
**5. Pampublikong Interes at Intergenerational Equity:**
* Ang nababagong enerhiya ay nagtataguyod ng isang napa"&amp;"panatiling hinaharap habang pinapaliit ang pinsala sa kapaligiran. Ang pagmimina ay maaaring makinabang sa panandaliang ekonomiya ngunit maaaring magkaroon ng pangmatagalang negatibong kahihinatnan para sa mga susunod na henerasyon. Maaari kang magtaltala"&amp;"n na ang pagbibigay-priyoridad sa pagpapaunlad ng nababagong enerhiya ay mas nakaayon sa interes ng publiko at mga prinsipyo ng intergenerational equity.
**Mga Karagdagang Pagsasaalang-alang:**
* **Magtipon ng ebidensya:** Ang pagsuporta sa iyong mg"&amp;"a argumento gamit ang data sa potensyal para sa renewable energy at ang mga panganib sa kapaligiran ng pagmimina ay nagpapatibay sa iyong kaso.
* **Pagpapakilos ng komunidad:** Ang pagsali sa apektadong komunidad at mga grupong pangkalikasan ay maaaring "&amp;"bumuo ng pampublikong presyon at suporta para sa pagpapaunlad ng nababagong enerhiya.
* **Tuklasin ang mga alternatibong legal na paraan:** Depende sa partikular na mga pangyayari, ang mga legal na hamon batay sa mga procedural flaws sa proseso ng paggaw"&amp;"a ng desisyon o mga paglabag sa mga karapatan ng mga katutubo (kung naaangkop) ay maaaring mga karagdagang opsyon.
Sa pamamagitan ng paglalahad ng mga legal na argumentong ito at pagpapakilos ng suporta sa komunidad, maaari kang magsulong para sa isang"&amp;" mas napapanatiling diskarte sa pagpapaunlad ng mga mapagkukunan ng lugar sa pamamagitan ng pagbibigay-priyoridad sa nababagong enerhiya kaysa sa pagmimina. ")</f>
        <v>Narito ang ilang legal na argumento laban sa pag-auction ng mga karapatan sa pagmimina sa isang lugar na may potensyal para sa renewable energy development:
**1. Priyoridad ng Sustainable Development (Konstitusyon ng Pilipinas):**
* **Artikulo II, Seksyon 16:** Ginagarantiyahan ng seksyong ito ang karapatan sa isang balanse at malusog na ekolohiya. Maaari kang magtaltalan na ang pagmimina ay nagdudulot ng mas malaking banta sa kapaligiran kumpara sa renewable energy development, na lumalabag sa karapatang ito. 
* **Artikulo XII, Seksyon 1:** Dapat pangalagaan at protektahan ng Estado ang mga likas na yaman nito. Ang pagbibigay ng mga karapatan sa pagmimina ay maaaring humantong sa hindi maibabalik na pinsala sa kapaligiran, na sumasalungat sa utos na ito.
**2.  Salungat sa mga Umiiral na Batas at Patakaran (Republic Acts):**
* **Ang Renewable Energy Act (RA 6969):** Ang batas na ito ay nagtataguyod ng pagbuo at paggamit ng mga renewable energy sources. Ang pagbibigay ng mga karapatan sa pagmimina ay maaaring makahadlang sa pagpapaunlad ng nababagong enerhiya sa lugar na iyon.
* **Ang Ecological Solid Waste Management Act (RA 9003):** Ang batas na ito ay naglalayon na bawasan ang pagbuo ng basura at isulong ang mga kasanayan sa kapaligiran. Ang mga aktibidad sa pagmimina ay kadalasang lumilikha ng malaking basura at polusyon.
**3. Pagkabigong Magsagawa ng Wastong Pagsusuri sa Kapaligiran:**
* **Ang Environmental Impact Assessment System Act (EIA Law) (RA 1658):** Ang batas na ito ay nag-uutos sa mga EIA para sa mga proyektong may potensyal na makabuluhang epekto sa kapaligiran. 
   * Maaari kang magtaltalan na dapat unahin ng gobyerno ang isang EIA para sa renewable energy development bago isaalang-alang ang pagmimina. 
   * Kung nagsagawa ng EIA, maaari mong hamunin ang kasapatan nito kung hindi nito isasaalang-alang nang maayos ang potensyal na epekto sa kapaligiran ng pagmimina kumpara sa nababagong enerhiya. 
**4.  Karapatan sa Pampublikong Paglahok (Local Government Code &amp; RA 1658):**
* **Local Government Code (RA 7160):** Ang batas na ito ay nagbibigay ng kapangyarihan sa mga local government units (LGUs) na lumahok sa pagpaplano at pagpapaunlad ng kanilang mga lugar. Maaaring gumawa ng argumento na dapat konsultahin ang LGU at isaalang-alang ang kanilang mga plano sa pagpapaunlad bago magpasya sa mga karapatan sa pagmimina.
* **Ang EIA Law (RA 1658):** Ang batas na ito ay nag-uutos ng pampublikong pakikilahok sa proseso ng EIA. Maaari kang magtaltalan na ang publiko ay hindi sapat na nalaman o nakonsulta tungkol sa mga potensyal na epekto ng pagmimina at ang mga benepisyo ng renewable energy development.
**5. Pampublikong Interes at Intergenerational Equity:**
* Ang nababagong enerhiya ay nagtataguyod ng isang napapanatiling hinaharap habang pinapaliit ang pinsala sa kapaligiran. Ang pagmimina ay maaaring makinabang sa panandaliang ekonomiya ngunit maaaring magkaroon ng pangmatagalang negatibong kahihinatnan para sa mga susunod na henerasyon. Maaari kang magtaltalan na ang pagbibigay-priyoridad sa pagpapaunlad ng nababagong enerhiya ay mas nakaayon sa interes ng publiko at mga prinsipyo ng intergenerational equity.
**Mga Karagdagang Pagsasaalang-alang:**
* **Magtipon ng ebidensya:** Ang pagsuporta sa iyong mga argumento gamit ang data sa potensyal para sa renewable energy at ang mga panganib sa kapaligiran ng pagmimina ay nagpapatibay sa iyong kaso.
* **Pagpapakilos ng komunidad:** Ang pagsali sa apektadong komunidad at mga grupong pangkalikasan ay maaaring bumuo ng pampublikong presyon at suporta para sa pagpapaunlad ng nababagong enerhiya.
* **Tuklasin ang mga alternatibong legal na paraan:** Depende sa partikular na mga pangyayari, ang mga legal na hamon batay sa mga procedural flaws sa proseso ng paggawa ng desisyon o mga paglabag sa mga karapatan ng mga katutubo (kung naaangkop) ay maaaring mga karagdagang opsyon.
Sa pamamagitan ng paglalahad ng mga legal na argumentong ito at pagpapakilos ng suporta sa komunidad, maaari kang magsulong para sa isang mas napapanatiling diskarte sa pagpapaunlad ng mga mapagkukunan ng lugar sa pamamagitan ng pagbibigay-priyoridad sa nababagong enerhiya kaysa sa pagmimina. </v>
      </c>
      <c r="F2883" s="2">
        <f t="shared" si="1"/>
        <v>0</v>
      </c>
      <c r="G2883" s="2"/>
      <c r="H2883" s="2"/>
      <c r="I2883" s="2"/>
      <c r="J2883" s="2"/>
      <c r="K2883" s="2"/>
      <c r="L2883" s="2"/>
      <c r="M2883" s="2"/>
      <c r="N2883" s="2"/>
      <c r="O2883" s="2"/>
      <c r="P2883" s="2"/>
      <c r="Q2883" s="2"/>
      <c r="R2883" s="2"/>
      <c r="S2883" s="2"/>
      <c r="T2883" s="2"/>
      <c r="U2883" s="2"/>
      <c r="V2883" s="2"/>
      <c r="W2883" s="2"/>
      <c r="X2883" s="2"/>
      <c r="Y2883" s="2"/>
      <c r="Z2883" s="2"/>
      <c r="AA2883" s="2"/>
    </row>
    <row r="2884">
      <c r="A2884" s="3" t="s">
        <v>6661</v>
      </c>
      <c r="B2884" s="1" t="s">
        <v>6742</v>
      </c>
      <c r="C2884" s="3" t="s">
        <v>6743</v>
      </c>
      <c r="D2884" s="2" t="str">
        <f>IFERROR(__xludf.DUMMYFUNCTION("GOOGLETRANSLATE(B2884, ""en"", ""TL"")"),"Isipin ang isang sitwasyon kung saan ang isang renewable energy project ay naantala dahil sa bureaucratic red tape. Anong mga legal na hakbang ang maaaring gawin upang mapabilis ang proseso ng pag-apruba?")</f>
        <v>Isipin ang isang sitwasyon kung saan ang isang renewable energy project ay naantala dahil sa bureaucratic red tape. Anong mga legal na hakbang ang maaaring gawin upang mapabilis ang proseso ng pag-apruba?</v>
      </c>
      <c r="E2884" s="2" t="str">
        <f>IFERROR(__xludf.DUMMYFUNCTION("GOOGLETRANSLATE(C2884, ""en"", ""TL"")"),"Maaaring maantala ng burokratikong red tape ang mga proyekto ng renewable energy sa Pilipinas. Narito ang ilang legal na hakbang na maaari mong isaalang-alang upang mapabilis ang proseso ng pag-apruba:
**1. Makipag-ayos sa mga Ahensya ng Gobyerno:**
"&amp;"
* **Open Communication:** Aktibong makipag-ugnayan sa mga nauugnay na ahensya ng gobyerno na responsable sa pagbibigay ng mga permit. Malinaw na ipaalam ang mga detalye ng proyekto, mga potensyal na benepisyo, at ang iyong pangako sa pagsunod sa mga regu"&amp;"lasyon.
* **Kilalanin ang Mga Bottleneck:** Makipagtulungan sa mga ahensya upang matukoy ang mga partikular na dahilan para sa pagkaantala. Kulang ba ito ng mga papeles, kinakailangan ng karagdagang impormasyon, o mga panloob na pamamaraang holdup?
**"&amp;"2. Gamitin ang Mga Legal na Probisyon para sa Pinabilis na Pagproseso:**
* **The Ease of Doing Business Act (RA 11032):** Ang batas na ito ay nag-uutos sa mga ahensya ng gobyerno na i-streamline ang business permit at mga pamamaraan sa paglilisensya. M"&amp;"aaari kang sumangguni sa batas na ito at humiling ng aplikasyon ng mga probisyon nito para sa mas mabilis na pagproseso ng mga permit ng iyong proyekto ng nababagong enerhiya.
* **Anti-Red Tape Act (ARTA) (RA 8750):** Ang batas na ito ay nagtatakda ng ti"&amp;"meframe para sa mga ahensya ng gobyerno na tumugon sa mga aplikasyon ng permit. Kung lumampas ang mga ahensya sa itinalagang timeframe nang walang katwiran, maaari mong tawagan ang ARTA upang pabilisin ang proseso.
**3. Galugarin ang Alternatibong Pagl"&amp;"utas ng Dispute (ADR):**
* **Ang Philippine Dispute Resolution Center (PDRC):** Ang PDRC ay nag-aalok ng mga serbisyo ng pamamagitan at pakikipagkasundo upang malutas ang mga hindi pagkakaunawaan sa pagitan ng mga ahensya ng gobyerno at pribadong entid"&amp;"ad. Maaari itong maging isang mas mabilis at mas kaunting adversarial na diskarte kumpara sa paglilitis.
**4. Legal na Aksyon bilang Huling Resort:**
* **Mandamus Petition sa ilalim ng Rule 60 of the Rules of Court:** Kung mabigo ang mga negosasyon "&amp;"at mayroon kang patunay na ang isang ahensya ay hindi makatwirang inaantala ang proseso nang walang legal na batayan, maaaring pilitin ng mandamus petition ang ahensya na gampanan ang legal na tungkulin nito, tulad ng pagbibigay ng permit sa loob ng makat"&amp;"wirang takdang panahon. Gayunpaman, ang paglilitis ay maaaring magastos at nakakaubos ng oras.
**Mga Karagdagang Tip:**
* **Humingi ng Legal na Counsel:** Ang pagkonsulta sa isang abogadong may karanasan sa batas sa kapaligiran at negosyo ay maaarin"&amp;"g maging kapaki-pakinabang. Maaari ka nilang payuhan sa mga pinakaangkop na legal na hakbang batay sa mga partikular na kalagayan ng pagkaantala ng iyong proyekto.
* **Panatilihin ang Kumpletong Dokumentasyon:** Tiyakin na ang lahat ng kinakailangang per"&amp;"mit at papeles ay maayos na naisumite at kumpleto upang maiwasan ang mga pagkaantala dahil sa nawawalang impormasyon.
Tandaan, ang paghahabol ng legal na aksyon ay dapat na isang huling paraan.  Ang bukas na komunikasyon, paggamit ng mga kasalukuyang l"&amp;"egal na probisyon para sa mas mabilis na pagpoproseso, at paggalugad sa ADR ay kadalasang maaaring magbunga ng mas magagandang resulta at mapabilis ang proseso ng pag-apruba para sa iyong proyekto ng renewable energy.
")</f>
        <v>Maaaring maantala ng burokratikong red tape ang mga proyekto ng renewable energy sa Pilipinas. Narito ang ilang legal na hakbang na maaari mong isaalang-alang upang mapabilis ang proseso ng pag-apruba:
**1. Makipag-ayos sa mga Ahensya ng Gobyerno:**
* **Open Communication:** Aktibong makipag-ugnayan sa mga nauugnay na ahensya ng gobyerno na responsable sa pagbibigay ng mga permit. Malinaw na ipaalam ang mga detalye ng proyekto, mga potensyal na benepisyo, at ang iyong pangako sa pagsunod sa mga regulasyon.
* **Kilalanin ang Mga Bottleneck:** Makipagtulungan sa mga ahensya upang matukoy ang mga partikular na dahilan para sa pagkaantala. Kulang ba ito ng mga papeles, kinakailangan ng karagdagang impormasyon, o mga panloob na pamamaraang holdup?
**2. Gamitin ang Mga Legal na Probisyon para sa Pinabilis na Pagproseso:**
* **The Ease of Doing Business Act (RA 11032):** Ang batas na ito ay nag-uutos sa mga ahensya ng gobyerno na i-streamline ang business permit at mga pamamaraan sa paglilisensya. Maaari kang sumangguni sa batas na ito at humiling ng aplikasyon ng mga probisyon nito para sa mas mabilis na pagproseso ng mga permit ng iyong proyekto ng nababagong enerhiya.
* **Anti-Red Tape Act (ARTA) (RA 8750):** Ang batas na ito ay nagtatakda ng timeframe para sa mga ahensya ng gobyerno na tumugon sa mga aplikasyon ng permit. Kung lumampas ang mga ahensya sa itinalagang timeframe nang walang katwiran, maaari mong tawagan ang ARTA upang pabilisin ang proseso.
**3. Galugarin ang Alternatibong Paglutas ng Dispute (ADR):**
* **Ang Philippine Dispute Resolution Center (PDRC):** Ang PDRC ay nag-aalok ng mga serbisyo ng pamamagitan at pakikipagkasundo upang malutas ang mga hindi pagkakaunawaan sa pagitan ng mga ahensya ng gobyerno at pribadong entidad. Maaari itong maging isang mas mabilis at mas kaunting adversarial na diskarte kumpara sa paglilitis.
**4. Legal na Aksyon bilang Huling Resort:**
* **Mandamus Petition sa ilalim ng Rule 60 of the Rules of Court:** Kung mabigo ang mga negosasyon at mayroon kang patunay na ang isang ahensya ay hindi makatwirang inaantala ang proseso nang walang legal na batayan, maaaring pilitin ng mandamus petition ang ahensya na gampanan ang legal na tungkulin nito, tulad ng pagbibigay ng permit sa loob ng makatwirang takdang panahon. Gayunpaman, ang paglilitis ay maaaring magastos at nakakaubos ng oras.
**Mga Karagdagang Tip:**
* **Humingi ng Legal na Counsel:** Ang pagkonsulta sa isang abogadong may karanasan sa batas sa kapaligiran at negosyo ay maaaring maging kapaki-pakinabang. Maaari ka nilang payuhan sa mga pinakaangkop na legal na hakbang batay sa mga partikular na kalagayan ng pagkaantala ng iyong proyekto.
* **Panatilihin ang Kumpletong Dokumentasyon:** Tiyakin na ang lahat ng kinakailangang permit at papeles ay maayos na naisumite at kumpleto upang maiwasan ang mga pagkaantala dahil sa nawawalang impormasyon.
Tandaan, ang paghahabol ng legal na aksyon ay dapat na isang huling paraan.  Ang bukas na komunikasyon, paggamit ng mga kasalukuyang legal na probisyon para sa mas mabilis na pagpoproseso, at paggalugad sa ADR ay kadalasang maaaring magbunga ng mas magagandang resulta at mapabilis ang proseso ng pag-apruba para sa iyong proyekto ng renewable energy.
</v>
      </c>
      <c r="F2884" s="2">
        <f t="shared" si="1"/>
        <v>0</v>
      </c>
      <c r="G2884" s="2"/>
      <c r="H2884" s="2"/>
      <c r="I2884" s="2"/>
      <c r="J2884" s="2"/>
      <c r="K2884" s="2"/>
      <c r="L2884" s="2"/>
      <c r="M2884" s="2"/>
      <c r="N2884" s="2"/>
      <c r="O2884" s="2"/>
      <c r="P2884" s="2"/>
      <c r="Q2884" s="2"/>
      <c r="R2884" s="2"/>
      <c r="S2884" s="2"/>
      <c r="T2884" s="2"/>
      <c r="U2884" s="2"/>
      <c r="V2884" s="2"/>
      <c r="W2884" s="2"/>
      <c r="X2884" s="2"/>
      <c r="Y2884" s="2"/>
      <c r="Z2884" s="2"/>
      <c r="AA2884" s="2"/>
    </row>
    <row r="2885">
      <c r="A2885" s="3" t="s">
        <v>6661</v>
      </c>
      <c r="B2885" s="1" t="s">
        <v>6744</v>
      </c>
      <c r="C2885" s="3" t="s">
        <v>6745</v>
      </c>
      <c r="D2885" s="2" t="str">
        <f>IFERROR(__xludf.DUMMYFUNCTION("GOOGLETRANSLATE(B2885, ""en"", ""TL"")"),"Pinapayuhan mo ang isang non-profit na organisasyon na nagsusulong para sa pag-access ng enerhiya sa mga malalayong lugar. Anong mga legal na estratehiya ang maaari nilang gamitin upang mag-lobby para sa suporta at pagpopondo ng gobyerno?")</f>
        <v>Pinapayuhan mo ang isang non-profit na organisasyon na nagsusulong para sa pag-access ng enerhiya sa mga malalayong lugar. Anong mga legal na estratehiya ang maaari nilang gamitin upang mag-lobby para sa suporta at pagpopondo ng gobyerno?</v>
      </c>
      <c r="E2885" s="2" t="str">
        <f>IFERROR(__xludf.DUMMYFUNCTION("GOOGLETRANSLATE(C2885, ""en"", ""TL"")"),"Narito ang ilang legal na estratehiya na maaaring gamitin ng iyong non-profit na organisasyon upang mag-lobby para sa suporta ng gobyerno at pagpopondo para sa pagdadala ng access sa enerhiya sa mga malalayong lugar sa Pilipinas:
**1. Gamitin ang mga U"&amp;"miiral na Legal na Framework:**
* **The Renewable Energy Act (RA 6969):** Ang batas na ito ay nagbibigay-priyoridad sa pagpapalawak ng access sa malinis na pinagkukunan ng enerhiya. Maaari mong isulong ang pamahalaan na gamitin ang mga kasalukuyang pro"&amp;"grama at mekanismo ng pagpopondo na itinatag sa ilalim ng batas na ito upang partikular na i-target ang mga malalayong lugar. 
* **The Electric Power Industry Reform Act (EPIRA) (RA 9136):** Ang batas na ito ay nag-uutos ng paglikha ng Universal Charge ("&amp;"UC) para sa mga mamimili ng kuryente. Ang bahagi ng pondo ng UC ay inilalaan para sa mga proyekto ng elektripikasyon sa mga malalayong lugar. Maaari kang mag-lobby para sa mas patas na paglalaan ng mga pondo ng UC upang unahin ang mga malalayong lugar na "&amp;"may limitadong access sa kuryente.
**2. I-highlight ang Mga Karapatan sa Konstitusyon:**
* **Artikulo II, Seksyon 16:** Ginagarantiyahan ng Konstitusyon ang karapatan sa isang balanse at malusog na ekolohiya.  Maaari kang magtaltalan na ang limitado"&amp;"ng pag-access sa malinis na enerhiya sa mga malalayong lugar ay humahadlang sa isang malusog at napapanatiling kapaligiran.
* **Artikulo XIII, Seksyon 2:** Ang seksyong ito ay nag-uutos sa Estado na isulong ang isang mas pantay na pamamahagi ng mga pagka"&amp;"kataon, benepisyo, at pasanin. Maaari kang magtaltalan na ang pag-access sa enerhiya ay mahalaga para sa pag-unlad ng ekonomiya at pagkakapantay-pantay ng lipunan, at ang pamahalaan ay may responsibilidad na tulay ang agwat para sa mga malalayong komunida"&amp;"d. 
**3. Pampublikong Adbokasiya at Legal na Edukasyon:**
* **Itaas ang kamalayan:** Ayusin ang mga kampanya ng pampublikong kamalayan upang i-highlight ang kalagayan ng mga komunidad na walang access sa enerhiya at ang mga benepisyo ng mga solusyon"&amp;" sa nababagong enerhiya.
* **Makipag-ugnayan sa mga komunidad:** Makipagtulungan sa mga komunidad sa malalayong lugar upang maunawaan ang kanilang mga partikular na pangangailangan at hamon tungkol sa pag-access sa enerhiya.  Bigyan sila ng kapangyarihan"&amp;" na isulong ang kanilang sarili.
* **Mga workshop sa legal na edukasyon:** Turuan ang mga komunidad tungkol sa mga umiiral nang batas at regulasyon na sumusuporta sa pagpapaunlad at pag-access ng nababagong enerhiya. 
**4. Makipag-ugnayan sa mga Stake"&amp;"holder ng Gobyerno:**
* **Lobbying:** Makipagpulong sa mga may-katuturang ahensya ng gobyerno tulad ng Department of Energy (DOE) at mga mambabatas upang iharap ang iyong kaso para sa mas mataas na suporta para sa mga proyekto ng elektripikasyon sa mal"&amp;"alayong lugar. 
* **Makilahok sa Mga Pampublikong Konsultasyon:** Ang DOE at iba pang ahensya ay nagsasagawa ng mga pampublikong konsultasyon sa mga patakaran at programa sa enerhiya.  Aktibong lumahok sa mga konsultasyong ito upang ipahayag ang iyong mg"&amp;"a alalahanin at magmungkahi ng mga solusyon na nakatuon sa pag-access ng enerhiya sa malayong lugar.
* **Partnerships:** Makipagtulungan sa mga ahensya ng gobyerno, local government units (LGUs), at pribadong kumpanya para bumuo ng mga sustainable at cos"&amp;"t-effective na solusyon para sa pagbibigay ng access sa enerhiya sa malalayong lugar. 
**5. Legal na Aksyon bilang Huling Resort:**
* Bagama't hindi ang gustong diskarte, sa mga kaso ng matinding kawalan ng pagkilos ng gobyerno, isaalang-alang ang p"&amp;"aghahain ng petisyon para sa mandamus sa ilalim ng Rule 60 ng Rules of Court.  Pinipilit nito ang isang ahensya ng gobyerno na gampanan ang kanilang legal na tungkulin, tulad ng pagpapatupad ng mga programa upang palawakin ang pag-access sa enerhiya ayon "&amp;"sa ipinag-uutos ng mga umiiral na batas.  Gayunpaman, ang paglilitis ay maaaring magastos at nakakaubos ng oras.
Sa pamamagitan ng paggamit ng mga legal na estratehiyang ito, ang iyong non-profit ay epektibong makakapagtaguyod para sa suporta at pagpop"&amp;"ondo ng pamahalaan upang magdala ng access sa enerhiya sa mga malalayong lugar sa Pilipinas. Tandaan, ang pagbuo ng matibay na pakikipagsosyo, pagpapataas ng kamalayan ng publiko, at paggamit ng mga kasalukuyang legal na framework ay nag-aalok ng mas napa"&amp;"panatiling at collaborative na diskarte sa pagkamit ng iyong mga layunin. ")</f>
        <v>Narito ang ilang legal na estratehiya na maaaring gamitin ng iyong non-profit na organisasyon upang mag-lobby para sa suporta ng gobyerno at pagpopondo para sa pagdadala ng access sa enerhiya sa mga malalayong lugar sa Pilipinas:
**1. Gamitin ang mga Umiiral na Legal na Framework:**
* **The Renewable Energy Act (RA 6969):** Ang batas na ito ay nagbibigay-priyoridad sa pagpapalawak ng access sa malinis na pinagkukunan ng enerhiya. Maaari mong isulong ang pamahalaan na gamitin ang mga kasalukuyang programa at mekanismo ng pagpopondo na itinatag sa ilalim ng batas na ito upang partikular na i-target ang mga malalayong lugar. 
* **The Electric Power Industry Reform Act (EPIRA) (RA 9136):** Ang batas na ito ay nag-uutos ng paglikha ng Universal Charge (UC) para sa mga mamimili ng kuryente. Ang bahagi ng pondo ng UC ay inilalaan para sa mga proyekto ng elektripikasyon sa mga malalayong lugar. Maaari kang mag-lobby para sa mas patas na paglalaan ng mga pondo ng UC upang unahin ang mga malalayong lugar na may limitadong access sa kuryente.
**2. I-highlight ang Mga Karapatan sa Konstitusyon:**
* **Artikulo II, Seksyon 16:** Ginagarantiyahan ng Konstitusyon ang karapatan sa isang balanse at malusog na ekolohiya.  Maaari kang magtaltalan na ang limitadong pag-access sa malinis na enerhiya sa mga malalayong lugar ay humahadlang sa isang malusog at napapanatiling kapaligiran.
* **Artikulo XIII, Seksyon 2:** Ang seksyong ito ay nag-uutos sa Estado na isulong ang isang mas pantay na pamamahagi ng mga pagkakataon, benepisyo, at pasanin. Maaari kang magtaltalan na ang pag-access sa enerhiya ay mahalaga para sa pag-unlad ng ekonomiya at pagkakapantay-pantay ng lipunan, at ang pamahalaan ay may responsibilidad na tulay ang agwat para sa mga malalayong komunidad. 
**3. Pampublikong Adbokasiya at Legal na Edukasyon:**
* **Itaas ang kamalayan:** Ayusin ang mga kampanya ng pampublikong kamalayan upang i-highlight ang kalagayan ng mga komunidad na walang access sa enerhiya at ang mga benepisyo ng mga solusyon sa nababagong enerhiya.
* **Makipag-ugnayan sa mga komunidad:** Makipagtulungan sa mga komunidad sa malalayong lugar upang maunawaan ang kanilang mga partikular na pangangailangan at hamon tungkol sa pag-access sa enerhiya.  Bigyan sila ng kapangyarihan na isulong ang kanilang sarili.
* **Mga workshop sa legal na edukasyon:** Turuan ang mga komunidad tungkol sa mga umiiral nang batas at regulasyon na sumusuporta sa pagpapaunlad at pag-access ng nababagong enerhiya. 
**4. Makipag-ugnayan sa mga Stakeholder ng Gobyerno:**
* **Lobbying:** Makipagpulong sa mga may-katuturang ahensya ng gobyerno tulad ng Department of Energy (DOE) at mga mambabatas upang iharap ang iyong kaso para sa mas mataas na suporta para sa mga proyekto ng elektripikasyon sa malalayong lugar. 
* **Makilahok sa Mga Pampublikong Konsultasyon:** Ang DOE at iba pang ahensya ay nagsasagawa ng mga pampublikong konsultasyon sa mga patakaran at programa sa enerhiya.  Aktibong lumahok sa mga konsultasyong ito upang ipahayag ang iyong mga alalahanin at magmungkahi ng mga solusyon na nakatuon sa pag-access ng enerhiya sa malayong lugar.
* **Partnerships:** Makipagtulungan sa mga ahensya ng gobyerno, local government units (LGUs), at pribadong kumpanya para bumuo ng mga sustainable at cost-effective na solusyon para sa pagbibigay ng access sa enerhiya sa malalayong lugar. 
**5. Legal na Aksyon bilang Huling Resort:**
* Bagama't hindi ang gustong diskarte, sa mga kaso ng matinding kawalan ng pagkilos ng gobyerno, isaalang-alang ang paghahain ng petisyon para sa mandamus sa ilalim ng Rule 60 ng Rules of Court.  Pinipilit nito ang isang ahensya ng gobyerno na gampanan ang kanilang legal na tungkulin, tulad ng pagpapatupad ng mga programa upang palawakin ang pag-access sa enerhiya ayon sa ipinag-uutos ng mga umiiral na batas.  Gayunpaman, ang paglilitis ay maaaring magastos at nakakaubos ng oras.
Sa pamamagitan ng paggamit ng mga legal na estratehiyang ito, ang iyong non-profit ay epektibong makakapagtaguyod para sa suporta at pagpopondo ng pamahalaan upang magdala ng access sa enerhiya sa mga malalayong lugar sa Pilipinas. Tandaan, ang pagbuo ng matibay na pakikipagsosyo, pagpapataas ng kamalayan ng publiko, at paggamit ng mga kasalukuyang legal na framework ay nag-aalok ng mas napapanatiling at collaborative na diskarte sa pagkamit ng iyong mga layunin. </v>
      </c>
      <c r="F2885" s="2">
        <f t="shared" si="1"/>
        <v>0</v>
      </c>
      <c r="G2885" s="2"/>
      <c r="H2885" s="2"/>
      <c r="I2885" s="2"/>
      <c r="J2885" s="2"/>
      <c r="K2885" s="2"/>
      <c r="L2885" s="2"/>
      <c r="M2885" s="2"/>
      <c r="N2885" s="2"/>
      <c r="O2885" s="2"/>
      <c r="P2885" s="2"/>
      <c r="Q2885" s="2"/>
      <c r="R2885" s="2"/>
      <c r="S2885" s="2"/>
      <c r="T2885" s="2"/>
      <c r="U2885" s="2"/>
      <c r="V2885" s="2"/>
      <c r="W2885" s="2"/>
      <c r="X2885" s="2"/>
      <c r="Y2885" s="2"/>
      <c r="Z2885" s="2"/>
      <c r="AA2885" s="2"/>
    </row>
    <row r="2886">
      <c r="A2886" s="3" t="s">
        <v>6661</v>
      </c>
      <c r="B2886" s="1" t="s">
        <v>6746</v>
      </c>
      <c r="C2886" s="3" t="s">
        <v>6747</v>
      </c>
      <c r="D2886" s="2" t="str">
        <f>IFERROR(__xludf.DUMMYFUNCTION("GOOGLETRANSLATE(B2886, ""en"", ""TL"")"),"Naniniwala ang isang kumpanyang dalubhasa sa teknolohiya ng pag-iimbak ng enerhiya na ang kanilang mga patent ay nilalabag ng isang katunggali. Anong mga legal na aksyon ang maaari nilang gawin upang protektahan ang kanilang mga karapatan sa intelektwal n"&amp;"a ari-arian?")</f>
        <v>Naniniwala ang isang kumpanyang dalubhasa sa teknolohiya ng pag-iimbak ng enerhiya na ang kanilang mga patent ay nilalabag ng isang katunggali. Anong mga legal na aksyon ang maaari nilang gawin upang protektahan ang kanilang mga karapatan sa intelektwal na ari-arian?</v>
      </c>
      <c r="E2886" s="2" t="str">
        <f>IFERROR(__xludf.DUMMYFUNCTION("GOOGLETRANSLATE(C2886, ""en"", ""TL"")"),"Ang kumpanyang nagdadalubhasa sa teknolohiya ng pag-iimbak ng enerhiya ay maaaring gumawa ng ilang legal na aksyon upang protektahan ang kanilang mga karapatan sa intelektwal na ari-arian sa Pilipinas kung naniniwala silang nilalabag ng isang kakumpitensy"&amp;"a ang kanilang mga patent:
**1. Magtipon ng Ebidensya:** 
* Ang unang hakbang ay ang mangalap ng ebidensya para suportahan ang claim sa paglabag. Maaaring kabilang dito ang:
    * Mga kopya ng mga patent ng kumpanya. 
    * Katibayan ng produkto o"&amp;" teknolohiya ng kakumpitensya na di-umano'y lumalabag sa mga patent (hal., mga manwal ng produkto, mga materyales sa marketing).
    * Mga opinyon ng eksperto sa mga teknikal na pagkakatulad sa pagitan ng patentadong teknolohiya at produkto ng kakumpiten"&amp;"sya.
**2. Liham ng Paghinto at Pagtigil:**
* Bago simulan ang paglilitis, maaaring magpadala ang kumpanya ng cease and desist letter sa katunggali. Binabalangkas ng liham na ito ang pinaghihinalaang paglabag, hinihiling na ihinto ng kakumpitensya an"&amp;"g paggamit ng patented na teknolohiya, at maaaring magmungkahi ng mga potensyal na solusyon tulad ng mga kasunduan sa paglilisensya. 
**3. Magsampa ng demanda sa Paglabag sa Patent:**
* Kung hindi matagumpay ang cease and desist letter, maaaring mag"&amp;"sampa ang kumpanya ng kaso ng paglabag sa patent sa Intellectual Property Rights Office (IPOPHL) ng Pilipinas. Ang kaso ay magbabalangkas ng mga partikular na claim ng paglabag at humingi ng mga remedyo tulad ng:
    * Injunction upang maiwasan ang karag"&amp;"dagang paglabag.
    * Mga pinsala sa pera upang mabayaran ang nawalang kita dahil sa paglabag.
    * Pag-impound o pagsira ng mga lumalabag na produkto.
**4. Alternatibong Dispute Resolution (ADR):**
* Nag-aalok ang IPOPHL ng mga serbisyo ng pama"&amp;"magitan at arbitrasyon para sa mga hindi pagkakaunawaan sa paglabag sa patent.  Maaari itong maging isang mas mabilis at mas murang paraan upang malutas ang isyu kumpara sa paglilitis. 
**Mahahalagang Pagsasaalang-alang:**
* **Legal na Representasyo"&amp;"n:** Ang pagkonsulta sa isang abogadong may karanasan sa batas sa intelektwal na ari-arian ay mahalaga. Maaari silang magpayo sa pinakaangkop na paraan ng pagkilos, mangalap ng ebidensya, at kumatawan sa kumpanya sa korte o sa panahon ng mga paglilitis sa"&amp;" ADR.
* **Lakas ng Patent:** Ang lakas ng patent ng kumpanya at ang kalinawan ng paglabag ay makabuluhang makakaapekto sa tagumpay ng kaso.
* **Cost-Benefit Analysis:** Ang mga demanda sa paglabag sa patent ay maaaring magastos at matagal. Timbangin ang"&amp;" mga potensyal na benepisyo (pagtigil sa paglabag, mga pinsala) laban sa mga gastos (mga bayad sa batas, potensyal na pagkawala kung sakali) bago magpatuloy.
Sa pamamagitan ng pagsasagawa ng mga legal na aksyong ito at paghingi ng propesyonal na legal "&amp;"na payo, epektibong mapoprotektahan ng kumpanyang dalubhasa sa teknolohiya sa pag-iimbak ng enerhiya ang kanilang mga karapatan sa intelektwal na ari-arian sa Pilipinas. Tandaan, ang paghabol sa paglilitis ay dapat na isang mahusay na isinasaalang-alang n"&amp;"a desisyon batay sa ebidensya at mga potensyal na resulta. ")</f>
        <v>Ang kumpanyang nagdadalubhasa sa teknolohiya ng pag-iimbak ng enerhiya ay maaaring gumawa ng ilang legal na aksyon upang protektahan ang kanilang mga karapatan sa intelektwal na ari-arian sa Pilipinas kung naniniwala silang nilalabag ng isang kakumpitensya ang kanilang mga patent:
**1. Magtipon ng Ebidensya:** 
* Ang unang hakbang ay ang mangalap ng ebidensya para suportahan ang claim sa paglabag. Maaaring kabilang dito ang:
    * Mga kopya ng mga patent ng kumpanya. 
    * Katibayan ng produkto o teknolohiya ng kakumpitensya na di-umano'y lumalabag sa mga patent (hal., mga manwal ng produkto, mga materyales sa marketing).
    * Mga opinyon ng eksperto sa mga teknikal na pagkakatulad sa pagitan ng patentadong teknolohiya at produkto ng kakumpitensya.
**2. Liham ng Paghinto at Pagtigil:**
* Bago simulan ang paglilitis, maaaring magpadala ang kumpanya ng cease and desist letter sa katunggali. Binabalangkas ng liham na ito ang pinaghihinalaang paglabag, hinihiling na ihinto ng kakumpitensya ang paggamit ng patented na teknolohiya, at maaaring magmungkahi ng mga potensyal na solusyon tulad ng mga kasunduan sa paglilisensya. 
**3. Magsampa ng demanda sa Paglabag sa Patent:**
* Kung hindi matagumpay ang cease and desist letter, maaaring magsampa ang kumpanya ng kaso ng paglabag sa patent sa Intellectual Property Rights Office (IPOPHL) ng Pilipinas. Ang kaso ay magbabalangkas ng mga partikular na claim ng paglabag at humingi ng mga remedyo tulad ng:
    * Injunction upang maiwasan ang karagdagang paglabag.
    * Mga pinsala sa pera upang mabayaran ang nawalang kita dahil sa paglabag.
    * Pag-impound o pagsira ng mga lumalabag na produkto.
**4. Alternatibong Dispute Resolution (ADR):**
* Nag-aalok ang IPOPHL ng mga serbisyo ng pamamagitan at arbitrasyon para sa mga hindi pagkakaunawaan sa paglabag sa patent.  Maaari itong maging isang mas mabilis at mas murang paraan upang malutas ang isyu kumpara sa paglilitis. 
**Mahahalagang Pagsasaalang-alang:**
* **Legal na Representasyon:** Ang pagkonsulta sa isang abogadong may karanasan sa batas sa intelektwal na ari-arian ay mahalaga. Maaari silang magpayo sa pinakaangkop na paraan ng pagkilos, mangalap ng ebidensya, at kumatawan sa kumpanya sa korte o sa panahon ng mga paglilitis sa ADR.
* **Lakas ng Patent:** Ang lakas ng patent ng kumpanya at ang kalinawan ng paglabag ay makabuluhang makakaapekto sa tagumpay ng kaso.
* **Cost-Benefit Analysis:** Ang mga demanda sa paglabag sa patent ay maaaring magastos at matagal. Timbangin ang mga potensyal na benepisyo (pagtigil sa paglabag, mga pinsala) laban sa mga gastos (mga bayad sa batas, potensyal na pagkawala kung sakali) bago magpatuloy.
Sa pamamagitan ng pagsasagawa ng mga legal na aksyong ito at paghingi ng propesyonal na legal na payo, epektibong mapoprotektahan ng kumpanyang dalubhasa sa teknolohiya sa pag-iimbak ng enerhiya ang kanilang mga karapatan sa intelektwal na ari-arian sa Pilipinas. Tandaan, ang paghabol sa paglilitis ay dapat na isang mahusay na isinasaalang-alang na desisyon batay sa ebidensya at mga potensyal na resulta. </v>
      </c>
      <c r="F2886" s="2">
        <f t="shared" si="1"/>
        <v>0</v>
      </c>
      <c r="G2886" s="2"/>
      <c r="H2886" s="2"/>
      <c r="I2886" s="2"/>
      <c r="J2886" s="2"/>
      <c r="K2886" s="2"/>
      <c r="L2886" s="2"/>
      <c r="M2886" s="2"/>
      <c r="N2886" s="2"/>
      <c r="O2886" s="2"/>
      <c r="P2886" s="2"/>
      <c r="Q2886" s="2"/>
      <c r="R2886" s="2"/>
      <c r="S2886" s="2"/>
      <c r="T2886" s="2"/>
      <c r="U2886" s="2"/>
      <c r="V2886" s="2"/>
      <c r="W2886" s="2"/>
      <c r="X2886" s="2"/>
      <c r="Y2886" s="2"/>
      <c r="Z2886" s="2"/>
      <c r="AA2886" s="2"/>
    </row>
    <row r="2887">
      <c r="A2887" s="3" t="s">
        <v>6661</v>
      </c>
      <c r="B2887" s="1" t="s">
        <v>6748</v>
      </c>
      <c r="C2887" s="3" t="s">
        <v>6749</v>
      </c>
      <c r="D2887" s="2" t="str">
        <f>IFERROR(__xludf.DUMMYFUNCTION("GOOGLETRANSLATE(B2887, ""en"", ""TL"")"),"Ipagpalagay na ang isang kumpanya ng utility ay inakusahan ng diskriminasyon laban sa mga customer batay sa kanilang mga pattern ng paggamit ng enerhiya. Anong mga legal na proteksyon ang magagamit ng mga apektadong mamimili?")</f>
        <v>Ipagpalagay na ang isang kumpanya ng utility ay inakusahan ng diskriminasyon laban sa mga customer batay sa kanilang mga pattern ng paggamit ng enerhiya. Anong mga legal na proteksyon ang magagamit ng mga apektadong mamimili?</v>
      </c>
      <c r="E2887" s="2" t="str">
        <f>IFERROR(__xludf.DUMMYFUNCTION("GOOGLETRANSLATE(C2887, ""en"", ""TL"")"),"Narito ang ilang legal na proteksyon na magagamit ng mga mamimili sa Pilipinas na inakusahan ng diskriminasyon laban sa isang kumpanya ng utility batay sa kanilang mga pattern ng paggamit ng enerhiya:
**Mga Batas at Regulasyon ng Pilipinas:**
* **An"&amp;"ti-Discrimination Act (RA 10354):** Ipinagbabawal ng batas na ito ang diskriminasyon batay sa iba't ibang salik, kabilang ang ""katayuan sa ekonomiya.""  Ang ilan ay nangangatwiran na ang mataas na paggamit ng enerhiya ay maaaring maiugnay sa kalagayang p"&amp;"ang-ekonomiya (hal., mga negosyong gumagamit ng higit sa mga tirahan) at posibleng mapailalim sa batas na ito.   Gayunpaman, ang partikular na aplikasyon ng Anti-Discrimination Act sa mga pattern ng paggamit ng enerhiya ay maaaring mangailangan ng karagda"&amp;"gang legal na interpretasyon.
* **Consumer Act of the Philippines (RA 7394):** Pinoprotektahan ng batas na ito ang mga karapatan ng mga mamimili na:
    * **Patas at makatwirang pagpepresyo:** Ang istraktura ng pagpepresyo ng kumpanya ng utility ay dapa"&amp;"t na walang diskriminasyon at batay sa mga layuning salik tulad ng mga antas ng pagkonsumo, hindi mga pattern ng paggamit. 
    * **Pagsisiwalat ng impormasyon:** May karapatan ang mga mamimili na malinaw at nauunawaan ang impormasyon tungkol sa mga rate"&amp;" ng kuryente, mga kasanayan sa pagsingil, at anumang potensyal na kahihinatnan ng kanilang mga pattern ng paggamit ng enerhiya. 
* **Mga Circular ng Energy Regulatory Commission (ERC):** Ang ERC, na kumokontrol sa sektor ng kuryente, ay naglalabas ng mga"&amp;" circular sa mga karapatan ng consumer at mga gawi sa pagsingil.  Ang pagrepaso sa mga sirkular na ito ay maaaring magbunyag ng mga partikular na probisyon na tumutugon sa mga kasanayan sa diskriminasyon na nauugnay sa paggamit ng enerhiya.
**Mga Legal"&amp;" na Pagkilos:**
* **Maghain ng reklamo sa ERC:** Ang mga mamimili ay maaaring magsampa ng pormal na reklamo sa ERC kung naniniwala sila na ang kumpanya ng utility ay may diskriminasyon laban sa kanila batay sa kanilang mga pattern ng paggamit ng enerhi"&amp;"ya. Sisiyasatin ng ERC ang reklamo at maaaring mag-utos ng mga hakbang sa pagwawasto kung makakita sila ng katibayan ng mga kasanayan sa diskriminasyon.
* **Legal na Aksyon sa Korte:** Kung ang desisyon ng ERC ay hindi kasiya-siya, maaaring isaalang-alan"&amp;"g ng mga mamimili ang pagsasampa ng kaso laban sa kumpanya ng utility sa isang regular na hukuman. Gayunpaman, ito ay maaaring maging mas mahal at matagal kumpara sa isang reklamo sa ERC.
**Mga Karagdagang Pagsasaalang-alang:**
* **Magtipon ng katib"&amp;"ayan:** Idokumento ang iyong mga pattern ng paggamit ng enerhiya, anumang mga istrukturang may diskriminasyon sa pagpepresyo, at pakikipag-ugnayan sa kumpanya ng utility upang suportahan ang iyong kaso.
* **Mga Grupo ng Consumer:** Ang mga grupo ng tagap"&amp;"agtaguyod ng consumer ay maaaring mag-alok ng suporta, gabay, at maaaring tumulong pa sa paghahain ng mga reklamo sa ERC.
* **Negosasyon:** Bago magsagawa ng legal na aksyon, isaalang-alang ang pagtatangkang makipag-ayos sa kumpanya ng utility upang malu"&amp;"tas ang isyu nang maayos.
**Tandaan:** Ang legal na tanawin tungkol sa diskriminasyon batay sa mga pattern ng paggamit ng enerhiya ay umuusbong. Ang pagkonsulta sa isang abogadong may karanasan sa mga karapatan ng consumer at batas sa enerhiya ay maaar"&amp;"ing magbigay ng mas tiyak na patnubay batay sa iyong sitwasyon.  Maaari ka nilang payuhan sa pinakamabisang paraan ng pagkilos upang maprotektahan ang iyong mga karapatan bilang isang mamimili.
")</f>
        <v>Narito ang ilang legal na proteksyon na magagamit ng mga mamimili sa Pilipinas na inakusahan ng diskriminasyon laban sa isang kumpanya ng utility batay sa kanilang mga pattern ng paggamit ng enerhiya:
**Mga Batas at Regulasyon ng Pilipinas:**
* **Anti-Discrimination Act (RA 10354):** Ipinagbabawal ng batas na ito ang diskriminasyon batay sa iba't ibang salik, kabilang ang "katayuan sa ekonomiya."  Ang ilan ay nangangatwiran na ang mataas na paggamit ng enerhiya ay maaaring maiugnay sa kalagayang pang-ekonomiya (hal., mga negosyong gumagamit ng higit sa mga tirahan) at posibleng mapailalim sa batas na ito.   Gayunpaman, ang partikular na aplikasyon ng Anti-Discrimination Act sa mga pattern ng paggamit ng enerhiya ay maaaring mangailangan ng karagdagang legal na interpretasyon.
* **Consumer Act of the Philippines (RA 7394):** Pinoprotektahan ng batas na ito ang mga karapatan ng mga mamimili na:
    * **Patas at makatwirang pagpepresyo:** Ang istraktura ng pagpepresyo ng kumpanya ng utility ay dapat na walang diskriminasyon at batay sa mga layuning salik tulad ng mga antas ng pagkonsumo, hindi mga pattern ng paggamit. 
    * **Pagsisiwalat ng impormasyon:** May karapatan ang mga mamimili na malinaw at nauunawaan ang impormasyon tungkol sa mga rate ng kuryente, mga kasanayan sa pagsingil, at anumang potensyal na kahihinatnan ng kanilang mga pattern ng paggamit ng enerhiya. 
* **Mga Circular ng Energy Regulatory Commission (ERC):** Ang ERC, na kumokontrol sa sektor ng kuryente, ay naglalabas ng mga circular sa mga karapatan ng consumer at mga gawi sa pagsingil.  Ang pagrepaso sa mga sirkular na ito ay maaaring magbunyag ng mga partikular na probisyon na tumutugon sa mga kasanayan sa diskriminasyon na nauugnay sa paggamit ng enerhiya.
**Mga Legal na Pagkilos:**
* **Maghain ng reklamo sa ERC:** Ang mga mamimili ay maaaring magsampa ng pormal na reklamo sa ERC kung naniniwala sila na ang kumpanya ng utility ay may diskriminasyon laban sa kanila batay sa kanilang mga pattern ng paggamit ng enerhiya. Sisiyasatin ng ERC ang reklamo at maaaring mag-utos ng mga hakbang sa pagwawasto kung makakita sila ng katibayan ng mga kasanayan sa diskriminasyon.
* **Legal na Aksyon sa Korte:** Kung ang desisyon ng ERC ay hindi kasiya-siya, maaaring isaalang-alang ng mga mamimili ang pagsasampa ng kaso laban sa kumpanya ng utility sa isang regular na hukuman. Gayunpaman, ito ay maaaring maging mas mahal at matagal kumpara sa isang reklamo sa ERC.
**Mga Karagdagang Pagsasaalang-alang:**
* **Magtipon ng katibayan:** Idokumento ang iyong mga pattern ng paggamit ng enerhiya, anumang mga istrukturang may diskriminasyon sa pagpepresyo, at pakikipag-ugnayan sa kumpanya ng utility upang suportahan ang iyong kaso.
* **Mga Grupo ng Consumer:** Ang mga grupo ng tagapagtaguyod ng consumer ay maaaring mag-alok ng suporta, gabay, at maaaring tumulong pa sa paghahain ng mga reklamo sa ERC.
* **Negosasyon:** Bago magsagawa ng legal na aksyon, isaalang-alang ang pagtatangkang makipag-ayos sa kumpanya ng utility upang malutas ang isyu nang maayos.
**Tandaan:** Ang legal na tanawin tungkol sa diskriminasyon batay sa mga pattern ng paggamit ng enerhiya ay umuusbong. Ang pagkonsulta sa isang abogadong may karanasan sa mga karapatan ng consumer at batas sa enerhiya ay maaaring magbigay ng mas tiyak na patnubay batay sa iyong sitwasyon.  Maaari ka nilang payuhan sa pinakamabisang paraan ng pagkilos upang maprotektahan ang iyong mga karapatan bilang isang mamimili.
</v>
      </c>
      <c r="F2887" s="2">
        <f t="shared" si="1"/>
        <v>0</v>
      </c>
      <c r="G2887" s="2"/>
      <c r="H2887" s="2"/>
      <c r="I2887" s="2"/>
      <c r="J2887" s="2"/>
      <c r="K2887" s="2"/>
      <c r="L2887" s="2"/>
      <c r="M2887" s="2"/>
      <c r="N2887" s="2"/>
      <c r="O2887" s="2"/>
      <c r="P2887" s="2"/>
      <c r="Q2887" s="2"/>
      <c r="R2887" s="2"/>
      <c r="S2887" s="2"/>
      <c r="T2887" s="2"/>
      <c r="U2887" s="2"/>
      <c r="V2887" s="2"/>
      <c r="W2887" s="2"/>
      <c r="X2887" s="2"/>
      <c r="Y2887" s="2"/>
      <c r="Z2887" s="2"/>
      <c r="AA2887" s="2"/>
    </row>
    <row r="2888">
      <c r="A2888" s="3" t="s">
        <v>6661</v>
      </c>
      <c r="B2888" s="1" t="s">
        <v>6750</v>
      </c>
      <c r="C2888" s="3" t="s">
        <v>6751</v>
      </c>
      <c r="D2888" s="2" t="str">
        <f>IFERROR(__xludf.DUMMYFUNCTION("GOOGLETRANSLATE(B2888, ""en"", ""TL"")"),"Kinakatawan mo ang isang grupo ng mga mangingisda na nagsasabing ang kanilang mga kabuhayan ay pinagbabantaan ng isang panukalang offshore oil drilling project. Anong mga legal na argumento ang maaaring gawin upang tutulan ang proyekto?")</f>
        <v>Kinakatawan mo ang isang grupo ng mga mangingisda na nagsasabing ang kanilang mga kabuhayan ay pinagbabantaan ng isang panukalang offshore oil drilling project. Anong mga legal na argumento ang maaaring gawin upang tutulan ang proyekto?</v>
      </c>
      <c r="E2888" s="2" t="str">
        <f>IFERROR(__xludf.DUMMYFUNCTION("GOOGLETRANSLATE(C2888, ""en"", ""TL"")"),"Narito ang ilang legal na argumento na maaari mong gawin sa ngalan ng mga mangingisda upang tutulan ang iminungkahing proyekto sa pagbabarena ng langis sa malayo sa pampang:
**Epekto sa Kapaligiran:**
* **Konstitusyon ng Pilipinas (Artikulo II, Seks"&amp;"yon 16):** Ginagarantiyahan ng seksyong ito ang karapatan sa isang balanse at malusog na ekolohiya. Maaari mong ipangatuwiran na ang proyekto ay nagdudulot ng malaking panganib ng pagtapon ng langis o iba pang pinsala sa kapaligiran, na nagbabanta sa mari"&amp;"ne ecosystem at mga kabuhayan ng mga mangingisda.
* **Ang Environmental Impact Assessment System Act (EIA Law) (RA 1658):** Ang batas na ito ay nag-uutos sa mga EIA para sa mga proyektong may potensyal na makabuluhang epekto sa kapaligiran. 
    * Maaar"&amp;"i kang magtaltalan na ang proseso ng EIA ay may depekto, hindi sapat na masuri ang epekto ng proyekto sa mga populasyon ng isda at industriya ng pangingisda.
    * Maaari mong hamunin ang kasapatan ng mga iminungkahing hakbang sa pagpapagaan upang maiwas"&amp;"an o mabawasan ang potensyal na pinsala sa kapaligiran.
**Karapatang Pangkabuhayan at Socioeconomic:**
* **The Fisheries Code (RA 8550):** Layunin ng batas na ito na pangalagaan at protektahan ang mga yamang pangisdaan at tubig. Maaari kang magtalta"&amp;"lan na ang proyekto ay nakakagambala sa mga pattern ng paglipat ng isda, nakakaubos ng stock ng isda, at nalalagay sa alanganin ang pinagmumulan ng kita ng mga mangingisda.
* **Karapatang Mabuhay:** Bagama't hindi tahasang nakasaad sa Konstitusyon, kinik"&amp;"ilala ng jurisprudence ng Pilipinas ang karapatan sa kabuhayan. Maaari mong ipangatuwiran na ang proyekto ay hindi makatarungang humahadlang sa karapatan ng mga mangingisda na maghanapbuhay sa pamamagitan ng tradisyonal na mga kasanayan sa pangingisda.
"&amp;"
**Mga Isyu sa Pamamaraan:**
* **Free and Prior Informed Consent (FPIC) (RA 8371 - Indigenous Peoples' Rights Act):** Kung ang proyekto ay nasa loob ng ancestral domain ng mga katutubong pamayanan ng pangingisda, maaari mong ipangatuwiran na hindi sila"&amp;" nakonsulta nang maayos at ang kanilang karapatan sa FPIC ay hindi iginalang.
**Mga Karagdagang Pagsasaalang-alang:**
* **Magtipon ng ebidensya:** Idokumento ang pag-asa ng komunidad ng mga mangingisda sa lugar para sa kanilang kabuhayan, potensyal "&amp;"na pinsala sa populasyon ng isda mula sa proyekto, at anumang mga depekto sa pamamaraan sa proseso ng pag-apruba.
* **Mga opinyon ng eksperto:** Isaalang-alang ang pagkuha ng mga ekspertong opinyon mula sa mga marine biologist o environmental scientist u"&amp;"pang suportahan ang iyong mga argumento tungkol sa potensyal na epekto sa ekolohiya ng proyekto.
* **Pagpapakilos ng komunidad:** Ang pagbuo ng isang malakas at nagkakaisang boses ng komunidad ng pangingisda ay maaaring mapataas ang iyong pagkilos sa mga"&amp;" negosasyon at makakuha ng pampublikong suporta.
* **Alternatibong Dispute Resolution (ADR):** Ang paggalugad sa mga opsyon sa ADR tulad ng pamamagitan o arbitrasyon ay maaaring maging isang mas mabilis at hindi gaanong adversarial na diskarte kumpara sa"&amp;" paglilitis. 
Sa pamamagitan ng paglalahad ng mga legal na argumentong ito at pagpapakilos sa komunidad ng mga mangingisda, maaari kang magsulong para sa isang mas napapanatiling diskarte sa pagsaliksik ng enerhiya at protektahan ang mga kabuhayan ng m"&amp;"ga mangingisda.  Tandaan, ang paghahanap ng legal na tagapayo na may karanasan sa batas sa kapaligiran at kumakatawan sa mga apektadong komunidad ay napakahalaga para sa epektibong pag-navigate sa legal na proseso.
")</f>
        <v>Narito ang ilang legal na argumento na maaari mong gawin sa ngalan ng mga mangingisda upang tutulan ang iminungkahing proyekto sa pagbabarena ng langis sa malayo sa pampang:
**Epekto sa Kapaligiran:**
* **Konstitusyon ng Pilipinas (Artikulo II, Seksyon 16):** Ginagarantiyahan ng seksyong ito ang karapatan sa isang balanse at malusog na ekolohiya. Maaari mong ipangatuwiran na ang proyekto ay nagdudulot ng malaking panganib ng pagtapon ng langis o iba pang pinsala sa kapaligiran, na nagbabanta sa marine ecosystem at mga kabuhayan ng mga mangingisda.
* **Ang Environmental Impact Assessment System Act (EIA Law) (RA 1658):** Ang batas na ito ay nag-uutos sa mga EIA para sa mga proyektong may potensyal na makabuluhang epekto sa kapaligiran. 
    * Maaari kang magtaltalan na ang proseso ng EIA ay may depekto, hindi sapat na masuri ang epekto ng proyekto sa mga populasyon ng isda at industriya ng pangingisda.
    * Maaari mong hamunin ang kasapatan ng mga iminungkahing hakbang sa pagpapagaan upang maiwasan o mabawasan ang potensyal na pinsala sa kapaligiran.
**Karapatang Pangkabuhayan at Socioeconomic:**
* **The Fisheries Code (RA 8550):** Layunin ng batas na ito na pangalagaan at protektahan ang mga yamang pangisdaan at tubig. Maaari kang magtaltalan na ang proyekto ay nakakagambala sa mga pattern ng paglipat ng isda, nakakaubos ng stock ng isda, at nalalagay sa alanganin ang pinagmumulan ng kita ng mga mangingisda.
* **Karapatang Mabuhay:** Bagama't hindi tahasang nakasaad sa Konstitusyon, kinikilala ng jurisprudence ng Pilipinas ang karapatan sa kabuhayan. Maaari mong ipangatuwiran na ang proyekto ay hindi makatarungang humahadlang sa karapatan ng mga mangingisda na maghanapbuhay sa pamamagitan ng tradisyonal na mga kasanayan sa pangingisda.
**Mga Isyu sa Pamamaraan:**
* **Free and Prior Informed Consent (FPIC) (RA 8371 - Indigenous Peoples' Rights Act):** Kung ang proyekto ay nasa loob ng ancestral domain ng mga katutubong pamayanan ng pangingisda, maaari mong ipangatuwiran na hindi sila nakonsulta nang maayos at ang kanilang karapatan sa FPIC ay hindi iginalang.
**Mga Karagdagang Pagsasaalang-alang:**
* **Magtipon ng ebidensya:** Idokumento ang pag-asa ng komunidad ng mga mangingisda sa lugar para sa kanilang kabuhayan, potensyal na pinsala sa populasyon ng isda mula sa proyekto, at anumang mga depekto sa pamamaraan sa proseso ng pag-apruba.
* **Mga opinyon ng eksperto:** Isaalang-alang ang pagkuha ng mga ekspertong opinyon mula sa mga marine biologist o environmental scientist upang suportahan ang iyong mga argumento tungkol sa potensyal na epekto sa ekolohiya ng proyekto.
* **Pagpapakilos ng komunidad:** Ang pagbuo ng isang malakas at nagkakaisang boses ng komunidad ng pangingisda ay maaaring mapataas ang iyong pagkilos sa mga negosasyon at makakuha ng pampublikong suporta.
* **Alternatibong Dispute Resolution (ADR):** Ang paggalugad sa mga opsyon sa ADR tulad ng pamamagitan o arbitrasyon ay maaaring maging isang mas mabilis at hindi gaanong adversarial na diskarte kumpara sa paglilitis. 
Sa pamamagitan ng paglalahad ng mga legal na argumentong ito at pagpapakilos sa komunidad ng mga mangingisda, maaari kang magsulong para sa isang mas napapanatiling diskarte sa pagsaliksik ng enerhiya at protektahan ang mga kabuhayan ng mga mangingisda.  Tandaan, ang paghahanap ng legal na tagapayo na may karanasan sa batas sa kapaligiran at kumakatawan sa mga apektadong komunidad ay napakahalaga para sa epektibong pag-navigate sa legal na proseso.
</v>
      </c>
      <c r="F2888" s="2">
        <f t="shared" si="1"/>
        <v>0</v>
      </c>
      <c r="G2888" s="2"/>
      <c r="H2888" s="2"/>
      <c r="I2888" s="2"/>
      <c r="J2888" s="2"/>
      <c r="K2888" s="2"/>
      <c r="L2888" s="2"/>
      <c r="M2888" s="2"/>
      <c r="N2888" s="2"/>
      <c r="O2888" s="2"/>
      <c r="P2888" s="2"/>
      <c r="Q2888" s="2"/>
      <c r="R2888" s="2"/>
      <c r="S2888" s="2"/>
      <c r="T2888" s="2"/>
      <c r="U2888" s="2"/>
      <c r="V2888" s="2"/>
      <c r="W2888" s="2"/>
      <c r="X2888" s="2"/>
      <c r="Y2888" s="2"/>
      <c r="Z2888" s="2"/>
      <c r="AA2888" s="2"/>
    </row>
    <row r="2889">
      <c r="A2889" s="3" t="s">
        <v>6661</v>
      </c>
      <c r="B2889" s="1" t="s">
        <v>6752</v>
      </c>
      <c r="C2889" s="3" t="s">
        <v>6753</v>
      </c>
      <c r="D2889" s="2" t="str">
        <f>IFERROR(__xludf.DUMMYFUNCTION("GOOGLETRANSLATE(B2889, ""en"", ""TL"")"),"Isipin ang isang senaryo kung saan naantala ang isang proyekto ng renewable energy dahil sa mga isyu sa pagkuha ng lupa. Anong mga legal na remedyo ang magagamit upang malutas ang hindi pagkakaunawaan at maisulong ang proyekto?")</f>
        <v>Isipin ang isang senaryo kung saan naantala ang isang proyekto ng renewable energy dahil sa mga isyu sa pagkuha ng lupa. Anong mga legal na remedyo ang magagamit upang malutas ang hindi pagkakaunawaan at maisulong ang proyekto?</v>
      </c>
      <c r="E2889" s="2" t="str">
        <f>IFERROR(__xludf.DUMMYFUNCTION("GOOGLETRANSLATE(C2889, ""en"", ""TL"")"),"Narito ang ilang legal na remedyo na magagamit upang malutas ang isang hindi pagkakaunawaan sa pagkuha ng lupa at isulong ang isang proyekto ng renewable energy sa Pilipinas:
**Negosasyon at Kompromiso:**
* Ito ang madalas na gustong unang hakbang. "&amp;"
    * Makipagpulong sa mga may-ari ng lupa at kanilang mga kinatawan upang maunawaan ang kanilang mga alalahanin. 
    * Makipag-ayos ng isang patas na pakete ng kabayaran na isinasaalang-alang ang mga salik tulad ng:
        * Market value ng lupa
 "&amp;"       * Pagkawala ng kita o kabuhayan dahil sa displacement
        * Tulong sa relokasyon kung kinakailangan
**Mga Legal na remedyo:**
* **Negotiated Sale:** Kung ang isang kasunduan ay hindi maabot sa pamamagitan ng direktang negosasyon, isaalan"&amp;"g-alang ang isang negotiated sale sa pamamagitan ng Department of Justice (DOJ). Maaaring mapadali ng DOJ ang mga negosasyon at mamagitan sa isang kasunduan sa pagitan ng kumpanya at mga may-ari ng lupa.
* **Eminent Domain Proceedings:** Bilang huling "&amp;"paraan, ang kumpanya ay maaaring magpasimula ng eminent domain proceedings sa pamamagitan ng mga korte. Ito ay nagpapahintulot sa pamahalaan na makakuha ng pribadong ari-arian para sa pampublikong paggamit, sa pagbabayad ng makatarungang kabayaran. Gayunp"&amp;"aman, ang prosesong ito ay maaaring mahaba at maaaring makapinsala sa pampublikong imahe ng kumpanya.
**Mga Karagdagang Pagsasaalang-alang:**
* **Saligang-Batas ng Pilipinas (Artikulo XII, Seksyon 6):** Maaaring i-regulate ng Estado ang pagmamay-ari"&amp;" ng lupa para sa kabutihang panlahat, ngunit dapat ibigay ang makatarungang kabayaran. 
* **Ang Land Acquisition and Resettlement Act (RA 7161):** Isinasaad ng batas na ito ang proseso para sa pagkuha ng gobyerno ng pribadong lupa para sa pampublikong pa"&amp;"ggamit, kabilang ang patas na kompensasyon at tulong sa relokasyon para sa mga taong lumikas.  Habang ang eminent domain ay nasa ilalim ng batas na ito, may mga probisyon para sa negotiated acquisition na maaaring tuklasin muna.
**Alternatibong Pagluta"&amp;"s ng Dispute (ADR):**
* Isaalang-alang ang mga opsyon sa ADR tulad ng pamamagitan o arbitrasyon.  Ang isang neutral na third party ay maaaring makatulong na mapadali ang komunikasyon at tuklasin ang mga solusyon na katanggap-tanggap sa parehong partido"&amp;". Ito ay maaaring mas mabilis at mas mura kaysa sa paglilitis.
**Pakikipag-ugnayan sa Komunidad:**
* Ang aktibong komunikasyon at pakikipag-ugnayan sa apektadong komunidad sa buong proseso ng pagkuha ng lupa ay maaaring makatulong sa pagbuo ng tiwal"&amp;"a at maiwasan ang mga hindi pagkakaunawaan.
* Tugunan ang mga alalahanin ng komunidad tungkol sa mga potensyal na benepisyo ng proyekto at epekto sa kapaligiran.
**Tandaan:** 
* Legal na representasyon: Ang pagkonsulta sa isang abogado na may karan"&amp;"asan sa pagkuha ng lupa at batas sa real estate ay mahalaga. Maaari silang magpayo sa pinakaangkop na paraan ng pagkilos at epektibong mag-navigate sa legal na proseso.
* Transparency at fairness: Ang pagpapakita ng transparency sa mga negosasyon at pagb"&amp;"ibigay ng patas na kabayaran ay makakatulong sa pagresolba ng mga hindi pagkakaunawaan at mapabilis ang pag-usad ng proyekto.
Sa pamamagitan ng paggalugad sa mga opsyong ito at pagbibigay-priyoridad sa negosasyon at pakikipag-ugnayan sa komunidad, sana"&amp;" ay maresolba ng kumpanya ang hindi pagkakaunawaan sa pagkuha ng lupa at maisulong ang proyekto ng nababagong enerhiya sa isang napapanatiling at responsable sa lipunan. ")</f>
        <v>Narito ang ilang legal na remedyo na magagamit upang malutas ang isang hindi pagkakaunawaan sa pagkuha ng lupa at isulong ang isang proyekto ng renewable energy sa Pilipinas:
**Negosasyon at Kompromiso:**
* Ito ang madalas na gustong unang hakbang. 
    * Makipagpulong sa mga may-ari ng lupa at kanilang mga kinatawan upang maunawaan ang kanilang mga alalahanin. 
    * Makipag-ayos ng isang patas na pakete ng kabayaran na isinasaalang-alang ang mga salik tulad ng:
        * Market value ng lupa
        * Pagkawala ng kita o kabuhayan dahil sa displacement
        * Tulong sa relokasyon kung kinakailangan
**Mga Legal na remedyo:**
* **Negotiated Sale:** Kung ang isang kasunduan ay hindi maabot sa pamamagitan ng direktang negosasyon, isaalang-alang ang isang negotiated sale sa pamamagitan ng Department of Justice (DOJ). Maaaring mapadali ng DOJ ang mga negosasyon at mamagitan sa isang kasunduan sa pagitan ng kumpanya at mga may-ari ng lupa.
* **Eminent Domain Proceedings:** Bilang huling paraan, ang kumpanya ay maaaring magpasimula ng eminent domain proceedings sa pamamagitan ng mga korte. Ito ay nagpapahintulot sa pamahalaan na makakuha ng pribadong ari-arian para sa pampublikong paggamit, sa pagbabayad ng makatarungang kabayaran. Gayunpaman, ang prosesong ito ay maaaring mahaba at maaaring makapinsala sa pampublikong imahe ng kumpanya.
**Mga Karagdagang Pagsasaalang-alang:**
* **Saligang-Batas ng Pilipinas (Artikulo XII, Seksyon 6):** Maaaring i-regulate ng Estado ang pagmamay-ari ng lupa para sa kabutihang panlahat, ngunit dapat ibigay ang makatarungang kabayaran. 
* **Ang Land Acquisition and Resettlement Act (RA 7161):** Isinasaad ng batas na ito ang proseso para sa pagkuha ng gobyerno ng pribadong lupa para sa pampublikong paggamit, kabilang ang patas na kompensasyon at tulong sa relokasyon para sa mga taong lumikas.  Habang ang eminent domain ay nasa ilalim ng batas na ito, may mga probisyon para sa negotiated acquisition na maaaring tuklasin muna.
**Alternatibong Paglutas ng Dispute (ADR):**
* Isaalang-alang ang mga opsyon sa ADR tulad ng pamamagitan o arbitrasyon.  Ang isang neutral na third party ay maaaring makatulong na mapadali ang komunikasyon at tuklasin ang mga solusyon na katanggap-tanggap sa parehong partido. Ito ay maaaring mas mabilis at mas mura kaysa sa paglilitis.
**Pakikipag-ugnayan sa Komunidad:**
* Ang aktibong komunikasyon at pakikipag-ugnayan sa apektadong komunidad sa buong proseso ng pagkuha ng lupa ay maaaring makatulong sa pagbuo ng tiwala at maiwasan ang mga hindi pagkakaunawaan.
* Tugunan ang mga alalahanin ng komunidad tungkol sa mga potensyal na benepisyo ng proyekto at epekto sa kapaligiran.
**Tandaan:** 
* Legal na representasyon: Ang pagkonsulta sa isang abogado na may karanasan sa pagkuha ng lupa at batas sa real estate ay mahalaga. Maaari silang magpayo sa pinakaangkop na paraan ng pagkilos at epektibong mag-navigate sa legal na proseso.
* Transparency at fairness: Ang pagpapakita ng transparency sa mga negosasyon at pagbibigay ng patas na kabayaran ay makakatulong sa pagresolba ng mga hindi pagkakaunawaan at mapabilis ang pag-usad ng proyekto.
Sa pamamagitan ng paggalugad sa mga opsyong ito at pagbibigay-priyoridad sa negosasyon at pakikipag-ugnayan sa komunidad, sana ay maresolba ng kumpanya ang hindi pagkakaunawaan sa pagkuha ng lupa at maisulong ang proyekto ng nababagong enerhiya sa isang napapanatiling at responsable sa lipunan. </v>
      </c>
      <c r="F2889" s="2">
        <f t="shared" si="1"/>
        <v>0</v>
      </c>
      <c r="G2889" s="2"/>
      <c r="H2889" s="2"/>
      <c r="I2889" s="2"/>
      <c r="J2889" s="2"/>
      <c r="K2889" s="2"/>
      <c r="L2889" s="2"/>
      <c r="M2889" s="2"/>
      <c r="N2889" s="2"/>
      <c r="O2889" s="2"/>
      <c r="P2889" s="2"/>
      <c r="Q2889" s="2"/>
      <c r="R2889" s="2"/>
      <c r="S2889" s="2"/>
      <c r="T2889" s="2"/>
      <c r="U2889" s="2"/>
      <c r="V2889" s="2"/>
      <c r="W2889" s="2"/>
      <c r="X2889" s="2"/>
      <c r="Y2889" s="2"/>
      <c r="Z2889" s="2"/>
      <c r="AA2889" s="2"/>
    </row>
    <row r="2890">
      <c r="A2890" s="3" t="s">
        <v>6661</v>
      </c>
      <c r="B2890" s="1" t="s">
        <v>6754</v>
      </c>
      <c r="C2890" s="3" t="s">
        <v>6755</v>
      </c>
      <c r="D2890" s="2" t="str">
        <f>IFERROR(__xludf.DUMMYFUNCTION("GOOGLETRANSLATE(B2890, ""en"", ""TL"")"),"Ang isang kumpanyang nagpapatakbo ng isang biomass power plant ay nahaharap sa mga legal na hamon mula sa mga pangkat ng kapaligiran na nag-aalala tungkol sa polusyon sa hangin. Paano nila ipagtatanggol ang kanilang mga operasyon sa korte?")</f>
        <v>Ang isang kumpanyang nagpapatakbo ng isang biomass power plant ay nahaharap sa mga legal na hamon mula sa mga pangkat ng kapaligiran na nag-aalala tungkol sa polusyon sa hangin. Paano nila ipagtatanggol ang kanilang mga operasyon sa korte?</v>
      </c>
      <c r="E2890" s="2" t="str">
        <f>IFERROR(__xludf.DUMMYFUNCTION("GOOGLETRANSLATE(C2890, ""en"", ""TL"")"),"Ang isang kumpanyang nahaharap sa mga legal na hamon mula sa mga grupong pangkalikasan tungkol sa polusyon sa hangin mula sa kanilang biomass power plant ay maaaring gumamit ng ilang mga diskarte upang ipagtanggol ang kanilang mga operasyon sa korte:
*"&amp;"*Pagha-highlight sa Mga Pangako sa Kapaligiran:**
* Magpakita ng pagsunod sa lahat ng nauugnay na regulasyon sa kapaligiran ng Pilipinas, kabilang ang:
    * Clean Air Act (RA 8749)
    * Department of Environment and Natural Resources (DENR) emissio"&amp;"n standards para sa biomass power plants.
* Magpakita ng katibayan ng isang matatag na programa sa pagsubaybay sa kalidad ng hangin at isang track record ng pananatili sa loob ng mga limitasyon sa paglabas. 
**Tumuon sa Mga Kasanayan sa Pagpapanatili:"&amp;"**
* Bigyang-diin ang paggamit ng mga napapanatiling pinagmumulan ng biomass tulad ng basurang pang-agrikultura o dedikadong pananim ng enerhiya, pagliit ng deforestation at nauugnay na mga alalahanin sa kapaligiran.
* Balangkasin ang mga teknolohiya "&amp;"sa pagkontrol ng polusyon na ginagamit upang mabawasan ang mga nakakapinsalang emisyon:
    * Mga electrostatic precipitator para sa pagkuha ng particulate matter.
    * Mga sistema ng desulfurization ng flue gas para sa pagbabawas ng mga paglabas ng su"&amp;"lfur dioxide.
**Paghahambing ng Pagsusuri at Pinakamahuhusay na Kasanayan sa Industriya:**
* Ipakita na ang mga emisyon ng planta ay maihahambing o mas mababa kaysa sa mga katulad na pasilidad ng biomass o maging sa mga nakasanayang fossil fuel powe"&amp;"r plant.
* I-highlight ang paggamit ng mga pinakamahuhusay na kagawian sa industriya para sa pagliit ng polusyon sa hangin. 
**Mga Benepisyong Pang-ekonomiya at Panlipunan:**
* Magpakita ng katibayan ng mga benepisyong pang-ekonomiya na nabuo ng pl"&amp;"anta, tulad ng paglikha ng trabaho at lokal na pag-unlad ng ekonomiya.
* Balangkasin ang kontribusyon ng planta sa mga layunin ng renewable energy at seguridad sa enerhiya ng bansa.
**Pagtugon sa Mga Partikular na Alalahanin:**
* Maingat na pag-ara"&amp;"lan ang mga claim ng mga environmental group at direktang tugunan ang mga ito.
* Kung ang mga partikular na pollutant ay isang alalahanin, magpakita ng ebidensya ng mga diskarte sa pagpapagaan na ipinapatupad.
* Makipag-ugnayan sa mga independiyenteng e"&amp;"ksperto upang masuri ang epekto sa kapaligiran ng halaman at tugunan ang anumang mga potensyal na isyu.
**Mga Karagdagang Pagsasaalang-alang:**
* **Legal na Representasyon:** Ang pagkonsulta sa isang abogadong may karanasan sa batas sa kapaligiran a"&amp;"y mahalaga.  
* **Transparency at Komunikasyon:** Ang aktibong pakikipag-ugnayan sa komunidad at mga grupong pangkapaligiran ay maaaring makatulong na matugunan ang mga alalahanin at bumuo ng tiwala. 
* **Patuloy na Pagpapabuti:** Magpakita ng pangako s"&amp;"a patuloy na pagpapabuti sa pamamagitan ng pamumuhunan sa mga mas malinis na teknolohiya at paggalugad ng mga paraan upang higit pang bawasan ang environmental footprint ng planta.
**Tandaan:** 
* Ang tagumpay ng diskarte sa pagtatanggol ay nakasala"&amp;"lay sa nakabatay sa ebidensya na pagpapakita ng responsableng operasyon, pagsunod sa mga regulasyon, at pangako sa pagpapanatili ng kapaligiran. 
* Ang negosasyon at paggalugad ng mga solusyong pinagkasunduang dalawa sa mga grupong pangkalikasan ay maaar"&amp;"ing maging isang mas nakabubuti na paraan kaysa sa isang purong depensibong legal na labanan.
Sa pamamagitan ng paggamit ng mga estratehiyang ito, epektibong maipagtanggol ng kumpanya ng biomass power plant ang mga operasyon nito sa korte habang ipinap"&amp;"akita ang pangako nito sa responsibilidad sa kapaligiran. ")</f>
        <v>Ang isang kumpanyang nahaharap sa mga legal na hamon mula sa mga grupong pangkalikasan tungkol sa polusyon sa hangin mula sa kanilang biomass power plant ay maaaring gumamit ng ilang mga diskarte upang ipagtanggol ang kanilang mga operasyon sa korte:
**Pagha-highlight sa Mga Pangako sa Kapaligiran:**
* Magpakita ng pagsunod sa lahat ng nauugnay na regulasyon sa kapaligiran ng Pilipinas, kabilang ang:
    * Clean Air Act (RA 8749)
    * Department of Environment and Natural Resources (DENR) emission standards para sa biomass power plants.
* Magpakita ng katibayan ng isang matatag na programa sa pagsubaybay sa kalidad ng hangin at isang track record ng pananatili sa loob ng mga limitasyon sa paglabas. 
**Tumuon sa Mga Kasanayan sa Pagpapanatili:**
* Bigyang-diin ang paggamit ng mga napapanatiling pinagmumulan ng biomass tulad ng basurang pang-agrikultura o dedikadong pananim ng enerhiya, pagliit ng deforestation at nauugnay na mga alalahanin sa kapaligiran.
* Balangkasin ang mga teknolohiya sa pagkontrol ng polusyon na ginagamit upang mabawasan ang mga nakakapinsalang emisyon:
    * Mga electrostatic precipitator para sa pagkuha ng particulate matter.
    * Mga sistema ng desulfurization ng flue gas para sa pagbabawas ng mga paglabas ng sulfur dioxide.
**Paghahambing ng Pagsusuri at Pinakamahuhusay na Kasanayan sa Industriya:**
* Ipakita na ang mga emisyon ng planta ay maihahambing o mas mababa kaysa sa mga katulad na pasilidad ng biomass o maging sa mga nakasanayang fossil fuel power plant.
* I-highlight ang paggamit ng mga pinakamahuhusay na kagawian sa industriya para sa pagliit ng polusyon sa hangin. 
**Mga Benepisyong Pang-ekonomiya at Panlipunan:**
* Magpakita ng katibayan ng mga benepisyong pang-ekonomiya na nabuo ng planta, tulad ng paglikha ng trabaho at lokal na pag-unlad ng ekonomiya.
* Balangkasin ang kontribusyon ng planta sa mga layunin ng renewable energy at seguridad sa enerhiya ng bansa.
**Pagtugon sa Mga Partikular na Alalahanin:**
* Maingat na pag-aralan ang mga claim ng mga environmental group at direktang tugunan ang mga ito.
* Kung ang mga partikular na pollutant ay isang alalahanin, magpakita ng ebidensya ng mga diskarte sa pagpapagaan na ipinapatupad.
* Makipag-ugnayan sa mga independiyenteng eksperto upang masuri ang epekto sa kapaligiran ng halaman at tugunan ang anumang mga potensyal na isyu.
**Mga Karagdagang Pagsasaalang-alang:**
* **Legal na Representasyon:** Ang pagkonsulta sa isang abogadong may karanasan sa batas sa kapaligiran ay mahalaga.  
* **Transparency at Komunikasyon:** Ang aktibong pakikipag-ugnayan sa komunidad at mga grupong pangkapaligiran ay maaaring makatulong na matugunan ang mga alalahanin at bumuo ng tiwala. 
* **Patuloy na Pagpapabuti:** Magpakita ng pangako sa patuloy na pagpapabuti sa pamamagitan ng pamumuhunan sa mga mas malinis na teknolohiya at paggalugad ng mga paraan upang higit pang bawasan ang environmental footprint ng planta.
**Tandaan:** 
* Ang tagumpay ng diskarte sa pagtatanggol ay nakasalalay sa nakabatay sa ebidensya na pagpapakita ng responsableng operasyon, pagsunod sa mga regulasyon, at pangako sa pagpapanatili ng kapaligiran. 
* Ang negosasyon at paggalugad ng mga solusyong pinagkasunduang dalawa sa mga grupong pangkalikasan ay maaaring maging isang mas nakabubuti na paraan kaysa sa isang purong depensibong legal na labanan.
Sa pamamagitan ng paggamit ng mga estratehiyang ito, epektibong maipagtanggol ng kumpanya ng biomass power plant ang mga operasyon nito sa korte habang ipinapakita ang pangako nito sa responsibilidad sa kapaligiran. </v>
      </c>
      <c r="F2890" s="2">
        <f t="shared" si="1"/>
        <v>0</v>
      </c>
      <c r="G2890" s="2"/>
      <c r="H2890" s="2"/>
      <c r="I2890" s="2"/>
      <c r="J2890" s="2"/>
      <c r="K2890" s="2"/>
      <c r="L2890" s="2"/>
      <c r="M2890" s="2"/>
      <c r="N2890" s="2"/>
      <c r="O2890" s="2"/>
      <c r="P2890" s="2"/>
      <c r="Q2890" s="2"/>
      <c r="R2890" s="2"/>
      <c r="S2890" s="2"/>
      <c r="T2890" s="2"/>
      <c r="U2890" s="2"/>
      <c r="V2890" s="2"/>
      <c r="W2890" s="2"/>
      <c r="X2890" s="2"/>
      <c r="Y2890" s="2"/>
      <c r="Z2890" s="2"/>
      <c r="AA2890" s="2"/>
    </row>
    <row r="2891">
      <c r="A2891" s="3" t="s">
        <v>6661</v>
      </c>
      <c r="B2891" s="1" t="s">
        <v>6756</v>
      </c>
      <c r="C2891" s="3" t="s">
        <v>6757</v>
      </c>
      <c r="D2891" s="2" t="str">
        <f>IFERROR(__xludf.DUMMYFUNCTION("GOOGLETRANSLATE(B2891, ""en"", ""TL"")"),"Pinapayuhan mo ang isang munisipalidad na interesado sa pagpapatupad ng isang programang waste-to-energy. Anong mga legal na pagsasaalang-alang ang dapat nilang isaalang-alang tungkol sa pamamahala ng basura at mga regulasyon sa kapaligiran?")</f>
        <v>Pinapayuhan mo ang isang munisipalidad na interesado sa pagpapatupad ng isang programang waste-to-energy. Anong mga legal na pagsasaalang-alang ang dapat nilang isaalang-alang tungkol sa pamamahala ng basura at mga regulasyon sa kapaligiran?</v>
      </c>
      <c r="E2891" s="2" t="str">
        <f>IFERROR(__xludf.DUMMYFUNCTION("GOOGLETRANSLATE(C2891, ""en"", ""TL"")"),"Narito ang ilang pangunahing legal na pagsasaalang-alang para sa isang munisipalidad na nagpaplano ng isang waste-to-energy program sa Pilipinas:
**Mga Batas sa Pamamahala ng Basura:**
* **Ecological Solid Waste Management Act (RA 9003):** Ang batas"&amp;" na ito ay inuuna ang pagbabawas ng basura, pag-recycle, at pag-compost bago gumamit ng mga pamamaraan ng waste-to-energy. Dapat ipakita ng munisipyo ang kanilang programa na naaayon sa hierarchy na ito at pinoproseso lamang ang natitirang basura pagkatap"&amp;"os maubos ang iba pang mga opsyon.
* **Ang Clean Air Act (RA 8749):** Ang batas na ito ay kinokontrol ang polusyon sa hangin at nagtatakda ng mga pamantayan sa paglabas para sa iba't ibang pinagmumulan, kabilang ang mga pasilidad ng waste-to-energy. Dapa"&amp;"t tiyakin ng munisipalidad na ang napiling teknolohiya ay sumusunod sa mga pamantayang ito ng emisyon.
**Proseso ng Environmental Impact Assessment (EIA):**
* **Ang Environmental Impact Assessment System Act (EIA Law) (RA 1658):** Ang EIA ay sapilit"&amp;"an para sa mga proyektong may potensyal na makabuluhang epekto sa kapaligiran. Kahit na ang waste-to-energy ay maaaring maging isang renewable energy source, maaari rin itong magkaroon ng environmental drawbacks.  Ang munisipalidad ay kailangang magsagawa"&amp;" ng isang komprehensibong EIA na nagtatasa sa potensyal na epekto ng proyekto sa kalidad ng hangin, mga mapagkukunan ng tubig, at kalusugan ng publiko. 
**Pagpili ng Site at Zoning:**
* **Local Government Code (RA 7160):** Ang batas na ito ay nagbib"&amp;"igay ng kapangyarihan sa mga local government units (LGUs) na i-regulate ang paggamit ng lupa sa loob ng kanilang hurisdiksyon. Ang munisipalidad ay kailangang pumili ng isang lugar para sa waste-to-energy facility na sumusunod sa mga regulasyon ng zoning"&amp;" at pinapaliit ang mga potensyal na panganib sa kapaligiran at pampublikong kalusugan.
**Pampublikong Paglahok:**
* **RA 1658 (EIA Law):** Ang batas na ito ay nag-uutos ng pampublikong partisipasyon sa panahon ng proseso ng EIA. Ang munisipalidad ay"&amp;" kailangang magsagawa ng mga pampublikong konsultasyon upang ipaalam sa mga residente ang tungkol sa proyekto, mga potensyal na epekto, at mga hakbang sa pagpapagaan. Ang pagtugon sa mga alalahanin ng publiko at pagsasama ng feedback ay nagpapatibay sa pa"&amp;"nlipunang pagtanggap ng programa.
**Mga Karagdagang Pagsasaalang-alang:**
* **Pagpipilian sa Teknolohiya:** Magsaliksik ng iba't ibang teknolohiya ng waste-to-energy (pagsunog, gasification, atbp.) at pumili ng isa na may mataas na kahusayan at mata"&amp;"tag na mga sistema ng pagkontrol ng emisyon.
* **Project Financing:** Galugarin ang mga opsyon sa pagpopondo tulad ng public-private partnerships (PPPs) o paggamit ng bahagi ng ""waste-to-energy user fee"" na pinahintulutan ng RA 9003. 
* **Pang-matagal"&amp;"ang Operasyon at Pagpapanatili:** Tiyakin ang isang pangmatagalang plano para sa ligtas at responsableng operasyon ng pasilidad, kabilang ang wastong pamamahala ng basura sa loob ng planta at tamang pagtatapon ng anumang natitirang abo o byproducts.
**"&amp;"Mga Benepisyo at Mga Panganib:**
* Bagama't nag-aalok ang waste-to-energy ng mga benepisyo tulad ng produksyon ng enerhiya at pagbabawas ng dami ng basura, nagdadala rin ito ng mga panganib sa kapaligiran tulad ng polusyon sa hangin at potensyal para s"&amp;"a kontaminasyon ng abo. Ang munisipalidad ay dapat na maging handa upang pagaanin ang mga panganib na ito at ipakita ang pangkalahatang benepisyo sa kapaligiran ng programa.
**Pagsunod at Pagsubaybay:**
* Maglagay ng isang matatag na sistema para sa"&amp;" pagsubaybay sa mga emisyon ng planta at pagtiyak ng patuloy na pagsunod sa mga regulasyon sa kapaligiran. Ang regular na pag-uulat sa mga kaugnay na ahensya tulad ng DENR ay mahalaga.
**Sa pamamagitan ng maingat na pagsasaalang-alang sa mga legal na a"&amp;"spetong ito, ang munisipalidad ay makakabuo ng isang responsable at napapanatiling programa ng waste-to-energy na sumusunod sa mga regulasyon sa kapaligiran at nag-aambag sa isang mas malinis at mas mahusay na sistema ng pamamahala ng basura.** ")</f>
        <v>Narito ang ilang pangunahing legal na pagsasaalang-alang para sa isang munisipalidad na nagpaplano ng isang waste-to-energy program sa Pilipinas:
**Mga Batas sa Pamamahala ng Basura:**
* **Ecological Solid Waste Management Act (RA 9003):** Ang batas na ito ay inuuna ang pagbabawas ng basura, pag-recycle, at pag-compost bago gumamit ng mga pamamaraan ng waste-to-energy. Dapat ipakita ng munisipyo ang kanilang programa na naaayon sa hierarchy na ito at pinoproseso lamang ang natitirang basura pagkatapos maubos ang iba pang mga opsyon.
* **Ang Clean Air Act (RA 8749):** Ang batas na ito ay kinokontrol ang polusyon sa hangin at nagtatakda ng mga pamantayan sa paglabas para sa iba't ibang pinagmumulan, kabilang ang mga pasilidad ng waste-to-energy. Dapat tiyakin ng munisipalidad na ang napiling teknolohiya ay sumusunod sa mga pamantayang ito ng emisyon.
**Proseso ng Environmental Impact Assessment (EIA):**
* **Ang Environmental Impact Assessment System Act (EIA Law) (RA 1658):** Ang EIA ay sapilitan para sa mga proyektong may potensyal na makabuluhang epekto sa kapaligiran. Kahit na ang waste-to-energy ay maaaring maging isang renewable energy source, maaari rin itong magkaroon ng environmental drawbacks.  Ang munisipalidad ay kailangang magsagawa ng isang komprehensibong EIA na nagtatasa sa potensyal na epekto ng proyekto sa kalidad ng hangin, mga mapagkukunan ng tubig, at kalusugan ng publiko. 
**Pagpili ng Site at Zoning:**
* **Local Government Code (RA 7160):** Ang batas na ito ay nagbibigay ng kapangyarihan sa mga local government units (LGUs) na i-regulate ang paggamit ng lupa sa loob ng kanilang hurisdiksyon. Ang munisipalidad ay kailangang pumili ng isang lugar para sa waste-to-energy facility na sumusunod sa mga regulasyon ng zoning at pinapaliit ang mga potensyal na panganib sa kapaligiran at pampublikong kalusugan.
**Pampublikong Paglahok:**
* **RA 1658 (EIA Law):** Ang batas na ito ay nag-uutos ng pampublikong partisipasyon sa panahon ng proseso ng EIA. Ang munisipalidad ay kailangang magsagawa ng mga pampublikong konsultasyon upang ipaalam sa mga residente ang tungkol sa proyekto, mga potensyal na epekto, at mga hakbang sa pagpapagaan. Ang pagtugon sa mga alalahanin ng publiko at pagsasama ng feedback ay nagpapatibay sa panlipunang pagtanggap ng programa.
**Mga Karagdagang Pagsasaalang-alang:**
* **Pagpipilian sa Teknolohiya:** Magsaliksik ng iba't ibang teknolohiya ng waste-to-energy (pagsunog, gasification, atbp.) at pumili ng isa na may mataas na kahusayan at matatag na mga sistema ng pagkontrol ng emisyon.
* **Project Financing:** Galugarin ang mga opsyon sa pagpopondo tulad ng public-private partnerships (PPPs) o paggamit ng bahagi ng "waste-to-energy user fee" na pinahintulutan ng RA 9003. 
* **Pang-matagalang Operasyon at Pagpapanatili:** Tiyakin ang isang pangmatagalang plano para sa ligtas at responsableng operasyon ng pasilidad, kabilang ang wastong pamamahala ng basura sa loob ng planta at tamang pagtatapon ng anumang natitirang abo o byproducts.
**Mga Benepisyo at Mga Panganib:**
* Bagama't nag-aalok ang waste-to-energy ng mga benepisyo tulad ng produksyon ng enerhiya at pagbabawas ng dami ng basura, nagdadala rin ito ng mga panganib sa kapaligiran tulad ng polusyon sa hangin at potensyal para sa kontaminasyon ng abo. Ang munisipalidad ay dapat na maging handa upang pagaanin ang mga panganib na ito at ipakita ang pangkalahatang benepisyo sa kapaligiran ng programa.
**Pagsunod at Pagsubaybay:**
* Maglagay ng isang matatag na sistema para sa pagsubaybay sa mga emisyon ng planta at pagtiyak ng patuloy na pagsunod sa mga regulasyon sa kapaligiran. Ang regular na pag-uulat sa mga kaugnay na ahensya tulad ng DENR ay mahalaga.
**Sa pamamagitan ng maingat na pagsasaalang-alang sa mga legal na aspetong ito, ang munisipalidad ay makakabuo ng isang responsable at napapanatiling programa ng waste-to-energy na sumusunod sa mga regulasyon sa kapaligiran at nag-aambag sa isang mas malinis at mas mahusay na sistema ng pamamahala ng basura.** </v>
      </c>
      <c r="F2891" s="2">
        <f t="shared" si="1"/>
        <v>0</v>
      </c>
      <c r="G2891" s="2"/>
      <c r="H2891" s="2"/>
      <c r="I2891" s="2"/>
      <c r="J2891" s="2"/>
      <c r="K2891" s="2"/>
      <c r="L2891" s="2"/>
      <c r="M2891" s="2"/>
      <c r="N2891" s="2"/>
      <c r="O2891" s="2"/>
      <c r="P2891" s="2"/>
      <c r="Q2891" s="2"/>
      <c r="R2891" s="2"/>
      <c r="S2891" s="2"/>
      <c r="T2891" s="2"/>
      <c r="U2891" s="2"/>
      <c r="V2891" s="2"/>
      <c r="W2891" s="2"/>
      <c r="X2891" s="2"/>
      <c r="Y2891" s="2"/>
      <c r="Z2891" s="2"/>
      <c r="AA2891" s="2"/>
    </row>
    <row r="2892">
      <c r="A2892" s="3" t="s">
        <v>6661</v>
      </c>
      <c r="B2892" s="1" t="s">
        <v>6758</v>
      </c>
      <c r="C2892" s="3" t="s">
        <v>6759</v>
      </c>
      <c r="D2892" s="2" t="str">
        <f>IFERROR(__xludf.DUMMYFUNCTION("GOOGLETRANSLATE(B2892, ""en"", ""TL"")"),"Ipagpalagay na ang isang kumpanya ay inakusahan ng pagsasagawa ng mga mapanlinlang na gawain upang makakuha ng mga subsidyo para sa mga proyekto ng nababagong enerhiya. Anong mga legal na kahihinatnan ang maaari nilang harapin kung napatunayang nagkasala?")</f>
        <v>Ipagpalagay na ang isang kumpanya ay inakusahan ng pagsasagawa ng mga mapanlinlang na gawain upang makakuha ng mga subsidyo para sa mga proyekto ng nababagong enerhiya. Anong mga legal na kahihinatnan ang maaari nilang harapin kung napatunayang nagkasala?</v>
      </c>
      <c r="E2892" s="2" t="str">
        <f>IFERROR(__xludf.DUMMYFUNCTION("GOOGLETRANSLATE(C2892, ""en"", ""TL"")"),"Narito ang isang breakdown ng mga potensyal na legal na kahihinatnan na maaaring kaharapin ng isang kumpanya sa Pilipinas kung mapatunayang nagkasala sa mga mapanlinlang na kasanayan upang makakuha ng renewable energy subsidies:
**Mga Pagsingil na nauu"&amp;"gnay sa Panloloko:**
* **Artikulo 315 ng Revised Penal Code (RPC)**: Sinasaklaw nito ang krimen ng Falsification ng isang pribadong indibidwal at ang parusa ay maaaring pagkakulong ng 4 hanggang 8 taon (Reclusión temporal).
* **Republic Act No. 3019"&amp;" (Anti-Graft and Corrupt Practices Act)**: Sinasaklaw ng batas na ito ang iba't ibang mga katiwalian ng mga pampublikong opisyal. Bagama't ang kumpanya mismo ay hindi direktang sisingilin sa ilalim ng RA na ito, maaaring may kaugnayan ito kung sinuhulan n"&amp;"ila ang mga opisyal ng gobyerno upang makakuha ng mga subsidyo. Ang mga parusa ay maaaring pagkakulong ng hanggang habambuhay depende sa uri ng pagkakasala.
**Iba pang Posibleng Singilin:**
* **Mga Paglabag sa Tax Code:** Ang pamemeke ng mga dokumen"&amp;"to o impormasyon para makakuha ng mga subsidyo ay maaaring isang paglabag sa Tax Code (hal., RA No. 8424). Maaaring kabilang sa mga parusa ang mga multa, pagkakulong, at mga pananagutan sa buwis.
* **Mga Paglabag sa Securities Regulation Code (SRC) (RA"&amp;" No. 8728):** Kung ang kumpanya ay ipinagpalit sa publiko at ang pandaraya ay kasangkot sa pagmamanipula ng mga financial statement upang maging kwalipikado para sa mga subsidyo, maaari itong maging isang paglabag sa SRC. Maaari itong magresulta sa mga mu"&amp;"lta at potensyal na pag-delist sa stock exchange.
**Mga kahihinatnan na nauugnay sa Renewable Energy Programs:**
* **Disqualification mula sa hinaharap na mga subsidyo:** Ang mga ahensya ng gobyerno na namamahala sa mga programa ng renewable energ"&amp;"y ay malamang na may mga regulasyon na nagdidisqualify sa mga kumpanyang napatunayang nagkasala ng panloloko mula sa hinaharap na paglahok.
* **Pagbabayad ng Subsidies:** Maaaring utusan ang kumpanya na bayaran ang anumang mapanlinlang na nakuhang mga "&amp;"subsidyo.
**Konstitusyon ng Pilipinas:**
Ang Saligang Batas ng Pilipinas (Artikulo II, Seksyon 1) ay nagtataglay ng patakaran ng estado upang itaguyod ang katapatan at integridad. Ang pagsali sa mga mapanlinlang na gawi upang makakuha ng mga subsidy"&amp;"o ay malinaw na labag sa prinsipyong ito.
**Mahalagang Tandaan:**
* Ito ay isang pangkalahatang pangkalahatang-ideya, at ang mga partikular na singil at mga parusa ay depende sa mga detalye ng kaso. 
* Ang kumpanya ay magkakaroon ng karapatan sa le"&amp;"gal na representasyon at angkop na proseso.
Para sa mas tiyak na sagot, inirerekumenda na kumunsulta sa isang abogado na dalubhasa sa negosyo at/o batas sa kapaligiran. Maaari silang magbigay ng mas detalyadong pagsusuri batay sa mga partikular na kala"&amp;"gayan ng kaso.
")</f>
        <v>Narito ang isang breakdown ng mga potensyal na legal na kahihinatnan na maaaring kaharapin ng isang kumpanya sa Pilipinas kung mapatunayang nagkasala sa mga mapanlinlang na kasanayan upang makakuha ng renewable energy subsidies:
**Mga Pagsingil na nauugnay sa Panloloko:**
* **Artikulo 315 ng Revised Penal Code (RPC)**: Sinasaklaw nito ang krimen ng Falsification ng isang pribadong indibidwal at ang parusa ay maaaring pagkakulong ng 4 hanggang 8 taon (Reclusión temporal).
* **Republic Act No. 3019 (Anti-Graft and Corrupt Practices Act)**: Sinasaklaw ng batas na ito ang iba't ibang mga katiwalian ng mga pampublikong opisyal. Bagama't ang kumpanya mismo ay hindi direktang sisingilin sa ilalim ng RA na ito, maaaring may kaugnayan ito kung sinuhulan nila ang mga opisyal ng gobyerno upang makakuha ng mga subsidyo. Ang mga parusa ay maaaring pagkakulong ng hanggang habambuhay depende sa uri ng pagkakasala.
**Iba pang Posibleng Singilin:**
* **Mga Paglabag sa Tax Code:** Ang pamemeke ng mga dokumento o impormasyon para makakuha ng mga subsidyo ay maaaring isang paglabag sa Tax Code (hal., RA No. 8424). Maaaring kabilang sa mga parusa ang mga multa, pagkakulong, at mga pananagutan sa buwis.
* **Mga Paglabag sa Securities Regulation Code (SRC) (RA No. 8728):** Kung ang kumpanya ay ipinagpalit sa publiko at ang pandaraya ay kasangkot sa pagmamanipula ng mga financial statement upang maging kwalipikado para sa mga subsidyo, maaari itong maging isang paglabag sa SRC. Maaari itong magresulta sa mga multa at potensyal na pag-delist sa stock exchange.
**Mga kahihinatnan na nauugnay sa Renewable Energy Programs:**
* **Disqualification mula sa hinaharap na mga subsidyo:** Ang mga ahensya ng gobyerno na namamahala sa mga programa ng renewable energy ay malamang na may mga regulasyon na nagdidisqualify sa mga kumpanyang napatunayang nagkasala ng panloloko mula sa hinaharap na paglahok.
* **Pagbabayad ng Subsidies:** Maaaring utusan ang kumpanya na bayaran ang anumang mapanlinlang na nakuhang mga subsidyo.
**Konstitusyon ng Pilipinas:**
Ang Saligang Batas ng Pilipinas (Artikulo II, Seksyon 1) ay nagtataglay ng patakaran ng estado upang itaguyod ang katapatan at integridad. Ang pagsali sa mga mapanlinlang na gawi upang makakuha ng mga subsidyo ay malinaw na labag sa prinsipyong ito.
**Mahalagang Tandaan:**
* Ito ay isang pangkalahatang pangkalahatang-ideya, at ang mga partikular na singil at mga parusa ay depende sa mga detalye ng kaso. 
* Ang kumpanya ay magkakaroon ng karapatan sa legal na representasyon at angkop na proseso.
Para sa mas tiyak na sagot, inirerekumenda na kumunsulta sa isang abogado na dalubhasa sa negosyo at/o batas sa kapaligiran. Maaari silang magbigay ng mas detalyadong pagsusuri batay sa mga partikular na kalagayan ng kaso.
</v>
      </c>
      <c r="F2892" s="2">
        <f t="shared" si="1"/>
        <v>0</v>
      </c>
      <c r="G2892" s="2"/>
      <c r="H2892" s="2"/>
      <c r="I2892" s="2"/>
      <c r="J2892" s="2"/>
      <c r="K2892" s="2"/>
      <c r="L2892" s="2"/>
      <c r="M2892" s="2"/>
      <c r="N2892" s="2"/>
      <c r="O2892" s="2"/>
      <c r="P2892" s="2"/>
      <c r="Q2892" s="2"/>
      <c r="R2892" s="2"/>
      <c r="S2892" s="2"/>
      <c r="T2892" s="2"/>
      <c r="U2892" s="2"/>
      <c r="V2892" s="2"/>
      <c r="W2892" s="2"/>
      <c r="X2892" s="2"/>
      <c r="Y2892" s="2"/>
      <c r="Z2892" s="2"/>
      <c r="AA2892" s="2"/>
    </row>
    <row r="2893">
      <c r="A2893" s="3" t="s">
        <v>6661</v>
      </c>
      <c r="B2893" s="1" t="s">
        <v>6760</v>
      </c>
      <c r="C2893" s="3" t="s">
        <v>6761</v>
      </c>
      <c r="D2893" s="2" t="str">
        <f>IFERROR(__xludf.DUMMYFUNCTION("GOOGLETRANSLATE(B2893, ""en"", ""TL"")"),"Isipin ang isang sitwasyon kung saan ang isang ahensya ng gobyerno ay inakusahan ng paboritismo sa paggawad ng mga kontrata para sa mga proyekto sa imprastraktura ng enerhiya. Anong mga legal na hakbang ang maaaring gawin upang matiyak ang transparency at"&amp;" pananagutan sa proseso ng pagkuha?")</f>
        <v>Isipin ang isang sitwasyon kung saan ang isang ahensya ng gobyerno ay inakusahan ng paboritismo sa paggawad ng mga kontrata para sa mga proyekto sa imprastraktura ng enerhiya. Anong mga legal na hakbang ang maaaring gawin upang matiyak ang transparency at pananagutan sa proseso ng pagkuha?</v>
      </c>
      <c r="E2893" s="2" t="str">
        <f>IFERROR(__xludf.DUMMYFUNCTION("GOOGLETRANSLATE(C2893, ""en"", ""TL"")"),"Mayroong ilang mga legal na hakbang sa batas ng Pilipinas upang matugunan ang mga akusasyon ng paboritismo sa paggawad ng mga kontrata para sa mga proyekto sa imprastraktura ng enerhiya at tiyakin ang transparency at pananagutan:
**Kasalukuyang Legal n"&amp;"a Balangkas:**
* **Republic Act No. 9184 (Government Procurement Reform Act o GPRA):** Ito ang sentral na batas na namamahala sa pagkuha ng mga ahensya ng gobyerno. Ipinag-uutos nito ang mga prinsipyo ng transparency, competitiveness, at accountability"&amp;".  Kabilang sa mga pangunahing aspeto ang:
    * **PhilGEPS (Philippine Government Electronic Procurement System):** Ang GPRA ay nangangailangan ng paggamit ng PhilGEPS, isang online na platform para sa paglalathala ng lahat ng pagkakataon sa pag-bid at "&amp;"mga kaugnay na dokumento [https://notices.philgeps.gov.ph/](https://notices .philgeps.gov.ph/).
    * **Mga Pamamaraan sa Pag-bid:** Binabalangkas ng GPRA ang iba't ibang mga pamamaraan sa pag-bid depende sa katangian at halaga ng proyekto. Ang mga pamam"&amp;"araang ito ay naglalayong tiyakin ang patas na kompetisyon at maiwasan ang paboritismo. 
    * **Mga Tagamasid:** Pinahihintulutan ng GPRA ang pag-imbita sa mga tagamasid mula sa mga civil society organization (CSO) at Commission on Audit (COA) na saksih"&amp;"an ang mga pamamaraan sa pag-bid, na nagpapatibay ng transparency.
* **Ang 1987 Konstitusyon ng Pilipinas:**  
    * Artikulo II, Seksyon 1: Nagsusulong ng patakaran ng katapatan at integridad sa serbisyo publiko.
    * Artikulo III, Seksyon 14: Itin"&amp;"atago ang karapatan sa impormasyon, na nagpapahintulot sa mga mamamayan na ma-access ang mga talaan ng pamahalaan sa mga proseso ng pagkuha (napapailalim sa mga makatwirang limitasyon).
**Mga Legal na Panukala sa Kaso ng Pinaghihinalaang Paborito:**
"&amp;"
* **Paghain ng Protesta sa Procuring Entity:** Ang mga bidder na naniniwalang sila ay hindi patas na disadvantages ay maaaring maghain ng pormal na protesta sa procuring agency na binabalangkas ang kanilang mga alalahanin.
* **Paghain ng Reklamo sa Go"&amp;"vernment Procurement Policy Board (GPPB):** Ang GPPB, na itinatag sa ilalim ng GPRA, ay nangangasiwa sa pagpapatupad ng batas at nag-iimbestiga sa mga reklamo ng mga iregularidad. Maaari nilang suriin ang proseso ng pag-bid at magrekomenda ng mga hakbang "&amp;"sa pagwawasto o pawalang-bisa ang award kung kinakailangan.
* **Paghahain ng Petisyon sa Opisina ng Ombudsman:** Ang Ombudsman ay nag-iimbestiga sa mga paratang ng opisyal na maling pag-uugali, kabilang ang paboritismo sa pagkuha ng pamahalaan. Maaari "&amp;"silang magrekomenda ng mga parusa laban sa mga nagkakamali na opisyal, kabilang ang pagpapaalis o mga kasong kriminal.
* **Legal na Aksyon sa Korte:** Sa ilang mga kaso, maaaring isaalang-alang ng mga naagrabyado na partido ang legal na aksyon sa korte"&amp;" laban sa ahensya ng gobyerno o mga indibidwal na sangkot sa di-umano'y paboritismo.
**Pagpapahusay ng Transparency at Pananagutan:**
* **Civil Society Organizations (CSOs):** CSOs can play a crucial role in monitoring process of government procurem"&amp;"ent and advocate for transparency.
* **Media:** Maaaring ilantad ng investigative journalism ang mga iregularidad at panagutin ang mga ahensya ng gobyerno.
**Tandaan:**
* Ito ang ilan sa mga legal na hakbang na magagamit. Ang tiyak na kurso ng ak"&amp;"syon ay depende sa mga detalye ng kaso.
* Ang mga mamamayan ay may karapatan sa impormasyon at maaaring humiling ng mga dokumento na may kaugnayan sa proseso ng pagkuha.
* Ang paghingi ng legal na payo mula sa isang abogado na dalubhasa sa administratib"&amp;"o o procurement law ay maaaring makatulong sa pag-navigate sa mga prosesong ito.
Sa pamamagitan ng paggamit ng mga legal na hakbang na ito at pagtataguyod ng transparency, makakatulong ang mga Pilipino na matiyak ang patas at may pananagutan na pagbibi"&amp;"gay ng mga kontrata para sa mga kritikal na proyekto sa imprastraktura ng enerhiya. ")</f>
        <v>Mayroong ilang mga legal na hakbang sa batas ng Pilipinas upang matugunan ang mga akusasyon ng paboritismo sa paggawad ng mga kontrata para sa mga proyekto sa imprastraktura ng enerhiya at tiyakin ang transparency at pananagutan:
**Kasalukuyang Legal na Balangkas:**
* **Republic Act No. 9184 (Government Procurement Reform Act o GPRA):** Ito ang sentral na batas na namamahala sa pagkuha ng mga ahensya ng gobyerno. Ipinag-uutos nito ang mga prinsipyo ng transparency, competitiveness, at accountability.  Kabilang sa mga pangunahing aspeto ang:
    * **PhilGEPS (Philippine Government Electronic Procurement System):** Ang GPRA ay nangangailangan ng paggamit ng PhilGEPS, isang online na platform para sa paglalathala ng lahat ng pagkakataon sa pag-bid at mga kaugnay na dokumento [https://notices.philgeps.gov.ph/](https://notices .philgeps.gov.ph/).
    * **Mga Pamamaraan sa Pag-bid:** Binabalangkas ng GPRA ang iba't ibang mga pamamaraan sa pag-bid depende sa katangian at halaga ng proyekto. Ang mga pamamaraang ito ay naglalayong tiyakin ang patas na kompetisyon at maiwasan ang paboritismo. 
    * **Mga Tagamasid:** Pinahihintulutan ng GPRA ang pag-imbita sa mga tagamasid mula sa mga civil society organization (CSO) at Commission on Audit (COA) na saksihan ang mga pamamaraan sa pag-bid, na nagpapatibay ng transparency.
* **Ang 1987 Konstitusyon ng Pilipinas:**  
    * Artikulo II, Seksyon 1: Nagsusulong ng patakaran ng katapatan at integridad sa serbisyo publiko.
    * Artikulo III, Seksyon 14: Itinatago ang karapatan sa impormasyon, na nagpapahintulot sa mga mamamayan na ma-access ang mga talaan ng pamahalaan sa mga proseso ng pagkuha (napapailalim sa mga makatwirang limitasyon).
**Mga Legal na Panukala sa Kaso ng Pinaghihinalaang Paborito:**
* **Paghain ng Protesta sa Procuring Entity:** Ang mga bidder na naniniwalang sila ay hindi patas na disadvantages ay maaaring maghain ng pormal na protesta sa procuring agency na binabalangkas ang kanilang mga alalahanin.
* **Paghain ng Reklamo sa Government Procurement Policy Board (GPPB):** Ang GPPB, na itinatag sa ilalim ng GPRA, ay nangangasiwa sa pagpapatupad ng batas at nag-iimbestiga sa mga reklamo ng mga iregularidad. Maaari nilang suriin ang proseso ng pag-bid at magrekomenda ng mga hakbang sa pagwawasto o pawalang-bisa ang award kung kinakailangan.
* **Paghahain ng Petisyon sa Opisina ng Ombudsman:** Ang Ombudsman ay nag-iimbestiga sa mga paratang ng opisyal na maling pag-uugali, kabilang ang paboritismo sa pagkuha ng pamahalaan. Maaari silang magrekomenda ng mga parusa laban sa mga nagkakamali na opisyal, kabilang ang pagpapaalis o mga kasong kriminal.
* **Legal na Aksyon sa Korte:** Sa ilang mga kaso, maaaring isaalang-alang ng mga naagrabyado na partido ang legal na aksyon sa korte laban sa ahensya ng gobyerno o mga indibidwal na sangkot sa di-umano'y paboritismo.
**Pagpapahusay ng Transparency at Pananagutan:**
* **Civil Society Organizations (CSOs):** CSOs can play a crucial role in monitoring process of government procurement and advocate for transparency.
* **Media:** Maaaring ilantad ng investigative journalism ang mga iregularidad at panagutin ang mga ahensya ng gobyerno.
**Tandaan:**
* Ito ang ilan sa mga legal na hakbang na magagamit. Ang tiyak na kurso ng aksyon ay depende sa mga detalye ng kaso.
* Ang mga mamamayan ay may karapatan sa impormasyon at maaaring humiling ng mga dokumento na may kaugnayan sa proseso ng pagkuha.
* Ang paghingi ng legal na payo mula sa isang abogado na dalubhasa sa administratibo o procurement law ay maaaring makatulong sa pag-navigate sa mga prosesong ito.
Sa pamamagitan ng paggamit ng mga legal na hakbang na ito at pagtataguyod ng transparency, makakatulong ang mga Pilipino na matiyak ang patas at may pananagutan na pagbibigay ng mga kontrata para sa mga kritikal na proyekto sa imprastraktura ng enerhiya. </v>
      </c>
      <c r="F2893" s="2">
        <f t="shared" si="1"/>
        <v>0</v>
      </c>
      <c r="G2893" s="2"/>
      <c r="H2893" s="2"/>
      <c r="I2893" s="2"/>
      <c r="J2893" s="2"/>
      <c r="K2893" s="2"/>
      <c r="L2893" s="2"/>
      <c r="M2893" s="2"/>
      <c r="N2893" s="2"/>
      <c r="O2893" s="2"/>
      <c r="P2893" s="2"/>
      <c r="Q2893" s="2"/>
      <c r="R2893" s="2"/>
      <c r="S2893" s="2"/>
      <c r="T2893" s="2"/>
      <c r="U2893" s="2"/>
      <c r="V2893" s="2"/>
      <c r="W2893" s="2"/>
      <c r="X2893" s="2"/>
      <c r="Y2893" s="2"/>
      <c r="Z2893" s="2"/>
      <c r="AA2893" s="2"/>
    </row>
    <row r="2894">
      <c r="A2894" s="3" t="s">
        <v>6762</v>
      </c>
      <c r="B2894" s="1" t="s">
        <v>6763</v>
      </c>
      <c r="C2894" s="3" t="s">
        <v>6764</v>
      </c>
      <c r="D2894" s="2" t="str">
        <f>IFERROR(__xludf.DUMMYFUNCTION("GOOGLETRANSLATE(B2894, ""en"", ""TL"")"),"Ano ang mga kinakailangan para sa pagkuha ng lisensya sa pagmamaneho sa Pilipinas?")</f>
        <v>Ano ang mga kinakailangan para sa pagkuha ng lisensya sa pagmamaneho sa Pilipinas?</v>
      </c>
      <c r="E2894" s="2" t="str">
        <f>IFERROR(__xludf.DUMMYFUNCTION("GOOGLETRANSLATE(C2894, ""en"", ""TL"")"),"Ang mga kinakailangan para sa pagkuha ng lisensya sa pagmamaneho sa Pilipinas ay depende sa kung ikaw ay nag-a-apply para sa isang student permit, isang hindi propesyonal na lisensya, o isang propesyonal na lisensya. Narito ang isang breakdown batay sa mg"&amp;"a kaugnay na inilabas ng pamahalaan:
**Permit ng Mag-aaral**
* **Edad:** Hindi bababa sa 16 taong gulang para sa mga Pilipino, 18 taong gulang para sa mga dayuhan (dapat ay nasa Pilipinas nang hindi bababa sa isang buwan na may patunay ng pananatili"&amp;" nang hindi bababa sa anim na buwan) LTO Portal, Paano Kumuha ng LTO Driver's Lisensya sa Pilipinas: [https://portal.lto.gov.ph/](https://portal.lto.gov.ph/)
* **Pagkumpleto ng Theoretical Driving Course (TDC):** Dapat kumpletuhin sa isang LTO-accredited"&amp;" driving school LTO Portal, Paano Kumuha ng LTO Driver's License sa Pilipinas: [https://portal.lto.gov.ph/ ](https://portal.lto.gov.ph/)
* **Medical Certificate:** Original and photocopy from an LTO-accredited medical clinic Globe Telecom, Pagkuha ng Iyo"&amp;"ng LTO Philippines Driver's License: Paano Mag-apply o Mag-renew: [https://www.globe.com.ph/go/travel -food/article/lto-philippines-drivers-license-how-to-apply-renew](https://www.globe.com.ph/go/travel-food/article/lto-philippines-drivers-license- paano-"&amp;"mag-apply-renew)
**Non-Propesyonal na Lisensya sa Pagmamaneho**
* **Edad:** Hindi bababa sa 17 taong gulang para sa mga Pilipino, 18 taong gulang para sa mga dayuhan LTO Portal, Paano Kumuha ng LTO Driver's License sa Pilipinas: [https://portal.lto."&amp;"gov.ph/](https: //portal.lto.gov.ph/)
* **Valid na Student Permit:** Dapat magkaroon ng student permit na valid nang hindi bababa sa isang buwan mula sa petsa ng pagbibigay ng Moneymax, Isang First-Timer's Guide sa Paano Kumuha ng Driver's License Ngayon"&amp;"g 2023: [https://www.moneymax .ph/government-services/articles/drivers-license-philippines](https://www.moneymax.ph/government-services/articles/drivers-license-philippines)
* **Pumasa sa nakasulat at praktikal na pagsusulit:** Kabilang dito ang pagpasa "&amp;"sa Automated Theoretical Examination at Practical Driving Test LTO Portal, Paano Kumuha ng LTO Driver's License sa Pilipinas: [https://portal.lto.gov.ph/]( https://portal.lto.gov.ph/)
* **Pagkumpleto ng Practical Driving Course (PDC):** Dapat kumpletuhin"&amp;" sa isang LTO-accredited driving school Moneymax, Isang First-Timer's Guide sa Paano Kumuha ng Driver's License Ngayong 2023: [https://www.moneymax. ph/government-services/articles/drivers-license-philippines](https://www.moneymax.ph/government-services/a"&amp;"rticles/drivers-license-philippines)
* **Medical Certificate:** Original and photocopy from an LTO-accredited medical clinic Globe Telecom, Pagkuha ng Iyong LTO Philippines Driver's License: Paano Mag-apply o Mag-renew: [https://www.globe.com.ph/go/trave"&amp;"l -food/article/lto-philippines-drivers-license-how-to-apply-renew](https://www.globe.com.ph/go/travel-food/article/lto-philippines-drivers-license- paano-mag-apply-renew)
**Mga Karagdagang Kinakailangan (para sa parehong Student Permit at Non-Professi"&amp;"onal License):**
* **Duly accomplished Application Form (APL Form)** Globe Telecom, Pagkuha ng Iyong LTO Philippines Driver's License: Paano Mag-apply o Mag-renew: [https://www.globe.com.ph/go/travel-food/article/ lto-philippines-drivers-license-how-to"&amp;"-apply-renew](https://www.globe.com.ph/go/travel-food/article/lto-philippines-drivers-license-how-to-apply -renew)
* **Katibayan ng paninirahan (para sa mga dayuhan) LTO Portal, Paano Kumuha ng LTO Driver's License sa Pilipinas: [https://portal.lto.gov.p"&amp;"h/](https://portal.lto.gov.ph/ )
* **No unsettled traffic violations** Globe Telecom, Pagkuha ng Iyong LTO Philippines Driver's License: Paano Mag-apply o Mag-renew: [https://www.globe.com.ph/go/travel-food/article/lto-philippines- drivers-license-how-to"&amp;"-apply-renew](https://www.globe.com.ph/go/travel-food/article/lto-philippines-drivers-license-how-to-apply-renew)
Para sa mas kumpletong gabay at pinakabagong mga kinakailangan, ipinapayong bumisita sa website ng Land Transportation Office (LTO) ([http"&amp;"s://portal.lto.gov.ph/](https://portal.lto.gov.ph/ )) o magtanong sa pinakamalapit na opisina ng LTO.")</f>
        <v>Ang mga kinakailangan para sa pagkuha ng lisensya sa pagmamaneho sa Pilipinas ay depende sa kung ikaw ay nag-a-apply para sa isang student permit, isang hindi propesyonal na lisensya, o isang propesyonal na lisensya. Narito ang isang breakdown batay sa mga kaugnay na inilabas ng pamahalaan:
**Permit ng Mag-aaral**
* **Edad:** Hindi bababa sa 16 taong gulang para sa mga Pilipino, 18 taong gulang para sa mga dayuhan (dapat ay nasa Pilipinas nang hindi bababa sa isang buwan na may patunay ng pananatili nang hindi bababa sa anim na buwan) LTO Portal, Paano Kumuha ng LTO Driver's Lisensya sa Pilipinas: [https://portal.lto.gov.ph/](https://portal.lto.gov.ph/)
* **Pagkumpleto ng Theoretical Driving Course (TDC):** Dapat kumpletuhin sa isang LTO-accredited driving school LTO Portal, Paano Kumuha ng LTO Driver's License sa Pilipinas: [https://portal.lto.gov.ph/ ](https://portal.lto.gov.ph/)
* **Medical Certificate:** Original and photocopy from an LTO-accredited medical clinic Globe Telecom, Pagkuha ng Iyong LTO Philippines Driver's License: Paano Mag-apply o Mag-renew: [https://www.globe.com.ph/go/travel -food/article/lto-philippines-drivers-license-how-to-apply-renew](https://www.globe.com.ph/go/travel-food/article/lto-philippines-drivers-license- paano-mag-apply-renew)
**Non-Propesyonal na Lisensya sa Pagmamaneho**
* **Edad:** Hindi bababa sa 17 taong gulang para sa mga Pilipino, 18 taong gulang para sa mga dayuhan LTO Portal, Paano Kumuha ng LTO Driver's License sa Pilipinas: [https://portal.lto.gov.ph/](https: //portal.lto.gov.ph/)
* **Valid na Student Permit:** Dapat magkaroon ng student permit na valid nang hindi bababa sa isang buwan mula sa petsa ng pagbibigay ng Moneymax, Isang First-Timer's Guide sa Paano Kumuha ng Driver's License Ngayong 2023: [https://www.moneymax .ph/government-services/articles/drivers-license-philippines](https://www.moneymax.ph/government-services/articles/drivers-license-philippines)
* **Pumasa sa nakasulat at praktikal na pagsusulit:** Kabilang dito ang pagpasa sa Automated Theoretical Examination at Practical Driving Test LTO Portal, Paano Kumuha ng LTO Driver's License sa Pilipinas: [https://portal.lto.gov.ph/]( https://portal.lto.gov.ph/)
* **Pagkumpleto ng Practical Driving Course (PDC):** Dapat kumpletuhin sa isang LTO-accredited driving school Moneymax, Isang First-Timer's Guide sa Paano Kumuha ng Driver's License Ngayong 2023: [https://www.moneymax. ph/government-services/articles/drivers-license-philippines](https://www.moneymax.ph/government-services/articles/drivers-license-philippines)
* **Medical Certificate:** Original and photocopy from an LTO-accredited medical clinic Globe Telecom, Pagkuha ng Iyong LTO Philippines Driver's License: Paano Mag-apply o Mag-renew: [https://www.globe.com.ph/go/travel -food/article/lto-philippines-drivers-license-how-to-apply-renew](https://www.globe.com.ph/go/travel-food/article/lto-philippines-drivers-license- paano-mag-apply-renew)
**Mga Karagdagang Kinakailangan (para sa parehong Student Permit at Non-Professional License):**
* **Duly accomplished Application Form (APL Form)** Globe Telecom, Pagkuha ng Iyong LTO Philippines Driver's License: Paano Mag-apply o Mag-renew: [https://www.globe.com.ph/go/travel-food/article/ lto-philippines-drivers-license-how-to-apply-renew](https://www.globe.com.ph/go/travel-food/article/lto-philippines-drivers-license-how-to-apply -renew)
* **Katibayan ng paninirahan (para sa mga dayuhan) LTO Portal, Paano Kumuha ng LTO Driver's License sa Pilipinas: [https://portal.lto.gov.ph/](https://portal.lto.gov.ph/ )
* **No unsettled traffic violations** Globe Telecom, Pagkuha ng Iyong LTO Philippines Driver's License: Paano Mag-apply o Mag-renew: [https://www.globe.com.ph/go/travel-food/article/lto-philippines- drivers-license-how-to-apply-renew](https://www.globe.com.ph/go/travel-food/article/lto-philippines-drivers-license-how-to-apply-renew)
Para sa mas kumpletong gabay at pinakabagong mga kinakailangan, ipinapayong bumisita sa website ng Land Transportation Office (LTO) ([https://portal.lto.gov.ph/](https://portal.lto.gov.ph/ )) o magtanong sa pinakamalapit na opisina ng LTO.</v>
      </c>
      <c r="F2894" s="2">
        <f t="shared" si="1"/>
        <v>0</v>
      </c>
      <c r="G2894" s="2"/>
      <c r="H2894" s="2"/>
      <c r="I2894" s="2"/>
      <c r="J2894" s="2"/>
      <c r="K2894" s="2"/>
      <c r="L2894" s="2"/>
      <c r="M2894" s="2"/>
      <c r="N2894" s="2"/>
      <c r="O2894" s="2"/>
      <c r="P2894" s="2"/>
      <c r="Q2894" s="2"/>
      <c r="R2894" s="2"/>
      <c r="S2894" s="2"/>
      <c r="T2894" s="2"/>
      <c r="U2894" s="2"/>
      <c r="V2894" s="2"/>
      <c r="W2894" s="2"/>
      <c r="X2894" s="2"/>
      <c r="Y2894" s="2"/>
      <c r="Z2894" s="2"/>
      <c r="AA2894" s="2"/>
    </row>
    <row r="2895">
      <c r="A2895" s="3" t="s">
        <v>6762</v>
      </c>
      <c r="B2895" s="1" t="s">
        <v>6765</v>
      </c>
      <c r="C2895" s="3" t="s">
        <v>6766</v>
      </c>
      <c r="D2895" s="2" t="str">
        <f>IFERROR(__xludf.DUMMYFUNCTION("GOOGLETRANSLATE(B2895, ""en"", ""TL"")"),"Ano ang mga parusa sa pagmamaneho sa ilalim ng impluwensya ng alkohol o droga sa Pilipinas?")</f>
        <v>Ano ang mga parusa sa pagmamaneho sa ilalim ng impluwensya ng alkohol o droga sa Pilipinas?</v>
      </c>
      <c r="E2895" s="2" t="str">
        <f>IFERROR(__xludf.DUMMYFUNCTION("GOOGLETRANSLATE(C2895, ""en"", ""TL"")"),"Ang mga parusa para sa pagmamaneho sa ilalim ng impluwensya ng alkohol o droga sa Pilipinas ay nakabalangkas sa Republic Act No. 10586, na kilala rin bilang Anti-Drunk and Drugged Driving Act of 2013. Ang kalubhaan ng mga parusa ay depende sa kung ang pag"&amp;"labag ay nagresulta sa pisikal pinsala, homicide, o walang pisikal na pinsala.
Narito ang isang breakdown ng mga parusa:
**Walang Pisikal na Pinsala o Pinsala sa Ari-arian:**
* **Pagkakulong:** Minimum ng 3 buwan, maximum na hindi natukoy (depend"&amp;"e sa pagpapasya ng hukuman)
* **Fine:** P20,000 hanggang P80,000
* **Lisensya sa Pagmamaneho:**
    * Hindi propesyonal: Pagkumpiska at pagsususpinde ng 12 buwan sa unang pagkakasala, permanenteng pagbawi sa pangalawang pagkakasala.
    * Propesyonal:"&amp;" Pagkumpiska at permanenteng pagbawi sa unang pagkakasala.
**Mga Pisikal na Pinsala:**
* **Pagmultahin:** P100,000 hanggang P200,000 (bukod sa mga parusa para sa pagdudulot ng mga pinsalang pisikal sa ilalim ng Binagong Kodigo Penal)
* **Driver's L"&amp;"icense:** Parehong mga parusa gaya ng nasa itaas (Walang Pisikal na Pinsala)
**Pagpatay:**
* **Parusa:** Ayon sa Artikulo 249 ng Binagong Kodigo Penal (murder, homicide, o lesiones lesiones)
* **Fine:** P300,000 hanggang P500,000
* **Driver's Lice"&amp;"nse:** Parehong mga parusa gaya ng nasa itaas (Walang Pisikal na Pinsala)
**Mga Karagdagang Punto:**
* Ang pagtanggi na sumailalim sa mandatory field sobriety at mga drug test ay may parusa ng pagkumpiska ng lisensya sa pagmamaneho at awtomatikong p"&amp;"agbawi sa ibabaw ng iba pang mga parusa.
* Ang mga nakumpiskang lisensya ay ilalabas lamang sa huling disposisyon ng korte o ayon sa batas na utos ng hukuman.
**Mahalagang tandaan na ito ay isang pangkalahatang pangkalahatang-ideya, at ang mga partiku"&amp;"lar na parusa ay maaaring mag-iba depende sa mga pangyayari ng kaso.** 
Para sa mas tiyak na sagot, inirerekomenda ang pagkonsulta sa isang abogado na dalubhasa sa batas trapiko. ")</f>
        <v>Ang mga parusa para sa pagmamaneho sa ilalim ng impluwensya ng alkohol o droga sa Pilipinas ay nakabalangkas sa Republic Act No. 10586, na kilala rin bilang Anti-Drunk and Drugged Driving Act of 2013. Ang kalubhaan ng mga parusa ay depende sa kung ang paglabag ay nagresulta sa pisikal pinsala, homicide, o walang pisikal na pinsala.
Narito ang isang breakdown ng mga parusa:
**Walang Pisikal na Pinsala o Pinsala sa Ari-arian:**
* **Pagkakulong:** Minimum ng 3 buwan, maximum na hindi natukoy (depende sa pagpapasya ng hukuman)
* **Fine:** P20,000 hanggang P80,000
* **Lisensya sa Pagmamaneho:**
    * Hindi propesyonal: Pagkumpiska at pagsususpinde ng 12 buwan sa unang pagkakasala, permanenteng pagbawi sa pangalawang pagkakasala.
    * Propesyonal: Pagkumpiska at permanenteng pagbawi sa unang pagkakasala.
**Mga Pisikal na Pinsala:**
* **Pagmultahin:** P100,000 hanggang P200,000 (bukod sa mga parusa para sa pagdudulot ng mga pinsalang pisikal sa ilalim ng Binagong Kodigo Penal)
* **Driver's License:** Parehong mga parusa gaya ng nasa itaas (Walang Pisikal na Pinsala)
**Pagpatay:**
* **Parusa:** Ayon sa Artikulo 249 ng Binagong Kodigo Penal (murder, homicide, o lesiones lesiones)
* **Fine:** P300,000 hanggang P500,000
* **Driver's License:** Parehong mga parusa gaya ng nasa itaas (Walang Pisikal na Pinsala)
**Mga Karagdagang Punto:**
* Ang pagtanggi na sumailalim sa mandatory field sobriety at mga drug test ay may parusa ng pagkumpiska ng lisensya sa pagmamaneho at awtomatikong pagbawi sa ibabaw ng iba pang mga parusa.
* Ang mga nakumpiskang lisensya ay ilalabas lamang sa huling disposisyon ng korte o ayon sa batas na utos ng hukuman.
**Mahalagang tandaan na ito ay isang pangkalahatang pangkalahatang-ideya, at ang mga partikular na parusa ay maaaring mag-iba depende sa mga pangyayari ng kaso.** 
Para sa mas tiyak na sagot, inirerekomenda ang pagkonsulta sa isang abogado na dalubhasa sa batas trapiko. </v>
      </c>
      <c r="F2895" s="2">
        <f t="shared" si="1"/>
        <v>0</v>
      </c>
      <c r="G2895" s="2"/>
      <c r="H2895" s="2"/>
      <c r="I2895" s="2"/>
      <c r="J2895" s="2"/>
      <c r="K2895" s="2"/>
      <c r="L2895" s="2"/>
      <c r="M2895" s="2"/>
      <c r="N2895" s="2"/>
      <c r="O2895" s="2"/>
      <c r="P2895" s="2"/>
      <c r="Q2895" s="2"/>
      <c r="R2895" s="2"/>
      <c r="S2895" s="2"/>
      <c r="T2895" s="2"/>
      <c r="U2895" s="2"/>
      <c r="V2895" s="2"/>
      <c r="W2895" s="2"/>
      <c r="X2895" s="2"/>
      <c r="Y2895" s="2"/>
      <c r="Z2895" s="2"/>
      <c r="AA2895" s="2"/>
    </row>
    <row r="2896">
      <c r="A2896" s="3" t="s">
        <v>6762</v>
      </c>
      <c r="B2896" s="1" t="s">
        <v>6767</v>
      </c>
      <c r="C2896" s="3" t="s">
        <v>6768</v>
      </c>
      <c r="D2896" s="2" t="str">
        <f>IFERROR(__xludf.DUMMYFUNCTION("GOOGLETRANSLATE(B2896, ""en"", ""TL"")"),"Ano ang mga regulasyon hinggil sa mga pampublikong sasakyan sa Pilipinas?")</f>
        <v>Ano ang mga regulasyon hinggil sa mga pampublikong sasakyan sa Pilipinas?</v>
      </c>
      <c r="E2896" s="2" t="str">
        <f>IFERROR(__xludf.DUMMYFUNCTION("GOOGLETRANSLATE(C2896, ""en"", ""TL"")"),"Ang mga regulasyon tungkol sa mga pampublikong sasakyang pang-transportasyon sa Pilipinas ay nagmumula sa ilang mga mapagkukunan:
* **Republic Act No. 4136 (Land Transportation and Traffic Code):** Itinatag ng batas na ito ang pangkalahatang balangkas "&amp;"para sa land transport, kabilang ang mga public utility vehicle (PUV). Sinasaklaw nito ang mga aspeto tulad ng pagpaparehistro, paglilisensya, at mga pangunahing pamantayan sa kaligtasan.
* **Mga pagpapalabas ng Department of Transportation (DOTr):** A"&amp;"ng DOTr ay naghahayag ng mga department order (DOs) at iba pang mga issuance na naglalaman ng mas tiyak na mga regulasyon para sa mga PUV. Maaaring saklawin ng mga ito ang disenyo ng sasakyan, mga pamantayan sa paglabas, mga pamamaraan sa pagpapatakbo, at"&amp;" mga hakbang sa kaligtasan ng pasahero.  Ang isang nauugnay na halimbawa ay:
    * **DO 2017-111: Omnibus Guidelines on the Planning and Identification of Public Road Transportation Services and Franchise Issuance:** This issuance outlines the process fo"&amp;"r franchise applications, route planning, and sets safety requirements for PUVs [https://ltfrb .gov.ph/wp-content/uploads/2017/11/DO-2017-011.pdf](https://ltfrb.gov.ph/wp-content/uploads/2017/11/DO-2017-011. pdf).
* **Land Transportation Franchising an"&amp;"d Regulatory Board (LTFRB) issuances:** Ang LTFRB, isang attached agency ng DOTr, ay naglalabas ng memoranda circulars (MCs) at iba pang regulasyong partikular sa PUV franchising, kalkulasyon ng pamasahe, at pag-uugali ng mga operator at driver . 
Nari"&amp;"to ang isang buod ng ilang mahahalagang regulasyon para sa mga pampublikong sasakyang pang-transportasyon sa Pilipinas:
* **Mga Kinakailangan sa Sasakyan:** Ang mga PUV ay dapat sumunod sa mga pamantayan ng sasakyan na itinakda ng DOTr. Kabilang dito a"&amp;"ng mga detalye para sa kapasidad ng pasahero, disenyo, at mga tampok na pangkaligtasan (hal., mga seatbelt, mga fire extinguisher).
* **Franchise:** Ang mga operator ng PUV ay dapat kumuha ng prangkisa mula sa LTFRB upang gumana sa isang partikular na "&amp;"ruta. Tinutukoy ng prangkisa ang ruta, mga rate ng pamasahe, at mga awtorisadong uri ng sasakyan.
* **Pamasahe:** Ang mga pamasahe ay kinokontrol ng LTFRB at napapailalim sa mga pagsasaayos batay sa mga gastos sa gasolina at iba pang mga kadahilanan. A"&amp;"ng mga operator ay kinakailangang magpakita ng mga fare matrice nang malinaw sa loob ng sasakyan.
* **Mga Panukala sa Kaligtasan:** Ang mga PUV ay dapat sumailalim sa mga regular na inspeksyon upang matiyak ang pagiging karapat-dapat sa kalsada at pags"&amp;"unod sa mga regulasyon sa kaligtasan. Ang mga driver ay dapat magkaroon ng mga propesyonal na lisensya sa pagmamaneho at sumunod sa mga batas trapiko. 
* **Mga Karapatan ng Pasahero:** Ang mga pasahero ay may karapatan sa ligtas, maginhawa, at abot-kay"&amp;"ang transportasyon. Maaari silang magsampa ng mga reklamo sa LTFRB tungkol sa labis na paniningil ng pamasahe, pagsisikip, o hindi magandang asal ng mga operator o driver.
**Para sa mas tiyak na impormasyon sa mga regulasyon ng PUV:**
* Maaari mong "&amp;"bisitahin ang mga website ng Department of Transportation (DOTr) [https://dotr.gov.ph/](https://dotr.gov.ph/) at ang Land Transportation Franchising and Regulatory Board (LTFRB) [ https://ltfrb.gov.ph/](https://ltfrb.gov.ph/).
* Ang mga website na ito ay"&amp;" nagbibigay ng mga nada-download na kopya ng mga nauugnay na isyu (DOs, MCs) na naglalaman ng mga detalyadong regulasyon.
Tandaan, ito ay ilan lamang sa mga pangkalahatang punto. Ang mga partikular na regulasyong naaangkop sa isang partikular na PUV ay"&amp;" maaaring mag-iba depende sa uri ng sasakyan, ruta, at mga detalye ng prangkisa. ")</f>
        <v>Ang mga regulasyon tungkol sa mga pampublikong sasakyang pang-transportasyon sa Pilipinas ay nagmumula sa ilang mga mapagkukunan:
* **Republic Act No. 4136 (Land Transportation and Traffic Code):** Itinatag ng batas na ito ang pangkalahatang balangkas para sa land transport, kabilang ang mga public utility vehicle (PUV). Sinasaklaw nito ang mga aspeto tulad ng pagpaparehistro, paglilisensya, at mga pangunahing pamantayan sa kaligtasan.
* **Mga pagpapalabas ng Department of Transportation (DOTr):** Ang DOTr ay naghahayag ng mga department order (DOs) at iba pang mga issuance na naglalaman ng mas tiyak na mga regulasyon para sa mga PUV. Maaaring saklawin ng mga ito ang disenyo ng sasakyan, mga pamantayan sa paglabas, mga pamamaraan sa pagpapatakbo, at mga hakbang sa kaligtasan ng pasahero.  Ang isang nauugnay na halimbawa ay:
    * **DO 2017-111: Omnibus Guidelines on the Planning and Identification of Public Road Transportation Services and Franchise Issuance:** This issuance outlines the process for franchise applications, route planning, and sets safety requirements for PUVs [https://ltfrb .gov.ph/wp-content/uploads/2017/11/DO-2017-011.pdf](https://ltfrb.gov.ph/wp-content/uploads/2017/11/DO-2017-011. pdf).
* **Land Transportation Franchising and Regulatory Board (LTFRB) issuances:** Ang LTFRB, isang attached agency ng DOTr, ay naglalabas ng memoranda circulars (MCs) at iba pang regulasyong partikular sa PUV franchising, kalkulasyon ng pamasahe, at pag-uugali ng mga operator at driver . 
Narito ang isang buod ng ilang mahahalagang regulasyon para sa mga pampublikong sasakyang pang-transportasyon sa Pilipinas:
* **Mga Kinakailangan sa Sasakyan:** Ang mga PUV ay dapat sumunod sa mga pamantayan ng sasakyan na itinakda ng DOTr. Kabilang dito ang mga detalye para sa kapasidad ng pasahero, disenyo, at mga tampok na pangkaligtasan (hal., mga seatbelt, mga fire extinguisher).
* **Franchise:** Ang mga operator ng PUV ay dapat kumuha ng prangkisa mula sa LTFRB upang gumana sa isang partikular na ruta. Tinutukoy ng prangkisa ang ruta, mga rate ng pamasahe, at mga awtorisadong uri ng sasakyan.
* **Pamasahe:** Ang mga pamasahe ay kinokontrol ng LTFRB at napapailalim sa mga pagsasaayos batay sa mga gastos sa gasolina at iba pang mga kadahilanan. Ang mga operator ay kinakailangang magpakita ng mga fare matrice nang malinaw sa loob ng sasakyan.
* **Mga Panukala sa Kaligtasan:** Ang mga PUV ay dapat sumailalim sa mga regular na inspeksyon upang matiyak ang pagiging karapat-dapat sa kalsada at pagsunod sa mga regulasyon sa kaligtasan. Ang mga driver ay dapat magkaroon ng mga propesyonal na lisensya sa pagmamaneho at sumunod sa mga batas trapiko. 
* **Mga Karapatan ng Pasahero:** Ang mga pasahero ay may karapatan sa ligtas, maginhawa, at abot-kayang transportasyon. Maaari silang magsampa ng mga reklamo sa LTFRB tungkol sa labis na paniningil ng pamasahe, pagsisikip, o hindi magandang asal ng mga operator o driver.
**Para sa mas tiyak na impormasyon sa mga regulasyon ng PUV:**
* Maaari mong bisitahin ang mga website ng Department of Transportation (DOTr) [https://dotr.gov.ph/](https://dotr.gov.ph/) at ang Land Transportation Franchising and Regulatory Board (LTFRB) [ https://ltfrb.gov.ph/](https://ltfrb.gov.ph/).
* Ang mga website na ito ay nagbibigay ng mga nada-download na kopya ng mga nauugnay na isyu (DOs, MCs) na naglalaman ng mga detalyadong regulasyon.
Tandaan, ito ay ilan lamang sa mga pangkalahatang punto. Ang mga partikular na regulasyong naaangkop sa isang partikular na PUV ay maaaring mag-iba depende sa uri ng sasakyan, ruta, at mga detalye ng prangkisa. </v>
      </c>
      <c r="F2896" s="2">
        <f t="shared" si="1"/>
        <v>0</v>
      </c>
      <c r="G2896" s="2"/>
      <c r="H2896" s="2"/>
      <c r="I2896" s="2"/>
      <c r="J2896" s="2"/>
      <c r="K2896" s="2"/>
      <c r="L2896" s="2"/>
      <c r="M2896" s="2"/>
      <c r="N2896" s="2"/>
      <c r="O2896" s="2"/>
      <c r="P2896" s="2"/>
      <c r="Q2896" s="2"/>
      <c r="R2896" s="2"/>
      <c r="S2896" s="2"/>
      <c r="T2896" s="2"/>
      <c r="U2896" s="2"/>
      <c r="V2896" s="2"/>
      <c r="W2896" s="2"/>
      <c r="X2896" s="2"/>
      <c r="Y2896" s="2"/>
      <c r="Z2896" s="2"/>
      <c r="AA2896" s="2"/>
    </row>
    <row r="2897">
      <c r="A2897" s="3" t="s">
        <v>6762</v>
      </c>
      <c r="B2897" s="1" t="s">
        <v>3983</v>
      </c>
      <c r="C2897" s="3" t="s">
        <v>6769</v>
      </c>
      <c r="D2897" s="2" t="str">
        <f>IFERROR(__xludf.DUMMYFUNCTION("GOOGLETRANSLATE(B2897, ""en"", ""TL"")"),"Ano ang maximum speed limit sa mga expressway sa Pilipinas?")</f>
        <v>Ano ang maximum speed limit sa mga expressway sa Pilipinas?</v>
      </c>
      <c r="E2897" s="2" t="str">
        <f>IFERROR(__xludf.DUMMYFUNCTION("GOOGLETRANSLATE(C2897, ""en"", ""TL"")"),"Ang maximum speed limit sa mga expressway sa Pilipinas ay karaniwang **100 kilometro bawat oras (kph)** para sa mga kotse at motorsiklo. Gayunpaman, mayroong ilang mga nuances na dapat isaalang-alang:
* **Department of Public Works and Highways (DPWH) "&amp;"Administrative Order No. 1:** Itong 1968 order ay nagtatatag ng **minimum** speed limit na 60 kph at ang **general maximum** na 100 kph para sa mga sasakyan sa expressways . [Hindi ko mahanap ang dokumentong ito online ngunit ito ay isinangguni sa iba pan"&amp;"g maaasahang mapagkukunan]
* **Mga pagkakaiba-iba ayon sa Expressway:** Ang mga partikular na expressway ay maaaring may mga itinalagang zone na may mas mababang mga limitasyon sa bilis dahil sa konstruksyon, pagsasaalang-alang sa kaligtasan, o iba pang "&amp;"mga dahilan. Ang mga pagkakaiba-iba na ito ay karaniwang ipinapahiwatig ng mga signage sa kahabaan ng expressway.
Narito ang ilang mapagkukunan na maaari mong konsultahin para sa pinakabagong mga limitasyon ng bilis sa mga partikular na expressway:
"&amp;"* **LTO Portal - Speed ​​Limits sa Philippine Toll Expressways:** [https://ltoportal.ph/speed-limits-philippine-toll-expressways/](https://ltoportal.ph/speed-limits-philippine- toll-expressways/) 
* **Impormasyon sa Speed ​​Limit ng Waze Philippines (dat"&amp;"a na binuo ng user):** [https://wazeopedia.waze.com/wiki/Philippines/Main_Page](https://wazeopedia.waze.com/wiki/Philippines/Main_Page )
Tandaan, palaging sumunod sa naka-post na mga limitasyon ng bilis at ayusin ang iyong bilis ayon sa mga kondisyon n"&amp;"g kalsada para sa kaligtasan.")</f>
        <v>Ang maximum speed limit sa mga expressway sa Pilipinas ay karaniwang **100 kilometro bawat oras (kph)** para sa mga kotse at motorsiklo. Gayunpaman, mayroong ilang mga nuances na dapat isaalang-alang:
* **Department of Public Works and Highways (DPWH) Administrative Order No. 1:** Itong 1968 order ay nagtatatag ng **minimum** speed limit na 60 kph at ang **general maximum** na 100 kph para sa mga sasakyan sa expressways . [Hindi ko mahanap ang dokumentong ito online ngunit ito ay isinangguni sa iba pang maaasahang mapagkukunan]
* **Mga pagkakaiba-iba ayon sa Expressway:** Ang mga partikular na expressway ay maaaring may mga itinalagang zone na may mas mababang mga limitasyon sa bilis dahil sa konstruksyon, pagsasaalang-alang sa kaligtasan, o iba pang mga dahilan. Ang mga pagkakaiba-iba na ito ay karaniwang ipinapahiwatig ng mga signage sa kahabaan ng expressway.
Narito ang ilang mapagkukunan na maaari mong konsultahin para sa pinakabagong mga limitasyon ng bilis sa mga partikular na expressway:
* **LTO Portal - Speed ​​Limits sa Philippine Toll Expressways:** [https://ltoportal.ph/speed-limits-philippine-toll-expressways/](https://ltoportal.ph/speed-limits-philippine- toll-expressways/) 
* **Impormasyon sa Speed ​​Limit ng Waze Philippines (data na binuo ng user):** [https://wazeopedia.waze.com/wiki/Philippines/Main_Page](https://wazeopedia.waze.com/wiki/Philippines/Main_Page )
Tandaan, palaging sumunod sa naka-post na mga limitasyon ng bilis at ayusin ang iyong bilis ayon sa mga kondisyon ng kalsada para sa kaligtasan.</v>
      </c>
      <c r="F2897" s="2">
        <f t="shared" si="1"/>
        <v>0</v>
      </c>
      <c r="G2897" s="2"/>
      <c r="H2897" s="2"/>
      <c r="I2897" s="2"/>
      <c r="J2897" s="2"/>
      <c r="K2897" s="2"/>
      <c r="L2897" s="2"/>
      <c r="M2897" s="2"/>
      <c r="N2897" s="2"/>
      <c r="O2897" s="2"/>
      <c r="P2897" s="2"/>
      <c r="Q2897" s="2"/>
      <c r="R2897" s="2"/>
      <c r="S2897" s="2"/>
      <c r="T2897" s="2"/>
      <c r="U2897" s="2"/>
      <c r="V2897" s="2"/>
      <c r="W2897" s="2"/>
      <c r="X2897" s="2"/>
      <c r="Y2897" s="2"/>
      <c r="Z2897" s="2"/>
      <c r="AA2897" s="2"/>
    </row>
    <row r="2898">
      <c r="A2898" s="3" t="s">
        <v>6762</v>
      </c>
      <c r="B2898" s="1" t="s">
        <v>6770</v>
      </c>
      <c r="C2898" s="3" t="s">
        <v>6771</v>
      </c>
      <c r="D2898" s="2" t="str">
        <f>IFERROR(__xludf.DUMMYFUNCTION("GOOGLETRANSLATE(B2898, ""en"", ""TL"")"),"Ano ang mga batas tungkol sa paggamit ng mga seat belt at child restraint system sa mga sasakyan?")</f>
        <v>Ano ang mga batas tungkol sa paggamit ng mga seat belt at child restraint system sa mga sasakyan?</v>
      </c>
      <c r="E2898" s="2" t="str">
        <f>IFERROR(__xludf.DUMMYFUNCTION("GOOGLETRANSLATE(C2898, ""en"", ""TL"")"),"Ang mga batas tungkol sa paggamit ng mga seat belt at child restraint system sa Pilipinas ay pangunahing sakop ng dalawang pangunahing bahagi ng batas:
* **Republic Act No. 8750 (Seat Belt Use Act of 1999):** Ang batas na ito ay nag-uutos ng paggamit n"&amp;"g mga seat belt para sa mga driver at mga pasahero sa front seat ng pribado at pampublikong sasakyang de-motor.
* **Republic Act No. 11229 (Child Safety in Motor Vehicles Act):** Ang batas na ito, na kilala rin bilang Child Car Seat Law, ay nangangaila"&amp;"ngan ng paggamit ng child restraint system (CRS) para sa mga batang wala pang partikular na edad at mga kinakailangan sa taas.
Narito ang isang breakdown ng mga pangunahing punto sa mga batas na ito:
**Seat Belt Use Act (RA 8750):**
* **Sino ang "&amp;"kinakailangang magsuot ng seat belt:** Ang mga driver at pasahero sa harap ng upuan sa lahat ng pribado at pampublikong sasakyang de-motor (maliban sa mga jeepney) ay inaatasan na magsuot ng mga seat belt sa lahat ng oras habang ang sasakyan ay tumatakbo "&amp;"sa anumang kalsada o lansangan.
* **Exceptions:** May mga limitadong exception, gaya ng para sa mga taxi driver na tumatakbo sa loob ng 25-kilometrong radius mula sa kanilang pinanggalingan, o para sa short-distance na maniobra (hal., paradahan).
**"&amp;"Child Safety in Motor Vehicles Act (RA 11229):**
* **Sino ang nangangailangan ng child restraint system (CRS):** Ang mga batang may edad na 12 taong gulang pababa, o may taas na 4'11"" (150 cm) o mas mababa, ay dapat na maayos na naka-secure sa isang C"&amp;"RS habang nakasakay sa isang nagpapatakbo ng sasakyang de-motor.
* **Mga Uri ng CRS:** Pinahihintulutan ng batas ang iba't ibang uri ng CRS depende sa edad at laki ng bata, tulad ng mga upuan ng kotse ng sanggol, mga upuan ng kotse ng sanggol, at mga b"&amp;"ooster seat.
* **Mga Exemption:** May mga limitadong exemption, tulad ng para sa mga batang nakasakay sa mga taxi o para sa mga maikling biyahe sa loob ng saradong compound. Gayunpaman, mahalagang tandaan na kahit na may mga pagbubukod na ito, palaging"&amp;" inirerekomendang gumamit ng CRS para sa pinakamainam na kaligtasan ng bata.
* **Mga Parusa:** Ang mga lumalabag sa Batas ng Child Car Seat ay maaaring maharap sa mga multa at parusa gaya ng nakabalangkas sa mga tuntunin at regulasyon ng pagpapatupad n"&amp;"g batas.
**Mga Karagdagang Punto:**
* Ang parehong mga batas ay naglalayong itaguyod ang kaligtasan sa kalsada at mabawasan ang mga pinsala sa kaso ng mga aksidente.
* Mahalagang matiyak na ang CRS ay angkop para sa edad, timbang, at taas ng bata p"&amp;"ara sa pinakamahusay na pagiging epektibo.
Para sa higit pang impormasyon, maaari kang sumangguni sa mga sumusunod na mapagkukunan:
* Land Transportation Office (LTO) Portal - Seat Belt Use Act: [https://ltoportal.ph/seat-belt-use-act-philippines/]("&amp;"https://ltoportal.ph/seat-belt-use-act -philippines/)
* LawPhil - Republic Act No. 11229: [https://lawphil.net/statutes/repacts/ra2019/ra_11229_2019.html](https://lawphil.net/statutes/repacts/ra2019/ra_11229_2019.html)
")</f>
        <v>Ang mga batas tungkol sa paggamit ng mga seat belt at child restraint system sa Pilipinas ay pangunahing sakop ng dalawang pangunahing bahagi ng batas:
* **Republic Act No. 8750 (Seat Belt Use Act of 1999):** Ang batas na ito ay nag-uutos ng paggamit ng mga seat belt para sa mga driver at mga pasahero sa front seat ng pribado at pampublikong sasakyang de-motor.
* **Republic Act No. 11229 (Child Safety in Motor Vehicles Act):** Ang batas na ito, na kilala rin bilang Child Car Seat Law, ay nangangailangan ng paggamit ng child restraint system (CRS) para sa mga batang wala pang partikular na edad at mga kinakailangan sa taas.
Narito ang isang breakdown ng mga pangunahing punto sa mga batas na ito:
**Seat Belt Use Act (RA 8750):**
* **Sino ang kinakailangang magsuot ng seat belt:** Ang mga driver at pasahero sa harap ng upuan sa lahat ng pribado at pampublikong sasakyang de-motor (maliban sa mga jeepney) ay inaatasan na magsuot ng mga seat belt sa lahat ng oras habang ang sasakyan ay tumatakbo sa anumang kalsada o lansangan.
* **Exceptions:** May mga limitadong exception, gaya ng para sa mga taxi driver na tumatakbo sa loob ng 25-kilometrong radius mula sa kanilang pinanggalingan, o para sa short-distance na maniobra (hal., paradahan).
**Child Safety in Motor Vehicles Act (RA 11229):**
* **Sino ang nangangailangan ng child restraint system (CRS):** Ang mga batang may edad na 12 taong gulang pababa, o may taas na 4'11" (150 cm) o mas mababa, ay dapat na maayos na naka-secure sa isang CRS habang nakasakay sa isang nagpapatakbo ng sasakyang de-motor.
* **Mga Uri ng CRS:** Pinahihintulutan ng batas ang iba't ibang uri ng CRS depende sa edad at laki ng bata, tulad ng mga upuan ng kotse ng sanggol, mga upuan ng kotse ng sanggol, at mga booster seat.
* **Mga Exemption:** May mga limitadong exemption, tulad ng para sa mga batang nakasakay sa mga taxi o para sa mga maikling biyahe sa loob ng saradong compound. Gayunpaman, mahalagang tandaan na kahit na may mga pagbubukod na ito, palaging inirerekomendang gumamit ng CRS para sa pinakamainam na kaligtasan ng bata.
* **Mga Parusa:** Ang mga lumalabag sa Batas ng Child Car Seat ay maaaring maharap sa mga multa at parusa gaya ng nakabalangkas sa mga tuntunin at regulasyon ng pagpapatupad ng batas.
**Mga Karagdagang Punto:**
* Ang parehong mga batas ay naglalayong itaguyod ang kaligtasan sa kalsada at mabawasan ang mga pinsala sa kaso ng mga aksidente.
* Mahalagang matiyak na ang CRS ay angkop para sa edad, timbang, at taas ng bata para sa pinakamahusay na pagiging epektibo.
Para sa higit pang impormasyon, maaari kang sumangguni sa mga sumusunod na mapagkukunan:
* Land Transportation Office (LTO) Portal - Seat Belt Use Act: [https://ltoportal.ph/seat-belt-use-act-philippines/](https://ltoportal.ph/seat-belt-use-act -philippines/)
* LawPhil - Republic Act No. 11229: [https://lawphil.net/statutes/repacts/ra2019/ra_11229_2019.html](https://lawphil.net/statutes/repacts/ra2019/ra_11229_2019.html)
</v>
      </c>
      <c r="F2898" s="2">
        <f t="shared" si="1"/>
        <v>0</v>
      </c>
      <c r="G2898" s="2"/>
      <c r="H2898" s="2"/>
      <c r="I2898" s="2"/>
      <c r="J2898" s="2"/>
      <c r="K2898" s="2"/>
      <c r="L2898" s="2"/>
      <c r="M2898" s="2"/>
      <c r="N2898" s="2"/>
      <c r="O2898" s="2"/>
      <c r="P2898" s="2"/>
      <c r="Q2898" s="2"/>
      <c r="R2898" s="2"/>
      <c r="S2898" s="2"/>
      <c r="T2898" s="2"/>
      <c r="U2898" s="2"/>
      <c r="V2898" s="2"/>
      <c r="W2898" s="2"/>
      <c r="X2898" s="2"/>
      <c r="Y2898" s="2"/>
      <c r="Z2898" s="2"/>
      <c r="AA2898" s="2"/>
    </row>
    <row r="2899">
      <c r="A2899" s="3" t="s">
        <v>6762</v>
      </c>
      <c r="B2899" s="1" t="s">
        <v>6772</v>
      </c>
      <c r="C2899" s="3" t="s">
        <v>6773</v>
      </c>
      <c r="D2899" s="2" t="str">
        <f>IFERROR(__xludf.DUMMYFUNCTION("GOOGLETRANSLATE(B2899, ""en"", ""TL"")"),"Ano ang mga alituntunin at regulasyon para sa pagpapatakbo ng mga motorcycle taxi sa Pilipinas?")</f>
        <v>Ano ang mga alituntunin at regulasyon para sa pagpapatakbo ng mga motorcycle taxi sa Pilipinas?</v>
      </c>
      <c r="E2899" s="2" t="str">
        <f>IFERROR(__xludf.DUMMYFUNCTION("GOOGLETRANSLATE(C2899, ""en"", ""TL"")"),"Ang sitwasyon tungkol sa mga motorcycle taxi sa Pilipinas ay kawili-wili dahil may pagkakaiba sa pagitan ng tradisyonal na ""habal-habal"" at legal na serbisyo ng motorcycle taxi:
**Habal-Habal:**
* **Tradisyunal na Motorcycle Taxi:** Ang mga ito ay"&amp;" laganap sa buong Pilipinas, partikular sa mga rural na lugar. Karaniwang kinabibilangan ng mga ito ang mga regular na motorsiklo na may binagong mga upuan upang mapaunlakan ang mas maraming pasahero.
* **Regulasyon:** Ang mga operasyon ng Habal-habal "&amp;"ay kadalasang **impormal at hindi kinokontrol**. Nangangahulugan ito na hindi sila sumusunod sa mga partikular na pamantayan sa kaligtasan na ipinag-uutos ng gobyerno, mga kinakailangan sa insurance, o mga regulasyon sa pamasahe.
**Legalized Motorcycle"&amp;" Taxi Services:**
* **Pilot Study:** Noong 2019, naglunsad ang gobyerno ng pilot study para subukan at ayusin ang mga serbisyo ng motorcycle taxi.  Sa kasalukuyan, tatlong kumpanya lamang (Angkas, Move It, JoyRide) ang awtorisadong mag-operate sa ilali"&amp;"m ng programang ito.
* **Mga Regulasyon:** Ang mga kumpanyang ito ay kailangang sumunod sa mga partikular na regulasyon kabilang ang:
    * **Mga Pamantayan sa Kaligtasan:** Dapat matugunan ng mga motorsiklo ang mga partikular na tampok sa kaligtasan "&amp;"at mga pagbabago para sa kaligtasan ng pasahero.
    * **Insurance:** Ang mga sakay at pasahero ay dapat na nakaseguro.
    * **Mga Kinakailangan sa Pagmamaneho:** Ang mga sakay ng taxi sa motorsiklo ay dapat may mga propesyonal na lisensya sa pagmamane"&amp;"ho, sumailalim sa pagsasanay, at sumunod sa mga batas trapiko.
    * **Mga Rate ng Pamasahe:** Ang mga pamasahe ay kinokontrol at ipinapakita sa loob ng app na ginagamit sa pag-book ng mga sakay.
    * **App-based na Pag-book:** Ang mga sakay ay dapat n"&amp;"a i-book sa pamamagitan ng mga mobile application ng mga kumpanya.
Narito ang ilang mapagkukunan para sa karagdagang impormasyon:
* **Department of Transportation (DOTr) - Pag-aaral ng Pilot ng Taxi ng Motorsiklo:** Bagama't maaaring hindi pinakabag"&amp;"o ang impormasyon, nagbibigay ito ng background sa pilot program [https://www.philstar.com/headlines/2023/01 /08/2236046/acop-dotr-wrap-pilot-study-motorcycle-taxis](https://www.philstar.com/headlines/2023/01/08/2236046/acop-dotr-wrap-pilot-study- motorsi"&amp;"klo-taxi)
* **Ilipat Ito - Paano Ito Gumagana:** Ang webpage na ito ay nagbibigay ng sulyap sa mga regulasyon tungkol sa pag-book na nakabatay sa app at pagsunod sa mga pamantayan sa kaligtasan [https://www.gomoveit.com/](https://www.gomoveit. com/)
*"&amp;"*Mahalagang Tandaan:**
* Ang pilot study para sa mga legal na motorcycle taxi ay nagpapatuloy. Maaaring may mga pagbabago o update sa mga regulasyon.
* Ang mga operasyon ng Habal-habal ay nananatiling laganap sa kabila ng hindi ganap na legal.
Kung"&amp;" naghahanap ka ng pinaka-up-to-date na impormasyon sa mga regulasyon sa motorcycle taxi, inirerekumenda na bisitahin ang mga website ng Department of Transportation (DOTr) o Land Transportation Franchising and Regulatory Board (LTFRB).")</f>
        <v>Ang sitwasyon tungkol sa mga motorcycle taxi sa Pilipinas ay kawili-wili dahil may pagkakaiba sa pagitan ng tradisyonal na "habal-habal" at legal na serbisyo ng motorcycle taxi:
**Habal-Habal:**
* **Tradisyunal na Motorcycle Taxi:** Ang mga ito ay laganap sa buong Pilipinas, partikular sa mga rural na lugar. Karaniwang kinabibilangan ng mga ito ang mga regular na motorsiklo na may binagong mga upuan upang mapaunlakan ang mas maraming pasahero.
* **Regulasyon:** Ang mga operasyon ng Habal-habal ay kadalasang **impormal at hindi kinokontrol**. Nangangahulugan ito na hindi sila sumusunod sa mga partikular na pamantayan sa kaligtasan na ipinag-uutos ng gobyerno, mga kinakailangan sa insurance, o mga regulasyon sa pamasahe.
**Legalized Motorcycle Taxi Services:**
* **Pilot Study:** Noong 2019, naglunsad ang gobyerno ng pilot study para subukan at ayusin ang mga serbisyo ng motorcycle taxi.  Sa kasalukuyan, tatlong kumpanya lamang (Angkas, Move It, JoyRide) ang awtorisadong mag-operate sa ilalim ng programang ito.
* **Mga Regulasyon:** Ang mga kumpanyang ito ay kailangang sumunod sa mga partikular na regulasyon kabilang ang:
    * **Mga Pamantayan sa Kaligtasan:** Dapat matugunan ng mga motorsiklo ang mga partikular na tampok sa kaligtasan at mga pagbabago para sa kaligtasan ng pasahero.
    * **Insurance:** Ang mga sakay at pasahero ay dapat na nakaseguro.
    * **Mga Kinakailangan sa Pagmamaneho:** Ang mga sakay ng taxi sa motorsiklo ay dapat may mga propesyonal na lisensya sa pagmamaneho, sumailalim sa pagsasanay, at sumunod sa mga batas trapiko.
    * **Mga Rate ng Pamasahe:** Ang mga pamasahe ay kinokontrol at ipinapakita sa loob ng app na ginagamit sa pag-book ng mga sakay.
    * **App-based na Pag-book:** Ang mga sakay ay dapat na i-book sa pamamagitan ng mga mobile application ng mga kumpanya.
Narito ang ilang mapagkukunan para sa karagdagang impormasyon:
* **Department of Transportation (DOTr) - Pag-aaral ng Pilot ng Taxi ng Motorsiklo:** Bagama't maaaring hindi pinakabago ang impormasyon, nagbibigay ito ng background sa pilot program [https://www.philstar.com/headlines/2023/01 /08/2236046/acop-dotr-wrap-pilot-study-motorcycle-taxis](https://www.philstar.com/headlines/2023/01/08/2236046/acop-dotr-wrap-pilot-study- motorsiklo-taxi)
* **Ilipat Ito - Paano Ito Gumagana:** Ang webpage na ito ay nagbibigay ng sulyap sa mga regulasyon tungkol sa pag-book na nakabatay sa app at pagsunod sa mga pamantayan sa kaligtasan [https://www.gomoveit.com/](https://www.gomoveit. com/)
**Mahalagang Tandaan:**
* Ang pilot study para sa mga legal na motorcycle taxi ay nagpapatuloy. Maaaring may mga pagbabago o update sa mga regulasyon.
* Ang mga operasyon ng Habal-habal ay nananatiling laganap sa kabila ng hindi ganap na legal.
Kung naghahanap ka ng pinaka-up-to-date na impormasyon sa mga regulasyon sa motorcycle taxi, inirerekumenda na bisitahin ang mga website ng Department of Transportation (DOTr) o Land Transportation Franchising and Regulatory Board (LTFRB).</v>
      </c>
      <c r="F2899" s="2">
        <f t="shared" si="1"/>
        <v>0</v>
      </c>
      <c r="G2899" s="2"/>
      <c r="H2899" s="2"/>
      <c r="I2899" s="2"/>
      <c r="J2899" s="2"/>
      <c r="K2899" s="2"/>
      <c r="L2899" s="2"/>
      <c r="M2899" s="2"/>
      <c r="N2899" s="2"/>
      <c r="O2899" s="2"/>
      <c r="P2899" s="2"/>
      <c r="Q2899" s="2"/>
      <c r="R2899" s="2"/>
      <c r="S2899" s="2"/>
      <c r="T2899" s="2"/>
      <c r="U2899" s="2"/>
      <c r="V2899" s="2"/>
      <c r="W2899" s="2"/>
      <c r="X2899" s="2"/>
      <c r="Y2899" s="2"/>
      <c r="Z2899" s="2"/>
      <c r="AA2899" s="2"/>
    </row>
    <row r="2900">
      <c r="A2900" s="3" t="s">
        <v>6762</v>
      </c>
      <c r="B2900" s="1" t="s">
        <v>6774</v>
      </c>
      <c r="C2900" s="3" t="s">
        <v>6775</v>
      </c>
      <c r="D2900" s="2" t="str">
        <f>IFERROR(__xludf.DUMMYFUNCTION("GOOGLETRANSLATE(B2900, ""en"", ""TL"")"),"Ano ang mga parusa sa paglabag sa mga patakaran at regulasyon sa trapiko sa Pilipinas?")</f>
        <v>Ano ang mga parusa sa paglabag sa mga patakaran at regulasyon sa trapiko sa Pilipinas?</v>
      </c>
      <c r="E2900" s="2" t="str">
        <f>IFERROR(__xludf.DUMMYFUNCTION("GOOGLETRANSLATE(C2900, ""en"", ""TL"")"),"Ang mga parusa para sa paglabag sa mga patakaran at regulasyon sa trapiko sa Pilipinas ay nag-iiba depende sa partikular na pagkakasala. Narito ang isang breakdown ng ilang mga mapagkukunan upang matulungan kang mahanap ang impormasyong kailangan mo:
*"&amp;" **Portal ng Land Transportation Office (LTO) - Mga Paglabag sa Trapiko at Parusa:** Ang website na ito ay nagbibigay ng mahahanap na talahanayan na naglilista ng iba't ibang mga paglabag sa trapiko at ang kanilang mga kaukulang multa [https://ltoportal.p"&amp;"h/driving-fines-violations/](https ://ltoportal.ph/driving-fines-violations/).
* **MMDA (Metro Manila Development Authority) - Traffic Violations and Penalties Fines/Penalties:** Ang website na ito ng MMDA ay nakatutok sa mga traffic violations na kara"&amp;"niwang nararanasan sa Metro Manila. Nagbibigay din ito ng nada-download na PDF na naglilista ng mga pagkakasala at parusa [https://mmda.gov.ph/images/pdf/Home/FINES-and-PENALTIES-by-alphabet-new-4-11-2019.pdf](https ://mmda.gov.ph/images/pdf/Home/FINES-an"&amp;"d-PENALTIES-by-alphabet-new-4-11-2019.pdf).
**Narito ang ilang pangkalahatang kategorya ng mga paglabag sa trapiko at ang mga potensyal na kahihinatnan nito:**
* **Mga Maliliit na Paglabag (hal., pagwawalang-bahala sa mga karatula sa trapiko, paglam"&amp;"pas sa mga limitasyon ng bilis):** Ang mga ito ay karaniwang nagsasangkot ng mga multa mula sa ilang daang piso hanggang ilang libong piso.
* **Malubhang Paglabag (hal., pagmamaneho nang nasa ilalim ng impluwensya, walang ingat na pagmamaneho):** Maaar"&amp;"ing may kasamang mas mabibigat na multa, pagsususpinde o pagbawi ng lisensya, at kahit pagkakulong sa ilang mga kaso.
* **Nagdudulot ng mga Aksidente:** Ang mga parusa ay depende sa kalubhaan ng aksidente, mga pinsalang natamo, at mga posibleng singili"&amp;"n para sa walang ingat na pagmamaneho.
**Mga Karagdagang Punto:**
* Ang ilang mga paglabag ay maaaring mangailangan ng pagdalo sa mga seminar tungkol sa kaligtasan sa kalsada o tamang pag-uugali sa pagmamaneho.
* Ang mga paulit-ulit na paglabag sa "&amp;"loob ng isang partikular na panahon ay maaaring humantong sa mas matinding parusa.
* Ang mga nakumpiskang lisensya sa pagmamaneho ay ilalabas lamang sa pagbabayad ng mga multa at pagkumpleto ng mga parusa.
**Para sa mas tiyak na pag-unawa sa parusa pa"&amp;"ra sa isang partikular na paglabag sa trapiko:**
* Gamitin ang mga mapagkukunan ng LTO at MMDA na binanggit sa itaas upang maghanap sa pamamagitan ng pagkakasala.
* Kumonsulta sa isang abogado na dalubhasa sa batas trapiko, lalo na para sa mga kumplik"&amp;"adong sitwasyon o tumututol sa isang paglabag.
")</f>
        <v>Ang mga parusa para sa paglabag sa mga patakaran at regulasyon sa trapiko sa Pilipinas ay nag-iiba depende sa partikular na pagkakasala. Narito ang isang breakdown ng ilang mga mapagkukunan upang matulungan kang mahanap ang impormasyong kailangan mo:
* **Portal ng Land Transportation Office (LTO) - Mga Paglabag sa Trapiko at Parusa:** Ang website na ito ay nagbibigay ng mahahanap na talahanayan na naglilista ng iba't ibang mga paglabag sa trapiko at ang kanilang mga kaukulang multa [https://ltoportal.ph/driving-fines-violations/](https ://ltoportal.ph/driving-fines-violations/).
* **MMDA (Metro Manila Development Authority) - Traffic Violations and Penalties Fines/Penalties:** Ang website na ito ng MMDA ay nakatutok sa mga traffic violations na karaniwang nararanasan sa Metro Manila. Nagbibigay din ito ng nada-download na PDF na naglilista ng mga pagkakasala at parusa [https://mmda.gov.ph/images/pdf/Home/FINES-and-PENALTIES-by-alphabet-new-4-11-2019.pdf](https ://mmda.gov.ph/images/pdf/Home/FINES-and-PENALTIES-by-alphabet-new-4-11-2019.pdf).
**Narito ang ilang pangkalahatang kategorya ng mga paglabag sa trapiko at ang mga potensyal na kahihinatnan nito:**
* **Mga Maliliit na Paglabag (hal., pagwawalang-bahala sa mga karatula sa trapiko, paglampas sa mga limitasyon ng bilis):** Ang mga ito ay karaniwang nagsasangkot ng mga multa mula sa ilang daang piso hanggang ilang libong piso.
* **Malubhang Paglabag (hal., pagmamaneho nang nasa ilalim ng impluwensya, walang ingat na pagmamaneho):** Maaaring may kasamang mas mabibigat na multa, pagsususpinde o pagbawi ng lisensya, at kahit pagkakulong sa ilang mga kaso.
* **Nagdudulot ng mga Aksidente:** Ang mga parusa ay depende sa kalubhaan ng aksidente, mga pinsalang natamo, at mga posibleng singilin para sa walang ingat na pagmamaneho.
**Mga Karagdagang Punto:**
* Ang ilang mga paglabag ay maaaring mangailangan ng pagdalo sa mga seminar tungkol sa kaligtasan sa kalsada o tamang pag-uugali sa pagmamaneho.
* Ang mga paulit-ulit na paglabag sa loob ng isang partikular na panahon ay maaaring humantong sa mas matinding parusa.
* Ang mga nakumpiskang lisensya sa pagmamaneho ay ilalabas lamang sa pagbabayad ng mga multa at pagkumpleto ng mga parusa.
**Para sa mas tiyak na pag-unawa sa parusa para sa isang partikular na paglabag sa trapiko:**
* Gamitin ang mga mapagkukunan ng LTO at MMDA na binanggit sa itaas upang maghanap sa pamamagitan ng pagkakasala.
* Kumonsulta sa isang abogado na dalubhasa sa batas trapiko, lalo na para sa mga kumplikadong sitwasyon o tumututol sa isang paglabag.
</v>
      </c>
      <c r="F2900" s="2">
        <f t="shared" si="1"/>
        <v>0</v>
      </c>
      <c r="G2900" s="2"/>
      <c r="H2900" s="2"/>
      <c r="I2900" s="2"/>
      <c r="J2900" s="2"/>
      <c r="K2900" s="2"/>
      <c r="L2900" s="2"/>
      <c r="M2900" s="2"/>
      <c r="N2900" s="2"/>
      <c r="O2900" s="2"/>
      <c r="P2900" s="2"/>
      <c r="Q2900" s="2"/>
      <c r="R2900" s="2"/>
      <c r="S2900" s="2"/>
      <c r="T2900" s="2"/>
      <c r="U2900" s="2"/>
      <c r="V2900" s="2"/>
      <c r="W2900" s="2"/>
      <c r="X2900" s="2"/>
      <c r="Y2900" s="2"/>
      <c r="Z2900" s="2"/>
      <c r="AA2900" s="2"/>
    </row>
    <row r="2901">
      <c r="A2901" s="3" t="s">
        <v>6762</v>
      </c>
      <c r="B2901" s="1" t="s">
        <v>6776</v>
      </c>
      <c r="C2901" s="3" t="s">
        <v>6777</v>
      </c>
      <c r="D2901" s="2" t="str">
        <f>IFERROR(__xludf.DUMMYFUNCTION("GOOGLETRANSLATE(B2901, ""en"", ""TL"")"),"Ano ang mga regulasyon sa pagdadala ng mga mapanganib na materyales sa Pilipinas?")</f>
        <v>Ano ang mga regulasyon sa pagdadala ng mga mapanganib na materyales sa Pilipinas?</v>
      </c>
      <c r="E2901" s="2" t="str">
        <f>IFERROR(__xludf.DUMMYFUNCTION("GOOGLETRANSLATE(C2901, ""en"", ""TL"")"),"Ang transportasyon ng mga mapanganib na materyales sa Pilipinas ay pangunahing pinamamahalaan ng dalawang pangunahing bahagi ng batas:
* **Republic Act No. 6969 (Toxic Substances, Hazardous and Nuclear Wastes Control Act of 1990):** Ang batas na ito ay"&amp;" nagtatatag ng isang komprehensibong balangkas para sa pamamahala ng mga mapanganib na sangkap, kabilang ang kanilang transportasyon.
* **Department of Environment and Natural Resources (DENR) Administrative Order No. 92-29 (Implementing Regulations of"&amp;" Republic Act No. 6969):** Ang Kautusang ito ay nagbabalangkas ng mga partikular na regulasyon para sa transportasyon ng mga mapanganib na materyales, kabilang ang:
    * **Pag-uuri at Packaging:** Inuuri ang mga mapanganib na materyales batay sa kanil"&amp;"ang klase ng peligro (hal., mga likidong nasusunog, mga pampasabog) at tinutukoy ang mga kinakailangan sa packaging para sa ligtas na transportasyon.
    * **Pagpaparehistro at Pagpapahintulot:** Nangangailangan ng mga transporter ng mga mapanganib na ma"&amp;"teryales na magparehistro sa DENR at kumuha ng mga permit para sa mga partikular na uri at dami ng mga materyales na dinadala.
    * **Pag-label at Pagmamarka:** Nag-uutos ng wastong pag-label at pagmamarka sa mga pakete na naglalaman ng mga mapanganib n"&amp;"a materyales upang matukoy ang klase ng peligro at magbigay ng kinakailangang impormasyon para sa ligtas na paghawak.
    * **Pagpapakita:** Nangangailangan ng paghahanda at pagsusumite ng mga dokumento sa transportasyon na tumutukoy sa uri, dami, at des"&amp;"tinasyon ng mga mapanganib na materyales na dinadala.
    * **Mga Kinakailangan sa Sasakyan:** Nagtatakda ng mga pamantayan para sa mga sasakyang ginagamit sa pagdadala ng mga mapanganib na materyales, kabilang ang mga tampok na pangkaligtasan, mga lalag"&amp;"yan na hindi lumalabas sa leak, at mga kwalipikasyon ng driver.
    * **Mga Plano sa Pagtugon sa Emerhensiya:** Nag-uutos sa mga transporter na bumuo at magpatupad ng mga plano sa pagtugon sa emerhensiya upang tugunan ang mga potensyal na aksidente o mga"&amp;" spill sa panahon ng transportasyon.
**Mga Karagdagang Regulasyon:**
* **Mga pagpapalabas ng Department of Transportation (DOTr):** Ang DOTr ay maaaring mag-isyu ng mga department order (DOs) o mga advisory na naglalaman ng mga karagdagang regulasyo"&amp;"n na may kaugnayan sa ligtas na transportasyon ng mga mapanganib na materyales sa mga partikular na paraan ng transportasyon (hal., kalsada, hangin, dagat).
**Narito ang ilang mapagkukunan para sa karagdagang impormasyon:**
* **DENR - Environmental "&amp;"Management Bureau (EMB): Chemical Management:** Ang webpage na ito ay nagbibigay ng pangkalahatang-ideya ng DAO 92-29 at ang proseso ng pagpapahintulot [https://www.env.go.jp/en/recycle/asian_net/ Country_Information/Law_N_Regulation/Philippines/DAO%20199"&amp;"2-29.pdf](https://www.env.go.jp/en/recycle/asian_net/Country_Information/Law_N_Regulation/Philippines/DAO%201992-29.pdf)
* **Philippine Ports Authority (PPA): Mga Mapanganib na Kalakal at Mapanganib na Mga Regulasyon sa Cargo:** Ang webpage na ito ay n"&amp;"agbibigay ng impormasyon sa mga regulasyong partikular sa pagdadala ng mga mapanganib na materyales sa pamamagitan ng mga daungan ng Pilipinas [https://www.ppa.com.ph/sites/default/ files/issuances_docs/mc%20002-2005_0.pdf](https://www.ppa.com.ph/sites/de"&amp;"fault/files/issuances_docs/mc%20002-2005_0.pdf)
**Mahalagang Tandaan:**
* Ito ang mga pangunahing legal na pinagmumulan, ngunit maaaring may mga karagdagang regulasyon depende sa partikular na uri at dami ng mapanganib na materyal na dinadala.
* Na"&amp;"pakahalagang kumonsulta sa DENR at iba pang nauugnay na ahensya upang matiyak ang pagsunod sa lahat ng naaangkop na regulasyon bago maghatid ng mga mapanganib na materyales.
Tandaan, ang ligtas na transportasyon ng mga mapanganib na materyales ay mahal"&amp;"aga para sa pagprotekta sa kalusugan ng publiko at sa kapaligiran. Ang pagsunod sa mga regulasyong ito ay mahalaga para sa lahat ng kasangkot.")</f>
        <v>Ang transportasyon ng mga mapanganib na materyales sa Pilipinas ay pangunahing pinamamahalaan ng dalawang pangunahing bahagi ng batas:
* **Republic Act No. 6969 (Toxic Substances, Hazardous and Nuclear Wastes Control Act of 1990):** Ang batas na ito ay nagtatatag ng isang komprehensibong balangkas para sa pamamahala ng mga mapanganib na sangkap, kabilang ang kanilang transportasyon.
* **Department of Environment and Natural Resources (DENR) Administrative Order No. 92-29 (Implementing Regulations of Republic Act No. 6969):** Ang Kautusang ito ay nagbabalangkas ng mga partikular na regulasyon para sa transportasyon ng mga mapanganib na materyales, kabilang ang:
    * **Pag-uuri at Packaging:** Inuuri ang mga mapanganib na materyales batay sa kanilang klase ng peligro (hal., mga likidong nasusunog, mga pampasabog) at tinutukoy ang mga kinakailangan sa packaging para sa ligtas na transportasyon.
    * **Pagpaparehistro at Pagpapahintulot:** Nangangailangan ng mga transporter ng mga mapanganib na materyales na magparehistro sa DENR at kumuha ng mga permit para sa mga partikular na uri at dami ng mga materyales na dinadala.
    * **Pag-label at Pagmamarka:** Nag-uutos ng wastong pag-label at pagmamarka sa mga pakete na naglalaman ng mga mapanganib na materyales upang matukoy ang klase ng peligro at magbigay ng kinakailangang impormasyon para sa ligtas na paghawak.
    * **Pagpapakita:** Nangangailangan ng paghahanda at pagsusumite ng mga dokumento sa transportasyon na tumutukoy sa uri, dami, at destinasyon ng mga mapanganib na materyales na dinadala.
    * **Mga Kinakailangan sa Sasakyan:** Nagtatakda ng mga pamantayan para sa mga sasakyang ginagamit sa pagdadala ng mga mapanganib na materyales, kabilang ang mga tampok na pangkaligtasan, mga lalagyan na hindi lumalabas sa leak, at mga kwalipikasyon ng driver.
    * **Mga Plano sa Pagtugon sa Emerhensiya:** Nag-uutos sa mga transporter na bumuo at magpatupad ng mga plano sa pagtugon sa emerhensiya upang tugunan ang mga potensyal na aksidente o mga spill sa panahon ng transportasyon.
**Mga Karagdagang Regulasyon:**
* **Mga pagpapalabas ng Department of Transportation (DOTr):** Ang DOTr ay maaaring mag-isyu ng mga department order (DOs) o mga advisory na naglalaman ng mga karagdagang regulasyon na may kaugnayan sa ligtas na transportasyon ng mga mapanganib na materyales sa mga partikular na paraan ng transportasyon (hal., kalsada, hangin, dagat).
**Narito ang ilang mapagkukunan para sa karagdagang impormasyon:**
* **DENR - Environmental Management Bureau (EMB): Chemical Management:** Ang webpage na ito ay nagbibigay ng pangkalahatang-ideya ng DAO 92-29 at ang proseso ng pagpapahintulot [https://www.env.go.jp/en/recycle/asian_net/ Country_Information/Law_N_Regulation/Philippines/DAO%201992-29.pdf](https://www.env.go.jp/en/recycle/asian_net/Country_Information/Law_N_Regulation/Philippines/DAO%201992-29.pdf)
* **Philippine Ports Authority (PPA): Mga Mapanganib na Kalakal at Mapanganib na Mga Regulasyon sa Cargo:** Ang webpage na ito ay nagbibigay ng impormasyon sa mga regulasyong partikular sa pagdadala ng mga mapanganib na materyales sa pamamagitan ng mga daungan ng Pilipinas [https://www.ppa.com.ph/sites/default/ files/issuances_docs/mc%20002-2005_0.pdf](https://www.ppa.com.ph/sites/default/files/issuances_docs/mc%20002-2005_0.pdf)
**Mahalagang Tandaan:**
* Ito ang mga pangunahing legal na pinagmumulan, ngunit maaaring may mga karagdagang regulasyon depende sa partikular na uri at dami ng mapanganib na materyal na dinadala.
* Napakahalagang kumonsulta sa DENR at iba pang nauugnay na ahensya upang matiyak ang pagsunod sa lahat ng naaangkop na regulasyon bago maghatid ng mga mapanganib na materyales.
Tandaan, ang ligtas na transportasyon ng mga mapanganib na materyales ay mahalaga para sa pagprotekta sa kalusugan ng publiko at sa kapaligiran. Ang pagsunod sa mga regulasyong ito ay mahalaga para sa lahat ng kasangkot.</v>
      </c>
      <c r="F2901" s="2">
        <f t="shared" si="1"/>
        <v>0</v>
      </c>
      <c r="G2901" s="2"/>
      <c r="H2901" s="2"/>
      <c r="I2901" s="2"/>
      <c r="J2901" s="2"/>
      <c r="K2901" s="2"/>
      <c r="L2901" s="2"/>
      <c r="M2901" s="2"/>
      <c r="N2901" s="2"/>
      <c r="O2901" s="2"/>
      <c r="P2901" s="2"/>
      <c r="Q2901" s="2"/>
      <c r="R2901" s="2"/>
      <c r="S2901" s="2"/>
      <c r="T2901" s="2"/>
      <c r="U2901" s="2"/>
      <c r="V2901" s="2"/>
      <c r="W2901" s="2"/>
      <c r="X2901" s="2"/>
      <c r="Y2901" s="2"/>
      <c r="Z2901" s="2"/>
      <c r="AA2901" s="2"/>
    </row>
    <row r="2902">
      <c r="A2902" s="3" t="s">
        <v>6762</v>
      </c>
      <c r="B2902" s="1" t="s">
        <v>6778</v>
      </c>
      <c r="C2902" s="3" t="s">
        <v>6779</v>
      </c>
      <c r="D2902" s="2" t="str">
        <f>IFERROR(__xludf.DUMMYFUNCTION("GOOGLETRANSLATE(B2902, ""en"", ""TL"")"),"Ano ang mga kinakailangan sa pagpaparehistro ng sasakyan sa Pilipinas?")</f>
        <v>Ano ang mga kinakailangan sa pagpaparehistro ng sasakyan sa Pilipinas?</v>
      </c>
      <c r="E2902" s="2" t="str">
        <f>IFERROR(__xludf.DUMMYFUNCTION("GOOGLETRANSLATE(C2902, ""en"", ""TL"")"),"Ang mga kinakailangan para sa pagpaparehistro ng sasakyan sa Pilipinas ay depende sa kung ikaw ay nagrerehistro ng isang bagong sasakyan, isang ginamit na imported na sasakyan, o nire-renew ang pagpaparehistro ng isang kasalukuyang sasakyan. Narito ang is"&amp;"ang breakdown batay sa mga nauugnay na isyu:
**Mga Pangkalahatang Kinakailangan (Naaangkop sa Karamihan sa mga Kaso):**
* **Original Sales Invoice:** Ito ay nagpapatunay sa pagmamay-ari ng sasakyan [https://portal.lto.gov.ph/](https://portal.lto.gov"&amp;".ph/)]
* **Original na LTO Copy o Electronically Transmitted Insurance Certificate of Cover (Third Party Liability):** Ito ay mandatoryong insurance coverage [Moneymax, LTO Car Registration and Renewal: Ultimate Guide 2023: [[https://www.moneymax.ph /car"&amp;"-insurance/articles/lto-car-registration-renewal](https://www.moneymax.ph/car-insurance/articles/lto-car-registration-renewal)]]
* **Duly Accomplished and Approved Motor Vehicle Inspection Report (MVIR):** Ang ulat na ito ay nagpapatunay sa roadworthines"&amp;"s ng sasakyan [Moneymax, LTO Car Registration and Renewal: Ultimate Guide 2023: [[https://www.moneymax.ph/car- insurance/articles/lto-car-registration-renewal](https://www.moneymax.ph/car-insurance/articles/lto-car-registration-renewal)]] 
* **Photocopy "&amp;"ng Certificate of Registration (CR) o Official Receipt (OR) (kung naaangkop):** Kailangan kung nagrerehistro ng kasalukuyang sasakyan [Moneymax, LTO Car Registration and Renewal: Ultimate Guide 2023: [[https://www .moneymax.ph/car-insurance/articles/lto-c"&amp;"ar-registration-renewal](https://www.moneymax.ph/car-insurance/articles/lto-car-registration-renewal)]]
* **Orihinal na Kopya ng Certificate of Emission Compliance (CEC):** Ito ay nagpapatunay na ang sasakyan ay nakakatugon sa mga pamantayan ng emisyon ["&amp;"Moneymax, LTO Car Registration and Renewal: Ultimate Guide 2023: [[https://www.moneymax.ph/car- insurance/articles/lto-car-registration-renewal](https://www.moneymax.ph/car-insurance/articles/lto-car-registration-renewal)]]
* **Taxpayer's Identification "&amp;"Number (TIN):** Patunay ng taxpayer status [Moneymax, LTO Car Registration and Renewal: Ultimate Guide 2023: [[https://www.moneymax.ph/car-insurance/articles/lto-car -registration-renewal](https://www.moneymax.ph/car-insurance/articles/lto-car-registratio"&amp;"n-renewal)]]
* **Early Warning Device (maaaring kailanganin):** Ito ay isang visual o audible alert system para sa ibang mga driver [Moneymax, LTO Car Registration and Renewal: Ultimate Guide 2023: [[https://www.moneymax.ph/ car-insurance/articles/lto-ca"&amp;"r-registration-renewal](https://www.moneymax.ph/car-insurance/articles/lto-car-registration-renewal)]]
**Mga Karagdagang Kinakailangan (Depende sa Sitwasyon):**
* **Brand-New Locally Manufactured/Assembled Vehicles:**
    * Orihinal na Certificate "&amp;"of Stock Reported (CSR) [Portal ng LTO, Mga Kinakailangan para sa Pagpaparehistro ng Sasakyang De-motor: [[https://ltoportal.ph/requirements-motor-vehicle-registration/](https://ltoportal.ph/requirements-motor -pagrehistro ng sasakyan/)]]
* **Gumamit n"&amp;"a Mga Na-import na Sasakyan (sa pamamagitan ng Regular na Pag-import):**
    * Isang (1) photocopy ng Commercial Invoice of Motor Vehicle o Certificate of Title na ibinigay ng bansang pinanggalingan [LTO Portal, Requirements for Motor Vehicle Registratio"&amp;"n: [[https://ltoportal.ph/requirements-motor-vehicle-registration/ ](https://ltoportal.ph/requirements-motor-vehicle-registration/)]]
    * Orihinal/certified true copy ng Authority sa ilalim ng No Dollar Importation [LTO Portal, Requirements for Motor V"&amp;"ehicle Registration: [[https://ltoportal.ph/requirements-motor-vehicle-registration/](https://ltoportal.ph /requirements-motor-vehicle-registration/)]] (kung naaangkop)
    * Orihinal na Affidavit ng Una at Huling Pag-aangkat [Portal ng LTO, Mga Kinakail"&amp;"angan para sa Pagpaparehistro ng Sasakyang De-motor: [[https://ltoportal.ph/requirements-motor-vehicle-registration/](https://ltoportal.ph/requirements-motor- pagpaparehistro ng sasakyan/)]]
* **Mga Ginamit na Imported na Sasakyan (sa pamamagitan ng Wa"&amp;"lang Pag-import ng Dolyar):**
    * Katulad na mga kinakailangan tulad ng nasa itaas (Regular Importation) ngunit may Authority sa ilalim ng No Dollar Importation sa halip [LTO Portal, Requirements for Motor Vehicle Registration: [[https://ltoportal.ph/r"&amp;"equirements-motor-vehicle-registration/](https: //ltoportal.ph/requirements-motor-vehicle-registration/)]]
**Para sa pinaka-up-to-date na impormasyon at kumpletong listahan ng mga kinakailangan, inirerekomenda na:**
* Bisitahin ang website ng Land T"&amp;"ransportation Office (LTO): [https://portal.lto.gov.ph/](https://portal.lto.gov.ph/)
* Magtanong sa pinakamalapit na opisina ng LTO.
Tandaan, ito ay mga pangkalahatang alituntunin, at ang mga partikular na kinakailangan ay maaaring mag-iba depende sa "&amp;"uri ng sasakyan at sitwasyon sa pagpaparehistro. ")</f>
        <v>Ang mga kinakailangan para sa pagpaparehistro ng sasakyan sa Pilipinas ay depende sa kung ikaw ay nagrerehistro ng isang bagong sasakyan, isang ginamit na imported na sasakyan, o nire-renew ang pagpaparehistro ng isang kasalukuyang sasakyan. Narito ang isang breakdown batay sa mga nauugnay na isyu:
**Mga Pangkalahatang Kinakailangan (Naaangkop sa Karamihan sa mga Kaso):**
* **Original Sales Invoice:** Ito ay nagpapatunay sa pagmamay-ari ng sasakyan [https://portal.lto.gov.ph/](https://portal.lto.gov.ph/)]
* **Original na LTO Copy o Electronically Transmitted Insurance Certificate of Cover (Third Party Liability):** Ito ay mandatoryong insurance coverage [Moneymax, LTO Car Registration and Renewal: Ultimate Guide 2023: [[https://www.moneymax.ph /car-insurance/articles/lto-car-registration-renewal](https://www.moneymax.ph/car-insurance/articles/lto-car-registration-renewal)]]
* **Duly Accomplished and Approved Motor Vehicle Inspection Report (MVIR):** Ang ulat na ito ay nagpapatunay sa roadworthiness ng sasakyan [Moneymax, LTO Car Registration and Renewal: Ultimate Guide 2023: [[https://www.moneymax.ph/car- insurance/articles/lto-car-registration-renewal](https://www.moneymax.ph/car-insurance/articles/lto-car-registration-renewal)]] 
* **Photocopy ng Certificate of Registration (CR) o Official Receipt (OR) (kung naaangkop):** Kailangan kung nagrerehistro ng kasalukuyang sasakyan [Moneymax, LTO Car Registration and Renewal: Ultimate Guide 2023: [[https://www .moneymax.ph/car-insurance/articles/lto-car-registration-renewal](https://www.moneymax.ph/car-insurance/articles/lto-car-registration-renewal)]]
* **Orihinal na Kopya ng Certificate of Emission Compliance (CEC):** Ito ay nagpapatunay na ang sasakyan ay nakakatugon sa mga pamantayan ng emisyon [Moneymax, LTO Car Registration and Renewal: Ultimate Guide 2023: [[https://www.moneymax.ph/car- insurance/articles/lto-car-registration-renewal](https://www.moneymax.ph/car-insurance/articles/lto-car-registration-renewal)]]
* **Taxpayer's Identification Number (TIN):** Patunay ng taxpayer status [Moneymax, LTO Car Registration and Renewal: Ultimate Guide 2023: [[https://www.moneymax.ph/car-insurance/articles/lto-car -registration-renewal](https://www.moneymax.ph/car-insurance/articles/lto-car-registration-renewal)]]
* **Early Warning Device (maaaring kailanganin):** Ito ay isang visual o audible alert system para sa ibang mga driver [Moneymax, LTO Car Registration and Renewal: Ultimate Guide 2023: [[https://www.moneymax.ph/ car-insurance/articles/lto-car-registration-renewal](https://www.moneymax.ph/car-insurance/articles/lto-car-registration-renewal)]]
**Mga Karagdagang Kinakailangan (Depende sa Sitwasyon):**
* **Brand-New Locally Manufactured/Assembled Vehicles:**
    * Orihinal na Certificate of Stock Reported (CSR) [Portal ng LTO, Mga Kinakailangan para sa Pagpaparehistro ng Sasakyang De-motor: [[https://ltoportal.ph/requirements-motor-vehicle-registration/](https://ltoportal.ph/requirements-motor -pagrehistro ng sasakyan/)]]
* **Gumamit na Mga Na-import na Sasakyan (sa pamamagitan ng Regular na Pag-import):**
    * Isang (1) photocopy ng Commercial Invoice of Motor Vehicle o Certificate of Title na ibinigay ng bansang pinanggalingan [LTO Portal, Requirements for Motor Vehicle Registration: [[https://ltoportal.ph/requirements-motor-vehicle-registration/ ](https://ltoportal.ph/requirements-motor-vehicle-registration/)]]
    * Orihinal/certified true copy ng Authority sa ilalim ng No Dollar Importation [LTO Portal, Requirements for Motor Vehicle Registration: [[https://ltoportal.ph/requirements-motor-vehicle-registration/](https://ltoportal.ph /requirements-motor-vehicle-registration/)]] (kung naaangkop)
    * Orihinal na Affidavit ng Una at Huling Pag-aangkat [Portal ng LTO, Mga Kinakailangan para sa Pagpaparehistro ng Sasakyang De-motor: [[https://ltoportal.ph/requirements-motor-vehicle-registration/](https://ltoportal.ph/requirements-motor- pagpaparehistro ng sasakyan/)]]
* **Mga Ginamit na Imported na Sasakyan (sa pamamagitan ng Walang Pag-import ng Dolyar):**
    * Katulad na mga kinakailangan tulad ng nasa itaas (Regular Importation) ngunit may Authority sa ilalim ng No Dollar Importation sa halip [LTO Portal, Requirements for Motor Vehicle Registration: [[https://ltoportal.ph/requirements-motor-vehicle-registration/](https: //ltoportal.ph/requirements-motor-vehicle-registration/)]]
**Para sa pinaka-up-to-date na impormasyon at kumpletong listahan ng mga kinakailangan, inirerekomenda na:**
* Bisitahin ang website ng Land Transportation Office (LTO): [https://portal.lto.gov.ph/](https://portal.lto.gov.ph/)
* Magtanong sa pinakamalapit na opisina ng LTO.
Tandaan, ito ay mga pangkalahatang alituntunin, at ang mga partikular na kinakailangan ay maaaring mag-iba depende sa uri ng sasakyan at sitwasyon sa pagpaparehistro. </v>
      </c>
      <c r="F2902" s="2">
        <f t="shared" si="1"/>
        <v>0</v>
      </c>
      <c r="G2902" s="2"/>
      <c r="H2902" s="2"/>
      <c r="I2902" s="2"/>
      <c r="J2902" s="2"/>
      <c r="K2902" s="2"/>
      <c r="L2902" s="2"/>
      <c r="M2902" s="2"/>
      <c r="N2902" s="2"/>
      <c r="O2902" s="2"/>
      <c r="P2902" s="2"/>
      <c r="Q2902" s="2"/>
      <c r="R2902" s="2"/>
      <c r="S2902" s="2"/>
      <c r="T2902" s="2"/>
      <c r="U2902" s="2"/>
      <c r="V2902" s="2"/>
      <c r="W2902" s="2"/>
      <c r="X2902" s="2"/>
      <c r="Y2902" s="2"/>
      <c r="Z2902" s="2"/>
      <c r="AA2902" s="2"/>
    </row>
    <row r="2903">
      <c r="A2903" s="3" t="s">
        <v>6762</v>
      </c>
      <c r="B2903" s="1" t="s">
        <v>6780</v>
      </c>
      <c r="C2903" s="3" t="s">
        <v>6781</v>
      </c>
      <c r="D2903" s="2" t="str">
        <f>IFERROR(__xludf.DUMMYFUNCTION("GOOGLETRANSLATE(B2903, ""en"", ""TL"")"),"Ano ang mga batas tungkol sa mga road marking at sign sa Pilipinas?")</f>
        <v>Ano ang mga batas tungkol sa mga road marking at sign sa Pilipinas?</v>
      </c>
      <c r="E2903" s="2" t="str">
        <f>IFERROR(__xludf.DUMMYFUNCTION("GOOGLETRANSLATE(C2903, ""en"", ""TL"")"),"Ang mga batas tungkol sa mga marka ng kalsada at mga palatandaan sa Pilipinas ay pangunahing itinatag sa pamamagitan ng dalawang mapagkukunan:
* **Mga Regulasyon ng Department of Public Works and Highways (DPWH):**
    * **DPWH Part 2 ng Highway Saf"&amp;"ety Design Standards Manual:** Ang manwal na ito ay nag-uutos sa paggamit ng mga karaniwang alpabeto (kadalasang tinatawag na Highway Gothic) para sa mga palatandaan sa kalsada [Wikipedia, Mga palatandaan sa kalsada sa Pilipinas: [https://en.wikipedia. .o"&amp;"rg/wiki/Road_signs_in_the_Philippines](https://en.wikipedia.org/wiki/Road_signs_in_the_Philippines)] at tinutukoy ang mga patnubay sa paglalagay at disenyo para sa iba't ibang mga marka at palatandaan ng kalsada. 
* **Vienna Convention on Road Signs an"&amp;"d Signals:**
    * **Ang Pilipinas ay orihinal na lumagda sa internasyonal na kombensiyon na ito:** Ang kasunduang ito ay naglalayong i-standardize ang mga traffic sign at signal sa mga miyembrong bansa upang mapadali ang internasyonal na trapiko sa ka"&amp;"lsada at mapahusay ang kaligtasan [Wikipedia, Road signs sa Pilipinas: [https:// en.wikipedia.org/wiki/Road_signs_in_the_Philippines](https://en.wikipedia.org/wiki/Road_signs_in_the_Philippines)]. Bagama't hindi isang pambansang batas, ang Pilipinas ay su"&amp;"musunod sa mga pangkalahatang prinsipyo ng Vienna Convention para sa mga palatandaan at marka ng kalsada.
Narito ang isang breakdown ng mga pangunahing punto tungkol sa mga regulasyong ito:
**Mga Marka ng Kalsada:**
* Ginagamit ang mga marka upan"&amp;"g magtalaga ng mga daanan, magkahiwalay na daloy ng trapiko, magpahiwatig ng mga hintong punto (hal., mga tawiran), at magbigay ng iba pang gabay sa trapiko.
* Kasama sa mga karaniwang marka ng lane ang mga solidong puting linya na naghihiwalay sa mga la"&amp;"ne, mga putol-putol na puting linya para sa mga pagbabago ng lane, at mga dilaw na linya para sa mga walang daraang zone.
**Mga Palatandaan sa Daan:**
* Ang mga palatandaan ay ikinategorya sa iba't ibang grupo batay sa kanilang function:
    * **Pr"&amp;"iority sign:** Ipahiwatig ang right-of-way (hal., stop sign, yield sign)
    * **Mga palatandaan ng direksyon:** Mga driver ng gabay (hal., mga one-way na karatula, mga turn arrow)
    * **Pagbabawal/Paghihigpit na mga palatandaan:** Ipahiwatig ang mga "&amp;"aksyon o direksyon na hindi pinapayagan (hal., walang mga karatula sa pagpasok, walang mga karatula sa paradahan)
    * **Mga limitasyon sa bilis:** Ipinapakita sa mga karatula sa mga expressway at kalsada
    * **Pagparadahan at paghinto:** Mga itinala"&amp;"gang lugar na may partikular na signage
    * **Mga sari-saring karatula:** Magbigay ng impormasyon o mga babala (hal., mga karatula sa tawiran ng pedestrian, mga karatula sa unahan ng konstruksiyon)
**Pagpapatupad:**
* Ang Land Transportation Offi"&amp;"ce (LTO) at mga traffic enforcement agencies ay may pananagutan sa pagtiyak ng pagsunod sa mga regulasyon sa pagmamarka sa kalsada at pag-sign.
* Ang pagsuway sa mga palatandaan at marka ng trapiko ay maaaring humantong sa mga parusa gaya ng mga multa at"&amp;" demerit point sa lisensya sa pagmamaneho.
**Mga Karagdagang Mapagkukunan:**
* **LTO Portal - Listahan ng LTO Traffic Signs and Symbols sa Pilipinas:** [https://ltoportal.ph/lto-traffic-signs-symbols-philippines/](https://ltoportal.ph/lto- traffic-s"&amp;"igns-symbols-philippines/) (Ang website na ito ay nagbibigay ng visual na gabay sa mga karaniwang traffic sign)
Tandaan, ang pagsunod sa mga marka ng kalsada at mga palatandaan ay mahalaga para sa kaligtasan sa kalsada.  Ang pag-unawa sa kanilang kahul"&amp;"ugan at layunin ay nakakatulong sa isang mas ligtas na karanasan sa pagmamaneho para sa lahat.")</f>
        <v>Ang mga batas tungkol sa mga marka ng kalsada at mga palatandaan sa Pilipinas ay pangunahing itinatag sa pamamagitan ng dalawang mapagkukunan:
* **Mga Regulasyon ng Department of Public Works and Highways (DPWH):**
    * **DPWH Part 2 ng Highway Safety Design Standards Manual:** Ang manwal na ito ay nag-uutos sa paggamit ng mga karaniwang alpabeto (kadalasang tinatawag na Highway Gothic) para sa mga palatandaan sa kalsada [Wikipedia, Mga palatandaan sa kalsada sa Pilipinas: [https://en.wikipedia. .org/wiki/Road_signs_in_the_Philippines](https://en.wikipedia.org/wiki/Road_signs_in_the_Philippines)] at tinutukoy ang mga patnubay sa paglalagay at disenyo para sa iba't ibang mga marka at palatandaan ng kalsada. 
* **Vienna Convention on Road Signs and Signals:**
    * **Ang Pilipinas ay orihinal na lumagda sa internasyonal na kombensiyon na ito:** Ang kasunduang ito ay naglalayong i-standardize ang mga traffic sign at signal sa mga miyembrong bansa upang mapadali ang internasyonal na trapiko sa kalsada at mapahusay ang kaligtasan [Wikipedia, Road signs sa Pilipinas: [https:// en.wikipedia.org/wiki/Road_signs_in_the_Philippines](https://en.wikipedia.org/wiki/Road_signs_in_the_Philippines)]. Bagama't hindi isang pambansang batas, ang Pilipinas ay sumusunod sa mga pangkalahatang prinsipyo ng Vienna Convention para sa mga palatandaan at marka ng kalsada.
Narito ang isang breakdown ng mga pangunahing punto tungkol sa mga regulasyong ito:
**Mga Marka ng Kalsada:**
* Ginagamit ang mga marka upang magtalaga ng mga daanan, magkahiwalay na daloy ng trapiko, magpahiwatig ng mga hintong punto (hal., mga tawiran), at magbigay ng iba pang gabay sa trapiko.
* Kasama sa mga karaniwang marka ng lane ang mga solidong puting linya na naghihiwalay sa mga lane, mga putol-putol na puting linya para sa mga pagbabago ng lane, at mga dilaw na linya para sa mga walang daraang zone.
**Mga Palatandaan sa Daan:**
* Ang mga palatandaan ay ikinategorya sa iba't ibang grupo batay sa kanilang function:
    * **Priority sign:** Ipahiwatig ang right-of-way (hal., stop sign, yield sign)
    * **Mga palatandaan ng direksyon:** Mga driver ng gabay (hal., mga one-way na karatula, mga turn arrow)
    * **Pagbabawal/Paghihigpit na mga palatandaan:** Ipahiwatig ang mga aksyon o direksyon na hindi pinapayagan (hal., walang mga karatula sa pagpasok, walang mga karatula sa paradahan)
    * **Mga limitasyon sa bilis:** Ipinapakita sa mga karatula sa mga expressway at kalsada
    * **Pagparadahan at paghinto:** Mga itinalagang lugar na may partikular na signage
    * **Mga sari-saring karatula:** Magbigay ng impormasyon o mga babala (hal., mga karatula sa tawiran ng pedestrian, mga karatula sa unahan ng konstruksiyon)
**Pagpapatupad:**
* Ang Land Transportation Office (LTO) at mga traffic enforcement agencies ay may pananagutan sa pagtiyak ng pagsunod sa mga regulasyon sa pagmamarka sa kalsada at pag-sign.
* Ang pagsuway sa mga palatandaan at marka ng trapiko ay maaaring humantong sa mga parusa gaya ng mga multa at demerit point sa lisensya sa pagmamaneho.
**Mga Karagdagang Mapagkukunan:**
* **LTO Portal - Listahan ng LTO Traffic Signs and Symbols sa Pilipinas:** [https://ltoportal.ph/lto-traffic-signs-symbols-philippines/](https://ltoportal.ph/lto- traffic-signs-symbols-philippines/) (Ang website na ito ay nagbibigay ng visual na gabay sa mga karaniwang traffic sign)
Tandaan, ang pagsunod sa mga marka ng kalsada at mga palatandaan ay mahalaga para sa kaligtasan sa kalsada.  Ang pag-unawa sa kanilang kahulugan at layunin ay nakakatulong sa isang mas ligtas na karanasan sa pagmamaneho para sa lahat.</v>
      </c>
      <c r="F2903" s="2">
        <f t="shared" si="1"/>
        <v>0</v>
      </c>
      <c r="G2903" s="2"/>
      <c r="H2903" s="2"/>
      <c r="I2903" s="2"/>
      <c r="J2903" s="2"/>
      <c r="K2903" s="2"/>
      <c r="L2903" s="2"/>
      <c r="M2903" s="2"/>
      <c r="N2903" s="2"/>
      <c r="O2903" s="2"/>
      <c r="P2903" s="2"/>
      <c r="Q2903" s="2"/>
      <c r="R2903" s="2"/>
      <c r="S2903" s="2"/>
      <c r="T2903" s="2"/>
      <c r="U2903" s="2"/>
      <c r="V2903" s="2"/>
      <c r="W2903" s="2"/>
      <c r="X2903" s="2"/>
      <c r="Y2903" s="2"/>
      <c r="Z2903" s="2"/>
      <c r="AA2903" s="2"/>
    </row>
    <row r="2904">
      <c r="A2904" s="3" t="s">
        <v>6762</v>
      </c>
      <c r="B2904" s="1" t="s">
        <v>6782</v>
      </c>
      <c r="C2904" s="3" t="s">
        <v>6783</v>
      </c>
      <c r="D2904" s="2" t="str">
        <f>IFERROR(__xludf.DUMMYFUNCTION("GOOGLETRANSLATE(B2904, ""en"", ""TL"")"),"Ano ang mga parusa sa illegal parking sa Pilipinas?")</f>
        <v>Ano ang mga parusa sa illegal parking sa Pilipinas?</v>
      </c>
      <c r="E2904" s="2" t="str">
        <f>IFERROR(__xludf.DUMMYFUNCTION("GOOGLETRANSLATE(C2904, ""en"", ""TL"")"),"Ang mga parusa para sa ilegal na paradahan sa Pilipinas ay nag-iiba depende sa kalubhaan ng pagkakasala at sa lokasyon. Narito ang isang breakdown ng mga pangkalahatang kategorya at mga potensyal na kahihinatnan:
**Uri ng Ilegal na Paradahan:**
* **"&amp;"Nag-aral sa Illegal Parking (Driver Present):** Ito ay nagsasangkot ng pagparada sa isang hindi awtorisadong lokasyon habang ang driver ay nasa loob pa ng sasakyan.  Ang mga multa ay karaniwang mula P200 hanggang P1,000 depende sa mga regulasyon ng LGU (l"&amp;"ocal government unit) o ​​MMDA (Metro Manila Development Authority).
* **Unattended Illegal Parking (Driver Absent):** Ito ay nagsasangkot ng pag-iwan sa iyong sasakyan na nakaparada sa isang hindi awtorisadong lokasyon. Ang mga multa ay karaniwang mas"&amp;" mataas kaysa sa dinaluhang paradahan, mula P500 hanggang P1,000 depende sa LGU o MMDA.
* **Pagharang:** Kabilang dito ang pagparada ng iyong sasakyan sa gilid ng kalsada o bangketa sa paraang humahadlang sa daloy ng trapiko o paggalaw ng mga naglalaka"&amp;"d. Ang mga multa ay katulad ng unattended parking, mula P150 hanggang P1,000 depende sa LGU o MMDA.
**Mga Karagdagang Parusa:**
* **Pag-towing at Pag-impound:** Kung ang iyong sasakyan ay ilegal na nakaparada at nagdudulot ng malaking sagabal, ito a"&amp;"y maaaring hilahin at i-impound ng mga awtoridad. Magkakaroon ito ng karagdagang bayad sa paghila at pag-iimbak sa ibabaw ng multa sa paglabag sa paradahan.
* **Mga Demerit Point:** Depende sa mga regulasyon ng LGU o MMDA, ang ilang paglabag sa ilegal "&amp;"na paradahan ay maaaring magresulta sa pagtatasa ng mga demerit point sa iyong lisensya sa pagmamaneho. Ang pag-iipon ng ilang partikular na bilang ng mga puntos ay maaaring humantong sa pagsususpinde ng lisensya.
Narito ang ilang mga mapagkukunan pa"&amp;"ra sa karagdagang sanggunian:
* **LTO Portal - Illegal Parking Fine Violation:** Ang webpage na ito ay nagbibigay ng pangkalahatang pangkalahatang-ideya ng mga multa para sa iba't ibang uri ng ilegal na paradahan [https://portal.lto.gov.ph/](https://po"&amp;"rtal.lto. gov.ph/)
* **MMDA - Mga multa at Parusa:** Ang PDF na ito mula sa MMDA ay naglilista ng mga partikular na multa para sa iba't ibang paglabag sa trapiko, kabilang ang iligal na paradahan, sa loob ng Metro Manila [https://mmda.gov.ph/images/pdf"&amp;"/Home/FINES- at-PENALTIES-by-alphabet-new-4-11-2019.pdf](https://mmda.gov.ph/images/pdf/Home/FINES-and-PENALTIES-by-alphabet-new-4-11 -2019.pdf)
**Mahalagang Tandaan:**
* Ang mga partikular na parusa para sa iligal na paradahan ay maaaring mag-iba"&amp;" depende sa lokasyon (lungsod, munisipalidad) at ang mga regulasyon ng LGU o MMDA na may bisa.
* Laging pinakamahusay na kumunsulta sa iyong lokal na tanggapan ng LGU o MMDA para sa pinakabagong impormasyon sa mga multa sa ilegal na paradahan sa iyong lu"&amp;"gar.
Tandaan, nakakatulong ang responsableng paradahan na matiyak ang maayos na daloy ng trapiko at kaligtasan ng pedestrian. ")</f>
        <v>Ang mga parusa para sa ilegal na paradahan sa Pilipinas ay nag-iiba depende sa kalubhaan ng pagkakasala at sa lokasyon. Narito ang isang breakdown ng mga pangkalahatang kategorya at mga potensyal na kahihinatnan:
**Uri ng Ilegal na Paradahan:**
* **Nag-aral sa Illegal Parking (Driver Present):** Ito ay nagsasangkot ng pagparada sa isang hindi awtorisadong lokasyon habang ang driver ay nasa loob pa ng sasakyan.  Ang mga multa ay karaniwang mula P200 hanggang P1,000 depende sa mga regulasyon ng LGU (local government unit) o ​​MMDA (Metro Manila Development Authority).
* **Unattended Illegal Parking (Driver Absent):** Ito ay nagsasangkot ng pag-iwan sa iyong sasakyan na nakaparada sa isang hindi awtorisadong lokasyon. Ang mga multa ay karaniwang mas mataas kaysa sa dinaluhang paradahan, mula P500 hanggang P1,000 depende sa LGU o MMDA.
* **Pagharang:** Kabilang dito ang pagparada ng iyong sasakyan sa gilid ng kalsada o bangketa sa paraang humahadlang sa daloy ng trapiko o paggalaw ng mga naglalakad. Ang mga multa ay katulad ng unattended parking, mula P150 hanggang P1,000 depende sa LGU o MMDA.
**Mga Karagdagang Parusa:**
* **Pag-towing at Pag-impound:** Kung ang iyong sasakyan ay ilegal na nakaparada at nagdudulot ng malaking sagabal, ito ay maaaring hilahin at i-impound ng mga awtoridad. Magkakaroon ito ng karagdagang bayad sa paghila at pag-iimbak sa ibabaw ng multa sa paglabag sa paradahan.
* **Mga Demerit Point:** Depende sa mga regulasyon ng LGU o MMDA, ang ilang paglabag sa ilegal na paradahan ay maaaring magresulta sa pagtatasa ng mga demerit point sa iyong lisensya sa pagmamaneho. Ang pag-iipon ng ilang partikular na bilang ng mga puntos ay maaaring humantong sa pagsususpinde ng lisensya.
Narito ang ilang mga mapagkukunan para sa karagdagang sanggunian:
* **LTO Portal - Illegal Parking Fine Violation:** Ang webpage na ito ay nagbibigay ng pangkalahatang pangkalahatang-ideya ng mga multa para sa iba't ibang uri ng ilegal na paradahan [https://portal.lto.gov.ph/](https://portal.lto. gov.ph/)
* **MMDA - Mga multa at Parusa:** Ang PDF na ito mula sa MMDA ay naglilista ng mga partikular na multa para sa iba't ibang paglabag sa trapiko, kabilang ang iligal na paradahan, sa loob ng Metro Manila [https://mmda.gov.ph/images/pdf/Home/FINES- at-PENALTIES-by-alphabet-new-4-11-2019.pdf](https://mmda.gov.ph/images/pdf/Home/FINES-and-PENALTIES-by-alphabet-new-4-11 -2019.pdf)
**Mahalagang Tandaan:**
* Ang mga partikular na parusa para sa iligal na paradahan ay maaaring mag-iba depende sa lokasyon (lungsod, munisipalidad) at ang mga regulasyon ng LGU o MMDA na may bisa.
* Laging pinakamahusay na kumunsulta sa iyong lokal na tanggapan ng LGU o MMDA para sa pinakabagong impormasyon sa mga multa sa ilegal na paradahan sa iyong lugar.
Tandaan, nakakatulong ang responsableng paradahan na matiyak ang maayos na daloy ng trapiko at kaligtasan ng pedestrian. </v>
      </c>
      <c r="F2904" s="2">
        <f t="shared" si="1"/>
        <v>0</v>
      </c>
      <c r="G2904" s="2"/>
      <c r="H2904" s="2"/>
      <c r="I2904" s="2"/>
      <c r="J2904" s="2"/>
      <c r="K2904" s="2"/>
      <c r="L2904" s="2"/>
      <c r="M2904" s="2"/>
      <c r="N2904" s="2"/>
      <c r="O2904" s="2"/>
      <c r="P2904" s="2"/>
      <c r="Q2904" s="2"/>
      <c r="R2904" s="2"/>
      <c r="S2904" s="2"/>
      <c r="T2904" s="2"/>
      <c r="U2904" s="2"/>
      <c r="V2904" s="2"/>
      <c r="W2904" s="2"/>
      <c r="X2904" s="2"/>
      <c r="Y2904" s="2"/>
      <c r="Z2904" s="2"/>
      <c r="AA2904" s="2"/>
    </row>
    <row r="2905">
      <c r="A2905" s="3" t="s">
        <v>6762</v>
      </c>
      <c r="B2905" s="1" t="s">
        <v>6784</v>
      </c>
      <c r="C2905" s="3" t="s">
        <v>6785</v>
      </c>
      <c r="D2905" s="2" t="str">
        <f>IFERROR(__xludf.DUMMYFUNCTION("GOOGLETRANSLATE(B2905, ""en"", ""TL"")"),"Ano ang mga regulasyon para sa pagpapatakbo ng mga pampublikong utility bus sa Pilipinas?")</f>
        <v>Ano ang mga regulasyon para sa pagpapatakbo ng mga pampublikong utility bus sa Pilipinas?</v>
      </c>
      <c r="E2905" s="2" t="str">
        <f>IFERROR(__xludf.DUMMYFUNCTION("GOOGLETRANSLATE(C2905, ""en"", ""TL"")"),"Ang operasyon ng mga public utility bus (PUB) sa Pilipinas ay mahigpit na kinokontrol upang matiyak ang kaligtasan ng pasahero, mahusay na serbisyo, at patas na kompetisyon. Narito ang isang breakdown ng mga pangunahing regulasyon mula sa iba't ibang mga "&amp;"mapagkukunan:
**Mga Ahensyang Nag-isyu:**
* **Land Transportation Franchising and Regulatory Board (LTFRB):** Ang pangunahing ahensya na responsable sa pag-franchise sa mga operator ng PUV, pag-isyu ng mga fare matrice, at pag-regulate ng kanilang p"&amp;"ag-uugali.
* **Department of Transportation (DOTr):** Nagtatatag ng mas malawak na mga patakaran sa transportasyon at mga alituntunin na naaangkop sa mga PUV.
**Mga Pangunahing Regulasyon:**
* **Franchise:** Dapat makakuha ng prangkisa ang mga oper"&amp;"ator ng PUB mula sa LTFRB na tumutukoy sa kanilang ruta, mga awtorisadong uri ng sasakyan, at mga rate ng pamasahe. Ang mga franchise ay ibinibigay batay sa mga salik tulad ng kasalukuyang pangangailangan ng ridership at pagiging posible ng ruta. 
* **Mg"&amp;"a Kinakailangan sa Sasakyan:** Ang mga bus ay dapat sumunod sa mga pagtutukoy na itinakda ng DOTr. Kabilang dito ang mga pamantayan para sa kapasidad ng pasahero, mga feature ng accessibility (hal., entrance sa mababang palapag para sa mga PWD), mga featu"&amp;"re na pangkaligtasan (seatbelt, fire extinguisher) at mga pamantayan sa emissions. [LTFRB - Mga Alituntunin sa Mga Detalye ng Mga Pampublikong Utility Bus: https://elibrary.judiciary.gov.ph/thebookshelf/showdocs/10/70877]([LTFRB - Mga Alituntunin sa Mga D"&amp;"etalye ng Pampublikong Utility Bus])
* **Mga Kwalipikasyon ng Driver:** Ang mga driver ng bus ay dapat magkaroon ng mga propesyonal na lisensya sa pagmamaneho at sumailalim sa mga programa sa pagsasanay sa kaligtasan sa kalsada, defensive na pagmamaneho,"&amp;" at serbisyo sa customer.
* **Pamasahe:** Ang mga pamasahe ay kinokontrol ng LTFRB at napapailalim sa mga pagsasaayos batay sa mga gastos sa gasolina at iba pang mga kadahilanan. Ang mga bus ay kinakailangang magpakita ng mga matrice ng pamasahe sa loob "&amp;"ng sasakyan para sa impormasyon ng pasahero.
* **Mga Panukala sa Kaligtasan:** Ang mga regular na inspeksyon ay isinasagawa ng LTFRB upang matiyak ang pagiging karapatdapat sa daan at pagsunod sa mga regulasyong pangkaligtasan.  Ang mga bus ay dapat may "&amp;"mga speed limiter at sumusunod sa mga batas trapiko.
**Mga Karagdagang Regulasyon:**
* **Route Planning and Service Coverage:** Ang LTFRB, sa pakikipag-ugnayan sa mga lokal na pamahalaan, ay maaaring magtalaga ng mga partikular na ruta at mga lugar "&amp;"ng serbisyo upang matiyak ang mahusay na saklaw at maiwasan ang pagsisikip sa ilang mga ruta. [LTFRB - Omnibus Guidelines on the Planning and Identification of Public Road Transportation Services and Franchise Issuance: https://ltfrb.gov.ph/wp-content/upl"&amp;"oads/2017/11/DO-2017-011.pdf]([LTFRB - Mga Alituntunin ng Omnibus sa Pagpaplano at Pagkilala sa Mga Serbisyo sa Pampublikong Transportasyon sa Daan at Pagbibigay ng Franchise])] 
* **Mga Karapatan ng Pasahero:** Ang mga pasahero ay may karapatan sa ligta"&amp;"s, maginhawa, at abot-kayang transportasyon. Maaari silang magsampa ng mga reklamo sa LTFRB tungkol sa labis na paniningil ng pamasahe, pagsisikip, o hindi magandang asal ng mga operator o driver.
**Mga Mapagkukunan para sa Karagdagang Impormasyon:**
"&amp;"
* **Website ng Land Transportation Franchising and Regulatory Board (LTFRB):** Ang [LTFRB website] ay nagbibigay ng mga nada-download na kopya ng mga nauugnay na issuance (MCs, DOs) sa mga regulasyon ng PUV.
* **Website ng Department of Transportation "&amp;"(DOTr):** [https://dotr.gov.ph/](https://dotr.gov.ph/) ay nagbibigay ng impormasyon sa mas malawak na mga patakaran sa transportasyon na maaaring makaapekto sa mga PUV.
**Mahalagang Paalala:**
* Ito ay mga pangkalahatang punto, at ang mga partikul"&amp;"ar na regulasyon ay maaaring mag-iba depende sa uri ng pampublikong utility bus (hal., city bus, provincial bus) at ang mga partikular na detalye ng franchise. ")</f>
        <v>Ang operasyon ng mga public utility bus (PUB) sa Pilipinas ay mahigpit na kinokontrol upang matiyak ang kaligtasan ng pasahero, mahusay na serbisyo, at patas na kompetisyon. Narito ang isang breakdown ng mga pangunahing regulasyon mula sa iba't ibang mga mapagkukunan:
**Mga Ahensyang Nag-isyu:**
* **Land Transportation Franchising and Regulatory Board (LTFRB):** Ang pangunahing ahensya na responsable sa pag-franchise sa mga operator ng PUV, pag-isyu ng mga fare matrice, at pag-regulate ng kanilang pag-uugali.
* **Department of Transportation (DOTr):** Nagtatatag ng mas malawak na mga patakaran sa transportasyon at mga alituntunin na naaangkop sa mga PUV.
**Mga Pangunahing Regulasyon:**
* **Franchise:** Dapat makakuha ng prangkisa ang mga operator ng PUB mula sa LTFRB na tumutukoy sa kanilang ruta, mga awtorisadong uri ng sasakyan, at mga rate ng pamasahe. Ang mga franchise ay ibinibigay batay sa mga salik tulad ng kasalukuyang pangangailangan ng ridership at pagiging posible ng ruta. 
* **Mga Kinakailangan sa Sasakyan:** Ang mga bus ay dapat sumunod sa mga pagtutukoy na itinakda ng DOTr. Kabilang dito ang mga pamantayan para sa kapasidad ng pasahero, mga feature ng accessibility (hal., entrance sa mababang palapag para sa mga PWD), mga feature na pangkaligtasan (seatbelt, fire extinguisher) at mga pamantayan sa emissions. [LTFRB - Mga Alituntunin sa Mga Detalye ng Mga Pampublikong Utility Bus: https://elibrary.judiciary.gov.ph/thebookshelf/showdocs/10/70877]([LTFRB - Mga Alituntunin sa Mga Detalye ng Pampublikong Utility Bus])
* **Mga Kwalipikasyon ng Driver:** Ang mga driver ng bus ay dapat magkaroon ng mga propesyonal na lisensya sa pagmamaneho at sumailalim sa mga programa sa pagsasanay sa kaligtasan sa kalsada, defensive na pagmamaneho, at serbisyo sa customer.
* **Pamasahe:** Ang mga pamasahe ay kinokontrol ng LTFRB at napapailalim sa mga pagsasaayos batay sa mga gastos sa gasolina at iba pang mga kadahilanan. Ang mga bus ay kinakailangang magpakita ng mga matrice ng pamasahe sa loob ng sasakyan para sa impormasyon ng pasahero.
* **Mga Panukala sa Kaligtasan:** Ang mga regular na inspeksyon ay isinasagawa ng LTFRB upang matiyak ang pagiging karapatdapat sa daan at pagsunod sa mga regulasyong pangkaligtasan.  Ang mga bus ay dapat may mga speed limiter at sumusunod sa mga batas trapiko.
**Mga Karagdagang Regulasyon:**
* **Route Planning and Service Coverage:** Ang LTFRB, sa pakikipag-ugnayan sa mga lokal na pamahalaan, ay maaaring magtalaga ng mga partikular na ruta at mga lugar ng serbisyo upang matiyak ang mahusay na saklaw at maiwasan ang pagsisikip sa ilang mga ruta. [LTFRB - Omnibus Guidelines on the Planning and Identification of Public Road Transportation Services and Franchise Issuance: https://ltfrb.gov.ph/wp-content/uploads/2017/11/DO-2017-011.pdf]([LTFRB - Mga Alituntunin ng Omnibus sa Pagpaplano at Pagkilala sa Mga Serbisyo sa Pampublikong Transportasyon sa Daan at Pagbibigay ng Franchise])] 
* **Mga Karapatan ng Pasahero:** Ang mga pasahero ay may karapatan sa ligtas, maginhawa, at abot-kayang transportasyon. Maaari silang magsampa ng mga reklamo sa LTFRB tungkol sa labis na paniningil ng pamasahe, pagsisikip, o hindi magandang asal ng mga operator o driver.
**Mga Mapagkukunan para sa Karagdagang Impormasyon:**
* **Website ng Land Transportation Franchising and Regulatory Board (LTFRB):** Ang [LTFRB website] ay nagbibigay ng mga nada-download na kopya ng mga nauugnay na issuance (MCs, DOs) sa mga regulasyon ng PUV.
* **Website ng Department of Transportation (DOTr):** [https://dotr.gov.ph/](https://dotr.gov.ph/) ay nagbibigay ng impormasyon sa mas malawak na mga patakaran sa transportasyon na maaaring makaapekto sa mga PUV.
**Mahalagang Paalala:**
* Ito ay mga pangkalahatang punto, at ang mga partikular na regulasyon ay maaaring mag-iba depende sa uri ng pampublikong utility bus (hal., city bus, provincial bus) at ang mga partikular na detalye ng franchise. </v>
      </c>
      <c r="F2905" s="2">
        <f t="shared" si="1"/>
        <v>0</v>
      </c>
      <c r="G2905" s="2"/>
      <c r="H2905" s="2"/>
      <c r="I2905" s="2"/>
      <c r="J2905" s="2"/>
      <c r="K2905" s="2"/>
      <c r="L2905" s="2"/>
      <c r="M2905" s="2"/>
      <c r="N2905" s="2"/>
      <c r="O2905" s="2"/>
      <c r="P2905" s="2"/>
      <c r="Q2905" s="2"/>
      <c r="R2905" s="2"/>
      <c r="S2905" s="2"/>
      <c r="T2905" s="2"/>
      <c r="U2905" s="2"/>
      <c r="V2905" s="2"/>
      <c r="W2905" s="2"/>
      <c r="X2905" s="2"/>
      <c r="Y2905" s="2"/>
      <c r="Z2905" s="2"/>
      <c r="AA2905" s="2"/>
    </row>
    <row r="2906">
      <c r="A2906" s="3" t="s">
        <v>6762</v>
      </c>
      <c r="B2906" s="1" t="s">
        <v>6786</v>
      </c>
      <c r="C2906" s="3" t="s">
        <v>6787</v>
      </c>
      <c r="D2906" s="2" t="str">
        <f>IFERROR(__xludf.DUMMYFUNCTION("GOOGLETRANSLATE(B2906, ""en"", ""TL"")"),"Ano ang mga kinakailangan para makakuha ng espesyal na permit para sa malalaking sasakyan sa Pilipinas?")</f>
        <v>Ano ang mga kinakailangan para makakuha ng espesyal na permit para sa malalaking sasakyan sa Pilipinas?</v>
      </c>
      <c r="E2906" s="2" t="str">
        <f>IFERROR(__xludf.DUMMYFUNCTION("GOOGLETRANSLATE(C2906, ""en"", ""TL"")"),"Ang pagkuha ng espesyal na permit para sa malalaking sasakyan sa Pilipinas ay may kinalaman sa pagsunod sa prosesong itinatag ng Department of Transportation (DOTr) sa pamamagitan ng Land Transportation Office (LTO). Narito ang isang breakdown ng mga pang"&amp;"kalahatang kinakailangan at hakbang na kasangkot:
**Mga Kinakailangan:**
* **Application Form:** Kailangang punan ang isang partikular na form para sa pag-aplay para sa isang espesyal na permit para sa isang napakalaking sasakyan. Maaari kang magtan"&amp;"ong at kumuha ng form sa pinakamalapit na opisina ng LTO.
* **Mga Dokumento ng Sasakyan:**  
    * Orihinal at photocopy ng Certificate of Registration (CR) ng sobrang laki ng sasakyan
    * Orihinal at photocopy ng Driver's License ng driver na magpap"&amp;"atakbo ng sasakyan habang nasa sasakyan
* **Itinerary:** Isang detalyadong itinerary na tumutukoy sa pinanggalingan, destinasyon, at rutang dadaanan ng napakalaking sasakyan. 
* **Engineering Clearance:** Isang sertipikasyon ng inhinyero na nagkukumpirm"&amp;"a sa mga sukat (haba, lapad, taas) at bigat ng napakalaking sasakyan at tinitiyak na sumusunod ito sa mga limitasyong itinakda ng DOTr para sa pagiging kwalipikado ng permit.  
* **Security Bond:** Maaaring kailanganin ang isang security bond bilang gara"&amp;"ntiya para sa kaligtasan at wastong pagsasagawa ng transportasyon. Ang halaga ng bono ay maaaring mag-iba depende sa laki at bigat ng napakalaking sasakyan. 
* **Iba Pang Mga Sumusuportang Dokumento:** Depende sa partikular na sitwasyon, maaaring hilingi"&amp;"n ang mga karagdagang dokumento tulad ng mga clearance mula sa mga local government units (LGUs) sa ruta o isang blueprint ng napakalaking kargamento (kung naaangkop).
**Mga Hakbang na Kasangkot:**
1. **Ipunin ang lahat ng kinakailangang dokumento:*"&amp;"* Kabilang dito ang application form, mga dokumento ng sasakyan, itinerary, engineering clearance, security bond, at anumang iba pang sumusuportang dokumento na kinakailangan.
2. **Isumite ang aplikasyon at mga dokumento:** Bisitahin ang iyong pinakamala"&amp;"pit na opisina ng distrito ng LTO at isumite ang kumpletong hanay ng mga kinakailangan para sa pagproseso ng aplikasyon ng espesyal na permit.
3. **Bayaran ang Permit Fee:** Magkakaroon ng partikular na bayad na nauugnay sa pagkuha ng espesyal na permit."&amp;" Maaaring mag-iba ang halaga depende sa laki at bigat ng sobrang laki ng sasakyan at sa tagal ng permit.
4. **Maghintay ng Pag-apruba:** Susuriin ng LTO ang iyong aplikasyon at mga sumusuportang dokumento. Ang oras ng pagproseso ay maaaring mag-iba depen"&amp;"de sa workload at anumang mga paglilinaw na kailangan. 5. **I-claim ang Special Permit:** Kapag naaprubahan ang iyong aplikasyon, maaari mong i-claim ang special permit mula sa opisina ng LTO.
**Mga Karagdagang Punto:**
* Napakahalaga na ma-secure a"&amp;"ng espesyal na permit bago ihatid ang napakalaking sasakyan sa mga pampublikong kalsada. Ang pagpapatakbo nang walang permit ay isang paglabag at maaaring humantong sa mga parusa.
* Ang mga partikular na kinakailangan at pamamaraan ay maaaring bahagyang "&amp;"mag-iba depende sa opisina ng distrito ng LTO.  Direktang magtanong sa iyong pinakamalapit na opisina ng LTO para sa pinakabagong impormasyon at anumang karagdagang lokal na pangangailangan.
* Inirerekomenda na kumunsulta sa isang kumpanya ng logistik o "&amp;"isang taong may karanasan sa napakalaking sasakyan para sa gabay sa buong proseso, lalo na para sa mga kumplikadong sitwasyon. 
Tandaan, ang pagkuha ng tamang permit at pagsunod sa mga regulasyon ay nagsisiguro sa ligtas at awtorisadong transportasyo"&amp;"n ng mga malalaking sasakyan sa mga kalsada ng Pilipinas. ")</f>
        <v>Ang pagkuha ng espesyal na permit para sa malalaking sasakyan sa Pilipinas ay may kinalaman sa pagsunod sa prosesong itinatag ng Department of Transportation (DOTr) sa pamamagitan ng Land Transportation Office (LTO). Narito ang isang breakdown ng mga pangkalahatang kinakailangan at hakbang na kasangkot:
**Mga Kinakailangan:**
* **Application Form:** Kailangang punan ang isang partikular na form para sa pag-aplay para sa isang espesyal na permit para sa isang napakalaking sasakyan. Maaari kang magtanong at kumuha ng form sa pinakamalapit na opisina ng LTO.
* **Mga Dokumento ng Sasakyan:**  
    * Orihinal at photocopy ng Certificate of Registration (CR) ng sobrang laki ng sasakyan
    * Orihinal at photocopy ng Driver's License ng driver na magpapatakbo ng sasakyan habang nasa sasakyan
* **Itinerary:** Isang detalyadong itinerary na tumutukoy sa pinanggalingan, destinasyon, at rutang dadaanan ng napakalaking sasakyan. 
* **Engineering Clearance:** Isang sertipikasyon ng inhinyero na nagkukumpirma sa mga sukat (haba, lapad, taas) at bigat ng napakalaking sasakyan at tinitiyak na sumusunod ito sa mga limitasyong itinakda ng DOTr para sa pagiging kwalipikado ng permit.  
* **Security Bond:** Maaaring kailanganin ang isang security bond bilang garantiya para sa kaligtasan at wastong pagsasagawa ng transportasyon. Ang halaga ng bono ay maaaring mag-iba depende sa laki at bigat ng napakalaking sasakyan. 
* **Iba Pang Mga Sumusuportang Dokumento:** Depende sa partikular na sitwasyon, maaaring hilingin ang mga karagdagang dokumento tulad ng mga clearance mula sa mga local government units (LGUs) sa ruta o isang blueprint ng napakalaking kargamento (kung naaangkop).
**Mga Hakbang na Kasangkot:**
1. **Ipunin ang lahat ng kinakailangang dokumento:** Kabilang dito ang application form, mga dokumento ng sasakyan, itinerary, engineering clearance, security bond, at anumang iba pang sumusuportang dokumento na kinakailangan.
2. **Isumite ang aplikasyon at mga dokumento:** Bisitahin ang iyong pinakamalapit na opisina ng distrito ng LTO at isumite ang kumpletong hanay ng mga kinakailangan para sa pagproseso ng aplikasyon ng espesyal na permit.
3. **Bayaran ang Permit Fee:** Magkakaroon ng partikular na bayad na nauugnay sa pagkuha ng espesyal na permit. Maaaring mag-iba ang halaga depende sa laki at bigat ng sobrang laki ng sasakyan at sa tagal ng permit.
4. **Maghintay ng Pag-apruba:** Susuriin ng LTO ang iyong aplikasyon at mga sumusuportang dokumento. Ang oras ng pagproseso ay maaaring mag-iba depende sa workload at anumang mga paglilinaw na kailangan. 5. **I-claim ang Special Permit:** Kapag naaprubahan ang iyong aplikasyon, maaari mong i-claim ang special permit mula sa opisina ng LTO.
**Mga Karagdagang Punto:**
* Napakahalaga na ma-secure ang espesyal na permit bago ihatid ang napakalaking sasakyan sa mga pampublikong kalsada. Ang pagpapatakbo nang walang permit ay isang paglabag at maaaring humantong sa mga parusa.
* Ang mga partikular na kinakailangan at pamamaraan ay maaaring bahagyang mag-iba depende sa opisina ng distrito ng LTO.  Direktang magtanong sa iyong pinakamalapit na opisina ng LTO para sa pinakabagong impormasyon at anumang karagdagang lokal na pangangailangan.
* Inirerekomenda na kumunsulta sa isang kumpanya ng logistik o isang taong may karanasan sa napakalaking sasakyan para sa gabay sa buong proseso, lalo na para sa mga kumplikadong sitwasyon. 
Tandaan, ang pagkuha ng tamang permit at pagsunod sa mga regulasyon ay nagsisiguro sa ligtas at awtorisadong transportasyon ng mga malalaking sasakyan sa mga kalsada ng Pilipinas. </v>
      </c>
      <c r="F2906" s="2">
        <f t="shared" si="1"/>
        <v>0</v>
      </c>
      <c r="G2906" s="2"/>
      <c r="H2906" s="2"/>
      <c r="I2906" s="2"/>
      <c r="J2906" s="2"/>
      <c r="K2906" s="2"/>
      <c r="L2906" s="2"/>
      <c r="M2906" s="2"/>
      <c r="N2906" s="2"/>
      <c r="O2906" s="2"/>
      <c r="P2906" s="2"/>
      <c r="Q2906" s="2"/>
      <c r="R2906" s="2"/>
      <c r="S2906" s="2"/>
      <c r="T2906" s="2"/>
      <c r="U2906" s="2"/>
      <c r="V2906" s="2"/>
      <c r="W2906" s="2"/>
      <c r="X2906" s="2"/>
      <c r="Y2906" s="2"/>
      <c r="Z2906" s="2"/>
      <c r="AA2906" s="2"/>
    </row>
    <row r="2907">
      <c r="A2907" s="3" t="s">
        <v>6762</v>
      </c>
      <c r="B2907" s="1" t="s">
        <v>6788</v>
      </c>
      <c r="C2907" s="3" t="s">
        <v>6789</v>
      </c>
      <c r="D2907" s="2" t="str">
        <f>IFERROR(__xludf.DUMMYFUNCTION("GOOGLETRANSLATE(B2907, ""en"", ""TL"")"),"Ano ang mga batas tungkol sa paggamit ng mobile phone habang nagmamaneho sa Pilipinas?")</f>
        <v>Ano ang mga batas tungkol sa paggamit ng mobile phone habang nagmamaneho sa Pilipinas?</v>
      </c>
      <c r="E2907" s="2" t="str">
        <f>IFERROR(__xludf.DUMMYFUNCTION("GOOGLETRANSLATE(C2907, ""en"", ""TL"")"),"Sa Pilipinas, ang paggamit ng mga mobile phone habang nagmamaneho ay kinokontrol ng **Republic Act No. 10913**, na kilala rin bilang **Anti-Distracted Driving Act (ADDA)**. Ang batas na ito ay pinagtibay noong 2017 upang pigilan ang tumataas na bilang ng "&amp;"mga aksidente na dulot ng distracted na pagmamaneho, kung saan ang paggamit ng mobile phone ay natukoy bilang isang makabuluhang contributing factor.
Narito ang isang breakdown ng mga pangunahing punto tungkol sa ADDA:
* **Mga Ipinagbabawal na Aksyo"&amp;"n:** Ipinagbabawal ng batas ang mga nagmamaneho ng mga sasakyang de-motor na humawak at gumamit ng mga mobile communication device at electronic entertainment gadget habang ang sasakyan ay umaandar o pansamantalang huminto sa isang traffic light o interse"&amp;"ction. Kabilang dito ang mga aktibidad tulad ng:
    * Paggawa o pagtanggap ng mga tawag
    * Pag-text o pagpapadala ng mga mensahe
    * Naglalaro
    * Nanonood ng mga video
    * Nagba-browse sa internet
    * Pagbubuo ng mga mensahe
* **Mga "&amp;"Pagbubukod:** Pinapayagan ng ADDA ang paggamit ng mga hands-free na function tulad ng mga speakerphone o earphone **hangga't hindi hinaharangan ng mga device na ito ang linya ng paningin ng driver**.  Gayunpaman, mahalagang mag-ingat dahil kahit ang mga h"&amp;"ands-free na pag-uusap ay maaari pa ring makagambala sa mga driver mula sa pagtutok sa kalsada.
* **Mga Parusa:** Ang paglabag sa ADDA ay maaaring humantong sa mga multa at parusa. Ang mga partikular na parusa ay maaaring mag-iba depende sa bilang ng m"&amp;"ga pagkakasala:
    * **Unang Pagkakasala:** P5,000 na multa
    * **Ikalawang Pagkakasala:** P10,000 multa
    * **Ikatlong Pagkakasala:** P15,000 na multa at 3 buwang suspensiyon ng lisensya sa pagmamaneho
    * **Ikaapat na Pagkakasala:** P20,000 n"&amp;"a multa at pagbawi ng lisensya sa pagmamaneho
* **Pagpapatupad:** Ang Land Transportation Office (LTO) at mga ahensyang nagpapatupad ng trapiko ay may pananagutan sa pagpapatupad ng ADDA. 
**Mga Karagdagang Mapagkukunan:**
* **LTO Portal - Ilegal"&amp;" ba ang Paggamit ng Mobile Phone Habang Nagmamaneho?:** [https://ltoportal.ph/is-using-a-mobile-phone-while-driving-illegal/](https://ltoportal .ph/is-using-a-mobile-phone-while-driving-illegal/) Ang webpage na ito ay nagbibigay ng malinaw na paliwanag ng"&amp;" ADDA at ang mga implikasyon nito.
* **MMDA Anti-Distracted Act FAQ:** [https://mmda.gov.ph/20-faq/2575-anti-distracted-act-faq.html](https://mmda.gov.ph/ 20-faq/2575-anti-distracted-act-faq.html) Ang seksyong FAQ na ito ng MMDA ay nililinaw ang mga kara"&amp;"niwang tanong tungkol sa ADDA, kabilang ang mga uri ng sasakyang sakop at mga sitwasyon kung saan ang paggamit ng mobile phone ay maaaring ituring na isang paglabag.
**Tandaan:**
* Mahalagang unahin ang kaligtasan sa kalsada. 
* Ilagay nang buo a"&amp;"ng iyong telepono habang nagmamaneho upang mabawasan ang mga abala at maiwasan ang mga potensyal na aksidente. 
* Kung kailangan mong gamitin ang iyong telepono, pumunta muna sa isang ligtas na lokasyon.
")</f>
        <v>Sa Pilipinas, ang paggamit ng mga mobile phone habang nagmamaneho ay kinokontrol ng **Republic Act No. 10913**, na kilala rin bilang **Anti-Distracted Driving Act (ADDA)**. Ang batas na ito ay pinagtibay noong 2017 upang pigilan ang tumataas na bilang ng mga aksidente na dulot ng distracted na pagmamaneho, kung saan ang paggamit ng mobile phone ay natukoy bilang isang makabuluhang contributing factor.
Narito ang isang breakdown ng mga pangunahing punto tungkol sa ADDA:
* **Mga Ipinagbabawal na Aksyon:** Ipinagbabawal ng batas ang mga nagmamaneho ng mga sasakyang de-motor na humawak at gumamit ng mga mobile communication device at electronic entertainment gadget habang ang sasakyan ay umaandar o pansamantalang huminto sa isang traffic light o intersection. Kabilang dito ang mga aktibidad tulad ng:
    * Paggawa o pagtanggap ng mga tawag
    * Pag-text o pagpapadala ng mga mensahe
    * Naglalaro
    * Nanonood ng mga video
    * Nagba-browse sa internet
    * Pagbubuo ng mga mensahe
* **Mga Pagbubukod:** Pinapayagan ng ADDA ang paggamit ng mga hands-free na function tulad ng mga speakerphone o earphone **hangga't hindi hinaharangan ng mga device na ito ang linya ng paningin ng driver**.  Gayunpaman, mahalagang mag-ingat dahil kahit ang mga hands-free na pag-uusap ay maaari pa ring makagambala sa mga driver mula sa pagtutok sa kalsada.
* **Mga Parusa:** Ang paglabag sa ADDA ay maaaring humantong sa mga multa at parusa. Ang mga partikular na parusa ay maaaring mag-iba depende sa bilang ng mga pagkakasala:
    * **Unang Pagkakasala:** P5,000 na multa
    * **Ikalawang Pagkakasala:** P10,000 multa
    * **Ikatlong Pagkakasala:** P15,000 na multa at 3 buwang suspensiyon ng lisensya sa pagmamaneho
    * **Ikaapat na Pagkakasala:** P20,000 na multa at pagbawi ng lisensya sa pagmamaneho
* **Pagpapatupad:** Ang Land Transportation Office (LTO) at mga ahensyang nagpapatupad ng trapiko ay may pananagutan sa pagpapatupad ng ADDA. 
**Mga Karagdagang Mapagkukunan:**
* **LTO Portal - Ilegal ba ang Paggamit ng Mobile Phone Habang Nagmamaneho?:** [https://ltoportal.ph/is-using-a-mobile-phone-while-driving-illegal/](https://ltoportal .ph/is-using-a-mobile-phone-while-driving-illegal/) Ang webpage na ito ay nagbibigay ng malinaw na paliwanag ng ADDA at ang mga implikasyon nito.
* **MMDA Anti-Distracted Act FAQ:** [https://mmda.gov.ph/20-faq/2575-anti-distracted-act-faq.html](https://mmda.gov.ph/ 20-faq/2575-anti-distracted-act-faq.html) Ang seksyong FAQ na ito ng MMDA ay nililinaw ang mga karaniwang tanong tungkol sa ADDA, kabilang ang mga uri ng sasakyang sakop at mga sitwasyon kung saan ang paggamit ng mobile phone ay maaaring ituring na isang paglabag.
**Tandaan:**
* Mahalagang unahin ang kaligtasan sa kalsada. 
* Ilagay nang buo ang iyong telepono habang nagmamaneho upang mabawasan ang mga abala at maiwasan ang mga potensyal na aksidente. 
* Kung kailangan mong gamitin ang iyong telepono, pumunta muna sa isang ligtas na lokasyon.
</v>
      </c>
      <c r="F2907" s="2">
        <f t="shared" si="1"/>
        <v>0</v>
      </c>
      <c r="G2907" s="2"/>
      <c r="H2907" s="2"/>
      <c r="I2907" s="2"/>
      <c r="J2907" s="2"/>
      <c r="K2907" s="2"/>
      <c r="L2907" s="2"/>
      <c r="M2907" s="2"/>
      <c r="N2907" s="2"/>
      <c r="O2907" s="2"/>
      <c r="P2907" s="2"/>
      <c r="Q2907" s="2"/>
      <c r="R2907" s="2"/>
      <c r="S2907" s="2"/>
      <c r="T2907" s="2"/>
      <c r="U2907" s="2"/>
      <c r="V2907" s="2"/>
      <c r="W2907" s="2"/>
      <c r="X2907" s="2"/>
      <c r="Y2907" s="2"/>
      <c r="Z2907" s="2"/>
      <c r="AA2907" s="2"/>
    </row>
    <row r="2908">
      <c r="A2908" s="3" t="s">
        <v>6762</v>
      </c>
      <c r="B2908" s="1" t="s">
        <v>6790</v>
      </c>
      <c r="C2908" s="3" t="s">
        <v>6791</v>
      </c>
      <c r="D2908" s="2" t="str">
        <f>IFERROR(__xludf.DUMMYFUNCTION("GOOGLETRANSLATE(B2908, ""en"", ""TL"")"),"Ano ang mga regulasyon sa pagpapatakbo ng mga tricycle sa Pilipinas?")</f>
        <v>Ano ang mga regulasyon sa pagpapatakbo ng mga tricycle sa Pilipinas?</v>
      </c>
      <c r="E2908" s="2" t="str">
        <f>IFERROR(__xludf.DUMMYFUNCTION("GOOGLETRANSLATE(C2908, ""en"", ""TL"")"),"## Mga Regulasyon sa Pagpapatakbo ng Tricycle sa Pilipinas: Isang Komprehensibong Pangkalahatang-ideya
Ang operasyon ng mga tricycle sa Pilipinas ay pinamamahalaan ng isang multifaceted na balangkas ng regulasyon na pinagsasama ang mga pagpapalabas ng "&amp;"pambansa at lokal na pamahalaan. Ang pangkalahatang-ideya na ito ay nagbibigay ng isang propesyonal na breakdown ng mga pangunahing punto na dapat isaalang-alang:
**Pambansang Balangkas:**
* **Republic Act No. 4136 (Land Transportation and Traffic C"&amp;"ode):** Itinatatag ang pundasyon para sa kaligtasan sa kalsada, na binabalangkas ang mga pangkalahatang tuntunin na naaangkop sa lahat ng sasakyan, kabilang ang mga tricycle.
* **Department of Transportation (DOTr) Issuances:** Ang DOTr, sa pamamagitan n"&amp;"g Land Transportation Office (LTO), ay nagtatakda ng mga pambansang alituntunin para sa roadworthiness ng sasakyan at mga kinakailangan sa paglilisensya sa pagmamaneho na naaangkop sa mga tricycle.
**Regulasyon ng Lokal na Pamahalaan (Pangunahing Kontr"&amp;"ol):**
* **Kodigo ng Lokal na Pamahalaan ng 1991:** Nagbibigay ng kapangyarihan sa mga lungsod at munisipalidad na magkaroon ng makabuluhang kontrol sa mga operasyon ng tricycle sa loob ng kanilang nasasakupan. Ang awtoridad na ito ay sumasaklaw sa pag"&amp;"bibigay ng mga prangkisa, pagtatalaga ng mga ruta at pamasahe, at pagtatatag ng mga partikular na kinakailangan sa operasyon ng tricycle.
* **Mga Ordinansa ng Sangguniang Bayan/Panlungsod (Municipal/City Council):** Ang mga lokal na ordinansa ay karaniwa"&amp;"ng tumutugon sa mga sumusunod na aspeto ng pagpapatakbo ng tricycle:
    * **Mga Kinakailangan sa Franchise:** Binabalangkas ng mga ordinansang ito ang proseso at mga kwalipikasyong kinakailangan para makakuha ng prangkisa ang mga operator ng tricycle pa"&amp;"ra gumana sa loob ng isang partikular na lugar.  
    * **Mga Itinalagang Ruta Ang mga lokal na awtoridad ay nagtatag ng mga itinalagang ruta upang pamahalaan ang daloy ng trapiko at mabawasan ang kumpetisyon sa iba pang mga public utility vehicle (PUV)."&amp;" 
    * **Mga Presyo ng Pamasahe:** Ang mga awtorisadong pamasahe sa tricycle ay nakatakda upang matiyak na affordability para sa mga pasahero at isang napapanatiling kita para sa mga operator. Ang mga pagsasaayos ng pamasahe batay sa mga gastos sa gasol"&amp;"ina o iba pang mga kadahilanan ay maaaring mangyari nang pana-panahon.
    * **Mga Detalye at Pagpapanatili ng Sasakyan:** Itinatag ang mga pamantayan para sa disenyo ng tricycle, kapasidad ng pasahero, at mga tampok sa kaligtasan (hal., mga headlamp, re"&amp;"flector). Bukod pa rito, ang mga regular na pagsusuri sa pagpapanatili upang matiyak ang pagiging karapat-dapat sa kalsada ay maaaring i-utos.  
    * **Driver's License Requirements:** Ang mga kwalipikasyon at mga kinakailangan sa paglilisensya para sa "&amp;"mga tricycle driver ay tinukoy.
**Mga Karagdagang Pagsasaalang-alang:**
* **Color Coding Scheme:** Ang ilang lokalidad ay nagpapatupad ng mga color coding scheme para i-regulate ang mga operasyon ng tricycle sa mga partikular na araw, na naglalayong"&amp;" pamahalaan ang daloy ng trapiko nang mas epektibo.
* **National Franchising Authority (NFA) Involvement (Limited Cases):** Sa mga partikular na sitwasyon, maaaring masangkot ang NFA sa pagbibigay ng mga prangkisa para sa mga tricycle na tumatakbo sa mga"&amp;" hangganan ng munisipyo o lungsod.
**Paghahanap ng Pinaka-Kasalukuyang Impormasyon:**
* **Website ng Land Transportation Office (LTO):** [https://ltoportal.ph/](https://ltoportal.ph/) ay nagbibigay ng pangkalahatang impormasyon sa pagpaparehistro ng"&amp;" sasakyan at mga kinakailangan sa paglilisensya sa pagmamaneho na naaangkop sa mga tricycle.
* **Makipag-ugnayan sa Iyong Local Government Unit (LGU):** Ang pagkuha ng pinaka-up-to-date at komprehensibong impormasyon sa mga regulasyon sa pagpapatakbo n"&amp;"g tricycle sa iyong lugar ay nangangailangan ng pakikipag-ugnayan sa iyong tanggapan o departamento ng transportasyon sa lungsod o munisipyo.  Ang mga ahensya ng lokal na pamahalaan na ito ay maaaring magbigay ng mga detalye sa mga aplikasyon ng prangkisa"&amp;", mga itinalagang ruta, mga rate ng pamasahe, at iba pang mga ordinansang nauugnay sa tricycle na naaangkop sa iyong partikular na lokasyon.
**Konklusyon:**
Ang pag-unawa sa mga regulasyon para sa mga operasyon ng tricycle sa Pilipinas ay nangangail"&amp;"angan ng pagsasaalang-alang sa mga direktiba ng pambansa at lokal na pamahalaan. Ang pagkonsulta sa iyong LGU ay napakahalaga para sa pagkuha ng pinakatumpak at komprehensibong impormasyon sa mga regulasyon sa pagpapatakbo ng tricycle sa iyong lugar. ")</f>
        <v>## Mga Regulasyon sa Pagpapatakbo ng Tricycle sa Pilipinas: Isang Komprehensibong Pangkalahatang-ideya
Ang operasyon ng mga tricycle sa Pilipinas ay pinamamahalaan ng isang multifaceted na balangkas ng regulasyon na pinagsasama ang mga pagpapalabas ng pambansa at lokal na pamahalaan. Ang pangkalahatang-ideya na ito ay nagbibigay ng isang propesyonal na breakdown ng mga pangunahing punto na dapat isaalang-alang:
**Pambansang Balangkas:**
* **Republic Act No. 4136 (Land Transportation and Traffic Code):** Itinatatag ang pundasyon para sa kaligtasan sa kalsada, na binabalangkas ang mga pangkalahatang tuntunin na naaangkop sa lahat ng sasakyan, kabilang ang mga tricycle.
* **Department of Transportation (DOTr) Issuances:** Ang DOTr, sa pamamagitan ng Land Transportation Office (LTO), ay nagtatakda ng mga pambansang alituntunin para sa roadworthiness ng sasakyan at mga kinakailangan sa paglilisensya sa pagmamaneho na naaangkop sa mga tricycle.
**Regulasyon ng Lokal na Pamahalaan (Pangunahing Kontrol):**
* **Kodigo ng Lokal na Pamahalaan ng 1991:** Nagbibigay ng kapangyarihan sa mga lungsod at munisipalidad na magkaroon ng makabuluhang kontrol sa mga operasyon ng tricycle sa loob ng kanilang nasasakupan. Ang awtoridad na ito ay sumasaklaw sa pagbibigay ng mga prangkisa, pagtatalaga ng mga ruta at pamasahe, at pagtatatag ng mga partikular na kinakailangan sa operasyon ng tricycle.
* **Mga Ordinansa ng Sangguniang Bayan/Panlungsod (Municipal/City Council):** Ang mga lokal na ordinansa ay karaniwang tumutugon sa mga sumusunod na aspeto ng pagpapatakbo ng tricycle:
    * **Mga Kinakailangan sa Franchise:** Binabalangkas ng mga ordinansang ito ang proseso at mga kwalipikasyong kinakailangan para makakuha ng prangkisa ang mga operator ng tricycle para gumana sa loob ng isang partikular na lugar.  
    * **Mga Itinalagang Ruta Ang mga lokal na awtoridad ay nagtatag ng mga itinalagang ruta upang pamahalaan ang daloy ng trapiko at mabawasan ang kumpetisyon sa iba pang mga public utility vehicle (PUV). 
    * **Mga Presyo ng Pamasahe:** Ang mga awtorisadong pamasahe sa tricycle ay nakatakda upang matiyak na affordability para sa mga pasahero at isang napapanatiling kita para sa mga operator. Ang mga pagsasaayos ng pamasahe batay sa mga gastos sa gasolina o iba pang mga kadahilanan ay maaaring mangyari nang pana-panahon.
    * **Mga Detalye at Pagpapanatili ng Sasakyan:** Itinatag ang mga pamantayan para sa disenyo ng tricycle, kapasidad ng pasahero, at mga tampok sa kaligtasan (hal., mga headlamp, reflector). Bukod pa rito, ang mga regular na pagsusuri sa pagpapanatili upang matiyak ang pagiging karapat-dapat sa kalsada ay maaaring i-utos.  
    * **Driver's License Requirements:** Ang mga kwalipikasyon at mga kinakailangan sa paglilisensya para sa mga tricycle driver ay tinukoy.
**Mga Karagdagang Pagsasaalang-alang:**
* **Color Coding Scheme:** Ang ilang lokalidad ay nagpapatupad ng mga color coding scheme para i-regulate ang mga operasyon ng tricycle sa mga partikular na araw, na naglalayong pamahalaan ang daloy ng trapiko nang mas epektibo.
* **National Franchising Authority (NFA) Involvement (Limited Cases):** Sa mga partikular na sitwasyon, maaaring masangkot ang NFA sa pagbibigay ng mga prangkisa para sa mga tricycle na tumatakbo sa mga hangganan ng munisipyo o lungsod.
**Paghahanap ng Pinaka-Kasalukuyang Impormasyon:**
* **Website ng Land Transportation Office (LTO):** [https://ltoportal.ph/](https://ltoportal.ph/) ay nagbibigay ng pangkalahatang impormasyon sa pagpaparehistro ng sasakyan at mga kinakailangan sa paglilisensya sa pagmamaneho na naaangkop sa mga tricycle.
* **Makipag-ugnayan sa Iyong Local Government Unit (LGU):** Ang pagkuha ng pinaka-up-to-date at komprehensibong impormasyon sa mga regulasyon sa pagpapatakbo ng tricycle sa iyong lugar ay nangangailangan ng pakikipag-ugnayan sa iyong tanggapan o departamento ng transportasyon sa lungsod o munisipyo.  Ang mga ahensya ng lokal na pamahalaan na ito ay maaaring magbigay ng mga detalye sa mga aplikasyon ng prangkisa, mga itinalagang ruta, mga rate ng pamasahe, at iba pang mga ordinansang nauugnay sa tricycle na naaangkop sa iyong partikular na lokasyon.
**Konklusyon:**
Ang pag-unawa sa mga regulasyon para sa mga operasyon ng tricycle sa Pilipinas ay nangangailangan ng pagsasaalang-alang sa mga direktiba ng pambansa at lokal na pamahalaan. Ang pagkonsulta sa iyong LGU ay napakahalaga para sa pagkuha ng pinakatumpak at komprehensibong impormasyon sa mga regulasyon sa pagpapatakbo ng tricycle sa iyong lugar. </v>
      </c>
      <c r="F2908" s="2">
        <f t="shared" si="1"/>
        <v>0</v>
      </c>
      <c r="G2908" s="2"/>
      <c r="H2908" s="2"/>
      <c r="I2908" s="2"/>
      <c r="J2908" s="2"/>
      <c r="K2908" s="2"/>
      <c r="L2908" s="2"/>
      <c r="M2908" s="2"/>
      <c r="N2908" s="2"/>
      <c r="O2908" s="2"/>
      <c r="P2908" s="2"/>
      <c r="Q2908" s="2"/>
      <c r="R2908" s="2"/>
      <c r="S2908" s="2"/>
      <c r="T2908" s="2"/>
      <c r="U2908" s="2"/>
      <c r="V2908" s="2"/>
      <c r="W2908" s="2"/>
      <c r="X2908" s="2"/>
      <c r="Y2908" s="2"/>
      <c r="Z2908" s="2"/>
      <c r="AA2908" s="2"/>
    </row>
    <row r="2909">
      <c r="A2909" s="3" t="s">
        <v>6762</v>
      </c>
      <c r="B2909" s="1" t="s">
        <v>6792</v>
      </c>
      <c r="C2909" s="3" t="s">
        <v>6793</v>
      </c>
      <c r="D2909" s="2" t="str">
        <f>IFERROR(__xludf.DUMMYFUNCTION("GOOGLETRANSLATE(B2909, ""en"", ""TL"")"),"Ano ang mga parusa sa mga overloading na sasakyan sa Pilipinas?")</f>
        <v>Ano ang mga parusa sa mga overloading na sasakyan sa Pilipinas?</v>
      </c>
      <c r="E2909" s="2" t="str">
        <f>IFERROR(__xludf.DUMMYFUNCTION("GOOGLETRANSLATE(C2909, ""en"", ""TL"")"),"Mayroong dalawang pangunahing bahagi ng batas sa Pilipinas na tumatalakay sa mga parusa para sa mga overloading na sasakyan:
* **Republic Act No. 8794** na kilala rin bilang **""Anti-Overloading Act""**
Nakatuon ang Batas na ito sa mga trak at trail"&amp;"er na lumalampas sa kanilang mga limitasyon sa timbang. Nakasaad sa **Seksyon 6** na ang parusang katumbas ng **dalawampu't limang porsyento (25%) ng Singil ng Gumagamit ng Sasakyan ng Motor (MVUC)** ay ipapataw para sa paglampas sa iniresetang kabuuang t"&amp;"imbang ng sasakyan. May karagdagang kundisyon na walang axle load ang maaaring lumampas sa **labing tatlong libo at limang daang kilo (13,500 kgs)**. 
* **Mga regulasyon ng Land Transportation Franchising and Regulatory Board (LTFRB)**
Nalalapat ang"&amp;" mga regulasyong ito sa mga Public Utility Vehicles (PUVs) tulad ng mga bus, jeepney, at van. Bagama't walang partikular na pagbanggit ng overloading sa Konstitusyon, may awtoridad ang LTFRB na magpataw ng mga parusa sa ilalim ng mandato nito.  Maaaring k"&amp;"abilang sa mga parusang ito ang mga multa at maging ang pagkansela ng Certificate of Public Convenience (CPC) para sa mga umuulit na nagkasala. 
Narito ang isang breakdown ng kung ano ang maaari mong makita sa ilalim ng mga regulasyon ng LTFRB:
* **"&amp;"Unang paglabag:** Isang multa na **P5,000** [LTFRB ay nagpapatupad ng mabibigat na parusa laban sa 'colorum', iba pang mga paglabag, Manila Bulletin]
* **Ikalawang paglabag:** Isang multa na **P10,000** at pag-impound ng unit sa loob ng 30 araw [LTFRB "&amp;"implements heavy penalties vs 'colorum', other violations, Manila Bulletin]
* **Ikatlong pagkakasala:** Isang multa na **P15,000** at pagkansela ng CPC [LTFRB implements heavy penalties vs 'colorum', other violations, Manila Bulletin]
**Mahalagang t"&amp;"andaan:** Ito ay ilan lamang sa mga posibleng parusa.  Ang partikular na parusa ay depende sa kalubhaan ng labis na karga at ang uri ng sasakyan na nasasangkot.
")</f>
        <v>Mayroong dalawang pangunahing bahagi ng batas sa Pilipinas na tumatalakay sa mga parusa para sa mga overloading na sasakyan:
* **Republic Act No. 8794** na kilala rin bilang **"Anti-Overloading Act"**
Nakatuon ang Batas na ito sa mga trak at trailer na lumalampas sa kanilang mga limitasyon sa timbang. Nakasaad sa **Seksyon 6** na ang parusang katumbas ng **dalawampu't limang porsyento (25%) ng Singil ng Gumagamit ng Sasakyan ng Motor (MVUC)** ay ipapataw para sa paglampas sa iniresetang kabuuang timbang ng sasakyan. May karagdagang kundisyon na walang axle load ang maaaring lumampas sa **labing tatlong libo at limang daang kilo (13,500 kgs)**. 
* **Mga regulasyon ng Land Transportation Franchising and Regulatory Board (LTFRB)**
Nalalapat ang mga regulasyong ito sa mga Public Utility Vehicles (PUVs) tulad ng mga bus, jeepney, at van. Bagama't walang partikular na pagbanggit ng overloading sa Konstitusyon, may awtoridad ang LTFRB na magpataw ng mga parusa sa ilalim ng mandato nito.  Maaaring kabilang sa mga parusang ito ang mga multa at maging ang pagkansela ng Certificate of Public Convenience (CPC) para sa mga umuulit na nagkasala. 
Narito ang isang breakdown ng kung ano ang maaari mong makita sa ilalim ng mga regulasyon ng LTFRB:
* **Unang paglabag:** Isang multa na **P5,000** [LTFRB ay nagpapatupad ng mabibigat na parusa laban sa 'colorum', iba pang mga paglabag, Manila Bulletin]
* **Ikalawang paglabag:** Isang multa na **P10,000** at pag-impound ng unit sa loob ng 30 araw [LTFRB implements heavy penalties vs 'colorum', other violations, Manila Bulletin]
* **Ikatlong pagkakasala:** Isang multa na **P15,000** at pagkansela ng CPC [LTFRB implements heavy penalties vs 'colorum', other violations, Manila Bulletin]
**Mahalagang tandaan:** Ito ay ilan lamang sa mga posibleng parusa.  Ang partikular na parusa ay depende sa kalubhaan ng labis na karga at ang uri ng sasakyan na nasasangkot.
</v>
      </c>
      <c r="F2909" s="2">
        <f t="shared" si="1"/>
        <v>0</v>
      </c>
      <c r="G2909" s="2"/>
      <c r="H2909" s="2"/>
      <c r="I2909" s="2"/>
      <c r="J2909" s="2"/>
      <c r="K2909" s="2"/>
      <c r="L2909" s="2"/>
      <c r="M2909" s="2"/>
      <c r="N2909" s="2"/>
      <c r="O2909" s="2"/>
      <c r="P2909" s="2"/>
      <c r="Q2909" s="2"/>
      <c r="R2909" s="2"/>
      <c r="S2909" s="2"/>
      <c r="T2909" s="2"/>
      <c r="U2909" s="2"/>
      <c r="V2909" s="2"/>
      <c r="W2909" s="2"/>
      <c r="X2909" s="2"/>
      <c r="Y2909" s="2"/>
      <c r="Z2909" s="2"/>
      <c r="AA2909" s="2"/>
    </row>
    <row r="2910">
      <c r="A2910" s="3" t="s">
        <v>6762</v>
      </c>
      <c r="B2910" s="1" t="s">
        <v>6794</v>
      </c>
      <c r="C2910" s="3" t="s">
        <v>6795</v>
      </c>
      <c r="D2910" s="2" t="str">
        <f>IFERROR(__xludf.DUMMYFUNCTION("GOOGLETRANSLATE(B2910, ""en"", ""TL"")"),"Ano ang mga tuntunin sa pagdadala ng mga alagang hayop sa mga sasakyan sa Pilipinas?")</f>
        <v>Ano ang mga tuntunin sa pagdadala ng mga alagang hayop sa mga sasakyan sa Pilipinas?</v>
      </c>
      <c r="E2910" s="2" t="str">
        <f>IFERROR(__xludf.DUMMYFUNCTION("GOOGLETRANSLATE(C2910, ""en"", ""TL"")"),"Bagama't walang partikular na regulasyon sa Konstitusyon ng Pilipinas o Republic Acts tungkol sa pagdadala ng mga alagang hayop sa mga pribadong sasakyan, may mga alituntunin na inilabas ng Land Transportation Franchising and Regulatory Board (LTFRB) na n"&amp;"aaangkop sa Public Utility Vehicles (PUVs). 
Narito ang idinidikta ng LTFRB Memorandum Circular No. 2020-003 para sa pagdadala ng mga alagang hayop sa mga PUV:
* **Ang mga tagapagdala ng alagang hayop ay ipinag-uutos:** Ang mga alagang hayop ay dapa"&amp;"t na naka-secure sa isang hawla o carrier upang matiyak ang kaligtasan ng hayop at iba pang mga pasahero [Inilabas ng LTFRB ang mga karagdagang alituntunin para sa pagdadala ng mga alagang hayop sa mga pampublikong sasakyan, Inquirer.net].
* **Paglalagay"&amp;" sa loob ng PUV:** Sa isip, ang pet carrier ay dapat nasa tabi ng may-ari at hindi pinabayaan [LTFRB releases added guidelines for carrying pets in public utility vehicles, Inquirer.net]. 
* **Ang mga itinalagang kompartamento ng hayop ay hindi isang gar"&amp;"antiya:** Bagama't binanggit ng mas lumang LTFRB memo ang mga itinalagang kompartamento ng hayop, ang katotohanan ay karamihan sa mga PUV ay kulang sa mga ito na may maayos na bentilasyon [LTFRB ay naglabas ng mga karagdagang alituntunin para sa pagdadala"&amp;" ng mga alagang hayop sa mga pampublikong sasakyan, Inquirer.net ].
* **Kalinisan at Kalinisan:** Ang alagang hayop ay dapat magsuot ng lampin upang mapanatili ang kalinisan sa buong paglalakbay [LTFRB ay naglalabas ng add'l guidelines sa pagpapahintulot"&amp;" ng mga alagang hayop sa PUVs, Philippine News Agency].
* **Mga paghihigpit sa laki:** Ang mga maliliit at katamtamang laki ng mga aso lamang ang pinapayagan [Naglabas ang LTFRB ng mga karagdagang alituntunin para sa pagdadala ng mga alagang hayop sa mga"&amp;" pampublikong sasakyan, Inquirer.net]. 
* **Pamasahe ng alagang hayop:** Ang alagang hayop ay itinuturing na karagdagang pasahero at kailangang magbayad ng pamasahe na katumbas ng isang regular na upuan ng pasahero [LTFRB issue add'l guidelines on allowi"&amp;"ng pets in PUVs, Philippine News Agency].
**Para sa pagdadala ng mga alagang hayop sa mga pribadong sasakyan, walang itinatag na mga regulasyon. Gayunpaman, lubos na inirerekomenda ang sentido komun at mga pag-iingat sa kaligtasan.** Kabilang dito ang "&amp;"paggamit ng pet harness o carrier, pagtiyak ng maayos na bentilasyon, pagpapahinga sa mahabang paglalakbay, at hindi kailanman iiwan ang iyong alagang hayop na walang nag-aalaga sa naka-park na sasakyan. ")</f>
        <v>Bagama't walang partikular na regulasyon sa Konstitusyon ng Pilipinas o Republic Acts tungkol sa pagdadala ng mga alagang hayop sa mga pribadong sasakyan, may mga alituntunin na inilabas ng Land Transportation Franchising and Regulatory Board (LTFRB) na naaangkop sa Public Utility Vehicles (PUVs). 
Narito ang idinidikta ng LTFRB Memorandum Circular No. 2020-003 para sa pagdadala ng mga alagang hayop sa mga PUV:
* **Ang mga tagapagdala ng alagang hayop ay ipinag-uutos:** Ang mga alagang hayop ay dapat na naka-secure sa isang hawla o carrier upang matiyak ang kaligtasan ng hayop at iba pang mga pasahero [Inilabas ng LTFRB ang mga karagdagang alituntunin para sa pagdadala ng mga alagang hayop sa mga pampublikong sasakyan, Inquirer.net].
* **Paglalagay sa loob ng PUV:** Sa isip, ang pet carrier ay dapat nasa tabi ng may-ari at hindi pinabayaan [LTFRB releases added guidelines for carrying pets in public utility vehicles, Inquirer.net]. 
* **Ang mga itinalagang kompartamento ng hayop ay hindi isang garantiya:** Bagama't binanggit ng mas lumang LTFRB memo ang mga itinalagang kompartamento ng hayop, ang katotohanan ay karamihan sa mga PUV ay kulang sa mga ito na may maayos na bentilasyon [LTFRB ay naglabas ng mga karagdagang alituntunin para sa pagdadala ng mga alagang hayop sa mga pampublikong sasakyan, Inquirer.net ].
* **Kalinisan at Kalinisan:** Ang alagang hayop ay dapat magsuot ng lampin upang mapanatili ang kalinisan sa buong paglalakbay [LTFRB ay naglalabas ng add'l guidelines sa pagpapahintulot ng mga alagang hayop sa PUVs, Philippine News Agency].
* **Mga paghihigpit sa laki:** Ang mga maliliit at katamtamang laki ng mga aso lamang ang pinapayagan [Naglabas ang LTFRB ng mga karagdagang alituntunin para sa pagdadala ng mga alagang hayop sa mga pampublikong sasakyan, Inquirer.net]. 
* **Pamasahe ng alagang hayop:** Ang alagang hayop ay itinuturing na karagdagang pasahero at kailangang magbayad ng pamasahe na katumbas ng isang regular na upuan ng pasahero [LTFRB issue add'l guidelines on allowing pets in PUVs, Philippine News Agency].
**Para sa pagdadala ng mga alagang hayop sa mga pribadong sasakyan, walang itinatag na mga regulasyon. Gayunpaman, lubos na inirerekomenda ang sentido komun at mga pag-iingat sa kaligtasan.** Kabilang dito ang paggamit ng pet harness o carrier, pagtiyak ng maayos na bentilasyon, pagpapahinga sa mahabang paglalakbay, at hindi kailanman iiwan ang iyong alagang hayop na walang nag-aalaga sa naka-park na sasakyan. </v>
      </c>
      <c r="F2910" s="2">
        <f t="shared" si="1"/>
        <v>0</v>
      </c>
      <c r="G2910" s="2"/>
      <c r="H2910" s="2"/>
      <c r="I2910" s="2"/>
      <c r="J2910" s="2"/>
      <c r="K2910" s="2"/>
      <c r="L2910" s="2"/>
      <c r="M2910" s="2"/>
      <c r="N2910" s="2"/>
      <c r="O2910" s="2"/>
      <c r="P2910" s="2"/>
      <c r="Q2910" s="2"/>
      <c r="R2910" s="2"/>
      <c r="S2910" s="2"/>
      <c r="T2910" s="2"/>
      <c r="U2910" s="2"/>
      <c r="V2910" s="2"/>
      <c r="W2910" s="2"/>
      <c r="X2910" s="2"/>
      <c r="Y2910" s="2"/>
      <c r="Z2910" s="2"/>
      <c r="AA2910" s="2"/>
    </row>
    <row r="2911">
      <c r="A2911" s="3" t="s">
        <v>6762</v>
      </c>
      <c r="B2911" s="1" t="s">
        <v>6796</v>
      </c>
      <c r="C2911" s="3" t="s">
        <v>6797</v>
      </c>
      <c r="D2911" s="2" t="str">
        <f>IFERROR(__xludf.DUMMYFUNCTION("GOOGLETRANSLATE(B2911, ""en"", ""TL"")"),"Ano ang mga regulasyon para sa pagpapatakbo ng mga jeepney sa Pilipinas?")</f>
        <v>Ano ang mga regulasyon para sa pagpapatakbo ng mga jeepney sa Pilipinas?</v>
      </c>
      <c r="E2911" s="2" t="str">
        <f>IFERROR(__xludf.DUMMYFUNCTION("GOOGLETRANSLATE(C2911, ""en"", ""TL"")"),"Mayroong ilang mga regulasyon na naaangkop sa pagpapatakbo ng mga jeepney sa Pilipinas. Narito ang isang breakdown mula sa mga pinagmumulan ng batas ng Pilipinas:
**Republic Act No. 4136 na kilala rin bilang ""Land Transportation and Franchising Code"""&amp;"** ay nagtatatag ng Land Transportation Franchising and Regulatory Board (LTFRB) at nagbibigay ng awtoridad nito sa mga jeepney bilang public utility vehicles (PUVs).
Ang **LTFRB Memorandum Circulars and Resolutions** ay nagbibigay ng mga tiyak na regu"&amp;"lasyon para sa mga operasyon ng jeepney. Narito ang ilang mahahalagang punto:
* **Requirement sa Franchise:** Ang isang jeepney ay nangangailangan ng valid Certificate of Public Convenience (CPC) na inisyu ng LTFRB para legal na gumana [LTFRB implement"&amp;"s heavy penalties vs 'colorum', other violations, Manila Bulletin].
* **Driver's License and Qualifications:** Ang mga driver ay dapat magkaroon ng professional driver's license na may naaangkop na code para sa partikular na uri ng jeepney (hal., Kateg"&amp;"orya 3 para sa mga jeepney). Kinakailangan din silang sumailalim sa mandatory seminars on road safety and regulations [LTFRB conducts surprise drug test on bus, jeepney drivers, Philippine News Agency].
* **Roadworthiness:** Ang mga jeepney ay kailanga"&amp;"ng pumasa sa mga regular na inspeksyon upang matiyak na sumusunod sila sa mga pamantayan sa kaligtasan na itinakda ng LTFRB. Sinasaklaw nito ang kondisyon ng sasakyan, kalidad ng gulong, at mga ipinag-uutos na feature tulad ng gumaganang mga headlight, ta"&amp;"illights, at brake lights [LTFRB implements heavy penalties vs 'colorum', other violations, Manila Bulletin].
* **Passenger Capacity at Fare Rates:** Ang LTFRB ang nagdidikta ng pinakamataas na kapasidad ng pasahero para sa bawat uri ng jeepney. Ang mg"&amp;"a rate ng pamasahe ay kinokontrol din at kitang-kita sa loob ng jeepney [Inaprubahan ng LTFRB ang P2 minimum na pagtaas ng pamasahe sa dyip sa Metro Manila, Philstar.com].
* **Mga Itinalagang Paghinto at Ruta:** Ang mga jeepney ay kinakailangang sundan"&amp;" ang mga itinalagang ruta at huminto lamang sa mga awtorisadong lugar ng pagkarga at pagbaba ng karga upang maiwasan ang pagsisikip ng trapiko [Seksyon 6. Mga Parusa, Republic Act No. 11235 o ang ""Anti-Distracted Driving Act"" ].
**Public Utility Vehi"&amp;"cle Modernization Program (PUVMP):** Layunin ng programang ito ng Department of Transportation (DOTr) na gawing moderno ang mga jeepney. Bagama't hindi puro legal na regulasyon, mahalagang isaalang-alang ang:
* **Phasing Out Old Jeepneys:** Ang PUVMP a"&amp;"y nag-uutos sa unti-unting pag-phase-out ng mga jeepney na lampas sa 15 taong gulang. Ang mga ito ay pinalitan ng Euro 4-compliant o electric jeepneys [Jeepneys, Backbone of Public Transport in Philippines, Face Modernization by Government, Asia Pacific]."&amp;"
* **Mga Bagong Tampok ng Jeepney:** Maaaring may kasamang mga feature tulad ng CCTV camera, automated fare collection system, speed limiter, at GPS monitor ang mga modernized jeepney [Public Utility Vehicle Modernization Program, Wikipedia].
**Tand"&amp;"aan:** Ito ay hindi isang kumpletong listahan, at ang mga regulasyon ay maaaring umunlad. Maipapayo na kumonsulta sa website ng LTFRB o isang abogado na dalubhasa sa batas sa transportasyon para sa pinakabagong impormasyon. ")</f>
        <v>Mayroong ilang mga regulasyon na naaangkop sa pagpapatakbo ng mga jeepney sa Pilipinas. Narito ang isang breakdown mula sa mga pinagmumulan ng batas ng Pilipinas:
**Republic Act No. 4136 na kilala rin bilang "Land Transportation and Franchising Code"** ay nagtatatag ng Land Transportation Franchising and Regulatory Board (LTFRB) at nagbibigay ng awtoridad nito sa mga jeepney bilang public utility vehicles (PUVs).
Ang **LTFRB Memorandum Circulars and Resolutions** ay nagbibigay ng mga tiyak na regulasyon para sa mga operasyon ng jeepney. Narito ang ilang mahahalagang punto:
* **Requirement sa Franchise:** Ang isang jeepney ay nangangailangan ng valid Certificate of Public Convenience (CPC) na inisyu ng LTFRB para legal na gumana [LTFRB implements heavy penalties vs 'colorum', other violations, Manila Bulletin].
* **Driver's License and Qualifications:** Ang mga driver ay dapat magkaroon ng professional driver's license na may naaangkop na code para sa partikular na uri ng jeepney (hal., Kategorya 3 para sa mga jeepney). Kinakailangan din silang sumailalim sa mandatory seminars on road safety and regulations [LTFRB conducts surprise drug test on bus, jeepney drivers, Philippine News Agency].
* **Roadworthiness:** Ang mga jeepney ay kailangang pumasa sa mga regular na inspeksyon upang matiyak na sumusunod sila sa mga pamantayan sa kaligtasan na itinakda ng LTFRB. Sinasaklaw nito ang kondisyon ng sasakyan, kalidad ng gulong, at mga ipinag-uutos na feature tulad ng gumaganang mga headlight, taillights, at brake lights [LTFRB implements heavy penalties vs 'colorum', other violations, Manila Bulletin].
* **Passenger Capacity at Fare Rates:** Ang LTFRB ang nagdidikta ng pinakamataas na kapasidad ng pasahero para sa bawat uri ng jeepney. Ang mga rate ng pamasahe ay kinokontrol din at kitang-kita sa loob ng jeepney [Inaprubahan ng LTFRB ang P2 minimum na pagtaas ng pamasahe sa dyip sa Metro Manila, Philstar.com].
* **Mga Itinalagang Paghinto at Ruta:** Ang mga jeepney ay kinakailangang sundan ang mga itinalagang ruta at huminto lamang sa mga awtorisadong lugar ng pagkarga at pagbaba ng karga upang maiwasan ang pagsisikip ng trapiko [Seksyon 6. Mga Parusa, Republic Act No. 11235 o ang "Anti-Distracted Driving Act" ].
**Public Utility Vehicle Modernization Program (PUVMP):** Layunin ng programang ito ng Department of Transportation (DOTr) na gawing moderno ang mga jeepney. Bagama't hindi puro legal na regulasyon, mahalagang isaalang-alang ang:
* **Phasing Out Old Jeepneys:** Ang PUVMP ay nag-uutos sa unti-unting pag-phase-out ng mga jeepney na lampas sa 15 taong gulang. Ang mga ito ay pinalitan ng Euro 4-compliant o electric jeepneys [Jeepneys, Backbone of Public Transport in Philippines, Face Modernization by Government, Asia Pacific].
* **Mga Bagong Tampok ng Jeepney:** Maaaring may kasamang mga feature tulad ng CCTV camera, automated fare collection system, speed limiter, at GPS monitor ang mga modernized jeepney [Public Utility Vehicle Modernization Program, Wikipedia].
**Tandaan:** Ito ay hindi isang kumpletong listahan, at ang mga regulasyon ay maaaring umunlad. Maipapayo na kumonsulta sa website ng LTFRB o isang abogado na dalubhasa sa batas sa transportasyon para sa pinakabagong impormasyon. </v>
      </c>
      <c r="F2911" s="2">
        <f t="shared" si="1"/>
        <v>0</v>
      </c>
      <c r="G2911" s="2"/>
      <c r="H2911" s="2"/>
      <c r="I2911" s="2"/>
      <c r="J2911" s="2"/>
      <c r="K2911" s="2"/>
      <c r="L2911" s="2"/>
      <c r="M2911" s="2"/>
      <c r="N2911" s="2"/>
      <c r="O2911" s="2"/>
      <c r="P2911" s="2"/>
      <c r="Q2911" s="2"/>
      <c r="R2911" s="2"/>
      <c r="S2911" s="2"/>
      <c r="T2911" s="2"/>
      <c r="U2911" s="2"/>
      <c r="V2911" s="2"/>
      <c r="W2911" s="2"/>
      <c r="X2911" s="2"/>
      <c r="Y2911" s="2"/>
      <c r="Z2911" s="2"/>
      <c r="AA2911" s="2"/>
    </row>
    <row r="2912">
      <c r="A2912" s="3" t="s">
        <v>6762</v>
      </c>
      <c r="B2912" s="1" t="s">
        <v>6798</v>
      </c>
      <c r="C2912" s="3" t="s">
        <v>6799</v>
      </c>
      <c r="D2912" s="2" t="str">
        <f>IFERROR(__xludf.DUMMYFUNCTION("GOOGLETRANSLATE(B2912, ""en"", ""TL"")"),"Ano ang mga batas tungkol sa paggamit ng mga headlight at iba pang kagamitan sa pag-iilaw sa mga sasakyan?")</f>
        <v>Ano ang mga batas tungkol sa paggamit ng mga headlight at iba pang kagamitan sa pag-iilaw sa mga sasakyan?</v>
      </c>
      <c r="E2912" s="2" t="str">
        <f>IFERROR(__xludf.DUMMYFUNCTION("GOOGLETRANSLATE(C2912, ""en"", ""TL"")"),"Ang batas tungkol sa paggamit ng mga headlight at iba pang kagamitan sa pag-iilaw sa mga sasakyan sa Pilipinas ay makikita sa Republic Act No. 4136, na kilala rin bilang Land Transportation and Traffic Code. Narito ang isang breakdown ng mga nauugnay na s"&amp;"eksyon:
* **Seksyon 6** **Mga Headlight:**
  * **Nalalapat sa:** Nalalapat ang seksyong ito sa lahat ng sasakyang de-motor na may lapad na lampas sa isang metro.
  * **Kailangan:** Ang bawat naturang sasakyan ay dapat may dalawang headlight, isa sa"&amp;" bawat gilid, na may puti o madilaw na liwanag na nakikita mula sa harap.
  * **Kailan gagamitin:** Dapat nakailaw ang mga headlight:
      * Hindi lalampas sa kalahating oras pagkatapos ng paglubog ng araw.
      * Hanggang sa hindi bababa sa kalahati"&amp;"ng oras bago sumikat ang araw.
      * Sa tuwing kinakailangan ng mga kondisyon ng panahon (hal., hamog na ulap, malakas na ulan).
* **Hindi nabanggit ngunit ipinahiwatig:** 
  * Mga Taillight: Bagama't hindi tahasang binanggit sa Seksyon 6, ang mga "&amp;"taillight ay karaniwang itinuturing na mahalaga para sa pagmamaneho sa gabi at malamang na ipinag-uutos sa ilalim ng pangkalahatang mga regulasyon sa kaligtasan sa kalsada.
**Mga Karagdagang Regulasyon:**
* **Dimming Headlights:** Bagama't hindi bah"&amp;"agi ng RA 4136, malamang na umiiral ang ibang mga regulasyon. Karaniwang kaugalian at malamang na ipinag-uutos ng mga memorandum ng LTFRB na idilim ang mga headlight o ikiling pababa ang mga beam:
    * Kapag nagpapatakbo sa mga lansangan na may maliwana"&amp;"g na ilaw sa loob ng mga lungsod o populated na lugar.
    * Kapag nakikipagkita sa ibang sasakyan sa anumang pampublikong highway.
**Paghahanap ng higit pang mga detalye:**
* **LTFRB Memorandum:** Ang mga memorandum na ito ay maaaring magbigay ng "&amp;"mas partikular na mga detalye sa paggamit ng headlight at iba pang mga lighting device para sa iba't ibang uri ng sasakyan. Maaari mong tingnan ang website ng LTFRB para sa mga ito.
**Mahalagang Paalala:** Hindi ito kapalit ng legal na payo. Para sa is"&amp;"ang komprehensibong pag-unawa sa lahat ng mga regulasyon tungkol sa pag-iilaw ng sasakyan, kumunsulta sa isang abogado na dalubhasa sa batas sa transportasyon. ")</f>
        <v>Ang batas tungkol sa paggamit ng mga headlight at iba pang kagamitan sa pag-iilaw sa mga sasakyan sa Pilipinas ay makikita sa Republic Act No. 4136, na kilala rin bilang Land Transportation and Traffic Code. Narito ang isang breakdown ng mga nauugnay na seksyon:
* **Seksyon 6** **Mga Headlight:**
  * **Nalalapat sa:** Nalalapat ang seksyong ito sa lahat ng sasakyang de-motor na may lapad na lampas sa isang metro.
  * **Kailangan:** Ang bawat naturang sasakyan ay dapat may dalawang headlight, isa sa bawat gilid, na may puti o madilaw na liwanag na nakikita mula sa harap.
  * **Kailan gagamitin:** Dapat nakailaw ang mga headlight:
      * Hindi lalampas sa kalahating oras pagkatapos ng paglubog ng araw.
      * Hanggang sa hindi bababa sa kalahating oras bago sumikat ang araw.
      * Sa tuwing kinakailangan ng mga kondisyon ng panahon (hal., hamog na ulap, malakas na ulan).
* **Hindi nabanggit ngunit ipinahiwatig:** 
  * Mga Taillight: Bagama't hindi tahasang binanggit sa Seksyon 6, ang mga taillight ay karaniwang itinuturing na mahalaga para sa pagmamaneho sa gabi at malamang na ipinag-uutos sa ilalim ng pangkalahatang mga regulasyon sa kaligtasan sa kalsada.
**Mga Karagdagang Regulasyon:**
* **Dimming Headlights:** Bagama't hindi bahagi ng RA 4136, malamang na umiiral ang ibang mga regulasyon. Karaniwang kaugalian at malamang na ipinag-uutos ng mga memorandum ng LTFRB na idilim ang mga headlight o ikiling pababa ang mga beam:
    * Kapag nagpapatakbo sa mga lansangan na may maliwanag na ilaw sa loob ng mga lungsod o populated na lugar.
    * Kapag nakikipagkita sa ibang sasakyan sa anumang pampublikong highway.
**Paghahanap ng higit pang mga detalye:**
* **LTFRB Memorandum:** Ang mga memorandum na ito ay maaaring magbigay ng mas partikular na mga detalye sa paggamit ng headlight at iba pang mga lighting device para sa iba't ibang uri ng sasakyan. Maaari mong tingnan ang website ng LTFRB para sa mga ito.
**Mahalagang Paalala:** Hindi ito kapalit ng legal na payo. Para sa isang komprehensibong pag-unawa sa lahat ng mga regulasyon tungkol sa pag-iilaw ng sasakyan, kumunsulta sa isang abogado na dalubhasa sa batas sa transportasyon. </v>
      </c>
      <c r="F2912" s="2">
        <f t="shared" si="1"/>
        <v>0</v>
      </c>
      <c r="G2912" s="2"/>
      <c r="H2912" s="2"/>
      <c r="I2912" s="2"/>
      <c r="J2912" s="2"/>
      <c r="K2912" s="2"/>
      <c r="L2912" s="2"/>
      <c r="M2912" s="2"/>
      <c r="N2912" s="2"/>
      <c r="O2912" s="2"/>
      <c r="P2912" s="2"/>
      <c r="Q2912" s="2"/>
      <c r="R2912" s="2"/>
      <c r="S2912" s="2"/>
      <c r="T2912" s="2"/>
      <c r="U2912" s="2"/>
      <c r="V2912" s="2"/>
      <c r="W2912" s="2"/>
      <c r="X2912" s="2"/>
      <c r="Y2912" s="2"/>
      <c r="Z2912" s="2"/>
      <c r="AA2912" s="2"/>
    </row>
    <row r="2913">
      <c r="A2913" s="3" t="s">
        <v>6762</v>
      </c>
      <c r="B2913" s="1" t="s">
        <v>6800</v>
      </c>
      <c r="C2913" s="3" t="s">
        <v>6801</v>
      </c>
      <c r="D2913" s="2" t="str">
        <f>IFERROR(__xludf.DUMMYFUNCTION("GOOGLETRANSLATE(B2913, ""en"", ""TL"")"),"Ano ang mga parusa sa pagmamaneho nang walang valid driver's license sa Pilipinas?")</f>
        <v>Ano ang mga parusa sa pagmamaneho nang walang valid driver's license sa Pilipinas?</v>
      </c>
      <c r="E2913" s="2" t="str">
        <f>IFERROR(__xludf.DUMMYFUNCTION("GOOGLETRANSLATE(C2913, ""en"", ""TL"")"),"Sa Pilipinas, ang pagmamaneho nang walang balidong lisensya sa pagmamaneho ay isang paglabag sa ilalim ng Republic Act No. 4136, na kilala rin bilang Land Transportation and Traffic Code. Narito ang isinasaad ng batas:
* **Seksyon 21:** Ang seksyong it"&amp;"o ay nangangailangan ng mga driver na magkaroon ng lisensya sa pagmamaneho na naaayon sa uri ng sasakyang de-motor na kanilang pinapatakbo.
* **Mga Parusa:** Ang partikular na probisyon ng parusa ay hindi binanggit sa Seksyon 21. Gayunpaman:
   * **Mg"&amp;"a multa sa LTO:** Ang Land Transportation Office (LTO) ay nagpapataw ng multa na **₱3,000** para sa pagmamaneho nang walang lisensya [Mga Paglabag at Parusa ng LTO noong 2023: Listahan ng mga Pagmumulta, Moneymax].
Narito kung ano pa ang dapat isaalang"&amp;"-alang:
* **Iba pang katumbas na aksyon:** Ang ₱3,000 na multa ay nalalapat hindi lamang sa pagmamaneho nang walang lisensya kundi pati na rin sa mga sitwasyon kung saan mayroon kang:
    * Isang **expired** na lisensya sa pagmamaneho
    * Isang **n"&amp;"asuspinde** na lisensya sa pagmamaneho
    * Isang **binawi** ang lisensya sa pagmamaneho
    * Isang **pekeng** lisensya sa pagmamaneho
* **Student Permit Holders:** Kung mayroon kang student permit ngunit nahuling nagmamaneho nang walang lisensyado"&amp;"ng driver na kasama mo, mapaparusahan ka rin ng ₱3,000 na multa [Ano ang mangyayari kung mahuli kang nagmamaneho nang walang lisensya, Zigwheels].
* **Pag-impound ng Sasakyan:** Sa ilang mga kaso, maaaring hilahin at i-impound ng mga awtoridad ang iyon"&amp;"g sasakyan, lalo na kung peke ang iyong lisensya o kung hindi ka makapagpakita ng anumang valid na dokumentasyon ng lisensya [Ano ang mga kahihinatnan ng pagmamaneho nang walang lisensya sa Pilipinas, AutoDeal ].
**Mahalagang Tandaan:**
* Ang imporm"&amp;"asyong ito ay para sa pangkalahatang kaalaman at hindi dapat ituring na legal na payo. 
* Maaaring mag-iba ang partikular na parusa depende sa mga pangyayari ng paglabag.
* Para sa isang komprehensibong pag-unawa sa mga legalidad at mga potensyal na kah"&amp;"ihinatnan, kumunsulta sa isang abogado na dalubhasa sa batas trapiko.
")</f>
        <v>Sa Pilipinas, ang pagmamaneho nang walang balidong lisensya sa pagmamaneho ay isang paglabag sa ilalim ng Republic Act No. 4136, na kilala rin bilang Land Transportation and Traffic Code. Narito ang isinasaad ng batas:
* **Seksyon 21:** Ang seksyong ito ay nangangailangan ng mga driver na magkaroon ng lisensya sa pagmamaneho na naaayon sa uri ng sasakyang de-motor na kanilang pinapatakbo.
* **Mga Parusa:** Ang partikular na probisyon ng parusa ay hindi binanggit sa Seksyon 21. Gayunpaman:
   * **Mga multa sa LTO:** Ang Land Transportation Office (LTO) ay nagpapataw ng multa na **₱3,000** para sa pagmamaneho nang walang lisensya [Mga Paglabag at Parusa ng LTO noong 2023: Listahan ng mga Pagmumulta, Moneymax].
Narito kung ano pa ang dapat isaalang-alang:
* **Iba pang katumbas na aksyon:** Ang ₱3,000 na multa ay nalalapat hindi lamang sa pagmamaneho nang walang lisensya kundi pati na rin sa mga sitwasyon kung saan mayroon kang:
    * Isang **expired** na lisensya sa pagmamaneho
    * Isang **nasuspinde** na lisensya sa pagmamaneho
    * Isang **binawi** ang lisensya sa pagmamaneho
    * Isang **pekeng** lisensya sa pagmamaneho
* **Student Permit Holders:** Kung mayroon kang student permit ngunit nahuling nagmamaneho nang walang lisensyadong driver na kasama mo, mapaparusahan ka rin ng ₱3,000 na multa [Ano ang mangyayari kung mahuli kang nagmamaneho nang walang lisensya, Zigwheels].
* **Pag-impound ng Sasakyan:** Sa ilang mga kaso, maaaring hilahin at i-impound ng mga awtoridad ang iyong sasakyan, lalo na kung peke ang iyong lisensya o kung hindi ka makapagpakita ng anumang valid na dokumentasyon ng lisensya [Ano ang mga kahihinatnan ng pagmamaneho nang walang lisensya sa Pilipinas, AutoDeal ].
**Mahalagang Tandaan:**
* Ang impormasyong ito ay para sa pangkalahatang kaalaman at hindi dapat ituring na legal na payo. 
* Maaaring mag-iba ang partikular na parusa depende sa mga pangyayari ng paglabag.
* Para sa isang komprehensibong pag-unawa sa mga legalidad at mga potensyal na kahihinatnan, kumunsulta sa isang abogado na dalubhasa sa batas trapiko.
</v>
      </c>
      <c r="F2913" s="2">
        <f t="shared" si="1"/>
        <v>0</v>
      </c>
      <c r="G2913" s="2"/>
      <c r="H2913" s="2"/>
      <c r="I2913" s="2"/>
      <c r="J2913" s="2"/>
      <c r="K2913" s="2"/>
      <c r="L2913" s="2"/>
      <c r="M2913" s="2"/>
      <c r="N2913" s="2"/>
      <c r="O2913" s="2"/>
      <c r="P2913" s="2"/>
      <c r="Q2913" s="2"/>
      <c r="R2913" s="2"/>
      <c r="S2913" s="2"/>
      <c r="T2913" s="2"/>
      <c r="U2913" s="2"/>
      <c r="V2913" s="2"/>
      <c r="W2913" s="2"/>
      <c r="X2913" s="2"/>
      <c r="Y2913" s="2"/>
      <c r="Z2913" s="2"/>
      <c r="AA2913" s="2"/>
    </row>
    <row r="2914">
      <c r="A2914" s="3" t="s">
        <v>6762</v>
      </c>
      <c r="B2914" s="1" t="s">
        <v>6802</v>
      </c>
      <c r="C2914" s="3" t="s">
        <v>6803</v>
      </c>
      <c r="D2914" s="2" t="str">
        <f>IFERROR(__xludf.DUMMYFUNCTION("GOOGLETRANSLATE(B2914, ""en"", ""TL"")"),"Ano ang mga regulasyon para sa pagpapatakbo ng mga taxi sa Pilipinas?")</f>
        <v>Ano ang mga regulasyon para sa pagpapatakbo ng mga taxi sa Pilipinas?</v>
      </c>
      <c r="E2914" s="2" t="str">
        <f>IFERROR(__xludf.DUMMYFUNCTION("GOOGLETRANSLATE(C2914, ""en"", ""TL"")"),"Ang mga regulasyon para sa pagpapatakbo ng mga taxi sa Pilipinas ay nagmula sa kumbinasyon ng mga mapagkukunan:
* **Republic Act No. 4136** (Land Transportation and Franchising Code): Itinatag ng Batas na ito ang Land Transportation Franchising and Reg"&amp;"ulatory Board (LTFRB) na namamahala sa mga taxi bilang Public Utility Vehicles (PUVs).
* **Mga Circular at Resolution ng Memorandum ng LTFRB:** Ang mga ito ay nagbibigay ng mga partikular na regulasyon para sa mga operasyon ng taxi. Narito ang ilang ma"&amp;"hahalagang punto:
    * **Requirement sa Franchise:** Kailangan ng taxi ng valid Certificate of Public Convenience (CPC) na inisyu ng LTFRB [LTFRB implements heavy penalties vs 'colorum', other violations, Manila Bulletin].
    * **Driver's License "&amp;"and Qualifications:** Ang mga driver ay dapat magkaroon ng professional driver's license na may code para sa mga taxi (hal., Kategorya 2 para sa mga taxi). Kinakailangan din silang sumailalim sa mandatory seminars on road safety and regulations [LTFRB con"&amp;"ducts surprise drug test on bus, jeepney drivers, Philippine News Agency].
    * **Mga Kinakailangan sa Sasakyan:** Dapat matugunan ng mga taxi ang mga partikular na pamantayan ng sasakyan. Kabilang dito ang mga tampok tulad ng:
        * **Metered fa"&amp;"re system:** Ang taxi ay dapat may naka-calibrate at selyadong metro para matiyak ang patas na presyo [LTFRB-MC-No-2020-018.pdf, UP College of Law]
        * **Tamang signage:** Ang taxi ay dapat may nakikitang ""Taxi"" na karatula at mga marka na nagpap"&amp;"ahiwatig ng impormasyon ng prangkisa [LTFRB-MC-No-2020-018.pdf, UP College of Law]
        * **GPS/Navigation System:** Bagama't hindi palaging sapilitan, maaaring kailanganin ng ilang regulasyon ng LTFRB o franchise agreement [LTFRB-MC-No-2020-018.pdf, "&amp;"UP College of Law]
    * **Passenger Capacity:** Ang LTFRB ang nagdidikta ng maximum na bilang ng mga pasaherong pinapayagan sa isang taxi (karaniwang 4 na pasahero) [LTFRB naglalabas ng mga alituntunin para sa TNVS, mga operator ng taxi sa mga lugar n"&amp;"a nasa ilalim ng GCQ, Inquirer.net].
    * **Fare Rates:** Fare rates are regulated by the LTFRB and prominently displayed inside the taxi [LTFRB approve P2 minimum jeepney fare hike in Metro Manila, Philstar.com].
    * **Mga Itinalagang Paghinto a"&amp;"t Ruta:** Bagama't ang mga taxi ay may higit na kakayahang umangkop kumpara sa mga jeepney, ang ilang mga regulasyon ay maaaring magtalaga ng mga partikular na taxi stand o limitahan ang operasyon sa loob ng isang partikular na lugar [LTFRB Memorandum Cir"&amp;"culars, maaaring mag-iba ang mga partikular na detalye].
* **Mga regulasyon ng Department of Transportation (DOTr):**
    * **Public Utility Vehicle Modernization Program (PUVMP):** Layunin ng programang ito na gawing moderno ang mga taxi. Bagama't "&amp;"hindi puro legal na regulasyon, mahalagang isaalang-alang ang:
        * **Phasing Out Old Taxis:** Maaaring i-utos ng PUVMP ang unti-unting pag-phase-out ng mga taxi na lampas sa isang tiyak na edad. Ang mga ito ay pinalitan ng Euro 4-compliant o electr"&amp;"ic taxis [Jeepneys, Backbone of Public Transport in Philippines, Face Modernization by Government, Asia Pacific].
        * **Bagong Taxi Features:** Ang mga modernized na taxi ay maaaring may kasamang mga feature tulad ng CCTV camera, automated fare col"&amp;"lection system, at GPS monitor [Public Utility Vehicle Modernization Program, Wikipedia].
**Paghahanap ng pinakabagong impormasyon:**
* **Website ng LTFRB:** Ang website na ito ay isang magandang mapagkukunan para sa pinakabagong mga regulasyon sa p"&amp;"agpapatakbo ng taxi website ng LTFRB: [inalis ang invalid na URL] 
* **Pagkonsulta sa isang abogado:** Ang isang abogado na dalubhasa sa batas sa transportasyon ay maaaring magbigay ng pinaka-up-to-date at komprehensibong pag-unawa sa mga regulasyong par"&amp;"tikular sa iyong sitwasyon.
")</f>
        <v>Ang mga regulasyon para sa pagpapatakbo ng mga taxi sa Pilipinas ay nagmula sa kumbinasyon ng mga mapagkukunan:
* **Republic Act No. 4136** (Land Transportation and Franchising Code): Itinatag ng Batas na ito ang Land Transportation Franchising and Regulatory Board (LTFRB) na namamahala sa mga taxi bilang Public Utility Vehicles (PUVs).
* **Mga Circular at Resolution ng Memorandum ng LTFRB:** Ang mga ito ay nagbibigay ng mga partikular na regulasyon para sa mga operasyon ng taxi. Narito ang ilang mahahalagang punto:
    * **Requirement sa Franchise:** Kailangan ng taxi ng valid Certificate of Public Convenience (CPC) na inisyu ng LTFRB [LTFRB implements heavy penalties vs 'colorum', other violations, Manila Bulletin].
    * **Driver's License and Qualifications:** Ang mga driver ay dapat magkaroon ng professional driver's license na may code para sa mga taxi (hal., Kategorya 2 para sa mga taxi). Kinakailangan din silang sumailalim sa mandatory seminars on road safety and regulations [LTFRB conducts surprise drug test on bus, jeepney drivers, Philippine News Agency].
    * **Mga Kinakailangan sa Sasakyan:** Dapat matugunan ng mga taxi ang mga partikular na pamantayan ng sasakyan. Kabilang dito ang mga tampok tulad ng:
        * **Metered fare system:** Ang taxi ay dapat may naka-calibrate at selyadong metro para matiyak ang patas na presyo [LTFRB-MC-No-2020-018.pdf, UP College of Law]
        * **Tamang signage:** Ang taxi ay dapat may nakikitang "Taxi" na karatula at mga marka na nagpapahiwatig ng impormasyon ng prangkisa [LTFRB-MC-No-2020-018.pdf, UP College of Law]
        * **GPS/Navigation System:** Bagama't hindi palaging sapilitan, maaaring kailanganin ng ilang regulasyon ng LTFRB o franchise agreement [LTFRB-MC-No-2020-018.pdf, UP College of Law]
    * **Passenger Capacity:** Ang LTFRB ang nagdidikta ng maximum na bilang ng mga pasaherong pinapayagan sa isang taxi (karaniwang 4 na pasahero) [LTFRB naglalabas ng mga alituntunin para sa TNVS, mga operator ng taxi sa mga lugar na nasa ilalim ng GCQ, Inquirer.net].
    * **Fare Rates:** Fare rates are regulated by the LTFRB and prominently displayed inside the taxi [LTFRB approve P2 minimum jeepney fare hike in Metro Manila, Philstar.com].
    * **Mga Itinalagang Paghinto at Ruta:** Bagama't ang mga taxi ay may higit na kakayahang umangkop kumpara sa mga jeepney, ang ilang mga regulasyon ay maaaring magtalaga ng mga partikular na taxi stand o limitahan ang operasyon sa loob ng isang partikular na lugar [LTFRB Memorandum Circulars, maaaring mag-iba ang mga partikular na detalye].
* **Mga regulasyon ng Department of Transportation (DOTr):**
    * **Public Utility Vehicle Modernization Program (PUVMP):** Layunin ng programang ito na gawing moderno ang mga taxi. Bagama't hindi puro legal na regulasyon, mahalagang isaalang-alang ang:
        * **Phasing Out Old Taxis:** Maaaring i-utos ng PUVMP ang unti-unting pag-phase-out ng mga taxi na lampas sa isang tiyak na edad. Ang mga ito ay pinalitan ng Euro 4-compliant o electric taxis [Jeepneys, Backbone of Public Transport in Philippines, Face Modernization by Government, Asia Pacific].
        * **Bagong Taxi Features:** Ang mga modernized na taxi ay maaaring may kasamang mga feature tulad ng CCTV camera, automated fare collection system, at GPS monitor [Public Utility Vehicle Modernization Program, Wikipedia].
**Paghahanap ng pinakabagong impormasyon:**
* **Website ng LTFRB:** Ang website na ito ay isang magandang mapagkukunan para sa pinakabagong mga regulasyon sa pagpapatakbo ng taxi website ng LTFRB: [inalis ang invalid na URL] 
* **Pagkonsulta sa isang abogado:** Ang isang abogado na dalubhasa sa batas sa transportasyon ay maaaring magbigay ng pinaka-up-to-date at komprehensibong pag-unawa sa mga regulasyong partikular sa iyong sitwasyon.
</v>
      </c>
      <c r="F2914" s="2">
        <f t="shared" si="1"/>
        <v>0</v>
      </c>
      <c r="G2914" s="2"/>
      <c r="H2914" s="2"/>
      <c r="I2914" s="2"/>
      <c r="J2914" s="2"/>
      <c r="K2914" s="2"/>
      <c r="L2914" s="2"/>
      <c r="M2914" s="2"/>
      <c r="N2914" s="2"/>
      <c r="O2914" s="2"/>
      <c r="P2914" s="2"/>
      <c r="Q2914" s="2"/>
      <c r="R2914" s="2"/>
      <c r="S2914" s="2"/>
      <c r="T2914" s="2"/>
      <c r="U2914" s="2"/>
      <c r="V2914" s="2"/>
      <c r="W2914" s="2"/>
      <c r="X2914" s="2"/>
      <c r="Y2914" s="2"/>
      <c r="Z2914" s="2"/>
      <c r="AA2914" s="2"/>
    </row>
    <row r="2915">
      <c r="A2915" s="3" t="s">
        <v>6762</v>
      </c>
      <c r="B2915" s="1" t="s">
        <v>6804</v>
      </c>
      <c r="C2915" s="3" t="s">
        <v>6805</v>
      </c>
      <c r="D2915" s="2" t="str">
        <f>IFERROR(__xludf.DUMMYFUNCTION("GOOGLETRANSLATE(B2915, ""en"", ""TL"")"),"Ano ang mga batas tungkol sa paggamit ng mga sungay at iba pang naririnig na babala sa mga sasakyan?")</f>
        <v>Ano ang mga batas tungkol sa paggamit ng mga sungay at iba pang naririnig na babala sa mga sasakyan?</v>
      </c>
      <c r="E2915" s="2" t="str">
        <f>IFERROR(__xludf.DUMMYFUNCTION("GOOGLETRANSLATE(C2915, ""en"", ""TL"")"),"Sa Pilipinas, ang mga batas tungkol sa paggamit ng mga sungay at iba pang naririnig na mga kagamitang babala sa mga sasakyan ay nagmula sa dalawang pangunahing pinagmumulan:
* **Republic Act No. 4136** (Land Transportation and Traffic Code): Ang Batas "&amp;"na ito ay nagbibigay ng pangkalahatang balangkas.
* **Presidential Decree No. 96:** Ang kautusang ito ay nagtatatag ng mas mahigpit na mga limitasyon sa paggamit at pag-install ng sungay.
Narito ang isang breakdown ng mga pangunahing punto:
**Rep"&amp;"ublic Act No. 4136 (RA 4136):**
* **Seksyon 6 (b-1): Mga sungay** 
    * Bawat sasakyang de-motor **dapat** ay may busina na gumagana nang maayos.
    * Ang tunog ng busina ay dapat marinig mula sa hindi bababa sa **200 talampakan (mga 61 metro)** sa"&amp;" ilalim ng normal na mga kondisyon.
    * Gayunpaman, ang busina ay hindi maaaring **napakalakas, nakakagulat, o hindi kaaya-aya**. 
**Dekreto ng Pangulo Blg. 96:**
* **Nakatuon sa pagpigil sa labis na ingay:** Nilalayon ng utos na ito na ayusin an"&amp;"g paggamit ng mga sungay na lumilikha ng hindi kinakailangang polusyon sa ingay.  
* **Mga Pagbabawal:**
    * Labag sa batas na mag-install o gumamit ng mga sungay na may **pambihirang malakas, nakakagulat, o hindi kanais-nais na mga tunog** sa anumang"&amp;" sasakyang de-motor. 
    * Kabilang dito ang mga sungay na gumagawa ng **whistles** o **sirens**.
* **Mga Parusa:**
    * Pinahihintulutan ng dekreto ang pagkumpiska ng anumang hindi awtorisadong busina o aparatong gumagawa ng ingay na naka-install sa"&amp;" isang sasakyan.
    * Ang mga umulit na nagkasala ay maaaring maharap **pagkakulong ng anim na buwan** at/o multa na **₱600**. 
    * Bukod pa rito, maaaring kanselahin o bawiin ang Sertipiko ng Pagpaparehistro ng sasakyan.
**Sa esensya:**
* Dapa"&amp;"t ay mayroon kang gumaganang busina, ngunit hindi ito maaaring masyadong malakas o lumikha ng hindi kasiya-siyang tunog. 
* Ang paggamit ng mga sungay na may sipol o sirena ay mahigpit na ipinagbabawal.
**Mga Karagdagang Punto:**
* Bagama't hindi t"&amp;"ahasang binanggit sa mga batas na ito, ang mga sungay ay dapat gamitin **makatwiran** at kapag **kinakailangan lamang para sa kaligtasan**.  
* Ang labis na pagbusina ay maaaring ituring na isang paglabag sa trapiko at maaaring magresulta sa mga parusa.
"&amp;"
* Ang mga yunit ng lokal na pamahalaan ay maaaring magkaroon ng karagdagang mga ordinansa tungkol sa paggamit ng sungay sa mga partikular na lugar. 
**Tandaan:** Ito ay para sa pangkalahatang kaalaman at hindi dapat maging kapalit ng legal na payo. ")</f>
        <v>Sa Pilipinas, ang mga batas tungkol sa paggamit ng mga sungay at iba pang naririnig na mga kagamitang babala sa mga sasakyan ay nagmula sa dalawang pangunahing pinagmumulan:
* **Republic Act No. 4136** (Land Transportation and Traffic Code): Ang Batas na ito ay nagbibigay ng pangkalahatang balangkas.
* **Presidential Decree No. 96:** Ang kautusang ito ay nagtatatag ng mas mahigpit na mga limitasyon sa paggamit at pag-install ng sungay.
Narito ang isang breakdown ng mga pangunahing punto:
**Republic Act No. 4136 (RA 4136):**
* **Seksyon 6 (b-1): Mga sungay** 
    * Bawat sasakyang de-motor **dapat** ay may busina na gumagana nang maayos.
    * Ang tunog ng busina ay dapat marinig mula sa hindi bababa sa **200 talampakan (mga 61 metro)** sa ilalim ng normal na mga kondisyon.
    * Gayunpaman, ang busina ay hindi maaaring **napakalakas, nakakagulat, o hindi kaaya-aya**. 
**Dekreto ng Pangulo Blg. 96:**
* **Nakatuon sa pagpigil sa labis na ingay:** Nilalayon ng utos na ito na ayusin ang paggamit ng mga sungay na lumilikha ng hindi kinakailangang polusyon sa ingay.  
* **Mga Pagbabawal:**
    * Labag sa batas na mag-install o gumamit ng mga sungay na may **pambihirang malakas, nakakagulat, o hindi kanais-nais na mga tunog** sa anumang sasakyang de-motor. 
    * Kabilang dito ang mga sungay na gumagawa ng **whistles** o **sirens**.
* **Mga Parusa:**
    * Pinahihintulutan ng dekreto ang pagkumpiska ng anumang hindi awtorisadong busina o aparatong gumagawa ng ingay na naka-install sa isang sasakyan.
    * Ang mga umulit na nagkasala ay maaaring maharap **pagkakulong ng anim na buwan** at/o multa na **₱600**. 
    * Bukod pa rito, maaaring kanselahin o bawiin ang Sertipiko ng Pagpaparehistro ng sasakyan.
**Sa esensya:**
* Dapat ay mayroon kang gumaganang busina, ngunit hindi ito maaaring masyadong malakas o lumikha ng hindi kasiya-siyang tunog. 
* Ang paggamit ng mga sungay na may sipol o sirena ay mahigpit na ipinagbabawal.
**Mga Karagdagang Punto:**
* Bagama't hindi tahasang binanggit sa mga batas na ito, ang mga sungay ay dapat gamitin **makatwiran** at kapag **kinakailangan lamang para sa kaligtasan**.  
* Ang labis na pagbusina ay maaaring ituring na isang paglabag sa trapiko at maaaring magresulta sa mga parusa.
* Ang mga yunit ng lokal na pamahalaan ay maaaring magkaroon ng karagdagang mga ordinansa tungkol sa paggamit ng sungay sa mga partikular na lugar. 
**Tandaan:** Ito ay para sa pangkalahatang kaalaman at hindi dapat maging kapalit ng legal na payo. </v>
      </c>
      <c r="F2915" s="2">
        <f t="shared" si="1"/>
        <v>0</v>
      </c>
      <c r="G2915" s="2"/>
      <c r="H2915" s="2"/>
      <c r="I2915" s="2"/>
      <c r="J2915" s="2"/>
      <c r="K2915" s="2"/>
      <c r="L2915" s="2"/>
      <c r="M2915" s="2"/>
      <c r="N2915" s="2"/>
      <c r="O2915" s="2"/>
      <c r="P2915" s="2"/>
      <c r="Q2915" s="2"/>
      <c r="R2915" s="2"/>
      <c r="S2915" s="2"/>
      <c r="T2915" s="2"/>
      <c r="U2915" s="2"/>
      <c r="V2915" s="2"/>
      <c r="W2915" s="2"/>
      <c r="X2915" s="2"/>
      <c r="Y2915" s="2"/>
      <c r="Z2915" s="2"/>
      <c r="AA2915" s="2"/>
    </row>
    <row r="2916">
      <c r="A2916" s="3" t="s">
        <v>6762</v>
      </c>
      <c r="B2916" s="1" t="s">
        <v>6806</v>
      </c>
      <c r="C2916" s="3" t="s">
        <v>6807</v>
      </c>
      <c r="D2916" s="2" t="str">
        <f>IFERROR(__xludf.DUMMYFUNCTION("GOOGLETRANSLATE(B2916, ""en"", ""TL"")"),"Ano ang mga parusa sa walang ingat na pagmamaneho sa Pilipinas?")</f>
        <v>Ano ang mga parusa sa walang ingat na pagmamaneho sa Pilipinas?</v>
      </c>
      <c r="E2916" s="2" t="str">
        <f>IFERROR(__xludf.DUMMYFUNCTION("GOOGLETRANSLATE(C2916, ""en"", ""TL"")"),"Sa Pilipinas, ang mga parusa sa walang ingat na pagmamaneho ay nakadepende sa kalubhaan ng pagkakasala at kung ito ay magreresulta sa anumang pinsala o pinsala. Narito ang isang breakdown batay sa batas ng Pilipinas:
* **Republic Act No. 4136** (Land T"&amp;"ransportation and Traffic Code): Bagama't hindi nito tahasang tinukoy ang reckless driving, binibigyang kapangyarihan nito ang Land Transportation Office (LTO) na hulihin ang mga lumalabag.
* **Pagtatak at Parusa ng LTO:** Ang LTO ay nagpapataw ng mult"&amp;"a para sa walang ingat na pagmamaneho mula **₱2,000 hanggang ₱10,000**. 
Narito kung paano tumataas ang mga parusa batay sa bilang ng mga pagkakasala:
    * **1st Offense:** ₱2,000 fine
    * **Ikalawang Pagkakasala:** ₱3,00* multa + 3 buwang pagsu"&amp;"suspinde ng lisensya sa pagmamaneho
    * **Ikatlo at Kasunod na Mga Pagkakasala:** ₱10,000 multa + 6 na buwang pagsususpinde o pagbawi ng lisensya sa pagmamaneho
** Walang ingat na Pagmamaneho na Nagreresulta sa Pisikal na Kapinsalaan:**
Kung ang "&amp;"walang ingat na pagmamaneho ay nagreresulta sa mga pisikal na pinsala o kamatayan, ang mga parusa ay magiging mas matindi at maaaring kasangkot ang Binagong Kodigo Penal:
* **Artikulo 263 ng Binagong Kodigo Penal:** Sinasaklaw nito ang Reckless Imprude"&amp;"nce Resulting in Physical Injuries. Ang mga parusa ay depende sa kalubhaan ng mga pinsala. 
* **Artikulo 249 ng Binagong Kodigo Penal:** Sinasaklaw nito ang Reckless Imprudence Resulting in Homicide. Kasama sa mga parusa ang pagkakulong depende sa mga pa"&amp;"ngyayari.
**Mahahalagang Paalala:**
* Ang impormasyong ito ay nagbibigay ng pangkalahatang pangkalahatang-ideya. Ang partikular na parusa ay depende sa ulat ng opisyal na nag-iimbestiga at sa desisyon ng korte.
* Ang pagkonsulta sa isang abogado na"&amp;" dalubhasa sa batas trapiko ay lubos na inirerekomenda para sa isang komprehensibong pag-unawa sa mga legal na aspeto at mga potensyal na kahihinatnan sa iyong sitwasyon.
")</f>
        <v>Sa Pilipinas, ang mga parusa sa walang ingat na pagmamaneho ay nakadepende sa kalubhaan ng pagkakasala at kung ito ay magreresulta sa anumang pinsala o pinsala. Narito ang isang breakdown batay sa batas ng Pilipinas:
* **Republic Act No. 4136** (Land Transportation and Traffic Code): Bagama't hindi nito tahasang tinukoy ang reckless driving, binibigyang kapangyarihan nito ang Land Transportation Office (LTO) na hulihin ang mga lumalabag.
* **Pagtatak at Parusa ng LTO:** Ang LTO ay nagpapataw ng multa para sa walang ingat na pagmamaneho mula **₱2,000 hanggang ₱10,000**. 
Narito kung paano tumataas ang mga parusa batay sa bilang ng mga pagkakasala:
    * **1st Offense:** ₱2,000 fine
    * **Ikalawang Pagkakasala:** ₱3,00* multa + 3 buwang pagsususpinde ng lisensya sa pagmamaneho
    * **Ikatlo at Kasunod na Mga Pagkakasala:** ₱10,000 multa + 6 na buwang pagsususpinde o pagbawi ng lisensya sa pagmamaneho
** Walang ingat na Pagmamaneho na Nagreresulta sa Pisikal na Kapinsalaan:**
Kung ang walang ingat na pagmamaneho ay nagreresulta sa mga pisikal na pinsala o kamatayan, ang mga parusa ay magiging mas matindi at maaaring kasangkot ang Binagong Kodigo Penal:
* **Artikulo 263 ng Binagong Kodigo Penal:** Sinasaklaw nito ang Reckless Imprudence Resulting in Physical Injuries. Ang mga parusa ay depende sa kalubhaan ng mga pinsala. 
* **Artikulo 249 ng Binagong Kodigo Penal:** Sinasaklaw nito ang Reckless Imprudence Resulting in Homicide. Kasama sa mga parusa ang pagkakulong depende sa mga pangyayari.
**Mahahalagang Paalala:**
* Ang impormasyong ito ay nagbibigay ng pangkalahatang pangkalahatang-ideya. Ang partikular na parusa ay depende sa ulat ng opisyal na nag-iimbestiga at sa desisyon ng korte.
* Ang pagkonsulta sa isang abogado na dalubhasa sa batas trapiko ay lubos na inirerekomenda para sa isang komprehensibong pag-unawa sa mga legal na aspeto at mga potensyal na kahihinatnan sa iyong sitwasyon.
</v>
      </c>
      <c r="F2916" s="2">
        <f t="shared" si="1"/>
        <v>0</v>
      </c>
      <c r="G2916" s="2"/>
      <c r="H2916" s="2"/>
      <c r="I2916" s="2"/>
      <c r="J2916" s="2"/>
      <c r="K2916" s="2"/>
      <c r="L2916" s="2"/>
      <c r="M2916" s="2"/>
      <c r="N2916" s="2"/>
      <c r="O2916" s="2"/>
      <c r="P2916" s="2"/>
      <c r="Q2916" s="2"/>
      <c r="R2916" s="2"/>
      <c r="S2916" s="2"/>
      <c r="T2916" s="2"/>
      <c r="U2916" s="2"/>
      <c r="V2916" s="2"/>
      <c r="W2916" s="2"/>
      <c r="X2916" s="2"/>
      <c r="Y2916" s="2"/>
      <c r="Z2916" s="2"/>
      <c r="AA2916" s="2"/>
    </row>
    <row r="2917">
      <c r="A2917" s="3" t="s">
        <v>6762</v>
      </c>
      <c r="B2917" s="1" t="s">
        <v>6808</v>
      </c>
      <c r="C2917" s="3" t="s">
        <v>6809</v>
      </c>
      <c r="D2917" s="2" t="str">
        <f>IFERROR(__xludf.DUMMYFUNCTION("GOOGLETRANSLATE(B2917, ""en"", ""TL"")"),"Ano ang mga regulasyon para sa pagpapatakbo ng mga serbisyo ng shuttle sa Pilipinas?")</f>
        <v>Ano ang mga regulasyon para sa pagpapatakbo ng mga serbisyo ng shuttle sa Pilipinas?</v>
      </c>
      <c r="E2917" s="2" t="str">
        <f>IFERROR(__xludf.DUMMYFUNCTION("GOOGLETRANSLATE(C2917, ""en"", ""TL"")"),"Ang mga regulasyon para sa pagpapatakbo ng mga serbisyo ng shuttle sa Pilipinas ay maaaring mag-iba depende sa uri ng serbisyo. Narito ang isang breakdown batay sa batas ng Pilipinas:
**Para sa mga shuttle service na tumatakbo sa loob ng mga pribadong "&amp;"subdivision o kumpanya:**
* **Mga Limitadong Regulasyon:** Walang partikular na pambansang regulasyon sa ilalim ng Konstitusyon o Republic Acts (RA) na namamahala sa mga shuttle na ito. 
* **Tumuon sa Mga Kasunduan:** Ang operasyon ay malamang na na"&amp;"kabatay sa isang kontraktwal na kasunduan sa pagitan ng shuttle service provider at ng subdivision/kumpanya. Ang kasunduang ito ay magbabalangkas ng mga detalye ng serbisyo, ruta, pamasahe, at mga pamamaraang pangkaligtasan.
* **Ang Awtoridad ng LTFRB "&amp;"ay maaaring mag-aplay sa ilang mga kaso:** Sa ilang mga pagkakataon, kung ang shuttle service ay gumagamit ng mga pampublikong kalsada para sa isang malaking bahagi ng ruta nito, maaari itong mahulog sa ilalim ng awtoridad ng Land Transportation Franchisi"&amp;"ng and Regulatory Board (LTFRB). Ang LTFRB ay maaaring mangailangan ng ilang mga permit o magpataw ng mga regulasyon na may kaugnayan sa kaligtasan ng sasakyan at mga kwalipikasyon ng driver.
**Para sa mga shuttle service na tumatakbo bilang Public Uti"&amp;"lity Vehicles (PUVs):**
* **Mga Regulasyon ng LTFRB:** Ang mga shuttle na ito ay nangangailangan ng Certificate of Public Convenience (CPC) na inisyu ng LTFRB. Ang LTFRB ay nagpapatupad ng mga regulasyon na kinabibilangan ng:
    * **Mga Kinakailangan"&amp;" sa Sasakyan:** Ang mga shuttle ay dapat matugunan ang mga partikular na pamantayan sa kaligtasan at may mga tampok tulad ng tamang upuan, mga itinalagang lugar para sa mga pasaherong may mga kapansanan, at working lighting at ventilation [LTFRB guideline"&amp;"s on the inclusion of vans as shuttle service - LTFRB, ltfrb. gov.ph].
    * **Driver's License and Qualifications:** Ang mga driver ay dapat magkaroon ng professional driver's license na may naaangkop na code para sa shuttle type (hal., Kategorya 3 pa"&amp;"ra sa ilang van). Kinakailangan din silang sumailalim sa mandatory seminars on road safety and regulations [LTFRB conducts surprise drug test on bus, jeepney drivers, Philippine News Agency].
    * **Mga Itinalagang Ruta at Hintuan:** Dapat gumana ang "&amp;"mga shuttle service sa loob ng mga itinalagang ruta at huminto lamang sa mga awtorisadong lugar ng pagkarga at pagbaba ng karga upang maiwasan ang pagsisikip ng trapiko [Seksyon 6. Mga Parusa, Republic Act No. 11235 o ang ""Anti-Distracted Driving Act"" ]"&amp;".
    * **Pamasahe:** Ang LTFRB ang nagdidikta ng pinakamataas na kapasidad ng pasahero at mga rate ng pamasahe para sa shuttle service. Ang mga pamasahe na ito ay kitang-kita sa loob ng sasakyan [Inaprubahan ng LTFRB ang P2 minimum na pagtaas ng pamas"&amp;"ahe sa dyip sa Metro Manila, Philstar.com]. 
**Paghahanap ng pinakabagong impormasyon:**
* **Website ng LTFRB:** Ang website na ito ay isang magandang mapagkukunan para sa mga regulasyon sa mga shuttle service na tumatakbo bilang mga PUV: [invalid U"&amp;"RL ltfrb gov ph ON Land Transportation Franchising and Regulatory Board]
* **Pagsusuri sa Kontrata:** Kung gumagana ang shuttle service sa loob ng pribadong subdivision o kumpanya, ang pagrepaso sa kasunduan sa service provider ay maaaring magbigay ng mg"&amp;"a detalye sa mga regulasyong partikular sa serbisyong iyon.
* **Pagkonsulta sa isang abogado:** Ang isang abogado na dalubhasa sa batas sa transportasyon ay maaaring magbigay ng komprehensibong pag-unawa sa mga legalidad batay sa mga partikular na kalaga"&amp;"yan ng shuttle service. ")</f>
        <v>Ang mga regulasyon para sa pagpapatakbo ng mga serbisyo ng shuttle sa Pilipinas ay maaaring mag-iba depende sa uri ng serbisyo. Narito ang isang breakdown batay sa batas ng Pilipinas:
**Para sa mga shuttle service na tumatakbo sa loob ng mga pribadong subdivision o kumpanya:**
* **Mga Limitadong Regulasyon:** Walang partikular na pambansang regulasyon sa ilalim ng Konstitusyon o Republic Acts (RA) na namamahala sa mga shuttle na ito. 
* **Tumuon sa Mga Kasunduan:** Ang operasyon ay malamang na nakabatay sa isang kontraktwal na kasunduan sa pagitan ng shuttle service provider at ng subdivision/kumpanya. Ang kasunduang ito ay magbabalangkas ng mga detalye ng serbisyo, ruta, pamasahe, at mga pamamaraang pangkaligtasan.
* **Ang Awtoridad ng LTFRB ay maaaring mag-aplay sa ilang mga kaso:** Sa ilang mga pagkakataon, kung ang shuttle service ay gumagamit ng mga pampublikong kalsada para sa isang malaking bahagi ng ruta nito, maaari itong mahulog sa ilalim ng awtoridad ng Land Transportation Franchising and Regulatory Board (LTFRB). Ang LTFRB ay maaaring mangailangan ng ilang mga permit o magpataw ng mga regulasyon na may kaugnayan sa kaligtasan ng sasakyan at mga kwalipikasyon ng driver.
**Para sa mga shuttle service na tumatakbo bilang Public Utility Vehicles (PUVs):**
* **Mga Regulasyon ng LTFRB:** Ang mga shuttle na ito ay nangangailangan ng Certificate of Public Convenience (CPC) na inisyu ng LTFRB. Ang LTFRB ay nagpapatupad ng mga regulasyon na kinabibilangan ng:
    * **Mga Kinakailangan sa Sasakyan:** Ang mga shuttle ay dapat matugunan ang mga partikular na pamantayan sa kaligtasan at may mga tampok tulad ng tamang upuan, mga itinalagang lugar para sa mga pasaherong may mga kapansanan, at working lighting at ventilation [LTFRB guidelines on the inclusion of vans as shuttle service - LTFRB, ltfrb. gov.ph].
    * **Driver's License and Qualifications:** Ang mga driver ay dapat magkaroon ng professional driver's license na may naaangkop na code para sa shuttle type (hal., Kategorya 3 para sa ilang van). Kinakailangan din silang sumailalim sa mandatory seminars on road safety and regulations [LTFRB conducts surprise drug test on bus, jeepney drivers, Philippine News Agency].
    * **Mga Itinalagang Ruta at Hintuan:** Dapat gumana ang mga shuttle service sa loob ng mga itinalagang ruta at huminto lamang sa mga awtorisadong lugar ng pagkarga at pagbaba ng karga upang maiwasan ang pagsisikip ng trapiko [Seksyon 6. Mga Parusa, Republic Act No. 11235 o ang "Anti-Distracted Driving Act" ].
    * **Pamasahe:** Ang LTFRB ang nagdidikta ng pinakamataas na kapasidad ng pasahero at mga rate ng pamasahe para sa shuttle service. Ang mga pamasahe na ito ay kitang-kita sa loob ng sasakyan [Inaprubahan ng LTFRB ang P2 minimum na pagtaas ng pamasahe sa dyip sa Metro Manila, Philstar.com]. 
**Paghahanap ng pinakabagong impormasyon:**
* **Website ng LTFRB:** Ang website na ito ay isang magandang mapagkukunan para sa mga regulasyon sa mga shuttle service na tumatakbo bilang mga PUV: [invalid URL ltfrb gov ph ON Land Transportation Franchising and Regulatory Board]
* **Pagsusuri sa Kontrata:** Kung gumagana ang shuttle service sa loob ng pribadong subdivision o kumpanya, ang pagrepaso sa kasunduan sa service provider ay maaaring magbigay ng mga detalye sa mga regulasyong partikular sa serbisyong iyon.
* **Pagkonsulta sa isang abogado:** Ang isang abogado na dalubhasa sa batas sa transportasyon ay maaaring magbigay ng komprehensibong pag-unawa sa mga legalidad batay sa mga partikular na kalagayan ng shuttle service. </v>
      </c>
      <c r="F2917" s="2">
        <f t="shared" si="1"/>
        <v>0</v>
      </c>
      <c r="G2917" s="2"/>
      <c r="H2917" s="2"/>
      <c r="I2917" s="2"/>
      <c r="J2917" s="2"/>
      <c r="K2917" s="2"/>
      <c r="L2917" s="2"/>
      <c r="M2917" s="2"/>
      <c r="N2917" s="2"/>
      <c r="O2917" s="2"/>
      <c r="P2917" s="2"/>
      <c r="Q2917" s="2"/>
      <c r="R2917" s="2"/>
      <c r="S2917" s="2"/>
      <c r="T2917" s="2"/>
      <c r="U2917" s="2"/>
      <c r="V2917" s="2"/>
      <c r="W2917" s="2"/>
      <c r="X2917" s="2"/>
      <c r="Y2917" s="2"/>
      <c r="Z2917" s="2"/>
      <c r="AA2917" s="2"/>
    </row>
    <row r="2918">
      <c r="A2918" s="3" t="s">
        <v>6762</v>
      </c>
      <c r="B2918" s="1" t="s">
        <v>6810</v>
      </c>
      <c r="C2918" s="3" t="s">
        <v>6811</v>
      </c>
      <c r="D2918" s="2" t="str">
        <f>IFERROR(__xludf.DUMMYFUNCTION("GOOGLETRANSLATE(B2918, ""en"", ""TL"")"),"Ano ang mga kinakailangan para makakuha ng propesyonal na lisensya sa pagmamaneho sa Pilipinas?")</f>
        <v>Ano ang mga kinakailangan para makakuha ng propesyonal na lisensya sa pagmamaneho sa Pilipinas?</v>
      </c>
      <c r="E2918" s="2" t="str">
        <f>IFERROR(__xludf.DUMMYFUNCTION("GOOGLETRANSLATE(C2918, ""en"", ""TL"")"),"Narito ang mga kinakailangan para sa pagkuha ng propesyonal na lisensya sa pagmamaneho sa Pilipinas, batay sa batas ng Pilipinas:
**Mga Kwalipikasyon:**
* Dapat ay hindi bababa sa **18 taong gulang** [Professional License Application Requirements, l"&amp;"toexam.com].
* Kailangang **pisikal at mental na fit** para magpatakbo ng sasakyang de-motor [Professional License Application Requirements, ltoexam.com].
* Dapat marunong **magbasa at magsulat sa Filipino, Ingles, o anumang iba pang pangunahing diy"&amp;"alekto** [How to Get LTO Driver's License in the Philippines, ltoportal.ph].
* Hindi dapat magkaroon ng **hindi maayos na paglabag sa trapiko** [How to Convert Non-Pro to Pro LTO Driver's License, ltoportal.ph].
**Mga Dokumento:**
* **Duly accomp"&amp;"lished Application for Permits and Licenses (APL) Form** [Mga Kinakailangan sa Propesyonal na Lisensya sa Application, ltoexam.com].
* **Original at isang (1) photocopy ng LTO-accredited medical certificate** [How to Convert Non-Pro to Pro LTO Driver's"&amp;" License, ltoportal.ph].
* **Orihinal at isang (1) photocopy ng balidong propesyonal na lisensya sa pagmamaneho o student permit (hindi bababa sa anim na buwang gulang)** [Professional License Application Requirements, ltoexam.com].
* **Original at "&amp;"isang (1) photocopy ng valid government ID** [Pagkuha ng Iyong LTO Philippines Driver's License: How to Apply or Renew, Globe Telecom, globe.com.ph]. (Para sa mga menor de edad, kinakailangan ang pahintulot ng notarized na magulang o tagapag-alaga na may "&amp;"valid na ID ng gobyerno) 
* **Original at isang (1) photocopy ng Theoretical Driving Course (TDC) certificate (para sa mga first-time applicant)** [Pagkuha ng Iyong LTO Philippines Driver's License: How to Apply or Renew, Globe Telecom, globe.com.ph ]."&amp;"
* **Resulta ng negatibong pagsusuri sa droga mula sa isang sentro ng pagsubok na kinikilala ng Department of Health (DOH) o ospital ng gobyerno** [Mga Kinakailangan sa Propesyonal na Lisensya sa Aplikasyon, ltoexam.com].
* **Taxpayer's Identificati"&amp;"on Number (TIN), kung may trabaho** [How to Get LTO Driver's License in the Philippines, ltoportal.ph].
* **Sertipiko mula sa Commanding Officer kung tauhan ng militar** [Professional License Application Requirements, ltoexam.com]. (Opsyonal para sa mg"&amp;"a di-militar na tauhan)
**Proseso:**
1. I-secure ang mga kinakailangang dokumento.
2. Mag-apply sa isang LTO licensing center.
3. Bayaran ang mga kinakailangang bayarin.
4. Ipasa ang nakasulat at praktikal na mga pagsusulit sa pagmamaneho.
5. Ku"&amp;"nin ang iyong larawan at idikit ang iyong lagda kung nakapasa ka sa parehong pagsusulit.
6. Ang iyong propesyonal na lisensya sa pagmamaneho at opisyal na resibo ay ipapadala sa iyo ng LTO, at kakailanganin mong pirmahan ang Release Form [Pagkuha ng Iyon"&amp;"g LTO Philippines Driver's License: How to Apply or Renew, Globe Telecom, globe.com.ph] .
**Mahahalagang Paalala:**
* Isa itong pangkalahatang gabay, at maaaring magbago ang mga partikular na kinakailangan. Maipapayo na bisitahin ang website ng Land"&amp;" Transportation Office (LTO) o makipag-ugnayan sa kanila para sa pinakabagong impormasyon: [https://ptops-ncr.ltfrb.gov.ph/](https://ptops-ncr.ltfrb.gov.ph /).
* Isaalang-alang ang pagkonsulta sa isang driving school na kinikilala ng LTO para sa tamang"&amp;" pagsasanay at gabay sa buong proseso.
")</f>
        <v>Narito ang mga kinakailangan para sa pagkuha ng propesyonal na lisensya sa pagmamaneho sa Pilipinas, batay sa batas ng Pilipinas:
**Mga Kwalipikasyon:**
* Dapat ay hindi bababa sa **18 taong gulang** [Professional License Application Requirements, ltoexam.com].
* Kailangang **pisikal at mental na fit** para magpatakbo ng sasakyang de-motor [Professional License Application Requirements, ltoexam.com].
* Dapat marunong **magbasa at magsulat sa Filipino, Ingles, o anumang iba pang pangunahing diyalekto** [How to Get LTO Driver's License in the Philippines, ltoportal.ph].
* Hindi dapat magkaroon ng **hindi maayos na paglabag sa trapiko** [How to Convert Non-Pro to Pro LTO Driver's License, ltoportal.ph].
**Mga Dokumento:**
* **Duly accomplished Application for Permits and Licenses (APL) Form** [Mga Kinakailangan sa Propesyonal na Lisensya sa Application, ltoexam.com].
* **Original at isang (1) photocopy ng LTO-accredited medical certificate** [How to Convert Non-Pro to Pro LTO Driver's License, ltoportal.ph].
* **Orihinal at isang (1) photocopy ng balidong propesyonal na lisensya sa pagmamaneho o student permit (hindi bababa sa anim na buwang gulang)** [Professional License Application Requirements, ltoexam.com].
* **Original at isang (1) photocopy ng valid government ID** [Pagkuha ng Iyong LTO Philippines Driver's License: How to Apply or Renew, Globe Telecom, globe.com.ph]. (Para sa mga menor de edad, kinakailangan ang pahintulot ng notarized na magulang o tagapag-alaga na may valid na ID ng gobyerno) 
* **Original at isang (1) photocopy ng Theoretical Driving Course (TDC) certificate (para sa mga first-time applicant)** [Pagkuha ng Iyong LTO Philippines Driver's License: How to Apply or Renew, Globe Telecom, globe.com.ph ].
* **Resulta ng negatibong pagsusuri sa droga mula sa isang sentro ng pagsubok na kinikilala ng Department of Health (DOH) o ospital ng gobyerno** [Mga Kinakailangan sa Propesyonal na Lisensya sa Aplikasyon, ltoexam.com].
* **Taxpayer's Identification Number (TIN), kung may trabaho** [How to Get LTO Driver's License in the Philippines, ltoportal.ph].
* **Sertipiko mula sa Commanding Officer kung tauhan ng militar** [Professional License Application Requirements, ltoexam.com]. (Opsyonal para sa mga di-militar na tauhan)
**Proseso:**
1. I-secure ang mga kinakailangang dokumento.
2. Mag-apply sa isang LTO licensing center.
3. Bayaran ang mga kinakailangang bayarin.
4. Ipasa ang nakasulat at praktikal na mga pagsusulit sa pagmamaneho.
5. Kunin ang iyong larawan at idikit ang iyong lagda kung nakapasa ka sa parehong pagsusulit.
6. Ang iyong propesyonal na lisensya sa pagmamaneho at opisyal na resibo ay ipapadala sa iyo ng LTO, at kakailanganin mong pirmahan ang Release Form [Pagkuha ng Iyong LTO Philippines Driver's License: How to Apply or Renew, Globe Telecom, globe.com.ph] .
**Mahahalagang Paalala:**
* Isa itong pangkalahatang gabay, at maaaring magbago ang mga partikular na kinakailangan. Maipapayo na bisitahin ang website ng Land Transportation Office (LTO) o makipag-ugnayan sa kanila para sa pinakabagong impormasyon: [https://ptops-ncr.ltfrb.gov.ph/](https://ptops-ncr.ltfrb.gov.ph /).
* Isaalang-alang ang pagkonsulta sa isang driving school na kinikilala ng LTO para sa tamang pagsasanay at gabay sa buong proseso.
</v>
      </c>
      <c r="F2918" s="2">
        <f t="shared" si="1"/>
        <v>0</v>
      </c>
      <c r="G2918" s="2"/>
      <c r="H2918" s="2"/>
      <c r="I2918" s="2"/>
      <c r="J2918" s="2"/>
      <c r="K2918" s="2"/>
      <c r="L2918" s="2"/>
      <c r="M2918" s="2"/>
      <c r="N2918" s="2"/>
      <c r="O2918" s="2"/>
      <c r="P2918" s="2"/>
      <c r="Q2918" s="2"/>
      <c r="R2918" s="2"/>
      <c r="S2918" s="2"/>
      <c r="T2918" s="2"/>
      <c r="U2918" s="2"/>
      <c r="V2918" s="2"/>
      <c r="W2918" s="2"/>
      <c r="X2918" s="2"/>
      <c r="Y2918" s="2"/>
      <c r="Z2918" s="2"/>
      <c r="AA2918" s="2"/>
    </row>
    <row r="2919">
      <c r="A2919" s="3" t="s">
        <v>6762</v>
      </c>
      <c r="B2919" s="1" t="s">
        <v>6812</v>
      </c>
      <c r="C2919" s="3" t="s">
        <v>6813</v>
      </c>
      <c r="D2919" s="2" t="str">
        <f>IFERROR(__xludf.DUMMYFUNCTION("GOOGLETRANSLATE(B2919, ""en"", ""TL"")"),"Ano ang mga batas tungkol sa paggamit ng bicycle lane sa Pilipinas?")</f>
        <v>Ano ang mga batas tungkol sa paggamit ng bicycle lane sa Pilipinas?</v>
      </c>
      <c r="E2919" s="2" t="str">
        <f>IFERROR(__xludf.DUMMYFUNCTION("GOOGLETRANSLATE(C2919, ""en"", ""TL"")"),"Walang isa, komprehensibong batas sa Pilipinas na nakatuon lamang sa mga daanan ng bisikleta. Gayunpaman, ang mga regulasyon tungkol sa paggamit ng mga ito ay nagmumula sa isang kumbinasyon ng mga mapagkukunan sa batas ng Pilipinas:
* **Republic Act No"&amp;". 7924** (Ang Espesyal na Programa para sa Pagtatrabaho ng mga Mag-aaral): Bagama't hindi direkta tungkol sa mga daanan ng bisikleta, hinihikayat ng batas na ito ang **pag-promote ng non-motorized na transportasyon**. Ito ay hindi direktang sumusuporta sa"&amp;" pagbuo at paggamit ng mga bicycle lane [MMDA Resolution No. 13-04, MMDA website: [invalid URL mmda resolution ON Metropolitan Manila Development Authority mmda.gov.ph]].
* **Metropolitan Manila Development Authority (MMDA) Resolution No. 13-04:** Ang "&amp;"resolusyong ito **ay humihimok sa mga local government units (LGUs) sa Metro Manila** na italaga at i-regulate ang paggamit ng mga bicycle lane sa loob ng kanilang mga nasasakupan [MMDA Resolution No. 13-04, MMDA website: [invalid URL mmda resolution SA M"&amp;"etropolitan Manila Development Authority mmda.gov.ph]]. 
* **Land Transportation Office (LTO):** Inuri ng LTO ang mga bisikleta bilang mga non-motorized na sasakyan. Bagama't wala silang mga partikular na regulasyon sa mga daanan ng bisikleta, mayroon "&amp;"silang mga alituntunin para sa paggamit ng bisikleta sa mga pampublikong kalsada:
    * Ang mga bisikleta ay dapat may puting ilaw sa harap at isang pulang rear reflector o ilaw para sa gabi [LTO Advisory No. 2013-21, website ng LTFRB: [invalid URL ltfrb"&amp;" gov ph ON Land Transportation Franchising and Regulatory Board]].
    * Dapat magsuot ng helmet ang mga siklista para sa kaligtasan [What are the Rules and Regulations for Bicycles on the Road?, Pinoy Fitness, pinoyfitness.com]. (Bagaman hindi mahigpit "&amp;"na ipinapatupad sa lahat ng dako, ito ay lubos na inirerekomenda)
* **Senate Bill No. 1290 na kilala rin bilang ""Walkable and Bikeable Communities Act"":** Ito ay isang iminungkahing panukalang batas na naglalayong magtatag ng isang **pambansang balan"&amp;"gkas para sa mga daanan ng bisikleta at mga walkway**. Hindi pa ito naipapasa bilang batas noong Oktubre 26, 2023, ngunit itinatampok nito ang lumalaking interes sa pagtataguyod ng kaligtasan at imprastraktura ng pagbibisikleta [Inaprubahan ng Senado ang "&amp;"panukalang batas na naglalayong magtatag ng mga daanan ng bisikleta, mga batas sa kaligtasan, Philippine News Agency, pna.gov.ph] .
**Sa esensya:**
* Ang paggamit ng mga daanan ng bisikleta ay karaniwang hinihikayat para sa mga kadahilanang pangkali"&amp;"gtasan.
* Maaaring mag-iba ang mga partikular na regulasyon tungkol sa paggamit ng lane, pagmamarka, at pagpapatupad depende sa local government unit (LGU).
**Narito ang ilang karagdagang puntong dapat isaalang-alang:**
* **Paggalang sa mga Batas T"&amp;"rapiko:** Ang mga siklista ay inaasahan pa ring sumunod sa mga pangkalahatang tuntunin sa trapiko kapag gumagamit ng mga daanan ng bisikleta. 
* **Pagbabahagi ng Daan:** Habang ang mga daanan ng bisikleta ay nagbibigay ng isang itinalagang espasyo para s"&amp;"a mga siklista, dapat pa ring malaman ng mga motorista ang mga siklista at iwasang makasagabal sa daanan.
* **Pedestrian Crossings:** Ang mga siklista ay dapat sumuko sa mga pedestrian sa mga tawiran, kahit na ang tawiran ay nasa loob ng isang bicycle la"&amp;"ne.
Tandaan, ito ay para sa pangkalahatang impormasyon lamang. Maipapayo na makipag-ugnayan sa iyong local government unit (LGU) para sa mga partikular na ordinansa tungkol sa paggamit ng bicycle lane sa iyong lugar. ")</f>
        <v>Walang isa, komprehensibong batas sa Pilipinas na nakatuon lamang sa mga daanan ng bisikleta. Gayunpaman, ang mga regulasyon tungkol sa paggamit ng mga ito ay nagmumula sa isang kumbinasyon ng mga mapagkukunan sa batas ng Pilipinas:
* **Republic Act No. 7924** (Ang Espesyal na Programa para sa Pagtatrabaho ng mga Mag-aaral): Bagama't hindi direkta tungkol sa mga daanan ng bisikleta, hinihikayat ng batas na ito ang **pag-promote ng non-motorized na transportasyon**. Ito ay hindi direktang sumusuporta sa pagbuo at paggamit ng mga bicycle lane [MMDA Resolution No. 13-04, MMDA website: [invalid URL mmda resolution ON Metropolitan Manila Development Authority mmda.gov.ph]].
* **Metropolitan Manila Development Authority (MMDA) Resolution No. 13-04:** Ang resolusyong ito **ay humihimok sa mga local government units (LGUs) sa Metro Manila** na italaga at i-regulate ang paggamit ng mga bicycle lane sa loob ng kanilang mga nasasakupan [MMDA Resolution No. 13-04, MMDA website: [invalid URL mmda resolution SA Metropolitan Manila Development Authority mmda.gov.ph]]. 
* **Land Transportation Office (LTO):** Inuri ng LTO ang mga bisikleta bilang mga non-motorized na sasakyan. Bagama't wala silang mga partikular na regulasyon sa mga daanan ng bisikleta, mayroon silang mga alituntunin para sa paggamit ng bisikleta sa mga pampublikong kalsada:
    * Ang mga bisikleta ay dapat may puting ilaw sa harap at isang pulang rear reflector o ilaw para sa gabi [LTO Advisory No. 2013-21, website ng LTFRB: [invalid URL ltfrb gov ph ON Land Transportation Franchising and Regulatory Board]].
    * Dapat magsuot ng helmet ang mga siklista para sa kaligtasan [What are the Rules and Regulations for Bicycles on the Road?, Pinoy Fitness, pinoyfitness.com]. (Bagaman hindi mahigpit na ipinapatupad sa lahat ng dako, ito ay lubos na inirerekomenda)
* **Senate Bill No. 1290 na kilala rin bilang "Walkable and Bikeable Communities Act":** Ito ay isang iminungkahing panukalang batas na naglalayong magtatag ng isang **pambansang balangkas para sa mga daanan ng bisikleta at mga walkway**. Hindi pa ito naipapasa bilang batas noong Oktubre 26, 2023, ngunit itinatampok nito ang lumalaking interes sa pagtataguyod ng kaligtasan at imprastraktura ng pagbibisikleta [Inaprubahan ng Senado ang panukalang batas na naglalayong magtatag ng mga daanan ng bisikleta, mga batas sa kaligtasan, Philippine News Agency, pna.gov.ph] .
**Sa esensya:**
* Ang paggamit ng mga daanan ng bisikleta ay karaniwang hinihikayat para sa mga kadahilanang pangkaligtasan.
* Maaaring mag-iba ang mga partikular na regulasyon tungkol sa paggamit ng lane, pagmamarka, at pagpapatupad depende sa local government unit (LGU).
**Narito ang ilang karagdagang puntong dapat isaalang-alang:**
* **Paggalang sa mga Batas Trapiko:** Ang mga siklista ay inaasahan pa ring sumunod sa mga pangkalahatang tuntunin sa trapiko kapag gumagamit ng mga daanan ng bisikleta. 
* **Pagbabahagi ng Daan:** Habang ang mga daanan ng bisikleta ay nagbibigay ng isang itinalagang espasyo para sa mga siklista, dapat pa ring malaman ng mga motorista ang mga siklista at iwasang makasagabal sa daanan.
* **Pedestrian Crossings:** Ang mga siklista ay dapat sumuko sa mga pedestrian sa mga tawiran, kahit na ang tawiran ay nasa loob ng isang bicycle lane.
Tandaan, ito ay para sa pangkalahatang impormasyon lamang. Maipapayo na makipag-ugnayan sa iyong local government unit (LGU) para sa mga partikular na ordinansa tungkol sa paggamit ng bicycle lane sa iyong lugar. </v>
      </c>
      <c r="F2919" s="2">
        <f t="shared" si="1"/>
        <v>0</v>
      </c>
      <c r="G2919" s="2"/>
      <c r="H2919" s="2"/>
      <c r="I2919" s="2"/>
      <c r="J2919" s="2"/>
      <c r="K2919" s="2"/>
      <c r="L2919" s="2"/>
      <c r="M2919" s="2"/>
      <c r="N2919" s="2"/>
      <c r="O2919" s="2"/>
      <c r="P2919" s="2"/>
      <c r="Q2919" s="2"/>
      <c r="R2919" s="2"/>
      <c r="S2919" s="2"/>
      <c r="T2919" s="2"/>
      <c r="U2919" s="2"/>
      <c r="V2919" s="2"/>
      <c r="W2919" s="2"/>
      <c r="X2919" s="2"/>
      <c r="Y2919" s="2"/>
      <c r="Z2919" s="2"/>
      <c r="AA2919" s="2"/>
    </row>
    <row r="2920">
      <c r="A2920" s="3" t="s">
        <v>6762</v>
      </c>
      <c r="B2920" s="1" t="s">
        <v>6814</v>
      </c>
      <c r="C2920" s="3" t="s">
        <v>6815</v>
      </c>
      <c r="D2920" s="2" t="str">
        <f>IFERROR(__xludf.DUMMYFUNCTION("GOOGLETRANSLATE(B2920, ""en"", ""TL"")"),"Ano ang mga parusa sa karera sa kalye sa Pilipinas?")</f>
        <v>Ano ang mga parusa sa karera sa kalye sa Pilipinas?</v>
      </c>
      <c r="E2920" s="2" t="str">
        <f>IFERROR(__xludf.DUMMYFUNCTION("GOOGLETRANSLATE(C2920, ""en"", ""TL"")"),"Ang karera sa kalye ay ilegal sa Pilipinas, at may ilang mga batas na maaaring gamitin upang parusahan ang mga nagkasala. Narito ang isang breakdown ng mga kaugnay na batas ng Pilipinas:
**Walang Partikular na Batas sa Karera sa Kalye:**
* Hindi tul"&amp;"ad ng ilang mga bansa, ang Pilipinas ay walang iisang, partikular na batas na tumutugon lamang sa karera sa kalye.
**Mga Parusa sa pamamagitan ng Mga Umiiral na Batas:**
Gayunpaman, maaaring gamitin ng mga awtoridad ang mga kasalukuyang batas para p"&amp;"arusahan ang mga aktibidad ng karera sa kalye:
* **Republic Act No. 4136 (Land Transportation and Traffic Code):**
    * **Seksyon 20:** Ipinagbabawal ng seksyong ito ang walang ingat na pagmamaneho.  Dahil ang karera sa kalye ay likas na nagsasangkot"&amp;" ng walang ingat na pag-uugali at nagdudulot ng panganib sa iba, maaari itong maparusahan sa ilalim ng seksyong ito [LTO fines and penalties, LTFRB website: [invalid URL ltfrb gov ph ON Land Transportation Franchising and Regulatory Board]].  Kasama sa mg"&amp;"a parusa ang mga multa mula ₱2,000 hanggang ₱10,000 na may potensyal na pagkakasuspinde ng lisensya o pagbawi para sa mga paulit-ulit na pagkakasala. 
    * **Seksyon 6:** Ang seksyong ito ay nangangailangan ng mga sasakyan na magkaroon ng maayos na pa"&amp;"ggana ng mga headlight at taillight.  Maaaring makitang lumalabag sa seksyong ito ang mga sasakyang sangkot sa karera sa kalye kung may mga binago silang ilaw na humahadlang sa ligtas na operasyon [Land Transportation and Traffic Code, LawPH.net].
* **"&amp;"Anti-Distracted Driving Act (Republic Act No. 11235):**  
    * Ipinagbabawal ng Batas na ito ang mga aktibidad tulad ng paggamit ng mga mobile phone o iba pang electronic device habang nagmamaneho.  Kung ang isang driver na sangkot sa karera sa kalye ay"&amp;" napatunayang naabala, maaari silang parusahan sa ilalim ng Batas na ito bilang karagdagan sa iba pang mga kaso [Anti-Distracted Driving Act, Senate of the Philippines, legacy.senate.gov.ph].
**Potensyal para sa Dagdag na mga Parusa:**
* **Senate Bi"&amp;"ll No. 3275:** Ang panukalang batas na ito, na kilala rin bilang ""Anti-Drag Racing Act of 2017"", ay naghangad na magtatag ng isang partikular na batas laban sa drag racing (isang anyo ng street racing). Bagama't hindi naipasa ang panukalang batas na ito"&amp;", itinatampok nito ang layuning potensyal na lumikha ng mas matitinding parusa para sa karera sa kalye sa hinaharap [Binge Driving Under the Influence of Dangerous Drugs and Anti-Drag Racing Act of 2017, Senate of the Philippines, legacy. senate.gov.ph]. "&amp;"
**Mahahalagang Paalala:**
* Ang tiyak na parusa para sa isang pagkakasala ay depende sa kalubhaan ng paglabag at sa pagpapasya ng hukuman. 
* Kung ang karera sa kalye ay magreresulta sa mga pinsala o pinsala sa ari-arian, ang mga mas malubhang sin"&amp;"gil tulad ng walang ingat na imprudence na nagreresulta sa mga pisikal na pinsala o pinsala sa ari-arian sa ilalim ng Binagong Kodigo Penal ay maaaring ilapat. Ang mga ito ay maaaring humantong sa mga parusang pagkakulong.
**Rekomendasyon:**
* Mahal"&amp;"agang maunawaan na ang karera sa kalye ay hindi lamang ilegal ngunit lubhang mapanganib din.  Laging unahin ang mga ligtas na kasanayan sa pagmamaneho.
")</f>
        <v>Ang karera sa kalye ay ilegal sa Pilipinas, at may ilang mga batas na maaaring gamitin upang parusahan ang mga nagkasala. Narito ang isang breakdown ng mga kaugnay na batas ng Pilipinas:
**Walang Partikular na Batas sa Karera sa Kalye:**
* Hindi tulad ng ilang mga bansa, ang Pilipinas ay walang iisang, partikular na batas na tumutugon lamang sa karera sa kalye.
**Mga Parusa sa pamamagitan ng Mga Umiiral na Batas:**
Gayunpaman, maaaring gamitin ng mga awtoridad ang mga kasalukuyang batas para parusahan ang mga aktibidad ng karera sa kalye:
* **Republic Act No. 4136 (Land Transportation and Traffic Code):**
    * **Seksyon 20:** Ipinagbabawal ng seksyong ito ang walang ingat na pagmamaneho.  Dahil ang karera sa kalye ay likas na nagsasangkot ng walang ingat na pag-uugali at nagdudulot ng panganib sa iba, maaari itong maparusahan sa ilalim ng seksyong ito [LTO fines and penalties, LTFRB website: [invalid URL ltfrb gov ph ON Land Transportation Franchising and Regulatory Board]].  Kasama sa mga parusa ang mga multa mula ₱2,000 hanggang ₱10,000 na may potensyal na pagkakasuspinde ng lisensya o pagbawi para sa mga paulit-ulit na pagkakasala. 
    * **Seksyon 6:** Ang seksyong ito ay nangangailangan ng mga sasakyan na magkaroon ng maayos na paggana ng mga headlight at taillight.  Maaaring makitang lumalabag sa seksyong ito ang mga sasakyang sangkot sa karera sa kalye kung may mga binago silang ilaw na humahadlang sa ligtas na operasyon [Land Transportation and Traffic Code, LawPH.net].
* **Anti-Distracted Driving Act (Republic Act No. 11235):**  
    * Ipinagbabawal ng Batas na ito ang mga aktibidad tulad ng paggamit ng mga mobile phone o iba pang electronic device habang nagmamaneho.  Kung ang isang driver na sangkot sa karera sa kalye ay napatunayang naabala, maaari silang parusahan sa ilalim ng Batas na ito bilang karagdagan sa iba pang mga kaso [Anti-Distracted Driving Act, Senate of the Philippines, legacy.senate.gov.ph].
**Potensyal para sa Dagdag na mga Parusa:**
* **Senate Bill No. 3275:** Ang panukalang batas na ito, na kilala rin bilang "Anti-Drag Racing Act of 2017", ay naghangad na magtatag ng isang partikular na batas laban sa drag racing (isang anyo ng street racing). Bagama't hindi naipasa ang panukalang batas na ito, itinatampok nito ang layuning potensyal na lumikha ng mas matitinding parusa para sa karera sa kalye sa hinaharap [Binge Driving Under the Influence of Dangerous Drugs and Anti-Drag Racing Act of 2017, Senate of the Philippines, legacy. senate.gov.ph]. 
**Mahahalagang Paalala:**
* Ang tiyak na parusa para sa isang pagkakasala ay depende sa kalubhaan ng paglabag at sa pagpapasya ng hukuman. 
* Kung ang karera sa kalye ay magreresulta sa mga pinsala o pinsala sa ari-arian, ang mga mas malubhang singil tulad ng walang ingat na imprudence na nagreresulta sa mga pisikal na pinsala o pinsala sa ari-arian sa ilalim ng Binagong Kodigo Penal ay maaaring ilapat. Ang mga ito ay maaaring humantong sa mga parusang pagkakulong.
**Rekomendasyon:**
* Mahalagang maunawaan na ang karera sa kalye ay hindi lamang ilegal ngunit lubhang mapanganib din.  Laging unahin ang mga ligtas na kasanayan sa pagmamaneho.
</v>
      </c>
      <c r="F2920" s="2">
        <f t="shared" si="1"/>
        <v>0</v>
      </c>
      <c r="G2920" s="2"/>
      <c r="H2920" s="2"/>
      <c r="I2920" s="2"/>
      <c r="J2920" s="2"/>
      <c r="K2920" s="2"/>
      <c r="L2920" s="2"/>
      <c r="M2920" s="2"/>
      <c r="N2920" s="2"/>
      <c r="O2920" s="2"/>
      <c r="P2920" s="2"/>
      <c r="Q2920" s="2"/>
      <c r="R2920" s="2"/>
      <c r="S2920" s="2"/>
      <c r="T2920" s="2"/>
      <c r="U2920" s="2"/>
      <c r="V2920" s="2"/>
      <c r="W2920" s="2"/>
      <c r="X2920" s="2"/>
      <c r="Y2920" s="2"/>
      <c r="Z2920" s="2"/>
      <c r="AA2920" s="2"/>
    </row>
    <row r="2921">
      <c r="A2921" s="3" t="s">
        <v>6762</v>
      </c>
      <c r="B2921" s="1" t="s">
        <v>6816</v>
      </c>
      <c r="C2921" s="3" t="s">
        <v>6817</v>
      </c>
      <c r="D2921" s="2" t="str">
        <f>IFERROR(__xludf.DUMMYFUNCTION("GOOGLETRANSLATE(B2921, ""en"", ""TL"")"),"Ano ang mga regulasyon para sa pagpapatakbo ng mga school bus sa Pilipinas?")</f>
        <v>Ano ang mga regulasyon para sa pagpapatakbo ng mga school bus sa Pilipinas?</v>
      </c>
      <c r="E2921" s="2" t="str">
        <f>IFERROR(__xludf.DUMMYFUNCTION("GOOGLETRANSLATE(C2921, ""en"", ""TL"")"),"Narito ang isang breakdown ng mga regulasyon para sa pagpapatakbo ng mga school bus sa Pilipinas:
**Pangunahing Regulatory Body:**
* **Land Transportation Franchising and Regulatory Board (LTFRB):** Ang LTFRB ang pangunahing ahensya ng gobyerno na r"&amp;"esponsable sa pag-regulate ng mga school bus operations. Nag-isyu sila ng mga prangkisa at nagpapatupad ng mga regulasyon para matiyak ang kaligtasan.
* **Department of Transportation (DOTr):** Ang DOTr, sa pamamagitan ng mga programa tulad ng Public Uti"&amp;"lity Vehicle Modernization Program (PUVMP), ay nakakaimpluwensya sa mga pamantayan para sa mga school bus.
**Mga Pangunahing Regulasyon:**
* **Kinakailangan sa Franchise:** Ang isang school bus ay nangangailangan ng wastong Certificate of Public Con"&amp;"venience (CPC) na inisyu ng LTFRB partikular para sa school service [LTFRB has new requirements for school shuttle services, [invalid URL removed].ph].
* **Kwalipikasyon sa Pagmamaneho:** Ang mga driver ay dapat magkaroon ng isang propesyonal na lisens"&amp;"ya sa pagmamaneho na may code para sa partikular na uri ng bus ng paaralan at sumailalim sa mga mandatoryong seminar tungkol sa kaligtasan at mga regulasyon sa kalsada [May mga bagong kinakailangan ang LTFRB para sa mga serbisyo ng shuttle sa paaralan, [i"&amp;"nvalid URL removed].ph ].
* **Mga Kinakailangan sa Sasakyan:** Ang mga school bus ay dapat matugunan ang mga tiyak na pamantayan sa kaligtasan na itinakda ng LTFRB. Kabilang dito ang:
    * **Limit sa Edad:** Ang mga bagong regulasyon mula 2023 ay nag"&amp;"hihigpit sa mga school bus sa mga sasakyang wala pang 15 taong gulang [may mga bagong kinakailangan ang LTFRB para sa mga serbisyo ng shuttle sa paaralan, [invalid URL removed].ph]. 
    * **Seatbelts:** Ang lahat ng school bus ay dapat nilagyan ng seatb"&amp;"elts para sa bawat pasahero [LTFRB has new requirements for school shuttle services, [invalid URL removed].ph]. (Ang Senate Bill No. 964 ay nagmumungkahi din ng mga mandatoryong seatbelt, bagaman hindi pa batas)
    * **Steel-Grilled Windows:** Dapat ay "&amp;"may steel grills ang Windows para hindi aksidenteng mahulog ang mga bata habang nakabukas [may mga bagong kinakailangan ang LTFRB para sa mga school shuttle services, [invalid URL removed].ph].
    * **Working Fire Extinguisher:** Ang isang portable fire"&amp;" extinguisher ay dapat na madaling makuha sa bus [LTFRB has new requirements for school shuttle services, [invalid URL removed].ph]. 
    * **First-Aid Kit:** Dapat mayroong first-aid kit para sa mga menor de edad na medikal na emerhensiya [may mga bagon"&amp;"g kinakailangan ang LTFRB para sa mga serbisyo ng shuttle sa paaralan, [invalid URL removed].ph].
    * **Signage:** Ang mga marka ng ""School Service"" at iba pang signage na ipinag-uutos ng LTFRB ay dapat makita sa labas [may mga bagong kinakailangan a"&amp;"ng LTFRB para sa mga serbisyo ng shuttle sa paaralan, [invalid URL removed].ph].
* **Mga Panukala sa Kaligtasan ng Mag-aaral:** 
    * **Kalusugan at Kalinisan:** Maaaring kailanganin ng mga driver at konduktor na sumailalim sa regular na medikal na e"&amp;"ksaminasyon [Maaaring ipagpatuloy ng mga school bus ng LTFRB ang operasyon kung..., newsinfo.inquirer.net]. 
    * **Stop Sign:** Maaaring kailanganin ang isang portable na ""STOP"" sign para magamit ng konduktor kapag tumawid ang mga estudyante sa kalsa"&amp;"da [Maaaring ipagpatuloy ng mga school bus ng LTFRB ang operasyon kung..., newsinfo.inquirer.net].
* **Kakayahang Pasahero:** Idinidikta ng LTFRB ang maximum na bilang ng mga mag-aaral na pinapayagan sa isang bus ng paaralan, isinasaalang-alang ang kal"&amp;"igtasan at mga itinalagang kaayusan sa pag-upo. 
* **Mga Presyo ng Pamasahe:** Ang mga pamasahe para sa mga serbisyo ng bus ng paaralan ay karaniwang kinokontrol ng LTFRB, at ang mga rate ay kitang-kita sa loob ng bus [Inaprubahan ng LTFRB ang P2 na mi"&amp;"nimum na pagtaas ng pamasahe sa dyip sa Metro Manila, Philstar.com].
**Public Utility Vehicle Modernization Program (PUVMP):**
* Layunin ng PUVMP na gawing moderno ang mga pampublikong sasakyan, kabilang ang mga school bus. Bagama't hindi puro legal"&amp;" na regulasyon, mahalagang isaalang-alang ang:
    * **Phasing Out Old School Buses:** Ang PUVMP ay nag-uutos sa unti-unting pag-phase-out ng mga school bus na lampas sa limitasyon ng edad. Ang mga ito ay pinalitan ng Euro 4-compliant o electric school b"&amp;"uses [Jeepneys, Backbone of Public Transport in Philippines, Face Modernization by Government, Asia Pacific].
    * **Mga Bagong Tampok:** Maaaring kasama sa mga modernized na school bus ang mga CCTV camera, mga awtomatikong sistema ng pangongolekta ng p"&amp;"amasahe, at mga GPS monitor para sa pinahusay na kaligtasan at pagsubaybay [Public Utility Vehicle Modernization Program, Wikipedia].
**Paghahanap ng pinakabagong impormasyon:**
* **LTFRB Website:** Ang website na ito ay isang magandang mapagkukunan"&amp;" para sa pinakabagong mga regulasyon sa pagpapatakbo ng school bus: [invalid URL ltfrb gov ph ON Land Transportation Franchising and Regulatory Board] 
* **Pagkonsulta sa isang abogado:** Ang isang abogado na dalubhasa sa batas sa transportasyon ay maaar"&amp;"ing magbigay ng komprehensibong pag-unawa sa mga legalidad batay sa partikular na sitwasyon.
**Mahahalagang Paalala:**
* Ito ay mga pangkalahatang patnubay.  Maaaring mag-iba ang mga partikular na kinakailangan depende sa opisina ng rehiyonal na LTF"&amp;"RB o kasunduan sa prangkisa.  
* Tandaan, ang kaligtasan ng mga mag-aaral ang pangunahing priyoridad.  Palaging tiyakin na ang serbisyo ng bus ng paaralan na iyong pinili ay sumusunod sa mga regulasyong pangkaligtasan.")</f>
        <v>Narito ang isang breakdown ng mga regulasyon para sa pagpapatakbo ng mga school bus sa Pilipinas:
**Pangunahing Regulatory Body:**
* **Land Transportation Franchising and Regulatory Board (LTFRB):** Ang LTFRB ang pangunahing ahensya ng gobyerno na responsable sa pag-regulate ng mga school bus operations. Nag-isyu sila ng mga prangkisa at nagpapatupad ng mga regulasyon para matiyak ang kaligtasan.
* **Department of Transportation (DOTr):** Ang DOTr, sa pamamagitan ng mga programa tulad ng Public Utility Vehicle Modernization Program (PUVMP), ay nakakaimpluwensya sa mga pamantayan para sa mga school bus.
**Mga Pangunahing Regulasyon:**
* **Kinakailangan sa Franchise:** Ang isang school bus ay nangangailangan ng wastong Certificate of Public Convenience (CPC) na inisyu ng LTFRB partikular para sa school service [LTFRB has new requirements for school shuttle services, [invalid URL removed].ph].
* **Kwalipikasyon sa Pagmamaneho:** Ang mga driver ay dapat magkaroon ng isang propesyonal na lisensya sa pagmamaneho na may code para sa partikular na uri ng bus ng paaralan at sumailalim sa mga mandatoryong seminar tungkol sa kaligtasan at mga regulasyon sa kalsada [May mga bagong kinakailangan ang LTFRB para sa mga serbisyo ng shuttle sa paaralan, [invalid URL removed].ph ].
* **Mga Kinakailangan sa Sasakyan:** Ang mga school bus ay dapat matugunan ang mga tiyak na pamantayan sa kaligtasan na itinakda ng LTFRB. Kabilang dito ang:
    * **Limit sa Edad:** Ang mga bagong regulasyon mula 2023 ay naghihigpit sa mga school bus sa mga sasakyang wala pang 15 taong gulang [may mga bagong kinakailangan ang LTFRB para sa mga serbisyo ng shuttle sa paaralan, [invalid URL removed].ph]. 
    * **Seatbelts:** Ang lahat ng school bus ay dapat nilagyan ng seatbelts para sa bawat pasahero [LTFRB has new requirements for school shuttle services, [invalid URL removed].ph]. (Ang Senate Bill No. 964 ay nagmumungkahi din ng mga mandatoryong seatbelt, bagaman hindi pa batas)
    * **Steel-Grilled Windows:** Dapat ay may steel grills ang Windows para hindi aksidenteng mahulog ang mga bata habang nakabukas [may mga bagong kinakailangan ang LTFRB para sa mga school shuttle services, [invalid URL removed].ph].
    * **Working Fire Extinguisher:** Ang isang portable fire extinguisher ay dapat na madaling makuha sa bus [LTFRB has new requirements for school shuttle services, [invalid URL removed].ph]. 
    * **First-Aid Kit:** Dapat mayroong first-aid kit para sa mga menor de edad na medikal na emerhensiya [may mga bagong kinakailangan ang LTFRB para sa mga serbisyo ng shuttle sa paaralan, [invalid URL removed].ph].
    * **Signage:** Ang mga marka ng "School Service" at iba pang signage na ipinag-uutos ng LTFRB ay dapat makita sa labas [may mga bagong kinakailangan ang LTFRB para sa mga serbisyo ng shuttle sa paaralan, [invalid URL removed].ph].
* **Mga Panukala sa Kaligtasan ng Mag-aaral:** 
    * **Kalusugan at Kalinisan:** Maaaring kailanganin ng mga driver at konduktor na sumailalim sa regular na medikal na eksaminasyon [Maaaring ipagpatuloy ng mga school bus ng LTFRB ang operasyon kung..., newsinfo.inquirer.net]. 
    * **Stop Sign:** Maaaring kailanganin ang isang portable na "STOP" sign para magamit ng konduktor kapag tumawid ang mga estudyante sa kalsada [Maaaring ipagpatuloy ng mga school bus ng LTFRB ang operasyon kung..., newsinfo.inquirer.net].
* **Kakayahang Pasahero:** Idinidikta ng LTFRB ang maximum na bilang ng mga mag-aaral na pinapayagan sa isang bus ng paaralan, isinasaalang-alang ang kaligtasan at mga itinalagang kaayusan sa pag-upo. 
* **Mga Presyo ng Pamasahe:** Ang mga pamasahe para sa mga serbisyo ng bus ng paaralan ay karaniwang kinokontrol ng LTFRB, at ang mga rate ay kitang-kita sa loob ng bus [Inaprubahan ng LTFRB ang P2 na minimum na pagtaas ng pamasahe sa dyip sa Metro Manila, Philstar.com].
**Public Utility Vehicle Modernization Program (PUVMP):**
* Layunin ng PUVMP na gawing moderno ang mga pampublikong sasakyan, kabilang ang mga school bus. Bagama't hindi puro legal na regulasyon, mahalagang isaalang-alang ang:
    * **Phasing Out Old School Buses:** Ang PUVMP ay nag-uutos sa unti-unting pag-phase-out ng mga school bus na lampas sa limitasyon ng edad. Ang mga ito ay pinalitan ng Euro 4-compliant o electric school buses [Jeepneys, Backbone of Public Transport in Philippines, Face Modernization by Government, Asia Pacific].
    * **Mga Bagong Tampok:** Maaaring kasama sa mga modernized na school bus ang mga CCTV camera, mga awtomatikong sistema ng pangongolekta ng pamasahe, at mga GPS monitor para sa pinahusay na kaligtasan at pagsubaybay [Public Utility Vehicle Modernization Program, Wikipedia].
**Paghahanap ng pinakabagong impormasyon:**
* **LTFRB Website:** Ang website na ito ay isang magandang mapagkukunan para sa pinakabagong mga regulasyon sa pagpapatakbo ng school bus: [invalid URL ltfrb gov ph ON Land Transportation Franchising and Regulatory Board] 
* **Pagkonsulta sa isang abogado:** Ang isang abogado na dalubhasa sa batas sa transportasyon ay maaaring magbigay ng komprehensibong pag-unawa sa mga legalidad batay sa partikular na sitwasyon.
**Mahahalagang Paalala:**
* Ito ay mga pangkalahatang patnubay.  Maaaring mag-iba ang mga partikular na kinakailangan depende sa opisina ng rehiyonal na LTFRB o kasunduan sa prangkisa.  
* Tandaan, ang kaligtasan ng mga mag-aaral ang pangunahing priyoridad.  Palaging tiyakin na ang serbisyo ng bus ng paaralan na iyong pinili ay sumusunod sa mga regulasyong pangkaligtasan.</v>
      </c>
      <c r="F2921" s="2">
        <f t="shared" si="1"/>
        <v>0</v>
      </c>
      <c r="G2921" s="2"/>
      <c r="H2921" s="2"/>
      <c r="I2921" s="2"/>
      <c r="J2921" s="2"/>
      <c r="K2921" s="2"/>
      <c r="L2921" s="2"/>
      <c r="M2921" s="2"/>
      <c r="N2921" s="2"/>
      <c r="O2921" s="2"/>
      <c r="P2921" s="2"/>
      <c r="Q2921" s="2"/>
      <c r="R2921" s="2"/>
      <c r="S2921" s="2"/>
      <c r="T2921" s="2"/>
      <c r="U2921" s="2"/>
      <c r="V2921" s="2"/>
      <c r="W2921" s="2"/>
      <c r="X2921" s="2"/>
      <c r="Y2921" s="2"/>
      <c r="Z2921" s="2"/>
      <c r="AA2921" s="2"/>
    </row>
    <row r="2922">
      <c r="A2922" s="3" t="s">
        <v>6762</v>
      </c>
      <c r="B2922" s="1" t="s">
        <v>6818</v>
      </c>
      <c r="C2922" s="3" t="s">
        <v>6819</v>
      </c>
      <c r="D2922" s="2" t="str">
        <f>IFERROR(__xludf.DUMMYFUNCTION("GOOGLETRANSLATE(B2922, ""en"", ""TL"")"),"Ano ang mga kinakailangan para sa pagkuha ng lisensya ng konduktor para sa mga pampublikong sasakyan?")</f>
        <v>Ano ang mga kinakailangan para sa pagkuha ng lisensya ng konduktor para sa mga pampublikong sasakyan?</v>
      </c>
      <c r="E2922" s="2" t="str">
        <f>IFERROR(__xludf.DUMMYFUNCTION("GOOGLETRANSLATE(C2922, ""en"", ""TL"")"),"Upang makakuha ng lisensya ng konduktor para sa mga pampublikong sasakyang pang-transportasyon sa Pilipinas, kakailanganin mong matugunan ang mga partikular na kwalipikasyon at sundin ang ilang mga pamamaraan na itinakda ng Land Transportation Office (LTO"&amp;"). Narito ang isang breakdown ng mga pangunahing kinakailangan:
**Mga Kwalipikasyon:**
* **Edad:** Dapat ay hindi bababa sa 18 taong gulang [How to Get an LTO Conductor's License, ltoportal.ph].
* **Physical and Mental Fitness:** Dapat physically a"&amp;"nd mentally fit to work and free from any contagious diseases [How to Get an LTO Conductor's License, ltoportal.ph].
* **Literacy:** Dapat marunong bumasa at sumulat sa Filipino, English, o anumang iba pang pangunahing diyalekto [How to Get LTO Driver's "&amp;"License in the Philippines, ltoportal.ph].
* **Walang Hindi Naayos na Mga Paglabag sa Trapiko:** Hindi dapat magkaroon ng anumang hindi maayos na paglabag sa trapiko [How to Convert Non-Pro to Pro LTO Driver's License, ltoportal.ph].
**Mga Dokumento:*"&amp;"*
* **Duly Accomplished Application for Permits and Licenses (APL) Form:** Ang form na ito ay maaaring makuha mula sa alinmang LTO licensing center [Professional License Application Requirements, ltoexam.com].
* **Orihinal at photocopy ng isang akredi"&amp;"tadong medikal na sertipiko ng LTO:** Ang sertipiko ng medikal ay dapat na patunayan ang iyong kaangkupang magtrabaho bilang isang konduktor [How to Get an LTO Conductor's License, ltoportal.ph].
* **Orihinal at photocopy ng valid government ID:** Kabila"&amp;"ng sa mga halimbawa ang Philippine passport, PSA Birth Certificate, o Unified Multi-Purpose ID (UMID) card [Pagkuha ng Iyong LTO Philippines Driver's License: How to Apply or Renew, Globe Telecom , globe.com.ph]. (Para sa mga menor de edad, kailangan ng n"&amp;"otarized na parental consent na may valid government ID)
* **Orihinal at photocopy ng alinman sa mga sumusunod na clearance:**
    * National Bureau of Investigation (NBI) Clearance
    * Police Clearance
    * Court Clearance
* **Taxpayer's Identifi"&amp;"cation Number (TIN):** Bagama't hindi palaging mandatory, ipinapayong magkaroon ng TIN para sa mas mabilis na pagproseso [How to Get an LTO Conductor's License, ltoportal.ph]. 
**Proseso:**
1. Ipunin ang lahat ng kinakailangang dokumento.
2. Bisita"&amp;"hin ang iyong pinakamalapit na LTO licensing center.
3. Mag-aplay para sa lisensya ng konduktor at bayaran ang mga kinakailangang bayarin.
4. Ipasa ang nakasulat na pagsusulit, na sumasaklaw sa mga paksa tulad ng mga patakaran sa trapiko, kaligtasan ng "&amp;"pasahero, at pangunahing pangunang lunas [LTO Conductor's License Exam Reviewer 2023, ltoportal.ph].
5. Kung pumasa ka sa nakasulat na pagsusulit, maaaring kailanganin mong kumuha ng praktikal na demonstrasyon upang masuri ang iyong mga kasanayan sa pagt"&amp;"ulong sa mga pasahero at tiyakin ang kanilang kaligtasan habang sumasakay at bumababa [LTO Conductor's License Exam Reviewer 2023, ltoportal.ph]. (Maaaring mag-iba ang mga partikular na kinakailangan depende sa opisina ng LTO)
6. Sa pagpasa sa mga nakasu"&amp;"lat at praktikal na pagsusulit, kukunan ang iyong larawan, at kakailanganin mong lagdaan ang iyong application form [Pagkuha ng Iyong Lisensya sa Pagmamaneho ng LTO Philippines: Paano Mag-apply o Mag-renew, Globe Telecom, globe.com.ph] .
7. Ang lisensya "&amp;"ng iyong konduktor ay ipapadala sa iyo ng LTO sa pamamagitan ng koreo, at kakailanganin mong lagdaan ang Release Form sa pag-claim nito [Pagkuha ng Iyong Lisensya sa Pagmamaneho ng LTO Philippines: Paano Mag-apply o Mag-renew, Globe Telecom, globe.com.ph "&amp;"].
**Mahahalagang Paalala:**
* Isa itong pangkalahatang gabay, at maaaring magbago ang mga partikular na kinakailangan. Inirerekomenda na bisitahin ang website ng LTO o makipag-ugnayan sa pinakamalapit na opisina ng LTO para sa pinakabagong impormas"&amp;"yon: [https://lto.gov.ph/](https://lto.gov.ph/).
* Isaalang-alang ang pagdalo sa kurso sa pagsasanay ng konduktor na inaalok ng mga akreditadong paaralan sa pagmamaneho para sa mas mahusay na pag-unawa sa mga responsibilidad at kasanayang kinakailangan p"&amp;"ara sa trabaho.
* Tandaan, binibigyang-daan ka ng lisensya ng konduktor na tulungan ang driver at tiyakin ang kaligtasan ng pasahero. Hindi ka kwalipikadong patakbuhin ang sasakyan mismo.
")</f>
        <v>Upang makakuha ng lisensya ng konduktor para sa mga pampublikong sasakyang pang-transportasyon sa Pilipinas, kakailanganin mong matugunan ang mga partikular na kwalipikasyon at sundin ang ilang mga pamamaraan na itinakda ng Land Transportation Office (LTO). Narito ang isang breakdown ng mga pangunahing kinakailangan:
**Mga Kwalipikasyon:**
* **Edad:** Dapat ay hindi bababa sa 18 taong gulang [How to Get an LTO Conductor's License, ltoportal.ph].
* **Physical and Mental Fitness:** Dapat physically and mentally fit to work and free from any contagious diseases [How to Get an LTO Conductor's License, ltoportal.ph].
* **Literacy:** Dapat marunong bumasa at sumulat sa Filipino, English, o anumang iba pang pangunahing diyalekto [How to Get LTO Driver's License in the Philippines, ltoportal.ph].
* **Walang Hindi Naayos na Mga Paglabag sa Trapiko:** Hindi dapat magkaroon ng anumang hindi maayos na paglabag sa trapiko [How to Convert Non-Pro to Pro LTO Driver's License, ltoportal.ph].
**Mga Dokumento:**
* **Duly Accomplished Application for Permits and Licenses (APL) Form:** Ang form na ito ay maaaring makuha mula sa alinmang LTO licensing center [Professional License Application Requirements, ltoexam.com].
* **Orihinal at photocopy ng isang akreditadong medikal na sertipiko ng LTO:** Ang sertipiko ng medikal ay dapat na patunayan ang iyong kaangkupang magtrabaho bilang isang konduktor [How to Get an LTO Conductor's License, ltoportal.ph].
* **Orihinal at photocopy ng valid government ID:** Kabilang sa mga halimbawa ang Philippine passport, PSA Birth Certificate, o Unified Multi-Purpose ID (UMID) card [Pagkuha ng Iyong LTO Philippines Driver's License: How to Apply or Renew, Globe Telecom , globe.com.ph]. (Para sa mga menor de edad, kailangan ng notarized na parental consent na may valid government ID)
* **Orihinal at photocopy ng alinman sa mga sumusunod na clearance:**
    * National Bureau of Investigation (NBI) Clearance
    * Police Clearance
    * Court Clearance
* **Taxpayer's Identification Number (TIN):** Bagama't hindi palaging mandatory, ipinapayong magkaroon ng TIN para sa mas mabilis na pagproseso [How to Get an LTO Conductor's License, ltoportal.ph]. 
**Proseso:**
1. Ipunin ang lahat ng kinakailangang dokumento.
2. Bisitahin ang iyong pinakamalapit na LTO licensing center.
3. Mag-aplay para sa lisensya ng konduktor at bayaran ang mga kinakailangang bayarin.
4. Ipasa ang nakasulat na pagsusulit, na sumasaklaw sa mga paksa tulad ng mga patakaran sa trapiko, kaligtasan ng pasahero, at pangunahing pangunang lunas [LTO Conductor's License Exam Reviewer 2023, ltoportal.ph].
5. Kung pumasa ka sa nakasulat na pagsusulit, maaaring kailanganin mong kumuha ng praktikal na demonstrasyon upang masuri ang iyong mga kasanayan sa pagtulong sa mga pasahero at tiyakin ang kanilang kaligtasan habang sumasakay at bumababa [LTO Conductor's License Exam Reviewer 2023, ltoportal.ph]. (Maaaring mag-iba ang mga partikular na kinakailangan depende sa opisina ng LTO)
6. Sa pagpasa sa mga nakasulat at praktikal na pagsusulit, kukunan ang iyong larawan, at kakailanganin mong lagdaan ang iyong application form [Pagkuha ng Iyong Lisensya sa Pagmamaneho ng LTO Philippines: Paano Mag-apply o Mag-renew, Globe Telecom, globe.com.ph] .
7. Ang lisensya ng iyong konduktor ay ipapadala sa iyo ng LTO sa pamamagitan ng koreo, at kakailanganin mong lagdaan ang Release Form sa pag-claim nito [Pagkuha ng Iyong Lisensya sa Pagmamaneho ng LTO Philippines: Paano Mag-apply o Mag-renew, Globe Telecom, globe.com.ph ].
**Mahahalagang Paalala:**
* Isa itong pangkalahatang gabay, at maaaring magbago ang mga partikular na kinakailangan. Inirerekomenda na bisitahin ang website ng LTO o makipag-ugnayan sa pinakamalapit na opisina ng LTO para sa pinakabagong impormasyon: [https://lto.gov.ph/](https://lto.gov.ph/).
* Isaalang-alang ang pagdalo sa kurso sa pagsasanay ng konduktor na inaalok ng mga akreditadong paaralan sa pagmamaneho para sa mas mahusay na pag-unawa sa mga responsibilidad at kasanayang kinakailangan para sa trabaho.
* Tandaan, binibigyang-daan ka ng lisensya ng konduktor na tulungan ang driver at tiyakin ang kaligtasan ng pasahero. Hindi ka kwalipikadong patakbuhin ang sasakyan mismo.
</v>
      </c>
      <c r="F2922" s="2">
        <f t="shared" si="1"/>
        <v>0</v>
      </c>
      <c r="G2922" s="2"/>
      <c r="H2922" s="2"/>
      <c r="I2922" s="2"/>
      <c r="J2922" s="2"/>
      <c r="K2922" s="2"/>
      <c r="L2922" s="2"/>
      <c r="M2922" s="2"/>
      <c r="N2922" s="2"/>
      <c r="O2922" s="2"/>
      <c r="P2922" s="2"/>
      <c r="Q2922" s="2"/>
      <c r="R2922" s="2"/>
      <c r="S2922" s="2"/>
      <c r="T2922" s="2"/>
      <c r="U2922" s="2"/>
      <c r="V2922" s="2"/>
      <c r="W2922" s="2"/>
      <c r="X2922" s="2"/>
      <c r="Y2922" s="2"/>
      <c r="Z2922" s="2"/>
      <c r="AA2922" s="2"/>
    </row>
    <row r="2923">
      <c r="A2923" s="3" t="s">
        <v>6762</v>
      </c>
      <c r="B2923" s="1" t="s">
        <v>6820</v>
      </c>
      <c r="C2923" s="3" t="s">
        <v>6821</v>
      </c>
      <c r="D2923" s="2" t="str">
        <f>IFERROR(__xludf.DUMMYFUNCTION("GOOGLETRANSLATE(B2923, ""en"", ""TL"")"),"Ano ang mga batas tungkol sa paggamit ng tinted na bintana sa mga sasakyan sa Pilipinas?")</f>
        <v>Ano ang mga batas tungkol sa paggamit ng tinted na bintana sa mga sasakyan sa Pilipinas?</v>
      </c>
      <c r="E2923" s="2" t="str">
        <f>IFERROR(__xludf.DUMMYFUNCTION("GOOGLETRANSLATE(C2923, ""en"", ""TL"")"),"Ang Pilipinas ay walang iisang, tiyak na batas partikular sa tinting ng bintana ng kotse. Gayunpaman, ang mga regulasyon tungkol sa tint ng bintana ay nagmumula sa kumbinasyon ng mga mapagkukunan:
* **Land Transportation Office (LTO):** Bagama't walang"&amp;" opisyal na batas, ang LTO ay nagbibigay ng **mga alituntunin** para sa mga katanggap-tanggap na antas ng tint ng bintana batay sa Visible Light Transmission (VLT). 
    * **Mga pampasaherong sasakyan:** Inirerekomenda ng LTO ang paggamit ng mga tints na"&amp;" may hindi bababa sa **30% VLT** para sa front windshield at front side windows. Maaaring manatiling walang kulay ang mga bintana sa likuran [Install Legal Car Window Tint in the Philippines, tintroomdavao.com].
* **Republic Act No. 8750 (The Seat Belt"&amp;"s Use Act):** Bagama't hindi direkta tungkol sa tint ng bintana, hindi direktang sinusuportahan ng Batas na ito ang pangangailangan para sa ilang antas ng transparency sa pamamagitan ng mga bintana ng kotse para sa mas mahusay na visibility at pagpapatupa"&amp;"d ng paggamit ng seatbelt [Republic Act No. 8750 - Isang Batas na Nag-uutos sa Paggamit ng mga Seat Belts at Child Restraining Seats sa Mga Sasakyang De-motor, LawPH.net].
* **Pagpapasya sa Pagpapatupad ng Batas:** Maaaring gamitin ng mga opisyal ng pa"&amp;"gpapatupad ng batas ang kanilang paghuhusga upang huminto sa mga sasakyang may labis na madilim na tint ng bintana na makabuluhang nakapipinsala sa visibility, na binabanggit ang mga alalahanin sa kaligtasan.
**Kasalukuyang Sitwasyon:**
* Mayroong p"&amp;"atuloy na proseso upang lumikha ng isang pormal na batas na kumokontrol sa tinting ng bintana ng kotse. Ang mga konsultasyon sa pagitan ng mga ahensya ng gobyerno at mga supplier ng tint ay isinasagawa upang matukoy ang mga standardized na limitasyon ng V"&amp;"LT [A Look At Philippines Updated Car Window Tinting Law, lawindowfilms.com].
**Narito ang isang buod ng kasalukuyang sitwasyon:**
* **Wala pang tiyak na batas:** Walang opisyal na batas na tumutukoy sa eksaktong mga limitasyon ng VLT.
* **Mga Reko"&amp;"mendasyon ng LTO:** Ito ang mga pinakakaraniwang alituntuning sinusunod (30% VLT para sa front windshield at side window). 
* **Pagpapasya sa pagpapatupad ng batas:** Maaaring hulihin ng pulisya ang mga sasakyang may sobrang madilim na kulay para sa mga "&amp;"kadahilanang pangkaligtasan.
* **Bagong batas sa proseso:** Isang pormal na batas ang tinatalakay at maaaring ipatupad sa hinaharap.
**Mahahalagang puntos na dapat tandaan:**
* Karaniwang ipinapayong sundin ang inirerekomendang VLT ng LTO na hindi "&amp;"bababa sa 30% para sa mga bintana sa harap upang matiyak ang mas mahusay na visibility at maiwasan ang mga potensyal na isyu sa pagpapatupad ng batas.
* Ang paggamit ng sobrang madilim na tints ay maaaring maging isang panganib sa kaligtasan, na naglilim"&amp;"ita sa iyong sariling visibility at ng ibang mga driver.
* Palaging suriin sa iyong lokal na tanggapan ng LTO para sa pinakabagong impormasyon o mga update tungkol sa mga regulasyon ng window tinting.")</f>
        <v>Ang Pilipinas ay walang iisang, tiyak na batas partikular sa tinting ng bintana ng kotse. Gayunpaman, ang mga regulasyon tungkol sa tint ng bintana ay nagmumula sa kumbinasyon ng mga mapagkukunan:
* **Land Transportation Office (LTO):** Bagama't walang opisyal na batas, ang LTO ay nagbibigay ng **mga alituntunin** para sa mga katanggap-tanggap na antas ng tint ng bintana batay sa Visible Light Transmission (VLT). 
    * **Mga pampasaherong sasakyan:** Inirerekomenda ng LTO ang paggamit ng mga tints na may hindi bababa sa **30% VLT** para sa front windshield at front side windows. Maaaring manatiling walang kulay ang mga bintana sa likuran [Install Legal Car Window Tint in the Philippines, tintroomdavao.com].
* **Republic Act No. 8750 (The Seat Belts Use Act):** Bagama't hindi direkta tungkol sa tint ng bintana, hindi direktang sinusuportahan ng Batas na ito ang pangangailangan para sa ilang antas ng transparency sa pamamagitan ng mga bintana ng kotse para sa mas mahusay na visibility at pagpapatupad ng paggamit ng seatbelt [Republic Act No. 8750 - Isang Batas na Nag-uutos sa Paggamit ng mga Seat Belts at Child Restraining Seats sa Mga Sasakyang De-motor, LawPH.net].
* **Pagpapasya sa Pagpapatupad ng Batas:** Maaaring gamitin ng mga opisyal ng pagpapatupad ng batas ang kanilang paghuhusga upang huminto sa mga sasakyang may labis na madilim na tint ng bintana na makabuluhang nakapipinsala sa visibility, na binabanggit ang mga alalahanin sa kaligtasan.
**Kasalukuyang Sitwasyon:**
* Mayroong patuloy na proseso upang lumikha ng isang pormal na batas na kumokontrol sa tinting ng bintana ng kotse. Ang mga konsultasyon sa pagitan ng mga ahensya ng gobyerno at mga supplier ng tint ay isinasagawa upang matukoy ang mga standardized na limitasyon ng VLT [A Look At Philippines Updated Car Window Tinting Law, lawindowfilms.com].
**Narito ang isang buod ng kasalukuyang sitwasyon:**
* **Wala pang tiyak na batas:** Walang opisyal na batas na tumutukoy sa eksaktong mga limitasyon ng VLT.
* **Mga Rekomendasyon ng LTO:** Ito ang mga pinakakaraniwang alituntuning sinusunod (30% VLT para sa front windshield at side window). 
* **Pagpapasya sa pagpapatupad ng batas:** Maaaring hulihin ng pulisya ang mga sasakyang may sobrang madilim na kulay para sa mga kadahilanang pangkaligtasan.
* **Bagong batas sa proseso:** Isang pormal na batas ang tinatalakay at maaaring ipatupad sa hinaharap.
**Mahahalagang puntos na dapat tandaan:**
* Karaniwang ipinapayong sundin ang inirerekomendang VLT ng LTO na hindi bababa sa 30% para sa mga bintana sa harap upang matiyak ang mas mahusay na visibility at maiwasan ang mga potensyal na isyu sa pagpapatupad ng batas.
* Ang paggamit ng sobrang madilim na tints ay maaaring maging isang panganib sa kaligtasan, na naglilimita sa iyong sariling visibility at ng ibang mga driver.
* Palaging suriin sa iyong lokal na tanggapan ng LTO para sa pinakabagong impormasyon o mga update tungkol sa mga regulasyon ng window tinting.</v>
      </c>
      <c r="F2923" s="2">
        <f t="shared" si="1"/>
        <v>0</v>
      </c>
      <c r="G2923" s="2"/>
      <c r="H2923" s="2"/>
      <c r="I2923" s="2"/>
      <c r="J2923" s="2"/>
      <c r="K2923" s="2"/>
      <c r="L2923" s="2"/>
      <c r="M2923" s="2"/>
      <c r="N2923" s="2"/>
      <c r="O2923" s="2"/>
      <c r="P2923" s="2"/>
      <c r="Q2923" s="2"/>
      <c r="R2923" s="2"/>
      <c r="S2923" s="2"/>
      <c r="T2923" s="2"/>
      <c r="U2923" s="2"/>
      <c r="V2923" s="2"/>
      <c r="W2923" s="2"/>
      <c r="X2923" s="2"/>
      <c r="Y2923" s="2"/>
      <c r="Z2923" s="2"/>
      <c r="AA2923" s="2"/>
    </row>
    <row r="2924">
      <c r="A2924" s="3" t="s">
        <v>6762</v>
      </c>
      <c r="B2924" s="1" t="s">
        <v>6822</v>
      </c>
      <c r="C2924" s="3" t="s">
        <v>6823</v>
      </c>
      <c r="D2924" s="2" t="str">
        <f>IFERROR(__xludf.DUMMYFUNCTION("GOOGLETRANSLATE(B2924, ""en"", ""TL"")"),"Ano ang mga parusa sa pagmamaneho ng walang insurance sa Pilipinas?")</f>
        <v>Ano ang mga parusa sa pagmamaneho ng walang insurance sa Pilipinas?</v>
      </c>
      <c r="E2924" s="2" t="str">
        <f>IFERROR(__xludf.DUMMYFUNCTION("GOOGLETRANSLATE(C2924, ""en"", ""TL"")"),"Sa Pilipinas, ang pagmamaneho nang walang car insurance ay isang pagkakasala at maaaring magresulta sa mga parusa. Narito ang isang breakdown ng mga kahihinatnan:
**Pangunahing Parusa:**
* **Mga multa:** Ang pangunahing parusa para sa pagmamaneho na"&amp;"ng walang Compulsory Third-Party Liability (CTPL) insurance ay multa. Ang halaga ay nag-iiba depende sa bilang ng mga pagkakasala:
    * **Unang Pagkakasala:** ₱2,000 (humigit-kumulang $40 USD simula noong Oktubre 26, 2023) [Mga Bunga ng Pinansyal ng Pag"&amp;"mamaneho nang Walang Insurance ng Sasakyan, Ahensya ng Seguro ng MGS, mgsinsurance.ph]
    * **Ikalawang Pagkakasala:** ₱4,000 (humigit-kumulang $80 USD) [Mga Bunga ng Pinansyal ng Pagmamaneho nang Walang Seguro sa Sasakyan, Ahensya ng Seguro ng MGS, mgs"&amp;"insurance.ph] 
    * **Mga Succeed Offenses:** Maaaring tumaas pa ang halaga, at maaaring suspindihin o bawiin ng Land Transportation Office (LTO) ang iyong lisensya sa pagmamaneho.
**Mga Karagdagang Pasan sa Pinansyal:**
* **Walang Saklaw sa Segur"&amp;"o:** Kung walang seguro sa CTPL, mananagot ka sa pananalapi para sa anumang pinsala o pinsalang dulot ng ibang tao o ari-arian sa isang aksidenteng ikaw ang may kasalanan. Ito ay maaaring maging isang malaking pasanin sa pananalapi.
* **Pag-impound ng "&amp;"Sasakyan:** Sa ilang mga kaso, maaaring i-impound ng tagapagpatupad ng batas ang iyong sasakyan hanggang sa makapagpakita ka ng patunay ng wastong seguro sa CTPL [Mga kahihinatnan ng pagmamaneho nang walang insurance ng sasakyan sa Pilipinas, AutoDeal, au"&amp;"todeal.com.ph]. 
**Iba pang mga Pagsasaalang-alang:**
* **Mga Kahirapan sa Pag-renew ng Rehistrasyon:** Maaaring maantala o tanggihan ang pag-renew ng pagpaparehistro ng iyong sasakyan kung wala kang wastong patakaran sa CTPL [Mga Bunga ng Pinansyal"&amp;" ng Pagmamaneho nang Walang Seguro ng Sasakyan, MGS Insurance Agency, mgsinsurance.ph].
* **Mga Alalahanin sa Kaligtasan:** Ang pagmamaneho nang walang insurance ay maaaring maging isang alalahanin sa kaligtasan dahil hindi nito hinihikayat ang responsab"&amp;"leng pagmamaneho at maaaring humantong sa mga problema sa pananalapi kung magdulot ka ng isang aksidente.
**Tandaan:**
* Ang impormasyong ito ay nagbibigay ng pangkalahatang pangkalahatang-ideya.  Ang partikular na parusa ay maaaring depende sa ulat"&amp;" ng opisyal ng pag-aresto at sa desisyon ng korte.
* Lubos na inirerekumenda na kumunsulta sa isang abogado na dalubhasa sa batas trapiko para sa isang komprehensibong pag-unawa sa mga legal na aspeto at mga potensyal na kahihinatnan sa iyong sitwasyon.
"&amp;"
* Ang pagkakaroon ng wastong CTPL insurance ay pinoprotektahan hindi lamang ang iyong sarili kundi pati na rin ang iba pang mga driver at pedestrian sa kalsada. ")</f>
        <v>Sa Pilipinas, ang pagmamaneho nang walang car insurance ay isang pagkakasala at maaaring magresulta sa mga parusa. Narito ang isang breakdown ng mga kahihinatnan:
**Pangunahing Parusa:**
* **Mga multa:** Ang pangunahing parusa para sa pagmamaneho nang walang Compulsory Third-Party Liability (CTPL) insurance ay multa. Ang halaga ay nag-iiba depende sa bilang ng mga pagkakasala:
    * **Unang Pagkakasala:** ₱2,000 (humigit-kumulang $40 USD simula noong Oktubre 26, 2023) [Mga Bunga ng Pinansyal ng Pagmamaneho nang Walang Insurance ng Sasakyan, Ahensya ng Seguro ng MGS, mgsinsurance.ph]
    * **Ikalawang Pagkakasala:** ₱4,000 (humigit-kumulang $80 USD) [Mga Bunga ng Pinansyal ng Pagmamaneho nang Walang Seguro sa Sasakyan, Ahensya ng Seguro ng MGS, mgsinsurance.ph] 
    * **Mga Succeed Offenses:** Maaaring tumaas pa ang halaga, at maaaring suspindihin o bawiin ng Land Transportation Office (LTO) ang iyong lisensya sa pagmamaneho.
**Mga Karagdagang Pasan sa Pinansyal:**
* **Walang Saklaw sa Seguro:** Kung walang seguro sa CTPL, mananagot ka sa pananalapi para sa anumang pinsala o pinsalang dulot ng ibang tao o ari-arian sa isang aksidenteng ikaw ang may kasalanan. Ito ay maaaring maging isang malaking pasanin sa pananalapi.
* **Pag-impound ng Sasakyan:** Sa ilang mga kaso, maaaring i-impound ng tagapagpatupad ng batas ang iyong sasakyan hanggang sa makapagpakita ka ng patunay ng wastong seguro sa CTPL [Mga kahihinatnan ng pagmamaneho nang walang insurance ng sasakyan sa Pilipinas, AutoDeal, autodeal.com.ph]. 
**Iba pang mga Pagsasaalang-alang:**
* **Mga Kahirapan sa Pag-renew ng Rehistrasyon:** Maaaring maantala o tanggihan ang pag-renew ng pagpaparehistro ng iyong sasakyan kung wala kang wastong patakaran sa CTPL [Mga Bunga ng Pinansyal ng Pagmamaneho nang Walang Seguro ng Sasakyan, MGS Insurance Agency, mgsinsurance.ph].
* **Mga Alalahanin sa Kaligtasan:** Ang pagmamaneho nang walang insurance ay maaaring maging isang alalahanin sa kaligtasan dahil hindi nito hinihikayat ang responsableng pagmamaneho at maaaring humantong sa mga problema sa pananalapi kung magdulot ka ng isang aksidente.
**Tandaan:**
* Ang impormasyong ito ay nagbibigay ng pangkalahatang pangkalahatang-ideya.  Ang partikular na parusa ay maaaring depende sa ulat ng opisyal ng pag-aresto at sa desisyon ng korte.
* Lubos na inirerekumenda na kumunsulta sa isang abogado na dalubhasa sa batas trapiko para sa isang komprehensibong pag-unawa sa mga legal na aspeto at mga potensyal na kahihinatnan sa iyong sitwasyon.
* Ang pagkakaroon ng wastong CTPL insurance ay pinoprotektahan hindi lamang ang iyong sarili kundi pati na rin ang iba pang mga driver at pedestrian sa kalsada. </v>
      </c>
      <c r="F2924" s="2">
        <f t="shared" si="1"/>
        <v>0</v>
      </c>
      <c r="G2924" s="2"/>
      <c r="H2924" s="2"/>
      <c r="I2924" s="2"/>
      <c r="J2924" s="2"/>
      <c r="K2924" s="2"/>
      <c r="L2924" s="2"/>
      <c r="M2924" s="2"/>
      <c r="N2924" s="2"/>
      <c r="O2924" s="2"/>
      <c r="P2924" s="2"/>
      <c r="Q2924" s="2"/>
      <c r="R2924" s="2"/>
      <c r="S2924" s="2"/>
      <c r="T2924" s="2"/>
      <c r="U2924" s="2"/>
      <c r="V2924" s="2"/>
      <c r="W2924" s="2"/>
      <c r="X2924" s="2"/>
      <c r="Y2924" s="2"/>
      <c r="Z2924" s="2"/>
      <c r="AA2924" s="2"/>
    </row>
    <row r="2925">
      <c r="A2925" s="3" t="s">
        <v>6762</v>
      </c>
      <c r="B2925" s="1" t="s">
        <v>6824</v>
      </c>
      <c r="C2925" s="3" t="s">
        <v>6825</v>
      </c>
      <c r="D2925" s="2" t="str">
        <f>IFERROR(__xludf.DUMMYFUNCTION("GOOGLETRANSLATE(B2925, ""en"", ""TL"")"),"Ano ang mga regulasyon para sa pagpapatakbo ng mga tram o light rail na sasakyan sa Pilipinas?")</f>
        <v>Ano ang mga regulasyon para sa pagpapatakbo ng mga tram o light rail na sasakyan sa Pilipinas?</v>
      </c>
      <c r="E2925" s="2" t="str">
        <f>IFERROR(__xludf.DUMMYFUNCTION("GOOGLETRANSLATE(C2925, ""en"", ""TL"")"),"Sa kasalukuyan ay walang anumang mga regulasyon na partikular para sa pagpapatakbo ng mga tram o light rail na sasakyan sa Pilipinas. Ito ay dahil ang Pilipinas ay kasalukuyang walang anumang mga operating tram system. 
Narito ang isang breakdown ng si"&amp;"twasyon:
* **Walang Umiiral na Tram System:** Simula Oktubre 26, 2023, ang Pilipinas ay walang anumang aktibong tram o light rail transit (LRT) system na tumatakbo sa mga pampublikong kalsada. Ang mga makasaysayang sistema ng tram sa Maynila ay binuwag"&amp;" noong 1940s.
* **Mga Umiiral na Light Rail Transit System:** Ang Pilipinas ay may mga linya ng Light Rail Transit (LRT) sa Metro Manila, ngunit ang mga ito ay itinuturing na mabilis na mga sistema ng transit na may mga tampok na mas katulad ng mga sub"&amp;"way. Gumagana ang mga ito sa eksklusibong right-of-way na may grade separation at mas mataas na kapasidad ng pasahero kumpara sa tradisyonal na mga tram.
* **Mga Regulasyon para sa Mga Umiiral na Sistema ng LRT:** Ang Department of Transportation (DOTr"&amp;") ang nangangasiwa sa pagpapatakbo ng mga kasalukuyang linya ng LRT sa pamamagitan ng mga kaakibat na ahensya nito. Ang mga ahensyang ito ay may sariling mga regulasyon batay sa mga pambansang batas at internasyonal na pinakamahusay na kasanayan para sa k"&amp;"aligtasan at operasyon ng riles. 
**Mga Regulasyon kung Ipinakilala ang Mga Tram:**
* **Mga Potensyal na Batas sa Hinaharap:** Kung ang mga tram system ay ipinakilala sa Pilipinas sa hinaharap, ang mga bagong regulasyon ay malamang na malikha batay "&amp;"sa:
    * **Mga Umiiral na Batas para sa Pampublikong Transportasyon:** Ang Land Transportation Franchising and Regulatory Board (LTFRB) ay maaaring mag-isyu ng mga prangkisa at magtatag ng mga regulasyon na isinasaalang-alang ang kaligtasan ng pasahero,"&amp;" mga detalye ng sasakyan, at mga operasyon ng ruta. 
    * **International Standards:** Maaaring gamitin ng Pilipinas ang mga internasyonal na pamantayan sa kaligtasan at pinakamahuhusay na kagawian para sa mga operasyon ng tram mula sa mga organisasyon "&amp;"tulad ng International Association of Public Transport (UITP).
* **Pag-aangkop sa mga Umiiral na Regulasyon ng LRT:** Ang mga kasalukuyang regulasyon para sa mga sistema ng Light Rail Transit (LRT) ay maaaring iakma o magsilbing reference point para sa"&amp;" pagbuo ng mga regulasyon ng tram, kung isasaalang-alang ang pagkakatulad sa transportasyon ng electric rail.
**Paghahanap ng Higit pang Impormasyon:**
* **Department of Transportation (DOTr):** Bagama't wala pang partikular na regulasyon sa tram, m"&amp;"aaaring mag-alok ang website ng DOTr ng mga update sa anumang potensyal na proyekto ng tram at ang kanilang regulatory framework [https://dotr.gov.ph/](https ://dotr.gov.ph/).
* **Mga Proyekto sa Pagpapaunlad ng Balita at Imprastraktura:** Ang pagsunod s"&amp;"a mga balita at anunsyo na nauugnay sa mga proyekto sa pagpapaunlad ng imprastraktura sa Pilipinas ay maaaring magbigay ng mga insight sa mga potensyal na sistema ng tram sa hinaharap at ang kanilang mga pagsasaalang-alang sa regulasyon.
**Mahalagang T"&amp;"andaan:**
* Ang impormasyon sa itaas ay tumatalakay sa kasalukuyang sitwasyon mula Oktubre 26, 2023. Kung ang mga tram system ay ipinakilala sa hinaharap, ang mga bagong regulasyon ay malamang na bubuo at ipatupad.
")</f>
        <v>Sa kasalukuyan ay walang anumang mga regulasyon na partikular para sa pagpapatakbo ng mga tram o light rail na sasakyan sa Pilipinas. Ito ay dahil ang Pilipinas ay kasalukuyang walang anumang mga operating tram system. 
Narito ang isang breakdown ng sitwasyon:
* **Walang Umiiral na Tram System:** Simula Oktubre 26, 2023, ang Pilipinas ay walang anumang aktibong tram o light rail transit (LRT) system na tumatakbo sa mga pampublikong kalsada. Ang mga makasaysayang sistema ng tram sa Maynila ay binuwag noong 1940s.
* **Mga Umiiral na Light Rail Transit System:** Ang Pilipinas ay may mga linya ng Light Rail Transit (LRT) sa Metro Manila, ngunit ang mga ito ay itinuturing na mabilis na mga sistema ng transit na may mga tampok na mas katulad ng mga subway. Gumagana ang mga ito sa eksklusibong right-of-way na may grade separation at mas mataas na kapasidad ng pasahero kumpara sa tradisyonal na mga tram.
* **Mga Regulasyon para sa Mga Umiiral na Sistema ng LRT:** Ang Department of Transportation (DOTr) ang nangangasiwa sa pagpapatakbo ng mga kasalukuyang linya ng LRT sa pamamagitan ng mga kaakibat na ahensya nito. Ang mga ahensyang ito ay may sariling mga regulasyon batay sa mga pambansang batas at internasyonal na pinakamahusay na kasanayan para sa kaligtasan at operasyon ng riles. 
**Mga Regulasyon kung Ipinakilala ang Mga Tram:**
* **Mga Potensyal na Batas sa Hinaharap:** Kung ang mga tram system ay ipinakilala sa Pilipinas sa hinaharap, ang mga bagong regulasyon ay malamang na malikha batay sa:
    * **Mga Umiiral na Batas para sa Pampublikong Transportasyon:** Ang Land Transportation Franchising and Regulatory Board (LTFRB) ay maaaring mag-isyu ng mga prangkisa at magtatag ng mga regulasyon na isinasaalang-alang ang kaligtasan ng pasahero, mga detalye ng sasakyan, at mga operasyon ng ruta. 
    * **International Standards:** Maaaring gamitin ng Pilipinas ang mga internasyonal na pamantayan sa kaligtasan at pinakamahuhusay na kagawian para sa mga operasyon ng tram mula sa mga organisasyon tulad ng International Association of Public Transport (UITP).
* **Pag-aangkop sa mga Umiiral na Regulasyon ng LRT:** Ang mga kasalukuyang regulasyon para sa mga sistema ng Light Rail Transit (LRT) ay maaaring iakma o magsilbing reference point para sa pagbuo ng mga regulasyon ng tram, kung isasaalang-alang ang pagkakatulad sa transportasyon ng electric rail.
**Paghahanap ng Higit pang Impormasyon:**
* **Department of Transportation (DOTr):** Bagama't wala pang partikular na regulasyon sa tram, maaaring mag-alok ang website ng DOTr ng mga update sa anumang potensyal na proyekto ng tram at ang kanilang regulatory framework [https://dotr.gov.ph/](https ://dotr.gov.ph/).
* **Mga Proyekto sa Pagpapaunlad ng Balita at Imprastraktura:** Ang pagsunod sa mga balita at anunsyo na nauugnay sa mga proyekto sa pagpapaunlad ng imprastraktura sa Pilipinas ay maaaring magbigay ng mga insight sa mga potensyal na sistema ng tram sa hinaharap at ang kanilang mga pagsasaalang-alang sa regulasyon.
**Mahalagang Tandaan:**
* Ang impormasyon sa itaas ay tumatalakay sa kasalukuyang sitwasyon mula Oktubre 26, 2023. Kung ang mga tram system ay ipinakilala sa hinaharap, ang mga bagong regulasyon ay malamang na bubuo at ipatupad.
</v>
      </c>
      <c r="F2925" s="2">
        <f t="shared" si="1"/>
        <v>0</v>
      </c>
      <c r="G2925" s="2"/>
      <c r="H2925" s="2"/>
      <c r="I2925" s="2"/>
      <c r="J2925" s="2"/>
      <c r="K2925" s="2"/>
      <c r="L2925" s="2"/>
      <c r="M2925" s="2"/>
      <c r="N2925" s="2"/>
      <c r="O2925" s="2"/>
      <c r="P2925" s="2"/>
      <c r="Q2925" s="2"/>
      <c r="R2925" s="2"/>
      <c r="S2925" s="2"/>
      <c r="T2925" s="2"/>
      <c r="U2925" s="2"/>
      <c r="V2925" s="2"/>
      <c r="W2925" s="2"/>
      <c r="X2925" s="2"/>
      <c r="Y2925" s="2"/>
      <c r="Z2925" s="2"/>
      <c r="AA2925" s="2"/>
    </row>
    <row r="2926">
      <c r="A2926" s="3" t="s">
        <v>6762</v>
      </c>
      <c r="B2926" s="1" t="s">
        <v>6826</v>
      </c>
      <c r="C2926" s="3" t="s">
        <v>6827</v>
      </c>
      <c r="D2926" s="2" t="str">
        <f>IFERROR(__xludf.DUMMYFUNCTION("GOOGLETRANSLATE(B2926, ""en"", ""TL"")"),"Ano ang mga kinakailangan sa pagkuha ng student driver's permit sa Pilipinas?")</f>
        <v>Ano ang mga kinakailangan sa pagkuha ng student driver's permit sa Pilipinas?</v>
      </c>
      <c r="E2926" s="2" t="str">
        <f>IFERROR(__xludf.DUMMYFUNCTION("GOOGLETRANSLATE(C2926, ""en"", ""TL"")"),"Walang partikular na Republic Act (RA) sa mga student driver's permit. Gayunpaman, inilalatag ng Land Transportation Office (LTO) ang mga kinakailangan sa pamamagitan ng kanilang mga pagpapalabas. 
Narito ang isang buod batay sa impormasyon ng LTO:
"&amp;"**Mga Kwalipikasyon**
* **Edad:**
    * Mga mamamayang Pilipino: Hindi bababa sa 16 taong gulang [LTO, ""1. STUDENT-DRIVER'S PERMIT""]
    * Mga Dayuhan: Hindi bababa sa 18 taong gulang na may paninirahan na hindi bababa sa 1 buwan at patunay ng nila"&amp;"layong manatili sa loob ng 6 na buwan [LTO, ""1. STUDENT-DRIVER'S PERMIT""]
* Physically and mentally fit [LTO, ""1. STUDENT-DRIVER'S PERMIT""]
* Marunong magbasa at magsulat sa Filipino o English [LTO, ""1. STUDENT-DRIVER'S PERMIT""]
* Walang hindi ma"&amp;"ayos na mga paglabag sa trapiko [LTO, ""1. STUDENT-DRIVER'S PERMIT""]
* Nakumpleto ang Theoretical Driving Course mula sa isang akreditadong institusyon [LTO, ""1. STUDENT-DRIVER'S PERMIT""]
* May aktibong email address [LTO, ""LTO Student Permit Requir"&amp;"ements License Application""]
**Mga Dokumento**
* Nakumpletong Application for Permits and Licenses (APL) Form [LTO, ""1. STUDENT-DRIVER'S PERMIT""]
* Electronically transmitted medical certificate mula sa isang LTO-accredited medical clinic (orihi"&amp;"nal at photocopy) [LTO, ""1. STUDENT-DRIVER'S PERMIT""] 
* Orihinal at photocopy ng anumang valid na ID na ibinigay ng gobyerno (birth certificate, pasaporte, atbp.) [LTO, ""LTO Student Permit Requirements License Application""]  
* Para sa mga aplikant"&amp;"eng wala pang 18: Pahintulot ng magulang na may photocopy ng valid government ID ng magulang/guardian [LTO, ""1. STUDENT-DRIVER'S PERMIT""]
Para sa karagdagang detalye, maaari kang sumangguni sa website ng LTO: [https://ltoportal.ph/lto-student-permit/"&amp;"](https://ltoportal.ph/lto-student-permit/)
")</f>
        <v>Walang partikular na Republic Act (RA) sa mga student driver's permit. Gayunpaman, inilalatag ng Land Transportation Office (LTO) ang mga kinakailangan sa pamamagitan ng kanilang mga pagpapalabas. 
Narito ang isang buod batay sa impormasyon ng LTO:
**Mga Kwalipikasyon**
* **Edad:**
    * Mga mamamayang Pilipino: Hindi bababa sa 16 taong gulang [LTO, "1. STUDENT-DRIVER'S PERMIT"]
    * Mga Dayuhan: Hindi bababa sa 18 taong gulang na may paninirahan na hindi bababa sa 1 buwan at patunay ng nilalayong manatili sa loob ng 6 na buwan [LTO, "1. STUDENT-DRIVER'S PERMIT"]
* Physically and mentally fit [LTO, "1. STUDENT-DRIVER'S PERMIT"]
* Marunong magbasa at magsulat sa Filipino o English [LTO, "1. STUDENT-DRIVER'S PERMIT"]
* Walang hindi maayos na mga paglabag sa trapiko [LTO, "1. STUDENT-DRIVER'S PERMIT"]
* Nakumpleto ang Theoretical Driving Course mula sa isang akreditadong institusyon [LTO, "1. STUDENT-DRIVER'S PERMIT"]
* May aktibong email address [LTO, "LTO Student Permit Requirements License Application"]
**Mga Dokumento**
* Nakumpletong Application for Permits and Licenses (APL) Form [LTO, "1. STUDENT-DRIVER'S PERMIT"]
* Electronically transmitted medical certificate mula sa isang LTO-accredited medical clinic (orihinal at photocopy) [LTO, "1. STUDENT-DRIVER'S PERMIT"] 
* Orihinal at photocopy ng anumang valid na ID na ibinigay ng gobyerno (birth certificate, pasaporte, atbp.) [LTO, "LTO Student Permit Requirements License Application"]  
* Para sa mga aplikanteng wala pang 18: Pahintulot ng magulang na may photocopy ng valid government ID ng magulang/guardian [LTO, "1. STUDENT-DRIVER'S PERMIT"]
Para sa karagdagang detalye, maaari kang sumangguni sa website ng LTO: [https://ltoportal.ph/lto-student-permit/](https://ltoportal.ph/lto-student-permit/)
</v>
      </c>
      <c r="F2926" s="2">
        <f t="shared" si="1"/>
        <v>0</v>
      </c>
      <c r="G2926" s="2"/>
      <c r="H2926" s="2"/>
      <c r="I2926" s="2"/>
      <c r="J2926" s="2"/>
      <c r="K2926" s="2"/>
      <c r="L2926" s="2"/>
      <c r="M2926" s="2"/>
      <c r="N2926" s="2"/>
      <c r="O2926" s="2"/>
      <c r="P2926" s="2"/>
      <c r="Q2926" s="2"/>
      <c r="R2926" s="2"/>
      <c r="S2926" s="2"/>
      <c r="T2926" s="2"/>
      <c r="U2926" s="2"/>
      <c r="V2926" s="2"/>
      <c r="W2926" s="2"/>
      <c r="X2926" s="2"/>
      <c r="Y2926" s="2"/>
      <c r="Z2926" s="2"/>
      <c r="AA2926" s="2"/>
    </row>
    <row r="2927">
      <c r="A2927" s="3" t="s">
        <v>6762</v>
      </c>
      <c r="B2927" s="1" t="s">
        <v>6828</v>
      </c>
      <c r="C2927" s="3" t="s">
        <v>6829</v>
      </c>
      <c r="D2927" s="2" t="str">
        <f>IFERROR(__xludf.DUMMYFUNCTION("GOOGLETRANSLATE(B2927, ""en"", ""TL"")"),"Ano ang mga batas tungkol sa paggamit ng mga dashcam at iba pang kagamitan sa pagre-record sa mga sasakyan?")</f>
        <v>Ano ang mga batas tungkol sa paggamit ng mga dashcam at iba pang kagamitan sa pagre-record sa mga sasakyan?</v>
      </c>
      <c r="E2927" s="2" t="str">
        <f>IFERROR(__xludf.DUMMYFUNCTION("GOOGLETRANSLATE(C2927, ""en"", ""TL"")"),"Walang partikular na batas ng Pilipinas na nakatuon lamang sa mga dashcam o recording device sa mga sasakyan. Gayunpaman, maaaring isaalang-alang ang dalawang nauugnay na batas:
1. **Republic Act No. 10173 o ang Data Privacy Act of 2012 (DPA):** Pinopr"&amp;"otektahan ng batas na ito ang karapatan ng isang indibidwal sa privacy patungkol sa personal na impormasyon, kabilang ang mga recording. Bagama't hindi nito tahasang binabanggit ang mga dashcam, nalalapat ang DPA kung ang iyong mga pag-record ay kumukuha "&amp;"ng makikilalang data ng iba (tulad ng mga mukha o mga plaka ng lisensya) sa labas ng iyong sasakyan. 
2. **Republic Act No. 10913 o ang Anti-Distracted Driving Act:** Ipinagbabawal ng Batas na ito ang paggamit ng anumang komunikasyon o elektronikong ap"&amp;"arato habang nagmamaneho na maaaring magdulot ng pagkagambala. Bagama't ang isang dashcam mismo ay hindi kinakailangang nakakagambala, ang paglalagay nito o ang pagkilos ng kalikot dito habang nagmamaneho ay maaaring lumabag sa batas na ito.
**Narito a"&amp;"ng isang breakdown ng kung ano ang ipinahihiwatig ng mga batas na ito para sa paggamit ng dashcam:**
* **Ang paggamit ng dashcam ay karaniwang legal.** Walang batas na nagbabawal sa pag-install o pagpapatakbo ng mga dashcam sa mga sasakyan. 
* **May m"&amp;"ga pagsasaalang-alang sa privacy ng data.** Mag-ingat sa pagre-record ng iba sa labas ng iyong sasakyan. Kung makikilala ang kanilang mga mukha o plaka, maaaring kailanganin mo ang kanilang pahintulot bago ibahagi sa publiko ang footage (maliban kung kina"&amp;"kailangan para sa mga legal na layunin).
**Mga Rekomendasyon:**
* Tiyaking hindi nakaharang sa iyong pagtingin o nakakasagabal sa mga airbag ang paglalagay ng iyong dashcam.
* Iwasang gumamit ng dashcam habang nagmamaneho sa paraang nakakaabala sa "&amp;"iyo.
* Kung ang iyong recording ay nakakuha ng makikilalang data ng iba at plano mong ibahagi ito sa publiko, pinakamahusay na kumunsulta sa isang abogado upang matiyak ang pagsunod sa Data Privacy Act.
**Bagama't walang partikular na batas sa mga das"&amp;"hcam, ang mga kasalukuyang batas na ito ay nagbibigay ng ilang mga alituntunin para sa responsableng paggamit.**
")</f>
        <v>Walang partikular na batas ng Pilipinas na nakatuon lamang sa mga dashcam o recording device sa mga sasakyan. Gayunpaman, maaaring isaalang-alang ang dalawang nauugnay na batas:
1. **Republic Act No. 10173 o ang Data Privacy Act of 2012 (DPA):** Pinoprotektahan ng batas na ito ang karapatan ng isang indibidwal sa privacy patungkol sa personal na impormasyon, kabilang ang mga recording. Bagama't hindi nito tahasang binabanggit ang mga dashcam, nalalapat ang DPA kung ang iyong mga pag-record ay kumukuha ng makikilalang data ng iba (tulad ng mga mukha o mga plaka ng lisensya) sa labas ng iyong sasakyan. 
2. **Republic Act No. 10913 o ang Anti-Distracted Driving Act:** Ipinagbabawal ng Batas na ito ang paggamit ng anumang komunikasyon o elektronikong aparato habang nagmamaneho na maaaring magdulot ng pagkagambala. Bagama't ang isang dashcam mismo ay hindi kinakailangang nakakagambala, ang paglalagay nito o ang pagkilos ng kalikot dito habang nagmamaneho ay maaaring lumabag sa batas na ito.
**Narito ang isang breakdown ng kung ano ang ipinahihiwatig ng mga batas na ito para sa paggamit ng dashcam:**
* **Ang paggamit ng dashcam ay karaniwang legal.** Walang batas na nagbabawal sa pag-install o pagpapatakbo ng mga dashcam sa mga sasakyan. 
* **May mga pagsasaalang-alang sa privacy ng data.** Mag-ingat sa pagre-record ng iba sa labas ng iyong sasakyan. Kung makikilala ang kanilang mga mukha o plaka, maaaring kailanganin mo ang kanilang pahintulot bago ibahagi sa publiko ang footage (maliban kung kinakailangan para sa mga legal na layunin).
**Mga Rekomendasyon:**
* Tiyaking hindi nakaharang sa iyong pagtingin o nakakasagabal sa mga airbag ang paglalagay ng iyong dashcam.
* Iwasang gumamit ng dashcam habang nagmamaneho sa paraang nakakaabala sa iyo.
* Kung ang iyong recording ay nakakuha ng makikilalang data ng iba at plano mong ibahagi ito sa publiko, pinakamahusay na kumunsulta sa isang abogado upang matiyak ang pagsunod sa Data Privacy Act.
**Bagama't walang partikular na batas sa mga dashcam, ang mga kasalukuyang batas na ito ay nagbibigay ng ilang mga alituntunin para sa responsableng paggamit.**
</v>
      </c>
      <c r="F2927" s="2">
        <f t="shared" si="1"/>
        <v>0</v>
      </c>
      <c r="G2927" s="2"/>
      <c r="H2927" s="2"/>
      <c r="I2927" s="2"/>
      <c r="J2927" s="2"/>
      <c r="K2927" s="2"/>
      <c r="L2927" s="2"/>
      <c r="M2927" s="2"/>
      <c r="N2927" s="2"/>
      <c r="O2927" s="2"/>
      <c r="P2927" s="2"/>
      <c r="Q2927" s="2"/>
      <c r="R2927" s="2"/>
      <c r="S2927" s="2"/>
      <c r="T2927" s="2"/>
      <c r="U2927" s="2"/>
      <c r="V2927" s="2"/>
      <c r="W2927" s="2"/>
      <c r="X2927" s="2"/>
      <c r="Y2927" s="2"/>
      <c r="Z2927" s="2"/>
      <c r="AA2927" s="2"/>
    </row>
    <row r="2928">
      <c r="A2928" s="3" t="s">
        <v>6762</v>
      </c>
      <c r="B2928" s="1" t="s">
        <v>6830</v>
      </c>
      <c r="C2928" s="3" t="s">
        <v>6831</v>
      </c>
      <c r="D2928" s="2" t="str">
        <f>IFERROR(__xludf.DUMMYFUNCTION("GOOGLETRANSLATE(B2928, ""en"", ""TL"")"),"Ano ang mga parusa sa pakikialam o pagtanggal ng mga traffic sign sa Pilipinas?")</f>
        <v>Ano ang mga parusa sa pakikialam o pagtanggal ng mga traffic sign sa Pilipinas?</v>
      </c>
      <c r="E2928" s="2" t="str">
        <f>IFERROR(__xludf.DUMMYFUNCTION("GOOGLETRANSLATE(C2928, ""en"", ""TL"")"),"Ang mga parusa sa pakikialam o pag-alis ng mga traffic sign sa Pilipinas ay nakabalangkas sa Republic Act No. 10824, na kilala rin bilang ""Anti-Distracted Driving Act"" ng 2016 [Senate of the Philippines, ""AN ACT IMPOSING SUFFER PENALTIES FOR THE OFFENS"&amp;"ES OF PAGNANAKAW O PAGBABABA NG MGA KASANDAAN AT TRAPIKO NG PAMAHALAAN, WARNING DE""]. Partikular na tinutugunan ng Batas na ito ang pagnanakaw, paninira, at pakikialam sa mga palatandaan ng trapiko.
Narito ang isang breakdown ng mga parusa batay sa ak"&amp;"to:
* **Naninira/Naninira o Naninira:**  
    * Pagkakulong ng **hindi bababa sa anim (6) na taon ngunit hindi hihigit sa walong (8) taon**  
    * O multa ng **mula P100,000 hanggang P150,000** 
    * O pareho, sa pagpapasya ng hukuman [Seksyon 6]
"&amp;"
* **Pagbuwag, Pag-aalis, Paglilipat, o Pag-aari:** 
    * Pagkakulong ng **hindi bababa sa labindalawang (12) taon ngunit hindi hihigit sa labinlimang (15) taon** 
    * O multa na **P200,000 hanggang P500,000**  
    * O pareho, sa pagpapasya ng hu"&amp;"kuman [Seksyon 6]
Nalalapat ang Batas na ito sa mga traffic sign at mga babalang device na inilagay ng pambansa at lokal na pamahalaan, kabilang ang:
* Mga tanda ng paghinto
* Magbigay ng mga palatandaan
* Madulas kapag basa ang mga palatandaan
*"&amp;" Mga palatandaan na nagpapahiwatig ng mga mapanganib na seksyon ng kalsada
* Mga rehas
Mahalagang tandaan na ang pakikialam sa mga palatandaan ng trapiko ay maaaring ilagay sa panganib ang kaligtasan ng mga driver at pedestrian. Ang mga parusa ay suma"&amp;"salamin sa kabigatan ng paglabag na ito.
")</f>
        <v>Ang mga parusa sa pakikialam o pag-alis ng mga traffic sign sa Pilipinas ay nakabalangkas sa Republic Act No. 10824, na kilala rin bilang "Anti-Distracted Driving Act" ng 2016 [Senate of the Philippines, "AN ACT IMPOSING SUFFER PENALTIES FOR THE OFFENSES OF PAGNANAKAW O PAGBABABA NG MGA KASANDAAN AT TRAPIKO NG PAMAHALAAN, WARNING DE"]. Partikular na tinutugunan ng Batas na ito ang pagnanakaw, paninira, at pakikialam sa mga palatandaan ng trapiko.
Narito ang isang breakdown ng mga parusa batay sa akto:
* **Naninira/Naninira o Naninira:**  
    * Pagkakulong ng **hindi bababa sa anim (6) na taon ngunit hindi hihigit sa walong (8) taon**  
    * O multa ng **mula P100,000 hanggang P150,000** 
    * O pareho, sa pagpapasya ng hukuman [Seksyon 6]
* **Pagbuwag, Pag-aalis, Paglilipat, o Pag-aari:** 
    * Pagkakulong ng **hindi bababa sa labindalawang (12) taon ngunit hindi hihigit sa labinlimang (15) taon** 
    * O multa na **P200,000 hanggang P500,000**  
    * O pareho, sa pagpapasya ng hukuman [Seksyon 6]
Nalalapat ang Batas na ito sa mga traffic sign at mga babalang device na inilagay ng pambansa at lokal na pamahalaan, kabilang ang:
* Mga tanda ng paghinto
* Magbigay ng mga palatandaan
* Madulas kapag basa ang mga palatandaan
* Mga palatandaan na nagpapahiwatig ng mga mapanganib na seksyon ng kalsada
* Mga rehas
Mahalagang tandaan na ang pakikialam sa mga palatandaan ng trapiko ay maaaring ilagay sa panganib ang kaligtasan ng mga driver at pedestrian. Ang mga parusa ay sumasalamin sa kabigatan ng paglabag na ito.
</v>
      </c>
      <c r="F2928" s="2">
        <f t="shared" si="1"/>
        <v>0</v>
      </c>
      <c r="G2928" s="2"/>
      <c r="H2928" s="2"/>
      <c r="I2928" s="2"/>
      <c r="J2928" s="2"/>
      <c r="K2928" s="2"/>
      <c r="L2928" s="2"/>
      <c r="M2928" s="2"/>
      <c r="N2928" s="2"/>
      <c r="O2928" s="2"/>
      <c r="P2928" s="2"/>
      <c r="Q2928" s="2"/>
      <c r="R2928" s="2"/>
      <c r="S2928" s="2"/>
      <c r="T2928" s="2"/>
      <c r="U2928" s="2"/>
      <c r="V2928" s="2"/>
      <c r="W2928" s="2"/>
      <c r="X2928" s="2"/>
      <c r="Y2928" s="2"/>
      <c r="Z2928" s="2"/>
      <c r="AA2928" s="2"/>
    </row>
    <row r="2929">
      <c r="A2929" s="3" t="s">
        <v>6762</v>
      </c>
      <c r="B2929" s="1" t="s">
        <v>6832</v>
      </c>
      <c r="C2929" s="3" t="s">
        <v>6833</v>
      </c>
      <c r="D2929" s="2" t="str">
        <f>IFERROR(__xludf.DUMMYFUNCTION("GOOGLETRANSLATE(B2929, ""en"", ""TL"")"),"Ano ang mga regulasyon para sa pagpapatakbo ng mga serbisyo sa transportasyon ng turista sa Pilipinas?")</f>
        <v>Ano ang mga regulasyon para sa pagpapatakbo ng mga serbisyo sa transportasyon ng turista sa Pilipinas?</v>
      </c>
      <c r="E2929" s="2" t="str">
        <f>IFERROR(__xludf.DUMMYFUNCTION("GOOGLETRANSLATE(C2929, ""en"", ""TL"")"),"Ang pagpapatakbo ng mga serbisyo sa transportasyong turista sa Pilipinas ay nagsasangkot ng mga regulasyon mula sa dalawang pangunahing ahensya ng gobyerno:
* **Department of Tourism (DOT)**: Nakatuon sa akreditasyon at tinitiyak ang kaligtasan at kasi"&amp;"yahan ng turista.
* **Land Transportation Franchising and Regulatory Board (LTFRB)**: Pinangangasiwaan ang mga aplikasyon ng prangkisa at tinitiyak ang pagsunod sa mga regulasyon sa transportasyon.
Narito ang isang breakdown ng mga pangunahing regulas"&amp;"yon:
**Accreditation ng Department of Tourism (DOT)**
* **Mandatory para sa lahat ng tourist transport operator.** 
* Nangangailangan ng pagtupad sa mga partikular na kinakailangan na may kaugnayan sa pagpapanatili ng sasakyan, mga kwalipikasyon ng"&amp;" driver, at kaligtasan ng pasahero. Ang mga detalye ay makikita sa mga inilabas ng DOT tulad ng Department Order No. 97-1097 [elibrary.judiciary.gov.ph].
* Kinabibilangan ng pagsusumite ng mga kinakailangan sa dokumentaryo at pagpasa ng inspeksyon ng mga"&amp;" sasakyan at pasilidad ng opisina [[inalis ang invalid na URL]].
**Pransiya ng Land Transportation Franchising and Regulatory Board (LTFRB)**
* **Kinakailangan upang legal na magpatakbo ng serbisyo sa transportasyong turista.** 
* Umiiral ang iba't"&amp;" ibang uri ng franchise depende sa uri ng sasakyan (hal., tourist bus, kotse, van).  Sumangguni sa mga pagpapalabas ng LTFRB para sa mga partikular na klasipikasyon [website ng LTFRB].
* Ang pagkuha ng prangkisa ay nagsasangkot ng pag-aplay sa LTFRB na m"&amp;"ay akreditasyon ng DOT bilang isang kinakailangan [LTFRB, DO-2013-04].
**Mga Karagdagang Regulasyon**
* **Pagsunod sa Republic Act No. 10173 (Data Privacy Act):** Kung ang iyong serbisyo ay nagsasangkot ng pagkolekta ng impormasyon ng pasahero, tiya"&amp;"kin ang data privacy compliance [Senate of the Philippines, ""Data Privacy Act""]. 
* **Mga Circular ng Memorandum ng LTFRB:** Maaaring matugunan nito ang mga partikular na kinakailangan para sa mga serbisyo sa transportasyon ng turista sa panahon ng pan"&amp;"demya o mga espesyal na sitwasyon (hal., mga alituntunin sa panahon ng COVID-19) [website ng LTFRB].
**Mga Mapagkukunan:**
* Department of Tourism (DOT): [https://beta.tourism.gov.ph/](https://beta.tourism.gov.ph/)
* Land Transportation Franchising"&amp;" and Regulatory Board (LTFRB): [LTFRB website]
* Mga Sample na Panuntunan ng DOT: [[inalis ang invalid na URL]] (Maaaring hindi ito ang pinakabagong pagpapalabas, kaya suriin sa DOT para sa mga update)
* Sample na pagpapalabas ng LTFRB: [LTFRB, DO-2013-"&amp;"04]
Tandaan, ito ay isang pangkalahatang pangkalahatang-ideya. Inirerekomenda na kumonsulta sa mga opisyal na website ng DOT at LTFRB para sa pinakabagong mga regulasyon at kumpletong detalye.")</f>
        <v>Ang pagpapatakbo ng mga serbisyo sa transportasyong turista sa Pilipinas ay nagsasangkot ng mga regulasyon mula sa dalawang pangunahing ahensya ng gobyerno:
* **Department of Tourism (DOT)**: Nakatuon sa akreditasyon at tinitiyak ang kaligtasan at kasiyahan ng turista.
* **Land Transportation Franchising and Regulatory Board (LTFRB)**: Pinangangasiwaan ang mga aplikasyon ng prangkisa at tinitiyak ang pagsunod sa mga regulasyon sa transportasyon.
Narito ang isang breakdown ng mga pangunahing regulasyon:
**Accreditation ng Department of Tourism (DOT)**
* **Mandatory para sa lahat ng tourist transport operator.** 
* Nangangailangan ng pagtupad sa mga partikular na kinakailangan na may kaugnayan sa pagpapanatili ng sasakyan, mga kwalipikasyon ng driver, at kaligtasan ng pasahero. Ang mga detalye ay makikita sa mga inilabas ng DOT tulad ng Department Order No. 97-1097 [elibrary.judiciary.gov.ph].
* Kinabibilangan ng pagsusumite ng mga kinakailangan sa dokumentaryo at pagpasa ng inspeksyon ng mga sasakyan at pasilidad ng opisina [[inalis ang invalid na URL]].
**Pransiya ng Land Transportation Franchising and Regulatory Board (LTFRB)**
* **Kinakailangan upang legal na magpatakbo ng serbisyo sa transportasyong turista.** 
* Umiiral ang iba't ibang uri ng franchise depende sa uri ng sasakyan (hal., tourist bus, kotse, van).  Sumangguni sa mga pagpapalabas ng LTFRB para sa mga partikular na klasipikasyon [website ng LTFRB].
* Ang pagkuha ng prangkisa ay nagsasangkot ng pag-aplay sa LTFRB na may akreditasyon ng DOT bilang isang kinakailangan [LTFRB, DO-2013-04].
**Mga Karagdagang Regulasyon**
* **Pagsunod sa Republic Act No. 10173 (Data Privacy Act):** Kung ang iyong serbisyo ay nagsasangkot ng pagkolekta ng impormasyon ng pasahero, tiyakin ang data privacy compliance [Senate of the Philippines, "Data Privacy Act"]. 
* **Mga Circular ng Memorandum ng LTFRB:** Maaaring matugunan nito ang mga partikular na kinakailangan para sa mga serbisyo sa transportasyon ng turista sa panahon ng pandemya o mga espesyal na sitwasyon (hal., mga alituntunin sa panahon ng COVID-19) [website ng LTFRB].
**Mga Mapagkukunan:**
* Department of Tourism (DOT): [https://beta.tourism.gov.ph/](https://beta.tourism.gov.ph/)
* Land Transportation Franchising and Regulatory Board (LTFRB): [LTFRB website]
* Mga Sample na Panuntunan ng DOT: [[inalis ang invalid na URL]] (Maaaring hindi ito ang pinakabagong pagpapalabas, kaya suriin sa DOT para sa mga update)
* Sample na pagpapalabas ng LTFRB: [LTFRB, DO-2013-04]
Tandaan, ito ay isang pangkalahatang pangkalahatang-ideya. Inirerekomenda na kumonsulta sa mga opisyal na website ng DOT at LTFRB para sa pinakabagong mga regulasyon at kumpletong detalye.</v>
      </c>
      <c r="F2929" s="2">
        <f t="shared" si="1"/>
        <v>0</v>
      </c>
      <c r="G2929" s="2"/>
      <c r="H2929" s="2"/>
      <c r="I2929" s="2"/>
      <c r="J2929" s="2"/>
      <c r="K2929" s="2"/>
      <c r="L2929" s="2"/>
      <c r="M2929" s="2"/>
      <c r="N2929" s="2"/>
      <c r="O2929" s="2"/>
      <c r="P2929" s="2"/>
      <c r="Q2929" s="2"/>
      <c r="R2929" s="2"/>
      <c r="S2929" s="2"/>
      <c r="T2929" s="2"/>
      <c r="U2929" s="2"/>
      <c r="V2929" s="2"/>
      <c r="W2929" s="2"/>
      <c r="X2929" s="2"/>
      <c r="Y2929" s="2"/>
      <c r="Z2929" s="2"/>
      <c r="AA2929" s="2"/>
    </row>
    <row r="2930">
      <c r="A2930" s="3" t="s">
        <v>6762</v>
      </c>
      <c r="B2930" s="1" t="s">
        <v>6834</v>
      </c>
      <c r="C2930" s="3" t="s">
        <v>6835</v>
      </c>
      <c r="D2930" s="2" t="str">
        <f>IFERROR(__xludf.DUMMYFUNCTION("GOOGLETRANSLATE(B2930, ""en"", ""TL"")"),"Ano ang mga kinakailangan para makakuha ng prangkisa para makapagpatakbo ng serbisyo sa pampublikong transportasyon sa Pilipinas?")</f>
        <v>Ano ang mga kinakailangan para makakuha ng prangkisa para makapagpatakbo ng serbisyo sa pampublikong transportasyon sa Pilipinas?</v>
      </c>
      <c r="E2930" s="2" t="str">
        <f>IFERROR(__xludf.DUMMYFUNCTION("GOOGLETRANSLATE(C2930, ""en"", ""TL"")"),"Pangunahing itinakda ng **Land Transportation Franchising and Regulatory Board (LTFRB)** ang mga kinakailangan para sa pagkuha ng prangkisa para magpatakbo ng serbisyo ng pampublikong transportasyon sa Pilipinas sa pamamagitan ng kanilang mga pagpapalabas"&amp;".  Ang mismong Konstitusyon ng Pilipinas ay walang partikular na probisyon sa mga aplikasyon ng prangkisa.
Narito ang isang breakdown ng mga pangunahing kinakailangan batay sa mga regulasyon ng LTFRB:
**Mga Kwalipikasyon ng Aplikante**
* **Filipi"&amp;"no domestic juridical entity:** Ito ay nangangahulugan ng Philippine corporation, partnership, o cooperative [LTFRB, Omnibus Guidelines, Section 2.1.b]. 
* **Kakayahang pinansyal:** Kakayahang magpakita ng kakayahan sa pananalapi upang patakbuhin ang ser"&amp;"bisyo sa pamamagitan ng mga pahayag sa pananalapi o mga sertipikasyon ng bangko [website ng LTFRB].
**Mga Kinakailangan sa Sasakyan**
* **LTFRB-approved type:** The vehicle model must be compliant with LTFRB classifications for public transportation"&amp;" [LTFRB website].
* **Mga pamantayan sa paglabas:** Ang mga sasakyan ay dapat matugunan o lumampas sa inireseta na mga pamantayan sa paglabas ng Department of Environment and Natural Resources (DENR) [LTFRB, Omnibus Guidelines, Seksyon 2.2.2].
* **Taon "&amp;"na modelo:** Ang mga sasakyan ay dapat magkaroon ng kasalukuyang taon na mga modelo para sa chassis at engine [LTFRB, Omnibus Guidelines, Seksyon 2.2.10].
* **Teknolohiyang on-board:** Maaaring kailanganin ang mga kagamitan tulad ng mga GNSS receiver, CC"&amp;"TV na may mga kakayahan sa pag-record, at mga limiter ng bilis depende sa uri ng serbisyo [LTFRB, Omnibus Guidelines].
**Iba pang Mga Kinakailangan**
* **Garage/Depot:** Naka-secure na espasyo para ma-accommodate ang lahat ng franchised na sasakyan "&amp;"na may karagdagang espasyo para sa pagpapalawak sa hinaharap [LTFRB, Omnibus Guidelines, Section 2.1.d]
* **Mga karampatang tauhan:** Mga kuwalipikadong driver at iba pang tauhan na may naaangkop na mga lisensya at pagsasanay [Website ng LTFRB].
* **Mga"&amp;" kinakailangan sa dokumentaryo:** Mga business permit, insurance coverage, at iba pang mga dokumento gaya ng tinukoy ng LTFRB [LTFRB website].
**Proseso ng Application**
Ang partikular na proseso ng aplikasyon ay maaaring mag-iba depende sa uri ng s"&amp;"erbisyo ng pampublikong transportasyon. Sa pangkalahatan, ito ay nagsasangkot ng pagsusumite ng mga kinakailangang dokumento sa LTFRB regional office na may hurisdiksyon sa iminungkahing ruta. Magsasagawa ang LTFRB ng mga inspeksyon at pagsusuri bago ibig"&amp;"ay ang prangkisa.
**Mga Mapagkukunan:**
* Land Transportation Franchising and Regulatory Board (LTFRB): Website ng LTFRB: [https://ltfrb.gov.ph/](https://ltfrb.gov.ph/)
* LTFRB Omnibus Guidelines: LTFRB, Omnibus Guidelines: [https://ltfrb.gov.ph/wp"&amp;"-content/uploads/2017/11/DO-2017-011.pdf](https://ltfrb.gov.ph/ wp-content/uploads/2017/11/DO-2017-011.pdf)
**Mga Karagdagang Pagsasaalang-alang**
* Ang mga aplikasyon ng serbisyo sa pampublikong sasakyan ay maaaring may kasamang pag-aaral sa pagigi"&amp;"ng posible at mga katwiran sa ruta depende sa pagtatasa ng LTFRB.
* Maipapayo na kumunsulta sa isang abogado na dalubhasa sa batas sa transportasyon para sa gabay sa buong proseso ng aplikasyon.
Tandaan, ito ay isang pangkalahatang pangkalahatang-idey"&amp;"a.  Manatiling updated sa pinakabagong mga kinakailangan sa pamamagitan ng pagsuri sa website ng LTFRB o pagkonsulta sa isang kwalipikadong propesyonal.
")</f>
        <v>Pangunahing itinakda ng **Land Transportation Franchising and Regulatory Board (LTFRB)** ang mga kinakailangan para sa pagkuha ng prangkisa para magpatakbo ng serbisyo ng pampublikong transportasyon sa Pilipinas sa pamamagitan ng kanilang mga pagpapalabas.  Ang mismong Konstitusyon ng Pilipinas ay walang partikular na probisyon sa mga aplikasyon ng prangkisa.
Narito ang isang breakdown ng mga pangunahing kinakailangan batay sa mga regulasyon ng LTFRB:
**Mga Kwalipikasyon ng Aplikante**
* **Filipino domestic juridical entity:** Ito ay nangangahulugan ng Philippine corporation, partnership, o cooperative [LTFRB, Omnibus Guidelines, Section 2.1.b]. 
* **Kakayahang pinansyal:** Kakayahang magpakita ng kakayahan sa pananalapi upang patakbuhin ang serbisyo sa pamamagitan ng mga pahayag sa pananalapi o mga sertipikasyon ng bangko [website ng LTFRB].
**Mga Kinakailangan sa Sasakyan**
* **LTFRB-approved type:** The vehicle model must be compliant with LTFRB classifications for public transportation [LTFRB website].
* **Mga pamantayan sa paglabas:** Ang mga sasakyan ay dapat matugunan o lumampas sa inireseta na mga pamantayan sa paglabas ng Department of Environment and Natural Resources (DENR) [LTFRB, Omnibus Guidelines, Seksyon 2.2.2].
* **Taon na modelo:** Ang mga sasakyan ay dapat magkaroon ng kasalukuyang taon na mga modelo para sa chassis at engine [LTFRB, Omnibus Guidelines, Seksyon 2.2.10].
* **Teknolohiyang on-board:** Maaaring kailanganin ang mga kagamitan tulad ng mga GNSS receiver, CCTV na may mga kakayahan sa pag-record, at mga limiter ng bilis depende sa uri ng serbisyo [LTFRB, Omnibus Guidelines].
**Iba pang Mga Kinakailangan**
* **Garage/Depot:** Naka-secure na espasyo para ma-accommodate ang lahat ng franchised na sasakyan na may karagdagang espasyo para sa pagpapalawak sa hinaharap [LTFRB, Omnibus Guidelines, Section 2.1.d]
* **Mga karampatang tauhan:** Mga kuwalipikadong driver at iba pang tauhan na may naaangkop na mga lisensya at pagsasanay [Website ng LTFRB].
* **Mga kinakailangan sa dokumentaryo:** Mga business permit, insurance coverage, at iba pang mga dokumento gaya ng tinukoy ng LTFRB [LTFRB website].
**Proseso ng Application**
Ang partikular na proseso ng aplikasyon ay maaaring mag-iba depende sa uri ng serbisyo ng pampublikong transportasyon. Sa pangkalahatan, ito ay nagsasangkot ng pagsusumite ng mga kinakailangang dokumento sa LTFRB regional office na may hurisdiksyon sa iminungkahing ruta. Magsasagawa ang LTFRB ng mga inspeksyon at pagsusuri bago ibigay ang prangkisa.
**Mga Mapagkukunan:**
* Land Transportation Franchising and Regulatory Board (LTFRB): Website ng LTFRB: [https://ltfrb.gov.ph/](https://ltfrb.gov.ph/)
* LTFRB Omnibus Guidelines: LTFRB, Omnibus Guidelines: [https://ltfrb.gov.ph/wp-content/uploads/2017/11/DO-2017-011.pdf](https://ltfrb.gov.ph/ wp-content/uploads/2017/11/DO-2017-011.pdf)
**Mga Karagdagang Pagsasaalang-alang**
* Ang mga aplikasyon ng serbisyo sa pampublikong sasakyan ay maaaring may kasamang pag-aaral sa pagiging posible at mga katwiran sa ruta depende sa pagtatasa ng LTFRB.
* Maipapayo na kumunsulta sa isang abogado na dalubhasa sa batas sa transportasyon para sa gabay sa buong proseso ng aplikasyon.
Tandaan, ito ay isang pangkalahatang pangkalahatang-ideya.  Manatiling updated sa pinakabagong mga kinakailangan sa pamamagitan ng pagsuri sa website ng LTFRB o pagkonsulta sa isang kwalipikadong propesyonal.
</v>
      </c>
      <c r="F2930" s="2">
        <f t="shared" si="1"/>
        <v>0</v>
      </c>
      <c r="G2930" s="2"/>
      <c r="H2930" s="2"/>
      <c r="I2930" s="2"/>
      <c r="J2930" s="2"/>
      <c r="K2930" s="2"/>
      <c r="L2930" s="2"/>
      <c r="M2930" s="2"/>
      <c r="N2930" s="2"/>
      <c r="O2930" s="2"/>
      <c r="P2930" s="2"/>
      <c r="Q2930" s="2"/>
      <c r="R2930" s="2"/>
      <c r="S2930" s="2"/>
      <c r="T2930" s="2"/>
      <c r="U2930" s="2"/>
      <c r="V2930" s="2"/>
      <c r="W2930" s="2"/>
      <c r="X2930" s="2"/>
      <c r="Y2930" s="2"/>
      <c r="Z2930" s="2"/>
      <c r="AA2930" s="2"/>
    </row>
    <row r="2931">
      <c r="A2931" s="3" t="s">
        <v>6762</v>
      </c>
      <c r="B2931" s="1" t="s">
        <v>6836</v>
      </c>
      <c r="C2931" s="3" t="s">
        <v>6837</v>
      </c>
      <c r="D2931" s="2" t="str">
        <f>IFERROR(__xludf.DUMMYFUNCTION("GOOGLETRANSLATE(B2931, ""en"", ""TL"")"),"Ano ang mga batas tungkol sa paggamit ng mga turn signal at iba pang signaling device sa mga sasakyan?")</f>
        <v>Ano ang mga batas tungkol sa paggamit ng mga turn signal at iba pang signaling device sa mga sasakyan?</v>
      </c>
      <c r="E2931" s="2" t="str">
        <f>IFERROR(__xludf.DUMMYFUNCTION("GOOGLETRANSLATE(C2931, ""en"", ""TL"")"),"Walang isang batas na tanging nakatuon sa mga turn signal at signaling device sa Pilipinas. Gayunpaman, dalawang pangunahing mapagkukunan ang nagbibigay ng mga regulasyon sa wastong paggamit ng mga ito:
1. **Republic Act No. 4136 o ang Land Transportat"&amp;"ion and Traffic Code:** Ang batas na ito ay nagtatatag ng mga pangkalahatang tuntunin para sa pagpapatakbo ng mga sasakyan sa mga kalsada sa Pilipinas. Bagama't hindi tahasang binabanggit ang mga turn signal, inilalatag nito ang batayan para sa wastong pa"&amp;"gsenyas sa pamamagitan ng mga sumusunod na probisyon:
    * **Seksyon 20:** Ang seksyong ito ay nangangailangan na ang bawat sasakyang de-motor ay nilagyan ng isang busina o **""signaling device""** sa maayos na pagkakaayos [chanrobles.com, ""RA 4136"""&amp;"].  Ito ay nagpapahiwatig ng mga turn signal bilang isang kinakailangang signaling device.
2. **Land Transportation Office (LTO) issuances:** Ang LTO, bilang implementing agency para sa RA 4136, ay naglalathala ng mga tuntunin at regulasyon sa wastong "&amp;"pagpapatakbo ng sasakyan. Kabilang dito ang mga alituntunin sa mga turn signal:
    * **Manwal ng Pagmamaneho ng LTO:** Sinasaklaw ng manual na ito ang mga wastong signal ng kamay at paggamit ng turn signal sa panahon ng mga maniobra ng pagliko [websit"&amp;"e ng LTO, mada-download na .pdf].
**Narito ang sinasabi sa amin ng mga source na ito tungkol sa mga turn signal at signaling device:**
* **Ang mga turn signal ay ipinag-uutos.** Ang bawat sasakyang de-motor ay dapat na may mga functional na turn sig"&amp;"nal para sa parehong kaliwa at pakanan na pagliko.
* **Kinakailangan ang wastong paggamit ng mga turn signal.** Dapat i-activate ng mga driver ang mga turn signal **tuloy-tuloy** para sa ligtas na distansya bago lumiko o magpalit ng mga lane [Manwal ng L"&amp;"TO sa Pagmamaneho]. 
* **Maaaring gamitin ang mga hand signal bilang mga pandagdag na signal.** Kung sakaling hindi gumagana ang mga turn signal, maaaring gumamit ang mga driver ng mga hand signal upang ipahiwatig ang kanilang mga intensyon [Manwal ng Pa"&amp;"gmamaneho ng LTO].
**Bagama't walang mga partikular na parusa na binanggit sa batas para sa hindi paggamit ng mga turn signal, ang hindi paggawa nito ay maaaring humantong sa mga pangamba para sa walang ingat na pagmamaneho o paglabag sa mga pagpapalab"&amp;"as ng LTO.** Ito ay maaaring magresulta sa mga multa at parusa gaya ng nakabalangkas sa Lupa Code ng Transportasyon.
**Mga Karagdagang Tala:**
* May papel din sa ligtas na pagmamaneho ang iba pang mga device na nagbibigay ng senyas tulad ng mga haza"&amp;"rd light at brake light.  Sumangguni sa LTO Driver's Manual para sa wastong paggamit.
* Mahalaga para sa mga driver na maging pamilyar sa wastong mga signal ng kamay kung sakaling magkaroon ng aberya sa turn signal.
Tandaan, ang pagsunod sa mga alitun"&amp;"tuning ito ay nagtataguyod ng kaligtasan sa kalsada para sa iyong sarili at sa iba pang mga motorista. ")</f>
        <v>Walang isang batas na tanging nakatuon sa mga turn signal at signaling device sa Pilipinas. Gayunpaman, dalawang pangunahing mapagkukunan ang nagbibigay ng mga regulasyon sa wastong paggamit ng mga ito:
1. **Republic Act No. 4136 o ang Land Transportation and Traffic Code:** Ang batas na ito ay nagtatatag ng mga pangkalahatang tuntunin para sa pagpapatakbo ng mga sasakyan sa mga kalsada sa Pilipinas. Bagama't hindi tahasang binabanggit ang mga turn signal, inilalatag nito ang batayan para sa wastong pagsenyas sa pamamagitan ng mga sumusunod na probisyon:
    * **Seksyon 20:** Ang seksyong ito ay nangangailangan na ang bawat sasakyang de-motor ay nilagyan ng isang busina o **"signaling device"** sa maayos na pagkakaayos [chanrobles.com, "RA 4136"].  Ito ay nagpapahiwatig ng mga turn signal bilang isang kinakailangang signaling device.
2. **Land Transportation Office (LTO) issuances:** Ang LTO, bilang implementing agency para sa RA 4136, ay naglalathala ng mga tuntunin at regulasyon sa wastong pagpapatakbo ng sasakyan. Kabilang dito ang mga alituntunin sa mga turn signal:
    * **Manwal ng Pagmamaneho ng LTO:** Sinasaklaw ng manual na ito ang mga wastong signal ng kamay at paggamit ng turn signal sa panahon ng mga maniobra ng pagliko [website ng LTO, mada-download na .pdf].
**Narito ang sinasabi sa amin ng mga source na ito tungkol sa mga turn signal at signaling device:**
* **Ang mga turn signal ay ipinag-uutos.** Ang bawat sasakyang de-motor ay dapat na may mga functional na turn signal para sa parehong kaliwa at pakanan na pagliko.
* **Kinakailangan ang wastong paggamit ng mga turn signal.** Dapat i-activate ng mga driver ang mga turn signal **tuloy-tuloy** para sa ligtas na distansya bago lumiko o magpalit ng mga lane [Manwal ng LTO sa Pagmamaneho]. 
* **Maaaring gamitin ang mga hand signal bilang mga pandagdag na signal.** Kung sakaling hindi gumagana ang mga turn signal, maaaring gumamit ang mga driver ng mga hand signal upang ipahiwatig ang kanilang mga intensyon [Manwal ng Pagmamaneho ng LTO].
**Bagama't walang mga partikular na parusa na binanggit sa batas para sa hindi paggamit ng mga turn signal, ang hindi paggawa nito ay maaaring humantong sa mga pangamba para sa walang ingat na pagmamaneho o paglabag sa mga pagpapalabas ng LTO.** Ito ay maaaring magresulta sa mga multa at parusa gaya ng nakabalangkas sa Lupa Code ng Transportasyon.
**Mga Karagdagang Tala:**
* May papel din sa ligtas na pagmamaneho ang iba pang mga device na nagbibigay ng senyas tulad ng mga hazard light at brake light.  Sumangguni sa LTO Driver's Manual para sa wastong paggamit.
* Mahalaga para sa mga driver na maging pamilyar sa wastong mga signal ng kamay kung sakaling magkaroon ng aberya sa turn signal.
Tandaan, ang pagsunod sa mga alituntuning ito ay nagtataguyod ng kaligtasan sa kalsada para sa iyong sarili at sa iba pang mga motorista. </v>
      </c>
      <c r="F2931" s="2">
        <f t="shared" si="1"/>
        <v>0</v>
      </c>
      <c r="G2931" s="2"/>
      <c r="H2931" s="2"/>
      <c r="I2931" s="2"/>
      <c r="J2931" s="2"/>
      <c r="K2931" s="2"/>
      <c r="L2931" s="2"/>
      <c r="M2931" s="2"/>
      <c r="N2931" s="2"/>
      <c r="O2931" s="2"/>
      <c r="P2931" s="2"/>
      <c r="Q2931" s="2"/>
      <c r="R2931" s="2"/>
      <c r="S2931" s="2"/>
      <c r="T2931" s="2"/>
      <c r="U2931" s="2"/>
      <c r="V2931" s="2"/>
      <c r="W2931" s="2"/>
      <c r="X2931" s="2"/>
      <c r="Y2931" s="2"/>
      <c r="Z2931" s="2"/>
      <c r="AA2931" s="2"/>
    </row>
    <row r="2932">
      <c r="A2932" s="3" t="s">
        <v>6762</v>
      </c>
      <c r="B2932" s="1" t="s">
        <v>6838</v>
      </c>
      <c r="C2932" s="3" t="s">
        <v>6839</v>
      </c>
      <c r="D2932" s="2" t="str">
        <f>IFERROR(__xludf.DUMMYFUNCTION("GOOGLETRANSLATE(B2932, ""en"", ""TL"")"),"Ano ang mga parusa sa pagmamaneho nang walang wastong rehistrasyon ng sasakyan sa Pilipinas?")</f>
        <v>Ano ang mga parusa sa pagmamaneho nang walang wastong rehistrasyon ng sasakyan sa Pilipinas?</v>
      </c>
      <c r="E2932" s="2" t="str">
        <f>IFERROR(__xludf.DUMMYFUNCTION("GOOGLETRANSLATE(C2932, ""en"", ""TL"")"),"Ang parusa sa pagmamaneho nang walang wastong rehistrasyon ng sasakyan sa Pilipinas ay nakabalangkas sa mga alituntunin at regulasyon ng Land Transportation Office (LTO), hindi kinakailangang isang partikular na Republic Act (RA). Gayunpaman, ang mga regu"&amp;"lasyon ng LTO ay nakukuha ang kanilang awtoridad mula sa Land Transportation and Traffic Code (RA 4136).
Narito ang isang breakdown ng parusa batay sa mga inilabas ng LTO:
* **₱10,000 na multa:** Ito ang karaniwang parusa para sa pagmamaneho ng hind"&amp;"i rehistradong sasakyang de-motor [LTO Portal, ""LTO Penalty for Late Registration / Delinquent Registration""].
**Maaaring magkaroon ng mga karagdagang kahihinatnan depende sa mga pangyayari:**
* **Pag-impound ng Sasakyan:** Kung nahuli kang nagmam"&amp;"aneho ng hindi rehistradong sasakyan, maaaring ma-impound ng mga awtoridad ang iyong sasakyan o motorsiklo. Ang sasakyan ay ilalabas lamang pagkatapos makumpleto ang mga pamamaraan sa pagpaparehistro at lahat ng mga parusa ay naayos [LTO Portal, ""LTO Pen"&amp;"alty for Late Registration / Delinquent Registration""].
* **Hindi pag-renew ng Pagpaparehistro:** Sa mga kaso ng matinding pagkaantala sa pagpaparehistro (mahigit 3 taon), maaaring hindi ma-renew ang iyong pagpaparehistro ng sasakyan. Kakailanganin mong"&amp;" bayaran ang mga parusa, sumailalim sa mga pamamaraan sa pagpaparehistro, at posibleng maharap sa mga karagdagang bayad bago ibalik ang iyong sasakyan [Portal ng LTO, ""Penalty ng LTO para sa Late Registration / Delinquent Registration""].
Tandaan, ila"&amp;"n lamang ito sa mga posibleng kahihinatnan. Maipapayo na kumunsulta sa LTO para sa pinakabagong impormasyon at mga partikular na detalye na naaangkop sa iyong sitwasyon.
")</f>
        <v>Ang parusa sa pagmamaneho nang walang wastong rehistrasyon ng sasakyan sa Pilipinas ay nakabalangkas sa mga alituntunin at regulasyon ng Land Transportation Office (LTO), hindi kinakailangang isang partikular na Republic Act (RA). Gayunpaman, ang mga regulasyon ng LTO ay nakukuha ang kanilang awtoridad mula sa Land Transportation and Traffic Code (RA 4136).
Narito ang isang breakdown ng parusa batay sa mga inilabas ng LTO:
* **₱10,000 na multa:** Ito ang karaniwang parusa para sa pagmamaneho ng hindi rehistradong sasakyang de-motor [LTO Portal, "LTO Penalty for Late Registration / Delinquent Registration"].
**Maaaring magkaroon ng mga karagdagang kahihinatnan depende sa mga pangyayari:**
* **Pag-impound ng Sasakyan:** Kung nahuli kang nagmamaneho ng hindi rehistradong sasakyan, maaaring ma-impound ng mga awtoridad ang iyong sasakyan o motorsiklo. Ang sasakyan ay ilalabas lamang pagkatapos makumpleto ang mga pamamaraan sa pagpaparehistro at lahat ng mga parusa ay naayos [LTO Portal, "LTO Penalty for Late Registration / Delinquent Registration"].
* **Hindi pag-renew ng Pagpaparehistro:** Sa mga kaso ng matinding pagkaantala sa pagpaparehistro (mahigit 3 taon), maaaring hindi ma-renew ang iyong pagpaparehistro ng sasakyan. Kakailanganin mong bayaran ang mga parusa, sumailalim sa mga pamamaraan sa pagpaparehistro, at posibleng maharap sa mga karagdagang bayad bago ibalik ang iyong sasakyan [Portal ng LTO, "Penalty ng LTO para sa Late Registration / Delinquent Registration"].
Tandaan, ilan lamang ito sa mga posibleng kahihinatnan. Maipapayo na kumunsulta sa LTO para sa pinakabagong impormasyon at mga partikular na detalye na naaangkop sa iyong sitwasyon.
</v>
      </c>
      <c r="F2932" s="2">
        <f t="shared" si="1"/>
        <v>0</v>
      </c>
      <c r="G2932" s="2"/>
      <c r="H2932" s="2"/>
      <c r="I2932" s="2"/>
      <c r="J2932" s="2"/>
      <c r="K2932" s="2"/>
      <c r="L2932" s="2"/>
      <c r="M2932" s="2"/>
      <c r="N2932" s="2"/>
      <c r="O2932" s="2"/>
      <c r="P2932" s="2"/>
      <c r="Q2932" s="2"/>
      <c r="R2932" s="2"/>
      <c r="S2932" s="2"/>
      <c r="T2932" s="2"/>
      <c r="U2932" s="2"/>
      <c r="V2932" s="2"/>
      <c r="W2932" s="2"/>
      <c r="X2932" s="2"/>
      <c r="Y2932" s="2"/>
      <c r="Z2932" s="2"/>
      <c r="AA2932" s="2"/>
    </row>
    <row r="2933">
      <c r="A2933" s="3" t="s">
        <v>6762</v>
      </c>
      <c r="B2933" s="1" t="s">
        <v>6840</v>
      </c>
      <c r="C2933" s="3" t="s">
        <v>6841</v>
      </c>
      <c r="D2933" s="2" t="str">
        <f>IFERROR(__xludf.DUMMYFUNCTION("GOOGLETRANSLATE(B2933, ""en"", ""TL"")"),"Ano ang mga regulasyon para sa pagpapatakbo ng mga serbisyo ng ride-hailing sa Pilipinas?")</f>
        <v>Ano ang mga regulasyon para sa pagpapatakbo ng mga serbisyo ng ride-hailing sa Pilipinas?</v>
      </c>
      <c r="E2933" s="2" t="str">
        <f>IFERROR(__xludf.DUMMYFUNCTION("GOOGLETRANSLATE(C2933, ""en"", ""TL"")"),"Ang mga regulasyon para sa pagpapatakbo ng mga serbisyo ng ride-hailing sa Pilipinas ay pangunahing itinakda ng **Department of Transportation (DOTr)** sa pamamagitan ng kaakibat nitong ahensya, ang **Land Transportation Franchising and Regulatory Board ("&amp;"LTFRB)**. Walang isang batas na nagbabalangkas sa lahat, ngunit isang kumbinasyon ng mga pagpapalabas ang namamahala sa mga serbisyong ito.
Narito ang isang breakdown ng mga pangunahing regulasyon:
**Para sa Transport Network Companies (TNCs):**
"&amp;"* **Rehistrasyon at Akreditasyon:** Ang mga TNC, tulad ng Grab o Uber, ay kailangang makakuha ng Certificate of TNC Accreditation mula sa LTFRB. Nangangailangan ito ng pagtugon sa mga partikular na kinakailangan at pagbabayad ng mga bayarin sa akreditasyo"&amp;"n [philstar.com, ""Paano maging legal ng Uber""].
* **Partnership with Transport Network Vehicle Service (TNVS) providers:** TNCs partner with TNVS providers na nagmamay-ari at nagpapatakbo ng mga sasakyang ginagamit para sa ride-hailing.
**Para sa mg"&amp;"a Provider ng TNVS:**
* **Mga Kinakailangan sa Sasakyan:** Ang mga sasakyan ay dapat na mga pribadong kotse, SUV, van, o sedan na nakakatugon sa mga partikular na limitasyon sa edad (karaniwang wala pang 7 taong gulang) at pumasa sa mga inspeksyon ng L"&amp;"TFRB [businesstimes.sg, ""Nag-isyu ang Pilipinas ng mga panuntunan sa mga serbisyo sa pagbabahagi ng biyahe. ""].
* **Driver Accreditation:** Ang mga driver ay kailangang ma-screen at akreditado ng TNC at nakarehistro sa LTFRB. Dapat silang magkaroon ng "&amp;"mga propesyonal na lisensya sa pagmamaneho [philstar.com, ""How to be Uber legal""].
* **Certificate of Public Convenience (CPC) per Vehicle:** Ang bawat sasakyan na ginagamit para sa mga operasyon ng TNVS ay nangangailangan ng CPC mula sa LTFRB [techina"&amp;"sia.com, ""Ang Pilipinas ay naging unang bansa na lumikha ng mga panuntunan para sa mga serbisyo ng ridesharing gaya ng Uber""].
**Mga Pangkalahatang Regulasyon:**
* **Transparency ng Pamasahe:** Ang mga TNC ay dapat magbigay ng malinaw na impormasy"&amp;"on sa mga pamasahe bago pa man, kasama ang anumang naaangkop na pagpepresyo ng surge. 
* **Data Privacy:** Ang mga TNC at TNVS provider ay dapat sumunod sa Data Privacy Act (RA 10173) tungkol sa impormasyon ng pasahero. 
* **Kaligtasan ng Pasahero:** An"&amp;"g pagpapanatili ng kaligtasan ng pasahero ay isang priyoridad. Ang mga tagapagkaloob ng TNC at TNVS ay dapat magkaroon ng mga mekanismo para sa kaligtasan ng mga pasahero at pagtugon sa reklamo.
**Mga Mapagkukunan:**
* Department of Transportation ("&amp;"DOTr): [https://dotr.gov.ph/](https://dotr.gov.ph/)
* Land Transportation Franchising and Regulatory Board (LTFRB): [LTFRB website]
**Mga Karagdagang Tala:**
* Ang mga regulasyong ito ay maaaring magbago, kaya inirerekomenda na tingnan ang mga opis"&amp;"yal na website ng DOTr at LTFRB para sa mga pinakabagong update. 
* Mahalaga para sa parehong mga TNC at TNVS provider na ma-secure ang mga kinakailangang permit at sumunod sa mga regulasyon para gumana nang legal.
")</f>
        <v>Ang mga regulasyon para sa pagpapatakbo ng mga serbisyo ng ride-hailing sa Pilipinas ay pangunahing itinakda ng **Department of Transportation (DOTr)** sa pamamagitan ng kaakibat nitong ahensya, ang **Land Transportation Franchising and Regulatory Board (LTFRB)**. Walang isang batas na nagbabalangkas sa lahat, ngunit isang kumbinasyon ng mga pagpapalabas ang namamahala sa mga serbisyong ito.
Narito ang isang breakdown ng mga pangunahing regulasyon:
**Para sa Transport Network Companies (TNCs):**
* **Rehistrasyon at Akreditasyon:** Ang mga TNC, tulad ng Grab o Uber, ay kailangang makakuha ng Certificate of TNC Accreditation mula sa LTFRB. Nangangailangan ito ng pagtugon sa mga partikular na kinakailangan at pagbabayad ng mga bayarin sa akreditasyon [philstar.com, "Paano maging legal ng Uber"].
* **Partnership with Transport Network Vehicle Service (TNVS) providers:** TNCs partner with TNVS providers na nagmamay-ari at nagpapatakbo ng mga sasakyang ginagamit para sa ride-hailing.
**Para sa mga Provider ng TNVS:**
* **Mga Kinakailangan sa Sasakyan:** Ang mga sasakyan ay dapat na mga pribadong kotse, SUV, van, o sedan na nakakatugon sa mga partikular na limitasyon sa edad (karaniwang wala pang 7 taong gulang) at pumasa sa mga inspeksyon ng LTFRB [businesstimes.sg, "Nag-isyu ang Pilipinas ng mga panuntunan sa mga serbisyo sa pagbabahagi ng biyahe. "].
* **Driver Accreditation:** Ang mga driver ay kailangang ma-screen at akreditado ng TNC at nakarehistro sa LTFRB. Dapat silang magkaroon ng mga propesyonal na lisensya sa pagmamaneho [philstar.com, "How to be Uber legal"].
* **Certificate of Public Convenience (CPC) per Vehicle:** Ang bawat sasakyan na ginagamit para sa mga operasyon ng TNVS ay nangangailangan ng CPC mula sa LTFRB [techinasia.com, "Ang Pilipinas ay naging unang bansa na lumikha ng mga panuntunan para sa mga serbisyo ng ridesharing gaya ng Uber"].
**Mga Pangkalahatang Regulasyon:**
* **Transparency ng Pamasahe:** Ang mga TNC ay dapat magbigay ng malinaw na impormasyon sa mga pamasahe bago pa man, kasama ang anumang naaangkop na pagpepresyo ng surge. 
* **Data Privacy:** Ang mga TNC at TNVS provider ay dapat sumunod sa Data Privacy Act (RA 10173) tungkol sa impormasyon ng pasahero. 
* **Kaligtasan ng Pasahero:** Ang pagpapanatili ng kaligtasan ng pasahero ay isang priyoridad. Ang mga tagapagkaloob ng TNC at TNVS ay dapat magkaroon ng mga mekanismo para sa kaligtasan ng mga pasahero at pagtugon sa reklamo.
**Mga Mapagkukunan:**
* Department of Transportation (DOTr): [https://dotr.gov.ph/](https://dotr.gov.ph/)
* Land Transportation Franchising and Regulatory Board (LTFRB): [LTFRB website]
**Mga Karagdagang Tala:**
* Ang mga regulasyong ito ay maaaring magbago, kaya inirerekomenda na tingnan ang mga opisyal na website ng DOTr at LTFRB para sa mga pinakabagong update. 
* Mahalaga para sa parehong mga TNC at TNVS provider na ma-secure ang mga kinakailangang permit at sumunod sa mga regulasyon para gumana nang legal.
</v>
      </c>
      <c r="F2933" s="2">
        <f t="shared" si="1"/>
        <v>0</v>
      </c>
      <c r="G2933" s="2"/>
      <c r="H2933" s="2"/>
      <c r="I2933" s="2"/>
      <c r="J2933" s="2"/>
      <c r="K2933" s="2"/>
      <c r="L2933" s="2"/>
      <c r="M2933" s="2"/>
      <c r="N2933" s="2"/>
      <c r="O2933" s="2"/>
      <c r="P2933" s="2"/>
      <c r="Q2933" s="2"/>
      <c r="R2933" s="2"/>
      <c r="S2933" s="2"/>
      <c r="T2933" s="2"/>
      <c r="U2933" s="2"/>
      <c r="V2933" s="2"/>
      <c r="W2933" s="2"/>
      <c r="X2933" s="2"/>
      <c r="Y2933" s="2"/>
      <c r="Z2933" s="2"/>
      <c r="AA2933" s="2"/>
    </row>
    <row r="2934">
      <c r="A2934" s="3" t="s">
        <v>6842</v>
      </c>
      <c r="B2934" s="1" t="s">
        <v>6843</v>
      </c>
      <c r="C2934" s="3" t="s">
        <v>6844</v>
      </c>
      <c r="D2934" s="2" t="str">
        <f>IFERROR(__xludf.DUMMYFUNCTION("GOOGLETRANSLATE(B2934, ""en"", ""TL"")"),"Ano ang mga pangunahing legal na proteksyon na ibinibigay sa mga OFW sa ilalim ng batas ng Pilipinas?")</f>
        <v>Ano ang mga pangunahing legal na proteksyon na ibinibigay sa mga OFW sa ilalim ng batas ng Pilipinas?</v>
      </c>
      <c r="E2934" s="2" t="str">
        <f>IFERROR(__xludf.DUMMYFUNCTION("GOOGLETRANSLATE(C2934, ""en"", ""TL"")"),"Ang batas ng Pilipinas ay nag-aalok ng ilang legal na proteksyon para sa mga Overseas Filipino Workers (OFWs) sa buong ikot ng kanilang trabaho, bago umalis at habang nagtatrabaho sa ibang bansa. Narito ang isang breakdown ng ilang mga pangunahing lugar:
"&amp;"
**Pre-Departure**
* **Philippine Overseas Employment Administration (POEA):** Ang ahensya ng gobyerno na ito ang kinokontrol ang recruitment at deployment ng mga manggagawang Pilipino sa ibang bansa. Tinitiyak ng patas na pagtrato ang mga OFW sa pam"&amp;"amagitan ng:
    * **Mga karaniwang kontrata sa pagtatrabaho:** Binabalangkas ng mga kontratang inaprubahan ng POEA ang mga tuntunin sa pagtatrabaho, suweldo, at mga benepisyo.
    * **Pre-departure orientation seminars:** Ipaalam sa mga OFW ang kanilan"&amp;"g mga karapatan, kondisyon sa pagtatrabaho, at kung paano haharapin ang mga emergency.
**Habang Nagtatrabaho sa Ibang Bansa**
* **Labor Code of the Philippines (RA 6715):** Bagama't hindi direktang naaangkop sa ibang bansa, ang Labor Code ay nagtata"&amp;"tag ng pinakamababang pamantayan sa paggawa na dapat ipakita sa kontrata sa pagtatrabaho. Kabilang dito ang:
     * **Minimum na sahod:** Habang ang partikular na rate ay nakasalalay sa host country, ang kontrata ay hindi dapat mag-alok ng sahod na mas m"&amp;"ababa sa napagkasunduang minimum.
     * **Pagbabawal sa mga ilegal na gawain:** Pinoprotektahan ng batas ng Pilipinas ang mga OFW mula sa sapilitang paggawa, pagkaalipin sa utang, at iba pang mapagsamantalang gawain.
     * **Sakop ng social security:*"&amp;"* Maaaring ipagpatuloy ang membership ng Philippine Social Security System (SSS) habang nagtatrabaho sa ibang bansa sa ilalim ng mga partikular na programa. 
* **POLO (Philippine Overseas Labor Office):** Ang mga tanggapang ito sa iba't ibang host countr"&amp;"y ay nagbibigay ng tulong sa mga OFW, kabilang ang:
    * **Pamamagitan sa kaso ng mga hindi pagkakaunawaan sa paggawa** sa mga employer.
    * **Tulong sa pagpapabalik** sa kaso ng mga emerhensiya o paglabag sa kontrata.
**Pagkatapos ng Trabaho**
"&amp;"
* **Mga benepisyong panlipunan:** Maaaring may karapatan ang mga OFW sa mga benepisyo ng SSS sa pagbabalik sa Pilipinas, depende sa kanilang mga kontribusyon. 
* **Reintegration programs:** Ang mga ahensya ng gobyerno ay maaaring mag-alok ng mga program"&amp;"a upang matulungan ang mga OFW na muling makasama sa lipunan ng Pilipinas sa kanilang pag-uwi.
**Mga Karagdagang Proteksyon:**
* **Anti-Trafficking in Persons Act (RA 9208):** Pinoprotektahan ang mga OFW mula sa human trafficking at illegal recruitm"&amp;"ent.
* **Migrant Workers and Overseas Filipinos Act (RA 10022):** Nagbibigay ng karagdagang benepisyo at programa para sa mga OFW at kanilang pamilya.
* **Bilateral Labor Agreements (BLAs):** Ang mga kasunduan sa pagitan ng Pilipinas at host country ay "&amp;"maaaring magbigay ng mga partikular na proteksyon para sa mga OFW na nagtatrabaho doon.
**Ito ang ilan sa mga pangunahing legal na proteksyon para sa mga OFW. Mahalagang tandaan na ang mga partikular na batas at naaangkop na ahensya ng gobyerno ay maaa"&amp;"ring mag-iba depende sa host country.** Para sa karagdagang detalye at legal na payo sa isang partikular na sitwasyon, ang mga OFW ay maaaring kumunsulta sa POEA o mga legal na propesyonal na dalubhasa sa mga alalahanin ng OFW. ")</f>
        <v>Ang batas ng Pilipinas ay nag-aalok ng ilang legal na proteksyon para sa mga Overseas Filipino Workers (OFWs) sa buong ikot ng kanilang trabaho, bago umalis at habang nagtatrabaho sa ibang bansa. Narito ang isang breakdown ng ilang mga pangunahing lugar:
**Pre-Departure**
* **Philippine Overseas Employment Administration (POEA):** Ang ahensya ng gobyerno na ito ang kinokontrol ang recruitment at deployment ng mga manggagawang Pilipino sa ibang bansa. Tinitiyak ng patas na pagtrato ang mga OFW sa pamamagitan ng:
    * **Mga karaniwang kontrata sa pagtatrabaho:** Binabalangkas ng mga kontratang inaprubahan ng POEA ang mga tuntunin sa pagtatrabaho, suweldo, at mga benepisyo.
    * **Pre-departure orientation seminars:** Ipaalam sa mga OFW ang kanilang mga karapatan, kondisyon sa pagtatrabaho, at kung paano haharapin ang mga emergency.
**Habang Nagtatrabaho sa Ibang Bansa**
* **Labor Code of the Philippines (RA 6715):** Bagama't hindi direktang naaangkop sa ibang bansa, ang Labor Code ay nagtatatag ng pinakamababang pamantayan sa paggawa na dapat ipakita sa kontrata sa pagtatrabaho. Kabilang dito ang:
     * **Minimum na sahod:** Habang ang partikular na rate ay nakasalalay sa host country, ang kontrata ay hindi dapat mag-alok ng sahod na mas mababa sa napagkasunduang minimum.
     * **Pagbabawal sa mga ilegal na gawain:** Pinoprotektahan ng batas ng Pilipinas ang mga OFW mula sa sapilitang paggawa, pagkaalipin sa utang, at iba pang mapagsamantalang gawain.
     * **Sakop ng social security:** Maaaring ipagpatuloy ang membership ng Philippine Social Security System (SSS) habang nagtatrabaho sa ibang bansa sa ilalim ng mga partikular na programa. 
* **POLO (Philippine Overseas Labor Office):** Ang mga tanggapang ito sa iba't ibang host country ay nagbibigay ng tulong sa mga OFW, kabilang ang:
    * **Pamamagitan sa kaso ng mga hindi pagkakaunawaan sa paggawa** sa mga employer.
    * **Tulong sa pagpapabalik** sa kaso ng mga emerhensiya o paglabag sa kontrata.
**Pagkatapos ng Trabaho**
* **Mga benepisyong panlipunan:** Maaaring may karapatan ang mga OFW sa mga benepisyo ng SSS sa pagbabalik sa Pilipinas, depende sa kanilang mga kontribusyon. 
* **Reintegration programs:** Ang mga ahensya ng gobyerno ay maaaring mag-alok ng mga programa upang matulungan ang mga OFW na muling makasama sa lipunan ng Pilipinas sa kanilang pag-uwi.
**Mga Karagdagang Proteksyon:**
* **Anti-Trafficking in Persons Act (RA 9208):** Pinoprotektahan ang mga OFW mula sa human trafficking at illegal recruitment.
* **Migrant Workers and Overseas Filipinos Act (RA 10022):** Nagbibigay ng karagdagang benepisyo at programa para sa mga OFW at kanilang pamilya.
* **Bilateral Labor Agreements (BLAs):** Ang mga kasunduan sa pagitan ng Pilipinas at host country ay maaaring magbigay ng mga partikular na proteksyon para sa mga OFW na nagtatrabaho doon.
**Ito ang ilan sa mga pangunahing legal na proteksyon para sa mga OFW. Mahalagang tandaan na ang mga partikular na batas at naaangkop na ahensya ng gobyerno ay maaaring mag-iba depende sa host country.** Para sa karagdagang detalye at legal na payo sa isang partikular na sitwasyon, ang mga OFW ay maaaring kumunsulta sa POEA o mga legal na propesyonal na dalubhasa sa mga alalahanin ng OFW. </v>
      </c>
      <c r="F2934" s="2">
        <f t="shared" si="1"/>
        <v>0</v>
      </c>
      <c r="G2934" s="2"/>
      <c r="H2934" s="2"/>
      <c r="I2934" s="2"/>
      <c r="J2934" s="2"/>
      <c r="K2934" s="2"/>
      <c r="L2934" s="2"/>
      <c r="M2934" s="2"/>
      <c r="N2934" s="2"/>
      <c r="O2934" s="2"/>
      <c r="P2934" s="2"/>
      <c r="Q2934" s="2"/>
      <c r="R2934" s="2"/>
      <c r="S2934" s="2"/>
      <c r="T2934" s="2"/>
      <c r="U2934" s="2"/>
      <c r="V2934" s="2"/>
      <c r="W2934" s="2"/>
      <c r="X2934" s="2"/>
      <c r="Y2934" s="2"/>
      <c r="Z2934" s="2"/>
      <c r="AA2934" s="2"/>
    </row>
    <row r="2935">
      <c r="A2935" s="3" t="s">
        <v>6842</v>
      </c>
      <c r="B2935" s="1" t="s">
        <v>6845</v>
      </c>
      <c r="C2935" s="3" t="s">
        <v>6846</v>
      </c>
      <c r="D2935" s="2" t="str">
        <f>IFERROR(__xludf.DUMMYFUNCTION("GOOGLETRANSLATE(B2935, ""en"", ""TL"")"),"Maaari bang wakasan ng isang OFW ang kanilang kontrata sa pagtatrabaho nang hindi nahaharap sa legal na kahihinatnan?")</f>
        <v>Maaari bang wakasan ng isang OFW ang kanilang kontrata sa pagtatrabaho nang hindi nahaharap sa legal na kahihinatnan?</v>
      </c>
      <c r="E2935" s="2" t="str">
        <f>IFERROR(__xludf.DUMMYFUNCTION("GOOGLETRANSLATE(C2935, ""en"", ""TL"")"),"Kung ang isang OFW ay maaaring wakasan ang kanilang kontrata sa pagtatrabaho nang walang legal na kahihinatnan ay depende sa partikular na sitwasyon at mga tuntunin ng kontrata. Narito ang isang breakdown ng ilang salik na dapat isaalang-alang:
**Mga D"&amp;"ahilan ng Pagwawakas:**
* **Paglabag sa Kontrata ng Employer:** Kung nilabag ng employer ang mga tuntunin ng kontrata (hal., hindi pagbabayad ng sahod, hindi ligtas na kondisyon sa pagtatrabaho), maaaring may karapatan ang OFW na wakasan ang kontrata n"&amp;"ang walang parusa. Ang POEA ay maaaring tumulong sa pamamagitan ng mga hindi pagkakaunawaan o paghahain ng mga reklamo.
* **Illegal na Aktibidad:** Kung hihilingin ng employer ang OFW na gumawa ng mga ilegal na aktibidad, maaaring wakasan ng OFW ang kont"&amp;"rata at humingi ng tulong sa POLO o mga awtoridad ng Pilipinas.
**Mga Sugnay sa Pagwawakas ng Kontrata:**
* **Mga Panahon ng Paunawa:** Maaaring tukuyin ng kontrata ang isang kinakailangang panahon ng paunawa (hal., 30 araw) kung nais ng OFW na mag-"&amp;"terminate nang walang parusa. Ang maagang pagwawakas nang walang tamang abiso ay maaaring humantong sa mga pagbabawas mula sa suweldo o legal na aksyon ng employer depende sa kontrata at mga lokal na batas. 
* **Mga Bayarin sa Maagang Pagwawakas:** Maaar"&amp;"ing may mga probisyon ang ilang kontrata para sa mga bayarin sa maagang pagwawakas kung magpasya ang OFW na umalis bago matapos ang kontrata.
**Mga Regulasyon ng Pamahalaan:**
* **Mga Batas sa Paggawa ng Bansa ng Inaasahan:** Ang mga batas sa paggaw"&amp;"a sa host country ay maaaring may papel din.  Palaging suriin kung may mga partikular na regulasyon sa pagwawakas ng kontrata para sa mga dayuhang manggagawa.
**Narito ang ilang mapagkukunan na maaaring magbigay ng karagdagang gabay:**
* **Philippin"&amp;"e Overseas Employment Administration (POEA):** [https://www.dmw.gov.ph/archives/default.html](https://www.dmw.gov.ph/archives/default.html ) Maaari silang mag-alok ng gabay sa interpretasyon ng kontrata at posibleng mga legal na aksyon depende sa sitwasyo"&amp;"n.
* **POLO (Philippine Overseas Labor Office) sa host country:** Maaari silang magpayo sa mga lokal na batas sa paggawa at magbigay ng tulong kung sakaling magkaroon ng hindi pagkakaunawaan.
**Tandaan, palaging ipinapayong kumunsulta sa isang abogado"&amp;" na dalubhasa sa mga alalahanin ng OFW** upang makakuha ng partikular na legal na payo na isinasaalang-alang ang mga detalye ng kontrata sa pagtatrabaho, ang mga dahilan ng pagwawakas, at ang mga nauugnay na batas ng host country. ")</f>
        <v>Kung ang isang OFW ay maaaring wakasan ang kanilang kontrata sa pagtatrabaho nang walang legal na kahihinatnan ay depende sa partikular na sitwasyon at mga tuntunin ng kontrata. Narito ang isang breakdown ng ilang salik na dapat isaalang-alang:
**Mga Dahilan ng Pagwawakas:**
* **Paglabag sa Kontrata ng Employer:** Kung nilabag ng employer ang mga tuntunin ng kontrata (hal., hindi pagbabayad ng sahod, hindi ligtas na kondisyon sa pagtatrabaho), maaaring may karapatan ang OFW na wakasan ang kontrata nang walang parusa. Ang POEA ay maaaring tumulong sa pamamagitan ng mga hindi pagkakaunawaan o paghahain ng mga reklamo.
* **Illegal na Aktibidad:** Kung hihilingin ng employer ang OFW na gumawa ng mga ilegal na aktibidad, maaaring wakasan ng OFW ang kontrata at humingi ng tulong sa POLO o mga awtoridad ng Pilipinas.
**Mga Sugnay sa Pagwawakas ng Kontrata:**
* **Mga Panahon ng Paunawa:** Maaaring tukuyin ng kontrata ang isang kinakailangang panahon ng paunawa (hal., 30 araw) kung nais ng OFW na mag-terminate nang walang parusa. Ang maagang pagwawakas nang walang tamang abiso ay maaaring humantong sa mga pagbabawas mula sa suweldo o legal na aksyon ng employer depende sa kontrata at mga lokal na batas. 
* **Mga Bayarin sa Maagang Pagwawakas:** Maaaring may mga probisyon ang ilang kontrata para sa mga bayarin sa maagang pagwawakas kung magpasya ang OFW na umalis bago matapos ang kontrata.
**Mga Regulasyon ng Pamahalaan:**
* **Mga Batas sa Paggawa ng Bansa ng Inaasahan:** Ang mga batas sa paggawa sa host country ay maaaring may papel din.  Palaging suriin kung may mga partikular na regulasyon sa pagwawakas ng kontrata para sa mga dayuhang manggagawa.
**Narito ang ilang mapagkukunan na maaaring magbigay ng karagdagang gabay:**
* **Philippine Overseas Employment Administration (POEA):** [https://www.dmw.gov.ph/archives/default.html](https://www.dmw.gov.ph/archives/default.html ) Maaari silang mag-alok ng gabay sa interpretasyon ng kontrata at posibleng mga legal na aksyon depende sa sitwasyon.
* **POLO (Philippine Overseas Labor Office) sa host country:** Maaari silang magpayo sa mga lokal na batas sa paggawa at magbigay ng tulong kung sakaling magkaroon ng hindi pagkakaunawaan.
**Tandaan, palaging ipinapayong kumunsulta sa isang abogado na dalubhasa sa mga alalahanin ng OFW** upang makakuha ng partikular na legal na payo na isinasaalang-alang ang mga detalye ng kontrata sa pagtatrabaho, ang mga dahilan ng pagwawakas, at ang mga nauugnay na batas ng host country. </v>
      </c>
      <c r="F2935" s="2">
        <f t="shared" si="1"/>
        <v>0</v>
      </c>
      <c r="G2935" s="2"/>
      <c r="H2935" s="2"/>
      <c r="I2935" s="2"/>
      <c r="J2935" s="2"/>
      <c r="K2935" s="2"/>
      <c r="L2935" s="2"/>
      <c r="M2935" s="2"/>
      <c r="N2935" s="2"/>
      <c r="O2935" s="2"/>
      <c r="P2935" s="2"/>
      <c r="Q2935" s="2"/>
      <c r="R2935" s="2"/>
      <c r="S2935" s="2"/>
      <c r="T2935" s="2"/>
      <c r="U2935" s="2"/>
      <c r="V2935" s="2"/>
      <c r="W2935" s="2"/>
      <c r="X2935" s="2"/>
      <c r="Y2935" s="2"/>
      <c r="Z2935" s="2"/>
      <c r="AA2935" s="2"/>
    </row>
    <row r="2936">
      <c r="A2936" s="3" t="s">
        <v>6842</v>
      </c>
      <c r="B2936" s="1" t="s">
        <v>6847</v>
      </c>
      <c r="C2936" s="3" t="s">
        <v>6848</v>
      </c>
      <c r="D2936" s="2" t="str">
        <f>IFERROR(__xludf.DUMMYFUNCTION("GOOGLETRANSLATE(B2936, ""en"", ""TL"")"),"Ano ang mga legal na kinakailangan para maging kwalipikado ang isang OFW para sa mga benepisyo ng Overseas Workers Welfare Administration (OWWA)?")</f>
        <v>Ano ang mga legal na kinakailangan para maging kwalipikado ang isang OFW para sa mga benepisyo ng Overseas Workers Welfare Administration (OWWA)?</v>
      </c>
      <c r="E2936" s="2" t="str">
        <f>IFERROR(__xludf.DUMMYFUNCTION("GOOGLETRANSLATE(C2936, ""en"", ""TL"")"),"Ang pagiging karapat-dapat para sa mga benepisyo ng Overseas Workers Welfare Administration (OWWA) ay depende sa katayuan ng pagiging miyembro at sa partikular na programa o benepisyo na inaaplay. Narito ang isang breakdown ng mga pangkalahatang kinakaila"&amp;"ngan:
**OWWA Membership:**
* **Ang membership ay mandatoryo para sa lahat ng papaalis na manggagawang Pilipino na may mga naprosesong kontrata sa POEA.** Isang membership fee ang kinokolekta sa panahon ng pagproseso.
* **Posible rin ang boluntaryon"&amp;"g pagpaparehistro** para sa mga Pilipinong nagtatrabaho na sa ibang bansa sa pamamagitan ng Philippine Embassies o OWWA offices sa ibang bansa.
**Narito ang ilang mapagkukunan para sa pag-verify ng membership sa OWWA:**
* **OWWA website:** Nag-aalok"&amp;" ang [https://owwa.gov.ph/](https://owwa.gov.ph/) ng online verification tool.
* **OWWA Regional Welfare Offices (RWOs):** Makipag-ugnayan sa iyong pinakamalapit na OWWA RWO para sa tulong.
**Pagiging Kwalipikado para sa Mga Partikular na Benepisyo:**"&amp;"
Kapag naitatag mo na ang iyong katayuan sa pagiging miyembro ng OWWA, maaaring mag-iba ang mga partikular na kinakailangan para sa bawat programa ng benepisyo. Narito ang ilang halimbawa:
* **Mga Programang Pangkalusugan (hal., pakete ng mga benepi"&amp;"syong pangkalusugan, medikal na pagpapauwi):** Karaniwang nangangailangan ng aktibong membership sa OWWA at patunay ng sakit/emerhensiya. 
* **Mga Programang Pang-edukasyon at Pagsasanay:** Maaaring may mga karagdagang kinakailangan tulad ng mga partikul"&amp;"ar na sektor ng trabaho o pokus sa pagsasanay sa kasanayan.
* **Tulong sa Repatriation:** Madalas na na-trigger ng pagwawakas sa trabaho, emerhensiya, o dokumentadong pagmamaltrato ng mga employer. Maaaring kailanganin ang patunay ng mga sitwasyong ito.
"&amp;"
**Narito kung paano maghanap ng impormasyon sa mga partikular na benepisyo ng OWWA at ang kanilang mga kinakailangan sa pagiging kwalipikado:**
* **OWWA website:** [https://owwa.gov.ph/](https://owwa.gov.ph/) ay nagbibigay ng mga detalye sa iba't ib"&amp;"ang programa at kanilang mga kwalipikasyon.
* **OWWA Regional Welfare Offices (RWOs):** Ang pakikipag-ugnayan sa iyong pinakamalapit na RWO ay nagbibigay-daan para sa personalized na gabay sa mga partikular na benepisyo at kung paano mag-apply batay sa i"&amp;"yong sitwasyon.
**Mga Karagdagang Tala:**
* Ang ilang mga benepisyo ay maaaring may mga petsa ng pag-expire o partikular na mga deadline ng aplikasyon.
* Mahalagang panatilihing aktibo ang iyong membership sa OWWA upang patuloy na makakuha ng mga b"&amp;"enepisyo sa buong trabaho mo sa ibang bansa.
Tandaan, ito ay isang pangkalahatang pangkalahatang-ideya.  **Para sa pinakatumpak na impormasyon sa mga kinakailangan sa pagiging kwalipikado para sa mga partikular na benepisyo ng OWWA, sumangguni sa websi"&amp;"te ng OWWA o makipag-ugnayan sa iyong pinakamalapit na OWWA Regional Welfare Office.**
")</f>
        <v>Ang pagiging karapat-dapat para sa mga benepisyo ng Overseas Workers Welfare Administration (OWWA) ay depende sa katayuan ng pagiging miyembro at sa partikular na programa o benepisyo na inaaplay. Narito ang isang breakdown ng mga pangkalahatang kinakailangan:
**OWWA Membership:**
* **Ang membership ay mandatoryo para sa lahat ng papaalis na manggagawang Pilipino na may mga naprosesong kontrata sa POEA.** Isang membership fee ang kinokolekta sa panahon ng pagproseso.
* **Posible rin ang boluntaryong pagpaparehistro** para sa mga Pilipinong nagtatrabaho na sa ibang bansa sa pamamagitan ng Philippine Embassies o OWWA offices sa ibang bansa.
**Narito ang ilang mapagkukunan para sa pag-verify ng membership sa OWWA:**
* **OWWA website:** Nag-aalok ang [https://owwa.gov.ph/](https://owwa.gov.ph/) ng online verification tool.
* **OWWA Regional Welfare Offices (RWOs):** Makipag-ugnayan sa iyong pinakamalapit na OWWA RWO para sa tulong.
**Pagiging Kwalipikado para sa Mga Partikular na Benepisyo:**
Kapag naitatag mo na ang iyong katayuan sa pagiging miyembro ng OWWA, maaaring mag-iba ang mga partikular na kinakailangan para sa bawat programa ng benepisyo. Narito ang ilang halimbawa:
* **Mga Programang Pangkalusugan (hal., pakete ng mga benepisyong pangkalusugan, medikal na pagpapauwi):** Karaniwang nangangailangan ng aktibong membership sa OWWA at patunay ng sakit/emerhensiya. 
* **Mga Programang Pang-edukasyon at Pagsasanay:** Maaaring may mga karagdagang kinakailangan tulad ng mga partikular na sektor ng trabaho o pokus sa pagsasanay sa kasanayan.
* **Tulong sa Repatriation:** Madalas na na-trigger ng pagwawakas sa trabaho, emerhensiya, o dokumentadong pagmamaltrato ng mga employer. Maaaring kailanganin ang patunay ng mga sitwasyong ito.
**Narito kung paano maghanap ng impormasyon sa mga partikular na benepisyo ng OWWA at ang kanilang mga kinakailangan sa pagiging kwalipikado:**
* **OWWA website:** [https://owwa.gov.ph/](https://owwa.gov.ph/) ay nagbibigay ng mga detalye sa iba't ibang programa at kanilang mga kwalipikasyon.
* **OWWA Regional Welfare Offices (RWOs):** Ang pakikipag-ugnayan sa iyong pinakamalapit na RWO ay nagbibigay-daan para sa personalized na gabay sa mga partikular na benepisyo at kung paano mag-apply batay sa iyong sitwasyon.
**Mga Karagdagang Tala:**
* Ang ilang mga benepisyo ay maaaring may mga petsa ng pag-expire o partikular na mga deadline ng aplikasyon.
* Mahalagang panatilihing aktibo ang iyong membership sa OWWA upang patuloy na makakuha ng mga benepisyo sa buong trabaho mo sa ibang bansa.
Tandaan, ito ay isang pangkalahatang pangkalahatang-ideya.  **Para sa pinakatumpak na impormasyon sa mga kinakailangan sa pagiging kwalipikado para sa mga partikular na benepisyo ng OWWA, sumangguni sa website ng OWWA o makipag-ugnayan sa iyong pinakamalapit na OWWA Regional Welfare Office.**
</v>
      </c>
      <c r="F2936" s="2">
        <f t="shared" si="1"/>
        <v>0</v>
      </c>
      <c r="G2936" s="2"/>
      <c r="H2936" s="2"/>
      <c r="I2936" s="2"/>
      <c r="J2936" s="2"/>
      <c r="K2936" s="2"/>
      <c r="L2936" s="2"/>
      <c r="M2936" s="2"/>
      <c r="N2936" s="2"/>
      <c r="O2936" s="2"/>
      <c r="P2936" s="2"/>
      <c r="Q2936" s="2"/>
      <c r="R2936" s="2"/>
      <c r="S2936" s="2"/>
      <c r="T2936" s="2"/>
      <c r="U2936" s="2"/>
      <c r="V2936" s="2"/>
      <c r="W2936" s="2"/>
      <c r="X2936" s="2"/>
      <c r="Y2936" s="2"/>
      <c r="Z2936" s="2"/>
      <c r="AA2936" s="2"/>
    </row>
    <row r="2937">
      <c r="A2937" s="3" t="s">
        <v>6842</v>
      </c>
      <c r="B2937" s="1" t="s">
        <v>6849</v>
      </c>
      <c r="C2937" s="3" t="s">
        <v>6850</v>
      </c>
      <c r="D2937" s="2" t="str">
        <f>IFERROR(__xludf.DUMMYFUNCTION("GOOGLETRANSLATE(B2937, ""en"", ""TL"")"),"Sa anong mga pangyayari maaaring magsampa ng reklamo ang isang OFW laban sa kanilang recruitment agency sa ilalim ng batas ng Pilipinas?")</f>
        <v>Sa anong mga pangyayari maaaring magsampa ng reklamo ang isang OFW laban sa kanilang recruitment agency sa ilalim ng batas ng Pilipinas?</v>
      </c>
      <c r="E2937" s="2" t="str">
        <f>IFERROR(__xludf.DUMMYFUNCTION("GOOGLETRANSLATE(C2937, ""en"", ""TL"")"),"Mayroong ilang mga pangyayari kung saan ang isang OFW ay maaaring magsampa ng reklamo laban sa kanilang recruitment agency sa ilalim ng batas ng Pilipinas, na pangunahing pinamamahalaan ng Philippine Overseas Employment Administration (POEA). Narito ang i"&amp;"lang karaniwang dahilan para sa reklamo:
**Mga Paglabag sa Mga Panuntunan at Regulasyon ng Philippine Overseas Employment Administration (POEA):**
* **Illegal Recruitment:** Kabilang dito ang paniningil ng labis na placement fee, pagkolekta ng mga b"&amp;"ayarin bago mapirmahan ang kontrata, o pag-deploy ng mga manggagawa nang walang wastong dokumentasyon.
* **Maling representasyon:** Ang ahensya ay nagkamali sa mga tuntunin at kundisyon ng pagtatrabaho, gaya ng suweldo, paglalarawan ng trabaho, o mga kon"&amp;"disyon sa pagtatrabaho.
* **Pagkabigong Ma-secure ang Mga Wastong Dokumento:** Nabigo ang ahensya na kumuha ng mga kinakailangang dokumento tulad ng mga work visa o kontrata sa pagtatrabaho.
* **Pagpapalit ng mga Kontrata:** Ang manggagawa ay iniharap s"&amp;"a isang kontrata na iba sa napagkasunduan nila sa pagpirma.
**Paglabag sa Kontrata:**
* **Ang recruitment agency ay hindi tumupad sa mga obligasyon nito gaya ng nakasaad sa kontrata.** Ito ay maaaring kabilangan ng pagkabigo sa pagkuha ng mga ipinan"&amp;"gakong benepisyo, pag-aayos ng mga akomodasyon, o pagtugon sa mga panganib sa lugar ng trabaho gaya ng napagkasunduan.
**Hindi Makatarungang Mga Kasanayan sa Paggawa:**
* **Nakipagsabwatan ang recruitment agency sa employer** sa mga hindi patas na g"&amp;"awi tulad ng pagpigil ng sahod, pagkumpiska ng mga pasaporte, o pagsasailalim sa OFW sa abusadong pagtrato.
**Narito kung paano magsampa ng reklamo ang isang OFW laban sa kanilang recruitment agency:**
* **Maghain ng reklamo sa POEA Adjudication Off"&amp;"ice:** Ito ang opisyal na ruta para sa paghahain ng mga reklamo laban sa mga recruitment agencies.  Ang website ng POEA ay nagbibigay ng impormasyon sa mga pamamaraan ng paghahain at mga kinakailangang dokumento: [https://www.dmw.gov.ph/archives/default.h"&amp;"tml](https://www.dmw.gov.ph/archives/default.html) 
* **Humingi ng tulong mula sa Legal Assistance Division ng POEA:** Maaari silang magbigay ng legal na payo at tumulong sa pag-navigate sa proseso ng reklamo.
**Mga Karagdagang Tala:**
* Mahalagang"&amp;" mangalap ng ebidensya upang suportahan ang iyong reklamo, tulad ng mga kopya ng mga kontrata, resibo, o mga talaan ng komunikasyon sa ahensya.
* Ang POEA ay magsasagawa ng imbestigasyon at maglalabas ng desisyon.  Kung valid ang reklamo, maaaring mahara"&amp;"p ang ahensya ng mga parusa gaya ng multa o pagsususpinde ng lisensya.
* Maaari ding piliin ng OFW na magsagawa ng legal na aksyon sa korte na lampas sa proseso ng POEA, ngunit maaaring mangailangan ito ng hiwalay na legal counsel.
**Sa pamamagitan ng"&amp;" pag-unawa sa mga sitwasyong ito at sa proseso ng reklamo, maaaring humingi ng legal na paraan ang mga OFW laban sa mga recruitment agencies na lumalabag sa kanilang mga karapatan.**")</f>
        <v>Mayroong ilang mga pangyayari kung saan ang isang OFW ay maaaring magsampa ng reklamo laban sa kanilang recruitment agency sa ilalim ng batas ng Pilipinas, na pangunahing pinamamahalaan ng Philippine Overseas Employment Administration (POEA). Narito ang ilang karaniwang dahilan para sa reklamo:
**Mga Paglabag sa Mga Panuntunan at Regulasyon ng Philippine Overseas Employment Administration (POEA):**
* **Illegal Recruitment:** Kabilang dito ang paniningil ng labis na placement fee, pagkolekta ng mga bayarin bago mapirmahan ang kontrata, o pag-deploy ng mga manggagawa nang walang wastong dokumentasyon.
* **Maling representasyon:** Ang ahensya ay nagkamali sa mga tuntunin at kundisyon ng pagtatrabaho, gaya ng suweldo, paglalarawan ng trabaho, o mga kondisyon sa pagtatrabaho.
* **Pagkabigong Ma-secure ang Mga Wastong Dokumento:** Nabigo ang ahensya na kumuha ng mga kinakailangang dokumento tulad ng mga work visa o kontrata sa pagtatrabaho.
* **Pagpapalit ng mga Kontrata:** Ang manggagawa ay iniharap sa isang kontrata na iba sa napagkasunduan nila sa pagpirma.
**Paglabag sa Kontrata:**
* **Ang recruitment agency ay hindi tumupad sa mga obligasyon nito gaya ng nakasaad sa kontrata.** Ito ay maaaring kabilangan ng pagkabigo sa pagkuha ng mga ipinangakong benepisyo, pag-aayos ng mga akomodasyon, o pagtugon sa mga panganib sa lugar ng trabaho gaya ng napagkasunduan.
**Hindi Makatarungang Mga Kasanayan sa Paggawa:**
* **Nakipagsabwatan ang recruitment agency sa employer** sa mga hindi patas na gawi tulad ng pagpigil ng sahod, pagkumpiska ng mga pasaporte, o pagsasailalim sa OFW sa abusadong pagtrato.
**Narito kung paano magsampa ng reklamo ang isang OFW laban sa kanilang recruitment agency:**
* **Maghain ng reklamo sa POEA Adjudication Office:** Ito ang opisyal na ruta para sa paghahain ng mga reklamo laban sa mga recruitment agencies.  Ang website ng POEA ay nagbibigay ng impormasyon sa mga pamamaraan ng paghahain at mga kinakailangang dokumento: [https://www.dmw.gov.ph/archives/default.html](https://www.dmw.gov.ph/archives/default.html) 
* **Humingi ng tulong mula sa Legal Assistance Division ng POEA:** Maaari silang magbigay ng legal na payo at tumulong sa pag-navigate sa proseso ng reklamo.
**Mga Karagdagang Tala:**
* Mahalagang mangalap ng ebidensya upang suportahan ang iyong reklamo, tulad ng mga kopya ng mga kontrata, resibo, o mga talaan ng komunikasyon sa ahensya.
* Ang POEA ay magsasagawa ng imbestigasyon at maglalabas ng desisyon.  Kung valid ang reklamo, maaaring maharap ang ahensya ng mga parusa gaya ng multa o pagsususpinde ng lisensya.
* Maaari ding piliin ng OFW na magsagawa ng legal na aksyon sa korte na lampas sa proseso ng POEA, ngunit maaaring mangailangan ito ng hiwalay na legal counsel.
**Sa pamamagitan ng pag-unawa sa mga sitwasyong ito at sa proseso ng reklamo, maaaring humingi ng legal na paraan ang mga OFW laban sa mga recruitment agencies na lumalabag sa kanilang mga karapatan.**</v>
      </c>
      <c r="F2937" s="2">
        <f t="shared" si="1"/>
        <v>0</v>
      </c>
      <c r="G2937" s="2"/>
      <c r="H2937" s="2"/>
      <c r="I2937" s="2"/>
      <c r="J2937" s="2"/>
      <c r="K2937" s="2"/>
      <c r="L2937" s="2"/>
      <c r="M2937" s="2"/>
      <c r="N2937" s="2"/>
      <c r="O2937" s="2"/>
      <c r="P2937" s="2"/>
      <c r="Q2937" s="2"/>
      <c r="R2937" s="2"/>
      <c r="S2937" s="2"/>
      <c r="T2937" s="2"/>
      <c r="U2937" s="2"/>
      <c r="V2937" s="2"/>
      <c r="W2937" s="2"/>
      <c r="X2937" s="2"/>
      <c r="Y2937" s="2"/>
      <c r="Z2937" s="2"/>
      <c r="AA2937" s="2"/>
    </row>
    <row r="2938">
      <c r="A2938" s="3" t="s">
        <v>6842</v>
      </c>
      <c r="B2938" s="1" t="s">
        <v>6851</v>
      </c>
      <c r="C2938" s="3" t="s">
        <v>6852</v>
      </c>
      <c r="D2938" s="2" t="str">
        <f>IFERROR(__xludf.DUMMYFUNCTION("GOOGLETRANSLATE(B2938, ""en"", ""TL"")"),"Ano ang mga legal na responsibilidad ng Philippine recruitment agencies sa mga OFW na kanilang idine-deploy?")</f>
        <v>Ano ang mga legal na responsibilidad ng Philippine recruitment agencies sa mga OFW na kanilang idine-deploy?</v>
      </c>
      <c r="E2938" s="2" t="str">
        <f>IFERROR(__xludf.DUMMYFUNCTION("GOOGLETRANSLATE(C2938, ""en"", ""TL"")"),"Ang mga ahensya ng recruitment ng Pilipinas ay may ilang legal na responsibilidad sa mga Overseas Filipino Workers (OFWs) na kanilang idine-deploy, ayon sa ipinag-uutos ng batas at regulasyon ng Pilipinas. Narito ang isang breakdown ng kanilang mga pangun"&amp;"ahing tungkulin:
**Pre-Deployment**
* **Patas at Transparent na Mga Kasanayan sa Recruitment:**  
    * Walang paniningil ng labis na placement fee na lampas sa mga limitasyon na ipinag-uutos ng POEA [Mga Panuntunan at Regulasyon ng POEA, Bahagi I,"&amp;" Kabanata II].
    * Pagbibigay ng malinaw at tumpak na impormasyon tungkol sa alok na trabaho, kabilang ang suweldo, benepisyo, kondisyon sa pagtatrabaho, at tirahan [Mga Panuntunan at Regulasyon ng POEA, Bahagi II, Kabanata I]. 
    * Pagpasok sa isan"&amp;"g karaniwang kontrata sa pagtatrabaho na inaprubahan ng POEA na nagbabalangkas sa lahat ng napagkasunduang tuntunin [website ng POEA].
* **Pag-secure ng Wastong Dokumentasyon:**
    * Pinapadali ang pagkuha ng mga kinakailangang dokumento para sa trabah"&amp;"o sa ibang bansa tulad ng mga pasaporte, work visa, at overseas employment certificates (OECs) [POEA Rules and Regulations, Part III, Chapter I].
* **Pre-departure Orientation Seminars:** 
    * Pagbibigay ng kaalaman sa mga OFW tungkol sa kanilang mga "&amp;"karapatan, kondisyon sa pagtatrabaho sa ibang bansa, at paghawak ng mga emerhensiya [POEA Rules and Regulations, Part IV, Chapter I].
**Sa Panahon ng Trabaho**
* **Pagtupad sa mga Obligasyon sa Kontraktwal:**  
    * Ang ahensya ay nagsisilbing ugn"&amp;"ayan sa pagitan ng OFW at ng employer, na tinitiyak na pinaninindigan ng employer ang mga tuntunin ng kontrata sa pagtatrabaho [RA 8042, Seksyon 10].
* **Pagsubaybay sa Kapakanan ng mga OFW:**  
    * Pagpapanatili ng mga channel ng komunikasyon upang m"&amp;"atugunan ang anumang alalahanin o problemang nararanasan ng OFW habang nagtatrabaho sa ibang bansa [RA 8042, Seksyon 10].
**Pagkatapos ng Deployment**
* **Tulong sa Repatriation:**  
    * Sa mga kaso ng mga emerhensiya, paglabag sa kontrata, o pag"&amp;"wawakas ng trabaho, maaaring kailanganin ng ahensya na tumulong sa mga pagsisikap sa pagpapauwi upang maibalik ang OFW sa Pilipinas [Mga Panuntunan at Regulasyon ng POEA, Bahagi X, Kabanata I].
**Mga Karagdagang Pananagutan**
* **Pinagsanib at Solid"&amp;"aryong Pananagutan:**  
    * Ang batas ng Pilipinas ay may pananagutan sa mga ahensya ng recruitment sa dayuhang tagapag-empleyo para sa anumang mga paglabag sa kontrata sa pagtatrabaho o mga maling gawain sa OFW [hal., Santosa B. Datuman vs. First Cosm"&amp;"opolitan Manpower and Promotion Services, Inc., G.R. No. 156029].
* **Pagsunod sa Mga Panuntunan at Regulasyon ng POEA:** 
    * Dapat sumunod ang mga recruitment agencies sa lahat ng guidelines na itinakda ng Philippine Overseas Employment Administrati"&amp;"on (POEA) [website ng POEA].
**Mga Mapagkukunan:**
* **Philippine Overseas Employment Administration (POEA):** [https://www.dmw.gov.ph/](https://www.dmw.gov.ph/)
* **Mga Panuntunan at Regulasyon ng POEA:** [https://www.dmw.gov.ph/archives/laws&amp;rule"&amp;"s/laws&amp;rules.html](https://www.dmw.gov.ph/archives/laws&amp;rules/laws&amp;rules. html)
**Sa pamamagitan ng pag-unawa sa mga responsibilidad na ito, maaaring panagutin ng mga OFW ang mga recruitment agencies para sa kanilang kapakanan sa buong proseso ng deplo"&amp;"yment.**")</f>
        <v>Ang mga ahensya ng recruitment ng Pilipinas ay may ilang legal na responsibilidad sa mga Overseas Filipino Workers (OFWs) na kanilang idine-deploy, ayon sa ipinag-uutos ng batas at regulasyon ng Pilipinas. Narito ang isang breakdown ng kanilang mga pangunahing tungkulin:
**Pre-Deployment**
* **Patas at Transparent na Mga Kasanayan sa Recruitment:**  
    * Walang paniningil ng labis na placement fee na lampas sa mga limitasyon na ipinag-uutos ng POEA [Mga Panuntunan at Regulasyon ng POEA, Bahagi I, Kabanata II].
    * Pagbibigay ng malinaw at tumpak na impormasyon tungkol sa alok na trabaho, kabilang ang suweldo, benepisyo, kondisyon sa pagtatrabaho, at tirahan [Mga Panuntunan at Regulasyon ng POEA, Bahagi II, Kabanata I]. 
    * Pagpasok sa isang karaniwang kontrata sa pagtatrabaho na inaprubahan ng POEA na nagbabalangkas sa lahat ng napagkasunduang tuntunin [website ng POEA].
* **Pag-secure ng Wastong Dokumentasyon:**
    * Pinapadali ang pagkuha ng mga kinakailangang dokumento para sa trabaho sa ibang bansa tulad ng mga pasaporte, work visa, at overseas employment certificates (OECs) [POEA Rules and Regulations, Part III, Chapter I].
* **Pre-departure Orientation Seminars:** 
    * Pagbibigay ng kaalaman sa mga OFW tungkol sa kanilang mga karapatan, kondisyon sa pagtatrabaho sa ibang bansa, at paghawak ng mga emerhensiya [POEA Rules and Regulations, Part IV, Chapter I].
**Sa Panahon ng Trabaho**
* **Pagtupad sa mga Obligasyon sa Kontraktwal:**  
    * Ang ahensya ay nagsisilbing ugnayan sa pagitan ng OFW at ng employer, na tinitiyak na pinaninindigan ng employer ang mga tuntunin ng kontrata sa pagtatrabaho [RA 8042, Seksyon 10].
* **Pagsubaybay sa Kapakanan ng mga OFW:**  
    * Pagpapanatili ng mga channel ng komunikasyon upang matugunan ang anumang alalahanin o problemang nararanasan ng OFW habang nagtatrabaho sa ibang bansa [RA 8042, Seksyon 10].
**Pagkatapos ng Deployment**
* **Tulong sa Repatriation:**  
    * Sa mga kaso ng mga emerhensiya, paglabag sa kontrata, o pagwawakas ng trabaho, maaaring kailanganin ng ahensya na tumulong sa mga pagsisikap sa pagpapauwi upang maibalik ang OFW sa Pilipinas [Mga Panuntunan at Regulasyon ng POEA, Bahagi X, Kabanata I].
**Mga Karagdagang Pananagutan**
* **Pinagsanib at Solidaryong Pananagutan:**  
    * Ang batas ng Pilipinas ay may pananagutan sa mga ahensya ng recruitment sa dayuhang tagapag-empleyo para sa anumang mga paglabag sa kontrata sa pagtatrabaho o mga maling gawain sa OFW [hal., Santosa B. Datuman vs. First Cosmopolitan Manpower and Promotion Services, Inc., G.R. No. 156029].
* **Pagsunod sa Mga Panuntunan at Regulasyon ng POEA:** 
    * Dapat sumunod ang mga recruitment agencies sa lahat ng guidelines na itinakda ng Philippine Overseas Employment Administration (POEA) [website ng POEA].
**Mga Mapagkukunan:**
* **Philippine Overseas Employment Administration (POEA):** [https://www.dmw.gov.ph/](https://www.dmw.gov.ph/)
* **Mga Panuntunan at Regulasyon ng POEA:** [https://www.dmw.gov.ph/archives/laws&amp;rules/laws&amp;rules.html](https://www.dmw.gov.ph/archives/laws&amp;rules/laws&amp;rules. html)
**Sa pamamagitan ng pag-unawa sa mga responsibilidad na ito, maaaring panagutin ng mga OFW ang mga recruitment agencies para sa kanilang kapakanan sa buong proseso ng deployment.**</v>
      </c>
      <c r="F2938" s="2">
        <f t="shared" si="1"/>
        <v>0</v>
      </c>
      <c r="G2938" s="2"/>
      <c r="H2938" s="2"/>
      <c r="I2938" s="2"/>
      <c r="J2938" s="2"/>
      <c r="K2938" s="2"/>
      <c r="L2938" s="2"/>
      <c r="M2938" s="2"/>
      <c r="N2938" s="2"/>
      <c r="O2938" s="2"/>
      <c r="P2938" s="2"/>
      <c r="Q2938" s="2"/>
      <c r="R2938" s="2"/>
      <c r="S2938" s="2"/>
      <c r="T2938" s="2"/>
      <c r="U2938" s="2"/>
      <c r="V2938" s="2"/>
      <c r="W2938" s="2"/>
      <c r="X2938" s="2"/>
      <c r="Y2938" s="2"/>
      <c r="Z2938" s="2"/>
      <c r="AA2938" s="2"/>
    </row>
    <row r="2939">
      <c r="A2939" s="3" t="s">
        <v>6842</v>
      </c>
      <c r="B2939" s="1" t="s">
        <v>6853</v>
      </c>
      <c r="C2939" s="3" t="s">
        <v>6854</v>
      </c>
      <c r="D2939" s="2" t="str">
        <f>IFERROR(__xludf.DUMMYFUNCTION("GOOGLETRANSLATE(B2939, ""en"", ""TL"")"),"Paano tinutugunan ng batas ng Pilipinas ang mga kaso ng pang-aabuso o pagmamaltrato sa mga OFW ng kanilang mga amo sa ibang bansa?")</f>
        <v>Paano tinutugunan ng batas ng Pilipinas ang mga kaso ng pang-aabuso o pagmamaltrato sa mga OFW ng kanilang mga amo sa ibang bansa?</v>
      </c>
      <c r="E2939" s="2" t="str">
        <f>IFERROR(__xludf.DUMMYFUNCTION("GOOGLETRANSLATE(C2939, ""en"", ""TL"")"),"Ang batas ng Pilipinas ay nagpapatupad ng iba't ibang hakbang upang matugunan ang mga kaso ng pang-aabuso o pagmamaltrato sa mga Overseas Filipino Workers (OFWs) ng kanilang mga employer sa ibang bansa. Narito ang isang breakdown ng mga pangunahing mekani"&amp;"smo:
**Mga Pre-Deployment na Proteksyon:**
* **Philippine Overseas Employment Administration (POEA):** Naglalayong maiwasan ang pang-aabuso sa pamamagitan ng:
    * **Mga karaniwang kontrata sa pagtatrabaho:** Ang mga kontratang ito na inaprubahan "&amp;"ng POEA ay nagbabalangkas ng mga tuntunin at kundisyon, kabilang ang pinakamababang sahod at mga kondisyon sa pagtatrabaho, upang magsilbing baseline para sa patas na pagtrato.
    * **Pre-departure orientation seminars:** Ang mga session na ito ay nagpa"&amp;"paalam sa mga OFW tungkol sa kanilang mga karapatan, mga mapagkukunang makukuha sa ibang bansa (tulad ng POLO), at kung paano haharapin ang mga potensyal na salungatan sa mga employer.
**Tulong Pagkatapos ng Deployment:**
* **Philippine Overseas Lab"&amp;"or Office (POLO):** Itinatag sa iba't ibang host country, ang POLO ay nagbibigay ng suporta sa mga OFW, kabilang ang:
    * **Mediation at Legal na Tulong:** Maaaring mamagitan ang mga opisyal ng POLO sa mga hindi pagkakaunawaan sa mga employer tungkol s"&amp;"a mga paglabag sa kontrata, isyu sa sahod, o maltreatment. Maaari rin nilang i-refer ang mga kaso sa legal counsel kung kinakailangan.
    * **Repatriation:** Sa mga kaso ng matinding pang-aabuso o paglabag sa kontrata, maaaring mapadali ng POLO ang mga "&amp;"pagsisikap sa repatriation upang maibalik ang OFW sa Pilipinas.
**Legal na Balangkas:**
* **Labor Code of the Philippines (RA 6715):** Bagama't hindi direktang maipapatupad sa ibang bansa, ang Labor Code ay nagtatatag ng pinakamababang pamantayan sa"&amp;" paggawa na dapat ipakita sa kontrata sa pagtatrabaho. Kabilang dito ang:
     * **Minimum Wage:** Ang partikular na rate ay depende sa host country, ngunit ang kontrata ay hindi dapat mag-alok ng mga sahod na mas mababa sa napagkasunduang minimum. 
   "&amp;"  * **Pagbabawal sa Mga Ilegal na Gawa:** Pinoprotektahan ng batas ng Pilipinas ang mga OFW mula sa sapilitang paggawa, pagkaalipin sa utang, at iba pang mapagsamantalang gawain.
* **Anti-Trafficking in Persons Act (RA 9208):** Pinoprotektahan ang mga "&amp;"OFW mula sa human trafficking at illegal recruitment.
* **Migrant Workers and Overseas Filipinos Act (RA 10022):** Nagbibigay ng karagdagang benepisyo at programa para sa mga OFW at kanilang pamilya.
* **Bilateral Labor Agreements (BLAs):** Ang mga "&amp;"kasunduan sa pagitan ng Pilipinas at host country ay maaaring maglaman ng mga partikular na proteksyon para sa mga OFW na nagtatrabaho doon.
**Naghahanap ng Katarungan:**
* **POEA:** Maaaring tumulong sa mga OFW sa pagsasampa ng mga reklamo laban sa"&amp;" mga abusadong employer sa pamamagitan ng mga legal na proseso sa Pilipinas o sa pakikipag-ugnayan sa mga awtoridad sa host country.
* **Legal na Aksyon:** Ang mga OFW, sa tulong ng POLO o pribadong abogado, ay maaaring magsagawa ng legal na aksyon lab"&amp;"an sa kanilang mga employer sa Pilipinas o potensyal sa mga korte ng host country depende sa kalubhaan ng kaso.
**Mga Hamon at Karagdagang Tala:**
* **Pagpapatupad sa Ibang Bansa:** Ang pagpapatupad ng mga batas ng Pilipinas sa ibang mga bansa ay ma"&amp;"aaring maging kumplikado. Ang pakikipagtulungan sa mga awtoridad ng host country at mga epektibong BLA ay mahalaga.
* **Pagtitipon ng Ebidensya:** Ang pangangalap ng katibayan ng pang-aabuso o pagmamaltrato (hal., mga rekord ng medikal, mga testimonya ng"&amp;" saksi) ay mahalaga para sa paghahabol ng legal na aksyon.
* **Psychological Support:** Ang emosyonal na epekto ng pang-aabuso ay makabuluhan.  Maaaring mangailangan ang mga OFW ng psychological support services na ibinibigay ng POEA o iba pang ahensya n"&amp;"g gobyerno.
**Sa pamamagitan ng pagsasama-sama ng mga hakbang na ito, ang batas ng Pilipinas ay nagbibigay ng balangkas upang protektahan ang mga OFW, panagutin ang mga abusadong employer, at nag-aalok ng mga paraan para sa paghahanap ng hustisya.** Ga"&amp;"yunpaman, ang matagumpay na interbensyon ay kadalasang umaasa sa pakikipagtulungan sa pagitan ng mga ahensya ng gobyerno, malalakas na BLA, at ang aktibong partisipasyon ng mga Mga OFW sa pag-uulat ng mga pang-aabuso at paghingi ng tulong.
")</f>
        <v>Ang batas ng Pilipinas ay nagpapatupad ng iba't ibang hakbang upang matugunan ang mga kaso ng pang-aabuso o pagmamaltrato sa mga Overseas Filipino Workers (OFWs) ng kanilang mga employer sa ibang bansa. Narito ang isang breakdown ng mga pangunahing mekanismo:
**Mga Pre-Deployment na Proteksyon:**
* **Philippine Overseas Employment Administration (POEA):** Naglalayong maiwasan ang pang-aabuso sa pamamagitan ng:
    * **Mga karaniwang kontrata sa pagtatrabaho:** Ang mga kontratang ito na inaprubahan ng POEA ay nagbabalangkas ng mga tuntunin at kundisyon, kabilang ang pinakamababang sahod at mga kondisyon sa pagtatrabaho, upang magsilbing baseline para sa patas na pagtrato.
    * **Pre-departure orientation seminars:** Ang mga session na ito ay nagpapaalam sa mga OFW tungkol sa kanilang mga karapatan, mga mapagkukunang makukuha sa ibang bansa (tulad ng POLO), at kung paano haharapin ang mga potensyal na salungatan sa mga employer.
**Tulong Pagkatapos ng Deployment:**
* **Philippine Overseas Labor Office (POLO):** Itinatag sa iba't ibang host country, ang POLO ay nagbibigay ng suporta sa mga OFW, kabilang ang:
    * **Mediation at Legal na Tulong:** Maaaring mamagitan ang mga opisyal ng POLO sa mga hindi pagkakaunawaan sa mga employer tungkol sa mga paglabag sa kontrata, isyu sa sahod, o maltreatment. Maaari rin nilang i-refer ang mga kaso sa legal counsel kung kinakailangan.
    * **Repatriation:** Sa mga kaso ng matinding pang-aabuso o paglabag sa kontrata, maaaring mapadali ng POLO ang mga pagsisikap sa repatriation upang maibalik ang OFW sa Pilipinas.
**Legal na Balangkas:**
* **Labor Code of the Philippines (RA 6715):** Bagama't hindi direktang maipapatupad sa ibang bansa, ang Labor Code ay nagtatatag ng pinakamababang pamantayan sa paggawa na dapat ipakita sa kontrata sa pagtatrabaho. Kabilang dito ang:
     * **Minimum Wage:** Ang partikular na rate ay depende sa host country, ngunit ang kontrata ay hindi dapat mag-alok ng mga sahod na mas mababa sa napagkasunduang minimum. 
     * **Pagbabawal sa Mga Ilegal na Gawa:** Pinoprotektahan ng batas ng Pilipinas ang mga OFW mula sa sapilitang paggawa, pagkaalipin sa utang, at iba pang mapagsamantalang gawain.
* **Anti-Trafficking in Persons Act (RA 9208):** Pinoprotektahan ang mga OFW mula sa human trafficking at illegal recruitment.
* **Migrant Workers and Overseas Filipinos Act (RA 10022):** Nagbibigay ng karagdagang benepisyo at programa para sa mga OFW at kanilang pamilya.
* **Bilateral Labor Agreements (BLAs):** Ang mga kasunduan sa pagitan ng Pilipinas at host country ay maaaring maglaman ng mga partikular na proteksyon para sa mga OFW na nagtatrabaho doon.
**Naghahanap ng Katarungan:**
* **POEA:** Maaaring tumulong sa mga OFW sa pagsasampa ng mga reklamo laban sa mga abusadong employer sa pamamagitan ng mga legal na proseso sa Pilipinas o sa pakikipag-ugnayan sa mga awtoridad sa host country.
* **Legal na Aksyon:** Ang mga OFW, sa tulong ng POLO o pribadong abogado, ay maaaring magsagawa ng legal na aksyon laban sa kanilang mga employer sa Pilipinas o potensyal sa mga korte ng host country depende sa kalubhaan ng kaso.
**Mga Hamon at Karagdagang Tala:**
* **Pagpapatupad sa Ibang Bansa:** Ang pagpapatupad ng mga batas ng Pilipinas sa ibang mga bansa ay maaaring maging kumplikado. Ang pakikipagtulungan sa mga awtoridad ng host country at mga epektibong BLA ay mahalaga.
* **Pagtitipon ng Ebidensya:** Ang pangangalap ng katibayan ng pang-aabuso o pagmamaltrato (hal., mga rekord ng medikal, mga testimonya ng saksi) ay mahalaga para sa paghahabol ng legal na aksyon.
* **Psychological Support:** Ang emosyonal na epekto ng pang-aabuso ay makabuluhan.  Maaaring mangailangan ang mga OFW ng psychological support services na ibinibigay ng POEA o iba pang ahensya ng gobyerno.
**Sa pamamagitan ng pagsasama-sama ng mga hakbang na ito, ang batas ng Pilipinas ay nagbibigay ng balangkas upang protektahan ang mga OFW, panagutin ang mga abusadong employer, at nag-aalok ng mga paraan para sa paghahanap ng hustisya.** Gayunpaman, ang matagumpay na interbensyon ay kadalasang umaasa sa pakikipagtulungan sa pagitan ng mga ahensya ng gobyerno, malalakas na BLA, at ang aktibong partisipasyon ng mga Mga OFW sa pag-uulat ng mga pang-aabuso at paghingi ng tulong.
</v>
      </c>
      <c r="F2939" s="2">
        <f t="shared" si="1"/>
        <v>0</v>
      </c>
      <c r="G2939" s="2"/>
      <c r="H2939" s="2"/>
      <c r="I2939" s="2"/>
      <c r="J2939" s="2"/>
      <c r="K2939" s="2"/>
      <c r="L2939" s="2"/>
      <c r="M2939" s="2"/>
      <c r="N2939" s="2"/>
      <c r="O2939" s="2"/>
      <c r="P2939" s="2"/>
      <c r="Q2939" s="2"/>
      <c r="R2939" s="2"/>
      <c r="S2939" s="2"/>
      <c r="T2939" s="2"/>
      <c r="U2939" s="2"/>
      <c r="V2939" s="2"/>
      <c r="W2939" s="2"/>
      <c r="X2939" s="2"/>
      <c r="Y2939" s="2"/>
      <c r="Z2939" s="2"/>
      <c r="AA2939" s="2"/>
    </row>
    <row r="2940">
      <c r="A2940" s="3" t="s">
        <v>6842</v>
      </c>
      <c r="B2940" s="1" t="s">
        <v>6855</v>
      </c>
      <c r="C2940" s="3" t="s">
        <v>6856</v>
      </c>
      <c r="D2940" s="2" t="str">
        <f>IFERROR(__xludf.DUMMYFUNCTION("GOOGLETRANSLATE(B2940, ""en"", ""TL"")"),"Maaari bang legal na magpakasal ang isang OFW sa isang dayuhan habang nagtatrabaho sa ibang bansa?")</f>
        <v>Maaari bang legal na magpakasal ang isang OFW sa isang dayuhan habang nagtatrabaho sa ibang bansa?</v>
      </c>
      <c r="E2940" s="2" t="str">
        <f>IFERROR(__xludf.DUMMYFUNCTION("GOOGLETRANSLATE(C2940, ""en"", ""TL"")"),"Oo, ang isang OFW ay maaaring legal na magpakasal sa isang dayuhan habang nagtatrabaho sa ibang bansa. Narito kung bakit:
* **Philippine Law on Marriage:** Kinikilala ng Pilipinas ang mga kasal na isinagawa sa ibang bansa basta't ang mga ito ay valid n"&amp;"a kasal sa bansang kanilang ginanap [Philippine Supreme Court, ""Republic of the Philippines vs. Mary Jane Veloso and Kristina Mae Ramos"" ]. Nangangahulugan ito na kung ang kasal ay sumusunod sa mga legal na kinakailangan para sa kasal sa host country, i"&amp;"to ay karaniwang kikilalanin sa Pilipinas.
* **Walang Paghihigpit sa Katayuan ng Pag-aasawa para sa mga OFW:** Hindi pinaghihigpitan ng batas ng Pilipinas ang mga OFW na magpakasal habang nagtatrabaho sa ibang bansa. Walang mga legal na epekto para sa "&amp;"kanilang katayuan sa trabaho.
**Gayunpaman, may ilang mahahalagang puntong dapat isaalang-alang:**
* **Mga Kinakailangan ng Host Country:** Ang bawat bansa ay may kanya-kanyang legal na kinakailangan para sa kasal. Maaaring kabilang dito ang mga pan"&amp;"ahon ng paghihintay sa paninirahan, mga kinakailangan sa dokumentasyon, o mga partikular na seremonya ng kasal. Ang OFW at ang kanilang partner ay dapat magsaliksik at sumunod sa lahat ng mga kinakailangan sa kasal na itinakda ng bansa kung saan nila bala"&amp;"k magpakasal.
* **Philippine Embassy o Consulate Registration:** Bagama't hindi mandatory, ipinapayong irehistro ng OFW ang kasal sa pinakamalapit na embahada o konsulado ng Pilipinas sa host country. Makakatulong ito sa mga legal na usapin sa hinaharap "&amp;"tulad ng pagkuha ng spousal visa o pag-claim ng mga benepisyo.
**Narito ang ilang mapagkukunan na maaaring makatulong:**
* **Department of Foreign Affairs (DFA) - Philippine Embassy/Consulate Locator:** [https://dfa.gov.ph/](https://dfa.gov.ph/)
* "&amp;"**DFA - Tulong sa mga Nasyonal:** [https://dfa.gov.ph/](https://dfa.gov.ph/) (Ang website na ito ay nagbibigay ng impormasyon sa mga kinakailangan para sa pagpaparehistro ng mga kasal sa ibang bansa sa mga embahada ng Pilipinas/ konsulado)
**Tandaan, p"&amp;"alaging inirerekomenda na kumonsulta sa isang abogado** na pamilyar sa mga batas sa kasal sa partikular na bansang host para matiyak ang maayos at legal na proseso ng kasal.")</f>
        <v>Oo, ang isang OFW ay maaaring legal na magpakasal sa isang dayuhan habang nagtatrabaho sa ibang bansa. Narito kung bakit:
* **Philippine Law on Marriage:** Kinikilala ng Pilipinas ang mga kasal na isinagawa sa ibang bansa basta't ang mga ito ay valid na kasal sa bansang kanilang ginanap [Philippine Supreme Court, "Republic of the Philippines vs. Mary Jane Veloso and Kristina Mae Ramos" ]. Nangangahulugan ito na kung ang kasal ay sumusunod sa mga legal na kinakailangan para sa kasal sa host country, ito ay karaniwang kikilalanin sa Pilipinas.
* **Walang Paghihigpit sa Katayuan ng Pag-aasawa para sa mga OFW:** Hindi pinaghihigpitan ng batas ng Pilipinas ang mga OFW na magpakasal habang nagtatrabaho sa ibang bansa. Walang mga legal na epekto para sa kanilang katayuan sa trabaho.
**Gayunpaman, may ilang mahahalagang puntong dapat isaalang-alang:**
* **Mga Kinakailangan ng Host Country:** Ang bawat bansa ay may kanya-kanyang legal na kinakailangan para sa kasal. Maaaring kabilang dito ang mga panahon ng paghihintay sa paninirahan, mga kinakailangan sa dokumentasyon, o mga partikular na seremonya ng kasal. Ang OFW at ang kanilang partner ay dapat magsaliksik at sumunod sa lahat ng mga kinakailangan sa kasal na itinakda ng bansa kung saan nila balak magpakasal.
* **Philippine Embassy o Consulate Registration:** Bagama't hindi mandatory, ipinapayong irehistro ng OFW ang kasal sa pinakamalapit na embahada o konsulado ng Pilipinas sa host country. Makakatulong ito sa mga legal na usapin sa hinaharap tulad ng pagkuha ng spousal visa o pag-claim ng mga benepisyo.
**Narito ang ilang mapagkukunan na maaaring makatulong:**
* **Department of Foreign Affairs (DFA) - Philippine Embassy/Consulate Locator:** [https://dfa.gov.ph/](https://dfa.gov.ph/)
* **DFA - Tulong sa mga Nasyonal:** [https://dfa.gov.ph/](https://dfa.gov.ph/) (Ang website na ito ay nagbibigay ng impormasyon sa mga kinakailangan para sa pagpaparehistro ng mga kasal sa ibang bansa sa mga embahada ng Pilipinas/ konsulado)
**Tandaan, palaging inirerekomenda na kumonsulta sa isang abogado** na pamilyar sa mga batas sa kasal sa partikular na bansang host para matiyak ang maayos at legal na proseso ng kasal.</v>
      </c>
      <c r="F2940" s="2">
        <f t="shared" si="1"/>
        <v>0</v>
      </c>
      <c r="G2940" s="2"/>
      <c r="H2940" s="2"/>
      <c r="I2940" s="2"/>
      <c r="J2940" s="2"/>
      <c r="K2940" s="2"/>
      <c r="L2940" s="2"/>
      <c r="M2940" s="2"/>
      <c r="N2940" s="2"/>
      <c r="O2940" s="2"/>
      <c r="P2940" s="2"/>
      <c r="Q2940" s="2"/>
      <c r="R2940" s="2"/>
      <c r="S2940" s="2"/>
      <c r="T2940" s="2"/>
      <c r="U2940" s="2"/>
      <c r="V2940" s="2"/>
      <c r="W2940" s="2"/>
      <c r="X2940" s="2"/>
      <c r="Y2940" s="2"/>
      <c r="Z2940" s="2"/>
      <c r="AA2940" s="2"/>
    </row>
    <row r="2941">
      <c r="A2941" s="3" t="s">
        <v>6842</v>
      </c>
      <c r="B2941" s="1" t="s">
        <v>6857</v>
      </c>
      <c r="C2941" s="3" t="s">
        <v>6858</v>
      </c>
      <c r="D2941" s="2" t="str">
        <f>IFERROR(__xludf.DUMMYFUNCTION("GOOGLETRANSLATE(B2941, ""en"", ""TL"")"),"Ano ang mga legal na hakbang na dapat gawin ng isang OFW kung sila ay nahaharap sa iligal na pagtanggal sa kanilang trabaho sa ibang bansa?")</f>
        <v>Ano ang mga legal na hakbang na dapat gawin ng isang OFW kung sila ay nahaharap sa iligal na pagtanggal sa kanilang trabaho sa ibang bansa?</v>
      </c>
      <c r="E2941" s="2" t="str">
        <f>IFERROR(__xludf.DUMMYFUNCTION("GOOGLETRANSLATE(C2941, ""en"", ""TL"")"),"Narito ang isang breakdown ng mga legal na hakbang na maaaring gawin ng isang OFW kung sila ay nahaharap sa iligal na pagtanggal sa kanilang trabaho sa ibang bansa:
**1. Magtipon ng Ebidensya:**
* **Kontrata sa Pagtatrabaho:** Ito ang pangunahing do"&amp;"kumento na nagbabalangkas sa iyong mga tuntunin at kundisyon sa pagtatrabaho.
* **Paunawa o Liham ng Pagwawakas:** Kung ibinigay, magtago ng kopya ng dokumentong nagsasaad ng dahilan ng pagwawakas. 
* **Mga Pay Slip at Records:** Makakatulong ang mga it"&amp;"o na patunayan ang iyong katayuan sa trabaho at suweldo.
* **Mga Rekord ng Komunikasyon:** Anumang mga email, mensahe, o dokumentong nauugnay sa pagpapaalis o potensyal na salungatan sa employer. 
* **Mga Pahayag ng Saksi (kung naaangkop):** Kung nasaks"&amp;"ihan ng mga kasamahan ang pagpapaalis o mga kaganapang humahantong dito, maaaring suportahan ng kanilang mga pahayag ang iyong kaso.
**2. Iulat ang Kaso:**
* **Philippine Overseas Labor Office (POLO):** Ang POLO sa host country ang iyong unang punto"&amp;" ng contact.  Maaari silang:
    * **Makipag-ugnayan** sa iyong tagapag-empleyo upang subukan at makahanap ng resolusyon.
    * **Tumulong sa paghahain ng pormal na reklamo** laban sa employer kung nabigo ang pamamagitan.
* **Philippine Overseas Employ"&amp;"ment Administration (POEA):** Maaari ka ring direktang magsampa ng reklamo sa POEA sa Pilipinas. Gayunpaman, ang pakikipag-ugnayan muna sa POLO ay karaniwang inirerekomenda dahil sa kanilang lokal na presensya at kaalaman sa mga partikular na pamamaraan.
"&amp;"
**3. Isaalang-alang ang Legal na Kinatawan:**
* **POLO Legal Assistance:** Ang POLO ay maaaring mag-alok ng legal na tulong o magrekomenda ng mga abogadong pamilyar sa mga kaso sa paggawa na kinasasangkutan ng mga OFW.
* **Mga Pribadong Abugado:** "&amp;"Maaari mong piliing kumuha ng pribadong abogado na dalubhasa sa mga alalahanin sa overseas Filipino worker. 
**4. Legal na Proseso:**
* **Pagsisiyasat sa Reklamo:** Ang POEA o mga kinauukulang awtoridad ay mag-iimbestiga sa iyong reklamo at mangalap"&amp;" ng ebidensya mula sa magkabilang panig. 
* **Pagdinig:** Maaaring magsagawa ng pagdinig upang matukoy ang bisa ng pagpapaalis. 
* **Desisyon at Mga Posibleng Resulta:** Maaaring kabilang sa desisyon ang:
    * **Reinstatement:** Kung ang pagpapaalis a"&amp;"y itinuring na labag sa batas, maaari kang maibalik sa iyong trabaho nang may bayad na sahod.
    * **Separation Pay:** Maaari kang mabigyan ng separation pay kung hindi magagawa ang muling pagbabalik.
**Mga Karagdagang Tala:**
* **Mga Limitasyon s"&amp;"a Oras:** Maaaring may mga partikular na limitasyon sa oras para sa paghahain ng mga reklamo sa POEA o POLO. Mahalagang kumilos kaagad pagkatapos ng pagpapaalis.
* **Mga Kasangkot na Gastos:** Ang mga legal na proseso ay maaaring may kasamang bayad sa pa"&amp;"g-file at bayad sa abogado (kung naaangkop). 
* **Tulong ng Gobyerno:** Ang gobyerno ng Pilipinas ay nagbibigay ng suporta sa mga OFW sa pamamagitan ng POEA at POLO.
**Tandaan, ito ay isang pangkalahatang patnubay.** Ang mga partikular na legal na hak"&amp;"bang at pamamaraan ay maaaring mag-iba depende sa host country, ang kalubhaan ng kaso, at ang ebidensyang magagamit.  Napakahalagang kumonsulta sa POLO at posibleng isang abogado upang maunawaan ang pinakamabisang paraan ng pagkilos para sa iyong partikul"&amp;"ar na sitwasyon.
Narito ang ilang kapaki-pakinabang na mapagkukunan:
* **Philippine Overseas Employment Administration (POEA):** [https://www.dmw.gov.ph/archives/default.html](https://www.dmw.gov.ph/archives/default.html )
* **Department of Foreign"&amp;" Affairs (DFA) - Philippine Embassy/Consulate Locator:** [https://dfa.gov.ph/](https://dfa.gov.ph/) (Locate your nearest POLO office)")</f>
        <v>Narito ang isang breakdown ng mga legal na hakbang na maaaring gawin ng isang OFW kung sila ay nahaharap sa iligal na pagtanggal sa kanilang trabaho sa ibang bansa:
**1. Magtipon ng Ebidensya:**
* **Kontrata sa Pagtatrabaho:** Ito ang pangunahing dokumento na nagbabalangkas sa iyong mga tuntunin at kundisyon sa pagtatrabaho.
* **Paunawa o Liham ng Pagwawakas:** Kung ibinigay, magtago ng kopya ng dokumentong nagsasaad ng dahilan ng pagwawakas. 
* **Mga Pay Slip at Records:** Makakatulong ang mga ito na patunayan ang iyong katayuan sa trabaho at suweldo.
* **Mga Rekord ng Komunikasyon:** Anumang mga email, mensahe, o dokumentong nauugnay sa pagpapaalis o potensyal na salungatan sa employer. 
* **Mga Pahayag ng Saksi (kung naaangkop):** Kung nasaksihan ng mga kasamahan ang pagpapaalis o mga kaganapang humahantong dito, maaaring suportahan ng kanilang mga pahayag ang iyong kaso.
**2. Iulat ang Kaso:**
* **Philippine Overseas Labor Office (POLO):** Ang POLO sa host country ang iyong unang punto ng contact.  Maaari silang:
    * **Makipag-ugnayan** sa iyong tagapag-empleyo upang subukan at makahanap ng resolusyon.
    * **Tumulong sa paghahain ng pormal na reklamo** laban sa employer kung nabigo ang pamamagitan.
* **Philippine Overseas Employment Administration (POEA):** Maaari ka ring direktang magsampa ng reklamo sa POEA sa Pilipinas. Gayunpaman, ang pakikipag-ugnayan muna sa POLO ay karaniwang inirerekomenda dahil sa kanilang lokal na presensya at kaalaman sa mga partikular na pamamaraan.
**3. Isaalang-alang ang Legal na Kinatawan:**
* **POLO Legal Assistance:** Ang POLO ay maaaring mag-alok ng legal na tulong o magrekomenda ng mga abogadong pamilyar sa mga kaso sa paggawa na kinasasangkutan ng mga OFW.
* **Mga Pribadong Abugado:** Maaari mong piliing kumuha ng pribadong abogado na dalubhasa sa mga alalahanin sa overseas Filipino worker. 
**4. Legal na Proseso:**
* **Pagsisiyasat sa Reklamo:** Ang POEA o mga kinauukulang awtoridad ay mag-iimbestiga sa iyong reklamo at mangalap ng ebidensya mula sa magkabilang panig. 
* **Pagdinig:** Maaaring magsagawa ng pagdinig upang matukoy ang bisa ng pagpapaalis. 
* **Desisyon at Mga Posibleng Resulta:** Maaaring kabilang sa desisyon ang:
    * **Reinstatement:** Kung ang pagpapaalis ay itinuring na labag sa batas, maaari kang maibalik sa iyong trabaho nang may bayad na sahod.
    * **Separation Pay:** Maaari kang mabigyan ng separation pay kung hindi magagawa ang muling pagbabalik.
**Mga Karagdagang Tala:**
* **Mga Limitasyon sa Oras:** Maaaring may mga partikular na limitasyon sa oras para sa paghahain ng mga reklamo sa POEA o POLO. Mahalagang kumilos kaagad pagkatapos ng pagpapaalis.
* **Mga Kasangkot na Gastos:** Ang mga legal na proseso ay maaaring may kasamang bayad sa pag-file at bayad sa abogado (kung naaangkop). 
* **Tulong ng Gobyerno:** Ang gobyerno ng Pilipinas ay nagbibigay ng suporta sa mga OFW sa pamamagitan ng POEA at POLO.
**Tandaan, ito ay isang pangkalahatang patnubay.** Ang mga partikular na legal na hakbang at pamamaraan ay maaaring mag-iba depende sa host country, ang kalubhaan ng kaso, at ang ebidensyang magagamit.  Napakahalagang kumonsulta sa POLO at posibleng isang abogado upang maunawaan ang pinakamabisang paraan ng pagkilos para sa iyong partikular na sitwasyon.
Narito ang ilang kapaki-pakinabang na mapagkukunan:
* **Philippine Overseas Employment Administration (POEA):** [https://www.dmw.gov.ph/archives/default.html](https://www.dmw.gov.ph/archives/default.html )
* **Department of Foreign Affairs (DFA) - Philippine Embassy/Consulate Locator:** [https://dfa.gov.ph/](https://dfa.gov.ph/) (Locate your nearest POLO office)</v>
      </c>
      <c r="F2941" s="2">
        <f t="shared" si="1"/>
        <v>0</v>
      </c>
      <c r="G2941" s="2"/>
      <c r="H2941" s="2"/>
      <c r="I2941" s="2"/>
      <c r="J2941" s="2"/>
      <c r="K2941" s="2"/>
      <c r="L2941" s="2"/>
      <c r="M2941" s="2"/>
      <c r="N2941" s="2"/>
      <c r="O2941" s="2"/>
      <c r="P2941" s="2"/>
      <c r="Q2941" s="2"/>
      <c r="R2941" s="2"/>
      <c r="S2941" s="2"/>
      <c r="T2941" s="2"/>
      <c r="U2941" s="2"/>
      <c r="V2941" s="2"/>
      <c r="W2941" s="2"/>
      <c r="X2941" s="2"/>
      <c r="Y2941" s="2"/>
      <c r="Z2941" s="2"/>
      <c r="AA2941" s="2"/>
    </row>
    <row r="2942">
      <c r="A2942" s="3" t="s">
        <v>6842</v>
      </c>
      <c r="B2942" s="1" t="s">
        <v>6859</v>
      </c>
      <c r="C2942" s="3" t="s">
        <v>6860</v>
      </c>
      <c r="D2942" s="2" t="str">
        <f>IFERROR(__xludf.DUMMYFUNCTION("GOOGLETRANSLATE(B2942, ""en"", ""TL"")"),"Paano pinangangasiwaan ng batas ng Pilipinas ang mga kaso ng hindi nababayarang sahod o benepisyo para sa mga OFW?")</f>
        <v>Paano pinangangasiwaan ng batas ng Pilipinas ang mga kaso ng hindi nababayarang sahod o benepisyo para sa mga OFW?</v>
      </c>
      <c r="E2942" s="2" t="str">
        <f>IFERROR(__xludf.DUMMYFUNCTION("GOOGLETRANSLATE(C2942, ""en"", ""TL"")"),"Ang batas ng Pilipinas ay nagbibigay ng ilang paraan para sa mga OFW na tugunan ang mga kaso ng hindi nabayarang sahod o mga benepisyo mula sa kanilang mga employer sa ibang bansa. Narito ang isang breakdown ng mga pangunahing mekanismo:
**Mga Ahensya "&amp;"ng Pamahalaan:**
* **Philippine Overseas Labor Office (POLO):** Ang unang punto ng pakikipag-ugnayan sa host country. Ang POLO ay maaaring:
    * **Makipag-ugnayan** sa employer upang subukan at makahanap ng isang mapayapang solusyon para sa pagbabaya"&amp;"d ng hindi pa nababayarang sahod at mga benepisyo.
    * **Tumulong sa paghahain ng pormal na reklamo** kung nabigo ang pamamagitan.  Gagabayan nila ang OFW sa proseso at mangalap ng mga kinakailangang dokumento.
* **Philippine Overseas Employment Admin"&amp;"istration (POEA):** Ang pangunahing ahensya ng gobyerno na humahawak sa mga alalahanin sa trabaho sa ibang bansa sa Pilipinas. Ang OFW ay maaari ding direktang magsampa ng reklamo sa POEA.  Gayunpaman, ang pakikipag-ugnayan muna sa POLO ay karaniwang inir"&amp;"erekomenda dahil sa kanilang lokal na presensya at kadalubhasaan.
**Legal na Proseso:**
* **Pagsisiyasat ng Reklamo:** Sisiyasatin ng POLO o POEA ang reklamo, humihiling ng mga dokumento at pahayag mula sa OFW, employer, at mga posibleng saksi.
* *"&amp;"*Pagdinig:** Maaaring magsagawa ng pagdinig upang matukoy ang bisa ng claim sa sahod at ang halagang dapat bayaran.
* **Desisyon at Mga Posibleng Resulta:** Maaaring kabilang sa desisyon ang:
    * **Monetary Award:** Maaaring utusan ang employer na bay"&amp;"aran ang hindi pa nababayarang sahod at benepisyo, kasama ang posibleng mga parusa o interes. 
    * **Repatriation:** Sa malalang kaso, ang OFW ay maaaring pumili ng repatriation pabalik sa Pilipinas kung ang patuloy na pagtatrabaho ay itinuturing na hi"&amp;"ndi ligtas o hindi kapaki-pakinabang.
**Mga Karagdagang Pagsasaalang-alang:**
* **Mga Limitasyon sa Oras:** Maaaring may mga partikular na deadline para sa paghahain ng mga reklamo sa POEA o POLO. Huwag mag-antala sa paghingi ng tulong.
* **Pagtiti"&amp;"pon ng Ebidensya:** Napakahalaga ng matibay na ebidensya. Magtago ng mga kopya ng mga kontrata sa pagtatrabaho, mga payslip, mga talaan ng komunikasyon sa employer tungkol sa hindi nabayarang sahod, at anumang mga testimonya ng saksi (kung naaangkop).
* "&amp;"**Legal na Representasyon:** Habang nag-aalok ang POLO ng legal na tulong sa ilang mga kaso, ang pagkonsulta sa isang abogado na dalubhasa sa mga alalahanin ng OFW ay maaaring maging kapaki-pakinabang para sa mga kumplikadong sitwasyon. 
* **Tulong ng Go"&amp;"byerno:** Ang gobyerno ng Pilipinas, sa pamamagitan ng POEA at POLO, ay nagbibigay ng suporta sa mga OFW sa buong proseso ng paghahabol.
**Narito ang ilang mapagkukunan para sa mga OFW:**
* **Philippine Overseas Employment Administration (POEA):** ["&amp;"https://www.dmw.gov.ph/archives/default.html](https://www.dmw.gov.ph/archives/default.html )
* **Department of Foreign Affairs (DFA) - Philippine Embassy/Consulate Locator:** [https://dfa.gov.ph/](https://dfa.gov.ph/) (Locate your nearest POLO office)
"&amp;"
**Tandaan, ito ay isang pangkalahatang pangkalahatang-ideya. Ang mga partikular na legal na proseso at timeline ay maaaring mag-iba depende sa host country, ang halaga ng hindi nabayarang sahod na kasangkot, at ang pagkakaroon ng ebidensya.** Napakahalag"&amp;"ang kumonsulta sa POLO at potensyal na isang abogado upang maunawaan ang pinakamabisang paraan ng pagkilos para mabawi ang hindi nabayarang bayad. sahod o benepisyo.
")</f>
        <v>Ang batas ng Pilipinas ay nagbibigay ng ilang paraan para sa mga OFW na tugunan ang mga kaso ng hindi nabayarang sahod o mga benepisyo mula sa kanilang mga employer sa ibang bansa. Narito ang isang breakdown ng mga pangunahing mekanismo:
**Mga Ahensya ng Pamahalaan:**
* **Philippine Overseas Labor Office (POLO):** Ang unang punto ng pakikipag-ugnayan sa host country. Ang POLO ay maaaring:
    * **Makipag-ugnayan** sa employer upang subukan at makahanap ng isang mapayapang solusyon para sa pagbabayad ng hindi pa nababayarang sahod at mga benepisyo.
    * **Tumulong sa paghahain ng pormal na reklamo** kung nabigo ang pamamagitan.  Gagabayan nila ang OFW sa proseso at mangalap ng mga kinakailangang dokumento.
* **Philippine Overseas Employment Administration (POEA):** Ang pangunahing ahensya ng gobyerno na humahawak sa mga alalahanin sa trabaho sa ibang bansa sa Pilipinas. Ang OFW ay maaari ding direktang magsampa ng reklamo sa POEA.  Gayunpaman, ang pakikipag-ugnayan muna sa POLO ay karaniwang inirerekomenda dahil sa kanilang lokal na presensya at kadalubhasaan.
**Legal na Proseso:**
* **Pagsisiyasat ng Reklamo:** Sisiyasatin ng POLO o POEA ang reklamo, humihiling ng mga dokumento at pahayag mula sa OFW, employer, at mga posibleng saksi.
* **Pagdinig:** Maaaring magsagawa ng pagdinig upang matukoy ang bisa ng claim sa sahod at ang halagang dapat bayaran.
* **Desisyon at Mga Posibleng Resulta:** Maaaring kabilang sa desisyon ang:
    * **Monetary Award:** Maaaring utusan ang employer na bayaran ang hindi pa nababayarang sahod at benepisyo, kasama ang posibleng mga parusa o interes. 
    * **Repatriation:** Sa malalang kaso, ang OFW ay maaaring pumili ng repatriation pabalik sa Pilipinas kung ang patuloy na pagtatrabaho ay itinuturing na hindi ligtas o hindi kapaki-pakinabang.
**Mga Karagdagang Pagsasaalang-alang:**
* **Mga Limitasyon sa Oras:** Maaaring may mga partikular na deadline para sa paghahain ng mga reklamo sa POEA o POLO. Huwag mag-antala sa paghingi ng tulong.
* **Pagtitipon ng Ebidensya:** Napakahalaga ng matibay na ebidensya. Magtago ng mga kopya ng mga kontrata sa pagtatrabaho, mga payslip, mga talaan ng komunikasyon sa employer tungkol sa hindi nabayarang sahod, at anumang mga testimonya ng saksi (kung naaangkop).
* **Legal na Representasyon:** Habang nag-aalok ang POLO ng legal na tulong sa ilang mga kaso, ang pagkonsulta sa isang abogado na dalubhasa sa mga alalahanin ng OFW ay maaaring maging kapaki-pakinabang para sa mga kumplikadong sitwasyon. 
* **Tulong ng Gobyerno:** Ang gobyerno ng Pilipinas, sa pamamagitan ng POEA at POLO, ay nagbibigay ng suporta sa mga OFW sa buong proseso ng paghahabol.
**Narito ang ilang mapagkukunan para sa mga OFW:**
* **Philippine Overseas Employment Administration (POEA):** [https://www.dmw.gov.ph/archives/default.html](https://www.dmw.gov.ph/archives/default.html )
* **Department of Foreign Affairs (DFA) - Philippine Embassy/Consulate Locator:** [https://dfa.gov.ph/](https://dfa.gov.ph/) (Locate your nearest POLO office)
**Tandaan, ito ay isang pangkalahatang pangkalahatang-ideya. Ang mga partikular na legal na proseso at timeline ay maaaring mag-iba depende sa host country, ang halaga ng hindi nabayarang sahod na kasangkot, at ang pagkakaroon ng ebidensya.** Napakahalagang kumonsulta sa POLO at potensyal na isang abogado upang maunawaan ang pinakamabisang paraan ng pagkilos para mabawi ang hindi nabayarang bayad. sahod o benepisyo.
</v>
      </c>
      <c r="F2942" s="2">
        <f t="shared" si="1"/>
        <v>0</v>
      </c>
      <c r="G2942" s="2"/>
      <c r="H2942" s="2"/>
      <c r="I2942" s="2"/>
      <c r="J2942" s="2"/>
      <c r="K2942" s="2"/>
      <c r="L2942" s="2"/>
      <c r="M2942" s="2"/>
      <c r="N2942" s="2"/>
      <c r="O2942" s="2"/>
      <c r="P2942" s="2"/>
      <c r="Q2942" s="2"/>
      <c r="R2942" s="2"/>
      <c r="S2942" s="2"/>
      <c r="T2942" s="2"/>
      <c r="U2942" s="2"/>
      <c r="V2942" s="2"/>
      <c r="W2942" s="2"/>
      <c r="X2942" s="2"/>
      <c r="Y2942" s="2"/>
      <c r="Z2942" s="2"/>
      <c r="AA2942" s="2"/>
    </row>
    <row r="2943">
      <c r="A2943" s="3" t="s">
        <v>6842</v>
      </c>
      <c r="B2943" s="1" t="s">
        <v>6861</v>
      </c>
      <c r="C2943" s="3" t="s">
        <v>6862</v>
      </c>
      <c r="D2943" s="2" t="str">
        <f>IFERROR(__xludf.DUMMYFUNCTION("GOOGLETRANSLATE(B2943, ""en"", ""TL"")"),"Ano ang mga legal na implikasyon para sa isang OFW na lumampas sa kanilang visa sa kanilang host country?")</f>
        <v>Ano ang mga legal na implikasyon para sa isang OFW na lumampas sa kanilang visa sa kanilang host country?</v>
      </c>
      <c r="E2943" s="2" t="str">
        <f>IFERROR(__xludf.DUMMYFUNCTION("GOOGLETRANSLATE(C2943, ""en"", ""TL"")"),"Ang sobrang pananatili ng visa sa ibang bansa ay maaaring magkaroon ng malubhang legal na epekto para sa isang overseas Filipino worker (OFW). Ang mga partikular na kahihinatnan ay depende sa mga batas ng host country, ngunit sa pangkalahatan, maaari nila"&amp;"ng kasama ang:
* **Pagkulong at deportasyon:** Ang pinaka-kaagad na kahihinatnan ay ang pagkulong ng mga awtoridad sa imigrasyon at pagpapaalis sa bansa. Ito ay maaaring maging isang mahaba at hindi maginhawang proseso, at ang OFW ay maaaring hadlangan"&amp;" sa muling pagpasok sa bansa para sa isang tiyak na panahon.
* **Mga multa:** Maaaring pagmultahin ang OFW dahil sa labis na pananatili ng kanilang visa. Mag-iiba-iba ang halaga ng multa depende sa host country at sa tagal ng overstay ng OFW.
* **Mga ka"&amp;"song kriminal:** Sa ilang mga kaso, ang pag-overstay sa visa ay maaaring ituring na isang kriminal na pagkakasala. Maaari itong humantong sa oras ng pagkakakulong, isang kriminal na rekord, at kahirapan sa pagkuha ng mga visa para sa ibang mga bansa sa hi"&amp;"naharap.
* **Mga kahirapan sa pag-renew ng mga visa sa hinaharap:** Ang isang overstayed na visa ay maaaring magpahirap sa pagkuha ng mga visa para sa ibang mga bansa sa hinaharap, kabilang ang pagbabalik sa Pilipinas.
**Mga Batas ng Pilipinas**
Ba"&amp;"gama't hindi direktang makakaapekto ang batas ng Pilipinas sa pagpapatupad ng mga regulasyon sa visa ng ibang bansa, may mga batas sa Pilipinas na maaaring magbigay ng tulong sa mga OFW sa mga ganitong sitwasyon:
* **Republic Act No. 8042, Migrant Work"&amp;"ers and Overseas Filipinos Act of 1995:** Ang batas na ito ay nagtatatag ng komprehensibong balangkas para sa proteksyon at pagtataguyod ng kapakanan ng mga migranteng manggagawa at kanilang mga pamilya. Kabilang dito ang mga probisyon sa pagtulong sa mga"&amp;" OFW na nakakaranas ng mga problema sa mga awtoridad ng kanilang host country, kabilang ang mga isyu sa visa.
* **Department of Labor and Employment (DOLE):** Ang DOLE ay mayroong Philippine Overseas Labor Offices (POLO) na matatagpuan sa maraming bansa."&amp;" Ang mga tanggapang ito ay maaaring magbigay ng tulong sa mga OFW na nahaharap sa kahirapan, kasama na ang mga lumampas sa kanilang visa. 
**Mga Rekomendasyon**
Kung ikaw ay isang OFW na nag-overstay sa iyong visa, mahalagang humingi ng legal na pay"&amp;"o mula sa isang abogadong pamilyar sa mga batas ng iyong host country. Maaari ka nilang payuhan ng iyong mga opsyon at tulungan kang mag-navigate sa legal na proseso. Maaari ka ring makipag-ugnayan sa iyong pinakamalapit na tanggapan ng POLO para sa tulon"&amp;"g.
Narito ang ilang karagdagang tip:
* **Huwag umalis ng bansa nang walang wastong dokumentasyon:** Maaari nitong maging mas mahirap ang muling pagpasok sa bansa sa hinaharap.
* **Maging tapat sa mga awtoridad sa imigrasyon:** Kung nahuli kang luma"&amp;"mpas sa iyong visa, makipagtulungan sa mga awtoridad sa imigrasyon at maging tapat sa iyong sitwasyon.
* **Panatilihin ang dokumentasyon:** Panatilihin ang mga kopya ng lahat ng iyong mga dokumento sa imigrasyon, kabilang ang iyong pasaporte, visa, at an"&amp;"umang mga order ng pag-alis.
Tandaan, ito ay isang pangkalahatang pangkalahatang-ideya lamang, at ang mga partikular na legal na implikasyon ay mag-iiba depende sa host country. Laging pinakamahusay na kumunsulta sa isang kwalipikadong propesyonal para"&amp;" sa partikular na legal na payo.")</f>
        <v>Ang sobrang pananatili ng visa sa ibang bansa ay maaaring magkaroon ng malubhang legal na epekto para sa isang overseas Filipino worker (OFW). Ang mga partikular na kahihinatnan ay depende sa mga batas ng host country, ngunit sa pangkalahatan, maaari nilang kasama ang:
* **Pagkulong at deportasyon:** Ang pinaka-kaagad na kahihinatnan ay ang pagkulong ng mga awtoridad sa imigrasyon at pagpapaalis sa bansa. Ito ay maaaring maging isang mahaba at hindi maginhawang proseso, at ang OFW ay maaaring hadlangan sa muling pagpasok sa bansa para sa isang tiyak na panahon.
* **Mga multa:** Maaaring pagmultahin ang OFW dahil sa labis na pananatili ng kanilang visa. Mag-iiba-iba ang halaga ng multa depende sa host country at sa tagal ng overstay ng OFW.
* **Mga kasong kriminal:** Sa ilang mga kaso, ang pag-overstay sa visa ay maaaring ituring na isang kriminal na pagkakasala. Maaari itong humantong sa oras ng pagkakakulong, isang kriminal na rekord, at kahirapan sa pagkuha ng mga visa para sa ibang mga bansa sa hinaharap.
* **Mga kahirapan sa pag-renew ng mga visa sa hinaharap:** Ang isang overstayed na visa ay maaaring magpahirap sa pagkuha ng mga visa para sa ibang mga bansa sa hinaharap, kabilang ang pagbabalik sa Pilipinas.
**Mga Batas ng Pilipinas**
Bagama't hindi direktang makakaapekto ang batas ng Pilipinas sa pagpapatupad ng mga regulasyon sa visa ng ibang bansa, may mga batas sa Pilipinas na maaaring magbigay ng tulong sa mga OFW sa mga ganitong sitwasyon:
* **Republic Act No. 8042, Migrant Workers and Overseas Filipinos Act of 1995:** Ang batas na ito ay nagtatatag ng komprehensibong balangkas para sa proteksyon at pagtataguyod ng kapakanan ng mga migranteng manggagawa at kanilang mga pamilya. Kabilang dito ang mga probisyon sa pagtulong sa mga OFW na nakakaranas ng mga problema sa mga awtoridad ng kanilang host country, kabilang ang mga isyu sa visa.
* **Department of Labor and Employment (DOLE):** Ang DOLE ay mayroong Philippine Overseas Labor Offices (POLO) na matatagpuan sa maraming bansa. Ang mga tanggapang ito ay maaaring magbigay ng tulong sa mga OFW na nahaharap sa kahirapan, kasama na ang mga lumampas sa kanilang visa. 
**Mga Rekomendasyon**
Kung ikaw ay isang OFW na nag-overstay sa iyong visa, mahalagang humingi ng legal na payo mula sa isang abogadong pamilyar sa mga batas ng iyong host country. Maaari ka nilang payuhan ng iyong mga opsyon at tulungan kang mag-navigate sa legal na proseso. Maaari ka ring makipag-ugnayan sa iyong pinakamalapit na tanggapan ng POLO para sa tulong.
Narito ang ilang karagdagang tip:
* **Huwag umalis ng bansa nang walang wastong dokumentasyon:** Maaari nitong maging mas mahirap ang muling pagpasok sa bansa sa hinaharap.
* **Maging tapat sa mga awtoridad sa imigrasyon:** Kung nahuli kang lumampas sa iyong visa, makipagtulungan sa mga awtoridad sa imigrasyon at maging tapat sa iyong sitwasyon.
* **Panatilihin ang dokumentasyon:** Panatilihin ang mga kopya ng lahat ng iyong mga dokumento sa imigrasyon, kabilang ang iyong pasaporte, visa, at anumang mga order ng pag-alis.
Tandaan, ito ay isang pangkalahatang pangkalahatang-ideya lamang, at ang mga partikular na legal na implikasyon ay mag-iiba depende sa host country. Laging pinakamahusay na kumunsulta sa isang kwalipikadong propesyonal para sa partikular na legal na payo.</v>
      </c>
      <c r="F2943" s="2">
        <f t="shared" si="1"/>
        <v>0</v>
      </c>
      <c r="G2943" s="2"/>
      <c r="H2943" s="2"/>
      <c r="I2943" s="2"/>
      <c r="J2943" s="2"/>
      <c r="K2943" s="2"/>
      <c r="L2943" s="2"/>
      <c r="M2943" s="2"/>
      <c r="N2943" s="2"/>
      <c r="O2943" s="2"/>
      <c r="P2943" s="2"/>
      <c r="Q2943" s="2"/>
      <c r="R2943" s="2"/>
      <c r="S2943" s="2"/>
      <c r="T2943" s="2"/>
      <c r="U2943" s="2"/>
      <c r="V2943" s="2"/>
      <c r="W2943" s="2"/>
      <c r="X2943" s="2"/>
      <c r="Y2943" s="2"/>
      <c r="Z2943" s="2"/>
      <c r="AA2943" s="2"/>
    </row>
    <row r="2944">
      <c r="A2944" s="3" t="s">
        <v>6842</v>
      </c>
      <c r="B2944" s="1" t="s">
        <v>6863</v>
      </c>
      <c r="C2944" s="3" t="s">
        <v>6864</v>
      </c>
      <c r="D2944" s="2" t="str">
        <f>IFERROR(__xludf.DUMMYFUNCTION("GOOGLETRANSLATE(B2944, ""en"", ""TL"")"),"Maaari bang magtalaga ang isang OFW ng isang legal na kinatawan sa Pilipinas para humawak sa kanilang mga gawain habang sila ay nasa ibang bansa?")</f>
        <v>Maaari bang magtalaga ang isang OFW ng isang legal na kinatawan sa Pilipinas para humawak sa kanilang mga gawain habang sila ay nasa ibang bansa?</v>
      </c>
      <c r="E2944" s="2" t="str">
        <f>IFERROR(__xludf.DUMMYFUNCTION("GOOGLETRANSLATE(C2944, ""en"", ""TL"")"),"Oo, ang isang OFW ay maaaring magtalaga ng isang legal na kinatawan sa Pilipinas upang hawakan ang kanilang mga gawain habang sila ay nasa ibang bansa. Ginagawa ito sa pamamagitan ng Special Power of Attorney (SPA).
**Batas ng Pilipinas**
Walang par"&amp;"tikular na batas sa Konstitusyon ng Pilipinas o Republic Acts na nakatuon lamang sa mga OFW na nagtatalaga ng mga legal na kinatawan. Gayunpaman, ang legal na balangkas para sa Espesyal na Kapangyarihan ng Abugado (SPA) ay mahusay na naitatag.
* **Civi"&amp;"l Code of the Philippines (Artikulo 1873):** Ang artikulong ito ng Civil Code ay nagbibigay ng legal na batayan para sa Special Power of Attorney. Tinutukoy nito ang isang SPA at binabalangkas ang mga pormalidad para sa paglikha nito.
**Paano Gumagana "&amp;"ang Special Power of Attorney**
Ang SPA ay isang legal na dokumento na nagpapahintulot sa isang pinagkakatiwalaang tao (ang abogado-sa-katotohanan) na kumilos sa ngalan ng OFW (ang prinsipal) para sa mga partikular na layunin.  Ang SPA ay maaaring pang"&amp;"kalahatan, na nagbibigay ng malawak na awtoridad na pangasiwaan ang iba't ibang mga gawain, o espesyal, na naglilimita sa awtoridad sa mga partikular na gawain.
**Mga Karaniwang Paggamit ng SPA para sa mga OFW**
* Pamamahala ng pananalapi: Pagkolekt"&amp;"a ng upa, pagbabayad ng mga bayarin, pamumuhunan ng pera.
* Pangangasiwa ng real estate: Pagbili, pagbebenta, o pamamahala ng ari-arian.
* Kinakatawan ang OFW sa mga legal na usapin: Dumalo sa mga pagdinig sa korte, pumirma ng mga kontrata.
* Pag-renew"&amp;" ng mga government ID at pasaporte (maaaring may mga limitasyon)
**Mahahalagang Pagsasaalang-alang**
* **Malinaw na tukuyin ang saklaw ng awtoridad:** Dapat malinaw na balangkasin ng SPA ang mga partikular na gawain na awtorisadong gampanan ng aboga"&amp;"do. 
* **Pumili ng mapagkakatiwalaang kinatawan:** Pumili ng taong lubos mong pinagkakatiwalaan upang pangasiwaan ang iyong mga gawain nang responsable.
* **Notarization:** Ang SPA ay dapat na notarized ng isang Philippine notary public o isang Philippi"&amp;"ne embassy o consulate official sa ibang bansa.
**Rekomendasyon**
Bagama't ang isang SPA ay isang kapaki-pakinabang na tool, inirerekumenda na kumunsulta sa isang abogado ng Pilipinas upang matiyak na ang SPA ay maayos na nabalangkas at matugunan an"&amp;"g iyong mga partikular na pangangailangan. Maaari ka nilang payuhan sa uri ng SPA na kinakailangan, mga kinakailangang pagsasama, at mga potensyal na limitasyon.
")</f>
        <v>Oo, ang isang OFW ay maaaring magtalaga ng isang legal na kinatawan sa Pilipinas upang hawakan ang kanilang mga gawain habang sila ay nasa ibang bansa. Ginagawa ito sa pamamagitan ng Special Power of Attorney (SPA).
**Batas ng Pilipinas**
Walang partikular na batas sa Konstitusyon ng Pilipinas o Republic Acts na nakatuon lamang sa mga OFW na nagtatalaga ng mga legal na kinatawan. Gayunpaman, ang legal na balangkas para sa Espesyal na Kapangyarihan ng Abugado (SPA) ay mahusay na naitatag.
* **Civil Code of the Philippines (Artikulo 1873):** Ang artikulong ito ng Civil Code ay nagbibigay ng legal na batayan para sa Special Power of Attorney. Tinutukoy nito ang isang SPA at binabalangkas ang mga pormalidad para sa paglikha nito.
**Paano Gumagana ang Special Power of Attorney**
Ang SPA ay isang legal na dokumento na nagpapahintulot sa isang pinagkakatiwalaang tao (ang abogado-sa-katotohanan) na kumilos sa ngalan ng OFW (ang prinsipal) para sa mga partikular na layunin.  Ang SPA ay maaaring pangkalahatan, na nagbibigay ng malawak na awtoridad na pangasiwaan ang iba't ibang mga gawain, o espesyal, na naglilimita sa awtoridad sa mga partikular na gawain.
**Mga Karaniwang Paggamit ng SPA para sa mga OFW**
* Pamamahala ng pananalapi: Pagkolekta ng upa, pagbabayad ng mga bayarin, pamumuhunan ng pera.
* Pangangasiwa ng real estate: Pagbili, pagbebenta, o pamamahala ng ari-arian.
* Kinakatawan ang OFW sa mga legal na usapin: Dumalo sa mga pagdinig sa korte, pumirma ng mga kontrata.
* Pag-renew ng mga government ID at pasaporte (maaaring may mga limitasyon)
**Mahahalagang Pagsasaalang-alang**
* **Malinaw na tukuyin ang saklaw ng awtoridad:** Dapat malinaw na balangkasin ng SPA ang mga partikular na gawain na awtorisadong gampanan ng abogado. 
* **Pumili ng mapagkakatiwalaang kinatawan:** Pumili ng taong lubos mong pinagkakatiwalaan upang pangasiwaan ang iyong mga gawain nang responsable.
* **Notarization:** Ang SPA ay dapat na notarized ng isang Philippine notary public o isang Philippine embassy o consulate official sa ibang bansa.
**Rekomendasyon**
Bagama't ang isang SPA ay isang kapaki-pakinabang na tool, inirerekumenda na kumunsulta sa isang abogado ng Pilipinas upang matiyak na ang SPA ay maayos na nabalangkas at matugunan ang iyong mga partikular na pangangailangan. Maaari ka nilang payuhan sa uri ng SPA na kinakailangan, mga kinakailangang pagsasama, at mga potensyal na limitasyon.
</v>
      </c>
      <c r="F2944" s="2">
        <f t="shared" si="1"/>
        <v>0</v>
      </c>
      <c r="G2944" s="2"/>
      <c r="H2944" s="2"/>
      <c r="I2944" s="2"/>
      <c r="J2944" s="2"/>
      <c r="K2944" s="2"/>
      <c r="L2944" s="2"/>
      <c r="M2944" s="2"/>
      <c r="N2944" s="2"/>
      <c r="O2944" s="2"/>
      <c r="P2944" s="2"/>
      <c r="Q2944" s="2"/>
      <c r="R2944" s="2"/>
      <c r="S2944" s="2"/>
      <c r="T2944" s="2"/>
      <c r="U2944" s="2"/>
      <c r="V2944" s="2"/>
      <c r="W2944" s="2"/>
      <c r="X2944" s="2"/>
      <c r="Y2944" s="2"/>
      <c r="Z2944" s="2"/>
      <c r="AA2944" s="2"/>
    </row>
    <row r="2945">
      <c r="A2945" s="3" t="s">
        <v>6842</v>
      </c>
      <c r="B2945" s="1" t="s">
        <v>6865</v>
      </c>
      <c r="C2945" s="3" t="s">
        <v>6866</v>
      </c>
      <c r="D2945" s="2" t="str">
        <f>IFERROR(__xludf.DUMMYFUNCTION("GOOGLETRANSLATE(B2945, ""en"", ""TL"")"),"Sa ilalim ng batas ng Pilipinas, ano ang mga parusa sa illegal recruitment ng mga OFW?")</f>
        <v>Sa ilalim ng batas ng Pilipinas, ano ang mga parusa sa illegal recruitment ng mga OFW?</v>
      </c>
      <c r="E2945" s="2" t="str">
        <f>IFERROR(__xludf.DUMMYFUNCTION("GOOGLETRANSLATE(C2945, ""en"", ""TL"")"),"Ang mga parusa para sa iligal na recruitment ng mga OFW sa Pilipinas ay nakabalangkas sa Republic Act No. 10022, na kilala rin bilang ""An Act to Prevent and Penalize Illegal Recruitment Activities and to Protect Filipino Migrant Workers for Employment Ab"&amp;"road.""
Narito ang isang breakdown ng mga parusa batay sa Batas:
* **Ilegal na Recruitment:**
    * **Pagkulong:** Hindi bababa sa labindalawang (12) taon at isang (1) araw ngunit hindi hihigit sa dalawampung (20) taon [Seksyon 6(a)]
    * **Fine:"&amp;"** Hindi bababa sa Isang milyong piso (P1,000,000.00) o higit sa Dalawang milyong piso (P2,000,000.00) [Seksyon 6(a)]
**Mataas na Parusa**
Ang batas ay nagpapataw ng mas matinding parusa sa ilalim ng mga sumusunod na pangyayari:
* **Maximum na pa"&amp;"rusa ang nalalapat** kung ang iligal na recruit na tao ay:
    * Wala pang labingwalong (18) taong gulang [Seksyon 6(a)]
    * Kinuha ng isang hindi lisensyado o hindi may hawak ng awtoridad [Seksyon 6(a)]
* **Economic Sabotage:** Kung ang ilegal na re"&amp;"cruitment ay ginawa ng isang grupo ng tatlo (3) o higit pang mga tao na nagsasabwatan sa isa't isa O nakagawa laban sa tatlo (3) o higit pang mga tao, ito ay itinuturing na economic sabotage. Ang parusa para dito ay:
    * **Habambuhay na pagkakakulong**"&amp;" [Seksyon 6(b)]
    * **Fine:** Hindi bababa sa Dalawang milyong piso (P2,000,000.00) o higit sa Limang milyong piso (P5,000,000.00) [Seksyon 6(b)]
* **Pagpapatalsik:** Bilang karagdagan sa mga parusa, kung ang nagkasala ay isang dayuhan (hindi isang ma"&amp;"mamayang Pilipino), sila ay ipapatapon nang walang karagdagang paglilitis [Seksyon 6(a)]
**Iba pang mga Ipinagbabawal na Gawa**
Pinaparusahan din ng batas ang iba pang ipinagbabawal na gawaing may kaugnayan sa illegal recruitment, tulad ng pag-aatas"&amp;" sa isang OFW na:
* Mag-avail ng pautang, pagsasanay, o sumailalim sa mga pagsusuri sa kalusugan mula sa mga partikular na tao, entity, o klinika [Seksyon 5(j)]
Ang mga gawaing ito ay may parusang:
* **Pagkulong:** Hindi bababa sa anim (6) na tao"&amp;"n at isang (1) araw ngunit hindi hihigit sa labindalawang (12) taon [Seksyon 8(a)]
* **Fine:** Hindi bababa sa Limang daang libong piso (P500,000.00) o higit sa Isang milyong piso (P1,000,000.00) [Seksyon 8(a)]
**Mga Rekomendasyon**
Kung pinaghihin"&amp;"alaan mo ang aktibidad ng ilegal na pangangalap, maaari mo itong iulat sa Philippine Overseas Employment Administration (POEA). Sila ang may pananagutan sa pagpapatupad ng Republic Act No. 10022 at pagprotekta sa mga OFW mula sa mga illegal recruitment pr"&amp;"actices.
")</f>
        <v>Ang mga parusa para sa iligal na recruitment ng mga OFW sa Pilipinas ay nakabalangkas sa Republic Act No. 10022, na kilala rin bilang "An Act to Prevent and Penalize Illegal Recruitment Activities and to Protect Filipino Migrant Workers for Employment Abroad."
Narito ang isang breakdown ng mga parusa batay sa Batas:
* **Ilegal na Recruitment:**
    * **Pagkulong:** Hindi bababa sa labindalawang (12) taon at isang (1) araw ngunit hindi hihigit sa dalawampung (20) taon [Seksyon 6(a)]
    * **Fine:** Hindi bababa sa Isang milyong piso (P1,000,000.00) o higit sa Dalawang milyong piso (P2,000,000.00) [Seksyon 6(a)]
**Mataas na Parusa**
Ang batas ay nagpapataw ng mas matinding parusa sa ilalim ng mga sumusunod na pangyayari:
* **Maximum na parusa ang nalalapat** kung ang iligal na recruit na tao ay:
    * Wala pang labingwalong (18) taong gulang [Seksyon 6(a)]
    * Kinuha ng isang hindi lisensyado o hindi may hawak ng awtoridad [Seksyon 6(a)]
* **Economic Sabotage:** Kung ang ilegal na recruitment ay ginawa ng isang grupo ng tatlo (3) o higit pang mga tao na nagsasabwatan sa isa't isa O nakagawa laban sa tatlo (3) o higit pang mga tao, ito ay itinuturing na economic sabotage. Ang parusa para dito ay:
    * **Habambuhay na pagkakakulong** [Seksyon 6(b)]
    * **Fine:** Hindi bababa sa Dalawang milyong piso (P2,000,000.00) o higit sa Limang milyong piso (P5,000,000.00) [Seksyon 6(b)]
* **Pagpapatalsik:** Bilang karagdagan sa mga parusa, kung ang nagkasala ay isang dayuhan (hindi isang mamamayang Pilipino), sila ay ipapatapon nang walang karagdagang paglilitis [Seksyon 6(a)]
**Iba pang mga Ipinagbabawal na Gawa**
Pinaparusahan din ng batas ang iba pang ipinagbabawal na gawaing may kaugnayan sa illegal recruitment, tulad ng pag-aatas sa isang OFW na:
* Mag-avail ng pautang, pagsasanay, o sumailalim sa mga pagsusuri sa kalusugan mula sa mga partikular na tao, entity, o klinika [Seksyon 5(j)]
Ang mga gawaing ito ay may parusang:
* **Pagkulong:** Hindi bababa sa anim (6) na taon at isang (1) araw ngunit hindi hihigit sa labindalawang (12) taon [Seksyon 8(a)]
* **Fine:** Hindi bababa sa Limang daang libong piso (P500,000.00) o higit sa Isang milyong piso (P1,000,000.00) [Seksyon 8(a)]
**Mga Rekomendasyon**
Kung pinaghihinalaan mo ang aktibidad ng ilegal na pangangalap, maaari mo itong iulat sa Philippine Overseas Employment Administration (POEA). Sila ang may pananagutan sa pagpapatupad ng Republic Act No. 10022 at pagprotekta sa mga OFW mula sa mga illegal recruitment practices.
</v>
      </c>
      <c r="F2945" s="2">
        <f t="shared" si="1"/>
        <v>0</v>
      </c>
      <c r="G2945" s="2"/>
      <c r="H2945" s="2"/>
      <c r="I2945" s="2"/>
      <c r="J2945" s="2"/>
      <c r="K2945" s="2"/>
      <c r="L2945" s="2"/>
      <c r="M2945" s="2"/>
      <c r="N2945" s="2"/>
      <c r="O2945" s="2"/>
      <c r="P2945" s="2"/>
      <c r="Q2945" s="2"/>
      <c r="R2945" s="2"/>
      <c r="S2945" s="2"/>
      <c r="T2945" s="2"/>
      <c r="U2945" s="2"/>
      <c r="V2945" s="2"/>
      <c r="W2945" s="2"/>
      <c r="X2945" s="2"/>
      <c r="Y2945" s="2"/>
      <c r="Z2945" s="2"/>
      <c r="AA2945" s="2"/>
    </row>
    <row r="2946">
      <c r="A2946" s="3" t="s">
        <v>6842</v>
      </c>
      <c r="B2946" s="1" t="s">
        <v>6867</v>
      </c>
      <c r="C2946" s="3" t="s">
        <v>6868</v>
      </c>
      <c r="D2946" s="2" t="str">
        <f>IFERROR(__xludf.DUMMYFUNCTION("GOOGLETRANSLATE(B2946, ""en"", ""TL"")"),"Ano ang legal na recourse mayroon ang isang OFW kung ang kanilang employer sa ibang bansa ay hindi makapagbigay ng ligtas na kapaligiran sa pagtatrabaho?")</f>
        <v>Ano ang legal na recourse mayroon ang isang OFW kung ang kanilang employer sa ibang bansa ay hindi makapagbigay ng ligtas na kapaligiran sa pagtatrabaho?</v>
      </c>
      <c r="E2946" s="2" t="str">
        <f>IFERROR(__xludf.DUMMYFUNCTION("GOOGLETRANSLATE(C2946, ""en"", ""TL"")"),"Ang isang OFW na nahaharap sa isang hindi ligtas na kapaligiran sa pagtatrabaho sa ibang bansa ay may recourse sa ilalim ng batas ng Pilipinas at posibleng mga batas din ng host country. Narito ang isang breakdown ng ilang mga opsyon:
**Batas ng Pilipi"&amp;"nas**
* **Republic Act No. 8042 (Migrant Workers and Overseas Filipinos Act of 1995):** Pinoprotektahan ng batas na ito ang kapakanan ng mga OFW at kasama ang mga probisyon para sa paghahain ng mga reklamo tungkol sa hindi ligtas na mga kondisyon sa pa"&amp;"gtatrabaho. 
    * Maaari kang magsampa ng reklamo sa Philippine Overseas Employment Administration (POEA). Maaaring imbestigahan ng POEA ang reklamo at patawan ng sanction ang employer, kasama na ang pagkansela ng kanilang lisensya para mag-deploy ng mg"&amp;"a manggagawa.
**Pagkilos**
* **Dokumentasyon:** Magtipon ng ebidensya ng hindi ligtas na kapaligiran sa trabaho. Maaaring kabilang dito ang mga larawan, video, mga pahayag ng saksi, o mga medikal na rekord kung nasugatan. 
* **Mag-ulat sa Philippin"&amp;"e Embassy/Consulate:** Ipaalam sa pinakamalapit na embahada o konsulado ng Pilipinas ang tungkol sa sitwasyon. Maaari silang magbigay ng tulong at gabay sa paghahain ng reklamo sa POEA.
* **Mag-ulat sa Mga Lokal na Awtoridad (kung naaangkop):** Depende s"&amp;"a kalubhaan ng mga hindi ligtas na kundisyon at mga lokal na batas, isaalang-alang ang pag-uulat ng isyu sa mga awtoridad sa paggawa ng host country.
**Potensyal na Relief**
* **Repatriation:** Depende sa kalubhaan ng sitwasyon, ang POEA ay maaaring"&amp;" mag-utos ng iyong repatriation (bumalik sa Pilipinas) sa gastos ng employer.
* **Suweldo at Mga Benepisyo:** Maaaring may karapatan kang tumanggap ng hindi nabayarang mga suweldo, benepisyo, at kabayaran para sa mga pinsalang dulot ng hindi ligtas na ka"&amp;"paligiran sa pagtatrabaho.
* **Legal na Aksyon:** Sa ilang mga kaso, maaari kang magsagawa ng legal na aksyon laban sa iyong employer sa Pilipinas o sa host country (depende sa mga partikular na batas).
**Mga Karagdagang Pagsasaalang-alang**
* **Su"&amp;"riin ang iyong Kontrata sa Pagtatrabaho:** Suriin ang iyong kontrata para sa anumang mga probisyon tungkol sa mga kondisyon sa pagtatrabaho at mga mekanismo ng paglutas ng hindi pagkakaunawaan.
* **Humingi ng Legal na Payo:** Isaalang-alang ang pagkonsul"&amp;"ta sa isang abogadong pamilyar sa batas sa paggawa ng Pilipinas at sa mga batas ng host country. Maaari ka nilang payuhan sa pinakamahusay na paraan ng pagkilos batay sa iyong partikular na sitwasyon.
**Tandaan:** Ito ay isang pangkalahatang pangkalaha"&amp;"tang-ideya, at ang mga partikular na legal na opsyon at pamamaraan ay maaaring mag-iba depende sa mga pangyayari. Laging pinakamahusay na kumunsulta sa isang propesyonal para sa personalized na legal na payo.
")</f>
        <v>Ang isang OFW na nahaharap sa isang hindi ligtas na kapaligiran sa pagtatrabaho sa ibang bansa ay may recourse sa ilalim ng batas ng Pilipinas at posibleng mga batas din ng host country. Narito ang isang breakdown ng ilang mga opsyon:
**Batas ng Pilipinas**
* **Republic Act No. 8042 (Migrant Workers and Overseas Filipinos Act of 1995):** Pinoprotektahan ng batas na ito ang kapakanan ng mga OFW at kasama ang mga probisyon para sa paghahain ng mga reklamo tungkol sa hindi ligtas na mga kondisyon sa pagtatrabaho. 
    * Maaari kang magsampa ng reklamo sa Philippine Overseas Employment Administration (POEA). Maaaring imbestigahan ng POEA ang reklamo at patawan ng sanction ang employer, kasama na ang pagkansela ng kanilang lisensya para mag-deploy ng mga manggagawa.
**Pagkilos**
* **Dokumentasyon:** Magtipon ng ebidensya ng hindi ligtas na kapaligiran sa trabaho. Maaaring kabilang dito ang mga larawan, video, mga pahayag ng saksi, o mga medikal na rekord kung nasugatan. 
* **Mag-ulat sa Philippine Embassy/Consulate:** Ipaalam sa pinakamalapit na embahada o konsulado ng Pilipinas ang tungkol sa sitwasyon. Maaari silang magbigay ng tulong at gabay sa paghahain ng reklamo sa POEA.
* **Mag-ulat sa Mga Lokal na Awtoridad (kung naaangkop):** Depende sa kalubhaan ng mga hindi ligtas na kundisyon at mga lokal na batas, isaalang-alang ang pag-uulat ng isyu sa mga awtoridad sa paggawa ng host country.
**Potensyal na Relief**
* **Repatriation:** Depende sa kalubhaan ng sitwasyon, ang POEA ay maaaring mag-utos ng iyong repatriation (bumalik sa Pilipinas) sa gastos ng employer.
* **Suweldo at Mga Benepisyo:** Maaaring may karapatan kang tumanggap ng hindi nabayarang mga suweldo, benepisyo, at kabayaran para sa mga pinsalang dulot ng hindi ligtas na kapaligiran sa pagtatrabaho.
* **Legal na Aksyon:** Sa ilang mga kaso, maaari kang magsagawa ng legal na aksyon laban sa iyong employer sa Pilipinas o sa host country (depende sa mga partikular na batas).
**Mga Karagdagang Pagsasaalang-alang**
* **Suriin ang iyong Kontrata sa Pagtatrabaho:** Suriin ang iyong kontrata para sa anumang mga probisyon tungkol sa mga kondisyon sa pagtatrabaho at mga mekanismo ng paglutas ng hindi pagkakaunawaan.
* **Humingi ng Legal na Payo:** Isaalang-alang ang pagkonsulta sa isang abogadong pamilyar sa batas sa paggawa ng Pilipinas at sa mga batas ng host country. Maaari ka nilang payuhan sa pinakamahusay na paraan ng pagkilos batay sa iyong partikular na sitwasyon.
**Tandaan:** Ito ay isang pangkalahatang pangkalahatang-ideya, at ang mga partikular na legal na opsyon at pamamaraan ay maaaring mag-iba depende sa mga pangyayari. Laging pinakamahusay na kumunsulta sa isang propesyonal para sa personalized na legal na payo.
</v>
      </c>
      <c r="F2946" s="2">
        <f t="shared" si="1"/>
        <v>0</v>
      </c>
      <c r="G2946" s="2"/>
      <c r="H2946" s="2"/>
      <c r="I2946" s="2"/>
      <c r="J2946" s="2"/>
      <c r="K2946" s="2"/>
      <c r="L2946" s="2"/>
      <c r="M2946" s="2"/>
      <c r="N2946" s="2"/>
      <c r="O2946" s="2"/>
      <c r="P2946" s="2"/>
      <c r="Q2946" s="2"/>
      <c r="R2946" s="2"/>
      <c r="S2946" s="2"/>
      <c r="T2946" s="2"/>
      <c r="U2946" s="2"/>
      <c r="V2946" s="2"/>
      <c r="W2946" s="2"/>
      <c r="X2946" s="2"/>
      <c r="Y2946" s="2"/>
      <c r="Z2946" s="2"/>
      <c r="AA2946" s="2"/>
    </row>
    <row r="2947">
      <c r="A2947" s="3" t="s">
        <v>6842</v>
      </c>
      <c r="B2947" s="1" t="s">
        <v>6869</v>
      </c>
      <c r="C2947" s="3" t="s">
        <v>6870</v>
      </c>
      <c r="D2947" s="2" t="str">
        <f>IFERROR(__xludf.DUMMYFUNCTION("GOOGLETRANSLATE(B2947, ""en"", ""TL"")"),"Paano tinutugunan ng batas ng Pilipinas ang mga kaso ng human trafficking na kinasasangkutan ng mga OFW?")</f>
        <v>Paano tinutugunan ng batas ng Pilipinas ang mga kaso ng human trafficking na kinasasangkutan ng mga OFW?</v>
      </c>
      <c r="E2947" s="2" t="str">
        <f>IFERROR(__xludf.DUMMYFUNCTION("GOOGLETRANSLATE(C2947, ""en"", ""TL"")"),"Matibay ang paninindigan ng batas ng Pilipinas laban sa human trafficking, na may mga partikular na hakbang para protektahan ang mga OFW na bulnerable sa krimeng ito. Narito ang isang breakdown ng mga pangunahing legal na mapagkukunan:
**Republic Act N"&amp;"o. (RA) 9208, na sinususugan ng RA 10364: The Anti-Trafficking in Persons Act (ATIP Act)**
Ito ang pangunahing batas na tumutugon sa human trafficking sa Pilipinas. Tinutukoy nito ang trafficking, binabalangkas ang iba't ibang mga pagkakasala, at nagta"&amp;"takda ng kaukulang mga parusa. Narito kung paano ito nalalapat sa mga OFW:
* **Proteksyon para sa mga OFW:** Kinikilala ng Batas ang partikular na kahinaan ng mga OFW sa trafficking at nag-uutos sa mga ahensya ng gobyerno na bigyan sila ng mga espesyal"&amp;" na hakbang sa proteksyon. 
* **Mga Ipinagbabawal na Gawa:** Binabalangkas ng Batas ang iba't ibang gawain na bumubuo ng trafficking, kabilang ang:
    * Pagrekrut, transportasyon, pagkukulong o pagtanggap ng isang tao para sa layunin ng pagsasamantala,"&amp;" na maaaring kabilangan ng sapilitang paggawa, sekswal na pagsasamantala, pagkaalipin o pagtanggal ng organ.  
    * Paglalagay o paghawak sa isang tao sa isang sitwasyon ng kahinaan para sa layunin ng pagsasamantala.  
* **Mga Parusa:** Ang Batas ay na"&amp;"gsasaad ng matitinding parusa para sa mga paglabag sa trafficking, na may mas matinding parusa para sa trafficking ng mga bata. Maaaring kabilang sa mga parusa ang habambuhay na pagkakulong at mabigat na multa.
**Ibang Kaugnay na Batas**
* **RA No. "&amp;"8042: Migrant Workers and Overseas Filipinos Act:** Ang Batas na ito, kasama ng ATIP Act, ay nagpoprotekta sa mga OFW at nagbibigay ng mga mekanismo para sa paghahain ng mga reklamo kung makatagpo sila ng mga sitwasyon ng trafficking.
**Mga Ahensya ng "&amp;"Gobyerno**
* **Inter-Agency Council Against Trafficking (IACAT):** Ang katawan ng pamahalaan na ito ay nag-uugnay sa mga pagsisikap na labanan ang trafficking, kabilang ang pagbibigay ng tulong sa mga biktima.
* **Department of Justice (DOJ):** Ang DO"&amp;"J ay nag-iimbestiga at nag-uusig ng mga kaso ng trafficking.
* **Philippine Overseas Employment Administration (POEA):** Ang POEA ay gumaganap ng isang mahalagang papel sa pagprotekta sa mga OFW mula sa trafficking. Nagsasagawa sila ng mga pre-departure "&amp;"orientation seminars upang turuan ang mga OFW tungkol sa mga panganib sa trafficking at magbigay ng tulong sa mga nakatagpo ng mga ganitong sitwasyon sa ibang bansa.
**Paano Humingi ng Tulong**
Kung ikaw o isang taong kilala mo ay biktima ng traffic"&amp;"king, narito ang ilang mapagkukunan:
* **Mag-ulat sa Mga Awtoridad:** Makipag-ugnayan sa Philippine National Police (PNP), National Bureau of Investigation (NBI), o anumang ahensyang nagpapatupad ng batas. 
* **POEA:** Maaari mo ring iulat ang kaso sa"&amp;" POEA para sa tulong.
* **DFA at Philippine Embassies/Consulates:** Kung ikaw ay nasa ibang bansa, makipag-ugnayan sa pinakamalapit na embahada o konsulado ng Pilipinas para sa tulong.
**Tandaan:** Nag-aalok ang batas ng Pilipinas ng proteksyon at tul"&amp;"ong para sa mga OFW na biktima ng trafficking. Huwag mag-atubiling humingi ng tulong sa mga awtoridad o mga kaugnay na ahensya.
")</f>
        <v>Matibay ang paninindigan ng batas ng Pilipinas laban sa human trafficking, na may mga partikular na hakbang para protektahan ang mga OFW na bulnerable sa krimeng ito. Narito ang isang breakdown ng mga pangunahing legal na mapagkukunan:
**Republic Act No. (RA) 9208, na sinususugan ng RA 10364: The Anti-Trafficking in Persons Act (ATIP Act)**
Ito ang pangunahing batas na tumutugon sa human trafficking sa Pilipinas. Tinutukoy nito ang trafficking, binabalangkas ang iba't ibang mga pagkakasala, at nagtatakda ng kaukulang mga parusa. Narito kung paano ito nalalapat sa mga OFW:
* **Proteksyon para sa mga OFW:** Kinikilala ng Batas ang partikular na kahinaan ng mga OFW sa trafficking at nag-uutos sa mga ahensya ng gobyerno na bigyan sila ng mga espesyal na hakbang sa proteksyon. 
* **Mga Ipinagbabawal na Gawa:** Binabalangkas ng Batas ang iba't ibang gawain na bumubuo ng trafficking, kabilang ang:
    * Pagrekrut, transportasyon, pagkukulong o pagtanggap ng isang tao para sa layunin ng pagsasamantala, na maaaring kabilangan ng sapilitang paggawa, sekswal na pagsasamantala, pagkaalipin o pagtanggal ng organ.  
    * Paglalagay o paghawak sa isang tao sa isang sitwasyon ng kahinaan para sa layunin ng pagsasamantala.  
* **Mga Parusa:** Ang Batas ay nagsasaad ng matitinding parusa para sa mga paglabag sa trafficking, na may mas matinding parusa para sa trafficking ng mga bata. Maaaring kabilang sa mga parusa ang habambuhay na pagkakulong at mabigat na multa.
**Ibang Kaugnay na Batas**
* **RA No. 8042: Migrant Workers and Overseas Filipinos Act:** Ang Batas na ito, kasama ng ATIP Act, ay nagpoprotekta sa mga OFW at nagbibigay ng mga mekanismo para sa paghahain ng mga reklamo kung makatagpo sila ng mga sitwasyon ng trafficking.
**Mga Ahensya ng Gobyerno**
* **Inter-Agency Council Against Trafficking (IACAT):** Ang katawan ng pamahalaan na ito ay nag-uugnay sa mga pagsisikap na labanan ang trafficking, kabilang ang pagbibigay ng tulong sa mga biktima.
* **Department of Justice (DOJ):** Ang DOJ ay nag-iimbestiga at nag-uusig ng mga kaso ng trafficking.
* **Philippine Overseas Employment Administration (POEA):** Ang POEA ay gumaganap ng isang mahalagang papel sa pagprotekta sa mga OFW mula sa trafficking. Nagsasagawa sila ng mga pre-departure orientation seminars upang turuan ang mga OFW tungkol sa mga panganib sa trafficking at magbigay ng tulong sa mga nakatagpo ng mga ganitong sitwasyon sa ibang bansa.
**Paano Humingi ng Tulong**
Kung ikaw o isang taong kilala mo ay biktima ng trafficking, narito ang ilang mapagkukunan:
* **Mag-ulat sa Mga Awtoridad:** Makipag-ugnayan sa Philippine National Police (PNP), National Bureau of Investigation (NBI), o anumang ahensyang nagpapatupad ng batas. 
* **POEA:** Maaari mo ring iulat ang kaso sa POEA para sa tulong.
* **DFA at Philippine Embassies/Consulates:** Kung ikaw ay nasa ibang bansa, makipag-ugnayan sa pinakamalapit na embahada o konsulado ng Pilipinas para sa tulong.
**Tandaan:** Nag-aalok ang batas ng Pilipinas ng proteksyon at tulong para sa mga OFW na biktima ng trafficking. Huwag mag-atubiling humingi ng tulong sa mga awtoridad o mga kaugnay na ahensya.
</v>
      </c>
      <c r="F2947" s="2">
        <f t="shared" si="1"/>
        <v>0</v>
      </c>
      <c r="G2947" s="2"/>
      <c r="H2947" s="2"/>
      <c r="I2947" s="2"/>
      <c r="J2947" s="2"/>
      <c r="K2947" s="2"/>
      <c r="L2947" s="2"/>
      <c r="M2947" s="2"/>
      <c r="N2947" s="2"/>
      <c r="O2947" s="2"/>
      <c r="P2947" s="2"/>
      <c r="Q2947" s="2"/>
      <c r="R2947" s="2"/>
      <c r="S2947" s="2"/>
      <c r="T2947" s="2"/>
      <c r="U2947" s="2"/>
      <c r="V2947" s="2"/>
      <c r="W2947" s="2"/>
      <c r="X2947" s="2"/>
      <c r="Y2947" s="2"/>
      <c r="Z2947" s="2"/>
      <c r="AA2947" s="2"/>
    </row>
    <row r="2948">
      <c r="A2948" s="3" t="s">
        <v>6842</v>
      </c>
      <c r="B2948" s="1" t="s">
        <v>6871</v>
      </c>
      <c r="C2948" s="3" t="s">
        <v>6872</v>
      </c>
      <c r="D2948" s="2" t="str">
        <f>IFERROR(__xludf.DUMMYFUNCTION("GOOGLETRANSLATE(B2948, ""en"", ""TL"")"),"Makaka-avail pa ba ang isang OFW ng Philippine social security benefits habang nagtatrabaho sa ibang bansa?")</f>
        <v>Makaka-avail pa ba ang isang OFW ng Philippine social security benefits habang nagtatrabaho sa ibang bansa?</v>
      </c>
      <c r="E2948" s="2" t="str">
        <f>IFERROR(__xludf.DUMMYFUNCTION("GOOGLETRANSLATE(C2948, ""en"", ""TL"")"),"Oo, ang isang OFW ay maaari pa ring mag-avail ng mga benepisyo ng Philippine Social Security (SSS) habang nagtatrabaho sa ibang bansa sa ilalim ng programang tinatawag na **Voluntary Membership**. Ang programang ito ay nagbibigay-daan sa mga OFW na magpat"&amp;"uloy sa pag-aambag sa SSS at maging karapat-dapat para sa mga benepisyo sa hinaharap kapag umabot sa edad ng pagreretiro o nakatagpo ng ilang mga kwalipikadong kaganapan.
Narito ang isang breakdown ng programa batay sa batas ng Pilipinas:
* **Republ"&amp;"ic Act No. 11199:** Ang Batas na ito ay nag-uutos ng compulsory SSS coverage para sa lahat ng sea-based at land-based na OFW, hindi hihigit sa 60 taong gulang. Pinapayagan din nito ang boluntaryong membership para sa mga nagpasyang magpatuloy sa pag-aamba"&amp;"g.
* **SSS Rules and Regulations:** Isinasaad ng mga regulasyong ito ang mga partikular na kinakailangan at pamamaraan para sa boluntaryong membership ng OFW.
**Mga Benepisyo ng Voluntary SSS Membership para sa mga OFW**
Sa pamamagitan ng pagpapatu"&amp;"loy ng mga kontribusyon sa SSS, ang mga OFW ay nagiging karapat-dapat sa iba't ibang benepisyo kapag naging kwalipikado, kabilang ang:
* **Mga benepisyo sa pagreretiro:** Sa pag-abot sa edad ng pagreretiro (60 o 65 taong gulang, depende sa napiling pro"&amp;"grama)
* **Mga benepisyo sa kapansanan:** Kung may kapansanan dahil sa pagkakasakit o aksidenteng nauugnay sa trabaho
* **Mga benepisyo sa pagkakasakit:** Kung sakaling magkasakit
* **Maternity benefits:** Para sa mga babaeng OFW
* **Death benefits:**"&amp;" Para sa mga benepisyaryo kung sakaling mamatay ang OFW
* **Mga benepisyo sa pautang:** Mga panandaliang pautang sa miyembro at pautang sa pabahay (nakabatay sa pagtugon sa mga partikular na kinakailangan)
**Paano Mag-avail ng Voluntary SSS Membership"&amp;"**
* **Pagpaparehistro:** Ang mga OFW ay maaaring magparehistro para sa boluntaryong membership sa alinmang sangay ng SSS sa Pilipinas o sa pamamagitan ng mga itinalagang partner sa ibang bansa. 
* **Kontribusyon:** Maaaring piliin ng mga miyembro ang"&amp;" kanilang halaga at iskedyul ng kontribusyon (buwan-buwan, quarterly, semi-taon, o taun-taon). Ang mga kontribusyon ay maaaring gawin sa pamamagitan ng iba't ibang mga channel, kabilang ang mga awtorisadong dayuhang bangko at remittance center.
**Mahah"&amp;"alagang Pagsasaalang-alang**
* **Ang mga benepisyo ay nakabatay sa mga kontribusyon:** Ang halaga at uri ng mga benepisyong matatanggap ay depende sa kabuuang kontribusyon na ginawa at ang partikular na programang napili.
* **Pagiging napapanahon ng m"&amp;"ga kontribusyon:** Para sa napapanahong pag-avail ng mga benepisyo, ang mga kontribusyon ay dapat na gawing napapanahon o sa loob ng pinapayagang palugit.
**Para sa Karagdagang Impormasyon**
* Maaari mong bisitahin ang website ng SSS ([https://www.s"&amp;"ss.gov.ph/](https://www.sss.gov.ph/)) para sa detalyadong impormasyon sa OFW voluntary membership, kasama ang registration forms, kontribusyon channel, at pagkalkula ng benepisyo.
* Ang Philippine Overseas Labor Offices (POLO) na matatagpuan sa maraming "&amp;"bansa ay maaari ding magbigay ng tulong sa mga OFW tungkol sa SSS membership.
")</f>
        <v>Oo, ang isang OFW ay maaari pa ring mag-avail ng mga benepisyo ng Philippine Social Security (SSS) habang nagtatrabaho sa ibang bansa sa ilalim ng programang tinatawag na **Voluntary Membership**. Ang programang ito ay nagbibigay-daan sa mga OFW na magpatuloy sa pag-aambag sa SSS at maging karapat-dapat para sa mga benepisyo sa hinaharap kapag umabot sa edad ng pagreretiro o nakatagpo ng ilang mga kwalipikadong kaganapan.
Narito ang isang breakdown ng programa batay sa batas ng Pilipinas:
* **Republic Act No. 11199:** Ang Batas na ito ay nag-uutos ng compulsory SSS coverage para sa lahat ng sea-based at land-based na OFW, hindi hihigit sa 60 taong gulang. Pinapayagan din nito ang boluntaryong membership para sa mga nagpasyang magpatuloy sa pag-aambag.
* **SSS Rules and Regulations:** Isinasaad ng mga regulasyong ito ang mga partikular na kinakailangan at pamamaraan para sa boluntaryong membership ng OFW.
**Mga Benepisyo ng Voluntary SSS Membership para sa mga OFW**
Sa pamamagitan ng pagpapatuloy ng mga kontribusyon sa SSS, ang mga OFW ay nagiging karapat-dapat sa iba't ibang benepisyo kapag naging kwalipikado, kabilang ang:
* **Mga benepisyo sa pagreretiro:** Sa pag-abot sa edad ng pagreretiro (60 o 65 taong gulang, depende sa napiling programa)
* **Mga benepisyo sa kapansanan:** Kung may kapansanan dahil sa pagkakasakit o aksidenteng nauugnay sa trabaho
* **Mga benepisyo sa pagkakasakit:** Kung sakaling magkasakit
* **Maternity benefits:** Para sa mga babaeng OFW
* **Death benefits:** Para sa mga benepisyaryo kung sakaling mamatay ang OFW
* **Mga benepisyo sa pautang:** Mga panandaliang pautang sa miyembro at pautang sa pabahay (nakabatay sa pagtugon sa mga partikular na kinakailangan)
**Paano Mag-avail ng Voluntary SSS Membership**
* **Pagpaparehistro:** Ang mga OFW ay maaaring magparehistro para sa boluntaryong membership sa alinmang sangay ng SSS sa Pilipinas o sa pamamagitan ng mga itinalagang partner sa ibang bansa. 
* **Kontribusyon:** Maaaring piliin ng mga miyembro ang kanilang halaga at iskedyul ng kontribusyon (buwan-buwan, quarterly, semi-taon, o taun-taon). Ang mga kontribusyon ay maaaring gawin sa pamamagitan ng iba't ibang mga channel, kabilang ang mga awtorisadong dayuhang bangko at remittance center.
**Mahahalagang Pagsasaalang-alang**
* **Ang mga benepisyo ay nakabatay sa mga kontribusyon:** Ang halaga at uri ng mga benepisyong matatanggap ay depende sa kabuuang kontribusyon na ginawa at ang partikular na programang napili.
* **Pagiging napapanahon ng mga kontribusyon:** Para sa napapanahong pag-avail ng mga benepisyo, ang mga kontribusyon ay dapat na gawing napapanahon o sa loob ng pinapayagang palugit.
**Para sa Karagdagang Impormasyon**
* Maaari mong bisitahin ang website ng SSS ([https://www.sss.gov.ph/](https://www.sss.gov.ph/)) para sa detalyadong impormasyon sa OFW voluntary membership, kasama ang registration forms, kontribusyon channel, at pagkalkula ng benepisyo.
* Ang Philippine Overseas Labor Offices (POLO) na matatagpuan sa maraming bansa ay maaari ding magbigay ng tulong sa mga OFW tungkol sa SSS membership.
</v>
      </c>
      <c r="F2948" s="2">
        <f t="shared" si="1"/>
        <v>0</v>
      </c>
      <c r="G2948" s="2"/>
      <c r="H2948" s="2"/>
      <c r="I2948" s="2"/>
      <c r="J2948" s="2"/>
      <c r="K2948" s="2"/>
      <c r="L2948" s="2"/>
      <c r="M2948" s="2"/>
      <c r="N2948" s="2"/>
      <c r="O2948" s="2"/>
      <c r="P2948" s="2"/>
      <c r="Q2948" s="2"/>
      <c r="R2948" s="2"/>
      <c r="S2948" s="2"/>
      <c r="T2948" s="2"/>
      <c r="U2948" s="2"/>
      <c r="V2948" s="2"/>
      <c r="W2948" s="2"/>
      <c r="X2948" s="2"/>
      <c r="Y2948" s="2"/>
      <c r="Z2948" s="2"/>
      <c r="AA2948" s="2"/>
    </row>
    <row r="2949">
      <c r="A2949" s="3" t="s">
        <v>6842</v>
      </c>
      <c r="B2949" s="1" t="s">
        <v>6873</v>
      </c>
      <c r="C2949" s="3" t="s">
        <v>6874</v>
      </c>
      <c r="D2949" s="2" t="str">
        <f>IFERROR(__xludf.DUMMYFUNCTION("GOOGLETRANSLATE(B2949, ""en"", ""TL"")"),"Ano ang mga legal na karapatan ng isang OFW sa mga kaso ng diskriminasyon sa lugar ng trabaho o harassment sa ibang bansa?")</f>
        <v>Ano ang mga legal na karapatan ng isang OFW sa mga kaso ng diskriminasyon sa lugar ng trabaho o harassment sa ibang bansa?</v>
      </c>
      <c r="E2949" s="2" t="str">
        <f>IFERROR(__xludf.DUMMYFUNCTION("GOOGLETRANSLATE(C2949, ""en"", ""TL"")"),"Ang isang OFW na nahaharap sa diskriminasyon sa lugar ng trabaho o panliligalig sa ibang bansa ay may paraan sa ilalim ng batas ng Pilipinas, ngunit ang mga partikular na opsyon ay maaari ding depende sa legal na balangkas ng host country. Narito ang isan"&amp;"g breakdown ng mga legal na proteksyon ng Pilipinas at mga karagdagang pagsasaalang-alang:
**Batas ng Pilipinas**
* **Limitadong Direktang Aplikasyon:** Ang batas ng Pilipinas ay may limitadong direktang kapangyarihan sa pagpapatupad sa ibang bansa."&amp;" Gayunpaman, nagtatatag ito ng mga balangkas na maaaring makatulong sa mga OFW:
    * **Republic Act No. 8042 (Migrant Workers and Overseas Filipinos Act):** Pinoprotektahan ng Batas na ito ang mga karapatan at kapakanan ng mga OFW at kasama ang mga prob"&amp;"isyon sa paghahain ng mga reklamo tungkol sa mga hindi patas na gawi sa paggawa, na maaaring sumaklaw sa ilang uri ng diskriminasyon o panliligalig.
**Pagkilos**
* **Magtipon ng Ebidensya:** Idokumento ang mapang-diskrimina o panliligalig na gawi. M"&amp;"aaaring kabilang dito ang mga email, text message, pahayag ng saksi, o recording (kung pinahihintulutan ng lokal na batas).
* **Mag-ulat sa Philippine Embassy/Consulate:** Ipaalam sa pinakamalapit na embahada o konsulado ng Pilipinas ang tungkol sa sitwa"&amp;"syon. Maaari silang magbigay ng tulong at gabay, kabilang ang pagkonekta sa iyo sa mga nauugnay na serbisyo ng suporta. 
* **Mag-ulat sa Employer (kung posible):** Depende sa kalubhaan at antas ng iyong kaginhawaan, isaalang-alang ang pag-uulat ng isyu s"&amp;"a iyong tagapag-empleyo kasunod ng kanilang mga panloob na mekanismo (kung magagamit).
**Potensyal na Relief**
* **Tulong sa POEA:** Ang Philippine Overseas Employment Administration (POEA) ay maaaring makialam at makipag-ayos sa employer sa ngalan "&amp;"mo. 
* **Legal na Aksyon:** Sa ilang mga kaso, sa tulong ng POEA o isang abogado na pamilyar sa parehong mga batas ng Pilipinas at host country, maaari mong ituloy ang legal na aksyon laban sa iyong employer. 
* **Repatriation:** Bilang huling paraan, d"&amp;"epende sa kalubhaan ng sitwasyon, maaari kang humingi ng repatriation (bumalik sa Pilipinas) sa gastos ng employer.
**Mga Batas ng Host Country**
* **Mga Batas sa Paggawa:** Karamihan sa mga bansa ay may mga batas laban sa diskriminasyon at anti-har"&amp;"assment sa kanilang mga lugar ng trabaho.  Ang pag-unawa sa partikular na legal na framework ng host country ay napakahalaga. Maaaring makapagbigay ng gabay ang embahada o konsulado ng Pilipinas tungkol dito.
* **Mga Unyon ng Manggagawa/Mga Organisasyon "&amp;"ng Manggagawa:** Ang pagsali sa isang unyon ng manggagawa o organisasyon ng manggagawa sa host country ay maaaring magbigay ng suporta at mapagkukunan sa pagtugon sa mga isyu sa lugar ng trabaho.
**Mga Karagdagang Pagsasaalang-alang**
* **Kontrata s"&amp;"a Pagtatrabaho:** Suriin ang iyong kontrata sa pagtatrabaho para sa anumang mga probisyon sa mga patakaran laban sa diskriminasyon o panliligalig at mga mekanismo sa pagresolba ng hindi pagkakaunawaan.
* **Humingi ng Legal na Payo:** Ang pagkonsulta sa i"&amp;"sang abogado na pamilyar sa parehong mga batas sa paggawa sa Pilipinas at host country ay lubos na inirerekomenda. Maaari ka nilang payuhan sa pinakamahusay na paraan ng pagkilos batay sa iyong partikular na sitwasyon. 
**Tandaan:** Ito ay isang pangka"&amp;"lahatang pangkalahatang-ideya, at ang mga partikular na legal na opsyon at pamamaraan ay maaaring mag-iba depende sa mga pangyayari at mga batas ng host country. Huwag mag-atubiling humingi ng tulong sa mga ahensya ng gobyerno ng Pilipinas o isang kwalipi"&amp;"kadong abogado.
")</f>
        <v>Ang isang OFW na nahaharap sa diskriminasyon sa lugar ng trabaho o panliligalig sa ibang bansa ay may paraan sa ilalim ng batas ng Pilipinas, ngunit ang mga partikular na opsyon ay maaari ding depende sa legal na balangkas ng host country. Narito ang isang breakdown ng mga legal na proteksyon ng Pilipinas at mga karagdagang pagsasaalang-alang:
**Batas ng Pilipinas**
* **Limitadong Direktang Aplikasyon:** Ang batas ng Pilipinas ay may limitadong direktang kapangyarihan sa pagpapatupad sa ibang bansa. Gayunpaman, nagtatatag ito ng mga balangkas na maaaring makatulong sa mga OFW:
    * **Republic Act No. 8042 (Migrant Workers and Overseas Filipinos Act):** Pinoprotektahan ng Batas na ito ang mga karapatan at kapakanan ng mga OFW at kasama ang mga probisyon sa paghahain ng mga reklamo tungkol sa mga hindi patas na gawi sa paggawa, na maaaring sumaklaw sa ilang uri ng diskriminasyon o panliligalig.
**Pagkilos**
* **Magtipon ng Ebidensya:** Idokumento ang mapang-diskrimina o panliligalig na gawi. Maaaring kabilang dito ang mga email, text message, pahayag ng saksi, o recording (kung pinahihintulutan ng lokal na batas).
* **Mag-ulat sa Philippine Embassy/Consulate:** Ipaalam sa pinakamalapit na embahada o konsulado ng Pilipinas ang tungkol sa sitwasyon. Maaari silang magbigay ng tulong at gabay, kabilang ang pagkonekta sa iyo sa mga nauugnay na serbisyo ng suporta. 
* **Mag-ulat sa Employer (kung posible):** Depende sa kalubhaan at antas ng iyong kaginhawaan, isaalang-alang ang pag-uulat ng isyu sa iyong tagapag-empleyo kasunod ng kanilang mga panloob na mekanismo (kung magagamit).
**Potensyal na Relief**
* **Tulong sa POEA:** Ang Philippine Overseas Employment Administration (POEA) ay maaaring makialam at makipag-ayos sa employer sa ngalan mo. 
* **Legal na Aksyon:** Sa ilang mga kaso, sa tulong ng POEA o isang abogado na pamilyar sa parehong mga batas ng Pilipinas at host country, maaari mong ituloy ang legal na aksyon laban sa iyong employer. 
* **Repatriation:** Bilang huling paraan, depende sa kalubhaan ng sitwasyon, maaari kang humingi ng repatriation (bumalik sa Pilipinas) sa gastos ng employer.
**Mga Batas ng Host Country**
* **Mga Batas sa Paggawa:** Karamihan sa mga bansa ay may mga batas laban sa diskriminasyon at anti-harassment sa kanilang mga lugar ng trabaho.  Ang pag-unawa sa partikular na legal na framework ng host country ay napakahalaga. Maaaring makapagbigay ng gabay ang embahada o konsulado ng Pilipinas tungkol dito.
* **Mga Unyon ng Manggagawa/Mga Organisasyon ng Manggagawa:** Ang pagsali sa isang unyon ng manggagawa o organisasyon ng manggagawa sa host country ay maaaring magbigay ng suporta at mapagkukunan sa pagtugon sa mga isyu sa lugar ng trabaho.
**Mga Karagdagang Pagsasaalang-alang**
* **Kontrata sa Pagtatrabaho:** Suriin ang iyong kontrata sa pagtatrabaho para sa anumang mga probisyon sa mga patakaran laban sa diskriminasyon o panliligalig at mga mekanismo sa pagresolba ng hindi pagkakaunawaan.
* **Humingi ng Legal na Payo:** Ang pagkonsulta sa isang abogado na pamilyar sa parehong mga batas sa paggawa sa Pilipinas at host country ay lubos na inirerekomenda. Maaari ka nilang payuhan sa pinakamahusay na paraan ng pagkilos batay sa iyong partikular na sitwasyon. 
**Tandaan:** Ito ay isang pangkalahatang pangkalahatang-ideya, at ang mga partikular na legal na opsyon at pamamaraan ay maaaring mag-iba depende sa mga pangyayari at mga batas ng host country. Huwag mag-atubiling humingi ng tulong sa mga ahensya ng gobyerno ng Pilipinas o isang kwalipikadong abogado.
</v>
      </c>
      <c r="F2949" s="2">
        <f t="shared" si="1"/>
        <v>0</v>
      </c>
      <c r="G2949" s="2"/>
      <c r="H2949" s="2"/>
      <c r="I2949" s="2"/>
      <c r="J2949" s="2"/>
      <c r="K2949" s="2"/>
      <c r="L2949" s="2"/>
      <c r="M2949" s="2"/>
      <c r="N2949" s="2"/>
      <c r="O2949" s="2"/>
      <c r="P2949" s="2"/>
      <c r="Q2949" s="2"/>
      <c r="R2949" s="2"/>
      <c r="S2949" s="2"/>
      <c r="T2949" s="2"/>
      <c r="U2949" s="2"/>
      <c r="V2949" s="2"/>
      <c r="W2949" s="2"/>
      <c r="X2949" s="2"/>
      <c r="Y2949" s="2"/>
      <c r="Z2949" s="2"/>
      <c r="AA2949" s="2"/>
    </row>
    <row r="2950">
      <c r="A2950" s="3" t="s">
        <v>6842</v>
      </c>
      <c r="B2950" s="1" t="s">
        <v>6875</v>
      </c>
      <c r="C2950" s="3" t="s">
        <v>6876</v>
      </c>
      <c r="D2950" s="2" t="str">
        <f>IFERROR(__xludf.DUMMYFUNCTION("GOOGLETRANSLATE(B2950, ""en"", ""TL"")"),"Paano pinoprotektahan ng batas ng Pilipinas ang mga karapatan ng mga batang iniwan ng mga magulang na OFW?")</f>
        <v>Paano pinoprotektahan ng batas ng Pilipinas ang mga karapatan ng mga batang iniwan ng mga magulang na OFW?</v>
      </c>
      <c r="E2950" s="2" t="str">
        <f>IFERROR(__xludf.DUMMYFUNCTION("GOOGLETRANSLATE(C2950, ""en"", ""TL"")"),"Kinikilala ng batas ng Pilipinas ang kahinaan ng mga batang naiwan ng mga overseas Filipino worker (OFWs) at nag-aalok ng ilang mga proteksyon, kahit na walang isa, komprehensibong batas. Narito ang isang pangkalahatang-ideya ng mga nauugnay na legal na m"&amp;"apagkukunan:
**Ang Konstitusyon ng Pilipinas**
* **Artikulo XIII, Seksyon 14:** Binibigyang-diin ng seksyong ito ang responsibilidad ng estado na protektahan at itaguyod ang kapakanan ng lahat ng bata. Kabilang dito ang mga batang naiwan ng mga OFW."&amp;"
**Republic Acts (RAs)**
* **RA No. 8042 (Migrant Workers and Overseas Filipinos Act):** Ang Batas na ito, habang pangunahing nakatuon sa mga OFW mismo, ay kinikilala ang kapakanan ng kanilang mga pamilya. Kabilang dito ang mga probisyon para sa:
 "&amp;"   * Pre-departure seminars para sa mga OFW upang mabigyan sila ng kaalaman at kasanayan sa pagiging responsableng magulang, kahit na nagtatrabaho sa ibang bansa. 
    * Mga programang tulong para sa mga pamilya ng mga distressed OFW, na maaaring hindi d"&amp;"irektang makinabang sa mga batang naiwan.
* **RA No. 9208 (Anti-Trafficking in Persons Act):** Pinoprotektahan ng Batas na ito ang mga bata mula sa lahat ng uri ng trafficking, kabilang ang mga sitwasyon kung saan sila ay maaaring sapilitang magtrabaho o"&amp;" pagsasamantalahan dahil sa kawalan ng magulang.
* **RA No. 10175 (Cybersecurity Act of 2012):** Bagama't hindi direktang nauugnay sa mga OFW, pinoprotektahan ng Batas na ito ang mga bata mula sa online na sekswal na pang-aabuso at pagsasamantala, isang "&amp;"potensyal na panganib para sa mga batang naiwan.
**Ibang Legal na Mekanismo**
* **Family Code of the Philippines:** Isinasaad ng Code na ito ang mga karapatan at responsibilidad ng mga magulang sa kanilang mga anak, kahit na magkalayo sa pisikal. Bi"&amp;"nibigyang-diin nito ang kahalagahan ng pagbibigay ng kabuhayan, edukasyon, at moral na pag-unlad ng isang bata.
* **Mga Batas sa Barangay at Serbisyong Panlipunan:** Ang mga barangay (ang pinakamaliit na yunit ng lokal na pamahalaan) ay maaaring magkaroo"&amp;"n ng mga programa o inisyatiba upang suportahan ang mga bata mula sa mga pamilyang OFW. Bukod pa rito, nag-aalok ang Department of Social Welfare and Development (DSWD) ng mga social protection program na maaaring makinabang sa mga batang ito.
**Mga Li"&amp;"mitasyon at Mga Lugar para sa Pagpapabuti**
* **Hindi Kumpletong Legal na Balangkas:** Bagama't may mga kalat-kalat na legal na proteksyon, walang nag-iisang komprehensibong batas na partikular na tumutugon sa mga karapatan at pangangailangan ng mga ba"&amp;"ta na naiwan ng mga OFW. 
* **Mga Hamon sa Pagpapatupad:** Ang epektibong pagpapatupad ng mga kasalukuyang legal na probisyon ay maaaring maging isang hamon, lalo na sa lokal na antas.
**Ano ang maaaring gawin?**
* **Mga Pagsisikap sa Pambatasan:**"&amp;" Ang adbokasiya para sa isang dedikadong batas na komprehensibong nagpoprotekta sa mga karapatan ng mga batang iniwan ng mga OFW ay maaaring mapabuti ang sitwasyon.
* **Pagpapalakas ng Mga Sistema ng Suporta:** Ang pamumuhunan sa mga programa at serbisyo"&amp;"ng nagbibigay ng pinansyal, emosyonal, at panlipunang suporta para sa mga batang ito ay napakahalaga. 
* **Parental Responsibility:** Sa huli, kahit nagtatrabaho sa ibang bansa, ang mga OFW ay nananatiling legal na responsable para sa kapakanan ng kanila"&amp;"ng mga anak. Ang pagpapanatili ng komunikasyon, paggawa ng mga probisyon para sa kanilang pangangalaga, at pagtupad sa kanilang mga obligasyon sa pananalapi ay mahalaga.
Tandaan, ito ay isang pangkalahatang pangkalahatang-ideya, at ang partikular na si"&amp;"twasyon ng bawat bata ay mag-iiba. Kung nag-aalala ka tungkol sa kapakanan ng isang bata na naiwan ng mga magulang na OFW, isaalang-alang ang pag-abot sa DSWD, isang lokal na tanggapan ng barangay, o isang NGO na nakikipagtulungan sa mga bata sa mga katul"&amp;"ad na sitwasyon. ")</f>
        <v>Kinikilala ng batas ng Pilipinas ang kahinaan ng mga batang naiwan ng mga overseas Filipino worker (OFWs) at nag-aalok ng ilang mga proteksyon, kahit na walang isa, komprehensibong batas. Narito ang isang pangkalahatang-ideya ng mga nauugnay na legal na mapagkukunan:
**Ang Konstitusyon ng Pilipinas**
* **Artikulo XIII, Seksyon 14:** Binibigyang-diin ng seksyong ito ang responsibilidad ng estado na protektahan at itaguyod ang kapakanan ng lahat ng bata. Kabilang dito ang mga batang naiwan ng mga OFW.
**Republic Acts (RAs)**
* **RA No. 8042 (Migrant Workers and Overseas Filipinos Act):** Ang Batas na ito, habang pangunahing nakatuon sa mga OFW mismo, ay kinikilala ang kapakanan ng kanilang mga pamilya. Kabilang dito ang mga probisyon para sa:
    * Pre-departure seminars para sa mga OFW upang mabigyan sila ng kaalaman at kasanayan sa pagiging responsableng magulang, kahit na nagtatrabaho sa ibang bansa. 
    * Mga programang tulong para sa mga pamilya ng mga distressed OFW, na maaaring hindi direktang makinabang sa mga batang naiwan.
* **RA No. 9208 (Anti-Trafficking in Persons Act):** Pinoprotektahan ng Batas na ito ang mga bata mula sa lahat ng uri ng trafficking, kabilang ang mga sitwasyon kung saan sila ay maaaring sapilitang magtrabaho o pagsasamantalahan dahil sa kawalan ng magulang.
* **RA No. 10175 (Cybersecurity Act of 2012):** Bagama't hindi direktang nauugnay sa mga OFW, pinoprotektahan ng Batas na ito ang mga bata mula sa online na sekswal na pang-aabuso at pagsasamantala, isang potensyal na panganib para sa mga batang naiwan.
**Ibang Legal na Mekanismo**
* **Family Code of the Philippines:** Isinasaad ng Code na ito ang mga karapatan at responsibilidad ng mga magulang sa kanilang mga anak, kahit na magkalayo sa pisikal. Binibigyang-diin nito ang kahalagahan ng pagbibigay ng kabuhayan, edukasyon, at moral na pag-unlad ng isang bata.
* **Mga Batas sa Barangay at Serbisyong Panlipunan:** Ang mga barangay (ang pinakamaliit na yunit ng lokal na pamahalaan) ay maaaring magkaroon ng mga programa o inisyatiba upang suportahan ang mga bata mula sa mga pamilyang OFW. Bukod pa rito, nag-aalok ang Department of Social Welfare and Development (DSWD) ng mga social protection program na maaaring makinabang sa mga batang ito.
**Mga Limitasyon at Mga Lugar para sa Pagpapabuti**
* **Hindi Kumpletong Legal na Balangkas:** Bagama't may mga kalat-kalat na legal na proteksyon, walang nag-iisang komprehensibong batas na partikular na tumutugon sa mga karapatan at pangangailangan ng mga bata na naiwan ng mga OFW. 
* **Mga Hamon sa Pagpapatupad:** Ang epektibong pagpapatupad ng mga kasalukuyang legal na probisyon ay maaaring maging isang hamon, lalo na sa lokal na antas.
**Ano ang maaaring gawin?**
* **Mga Pagsisikap sa Pambatasan:** Ang adbokasiya para sa isang dedikadong batas na komprehensibong nagpoprotekta sa mga karapatan ng mga batang iniwan ng mga OFW ay maaaring mapabuti ang sitwasyon.
* **Pagpapalakas ng Mga Sistema ng Suporta:** Ang pamumuhunan sa mga programa at serbisyong nagbibigay ng pinansyal, emosyonal, at panlipunang suporta para sa mga batang ito ay napakahalaga. 
* **Parental Responsibility:** Sa huli, kahit nagtatrabaho sa ibang bansa, ang mga OFW ay nananatiling legal na responsable para sa kapakanan ng kanilang mga anak. Ang pagpapanatili ng komunikasyon, paggawa ng mga probisyon para sa kanilang pangangalaga, at pagtupad sa kanilang mga obligasyon sa pananalapi ay mahalaga.
Tandaan, ito ay isang pangkalahatang pangkalahatang-ideya, at ang partikular na sitwasyon ng bawat bata ay mag-iiba. Kung nag-aalala ka tungkol sa kapakanan ng isang bata na naiwan ng mga magulang na OFW, isaalang-alang ang pag-abot sa DSWD, isang lokal na tanggapan ng barangay, o isang NGO na nakikipagtulungan sa mga bata sa mga katulad na sitwasyon. </v>
      </c>
      <c r="F2950" s="2">
        <f t="shared" si="1"/>
        <v>0</v>
      </c>
      <c r="G2950" s="2"/>
      <c r="H2950" s="2"/>
      <c r="I2950" s="2"/>
      <c r="J2950" s="2"/>
      <c r="K2950" s="2"/>
      <c r="L2950" s="2"/>
      <c r="M2950" s="2"/>
      <c r="N2950" s="2"/>
      <c r="O2950" s="2"/>
      <c r="P2950" s="2"/>
      <c r="Q2950" s="2"/>
      <c r="R2950" s="2"/>
      <c r="S2950" s="2"/>
      <c r="T2950" s="2"/>
      <c r="U2950" s="2"/>
      <c r="V2950" s="2"/>
      <c r="W2950" s="2"/>
      <c r="X2950" s="2"/>
      <c r="Y2950" s="2"/>
      <c r="Z2950" s="2"/>
      <c r="AA2950" s="2"/>
    </row>
    <row r="2951">
      <c r="A2951" s="3" t="s">
        <v>6842</v>
      </c>
      <c r="B2951" s="1" t="s">
        <v>6877</v>
      </c>
      <c r="C2951" s="3" t="s">
        <v>6878</v>
      </c>
      <c r="D2951" s="2" t="str">
        <f>IFERROR(__xludf.DUMMYFUNCTION("GOOGLETRANSLATE(B2951, ""en"", ""TL"")"),"Maaari bang magtayo ng negosyo sa Pilipinas ang isang OFW habang nagtatrabaho pa sa ibang bansa?")</f>
        <v>Maaari bang magtayo ng negosyo sa Pilipinas ang isang OFW habang nagtatrabaho pa sa ibang bansa?</v>
      </c>
      <c r="E2951" s="2" t="str">
        <f>IFERROR(__xludf.DUMMYFUNCTION("GOOGLETRANSLATE(C2951, ""en"", ""TL"")"),"Oo, ang isang OFW ay maaaring magtayo ng negosyo sa Pilipinas habang nagtatrabaho pa sa ibang bansa. Walang mga paghihigpit sa batas ng Pilipinas na pumipigil dito (basta legal ang negosyo). Narito ang isang breakdown kung paano ito magagawa:
**Mga Par"&amp;"aan para sa Pagtatatag ng Negosyo**
* **Sole Proprietorship:** Ito ang pinakasimple at pinakakaraniwang opsyon para sa mga OFW. Gayunpaman, ang may-ari ay may walang limitasyong pananagutan, ibig sabihin, ang kanilang mga personal na ari-arian ay nasa "&amp;"panganib kung ang negosyo ay nagkakaroon ng mga utang.
* **Partnership:** Dalawa o higit pang tao ang maaaring magtatag ng isang partnership, magbahagi ng mga kita at pagkalugi. Mayroong iba't ibang uri ng pakikipagsosyo na may iba't ibang istruktura ng "&amp;"pananagutan - kumunsulta sa isang abogado para sa pagpili ng pinakaangkop.
* **Corporation:** Nag-aalok ito ng limitadong proteksyon sa pananagutan para sa mga may-ari (mga shareholder).  Gayunpaman, ang pagbuo ng isang korporasyon ay nagsasangkot ng mas"&amp;" kumplikadong mga pamamaraan at kinakailangan.
**Remote Management**
* **Special Power of Attorney (SPA):** Ang isang OFW ay maaaring magtalaga ng isang pinagkakatiwalaang kinatawan sa Pilipinas sa pamamagitan ng isang SPA. Ang dokumentong ito ay na"&amp;"gbibigay sa kinatawan ng awtoridad na pangasiwaan ang mga gawain sa negosyo para sa kanila, tulad ng pagpaparehistro ng negosyo, pag-secure ng mga permit, o pamamahala sa pananalapi.
* **Teknolohiya:** Ang mga tool sa komunikasyon at pakikipagtulungan tu"&amp;"lad ng video conferencing, online na mga platform sa pamamahala ng proyekto, at accounting software ay maaaring mapadali ang malayuang pamamahala ng negosyo.
**Mga Pagsasaalang-alang**
* **Aktibidad sa Negosyo:** Magsaliksik at pumili ng aktibidad n"&amp;"g negosyo na sumusunod sa mga batas at regulasyon ng Pilipinas. 
* **Business Plan:** Bumuo ng isang mahusay na tinukoy na plano sa negosyo na nagbabalangkas sa konsepto, target na merkado, mga pinansiyal na projection, at diskarte sa pamamahala.
* **Mg"&amp;"a Permit at Lisensya:** Depende sa napiling aktibidad sa negosyo, maaaring kailanganin ang ilang partikular na permit at lisensya. Magsaliksik ng mga kinakailangan at i-secure ang mga ito sa pamamagitan ng mga naaangkop na ahensya ng gobyerno.
* **Mga Ob"&amp;"ligasyon sa Buwis:** Ang mga OFW na may mga negosyo sa Pilipinas ay napapailalim pa rin sa mga batas sa buwis ng Pilipinas.  Kumunsulta sa isang propesyonal sa buwis upang maunawaan ang iyong mga pananagutan sa buwis at mga kinakailangan sa pag-file.
*"&amp;"*Mga Rekomendasyon**
* **Kumonsulta sa isang Abogado:** Para sa legal na patnubay sa pagtatatag at pamamahala ng negosyo, ang pagkonsulta sa isang abogadong pamilyar sa batas ng negosyo sa Pilipinas ay lubos na inirerekomenda. Maaari ka nilang payuhan "&amp;"sa pinakaangkop na istruktura ng negosyo, mag-draft ng mga legal na dokumento tulad ng SPA, at matiyak ang pagsunod sa mga regulasyon.
* **Humingi ng Tulong sa DOLE at DTI:** Ang Department of Labor and Employment (DOLE) at ang Department of Trade and In"&amp;"dustry (DTI) ay nag-aalok ng mga programa at mapagkukunan upang tulungan ang mga naghahangad na negosyante, kabilang ang mga OFW. Pag-isipang tuklasin ang kanilang mga mapagkukunan at programa.
Sa pamamagitan ng pagsunod sa mga hakbang at pagsasaalang-"&amp;"alang na ito, ang isang OFW ay maaaring magtatag at mamahala ng negosyo sa Pilipinas kahit nagtatrabaho sa ibang bansa. Tandaan, ang maingat na pagpaplano, legal na patnubay, at maaasahang mga kinatawan ay maaaring mag-ambag sa isang matagumpay na pakikip"&amp;"agsapalaran.
")</f>
        <v>Oo, ang isang OFW ay maaaring magtayo ng negosyo sa Pilipinas habang nagtatrabaho pa sa ibang bansa. Walang mga paghihigpit sa batas ng Pilipinas na pumipigil dito (basta legal ang negosyo). Narito ang isang breakdown kung paano ito magagawa:
**Mga Paraan para sa Pagtatatag ng Negosyo**
* **Sole Proprietorship:** Ito ang pinakasimple at pinakakaraniwang opsyon para sa mga OFW. Gayunpaman, ang may-ari ay may walang limitasyong pananagutan, ibig sabihin, ang kanilang mga personal na ari-arian ay nasa panganib kung ang negosyo ay nagkakaroon ng mga utang.
* **Partnership:** Dalawa o higit pang tao ang maaaring magtatag ng isang partnership, magbahagi ng mga kita at pagkalugi. Mayroong iba't ibang uri ng pakikipagsosyo na may iba't ibang istruktura ng pananagutan - kumunsulta sa isang abogado para sa pagpili ng pinakaangkop.
* **Corporation:** Nag-aalok ito ng limitadong proteksyon sa pananagutan para sa mga may-ari (mga shareholder).  Gayunpaman, ang pagbuo ng isang korporasyon ay nagsasangkot ng mas kumplikadong mga pamamaraan at kinakailangan.
**Remote Management**
* **Special Power of Attorney (SPA):** Ang isang OFW ay maaaring magtalaga ng isang pinagkakatiwalaang kinatawan sa Pilipinas sa pamamagitan ng isang SPA. Ang dokumentong ito ay nagbibigay sa kinatawan ng awtoridad na pangasiwaan ang mga gawain sa negosyo para sa kanila, tulad ng pagpaparehistro ng negosyo, pag-secure ng mga permit, o pamamahala sa pananalapi.
* **Teknolohiya:** Ang mga tool sa komunikasyon at pakikipagtulungan tulad ng video conferencing, online na mga platform sa pamamahala ng proyekto, at accounting software ay maaaring mapadali ang malayuang pamamahala ng negosyo.
**Mga Pagsasaalang-alang**
* **Aktibidad sa Negosyo:** Magsaliksik at pumili ng aktibidad ng negosyo na sumusunod sa mga batas at regulasyon ng Pilipinas. 
* **Business Plan:** Bumuo ng isang mahusay na tinukoy na plano sa negosyo na nagbabalangkas sa konsepto, target na merkado, mga pinansiyal na projection, at diskarte sa pamamahala.
* **Mga Permit at Lisensya:** Depende sa napiling aktibidad sa negosyo, maaaring kailanganin ang ilang partikular na permit at lisensya. Magsaliksik ng mga kinakailangan at i-secure ang mga ito sa pamamagitan ng mga naaangkop na ahensya ng gobyerno.
* **Mga Obligasyon sa Buwis:** Ang mga OFW na may mga negosyo sa Pilipinas ay napapailalim pa rin sa mga batas sa buwis ng Pilipinas.  Kumunsulta sa isang propesyonal sa buwis upang maunawaan ang iyong mga pananagutan sa buwis at mga kinakailangan sa pag-file.
**Mga Rekomendasyon**
* **Kumonsulta sa isang Abogado:** Para sa legal na patnubay sa pagtatatag at pamamahala ng negosyo, ang pagkonsulta sa isang abogadong pamilyar sa batas ng negosyo sa Pilipinas ay lubos na inirerekomenda. Maaari ka nilang payuhan sa pinakaangkop na istruktura ng negosyo, mag-draft ng mga legal na dokumento tulad ng SPA, at matiyak ang pagsunod sa mga regulasyon.
* **Humingi ng Tulong sa DOLE at DTI:** Ang Department of Labor and Employment (DOLE) at ang Department of Trade and Industry (DTI) ay nag-aalok ng mga programa at mapagkukunan upang tulungan ang mga naghahangad na negosyante, kabilang ang mga OFW. Pag-isipang tuklasin ang kanilang mga mapagkukunan at programa.
Sa pamamagitan ng pagsunod sa mga hakbang at pagsasaalang-alang na ito, ang isang OFW ay maaaring magtatag at mamahala ng negosyo sa Pilipinas kahit nagtatrabaho sa ibang bansa. Tandaan, ang maingat na pagpaplano, legal na patnubay, at maaasahang mga kinatawan ay maaaring mag-ambag sa isang matagumpay na pakikipagsapalaran.
</v>
      </c>
      <c r="F2951" s="2">
        <f t="shared" si="1"/>
        <v>0</v>
      </c>
      <c r="G2951" s="2"/>
      <c r="H2951" s="2"/>
      <c r="I2951" s="2"/>
      <c r="J2951" s="2"/>
      <c r="K2951" s="2"/>
      <c r="L2951" s="2"/>
      <c r="M2951" s="2"/>
      <c r="N2951" s="2"/>
      <c r="O2951" s="2"/>
      <c r="P2951" s="2"/>
      <c r="Q2951" s="2"/>
      <c r="R2951" s="2"/>
      <c r="S2951" s="2"/>
      <c r="T2951" s="2"/>
      <c r="U2951" s="2"/>
      <c r="V2951" s="2"/>
      <c r="W2951" s="2"/>
      <c r="X2951" s="2"/>
      <c r="Y2951" s="2"/>
      <c r="Z2951" s="2"/>
      <c r="AA2951" s="2"/>
    </row>
    <row r="2952">
      <c r="A2952" s="3" t="s">
        <v>6842</v>
      </c>
      <c r="B2952" s="1" t="s">
        <v>6879</v>
      </c>
      <c r="C2952" s="3" t="s">
        <v>6880</v>
      </c>
      <c r="D2952" s="2" t="str">
        <f>IFERROR(__xludf.DUMMYFUNCTION("GOOGLETRANSLATE(B2952, ""en"", ""TL"")"),"Anong legal na tulong ang makukuha sa mga OFW na nahihirapan sa ibang bansa?")</f>
        <v>Anong legal na tulong ang makukuha sa mga OFW na nahihirapan sa ibang bansa?</v>
      </c>
      <c r="E2952" s="2" t="str">
        <f>IFERROR(__xludf.DUMMYFUNCTION("GOOGLETRANSLATE(C2952, ""en"", ""TL"")"),"Nag-aalok ang gobyerno ng Pilipinas ng ilang mapagkukunan at mga programang legal na tulong sa mga OFW na nahaharap sa kahirapan sa ibang bansa. Narito ang isang breakdown ng mga pangunahing opsyon:
**Embahada at Konsulado ng Pilipinas**
* **Frontli"&amp;"ne Assistance:** Ang mga embahada at konsulado ay ang unang punto ng pakikipag-ugnayan para sa mga OFW na nasa pagkabalisa. Maaari silang magbigay ng iba't ibang uri ng tulong, kabilang ang:
    * Legal na payo at mga referral sa mga abogado na pamilyar "&amp;"sa mga lokal na batas.
    * Tulong sa pakikipag-usap sa mga lokal na awtoridad.
    * Negosasyon sa mga tagapag-empleyo sa kaso ng mga isyu sa lugar ng trabaho.
    * Tulong sa pagpapauwi sa malalang kaso (maaaring may kasamang pag-uugnay sa mga kaayu"&amp;"san sa paglalakbay at tulong pinansyal).
* **Labor Attachés:** May mga labor attaché ang ilang embahada ng Pilipinas na dalubhasa sa pagtulong sa mga OFW na may mga problemang may kinalaman sa trabaho.
**Department of Foreign Affairs (DFA)**
* **As"&amp;"sistance to Nationals (ATN) Section:** Ang ATN section ng DFA ay namamahala sa iba't ibang programa para tulungan ang mga distressed na Pilipino sa ibang bansa, kabilang ang mga OFW. Maaari silang mag-alok ng:
    * Legal na tulong: Sa ilang mga kaso, an"&amp;"g DFA ay maaaring direktang magbigay ng legal na tulong o sa pamamagitan ng pakikipagsosyo sa mga abogado sa ibang bansa. Maaaring depende ito sa partikular na kaso at magagamit na mga mapagkukunan. 
    * Tulong Pinansyal: Ang DFA ay maaaring mag-alok n"&amp;"g limitadong tulong pinansyal para sa repatriation o iba pang emergency na pangangailangan.
**Department of Labor and Employment (DOLE)**
* **Philippine Overseas Labor Offices (POLO):** Matatagpuan sa maraming bansa na may makabuluhang populasyong P"&amp;"ilipino, tinutulungan ng mga POLO ang mga OFW na may mga alalahaning nauugnay sa trabaho.  Maaari silang:
    * Siyasatin ang mga reklamo ng hindi patas na mga gawi sa paggawa o mga paglabag sa kontrata.
    * Pamamagitan sa mga hindi pagkakaunawaan sa "&amp;"pagitan ng mga employer at empleyado.
    * Padaliin ang proseso ng repatriation.
**Ibang Mapagkukunan**
* **Public Attorney's Office (PAO):** Nag-aalok ang PAO ng libreng legal na tulong sa mga Pilipino, kasama na sa ilang kaso, ang mga OFW sa iba"&amp;"ng bansa. Gayunpaman, maaaring limitado ang kanilang abot at kapasidad na tumulong sa mga kaso sa ibang bansa.
* **NGOs:** Ilang NGO ang partikular na nakatuon sa pagtataguyod at pagtulong sa mga OFW. Maaari silang magbigay ng legal na tulong, pagpapayo,"&amp;" at iba pang anyo ng suporta sa mga manggagawang nahihirapan.
**Mahahalagang Pagsasaalang-alang**
* **Availability ng Tulong:** Ang lawak ng legal na tulong na makukuha ay maaaring mag-iba depende sa partikular na lokasyon, ang katangian ng pagkabal"&amp;"isa, at mga hadlang sa mapagkukunan.
* **Maagang Pamamagitan:** Ang paghingi ng tulong mula sa mga embahada/konsulado ng Pilipinas o POLO sa lalong madaling panahon ay nagpapataas ng pagkakataon ng matagumpay na paglutas.
* **Dokumentasyon:** Ang pagkak"&amp;"aroon ng mga kopya ng mga kontrata sa pagtatrabaho, pasaporte, at iba pang nauugnay na dokumento ay mahalaga kapag humihingi ng legal na tulong.
**Tandaan:** Habang ang mga ahensya ng gobyerno ng Pilipinas ay nagsusumikap na tulungan ang mga OFW na nas"&amp;"a kagipitan, palaging pinakamahusay na maging maagap.  Ang pagsunod sa mga regulasyon sa paggawa sa Pilipinas ay maingat na pumili ng mga mapagkakatiwalaang employer, at ang pag-unawa sa iyong mga karapatan bilang isang OFW ay makakatulong na maiwasan ang"&amp;" maraming legal na isyu. ")</f>
        <v>Nag-aalok ang gobyerno ng Pilipinas ng ilang mapagkukunan at mga programang legal na tulong sa mga OFW na nahaharap sa kahirapan sa ibang bansa. Narito ang isang breakdown ng mga pangunahing opsyon:
**Embahada at Konsulado ng Pilipinas**
* **Frontline Assistance:** Ang mga embahada at konsulado ay ang unang punto ng pakikipag-ugnayan para sa mga OFW na nasa pagkabalisa. Maaari silang magbigay ng iba't ibang uri ng tulong, kabilang ang:
    * Legal na payo at mga referral sa mga abogado na pamilyar sa mga lokal na batas.
    * Tulong sa pakikipag-usap sa mga lokal na awtoridad.
    * Negosasyon sa mga tagapag-empleyo sa kaso ng mga isyu sa lugar ng trabaho.
    * Tulong sa pagpapauwi sa malalang kaso (maaaring may kasamang pag-uugnay sa mga kaayusan sa paglalakbay at tulong pinansyal).
* **Labor Attachés:** May mga labor attaché ang ilang embahada ng Pilipinas na dalubhasa sa pagtulong sa mga OFW na may mga problemang may kinalaman sa trabaho.
**Department of Foreign Affairs (DFA)**
* **Assistance to Nationals (ATN) Section:** Ang ATN section ng DFA ay namamahala sa iba't ibang programa para tulungan ang mga distressed na Pilipino sa ibang bansa, kabilang ang mga OFW. Maaari silang mag-alok ng:
    * Legal na tulong: Sa ilang mga kaso, ang DFA ay maaaring direktang magbigay ng legal na tulong o sa pamamagitan ng pakikipagsosyo sa mga abogado sa ibang bansa. Maaaring depende ito sa partikular na kaso at magagamit na mga mapagkukunan. 
    * Tulong Pinansyal: Ang DFA ay maaaring mag-alok ng limitadong tulong pinansyal para sa repatriation o iba pang emergency na pangangailangan.
**Department of Labor and Employment (DOLE)**
* **Philippine Overseas Labor Offices (POLO):** Matatagpuan sa maraming bansa na may makabuluhang populasyong Pilipino, tinutulungan ng mga POLO ang mga OFW na may mga alalahaning nauugnay sa trabaho.  Maaari silang:
    * Siyasatin ang mga reklamo ng hindi patas na mga gawi sa paggawa o mga paglabag sa kontrata.
    * Pamamagitan sa mga hindi pagkakaunawaan sa pagitan ng mga employer at empleyado.
    * Padaliin ang proseso ng repatriation.
**Ibang Mapagkukunan**
* **Public Attorney's Office (PAO):** Nag-aalok ang PAO ng libreng legal na tulong sa mga Pilipino, kasama na sa ilang kaso, ang mga OFW sa ibang bansa. Gayunpaman, maaaring limitado ang kanilang abot at kapasidad na tumulong sa mga kaso sa ibang bansa.
* **NGOs:** Ilang NGO ang partikular na nakatuon sa pagtataguyod at pagtulong sa mga OFW. Maaari silang magbigay ng legal na tulong, pagpapayo, at iba pang anyo ng suporta sa mga manggagawang nahihirapan.
**Mahahalagang Pagsasaalang-alang**
* **Availability ng Tulong:** Ang lawak ng legal na tulong na makukuha ay maaaring mag-iba depende sa partikular na lokasyon, ang katangian ng pagkabalisa, at mga hadlang sa mapagkukunan.
* **Maagang Pamamagitan:** Ang paghingi ng tulong mula sa mga embahada/konsulado ng Pilipinas o POLO sa lalong madaling panahon ay nagpapataas ng pagkakataon ng matagumpay na paglutas.
* **Dokumentasyon:** Ang pagkakaroon ng mga kopya ng mga kontrata sa pagtatrabaho, pasaporte, at iba pang nauugnay na dokumento ay mahalaga kapag humihingi ng legal na tulong.
**Tandaan:** Habang ang mga ahensya ng gobyerno ng Pilipinas ay nagsusumikap na tulungan ang mga OFW na nasa kagipitan, palaging pinakamahusay na maging maagap.  Ang pagsunod sa mga regulasyon sa paggawa sa Pilipinas ay maingat na pumili ng mga mapagkakatiwalaang employer, at ang pag-unawa sa iyong mga karapatan bilang isang OFW ay makakatulong na maiwasan ang maraming legal na isyu. </v>
      </c>
      <c r="F2952" s="2">
        <f t="shared" si="1"/>
        <v>0</v>
      </c>
      <c r="G2952" s="2"/>
      <c r="H2952" s="2"/>
      <c r="I2952" s="2"/>
      <c r="J2952" s="2"/>
      <c r="K2952" s="2"/>
      <c r="L2952" s="2"/>
      <c r="M2952" s="2"/>
      <c r="N2952" s="2"/>
      <c r="O2952" s="2"/>
      <c r="P2952" s="2"/>
      <c r="Q2952" s="2"/>
      <c r="R2952" s="2"/>
      <c r="S2952" s="2"/>
      <c r="T2952" s="2"/>
      <c r="U2952" s="2"/>
      <c r="V2952" s="2"/>
      <c r="W2952" s="2"/>
      <c r="X2952" s="2"/>
      <c r="Y2952" s="2"/>
      <c r="Z2952" s="2"/>
      <c r="AA2952" s="2"/>
    </row>
    <row r="2953">
      <c r="A2953" s="3" t="s">
        <v>6842</v>
      </c>
      <c r="B2953" s="1" t="s">
        <v>6881</v>
      </c>
      <c r="C2953" s="3" t="s">
        <v>6882</v>
      </c>
      <c r="D2953" s="2" t="str">
        <f>IFERROR(__xludf.DUMMYFUNCTION("GOOGLETRANSLATE(B2953, ""en"", ""TL"")"),"Paano tinutukoy at tinutugunan ng batas ng Pilipinas ang mga kaso ng iligal na deployment ng mga OFW?")</f>
        <v>Paano tinutukoy at tinutugunan ng batas ng Pilipinas ang mga kaso ng iligal na deployment ng mga OFW?</v>
      </c>
      <c r="E2953" s="2" t="str">
        <f>IFERROR(__xludf.DUMMYFUNCTION("GOOGLETRANSLATE(C2953, ""en"", ""TL"")"),"Ang iligal na deployment ng mga Overseas Filipino Workers (OFWs) ay isang malubhang pagkakasala sa Pilipinas. Narito kung paano tinukoy at tinutugunan ng batas ng Pilipinas ang mga kasong ito:
**Pagtukoy sa Ilegal na Deployment**
Ang pangunahing bat"&amp;"as na tumutukoy sa iligal na deployment ay ang Republic Act No. 8042, na kilala rin bilang Migrant Workers and Overseas Filipinos Act of 1995. Ang Batas na ito ay nagbabalangkas ng iba't ibang mga ipinagbabawal na gawain na itinuturing na ilegal na deploy"&amp;"ment, kabilang ang:
* **Pag-deploy ng OFW na walang valid na lisensya:** Ang mga recruitment agencies ay dapat may valid na lisensya mula sa Philippine Overseas Employment Administration (POEA) para mag-deploy ng mga manggagawa sa ibang bansa. Ang pagd"&amp;"e-deploy ng OFW sa pamamagitan ng hindi lisensyadong ahensya ay labag sa batas.
* **Pag-deploy na may mga mapanlinlang na dokumento:** Kabilang dito ang paggamit ng mga pekeng kontrata sa trabaho, pasaporte, o iba pang mga dokumento upang makakuha ng tra"&amp;"baho para sa isang OFW.
* **Pag-deploy sa posisyong iba sa kinontrata:** Ang kontrata sa pagtatrabaho na pinirmahan ng OFW ay tumutukoy sa paglalarawan ng trabaho at lokasyon ng trabaho. Ang pag-deploy sa kanila sa ibang posisyon o lokasyon ay labag sa b"&amp;"atas.
* **Pagsingil ng labis na placement fee:** Ang POEA ang nagre-regulate sa mga pinapayagang placement fee na maaaring singilin ng mga recruitment agencies sa mga OFW.  Ang pagsingil na lampas sa kinokontrol na halaga ay itinuturing na ilegal na pag-"&amp;"deploy.
* **Pandaraya o pamimilit:** Ang maling pagkatawan sa mga detalye ng trabaho, kundisyon sa trabaho, o suweldo sa isang OFW upang matiyak ang kanilang pahintulot para sa pag-deploy ay ilegal. 
**Pagtugon sa Ilegal na Deployment**
* **Mga Par"&amp;"usa:** Nagtatakda ang Batas ng malalaking parusa para sa iligal na pag-deploy, kabilang ang:
    * Pagkakulong: Hindi bababa sa anim (6) na taon at isang (1) araw ngunit hindi hihigit sa labindalawang (12) taon [Seksyon 11(a)] 
    * Magmulta: Hindi bab"&amp;"aba sa Limang daang libong piso (P500,000.00) o higit sa Isang milyong piso (P1,000,000.00) [Seksyon 11(a)]
* **Mga Ahensya ng Gobyerno**
    * **Philippine Overseas Employment Administration (POEA):** Ang POEA ang pangunahing ahensya ng gobyerno na res"&amp;"ponsable sa pagpapatupad ng mga regulasyon sa deployment ng mga OFW. Maaari nilang imbestigahan ang mga reklamo ng illegal deployment, magpataw ng sanction sa mga nagkakamali na recruitment agencies, at tumulong sa mga OFW na iligal na na-deploy.
    * *"&amp;"*Department of Justice (DOJ):** Ang DOJ ay nag-uusig ng mga kaso ng iligal na deployment na isinampa laban sa mga ahensya ng recruitment at mga indibidwal na kasangkot.
**Paano Mag-ulat ng Ilegal na Deployment**
Kung pinaghihinalaan mo ang isang kas"&amp;"o ng ilegal na deployment, maaari mong iulat ito sa POEA. Narito ang ilang paraan para gawin ito:
* **Maghain ng reklamo online:** Ang website ng POEA ([https://www.dmw.gov.ph/archives/default.html](https://www.dmw.gov.ph/archives/default. html)) ay na"&amp;"gbibigay ng online na sistema ng paghahain ng reklamo.
* **Bisitahin ang isang tanggapan ng POEA:** Maaari kang bumisita sa alinmang tanggapan ng POEA sa Pilipinas upang personal na maghain ng reklamo.
* **Mag-ulat sa pamamagitan ng Embahada/Konsulado n"&amp;"g Pilipinas (kung nasa ibang bansa):** Kung ikaw ay nasa ibang bansa at pinaghihinalaan ang ilegal na pag-deploy, maaari mo itong iulat sa pinakamalapit na embahada o konsulado ng Pilipinas.  Matutulungan ka nilang kumonekta sa POEA para sa paghahain ng r"&amp;"eklamo.
**Mga Rekomendasyon**
* **Pumili ng Mga Lisensyadong Ahensya:** Makipag-ugnayan lamang sa mga ahensya ng recruitment na lisensyado ng POEA. Maaari mong i-verify ang status ng kanilang lisensya sa website ng POEA.
* **Suriin nang Maingat ang"&amp;" Mga Kontrata:** Basahin at unawaing mabuti ang iyong kontrata sa pagtatrabaho bago pumirma. Tiyakin na ito ay tumpak na sumasalamin sa napagkasunduang mga detalye ng trabaho, suweldo, at iba pang mga tuntunin.
* **Humingi ng Paglilinaw:** Kung ang anuma"&amp;"ng bagay sa proseso ng recruitment ay tila hindi malinaw o kahina-hinala, huwag mag-atubiling magtanong at humingi ng paglilinaw bago magpatuloy.
Sa pamamagitan ng pag-unawa sa batas ng Pilipinas tungkol sa iligal na deployment at pagkuha ng mga kinaka"&amp;"ilangang pag-iingat, mas mapoprotektahan ng mga OFW ang kanilang sarili mula sa pagsasamantala at matiyak ang isang ligtas at legal na karanasan sa pagtatrabaho sa ibang bansa.")</f>
        <v>Ang iligal na deployment ng mga Overseas Filipino Workers (OFWs) ay isang malubhang pagkakasala sa Pilipinas. Narito kung paano tinukoy at tinutugunan ng batas ng Pilipinas ang mga kasong ito:
**Pagtukoy sa Ilegal na Deployment**
Ang pangunahing batas na tumutukoy sa iligal na deployment ay ang Republic Act No. 8042, na kilala rin bilang Migrant Workers and Overseas Filipinos Act of 1995. Ang Batas na ito ay nagbabalangkas ng iba't ibang mga ipinagbabawal na gawain na itinuturing na ilegal na deployment, kabilang ang:
* **Pag-deploy ng OFW na walang valid na lisensya:** Ang mga recruitment agencies ay dapat may valid na lisensya mula sa Philippine Overseas Employment Administration (POEA) para mag-deploy ng mga manggagawa sa ibang bansa. Ang pagde-deploy ng OFW sa pamamagitan ng hindi lisensyadong ahensya ay labag sa batas.
* **Pag-deploy na may mga mapanlinlang na dokumento:** Kabilang dito ang paggamit ng mga pekeng kontrata sa trabaho, pasaporte, o iba pang mga dokumento upang makakuha ng trabaho para sa isang OFW.
* **Pag-deploy sa posisyong iba sa kinontrata:** Ang kontrata sa pagtatrabaho na pinirmahan ng OFW ay tumutukoy sa paglalarawan ng trabaho at lokasyon ng trabaho. Ang pag-deploy sa kanila sa ibang posisyon o lokasyon ay labag sa batas.
* **Pagsingil ng labis na placement fee:** Ang POEA ang nagre-regulate sa mga pinapayagang placement fee na maaaring singilin ng mga recruitment agencies sa mga OFW.  Ang pagsingil na lampas sa kinokontrol na halaga ay itinuturing na ilegal na pag-deploy.
* **Pandaraya o pamimilit:** Ang maling pagkatawan sa mga detalye ng trabaho, kundisyon sa trabaho, o suweldo sa isang OFW upang matiyak ang kanilang pahintulot para sa pag-deploy ay ilegal. 
**Pagtugon sa Ilegal na Deployment**
* **Mga Parusa:** Nagtatakda ang Batas ng malalaking parusa para sa iligal na pag-deploy, kabilang ang:
    * Pagkakulong: Hindi bababa sa anim (6) na taon at isang (1) araw ngunit hindi hihigit sa labindalawang (12) taon [Seksyon 11(a)] 
    * Magmulta: Hindi bababa sa Limang daang libong piso (P500,000.00) o higit sa Isang milyong piso (P1,000,000.00) [Seksyon 11(a)]
* **Mga Ahensya ng Gobyerno**
    * **Philippine Overseas Employment Administration (POEA):** Ang POEA ang pangunahing ahensya ng gobyerno na responsable sa pagpapatupad ng mga regulasyon sa deployment ng mga OFW. Maaari nilang imbestigahan ang mga reklamo ng illegal deployment, magpataw ng sanction sa mga nagkakamali na recruitment agencies, at tumulong sa mga OFW na iligal na na-deploy.
    * **Department of Justice (DOJ):** Ang DOJ ay nag-uusig ng mga kaso ng iligal na deployment na isinampa laban sa mga ahensya ng recruitment at mga indibidwal na kasangkot.
**Paano Mag-ulat ng Ilegal na Deployment**
Kung pinaghihinalaan mo ang isang kaso ng ilegal na deployment, maaari mong iulat ito sa POEA. Narito ang ilang paraan para gawin ito:
* **Maghain ng reklamo online:** Ang website ng POEA ([https://www.dmw.gov.ph/archives/default.html](https://www.dmw.gov.ph/archives/default. html)) ay nagbibigay ng online na sistema ng paghahain ng reklamo.
* **Bisitahin ang isang tanggapan ng POEA:** Maaari kang bumisita sa alinmang tanggapan ng POEA sa Pilipinas upang personal na maghain ng reklamo.
* **Mag-ulat sa pamamagitan ng Embahada/Konsulado ng Pilipinas (kung nasa ibang bansa):** Kung ikaw ay nasa ibang bansa at pinaghihinalaan ang ilegal na pag-deploy, maaari mo itong iulat sa pinakamalapit na embahada o konsulado ng Pilipinas.  Matutulungan ka nilang kumonekta sa POEA para sa paghahain ng reklamo.
**Mga Rekomendasyon**
* **Pumili ng Mga Lisensyadong Ahensya:** Makipag-ugnayan lamang sa mga ahensya ng recruitment na lisensyado ng POEA. Maaari mong i-verify ang status ng kanilang lisensya sa website ng POEA.
* **Suriin nang Maingat ang Mga Kontrata:** Basahin at unawaing mabuti ang iyong kontrata sa pagtatrabaho bago pumirma. Tiyakin na ito ay tumpak na sumasalamin sa napagkasunduang mga detalye ng trabaho, suweldo, at iba pang mga tuntunin.
* **Humingi ng Paglilinaw:** Kung ang anumang bagay sa proseso ng recruitment ay tila hindi malinaw o kahina-hinala, huwag mag-atubiling magtanong at humingi ng paglilinaw bago magpatuloy.
Sa pamamagitan ng pag-unawa sa batas ng Pilipinas tungkol sa iligal na deployment at pagkuha ng mga kinakailangang pag-iingat, mas mapoprotektahan ng mga OFW ang kanilang sarili mula sa pagsasamantala at matiyak ang isang ligtas at legal na karanasan sa pagtatrabaho sa ibang bansa.</v>
      </c>
      <c r="F2953" s="2">
        <f t="shared" si="1"/>
        <v>0</v>
      </c>
      <c r="G2953" s="2"/>
      <c r="H2953" s="2"/>
      <c r="I2953" s="2"/>
      <c r="J2953" s="2"/>
      <c r="K2953" s="2"/>
      <c r="L2953" s="2"/>
      <c r="M2953" s="2"/>
      <c r="N2953" s="2"/>
      <c r="O2953" s="2"/>
      <c r="P2953" s="2"/>
      <c r="Q2953" s="2"/>
      <c r="R2953" s="2"/>
      <c r="S2953" s="2"/>
      <c r="T2953" s="2"/>
      <c r="U2953" s="2"/>
      <c r="V2953" s="2"/>
      <c r="W2953" s="2"/>
      <c r="X2953" s="2"/>
      <c r="Y2953" s="2"/>
      <c r="Z2953" s="2"/>
      <c r="AA2953" s="2"/>
    </row>
    <row r="2954">
      <c r="A2954" s="3" t="s">
        <v>6842</v>
      </c>
      <c r="B2954" s="1" t="s">
        <v>6883</v>
      </c>
      <c r="C2954" s="3" t="s">
        <v>6884</v>
      </c>
      <c r="D2954" s="2" t="str">
        <f>IFERROR(__xludf.DUMMYFUNCTION("GOOGLETRANSLATE(B2954, ""en"", ""TL"")"),"Ano ang mga legal na implikasyon para sa isang OFW na nasangkot sa isang kriminal na pagkakasala sa ibang bansa?")</f>
        <v>Ano ang mga legal na implikasyon para sa isang OFW na nasangkot sa isang kriminal na pagkakasala sa ibang bansa?</v>
      </c>
      <c r="E2954" s="2" t="str">
        <f>IFERROR(__xludf.DUMMYFUNCTION("GOOGLETRANSLATE(C2954, ""en"", ""TL"")"),"Ang isang OFW na nasangkot sa isang kriminal na pagkakasala sa ibang bansa ay nahaharap sa mga legal na kahihinatnan batay sa **mga batas ng host country** kung saan nangyari ang pagkakasala.  Ang batas ng Pilipinas ay may limitadong direktang hurisdiksyo"&amp;"n sa mga ganitong kaso, ngunit mayroon pa ring mga mapagkukunang magagamit upang tulungan ang OFW.  Narito ang isang breakdown ng sitwasyon:
**Nangunguna ang Mga Batas ng Host Country**
* **Investigation and Prosecution:** Ang mga awtoridad ng host "&amp;"country ay mag-iimbestiga sa krimen at uusigin ang OFW ayon sa kanilang legal na sistema. Ang mga parusa ay maaaring mag-iba nang malaki depende sa partikular na pagkakasala, mula sa mga multa at pagkakulong hanggang sa deportasyon.
* **Legal na Represen"&amp;"tasyon:** Napakahalaga para sa OFW na makakuha ng legal na representasyon na pamilyar sa mga batas ng host country. Ang embahada o konsulado ng Pilipinas ay maaaring makapagbigay ng isang listahan ng mga abogado o ikonekta sila sa mga mapagkukunan upang m"&amp;"akahanap ng legal na tulong.
**Tulong ng Gobyerno ng Pilipinas**
* **Limited Legal Intervention:** Ang gobyerno ng Pilipinas ay hindi maaaring direktang makialam sa mga legal na paglilitis ng ibang bansa. 
* **Suporta at Patnubay:** Ang mga embahad"&amp;"a at konsulado ng Pilipinas ay maaaring mag-alok ng suporta at gabay sa OFW sa mahirap na panahong ito.  Maaaring kabilang dito ang:
    * Pagtulong sa kanila na maunawaan ang kanilang mga karapatan sa ilalim ng mga batas ng host country.
    * Pakikipa"&amp;"g-ugnayan sa kanilang mga pamilya sa Pilipinas.
    * Pinapadali ang komunikasyon sa isang abogado.
    * Pagbibigay ng limitadong tulong pinansyal sa ilang mga kaso (depende sa mga magagamit na mapagkukunan).
**Mga Pagsasaalang-alang para sa mga OFW"&amp;"**
* **Kaalaman sa mga Lokal na Batas:** Bago pumunta sa ibang bansa, dapat pamilyar ang mga OFW sa mga pangunahing batas at regulasyon ng host country, partikular na ang mga may kinalaman sa mga ipinagbabawal na aktibidad.
* **Iwasan ang Mga Mapangan"&amp;"ib na Sitwasyon:** Dapat iwasan ng mga OFW ang mga sitwasyong maaaring humantong sa aktibidad na kriminal. 
* **Humingi Kaagad ng Tulong:** Kung inaresto o inakusahan ng isang krimen, dapat makipag-ugnayan kaagad ang OFW sa pinakamalapit na embahada o ko"&amp;"nsulado ng Pilipinas para sa tulong.
**Tandaan**
* Ito ay isang pangkalahatang pangkalahatang-ideya, at ang mga partikular na legal na implikasyon ay mag-iiba depende sa mga batas ng host country at sa uri ng pagkakasala.
* Ang pagkonsulta sa isang"&amp;" abogado na pamilyar sa sistemang legal ng host country ay napakahalaga para sa pag-navigate sa sitwasyon at pagprotekta sa mga karapatan ng OFW.
* Pangunahing tungkulin ng gobyerno ng Pilipinas na magbigay ng suporta at patnubay, hindi direktang makagam"&amp;"bala sa legal na proseso ng host country.
**Mga Karagdagang Mapagkukunan**
* Ang website ng Philippine Department of Foreign Affairs (DFA) ([https://dfa.gov.ph/](https://dfa.gov.ph/)) ay mayroong seksyon sa ""Assistance to Nationals (ATN)"" na nagbi"&amp;"bigay ng impormasyon kung paano nila matutulungan ang mga Pilipinong nahihirapan sa ibang bansa, kabilang ang mga OFW na sangkot sa mga kasong kriminal.
")</f>
        <v>Ang isang OFW na nasangkot sa isang kriminal na pagkakasala sa ibang bansa ay nahaharap sa mga legal na kahihinatnan batay sa **mga batas ng host country** kung saan nangyari ang pagkakasala.  Ang batas ng Pilipinas ay may limitadong direktang hurisdiksyon sa mga ganitong kaso, ngunit mayroon pa ring mga mapagkukunang magagamit upang tulungan ang OFW.  Narito ang isang breakdown ng sitwasyon:
**Nangunguna ang Mga Batas ng Host Country**
* **Investigation and Prosecution:** Ang mga awtoridad ng host country ay mag-iimbestiga sa krimen at uusigin ang OFW ayon sa kanilang legal na sistema. Ang mga parusa ay maaaring mag-iba nang malaki depende sa partikular na pagkakasala, mula sa mga multa at pagkakulong hanggang sa deportasyon.
* **Legal na Representasyon:** Napakahalaga para sa OFW na makakuha ng legal na representasyon na pamilyar sa mga batas ng host country. Ang embahada o konsulado ng Pilipinas ay maaaring makapagbigay ng isang listahan ng mga abogado o ikonekta sila sa mga mapagkukunan upang makahanap ng legal na tulong.
**Tulong ng Gobyerno ng Pilipinas**
* **Limited Legal Intervention:** Ang gobyerno ng Pilipinas ay hindi maaaring direktang makialam sa mga legal na paglilitis ng ibang bansa. 
* **Suporta at Patnubay:** Ang mga embahada at konsulado ng Pilipinas ay maaaring mag-alok ng suporta at gabay sa OFW sa mahirap na panahong ito.  Maaaring kabilang dito ang:
    * Pagtulong sa kanila na maunawaan ang kanilang mga karapatan sa ilalim ng mga batas ng host country.
    * Pakikipag-ugnayan sa kanilang mga pamilya sa Pilipinas.
    * Pinapadali ang komunikasyon sa isang abogado.
    * Pagbibigay ng limitadong tulong pinansyal sa ilang mga kaso (depende sa mga magagamit na mapagkukunan).
**Mga Pagsasaalang-alang para sa mga OFW**
* **Kaalaman sa mga Lokal na Batas:** Bago pumunta sa ibang bansa, dapat pamilyar ang mga OFW sa mga pangunahing batas at regulasyon ng host country, partikular na ang mga may kinalaman sa mga ipinagbabawal na aktibidad.
* **Iwasan ang Mga Mapanganib na Sitwasyon:** Dapat iwasan ng mga OFW ang mga sitwasyong maaaring humantong sa aktibidad na kriminal. 
* **Humingi Kaagad ng Tulong:** Kung inaresto o inakusahan ng isang krimen, dapat makipag-ugnayan kaagad ang OFW sa pinakamalapit na embahada o konsulado ng Pilipinas para sa tulong.
**Tandaan**
* Ito ay isang pangkalahatang pangkalahatang-ideya, at ang mga partikular na legal na implikasyon ay mag-iiba depende sa mga batas ng host country at sa uri ng pagkakasala.
* Ang pagkonsulta sa isang abogado na pamilyar sa sistemang legal ng host country ay napakahalaga para sa pag-navigate sa sitwasyon at pagprotekta sa mga karapatan ng OFW.
* Pangunahing tungkulin ng gobyerno ng Pilipinas na magbigay ng suporta at patnubay, hindi direktang makagambala sa legal na proseso ng host country.
**Mga Karagdagang Mapagkukunan**
* Ang website ng Philippine Department of Foreign Affairs (DFA) ([https://dfa.gov.ph/](https://dfa.gov.ph/)) ay mayroong seksyon sa "Assistance to Nationals (ATN)" na nagbibigay ng impormasyon kung paano nila matutulungan ang mga Pilipinong nahihirapan sa ibang bansa, kabilang ang mga OFW na sangkot sa mga kasong kriminal.
</v>
      </c>
      <c r="F2954" s="2">
        <f t="shared" si="1"/>
        <v>0</v>
      </c>
      <c r="G2954" s="2"/>
      <c r="H2954" s="2"/>
      <c r="I2954" s="2"/>
      <c r="J2954" s="2"/>
      <c r="K2954" s="2"/>
      <c r="L2954" s="2"/>
      <c r="M2954" s="2"/>
      <c r="N2954" s="2"/>
      <c r="O2954" s="2"/>
      <c r="P2954" s="2"/>
      <c r="Q2954" s="2"/>
      <c r="R2954" s="2"/>
      <c r="S2954" s="2"/>
      <c r="T2954" s="2"/>
      <c r="U2954" s="2"/>
      <c r="V2954" s="2"/>
      <c r="W2954" s="2"/>
      <c r="X2954" s="2"/>
      <c r="Y2954" s="2"/>
      <c r="Z2954" s="2"/>
      <c r="AA2954" s="2"/>
    </row>
    <row r="2955">
      <c r="A2955" s="3" t="s">
        <v>6842</v>
      </c>
      <c r="B2955" s="1" t="s">
        <v>6885</v>
      </c>
      <c r="C2955" s="3" t="s">
        <v>6886</v>
      </c>
      <c r="D2955" s="2" t="str">
        <f>IFERROR(__xludf.DUMMYFUNCTION("GOOGLETRANSLATE(B2955, ""en"", ""TL"")"),"Maaari bang magmana ng ari-arian ang isang OFW sa Pilipinas habang naninirahan sa ibang bansa?")</f>
        <v>Maaari bang magmana ng ari-arian ang isang OFW sa Pilipinas habang naninirahan sa ibang bansa?</v>
      </c>
      <c r="E2955" s="2" t="str">
        <f>IFERROR(__xludf.DUMMYFUNCTION("GOOGLETRANSLATE(C2955, ""en"", ""TL"")"),"Oo, ang isang OFW na naninirahan sa ibang bansa ay maaaring magmana ng ari-arian sa Pilipinas. Hindi pinaghihigpitan ng batas ng Pilipinas ang mga karapatan sa mana batay sa katayuan ng paninirahan. Narito ang isang breakdown ng legalidad:
**Batas ng P"&amp;"ilipinas sa Mana**
* **Walang Paghihigpit sa Paninirahan:** Ang batas ng Pilipinas, partikular ang Kodigo Sibil, ay walang diskriminasyon laban sa mga Pilipinong naninirahan sa ibang bansa tungkol sa mga karapatan sa mana. Hangga't ang OFW ay isang leh"&amp;"itimong tagapagmana ayon sa kalooban ng namatay o sa pamamagitan ng intestate succession (kung walang habilin), maaari silang magmana ng ari-arian sa Pilipinas.
**Potensyal na Hamon**
* **Distansya at Komunikasyon:** Ang pisikal na distansya ay maaa"&amp;"ring lumikha ng mga hamon sa pamamahala sa proseso ng pagmamana.  Narito ang ilang mga posibilidad:
    * Paghirang ng Kinatawan: Ang OFW ay maaaring magtalaga ng pinagkakatiwalaang kinatawan sa Pilipinas sa pamamagitan ng Special Power of Attorney (SPA)"&amp;". Ang dokumentong ito ay nagbibigay sa kinatawan ng awtoridad na pangasiwaan ang mga bagay na may kaugnayan sa mana para sa kanila, tulad ng pakikipag-ugnayan sa mga abogado o ahensya ng gobyerno.
    * Komunikasyon sa mga Abugado at Tagapagmana: Ang pag"&amp;"papanatili ng malinaw na komunikasyon sa mga abogado na humahawak sa pag-aayos ng ari-arian at iba pang mga tagapagmana ay mahalaga.
* **Mga Implikasyon sa Buwis:** Ang mga OFW na nagmamana ng ari-arian sa Pilipinas ay maaaring sumailalim sa Philippine"&amp;" estate at inheritance tax. Ang pagkonsulta sa isang propesyonal sa buwis na pamilyar sa mga batas sa buwis ng Pilipinas para sa mga OFW ay inirerekomenda upang maunawaan ang kanilang mga obligasyon sa buwis.
**Mga Rekomendasyon**
* **Pag-unawa sa T"&amp;"estamento (kung mayroon):** Kung ang namatay ay nag-iwan ng testamento, maingat na suriin ito upang maunawaan ang proseso ng pamana at pamamahagi ng ari-arian.
* **Kumonsulta sa isang Abugado ng Pilipinas:** Humingi ng legal na payo mula sa isang abogado"&amp;"ng pamilyar sa mga batas sa mana ng Pilipinas. Maaari ka nilang gabayan sa proseso, tugunan ang anumang partikular na isyu na magmumula sa iyong sitwasyon bilang OFW, at tiyaking protektado ang iyong mga karapatan.
* **Panatilihing Organisado ang Mga Dok"&amp;"umento:** Panatilihin ang wastong dokumentasyong nauugnay sa iyong mana, tulad ng kopya ng testamento, sertipiko ng kamatayan, at patunay ng iyong kaugnayan sa namatay.
Sa pamamagitan ng pag-unawa sa mga batas sa pamana ng Pilipinas at pagsasagawa ng m"&amp;"ga kinakailangang pag-iingat, ang mga OFW na naninirahan sa ibang bansa ay maaaring epektibong pamahalaan ang kanilang mana sa Pilipinas.")</f>
        <v>Oo, ang isang OFW na naninirahan sa ibang bansa ay maaaring magmana ng ari-arian sa Pilipinas. Hindi pinaghihigpitan ng batas ng Pilipinas ang mga karapatan sa mana batay sa katayuan ng paninirahan. Narito ang isang breakdown ng legalidad:
**Batas ng Pilipinas sa Mana**
* **Walang Paghihigpit sa Paninirahan:** Ang batas ng Pilipinas, partikular ang Kodigo Sibil, ay walang diskriminasyon laban sa mga Pilipinong naninirahan sa ibang bansa tungkol sa mga karapatan sa mana. Hangga't ang OFW ay isang lehitimong tagapagmana ayon sa kalooban ng namatay o sa pamamagitan ng intestate succession (kung walang habilin), maaari silang magmana ng ari-arian sa Pilipinas.
**Potensyal na Hamon**
* **Distansya at Komunikasyon:** Ang pisikal na distansya ay maaaring lumikha ng mga hamon sa pamamahala sa proseso ng pagmamana.  Narito ang ilang mga posibilidad:
    * Paghirang ng Kinatawan: Ang OFW ay maaaring magtalaga ng pinagkakatiwalaang kinatawan sa Pilipinas sa pamamagitan ng Special Power of Attorney (SPA). Ang dokumentong ito ay nagbibigay sa kinatawan ng awtoridad na pangasiwaan ang mga bagay na may kaugnayan sa mana para sa kanila, tulad ng pakikipag-ugnayan sa mga abogado o ahensya ng gobyerno.
    * Komunikasyon sa mga Abugado at Tagapagmana: Ang pagpapanatili ng malinaw na komunikasyon sa mga abogado na humahawak sa pag-aayos ng ari-arian at iba pang mga tagapagmana ay mahalaga.
* **Mga Implikasyon sa Buwis:** Ang mga OFW na nagmamana ng ari-arian sa Pilipinas ay maaaring sumailalim sa Philippine estate at inheritance tax. Ang pagkonsulta sa isang propesyonal sa buwis na pamilyar sa mga batas sa buwis ng Pilipinas para sa mga OFW ay inirerekomenda upang maunawaan ang kanilang mga obligasyon sa buwis.
**Mga Rekomendasyon**
* **Pag-unawa sa Testamento (kung mayroon):** Kung ang namatay ay nag-iwan ng testamento, maingat na suriin ito upang maunawaan ang proseso ng pamana at pamamahagi ng ari-arian.
* **Kumonsulta sa isang Abugado ng Pilipinas:** Humingi ng legal na payo mula sa isang abogadong pamilyar sa mga batas sa mana ng Pilipinas. Maaari ka nilang gabayan sa proseso, tugunan ang anumang partikular na isyu na magmumula sa iyong sitwasyon bilang OFW, at tiyaking protektado ang iyong mga karapatan.
* **Panatilihing Organisado ang Mga Dokumento:** Panatilihin ang wastong dokumentasyong nauugnay sa iyong mana, tulad ng kopya ng testamento, sertipiko ng kamatayan, at patunay ng iyong kaugnayan sa namatay.
Sa pamamagitan ng pag-unawa sa mga batas sa pamana ng Pilipinas at pagsasagawa ng mga kinakailangang pag-iingat, ang mga OFW na naninirahan sa ibang bansa ay maaaring epektibong pamahalaan ang kanilang mana sa Pilipinas.</v>
      </c>
      <c r="F2955" s="2">
        <f t="shared" si="1"/>
        <v>0</v>
      </c>
      <c r="G2955" s="2"/>
      <c r="H2955" s="2"/>
      <c r="I2955" s="2"/>
      <c r="J2955" s="2"/>
      <c r="K2955" s="2"/>
      <c r="L2955" s="2"/>
      <c r="M2955" s="2"/>
      <c r="N2955" s="2"/>
      <c r="O2955" s="2"/>
      <c r="P2955" s="2"/>
      <c r="Q2955" s="2"/>
      <c r="R2955" s="2"/>
      <c r="S2955" s="2"/>
      <c r="T2955" s="2"/>
      <c r="U2955" s="2"/>
      <c r="V2955" s="2"/>
      <c r="W2955" s="2"/>
      <c r="X2955" s="2"/>
      <c r="Y2955" s="2"/>
      <c r="Z2955" s="2"/>
      <c r="AA2955" s="2"/>
    </row>
    <row r="2956">
      <c r="A2956" s="3" t="s">
        <v>6842</v>
      </c>
      <c r="B2956" s="1" t="s">
        <v>6887</v>
      </c>
      <c r="C2956" s="3" t="s">
        <v>6888</v>
      </c>
      <c r="D2956" s="2" t="str">
        <f>IFERROR(__xludf.DUMMYFUNCTION("GOOGLETRANSLATE(B2956, ""en"", ""TL"")"),"Ano ang mga legal na kinakailangan para sa isang OFW upang dalhin ang kanilang mga dependent sa kanila sa ibang bansa?")</f>
        <v>Ano ang mga legal na kinakailangan para sa isang OFW upang dalhin ang kanilang mga dependent sa kanila sa ibang bansa?</v>
      </c>
      <c r="E2956" s="2" t="str">
        <f>IFERROR(__xludf.DUMMYFUNCTION("GOOGLETRANSLATE(C2956, ""en"", ""TL"")"),"Narito ang isang breakdown ng mga legal na kinakailangan para sa isang OFW (Overseas Filipino Worker) upang dalhin ang kanilang mga dependent sa kanila sa ibang bansa:
**Mga Pangkalahatang Kinakailangan:**
* **Valid na Pasaporte:** Ang bawat depende"&amp;"nt (asawa at menor de edad na mga anak) ay dapat may balidong Philippine passport na may sapat na bisa (karaniwan ay anim na buwan na lampas sa nilalayong manatili sa ibang bansa).
* **Mga Kinakailangan sa Visa:** Ang mga partikular na kinakailangan sa v"&amp;"isa para sa mga dependent ay nakadepende sa host country.  Magsaliksik sa kategorya ng visa na angkop para sa mga dependent at tiyaking natutugunan mo ang lahat ng kinakailangang kinakailangan (mga dokumento, bayad, atbp.) Maaaring may kasamang mga cleara"&amp;"nce o medikal na eksaminasyon depende sa bansa.
* **Patunay ng Relasyon:** Ang mga dokumentong nagpapatunay sa relasyon ng OFW at ng mga dependent ay kadalasang kailangan. Maaaring kabilang dito ang sertipiko ng kasal para sa mga asawa at mga sertipiko n"&amp;"g kapanganakan para sa mga bata.
**Kontrata sa Pagtatrabaho at Visa Sponsorship**
* **Pahintulot ng Employer at Visa Sponsorship:** Sa maraming pagkakataon, ang kontrata sa pagtatrabaho ng OFW ay magsasaad kung maaari silang magdala ng mga dependent"&amp;".  Maaaring kailanganin din ng employer na i-sponsor ang mga visa ng mga dependent.  Kumpirmahin ang mga detalyeng ito sa iyong employer at tiyaking handa silang i-sponsor ang mga visa kung kinakailangan.
**Mga Karagdagang Pagsasaalang-alang**
* **M"&amp;"ga Paghihigpit sa Edad:** Ang ilang mga bansa ay maaaring magkaroon ng mga paghihigpit sa edad sa mga dependent na karapat-dapat na samahan ang mga OFW. 
* **Mga Kinakailangang Pananalapi:** Maaaring mangailangan ang ilang bansa ng patunay ng sapat na ma"&amp;"pagkukunang pinansyal upang suportahan ang mga umaasa. Maaaring kabilang dito ang mga bank statement o mga dokumento ng suweldo mula sa OFW.
* **Mga Sertipikong Medikal:** Ang ilang mga bansa ay maaaring mangailangan ng mga sertipikong medikal para sa mg"&amp;"a dependent, partikular na para sa mga bata.
**Mahalagang Mapagkukunan:**
* **Philippine Overseas Employment Administration (POEA):** Ang website ng POEA ([https://www.dmw.gov.ph/archives/default.html](https://www.dmw.gov.ph/archives /default.html))"&amp;" ay nagbibigay ng pangkalahatang impormasyon para sa mga OFW sa pagdadala ng mga dependent sa ibang bansa.  Maaari rin silang magbigay ng gabay sa mga partikular na kinakailangan para sa partikular na mga bansang host. 
* **Philippine Embassy o Consulate"&amp;" of the Host Country:** Ang pakikipag-ugnayan sa Philippine embassy o consulate sa bansa kung saan ka magtatrabaho ay napakahalaga. Maaari silang magbigay ng pinaka-up-to-date at tumpak na impormasyon sa mga kinakailangan sa visa at ang proseso para sa pa"&amp;"gdadala ng mga dependent.
**Tandaan:** Maaaring mag-iba ang mga kinakailangan depende sa partikular na host country at sitwasyon sa pagtatrabaho ng OFW. Mahalagang magsaliksik ng mabuti at kumunsulta sa mga kaugnay na ahensya ng gobyerno (POEA, embahad"&amp;"a/konsulado ng Pilipinas sa host country) upang matiyak na natutugunan mo ang lahat ng legal na kinakailangan bago dalhin ang iyong mga dependent sa ibang bansa.
")</f>
        <v>Narito ang isang breakdown ng mga legal na kinakailangan para sa isang OFW (Overseas Filipino Worker) upang dalhin ang kanilang mga dependent sa kanila sa ibang bansa:
**Mga Pangkalahatang Kinakailangan:**
* **Valid na Pasaporte:** Ang bawat dependent (asawa at menor de edad na mga anak) ay dapat may balidong Philippine passport na may sapat na bisa (karaniwan ay anim na buwan na lampas sa nilalayong manatili sa ibang bansa).
* **Mga Kinakailangan sa Visa:** Ang mga partikular na kinakailangan sa visa para sa mga dependent ay nakadepende sa host country.  Magsaliksik sa kategorya ng visa na angkop para sa mga dependent at tiyaking natutugunan mo ang lahat ng kinakailangang kinakailangan (mga dokumento, bayad, atbp.) Maaaring may kasamang mga clearance o medikal na eksaminasyon depende sa bansa.
* **Patunay ng Relasyon:** Ang mga dokumentong nagpapatunay sa relasyon ng OFW at ng mga dependent ay kadalasang kailangan. Maaaring kabilang dito ang sertipiko ng kasal para sa mga asawa at mga sertipiko ng kapanganakan para sa mga bata.
**Kontrata sa Pagtatrabaho at Visa Sponsorship**
* **Pahintulot ng Employer at Visa Sponsorship:** Sa maraming pagkakataon, ang kontrata sa pagtatrabaho ng OFW ay magsasaad kung maaari silang magdala ng mga dependent.  Maaaring kailanganin din ng employer na i-sponsor ang mga visa ng mga dependent.  Kumpirmahin ang mga detalyeng ito sa iyong employer at tiyaking handa silang i-sponsor ang mga visa kung kinakailangan.
**Mga Karagdagang Pagsasaalang-alang**
* **Mga Paghihigpit sa Edad:** Ang ilang mga bansa ay maaaring magkaroon ng mga paghihigpit sa edad sa mga dependent na karapat-dapat na samahan ang mga OFW. 
* **Mga Kinakailangang Pananalapi:** Maaaring mangailangan ang ilang bansa ng patunay ng sapat na mapagkukunang pinansyal upang suportahan ang mga umaasa. Maaaring kabilang dito ang mga bank statement o mga dokumento ng suweldo mula sa OFW.
* **Mga Sertipikong Medikal:** Ang ilang mga bansa ay maaaring mangailangan ng mga sertipikong medikal para sa mga dependent, partikular na para sa mga bata.
**Mahalagang Mapagkukunan:**
* **Philippine Overseas Employment Administration (POEA):** Ang website ng POEA ([https://www.dmw.gov.ph/archives/default.html](https://www.dmw.gov.ph/archives /default.html)) ay nagbibigay ng pangkalahatang impormasyon para sa mga OFW sa pagdadala ng mga dependent sa ibang bansa.  Maaari rin silang magbigay ng gabay sa mga partikular na kinakailangan para sa partikular na mga bansang host. 
* **Philippine Embassy o Consulate of the Host Country:** Ang pakikipag-ugnayan sa Philippine embassy o consulate sa bansa kung saan ka magtatrabaho ay napakahalaga. Maaari silang magbigay ng pinaka-up-to-date at tumpak na impormasyon sa mga kinakailangan sa visa at ang proseso para sa pagdadala ng mga dependent.
**Tandaan:** Maaaring mag-iba ang mga kinakailangan depende sa partikular na host country at sitwasyon sa pagtatrabaho ng OFW. Mahalagang magsaliksik ng mabuti at kumunsulta sa mga kaugnay na ahensya ng gobyerno (POEA, embahada/konsulado ng Pilipinas sa host country) upang matiyak na natutugunan mo ang lahat ng legal na kinakailangan bago dalhin ang iyong mga dependent sa ibang bansa.
</v>
      </c>
      <c r="F2956" s="2">
        <f t="shared" si="1"/>
        <v>0</v>
      </c>
      <c r="G2956" s="2"/>
      <c r="H2956" s="2"/>
      <c r="I2956" s="2"/>
      <c r="J2956" s="2"/>
      <c r="K2956" s="2"/>
      <c r="L2956" s="2"/>
      <c r="M2956" s="2"/>
      <c r="N2956" s="2"/>
      <c r="O2956" s="2"/>
      <c r="P2956" s="2"/>
      <c r="Q2956" s="2"/>
      <c r="R2956" s="2"/>
      <c r="S2956" s="2"/>
      <c r="T2956" s="2"/>
      <c r="U2956" s="2"/>
      <c r="V2956" s="2"/>
      <c r="W2956" s="2"/>
      <c r="X2956" s="2"/>
      <c r="Y2956" s="2"/>
      <c r="Z2956" s="2"/>
      <c r="AA2956" s="2"/>
    </row>
    <row r="2957">
      <c r="A2957" s="3" t="s">
        <v>6842</v>
      </c>
      <c r="B2957" s="1" t="s">
        <v>6889</v>
      </c>
      <c r="C2957" s="3" t="s">
        <v>6890</v>
      </c>
      <c r="D2957" s="2" t="str">
        <f>IFERROR(__xludf.DUMMYFUNCTION("GOOGLETRANSLATE(B2957, ""en"", ""TL"")"),"Paano tinutugunan ng batas ng Pilipinas ang mga kaso ng sapilitang paggawa sa mga OFW?")</f>
        <v>Paano tinutugunan ng batas ng Pilipinas ang mga kaso ng sapilitang paggawa sa mga OFW?</v>
      </c>
      <c r="E2957" s="2" t="str">
        <f>IFERROR(__xludf.DUMMYFUNCTION("GOOGLETRANSLATE(C2957, ""en"", ""TL"")"),"Kinikilala ng batas ng Pilipinas ang sapilitang paggawa bilang isang seryosong krimen at naglalayong protektahan ang mga OFW mula sa naturang pagsasamantala. Narito ang isang pangkalahatang-ideya kung paano tinutugunan ng batas ng Pilipinas ang sapilitang"&amp;" paggawa na kinasasangkutan ng mga OFW:
**Pangunahing Legal na Balangkas:**
* **Republic Act No. 9208 (Anti-Trafficking in Persons Act o ATIP Act):** Tinutukoy ng pangunahing batas na ito ang trafficking ng mga tao, kabilang ang aplikasyon nito sa s"&amp;"apilitang paggawa. Binabalangkas nito ang iba't ibang mga pagkakasala at kaukulang mga parusa.  Narito kung paano ito nalalapat sa mga OFW: 
    * **Mga Ipinagbabawal na Gawa:** Isinasaalang-alang ng Batas ang mga pagkilos tulad ng pangangalap, transport"&amp;"asyon, pagkukulong, o pagtanggap ng isang tao para sa sapilitang paggawa bilang mga paglabag sa trafficking.
    * **Espesyal na Proteksyon:** Kinikilala ng Batas ang kahinaan ng mga OFW sa trafficking at nag-uutos sa mga ahensya ng gobyerno na bigyan si"&amp;"la ng mga espesyal na hakbang sa proteksyon.
* **Republic Act No. 8042 (Migrant Workers and Overseas Filipinos Act):** Ang Batas na ito, kasama ng ATIP Act, ay nagpoprotekta sa mga karapatan at kapakanan ng mga OFW at kasama ang mga probisyon para sa pag"&amp;"hahain ng mga reklamo kung sila ay makatagpo ng mga sitwasyon ng sapilitang paggawa.
**Pagkilala sa Sapilitang Paggawa:**
Ang ATIP Act ay tumutukoy sa trafficking sa mga tao para sa sapilitang paggawa batay sa mga indicator tulad ng:
* **Paghihig"&amp;"pit sa Paggalaw:** Pagkumpiska ng mga pasaporte o mga dokumento ng pagkakakilanlan, o mga pisikal na hadlang na pumipigil sa manggagawa na umalis sa lugar ng trabaho o tirahan.
* **Mga Banta o Karahasan:** Pagiging sumailalim sa pisikal o sikolohikal na "&amp;"pagbabanta, pananakot, o karahasan upang pilitin ang trabaho.
* **Pagkaalipin sa Utang:** Napipilitang magtrabaho upang bayaran ang napakalaking utang na nilikha sa pamamagitan ng panlilinlang o pamimilit.
* **Pag-iwas sa Bayad:** Hindi pagtanggap ng ip"&amp;"inangakong sahod o pagkakaroon ng sahod na ipinagkait bilang isang paraan ng kontrol.
**Mga Legal na Proteksyon para sa mga OFW:**
* **Pagsisiyasat at Pag-uusig:** Ang mga awtoridad ng Pilipinas ay maaaring mag-imbestiga ng mga pinaghihinalaang kaso"&amp;" ng trafficking at kasuhan ang mga nagkasala sa ilalim ng ATIP Act. 
* **Tulong sa mga Biktima:** Ang mga biktima ng sapilitang paggawa ay maaaring makatanggap ng tulong ng gobyerno, kabilang ang repatriation, tirahan, pangangalagang medikal, at legal na"&amp;" pagpapayo.
* **Pre-Departure Seminars:** Ang POEA ay nagsasagawa ng mga pre-departure seminar upang turuan ang mga OFW tungkol sa mga panganib sa trafficking at kanilang mga karapatan.
**Mga Hamon at Gaps:**
* **Under-reporting:** Dahil sa takot o"&amp;" kawalan ng kamalayan, ang mga kaso ng forced labor sa mga OFW ay maaaring hindi naiulat.
* **Mga Kumplikado sa Pagtukoy sa Sapilitang Paggawa:** Maaaring hindi palaging ganap na akma ang mga sitwasyon sa legal na kahulugan, na nagpapahirap na patunayan "&amp;"ang sapilitang paggawa sa korte.
**Ano ang maaaring gawin?**
* **Pagtaas ng Kamalayan:** Ang pagtaas ng kamalayan sa mga potensyal na biktima at ng publiko ay maaaring makatulong sa pagtukoy at pag-ulat ng mga kaso.
* **Pagpapalakas ng Pagpapatupad"&amp;" ng Batas:** Ang epektibong imbestigasyon at pag-uusig sa mga kaso ng trafficking ay nagsisilbing mga hadlang.
* **Pagpapahusay ng Mga Panukalang Proteksiyon:** Ang matatag na pre-departure seminar at support system para sa mga OFW sa ibang bansa ay maka"&amp;"katulong na maiwasan ang pagsasamantala.
Sa pamamagitan ng pag-unawa sa legal na balangkas at mga limitasyon nito, pagtataguyod para sa mas malakas na pagpapatupad, at pagtataguyod ng kamalayan, mas mapoprotektahan ng Pilipinas ang mahina nitong popula"&amp;"syon ng OFW mula sa sapilitang paggawa. ")</f>
        <v>Kinikilala ng batas ng Pilipinas ang sapilitang paggawa bilang isang seryosong krimen at naglalayong protektahan ang mga OFW mula sa naturang pagsasamantala. Narito ang isang pangkalahatang-ideya kung paano tinutugunan ng batas ng Pilipinas ang sapilitang paggawa na kinasasangkutan ng mga OFW:
**Pangunahing Legal na Balangkas:**
* **Republic Act No. 9208 (Anti-Trafficking in Persons Act o ATIP Act):** Tinutukoy ng pangunahing batas na ito ang trafficking ng mga tao, kabilang ang aplikasyon nito sa sapilitang paggawa. Binabalangkas nito ang iba't ibang mga pagkakasala at kaukulang mga parusa.  Narito kung paano ito nalalapat sa mga OFW: 
    * **Mga Ipinagbabawal na Gawa:** Isinasaalang-alang ng Batas ang mga pagkilos tulad ng pangangalap, transportasyon, pagkukulong, o pagtanggap ng isang tao para sa sapilitang paggawa bilang mga paglabag sa trafficking.
    * **Espesyal na Proteksyon:** Kinikilala ng Batas ang kahinaan ng mga OFW sa trafficking at nag-uutos sa mga ahensya ng gobyerno na bigyan sila ng mga espesyal na hakbang sa proteksyon.
* **Republic Act No. 8042 (Migrant Workers and Overseas Filipinos Act):** Ang Batas na ito, kasama ng ATIP Act, ay nagpoprotekta sa mga karapatan at kapakanan ng mga OFW at kasama ang mga probisyon para sa paghahain ng mga reklamo kung sila ay makatagpo ng mga sitwasyon ng sapilitang paggawa.
**Pagkilala sa Sapilitang Paggawa:**
Ang ATIP Act ay tumutukoy sa trafficking sa mga tao para sa sapilitang paggawa batay sa mga indicator tulad ng:
* **Paghihigpit sa Paggalaw:** Pagkumpiska ng mga pasaporte o mga dokumento ng pagkakakilanlan, o mga pisikal na hadlang na pumipigil sa manggagawa na umalis sa lugar ng trabaho o tirahan.
* **Mga Banta o Karahasan:** Pagiging sumailalim sa pisikal o sikolohikal na pagbabanta, pananakot, o karahasan upang pilitin ang trabaho.
* **Pagkaalipin sa Utang:** Napipilitang magtrabaho upang bayaran ang napakalaking utang na nilikha sa pamamagitan ng panlilinlang o pamimilit.
* **Pag-iwas sa Bayad:** Hindi pagtanggap ng ipinangakong sahod o pagkakaroon ng sahod na ipinagkait bilang isang paraan ng kontrol.
**Mga Legal na Proteksyon para sa mga OFW:**
* **Pagsisiyasat at Pag-uusig:** Ang mga awtoridad ng Pilipinas ay maaaring mag-imbestiga ng mga pinaghihinalaang kaso ng trafficking at kasuhan ang mga nagkasala sa ilalim ng ATIP Act. 
* **Tulong sa mga Biktima:** Ang mga biktima ng sapilitang paggawa ay maaaring makatanggap ng tulong ng gobyerno, kabilang ang repatriation, tirahan, pangangalagang medikal, at legal na pagpapayo.
* **Pre-Departure Seminars:** Ang POEA ay nagsasagawa ng mga pre-departure seminar upang turuan ang mga OFW tungkol sa mga panganib sa trafficking at kanilang mga karapatan.
**Mga Hamon at Gaps:**
* **Under-reporting:** Dahil sa takot o kawalan ng kamalayan, ang mga kaso ng forced labor sa mga OFW ay maaaring hindi naiulat.
* **Mga Kumplikado sa Pagtukoy sa Sapilitang Paggawa:** Maaaring hindi palaging ganap na akma ang mga sitwasyon sa legal na kahulugan, na nagpapahirap na patunayan ang sapilitang paggawa sa korte.
**Ano ang maaaring gawin?**
* **Pagtaas ng Kamalayan:** Ang pagtaas ng kamalayan sa mga potensyal na biktima at ng publiko ay maaaring makatulong sa pagtukoy at pag-ulat ng mga kaso.
* **Pagpapalakas ng Pagpapatupad ng Batas:** Ang epektibong imbestigasyon at pag-uusig sa mga kaso ng trafficking ay nagsisilbing mga hadlang.
* **Pagpapahusay ng Mga Panukalang Proteksiyon:** Ang matatag na pre-departure seminar at support system para sa mga OFW sa ibang bansa ay makakatulong na maiwasan ang pagsasamantala.
Sa pamamagitan ng pag-unawa sa legal na balangkas at mga limitasyon nito, pagtataguyod para sa mas malakas na pagpapatupad, at pagtataguyod ng kamalayan, mas mapoprotektahan ng Pilipinas ang mahina nitong populasyon ng OFW mula sa sapilitang paggawa. </v>
      </c>
      <c r="F2957" s="2">
        <f t="shared" si="1"/>
        <v>0</v>
      </c>
      <c r="G2957" s="2"/>
      <c r="H2957" s="2"/>
      <c r="I2957" s="2"/>
      <c r="J2957" s="2"/>
      <c r="K2957" s="2"/>
      <c r="L2957" s="2"/>
      <c r="M2957" s="2"/>
      <c r="N2957" s="2"/>
      <c r="O2957" s="2"/>
      <c r="P2957" s="2"/>
      <c r="Q2957" s="2"/>
      <c r="R2957" s="2"/>
      <c r="S2957" s="2"/>
      <c r="T2957" s="2"/>
      <c r="U2957" s="2"/>
      <c r="V2957" s="2"/>
      <c r="W2957" s="2"/>
      <c r="X2957" s="2"/>
      <c r="Y2957" s="2"/>
      <c r="Z2957" s="2"/>
      <c r="AA2957" s="2"/>
    </row>
    <row r="2958">
      <c r="A2958" s="3" t="s">
        <v>6842</v>
      </c>
      <c r="B2958" s="1" t="s">
        <v>6891</v>
      </c>
      <c r="C2958" s="3" t="s">
        <v>6892</v>
      </c>
      <c r="D2958" s="2" t="str">
        <f>IFERROR(__xludf.DUMMYFUNCTION("GOOGLETRANSLATE(B2958, ""en"", ""TL"")"),"Maaari bang makisali sa mga gawaing pulitikal ang isang OFW habang nasa ibang bansa?")</f>
        <v>Maaari bang makisali sa mga gawaing pulitikal ang isang OFW habang nasa ibang bansa?</v>
      </c>
      <c r="E2958" s="2" t="str">
        <f>IFERROR(__xludf.DUMMYFUNCTION("GOOGLETRANSLATE(C2958, ""en"", ""TL"")"),"Ang pagsali sa mga gawaing pampulitika habang nasa ibang bansa ay maaaring maging isang komplikadong isyu para sa mga OFW (Overseas Filipino Workers). Hindi tahasang pinaghihigpitan ng batas ng Pilipinas ang mga ito, ngunit maaaring may mga limitasyon bat"&amp;"ay sa mga batas ng host country at kontrata sa pagtatrabaho ng OFW. Narito ang isang breakdown ng mga pagsasaalang-alang:
**Batas ng Pilipinas**
* **Walang Direktang Paghihigpit:** Ang batas ng Pilipinas ay walang kumot na paghihigpit sa mga gawaing"&amp;" pampulitika para sa mga OFW sa ibang bansa.  Ang kanilang karapatan sa pagboto ay protektado ng Konstitusyon, at maaari pa rin silang magparehistro para bumoto sa mga halalan sa Pilipinas habang nasa ibang bansa.
**Mga Batas ng Host Country**
* **M"&amp;"aaaring Ilapat ang Mga Paghihigpit:** Ang pangunahing salik ay ang **batas ng host country** kung saan nagtatrabaho ang OFW. Ang ilang mga bansa ay maaaring may mga paghihigpit sa mga dayuhang nakikilahok sa kanilang mga pampulitikang aktibidad, kabilang "&amp;"ang mga protesta o rally. Ang pagsasaliksik sa mga partikular na batas ng host country ay napakahalaga.
* **Mga Pagsasaalang-alang sa Work Permit/Visa:** Ang ilang mga work permit o visa na ibinigay ng host country ay maaaring may mga sugnay na nagbabawa"&amp;"l sa pampulitikang pakikipag-ugnayan.  Ang pagrepaso sa mga tuntunin ng iyong work visa o permit ay mahalaga.
**Mga Limitasyon sa Kontrata sa Pagtatrabaho**
* **Contractual Restrictions:** Ang kontrata sa pagtatrabaho ng OFW ay maaaring magtakda ng "&amp;"mga paghihigpit sa mga gawaing pampulitika.  Ang pagsali sa mga aktibidad na maaaring mapahamak ang kanilang trabaho o relasyon ng employer-empleyado ay hindi ipinapayong.
**Mga Pangkalahatang Rekomendasyon**
* **Priyoridad ang Mga Obligasyon sa Tra"&amp;"baho:** Siguraduhin na ang anumang pampulitikang aktibidad ay hindi makagambala sa pagganap ng iyong trabaho o lumalabag sa iyong kontrata sa pagtatrabaho.
* **Igalang ang Mga Batas ng Host Country:** Palaging sumunod sa mga batas at regulasyon ng bansa "&amp;"kung saan ka nagtatrabaho, kabilang ang mga nauugnay sa pakikilahok sa pulitika.
* **Mag-ingat sa Mga Patakaran ng Employer:** Magkaroon ng kamalayan sa anumang mga patakaran ng kumpanya tungkol sa mga aktibidad na pampulitika at iwasan ang mga aksyon na"&amp;" maaaring lumikha ng salungatan sa iyong employer.
* **Tumutok sa Halalan sa Pilipinas (kung naaangkop):** Kung nais mong lumahok sa pulitika, maaari kang magparehistro upang bumoto sa mga halalan sa Pilipinas habang nasa ibang bansa at iboto ang iyong a"&amp;"bsentee ballot.
**Tandaan**
* Ang partikular na sitwasyon ay mag-iiba depende sa mga batas ng host country at kontrata sa trabaho ng OFW. 
* Laging pinakamahusay na unahin ang mga obligasyon sa trabaho at iwasang malagay sa alanganin ang iyong trab"&amp;"aho.
* Napakahalaga ng pagsasaliksik sa mga kaugnay na batas at regulasyon nang maaga upang maiwasan ang anumang mga legal na isyu.
Kung hindi ka sigurado tungkol sa mga partikular na limitasyon sa iyong sitwasyon, isaalang-alang ang pagkonsulta sa em"&amp;"bahada o konsulado ng Pilipinas sa host country. Maaari silang magbigay ng gabay batay sa mga lokal na batas at payuhan ka kung paano i-navigate ang isyung ito nang ligtas.")</f>
        <v>Ang pagsali sa mga gawaing pampulitika habang nasa ibang bansa ay maaaring maging isang komplikadong isyu para sa mga OFW (Overseas Filipino Workers). Hindi tahasang pinaghihigpitan ng batas ng Pilipinas ang mga ito, ngunit maaaring may mga limitasyon batay sa mga batas ng host country at kontrata sa pagtatrabaho ng OFW. Narito ang isang breakdown ng mga pagsasaalang-alang:
**Batas ng Pilipinas**
* **Walang Direktang Paghihigpit:** Ang batas ng Pilipinas ay walang kumot na paghihigpit sa mga gawaing pampulitika para sa mga OFW sa ibang bansa.  Ang kanilang karapatan sa pagboto ay protektado ng Konstitusyon, at maaari pa rin silang magparehistro para bumoto sa mga halalan sa Pilipinas habang nasa ibang bansa.
**Mga Batas ng Host Country**
* **Maaaring Ilapat ang Mga Paghihigpit:** Ang pangunahing salik ay ang **batas ng host country** kung saan nagtatrabaho ang OFW. Ang ilang mga bansa ay maaaring may mga paghihigpit sa mga dayuhang nakikilahok sa kanilang mga pampulitikang aktibidad, kabilang ang mga protesta o rally. Ang pagsasaliksik sa mga partikular na batas ng host country ay napakahalaga.
* **Mga Pagsasaalang-alang sa Work Permit/Visa:** Ang ilang mga work permit o visa na ibinigay ng host country ay maaaring may mga sugnay na nagbabawal sa pampulitikang pakikipag-ugnayan.  Ang pagrepaso sa mga tuntunin ng iyong work visa o permit ay mahalaga.
**Mga Limitasyon sa Kontrata sa Pagtatrabaho**
* **Contractual Restrictions:** Ang kontrata sa pagtatrabaho ng OFW ay maaaring magtakda ng mga paghihigpit sa mga gawaing pampulitika.  Ang pagsali sa mga aktibidad na maaaring mapahamak ang kanilang trabaho o relasyon ng employer-empleyado ay hindi ipinapayong.
**Mga Pangkalahatang Rekomendasyon**
* **Priyoridad ang Mga Obligasyon sa Trabaho:** Siguraduhin na ang anumang pampulitikang aktibidad ay hindi makagambala sa pagganap ng iyong trabaho o lumalabag sa iyong kontrata sa pagtatrabaho.
* **Igalang ang Mga Batas ng Host Country:** Palaging sumunod sa mga batas at regulasyon ng bansa kung saan ka nagtatrabaho, kabilang ang mga nauugnay sa pakikilahok sa pulitika.
* **Mag-ingat sa Mga Patakaran ng Employer:** Magkaroon ng kamalayan sa anumang mga patakaran ng kumpanya tungkol sa mga aktibidad na pampulitika at iwasan ang mga aksyon na maaaring lumikha ng salungatan sa iyong employer.
* **Tumutok sa Halalan sa Pilipinas (kung naaangkop):** Kung nais mong lumahok sa pulitika, maaari kang magparehistro upang bumoto sa mga halalan sa Pilipinas habang nasa ibang bansa at iboto ang iyong absentee ballot.
**Tandaan**
* Ang partikular na sitwasyon ay mag-iiba depende sa mga batas ng host country at kontrata sa trabaho ng OFW. 
* Laging pinakamahusay na unahin ang mga obligasyon sa trabaho at iwasang malagay sa alanganin ang iyong trabaho.
* Napakahalaga ng pagsasaliksik sa mga kaugnay na batas at regulasyon nang maaga upang maiwasan ang anumang mga legal na isyu.
Kung hindi ka sigurado tungkol sa mga partikular na limitasyon sa iyong sitwasyon, isaalang-alang ang pagkonsulta sa embahada o konsulado ng Pilipinas sa host country. Maaari silang magbigay ng gabay batay sa mga lokal na batas at payuhan ka kung paano i-navigate ang isyung ito nang ligtas.</v>
      </c>
      <c r="F2958" s="2">
        <f t="shared" si="1"/>
        <v>0</v>
      </c>
      <c r="G2958" s="2"/>
      <c r="H2958" s="2"/>
      <c r="I2958" s="2"/>
      <c r="J2958" s="2"/>
      <c r="K2958" s="2"/>
      <c r="L2958" s="2"/>
      <c r="M2958" s="2"/>
      <c r="N2958" s="2"/>
      <c r="O2958" s="2"/>
      <c r="P2958" s="2"/>
      <c r="Q2958" s="2"/>
      <c r="R2958" s="2"/>
      <c r="S2958" s="2"/>
      <c r="T2958" s="2"/>
      <c r="U2958" s="2"/>
      <c r="V2958" s="2"/>
      <c r="W2958" s="2"/>
      <c r="X2958" s="2"/>
      <c r="Y2958" s="2"/>
      <c r="Z2958" s="2"/>
      <c r="AA2958" s="2"/>
    </row>
    <row r="2959">
      <c r="A2959" s="3" t="s">
        <v>6842</v>
      </c>
      <c r="B2959" s="1" t="s">
        <v>6893</v>
      </c>
      <c r="C2959" s="3" t="s">
        <v>6894</v>
      </c>
      <c r="D2959" s="2" t="str">
        <f>IFERROR(__xludf.DUMMYFUNCTION("GOOGLETRANSLATE(B2959, ""en"", ""TL"")"),"Sa ilalim ng batas ng Pilipinas, ano ang mga karapatan ng isang OFW tungkol sa pagpapauwi sakaling magkaroon ng krisis o hidwaan sa kanilang host country?")</f>
        <v>Sa ilalim ng batas ng Pilipinas, ano ang mga karapatan ng isang OFW tungkol sa pagpapauwi sakaling magkaroon ng krisis o hidwaan sa kanilang host country?</v>
      </c>
      <c r="E2959" s="2" t="str">
        <f>IFERROR(__xludf.DUMMYFUNCTION("GOOGLETRANSLATE(C2959, ""en"", ""TL"")"),"Kinikilala ng batas ng Pilipinas ang kahinaan ng mga OFW sa mga sitwasyon ng krisis sa ibang bansa at ipinag-uutos ang kanilang pagpapauwi sa ilalim ng mga partikular na kalagayan. Narito ang isang breakdown ng mga nauugnay na legal na probisyon:
* **R"&amp;"epublic Act No. 8042 (Migrant Workers and Overseas Filipinos Act):** Ang Batas na ito, na kilala rin bilang Migrant Workers Act, ay ang pundasyon ng mga legal na proteksyon para sa mga OFW. Kabilang dito ang mga probisyon sa repatriation:
    * **Seksyon"&amp;" 10(b):** Nag-uutos sa pamahalaan na magtatag ng isang programa upang tulungan at protektahan ang mga OFW na nasa kagipitan, kabilang ang mga apektado ng mga digmaan, kalamidad, o iba pang katulad na mga kaganapan.
    * **Seksyon 15:** Partikular na ina"&amp;"tasan ang Overseas Workers Welfare Administration (OWWA) sa pagsasagawa ng repatriation ng mga distressed OFW.
**Obligasyon ng Gobyerno na Mag-repatriate**
Batay sa Migrant Workers Act, ang gobyerno ng Pilipinas ay may legal na obligasyon na iuwi an"&amp;"g mga OFW sa ilalim ng ilang mga kundisyon:
* **Digmaan o Armed Conflict:** Kung ang host country ay makaranas ng digmaan o armadong labanan na nagdudulot ng matinding panganib sa kaligtasan at seguridad ng mga OFW.
* **Epidemics o Natural Disasters:*"&amp;"* Kapag ang host country ay nakakaranas ng matinding epidemya o natural na kalamidad na makabuluhang banta sa kalusugan at kapakanan ng mga OFW.
* **Iba Pang Katulad na Kaganapan:** Ang batas ay nagbibigay ng puwang para sa interpretasyon tungkol sa ""ib"&amp;"a pang katulad na mga kaganapan"" na maaaring mangailangan ng repatriation. 
**Ang Papel ng OWWA sa Pagpapauwi**
Ang OWWA ang pangunahing ahensya ng gobyerno na responsable sa pagpapauwi ng mga distressed OFW. Sila ay gumaganap ng isang mahalagang p"&amp;"apel sa:
    * **Pagsubaybay sa Mga Sitwasyon ng Krisis:** Pagsubaybay sa mga sitwasyon sa mga bansang may malaking populasyon ng OFW at pagtukoy ng mga potensyal na banta.
    * **Coordinating Repatriation Efforts:** Makipagtulungan sa mga embahada/k"&amp;"onsulado ng Pilipinas sa ibang bansa, lokal na awtoridad, at iba pang ahensya ng gobyerno upang ayusin ang ligtas at mahusay na proseso ng repatriation.
    * **Tulong Pinansyal:** Ang OWWA ay maaaring magbigay ng tulong pinansyal upang suportahan ang mg"&amp;"a gastos sa pagpapauwi, lalo na para sa mga mismong hindi kayang bayaran ito.  Maaaring kabilang dito ang pag-tap sa Emergency Repatriation Fund na nilikha at pinamamahalaan ng OWWA.
**Mahahalagang Pagsasaalang-alang**
* **Voluntary vs. Mandatory Re"&amp;"patriation:** Sa ilang kaso, ang repatriation ay maaaring boluntaryo, kung saan pinapayuhan at tinutulungan ng gobyerno ang mga OFW na gustong umalis sa host country dahil sa isang krisis. Sa ibang mga sitwasyon, maaaring ipatupad ang mandatory repatriati"&amp;"on upang matiyak ang kaligtasan ng mga OFW na nahaharap sa mga napipintong banta.
* **Responsibilidad ng Empleyado:** Kinikilala din ng Migrant Workers Act ang responsibilidad ng employer sa mga gastos sa pagpapauwi sa ilang partikular na sitwasyon. 
"&amp;"**Ano ang magagawa ng isang OFW?**
* **Magparehistro sa Philippine Embassy/Consulate:** Ang pagpaparehistro sa pinakamalapit na embahada o konsulado ng Pilipinas sa host country ay nagpapahintulot sa kanila na makatanggap ng mga update, patnubay, at tu"&amp;"long sa panahon ng mga sitwasyon ng krisis.
* **Subaybayan ang mga Balita at Advisory:** Manatiling may alam tungkol sa sitwasyon sa host country at bigyang pansin ang mga advisory mula sa mga awtoridad ng Pilipinas.
* **Makipag-ugnayan sa Embahada/Kons"&amp;"ulado ng Pilipinas kung Kailangan:** Kung nahaharap sa mga banta o nais na makauwi, huwag mag-atubiling makipag-ugnayan sa embahada/konsulado ng Pilipinas para sa gabay at tulong.
Ang batas ng Pilipinas ay nagbibigay ng safety net para sa mga OFW sa mg"&amp;"a sitwasyon ng krisis sa ibang bansa. Sa pamamagitan ng pag-unawa sa kanilang mga karapatan at papel ng gobyerno sa repatriation, ang mga OFW ay maaaring mag-navigate sa mahihirap na panahon na may mas mahusay na suporta. ")</f>
        <v>Kinikilala ng batas ng Pilipinas ang kahinaan ng mga OFW sa mga sitwasyon ng krisis sa ibang bansa at ipinag-uutos ang kanilang pagpapauwi sa ilalim ng mga partikular na kalagayan. Narito ang isang breakdown ng mga nauugnay na legal na probisyon:
* **Republic Act No. 8042 (Migrant Workers and Overseas Filipinos Act):** Ang Batas na ito, na kilala rin bilang Migrant Workers Act, ay ang pundasyon ng mga legal na proteksyon para sa mga OFW. Kabilang dito ang mga probisyon sa repatriation:
    * **Seksyon 10(b):** Nag-uutos sa pamahalaan na magtatag ng isang programa upang tulungan at protektahan ang mga OFW na nasa kagipitan, kabilang ang mga apektado ng mga digmaan, kalamidad, o iba pang katulad na mga kaganapan.
    * **Seksyon 15:** Partikular na inatasan ang Overseas Workers Welfare Administration (OWWA) sa pagsasagawa ng repatriation ng mga distressed OFW.
**Obligasyon ng Gobyerno na Mag-repatriate**
Batay sa Migrant Workers Act, ang gobyerno ng Pilipinas ay may legal na obligasyon na iuwi ang mga OFW sa ilalim ng ilang mga kundisyon:
* **Digmaan o Armed Conflict:** Kung ang host country ay makaranas ng digmaan o armadong labanan na nagdudulot ng matinding panganib sa kaligtasan at seguridad ng mga OFW.
* **Epidemics o Natural Disasters:** Kapag ang host country ay nakakaranas ng matinding epidemya o natural na kalamidad na makabuluhang banta sa kalusugan at kapakanan ng mga OFW.
* **Iba Pang Katulad na Kaganapan:** Ang batas ay nagbibigay ng puwang para sa interpretasyon tungkol sa "iba pang katulad na mga kaganapan" na maaaring mangailangan ng repatriation. 
**Ang Papel ng OWWA sa Pagpapauwi**
Ang OWWA ang pangunahing ahensya ng gobyerno na responsable sa pagpapauwi ng mga distressed OFW. Sila ay gumaganap ng isang mahalagang papel sa:
    * **Pagsubaybay sa Mga Sitwasyon ng Krisis:** Pagsubaybay sa mga sitwasyon sa mga bansang may malaking populasyon ng OFW at pagtukoy ng mga potensyal na banta.
    * **Coordinating Repatriation Efforts:** Makipagtulungan sa mga embahada/konsulado ng Pilipinas sa ibang bansa, lokal na awtoridad, at iba pang ahensya ng gobyerno upang ayusin ang ligtas at mahusay na proseso ng repatriation.
    * **Tulong Pinansyal:** Ang OWWA ay maaaring magbigay ng tulong pinansyal upang suportahan ang mga gastos sa pagpapauwi, lalo na para sa mga mismong hindi kayang bayaran ito.  Maaaring kabilang dito ang pag-tap sa Emergency Repatriation Fund na nilikha at pinamamahalaan ng OWWA.
**Mahahalagang Pagsasaalang-alang**
* **Voluntary vs. Mandatory Repatriation:** Sa ilang kaso, ang repatriation ay maaaring boluntaryo, kung saan pinapayuhan at tinutulungan ng gobyerno ang mga OFW na gustong umalis sa host country dahil sa isang krisis. Sa ibang mga sitwasyon, maaaring ipatupad ang mandatory repatriation upang matiyak ang kaligtasan ng mga OFW na nahaharap sa mga napipintong banta.
* **Responsibilidad ng Empleyado:** Kinikilala din ng Migrant Workers Act ang responsibilidad ng employer sa mga gastos sa pagpapauwi sa ilang partikular na sitwasyon. 
**Ano ang magagawa ng isang OFW?**
* **Magparehistro sa Philippine Embassy/Consulate:** Ang pagpaparehistro sa pinakamalapit na embahada o konsulado ng Pilipinas sa host country ay nagpapahintulot sa kanila na makatanggap ng mga update, patnubay, at tulong sa panahon ng mga sitwasyon ng krisis.
* **Subaybayan ang mga Balita at Advisory:** Manatiling may alam tungkol sa sitwasyon sa host country at bigyang pansin ang mga advisory mula sa mga awtoridad ng Pilipinas.
* **Makipag-ugnayan sa Embahada/Konsulado ng Pilipinas kung Kailangan:** Kung nahaharap sa mga banta o nais na makauwi, huwag mag-atubiling makipag-ugnayan sa embahada/konsulado ng Pilipinas para sa gabay at tulong.
Ang batas ng Pilipinas ay nagbibigay ng safety net para sa mga OFW sa mga sitwasyon ng krisis sa ibang bansa. Sa pamamagitan ng pag-unawa sa kanilang mga karapatan at papel ng gobyerno sa repatriation, ang mga OFW ay maaaring mag-navigate sa mahihirap na panahon na may mas mahusay na suporta. </v>
      </c>
      <c r="F2959" s="2">
        <f t="shared" si="1"/>
        <v>0</v>
      </c>
      <c r="G2959" s="2"/>
      <c r="H2959" s="2"/>
      <c r="I2959" s="2"/>
      <c r="J2959" s="2"/>
      <c r="K2959" s="2"/>
      <c r="L2959" s="2"/>
      <c r="M2959" s="2"/>
      <c r="N2959" s="2"/>
      <c r="O2959" s="2"/>
      <c r="P2959" s="2"/>
      <c r="Q2959" s="2"/>
      <c r="R2959" s="2"/>
      <c r="S2959" s="2"/>
      <c r="T2959" s="2"/>
      <c r="U2959" s="2"/>
      <c r="V2959" s="2"/>
      <c r="W2959" s="2"/>
      <c r="X2959" s="2"/>
      <c r="Y2959" s="2"/>
      <c r="Z2959" s="2"/>
      <c r="AA2959" s="2"/>
    </row>
    <row r="2960">
      <c r="A2960" s="3" t="s">
        <v>6842</v>
      </c>
      <c r="B2960" s="1" t="s">
        <v>6895</v>
      </c>
      <c r="C2960" s="3" t="s">
        <v>6896</v>
      </c>
      <c r="D2960" s="2" t="str">
        <f>IFERROR(__xludf.DUMMYFUNCTION("GOOGLETRANSLATE(B2960, ""en"", ""TL"")"),"Paano pinoprotektahan ng batas ng Pilipinas ang mga karapatan ng mga OFW sa mga kaso ng pagkabangkarote ng employer sa ibang bansa?")</f>
        <v>Paano pinoprotektahan ng batas ng Pilipinas ang mga karapatan ng mga OFW sa mga kaso ng pagkabangkarote ng employer sa ibang bansa?</v>
      </c>
      <c r="E2960" s="2" t="str">
        <f>IFERROR(__xludf.DUMMYFUNCTION("GOOGLETRANSLATE(C2960, ""en"", ""TL"")"),"Nag-aalok ang batas ng Pilipinas ng ilang layer ng proteksyon para sa mga Overseas Filipino Workers (OFWs) sa mga kaso ng pagkabangkarote ng employer sa ibang bansa:
**1. Guarantee Fund sa ilalim ng POEA Rule 10, Section 3(g):**
* Ang Philippine Ove"&amp;"rseas Employment Administration (POEA) ay nagpapanatili ng Guarantee Fund para matulungan ang mga distressed OFWs.
* Sa mga kaso ng pagkabangkarote ng employer, ang mga manggagawang Pilipino ay maaaring maging karapat-dapat para sa tulong pinansyal mula "&amp;"sa pondong ito. 
* Ang partikular na halaga at mga kinakailangan sa pagiging karapat-dapat ay nakabalangkas sa Panuntunan 10 ng POEA.
**2. Standard Employment Contract (SEC):**
* Ang POEA ay nangangailangan ng Standard Employment Contract (SEC) par"&amp;"a sa lahat ng naka-deploy na manggagawang Pilipino.
* Karaniwang kasama sa kontratang ito ang isang sugnay na nag-aatas sa mga tagapag-empleyo na magpanatili ng ilang uri ng security deposit o garantiya na bahagyang bayaran ang mga manggagawa sa kaso ng "&amp;"mga hindi inaasahang pangyayari tulad ng pagkabangkarote.
**3. Mga Benepisyo sa Post-employment sa ilalim ng Philippine Overseas Labor Office (POLO):**
* Ang Philippine Overseas Labor Office (POLO) ay tumatakbo sa ilalim ng Department of Labor and E"&amp;"mployment (DOLE).
* Ang mga kinatawan ng POLO ay nakatalaga sa iba't ibang bansa na may malaking populasyon ng OFW.
* Maaari nilang tulungan ang mga nahihirapang manggagawa, kabilang ang mga apektado ng pagkabangkarote ng employer, sa pag-claim ng kanil"&amp;"ang hindi nabayarang mga suweldo, benepisyo, at mga gastos sa pagpapauwi.
**4. Bilateral Labor Agreements (BLAs):**
* Ang Pilipinas ay may bilateral labor agreements (BLAs) sa maraming bansa kung saan madalas na naka-deploy ang mga OFW.
* Ang mga k"&amp;"asunduang ito ay kadalasang nagtatag ng mga mekanismo para sa paglutas ng mga hindi pagkakaunawaan sa paggawa, kabilang ang mga nagmumula sa pagkabangkarote ng employer.
* Ang mga BLA ay maaari ding mag-atas ng mga partikular na proteksyon para sa mga ma"&amp;"nggagawang Pilipino sa mga ganitong sitwasyon.
**5. RA 8042, Migrant Workers and Overseas Filipinos Act:**
* Ang Republic Act 8042, na kilala rin bilang Migrant Workers and Overseas Filipinos Act, ay isang komprehensibong batas na nangangalaga sa mg"&amp;"a karapatan at kapakanan ng mga OFW.
* Bagama't hindi nito direktang tinutugunan ang pagkabangkarote ng employer, pinalalakas nito ang mandato ng gobyerno na tulungan ang mga Pilipinong nasa distress sa ibang bansa, kabilang ang mga nahaharap sa kahirapa"&amp;"n sa pananalapi dahil sa pagsasara ng employer.
**Mga Karagdagang Mapagkukunan:**
* POEA - [https://www.dmw.gov.ph/archives/default.html](https://www.dmw.gov.ph/archives/default.html)
* DOLE - [https://www.officialgazette.gov.ph/section/briefing-ro"&amp;"om/department-of-labor-and-employment/](https://www.officialgazette.gov.ph/section/briefing- silid/kagawaran-ng-paggawa-at-trabaho/)
Tandaan, ito ay isang pinasimple na pangkalahatang-ideya.  Para sa partikular na legal na payo sa iyong sitwasyon, pa"&amp;"laging inirerekomenda na kumunsulta sa isang abogado na dalubhasa sa batas sa paggawa ng Pilipinas.")</f>
        <v>Nag-aalok ang batas ng Pilipinas ng ilang layer ng proteksyon para sa mga Overseas Filipino Workers (OFWs) sa mga kaso ng pagkabangkarote ng employer sa ibang bansa:
**1. Guarantee Fund sa ilalim ng POEA Rule 10, Section 3(g):**
* Ang Philippine Overseas Employment Administration (POEA) ay nagpapanatili ng Guarantee Fund para matulungan ang mga distressed OFWs.
* Sa mga kaso ng pagkabangkarote ng employer, ang mga manggagawang Pilipino ay maaaring maging karapat-dapat para sa tulong pinansyal mula sa pondong ito. 
* Ang partikular na halaga at mga kinakailangan sa pagiging karapat-dapat ay nakabalangkas sa Panuntunan 10 ng POEA.
**2. Standard Employment Contract (SEC):**
* Ang POEA ay nangangailangan ng Standard Employment Contract (SEC) para sa lahat ng naka-deploy na manggagawang Pilipino.
* Karaniwang kasama sa kontratang ito ang isang sugnay na nag-aatas sa mga tagapag-empleyo na magpanatili ng ilang uri ng security deposit o garantiya na bahagyang bayaran ang mga manggagawa sa kaso ng mga hindi inaasahang pangyayari tulad ng pagkabangkarote.
**3. Mga Benepisyo sa Post-employment sa ilalim ng Philippine Overseas Labor Office (POLO):**
* Ang Philippine Overseas Labor Office (POLO) ay tumatakbo sa ilalim ng Department of Labor and Employment (DOLE).
* Ang mga kinatawan ng POLO ay nakatalaga sa iba't ibang bansa na may malaking populasyon ng OFW.
* Maaari nilang tulungan ang mga nahihirapang manggagawa, kabilang ang mga apektado ng pagkabangkarote ng employer, sa pag-claim ng kanilang hindi nabayarang mga suweldo, benepisyo, at mga gastos sa pagpapauwi.
**4. Bilateral Labor Agreements (BLAs):**
* Ang Pilipinas ay may bilateral labor agreements (BLAs) sa maraming bansa kung saan madalas na naka-deploy ang mga OFW.
* Ang mga kasunduang ito ay kadalasang nagtatag ng mga mekanismo para sa paglutas ng mga hindi pagkakaunawaan sa paggawa, kabilang ang mga nagmumula sa pagkabangkarote ng employer.
* Ang mga BLA ay maaari ding mag-atas ng mga partikular na proteksyon para sa mga manggagawang Pilipino sa mga ganitong sitwasyon.
**5. RA 8042, Migrant Workers and Overseas Filipinos Act:**
* Ang Republic Act 8042, na kilala rin bilang Migrant Workers and Overseas Filipinos Act, ay isang komprehensibong batas na nangangalaga sa mga karapatan at kapakanan ng mga OFW.
* Bagama't hindi nito direktang tinutugunan ang pagkabangkarote ng employer, pinalalakas nito ang mandato ng gobyerno na tulungan ang mga Pilipinong nasa distress sa ibang bansa, kabilang ang mga nahaharap sa kahirapan sa pananalapi dahil sa pagsasara ng employer.
**Mga Karagdagang Mapagkukunan:**
* POEA - [https://www.dmw.gov.ph/archives/default.html](https://www.dmw.gov.ph/archives/default.html)
* DOLE - [https://www.officialgazette.gov.ph/section/briefing-room/department-of-labor-and-employment/](https://www.officialgazette.gov.ph/section/briefing- silid/kagawaran-ng-paggawa-at-trabaho/)
Tandaan, ito ay isang pinasimple na pangkalahatang-ideya.  Para sa partikular na legal na payo sa iyong sitwasyon, palaging inirerekomenda na kumunsulta sa isang abogado na dalubhasa sa batas sa paggawa ng Pilipinas.</v>
      </c>
      <c r="F2960" s="2">
        <f t="shared" si="1"/>
        <v>0</v>
      </c>
      <c r="G2960" s="2"/>
      <c r="H2960" s="2"/>
      <c r="I2960" s="2"/>
      <c r="J2960" s="2"/>
      <c r="K2960" s="2"/>
      <c r="L2960" s="2"/>
      <c r="M2960" s="2"/>
      <c r="N2960" s="2"/>
      <c r="O2960" s="2"/>
      <c r="P2960" s="2"/>
      <c r="Q2960" s="2"/>
      <c r="R2960" s="2"/>
      <c r="S2960" s="2"/>
      <c r="T2960" s="2"/>
      <c r="U2960" s="2"/>
      <c r="V2960" s="2"/>
      <c r="W2960" s="2"/>
      <c r="X2960" s="2"/>
      <c r="Y2960" s="2"/>
      <c r="Z2960" s="2"/>
      <c r="AA2960" s="2"/>
    </row>
    <row r="2961">
      <c r="A2961" s="3" t="s">
        <v>6842</v>
      </c>
      <c r="B2961" s="1" t="s">
        <v>6897</v>
      </c>
      <c r="C2961" s="3" t="s">
        <v>6898</v>
      </c>
      <c r="D2961" s="2" t="str">
        <f>IFERROR(__xludf.DUMMYFUNCTION("GOOGLETRANSLATE(B2961, ""en"", ""TL"")"),"Maaari bang legal na magtrabaho ang isang OFW sa isang bansang hindi sakop ng bilateral labor agreement sa Pilipinas?")</f>
        <v>Maaari bang legal na magtrabaho ang isang OFW sa isang bansang hindi sakop ng bilateral labor agreement sa Pilipinas?</v>
      </c>
      <c r="E2961" s="2" t="str">
        <f>IFERROR(__xludf.DUMMYFUNCTION("GOOGLETRANSLATE(C2961, ""en"", ""TL"")"),"Walang malinaw na sagot na ""oo"" o ""hindi"" sa batas ng Pilipinas (RA at Konstitusyon) sa legal na katayuan ng isang OFW na nagtatrabaho sa isang bansang walang bilateral labor agreement (BLA) sa Pilipinas. 
Narito ang sinasabi ng mga nauugnay na bat"&amp;"as sa Pilipinas:
* **Republic Act No. 10022 (An Act Amending RA 8042):** Section 15(b)(2) of this Act, emphasis government efforts to deploy Filipino workers "" only to countries where the Philippines has concluded bilateral labor agreements or kaayusa"&amp;"n."" Ito ay nagpapahiwatig ng isang kagustuhan para sa mga BLA ngunit hindi tahasang nagbabawal sa pagtatrabaho sa mga bansang hindi BLA.
Gayunpaman, ang ibang mga batas ng Pilipinas ay inuuna ang proteksyon ng mga OFW:
* **Ang Konstitusyon ng Pilip"&amp;"inas (Artikulo XIII, Seksyon 15):** Ang seksyong ito ay nag-uutos sa Estado na ""magkaloob ng ganap na proteksyon sa paggawa, lokal at sa ibang bansa..."" Ito ay nagpapahiwatig ng pangkalahatang obligasyon na tiyakin ang kapakanan ng OFW saanman ang lokas"&amp;"yon .
**Sa konklusyon:**
* Mas gusto ng gobyerno ng Pilipinas na mag-deploy ng mga OFW sa mga bansang may BLA para sa mas mahusay na proteksyon.
* Walang tahasang legal na pagbabawal sa pagtatrabaho sa mga bansang hindi BLA. 
**Mga Rekomendasyon"&amp;":**
* Palaging suriin sa Philippine Overseas Employment Administration (POEA) para sa mga opisyal na alituntunin sa deployment sa mga partikular na bansa. 
* Isaalang-alang ang mga potensyal na panganib ng pagtatrabaho sa isang bansang walang BLA, dah"&amp;"il maaaring may mas mahinang legal na pananggalang para sa mga OFW.
* Kumonsulta sa isang abogado na dalubhasa sa batas sa paggawa ng Pilipinas para sa komprehensibong pagtatasa ng iyong sitwasyon. 
")</f>
        <v>Walang malinaw na sagot na "oo" o "hindi" sa batas ng Pilipinas (RA at Konstitusyon) sa legal na katayuan ng isang OFW na nagtatrabaho sa isang bansang walang bilateral labor agreement (BLA) sa Pilipinas. 
Narito ang sinasabi ng mga nauugnay na batas sa Pilipinas:
* **Republic Act No. 10022 (An Act Amending RA 8042):** Section 15(b)(2) of this Act, emphasis government efforts to deploy Filipino workers " only to countries where the Philippines has concluded bilateral labor agreements or kaayusan." Ito ay nagpapahiwatig ng isang kagustuhan para sa mga BLA ngunit hindi tahasang nagbabawal sa pagtatrabaho sa mga bansang hindi BLA.
Gayunpaman, ang ibang mga batas ng Pilipinas ay inuuna ang proteksyon ng mga OFW:
* **Ang Konstitusyon ng Pilipinas (Artikulo XIII, Seksyon 15):** Ang seksyong ito ay nag-uutos sa Estado na "magkaloob ng ganap na proteksyon sa paggawa, lokal at sa ibang bansa..." Ito ay nagpapahiwatig ng pangkalahatang obligasyon na tiyakin ang kapakanan ng OFW saanman ang lokasyon .
**Sa konklusyon:**
* Mas gusto ng gobyerno ng Pilipinas na mag-deploy ng mga OFW sa mga bansang may BLA para sa mas mahusay na proteksyon.
* Walang tahasang legal na pagbabawal sa pagtatrabaho sa mga bansang hindi BLA. 
**Mga Rekomendasyon:**
* Palaging suriin sa Philippine Overseas Employment Administration (POEA) para sa mga opisyal na alituntunin sa deployment sa mga partikular na bansa. 
* Isaalang-alang ang mga potensyal na panganib ng pagtatrabaho sa isang bansang walang BLA, dahil maaaring may mas mahinang legal na pananggalang para sa mga OFW.
* Kumonsulta sa isang abogado na dalubhasa sa batas sa paggawa ng Pilipinas para sa komprehensibong pagtatasa ng iyong sitwasyon. 
</v>
      </c>
      <c r="F2961" s="2">
        <f t="shared" si="1"/>
        <v>0</v>
      </c>
      <c r="G2961" s="2"/>
      <c r="H2961" s="2"/>
      <c r="I2961" s="2"/>
      <c r="J2961" s="2"/>
      <c r="K2961" s="2"/>
      <c r="L2961" s="2"/>
      <c r="M2961" s="2"/>
      <c r="N2961" s="2"/>
      <c r="O2961" s="2"/>
      <c r="P2961" s="2"/>
      <c r="Q2961" s="2"/>
      <c r="R2961" s="2"/>
      <c r="S2961" s="2"/>
      <c r="T2961" s="2"/>
      <c r="U2961" s="2"/>
      <c r="V2961" s="2"/>
      <c r="W2961" s="2"/>
      <c r="X2961" s="2"/>
      <c r="Y2961" s="2"/>
      <c r="Z2961" s="2"/>
      <c r="AA2961" s="2"/>
    </row>
    <row r="2962">
      <c r="A2962" s="3" t="s">
        <v>6842</v>
      </c>
      <c r="B2962" s="1" t="s">
        <v>6899</v>
      </c>
      <c r="C2962" s="3" t="s">
        <v>6900</v>
      </c>
      <c r="D2962" s="2" t="str">
        <f>IFERROR(__xludf.DUMMYFUNCTION("GOOGLETRANSLATE(B2962, ""en"", ""TL"")"),"Ano ang legal na obligasyon ng isang OFW sa kanilang mga kapamilya sa Pilipinas?")</f>
        <v>Ano ang legal na obligasyon ng isang OFW sa kanilang mga kapamilya sa Pilipinas?</v>
      </c>
      <c r="E2962" s="2" t="str">
        <f>IFERROR(__xludf.DUMMYFUNCTION("GOOGLETRANSLATE(C2962, ""en"", ""TL"")"),"Ang batas ng Pilipinas (RA at Konstitusyon) ay hindi nagtatag ng isang mahigpit na legal na obligasyon para sa mga OFW na pinansyal na suportahan ang kanilang mga pamilya. Gayunpaman, may ilang mga legal na prinsipyo na nagbibigay-diin sa kahalagahan ng p"&amp;"amilya at maaaring isaalang-alang:
* **Family Code of the Philippines (Artikulo 194):** Binibigyang-diin ng artikulong ito ang ""pagkakaisa ng pamilya."" Bagama't hindi isang direktang obligasyong pinansyal, binibigyang-diin nito ang kahalagahan ng pag"&amp;"suporta ng mga miyembro ng pamilya sa isa't isa.
* **Sistema ng Suporta para sa mga Magulang sa ilalim ng Republic Act No. 9994 (The Expanded Senior Citizens Act of 2010):** Hinihikayat ng Batas na ito ang mga batang nasa hustong gulang, kabilang ang m"&amp;"ga OFW, na ibigay ang kapakanan ng kanilang matatandang magulang. Pinapayagan nito ang mga senior citizen na magsampa ng reklamo laban sa mga bata na hindi nagbibigay ng ""tamang pangangalaga at suporta.""  Gayunpaman, ang ""tamang pangangalaga"" ay bukas"&amp;" sa interpretasyon at hindi limitado sa tulong pinansyal lamang.
**Dagdag pa:**
* **Obligasyon sa Moral:** Ang kulturang Pilipino ay nagbibigay ng matinding diin sa pagiging anak ng anak, na siyang paggalang at pananagutan ng mga bata sa kanilang mg"&amp;"a magulang.  Bagama't hindi maipapatupad ng batas, ito ay isang malakas na pamantayan sa lipunan na sa tingin ng maraming OFW ay napilitang sundin.
**Sa Buod:**
Walang legal na mandato para sa mga OFW na magbigay ng suportang pinansyal sa kanilang m"&amp;"ga pamilya sa Pilipinas. Gayunpaman, binibigyang-diin ng Family Code at ng Expanded Senior Citizens Act ang kahalagahan ng suporta ng pamilya.  Malaki rin ang papel na ginagampanan ng mga pamantayang panlipunan at pagpapahalagang pangkultura.
**Mahalag"&amp;"ang Tandaan:**
* Ang mga OFW ay may karapatan na pamahalaan ang kanilang mga kita ayon sa kanilang nakikitang angkop. 
* Ang mga obligasyong pinansyal ng pamilya ay dapat matukoy sa pamamagitan ng bukas na komunikasyon at mga kasunduan sa loob ng pami"&amp;"lya.
Kung mayroon kang anumang mga alalahanin tungkol sa iyong partikular na sitwasyon, palaging pinakamahusay na kumunsulta sa isang abogado na dalubhasa sa batas ng pamilya sa Pilipinas.")</f>
        <v>Ang batas ng Pilipinas (RA at Konstitusyon) ay hindi nagtatag ng isang mahigpit na legal na obligasyon para sa mga OFW na pinansyal na suportahan ang kanilang mga pamilya. Gayunpaman, may ilang mga legal na prinsipyo na nagbibigay-diin sa kahalagahan ng pamilya at maaaring isaalang-alang:
* **Family Code of the Philippines (Artikulo 194):** Binibigyang-diin ng artikulong ito ang "pagkakaisa ng pamilya." Bagama't hindi isang direktang obligasyong pinansyal, binibigyang-diin nito ang kahalagahan ng pagsuporta ng mga miyembro ng pamilya sa isa't isa.
* **Sistema ng Suporta para sa mga Magulang sa ilalim ng Republic Act No. 9994 (The Expanded Senior Citizens Act of 2010):** Hinihikayat ng Batas na ito ang mga batang nasa hustong gulang, kabilang ang mga OFW, na ibigay ang kapakanan ng kanilang matatandang magulang. Pinapayagan nito ang mga senior citizen na magsampa ng reklamo laban sa mga bata na hindi nagbibigay ng "tamang pangangalaga at suporta."  Gayunpaman, ang "tamang pangangalaga" ay bukas sa interpretasyon at hindi limitado sa tulong pinansyal lamang.
**Dagdag pa:**
* **Obligasyon sa Moral:** Ang kulturang Pilipino ay nagbibigay ng matinding diin sa pagiging anak ng anak, na siyang paggalang at pananagutan ng mga bata sa kanilang mga magulang.  Bagama't hindi maipapatupad ng batas, ito ay isang malakas na pamantayan sa lipunan na sa tingin ng maraming OFW ay napilitang sundin.
**Sa Buod:**
Walang legal na mandato para sa mga OFW na magbigay ng suportang pinansyal sa kanilang mga pamilya sa Pilipinas. Gayunpaman, binibigyang-diin ng Family Code at ng Expanded Senior Citizens Act ang kahalagahan ng suporta ng pamilya.  Malaki rin ang papel na ginagampanan ng mga pamantayang panlipunan at pagpapahalagang pangkultura.
**Mahalagang Tandaan:**
* Ang mga OFW ay may karapatan na pamahalaan ang kanilang mga kita ayon sa kanilang nakikitang angkop. 
* Ang mga obligasyong pinansyal ng pamilya ay dapat matukoy sa pamamagitan ng bukas na komunikasyon at mga kasunduan sa loob ng pamilya.
Kung mayroon kang anumang mga alalahanin tungkol sa iyong partikular na sitwasyon, palaging pinakamahusay na kumunsulta sa isang abogado na dalubhasa sa batas ng pamilya sa Pilipinas.</v>
      </c>
      <c r="F2962" s="2">
        <f t="shared" si="1"/>
        <v>0</v>
      </c>
      <c r="G2962" s="2"/>
      <c r="H2962" s="2"/>
      <c r="I2962" s="2"/>
      <c r="J2962" s="2"/>
      <c r="K2962" s="2"/>
      <c r="L2962" s="2"/>
      <c r="M2962" s="2"/>
      <c r="N2962" s="2"/>
      <c r="O2962" s="2"/>
      <c r="P2962" s="2"/>
      <c r="Q2962" s="2"/>
      <c r="R2962" s="2"/>
      <c r="S2962" s="2"/>
      <c r="T2962" s="2"/>
      <c r="U2962" s="2"/>
      <c r="V2962" s="2"/>
      <c r="W2962" s="2"/>
      <c r="X2962" s="2"/>
      <c r="Y2962" s="2"/>
      <c r="Z2962" s="2"/>
      <c r="AA2962" s="2"/>
    </row>
    <row r="2963">
      <c r="A2963" s="3" t="s">
        <v>6842</v>
      </c>
      <c r="B2963" s="1" t="s">
        <v>6901</v>
      </c>
      <c r="C2963" s="3" t="s">
        <v>6902</v>
      </c>
      <c r="D2963" s="2" t="str">
        <f>IFERROR(__xludf.DUMMYFUNCTION("GOOGLETRANSLATE(B2963, ""en"", ""TL"")"),"Paano pinangangasiwaan ng batas ng Pilipinas ang mga kaso ng mga OFW na na-stranded sa ibang bansa dahil sa mga hindi inaasahang pangyayari?")</f>
        <v>Paano pinangangasiwaan ng batas ng Pilipinas ang mga kaso ng mga OFW na na-stranded sa ibang bansa dahil sa mga hindi inaasahang pangyayari?</v>
      </c>
      <c r="E2963" s="2" t="str">
        <f>IFERROR(__xludf.DUMMYFUNCTION("GOOGLETRANSLATE(C2963, ""en"", ""TL"")"),"Kinikilala ng batas ng Pilipinas ang kahinaan ng mga OFW na nahaharap sa mga hindi inaasahang pangyayari sa ibang bansa at nag-aalok ng ilang patong ng tulong:
**1. Mga Programang Tulong:**
* **Department of Labor and Employment (DOLE):** Ang DOLE a"&amp;"y gumaganap ng isang sentral na papel sa pagtulong sa mga nahihirapang OFW. Maaari silang magbigay ng tulong pinansyal, tulong legal, at tulong sa pagpapauwi sa pamamagitan ng iba't ibang programa.
* **Philippine Overseas Labor Office (POLO):** Ang mga k"&amp;"inatawan ng POLO ay nakatalaga sa maraming bansa na may malaking populasyon ng OFW. Maaari silang direktang tumulong sa mga stranded na manggagawa sa pag-access ng mga mapagkukunan, pagproseso ng mga dokumento para sa repatriation, at pakikipag-ugnayan sa"&amp;" mga lokal na awtoridad.
* **Guarantee Fund sa ilalim ng POEA Rule 10, Section 3(g):** Gaya ng nabanggit kanina, ang POEA ay nagpapanatili ng Guarantee Fund upang matulungan ang mga nahihirapang OFW. Sa ilang mga hindi inaasahang pangyayari, ang mga mang"&amp;"gagawang Pilipino ay maaaring maging karapat-dapat para sa tulong pinansyal mula sa pondong ito.
**2. Repatriation**
* **Ang Konstitusyon ng Pilipinas (Artikulo XIII, Seksyon 15):** Ang seksyon na ito ay nag-uutos sa Estado na ""magkaloob ng ganap n"&amp;"a proteksyon sa paggawa, lokal at sa ibayong dagat..."" Ito ay nagpapahiwatig ng isang pangkalahatang obligasyon para sa pamahalaan na mapadali ang pagpapauwi ng mga Pilipino sa pagkabalisa sa ibang bansa, kabilang ang mga OFW.
* **Republic Act No. 8042 "&amp;"(Migrant Workers and Overseas Filipinos Act):** Pinalalakas ng batas na ito ang mandato ng gobyerno na tulungan ang mga Pilipinong nasa distress sa ibang bansa. Pinahihintulutan nito ang mga nahihirapang manggagawa na humingi ng repatriation sa gastos ng "&amp;"gobyerno sa ilalim ng ilang mga pangyayari.
**3. Mga Legal na Aksyon:**
* Bagama't hindi palaging naaangkop, pinapayagan ng batas ng Pilipinas ang mga OFW na magsagawa ng mga legal na aksyon laban sa kanilang mga employer sa mga kaso kung saan ang k"&amp;"apabayaan o aksyon ng employer ay nakakatulong sa mga hindi inaasahang pangyayari na naging sanhi ng stranded na sitwasyon. Magagawa ito sa pamamagitan ng mga korte sa Pilipinas o sa tulong ng POLO sa pakikipag-ugnayan sa mga lokal na awtoridad sa host co"&amp;"untry.
**Mga Hindi Inaasahan:**
Maaaring mag-iba ang uri ng tulong at legal na opsyon depende sa partikular na hindi inaasahang pangyayari. Ang ilang mga halimbawa ay kinabibilangan ng:
* Pagkabangkarote ng employer
* Politikal na kaguluhan o di"&amp;"gmaan
* Mga likas na sakuna
* Sakit o pinsala
**Mahalagang Tandaan:**
* Ang lawak ng tulong ng pamahalaan ay maaaring mag-iba depende sa sitwasyon at magagamit na mga mapagkukunan.
* Laging advisable para sa mga OFW na magparehistro sa POLO sa ba"&amp;"nsa kung saan sila nagtatrabaho. Pinapadali nito ang komunikasyon at nagbibigay-daan sa kanila na mas madaling ma-access ang tulong sa kaso ng mga emerhensiya.
Para sa mas komprehensibong pag-unawa sa kung paano haharapin ng batas ng Pilipinas ang iy"&amp;"ong partikular na sitwasyon, inirerekomenda ang pagkonsulta sa isang abogado na dalubhasa sa batas sa paggawa ng Pilipinas.")</f>
        <v>Kinikilala ng batas ng Pilipinas ang kahinaan ng mga OFW na nahaharap sa mga hindi inaasahang pangyayari sa ibang bansa at nag-aalok ng ilang patong ng tulong:
**1. Mga Programang Tulong:**
* **Department of Labor and Employment (DOLE):** Ang DOLE ay gumaganap ng isang sentral na papel sa pagtulong sa mga nahihirapang OFW. Maaari silang magbigay ng tulong pinansyal, tulong legal, at tulong sa pagpapauwi sa pamamagitan ng iba't ibang programa.
* **Philippine Overseas Labor Office (POLO):** Ang mga kinatawan ng POLO ay nakatalaga sa maraming bansa na may malaking populasyon ng OFW. Maaari silang direktang tumulong sa mga stranded na manggagawa sa pag-access ng mga mapagkukunan, pagproseso ng mga dokumento para sa repatriation, at pakikipag-ugnayan sa mga lokal na awtoridad.
* **Guarantee Fund sa ilalim ng POEA Rule 10, Section 3(g):** Gaya ng nabanggit kanina, ang POEA ay nagpapanatili ng Guarantee Fund upang matulungan ang mga nahihirapang OFW. Sa ilang mga hindi inaasahang pangyayari, ang mga manggagawang Pilipino ay maaaring maging karapat-dapat para sa tulong pinansyal mula sa pondong ito.
**2. Repatriation**
* **Ang Konstitusyon ng Pilipinas (Artikulo XIII, Seksyon 15):** Ang seksyon na ito ay nag-uutos sa Estado na "magkaloob ng ganap na proteksyon sa paggawa, lokal at sa ibayong dagat..." Ito ay nagpapahiwatig ng isang pangkalahatang obligasyon para sa pamahalaan na mapadali ang pagpapauwi ng mga Pilipino sa pagkabalisa sa ibang bansa, kabilang ang mga OFW.
* **Republic Act No. 8042 (Migrant Workers and Overseas Filipinos Act):** Pinalalakas ng batas na ito ang mandato ng gobyerno na tulungan ang mga Pilipinong nasa distress sa ibang bansa. Pinahihintulutan nito ang mga nahihirapang manggagawa na humingi ng repatriation sa gastos ng gobyerno sa ilalim ng ilang mga pangyayari.
**3. Mga Legal na Aksyon:**
* Bagama't hindi palaging naaangkop, pinapayagan ng batas ng Pilipinas ang mga OFW na magsagawa ng mga legal na aksyon laban sa kanilang mga employer sa mga kaso kung saan ang kapabayaan o aksyon ng employer ay nakakatulong sa mga hindi inaasahang pangyayari na naging sanhi ng stranded na sitwasyon. Magagawa ito sa pamamagitan ng mga korte sa Pilipinas o sa tulong ng POLO sa pakikipag-ugnayan sa mga lokal na awtoridad sa host country.
**Mga Hindi Inaasahan:**
Maaaring mag-iba ang uri ng tulong at legal na opsyon depende sa partikular na hindi inaasahang pangyayari. Ang ilang mga halimbawa ay kinabibilangan ng:
* Pagkabangkarote ng employer
* Politikal na kaguluhan o digmaan
* Mga likas na sakuna
* Sakit o pinsala
**Mahalagang Tandaan:**
* Ang lawak ng tulong ng pamahalaan ay maaaring mag-iba depende sa sitwasyon at magagamit na mga mapagkukunan.
* Laging advisable para sa mga OFW na magparehistro sa POLO sa bansa kung saan sila nagtatrabaho. Pinapadali nito ang komunikasyon at nagbibigay-daan sa kanila na mas madaling ma-access ang tulong sa kaso ng mga emerhensiya.
Para sa mas komprehensibong pag-unawa sa kung paano haharapin ng batas ng Pilipinas ang iyong partikular na sitwasyon, inirerekomenda ang pagkonsulta sa isang abogado na dalubhasa sa batas sa paggawa ng Pilipinas.</v>
      </c>
      <c r="F2963" s="2">
        <f t="shared" si="1"/>
        <v>0</v>
      </c>
      <c r="G2963" s="2"/>
      <c r="H2963" s="2"/>
      <c r="I2963" s="2"/>
      <c r="J2963" s="2"/>
      <c r="K2963" s="2"/>
      <c r="L2963" s="2"/>
      <c r="M2963" s="2"/>
      <c r="N2963" s="2"/>
      <c r="O2963" s="2"/>
      <c r="P2963" s="2"/>
      <c r="Q2963" s="2"/>
      <c r="R2963" s="2"/>
      <c r="S2963" s="2"/>
      <c r="T2963" s="2"/>
      <c r="U2963" s="2"/>
      <c r="V2963" s="2"/>
      <c r="W2963" s="2"/>
      <c r="X2963" s="2"/>
      <c r="Y2963" s="2"/>
      <c r="Z2963" s="2"/>
      <c r="AA2963" s="2"/>
    </row>
    <row r="2964">
      <c r="A2964" s="3" t="s">
        <v>6842</v>
      </c>
      <c r="B2964" s="1" t="s">
        <v>6903</v>
      </c>
      <c r="C2964" s="3" t="s">
        <v>6904</v>
      </c>
      <c r="D2964" s="2" t="str">
        <f>IFERROR(__xludf.DUMMYFUNCTION("GOOGLETRANSLATE(B2964, ""en"", ""TL"")"),"Maaari bang legal na ilipat ng isang OFW ang kanilang mga kita sa ibang bansa sa isang foreign bank account?")</f>
        <v>Maaari bang legal na ilipat ng isang OFW ang kanilang mga kita sa ibang bansa sa isang foreign bank account?</v>
      </c>
      <c r="E2964" s="2" t="str">
        <f>IFERROR(__xludf.DUMMYFUNCTION("GOOGLETRANSLATE(C2964, ""en"", ""TL"")"),"Oo, walang mga paghihigpit sa batas ng Pilipinas (RA at Konstitusyon) na pumipigil sa mga OFW na ilipat ang kanilang mga kita sa ibang bansa sa isang foreign bank account.  Narito kung bakit:
* **Foreign Currency Deposit System (FCDS):** Ang Bangko Sen"&amp;"tral ng Pilipinas (BSP), ang sentral na bangko ng Pilipinas, ay nagtatag ng FCDS upang hikayatin ang mga Pilipinong may kita sa dayuhang pera na mag-ipon at mamuhunan. Walang mga paghihigpit sa pagdeposito ng foreign currency na kinita sa ibang bansa.
"&amp;"* **Freedom of Disposition of Earnings:** Iginagalang ng batas ng Pilipinas ang karapatan ng mga OFW na pamahalaan ang kanilang mga kita ayon sa kanilang nakikitang angkop. Hangga't sumusunod sila sa mga obligasyon sa buwis (tinalakay sa ibaba), maaari ni"&amp;"lang ilipat ang kanilang mga kita sa anumang bank account, domestic o foreign.
**Mga Pagsasaalang-alang sa Buwis:**
* **Tax Residency:** Ang tax residency status ng OFW ay tumutukoy sa kanilang mga obligasyon sa buwis sa kanilang mga kita sa ibang b"&amp;"ansa.  Kung sila ay ituturing na hindi residente para sa mga layunin ng buwis sa Pilipinas, ang kanilang kinita sa ibang bansa ay maaaring ma-exempt sa buwis sa kita ng Pilipinas.
* **Pag-uulat ng Buwis:** Kahit na exempt sa income tax, ang mga OFW ay "&amp;"kinakailangan pa ring iulat ang kanilang mga foreign earnings sa Bureau of Internal Revenue (BIR) sa pamamagitan ng Tax Amnesty Program o mag-avail ng mga special tax treatment program para sa mga OFW.
**Mga Rekomendasyon:**
* Kumonsulta sa isang pr"&amp;"opesyonal sa buwis upang matukoy ang iyong katayuan sa paninirahan at mga obligasyon sa buwis na may kaugnayan sa paglilipat ng iyong mga kita sa isang dayuhang bank account.
* Magkaroon ng kamalayan sa mga regulasyon ng dayuhang bangko sa bansa kung saa"&amp;"n mo balak buksan ang account. Maaaring may mga kinakailangan para sa paninirahan o pinakamababang deposito.
**Sa Buod:**
Ang batas ng Pilipinas ay nagpapahintulot sa mga OFW na ilipat ang kanilang mga kita sa ibang bansa sa isang foreign bank accou"&amp;"nt. Gayunpaman, ang mga pagsasaalang-alang sa buwis ay mahalaga. Ang pagkonsulta sa isang propesyonal sa buwis ay lubos na inirerekomenda upang matiyak na sumusunod ka sa lahat ng mga regulasyon sa buwis sa Pilipinas.")</f>
        <v>Oo, walang mga paghihigpit sa batas ng Pilipinas (RA at Konstitusyon) na pumipigil sa mga OFW na ilipat ang kanilang mga kita sa ibang bansa sa isang foreign bank account.  Narito kung bakit:
* **Foreign Currency Deposit System (FCDS):** Ang Bangko Sentral ng Pilipinas (BSP), ang sentral na bangko ng Pilipinas, ay nagtatag ng FCDS upang hikayatin ang mga Pilipinong may kita sa dayuhang pera na mag-ipon at mamuhunan. Walang mga paghihigpit sa pagdeposito ng foreign currency na kinita sa ibang bansa.
* **Freedom of Disposition of Earnings:** Iginagalang ng batas ng Pilipinas ang karapatan ng mga OFW na pamahalaan ang kanilang mga kita ayon sa kanilang nakikitang angkop. Hangga't sumusunod sila sa mga obligasyon sa buwis (tinalakay sa ibaba), maaari nilang ilipat ang kanilang mga kita sa anumang bank account, domestic o foreign.
**Mga Pagsasaalang-alang sa Buwis:**
* **Tax Residency:** Ang tax residency status ng OFW ay tumutukoy sa kanilang mga obligasyon sa buwis sa kanilang mga kita sa ibang bansa.  Kung sila ay ituturing na hindi residente para sa mga layunin ng buwis sa Pilipinas, ang kanilang kinita sa ibang bansa ay maaaring ma-exempt sa buwis sa kita ng Pilipinas.
* **Pag-uulat ng Buwis:** Kahit na exempt sa income tax, ang mga OFW ay kinakailangan pa ring iulat ang kanilang mga foreign earnings sa Bureau of Internal Revenue (BIR) sa pamamagitan ng Tax Amnesty Program o mag-avail ng mga special tax treatment program para sa mga OFW.
**Mga Rekomendasyon:**
* Kumonsulta sa isang propesyonal sa buwis upang matukoy ang iyong katayuan sa paninirahan at mga obligasyon sa buwis na may kaugnayan sa paglilipat ng iyong mga kita sa isang dayuhang bank account.
* Magkaroon ng kamalayan sa mga regulasyon ng dayuhang bangko sa bansa kung saan mo balak buksan ang account. Maaaring may mga kinakailangan para sa paninirahan o pinakamababang deposito.
**Sa Buod:**
Ang batas ng Pilipinas ay nagpapahintulot sa mga OFW na ilipat ang kanilang mga kita sa ibang bansa sa isang foreign bank account. Gayunpaman, ang mga pagsasaalang-alang sa buwis ay mahalaga. Ang pagkonsulta sa isang propesyonal sa buwis ay lubos na inirerekomenda upang matiyak na sumusunod ka sa lahat ng mga regulasyon sa buwis sa Pilipinas.</v>
      </c>
      <c r="F2964" s="2">
        <f t="shared" si="1"/>
        <v>0</v>
      </c>
      <c r="G2964" s="2"/>
      <c r="H2964" s="2"/>
      <c r="I2964" s="2"/>
      <c r="J2964" s="2"/>
      <c r="K2964" s="2"/>
      <c r="L2964" s="2"/>
      <c r="M2964" s="2"/>
      <c r="N2964" s="2"/>
      <c r="O2964" s="2"/>
      <c r="P2964" s="2"/>
      <c r="Q2964" s="2"/>
      <c r="R2964" s="2"/>
      <c r="S2964" s="2"/>
      <c r="T2964" s="2"/>
      <c r="U2964" s="2"/>
      <c r="V2964" s="2"/>
      <c r="W2964" s="2"/>
      <c r="X2964" s="2"/>
      <c r="Y2964" s="2"/>
      <c r="Z2964" s="2"/>
      <c r="AA2964" s="2"/>
    </row>
    <row r="2965">
      <c r="A2965" s="3" t="s">
        <v>6842</v>
      </c>
      <c r="B2965" s="1" t="s">
        <v>6905</v>
      </c>
      <c r="C2965" s="3" t="s">
        <v>6906</v>
      </c>
      <c r="D2965" s="2" t="str">
        <f>IFERROR(__xludf.DUMMYFUNCTION("GOOGLETRANSLATE(B2965, ""en"", ""TL"")"),"Anong mga legal na mekanismo ang inilalagay upang matiyak na ang mga OFW ay maayos na nabayaran para sa mga pinsala o sakit na nauugnay sa trabaho sa ibang bansa?")</f>
        <v>Anong mga legal na mekanismo ang inilalagay upang matiyak na ang mga OFW ay maayos na nabayaran para sa mga pinsala o sakit na nauugnay sa trabaho sa ibang bansa?</v>
      </c>
      <c r="E2965" s="2" t="str">
        <f>IFERROR(__xludf.DUMMYFUNCTION("GOOGLETRANSLATE(C2965, ""en"", ""TL"")"),"Ang batas ng Pilipinas ay nag-aalok ng ilang mga mekanismo upang matiyak na ang mga OFW ay maayos na nabayaran para sa mga pinsala o sakit na nauugnay sa trabaho sa ibang bansa:
**1. Standard Employment Contract (SEC):**
* Ang Philippine Overseas Em"&amp;"ployment Administration (POEA) ay nag-uutos ng isang Standard Employment Contract (SEC) para sa lahat ng naka-deploy na manggagawang Pilipino.
* Karaniwang kasama sa kontratang ito ang mga probisyon para sa insurance sa aksidente at pagkakasakit. Ang tag"&amp;"apag-empleyo ay karaniwang may pananagutan sa pag-secure ng insurance na ito upang mabayaran ang mga gastusing medikal at pagkawala ng kita sa kaso ng mga pinsala o sakit na nauugnay sa trabaho.
**2. Mga Panuntunan ng POEA sa Disability at Death Benefi"&amp;"ts:**
* Ang POEA ay nagsasaad ng mga tiyak na tuntunin tungkol sa kapansanan at mga benepisyo sa kamatayan para sa mga OFW. Tinutukoy ng mga panuntunang ito ang halaga ng kompensasyon na dapat ibigay ng mga employer sa mga kaso ng mga contingencies na "&amp;"may kaugnayan sa trabaho.
**3. Philippine Overseas Labor Office (POLO):**
* Ang mga kinatawan ng POLO ay maaaring tumulong sa mga distressed OFW, kabilang ang mga nakakaranas ng mga pinsala o sakit na may kaugnayan sa trabaho.
* Matutulungan nila a"&amp;"ng mga manggagawa na ma-access ang pangangalagang medikal, maghain ng mga claim sa mga tagapagbigay ng insurance, at mag-navigate sa legal na sistema upang matiyak na makakatanggap sila ng wastong kompensasyon mula sa kanilang mga employer.
**4. Republ"&amp;"ic Act No. 8042 (Migrant Workers and Overseas Filipinos Act):**
* Ang Batas na ito ay nagtatatag ng isang legal na balangkas para sa pagprotekta sa mga karapatan at kapakanan ng mga OFW.
* Ipinag-uutos nito ang paglikha ng isang pondo upang magbigay n"&amp;"g tulong pinansyal sa mga manggagawang Pilipino na may kapansanan dahil sa mga pinsala o sakit na nauugnay sa trabaho sa ibang bansa.
**5. Paghahain ng Kaso sa National Labor Relations Commission (NLRC):**
* Sa mga kaso kung saan hindi natutugunan n"&amp;"g mga employer ang kanilang mga obligasyon, ang mga OFW ay maaaring magsampa ng kaso sa NLRC.
* Ang NLRC ay may awtoridad na makinig at ayusin ang mga hindi pagkakaunawaan sa paggawa, kabilang ang mga paghahabol para sa kabayaran para sa mga pinsala o sa"&amp;"kit na nauugnay sa trabaho.
**Mga Karagdagang Mapagkukunan:**
* POEA - [https://www.dmw.gov.ph/archives/default.html](https://www.dmw.gov.ph/archives/default.html)
* DOLE - [https://www.officialgazette.gov.ph/section/briefing-room/department-of-lab"&amp;"or-and-employment/](https://www.officialgazette.gov.ph/section/briefing- silid/kagawaran-ng-paggawa-at-trabaho/)
**Mahalagang Tandaan:**
* Ang partikular na proseso para sa pag-claim ng kabayaran ay maaaring mag-iba depende sa uri ng pinsala o kar"&amp;"amdaman, mga tuntunin ng kontrata sa pagtatrabaho, at mga batas ng host country.
* Maipapayo para sa mga OFW na kumonsulta sa POLO sa lalong madaling panahon pagkatapos ng pinsala o sakit na nauugnay sa trabaho upang maunawaan ang kanilang mga karapatan "&amp;"at makakuha ng magagamit na tulong.
Tandaan, ito ay isang pinasimple na pangkalahatang-ideya.  Para sa partikular na legal na payo sa iyong sitwasyon, palaging inirerekomenda na kumunsulta sa isang abogado na dalubhasa sa batas sa paggawa ng Pilipinas.")</f>
        <v>Ang batas ng Pilipinas ay nag-aalok ng ilang mga mekanismo upang matiyak na ang mga OFW ay maayos na nabayaran para sa mga pinsala o sakit na nauugnay sa trabaho sa ibang bansa:
**1. Standard Employment Contract (SEC):**
* Ang Philippine Overseas Employment Administration (POEA) ay nag-uutos ng isang Standard Employment Contract (SEC) para sa lahat ng naka-deploy na manggagawang Pilipino.
* Karaniwang kasama sa kontratang ito ang mga probisyon para sa insurance sa aksidente at pagkakasakit. Ang tagapag-empleyo ay karaniwang may pananagutan sa pag-secure ng insurance na ito upang mabayaran ang mga gastusing medikal at pagkawala ng kita sa kaso ng mga pinsala o sakit na nauugnay sa trabaho.
**2. Mga Panuntunan ng POEA sa Disability at Death Benefits:**
* Ang POEA ay nagsasaad ng mga tiyak na tuntunin tungkol sa kapansanan at mga benepisyo sa kamatayan para sa mga OFW. Tinutukoy ng mga panuntunang ito ang halaga ng kompensasyon na dapat ibigay ng mga employer sa mga kaso ng mga contingencies na may kaugnayan sa trabaho.
**3. Philippine Overseas Labor Office (POLO):**
* Ang mga kinatawan ng POLO ay maaaring tumulong sa mga distressed OFW, kabilang ang mga nakakaranas ng mga pinsala o sakit na may kaugnayan sa trabaho.
* Matutulungan nila ang mga manggagawa na ma-access ang pangangalagang medikal, maghain ng mga claim sa mga tagapagbigay ng insurance, at mag-navigate sa legal na sistema upang matiyak na makakatanggap sila ng wastong kompensasyon mula sa kanilang mga employer.
**4. Republic Act No. 8042 (Migrant Workers and Overseas Filipinos Act):**
* Ang Batas na ito ay nagtatatag ng isang legal na balangkas para sa pagprotekta sa mga karapatan at kapakanan ng mga OFW.
* Ipinag-uutos nito ang paglikha ng isang pondo upang magbigay ng tulong pinansyal sa mga manggagawang Pilipino na may kapansanan dahil sa mga pinsala o sakit na nauugnay sa trabaho sa ibang bansa.
**5. Paghahain ng Kaso sa National Labor Relations Commission (NLRC):**
* Sa mga kaso kung saan hindi natutugunan ng mga employer ang kanilang mga obligasyon, ang mga OFW ay maaaring magsampa ng kaso sa NLRC.
* Ang NLRC ay may awtoridad na makinig at ayusin ang mga hindi pagkakaunawaan sa paggawa, kabilang ang mga paghahabol para sa kabayaran para sa mga pinsala o sakit na nauugnay sa trabaho.
**Mga Karagdagang Mapagkukunan:**
* POEA - [https://www.dmw.gov.ph/archives/default.html](https://www.dmw.gov.ph/archives/default.html)
* DOLE - [https://www.officialgazette.gov.ph/section/briefing-room/department-of-labor-and-employment/](https://www.officialgazette.gov.ph/section/briefing- silid/kagawaran-ng-paggawa-at-trabaho/)
**Mahalagang Tandaan:**
* Ang partikular na proseso para sa pag-claim ng kabayaran ay maaaring mag-iba depende sa uri ng pinsala o karamdaman, mga tuntunin ng kontrata sa pagtatrabaho, at mga batas ng host country.
* Maipapayo para sa mga OFW na kumonsulta sa POLO sa lalong madaling panahon pagkatapos ng pinsala o sakit na nauugnay sa trabaho upang maunawaan ang kanilang mga karapatan at makakuha ng magagamit na tulong.
Tandaan, ito ay isang pinasimple na pangkalahatang-ideya.  Para sa partikular na legal na payo sa iyong sitwasyon, palaging inirerekomenda na kumunsulta sa isang abogado na dalubhasa sa batas sa paggawa ng Pilipinas.</v>
      </c>
      <c r="F2965" s="2">
        <f t="shared" si="1"/>
        <v>0</v>
      </c>
      <c r="G2965" s="2"/>
      <c r="H2965" s="2"/>
      <c r="I2965" s="2"/>
      <c r="J2965" s="2"/>
      <c r="K2965" s="2"/>
      <c r="L2965" s="2"/>
      <c r="M2965" s="2"/>
      <c r="N2965" s="2"/>
      <c r="O2965" s="2"/>
      <c r="P2965" s="2"/>
      <c r="Q2965" s="2"/>
      <c r="R2965" s="2"/>
      <c r="S2965" s="2"/>
      <c r="T2965" s="2"/>
      <c r="U2965" s="2"/>
      <c r="V2965" s="2"/>
      <c r="W2965" s="2"/>
      <c r="X2965" s="2"/>
      <c r="Y2965" s="2"/>
      <c r="Z2965" s="2"/>
      <c r="AA2965" s="2"/>
    </row>
    <row r="2966">
      <c r="A2966" s="3" t="s">
        <v>6842</v>
      </c>
      <c r="B2966" s="1" t="s">
        <v>6907</v>
      </c>
      <c r="C2966" s="3" t="s">
        <v>6908</v>
      </c>
      <c r="D2966" s="2" t="str">
        <f>IFERROR(__xludf.DUMMYFUNCTION("GOOGLETRANSLATE(B2966, ""en"", ""TL"")"),"Paano tinutugunan ng batas ng Pilipinas ang mga kaso ng pagpapalit ng kontrata ng mga employer sa ibang bansa?")</f>
        <v>Paano tinutugunan ng batas ng Pilipinas ang mga kaso ng pagpapalit ng kontrata ng mga employer sa ibang bansa?</v>
      </c>
      <c r="E2966" s="2" t="str">
        <f>IFERROR(__xludf.DUMMYFUNCTION("GOOGLETRANSLATE(C2966, ""en"", ""TL"")"),"Itinuturing ng batas ng Pilipinas ang pagpapalit ng kontrata ng mga employer sa ibang bansa bilang isang ilegal na pagkilos at nag-aalok ng recourse para sa mga OFW na nakakaranas nito. Narito kung paano tinatalakay ng batas ng Pilipinas ang isyung ito:
"&amp;"
**Ilegal na Recruitment:**
* **Republic Act No. 8042 (Migrant Workers and Overseas Filipinos Act), na sinususugan ng RA 10022:** Tinutukoy ng batas na ito ang mga aktibidad sa illegal recruitment. 
* **Seksyon 6(i)** ay partikular na binanggit ang "&amp;"""upang palitan o baguhin ang pagtatangi ng manggagawa, ang mga kontrata sa pagtatrabaho na inaprubahan at na-verify ng Department of Labor and Employment (DOLE) mula sa oras ng aktwal na pagpirma nito ng mga partido sa at kasama ang panahon ng pag-expire"&amp;" ng pareho nang walang pag-apruba ng Kagawaran ng Paggawa at Pagtatrabaho"" bilang isang iligal na gawain sa pangangalap.
**Mga Pangunahing Punto:**
* Binibigyang-diin ng batas na ang pagpapalit o pagbabago ng kontrata ay dapat gawin **nang walang p"&amp;"ag-apruba ng DOLE** at **sa pagtatangi ng manggagawa**. Nangangahulugan ito na ang anumang mga pagbabago na nagpapalala sa kondisyon sa pagtatrabaho o ipinangakong benepisyo ng OFW kumpara sa orihinal na kontrata ay ilegal.
* **Ang pag-apruba ng DOLE** a"&amp;"y napakahalaga. Ang anumang pagbabago sa kontrata ay dapat suriin at aprubahan ng DOLE upang matiyak na ang mga ito ay patas at legal.
**Mga kahihinatnan para sa mga lumalabag:**
* Ang batas ay nagsasaad ng mga parusa para sa mga nakikibahagi sa ile"&amp;"gal na pangangalap, kabilang ang mga employer sa ibang bansa na nagpapalit ng mga kontrata. Ang mga parusang ito ay maaaring may kasamang multa, pagkakulong, o pag-blacklist mula sa pagkuha ng mga manggagawang Pilipino.
**Mga Proteksyon ng Manggagawa:*"&amp;"*
* Ang mga OFW na nakakaranas ng contract substitution ay maaaring magsampa ng reklamo sa **Philippine Overseas Employment Administration (POEA)**.
* Ang POEA ay may awtoridad na mag-imbestiga sa kaso at magpataw ng mga parusa sa employer.  
* Ang O"&amp;"FW ay maaari ding may karapatan sa **pinansyal na kabayaran** para sa anumang pinsala o pagkalugi na natamo dahil sa ilegal na pagpapalit ng kontrata.
**Mga Karagdagang Mapagkukunan:**
* POEA - [https://www.dmw.gov.ph/archives/default.html](https://"&amp;"www.dmw.gov.ph/archives/default.html)
* DOLE - [https://www.officialgazette.gov.ph/section/briefing-room/department-of-labor-and-employment/](https://www.officialgazette.gov.ph/section/briefing- silid/kagawaran-ng-paggawa-at-trabaho/)
**Mahalagang Tan"&amp;"daan:**
* Napakahalaga para sa mga OFW na **maingat na suriin at unawain ang kanilang mga kontrata sa pagtatrabaho** bago pumirma.
* **Magtago ng mga kopya ng lahat ng nilagdaang dokumento** na may kaugnayan sa kontrata sa pagtatrabaho.
* Kung pinagh"&amp;"ihinalaan mo ang pagpapalit ng kontrata, **iulat ito kaagad sa POEA** upang humingi ng tulong at panagutin ang employer.
Ang pagkonsulta sa isang abogado na dalubhasa sa batas sa paggawa ng Pilipinas ay inirerekomenda para sa partikular na legal na p"&amp;"ayo sa iyong sitwasyon, lalo na kung nahaharap ka sa pagpapalit ng kontrata ng isang employer sa ibang bansa. ")</f>
        <v>Itinuturing ng batas ng Pilipinas ang pagpapalit ng kontrata ng mga employer sa ibang bansa bilang isang ilegal na pagkilos at nag-aalok ng recourse para sa mga OFW na nakakaranas nito. Narito kung paano tinatalakay ng batas ng Pilipinas ang isyung ito:
**Ilegal na Recruitment:**
* **Republic Act No. 8042 (Migrant Workers and Overseas Filipinos Act), na sinususugan ng RA 10022:** Tinutukoy ng batas na ito ang mga aktibidad sa illegal recruitment. 
* **Seksyon 6(i)** ay partikular na binanggit ang "upang palitan o baguhin ang pagtatangi ng manggagawa, ang mga kontrata sa pagtatrabaho na inaprubahan at na-verify ng Department of Labor and Employment (DOLE) mula sa oras ng aktwal na pagpirma nito ng mga partido sa at kasama ang panahon ng pag-expire ng pareho nang walang pag-apruba ng Kagawaran ng Paggawa at Pagtatrabaho" bilang isang iligal na gawain sa pangangalap.
**Mga Pangunahing Punto:**
* Binibigyang-diin ng batas na ang pagpapalit o pagbabago ng kontrata ay dapat gawin **nang walang pag-apruba ng DOLE** at **sa pagtatangi ng manggagawa**. Nangangahulugan ito na ang anumang mga pagbabago na nagpapalala sa kondisyon sa pagtatrabaho o ipinangakong benepisyo ng OFW kumpara sa orihinal na kontrata ay ilegal.
* **Ang pag-apruba ng DOLE** ay napakahalaga. Ang anumang pagbabago sa kontrata ay dapat suriin at aprubahan ng DOLE upang matiyak na ang mga ito ay patas at legal.
**Mga kahihinatnan para sa mga lumalabag:**
* Ang batas ay nagsasaad ng mga parusa para sa mga nakikibahagi sa ilegal na pangangalap, kabilang ang mga employer sa ibang bansa na nagpapalit ng mga kontrata. Ang mga parusang ito ay maaaring may kasamang multa, pagkakulong, o pag-blacklist mula sa pagkuha ng mga manggagawang Pilipino.
**Mga Proteksyon ng Manggagawa:**
* Ang mga OFW na nakakaranas ng contract substitution ay maaaring magsampa ng reklamo sa **Philippine Overseas Employment Administration (POEA)**.
* Ang POEA ay may awtoridad na mag-imbestiga sa kaso at magpataw ng mga parusa sa employer.  
* Ang OFW ay maaari ding may karapatan sa **pinansyal na kabayaran** para sa anumang pinsala o pagkalugi na natamo dahil sa ilegal na pagpapalit ng kontrata.
**Mga Karagdagang Mapagkukunan:**
* POEA - [https://www.dmw.gov.ph/archives/default.html](https://www.dmw.gov.ph/archives/default.html)
* DOLE - [https://www.officialgazette.gov.ph/section/briefing-room/department-of-labor-and-employment/](https://www.officialgazette.gov.ph/section/briefing- silid/kagawaran-ng-paggawa-at-trabaho/)
**Mahalagang Tandaan:**
* Napakahalaga para sa mga OFW na **maingat na suriin at unawain ang kanilang mga kontrata sa pagtatrabaho** bago pumirma.
* **Magtago ng mga kopya ng lahat ng nilagdaang dokumento** na may kaugnayan sa kontrata sa pagtatrabaho.
* Kung pinaghihinalaan mo ang pagpapalit ng kontrata, **iulat ito kaagad sa POEA** upang humingi ng tulong at panagutin ang employer.
Ang pagkonsulta sa isang abogado na dalubhasa sa batas sa paggawa ng Pilipinas ay inirerekomenda para sa partikular na legal na payo sa iyong sitwasyon, lalo na kung nahaharap ka sa pagpapalit ng kontrata ng isang employer sa ibang bansa. </v>
      </c>
      <c r="F2966" s="2">
        <f t="shared" si="1"/>
        <v>0</v>
      </c>
      <c r="G2966" s="2"/>
      <c r="H2966" s="2"/>
      <c r="I2966" s="2"/>
      <c r="J2966" s="2"/>
      <c r="K2966" s="2"/>
      <c r="L2966" s="2"/>
      <c r="M2966" s="2"/>
      <c r="N2966" s="2"/>
      <c r="O2966" s="2"/>
      <c r="P2966" s="2"/>
      <c r="Q2966" s="2"/>
      <c r="R2966" s="2"/>
      <c r="S2966" s="2"/>
      <c r="T2966" s="2"/>
      <c r="U2966" s="2"/>
      <c r="V2966" s="2"/>
      <c r="W2966" s="2"/>
      <c r="X2966" s="2"/>
      <c r="Y2966" s="2"/>
      <c r="Z2966" s="2"/>
      <c r="AA2966" s="2"/>
    </row>
    <row r="2967">
      <c r="A2967" s="3" t="s">
        <v>6842</v>
      </c>
      <c r="B2967" s="1" t="s">
        <v>6909</v>
      </c>
      <c r="C2967" s="3" t="s">
        <v>6910</v>
      </c>
      <c r="D2967" s="2" t="str">
        <f>IFERROR(__xludf.DUMMYFUNCTION("GOOGLETRANSLATE(B2967, ""en"", ""TL"")"),"Maaari bang bumoto ang isang OFW sa halalan sa Pilipinas habang naninirahan sa ibang bansa?")</f>
        <v>Maaari bang bumoto ang isang OFW sa halalan sa Pilipinas habang naninirahan sa ibang bansa?</v>
      </c>
      <c r="E2967" s="2" t="str">
        <f>IFERROR(__xludf.DUMMYFUNCTION("GOOGLETRANSLATE(C2967, ""en"", ""TL"")"),"Oo, ang mga overseas Filipino worker (OFWs) ay pinapayagang bumoto sa mga halalan sa Pilipinas habang naninirahan sa ibang bansa sa pamamagitan ng isang sistemang kilala bilang overseas absentee voting (OAV). Ang sistema ng OAV ay nagpapahintulot sa mga k"&amp;"arapat-dapat na mamamayang Pilipino na nasa ibang bansa, kabilang ang mga OFW, na lumahok sa mga pambansang halalan, tulad ng halalan sa pagkapangulo, halalan sa pagkasenador, at mga pambansang referendum. Narito ang ilang mahahalagang punto tungkol sa pa"&amp;"gboto ng absentee sa ibang bansa:
1. Pagiging karapat-dapat: Upang maging karapat-dapat na bumoto sa ilalim ng sistema ng OAV, ang isang OFW ay dapat na isang rehistradong botante sa Pilipinas, hindi bababa sa 18 taong gulang sa araw ng halalan, at hin"&amp;"di nadiskuwalipika ng batas.
2. Pagpaparehistro: Ang mga OFW na gustong bumoto sa mga halalan sa Pilipinas habang nasa ibang bansa ay kailangang magparehistro bilang mga overseas absentee voters. Magagawa nila ito sa pamamagitan ng pag-aaplay para sa p"&amp;"agpaparehistro sa alinmang embahada ng Pilipinas, konsulado, o iba pang itinalagang sentro ng pagpaparehistro sa ibang bansa. Ang mga panahon ng pagpaparehistro ay karaniwang inaanunsyo ng Commission on Elections (COMELEC) bago ang bawat ikot ng halalan.
"&amp;"
3. Pamamaraan sa Pagboto: Kapag nakarehistro na, ang mga OFW ay maaaring lumahok sa mga halalan sa Pilipinas sa pamamagitan ng pagboto sa pamamagitan ng postal voting o sa pamamagitan ng personal na pagpapakita sa mga itinalagang polling center sa iban"&amp;"g bansa sa loob ng tinukoy na panahon ng pagboto. Ang mga balota ay ipinapadala sa mga nakarehistrong absentee na botante sa ibang bansa sa pamamagitan ng koreo o courier, o maaari silang bumoto nang personal sa mga itinalagang lugar ng botohan.
4. Pag"&amp;"hagis ng Balota: Ang mga absentee na botante sa ibang bansa ay maaaring bumoto para sa mga pambansang kandidato, kabilang ang presidente, bise presidente, mga senador, at mga kinatawan ng party-list. Maaari rin silang bumoto para sa mga lokal na kandidato"&amp;" kung sila ay nakarehistro bilang mga residente ng isang partikular na lokalidad sa Pilipinas.
5. COMELEC Oversight: Ang COMELEC ay may pananagutan sa pangangasiwa sa pagsasagawa ng overseas absentee voting at pagtiyak na ang proseso ay patas, transpar"&amp;"ent, at naa-access ng mga karapat-dapat na OFW. Ang COMELEC ay nagtatatag ng mga alituntunin at pamamaraan para sa pagboto ng absentee sa ibang bansa, nagpoproseso ng mga rehistrasyon ng botante, at nangangasiwa sa pagbibilang at pag-canvas ng mga boto ng"&amp;" mga absentee na botante sa ibang bansa.
Sa pangkalahatan, binibigyang-daan ng OAV system ang mga OFW na gamitin ang kanilang karapatang bumoto at lumahok sa mga halalan sa Pilipinas, na nagpapahintulot sa kanila na magkaroon ng boses sa paghubog ng pu"&amp;"litikal na kinabukasan ng bansa kahit na naninirahan at nagtatrabaho sa ibang bansa.")</f>
        <v>Oo, ang mga overseas Filipino worker (OFWs) ay pinapayagang bumoto sa mga halalan sa Pilipinas habang naninirahan sa ibang bansa sa pamamagitan ng isang sistemang kilala bilang overseas absentee voting (OAV). Ang sistema ng OAV ay nagpapahintulot sa mga karapat-dapat na mamamayang Pilipino na nasa ibang bansa, kabilang ang mga OFW, na lumahok sa mga pambansang halalan, tulad ng halalan sa pagkapangulo, halalan sa pagkasenador, at mga pambansang referendum. Narito ang ilang mahahalagang punto tungkol sa pagboto ng absentee sa ibang bansa:
1. Pagiging karapat-dapat: Upang maging karapat-dapat na bumoto sa ilalim ng sistema ng OAV, ang isang OFW ay dapat na isang rehistradong botante sa Pilipinas, hindi bababa sa 18 taong gulang sa araw ng halalan, at hindi nadiskuwalipika ng batas.
2. Pagpaparehistro: Ang mga OFW na gustong bumoto sa mga halalan sa Pilipinas habang nasa ibang bansa ay kailangang magparehistro bilang mga overseas absentee voters. Magagawa nila ito sa pamamagitan ng pag-aaplay para sa pagpaparehistro sa alinmang embahada ng Pilipinas, konsulado, o iba pang itinalagang sentro ng pagpaparehistro sa ibang bansa. Ang mga panahon ng pagpaparehistro ay karaniwang inaanunsyo ng Commission on Elections (COMELEC) bago ang bawat ikot ng halalan.
3. Pamamaraan sa Pagboto: Kapag nakarehistro na, ang mga OFW ay maaaring lumahok sa mga halalan sa Pilipinas sa pamamagitan ng pagboto sa pamamagitan ng postal voting o sa pamamagitan ng personal na pagpapakita sa mga itinalagang polling center sa ibang bansa sa loob ng tinukoy na panahon ng pagboto. Ang mga balota ay ipinapadala sa mga nakarehistrong absentee na botante sa ibang bansa sa pamamagitan ng koreo o courier, o maaari silang bumoto nang personal sa mga itinalagang lugar ng botohan.
4. Paghagis ng Balota: Ang mga absentee na botante sa ibang bansa ay maaaring bumoto para sa mga pambansang kandidato, kabilang ang presidente, bise presidente, mga senador, at mga kinatawan ng party-list. Maaari rin silang bumoto para sa mga lokal na kandidato kung sila ay nakarehistro bilang mga residente ng isang partikular na lokalidad sa Pilipinas.
5. COMELEC Oversight: Ang COMELEC ay may pananagutan sa pangangasiwa sa pagsasagawa ng overseas absentee voting at pagtiyak na ang proseso ay patas, transparent, at naa-access ng mga karapat-dapat na OFW. Ang COMELEC ay nagtatatag ng mga alituntunin at pamamaraan para sa pagboto ng absentee sa ibang bansa, nagpoproseso ng mga rehistrasyon ng botante, at nangangasiwa sa pagbibilang at pag-canvas ng mga boto ng mga absentee na botante sa ibang bansa.
Sa pangkalahatan, binibigyang-daan ng OAV system ang mga OFW na gamitin ang kanilang karapatang bumoto at lumahok sa mga halalan sa Pilipinas, na nagpapahintulot sa kanila na magkaroon ng boses sa paghubog ng pulitikal na kinabukasan ng bansa kahit na naninirahan at nagtatrabaho sa ibang bansa.</v>
      </c>
      <c r="F2967" s="2">
        <f t="shared" si="1"/>
        <v>0</v>
      </c>
      <c r="G2967" s="2"/>
      <c r="H2967" s="2"/>
      <c r="I2967" s="2"/>
      <c r="J2967" s="2"/>
      <c r="K2967" s="2"/>
      <c r="L2967" s="2"/>
      <c r="M2967" s="2"/>
      <c r="N2967" s="2"/>
      <c r="O2967" s="2"/>
      <c r="P2967" s="2"/>
      <c r="Q2967" s="2"/>
      <c r="R2967" s="2"/>
      <c r="S2967" s="2"/>
      <c r="T2967" s="2"/>
      <c r="U2967" s="2"/>
      <c r="V2967" s="2"/>
      <c r="W2967" s="2"/>
      <c r="X2967" s="2"/>
      <c r="Y2967" s="2"/>
      <c r="Z2967" s="2"/>
      <c r="AA2967" s="2"/>
    </row>
    <row r="2968">
      <c r="A2968" s="3" t="s">
        <v>6842</v>
      </c>
      <c r="B2968" s="1" t="s">
        <v>6911</v>
      </c>
      <c r="C2968" s="3" t="s">
        <v>6912</v>
      </c>
      <c r="D2968" s="2" t="str">
        <f>IFERROR(__xludf.DUMMYFUNCTION("GOOGLETRANSLATE(B2968, ""en"", ""TL"")"),"Anong mga legal na proteksyon ang magagamit ng mga OFW laban sa mga mapanlinlang na gawain ng kanilang mga recruiter?")</f>
        <v>Anong mga legal na proteksyon ang magagamit ng mga OFW laban sa mga mapanlinlang na gawain ng kanilang mga recruiter?</v>
      </c>
      <c r="E2968" s="2" t="str">
        <f>IFERROR(__xludf.DUMMYFUNCTION("GOOGLETRANSLATE(C2968, ""en"", ""TL"")"),"Ang mga OFW (Overseas Filipino Workers) ay may ilang legal na proteksyon laban sa mga mapanlinlang na gawain ng mga recruiter sa Pilipinas:
**Mga Batas:**
* **Philippine Overseas Employment Administration (POEA) Rules and Regulations:** Ang mga ito "&amp;"ang kumokontrol sa recruitment at deployment ng mga OFW. Binabalangkas nila ang mga partikular na kinakailangan para sa mga recruiter, kabilang ang impormasyong dapat nilang ibigay, ang mga bayarin na maaari nilang singilin, at ang mga kontratang maiaalok"&amp;" nila [https://www.dmw.gov.ph/archives/laws&amp;rules/laws&amp;rules.html](https: //www.dmw.gov.ph/archives/laws&amp;rules/laws&amp;rules.html).
* **Anti-Trafficking in Persons Act (Republic Act No. 9208):** Ang batas na ito ay nagpaparusa ng human trafficking, kabila"&amp;"ng ang mga mapanlinlang na gawain sa pangangalap na nananamantala o naglalagay sa panganib sa mga OFW [https://lawphil.net/statutes/repacts/ra2003/ra_9208_2003 .html](https://lawphil.net/statutes/repacts/ra2003/ra_9208_2003.html).
* **Labor Code of the"&amp;" Philippines (Republic Act No. 6715):** Pinoprotektahan ng code na ito ang mga karapatan ng lahat ng manggagawang Pilipino, kabilang ang mga OFW. Kabilang dito ang mga probisyon sa illegal recruitment at ipinagbabawal ang paniningil ng labis na placement "&amp;"fee [https://lawphil.net/judjuris/juri2020/sep2020/gr_221411_2020.html](https://lawphil.net/judjuris/juri2020/sep2020/gr_201411.html) .
**Mga Ahensya ng Pamahalaan:**
* **Philippine Overseas Employment Administration (POEA):** Ang POEA ay may panana"&amp;"gutan sa pagprotekta sa mga OFW at pagpapatupad ng mga regulasyon sa mga recruitment agencies. Maaari nilang imbestigahan ang mga reklamo laban sa mga recruiter, magpataw ng mga parusa, at mga lumalabag sa blacklist [https://www.dmw.gov.ph/archives/defaul"&amp;"t.html](https://www.dmw.gov.ph/archives/default.html ).
* **Department of Justice (DOJ):** Maaaring kasuhan ng DOJ ang mga recruiter na nagsasagawa ng mga kriminal na aktibidad tulad ng illegal recruitment at human trafficking. 
**Pagkilos:**
* *"&amp;"*Maghain ng reklamo sa POEA:** Kung naniniwala kang ang iyong recruiter ay nasangkot sa mga mapanlinlang na gawain, maaari kang magsampa ng reklamo sa POEA. Matutulungan ka nila na mabawi ang mga bayarin, kanselahin ang mga kontrata, at posibleng gumawa n"&amp;"g legal na aksyon laban sa recruiter.
* **Mag-ulat sa tagapagpatupad ng batas:** Kung pinaghihinalaan mo ang human trafficking o iba pang aktibidad na kriminal, iulat ito sa mga awtoridad.
**Mga Karagdagang Mapagkukunan:**
* Helpline ng POEA: 134"&amp;"8
Sa pamamagitan ng pag-alam sa mga legal na proteksyon at mapagkukunang ito, mas mabibigyang kapangyarihan ang mga OFW na labanan ang mga mapanlinlang na kasanayan sa pangangalap. Tandaan, mahalagang malaman bago pumasok sa anumang kontrata sa isang r"&amp;"ecruiter.
")</f>
        <v>Ang mga OFW (Overseas Filipino Workers) ay may ilang legal na proteksyon laban sa mga mapanlinlang na gawain ng mga recruiter sa Pilipinas:
**Mga Batas:**
* **Philippine Overseas Employment Administration (POEA) Rules and Regulations:** Ang mga ito ang kumokontrol sa recruitment at deployment ng mga OFW. Binabalangkas nila ang mga partikular na kinakailangan para sa mga recruiter, kabilang ang impormasyong dapat nilang ibigay, ang mga bayarin na maaari nilang singilin, at ang mga kontratang maiaalok nila [https://www.dmw.gov.ph/archives/laws&amp;rules/laws&amp;rules.html](https: //www.dmw.gov.ph/archives/laws&amp;rules/laws&amp;rules.html).
* **Anti-Trafficking in Persons Act (Republic Act No. 9208):** Ang batas na ito ay nagpaparusa ng human trafficking, kabilang ang mga mapanlinlang na gawain sa pangangalap na nananamantala o naglalagay sa panganib sa mga OFW [https://lawphil.net/statutes/repacts/ra2003/ra_9208_2003 .html](https://lawphil.net/statutes/repacts/ra2003/ra_9208_2003.html).
* **Labor Code of the Philippines (Republic Act No. 6715):** Pinoprotektahan ng code na ito ang mga karapatan ng lahat ng manggagawang Pilipino, kabilang ang mga OFW. Kabilang dito ang mga probisyon sa illegal recruitment at ipinagbabawal ang paniningil ng labis na placement fee [https://lawphil.net/judjuris/juri2020/sep2020/gr_221411_2020.html](https://lawphil.net/judjuris/juri2020/sep2020/gr_201411.html) .
**Mga Ahensya ng Pamahalaan:**
* **Philippine Overseas Employment Administration (POEA):** Ang POEA ay may pananagutan sa pagprotekta sa mga OFW at pagpapatupad ng mga regulasyon sa mga recruitment agencies. Maaari nilang imbestigahan ang mga reklamo laban sa mga recruiter, magpataw ng mga parusa, at mga lumalabag sa blacklist [https://www.dmw.gov.ph/archives/default.html](https://www.dmw.gov.ph/archives/default.html ).
* **Department of Justice (DOJ):** Maaaring kasuhan ng DOJ ang mga recruiter na nagsasagawa ng mga kriminal na aktibidad tulad ng illegal recruitment at human trafficking. 
**Pagkilos:**
* **Maghain ng reklamo sa POEA:** Kung naniniwala kang ang iyong recruiter ay nasangkot sa mga mapanlinlang na gawain, maaari kang magsampa ng reklamo sa POEA. Matutulungan ka nila na mabawi ang mga bayarin, kanselahin ang mga kontrata, at posibleng gumawa ng legal na aksyon laban sa recruiter.
* **Mag-ulat sa tagapagpatupad ng batas:** Kung pinaghihinalaan mo ang human trafficking o iba pang aktibidad na kriminal, iulat ito sa mga awtoridad.
**Mga Karagdagang Mapagkukunan:**
* Helpline ng POEA: 1348
Sa pamamagitan ng pag-alam sa mga legal na proteksyon at mapagkukunang ito, mas mabibigyang kapangyarihan ang mga OFW na labanan ang mga mapanlinlang na kasanayan sa pangangalap. Tandaan, mahalagang malaman bago pumasok sa anumang kontrata sa isang recruiter.
</v>
      </c>
      <c r="F2968" s="2">
        <f t="shared" si="1"/>
        <v>0</v>
      </c>
      <c r="G2968" s="2"/>
      <c r="H2968" s="2"/>
      <c r="I2968" s="2"/>
      <c r="J2968" s="2"/>
      <c r="K2968" s="2"/>
      <c r="L2968" s="2"/>
      <c r="M2968" s="2"/>
      <c r="N2968" s="2"/>
      <c r="O2968" s="2"/>
      <c r="P2968" s="2"/>
      <c r="Q2968" s="2"/>
      <c r="R2968" s="2"/>
      <c r="S2968" s="2"/>
      <c r="T2968" s="2"/>
      <c r="U2968" s="2"/>
      <c r="V2968" s="2"/>
      <c r="W2968" s="2"/>
      <c r="X2968" s="2"/>
      <c r="Y2968" s="2"/>
      <c r="Z2968" s="2"/>
      <c r="AA2968" s="2"/>
    </row>
    <row r="2969">
      <c r="A2969" s="3" t="s">
        <v>6842</v>
      </c>
      <c r="B2969" s="1" t="s">
        <v>6913</v>
      </c>
      <c r="C2969" s="3" t="s">
        <v>6914</v>
      </c>
      <c r="D2969" s="2" t="str">
        <f>IFERROR(__xludf.DUMMYFUNCTION("GOOGLETRANSLATE(B2969, ""en"", ""TL"")"),"Sa ilalim ng batas ng Pilipinas, ano ang mga karapatan ng isang OFW sa mga tuntunin ng access sa edukasyon para sa kanilang mga anak sa Pilipinas?")</f>
        <v>Sa ilalim ng batas ng Pilipinas, ano ang mga karapatan ng isang OFW sa mga tuntunin ng access sa edukasyon para sa kanilang mga anak sa Pilipinas?</v>
      </c>
      <c r="E2969" s="2" t="str">
        <f>IFERROR(__xludf.DUMMYFUNCTION("GOOGLETRANSLATE(C2969, ""en"", ""TL"")"),"Hindi ginagarantiyahan ng batas ng Pilipinas ang direktang access sa edukasyon para sa mga anak ng OFW, ngunit may mga probisyon na naglalayong **pangasiwaan at suportahan** ang kanilang edukasyon:
* **Karapatan sa Batayang Edukasyon:** Ginagarantiyaha"&amp;"n ng Konstitusyon ng Pilipinas ang libreng pag-access sa pangunahing edukasyon (elementarya at mataas na paaralan) para sa lahat ng mamamayang Pilipino [https://lawphil.net/consti/cons1987.html](https://lawphil .net/consti/cons1987.html). Nalalapat din it"&amp;"o sa mga anak ng OFW.
* **Mga Programa ng Pamahalaan:** Nag-aalok ang gobyerno ng Pilipinas ng iba't ibang programa para tulungan ang mga OFW sa edukasyon ng kanilang mga anak:
    * **OFW Dependents Scholarship Program (OFWDSP):** Ang programang it"&amp;"o ng Overseas Workers Welfare Administration (OWWA) ay nagbibigay ng pinansiyal na tulong sa mga kwalipikadong dependent ng mga OFW na kumukuha ng mga degree sa kolehiyo sa mga pampublikong institusyon [https://owwa.gov.ph/? page_id=3622](https://owwa.gov"&amp;".ph/?page_id=3622).
    * **Mga Programa sa Tulong Pang-edukasyon:** Maaaring mag-alok ang ibang mga ahensya ng gobyerno at NGO ng mga iskolarsip, gawad, o mga programa sa tulong sa edukasyon na partikular para sa mga anak ng mga OFW.
* **Pag-aalaga"&amp;" at Pangangalaga:** Ang mga OFW ay may karapatang magtalaga ng mga tagapag-alaga para sa kanilang mga anak sa Pilipinas. Ang mga tagapag-alaga na ito ay maaaring makatulong sa pagpapatala sa paaralan, komunikasyon sa mga guro, at pangkalahatang kagalingan"&amp;" ng bata.
**Mga Hamon at Pagsasaalang-alang:**
* **Pansiyal na Pasan:** Sa kabila ng mga programa ng gobyerno, ang edukasyon ay maaari pa ring maging pabigat sa pananalapi para sa ilang pamilyang OFW. 
* **Mga Isyung Emosyonal at Panlipunan:** Ma"&amp;"aaring makaharap ang mga anak ng OFW sa emosyonal at panlipunang hamon dahil sa kawalan ng kanilang mga magulang. 
**Mga Rekomendasyon:**
* **Research Scholarship Programs:** Dapat tuklasin ng mga OFW ang mga scholarship at educational assistance pr"&amp;"ogram na magagamit para sa kanilang mga anak.
* **Panatilihin ang Komunikasyon:** Ang regular na komunikasyon sa mga bata at tagapag-alaga ay mahalaga para sa kanilang kagalingan at pag-unlad sa edukasyon.
* **Seek Support Groups:** Ang pagkonekta sa ib"&amp;"ang mga pamilyang OFW ay maaaring magbigay ng emosyonal at praktikal na suporta.
Bagama't walang direktang legal na garantiya, kinikilala ng gobyerno ng Pilipinas ang mga hamon na kinakaharap ng mga pamilyang OFW at nag-aalok ng iba't ibang mga program"&amp;"a at sistema ng suporta upang matiyak na ang kanilang mga anak ay may access sa edukasyon.
")</f>
        <v>Hindi ginagarantiyahan ng batas ng Pilipinas ang direktang access sa edukasyon para sa mga anak ng OFW, ngunit may mga probisyon na naglalayong **pangasiwaan at suportahan** ang kanilang edukasyon:
* **Karapatan sa Batayang Edukasyon:** Ginagarantiyahan ng Konstitusyon ng Pilipinas ang libreng pag-access sa pangunahing edukasyon (elementarya at mataas na paaralan) para sa lahat ng mamamayang Pilipino [https://lawphil.net/consti/cons1987.html](https://lawphil .net/consti/cons1987.html). Nalalapat din ito sa mga anak ng OFW.
* **Mga Programa ng Pamahalaan:** Nag-aalok ang gobyerno ng Pilipinas ng iba't ibang programa para tulungan ang mga OFW sa edukasyon ng kanilang mga anak:
    * **OFW Dependents Scholarship Program (OFWDSP):** Ang programang ito ng Overseas Workers Welfare Administration (OWWA) ay nagbibigay ng pinansiyal na tulong sa mga kwalipikadong dependent ng mga OFW na kumukuha ng mga degree sa kolehiyo sa mga pampublikong institusyon [https://owwa.gov.ph/? page_id=3622](https://owwa.gov.ph/?page_id=3622).
    * **Mga Programa sa Tulong Pang-edukasyon:** Maaaring mag-alok ang ibang mga ahensya ng gobyerno at NGO ng mga iskolarsip, gawad, o mga programa sa tulong sa edukasyon na partikular para sa mga anak ng mga OFW.
* **Pag-aalaga at Pangangalaga:** Ang mga OFW ay may karapatang magtalaga ng mga tagapag-alaga para sa kanilang mga anak sa Pilipinas. Ang mga tagapag-alaga na ito ay maaaring makatulong sa pagpapatala sa paaralan, komunikasyon sa mga guro, at pangkalahatang kagalingan ng bata.
**Mga Hamon at Pagsasaalang-alang:**
* **Pansiyal na Pasan:** Sa kabila ng mga programa ng gobyerno, ang edukasyon ay maaari pa ring maging pabigat sa pananalapi para sa ilang pamilyang OFW. 
* **Mga Isyung Emosyonal at Panlipunan:** Maaaring makaharap ang mga anak ng OFW sa emosyonal at panlipunang hamon dahil sa kawalan ng kanilang mga magulang. 
**Mga Rekomendasyon:**
* **Research Scholarship Programs:** Dapat tuklasin ng mga OFW ang mga scholarship at educational assistance program na magagamit para sa kanilang mga anak.
* **Panatilihin ang Komunikasyon:** Ang regular na komunikasyon sa mga bata at tagapag-alaga ay mahalaga para sa kanilang kagalingan at pag-unlad sa edukasyon.
* **Seek Support Groups:** Ang pagkonekta sa ibang mga pamilyang OFW ay maaaring magbigay ng emosyonal at praktikal na suporta.
Bagama't walang direktang legal na garantiya, kinikilala ng gobyerno ng Pilipinas ang mga hamon na kinakaharap ng mga pamilyang OFW at nag-aalok ng iba't ibang mga programa at sistema ng suporta upang matiyak na ang kanilang mga anak ay may access sa edukasyon.
</v>
      </c>
      <c r="F2969" s="2">
        <f t="shared" si="1"/>
        <v>0</v>
      </c>
      <c r="G2969" s="2"/>
      <c r="H2969" s="2"/>
      <c r="I2969" s="2"/>
      <c r="J2969" s="2"/>
      <c r="K2969" s="2"/>
      <c r="L2969" s="2"/>
      <c r="M2969" s="2"/>
      <c r="N2969" s="2"/>
      <c r="O2969" s="2"/>
      <c r="P2969" s="2"/>
      <c r="Q2969" s="2"/>
      <c r="R2969" s="2"/>
      <c r="S2969" s="2"/>
      <c r="T2969" s="2"/>
      <c r="U2969" s="2"/>
      <c r="V2969" s="2"/>
      <c r="W2969" s="2"/>
      <c r="X2969" s="2"/>
      <c r="Y2969" s="2"/>
      <c r="Z2969" s="2"/>
      <c r="AA2969" s="2"/>
    </row>
    <row r="2970">
      <c r="A2970" s="3" t="s">
        <v>6842</v>
      </c>
      <c r="B2970" s="1" t="s">
        <v>6915</v>
      </c>
      <c r="C2970" s="3" t="s">
        <v>6916</v>
      </c>
      <c r="D2970" s="2" t="str">
        <f>IFERROR(__xludf.DUMMYFUNCTION("GOOGLETRANSLATE(B2970, ""en"", ""TL"")"),"Maaari bang managot ang isang OFW sa mga utang na natamo sa Pilipinas habang nagtatrabaho sa ibang bansa?")</f>
        <v>Maaari bang managot ang isang OFW sa mga utang na natamo sa Pilipinas habang nagtatrabaho sa ibang bansa?</v>
      </c>
      <c r="E2970" s="2" t="str">
        <f>IFERROR(__xludf.DUMMYFUNCTION("GOOGLETRANSLATE(C2970, ""en"", ""TL"")"),"Oo, ang isang OFW (Overseas Filipino Worker) ay maaaring managot sa mga utang na natamo sa Pilipinas habang nagtatrabaho sa ibang bansa. Narito kung bakit:
* **Mga Kasunduan sa Pautang:** Kapag ang isang OFW ay pumasok sa isang kasunduan sa pautang sa "&amp;"isang bangko sa Pilipinas o institusyon sa pagpapautang, sila ang personal na mananagot sa pagbabayad ng utang, anuman ang kanilang lokasyon. 
* **Mga Guarantor:** Kahit na ang isang OFW ay hindi direktang humiram ng pera, maaari silang managot kung si"&amp;"la ay pumirma sa isang loan o kumilos bilang isang guarantor para sa utang ng ibang tao sa Pilipinas.
* **Legal na Obligasyon:** Kinikilala ng batas ng Pilipinas ang obligasyon ng mga mamamayan na tuparin ang kanilang mga pinansiyal na pangako. 
**G"&amp;"ayunpaman, may mga proteksiyon para sa mga OFW:**
* **Pre-departure Orientation Seminars (PDOS):** Ang gobyerno ng Pilipinas ay nangangailangan ng mandatory PDOS para sa lahat ng OFW. Tinuturuan sila ng mga seminar na ito sa kanilang mga karapatan at r"&amp;"esponsibilidad, kabilang ang pamamahala sa pananalapi.
* **Debt Assistance Programs:** Ang gobyerno, sa pamamagitan ng OWWA (Overseas Workers Welfare Administration), ay nag-aalok ng mga programa para matulungan ang mga distressed OFW na may mga obliga"&amp;"syong pinansyal [[https://owwa.gov.ph/](https://owwa. gov.ph/)]. 
**Mga Rekomendasyon para sa mga OFW:**
* **Humiram nang Maingat:** Hiram lamang ng kung ano ang makatotohanan mong bayaran.
* **Suriin ang Mga Kasunduan sa Pautang:** Maingat na unaw"&amp;"ain ang mga tuntunin at kundisyon ng anumang pautang bago pumirma.
* **Iwasan ang Co-Signing:** Maliban kung tiwala ka sa kakayahan ng nanghihiram na magbayad, iwasan ang pag-co-sign ng mga pautang.
* **Pamahalaan ang Pananalapi nang Matalinong:** I-bud"&amp;"get ang iyong kita at plano para sa pagbabayad ng utang.
* **Humingi ng Tulong kung Kailangan:** Kung nahihirapan ka sa utang, makipag-ugnayan sa OWWA o iba pang ahensya ng gobyerno para sa tulong.
Sa pagiging responsable sa pananalapi at mulat sa kan"&amp;"ilang mga obligasyon, mababawasan ng mga OFW ang panganib ng mga problema sa utang habang nagtatrabaho sa ibang bansa.")</f>
        <v>Oo, ang isang OFW (Overseas Filipino Worker) ay maaaring managot sa mga utang na natamo sa Pilipinas habang nagtatrabaho sa ibang bansa. Narito kung bakit:
* **Mga Kasunduan sa Pautang:** Kapag ang isang OFW ay pumasok sa isang kasunduan sa pautang sa isang bangko sa Pilipinas o institusyon sa pagpapautang, sila ang personal na mananagot sa pagbabayad ng utang, anuman ang kanilang lokasyon. 
* **Mga Guarantor:** Kahit na ang isang OFW ay hindi direktang humiram ng pera, maaari silang managot kung sila ay pumirma sa isang loan o kumilos bilang isang guarantor para sa utang ng ibang tao sa Pilipinas.
* **Legal na Obligasyon:** Kinikilala ng batas ng Pilipinas ang obligasyon ng mga mamamayan na tuparin ang kanilang mga pinansiyal na pangako. 
**Gayunpaman, may mga proteksiyon para sa mga OFW:**
* **Pre-departure Orientation Seminars (PDOS):** Ang gobyerno ng Pilipinas ay nangangailangan ng mandatory PDOS para sa lahat ng OFW. Tinuturuan sila ng mga seminar na ito sa kanilang mga karapatan at responsibilidad, kabilang ang pamamahala sa pananalapi.
* **Debt Assistance Programs:** Ang gobyerno, sa pamamagitan ng OWWA (Overseas Workers Welfare Administration), ay nag-aalok ng mga programa para matulungan ang mga distressed OFW na may mga obligasyong pinansyal [[https://owwa.gov.ph/](https://owwa. gov.ph/)]. 
**Mga Rekomendasyon para sa mga OFW:**
* **Humiram nang Maingat:** Hiram lamang ng kung ano ang makatotohanan mong bayaran.
* **Suriin ang Mga Kasunduan sa Pautang:** Maingat na unawain ang mga tuntunin at kundisyon ng anumang pautang bago pumirma.
* **Iwasan ang Co-Signing:** Maliban kung tiwala ka sa kakayahan ng nanghihiram na magbayad, iwasan ang pag-co-sign ng mga pautang.
* **Pamahalaan ang Pananalapi nang Matalinong:** I-budget ang iyong kita at plano para sa pagbabayad ng utang.
* **Humingi ng Tulong kung Kailangan:** Kung nahihirapan ka sa utang, makipag-ugnayan sa OWWA o iba pang ahensya ng gobyerno para sa tulong.
Sa pagiging responsable sa pananalapi at mulat sa kanilang mga obligasyon, mababawasan ng mga OFW ang panganib ng mga problema sa utang habang nagtatrabaho sa ibang bansa.</v>
      </c>
      <c r="F2970" s="2">
        <f t="shared" si="1"/>
        <v>0</v>
      </c>
      <c r="G2970" s="2"/>
      <c r="H2970" s="2"/>
      <c r="I2970" s="2"/>
      <c r="J2970" s="2"/>
      <c r="K2970" s="2"/>
      <c r="L2970" s="2"/>
      <c r="M2970" s="2"/>
      <c r="N2970" s="2"/>
      <c r="O2970" s="2"/>
      <c r="P2970" s="2"/>
      <c r="Q2970" s="2"/>
      <c r="R2970" s="2"/>
      <c r="S2970" s="2"/>
      <c r="T2970" s="2"/>
      <c r="U2970" s="2"/>
      <c r="V2970" s="2"/>
      <c r="W2970" s="2"/>
      <c r="X2970" s="2"/>
      <c r="Y2970" s="2"/>
      <c r="Z2970" s="2"/>
      <c r="AA2970" s="2"/>
    </row>
    <row r="2971">
      <c r="A2971" s="3" t="s">
        <v>6842</v>
      </c>
      <c r="B2971" s="1" t="s">
        <v>6917</v>
      </c>
      <c r="C2971" s="3" t="s">
        <v>6918</v>
      </c>
      <c r="D2971" s="2" t="str">
        <f>IFERROR(__xludf.DUMMYFUNCTION("GOOGLETRANSLATE(B2971, ""en"", ""TL"")"),"Paano tinutugunan ng batas ng Pilipinas ang mga kaso ng pagkumpiska ng pasaporte ng mga employer sa ibang bansa?")</f>
        <v>Paano tinutugunan ng batas ng Pilipinas ang mga kaso ng pagkumpiska ng pasaporte ng mga employer sa ibang bansa?</v>
      </c>
      <c r="E2971" s="2" t="str">
        <f>IFERROR(__xludf.DUMMYFUNCTION("GOOGLETRANSLATE(C2971, ""en"", ""TL"")"),"Itinuturing ng batas ng Pilipinas na ilegal ang pagkumpiska ng mga pasaporte ng mga employer sa ibang bansa at nasa ilalim ng dalawang pangunahing batas:
* **Republic Act No. 8042 (Migrant Workers and Overseas Filipinos Act of 1995), sinusugan ng RA No"&amp;". 10022:** Pinoprotektahan ng batas na ito ang mga migranteng manggagawa at Pilipino sa ibang bansa.  Isinasaalang-alang ng Seksyon 10(b) ang pagpigil ng mga pasaporte at iba pang mga dokumento sa paglalakbay ng mga tagapag-empleyo bilang mga iligal na ga"&amp;"wi sa pangangalap.  [Ang mga iligal na gawi sa pangangalap ay pinarurusahan sa ilalim ng batas]
* **Republic Act No. 8239 (Philippine Passport Act of 1996):** Ang batas na ito ay namamahala sa mga pasaporte ng Pilipinas. Ang Seksyon 16 ay nagsasaad na "&amp;"ang mga pasaporte ay pag-aari ng Estado at ipinagbabawal ang pagpigil sa kanila mula sa nararapat na may-ari, isang mamamayang Pilipino.
Samakatuwid, kung ang iyong pasaporte ay hawak ng iyong overseas employer, ang batas ng Pilipinas ay nasa iyong pan"&amp;"ig. ")</f>
        <v>Itinuturing ng batas ng Pilipinas na ilegal ang pagkumpiska ng mga pasaporte ng mga employer sa ibang bansa at nasa ilalim ng dalawang pangunahing batas:
* **Republic Act No. 8042 (Migrant Workers and Overseas Filipinos Act of 1995), sinusugan ng RA No. 10022:** Pinoprotektahan ng batas na ito ang mga migranteng manggagawa at Pilipino sa ibang bansa.  Isinasaalang-alang ng Seksyon 10(b) ang pagpigil ng mga pasaporte at iba pang mga dokumento sa paglalakbay ng mga tagapag-empleyo bilang mga iligal na gawi sa pangangalap.  [Ang mga iligal na gawi sa pangangalap ay pinarurusahan sa ilalim ng batas]
* **Republic Act No. 8239 (Philippine Passport Act of 1996):** Ang batas na ito ay namamahala sa mga pasaporte ng Pilipinas. Ang Seksyon 16 ay nagsasaad na ang mga pasaporte ay pag-aari ng Estado at ipinagbabawal ang pagpigil sa kanila mula sa nararapat na may-ari, isang mamamayang Pilipino.
Samakatuwid, kung ang iyong pasaporte ay hawak ng iyong overseas employer, ang batas ng Pilipinas ay nasa iyong panig. </v>
      </c>
      <c r="F2971" s="2">
        <f t="shared" si="1"/>
        <v>0</v>
      </c>
      <c r="G2971" s="2"/>
      <c r="H2971" s="2"/>
      <c r="I2971" s="2"/>
      <c r="J2971" s="2"/>
      <c r="K2971" s="2"/>
      <c r="L2971" s="2"/>
      <c r="M2971" s="2"/>
      <c r="N2971" s="2"/>
      <c r="O2971" s="2"/>
      <c r="P2971" s="2"/>
      <c r="Q2971" s="2"/>
      <c r="R2971" s="2"/>
      <c r="S2971" s="2"/>
      <c r="T2971" s="2"/>
      <c r="U2971" s="2"/>
      <c r="V2971" s="2"/>
      <c r="W2971" s="2"/>
      <c r="X2971" s="2"/>
      <c r="Y2971" s="2"/>
      <c r="Z2971" s="2"/>
      <c r="AA2971" s="2"/>
    </row>
    <row r="2972">
      <c r="A2972" s="3" t="s">
        <v>6842</v>
      </c>
      <c r="B2972" s="1" t="s">
        <v>6919</v>
      </c>
      <c r="C2972" s="3" t="s">
        <v>6920</v>
      </c>
      <c r="D2972" s="2" t="str">
        <f>IFERROR(__xludf.DUMMYFUNCTION("GOOGLETRANSLATE(B2972, ""en"", ""TL"")"),"Anong legal na tulong ang makukuha ng mga OFW sa pag-navigate sa mga isyu sa imigrasyon sa kanilang mga host country?")</f>
        <v>Anong legal na tulong ang makukuha ng mga OFW sa pag-navigate sa mga isyu sa imigrasyon sa kanilang mga host country?</v>
      </c>
      <c r="E2972" s="2" t="str">
        <f>IFERROR(__xludf.DUMMYFUNCTION("GOOGLETRANSLATE(C2972, ""en"", ""TL"")"),"Mayroong ilang mga probisyon sa ilalim ng batas ng Pilipinas na tumutugon sa legal na tulong para sa mga Overseas Filipino Workers (OFWs) na nahaharap sa mga isyu sa imigrasyon sa kanilang mga host country:
* **Republic Act No. 8042 (Migrant Workers an"&amp;"d Overseas Filipinos Act of 1995), na sinususugan ng RA No. 10022:** Ang batas na ito ay nag-uutos sa Department of Labor and Employment (DOLE) na tulungan ang mga OFW na may mga problema sa imigrasyon. Sa partikular, ang Seksyon 6(a) ng RA 8042 ay nag-aa"&amp;"tas sa DOLE na magtatag ng mga programa para magbigay ng legal na tulong sa mga OFW na may mga kaso sa imigrasyon. [https://reports.dole.gov.ph/](https://reports.dole.gov.ph/)
* **Philippine Overseas Labor Offices (POLOs):** Ang mga POLO ay nakakabit s"&amp;"a mga embahada o konsulado ng Pilipinas sa ibang bansa at nagbibigay ng iba't ibang tulong sa mga OFW, kabilang ang mga may alalahanin sa imigrasyon. Matutulungan nila ang mga manggagawa na maunawaan ang kanilang mga karapatan sa ilalim ng mga batas ng ho"&amp;"st country, mamagitan sa mga employer, at ikonekta sila sa mga legal na mapagkukunan. [https://www.dmw.gov.ph/archives/programs/programs&amp;services.html](https://www.dmw.gov.ph/archives/programs/programs&amp;services.html)
* **DFA Legal Assistance Section:**"&amp;" Ang Department of Foreign Affairs (DFA) ay mayroong legal assistance section na maaaring magbigay ng ilang legal na gabay sa mga OFW. Gayunpaman, dahil sa mga hadlang sa mapagkukunan, maaaring hindi sila makapagbigay ng ganap na legal na representasyon s"&amp;"a korte. [https://dfa.gov.ph/](https://dfa.gov.ph/)
Mahalagang tandaan na ang lawak ng legal na tulong ay maaaring mag-iba depende sa partikular na sitwasyon at mga mapagkukunang makukuha sa embahada o konsulado ng Pilipinas sa host country. ")</f>
        <v>Mayroong ilang mga probisyon sa ilalim ng batas ng Pilipinas na tumutugon sa legal na tulong para sa mga Overseas Filipino Workers (OFWs) na nahaharap sa mga isyu sa imigrasyon sa kanilang mga host country:
* **Republic Act No. 8042 (Migrant Workers and Overseas Filipinos Act of 1995), na sinususugan ng RA No. 10022:** Ang batas na ito ay nag-uutos sa Department of Labor and Employment (DOLE) na tulungan ang mga OFW na may mga problema sa imigrasyon. Sa partikular, ang Seksyon 6(a) ng RA 8042 ay nag-aatas sa DOLE na magtatag ng mga programa para magbigay ng legal na tulong sa mga OFW na may mga kaso sa imigrasyon. [https://reports.dole.gov.ph/](https://reports.dole.gov.ph/)
* **Philippine Overseas Labor Offices (POLOs):** Ang mga POLO ay nakakabit sa mga embahada o konsulado ng Pilipinas sa ibang bansa at nagbibigay ng iba't ibang tulong sa mga OFW, kabilang ang mga may alalahanin sa imigrasyon. Matutulungan nila ang mga manggagawa na maunawaan ang kanilang mga karapatan sa ilalim ng mga batas ng host country, mamagitan sa mga employer, at ikonekta sila sa mga legal na mapagkukunan. [https://www.dmw.gov.ph/archives/programs/programs&amp;services.html](https://www.dmw.gov.ph/archives/programs/programs&amp;services.html)
* **DFA Legal Assistance Section:** Ang Department of Foreign Affairs (DFA) ay mayroong legal assistance section na maaaring magbigay ng ilang legal na gabay sa mga OFW. Gayunpaman, dahil sa mga hadlang sa mapagkukunan, maaaring hindi sila makapagbigay ng ganap na legal na representasyon sa korte. [https://dfa.gov.ph/](https://dfa.gov.ph/)
Mahalagang tandaan na ang lawak ng legal na tulong ay maaaring mag-iba depende sa partikular na sitwasyon at mga mapagkukunang makukuha sa embahada o konsulado ng Pilipinas sa host country. </v>
      </c>
      <c r="F2972" s="2">
        <f t="shared" si="1"/>
        <v>0</v>
      </c>
      <c r="G2972" s="2"/>
      <c r="H2972" s="2"/>
      <c r="I2972" s="2"/>
      <c r="J2972" s="2"/>
      <c r="K2972" s="2"/>
      <c r="L2972" s="2"/>
      <c r="M2972" s="2"/>
      <c r="N2972" s="2"/>
      <c r="O2972" s="2"/>
      <c r="P2972" s="2"/>
      <c r="Q2972" s="2"/>
      <c r="R2972" s="2"/>
      <c r="S2972" s="2"/>
      <c r="T2972" s="2"/>
      <c r="U2972" s="2"/>
      <c r="V2972" s="2"/>
      <c r="W2972" s="2"/>
      <c r="X2972" s="2"/>
      <c r="Y2972" s="2"/>
      <c r="Z2972" s="2"/>
      <c r="AA2972" s="2"/>
    </row>
    <row r="2973">
      <c r="A2973" s="3" t="s">
        <v>6842</v>
      </c>
      <c r="B2973" s="1" t="s">
        <v>6921</v>
      </c>
      <c r="C2973" s="3" t="s">
        <v>6922</v>
      </c>
      <c r="D2973" s="2" t="str">
        <f>IFERROR(__xludf.DUMMYFUNCTION("GOOGLETRANSLATE(B2973, ""en"", ""TL"")"),"Maaari bang i-deport ang isang OFW sa kanilang host country nang walang due process sa ilalim ng batas ng Pilipinas?")</f>
        <v>Maaari bang i-deport ang isang OFW sa kanilang host country nang walang due process sa ilalim ng batas ng Pilipinas?</v>
      </c>
      <c r="E2973" s="2" t="str">
        <f>IFERROR(__xludf.DUMMYFUNCTION("GOOGLETRANSLATE(C2973, ""en"", ""TL"")"),"Hindi, tinitiyak ng batas ng Pilipinas at ng mga internasyonal na kasunduan na ang mga OFW ay hindi mapapaalis sa kanilang host country nang walang due process. Ganito:
* **Republic Act No. 8042 (Migrant Workers and Overseas Filipinos Act of 1995), amy"&amp;"endahan ng RA No. 10022:** Ginagarantiyahan ng batas na ito ang proteksyon ng mga karapatan ng mga OFW kahit nasa ibang bansa. Tinitiyak ng Seksyon 10 na itinataguyod ng mga embahada at konsulado ng Pilipinas ang mga karapatan ng migranteng manggagawa sa "&amp;"ilalim ng mga batas ng host country, kabilang ang karapatan sa angkop na proseso bago ang deportasyon.
* **International Labor Organization (ILO) Conventions:** Ang Pilipinas ay niratipikahan ang ilang ILO convention, kabilang ang C87 (Freedom of Assoc"&amp;"iation and Protection of the Right to Organise) at C98 (Right to Organize and Collective Bargaining). Ginagarantiyahan ng mga kombensyong ito ang mga karapatan ng mga manggagawa, kabilang ang angkop na proseso bago ang pagwawakas ng trabaho, na maaaring m"&amp;"ay kaugnayan sa mga kaso ng pagpapatapon na nagmumula sa mga pagtatalo ng employer-empleyado. [https://www.ilo.org/](https://www.ilo.org/)
Ang angkop na proseso ay karaniwang kinabibilangan ng mga sumusunod:
* Ang pagiging alam ng mga dahilan para s"&amp;"a deportasyon
* Pagkakaroon ng patas na pagdinig sa harap ng karampatang awtoridad
* Ang karapatan sa legal na representasyon
Kung ang isang OFW ay nahaharap sa deportasyon, dapat silang makipag-ugnayan kaagad sa pinakamalapit na embahada o konsulado"&amp;" ng Pilipinas para sa tulong. ")</f>
        <v>Hindi, tinitiyak ng batas ng Pilipinas at ng mga internasyonal na kasunduan na ang mga OFW ay hindi mapapaalis sa kanilang host country nang walang due process. Ganito:
* **Republic Act No. 8042 (Migrant Workers and Overseas Filipinos Act of 1995), amyendahan ng RA No. 10022:** Ginagarantiyahan ng batas na ito ang proteksyon ng mga karapatan ng mga OFW kahit nasa ibang bansa. Tinitiyak ng Seksyon 10 na itinataguyod ng mga embahada at konsulado ng Pilipinas ang mga karapatan ng migranteng manggagawa sa ilalim ng mga batas ng host country, kabilang ang karapatan sa angkop na proseso bago ang deportasyon.
* **International Labor Organization (ILO) Conventions:** Ang Pilipinas ay niratipikahan ang ilang ILO convention, kabilang ang C87 (Freedom of Association and Protection of the Right to Organise) at C98 (Right to Organize and Collective Bargaining). Ginagarantiyahan ng mga kombensyong ito ang mga karapatan ng mga manggagawa, kabilang ang angkop na proseso bago ang pagwawakas ng trabaho, na maaaring may kaugnayan sa mga kaso ng pagpapatapon na nagmumula sa mga pagtatalo ng employer-empleyado. [https://www.ilo.org/](https://www.ilo.org/)
Ang angkop na proseso ay karaniwang kinabibilangan ng mga sumusunod:
* Ang pagiging alam ng mga dahilan para sa deportasyon
* Pagkakaroon ng patas na pagdinig sa harap ng karampatang awtoridad
* Ang karapatan sa legal na representasyon
Kung ang isang OFW ay nahaharap sa deportasyon, dapat silang makipag-ugnayan kaagad sa pinakamalapit na embahada o konsulado ng Pilipinas para sa tulong. </v>
      </c>
      <c r="F2973" s="2">
        <f t="shared" si="1"/>
        <v>0</v>
      </c>
      <c r="G2973" s="2"/>
      <c r="H2973" s="2"/>
      <c r="I2973" s="2"/>
      <c r="J2973" s="2"/>
      <c r="K2973" s="2"/>
      <c r="L2973" s="2"/>
      <c r="M2973" s="2"/>
      <c r="N2973" s="2"/>
      <c r="O2973" s="2"/>
      <c r="P2973" s="2"/>
      <c r="Q2973" s="2"/>
      <c r="R2973" s="2"/>
      <c r="S2973" s="2"/>
      <c r="T2973" s="2"/>
      <c r="U2973" s="2"/>
      <c r="V2973" s="2"/>
      <c r="W2973" s="2"/>
      <c r="X2973" s="2"/>
      <c r="Y2973" s="2"/>
      <c r="Z2973" s="2"/>
      <c r="AA2973" s="2"/>
    </row>
    <row r="2974">
      <c r="A2974" s="3" t="s">
        <v>6923</v>
      </c>
      <c r="B2974" s="1" t="s">
        <v>6924</v>
      </c>
      <c r="C2974" s="3" t="s">
        <v>6925</v>
      </c>
      <c r="D2974" s="2" t="str">
        <f>IFERROR(__xludf.DUMMYFUNCTION("GOOGLETRANSLATE(B2974, ""en"", ""TL"")"),"Ano ang pangunahing batas na namamahala sa pangangalaga ng pamana ng kultura sa Pilipinas?")</f>
        <v>Ano ang pangunahing batas na namamahala sa pangangalaga ng pamana ng kultura sa Pilipinas?</v>
      </c>
      <c r="E2974" s="2" t="str">
        <f>IFERROR(__xludf.DUMMYFUNCTION("GOOGLETRANSLATE(C2974, ""en"", ""TL"")"),"Ang pangunahing batas na namamahala sa pangangalaga ng pamana ng kultura sa Pilipinas ay ang:
* **Republic Act No. 10066, na kilala rin bilang National Cultural Heritage Act of 2009** 
Ang Batas na ito ay nagbibigay ng komprehensibong balangkas para"&amp;" sa proteksyon, pangangalaga, at pagtataguyod ng kultural na pamana ng Pilipinas. Sinasaklaw nito ang parehong tangible at intangible na mga kultural na pag-aari, at nagtatatag ng iba't ibang mekanismo para sa kanilang konserbasyon. ")</f>
        <v>Ang pangunahing batas na namamahala sa pangangalaga ng pamana ng kultura sa Pilipinas ay ang:
* **Republic Act No. 10066, na kilala rin bilang National Cultural Heritage Act of 2009** 
Ang Batas na ito ay nagbibigay ng komprehensibong balangkas para sa proteksyon, pangangalaga, at pagtataguyod ng kultural na pamana ng Pilipinas. Sinasaklaw nito ang parehong tangible at intangible na mga kultural na pag-aari, at nagtatatag ng iba't ibang mekanismo para sa kanilang konserbasyon. </v>
      </c>
      <c r="F2974" s="2">
        <f t="shared" si="1"/>
        <v>0</v>
      </c>
      <c r="G2974" s="2"/>
      <c r="H2974" s="2"/>
      <c r="I2974" s="2"/>
      <c r="J2974" s="2"/>
      <c r="K2974" s="2"/>
      <c r="L2974" s="2"/>
      <c r="M2974" s="2"/>
      <c r="N2974" s="2"/>
      <c r="O2974" s="2"/>
      <c r="P2974" s="2"/>
      <c r="Q2974" s="2"/>
      <c r="R2974" s="2"/>
      <c r="S2974" s="2"/>
      <c r="T2974" s="2"/>
      <c r="U2974" s="2"/>
      <c r="V2974" s="2"/>
      <c r="W2974" s="2"/>
      <c r="X2974" s="2"/>
      <c r="Y2974" s="2"/>
      <c r="Z2974" s="2"/>
      <c r="AA2974" s="2"/>
    </row>
    <row r="2975">
      <c r="A2975" s="3" t="s">
        <v>6923</v>
      </c>
      <c r="B2975" s="1" t="s">
        <v>6926</v>
      </c>
      <c r="C2975" s="3" t="s">
        <v>6927</v>
      </c>
      <c r="D2975" s="2" t="str">
        <f>IFERROR(__xludf.DUMMYFUNCTION("GOOGLETRANSLATE(B2975, ""en"", ""TL"")"),"Tukuyin ang konsepto ng pamana ng kultura sa ilalim ng batas ng Pilipinas.")</f>
        <v>Tukuyin ang konsepto ng pamana ng kultura sa ilalim ng batas ng Pilipinas.</v>
      </c>
      <c r="E2975" s="2" t="str">
        <f>IFERROR(__xludf.DUMMYFUNCTION("GOOGLETRANSLATE(C2975, ""en"", ""TL"")"),"Ang konsepto ng cultural heritage sa ilalim ng batas ng Pilipinas ay tinukoy sa **Republic Act No. 10066 (National Cultural Heritage Act of 2009)** bilang:
* **""Ang kabuuan ng kultural na ari-arian na napanatili at binuo sa paglipas ng panahon at ipin"&amp;"asa sa mga inapo""** [Seksyon 4(l) ng RA 10066]
Binibigyang-diin ng depinisyon na ito na ang pamana ng kultura ay hindi lamang isang koleksyon ng mga bagay, bagkus ang buhay na pamana ng sambayanang Pilipino, na sumasaklaw sa iba't ibang aspeto:
* *"&amp;"*Cultural property:** Kabilang dito ang tangible at intangible property na may makasaysayang, kultural, masining, at siyentipikong halaga. Kabilang sa mga halimbawa ang mga simbahan, artifact, tradisyunal na sining, wika, at alamat. 
* **Pinapanatili at "&amp;"binuo sa paglipas ng panahon:** Ang kultura ay hindi static, ngunit nagbabago sa paglipas ng panahon. Kinikilala ng batas ang kahalagahan ng pangangalaga sa pamana habang pinahihintulutan ang pagbagay nito.
* **Naipasa sa mga inapo:** Itinatampok ng Bata"&amp;"s ang responsibilidad na pangalagaan ang pamana ng kultura para sa mga susunod na henerasyon.
Samakatuwid, ang batas ng Pilipinas ay may malawak na pagtingin sa pamana ng kultura, na sumasaklaw hindi lamang sa mga pisikal na bagay kundi pati na rin sa "&amp;"mga tradisyon, kasanayan, at kaalaman na nag-uugnay sa mga Pilipino sa kanilang nakaraan at humuhubog sa kanilang pagkakakilanlan.")</f>
        <v>Ang konsepto ng cultural heritage sa ilalim ng batas ng Pilipinas ay tinukoy sa **Republic Act No. 10066 (National Cultural Heritage Act of 2009)** bilang:
* **"Ang kabuuan ng kultural na ari-arian na napanatili at binuo sa paglipas ng panahon at ipinasa sa mga inapo"** [Seksyon 4(l) ng RA 10066]
Binibigyang-diin ng depinisyon na ito na ang pamana ng kultura ay hindi lamang isang koleksyon ng mga bagay, bagkus ang buhay na pamana ng sambayanang Pilipino, na sumasaklaw sa iba't ibang aspeto:
* **Cultural property:** Kabilang dito ang tangible at intangible property na may makasaysayang, kultural, masining, at siyentipikong halaga. Kabilang sa mga halimbawa ang mga simbahan, artifact, tradisyunal na sining, wika, at alamat. 
* **Pinapanatili at binuo sa paglipas ng panahon:** Ang kultura ay hindi static, ngunit nagbabago sa paglipas ng panahon. Kinikilala ng batas ang kahalagahan ng pangangalaga sa pamana habang pinahihintulutan ang pagbagay nito.
* **Naipasa sa mga inapo:** Itinatampok ng Batas ang responsibilidad na pangalagaan ang pamana ng kultura para sa mga susunod na henerasyon.
Samakatuwid, ang batas ng Pilipinas ay may malawak na pagtingin sa pamana ng kultura, na sumasaklaw hindi lamang sa mga pisikal na bagay kundi pati na rin sa mga tradisyon, kasanayan, at kaalaman na nag-uugnay sa mga Pilipino sa kanilang nakaraan at humuhubog sa kanilang pagkakakilanlan.</v>
      </c>
      <c r="F2975" s="2">
        <f t="shared" si="1"/>
        <v>0</v>
      </c>
      <c r="G2975" s="2"/>
      <c r="H2975" s="2"/>
      <c r="I2975" s="2"/>
      <c r="J2975" s="2"/>
      <c r="K2975" s="2"/>
      <c r="L2975" s="2"/>
      <c r="M2975" s="2"/>
      <c r="N2975" s="2"/>
      <c r="O2975" s="2"/>
      <c r="P2975" s="2"/>
      <c r="Q2975" s="2"/>
      <c r="R2975" s="2"/>
      <c r="S2975" s="2"/>
      <c r="T2975" s="2"/>
      <c r="U2975" s="2"/>
      <c r="V2975" s="2"/>
      <c r="W2975" s="2"/>
      <c r="X2975" s="2"/>
      <c r="Y2975" s="2"/>
      <c r="Z2975" s="2"/>
      <c r="AA2975" s="2"/>
    </row>
    <row r="2976">
      <c r="A2976" s="3" t="s">
        <v>6923</v>
      </c>
      <c r="B2976" s="1" t="s">
        <v>6928</v>
      </c>
      <c r="C2976" s="3" t="s">
        <v>6929</v>
      </c>
      <c r="D2976" s="2" t="str">
        <f>IFERROR(__xludf.DUMMYFUNCTION("GOOGLETRANSLATE(B2976, ""en"", ""TL"")"),"Anong ahensya ng pamahalaan ang may pananagutan sa pagpapatupad ng mga batas sa pamana ng kultura sa Pilipinas?")</f>
        <v>Anong ahensya ng pamahalaan ang may pananagutan sa pagpapatupad ng mga batas sa pamana ng kultura sa Pilipinas?</v>
      </c>
      <c r="E2976" s="2" t="str">
        <f>IFERROR(__xludf.DUMMYFUNCTION("GOOGLETRANSLATE(C2976, ""en"", ""TL"")"),"Hinahati ng batas ng Pilipinas ang responsibilidad para sa pagpapatupad ng mga batas sa pamana ng kultura sa ilang ahensya ng gobyerno.  Narito ang isang breakdown:
* **National Commission for Culture and the Arts (NCCA):** Ang NCCA ang nangangasiwa sa"&amp;" pagpapatupad ng National Cultural Heritage Act. Nagtatatag ito ng mga patakaran, nagkoordina ng mga aktibidad, at nagbibigay ng pagpopondo para sa mga pagsisikap sa pangangalaga ng pamana ng kultura [Seksyon 5(a) ng RA 10066].
* **Mga Ahensyang Pangku"&amp;"ltura:** Ilang ahensya ng pamahalaan ang gumaganap ng mga partikular na tungkulin sa pangangalaga ng pamana ng kultura. Ang mga ito ay tinutukoy bilang ""mga ahensyang pangkultura"" sa ilalim ng RA 10066 at kinabibilangan ng:
    * Pambansang Museo (cult"&amp;"ural property)
    * Pambansang Aklatan (mga aklat at iba pang publikasyon)
    * National Archives of the Philippines (mga makasaysayang dokumento)
    * Pambansang Komisyong Pangkasaysayan ng Pilipinas (kasaysayan at kultural na mga ari-arian ng Pili"&amp;"pinas) 
    * Cultural Center of the Philippines (buhay na kultura at sining)
    * Komisyon ng Wikang Filipino (Wikang Filipino) [Section 4(j) of RA 10066]
* **Local Government Units (LGUs):** Ang mga LGU ay mayroon ding papel sa pangangalaga ng cul"&amp;"tural heritage sa loob ng kanilang mga nasasakupan.  Maaari silang magpatibay ng mga ordinansa upang protektahan ang mga ari-arian ng kultura at magtatag ng mga lokal na konseho ng kultura [Section 32 of RA 10066].
Sa esensya, ang responsibilidad para "&amp;"sa pagpapatupad ng mga batas sa pamana ng kultura ay isang pinagsamang pagsisikap sa pagitan ng NCCA, mga ahensyang pangkultura sa pambansang antas, at mga LGU. Tinitiyak nito ang isang komprehensibong diskarte sa pagprotekta sa mayamang pamana ng kultura"&amp;" ng Pilipinas.
")</f>
        <v>Hinahati ng batas ng Pilipinas ang responsibilidad para sa pagpapatupad ng mga batas sa pamana ng kultura sa ilang ahensya ng gobyerno.  Narito ang isang breakdown:
* **National Commission for Culture and the Arts (NCCA):** Ang NCCA ang nangangasiwa sa pagpapatupad ng National Cultural Heritage Act. Nagtatatag ito ng mga patakaran, nagkoordina ng mga aktibidad, at nagbibigay ng pagpopondo para sa mga pagsisikap sa pangangalaga ng pamana ng kultura [Seksyon 5(a) ng RA 10066].
* **Mga Ahensyang Pangkultura:** Ilang ahensya ng pamahalaan ang gumaganap ng mga partikular na tungkulin sa pangangalaga ng pamana ng kultura. Ang mga ito ay tinutukoy bilang "mga ahensyang pangkultura" sa ilalim ng RA 10066 at kinabibilangan ng:
    * Pambansang Museo (cultural property)
    * Pambansang Aklatan (mga aklat at iba pang publikasyon)
    * National Archives of the Philippines (mga makasaysayang dokumento)
    * Pambansang Komisyong Pangkasaysayan ng Pilipinas (kasaysayan at kultural na mga ari-arian ng Pilipinas) 
    * Cultural Center of the Philippines (buhay na kultura at sining)
    * Komisyon ng Wikang Filipino (Wikang Filipino) [Section 4(j) of RA 10066]
* **Local Government Units (LGUs):** Ang mga LGU ay mayroon ding papel sa pangangalaga ng cultural heritage sa loob ng kanilang mga nasasakupan.  Maaari silang magpatibay ng mga ordinansa upang protektahan ang mga ari-arian ng kultura at magtatag ng mga lokal na konseho ng kultura [Section 32 of RA 10066].
Sa esensya, ang responsibilidad para sa pagpapatupad ng mga batas sa pamana ng kultura ay isang pinagsamang pagsisikap sa pagitan ng NCCA, mga ahensyang pangkultura sa pambansang antas, at mga LGU. Tinitiyak nito ang isang komprehensibong diskarte sa pagprotekta sa mayamang pamana ng kultura ng Pilipinas.
</v>
      </c>
      <c r="F2976" s="2">
        <f t="shared" si="1"/>
        <v>0</v>
      </c>
      <c r="G2976" s="2"/>
      <c r="H2976" s="2"/>
      <c r="I2976" s="2"/>
      <c r="J2976" s="2"/>
      <c r="K2976" s="2"/>
      <c r="L2976" s="2"/>
      <c r="M2976" s="2"/>
      <c r="N2976" s="2"/>
      <c r="O2976" s="2"/>
      <c r="P2976" s="2"/>
      <c r="Q2976" s="2"/>
      <c r="R2976" s="2"/>
      <c r="S2976" s="2"/>
      <c r="T2976" s="2"/>
      <c r="U2976" s="2"/>
      <c r="V2976" s="2"/>
      <c r="W2976" s="2"/>
      <c r="X2976" s="2"/>
      <c r="Y2976" s="2"/>
      <c r="Z2976" s="2"/>
      <c r="AA2976" s="2"/>
    </row>
    <row r="2977">
      <c r="A2977" s="3" t="s">
        <v>6923</v>
      </c>
      <c r="B2977" s="1" t="s">
        <v>6930</v>
      </c>
      <c r="C2977" s="3" t="s">
        <v>6931</v>
      </c>
      <c r="D2977" s="2" t="str">
        <f>IFERROR(__xludf.DUMMYFUNCTION("GOOGLETRANSLATE(B2977, ""en"", ""TL"")"),"Isa-isahin ang mga uri ng kultural na ari-arian na protektado sa ilalim ng batas ng Pilipinas.")</f>
        <v>Isa-isahin ang mga uri ng kultural na ari-arian na protektado sa ilalim ng batas ng Pilipinas.</v>
      </c>
      <c r="E2977" s="2" t="str">
        <f>IFERROR(__xludf.DUMMYFUNCTION("GOOGLETRANSLATE(C2977, ""en"", ""TL"")"),"Ang batas ng Pilipinas, ang Republic Act No. 10066 (National Cultural Heritage Act of 2009), ay nag-uuri ng mga ari-arian sa kultura sa dalawang malawak na kategorya:
* **Tangible Cultural Property:** Ito ay tumutukoy sa kultural na ari-arian na may hi"&amp;"storical, archival, anthropological, archeological, artistic at/o architectural value. Maaari itong higit pang ikategorya bilang:
    * **Cultural Property of the Philippines:** Ito ay mga bagay na may kakaiba o tradisyunal na produksyon, maging sa Pilip"&amp;"inas ang pinanggalingan o hindi, kabilang ang mga antique at natural history specimens na may makabuluhang halaga [Seksyon 4(ii) ng RA 10066]. 
    * **Idineklara na Cultural Property:** Ito ang mahahalagang kultural na ari-arian na tinukoy at pormal na "&amp;"idineklara ng NCCA o mga ahensyang pangkultura sa pamamagitan ng proseso ng pagtatalaga [Seksyon 11 ng RA 10066]. Ang mga ito ay inuri pa sa tatlong grado batay sa kahalagahan:
        * **Grade I:** Mga bagay na may pambihirang halaga sa kasaysayan, kul"&amp;"tura, masining, at/o siyentipiko. 
        * **Grade II:** Mga bagay na may mahalagang makasaysayang, kultural, masining, at/o siyentipikong halaga.
        * **Grade III:** Mga bagay na may nauugnay na makasaysayang, kultural, masining, at/o siyentipik"&amp;"ong halaga. 
* **Intangible Cultural Property:** Ito ay sumasaklaw sa mga kasanayan, pagpapahayag, kaalaman, at kasanayang nakabatay sa tradisyon na ipinasa mula sa henerasyon hanggang sa henerasyon. Kabilang dito ang mga wika, mga tradisyon sa bibig, si"&amp;"ning ng pagtatanghal, mga kasanayan sa lipunan, mga ritwal, mga kaganapan sa kapistahan, kaalaman at kasanayan tungkol sa kalikasan at sansinukob, at mga tradisyunal na kasanayan sa paggawa [Seksyon 4(f) ng RA 10066].
Tinitiyak ng pagkakategoryang ito "&amp;"na pinoprotektahan ng batas ng Pilipinas ang malawak na hanay ng pamana ng kultura, mula sa mga makasaysayang artifact hanggang sa mga tradisyonal na kasanayan na nakakatulong sa pagkakakilanlang Pilipino.")</f>
        <v>Ang batas ng Pilipinas, ang Republic Act No. 10066 (National Cultural Heritage Act of 2009), ay nag-uuri ng mga ari-arian sa kultura sa dalawang malawak na kategorya:
* **Tangible Cultural Property:** Ito ay tumutukoy sa kultural na ari-arian na may historical, archival, anthropological, archeological, artistic at/o architectural value. Maaari itong higit pang ikategorya bilang:
    * **Cultural Property of the Philippines:** Ito ay mga bagay na may kakaiba o tradisyunal na produksyon, maging sa Pilipinas ang pinanggalingan o hindi, kabilang ang mga antique at natural history specimens na may makabuluhang halaga [Seksyon 4(ii) ng RA 10066]. 
    * **Idineklara na Cultural Property:** Ito ang mahahalagang kultural na ari-arian na tinukoy at pormal na idineklara ng NCCA o mga ahensyang pangkultura sa pamamagitan ng proseso ng pagtatalaga [Seksyon 11 ng RA 10066]. Ang mga ito ay inuri pa sa tatlong grado batay sa kahalagahan:
        * **Grade I:** Mga bagay na may pambihirang halaga sa kasaysayan, kultura, masining, at/o siyentipiko. 
        * **Grade II:** Mga bagay na may mahalagang makasaysayang, kultural, masining, at/o siyentipikong halaga.
        * **Grade III:** Mga bagay na may nauugnay na makasaysayang, kultural, masining, at/o siyentipikong halaga. 
* **Intangible Cultural Property:** Ito ay sumasaklaw sa mga kasanayan, pagpapahayag, kaalaman, at kasanayang nakabatay sa tradisyon na ipinasa mula sa henerasyon hanggang sa henerasyon. Kabilang dito ang mga wika, mga tradisyon sa bibig, sining ng pagtatanghal, mga kasanayan sa lipunan, mga ritwal, mga kaganapan sa kapistahan, kaalaman at kasanayan tungkol sa kalikasan at sansinukob, at mga tradisyunal na kasanayan sa paggawa [Seksyon 4(f) ng RA 10066].
Tinitiyak ng pagkakategoryang ito na pinoprotektahan ng batas ng Pilipinas ang malawak na hanay ng pamana ng kultura, mula sa mga makasaysayang artifact hanggang sa mga tradisyonal na kasanayan na nakakatulong sa pagkakakilanlang Pilipino.</v>
      </c>
      <c r="F2977" s="2">
        <f t="shared" si="1"/>
        <v>0</v>
      </c>
      <c r="G2977" s="2"/>
      <c r="H2977" s="2"/>
      <c r="I2977" s="2"/>
      <c r="J2977" s="2"/>
      <c r="K2977" s="2"/>
      <c r="L2977" s="2"/>
      <c r="M2977" s="2"/>
      <c r="N2977" s="2"/>
      <c r="O2977" s="2"/>
      <c r="P2977" s="2"/>
      <c r="Q2977" s="2"/>
      <c r="R2977" s="2"/>
      <c r="S2977" s="2"/>
      <c r="T2977" s="2"/>
      <c r="U2977" s="2"/>
      <c r="V2977" s="2"/>
      <c r="W2977" s="2"/>
      <c r="X2977" s="2"/>
      <c r="Y2977" s="2"/>
      <c r="Z2977" s="2"/>
      <c r="AA2977" s="2"/>
    </row>
    <row r="2978">
      <c r="A2978" s="3" t="s">
        <v>6923</v>
      </c>
      <c r="B2978" s="1" t="s">
        <v>6932</v>
      </c>
      <c r="C2978" s="3" t="s">
        <v>6933</v>
      </c>
      <c r="D2978" s="2" t="str">
        <f>IFERROR(__xludf.DUMMYFUNCTION("GOOGLETRANSLATE(B2978, ""en"", ""TL"")"),"Talakayin ang kahalagahan ng Republic Act No. 10066 sa pangangalaga sa pamana ng kultura ng Pilipinas.")</f>
        <v>Talakayin ang kahalagahan ng Republic Act No. 10066 sa pangangalaga sa pamana ng kultura ng Pilipinas.</v>
      </c>
      <c r="E2978" s="2" t="str">
        <f>IFERROR(__xludf.DUMMYFUNCTION("GOOGLETRANSLATE(C2978, ""en"", ""TL"")"),"Ang Republic Act No. 10066, na kilala rin bilang National Cultural Heritage Act of 2009, ay gumaganap ng mahalagang papel sa pangangalaga ng kultural na pamana ng Pilipinas sa ilang kadahilanan:
* **Komprehensibong Balangkas:** Ang Batas ay nagtatatag "&amp;"ng isang nakabalangkas na diskarte sa pangangalaga ng pamana ng kultura. Tinutukoy nito ang pamana ng kultura, inuuri ang mga ari-arian ng kultura, at binabalangkas ang mga mekanismo para sa kanilang proteksyon, pangangalaga, at promosyon. Nagbibigay ito "&amp;"ng malinaw na roadmap para sa mga ahensya ng gobyerno at mga stakeholder na kasangkot sa gawaing pamana ng kultura.  
* **Pinapalakas ang Mga Pagsisikap ng Pamahalaan:** Pinahusay ng RA 10066 ang papel ng mga ahensya ng gobyerno sa pangangalaga ng pama"&amp;"na ng kultura. Nagtatalaga ito ng mga partikular na responsibilidad sa NCCA, mga ahensyang pangkultura, at mga LGU, na tinitiyak ang isang pinagsama-samang pagsisikap sa iba't ibang sangay ng pamahalaan.
* **Pinoprotektahan ang Tangible at Intangible H"&amp;"eritage:** Kinikilala ng Batas ang halaga ng parehong nasasalat na mga kultural na pag-aari (artifact, istruktura) at hindi nasasalat na kultural na mga ari-arian (tradisyon, kasanayan). Tinitiyak ng mas malawak na kahulugang ito ang isang mas holistic na"&amp;" diskarte sa pangangalaga sa kulturang Pilipino.
* **Nagtataguyod ng Pampublikong Kamalayan:** Ang Batas ay nag-uutos sa pagsulong ng kamalayan sa pamana ng kultura sa pamamagitan ng edukasyon at mga kampanya sa pampublikong impormasyon. Nakakatulong i"&amp;"to sa pagpapaunlad ng pakiramdam ng pambansang pagkakakilanlan at hinihikayat ang pakikilahok ng publiko sa mga pagsisikap sa konserbasyon.
* **Nagbibigay ng Legal na Balangkas:** Ang RA 10066 ay nagtatatag ng isang legal na balangkas para sa pagprotek"&amp;"ta sa mga kultural na ari-arian mula sa pagnanakaw, ilegal na pagluluwas, paninira, at kapabayaan. Kinokontrol din nito ang pagmamay-ari at disposisyon ng mga kultural na ari-arian.
* **Sinusuportahan ang mga Manggagawa sa Kultura:** Kinikilala ng Bata"&amp;"s ang mahalagang papel ng mga manggagawang pangkultura (mga artista, artisan, mga tradisyunal na practitioner) sa pangangalaga at paghahatid ng pamana ng kultura. Hinihikayat nito ang kanilang propesyonal na pag-unlad at itinataguyod ang pagpapanatili ng "&amp;"mga tradisyunal na kasanayan sa kultura. 
Sa konklusyon, ang RA 10066 ay isang makabuluhang piraso ng batas na nagpapatibay sa kakayahan ng Pilipinas na pangalagaan ang mayamang pamana nitong kultura. Sa pamamagitan ng pagbibigay ng komprehensibong bal"&amp;"angkas, pagtataguyod ng kamalayan ng publiko, at pag-aalok ng legal na proteksyon, tinitiyak ng Batas na ang mga kayamanan ng kulturang Pilipino ay napanatili at naipapasa sa mga susunod na henerasyon.
")</f>
        <v>Ang Republic Act No. 10066, na kilala rin bilang National Cultural Heritage Act of 2009, ay gumaganap ng mahalagang papel sa pangangalaga ng kultural na pamana ng Pilipinas sa ilang kadahilanan:
* **Komprehensibong Balangkas:** Ang Batas ay nagtatatag ng isang nakabalangkas na diskarte sa pangangalaga ng pamana ng kultura. Tinutukoy nito ang pamana ng kultura, inuuri ang mga ari-arian ng kultura, at binabalangkas ang mga mekanismo para sa kanilang proteksyon, pangangalaga, at promosyon. Nagbibigay ito ng malinaw na roadmap para sa mga ahensya ng gobyerno at mga stakeholder na kasangkot sa gawaing pamana ng kultura.  
* **Pinapalakas ang Mga Pagsisikap ng Pamahalaan:** Pinahusay ng RA 10066 ang papel ng mga ahensya ng gobyerno sa pangangalaga ng pamana ng kultura. Nagtatalaga ito ng mga partikular na responsibilidad sa NCCA, mga ahensyang pangkultura, at mga LGU, na tinitiyak ang isang pinagsama-samang pagsisikap sa iba't ibang sangay ng pamahalaan.
* **Pinoprotektahan ang Tangible at Intangible Heritage:** Kinikilala ng Batas ang halaga ng parehong nasasalat na mga kultural na pag-aari (artifact, istruktura) at hindi nasasalat na kultural na mga ari-arian (tradisyon, kasanayan). Tinitiyak ng mas malawak na kahulugang ito ang isang mas holistic na diskarte sa pangangalaga sa kulturang Pilipino.
* **Nagtataguyod ng Pampublikong Kamalayan:** Ang Batas ay nag-uutos sa pagsulong ng kamalayan sa pamana ng kultura sa pamamagitan ng edukasyon at mga kampanya sa pampublikong impormasyon. Nakakatulong ito sa pagpapaunlad ng pakiramdam ng pambansang pagkakakilanlan at hinihikayat ang pakikilahok ng publiko sa mga pagsisikap sa konserbasyon.
* **Nagbibigay ng Legal na Balangkas:** Ang RA 10066 ay nagtatatag ng isang legal na balangkas para sa pagprotekta sa mga kultural na ari-arian mula sa pagnanakaw, ilegal na pagluluwas, paninira, at kapabayaan. Kinokontrol din nito ang pagmamay-ari at disposisyon ng mga kultural na ari-arian.
* **Sinusuportahan ang mga Manggagawa sa Kultura:** Kinikilala ng Batas ang mahalagang papel ng mga manggagawang pangkultura (mga artista, artisan, mga tradisyunal na practitioner) sa pangangalaga at paghahatid ng pamana ng kultura. Hinihikayat nito ang kanilang propesyonal na pag-unlad at itinataguyod ang pagpapanatili ng mga tradisyunal na kasanayan sa kultura. 
Sa konklusyon, ang RA 10066 ay isang makabuluhang piraso ng batas na nagpapatibay sa kakayahan ng Pilipinas na pangalagaan ang mayamang pamana nitong kultura. Sa pamamagitan ng pagbibigay ng komprehensibong balangkas, pagtataguyod ng kamalayan ng publiko, at pag-aalok ng legal na proteksyon, tinitiyak ng Batas na ang mga kayamanan ng kulturang Pilipino ay napanatili at naipapasa sa mga susunod na henerasyon.
</v>
      </c>
      <c r="F2978" s="2">
        <f t="shared" si="1"/>
        <v>0</v>
      </c>
      <c r="G2978" s="2"/>
      <c r="H2978" s="2"/>
      <c r="I2978" s="2"/>
      <c r="J2978" s="2"/>
      <c r="K2978" s="2"/>
      <c r="L2978" s="2"/>
      <c r="M2978" s="2"/>
      <c r="N2978" s="2"/>
      <c r="O2978" s="2"/>
      <c r="P2978" s="2"/>
      <c r="Q2978" s="2"/>
      <c r="R2978" s="2"/>
      <c r="S2978" s="2"/>
      <c r="T2978" s="2"/>
      <c r="U2978" s="2"/>
      <c r="V2978" s="2"/>
      <c r="W2978" s="2"/>
      <c r="X2978" s="2"/>
      <c r="Y2978" s="2"/>
      <c r="Z2978" s="2"/>
      <c r="AA2978" s="2"/>
    </row>
    <row r="2979">
      <c r="A2979" s="3" t="s">
        <v>6923</v>
      </c>
      <c r="B2979" s="1" t="s">
        <v>6934</v>
      </c>
      <c r="C2979" s="3" t="s">
        <v>6935</v>
      </c>
      <c r="D2979" s="2" t="str">
        <f>IFERROR(__xludf.DUMMYFUNCTION("GOOGLETRANSLATE(B2979, ""en"", ""TL"")"),"Ano ang mga parusa sa mga paglabag sa Republic Act No. 10066?")</f>
        <v>Ano ang mga parusa sa mga paglabag sa Republic Act No. 10066?</v>
      </c>
      <c r="E2979" s="2" t="str">
        <f>IFERROR(__xludf.DUMMYFUNCTION("GOOGLETRANSLATE(C2979, ""en"", ""TL"")"),"Ang mga parusa para sa paglabag sa Republic Act No. 10066 (National Cultural Heritage Act of 2009) ay nag-iiba depende sa uri ng pagkakasala. Narito ang isang breakdown ng mga pangunahing punto:
* **Pangkalahatang Parusa:** Kapag napatunayang nagkasala"&amp;", ang nagkasala ay maaaring maharap sa multa na **hindi bababa sa Dalawang daang libong piso (P200,000.00)** o pagkakulong sa loob ng terminong **hindi bababa sa sampung (10) taon **, o pareho, sa pagpapasya ng korte [Seksyon 34(a) ng RA 10066].
* **Mg"&amp;"a Tukoy na Pagkakasala at Parusa:** Binabalangkas ng Batas ang mga parusa para sa mga partikular na paglabag, kabilang ang:
    * **Pagtatago ng Kultural na Ari-arian:** Ang pagtatangkang pagtatago ng kultural na ari-arian upang maiwasan ang pagpaparehis"&amp;"tro ay umaakit ng pangkalahatang parusa [Seksyon 34(a) ng RA 10066].
    * **Illegal Excavation/Encumbrance:** Ang paghuhukay o pagsama sa kultural na ari-arian nang walang pahintulot ay may pangkalahatang parusa [Seksyon 34(a) ng RA 10066]. 
    * **Hi"&amp;"ndi Pagpaparehistro ng Cultural Property:** Ang hindi pagpaparehistro ng itinalagang kultural na ari-arian pagkatapos ng wastong abiso ng Komisyon o kultural na ahensyang kinauukulan ay magkakaroon ng multa na **hindi bababa sa Sampung libong piso (P10,00"&amp;"0.00) ngunit hindi hihigit sa Isa daang libong piso (P100,000.00)** [Seksyon 34(b) ng RA 10066].
    * **Mga Dealer:** Ang mga mangangalakal na lumalabag sa Batas, bilang karagdagan sa pangkalahatang parusa, ay mahaharap sa **awtomatikong pagbawi ng kani"&amp;"lang lisensya para magpatakbo** [Seksyon 34(c) ng RA 10066].
    * **Mga Alien:** Ang mga dayuhang nagkasala ay maaring makulong ng Bureau of Immigration at harapin ang pagpapatapon pagkatapos ng kanilang sentensiya [Section 34(d) of RA 10066].
Mahala"&amp;"gang tandaan na ilan lamang ito sa mga pangunahing paglabag at parusa. Kasama sa RA 10066 ang isang detalyadong listahan ng mga pagkakasala na may kaugnayan sa pagsira, pagsira, pagbabago, o pagpapabaya sa mga ari-arian ng kultura, pati na rin ang iligal "&amp;"na kalakalan at hindi awtorisadong pag-export ng mga kultural na ari-arian.  Para sa komprehensibong pag-unawa, inirerekumenda na kumonsulta sa buong teksto ng Batas**.
 ")</f>
        <v>Ang mga parusa para sa paglabag sa Republic Act No. 10066 (National Cultural Heritage Act of 2009) ay nag-iiba depende sa uri ng pagkakasala. Narito ang isang breakdown ng mga pangunahing punto:
* **Pangkalahatang Parusa:** Kapag napatunayang nagkasala, ang nagkasala ay maaaring maharap sa multa na **hindi bababa sa Dalawang daang libong piso (P200,000.00)** o pagkakulong sa loob ng terminong **hindi bababa sa sampung (10) taon **, o pareho, sa pagpapasya ng korte [Seksyon 34(a) ng RA 10066].
* **Mga Tukoy na Pagkakasala at Parusa:** Binabalangkas ng Batas ang mga parusa para sa mga partikular na paglabag, kabilang ang:
    * **Pagtatago ng Kultural na Ari-arian:** Ang pagtatangkang pagtatago ng kultural na ari-arian upang maiwasan ang pagpaparehistro ay umaakit ng pangkalahatang parusa [Seksyon 34(a) ng RA 10066].
    * **Illegal Excavation/Encumbrance:** Ang paghuhukay o pagsama sa kultural na ari-arian nang walang pahintulot ay may pangkalahatang parusa [Seksyon 34(a) ng RA 10066]. 
    * **Hindi Pagpaparehistro ng Cultural Property:** Ang hindi pagpaparehistro ng itinalagang kultural na ari-arian pagkatapos ng wastong abiso ng Komisyon o kultural na ahensyang kinauukulan ay magkakaroon ng multa na **hindi bababa sa Sampung libong piso (P10,000.00) ngunit hindi hihigit sa Isa daang libong piso (P100,000.00)** [Seksyon 34(b) ng RA 10066].
    * **Mga Dealer:** Ang mga mangangalakal na lumalabag sa Batas, bilang karagdagan sa pangkalahatang parusa, ay mahaharap sa **awtomatikong pagbawi ng kanilang lisensya para magpatakbo** [Seksyon 34(c) ng RA 10066].
    * **Mga Alien:** Ang mga dayuhang nagkasala ay maaring makulong ng Bureau of Immigration at harapin ang pagpapatapon pagkatapos ng kanilang sentensiya [Section 34(d) of RA 10066].
Mahalagang tandaan na ilan lamang ito sa mga pangunahing paglabag at parusa. Kasama sa RA 10066 ang isang detalyadong listahan ng mga pagkakasala na may kaugnayan sa pagsira, pagsira, pagbabago, o pagpapabaya sa mga ari-arian ng kultura, pati na rin ang iligal na kalakalan at hindi awtorisadong pag-export ng mga kultural na ari-arian.  Para sa komprehensibong pag-unawa, inirerekumenda na kumonsulta sa buong teksto ng Batas**.
 </v>
      </c>
      <c r="F2979" s="2">
        <f t="shared" si="1"/>
        <v>0</v>
      </c>
      <c r="G2979" s="2"/>
      <c r="H2979" s="2"/>
      <c r="I2979" s="2"/>
      <c r="J2979" s="2"/>
      <c r="K2979" s="2"/>
      <c r="L2979" s="2"/>
      <c r="M2979" s="2"/>
      <c r="N2979" s="2"/>
      <c r="O2979" s="2"/>
      <c r="P2979" s="2"/>
      <c r="Q2979" s="2"/>
      <c r="R2979" s="2"/>
      <c r="S2979" s="2"/>
      <c r="T2979" s="2"/>
      <c r="U2979" s="2"/>
      <c r="V2979" s="2"/>
      <c r="W2979" s="2"/>
      <c r="X2979" s="2"/>
      <c r="Y2979" s="2"/>
      <c r="Z2979" s="2"/>
      <c r="AA2979" s="2"/>
    </row>
    <row r="2980">
      <c r="A2980" s="3" t="s">
        <v>6923</v>
      </c>
      <c r="B2980" s="1" t="s">
        <v>6936</v>
      </c>
      <c r="C2980" s="3" t="s">
        <v>6937</v>
      </c>
      <c r="D2980" s="2" t="str">
        <f>IFERROR(__xludf.DUMMYFUNCTION("GOOGLETRANSLATE(B2980, ""en"", ""TL"")"),"Ipaliwanag ang proseso ng pagdedeklara ng isang kultural na ari-arian bilang isang Pambansang Kayamanan ng Kultura sa Pilipinas.")</f>
        <v>Ipaliwanag ang proseso ng pagdedeklara ng isang kultural na ari-arian bilang isang Pambansang Kayamanan ng Kultura sa Pilipinas.</v>
      </c>
      <c r="E2980" s="2" t="str">
        <f>IFERROR(__xludf.DUMMYFUNCTION("GOOGLETRANSLATE(C2980, ""en"", ""TL"")"),"Ang proseso ng pagdedeklara ng isang kultural na ari-arian bilang isang National Cultural Treasure (NCT) sa Pilipinas ay nagsasangkot ng ilang hakbang na nakabalangkas sa Republic Act No. 10066 (National Cultural Heritage Act of 2009). Narito ang isang br"&amp;"eakdown ng mga pangunahing yugto:
1. **Pagkilala at Pagsusuri:**
    * Ang inisyatiba ay maaaring magmula sa iba't ibang entity kabilang ang mga ahensya ng gobyerno, mga manggagawang pangkultura, mga mananaliksik, o kahit na mga pribadong may-ari. 
 "&amp;"   * Ang ari-arian ay sinusuri batay sa pamantayang itinakda ng NCCA. Isinasaalang-alang ng mga pamantayang ito ang ari-arian:
        * Makasaysayang kahalagahan: Pag-uugnay sa mga prehistoric na kaganapan, mga nakaraang industriya, o mahahalagang numer"&amp;"o.
        * Aesthetic na kahalagahan: Craftsmanship, disenyo, at pangkalahatang artistikong kalidad.
        * Kahalagahan ng pananaliksik: Napatunayang pinagmulan at dokumentadong konteksto na nag-aambag sa siyentipikong pag-unawa.
        * Represen"&amp;"tasyon ng 50,000 taon ng prehistory at maagang kasaysayan ng Pilipinas. Website ng National Museum sa National Cultural Treasures: [https://www.nationalmuseum.gov.ph/our-collections/archaeology/national-cultural-treasures/](https://www.nationalmuseum.gov."&amp;"ph/our-collections /archaeology/national-cultural-treasures/)
2. **Nominasyon at Dokumentasyon:**
    * Ang isang dossier ng nominasyon ay inihanda na nagdedetalye ng kasaysayan, kahalagahan, at kasalukuyang kondisyon ng ari-arian. Ang dossier na ito "&amp;"ay dapat magsama ng mga litrato, teknikal na paglalarawan, at anumang nauugnay na makasaysayang dokumento. 
    * Ang dossier ng nominasyon ay maaaring isumite sa National Museum (NM) o sa ahensyang pangkultura na may kaugnay na kadalubhasaan (hal., Nati"&amp;"onal Archives para sa mga makasaysayang dokumento).
3. **Pagsusuri ng Cultural Agency:**
    * Sinusuri ng itinalagang ahensyang pangkultura ang dossier ng nominasyon gamit ang pamantayan ng NCCA at maaaring magsagawa ng karagdagang pananaliksik kung "&amp;"kinakailangan.  Maaari rin silang kumunsulta sa mga eksperto sa mga partikular na larangan.
4. **Rekomendasyon sa NCCA:**
    * Batay sa kanilang pagsusuri, naghahanda ang ahensyang pangkultura ng rekomendasyon sa NCCA. Ang rekomendasyong ito ay maaar"&amp;"ing magmungkahi na ideklara ang ari-arian bilang isang National Cultural Treasure o isa pang itinalagang kategorya ng kultural na ari-arian.
5. **Pagsusuri ng NCCA Technical Working Group (TWG):**
    * Sinusuri ng NCCA TWG ang dossier ng rekomendasyo"&amp;"n at nominasyon.  Maaari silang humiling ng karagdagang impormasyon o paglilinaw mula sa ahensyang pangkultura.
6. **Pagpupulong at Resolusyon ng NCCA En Banc:**
    * Isinasaalang-alang ng buong NCCA ang rekomendasyon ng TWG at gumagawa ng pangwakas "&amp;"na desisyon sa pamamagitan ng isang pormal na resolusyon. Maaaring aprubahan ng NCCA ang rekomendasyon na ideklara ang ari-arian bilang isang National Cultural Treasure, tanggihan ang nominasyon, o humiling ng karagdagang pagsusuri.
7. **Pagbibigay ng "&amp;"Sertipiko ng Pagkilala:**
    * Kung inaprubahan ng NCCA ang deklarasyon, ang isang Sertipiko ng Pagkilala ay ibibigay, na pormal na itinatalaga ang ari-arian bilang isang Pambansang Kayamanan ng Kultura. Ang NCCA ay nagpapaalam sa may-ari at mga kaugnay"&amp;" na ahensya ng gobyerno.  
**Mga Karagdagang Punto:**
* Maaaring magsagawa ng mga pampublikong konsultasyon sa panahon ng proseso, lalo na para sa mga ari-arian na may malaking halaga sa komunidad.
* Ang NCCA ay nagpapanatili ng National Registry o"&amp;"f Cultural Property, kung saan kasama ang mga NCT.
* Ang pagmamay-ari ng mga NCT ay nananatili sa orihinal na may-ari, ngunit may mga paghihigpit na nalalapat sa kanilang pagbebenta, pag-export, o pagbabago.
**Tandaan:** Ito ay isang pinasimpleng pali"&amp;"wanag.  Para sa pinakabagong impormasyon at kumpletong proseso, ipinapayong direktang kumonsulta sa NCCA o sa nauugnay na ahensyang pangkultura.")</f>
        <v>Ang proseso ng pagdedeklara ng isang kultural na ari-arian bilang isang National Cultural Treasure (NCT) sa Pilipinas ay nagsasangkot ng ilang hakbang na nakabalangkas sa Republic Act No. 10066 (National Cultural Heritage Act of 2009). Narito ang isang breakdown ng mga pangunahing yugto:
1. **Pagkilala at Pagsusuri:**
    * Ang inisyatiba ay maaaring magmula sa iba't ibang entity kabilang ang mga ahensya ng gobyerno, mga manggagawang pangkultura, mga mananaliksik, o kahit na mga pribadong may-ari. 
    * Ang ari-arian ay sinusuri batay sa pamantayang itinakda ng NCCA. Isinasaalang-alang ng mga pamantayang ito ang ari-arian:
        * Makasaysayang kahalagahan: Pag-uugnay sa mga prehistoric na kaganapan, mga nakaraang industriya, o mahahalagang numero.
        * Aesthetic na kahalagahan: Craftsmanship, disenyo, at pangkalahatang artistikong kalidad.
        * Kahalagahan ng pananaliksik: Napatunayang pinagmulan at dokumentadong konteksto na nag-aambag sa siyentipikong pag-unawa.
        * Representasyon ng 50,000 taon ng prehistory at maagang kasaysayan ng Pilipinas. Website ng National Museum sa National Cultural Treasures: [https://www.nationalmuseum.gov.ph/our-collections/archaeology/national-cultural-treasures/](https://www.nationalmuseum.gov.ph/our-collections /archaeology/national-cultural-treasures/)
2. **Nominasyon at Dokumentasyon:**
    * Ang isang dossier ng nominasyon ay inihanda na nagdedetalye ng kasaysayan, kahalagahan, at kasalukuyang kondisyon ng ari-arian. Ang dossier na ito ay dapat magsama ng mga litrato, teknikal na paglalarawan, at anumang nauugnay na makasaysayang dokumento. 
    * Ang dossier ng nominasyon ay maaaring isumite sa National Museum (NM) o sa ahensyang pangkultura na may kaugnay na kadalubhasaan (hal., National Archives para sa mga makasaysayang dokumento).
3. **Pagsusuri ng Cultural Agency:**
    * Sinusuri ng itinalagang ahensyang pangkultura ang dossier ng nominasyon gamit ang pamantayan ng NCCA at maaaring magsagawa ng karagdagang pananaliksik kung kinakailangan.  Maaari rin silang kumunsulta sa mga eksperto sa mga partikular na larangan.
4. **Rekomendasyon sa NCCA:**
    * Batay sa kanilang pagsusuri, naghahanda ang ahensyang pangkultura ng rekomendasyon sa NCCA. Ang rekomendasyong ito ay maaaring magmungkahi na ideklara ang ari-arian bilang isang National Cultural Treasure o isa pang itinalagang kategorya ng kultural na ari-arian.
5. **Pagsusuri ng NCCA Technical Working Group (TWG):**
    * Sinusuri ng NCCA TWG ang dossier ng rekomendasyon at nominasyon.  Maaari silang humiling ng karagdagang impormasyon o paglilinaw mula sa ahensyang pangkultura.
6. **Pagpupulong at Resolusyon ng NCCA En Banc:**
    * Isinasaalang-alang ng buong NCCA ang rekomendasyon ng TWG at gumagawa ng pangwakas na desisyon sa pamamagitan ng isang pormal na resolusyon. Maaaring aprubahan ng NCCA ang rekomendasyon na ideklara ang ari-arian bilang isang National Cultural Treasure, tanggihan ang nominasyon, o humiling ng karagdagang pagsusuri.
7. **Pagbibigay ng Sertipiko ng Pagkilala:**
    * Kung inaprubahan ng NCCA ang deklarasyon, ang isang Sertipiko ng Pagkilala ay ibibigay, na pormal na itinatalaga ang ari-arian bilang isang Pambansang Kayamanan ng Kultura. Ang NCCA ay nagpapaalam sa may-ari at mga kaugnay na ahensya ng gobyerno.  
**Mga Karagdagang Punto:**
* Maaaring magsagawa ng mga pampublikong konsultasyon sa panahon ng proseso, lalo na para sa mga ari-arian na may malaking halaga sa komunidad.
* Ang NCCA ay nagpapanatili ng National Registry of Cultural Property, kung saan kasama ang mga NCT.
* Ang pagmamay-ari ng mga NCT ay nananatili sa orihinal na may-ari, ngunit may mga paghihigpit na nalalapat sa kanilang pagbebenta, pag-export, o pagbabago.
**Tandaan:** Ito ay isang pinasimpleng paliwanag.  Para sa pinakabagong impormasyon at kumpletong proseso, ipinapayong direktang kumonsulta sa NCCA o sa nauugnay na ahensyang pangkultura.</v>
      </c>
      <c r="F2980" s="2">
        <f t="shared" si="1"/>
        <v>0</v>
      </c>
      <c r="G2980" s="2"/>
      <c r="H2980" s="2"/>
      <c r="I2980" s="2"/>
      <c r="J2980" s="2"/>
      <c r="K2980" s="2"/>
      <c r="L2980" s="2"/>
      <c r="M2980" s="2"/>
      <c r="N2980" s="2"/>
      <c r="O2980" s="2"/>
      <c r="P2980" s="2"/>
      <c r="Q2980" s="2"/>
      <c r="R2980" s="2"/>
      <c r="S2980" s="2"/>
      <c r="T2980" s="2"/>
      <c r="U2980" s="2"/>
      <c r="V2980" s="2"/>
      <c r="W2980" s="2"/>
      <c r="X2980" s="2"/>
      <c r="Y2980" s="2"/>
      <c r="Z2980" s="2"/>
      <c r="AA2980" s="2"/>
    </row>
    <row r="2981">
      <c r="A2981" s="3" t="s">
        <v>6923</v>
      </c>
      <c r="B2981" s="1" t="s">
        <v>6938</v>
      </c>
      <c r="C2981" s="3" t="s">
        <v>6939</v>
      </c>
      <c r="D2981" s="2" t="str">
        <f>IFERROR(__xludf.DUMMYFUNCTION("GOOGLETRANSLATE(B2981, ""en"", ""TL"")"),"Ibahin ang pagkakaiba sa pagitan ng movable at di movable cultural properties ayon sa batas ng Pilipinas.")</f>
        <v>Ibahin ang pagkakaiba sa pagitan ng movable at di movable cultural properties ayon sa batas ng Pilipinas.</v>
      </c>
      <c r="E2981" s="2" t="str">
        <f>IFERROR(__xludf.DUMMYFUNCTION("GOOGLETRANSLATE(C2981, ""en"", ""TL"")"),"Ang batas ng Pilipinas, partikular ang Republic Act No. 10066 (National Cultural Heritage Act of 2009), ay kinategorya ang mga ari-arian ng kultura batay sa kanilang kadaliang kumilos. Narito kung paano tinutukoy ng batas ang pagkakaiba sa pagitan ng nait"&amp;"ataas at hindi natitinag na mga kultural na pag-aari:
**Movable Cultural Property:**
* Tumutukoy sa kultural na ari-arian na may halagang historikal, kultural, masining, at/o arkitektura na maaaring pisikal na ilipat mula sa isang lugar patungo sa i"&amp;"sa pa. [Seksyon 4(o) ng RA 10066] 
* Kabilang sa mga halimbawa ang:
    * Mga eskultura at estatwa
    * Mga pintura at mga guhit
    * Mga artifact at archaeological finds
    * Mga makasaysayang dokumento at manuskrito
    * Mga bihirang libro at "&amp;"naka-print na materyales
    * Tradisyunal na damit at tela
    * Mga bagay na panrelihiyon at mga bagay na seremonyal
    * Etnolohikal na mga koleksyon
**Hindi Natitinag na Cultural Property:**
* Tumutukoy sa kultural na ari-arian na may makasa"&amp;"ysayang, kultural, masining, at/o arkitektura na halaga na naayos sa lokasyon at hindi maaaring ilipat nang hindi nagdudulot ng pinsala. [Seksyon 4(n) ng RA 10066] 
* Kabilang sa mga halimbawa ang:
    * Mga simbahan, mosque, at iba pang lugar ng pagsam"&amp;"ba
    * Mga makasaysayang landmark at monumento
    * Mga kuta, tulay, at iba pang istrukturang arkitektura
    * Mga archaeological site at heritage landscape
    * Mga tradisyunal na pamayanan at istruktura
**Mga Pangunahing Pagkakaiba:**
Ang"&amp;" pangunahing pagkakaiba ay nakasalalay sa pisikal na katangian ng ari-arian. Ang mga naililipat na ari-arian ay maaaring ilipat nang walang makabuluhang pagbabago, habang ang mga hindi natitinag na ari-arian ay intrinsically naka-link sa kanilang lokasyon"&amp;" at ang kanilang halaga ay nakatali sa kanilang pisikal na setting.
**Implikasyon:**
Ang pagkakaibang ito ay may ilang implikasyon para sa proteksyon at pamamahala ng mga kultural na ari-arian:
* **Pagpaparehistro:** Ang proseso ng pagpaparehistr"&amp;"o para sa movable at immovable cultural property ay maaaring mag-iba depende sa itinalagang ahensya na responsable. 
* **Mga paghihigpit sa paggalaw:** Ang mga movable cultural property ay maaaring may mga paghihigpit sa kanilang pagbebenta, pag-export, "&amp;"o paggalaw sa loob ng bansa. Ang mga hindi natitinag na kultural na ari-arian ay likas na may mga limitasyon sa paggalaw dahil sa kanilang nakapirming lokasyon.
* **Mga pangangailangan sa konserbasyon:** Ang mga diskarte sa konserbasyon ay maaaring mag-i"&amp;"ba depende sa mobility ng property. Ang mga movable property ay maaaring mangailangan ng mga partikular na pagsasaalang-alang sa pangangasiwa at pag-iimbak, habang ang mga hindi natitinag na ari-arian ay kadalasang nangangailangan ng mga pagsisikap sa in-"&amp;"situ na konserbasyon.
Sa konklusyon, ang pag-unawa sa pagkakaiba sa pagitan ng movable at di movable cultural properties ay napakahalaga para sa tamang pagkakakilanlan, pagpaparehistro, proteksyon, at konserbasyon ng Philippine cultural heritage. ")</f>
        <v>Ang batas ng Pilipinas, partikular ang Republic Act No. 10066 (National Cultural Heritage Act of 2009), ay kinategorya ang mga ari-arian ng kultura batay sa kanilang kadaliang kumilos. Narito kung paano tinutukoy ng batas ang pagkakaiba sa pagitan ng naitataas at hindi natitinag na mga kultural na pag-aari:
**Movable Cultural Property:**
* Tumutukoy sa kultural na ari-arian na may halagang historikal, kultural, masining, at/o arkitektura na maaaring pisikal na ilipat mula sa isang lugar patungo sa isa pa. [Seksyon 4(o) ng RA 10066] 
* Kabilang sa mga halimbawa ang:
    * Mga eskultura at estatwa
    * Mga pintura at mga guhit
    * Mga artifact at archaeological finds
    * Mga makasaysayang dokumento at manuskrito
    * Mga bihirang libro at naka-print na materyales
    * Tradisyunal na damit at tela
    * Mga bagay na panrelihiyon at mga bagay na seremonyal
    * Etnolohikal na mga koleksyon
**Hindi Natitinag na Cultural Property:**
* Tumutukoy sa kultural na ari-arian na may makasaysayang, kultural, masining, at/o arkitektura na halaga na naayos sa lokasyon at hindi maaaring ilipat nang hindi nagdudulot ng pinsala. [Seksyon 4(n) ng RA 10066] 
* Kabilang sa mga halimbawa ang:
    * Mga simbahan, mosque, at iba pang lugar ng pagsamba
    * Mga makasaysayang landmark at monumento
    * Mga kuta, tulay, at iba pang istrukturang arkitektura
    * Mga archaeological site at heritage landscape
    * Mga tradisyunal na pamayanan at istruktura
**Mga Pangunahing Pagkakaiba:**
Ang pangunahing pagkakaiba ay nakasalalay sa pisikal na katangian ng ari-arian. Ang mga naililipat na ari-arian ay maaaring ilipat nang walang makabuluhang pagbabago, habang ang mga hindi natitinag na ari-arian ay intrinsically naka-link sa kanilang lokasyon at ang kanilang halaga ay nakatali sa kanilang pisikal na setting.
**Implikasyon:**
Ang pagkakaibang ito ay may ilang implikasyon para sa proteksyon at pamamahala ng mga kultural na ari-arian:
* **Pagpaparehistro:** Ang proseso ng pagpaparehistro para sa movable at immovable cultural property ay maaaring mag-iba depende sa itinalagang ahensya na responsable. 
* **Mga paghihigpit sa paggalaw:** Ang mga movable cultural property ay maaaring may mga paghihigpit sa kanilang pagbebenta, pag-export, o paggalaw sa loob ng bansa. Ang mga hindi natitinag na kultural na ari-arian ay likas na may mga limitasyon sa paggalaw dahil sa kanilang nakapirming lokasyon.
* **Mga pangangailangan sa konserbasyon:** Ang mga diskarte sa konserbasyon ay maaaring mag-iba depende sa mobility ng property. Ang mga movable property ay maaaring mangailangan ng mga partikular na pagsasaalang-alang sa pangangasiwa at pag-iimbak, habang ang mga hindi natitinag na ari-arian ay kadalasang nangangailangan ng mga pagsisikap sa in-situ na konserbasyon.
Sa konklusyon, ang pag-unawa sa pagkakaiba sa pagitan ng movable at di movable cultural properties ay napakahalaga para sa tamang pagkakakilanlan, pagpaparehistro, proteksyon, at konserbasyon ng Philippine cultural heritage. </v>
      </c>
      <c r="F2981" s="2">
        <f t="shared" si="1"/>
        <v>0</v>
      </c>
      <c r="G2981" s="2"/>
      <c r="H2981" s="2"/>
      <c r="I2981" s="2"/>
      <c r="J2981" s="2"/>
      <c r="K2981" s="2"/>
      <c r="L2981" s="2"/>
      <c r="M2981" s="2"/>
      <c r="N2981" s="2"/>
      <c r="O2981" s="2"/>
      <c r="P2981" s="2"/>
      <c r="Q2981" s="2"/>
      <c r="R2981" s="2"/>
      <c r="S2981" s="2"/>
      <c r="T2981" s="2"/>
      <c r="U2981" s="2"/>
      <c r="V2981" s="2"/>
      <c r="W2981" s="2"/>
      <c r="X2981" s="2"/>
      <c r="Y2981" s="2"/>
      <c r="Z2981" s="2"/>
      <c r="AA2981" s="2"/>
    </row>
    <row r="2982">
      <c r="A2982" s="3" t="s">
        <v>6923</v>
      </c>
      <c r="B2982" s="1" t="s">
        <v>6940</v>
      </c>
      <c r="C2982" s="3" t="s">
        <v>6941</v>
      </c>
      <c r="D2982" s="2" t="str">
        <f>IFERROR(__xludf.DUMMYFUNCTION("GOOGLETRANSLATE(B2982, ""en"", ""TL"")"),"Paano pinoprotektahan ng Republic Act No. 4846 ang underwater cultural heritage sa Pilipinas?")</f>
        <v>Paano pinoprotektahan ng Republic Act No. 4846 ang underwater cultural heritage sa Pilipinas?</v>
      </c>
      <c r="E2982" s="2" t="str">
        <f>IFERROR(__xludf.DUMMYFUNCTION("GOOGLETRANSLATE(C2982, ""en"", ""TL"")"),"Habang gumaganap ang Republic Act No. 4846, na kilala rin bilang ""Cultural Properties Preservation and Protection Act"" sa underwater cultural heritage, hindi ito partikular na pinagtibay para sa layuning iyon.  Narito ang isang breakdown:
* **Pokus n"&amp;"g RA 4846:** Ang Batas na ito ay pangunahing nakatuon sa pagprotekta sa mga kultural na ari-arian sa lupa gaya ng mga makasaysayang lugar, istruktura, at artifact.
* **Kaugnayan sa Underwater Cultural Heritage:** Gayunpaman, ang Batas ay naglalatag ng "&amp;"ilang batayan para sa proteksyon sa pamanang kultura sa ilalim ng dagat. Malawakang tinukoy nito ang ""mga katangiang pangkultura"" upang isama ang ""mga barko o bangka sa bahagi o kabuuan"" [Seksyon 2(f) ng RA 4846]. Ang kahulugang ito ay maaaring sumakl"&amp;"aw sa mga pagkawasak ng barko na naglalaman ng arkeolohiko o makasaysayang halaga.
* **Mga Limitasyon ng RA 4846:** Ang Batas ay hindi nagbibigay ng mga partikular na regulasyon o patnubay para sa paggalugad, paghuhukay, o pamamahala ng pamanang pangku"&amp;"ltura sa ilalim ng dagat. Nauna rin ito sa pagbuo ng isang matatag na legal na balangkas para sa arkeolohiya sa ilalim ng dagat sa Pilipinas.
**Mamaya na Pag-unlad:**
* **Presidential Decree No. 374 (1974):** Ang kautusang ito ay nag-amyendahan sa R"&amp;"A 4846 at higit na binibigyang-diin ang papel ng pamahalaan sa pagprotekta sa mga kultural na ari-arian. Itinalaga nito ang Pambansang Museo bilang pangunahing ahensya para sa pagpapatupad ng mga probisyon ng Batas, kabilang ang arkeolohikong pananaliksik"&amp;" at pamamahala.  Ito ay hindi direktang nagpapalakas sa potensyal para sa ilalim ng dagat na pangangalaga sa kultural na pamana.
* **Republic Act No. 10066 (2009):** Ang pinakahuling batas na ito, ang National Cultural Heritage Act, ay pumapalit sa ila"&amp;"ng probisyon ng RA 4846 ngunit pinapanatili ang malawak na kahulugan ng mga kultural na ari-arian kabilang ang mga shipwrecks. Pinalalakas din nito ang papel ng Pambansang Museo sa pangangalaga ng pamana ng kultura.
**Kasalukuyang Sitwasyon:**
Bagam"&amp;"a't ang RA 4846 ay nagbigay ng ilang paunang batayan, ang batas ng Pilipinas ay higit na umaasa sa kumbinasyon ng RA 10066, Presidential Decree No. 374, at mga administratibong pagpapalabas mula sa National Museum upang gabayan ang pangangalaga sa pamanan"&amp;"g pangkultura sa ilalim ng dagat. 
**Mga Rekomendasyon:**
Para sa mas komprehensibong legal na balangkas, inirerekomenda ng ilang eksperto ang Pilipinas na bumuo ng partikular na batas na tumutugon sa pamanang pangkultura sa ilalim ng dagat.  Maaari"&amp;" itong magtatag ng malinaw na mga alituntunin para sa paggalugad, paghuhukay, pagsasaliksik, at pag-iingat ng mga kultural na lugar sa ilalim ng dagat.
 ")</f>
        <v>Habang gumaganap ang Republic Act No. 4846, na kilala rin bilang "Cultural Properties Preservation and Protection Act" sa underwater cultural heritage, hindi ito partikular na pinagtibay para sa layuning iyon.  Narito ang isang breakdown:
* **Pokus ng RA 4846:** Ang Batas na ito ay pangunahing nakatuon sa pagprotekta sa mga kultural na ari-arian sa lupa gaya ng mga makasaysayang lugar, istruktura, at artifact.
* **Kaugnayan sa Underwater Cultural Heritage:** Gayunpaman, ang Batas ay naglalatag ng ilang batayan para sa proteksyon sa pamanang kultura sa ilalim ng dagat. Malawakang tinukoy nito ang "mga katangiang pangkultura" upang isama ang "mga barko o bangka sa bahagi o kabuuan" [Seksyon 2(f) ng RA 4846]. Ang kahulugang ito ay maaaring sumaklaw sa mga pagkawasak ng barko na naglalaman ng arkeolohiko o makasaysayang halaga.
* **Mga Limitasyon ng RA 4846:** Ang Batas ay hindi nagbibigay ng mga partikular na regulasyon o patnubay para sa paggalugad, paghuhukay, o pamamahala ng pamanang pangkultura sa ilalim ng dagat. Nauna rin ito sa pagbuo ng isang matatag na legal na balangkas para sa arkeolohiya sa ilalim ng dagat sa Pilipinas.
**Mamaya na Pag-unlad:**
* **Presidential Decree No. 374 (1974):** Ang kautusang ito ay nag-amyendahan sa RA 4846 at higit na binibigyang-diin ang papel ng pamahalaan sa pagprotekta sa mga kultural na ari-arian. Itinalaga nito ang Pambansang Museo bilang pangunahing ahensya para sa pagpapatupad ng mga probisyon ng Batas, kabilang ang arkeolohikong pananaliksik at pamamahala.  Ito ay hindi direktang nagpapalakas sa potensyal para sa ilalim ng dagat na pangangalaga sa kultural na pamana.
* **Republic Act No. 10066 (2009):** Ang pinakahuling batas na ito, ang National Cultural Heritage Act, ay pumapalit sa ilang probisyon ng RA 4846 ngunit pinapanatili ang malawak na kahulugan ng mga kultural na ari-arian kabilang ang mga shipwrecks. Pinalalakas din nito ang papel ng Pambansang Museo sa pangangalaga ng pamana ng kultura.
**Kasalukuyang Sitwasyon:**
Bagama't ang RA 4846 ay nagbigay ng ilang paunang batayan, ang batas ng Pilipinas ay higit na umaasa sa kumbinasyon ng RA 10066, Presidential Decree No. 374, at mga administratibong pagpapalabas mula sa National Museum upang gabayan ang pangangalaga sa pamanang pangkultura sa ilalim ng dagat. 
**Mga Rekomendasyon:**
Para sa mas komprehensibong legal na balangkas, inirerekomenda ng ilang eksperto ang Pilipinas na bumuo ng partikular na batas na tumutugon sa pamanang pangkultura sa ilalim ng dagat.  Maaari itong magtatag ng malinaw na mga alituntunin para sa paggalugad, paghuhukay, pagsasaliksik, at pag-iingat ng mga kultural na lugar sa ilalim ng dagat.
 </v>
      </c>
      <c r="F2982" s="2">
        <f t="shared" si="1"/>
        <v>0</v>
      </c>
      <c r="G2982" s="2"/>
      <c r="H2982" s="2"/>
      <c r="I2982" s="2"/>
      <c r="J2982" s="2"/>
      <c r="K2982" s="2"/>
      <c r="L2982" s="2"/>
      <c r="M2982" s="2"/>
      <c r="N2982" s="2"/>
      <c r="O2982" s="2"/>
      <c r="P2982" s="2"/>
      <c r="Q2982" s="2"/>
      <c r="R2982" s="2"/>
      <c r="S2982" s="2"/>
      <c r="T2982" s="2"/>
      <c r="U2982" s="2"/>
      <c r="V2982" s="2"/>
      <c r="W2982" s="2"/>
      <c r="X2982" s="2"/>
      <c r="Y2982" s="2"/>
      <c r="Z2982" s="2"/>
      <c r="AA2982" s="2"/>
    </row>
    <row r="2983">
      <c r="A2983" s="3" t="s">
        <v>6923</v>
      </c>
      <c r="B2983" s="1" t="s">
        <v>6942</v>
      </c>
      <c r="C2983" s="3" t="s">
        <v>6943</v>
      </c>
      <c r="D2983" s="2" t="str">
        <f>IFERROR(__xludf.DUMMYFUNCTION("GOOGLETRANSLATE(B2983, ""en"", ""TL"")"),"Anong mga hakbang ang inilalagay upang maiwasan ang ipinagbabawal na trafficking ng mga kultural na artifact sa Pilipinas?")</f>
        <v>Anong mga hakbang ang inilalagay upang maiwasan ang ipinagbabawal na trafficking ng mga kultural na artifact sa Pilipinas?</v>
      </c>
      <c r="E2983" s="2" t="str">
        <f>IFERROR(__xludf.DUMMYFUNCTION("GOOGLETRANSLATE(C2983, ""en"", ""TL"")"),"Ang Pilipinas ay may ilang mga hakbang upang maiwasan ang ipinagbabawal na trafficking ng mga kultural na artifact, pagsasama-sama ng mga legal na balangkas, mga ahensya ng gobyerno, at internasyonal na kooperasyon. Narito ang isang breakdown ng mga pangu"&amp;"nahing punto:
**Legal na Balangkas:**
* **Republic Act No. 10066 (National Cultural Heritage Act of 2009):** Ang pangunahing batas na ito ay tumutukoy sa mga kultural na pag-aari, nagtatatag ng sistema ng pagpaparehistro, at binabalangkas ang mga pa"&amp;"rusa para sa mga pagkakasala na may kaugnayan sa kanilang ilegal na kalakalan, pag-export, o pagtatago [Seksyon 34 ng RA 10066].
* **Ibang Kaugnay na Batas:**
    * **Republic Act No. 8239 (Philippine Passport Act of 1996):** Ipinagbabawal ang pagpigi"&amp;"l ng mga pasaporte, na maaaring gamitin upang pigilan ang mga trafficker na umalis sa bansa na may mga artifact.
    * **Republic Act No. 8961 (Isang Batas na Nagbabawal sa Hindi Awtorisadong Pag-aangkat ng Cultural Property):** Kinukontrol ang pag-impor"&amp;"t ng mga kultural na ari-arian upang maiwasan ang pagpasok ng mga ninakaw na artifact.
    * **Presidential Decree No. 374 (Amending RA 4846):** Pinalalakas ang tungkulin ng pamahalaan sa pagprotekta sa mga kultural na ari-arian, kabilang ang potensyal n"&amp;"a aplikasyon sa ilalim ng dagat na kultural na pamana.
**Mga Ahensya ng Pamahalaan:**
* **National Commission for Culture and the Arts (NCCA):** Pinangangasiwaan ang pagpapatupad ng RA 10066 at pinag-uugnay ang mga pagsisikap na protektahan ang pama"&amp;"na ng kultura.
* **Pambansang Museo:** Nangunguna sa pagpaparehistro, dokumentasyon, at konserbasyon ng mga kultural na ari-arian. Ito rin ay gumaganap ng papel sa pag-iimbestiga sa mga kaso ng trafficking. 
* **Mga Ahensyang Pangkultura:** Ang mga ahen"&amp;"sya tulad ng National Archives at National Library ay nag-aambag sa proteksyon ng mga partikular na kultural na ari-arian sa loob ng kanilang mga mandato.
* **Bureau of Customs (BOC):** Sinusubaybayan at kinokontrol ang pag-import at pag-export ng mga ku"&amp;"ltural na ari-arian, na pumipigil sa pagpasok o paglabas ng mga ipinagbabawal na artifact.
* **Law Enforcement Agencies:** Ang Philippine National Police (PNP) at National Bureau of Investigation (NBI) ay nag-iimbestiga sa mga kaso ng trafficking at hinu"&amp;"huli ang mga salarin.
**Internasyonal na Kooperasyon:**
* **UNESCO 1970 Convention:** Ang Pilipinas ay lumagda sa UNESCO Convention on the Means of Prohibiting and Preventing the Illicit Import, Export and Transfer of Ownership of Cultural Property."&amp;" Ang internasyonal na kasunduang ito ay nagtataguyod ng kooperasyon sa paglaban sa art trafficking.
* **Memorandum of Understanding (MOUs):** Nagtatag ang Pilipinas ng mga MOU sa ibang mga bansa na nagpapadali sa pagbabahagi ng impormasyon, pinagsamang p"&amp;"agsisiyasat, at pagpapauwi ng mga ninakaw na kultural na artifact.
**Mga Hamon at Karagdagang Panukala:**
* **Limited Resources:** Ang pagpapatupad ng mga hakbang na ito ay epektibong nangangailangan ng sapat na mapagkukunan para sa mga ahensya ng g"&amp;"obyerno.
* **Public Awareness:** Ang pagtaas ng kamalayan ng publiko tungkol sa kahalagahan ng kultural na pamana at ang mga panganib ng trafficking ay napakahalaga.
* **Teknolohiya at Pagsasanay:** Ang paggamit ng mga advanced na teknolohiya para sa pa"&amp;"gsubaybay at pagpapatunay ng mga kultural na ari-arian ay maaaring maging kapaki-pakinabang. Ang pagsasanay sa mga alagad ng batas at mga opisyal ng customs sa pagtukoy ng mga ipinagbabawal na artifact ay mahalaga din.
Sa pamamagitan ng pagsasama-sama "&amp;"ng mga legal na balangkas, dedikadong ahensya ng gobyerno, at internasyonal na kooperasyon, nagsusumikap ang Pilipinas na pigilan ang ipinagbabawal na trafficking ng mga kultural na artifact. Gayunpaman, kailangan ang patuloy na pagsisikap upang matugunan"&amp;" ang mga limitasyon sa mapagkukunan, itaas ang kamalayan, at umangkop sa mga umuusbong na paraan ng trafficking. ")</f>
        <v>Ang Pilipinas ay may ilang mga hakbang upang maiwasan ang ipinagbabawal na trafficking ng mga kultural na artifact, pagsasama-sama ng mga legal na balangkas, mga ahensya ng gobyerno, at internasyonal na kooperasyon. Narito ang isang breakdown ng mga pangunahing punto:
**Legal na Balangkas:**
* **Republic Act No. 10066 (National Cultural Heritage Act of 2009):** Ang pangunahing batas na ito ay tumutukoy sa mga kultural na pag-aari, nagtatatag ng sistema ng pagpaparehistro, at binabalangkas ang mga parusa para sa mga pagkakasala na may kaugnayan sa kanilang ilegal na kalakalan, pag-export, o pagtatago [Seksyon 34 ng RA 10066].
* **Ibang Kaugnay na Batas:**
    * **Republic Act No. 8239 (Philippine Passport Act of 1996):** Ipinagbabawal ang pagpigil ng mga pasaporte, na maaaring gamitin upang pigilan ang mga trafficker na umalis sa bansa na may mga artifact.
    * **Republic Act No. 8961 (Isang Batas na Nagbabawal sa Hindi Awtorisadong Pag-aangkat ng Cultural Property):** Kinukontrol ang pag-import ng mga kultural na ari-arian upang maiwasan ang pagpasok ng mga ninakaw na artifact.
    * **Presidential Decree No. 374 (Amending RA 4846):** Pinalalakas ang tungkulin ng pamahalaan sa pagprotekta sa mga kultural na ari-arian, kabilang ang potensyal na aplikasyon sa ilalim ng dagat na kultural na pamana.
**Mga Ahensya ng Pamahalaan:**
* **National Commission for Culture and the Arts (NCCA):** Pinangangasiwaan ang pagpapatupad ng RA 10066 at pinag-uugnay ang mga pagsisikap na protektahan ang pamana ng kultura.
* **Pambansang Museo:** Nangunguna sa pagpaparehistro, dokumentasyon, at konserbasyon ng mga kultural na ari-arian. Ito rin ay gumaganap ng papel sa pag-iimbestiga sa mga kaso ng trafficking. 
* **Mga Ahensyang Pangkultura:** Ang mga ahensya tulad ng National Archives at National Library ay nag-aambag sa proteksyon ng mga partikular na kultural na ari-arian sa loob ng kanilang mga mandato.
* **Bureau of Customs (BOC):** Sinusubaybayan at kinokontrol ang pag-import at pag-export ng mga kultural na ari-arian, na pumipigil sa pagpasok o paglabas ng mga ipinagbabawal na artifact.
* **Law Enforcement Agencies:** Ang Philippine National Police (PNP) at National Bureau of Investigation (NBI) ay nag-iimbestiga sa mga kaso ng trafficking at hinuhuli ang mga salarin.
**Internasyonal na Kooperasyon:**
* **UNESCO 1970 Convention:** Ang Pilipinas ay lumagda sa UNESCO Convention on the Means of Prohibiting and Preventing the Illicit Import, Export and Transfer of Ownership of Cultural Property. Ang internasyonal na kasunduang ito ay nagtataguyod ng kooperasyon sa paglaban sa art trafficking.
* **Memorandum of Understanding (MOUs):** Nagtatag ang Pilipinas ng mga MOU sa ibang mga bansa na nagpapadali sa pagbabahagi ng impormasyon, pinagsamang pagsisiyasat, at pagpapauwi ng mga ninakaw na kultural na artifact.
**Mga Hamon at Karagdagang Panukala:**
* **Limited Resources:** Ang pagpapatupad ng mga hakbang na ito ay epektibong nangangailangan ng sapat na mapagkukunan para sa mga ahensya ng gobyerno.
* **Public Awareness:** Ang pagtaas ng kamalayan ng publiko tungkol sa kahalagahan ng kultural na pamana at ang mga panganib ng trafficking ay napakahalaga.
* **Teknolohiya at Pagsasanay:** Ang paggamit ng mga advanced na teknolohiya para sa pagsubaybay at pagpapatunay ng mga kultural na ari-arian ay maaaring maging kapaki-pakinabang. Ang pagsasanay sa mga alagad ng batas at mga opisyal ng customs sa pagtukoy ng mga ipinagbabawal na artifact ay mahalaga din.
Sa pamamagitan ng pagsasama-sama ng mga legal na balangkas, dedikadong ahensya ng gobyerno, at internasyonal na kooperasyon, nagsusumikap ang Pilipinas na pigilan ang ipinagbabawal na trafficking ng mga kultural na artifact. Gayunpaman, kailangan ang patuloy na pagsisikap upang matugunan ang mga limitasyon sa mapagkukunan, itaas ang kamalayan, at umangkop sa mga umuusbong na paraan ng trafficking. </v>
      </c>
      <c r="F2983" s="2">
        <f t="shared" si="1"/>
        <v>0</v>
      </c>
      <c r="G2983" s="2"/>
      <c r="H2983" s="2"/>
      <c r="I2983" s="2"/>
      <c r="J2983" s="2"/>
      <c r="K2983" s="2"/>
      <c r="L2983" s="2"/>
      <c r="M2983" s="2"/>
      <c r="N2983" s="2"/>
      <c r="O2983" s="2"/>
      <c r="P2983" s="2"/>
      <c r="Q2983" s="2"/>
      <c r="R2983" s="2"/>
      <c r="S2983" s="2"/>
      <c r="T2983" s="2"/>
      <c r="U2983" s="2"/>
      <c r="V2983" s="2"/>
      <c r="W2983" s="2"/>
      <c r="X2983" s="2"/>
      <c r="Y2983" s="2"/>
      <c r="Z2983" s="2"/>
      <c r="AA2983" s="2"/>
    </row>
    <row r="2984">
      <c r="A2984" s="3" t="s">
        <v>6923</v>
      </c>
      <c r="B2984" s="1" t="s">
        <v>6944</v>
      </c>
      <c r="C2984" s="3" t="s">
        <v>6945</v>
      </c>
      <c r="D2984" s="2" t="str">
        <f>IFERROR(__xludf.DUMMYFUNCTION("GOOGLETRANSLATE(B2984, ""en"", ""TL"")"),"Talakayin ang papel ng mga local government units (LGUs) sa mga pagsisikap sa pangangalaga ng cultural heritage.")</f>
        <v>Talakayin ang papel ng mga local government units (LGUs) sa mga pagsisikap sa pangangalaga ng cultural heritage.</v>
      </c>
      <c r="E2984" s="2" t="str">
        <f>IFERROR(__xludf.DUMMYFUNCTION("GOOGLETRANSLATE(C2984, ""en"", ""TL"")"),"Ang mga local government units (LGUs) ay gumaganap ng mahalagang papel sa mga pagsisikap sa pangangalaga ng pamana ng kultura sa Pilipinas. Ang kanilang kalapitan sa mga komunidad at mga mapagkukunang pangkultura ay gumagawa sa kanila ng maayos na posisyo"&amp;"n upang gumawa ng mga konkretong aksyon at pakilusin ang lokal na suporta para sa pangangalaga sa kultural na pagkakakilanlan ng bansa. Narito ang isang breakdown ng kanilang mga pangunahing function:
**1. Pagkakakilanlan at Dokumentasyon:**
* Ang m"&amp;"ga LGU ay maaaring magsagawa ng mga imbentaryo ng mga kultural na ari-arian sa loob ng kanilang nasasakupan. Maaaring kabilang dito ang mga makasaysayang palatandaan, tradisyonal na kasanayan, at hindi nasasalat na pamana ng kultura tulad ng mga katutubon"&amp;"g awit o sayaw.
* Maaari silang makipagtulungan sa mga lokal na komunidad, manggagawang pangkultura, at mga organisasyong pamana upang mangalap ng kaalaman at idokumento ang mga yamang pangkultura na ito. 
**2. Proteksyon at Pagpapanatili:**
* Ang "&amp;"mga LGU ay may awtoridad na magpatibay ng mga lokal na ordinansa upang protektahan ang mga kultural na ari-arian mula sa kapabayaan, pinsala, o pagkasira. Maaaring kabilang dito ang mga regulasyon ng zoning o mga paghihigpit sa pagpapaunlad sa mga lugar n"&amp;"a pamana.
* Maaari silang maglaan ng mga mapagkukunan ng badyet para sa pagpapanumbalik at pag-iingat ng mga makasaysayang gusali, istruktura, at artifact.
**3. Promosyon at Kamalayan:**
* Ang mga LGU ay maaaring mag-organisa ng mga kultural na kag"&amp;"anapan, pagdiriwang, at eksibit upang ipakita ang kanilang lokal na pamana at turuan ang publiko tungkol sa kahalagahan nito.
* Maaari nilang isama ang pamana ng kultura sa mga programa sa turismo at mga kurikulum na pang-edukasyon, na nagpapatibay ng pa"&amp;"gpapahalaga sa mga residente at mga bisita.
**4. Pagbuo ng Kapasidad at Paglahok ng Komunidad:**
* Maaaring suportahan ng mga LGU ang pagsasanay ng mga manggagawang pangkultura tulad ng mga artisan, craftspeople, at tradisyunal na practitioner, na t"&amp;"initiyak ang pagpapatuloy ng mga kultural na tradisyon.
* Maaari nilang hikayatin ang pakikilahok ng komunidad sa mga pagsisikap sa konserbasyon sa pamamagitan ng pagsali sa mga lokal na residente sa mga proseso ng paggawa ng desisyon at mga aktibidad sa"&amp;" pamana.
**5. Pakikipagtulungan at Pakikipagsosyo:**
* Maaaring makipagtulungan ang mga LGU sa mga pambansang ahensyang pangkultura, NGO, institusyong pang-akademiko, at pribadong sektor upang magamit ang kadalubhasaan, mapagkukunan, at pagpopondo p"&amp;"ara sa mga proyektong pamana ng kultura.
**Mga Halimbawa ng LGU Initiatives:**
* Ang Vigan, Ilocos Sur ay napreserba ang maayos nitong arkitektura ng kolonyal na Espanyol at umuunlad na tradisyonal na mga industriya, na naging UNESCO World Heritage "&amp;"City status. 
* Ang Intramuros, Manila ay sumailalim sa mga pagsisikap sa pagpapanumbalik at mga proyekto sa pagpapasigla, na ginawang isang sentro ng kultura at turismo ang makasaysayang napapaderang lungsod.
**Mga Hamon at Pagsasaalang-alang:**
*"&amp;" **Limited Resources:** Ang mga LGU ay kadalasang nahaharap sa mga hadlang sa badyet na maaaring makahadlang sa kanilang kakayahang magsagawa ng malawak na mga proyekto sa konserbasyon.
* **Kadalubhasaan sa Teknikal:** Ang pagbuo ng kapasidad sa loob ng "&amp;"mga LGU upang pamahalaan ang mga kumplikadong gawain sa konserbasyon ay maaaring mangailangan ng pakikipagtulungan sa mga panlabas na eksperto.
**Konklusyon:**
Ang mga LGU ay kritikal na katuwang sa pangangalaga sa kultural na pamana ng Pilipinas. S"&amp;"a pamamagitan ng aktibong papel sa pagkilala, proteksyon, promosyon, at pakikipag-ugnayan sa komunidad, tinitiyak nila na ang mayamang tapiserya ng kultura ng Pilipinas ay napangalagaan at yumayabong para sa mga susunod na henerasyon.
")</f>
        <v>Ang mga local government units (LGUs) ay gumaganap ng mahalagang papel sa mga pagsisikap sa pangangalaga ng pamana ng kultura sa Pilipinas. Ang kanilang kalapitan sa mga komunidad at mga mapagkukunang pangkultura ay gumagawa sa kanila ng maayos na posisyon upang gumawa ng mga konkretong aksyon at pakilusin ang lokal na suporta para sa pangangalaga sa kultural na pagkakakilanlan ng bansa. Narito ang isang breakdown ng kanilang mga pangunahing function:
**1. Pagkakakilanlan at Dokumentasyon:**
* Ang mga LGU ay maaaring magsagawa ng mga imbentaryo ng mga kultural na ari-arian sa loob ng kanilang nasasakupan. Maaaring kabilang dito ang mga makasaysayang palatandaan, tradisyonal na kasanayan, at hindi nasasalat na pamana ng kultura tulad ng mga katutubong awit o sayaw.
* Maaari silang makipagtulungan sa mga lokal na komunidad, manggagawang pangkultura, at mga organisasyong pamana upang mangalap ng kaalaman at idokumento ang mga yamang pangkultura na ito. 
**2. Proteksyon at Pagpapanatili:**
* Ang mga LGU ay may awtoridad na magpatibay ng mga lokal na ordinansa upang protektahan ang mga kultural na ari-arian mula sa kapabayaan, pinsala, o pagkasira. Maaaring kabilang dito ang mga regulasyon ng zoning o mga paghihigpit sa pagpapaunlad sa mga lugar na pamana.
* Maaari silang maglaan ng mga mapagkukunan ng badyet para sa pagpapanumbalik at pag-iingat ng mga makasaysayang gusali, istruktura, at artifact.
**3. Promosyon at Kamalayan:**
* Ang mga LGU ay maaaring mag-organisa ng mga kultural na kaganapan, pagdiriwang, at eksibit upang ipakita ang kanilang lokal na pamana at turuan ang publiko tungkol sa kahalagahan nito.
* Maaari nilang isama ang pamana ng kultura sa mga programa sa turismo at mga kurikulum na pang-edukasyon, na nagpapatibay ng pagpapahalaga sa mga residente at mga bisita.
**4. Pagbuo ng Kapasidad at Paglahok ng Komunidad:**
* Maaaring suportahan ng mga LGU ang pagsasanay ng mga manggagawang pangkultura tulad ng mga artisan, craftspeople, at tradisyunal na practitioner, na tinitiyak ang pagpapatuloy ng mga kultural na tradisyon.
* Maaari nilang hikayatin ang pakikilahok ng komunidad sa mga pagsisikap sa konserbasyon sa pamamagitan ng pagsali sa mga lokal na residente sa mga proseso ng paggawa ng desisyon at mga aktibidad sa pamana.
**5. Pakikipagtulungan at Pakikipagsosyo:**
* Maaaring makipagtulungan ang mga LGU sa mga pambansang ahensyang pangkultura, NGO, institusyong pang-akademiko, at pribadong sektor upang magamit ang kadalubhasaan, mapagkukunan, at pagpopondo para sa mga proyektong pamana ng kultura.
**Mga Halimbawa ng LGU Initiatives:**
* Ang Vigan, Ilocos Sur ay napreserba ang maayos nitong arkitektura ng kolonyal na Espanyol at umuunlad na tradisyonal na mga industriya, na naging UNESCO World Heritage City status. 
* Ang Intramuros, Manila ay sumailalim sa mga pagsisikap sa pagpapanumbalik at mga proyekto sa pagpapasigla, na ginawang isang sentro ng kultura at turismo ang makasaysayang napapaderang lungsod.
**Mga Hamon at Pagsasaalang-alang:**
* **Limited Resources:** Ang mga LGU ay kadalasang nahaharap sa mga hadlang sa badyet na maaaring makahadlang sa kanilang kakayahang magsagawa ng malawak na mga proyekto sa konserbasyon.
* **Kadalubhasaan sa Teknikal:** Ang pagbuo ng kapasidad sa loob ng mga LGU upang pamahalaan ang mga kumplikadong gawain sa konserbasyon ay maaaring mangailangan ng pakikipagtulungan sa mga panlabas na eksperto.
**Konklusyon:**
Ang mga LGU ay kritikal na katuwang sa pangangalaga sa kultural na pamana ng Pilipinas. Sa pamamagitan ng aktibong papel sa pagkilala, proteksyon, promosyon, at pakikipag-ugnayan sa komunidad, tinitiyak nila na ang mayamang tapiserya ng kultura ng Pilipinas ay napangalagaan at yumayabong para sa mga susunod na henerasyon.
</v>
      </c>
      <c r="F2984" s="2">
        <f t="shared" si="1"/>
        <v>0</v>
      </c>
      <c r="G2984" s="2"/>
      <c r="H2984" s="2"/>
      <c r="I2984" s="2"/>
      <c r="J2984" s="2"/>
      <c r="K2984" s="2"/>
      <c r="L2984" s="2"/>
      <c r="M2984" s="2"/>
      <c r="N2984" s="2"/>
      <c r="O2984" s="2"/>
      <c r="P2984" s="2"/>
      <c r="Q2984" s="2"/>
      <c r="R2984" s="2"/>
      <c r="S2984" s="2"/>
      <c r="T2984" s="2"/>
      <c r="U2984" s="2"/>
      <c r="V2984" s="2"/>
      <c r="W2984" s="2"/>
      <c r="X2984" s="2"/>
      <c r="Y2984" s="2"/>
      <c r="Z2984" s="2"/>
      <c r="AA2984" s="2"/>
    </row>
    <row r="2985">
      <c r="A2985" s="3" t="s">
        <v>6923</v>
      </c>
      <c r="B2985" s="1" t="s">
        <v>6946</v>
      </c>
      <c r="C2985" s="3" t="s">
        <v>6947</v>
      </c>
      <c r="D2985" s="2" t="str">
        <f>IFERROR(__xludf.DUMMYFUNCTION("GOOGLETRANSLATE(B2985, ""en"", ""TL"")"),"Ano ang tungkulin ng Pambansang Komisyon para sa Kultura at mga Sining (NCCA) sa pagpapanatili ng pamana ng kultura?")</f>
        <v>Ano ang tungkulin ng Pambansang Komisyon para sa Kultura at mga Sining (NCCA) sa pagpapanatili ng pamana ng kultura?</v>
      </c>
      <c r="E2985" s="2" t="str">
        <f>IFERROR(__xludf.DUMMYFUNCTION("GOOGLETRANSLATE(C2985, ""en"", ""TL"")"),"Ang Pambansang Komisyon para sa Kultura at mga Sining (NCCA) ay gumaganap ng isang pangunahing papel sa pagpapanatili ng pamana ng kultura sa Pilipinas. Narito ang isang breakdown ng mga pangunahing tungkulin nito na nakabalangkas sa Republic Act No. 1006"&amp;"6 (National Cultural Heritage Act of 2009) at iba pang nauugnay na batas ng Pilipinas:
**Pagbubuo at Koordinasyon ng Patakaran:**
* **Nagbubuo at nagpapatupad ng mga patakaran:** Ang NCCA ay nagtatatag ng mga pambansang patakaran, plano, at programa"&amp;" para sa konserbasyon, pagsulong, at pagpapaunlad ng sining at kultura ng Pilipinas, kabilang ang nasasalat at hindi nasasalat na pamana. 
* **Nag-coordinate ng mga pagsisikap:** Ang NCCA ay kumikilos bilang isang coordinating body , pinagsasama-sama ang"&amp;" iba't ibang ahensya ng gobyerno, institusyong pangkultura, NGO, at pribadong sektor upang magkatuwang na magtrabaho sa mga inisyatiba ng pamana ng kultura.
**Pagpopondo at Paglalaan ng Mapagkukunan:**
* **Namamahala sa National Endowment Fund for C"&amp;"ulture and the Arts (NEFCA):** Pinangangasiwaan ng NCCA ang NEFCA, isang pangunahing pinagmumulan ng pondo para sa mga proyektong konserbasyon ng pamana ng kultura sa buong Pilipinas.
* **Nagbibigay ng mga gawad at tulong:** Nag-aalok ang NCCA ng mga gaw"&amp;"ad at tulong pinansyal upang suportahan ang mga proyektong pamana ng kultura na isinasagawa ng mga LGU, manggagawang pangkultura, at mga kwalipikadong institusyon.
**Pamantayang Setting at Pagkilala:**
* **Nagtatakda ng mga pamantayan:** Ang NCCA ay"&amp;" nagtatatag ng mga pamantayan at mga alituntunin para sa pagkilala, pagpaparehistro, dokumentasyon, at pangangalaga ng mga kultural na ari-arian.
* **Nagdedeklara ng National Cultural Treasures (NCTs):** Ang NCCA, sa pamamagitan ng isang itinalagang kata"&amp;"wan, ay sinusuri at idineklara ang mga ari-arian bilang National Cultural Treasures, ang pinakamataas na pagkilala sa kahalagahan ng kultura sa Pilipinas.
**Adbokasiya at Pampublikong Kamalayan:**
* **Nagtataas ng kamalayan ng publiko:** Ang NCCA ay"&amp;" nagpapatupad ng mga programa upang itaas ang kamalayan ng publiko tungkol sa halaga ng pamana ng kultura at ang kahalagahan ng pangangalaga nito.
* **Nagtataguyod ng pagpapalitan ng kultura:** Hinihikayat ng NCCA ang mga programa ng pagpapalitan ng kult"&amp;"ura upang pasiglahin ang pag-unawa at pagpapahalaga sa kultura ng Pilipinas sa parehong pambansa at internasyonal na antas.
**Pananaliksik at Dokumentasyon:**
* **Sinusuportahan ang pananaliksik:** Ang NCCA ay nagbibigay ng suporta para sa mga hakba"&amp;"ngin sa pananaliksik na may kaugnayan sa kultural na pamana ng Pilipinas, na nag-aambag sa mas malalim na pag-unawa sa kultura ng bansa noon at kasalukuyan.
* **Nagpapanatili ng mga database:** Ang NCCA ay nagpapanatili ng mga database ng mga kultural na"&amp;" pag-aari, na nagpapadali sa pagkilala, dokumentasyon, at mga pagsisikap sa pananaliksik.
**Mga Halimbawa ng NCCA Initiatives:**
* Ang ""Dangal ng Filipinas"" (Pride of the Philippines) National Living Treasures Program ay kinikilala at binibigyang "&amp;"parangal ang mga indibidwal at grupo na naninirahan sa mga repositoryo at practitioner ng natatangi at mahalagang tradisyon ng kulturang Pilipino at katutubong kaalaman.
* Ang National Registry of Cultural Property ay nagpapanatili ng komprehensibong dat"&amp;"abase ng mga natukoy na kultural na ari-arian sa buong Pilipinas.
**Konklusyon:**
Ang NCCA ay nagsisilbing puwersang gumagabay para sa pangangalaga ng pamana ng kultura sa Pilipinas. Sa pamamagitan ng pagpapaunlad ng patakaran, paglalaan ng pagpopon"&amp;"do, pamantayang pagtatakda, at mga kampanya ng kamalayan sa publiko, tinitiyak ng NCCA ang isang koordinadong at komprehensibong diskarte sa pangangalaga sa yaman ng kultura ng bansa para sa mga susunod na henerasyon.
")</f>
        <v>Ang Pambansang Komisyon para sa Kultura at mga Sining (NCCA) ay gumaganap ng isang pangunahing papel sa pagpapanatili ng pamana ng kultura sa Pilipinas. Narito ang isang breakdown ng mga pangunahing tungkulin nito na nakabalangkas sa Republic Act No. 10066 (National Cultural Heritage Act of 2009) at iba pang nauugnay na batas ng Pilipinas:
**Pagbubuo at Koordinasyon ng Patakaran:**
* **Nagbubuo at nagpapatupad ng mga patakaran:** Ang NCCA ay nagtatatag ng mga pambansang patakaran, plano, at programa para sa konserbasyon, pagsulong, at pagpapaunlad ng sining at kultura ng Pilipinas, kabilang ang nasasalat at hindi nasasalat na pamana. 
* **Nag-coordinate ng mga pagsisikap:** Ang NCCA ay kumikilos bilang isang coordinating body , pinagsasama-sama ang iba't ibang ahensya ng gobyerno, institusyong pangkultura, NGO, at pribadong sektor upang magkatuwang na magtrabaho sa mga inisyatiba ng pamana ng kultura.
**Pagpopondo at Paglalaan ng Mapagkukunan:**
* **Namamahala sa National Endowment Fund for Culture and the Arts (NEFCA):** Pinangangasiwaan ng NCCA ang NEFCA, isang pangunahing pinagmumulan ng pondo para sa mga proyektong konserbasyon ng pamana ng kultura sa buong Pilipinas.
* **Nagbibigay ng mga gawad at tulong:** Nag-aalok ang NCCA ng mga gawad at tulong pinansyal upang suportahan ang mga proyektong pamana ng kultura na isinasagawa ng mga LGU, manggagawang pangkultura, at mga kwalipikadong institusyon.
**Pamantayang Setting at Pagkilala:**
* **Nagtatakda ng mga pamantayan:** Ang NCCA ay nagtatatag ng mga pamantayan at mga alituntunin para sa pagkilala, pagpaparehistro, dokumentasyon, at pangangalaga ng mga kultural na ari-arian.
* **Nagdedeklara ng National Cultural Treasures (NCTs):** Ang NCCA, sa pamamagitan ng isang itinalagang katawan, ay sinusuri at idineklara ang mga ari-arian bilang National Cultural Treasures, ang pinakamataas na pagkilala sa kahalagahan ng kultura sa Pilipinas.
**Adbokasiya at Pampublikong Kamalayan:**
* **Nagtataas ng kamalayan ng publiko:** Ang NCCA ay nagpapatupad ng mga programa upang itaas ang kamalayan ng publiko tungkol sa halaga ng pamana ng kultura at ang kahalagahan ng pangangalaga nito.
* **Nagtataguyod ng pagpapalitan ng kultura:** Hinihikayat ng NCCA ang mga programa ng pagpapalitan ng kultura upang pasiglahin ang pag-unawa at pagpapahalaga sa kultura ng Pilipinas sa parehong pambansa at internasyonal na antas.
**Pananaliksik at Dokumentasyon:**
* **Sinusuportahan ang pananaliksik:** Ang NCCA ay nagbibigay ng suporta para sa mga hakbangin sa pananaliksik na may kaugnayan sa kultural na pamana ng Pilipinas, na nag-aambag sa mas malalim na pag-unawa sa kultura ng bansa noon at kasalukuyan.
* **Nagpapanatili ng mga database:** Ang NCCA ay nagpapanatili ng mga database ng mga kultural na pag-aari, na nagpapadali sa pagkilala, dokumentasyon, at mga pagsisikap sa pananaliksik.
**Mga Halimbawa ng NCCA Initiatives:**
* Ang "Dangal ng Filipinas" (Pride of the Philippines) National Living Treasures Program ay kinikilala at binibigyang parangal ang mga indibidwal at grupo na naninirahan sa mga repositoryo at practitioner ng natatangi at mahalagang tradisyon ng kulturang Pilipino at katutubong kaalaman.
* Ang National Registry of Cultural Property ay nagpapanatili ng komprehensibong database ng mga natukoy na kultural na ari-arian sa buong Pilipinas.
**Konklusyon:**
Ang NCCA ay nagsisilbing puwersang gumagabay para sa pangangalaga ng pamana ng kultura sa Pilipinas. Sa pamamagitan ng pagpapaunlad ng patakaran, paglalaan ng pagpopondo, pamantayang pagtatakda, at mga kampanya ng kamalayan sa publiko, tinitiyak ng NCCA ang isang koordinadong at komprehensibong diskarte sa pangangalaga sa yaman ng kultura ng bansa para sa mga susunod na henerasyon.
</v>
      </c>
      <c r="F2985" s="2">
        <f t="shared" si="1"/>
        <v>0</v>
      </c>
      <c r="G2985" s="2"/>
      <c r="H2985" s="2"/>
      <c r="I2985" s="2"/>
      <c r="J2985" s="2"/>
      <c r="K2985" s="2"/>
      <c r="L2985" s="2"/>
      <c r="M2985" s="2"/>
      <c r="N2985" s="2"/>
      <c r="O2985" s="2"/>
      <c r="P2985" s="2"/>
      <c r="Q2985" s="2"/>
      <c r="R2985" s="2"/>
      <c r="S2985" s="2"/>
      <c r="T2985" s="2"/>
      <c r="U2985" s="2"/>
      <c r="V2985" s="2"/>
      <c r="W2985" s="2"/>
      <c r="X2985" s="2"/>
      <c r="Y2985" s="2"/>
      <c r="Z2985" s="2"/>
      <c r="AA2985" s="2"/>
    </row>
    <row r="2986">
      <c r="A2986" s="3" t="s">
        <v>6923</v>
      </c>
      <c r="B2986" s="1" t="s">
        <v>6948</v>
      </c>
      <c r="C2986" s="3" t="s">
        <v>6949</v>
      </c>
      <c r="D2986" s="2" t="str">
        <f>IFERROR(__xludf.DUMMYFUNCTION("GOOGLETRANSLATE(B2986, ""en"", ""TL"")"),"Ipaliwanag ang proseso ng pagpaparehistro ng isang kultural na ari-arian sa National Registry of Historic Sites and Structures (NRHSS).")</f>
        <v>Ipaliwanag ang proseso ng pagpaparehistro ng isang kultural na ari-arian sa National Registry of Historic Sites and Structures (NRHSS).</v>
      </c>
      <c r="E2986" s="2" t="str">
        <f>IFERROR(__xludf.DUMMYFUNCTION("GOOGLETRANSLATE(C2986, ""en"", ""TL"")"),"Ang proseso ng pagpaparehistro ng isang kultural na ari-arian sa National Registry of Historic Sites and Structures (NRHSS) sa Pilipinas ay nagsasangkot ng ilang hakbang. Narito ang isang breakdown ng mga pangunahing yugto:
**1. Paunang Pananaliksik at"&amp;" Dokumentasyon:**
* Mangalap ng makasaysayang impormasyon tungkol sa ari-arian, kabilang ang petsa ng pagtatayo nito, orihinal na pag-andar, mga arkitekto o tagabuo (kung kilala), at mahahalagang pangyayari sa kasaysayan na nauugnay dito.
* Kolektahin"&amp;" ang mga larawan ng ari-arian mula sa iba't ibang mga anggulo, na nagpapakita ng mga panlabas at panloob na tampok nito nang detalyado. 
* Maghanda ng detalyadong paglalarawan ng istilo ng arkitektura ng property, mga materyales na ginamit, at kasalukuya"&amp;"ng kondisyon. 
* Kumonsulta sa isang heritage professional (historian, architect, atbp.) kung kinakailangan, upang matiyak ang tumpak na dokumentasyon.
**2. Pagsusumite ng Form ng Nominasyon:**
* Kumuha ng NRHSS Nomination Form mula sa National Com"&amp;"mission for Culture and the Arts (NCCA) o i-download ito mula sa kanilang website**. [https://en.wikipedia.org/wiki/National_Commission_for_Culture_and_the_Arts](https://en.wikipedia.org/wiki/National_Commission_for_Culture_and_the_Arts)** 
* Punan ang f"&amp;"orm ng nominasyon nang buo at tumpak , na nagbibigay ng mga detalye tungkol sa ari-arian, kahalagahan nito, at katwiran para sa pagpaparehistro bilang isang makasaysayang lugar o istraktura.
* Ilakip ang lahat ng nakalap na dokumento , kabilang ang makas"&amp;"aysayang impormasyon, mga larawan, at paglalarawan ng ari-arian.
**3. Pagsusuri ng NCCA:**
* Ang seksyon ng NCCA Cultural Heritage ay tumatanggap ng form ng nominasyon at mga sumusuportang dokumento.
* Tinatasa ng mga evaluator ang nominasyon batay"&amp;" sa itinatag na pamantayan para sa pagsasama sa NRHSS. Karaniwang isinasaalang-alang ng mga pamantayang ito ang property ng:
    * **Kabuluhan sa kasaysayan:** Pag-uugnay sa mahahalagang pangyayari sa kasaysayan, mga pigura, o mga kilusang panlipunan.
 "&amp;"   * **Cultural significance:** Naglalaman o sumasalamin sa kultural na pamana ng isang komunidad o bansa.
    * **Arkitektura at Disenyo:** Nagpapakita ng mga pambihirang o kinatawan ng mga katangian ng arkitektura, paraan ng pagtatayo, o materyales.
 "&amp;"   * **Kahalagahan ng komunidad:** May espesyal na lugar sa alaala at tradisyon ng lokal na komunidad.
**4. Field Verification (kung kinakailangan)**
* Sa ilang mga kaso, ang mga evaluator ng NCCA ay maaaring magsagawa ng pagbisita sa site upang i-v"&amp;"erify ang impormasyong ibinigay sa form ng nominasyon at masuri mismo ang kondisyon ng ari-arian.
**5. Pagsusuri ng NCCA Technical Working Group (TWG):**
* Sinusuri ng isang teknikal na grupo ng mga propesyonal sa pamana ang form ng nominasyon, mga "&amp;"sumusuportang dokumento, at anumang mga natuklasan mula sa pagbisita sa site (kung naaangkop).
* Ang TWG ay maaaring humiling ng karagdagang impormasyon o paglilinaw mula sa nominator kung kinakailangan.
**6. Pagpupulong at Resolusyon ng NCCA En Banc:"&amp;"**
* Isinasaalang-alang ng buong NCCA ang rekomendasyon ng TWG at gumagawa ng pinal na desisyon sa pamamagitan ng isang pormal na resolusyon. Ang NCCA ay maaaring:
    * **Aprubahan** ang nominasyon para sa pagpaparehistro sa NRHSS.
    * **Tanggihan"&amp;"** ang nominasyon, na nagbibigay ng feedback sa nominator kung paano palakasin ang aplikasyon para sa muling pagsusumite sa hinaharap.
    * **Humiling ng karagdagang pagsusuri** kung higit pang impormasyon ang kailangan.
**7. Pagpaparehistro at Pagbi"&amp;"bigay ng Sertipiko:**
* Kung inaprubahan ng NCCA ang nominasyon, opisyal na nakarehistro ang property sa National Registry of Historic Sites and Structures.
* Ang NCCA ay nagbibigay ng Sertipiko ng Pagpaparehistro sa may-ari o legal na tagapag-alaga n"&amp;"g ari-arian.
**Mga Karagdagang Punto:**
* Ang proseso ay maaaring may kasamang konsultasyon sa local government unit (LGU) kung saan matatagpuan ang property. 
* Maaaring malapat ang mga bayarin sa pagpaparehistro, depende sa uri at laki ng propert"&amp;"y.
* Ang mga may-ari ng ari-arian ay karaniwang hinihikayat na panatilihin at pangalagaan ang mga rehistradong makasaysayang lugar at istruktura.
**Tandaan:** Ito ay isang pangkalahatang paliwanag.  Para sa pinaka-up-to-date na impormasyon at partikul"&amp;"ar na mga kinakailangan, ipinapayong kumonsulta sa website ng NCCA o direktang makipag-ugnayan sa kanila.
")</f>
        <v>Ang proseso ng pagpaparehistro ng isang kultural na ari-arian sa National Registry of Historic Sites and Structures (NRHSS) sa Pilipinas ay nagsasangkot ng ilang hakbang. Narito ang isang breakdown ng mga pangunahing yugto:
**1. Paunang Pananaliksik at Dokumentasyon:**
* Mangalap ng makasaysayang impormasyon tungkol sa ari-arian, kabilang ang petsa ng pagtatayo nito, orihinal na pag-andar, mga arkitekto o tagabuo (kung kilala), at mahahalagang pangyayari sa kasaysayan na nauugnay dito.
* Kolektahin ang mga larawan ng ari-arian mula sa iba't ibang mga anggulo, na nagpapakita ng mga panlabas at panloob na tampok nito nang detalyado. 
* Maghanda ng detalyadong paglalarawan ng istilo ng arkitektura ng property, mga materyales na ginamit, at kasalukuyang kondisyon. 
* Kumonsulta sa isang heritage professional (historian, architect, atbp.) kung kinakailangan, upang matiyak ang tumpak na dokumentasyon.
**2. Pagsusumite ng Form ng Nominasyon:**
* Kumuha ng NRHSS Nomination Form mula sa National Commission for Culture and the Arts (NCCA) o i-download ito mula sa kanilang website**. [https://en.wikipedia.org/wiki/National_Commission_for_Culture_and_the_Arts](https://en.wikipedia.org/wiki/National_Commission_for_Culture_and_the_Arts)** 
* Punan ang form ng nominasyon nang buo at tumpak , na nagbibigay ng mga detalye tungkol sa ari-arian, kahalagahan nito, at katwiran para sa pagpaparehistro bilang isang makasaysayang lugar o istraktura.
* Ilakip ang lahat ng nakalap na dokumento , kabilang ang makasaysayang impormasyon, mga larawan, at paglalarawan ng ari-arian.
**3. Pagsusuri ng NCCA:**
* Ang seksyon ng NCCA Cultural Heritage ay tumatanggap ng form ng nominasyon at mga sumusuportang dokumento.
* Tinatasa ng mga evaluator ang nominasyon batay sa itinatag na pamantayan para sa pagsasama sa NRHSS. Karaniwang isinasaalang-alang ng mga pamantayang ito ang property ng:
    * **Kabuluhan sa kasaysayan:** Pag-uugnay sa mahahalagang pangyayari sa kasaysayan, mga pigura, o mga kilusang panlipunan.
    * **Cultural significance:** Naglalaman o sumasalamin sa kultural na pamana ng isang komunidad o bansa.
    * **Arkitektura at Disenyo:** Nagpapakita ng mga pambihirang o kinatawan ng mga katangian ng arkitektura, paraan ng pagtatayo, o materyales.
    * **Kahalagahan ng komunidad:** May espesyal na lugar sa alaala at tradisyon ng lokal na komunidad.
**4. Field Verification (kung kinakailangan)**
* Sa ilang mga kaso, ang mga evaluator ng NCCA ay maaaring magsagawa ng pagbisita sa site upang i-verify ang impormasyong ibinigay sa form ng nominasyon at masuri mismo ang kondisyon ng ari-arian.
**5. Pagsusuri ng NCCA Technical Working Group (TWG):**
* Sinusuri ng isang teknikal na grupo ng mga propesyonal sa pamana ang form ng nominasyon, mga sumusuportang dokumento, at anumang mga natuklasan mula sa pagbisita sa site (kung naaangkop).
* Ang TWG ay maaaring humiling ng karagdagang impormasyon o paglilinaw mula sa nominator kung kinakailangan.
**6. Pagpupulong at Resolusyon ng NCCA En Banc:**
* Isinasaalang-alang ng buong NCCA ang rekomendasyon ng TWG at gumagawa ng pinal na desisyon sa pamamagitan ng isang pormal na resolusyon. Ang NCCA ay maaaring:
    * **Aprubahan** ang nominasyon para sa pagpaparehistro sa NRHSS.
    * **Tanggihan** ang nominasyon, na nagbibigay ng feedback sa nominator kung paano palakasin ang aplikasyon para sa muling pagsusumite sa hinaharap.
    * **Humiling ng karagdagang pagsusuri** kung higit pang impormasyon ang kailangan.
**7. Pagpaparehistro at Pagbibigay ng Sertipiko:**
* Kung inaprubahan ng NCCA ang nominasyon, opisyal na nakarehistro ang property sa National Registry of Historic Sites and Structures.
* Ang NCCA ay nagbibigay ng Sertipiko ng Pagpaparehistro sa may-ari o legal na tagapag-alaga ng ari-arian.
**Mga Karagdagang Punto:**
* Ang proseso ay maaaring may kasamang konsultasyon sa local government unit (LGU) kung saan matatagpuan ang property. 
* Maaaring malapat ang mga bayarin sa pagpaparehistro, depende sa uri at laki ng property.
* Ang mga may-ari ng ari-arian ay karaniwang hinihikayat na panatilihin at pangalagaan ang mga rehistradong makasaysayang lugar at istruktura.
**Tandaan:** Ito ay isang pangkalahatang paliwanag.  Para sa pinaka-up-to-date na impormasyon at partikular na mga kinakailangan, ipinapayong kumonsulta sa website ng NCCA o direktang makipag-ugnayan sa kanila.
</v>
      </c>
      <c r="F2986" s="2">
        <f t="shared" si="1"/>
        <v>0</v>
      </c>
      <c r="G2986" s="2"/>
      <c r="H2986" s="2"/>
      <c r="I2986" s="2"/>
      <c r="J2986" s="2"/>
      <c r="K2986" s="2"/>
      <c r="L2986" s="2"/>
      <c r="M2986" s="2"/>
      <c r="N2986" s="2"/>
      <c r="O2986" s="2"/>
      <c r="P2986" s="2"/>
      <c r="Q2986" s="2"/>
      <c r="R2986" s="2"/>
      <c r="S2986" s="2"/>
      <c r="T2986" s="2"/>
      <c r="U2986" s="2"/>
      <c r="V2986" s="2"/>
      <c r="W2986" s="2"/>
      <c r="X2986" s="2"/>
      <c r="Y2986" s="2"/>
      <c r="Z2986" s="2"/>
      <c r="AA2986" s="2"/>
    </row>
    <row r="2987">
      <c r="A2987" s="3" t="s">
        <v>6923</v>
      </c>
      <c r="B2987" s="1" t="s">
        <v>6950</v>
      </c>
      <c r="C2987" s="3" t="s">
        <v>6951</v>
      </c>
      <c r="D2987" s="2" t="str">
        <f>IFERROR(__xludf.DUMMYFUNCTION("GOOGLETRANSLATE(B2987, ""en"", ""TL"")"),"Talakayin ang kahalagahan ng mga pagtatasa ng epekto sa pamana sa mga proyektong pangkaunlaran.")</f>
        <v>Talakayin ang kahalagahan ng mga pagtatasa ng epekto sa pamana sa mga proyektong pangkaunlaran.</v>
      </c>
      <c r="E2987" s="2" t="str">
        <f>IFERROR(__xludf.DUMMYFUNCTION("GOOGLETRANSLATE(C2987, ""en"", ""TL"")"),"Ang Heritage impact assessments (HIAs) ay gumaganap ng mahalagang papel sa pagtiyak ng napapanatiling pag-unlad sa pamamagitan ng pag-iingat sa kultural na pamana sa panahon ng pagpaplano at pagpapatupad ng mga proyekto sa pagpapaunlad. Narito ang isang b"&amp;"reakdown ng kanilang kahalagahan:
**Pinoprotektahan ang Cultural Heritage:**
* Tinutukoy ng mga HIA ang mga potensyal na negatibong epekto ng isang proyekto sa pagpapaunlad sa mga kultural na pag-aari, parehong nasasalat (mga gusali, artifact) at hi"&amp;"ndi nasasalat (mga tradisyon, kasanayan).
* Sa pamamagitan ng pagtukoy sa mga epektong ito nang maaga, ang mga diskarte sa pagpapagaan ay maaaring mabuo upang mabawasan ang pinsala o pagkawala ng pamana ng kultura. 
* Ito ay maaaring kasangkot sa paglip"&amp;"at ng mga kultural na site, mga pagbabago sa mga disenyo ng proyekto, o mga pagsisikap sa pagbawi ng data para sa mga archaeological na site.
**Nagbibigay-alam sa Paggawa ng Desisyon:**
* Ang mga HIA ay nagbibigay ng mahalagang impormasyon sa mga de"&amp;"veloper, tagaplano, at mga ahensya ng gobyerno upang makagawa ng matalinong mga desisyon patungkol sa lokasyon ng proyekto, disenyo, at mga pamamaraan ng pagtatayo.
* Sa pamamagitan ng pag-unawa sa kultural na kahalagahan ng isang lokasyon, maaaring tukl"&amp;"asin ang mga alternatibong solusyon na nagpapaliit o makaiwas sa mga negatibong epekto sa pamana.
**Nagsusulong ng Sustainable Development:**
* Hinihikayat ng HIA ang isang balanseng diskarte sa pag-unlad. Tinitiyak nila na ang pag-unlad ng ekonomiy"&amp;"a ay hindi nagmumula sa kapinsalaan ng pamana ng kultura, na isang mahalagang mapagkukunang hindi nababago.
* Sa pamamagitan ng pagsasama-sama ng mga pagsasaalang-alang sa pamana ng kultura, ang mga proyekto sa pagpapaunlad ay maaaring maging mas napapan"&amp;"atiling sa mahabang panahon.
**Mga Benepisyo sa Lokal na Komunidad:**
* Ang HIA ay kadalasang nagsasangkot ng konsultasyon sa mga lokal na komunidad na ang kultural na pamana ay maaaring maapektuhan. 
* Pinapalakas nito ang pakikilahok ng komunidad"&amp;" sa paggawa ng desisyon at binibigyang kapangyarihan sila na protektahan ang kanilang pagkakakilanlan sa kultura. 
* Karagdagan pa, ang mga proyekto sa pagpapaunlad na gumagalang sa pamana ng kultura ay maaaring magpalakas ng turismo sa kultura at lumikh"&amp;"a ng mga pagkakataong pang-ekonomiya para sa mga lokal na komunidad.
**Pinapabuti ang Disenyo ng Proyekto at Pampublikong Pagdama:**
* Sa pamamagitan ng aktibong pagtugon sa mga potensyal na alalahanin sa pamanang kultural, maaaring mabawasan ng mga"&amp;" HIA ang mga pagkaantala at komplikasyon sa panahon ng pagpapatupad ng proyekto.
* Karagdagan pa, ang pagpapakita ng pangako sa pangangalaga sa pamana ng kultura ay maaaring mapabuti ang pananaw ng publiko sa mga proyekto sa pagpapaunlad at makakuha ng s"&amp;"uporta sa komunidad.
**Sumusunod sa Mga Legal na Kinakailangan:**
* Sa maraming bansa, kabilang ang Pilipinas, ang mga HIA ay ipinag-uutos ng batas para sa mga proyekto sa pagpapaunlad na maaaring makaapekto sa pamana ng kultura.
* Ang pagsasagawa "&amp;"ng mga HIA ay nagsisiguro na ang mga developer ay sumusunod sa mga legal na regulasyon at maiwasan ang mga potensyal na parusa para sa mga nakakapinsalang kultural na ari-arian.
**Sa pangkalahatan, ang mga HIA ay mahahalagang tool para sa pagkamit ng b"&amp;"alanse sa pagitan ng pag-unlad at proteksyon sa pamana ng kultura. Itinataguyod nila ang matalinong paggawa ng desisyon, pakikipag-ugnayan sa komunidad, at napapanatiling pag-unlad para sa hinaharap.**
")</f>
        <v>Ang Heritage impact assessments (HIAs) ay gumaganap ng mahalagang papel sa pagtiyak ng napapanatiling pag-unlad sa pamamagitan ng pag-iingat sa kultural na pamana sa panahon ng pagpaplano at pagpapatupad ng mga proyekto sa pagpapaunlad. Narito ang isang breakdown ng kanilang kahalagahan:
**Pinoprotektahan ang Cultural Heritage:**
* Tinutukoy ng mga HIA ang mga potensyal na negatibong epekto ng isang proyekto sa pagpapaunlad sa mga kultural na pag-aari, parehong nasasalat (mga gusali, artifact) at hindi nasasalat (mga tradisyon, kasanayan).
* Sa pamamagitan ng pagtukoy sa mga epektong ito nang maaga, ang mga diskarte sa pagpapagaan ay maaaring mabuo upang mabawasan ang pinsala o pagkawala ng pamana ng kultura. 
* Ito ay maaaring kasangkot sa paglipat ng mga kultural na site, mga pagbabago sa mga disenyo ng proyekto, o mga pagsisikap sa pagbawi ng data para sa mga archaeological na site.
**Nagbibigay-alam sa Paggawa ng Desisyon:**
* Ang mga HIA ay nagbibigay ng mahalagang impormasyon sa mga developer, tagaplano, at mga ahensya ng gobyerno upang makagawa ng matalinong mga desisyon patungkol sa lokasyon ng proyekto, disenyo, at mga pamamaraan ng pagtatayo.
* Sa pamamagitan ng pag-unawa sa kultural na kahalagahan ng isang lokasyon, maaaring tuklasin ang mga alternatibong solusyon na nagpapaliit o makaiwas sa mga negatibong epekto sa pamana.
**Nagsusulong ng Sustainable Development:**
* Hinihikayat ng HIA ang isang balanseng diskarte sa pag-unlad. Tinitiyak nila na ang pag-unlad ng ekonomiya ay hindi nagmumula sa kapinsalaan ng pamana ng kultura, na isang mahalagang mapagkukunang hindi nababago.
* Sa pamamagitan ng pagsasama-sama ng mga pagsasaalang-alang sa pamana ng kultura, ang mga proyekto sa pagpapaunlad ay maaaring maging mas napapanatiling sa mahabang panahon.
**Mga Benepisyo sa Lokal na Komunidad:**
* Ang HIA ay kadalasang nagsasangkot ng konsultasyon sa mga lokal na komunidad na ang kultural na pamana ay maaaring maapektuhan. 
* Pinapalakas nito ang pakikilahok ng komunidad sa paggawa ng desisyon at binibigyang kapangyarihan sila na protektahan ang kanilang pagkakakilanlan sa kultura. 
* Karagdagan pa, ang mga proyekto sa pagpapaunlad na gumagalang sa pamana ng kultura ay maaaring magpalakas ng turismo sa kultura at lumikha ng mga pagkakataong pang-ekonomiya para sa mga lokal na komunidad.
**Pinapabuti ang Disenyo ng Proyekto at Pampublikong Pagdama:**
* Sa pamamagitan ng aktibong pagtugon sa mga potensyal na alalahanin sa pamanang kultural, maaaring mabawasan ng mga HIA ang mga pagkaantala at komplikasyon sa panahon ng pagpapatupad ng proyekto.
* Karagdagan pa, ang pagpapakita ng pangako sa pangangalaga sa pamana ng kultura ay maaaring mapabuti ang pananaw ng publiko sa mga proyekto sa pagpapaunlad at makakuha ng suporta sa komunidad.
**Sumusunod sa Mga Legal na Kinakailangan:**
* Sa maraming bansa, kabilang ang Pilipinas, ang mga HIA ay ipinag-uutos ng batas para sa mga proyekto sa pagpapaunlad na maaaring makaapekto sa pamana ng kultura.
* Ang pagsasagawa ng mga HIA ay nagsisiguro na ang mga developer ay sumusunod sa mga legal na regulasyon at maiwasan ang mga potensyal na parusa para sa mga nakakapinsalang kultural na ari-arian.
**Sa pangkalahatan, ang mga HIA ay mahahalagang tool para sa pagkamit ng balanse sa pagitan ng pag-unlad at proteksyon sa pamana ng kultura. Itinataguyod nila ang matalinong paggawa ng desisyon, pakikipag-ugnayan sa komunidad, at napapanatiling pag-unlad para sa hinaharap.**
</v>
      </c>
      <c r="F2987" s="2">
        <f t="shared" si="1"/>
        <v>0</v>
      </c>
      <c r="G2987" s="2"/>
      <c r="H2987" s="2"/>
      <c r="I2987" s="2"/>
      <c r="J2987" s="2"/>
      <c r="K2987" s="2"/>
      <c r="L2987" s="2"/>
      <c r="M2987" s="2"/>
      <c r="N2987" s="2"/>
      <c r="O2987" s="2"/>
      <c r="P2987" s="2"/>
      <c r="Q2987" s="2"/>
      <c r="R2987" s="2"/>
      <c r="S2987" s="2"/>
      <c r="T2987" s="2"/>
      <c r="U2987" s="2"/>
      <c r="V2987" s="2"/>
      <c r="W2987" s="2"/>
      <c r="X2987" s="2"/>
      <c r="Y2987" s="2"/>
      <c r="Z2987" s="2"/>
      <c r="AA2987" s="2"/>
    </row>
    <row r="2988">
      <c r="A2988" s="3" t="s">
        <v>6923</v>
      </c>
      <c r="B2988" s="1" t="s">
        <v>6952</v>
      </c>
      <c r="C2988" s="3" t="s">
        <v>6953</v>
      </c>
      <c r="D2988" s="2" t="str">
        <f>IFERROR(__xludf.DUMMYFUNCTION("GOOGLETRANSLATE(B2988, ""en"", ""TL"")"),"Paano tinutugunan ng Batas Republika Blg. 10066 ang pangangalaga sa hindi nasasalat na pamana ng kultura?")</f>
        <v>Paano tinutugunan ng Batas Republika Blg. 10066 ang pangangalaga sa hindi nasasalat na pamana ng kultura?</v>
      </c>
      <c r="E2988" s="2" t="str">
        <f>IFERROR(__xludf.DUMMYFUNCTION("GOOGLETRANSLATE(C2988, ""en"", ""TL"")"),"Ang Republic Act No. 10066, na kilala rin bilang National Cultural Heritage Act of 2009, ay kinikilala ang kahalagahan ng intangible cultural heritage (ICH) sa Pilipinas at binabalangkas ang mga hakbang para sa proteksyon nito. Narito ang isang breakdown "&amp;"ng mga pangunahing punto:
**Kahulugan ng Intangible Cultural Heritage:**
* Tinutukoy ng Seksyon 4(x) ng RA 10066 ang hindi nasasalat na pamana ng kultura bilang:
    * Mga kasanayan, representasyon, ekspresyon,
    * Kaalaman at kasanayan,
    * "&amp;"Mga instrumento, bagay at artifact na nauugnay dito,
    * Na kinikilala ng mga komunidad, grupo at indibidwal bilang bahagi ng kanilang kultural na pamana.
* Ang malawak na kahulugan na ito ay sumasaklaw sa isang malawak na hanay ng mga elemento ng I"&amp;"CH, kabilang ang:
    * Oral na mga tradisyon, wika at pagpapahayag
    * Performing arts (sayaw, musika, teatro)
    * Mga gawi sa lipunan, mga ritwal at mga kaganapan sa maligaya
    * Kaalaman at gawi tungkol sa kalikasan at sansinukob
    * Tradi"&amp;"syonal na pagkakayari
**Mga Panukala para sa Proteksyon:**
* **Pagkilala at Dokumentasyon:** Hinihikayat ng Batas ang pagkilala, dokumentasyon, pananaliksik, at imbentaryo ng hindi nasasalat na pamana ng kultura sa buong Pilipinas. [Seksyon 18 ng RA"&amp;" 10066]
* **Inventory of Intangible Cultural Properties:** Ang NCCA, sa konsultasyon sa mga nauugnay na stakeholder, ay nagpapanatili ng Inventory of Intangible Cultural Properties.  Ang imbentaryo na ito ay nagsisilbing isang mahalagang kasangkapan para"&amp;" sa pagpapataas ng kamalayan at pagtataguyod ng mga kultural na kayamanan. [Seksyon 18 ng RA 10066]
* **Mga Pamamaraan sa Pag-iingat:** Ang NCCA, sa pakikipag-ugnayan sa mga LGU, kultural na komunidad, at NGO, ay bumalangkas at nagpapatupad ng mga hakban"&amp;"g sa pag-iingat upang matiyak ang posibilidad at paghahatid ng hindi nasasalat na pamana ng kultura sa mga susunod na henerasyon.  [Seksyon 19 ng RA 10066] Ang mga hakbang na ito ay maaaring may kasamang:
    * **Mga programa ng suporta:** Tulong sa pana"&amp;"nalapi, mga workshop sa pagsasanay, at mga hakbangin sa pagbuo ng kapasidad para sa mga maydala at practitioner ng ICH.
    * **Mga proyekto sa dokumentasyon:** Pagre-record ng mga oral na tradisyon, musika, at pagtatanghal upang lumikha ng mga talaan ng"&amp;" archival.
    * **Mga kampanya ng pampublikong kamalayan:** Mga programang pang-edukasyon at mga kaganapang pangkultura upang itaas ang pagpapahalaga ng publiko para sa ICH.
    * **Pagsasama sa edukasyon:** Pagsasama ng mga elemento ng ICH sa kurikulu"&amp;"m ng paaralan upang matiyak ang paghahatid ng mga ito sa mga nakababatang henerasyon.
**Mga Hamon at Pagsasaalang-alang:**
* **Intangibility:** Hindi tulad ng mga nasasalat na kultural na pag-aari, ang ICH ay hindi maaaring pisikal na mapangalagaan "&amp;"sa parehong paraan. 
* **Dynamic na Kalikasan:** Ang ICH ay nabubuhay at umuunlad , na nagpapakita ng mga hamon sa dokumentasyon at mga pagsisikap sa pag-iingat.
* **Paglahok ng Komunidad:** Ang mabisang proteksyon ay nangangailangan ng pakikipagtulunga"&amp;"n sa mga komunidad na mga tagapag-alaga ng pamana na ito.
**Konklusyon:**
Ang Republic Act No. 10066 ay nagbibigay ng balangkas para sa pangangalaga sa hindi nasasalat na pamana ng kultura sa Pilipinas. Sa pamamagitan ng pagkilala sa kahalagahan nit"&amp;"o, pagtataguyod ng dokumentasyon nito, at pagsuporta sa paghahatid nito, nilalayon ng Batas na tiyakin ang pagpapatuloy at pag-usbong ng mga hindi mapapalitang kultural na ekspresyong ito. ")</f>
        <v>Ang Republic Act No. 10066, na kilala rin bilang National Cultural Heritage Act of 2009, ay kinikilala ang kahalagahan ng intangible cultural heritage (ICH) sa Pilipinas at binabalangkas ang mga hakbang para sa proteksyon nito. Narito ang isang breakdown ng mga pangunahing punto:
**Kahulugan ng Intangible Cultural Heritage:**
* Tinutukoy ng Seksyon 4(x) ng RA 10066 ang hindi nasasalat na pamana ng kultura bilang:
    * Mga kasanayan, representasyon, ekspresyon,
    * Kaalaman at kasanayan,
    * Mga instrumento, bagay at artifact na nauugnay dito,
    * Na kinikilala ng mga komunidad, grupo at indibidwal bilang bahagi ng kanilang kultural na pamana.
* Ang malawak na kahulugan na ito ay sumasaklaw sa isang malawak na hanay ng mga elemento ng ICH, kabilang ang:
    * Oral na mga tradisyon, wika at pagpapahayag
    * Performing arts (sayaw, musika, teatro)
    * Mga gawi sa lipunan, mga ritwal at mga kaganapan sa maligaya
    * Kaalaman at gawi tungkol sa kalikasan at sansinukob
    * Tradisyonal na pagkakayari
**Mga Panukala para sa Proteksyon:**
* **Pagkilala at Dokumentasyon:** Hinihikayat ng Batas ang pagkilala, dokumentasyon, pananaliksik, at imbentaryo ng hindi nasasalat na pamana ng kultura sa buong Pilipinas. [Seksyon 18 ng RA 10066]
* **Inventory of Intangible Cultural Properties:** Ang NCCA, sa konsultasyon sa mga nauugnay na stakeholder, ay nagpapanatili ng Inventory of Intangible Cultural Properties.  Ang imbentaryo na ito ay nagsisilbing isang mahalagang kasangkapan para sa pagpapataas ng kamalayan at pagtataguyod ng mga kultural na kayamanan. [Seksyon 18 ng RA 10066]
* **Mga Pamamaraan sa Pag-iingat:** Ang NCCA, sa pakikipag-ugnayan sa mga LGU, kultural na komunidad, at NGO, ay bumalangkas at nagpapatupad ng mga hakbang sa pag-iingat upang matiyak ang posibilidad at paghahatid ng hindi nasasalat na pamana ng kultura sa mga susunod na henerasyon.  [Seksyon 19 ng RA 10066] Ang mga hakbang na ito ay maaaring may kasamang:
    * **Mga programa ng suporta:** Tulong sa pananalapi, mga workshop sa pagsasanay, at mga hakbangin sa pagbuo ng kapasidad para sa mga maydala at practitioner ng ICH.
    * **Mga proyekto sa dokumentasyon:** Pagre-record ng mga oral na tradisyon, musika, at pagtatanghal upang lumikha ng mga talaan ng archival.
    * **Mga kampanya ng pampublikong kamalayan:** Mga programang pang-edukasyon at mga kaganapang pangkultura upang itaas ang pagpapahalaga ng publiko para sa ICH.
    * **Pagsasama sa edukasyon:** Pagsasama ng mga elemento ng ICH sa kurikulum ng paaralan upang matiyak ang paghahatid ng mga ito sa mga nakababatang henerasyon.
**Mga Hamon at Pagsasaalang-alang:**
* **Intangibility:** Hindi tulad ng mga nasasalat na kultural na pag-aari, ang ICH ay hindi maaaring pisikal na mapangalagaan sa parehong paraan. 
* **Dynamic na Kalikasan:** Ang ICH ay nabubuhay at umuunlad , na nagpapakita ng mga hamon sa dokumentasyon at mga pagsisikap sa pag-iingat.
* **Paglahok ng Komunidad:** Ang mabisang proteksyon ay nangangailangan ng pakikipagtulungan sa mga komunidad na mga tagapag-alaga ng pamana na ito.
**Konklusyon:**
Ang Republic Act No. 10066 ay nagbibigay ng balangkas para sa pangangalaga sa hindi nasasalat na pamana ng kultura sa Pilipinas. Sa pamamagitan ng pagkilala sa kahalagahan nito, pagtataguyod ng dokumentasyon nito, at pagsuporta sa paghahatid nito, nilalayon ng Batas na tiyakin ang pagpapatuloy at pag-usbong ng mga hindi mapapalitang kultural na ekspresyong ito. </v>
      </c>
      <c r="F2988" s="2">
        <f t="shared" si="1"/>
        <v>0</v>
      </c>
      <c r="G2988" s="2"/>
      <c r="H2988" s="2"/>
      <c r="I2988" s="2"/>
      <c r="J2988" s="2"/>
      <c r="K2988" s="2"/>
      <c r="L2988" s="2"/>
      <c r="M2988" s="2"/>
      <c r="N2988" s="2"/>
      <c r="O2988" s="2"/>
      <c r="P2988" s="2"/>
      <c r="Q2988" s="2"/>
      <c r="R2988" s="2"/>
      <c r="S2988" s="2"/>
      <c r="T2988" s="2"/>
      <c r="U2988" s="2"/>
      <c r="V2988" s="2"/>
      <c r="W2988" s="2"/>
      <c r="X2988" s="2"/>
      <c r="Y2988" s="2"/>
      <c r="Z2988" s="2"/>
      <c r="AA2988" s="2"/>
    </row>
    <row r="2989">
      <c r="A2989" s="3" t="s">
        <v>6923</v>
      </c>
      <c r="B2989" s="1" t="s">
        <v>6954</v>
      </c>
      <c r="C2989" s="3" t="s">
        <v>6955</v>
      </c>
      <c r="D2989" s="2" t="str">
        <f>IFERROR(__xludf.DUMMYFUNCTION("GOOGLETRANSLATE(B2989, ""en"", ""TL"")"),"Ano ang mga responsibilidad ng mga ahensya at institusyong pangkultura sa pagtataguyod ng kamalayan sa pamanang pangkultura?")</f>
        <v>Ano ang mga responsibilidad ng mga ahensya at institusyong pangkultura sa pagtataguyod ng kamalayan sa pamanang pangkultura?</v>
      </c>
      <c r="E2989" s="2" t="str">
        <f>IFERROR(__xludf.DUMMYFUNCTION("GOOGLETRANSLATE(C2989, ""en"", ""TL"")"),"Ang mga ahensya at institusyong pangkultura ay may mahalagang papel sa pagtataguyod ng kamalayan sa pamanang kultural sa Pilipinas. Narito ang isang breakdown ng kanilang mga pangunahing responsibilidad:
**1. Edukasyon at Pampublikong Pakikipag-ugnayan"&amp;":**
* **Bumuo ng mga programang pang-edukasyon:** Ang mga ahensyang pangkultura ay maaaring lumikha ng mga programang pang-edukasyon para sa lahat ng edad, na iniayon sa iba't ibang madla (mga paaralan, komunidad, pangkalahatang publiko). 
* Ang mga p"&amp;"rogramang ito ay maaaring gumamit ng iba't ibang mga format tulad ng mga workshop, lecture, exhibit, at interactive na aktibidad upang ipakilala at ipaliwanag ang mga konsepto ng kultural na pamana.
* **Mag-organisa ng mga kultural na kaganapan at pagdir"&amp;"iwang:** Ang mga pagdiriwang, pagtatanghal, demonstrasyon ng mga tradisyunal na sining, at mga kaganapan sa paggunita ay maaaring magbigay-buhay sa pamana ng kultura para sa publiko.
* **Bumuo ng mga mapagkukunang pang-edukasyon:** Ang mga ahensyang pang"&amp;"kultura ay maaaring lumikha ng mga mapagkukunang pang-edukasyon tulad ng mga brochure, website, materyal na multimedia , at mga eksibit sa paglalakbay upang ipalaganap ang impormasyon tungkol sa pamana ng kultura sa paraang madaling gamitin.
**2. Panan"&amp;"aliksik at Dokumentasyon:**
* **Magsagawa ng pananaliksik:** Ang mga ahensyang pangkultura ay maaaring magsagawa ng mga proyektong pananaliksik upang idokumento at magkaroon ng mas malalim na pag-unawa sa pamana ng kultura ng Pilipinas sa lahat ng pagk"&amp;"akaiba-iba nito.  Ang pananaliksik na ito ay maaaring mag-ambag sa mga imbentaryo ng mga kultural na pag-aari at mga pagsisikap sa pangangalaga.
* **Panatilihin ang mga archive at koleksyon:** Ang mga institusyong ito ay nagtataglay ng mahahalagang kolek"&amp;"syon ng mga artifact, dokumento, at mga recording na may kaugnayan sa kultura ng Pilipinas. Mayroon silang responsibilidad na pangalagaan ang mga koleksyong ito at gawing accessible ang mga ito sa mga mananaliksik at publiko.
**3. Adbokasiya at Pagbuo "&amp;"ng Kapasidad:**
* **Itaas ang kamalayan ng publiko:** Maaaring isulong ng mga ahensyang pangkultura ang kahalagahan ng pamana ng kultura sa pamamagitan ng mga kampanya ng pampublikong kamalayan gamit ang media, social media, at mga programang outreach "&amp;"sa komunidad.
* **Suportahan ang mga manggagawa at practitioner sa kultura:** Ang pagbibigay ng mga workshop sa pagsasanay, tulong sa pananalapi, at mga plataporma para sa pagpapakita ng kanilang mga kasanayan ay nagbibigay ng kapangyarihan sa mga mangga"&amp;"gawang pangkultura at tinitiyak ang paghahatid ng mga tradisyonal na kaalaman at kasanayan.
* **Makipagtulungan sa mga LGU at NGO:** Ang mabisang promosyon ay nangangailangan ng pakikipagtulungan sa mga local government units (LGUs) at non-government org"&amp;"anizations (NGOs) na nagtatrabaho sa loob ng mga komunidad upang maiangkop ang mga inisyatiba sa mga partikular na konteksto ng kultura.
**4. Paggamit ng Teknolohiya at Innovation:**
* **Bumuo ng mga digital na platform:** Ang mga ahensyang pangkult"&amp;"ura ay maaaring lumikha ng mga interactive na website, mga mobile application, at mga virtual na paglilibot upang gawing mas naa-access ang pamana ng kultura sa mas malawak na madla, partikular na ang mga nakababatang henerasyon.
* **Gamitin ang social m"&amp;"edia:** Maaaring gamitin ang mga platform ng social media upang magbahagi ng nakakaengganyo na nilalaman tungkol sa pamana ng kultura, mga pag-uusap, at hikayatin ang pakikilahok ng publiko .
* **Yakapin ang mga digital na tool:** Ang mga digital na tekn"&amp;"olohiya tulad ng 3D scanning at archival software ay maaaring gamitin upang mapanatili at ipalaganap ang impormasyon ng pamana ng kultura sa mga makabagong paraan.
Sa pagtupad sa mga responsibilidad na ito, ang mga ahensya at institusyong pangkultura a"&amp;"y makapagpapaunlad ng mas malalim na pagpapahalaga sa pamana ng kultura ng Pilipinas sa mga mamamayan. Ang kamalayan na ito ay mahalaga para sa pagpapanatili ng kultural na pagkakakilanlan, pagtataguyod ng kultural na turismo, at pagbibigay inspirasyon sa"&amp;" mga susunod na henerasyon na pahalagahan at pangalagaan ang kanilang pamana. ")</f>
        <v>Ang mga ahensya at institusyong pangkultura ay may mahalagang papel sa pagtataguyod ng kamalayan sa pamanang kultural sa Pilipinas. Narito ang isang breakdown ng kanilang mga pangunahing responsibilidad:
**1. Edukasyon at Pampublikong Pakikipag-ugnayan:**
* **Bumuo ng mga programang pang-edukasyon:** Ang mga ahensyang pangkultura ay maaaring lumikha ng mga programang pang-edukasyon para sa lahat ng edad, na iniayon sa iba't ibang madla (mga paaralan, komunidad, pangkalahatang publiko). 
* Ang mga programang ito ay maaaring gumamit ng iba't ibang mga format tulad ng mga workshop, lecture, exhibit, at interactive na aktibidad upang ipakilala at ipaliwanag ang mga konsepto ng kultural na pamana.
* **Mag-organisa ng mga kultural na kaganapan at pagdiriwang:** Ang mga pagdiriwang, pagtatanghal, demonstrasyon ng mga tradisyunal na sining, at mga kaganapan sa paggunita ay maaaring magbigay-buhay sa pamana ng kultura para sa publiko.
* **Bumuo ng mga mapagkukunang pang-edukasyon:** Ang mga ahensyang pangkultura ay maaaring lumikha ng mga mapagkukunang pang-edukasyon tulad ng mga brochure, website, materyal na multimedia , at mga eksibit sa paglalakbay upang ipalaganap ang impormasyon tungkol sa pamana ng kultura sa paraang madaling gamitin.
**2. Pananaliksik at Dokumentasyon:**
* **Magsagawa ng pananaliksik:** Ang mga ahensyang pangkultura ay maaaring magsagawa ng mga proyektong pananaliksik upang idokumento at magkaroon ng mas malalim na pag-unawa sa pamana ng kultura ng Pilipinas sa lahat ng pagkakaiba-iba nito.  Ang pananaliksik na ito ay maaaring mag-ambag sa mga imbentaryo ng mga kultural na pag-aari at mga pagsisikap sa pangangalaga.
* **Panatilihin ang mga archive at koleksyon:** Ang mga institusyong ito ay nagtataglay ng mahahalagang koleksyon ng mga artifact, dokumento, at mga recording na may kaugnayan sa kultura ng Pilipinas. Mayroon silang responsibilidad na pangalagaan ang mga koleksyong ito at gawing accessible ang mga ito sa mga mananaliksik at publiko.
**3. Adbokasiya at Pagbuo ng Kapasidad:**
* **Itaas ang kamalayan ng publiko:** Maaaring isulong ng mga ahensyang pangkultura ang kahalagahan ng pamana ng kultura sa pamamagitan ng mga kampanya ng pampublikong kamalayan gamit ang media, social media, at mga programang outreach sa komunidad.
* **Suportahan ang mga manggagawa at practitioner sa kultura:** Ang pagbibigay ng mga workshop sa pagsasanay, tulong sa pananalapi, at mga plataporma para sa pagpapakita ng kanilang mga kasanayan ay nagbibigay ng kapangyarihan sa mga manggagawang pangkultura at tinitiyak ang paghahatid ng mga tradisyonal na kaalaman at kasanayan.
* **Makipagtulungan sa mga LGU at NGO:** Ang mabisang promosyon ay nangangailangan ng pakikipagtulungan sa mga local government units (LGUs) at non-government organizations (NGOs) na nagtatrabaho sa loob ng mga komunidad upang maiangkop ang mga inisyatiba sa mga partikular na konteksto ng kultura.
**4. Paggamit ng Teknolohiya at Innovation:**
* **Bumuo ng mga digital na platform:** Ang mga ahensyang pangkultura ay maaaring lumikha ng mga interactive na website, mga mobile application, at mga virtual na paglilibot upang gawing mas naa-access ang pamana ng kultura sa mas malawak na madla, partikular na ang mga nakababatang henerasyon.
* **Gamitin ang social media:** Maaaring gamitin ang mga platform ng social media upang magbahagi ng nakakaengganyo na nilalaman tungkol sa pamana ng kultura, mga pag-uusap, at hikayatin ang pakikilahok ng publiko .
* **Yakapin ang mga digital na tool:** Ang mga digital na teknolohiya tulad ng 3D scanning at archival software ay maaaring gamitin upang mapanatili at ipalaganap ang impormasyon ng pamana ng kultura sa mga makabagong paraan.
Sa pagtupad sa mga responsibilidad na ito, ang mga ahensya at institusyong pangkultura ay makapagpapaunlad ng mas malalim na pagpapahalaga sa pamana ng kultura ng Pilipinas sa mga mamamayan. Ang kamalayan na ito ay mahalaga para sa pagpapanatili ng kultural na pagkakakilanlan, pagtataguyod ng kultural na turismo, at pagbibigay inspirasyon sa mga susunod na henerasyon na pahalagahan at pangalagaan ang kanilang pamana. </v>
      </c>
      <c r="F2989" s="2">
        <f t="shared" si="1"/>
        <v>0</v>
      </c>
      <c r="G2989" s="2"/>
      <c r="H2989" s="2"/>
      <c r="I2989" s="2"/>
      <c r="J2989" s="2"/>
      <c r="K2989" s="2"/>
      <c r="L2989" s="2"/>
      <c r="M2989" s="2"/>
      <c r="N2989" s="2"/>
      <c r="O2989" s="2"/>
      <c r="P2989" s="2"/>
      <c r="Q2989" s="2"/>
      <c r="R2989" s="2"/>
      <c r="S2989" s="2"/>
      <c r="T2989" s="2"/>
      <c r="U2989" s="2"/>
      <c r="V2989" s="2"/>
      <c r="W2989" s="2"/>
      <c r="X2989" s="2"/>
      <c r="Y2989" s="2"/>
      <c r="Z2989" s="2"/>
      <c r="AA2989" s="2"/>
    </row>
    <row r="2990">
      <c r="A2990" s="3" t="s">
        <v>6923</v>
      </c>
      <c r="B2990" s="1" t="s">
        <v>6956</v>
      </c>
      <c r="C2990" s="3" t="s">
        <v>6957</v>
      </c>
      <c r="D2990" s="2" t="str">
        <f>IFERROR(__xludf.DUMMYFUNCTION("GOOGLETRANSLATE(B2990, ""en"", ""TL"")"),"Talakayin ang legal na balangkas para sa konserbasyon ng mga ancestral domain at katutubong pamayanang kultural sa Pilipinas.")</f>
        <v>Talakayin ang legal na balangkas para sa konserbasyon ng mga ancestral domain at katutubong pamayanang kultural sa Pilipinas.</v>
      </c>
      <c r="E2990" s="2" t="str">
        <f>IFERROR(__xludf.DUMMYFUNCTION("GOOGLETRANSLATE(C2990, ""en"", ""TL"")"),"Ang Pilipinas ay may legal na balangkas na kumikilala at nagpoprotekta sa mga karapatan ng mga Katutubong Pamayanang Kultural/Katutubong Pamayanan (ICCs/Katutubong Pamayanan) at kanilang mga ancestral domain. Narito ang isang breakdown ng mga pangunahing "&amp;"probisyon:
**Konstitusyon:**
* **Artikulo XIV, Seksyon 17:** Dapat kilalanin ng Estado ang mga karapatan ng mga ICC/Katutubong Pamayanan sa kanilang mga ancestral domain upang matiyak ang kanilang pang-ekonomiya, panlipunan, at pangkulturang kagalin"&amp;"gan. 
* **Artikulo XII, Seksyon 5:** Dapat protektahan ng Estado ang mga karapatan ng mga ICC/Katutubong Pamayanan sa kanilang mga nakagawiang batas na namamahala sa mga karapatan o relasyon sa ari-arian sa pagtukoy sa pagmamay-ari at lawak ng mga ancest"&amp;"ral domain.
**Republic Act No. 8371 - Indigenous Peoples' Rights Act (IPRA) ng 1997:**
* **Kabanata III - Mga Karapatan sa Ancestral Domains:** 
    * Tinutukoy ang mga ancestral domain at ancestral lands.
    * Nagtatatag ng proseso para sa delin"&amp;"easyon at pagkilala sa mga ancestral domain.
    * Nagbibigay sa mga ICC/Katutubong Pamayanan ng karapatang bumuo, pamahalaan, at pangalagaan ang kanilang mga ancestral domain. 
    * Inaatasan ang mga ahensya ng gobyerno na makakuha ng Free and Prior I"&amp;"nformed Consent (FPIC) mula sa mga ICC/IP bago magsagawa ng mga proyektong makakaapekto sa kanilang mga ancestral domain.
**Ibang Kaugnay na Batas:**
* **National Integrated Protected Areas System (NIPAS) Act (RA No. 7586):**  
    * Nagtatatag ng "&amp;"balangkas para sa mga protektadong lugar, na maaaring mag-overlap sa mga ancestral domain.
    * Nangangailangan ng pagkakatugma sa IPRA upang matiyak na ang mga karapatan ng mga ICC/IP ay isinasaalang-alang sa pamamahala ng protektadong lugar.
**Impl"&amp;"ementing Rules and Regulations (IRR):**
* Ang IPRA IRR (na ibinigay ng NCIP) ay nagbibigay ng mga detalyadong pamamaraan para sa ancestral domain delineation at pagkilala, kabilang ang papel ng mga ICC/IP sa proseso.
* Ang pinagsamang pagpapalabas ng "&amp;"DENR-NCIP ay naglalayong ipagkasundo ang IPRA sa NIPAS upang matiyak ang balanseng diskarte sa konserbasyon at mga karapatan ng ICC/IP.
**Mga Pangunahing Punto para sa Konserbasyon:**
* Ang mga ICC/Katutubong Pamayanan ay may karapatang pangasiwaan "&amp;"at pangalagaan ang kanilang mga ancestral domain batay sa kanilang mga nakaugaliang batas at tradisyon.
* Dapat isaalang-alang ng gobyerno ang mga gawi sa konserbasyon ng mga ICC/Katutubong Pamayanan kapag bumubuo ng mga patakaran at programa para sa mga"&amp;" protektadong lugar. 
* Mahalaga ang FPIC para matiyak ang pakikilahok ng ICC/IP sa mga pagsisikap sa konserbasyon sa loob ng kanilang mga ninuno.
Tandaan, ito ay isang pinasimple na pangkalahatang-ideya. Kung mayroon kang partikular na alalahanin o t"&amp;"anong tungkol sa isang partikular na sitwasyon, pinakamahusay na kumunsulta sa isang abogado na dalubhasa sa mga karapatan ng mga katutubo.
")</f>
        <v>Ang Pilipinas ay may legal na balangkas na kumikilala at nagpoprotekta sa mga karapatan ng mga Katutubong Pamayanang Kultural/Katutubong Pamayanan (ICCs/Katutubong Pamayanan) at kanilang mga ancestral domain. Narito ang isang breakdown ng mga pangunahing probisyon:
**Konstitusyon:**
* **Artikulo XIV, Seksyon 17:** Dapat kilalanin ng Estado ang mga karapatan ng mga ICC/Katutubong Pamayanan sa kanilang mga ancestral domain upang matiyak ang kanilang pang-ekonomiya, panlipunan, at pangkulturang kagalingan. 
* **Artikulo XII, Seksyon 5:** Dapat protektahan ng Estado ang mga karapatan ng mga ICC/Katutubong Pamayanan sa kanilang mga nakagawiang batas na namamahala sa mga karapatan o relasyon sa ari-arian sa pagtukoy sa pagmamay-ari at lawak ng mga ancestral domain.
**Republic Act No. 8371 - Indigenous Peoples' Rights Act (IPRA) ng 1997:**
* **Kabanata III - Mga Karapatan sa Ancestral Domains:** 
    * Tinutukoy ang mga ancestral domain at ancestral lands.
    * Nagtatatag ng proseso para sa delineasyon at pagkilala sa mga ancestral domain.
    * Nagbibigay sa mga ICC/Katutubong Pamayanan ng karapatang bumuo, pamahalaan, at pangalagaan ang kanilang mga ancestral domain. 
    * Inaatasan ang mga ahensya ng gobyerno na makakuha ng Free and Prior Informed Consent (FPIC) mula sa mga ICC/IP bago magsagawa ng mga proyektong makakaapekto sa kanilang mga ancestral domain.
**Ibang Kaugnay na Batas:**
* **National Integrated Protected Areas System (NIPAS) Act (RA No. 7586):**  
    * Nagtatatag ng balangkas para sa mga protektadong lugar, na maaaring mag-overlap sa mga ancestral domain.
    * Nangangailangan ng pagkakatugma sa IPRA upang matiyak na ang mga karapatan ng mga ICC/IP ay isinasaalang-alang sa pamamahala ng protektadong lugar.
**Implementing Rules and Regulations (IRR):**
* Ang IPRA IRR (na ibinigay ng NCIP) ay nagbibigay ng mga detalyadong pamamaraan para sa ancestral domain delineation at pagkilala, kabilang ang papel ng mga ICC/IP sa proseso.
* Ang pinagsamang pagpapalabas ng DENR-NCIP ay naglalayong ipagkasundo ang IPRA sa NIPAS upang matiyak ang balanseng diskarte sa konserbasyon at mga karapatan ng ICC/IP.
**Mga Pangunahing Punto para sa Konserbasyon:**
* Ang mga ICC/Katutubong Pamayanan ay may karapatang pangasiwaan at pangalagaan ang kanilang mga ancestral domain batay sa kanilang mga nakaugaliang batas at tradisyon.
* Dapat isaalang-alang ng gobyerno ang mga gawi sa konserbasyon ng mga ICC/Katutubong Pamayanan kapag bumubuo ng mga patakaran at programa para sa mga protektadong lugar. 
* Mahalaga ang FPIC para matiyak ang pakikilahok ng ICC/IP sa mga pagsisikap sa konserbasyon sa loob ng kanilang mga ninuno.
Tandaan, ito ay isang pinasimple na pangkalahatang-ideya. Kung mayroon kang partikular na alalahanin o tanong tungkol sa isang partikular na sitwasyon, pinakamahusay na kumunsulta sa isang abogado na dalubhasa sa mga karapatan ng mga katutubo.
</v>
      </c>
      <c r="F2990" s="2">
        <f t="shared" si="1"/>
        <v>0</v>
      </c>
      <c r="G2990" s="2"/>
      <c r="H2990" s="2"/>
      <c r="I2990" s="2"/>
      <c r="J2990" s="2"/>
      <c r="K2990" s="2"/>
      <c r="L2990" s="2"/>
      <c r="M2990" s="2"/>
      <c r="N2990" s="2"/>
      <c r="O2990" s="2"/>
      <c r="P2990" s="2"/>
      <c r="Q2990" s="2"/>
      <c r="R2990" s="2"/>
      <c r="S2990" s="2"/>
      <c r="T2990" s="2"/>
      <c r="U2990" s="2"/>
      <c r="V2990" s="2"/>
      <c r="W2990" s="2"/>
      <c r="X2990" s="2"/>
      <c r="Y2990" s="2"/>
      <c r="Z2990" s="2"/>
      <c r="AA2990" s="2"/>
    </row>
    <row r="2991">
      <c r="A2991" s="3" t="s">
        <v>6923</v>
      </c>
      <c r="B2991" s="1" t="s">
        <v>6958</v>
      </c>
      <c r="C2991" s="3" t="s">
        <v>6959</v>
      </c>
      <c r="D2991" s="2" t="str">
        <f>IFERROR(__xludf.DUMMYFUNCTION("GOOGLETRANSLATE(B2991, ""en"", ""TL"")"),"Ipaliwanag ang papel na ginagampanan ng arkeolohiya sa pangangalaga ng pamana ng kultura sa Pilipinas.")</f>
        <v>Ipaliwanag ang papel na ginagampanan ng arkeolohiya sa pangangalaga ng pamana ng kultura sa Pilipinas.</v>
      </c>
      <c r="E2991" s="2" t="str">
        <f>IFERROR(__xludf.DUMMYFUNCTION("GOOGLETRANSLATE(C2991, ""en"", ""TL"")"),"Kinikilala ng batas ng Pilipinas ang kahalagahan ng arkeolohiya sa pangangalaga ng pamana ng kultura. Narito kung paano nag-aambag ang arkeolohiya:
**Pag-unawa sa Nakaraan:**
* **Republic Act No. 10066 - National Cultural Heritage Act of 2009:** Bag"&amp;"ama't hindi tahasang binabanggit ang arkeolohiya, kinikilala ng batas na ito ang kahalagahan ng ""prehistoric at historic cultural properties"" (Seksyon 4) na nasa loob ng archaeological domain.
**Mga Arkeolohikong Aktibidad at Pamanang Kultural:**
"&amp;"* **Walang direktang legal na balangkas na nagbabalangkas sa pagsasagawa ng arkeolohiya na umiiral**. Gayunpaman, ang mga umiiral na batas ay hindi direktang sumusuporta sa mga aktibidad ng arkeolohiko:
    * **Executive Order No. 116, s. 1994 - Paglikha"&amp;" ng National Commission for Culture and the Arts (NCCA):** Ang NCCA, sa pamamagitan ng mga subcommission nito, ay maaaring mangasiwa at sumuporta sa arkeolohikong pananaliksik.
    * **Pambansang Museo:**  
        * Nagsisilbing repositoryo para sa mga"&amp;" archaeological finds (RA 1586).  
        * Nagsasagawa ng mga arkeolohikong pagsisiyasat (batay sa utos nito).
**Kontribusyon ng Arkeolohiya sa Pagpapanatili:**
* **Paghuhukay sa Kasaysayan:** Ang mga archaeological excavations ay nagpapakita ng "&amp;"mga artifact, istruktura, at iba pang mga labi na nagbibigay ng impormasyon tungkol sa mga nakaraang lipunan at kultura. Ang kaalamang ito ay mahalaga sa pag-unawa at pagpapahalaga sa pamana ng Pilipinas.
* **Proteksyon sa Site:** Nakakatulong ang mga ar"&amp;"chaeological survey na kilalanin at irehistro ang mga cultural heritage site, na nagbibigay-daan para sa kanilang legal na proteksyon mula sa pagnanakaw at pagkawasak (RA 10066).
* **Edukasyon at Pampublikong Kamalayan:** Ang mga archaeological na pagtuk"&amp;"las ay maaaring gamitin upang lumikha ng mga eksibit sa museo, mga programang pang-edukasyon, at mga inisyatiba sa pampublikong outreach na nagpapataas ng kamalayan at pagpapahalaga sa pamana ng kultura ng Pilipinas.
* **Pagbibigay-alam sa Mga Proyekto s"&amp;"a Pagpapaunlad:** Ang mga pagtatasa ng arkeolohiko ay maaaring isagawa bago ang mga proyekto sa pagpapaunlad upang mabawasan ang pinsala sa mga mapagkukunang pangkultura. Ito ay umaayon sa diwa ng RA 10066, na nagtataguyod ng pagsasanib ng mga pagsasaalan"&amp;"g-alang sa pamana ng kultura sa pagpaplano ng pag-unlad.
**Mga Hamon at ang Pangangailangan para sa Pakikipagtulungan:**
* Bagama't hindi direktang sinusuportahan ng legal na balangkas ang arkeolohiya, mayroong pangangailangan para sa isang mas komp"&amp;"rehensibong legal na balangkas para sa arkeolohikong kasanayan at pamamahala sa pamana. 
* Ang pakikipagtulungan sa pagitan ng mga arkeologo, ahensya ng gobyerno, at mga lokal na komunidad ay mahalaga para sa epektibong pangangalaga sa pamana ng kultura."&amp;"
Sa pangkalahatan, ang arkeolohiya ay gumaganap ng isang mahalagang papel sa pagsasama-sama ng mayamang kasaysayan ng Pilipinas at pagbibigay-alam sa mga pagsisikap sa pangangalaga sa pamana ng kultura. Gayunpaman, ang isang mas matatag na legal na bal"&amp;"angkas at mas malakas na pakikipagtulungan ay maaaring higit pang palakasin ang tungkuling ito.")</f>
        <v>Kinikilala ng batas ng Pilipinas ang kahalagahan ng arkeolohiya sa pangangalaga ng pamana ng kultura. Narito kung paano nag-aambag ang arkeolohiya:
**Pag-unawa sa Nakaraan:**
* **Republic Act No. 10066 - National Cultural Heritage Act of 2009:** Bagama't hindi tahasang binabanggit ang arkeolohiya, kinikilala ng batas na ito ang kahalagahan ng "prehistoric at historic cultural properties" (Seksyon 4) na nasa loob ng archaeological domain.
**Mga Arkeolohikong Aktibidad at Pamanang Kultural:**
* **Walang direktang legal na balangkas na nagbabalangkas sa pagsasagawa ng arkeolohiya na umiiral**. Gayunpaman, ang mga umiiral na batas ay hindi direktang sumusuporta sa mga aktibidad ng arkeolohiko:
    * **Executive Order No. 116, s. 1994 - Paglikha ng National Commission for Culture and the Arts (NCCA):** Ang NCCA, sa pamamagitan ng mga subcommission nito, ay maaaring mangasiwa at sumuporta sa arkeolohikong pananaliksik.
    * **Pambansang Museo:**  
        * Nagsisilbing repositoryo para sa mga archaeological finds (RA 1586).  
        * Nagsasagawa ng mga arkeolohikong pagsisiyasat (batay sa utos nito).
**Kontribusyon ng Arkeolohiya sa Pagpapanatili:**
* **Paghuhukay sa Kasaysayan:** Ang mga archaeological excavations ay nagpapakita ng mga artifact, istruktura, at iba pang mga labi na nagbibigay ng impormasyon tungkol sa mga nakaraang lipunan at kultura. Ang kaalamang ito ay mahalaga sa pag-unawa at pagpapahalaga sa pamana ng Pilipinas.
* **Proteksyon sa Site:** Nakakatulong ang mga archaeological survey na kilalanin at irehistro ang mga cultural heritage site, na nagbibigay-daan para sa kanilang legal na proteksyon mula sa pagnanakaw at pagkawasak (RA 10066).
* **Edukasyon at Pampublikong Kamalayan:** Ang mga archaeological na pagtuklas ay maaaring gamitin upang lumikha ng mga eksibit sa museo, mga programang pang-edukasyon, at mga inisyatiba sa pampublikong outreach na nagpapataas ng kamalayan at pagpapahalaga sa pamana ng kultura ng Pilipinas.
* **Pagbibigay-alam sa Mga Proyekto sa Pagpapaunlad:** Ang mga pagtatasa ng arkeolohiko ay maaaring isagawa bago ang mga proyekto sa pagpapaunlad upang mabawasan ang pinsala sa mga mapagkukunang pangkultura. Ito ay umaayon sa diwa ng RA 10066, na nagtataguyod ng pagsasanib ng mga pagsasaalang-alang sa pamana ng kultura sa pagpaplano ng pag-unlad.
**Mga Hamon at ang Pangangailangan para sa Pakikipagtulungan:**
* Bagama't hindi direktang sinusuportahan ng legal na balangkas ang arkeolohiya, mayroong pangangailangan para sa isang mas komprehensibong legal na balangkas para sa arkeolohikong kasanayan at pamamahala sa pamana. 
* Ang pakikipagtulungan sa pagitan ng mga arkeologo, ahensya ng gobyerno, at mga lokal na komunidad ay mahalaga para sa epektibong pangangalaga sa pamana ng kultura.
Sa pangkalahatan, ang arkeolohiya ay gumaganap ng isang mahalagang papel sa pagsasama-sama ng mayamang kasaysayan ng Pilipinas at pagbibigay-alam sa mga pagsisikap sa pangangalaga sa pamana ng kultura. Gayunpaman, ang isang mas matatag na legal na balangkas at mas malakas na pakikipagtulungan ay maaaring higit pang palakasin ang tungkuling ito.</v>
      </c>
      <c r="F2991" s="2">
        <f t="shared" si="1"/>
        <v>0</v>
      </c>
      <c r="G2991" s="2"/>
      <c r="H2991" s="2"/>
      <c r="I2991" s="2"/>
      <c r="J2991" s="2"/>
      <c r="K2991" s="2"/>
      <c r="L2991" s="2"/>
      <c r="M2991" s="2"/>
      <c r="N2991" s="2"/>
      <c r="O2991" s="2"/>
      <c r="P2991" s="2"/>
      <c r="Q2991" s="2"/>
      <c r="R2991" s="2"/>
      <c r="S2991" s="2"/>
      <c r="T2991" s="2"/>
      <c r="U2991" s="2"/>
      <c r="V2991" s="2"/>
      <c r="W2991" s="2"/>
      <c r="X2991" s="2"/>
      <c r="Y2991" s="2"/>
      <c r="Z2991" s="2"/>
      <c r="AA2991" s="2"/>
    </row>
    <row r="2992">
      <c r="A2992" s="3" t="s">
        <v>6923</v>
      </c>
      <c r="B2992" s="1" t="s">
        <v>6960</v>
      </c>
      <c r="C2992" s="3" t="s">
        <v>6961</v>
      </c>
      <c r="D2992" s="2" t="str">
        <f>IFERROR(__xludf.DUMMYFUNCTION("GOOGLETRANSLATE(B2992, ""en"", ""TL"")"),"Isa-isahin ang mga pamantayan para sa pagtukoy sa kahalagahan ng isang kultural na ari-arian.")</f>
        <v>Isa-isahin ang mga pamantayan para sa pagtukoy sa kahalagahan ng isang kultural na ari-arian.</v>
      </c>
      <c r="E2992" s="2" t="str">
        <f>IFERROR(__xludf.DUMMYFUNCTION("GOOGLETRANSLATE(C2992, ""en"", ""TL"")"),"Ang batas ng Pilipinas ay hindi nagbibigay ng isa, opisyal na listahan ng mga pamantayan para sa pagtukoy sa kahalagahan ng isang kultural na ari-arian. Gayunpaman, ang National Cultural Heritage Act (RA 10066) at ang National Commission for Culture and t"&amp;"he Arts (NCCA) ay nag-aalok ng ilang gabay:
**National Cultural Heritage Act (RA 10066):**
* **Seksyon 4:** Tinutukoy ang mga kategorya ng mga kultural na ari-arian, kabilang ang:
    * Mga site at istruktura na may kahalagahang pangkasaysayan, kul"&amp;"tural, panlipunan, o aesthetic.
    * Movable cultural property na may pambihirang artistikong, historikal, o kultural na halaga.
    * Nakalubog na mga kultural na katangian.
    * Hindi nasasalat na mga katangiang pangkultura tulad ng tradisyonal na "&amp;"kaalaman, kasanayan, at alamat.
**Mga Alituntunin ng NCCA (maaaring hindi tahasang ipinag-uutos ng batas):**
* Makasaysayang kahalagahan: Pag-uugnay sa mahahalagang pangyayari o tao sa kasaysayan.
* Kahalagahang kultural: Sinasalamin o kinakatawan "&amp;"ang mga tradisyon, paniniwala, at gawi ng isang partikular na komunidad.
* Kahalagahan sa lipunan: May halaga para sa isang partikular na komunidad o grupo.
* Aesthetic significance: Nagtataglay ng pambihirang artistic o architectural merito.
* Scienti"&amp;"fic significance: Nag-aalok ng mahalagang impormasyon tungkol sa nakaraan o natural na mundo.
* Rarity at Authenticity: Gaano katangi at tunay ang property.
**Mga Karagdagang Pagsasaalang-alang:**
* **Pagkilala sa Komunidad:** Paano tinitingnan at "&amp;"pinahahalagahan ng lokal na komunidad ang ari-arian.
* **Integridad:** Ang pagkakumpleto at pangkalahatang estado ng pangangalaga ng ari-arian.
* **Konteksto:** Paano nauugnay ang property sa nakapalibot na kapaligiran nito at makasaysayang konteksto.
"&amp;"
Mahalagang tandaan na ang mga ito ay hindi ganap na pamantayan, at ang kahalagahan ng isang kultural na ari-arian ay maaaring matukoy batay sa kumbinasyon ng mga salik na ito. Sa huli, ang NCCA, sa tulong ng mga eksperto at may-katuturang stakeholder, a"&amp;"y gumagawa ng panghuling desisyon sa pagtatalaga ng isang kultural na ari-arian.
")</f>
        <v>Ang batas ng Pilipinas ay hindi nagbibigay ng isa, opisyal na listahan ng mga pamantayan para sa pagtukoy sa kahalagahan ng isang kultural na ari-arian. Gayunpaman, ang National Cultural Heritage Act (RA 10066) at ang National Commission for Culture and the Arts (NCCA) ay nag-aalok ng ilang gabay:
**National Cultural Heritage Act (RA 10066):**
* **Seksyon 4:** Tinutukoy ang mga kategorya ng mga kultural na ari-arian, kabilang ang:
    * Mga site at istruktura na may kahalagahang pangkasaysayan, kultural, panlipunan, o aesthetic.
    * Movable cultural property na may pambihirang artistikong, historikal, o kultural na halaga.
    * Nakalubog na mga kultural na katangian.
    * Hindi nasasalat na mga katangiang pangkultura tulad ng tradisyonal na kaalaman, kasanayan, at alamat.
**Mga Alituntunin ng NCCA (maaaring hindi tahasang ipinag-uutos ng batas):**
* Makasaysayang kahalagahan: Pag-uugnay sa mahahalagang pangyayari o tao sa kasaysayan.
* Kahalagahang kultural: Sinasalamin o kinakatawan ang mga tradisyon, paniniwala, at gawi ng isang partikular na komunidad.
* Kahalagahan sa lipunan: May halaga para sa isang partikular na komunidad o grupo.
* Aesthetic significance: Nagtataglay ng pambihirang artistic o architectural merito.
* Scientific significance: Nag-aalok ng mahalagang impormasyon tungkol sa nakaraan o natural na mundo.
* Rarity at Authenticity: Gaano katangi at tunay ang property.
**Mga Karagdagang Pagsasaalang-alang:**
* **Pagkilala sa Komunidad:** Paano tinitingnan at pinahahalagahan ng lokal na komunidad ang ari-arian.
* **Integridad:** Ang pagkakumpleto at pangkalahatang estado ng pangangalaga ng ari-arian.
* **Konteksto:** Paano nauugnay ang property sa nakapalibot na kapaligiran nito at makasaysayang konteksto.
Mahalagang tandaan na ang mga ito ay hindi ganap na pamantayan, at ang kahalagahan ng isang kultural na ari-arian ay maaaring matukoy batay sa kumbinasyon ng mga salik na ito. Sa huli, ang NCCA, sa tulong ng mga eksperto at may-katuturang stakeholder, ay gumagawa ng panghuling desisyon sa pagtatalaga ng isang kultural na ari-arian.
</v>
      </c>
      <c r="F2992" s="2">
        <f t="shared" si="1"/>
        <v>0</v>
      </c>
      <c r="G2992" s="2"/>
      <c r="H2992" s="2"/>
      <c r="I2992" s="2"/>
      <c r="J2992" s="2"/>
      <c r="K2992" s="2"/>
      <c r="L2992" s="2"/>
      <c r="M2992" s="2"/>
      <c r="N2992" s="2"/>
      <c r="O2992" s="2"/>
      <c r="P2992" s="2"/>
      <c r="Q2992" s="2"/>
      <c r="R2992" s="2"/>
      <c r="S2992" s="2"/>
      <c r="T2992" s="2"/>
      <c r="U2992" s="2"/>
      <c r="V2992" s="2"/>
      <c r="W2992" s="2"/>
      <c r="X2992" s="2"/>
      <c r="Y2992" s="2"/>
      <c r="Z2992" s="2"/>
      <c r="AA2992" s="2"/>
    </row>
    <row r="2993">
      <c r="A2993" s="3" t="s">
        <v>6923</v>
      </c>
      <c r="B2993" s="1" t="s">
        <v>6962</v>
      </c>
      <c r="C2993" s="3" t="s">
        <v>6963</v>
      </c>
      <c r="D2993" s="2" t="str">
        <f>IFERROR(__xludf.DUMMYFUNCTION("GOOGLETRANSLATE(B2993, ""en"", ""TL"")"),"Talakayin ang mga legal na mekanismo para sa pagpapauwi ng mga kultural na artifact sa Pilipinas.")</f>
        <v>Talakayin ang mga legal na mekanismo para sa pagpapauwi ng mga kultural na artifact sa Pilipinas.</v>
      </c>
      <c r="E2993" s="2" t="str">
        <f>IFERROR(__xludf.DUMMYFUNCTION("GOOGLETRANSLATE(C2993, ""en"", ""TL"")"),"Ang batas ng Pilipinas ay walang iisang komprehensibong legal na balangkas na nakatuon lamang sa pagpapauwi ng mga kultural na artifact. Gayunpaman, may mga umiiral na legal na mekanismo at internasyonal na kombensiyon na maaaring gamitin upang ituloy ang"&amp;" mga paghahabol sa repatriation:
**National Cultural Heritage Act (RA 10066):**
* **Seksyon 13:** Ang Estado ay dapat magsikap na mabawi ang ilegal na nai-export na mga kultural na ari-arian.
* **Seksyon 14:** Ang NCCA, sa pakikipag-ugnayan sa iban"&amp;"g mga ahensya ng gobyerno, ay maaaring makipag-ayos para sa pagbabalik ng mga iligal na nakuhang kultural na ari-arian. 
**Mga Internasyonal na Kombensiyon:**
* **UNESCO Convention on the Means of Prohibiting and Preventing the Illicit Import, Expor"&amp;"t and Transfer of Ownership of Cultural Property (1970):** Ang Pilipinas ay lumagda sa kumbensyong ito, na naglalayong labanan ang ilegal na kalakalan ng mga bagay na pangkultura.
* **UNIDROIT Convention on Stolen or Illegally Exported Cultural Objects ("&amp;"1995):** Bagama't hindi niratipikahan ng Pilipinas, ang kumbensyong ito ay nagbibigay ng balangkas para sa pagbabalik o pagsasauli ng mga ninakaw na kultural na artifact.
**Mga Hamon at Pagsasaalang-alang:**
* **Burden of Proof:** Dapat patunayan ng"&amp;" Pilipinas ang pagmamay-ari o legal na pag-export ng artifact. 
* **Mahabang Legal na Proseso:** Ang mga claim sa repatriation ay maaaring tumagal ng maraming taon upang malutas.
* **Pagbili ng Mabuting Pananampalataya:** May mga kahirapan kung nakuha n"&amp;"g kasalukuyang may hawak ang artifact nang may mabuting hangarin.
**Mga Alternatibong Pamamaraan:**
* **Cultural Exchange Agreements:** Negotiating agreement sa mga institusyong may hawak ng Philippine artifacts para mapadali ang mga loan, exhibit, "&amp;"o joint research projects.
* **Digital Repatriation:** Paggawa ng mga digital na kopya ng mataas na resolution ng mga artifact para sa pananaliksik at mga layuning pang-edukasyon sa Pilipinas.
**Ang Papel ng mga Abogado at Internasyonal na Kooperasyon"&amp;":**
* Ang mga abogadong nag-specialize sa cultural heritage law ay maaaring maging mahalaga sa pag-navigate sa mga legal na kumplikado ng mga paghahabol sa repatriation.
* Ang pakikipagtulungan sa mga internasyonal na ahensyang nagpapatupad ng batas a"&amp;"t may-katuturang awtoridad sa ibang mga bansa ay mahalaga upang masubaybayan at mabawi ang mga ilegal na na-export na artifact.
**Konklusyon:**
Ang pagbabalik ng mga kultural na artifact sa Pilipinas ay isang kumplikadong isyu na may parehong legal "&amp;"at kultural na kahalagahan.  Bagama't wala pang nakatuong legal na balangkas para sa repatriation, maaaring gamitin ang kumbinasyon ng mga umiiral na batas, internasyonal na kombensiyon, at madiskarteng paraan upang ituloy ang mga paghahabol na ito. 
")</f>
        <v>Ang batas ng Pilipinas ay walang iisang komprehensibong legal na balangkas na nakatuon lamang sa pagpapauwi ng mga kultural na artifact. Gayunpaman, may mga umiiral na legal na mekanismo at internasyonal na kombensiyon na maaaring gamitin upang ituloy ang mga paghahabol sa repatriation:
**National Cultural Heritage Act (RA 10066):**
* **Seksyon 13:** Ang Estado ay dapat magsikap na mabawi ang ilegal na nai-export na mga kultural na ari-arian.
* **Seksyon 14:** Ang NCCA, sa pakikipag-ugnayan sa ibang mga ahensya ng gobyerno, ay maaaring makipag-ayos para sa pagbabalik ng mga iligal na nakuhang kultural na ari-arian. 
**Mga Internasyonal na Kombensiyon:**
* **UNESCO Convention on the Means of Prohibiting and Preventing the Illicit Import, Export and Transfer of Ownership of Cultural Property (1970):** Ang Pilipinas ay lumagda sa kumbensyong ito, na naglalayong labanan ang ilegal na kalakalan ng mga bagay na pangkultura.
* **UNIDROIT Convention on Stolen or Illegally Exported Cultural Objects (1995):** Bagama't hindi niratipikahan ng Pilipinas, ang kumbensyong ito ay nagbibigay ng balangkas para sa pagbabalik o pagsasauli ng mga ninakaw na kultural na artifact.
**Mga Hamon at Pagsasaalang-alang:**
* **Burden of Proof:** Dapat patunayan ng Pilipinas ang pagmamay-ari o legal na pag-export ng artifact. 
* **Mahabang Legal na Proseso:** Ang mga claim sa repatriation ay maaaring tumagal ng maraming taon upang malutas.
* **Pagbili ng Mabuting Pananampalataya:** May mga kahirapan kung nakuha ng kasalukuyang may hawak ang artifact nang may mabuting hangarin.
**Mga Alternatibong Pamamaraan:**
* **Cultural Exchange Agreements:** Negotiating agreement sa mga institusyong may hawak ng Philippine artifacts para mapadali ang mga loan, exhibit, o joint research projects.
* **Digital Repatriation:** Paggawa ng mga digital na kopya ng mataas na resolution ng mga artifact para sa pananaliksik at mga layuning pang-edukasyon sa Pilipinas.
**Ang Papel ng mga Abogado at Internasyonal na Kooperasyon:**
* Ang mga abogadong nag-specialize sa cultural heritage law ay maaaring maging mahalaga sa pag-navigate sa mga legal na kumplikado ng mga paghahabol sa repatriation.
* Ang pakikipagtulungan sa mga internasyonal na ahensyang nagpapatupad ng batas at may-katuturang awtoridad sa ibang mga bansa ay mahalaga upang masubaybayan at mabawi ang mga ilegal na na-export na artifact.
**Konklusyon:**
Ang pagbabalik ng mga kultural na artifact sa Pilipinas ay isang kumplikadong isyu na may parehong legal at kultural na kahalagahan.  Bagama't wala pang nakatuong legal na balangkas para sa repatriation, maaaring gamitin ang kumbinasyon ng mga umiiral na batas, internasyonal na kombensiyon, at madiskarteng paraan upang ituloy ang mga paghahabol na ito. 
</v>
      </c>
      <c r="F2993" s="2">
        <f t="shared" si="1"/>
        <v>0</v>
      </c>
      <c r="G2993" s="2"/>
      <c r="H2993" s="2"/>
      <c r="I2993" s="2"/>
      <c r="J2993" s="2"/>
      <c r="K2993" s="2"/>
      <c r="L2993" s="2"/>
      <c r="M2993" s="2"/>
      <c r="N2993" s="2"/>
      <c r="O2993" s="2"/>
      <c r="P2993" s="2"/>
      <c r="Q2993" s="2"/>
      <c r="R2993" s="2"/>
      <c r="S2993" s="2"/>
      <c r="T2993" s="2"/>
      <c r="U2993" s="2"/>
      <c r="V2993" s="2"/>
      <c r="W2993" s="2"/>
      <c r="X2993" s="2"/>
      <c r="Y2993" s="2"/>
      <c r="Z2993" s="2"/>
      <c r="AA2993" s="2"/>
    </row>
    <row r="2994">
      <c r="A2994" s="3" t="s">
        <v>6923</v>
      </c>
      <c r="B2994" s="1" t="s">
        <v>6964</v>
      </c>
      <c r="C2994" s="3" t="s">
        <v>6965</v>
      </c>
      <c r="D2994" s="2" t="str">
        <f>IFERROR(__xludf.DUMMYFUNCTION("GOOGLETRANSLATE(B2994, ""en"", ""TL"")"),"Paano nakakatulong ang Pambansang Museo sa mga pagsisikap sa pangangalaga ng pamana ng kultura?")</f>
        <v>Paano nakakatulong ang Pambansang Museo sa mga pagsisikap sa pangangalaga ng pamana ng kultura?</v>
      </c>
      <c r="E2994" s="2" t="str">
        <f>IFERROR(__xludf.DUMMYFUNCTION("GOOGLETRANSLATE(C2994, ""en"", ""TL"")"),"Ang Pambansang Museo ng Pilipinas ay gumaganap ng isang mahalagang papel sa mga pagsisikap sa pangangalaga ng pamana ng kultura sa pamamagitan ng iba't ibang mga tungkulin na ipinag-uutos ng batas:
**Legal na Utos:**
* **Republic Act No. 10066 (National C"&amp;"ultural Heritage Act of 2009):** Itinalaga ng batas na ito ang National Museum bilang ""pangunahing institusyon ng Estado para sa pamamahala at pagpapaunlad ng mga museo at mga koleksyon ng pambansang saklaw o kahalagahan sa mga lugar ng pamana ng kultura"&amp;""" [1].
**Mga Pangunahing Lugar ng Kontribusyon:**
* **Pamamahala ng Koleksyon:** Pinoprotektahan ng Pambansang Museo ang isang malawak na koleksyon ng mga artifact, likhang sining, at mga bagay na pangkultura. Gumagamit sila ng wastong mga pamamaraan ng "&amp;"konserbasyon upang mapanatili ang mga bagay na ito para sa mga susunod na henerasyon [2].
* **Pananaliksik at Dokumentasyon:** Ang museo ay nagsasagawa ng malawak na pananaliksik sa kasaysayan, arkeolohiya, antropolohiya, at sining ng Pilipinas. Ang panan"&amp;"aliksik na ito ay nag-aambag sa mas malalim na pag-unawa at pagpapahalaga sa pamana ng kultura ng bansa [2].
* **Exhibition and Public Outreach:** Ang National Museum ay nag-curate ng mga exhibit na nagpapakita ng iba't ibang aspeto ng kultura at kasaysay"&amp;"an ng Pilipinas. Ang mga eksibit na ito ay nagtuturo sa publiko at nagpapataas ng kamalayan tungkol sa kahalagahan ng pangangalaga sa pamana ng kultura [2].
* **Pagtataguyod at Pagbuo ng Kapasidad:** Ang museo ay nagtataguyod para sa proteksyon ng mga cul"&amp;"tural heritage site at nagpo-promote ng pinakamahuhusay na kagawian sa konserbasyon. Nag-aalok din sila ng mga programa sa pagsasanay upang bigyan ang mga institusyong pangkultura at komunidad ng mga kasanayang kinakailangan upang mapanatili ang kanilang "&amp;"sariling pamana [2].
**Mga Tukoy na Halimbawa:**
* **Pambansang Rehistro ng Kultural na Ari-arian:** Ang museo ay nagpapanatili ng isang pambansang rehistro ng mahahalagang kultural na ari-arian, na tumutulong upang matukoy at idokumento ang mga pamana ng"&amp;" mga site at bagay na nangangailangan ng proteksyon [3].
* **Mga Arkeolohikal na Programa:** Ang Pambansang Museo ay nagsasagawa ng mga arkeolohikal na paghuhukay at pananaliksik upang matuklasan at mapanatili ang mga labi ng nakaraan ng Pilipinas [2].
* "&amp;"**Intangible Cultural Heritage (ICH):** Kinikilala at dinodokumento ng museo ang mga elemento ng hindi nasasalat na pamana ng kultura tulad ng mga tradisyunal na sining, sining ng pagtatanghal, at mga sistema ng katutubong kaalaman [4]. **Pangkalahatang E"&amp;"pekto:**
Ang gawain ng Pambansang Museo ay napakahalaga para sa pangangalaga at pagtataguyod ng pamana ng kultura ng Pilipinas. Sa pamamagitan ng pag-iingat ng mga artifact, pagpapaunlad ng pananaliksik, at pagpapataas ng kamalayan ng publiko, tinutulunga"&amp;"n ng museo na matiyak na ang mayamang tradisyon ng kultura ng Pilipinas ay maipapasa sa mga susunod na henerasyon.
Narito ang ilang karagdagang mapagkukunan:
* Pambansang Museo ng Pilipinas: [https://www.nationalmuseum.gov.ph/](https://www.nationalmuseum."&amp;"gov.ph/)
* Pambansang Rehistro ng Cultural Property: [https://www.nationalmuseum.gov.ph/](https://www.nationalmuseum.gov.ph/)
* Intangible Cultural Heritage of the Philippines: [https://www.nationalmuseum.gov.ph/](https://www.nationalmuseum.gov.ph/)")</f>
        <v>Ang Pambansang Museo ng Pilipinas ay gumaganap ng isang mahalagang papel sa mga pagsisikap sa pangangalaga ng pamana ng kultura sa pamamagitan ng iba't ibang mga tungkulin na ipinag-uutos ng batas:
**Legal na Utos:**
* **Republic Act No. 10066 (National Cultural Heritage Act of 2009):** Itinalaga ng batas na ito ang National Museum bilang "pangunahing institusyon ng Estado para sa pamamahala at pagpapaunlad ng mga museo at mga koleksyon ng pambansang saklaw o kahalagahan sa mga lugar ng pamana ng kultura" [1].
**Mga Pangunahing Lugar ng Kontribusyon:**
* **Pamamahala ng Koleksyon:** Pinoprotektahan ng Pambansang Museo ang isang malawak na koleksyon ng mga artifact, likhang sining, at mga bagay na pangkultura. Gumagamit sila ng wastong mga pamamaraan ng konserbasyon upang mapanatili ang mga bagay na ito para sa mga susunod na henerasyon [2].
* **Pananaliksik at Dokumentasyon:** Ang museo ay nagsasagawa ng malawak na pananaliksik sa kasaysayan, arkeolohiya, antropolohiya, at sining ng Pilipinas. Ang pananaliksik na ito ay nag-aambag sa mas malalim na pag-unawa at pagpapahalaga sa pamana ng kultura ng bansa [2].
* **Exhibition and Public Outreach:** Ang National Museum ay nag-curate ng mga exhibit na nagpapakita ng iba't ibang aspeto ng kultura at kasaysayan ng Pilipinas. Ang mga eksibit na ito ay nagtuturo sa publiko at nagpapataas ng kamalayan tungkol sa kahalagahan ng pangangalaga sa pamana ng kultura [2].
* **Pagtataguyod at Pagbuo ng Kapasidad:** Ang museo ay nagtataguyod para sa proteksyon ng mga cultural heritage site at nagpo-promote ng pinakamahuhusay na kagawian sa konserbasyon. Nag-aalok din sila ng mga programa sa pagsasanay upang bigyan ang mga institusyong pangkultura at komunidad ng mga kasanayang kinakailangan upang mapanatili ang kanilang sariling pamana [2].
**Mga Tukoy na Halimbawa:**
* **Pambansang Rehistro ng Kultural na Ari-arian:** Ang museo ay nagpapanatili ng isang pambansang rehistro ng mahahalagang kultural na ari-arian, na tumutulong upang matukoy at idokumento ang mga pamana ng mga site at bagay na nangangailangan ng proteksyon [3].
* **Mga Arkeolohikal na Programa:** Ang Pambansang Museo ay nagsasagawa ng mga arkeolohikal na paghuhukay at pananaliksik upang matuklasan at mapanatili ang mga labi ng nakaraan ng Pilipinas [2].
* **Intangible Cultural Heritage (ICH):** Kinikilala at dinodokumento ng museo ang mga elemento ng hindi nasasalat na pamana ng kultura tulad ng mga tradisyunal na sining, sining ng pagtatanghal, at mga sistema ng katutubong kaalaman [4]. **Pangkalahatang Epekto:**
Ang gawain ng Pambansang Museo ay napakahalaga para sa pangangalaga at pagtataguyod ng pamana ng kultura ng Pilipinas. Sa pamamagitan ng pag-iingat ng mga artifact, pagpapaunlad ng pananaliksik, at pagpapataas ng kamalayan ng publiko, tinutulungan ng museo na matiyak na ang mayamang tradisyon ng kultura ng Pilipinas ay maipapasa sa mga susunod na henerasyon.
Narito ang ilang karagdagang mapagkukunan:
* Pambansang Museo ng Pilipinas: [https://www.nationalmuseum.gov.ph/](https://www.nationalmuseum.gov.ph/)
* Pambansang Rehistro ng Cultural Property: [https://www.nationalmuseum.gov.ph/](https://www.nationalmuseum.gov.ph/)
* Intangible Cultural Heritage of the Philippines: [https://www.nationalmuseum.gov.ph/](https://www.nationalmuseum.gov.ph/)</v>
      </c>
      <c r="F2994" s="2">
        <f t="shared" si="1"/>
        <v>0</v>
      </c>
      <c r="G2994" s="2"/>
      <c r="H2994" s="2"/>
      <c r="I2994" s="2"/>
      <c r="J2994" s="2"/>
      <c r="K2994" s="2"/>
      <c r="L2994" s="2"/>
      <c r="M2994" s="2"/>
      <c r="N2994" s="2"/>
      <c r="O2994" s="2"/>
      <c r="P2994" s="2"/>
      <c r="Q2994" s="2"/>
      <c r="R2994" s="2"/>
      <c r="S2994" s="2"/>
      <c r="T2994" s="2"/>
      <c r="U2994" s="2"/>
      <c r="V2994" s="2"/>
      <c r="W2994" s="2"/>
      <c r="X2994" s="2"/>
      <c r="Y2994" s="2"/>
      <c r="Z2994" s="2"/>
      <c r="AA2994" s="2"/>
    </row>
    <row r="2995">
      <c r="A2995" s="3" t="s">
        <v>6923</v>
      </c>
      <c r="B2995" s="1" t="s">
        <v>6966</v>
      </c>
      <c r="C2995" s="3" t="s">
        <v>6967</v>
      </c>
      <c r="D2995" s="2" t="str">
        <f>IFERROR(__xludf.DUMMYFUNCTION("GOOGLETRANSLATE(B2995, ""en"", ""TL"")"),"Tukuyin ang terminong ""heritage conservation area"" ayon sa kahulugan ng batas ng Pilipinas.")</f>
        <v>Tukuyin ang terminong "heritage conservation area" ayon sa kahulugan ng batas ng Pilipinas.</v>
      </c>
      <c r="E2995" s="2" t="str">
        <f>IFERROR(__xludf.DUMMYFUNCTION("GOOGLETRANSLATE(C2995, ""en"", ""TL"")"),"Ang terminong ""heritage conservation area"" ay hindi malinaw na tinukoy sa kasalukuyang pambansang batas ng Pilipinas. Bagama't ang Pilipinas ay may matatag na legal na balangkas para sa pangangalaga ng pamana ng kultura, ang konsepto ng mga itinalagang "&amp;"""heritage conservation areas"" ay wala sa mga pangunahing batas tulad ng National Cultural Heritage Act (RA No. 10066).
Gayunpaman, may mga kaugnay na konsepto na nakakamit ng ilang katulad na layunin:
* **Pambansang Kayamanan ng Kultura:** Tinutukoy at "&amp;"pinoprotektahan ng RA No. 10066 ang ""mahahalagang pag-aari ng kultura"" na maaaring kabilang ang mga hindi natitinag tulad ng mga makasaysayang gusali, archaeological site, at istruktura. Ang mga itinalagang ari-arian na ito ay tumatanggap ng antas ng le"&amp;"gal na proteksyon at mga paghihigpit sa pagbabago [1].
* **Heritage Zones:** Bagama't hindi tahasang tinatawag na ""conservation areas,"" pinapayagan ng RA No. 10066 ang National Museum at/o ang National Historical Institute na magdeklara ng ""heritage zo"&amp;"nes."" Ang mga sonang ito ay sumasaklaw sa makasaysayan, antropolohikal, arkeolohiko, masining, at heograpikal na mga lugar na may kahalagahang pangkultura [1]. Habang ang mga detalye sa pamamahala sa mga zone na ito ay limitado sa loob ng batas, nilalayo"&amp;"n nilang isulong ang pangangalaga ng pamana sa loob ng isang partikular na heyograpikong lugar. * **Mga Ordinansa ng Local Government Unit (LGU):** Ang Kodigo ng Lokal na Pamahalaan (RA No. 7160) ay nagbibigay ng kapangyarihan sa mga LGU na magpatibay ng "&amp;"mga ordinansa para sa pangangalaga sa kapaligiran at pangangalaga ng kultura sa loob ng kanilang mga nasasakupan. Ang ilang mga LGU ay maaaring nagtatag ng mga ordinansa na lumilikha ng mga itinalagang lugar na pamana na may mga tiyak na regulasyon sa pag"&amp;"-unlad at mga aktibidad sa loob ng mga sonang iyon [2].
**Konklusyon:**
Bagama't walang iisang legal na kahulugan para sa ""heritage conservation area"" sa pambansang batas ng Pilipinas, ang mga konsepto ng National Cultural Treasures, Heritage Zones, at "&amp;"LGU ordinance ay nakakamit ng ilang katulad na layunin. Gumagana ang mga hakbang na ito upang protektahan at pamahalaan ang mga lugar na may makabuluhang halaga ng pamana sa kultura.")</f>
        <v>Ang terminong "heritage conservation area" ay hindi malinaw na tinukoy sa kasalukuyang pambansang batas ng Pilipinas. Bagama't ang Pilipinas ay may matatag na legal na balangkas para sa pangangalaga ng pamana ng kultura, ang konsepto ng mga itinalagang "heritage conservation areas" ay wala sa mga pangunahing batas tulad ng National Cultural Heritage Act (RA No. 10066).
Gayunpaman, may mga kaugnay na konsepto na nakakamit ng ilang katulad na layunin:
* **Pambansang Kayamanan ng Kultura:** Tinutukoy at pinoprotektahan ng RA No. 10066 ang "mahahalagang pag-aari ng kultura" na maaaring kabilang ang mga hindi natitinag tulad ng mga makasaysayang gusali, archaeological site, at istruktura. Ang mga itinalagang ari-arian na ito ay tumatanggap ng antas ng legal na proteksyon at mga paghihigpit sa pagbabago [1].
* **Heritage Zones:** Bagama't hindi tahasang tinatawag na "conservation areas," pinapayagan ng RA No. 10066 ang National Museum at/o ang National Historical Institute na magdeklara ng "heritage zones." Ang mga sonang ito ay sumasaklaw sa makasaysayan, antropolohikal, arkeolohiko, masining, at heograpikal na mga lugar na may kahalagahang pangkultura [1]. Habang ang mga detalye sa pamamahala sa mga zone na ito ay limitado sa loob ng batas, nilalayon nilang isulong ang pangangalaga ng pamana sa loob ng isang partikular na heyograpikong lugar. * **Mga Ordinansa ng Local Government Unit (LGU):** Ang Kodigo ng Lokal na Pamahalaan (RA No. 7160) ay nagbibigay ng kapangyarihan sa mga LGU na magpatibay ng mga ordinansa para sa pangangalaga sa kapaligiran at pangangalaga ng kultura sa loob ng kanilang mga nasasakupan. Ang ilang mga LGU ay maaaring nagtatag ng mga ordinansa na lumilikha ng mga itinalagang lugar na pamana na may mga tiyak na regulasyon sa pag-unlad at mga aktibidad sa loob ng mga sonang iyon [2].
**Konklusyon:**
Bagama't walang iisang legal na kahulugan para sa "heritage conservation area" sa pambansang batas ng Pilipinas, ang mga konsepto ng National Cultural Treasures, Heritage Zones, at LGU ordinance ay nakakamit ng ilang katulad na layunin. Gumagana ang mga hakbang na ito upang protektahan at pamahalaan ang mga lugar na may makabuluhang halaga ng pamana sa kultura.</v>
      </c>
      <c r="F2995" s="2">
        <f t="shared" si="1"/>
        <v>0</v>
      </c>
      <c r="G2995" s="2"/>
      <c r="H2995" s="2"/>
      <c r="I2995" s="2"/>
      <c r="J2995" s="2"/>
      <c r="K2995" s="2"/>
      <c r="L2995" s="2"/>
      <c r="M2995" s="2"/>
      <c r="N2995" s="2"/>
      <c r="O2995" s="2"/>
      <c r="P2995" s="2"/>
      <c r="Q2995" s="2"/>
      <c r="R2995" s="2"/>
      <c r="S2995" s="2"/>
      <c r="T2995" s="2"/>
      <c r="U2995" s="2"/>
      <c r="V2995" s="2"/>
      <c r="W2995" s="2"/>
      <c r="X2995" s="2"/>
      <c r="Y2995" s="2"/>
      <c r="Z2995" s="2"/>
      <c r="AA2995" s="2"/>
    </row>
    <row r="2996">
      <c r="A2996" s="3" t="s">
        <v>6923</v>
      </c>
      <c r="B2996" s="1" t="s">
        <v>6968</v>
      </c>
      <c r="C2996" s="3" t="s">
        <v>6969</v>
      </c>
      <c r="D2996" s="2" t="str">
        <f>IFERROR(__xludf.DUMMYFUNCTION("GOOGLETRANSLATE(B2996, ""en"", ""TL"")"),"Talakayin ang mga legal na probisyon na nagpoprotekta sa mga heritage tree sa Pilipinas.")</f>
        <v>Talakayin ang mga legal na probisyon na nagpoprotekta sa mga heritage tree sa Pilipinas.</v>
      </c>
      <c r="E2996" s="2" t="str">
        <f>IFERROR(__xludf.DUMMYFUNCTION("GOOGLETRANSLATE(C2996, ""en"", ""TL"")"),"Bagama't walang isa, komprehensibong batas na nakatuon lamang sa mga heritage tree sa Pilipinas, may ilang legal na probisyon na nag-aalok ng ilang proteksyon:
**Ang 1987 Konstitusyon ng Pilipinas:**
* **Artikulo XVI, Seksyon 9:** Ang seksyon na ito ay na"&amp;"g-uutos sa Estado na protektahan at itaguyod ang ""diversity ng mga mapagkukunan ng bansa at itaguyod ang konserbasyon ng natural na pamana."" Ito ay maaaring bigyang kahulugan na isama ang mga punong pamana [1].
**Republic Act No. 10066 (National Cultura"&amp;"l Heritage Act of 2009):**
* **Seksyon 11 (f):** Binibigyan ng kapangyarihan ang pamahalaan na pangalagaan at protektahan ang ""mga likas na palatandaan"" na may kahalagahang pangkasaysayan, kultural, at ekolohikal. Ang mga punong pamana na nakakatugon sa"&amp;" mga pamantayang ito ay posibleng mabigyan ng proteksyon sa ilalim ng probisyong ito [2].
**Local Government Units (LGUs):**
* **Ang Kodigo ng Lokal na Pamahalaan ng 1991 (RA No. 7160):** Ang kodigong ito ay nagbibigay ng kapangyarihan sa mga LGU na magpa"&amp;"tibay ng mga ordinansa para sa pangangalaga ng kapaligiran at ekolohiya sa loob ng kanilang mga nasasakupan. Maaaring kabilang dito ang mga ordinansang partikular na nagpoprotekta sa mga heritage tree [3].
**Mga Hamon at Limitasyon:**
* **Kakulangan ng Pa"&amp;"rtikular na Batas:** Ang kawalan ng nakalaang Heritage Tree Law ay nagpapahirap sa pagtiyak ng komprehensibong proteksyon para sa mga punong ito.
* **Mga Isyu sa Pagpapatupad:** Ang pagpapatupad ng mga kasalukuyang legal na probisyon na may kaugnayan sa h"&amp;"eritage tree ay maaaring maging mahirap, lalo na sa lokal na antas.
**Mga Positibong Pag-unlad:**
* **Iminungkahing Heritage Tree Act:** Ang Mindanao Development Authority (MinDA) ay nagmungkahi ng isang pambansang batas na partikular na nagpoprotekta sa "&amp;"mga heritage tree. Bagama't hindi pa naisabatas, ang panukalang ito ay nagpapakita ng lumalaking pagkilala sa kanilang kahalagahan [4].
* **Mga Inisyatiba na Nakabatay sa Komunidad:** Maraming komunidad ang nagsasagawa ng inisyatiba upang protektahan ang "&amp;"mga heritage tree sa pamamagitan ng mga lokal na kampanya at pagtataguyod para sa mas matibay na legal na pag-iingat [5].
**Konklusyon:**
Ang Pilipinas ay may legal na balangkas na nag-aalok ng ilang antas ng proteksyon para sa mga heritage tree, ngunit m"&amp;"ay puwang para sa pagpapabuti. Ang pagtatatag ng isang nakatuong Heritage Tree Law at pagpapalakas ng mga mekanismo sa pagpapatupad ay magiging mga mahahalagang hakbang sa pagtiyak na mapangalagaan ang mahahalagang likas at kultural na mga kayamanan.
**Pa"&amp;"ra sa karagdagang sanggunian:**
* Hinahanap ng MinDA ang Pagpasa ng Batas para Protektahan ang 'Heritage Trees': [https://ncr.denr.gov.ph/index.php/news-events/photo-releases/the-heritage-trees-of-metro-manila] (https://ncr.denr.gov.ph/index.php/news-even"&amp;"ts/photo-releases/the-heritage-trees-of-metro-manila)")</f>
        <v>Bagama't walang isa, komprehensibong batas na nakatuon lamang sa mga heritage tree sa Pilipinas, may ilang legal na probisyon na nag-aalok ng ilang proteksyon:
**Ang 1987 Konstitusyon ng Pilipinas:**
* **Artikulo XVI, Seksyon 9:** Ang seksyon na ito ay nag-uutos sa Estado na protektahan at itaguyod ang "diversity ng mga mapagkukunan ng bansa at itaguyod ang konserbasyon ng natural na pamana." Ito ay maaaring bigyang kahulugan na isama ang mga punong pamana [1].
**Republic Act No. 10066 (National Cultural Heritage Act of 2009):**
* **Seksyon 11 (f):** Binibigyan ng kapangyarihan ang pamahalaan na pangalagaan at protektahan ang "mga likas na palatandaan" na may kahalagahang pangkasaysayan, kultural, at ekolohikal. Ang mga punong pamana na nakakatugon sa mga pamantayang ito ay posibleng mabigyan ng proteksyon sa ilalim ng probisyong ito [2].
**Local Government Units (LGUs):**
* **Ang Kodigo ng Lokal na Pamahalaan ng 1991 (RA No. 7160):** Ang kodigong ito ay nagbibigay ng kapangyarihan sa mga LGU na magpatibay ng mga ordinansa para sa pangangalaga ng kapaligiran at ekolohiya sa loob ng kanilang mga nasasakupan. Maaaring kabilang dito ang mga ordinansang partikular na nagpoprotekta sa mga heritage tree [3].
**Mga Hamon at Limitasyon:**
* **Kakulangan ng Partikular na Batas:** Ang kawalan ng nakalaang Heritage Tree Law ay nagpapahirap sa pagtiyak ng komprehensibong proteksyon para sa mga punong ito.
* **Mga Isyu sa Pagpapatupad:** Ang pagpapatupad ng mga kasalukuyang legal na probisyon na may kaugnayan sa heritage tree ay maaaring maging mahirap, lalo na sa lokal na antas.
**Mga Positibong Pag-unlad:**
* **Iminungkahing Heritage Tree Act:** Ang Mindanao Development Authority (MinDA) ay nagmungkahi ng isang pambansang batas na partikular na nagpoprotekta sa mga heritage tree. Bagama't hindi pa naisabatas, ang panukalang ito ay nagpapakita ng lumalaking pagkilala sa kanilang kahalagahan [4].
* **Mga Inisyatiba na Nakabatay sa Komunidad:** Maraming komunidad ang nagsasagawa ng inisyatiba upang protektahan ang mga heritage tree sa pamamagitan ng mga lokal na kampanya at pagtataguyod para sa mas matibay na legal na pag-iingat [5].
**Konklusyon:**
Ang Pilipinas ay may legal na balangkas na nag-aalok ng ilang antas ng proteksyon para sa mga heritage tree, ngunit may puwang para sa pagpapabuti. Ang pagtatatag ng isang nakatuong Heritage Tree Law at pagpapalakas ng mga mekanismo sa pagpapatupad ay magiging mga mahahalagang hakbang sa pagtiyak na mapangalagaan ang mahahalagang likas at kultural na mga kayamanan.
**Para sa karagdagang sanggunian:**
* Hinahanap ng MinDA ang Pagpasa ng Batas para Protektahan ang 'Heritage Trees': [https://ncr.denr.gov.ph/index.php/news-events/photo-releases/the-heritage-trees-of-metro-manila] (https://ncr.denr.gov.ph/index.php/news-events/photo-releases/the-heritage-trees-of-metro-manila)</v>
      </c>
      <c r="F2996" s="2">
        <f t="shared" si="1"/>
        <v>0</v>
      </c>
      <c r="G2996" s="2"/>
      <c r="H2996" s="2"/>
      <c r="I2996" s="2"/>
      <c r="J2996" s="2"/>
      <c r="K2996" s="2"/>
      <c r="L2996" s="2"/>
      <c r="M2996" s="2"/>
      <c r="N2996" s="2"/>
      <c r="O2996" s="2"/>
      <c r="P2996" s="2"/>
      <c r="Q2996" s="2"/>
      <c r="R2996" s="2"/>
      <c r="S2996" s="2"/>
      <c r="T2996" s="2"/>
      <c r="U2996" s="2"/>
      <c r="V2996" s="2"/>
      <c r="W2996" s="2"/>
      <c r="X2996" s="2"/>
      <c r="Y2996" s="2"/>
      <c r="Z2996" s="2"/>
      <c r="AA2996" s="2"/>
    </row>
    <row r="2997">
      <c r="A2997" s="3" t="s">
        <v>6923</v>
      </c>
      <c r="B2997" s="1" t="s">
        <v>6970</v>
      </c>
      <c r="C2997" s="3" t="s">
        <v>6971</v>
      </c>
      <c r="D2997" s="2" t="str">
        <f>IFERROR(__xludf.DUMMYFUNCTION("GOOGLETRANSLATE(B2997, ""en"", ""TL"")"),"Anong mga hakbang ang inilalagay upang isulong ang pakikilahok ng komunidad sa pangangalaga ng pamana ng kultura?")</f>
        <v>Anong mga hakbang ang inilalagay upang isulong ang pakikilahok ng komunidad sa pangangalaga ng pamana ng kultura?</v>
      </c>
      <c r="E2997" s="2" t="str">
        <f>IFERROR(__xludf.DUMMYFUNCTION("GOOGLETRANSLATE(C2997, ""en"", ""TL"")"),"Kinikilala ng Pilipinas ang kahalagahan ng pakikilahok ng komunidad sa pangangalaga ng pamana ng kultura. Narito ang ilang hakbang para isulong ito:
**Legal na Balangkas:**
* **Ang 1987 Konstitusyon ng Pilipinas:** Kinikilala ng Artikulo XV, Seksyon 15 an"&amp;"g mahalagang papel ng mga kultural na pamayanan sa pangangalaga at pagtataguyod ng kultural na pamana ng bansa [1].
* **Republic Act No. 10066 (National Cultural Heritage Act of 2009):** Binibigyang-diin ng batas na ito ang partisipasyon ng komunidad sa i"&amp;"ba't ibang aspeto ng konserbasyon ng cultural heritage, kabilang ang:
* Pagkilala at dokumentasyon ng mga kultural na pag-aari [2].
* Pagbuo ng mga plano sa konserbasyon [2].
* Pamamahala ng mga heritage sites [2].
* Mga kampanya ng pampublikong kamalayan"&amp;" [2].
**Mga Programa at Inisyatibo ng Pamahalaan:**
* **National Commission for Culture and the Arts (NCCA):** Nag-aalok ang NCCA ng mga programa at gawad na sumusuporta sa mga proyekto sa pangangalaga ng pamanang kultural na nakabatay sa komunidad [3].
*"&amp;" **Intangible Cultural Heritage (ICH) Safeguarding Program:** Ang programang ito ng NCCA ay naglalayon na idokumento at pangalagaan ang mga elemento ng hindi nasasalat na pamana ng kultura, kadalasang umaasa nang husto sa partisipasyon ng komunidad [4].
*"&amp;" **Local Government Units (LGUs):** Ang Kodigo ng Lokal na Pamahalaan ay nagbibigay ng kapangyarihan sa mga LGU na magpatibay ng mga ordinansa at bumuo ng mga programang nagtataguyod ng pangangalaga sa pamana ng kultura sa loob ng kanilang mga nasasakupan"&amp;". Madalas itong nagsasangkot ng pakikipagtulungan sa mga lokal na komunidad [5].
**Mga Inisyatiba na Nakabatay sa Komunidad:**
* **Heritage Associations:** Ang mga grupong ito na pinamumunuan ng komunidad ay gumaganap ng mahalagang papel sa pagtataguyod p"&amp;"ara sa pangangalaga ng lokal na pamana ng kultura at mga tradisyon [6].
* **Mga Indigenous Cultural Communities (ICCs):** Ang mga ICC ay may malalim na koneksyon sa kanilang mga lupaing ninuno at mga tradisyonal na gawi. Sila ay aktibong lumahok sa pangan"&amp;"galaga ng kanilang kultural na pamana [7].
**Mga Hamon at Oportunidad:**
* **Pagpapaunlad ng Kapasidad:** Ang pagbibigay kapangyarihan sa mga komunidad sa pamamagitan ng pagsasanay at pagpapaunlad ng mga kasanayan ay mahalaga para sa kanilang epektibong p"&amp;"akikilahok sa mga pagsisikap sa konserbasyon [8].
* **Sustainable Funding:** Nananatiling hamon ang pagtitiyak ng pangmatagalang pagpopondo para sa mga proyektong nakabatay sa komunidad [8].
**Inaasahan:**
Ang Pilipinas ay patuloy na nagsasaliksik ng mga "&amp;"makabagong paraan upang isulong ang pakikilahok ng komunidad sa pangangalaga ng pamana ng kultura. Ang pagtutulungang diskarte na ito ay mahalaga para sa pagtiyak ng pagpapanatili at kasiglahan ng mayamang pamana ng kultura ng bansa.
**Narito ang ilang ka"&amp;"ragdagang mapagkukunan:**
* National Commission for Culture and the Arts (NCCA): [https://en.wikipedia.org/wiki/National_Commission_for_Culture_and_the_Arts](https://en.wikipedia.org/wiki/National_Commission_for_Culture_and_the_Arts)
* Intangible Cultural"&amp;" Heritage Safeguarding Program: [https://en.wikipedia.org/wiki/National_Commission_for_Culture_and_the_Arts](https://en.wikipedia.org/wiki/National_Commission_for_Culture_and_the_Arts)
* The Indigenous Peoples' Rights Act of 1997 (Republic Act No. 8371): "&amp;"[https://lawphil.net/judjuris/juri2021/jan2021/gr_224469_lopez.html](https://lawphil.net/judjuris/juri2021/jan2021 /gr_224469_lopez.html)")</f>
        <v>Kinikilala ng Pilipinas ang kahalagahan ng pakikilahok ng komunidad sa pangangalaga ng pamana ng kultura. Narito ang ilang hakbang para isulong ito:
**Legal na Balangkas:**
* **Ang 1987 Konstitusyon ng Pilipinas:** Kinikilala ng Artikulo XV, Seksyon 15 ang mahalagang papel ng mga kultural na pamayanan sa pangangalaga at pagtataguyod ng kultural na pamana ng bansa [1].
* **Republic Act No. 10066 (National Cultural Heritage Act of 2009):** Binibigyang-diin ng batas na ito ang partisipasyon ng komunidad sa iba't ibang aspeto ng konserbasyon ng cultural heritage, kabilang ang:
* Pagkilala at dokumentasyon ng mga kultural na pag-aari [2].
* Pagbuo ng mga plano sa konserbasyon [2].
* Pamamahala ng mga heritage sites [2].
* Mga kampanya ng pampublikong kamalayan [2].
**Mga Programa at Inisyatibo ng Pamahalaan:**
* **National Commission for Culture and the Arts (NCCA):** Nag-aalok ang NCCA ng mga programa at gawad na sumusuporta sa mga proyekto sa pangangalaga ng pamanang kultural na nakabatay sa komunidad [3].
* **Intangible Cultural Heritage (ICH) Safeguarding Program:** Ang programang ito ng NCCA ay naglalayon na idokumento at pangalagaan ang mga elemento ng hindi nasasalat na pamana ng kultura, kadalasang umaasa nang husto sa partisipasyon ng komunidad [4].
* **Local Government Units (LGUs):** Ang Kodigo ng Lokal na Pamahalaan ay nagbibigay ng kapangyarihan sa mga LGU na magpatibay ng mga ordinansa at bumuo ng mga programang nagtataguyod ng pangangalaga sa pamana ng kultura sa loob ng kanilang mga nasasakupan. Madalas itong nagsasangkot ng pakikipagtulungan sa mga lokal na komunidad [5].
**Mga Inisyatiba na Nakabatay sa Komunidad:**
* **Heritage Associations:** Ang mga grupong ito na pinamumunuan ng komunidad ay gumaganap ng mahalagang papel sa pagtataguyod para sa pangangalaga ng lokal na pamana ng kultura at mga tradisyon [6].
* **Mga Indigenous Cultural Communities (ICCs):** Ang mga ICC ay may malalim na koneksyon sa kanilang mga lupaing ninuno at mga tradisyonal na gawi. Sila ay aktibong lumahok sa pangangalaga ng kanilang kultural na pamana [7].
**Mga Hamon at Oportunidad:**
* **Pagpapaunlad ng Kapasidad:** Ang pagbibigay kapangyarihan sa mga komunidad sa pamamagitan ng pagsasanay at pagpapaunlad ng mga kasanayan ay mahalaga para sa kanilang epektibong pakikilahok sa mga pagsisikap sa konserbasyon [8].
* **Sustainable Funding:** Nananatiling hamon ang pagtitiyak ng pangmatagalang pagpopondo para sa mga proyektong nakabatay sa komunidad [8].
**Inaasahan:**
Ang Pilipinas ay patuloy na nagsasaliksik ng mga makabagong paraan upang isulong ang pakikilahok ng komunidad sa pangangalaga ng pamana ng kultura. Ang pagtutulungang diskarte na ito ay mahalaga para sa pagtiyak ng pagpapanatili at kasiglahan ng mayamang pamana ng kultura ng bansa.
**Narito ang ilang karagdagang mapagkukunan:**
* National Commission for Culture and the Arts (NCCA): [https://en.wikipedia.org/wiki/National_Commission_for_Culture_and_the_Arts](https://en.wikipedia.org/wiki/National_Commission_for_Culture_and_the_Arts)
* Intangible Cultural Heritage Safeguarding Program: [https://en.wikipedia.org/wiki/National_Commission_for_Culture_and_the_Arts](https://en.wikipedia.org/wiki/National_Commission_for_Culture_and_the_Arts)
* The Indigenous Peoples' Rights Act of 1997 (Republic Act No. 8371): [https://lawphil.net/judjuris/juri2021/jan2021/gr_224469_lopez.html](https://lawphil.net/judjuris/juri2021/jan2021 /gr_224469_lopez.html)</v>
      </c>
      <c r="F2997" s="2">
        <f t="shared" si="1"/>
        <v>0</v>
      </c>
      <c r="G2997" s="2"/>
      <c r="H2997" s="2"/>
      <c r="I2997" s="2"/>
      <c r="J2997" s="2"/>
      <c r="K2997" s="2"/>
      <c r="L2997" s="2"/>
      <c r="M2997" s="2"/>
      <c r="N2997" s="2"/>
      <c r="O2997" s="2"/>
      <c r="P2997" s="2"/>
      <c r="Q2997" s="2"/>
      <c r="R2997" s="2"/>
      <c r="S2997" s="2"/>
      <c r="T2997" s="2"/>
      <c r="U2997" s="2"/>
      <c r="V2997" s="2"/>
      <c r="W2997" s="2"/>
      <c r="X2997" s="2"/>
      <c r="Y2997" s="2"/>
      <c r="Z2997" s="2"/>
      <c r="AA2997" s="2"/>
    </row>
    <row r="2998">
      <c r="A2998" s="3" t="s">
        <v>6923</v>
      </c>
      <c r="B2998" s="1" t="s">
        <v>6972</v>
      </c>
      <c r="C2998" s="3" t="s">
        <v>6973</v>
      </c>
      <c r="D2998" s="2" t="str">
        <f>IFERROR(__xludf.DUMMYFUNCTION("GOOGLETRANSLATE(B2998, ""en"", ""TL"")"),"Ipaliwanag ang legal na balangkas para sa proteksyon ng kultural na pamana sa panahon ng armadong labanan.")</f>
        <v>Ipaliwanag ang legal na balangkas para sa proteksyon ng kultural na pamana sa panahon ng armadong labanan.</v>
      </c>
      <c r="E2998" s="2" t="str">
        <f>IFERROR(__xludf.DUMMYFUNCTION("GOOGLETRANSLATE(C2998, ""en"", ""TL"")"),"Ang Pilipinas ay walang lokal na batas na partikular na nakatuon sa pangangalaga sa pamana ng kultura sa panahon ng armadong labanan. Gayunpaman, ang bansa ay sumusunod sa mga internasyonal na legal na balangkas na nagbibigay ng makabuluhang proteksyon:
"&amp;"
* **International Humanitarian Law (IHL):** 
    * Ang Pilipinas ay isang partido sa Geneva Conventions ng 1949 at ang kanilang mga Karagdagang Protokol. Ang mga kasunduan na ito ay nagtatatag ng mga tuntunin para sa pagsasagawa ng armadong tunggalian,"&amp;" kabilang ang mga probisyon para sa proteksyon ng kultural na ari-arian.
    * **Mga Pangunahing Probisyon:**
        * **Artikulo 56 ng Karagdagang Protokol I:** Ipinagbabawal ang mga pag-atake laban sa kultural na ari-arian maliban kung ito ay ginagam"&amp;"it para sa mga layuning militar. 
        * **Artikulo 61 ng Karagdagang Protokol I:** Nag-aatas sa mga partido sa isang armadong tunggalian na igalang ang kultural na pag-aari at umiwas sa anumang pagkilos ng poot na nakadirekta laban dito. 
        * "&amp;"**Hague Convention for the Protection of Cultural Property in the Event of Armed Conflict (1954):** Bagama't hindi niratipikahan ng Pilipinas, nag-aalok ito ng mas detalyadong balangkas para sa pag-iingat ng kultural na ari-arian sa panahon ng armadong la"&amp;"banan. 
* **National Commission for Culture and the Arts (NCCA):** 
    * Bagaman hindi isang legal na balangkas, ang NCCA ay gumaganap ng isang papel sa pangangalaga ng pamana ng kultura. 
    * Maaari itong makipagtulungan sa mga kaugnay na ahensya"&amp;" ng gobyerno at internasyonal na organisasyon upang ipatupad ang mga prinsipyo ng IHL na may kaugnayan sa proteksyon sa pamana ng kultura sa panahon ng armadong labanan.
**Mga Hamon at ang Pangangailangan para sa Paghahanda:**
* **Limited Domestic L"&amp;"egislation:** Ang kakulangan ng isang partikular na batas ng Pilipinas para sa proteksyon sa pamana ng kultura sa armadong labanan ay lumilikha ng isang puwang. 
* **Mga Hakbang sa Paghahanda:** Ang Pilipinas ay maaaring makinabang mula sa pagbuo ng mga "&amp;"pambansang plano at pamamaraan para sa pag-iingat ng kultural na pamana sa panahon ng tunggalian. Maaaring kabilang dito ang:
    * Pagkilala at pagrerehistro ng mga kultural na ari-arian.
    * Pagsasanay sa mga tauhan ng militar at sibilyan sa mga pro"&amp;"bisyon ng IHL na may kaugnayan sa pag-aari ng kultura.
    * Pagtatatag ng mga planong pang-emerhensiyang paglikas para sa mga naililipat na kultural na ari-arian.
**Konklusyon:**
Bagama't ang Pilipinas ay walang dedikadong lokal na batas, ito ay s"&amp;"umusunod sa mga internasyonal na balangkas na nagbibigay ng makabuluhang proteksyon para sa kultural na pamana sa panahon ng armadong labanan. Ang pagpapalakas ng mga hakbang sa pambansang paghahanda at pakikipagtulungan sa mga internasyonal na organisasy"&amp;"on ay maaaring higit pang mapahusay ang mga proteksyong ito. ")</f>
        <v>Ang Pilipinas ay walang lokal na batas na partikular na nakatuon sa pangangalaga sa pamana ng kultura sa panahon ng armadong labanan. Gayunpaman, ang bansa ay sumusunod sa mga internasyonal na legal na balangkas na nagbibigay ng makabuluhang proteksyon:
* **International Humanitarian Law (IHL):** 
    * Ang Pilipinas ay isang partido sa Geneva Conventions ng 1949 at ang kanilang mga Karagdagang Protokol. Ang mga kasunduan na ito ay nagtatatag ng mga tuntunin para sa pagsasagawa ng armadong tunggalian, kabilang ang mga probisyon para sa proteksyon ng kultural na ari-arian.
    * **Mga Pangunahing Probisyon:**
        * **Artikulo 56 ng Karagdagang Protokol I:** Ipinagbabawal ang mga pag-atake laban sa kultural na ari-arian maliban kung ito ay ginagamit para sa mga layuning militar. 
        * **Artikulo 61 ng Karagdagang Protokol I:** Nag-aatas sa mga partido sa isang armadong tunggalian na igalang ang kultural na pag-aari at umiwas sa anumang pagkilos ng poot na nakadirekta laban dito. 
        * **Hague Convention for the Protection of Cultural Property in the Event of Armed Conflict (1954):** Bagama't hindi niratipikahan ng Pilipinas, nag-aalok ito ng mas detalyadong balangkas para sa pag-iingat ng kultural na ari-arian sa panahon ng armadong labanan. 
* **National Commission for Culture and the Arts (NCCA):** 
    * Bagaman hindi isang legal na balangkas, ang NCCA ay gumaganap ng isang papel sa pangangalaga ng pamana ng kultura. 
    * Maaari itong makipagtulungan sa mga kaugnay na ahensya ng gobyerno at internasyonal na organisasyon upang ipatupad ang mga prinsipyo ng IHL na may kaugnayan sa proteksyon sa pamana ng kultura sa panahon ng armadong labanan.
**Mga Hamon at ang Pangangailangan para sa Paghahanda:**
* **Limited Domestic Legislation:** Ang kakulangan ng isang partikular na batas ng Pilipinas para sa proteksyon sa pamana ng kultura sa armadong labanan ay lumilikha ng isang puwang. 
* **Mga Hakbang sa Paghahanda:** Ang Pilipinas ay maaaring makinabang mula sa pagbuo ng mga pambansang plano at pamamaraan para sa pag-iingat ng kultural na pamana sa panahon ng tunggalian. Maaaring kabilang dito ang:
    * Pagkilala at pagrerehistro ng mga kultural na ari-arian.
    * Pagsasanay sa mga tauhan ng militar at sibilyan sa mga probisyon ng IHL na may kaugnayan sa pag-aari ng kultura.
    * Pagtatatag ng mga planong pang-emerhensiyang paglikas para sa mga naililipat na kultural na ari-arian.
**Konklusyon:**
Bagama't ang Pilipinas ay walang dedikadong lokal na batas, ito ay sumusunod sa mga internasyonal na balangkas na nagbibigay ng makabuluhang proteksyon para sa kultural na pamana sa panahon ng armadong labanan. Ang pagpapalakas ng mga hakbang sa pambansang paghahanda at pakikipagtulungan sa mga internasyonal na organisasyon ay maaaring higit pang mapahusay ang mga proteksyong ito. </v>
      </c>
      <c r="F2998" s="2">
        <f t="shared" si="1"/>
        <v>0</v>
      </c>
      <c r="G2998" s="2"/>
      <c r="H2998" s="2"/>
      <c r="I2998" s="2"/>
      <c r="J2998" s="2"/>
      <c r="K2998" s="2"/>
      <c r="L2998" s="2"/>
      <c r="M2998" s="2"/>
      <c r="N2998" s="2"/>
      <c r="O2998" s="2"/>
      <c r="P2998" s="2"/>
      <c r="Q2998" s="2"/>
      <c r="R2998" s="2"/>
      <c r="S2998" s="2"/>
      <c r="T2998" s="2"/>
      <c r="U2998" s="2"/>
      <c r="V2998" s="2"/>
      <c r="W2998" s="2"/>
      <c r="X2998" s="2"/>
      <c r="Y2998" s="2"/>
      <c r="Z2998" s="2"/>
      <c r="AA2998" s="2"/>
    </row>
    <row r="2999">
      <c r="A2999" s="3" t="s">
        <v>6923</v>
      </c>
      <c r="B2999" s="1" t="s">
        <v>6974</v>
      </c>
      <c r="C2999" s="3" t="s">
        <v>6975</v>
      </c>
      <c r="D2999" s="2" t="str">
        <f>IFERROR(__xludf.DUMMYFUNCTION("GOOGLETRANSLATE(B2999, ""en"", ""TL"")"),"Talakayin ang papel ng mga internasyonal na kombensiyon sa paghubog ng mga batas sa pamana ng kultura ng Pilipinas.")</f>
        <v>Talakayin ang papel ng mga internasyonal na kombensiyon sa paghubog ng mga batas sa pamana ng kultura ng Pilipinas.</v>
      </c>
      <c r="E2999" s="2" t="str">
        <f>IFERROR(__xludf.DUMMYFUNCTION("GOOGLETRANSLATE(C2999, ""en"", ""TL"")"),"Malaki ang papel na ginagampanan ng mga internasyonal na kombensiyon sa paghubog ng mga batas sa pamana ng kultura ng Pilipinas. Narito ang isang breakdown ng kanilang impluwensya:
**Pagbibigay ng Framework:**
* **UNESCO Convention on the Means of P"&amp;"rohibiting and Preventing the Illicit Import, Export and Transfer of Ownership of Cultural Property (1970):**  
    * Ang pagsunod ng Pilipinas sa convention na ito ay direktang nakaimpluwensya sa paglikha ng **Section 13** ng National Cultural Heritage "&amp;"Act (RA 10066), na nag-uutos sa pagsisikap ng estado na mabawi ang mga iligal na na-export na mga kultural na ari-arian.
**Pagtatatag ng mga Pamantayan:**
* **Ang mga kombensiyon ay nagtatakda ng mga internasyonal na pamantayan** para sa pangangalag"&amp;"a sa pamana ng kultura, na kadalasang sinasalamin ng mga batas ng Pilipinas. Halimbawa, ang konsepto ng ""cultural significance"" na ginamit sa RA 10066 ay umaayon sa mas malawak na internasyonal na mga kahulugan na ginamit ng UNESCO.
**Paggabay sa Mga"&amp;" Pagsisikap sa Pag-uwi:**
* **UNESCO Convention on the Means of Prohibiting and Preventing the Illicit Import, Export and Transfer of Ownership of Cultural Property (1970):**  
    * Ang convention na ito ay nagbibigay ng pundasyon para sa mga legal n"&amp;"a mekanismo na nakabalangkas sa RA 10066 (Seksyon 14) para sa pakikipag-ayos sa pagbabalik ng mga iligal na nakuhang kultural na ari-arian.
**Mga Lugar para sa Karagdagang Pag-unlad:**
* **Repatriation Framework:** Habang ang mga kombensiyon tulad n"&amp;"g 1970 UNESCO Convention ay nagbibigay ng pundasyon, ang Pilipinas ay kulang ng komprehensibong legal na balangkas na partikular na nakatuon sa mga paghahabol sa repatriation. Ang pagpapatibay ng mga nauugnay na kombensiyon tulad ng UNIDROIT Convention on"&amp;" Stolen or Illegally Exported Cultural Objects (1995) ay maaaring higit pang palakasin ang lugar na ito. 
**Higit pa sa Mga Legal na Obligasyon:**
* Ang mga internasyonal na kombensiyon ay maaari ding magbigay ng inspirasyon sa mas malawak na mga pa"&amp;"takaran sa pamana ng kultura. Halimbawa, ang pagbibigay-diin sa intangible cultural heritage sa 2003 UNESCO Convention for the Safeguarding of the Intangible Cultural Heritage ay maaaring maka-impluwensya sa hinaharap na batas ng Pilipinas upang mas kilal"&amp;"anin at protektahan ang gayong mga kultural na ekspresyon.
**Mga Hamon at Oportunidad:**
* **Pagbabalanse ng mga Internasyonal na Pamantayan na may Pambansang Interes:** Ang Pilipinas ay kailangang magkaroon ng balanse sa pagitan ng pagsunod sa mga "&amp;"internasyonal na kombensiyon at pagtiyak na ang sariling kultural na pamana ay protektado. 
* **Pagsusulong ng Pagpapatibay:** Maaaring makinabang ang Pilipinas sa pagratipika ng mga karagdagang nauugnay na kombensiyon upang magkaroon ng mas matatag na l"&amp;"egal na balangkas para sa proteksyon ng pamana ng kultura.
**Konklusyon:**
Ang mga internasyonal na kombensiyon ay isang mahalagang puwersa na humuhubog sa mga batas sa pamana ng kultura ng Pilipinas. Nagbibigay sila ng balangkas, nagtatag ng mga pa"&amp;"mantayan, at gumagabay sa mga pagsisikap sa pagpapauwi. Bagama't may mga hamon, maaaring gamitin ng Pilipinas ang mga kombensyong ito upang higit pang palakasin ang legal na balangkas nito para sa pangangalaga sa mayamang pamana nitong kultura. ")</f>
        <v>Malaki ang papel na ginagampanan ng mga internasyonal na kombensiyon sa paghubog ng mga batas sa pamana ng kultura ng Pilipinas. Narito ang isang breakdown ng kanilang impluwensya:
**Pagbibigay ng Framework:**
* **UNESCO Convention on the Means of Prohibiting and Preventing the Illicit Import, Export and Transfer of Ownership of Cultural Property (1970):**  
    * Ang pagsunod ng Pilipinas sa convention na ito ay direktang nakaimpluwensya sa paglikha ng **Section 13** ng National Cultural Heritage Act (RA 10066), na nag-uutos sa pagsisikap ng estado na mabawi ang mga iligal na na-export na mga kultural na ari-arian.
**Pagtatatag ng mga Pamantayan:**
* **Ang mga kombensiyon ay nagtatakda ng mga internasyonal na pamantayan** para sa pangangalaga sa pamana ng kultura, na kadalasang sinasalamin ng mga batas ng Pilipinas. Halimbawa, ang konsepto ng "cultural significance" na ginamit sa RA 10066 ay umaayon sa mas malawak na internasyonal na mga kahulugan na ginamit ng UNESCO.
**Paggabay sa Mga Pagsisikap sa Pag-uwi:**
* **UNESCO Convention on the Means of Prohibiting and Preventing the Illicit Import, Export and Transfer of Ownership of Cultural Property (1970):**  
    * Ang convention na ito ay nagbibigay ng pundasyon para sa mga legal na mekanismo na nakabalangkas sa RA 10066 (Seksyon 14) para sa pakikipag-ayos sa pagbabalik ng mga iligal na nakuhang kultural na ari-arian.
**Mga Lugar para sa Karagdagang Pag-unlad:**
* **Repatriation Framework:** Habang ang mga kombensiyon tulad ng 1970 UNESCO Convention ay nagbibigay ng pundasyon, ang Pilipinas ay kulang ng komprehensibong legal na balangkas na partikular na nakatuon sa mga paghahabol sa repatriation. Ang pagpapatibay ng mga nauugnay na kombensiyon tulad ng UNIDROIT Convention on Stolen or Illegally Exported Cultural Objects (1995) ay maaaring higit pang palakasin ang lugar na ito. 
**Higit pa sa Mga Legal na Obligasyon:**
* Ang mga internasyonal na kombensiyon ay maaari ding magbigay ng inspirasyon sa mas malawak na mga patakaran sa pamana ng kultura. Halimbawa, ang pagbibigay-diin sa intangible cultural heritage sa 2003 UNESCO Convention for the Safeguarding of the Intangible Cultural Heritage ay maaaring maka-impluwensya sa hinaharap na batas ng Pilipinas upang mas kilalanin at protektahan ang gayong mga kultural na ekspresyon.
**Mga Hamon at Oportunidad:**
* **Pagbabalanse ng mga Internasyonal na Pamantayan na may Pambansang Interes:** Ang Pilipinas ay kailangang magkaroon ng balanse sa pagitan ng pagsunod sa mga internasyonal na kombensiyon at pagtiyak na ang sariling kultural na pamana ay protektado. 
* **Pagsusulong ng Pagpapatibay:** Maaaring makinabang ang Pilipinas sa pagratipika ng mga karagdagang nauugnay na kombensiyon upang magkaroon ng mas matatag na legal na balangkas para sa proteksyon ng pamana ng kultura.
**Konklusyon:**
Ang mga internasyonal na kombensiyon ay isang mahalagang puwersa na humuhubog sa mga batas sa pamana ng kultura ng Pilipinas. Nagbibigay sila ng balangkas, nagtatag ng mga pamantayan, at gumagabay sa mga pagsisikap sa pagpapauwi. Bagama't may mga hamon, maaaring gamitin ng Pilipinas ang mga kombensyong ito upang higit pang palakasin ang legal na balangkas nito para sa pangangalaga sa mayamang pamana nitong kultura. </v>
      </c>
      <c r="F2999" s="2">
        <f t="shared" si="1"/>
        <v>0</v>
      </c>
      <c r="G2999" s="2"/>
      <c r="H2999" s="2"/>
      <c r="I2999" s="2"/>
      <c r="J2999" s="2"/>
      <c r="K2999" s="2"/>
      <c r="L2999" s="2"/>
      <c r="M2999" s="2"/>
      <c r="N2999" s="2"/>
      <c r="O2999" s="2"/>
      <c r="P2999" s="2"/>
      <c r="Q2999" s="2"/>
      <c r="R2999" s="2"/>
      <c r="S2999" s="2"/>
      <c r="T2999" s="2"/>
      <c r="U2999" s="2"/>
      <c r="V2999" s="2"/>
      <c r="W2999" s="2"/>
      <c r="X2999" s="2"/>
      <c r="Y2999" s="2"/>
      <c r="Z2999" s="2"/>
      <c r="AA2999" s="2"/>
    </row>
    <row r="3000">
      <c r="A3000" s="3" t="s">
        <v>6923</v>
      </c>
      <c r="B3000" s="3" t="s">
        <v>6976</v>
      </c>
      <c r="C3000" s="3" t="s">
        <v>6977</v>
      </c>
      <c r="D3000" s="2" t="str">
        <f>IFERROR(__xludf.DUMMYFUNCTION("GOOGLETRANSLATE(B3000, ""en"", ""TL"")"),"Anong mga legal na mekanismo ang inilalagay upang matiyak ang napapanatiling pagpopondo ng mga proyekto sa pangangalaga ng pamana ng kultura sa Pilipinas?")</f>
        <v>Anong mga legal na mekanismo ang inilalagay upang matiyak ang napapanatiling pagpopondo ng mga proyekto sa pangangalaga ng pamana ng kultura sa Pilipinas?</v>
      </c>
      <c r="E3000" s="2" t="str">
        <f>IFERROR(__xludf.DUMMYFUNCTION("GOOGLETRANSLATE(C3000, ""en"", ""TL"")"),"Sa Pilipinas, ang napapanatiling pagpopondo para sa mga proyektong konserbasyon ng pamana ng kultura ay sinisiguro sa pamamagitan ng iba't ibang legal na mekanismo at mga hakbangin. Ang ilan sa mga ito ay kinabibilangan ng:
Paglalaan ng Badyet ng Pamahal"&amp;"aan: Ang pambansang pamahalaan ay naglalaan ng mga pondo para sa pangangalaga ng pamana ng kultura sa pamamagitan ng National Commission for Culture and the Arts (NCCA) at iba pang kaugnay na ahensya. Sinusuportahan ng mga pondong ito ang mga proyekto sa "&amp;"pangangalaga sa pamana, mga pagsisikap sa pagpapanumbalik, at mga programa sa pagbuo ng kapasidad.
Mga Insentibo sa Buwis: Ang gobyerno ay nagbibigay ng mga insentibo sa buwis sa mga indibidwal at organisasyon na nag-aambag sa pangangalaga ng pamana ng k"&amp;"ultura. Kabilang dito ang mga pagbabawas sa buwis sa kita para sa mga donasyon sa mga proyektong konserbasyon ng pamana at mga pagbubukod sa buwis para sa mga negosyong nauugnay sa pamana.
Mga Pondo sa Pag-iingat ng Pamana: Ang ilang lokal na pamahalaan "&amp;"ay nagtatag ng mga pondo para sa pangangalaga ng pamana upang tustusan ang mga proyekto sa loob ng kanilang nasasakupan. Ang mga pondong ito ay maaaring galing sa mga lokal na kita, donasyon, o gawad.
Public-Private Partnerships (PPP): Maaaring gamitin a"&amp;"ng mga PPP upang tustusan ang mga proyekto sa pangangalaga sa pamana. Maaaring mamuhunan ang mga pribadong entity sa mga pagsisikap sa konserbasyon kapalit ng ilang partikular na benepisyo, gaya ng mga insentibo sa buwis o mga karapatan sa pagbibigay ng p"&amp;"angalan.
International Funding and Grants: Maaaring ma-access ng Pilipinas ang internasyonal na pagpopondo at mga gawad mula sa mga organisasyon tulad ng UNESCO, World Bank, at iba pang mga ahensya ng donor upang suportahan ang mga proyekto sa pangangala"&amp;"ga ng pamana ng kultura.
Heritage Conservation Endowment Funds: Ang pagtatatag ng mga endowment fund ay nagsisiguro ng isang napapanatiling pinagmumulan ng kita para sa mga proyektong konserbasyon ng pamana. Ang kita na nabuo mula sa endowment ay ginagam"&amp;"it upang tustusan ang mga pagsisikap sa konserbasyon.
Philippine Cultural Heritage Act (RA 10066): Ang batas na ito ay nag-uutos ng pagtatatag ng isang Heritage Conservation Fund, na maaaring tumanggap ng mga donasyon, gawad, at kontribusyon para sa mga "&amp;"layunin ng konserbasyon ng pamana.
Mga Kontribusyon ng Pribadong Sektor: Maaaring mag-ambag ang mga pribadong korporasyon at indibidwal sa pangangalaga ng pamana sa pamamagitan ng mga inisyatiba, donasyon, o sponsorship ng corporate social responsibility"&amp;" (CSR).
Ang mga legal na mekanismo at inisyatiba na ito ay nagtutulungan upang matiyak ang napapanatiling pagpopondo ng mga proyekto sa pangangalaga ng pamana ng kultura sa Pilipinas, na tumutulong na mapanatili ang mayamang pamana ng kultura ng bansa pa"&amp;"ra sa mga susunod na henerasyon.
")</f>
        <v>Sa Pilipinas, ang napapanatiling pagpopondo para sa mga proyektong konserbasyon ng pamana ng kultura ay sinisiguro sa pamamagitan ng iba't ibang legal na mekanismo at mga hakbangin. Ang ilan sa mga ito ay kinabibilangan ng:
Paglalaan ng Badyet ng Pamahalaan: Ang pambansang pamahalaan ay naglalaan ng mga pondo para sa pangangalaga ng pamana ng kultura sa pamamagitan ng National Commission for Culture and the Arts (NCCA) at iba pang kaugnay na ahensya. Sinusuportahan ng mga pondong ito ang mga proyekto sa pangangalaga sa pamana, mga pagsisikap sa pagpapanumbalik, at mga programa sa pagbuo ng kapasidad.
Mga Insentibo sa Buwis: Ang gobyerno ay nagbibigay ng mga insentibo sa buwis sa mga indibidwal at organisasyon na nag-aambag sa pangangalaga ng pamana ng kultura. Kabilang dito ang mga pagbabawas sa buwis sa kita para sa mga donasyon sa mga proyektong konserbasyon ng pamana at mga pagbubukod sa buwis para sa mga negosyong nauugnay sa pamana.
Mga Pondo sa Pag-iingat ng Pamana: Ang ilang lokal na pamahalaan ay nagtatag ng mga pondo para sa pangangalaga ng pamana upang tustusan ang mga proyekto sa loob ng kanilang nasasakupan. Ang mga pondong ito ay maaaring galing sa mga lokal na kita, donasyon, o gawad.
Public-Private Partnerships (PPP): Maaaring gamitin ang mga PPP upang tustusan ang mga proyekto sa pangangalaga sa pamana. Maaaring mamuhunan ang mga pribadong entity sa mga pagsisikap sa konserbasyon kapalit ng ilang partikular na benepisyo, gaya ng mga insentibo sa buwis o mga karapatan sa pagbibigay ng pangalan.
International Funding and Grants: Maaaring ma-access ng Pilipinas ang internasyonal na pagpopondo at mga gawad mula sa mga organisasyon tulad ng UNESCO, World Bank, at iba pang mga ahensya ng donor upang suportahan ang mga proyekto sa pangangalaga ng pamana ng kultura.
Heritage Conservation Endowment Funds: Ang pagtatatag ng mga endowment fund ay nagsisiguro ng isang napapanatiling pinagmumulan ng kita para sa mga proyektong konserbasyon ng pamana. Ang kita na nabuo mula sa endowment ay ginagamit upang tustusan ang mga pagsisikap sa konserbasyon.
Philippine Cultural Heritage Act (RA 10066): Ang batas na ito ay nag-uutos ng pagtatatag ng isang Heritage Conservation Fund, na maaaring tumanggap ng mga donasyon, gawad, at kontribusyon para sa mga layunin ng konserbasyon ng pamana.
Mga Kontribusyon ng Pribadong Sektor: Maaaring mag-ambag ang mga pribadong korporasyon at indibidwal sa pangangalaga ng pamana sa pamamagitan ng mga inisyatiba, donasyon, o sponsorship ng corporate social responsibility (CSR).
Ang mga legal na mekanismo at inisyatiba na ito ay nagtutulungan upang matiyak ang napapanatiling pagpopondo ng mga proyekto sa pangangalaga ng pamana ng kultura sa Pilipinas, na tumutulong na mapanatili ang mayamang pamana ng kultura ng bansa para sa mga susunod na henerasyon.
</v>
      </c>
      <c r="F3000" s="2">
        <f t="shared" si="1"/>
        <v>0</v>
      </c>
      <c r="G3000" s="2"/>
      <c r="H3000" s="2"/>
      <c r="I3000" s="2"/>
      <c r="J3000" s="2"/>
      <c r="K3000" s="2"/>
      <c r="L3000" s="2"/>
      <c r="M3000" s="2"/>
      <c r="N3000" s="2"/>
      <c r="O3000" s="2"/>
      <c r="P3000" s="2"/>
      <c r="Q3000" s="2"/>
      <c r="R3000" s="2"/>
      <c r="S3000" s="2"/>
      <c r="T3000" s="2"/>
      <c r="U3000" s="2"/>
      <c r="V3000" s="2"/>
      <c r="W3000" s="2"/>
      <c r="X3000" s="2"/>
      <c r="Y3000" s="2"/>
      <c r="Z3000" s="2"/>
      <c r="AA3000" s="2"/>
    </row>
    <row r="3001">
      <c r="A3001" s="3" t="s">
        <v>6923</v>
      </c>
      <c r="B3001" s="1" t="s">
        <v>6978</v>
      </c>
      <c r="C3001" s="3" t="s">
        <v>6979</v>
      </c>
      <c r="D3001" s="2" t="str">
        <f>IFERROR(__xludf.DUMMYFUNCTION("GOOGLETRANSLATE(B3001, ""en"", ""TL"")"),"Paano tinutugunan ng batas ng Pilipinas ang papel ng mga katutubo sa pangangalaga at pamamahala ng pamana ng kultura sa loob ng kanilang mga ninuno?")</f>
        <v>Paano tinutugunan ng batas ng Pilipinas ang papel ng mga katutubo sa pangangalaga at pamamahala ng pamana ng kultura sa loob ng kanilang mga ninuno?</v>
      </c>
      <c r="E3001" s="2" t="str">
        <f>IFERROR(__xludf.DUMMYFUNCTION("GOOGLETRANSLATE(C3001, ""en"", ""TL"")"),"Kinikilala ng batas ng Pilipinas ang isang mahalagang papel para sa mga Indigenous Cultural Communities/Indigenous Peoples (ICCs/IPs) sa pangangalaga at pamamahala ng kultural na pamana sa loob ng kanilang ancestral domain. Narito ang isang breakdown ng m"&amp;"ga pangunahing legal na probisyon:
**Indigenous Peoples' Rights Act (IPRA) ng 1997 (RA No. 8371):**
* **Kabanata III - Mga Karapatan sa Ancestral Domains:** 
    * Kinikilala ang karapatan ng mga ICC/Katutubong Pamayanan na ""pangalagaan at paunlar"&amp;"in ang kanilang mga kultura, tradisyon at institusyon"" (Seksyon 30).
    * Binibigyan sila ng awtoridad na ""pamahalaan at pangalagaan ang kanilang ... ancestral domain"" (Seksyon 11). 
**Kahalagahang Kultural at Mga Ancestral Domain:**
* Ang mga "&amp;"pamana ng kultura ay kadalasang may malalim na kahalagahan para sa mga ICC/IP. Kinikilala ng IPRA ang koneksyon na ito sa pamamagitan ng pagkilala sa kanilang mga ancestral domain.
* Ang pagkilalang ito ay nagbibigay sa mga ICC/Katutubong Pamayanan ng tu"&amp;"ngkulin sa pamamahala at pangangalaga sa mga kultural na pamana sa loob ng kanilang mga ninuno.
**Paggalang sa mga Batas sa kaugalian:**
* Kinikilala ng IPRA ang bisa ng mga kaugaliang batas na namamahala sa mga ICC/Katutubong Pamayanan (Seksyon 2)."&amp;" 
* Ang mga nakagawiang batas na ito ay maaaring gabayan kung paano nila pinamamahalaan at pinangangalagaan ang mga cultural heritage site sa loob ng kanilang mga ancestral domain.
**Libre at Paunang May Kaalaman na Pahintulot (FPIC):**
* Bago mags"&amp;"agawa ng mga proyektong nakakaapekto sa mga ancestral domain, ang mga ahensya ng gobyerno ay dapat na secure ang FPIC mula sa ICCs/IPs (Seksyon 13).
* Kabilang dito ang mga proyektong nauugnay sa pangangalaga ng pamana ng kultura sa loob ng kanilang mga "&amp;"domain. 
* Ang mga ICC/Katutubong Pamayanan ay may karapatang lumahok sa mga proseso ng paggawa ng desisyon tungkol sa pangangalaga at pamamahala ng kanilang kultural na pamana.
**National Cultural Heritage Act (RA No. 10066):**
* Bagama't hindi ta"&amp;"hasang binabanggit ang mga ICC/Katutubong Pamayanan, binibigyang-diin ng batas na ito ang pakikilahok ng komunidad sa pangangalaga ng pamana ng kultura (Seksyon 11).
* Ito ay umaayon sa diwa ng IPRA, na naghihikayat sa pakikipagtulungan sa pagitan ng mga"&amp;" ICC/Katutubong Pamayanan at mga ahensya ng gobyerno para sa pangangalaga ng pamana ng kultura sa loob ng mga ancestral domain. 
**Mga Hamon at Oportunidad:**
* **Pagbabalanse ng mga Karapatan at Pananagutan:** Ang pagkakaroon ng balanse sa pagitan "&amp;"ng paggalang sa mga karapatan ng ICC/IP at pagtiyak ng epektibong konserbasyon ng kultural na pamana ay maaaring maging kumplikado. 
* **Pagbuo ng Kapasidad:** Ang pagbibigay ng kapangyarihan sa mga ICC/IP na may kaalaman, kasanayan, at mapagkukunang kai"&amp;"langan upang epektibong pamahalaan ang kanilang kultural na pamana ay nangangailangan ng patuloy na suporta.
* **Ang Pakikipagtulungan ay Susi:** Ang epektibong komunikasyon at pakikipagtulungan sa pagitan ng mga ICC/Katutubong Pamayanan, mga ahensya ng "&amp;"gobyerno, at mga dalubhasa sa pamana ng kultura ay mahalaga para sa matagumpay na pangangalaga ng pamana ng kultura sa loob ng mga ancestral domain.
**Konklusyon:**
Kinikilala ng batas ng Pilipinas ang isang sentral na tungkulin ng mga ICC/Katutubon"&amp;"g Pamayanan sa pangangalaga at pamamahala ng pamana ng kultura sa loob ng kanilang mga ancestral domain. Ang IPRA at ang National Cultural Heritage Act ay nagbibigay ng legal na balangkas para sa kanilang paglahok. Ang pakikipagtulungan at pagbuo ng kapas"&amp;"idad ay susi sa pagtiyak na ang mga ICC/Katutubong Pamayanan ay epektibong mapangasiwaan ang kanilang kultural na pamana para sa mga susunod na henerasyon.")</f>
        <v>Kinikilala ng batas ng Pilipinas ang isang mahalagang papel para sa mga Indigenous Cultural Communities/Indigenous Peoples (ICCs/IPs) sa pangangalaga at pamamahala ng kultural na pamana sa loob ng kanilang ancestral domain. Narito ang isang breakdown ng mga pangunahing legal na probisyon:
**Indigenous Peoples' Rights Act (IPRA) ng 1997 (RA No. 8371):**
* **Kabanata III - Mga Karapatan sa Ancestral Domains:** 
    * Kinikilala ang karapatan ng mga ICC/Katutubong Pamayanan na "pangalagaan at paunlarin ang kanilang mga kultura, tradisyon at institusyon" (Seksyon 30).
    * Binibigyan sila ng awtoridad na "pamahalaan at pangalagaan ang kanilang ... ancestral domain" (Seksyon 11). 
**Kahalagahang Kultural at Mga Ancestral Domain:**
* Ang mga pamana ng kultura ay kadalasang may malalim na kahalagahan para sa mga ICC/IP. Kinikilala ng IPRA ang koneksyon na ito sa pamamagitan ng pagkilala sa kanilang mga ancestral domain.
* Ang pagkilalang ito ay nagbibigay sa mga ICC/Katutubong Pamayanan ng tungkulin sa pamamahala at pangangalaga sa mga kultural na pamana sa loob ng kanilang mga ninuno.
**Paggalang sa mga Batas sa kaugalian:**
* Kinikilala ng IPRA ang bisa ng mga kaugaliang batas na namamahala sa mga ICC/Katutubong Pamayanan (Seksyon 2). 
* Ang mga nakagawiang batas na ito ay maaaring gabayan kung paano nila pinamamahalaan at pinangangalagaan ang mga cultural heritage site sa loob ng kanilang mga ancestral domain.
**Libre at Paunang May Kaalaman na Pahintulot (FPIC):**
* Bago magsagawa ng mga proyektong nakakaapekto sa mga ancestral domain, ang mga ahensya ng gobyerno ay dapat na secure ang FPIC mula sa ICCs/IPs (Seksyon 13).
* Kabilang dito ang mga proyektong nauugnay sa pangangalaga ng pamana ng kultura sa loob ng kanilang mga domain. 
* Ang mga ICC/Katutubong Pamayanan ay may karapatang lumahok sa mga proseso ng paggawa ng desisyon tungkol sa pangangalaga at pamamahala ng kanilang kultural na pamana.
**National Cultural Heritage Act (RA No. 10066):**
* Bagama't hindi tahasang binabanggit ang mga ICC/Katutubong Pamayanan, binibigyang-diin ng batas na ito ang pakikilahok ng komunidad sa pangangalaga ng pamana ng kultura (Seksyon 11).
* Ito ay umaayon sa diwa ng IPRA, na naghihikayat sa pakikipagtulungan sa pagitan ng mga ICC/Katutubong Pamayanan at mga ahensya ng gobyerno para sa pangangalaga ng pamana ng kultura sa loob ng mga ancestral domain. 
**Mga Hamon at Oportunidad:**
* **Pagbabalanse ng mga Karapatan at Pananagutan:** Ang pagkakaroon ng balanse sa pagitan ng paggalang sa mga karapatan ng ICC/IP at pagtiyak ng epektibong konserbasyon ng kultural na pamana ay maaaring maging kumplikado. 
* **Pagbuo ng Kapasidad:** Ang pagbibigay ng kapangyarihan sa mga ICC/IP na may kaalaman, kasanayan, at mapagkukunang kailangan upang epektibong pamahalaan ang kanilang kultural na pamana ay nangangailangan ng patuloy na suporta.
* **Ang Pakikipagtulungan ay Susi:** Ang epektibong komunikasyon at pakikipagtulungan sa pagitan ng mga ICC/Katutubong Pamayanan, mga ahensya ng gobyerno, at mga dalubhasa sa pamana ng kultura ay mahalaga para sa matagumpay na pangangalaga ng pamana ng kultura sa loob ng mga ancestral domain.
**Konklusyon:**
Kinikilala ng batas ng Pilipinas ang isang sentral na tungkulin ng mga ICC/Katutubong Pamayanan sa pangangalaga at pamamahala ng pamana ng kultura sa loob ng kanilang mga ancestral domain. Ang IPRA at ang National Cultural Heritage Act ay nagbibigay ng legal na balangkas para sa kanilang paglahok. Ang pakikipagtulungan at pagbuo ng kapasidad ay susi sa pagtiyak na ang mga ICC/Katutubong Pamayanan ay epektibong mapangasiwaan ang kanilang kultural na pamana para sa mga susunod na henerasyon.</v>
      </c>
      <c r="F3001" s="2">
        <f t="shared" si="1"/>
        <v>0</v>
      </c>
      <c r="G3001" s="2"/>
      <c r="H3001" s="2"/>
      <c r="I3001" s="2"/>
      <c r="J3001" s="2"/>
      <c r="K3001" s="2"/>
      <c r="L3001" s="2"/>
      <c r="M3001" s="2"/>
      <c r="N3001" s="2"/>
      <c r="O3001" s="2"/>
      <c r="P3001" s="2"/>
      <c r="Q3001" s="2"/>
      <c r="R3001" s="2"/>
      <c r="S3001" s="2"/>
      <c r="T3001" s="2"/>
      <c r="U3001" s="2"/>
      <c r="V3001" s="2"/>
      <c r="W3001" s="2"/>
      <c r="X3001" s="2"/>
      <c r="Y3001" s="2"/>
      <c r="Z3001" s="2"/>
      <c r="AA3001" s="2"/>
    </row>
  </sheetData>
  <drawing r:id="rId1"/>
</worksheet>
</file>